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Plan1" sheetId="1" r:id="rId1"/>
  </sheets>
  <definedNames>
    <definedName name="_xlnm._FilterDatabase" localSheetId="0" hidden="1">Plan1!$A$1:$B$58816</definedName>
    <definedName name="negative_words_1" localSheetId="0">Plan1!$A$11945:$A$16725</definedName>
    <definedName name="amazon_cells_labelled" localSheetId="0">Plan1!$A$2:$B$990</definedName>
    <definedName name="positive_words" localSheetId="0">Plan1!$A$2964:$A$4969</definedName>
    <definedName name="training_1" localSheetId="0">Plan1!$A$4970:$A$11944</definedName>
    <definedName name="imdb_labelled_1" localSheetId="0">Plan1!$A$991:$B$1971</definedName>
    <definedName name="yelp_labelled" localSheetId="0">Plan1!$A$1972:$B$2963</definedName>
  </definedNames>
  <calcPr calcId="144525"/>
</workbook>
</file>

<file path=xl/sharedStrings.xml><?xml version="1.0" encoding="utf-8"?>
<sst xmlns="http://schemas.openxmlformats.org/spreadsheetml/2006/main" count="338" uniqueCount="318">
  <si>
    <t>Frase</t>
  </si>
  <si>
    <t>Sentimento</t>
  </si>
  <si>
    <t>Aconselho a todos não se deixe enganar!</t>
  </si>
  <si>
    <t>o filme é cheio de insultos raciais evidentes para com os membros do elenco preto e em troca os brancos são retratados como idiotas e mamas.</t>
  </si>
  <si>
    <t>John Garfield, Anne Revere, Lilli Plmer, William Conrad, Canadá Lee ... e filmado por um dos maiores cineastas de sempre a graça do screen..James Wong Howe.</t>
  </si>
  <si>
    <t>Eu só vi este filme e eu recomendo.</t>
  </si>
  <si>
    <t>A atuação de todos os envolvidos e que inclui aqueles que, como Shatner e Nimoy é ruim e lavado para fora e fazendo com que pareçam tão antiga como eles olham na vida real, os efeitos especiais são brega como quando Spock tem que resgatar Kirk em um jet pack quando ele cai para baixo de uma montanha.</t>
  </si>
  <si>
    <t>Grandes atores de caráter Telly Savalas e Peter Boyle.</t>
  </si>
  <si>
    <t>É um dos filmes mais chato de terror dos anos 90, principalmente porque ele começa lento e centros em um ambiente chato.</t>
  </si>
  <si>
    <t>Sinto muito, mas eu realmente não recomendo a ninguém.</t>
  </si>
  <si>
    <t>Eu não tenho que ser um contador para saber que estou sendo ferrado!</t>
  </si>
  <si>
    <t>O serviço é rápido e amigável.</t>
  </si>
  <si>
    <t>Muito bom, embora!</t>
  </si>
  <si>
    <t>Não, eu vou comer a batata que eu achei um pouco de cabelo estranhos nele.</t>
  </si>
  <si>
    <t>Penso que este restaurante sofre por não tentar com força suficiente.</t>
  </si>
  <si>
    <t>Um serviço e comida.</t>
  </si>
  <si>
    <t>Tivemos muito a dizer sobre o lugar antes que entramos em que ele esperava que fosse incrível, mas foi rapidamente decepcionado.</t>
  </si>
  <si>
    <t>Eu amo O Código Da Vinci ...</t>
  </si>
  <si>
    <t>Luv lubb o Código Da Vinci!</t>
  </si>
  <si>
    <t>Código Da Vinci era um filme impressionante ...</t>
  </si>
  <si>
    <t>O Código Da Vinci foi absolutamente incrível!</t>
  </si>
  <si>
    <t>as pessoas que valem a pena saber o quanto eu amo o código da vinci.</t>
  </si>
  <si>
    <t>Eu queria desesperadamente love'The Código Da Vinci como um filme.</t>
  </si>
  <si>
    <t>O Código Da Vinci é incrível ..</t>
  </si>
  <si>
    <t>Eu não me importo sobre questões de Tom Cruise na vida real, eu como Missão Impossível. :)</t>
  </si>
  <si>
    <t>eu amo Kirsten / leah / escapadas Kate e missão tom impossível bem ...</t>
  </si>
  <si>
    <t>Assim como a mãe de Felicia está limpando a mesa, felicia pega as chaves e nós correr para fora como enlouquecendo missão impossível.</t>
  </si>
  <si>
    <t>missão impossível 2 rochas !! ....</t>
  </si>
  <si>
    <t>The Last Stand e Missão Impossível 3 ambos eram filmes impressionantes.</t>
  </si>
  <si>
    <t>Harry Potter é IMPRESSIONANTE Eu não me importo se alguém disser diferente! ..</t>
  </si>
  <si>
    <t>Vou começar a ler a série Harry Potter novamente, porque essa é uma história incrível.</t>
  </si>
  <si>
    <t>Quero estar aqui porque eu amo Harry Potter, e eu realmente quero um lugar onde as pessoas levam a sério, mas ainda é muito divertido.</t>
  </si>
  <si>
    <t>Eu amo Harry Potter.</t>
  </si>
  <si>
    <t>Eu sou o Amor brokeback mountain loucamente.</t>
  </si>
  <si>
    <t>Ele é como, 'Yeah eu comecei ACNE E eu amo Brokeback Mountain' ..</t>
  </si>
  <si>
    <t>Brokeback Mountain era um filme impressionante.</t>
  </si>
  <si>
    <t>Brokeback mountain era bonita ...</t>
  </si>
  <si>
    <t>Eu amo Brokeback Mountain ....</t>
  </si>
  <si>
    <t>Código Da Vinci = Cima, Cima, Baixo, Baixo, Esquerda, Direita, Esquerda, Direita, B, A, SUGAM!</t>
  </si>
  <si>
    <t>Combinando a opinião / revisão de Gary e Gin Zen, O Código Da Vinci é uma porcaria.</t>
  </si>
  <si>
    <t>Código Da Vinci é uma porcaria ...</t>
  </si>
  <si>
    <t>eu ouvi Código Da Vinci sugado soo apenas 2,5 estrelas:</t>
  </si>
  <si>
    <t>O Código Da Vinci chupado grande.</t>
  </si>
  <si>
    <t>sexta-feira sai com kelsie e fomos e viu O Código Da Vinci SUGADO !!!!!</t>
  </si>
  <si>
    <t>Código Da Vinci suga ser ...</t>
  </si>
  <si>
    <t>Missão Impossível 3 sugado! ..</t>
  </si>
  <si>
    <t>Como? .- Missão Impossível III é muito chato na segunda vez ..- O novo centro de saúde Cobequid é soooooooo bom! ...</t>
  </si>
  <si>
    <t>Eu odeio Harry Potter ..</t>
  </si>
  <si>
    <t>Eu odeio Harry Potter.</t>
  </si>
  <si>
    <t>Estes filmes de Harry Potter realmente chupar.</t>
  </si>
  <si>
    <t>Brokeback Mountain sugado minhas bolas!</t>
  </si>
  <si>
    <t>Tendo figuras de ação Brokeback Mountain que são completamente vestido é estúpido.</t>
  </si>
  <si>
    <t>Então escapado em Brokeback Mountain, que é o filme mais deprimente que eu já vi ..</t>
  </si>
  <si>
    <t>Ah, e Brokeback Mountain era um filme terrível.</t>
  </si>
  <si>
    <t>Brokeback Mountain foi chato.</t>
  </si>
  <si>
    <t>Meu pai está sendo estúpido sobre montanha Brokeback ...</t>
  </si>
  <si>
    <t>errado</t>
  </si>
  <si>
    <t>brutalidade</t>
  </si>
  <si>
    <t>disallow</t>
  </si>
  <si>
    <t>desaprovar</t>
  </si>
  <si>
    <t>desencorajar</t>
  </si>
  <si>
    <t>desonra</t>
  </si>
  <si>
    <t>dishonorablely</t>
  </si>
  <si>
    <t>desintegrar</t>
  </si>
  <si>
    <t>desamparado</t>
  </si>
  <si>
    <t>hipocrisia</t>
  </si>
  <si>
    <t>ilegal</t>
  </si>
  <si>
    <t>inoportuno</t>
  </si>
  <si>
    <t>impossiblity</t>
  </si>
  <si>
    <t>inapropriado</t>
  </si>
  <si>
    <t>incompetência</t>
  </si>
  <si>
    <t>mania</t>
  </si>
  <si>
    <t>manipuladora</t>
  </si>
  <si>
    <t>misbecoming</t>
  </si>
  <si>
    <t>mortificante</t>
  </si>
  <si>
    <t>ruídos</t>
  </si>
  <si>
    <t>Absurdo</t>
  </si>
  <si>
    <t>obsessivamente</t>
  </si>
  <si>
    <t>exagero</t>
  </si>
  <si>
    <t>prik</t>
  </si>
  <si>
    <t>enjôo</t>
  </si>
  <si>
    <t>Imprudente</t>
  </si>
  <si>
    <t>refutada</t>
  </si>
  <si>
    <t>arruinado</t>
  </si>
  <si>
    <t>Infelizmente</t>
  </si>
  <si>
    <t>carranca</t>
  </si>
  <si>
    <t>indiferente</t>
  </si>
  <si>
    <t>não observado</t>
  </si>
  <si>
    <t>inconcebivelmente</t>
  </si>
  <si>
    <t>violentamente</t>
  </si>
  <si>
    <t>prostitutas</t>
  </si>
  <si>
    <t>wreak</t>
  </si>
  <si>
    <t>Talvez o preço poderia ser de 400 dólares.</t>
  </si>
  <si>
    <t>fica muito distante demasiado fácil</t>
  </si>
  <si>
    <t>No-LCD, assim-assim a qualidade de imagem, baterias</t>
  </si>
  <si>
    <t>design de dossel pobres.</t>
  </si>
  <si>
    <t>Nenhum ainda.</t>
  </si>
  <si>
    <t>Depois de muitos milhares de páginas, eu não sei de nenhum ainda.</t>
  </si>
  <si>
    <t>muito lento e tinta não dura muito tempo</t>
  </si>
  <si>
    <t>cartuchos</t>
  </si>
  <si>
    <t>Sem bandeja de papel</t>
  </si>
  <si>
    <t>confiabilidade</t>
  </si>
  <si>
    <t>Nenhum</t>
  </si>
  <si>
    <t>funcionalidade visor não tão melhor em ambientes escuros.</t>
  </si>
  <si>
    <t>mais telefoto seria bom</t>
  </si>
  <si>
    <t>Não tão perfeito LCD</t>
  </si>
  <si>
    <t>Não consigo pensar em um</t>
  </si>
  <si>
    <t>um pouco lento, às vezes alto, deve atualizar para PostScript</t>
  </si>
  <si>
    <t>lento, curva de aprendizado moderada</t>
  </si>
  <si>
    <t>cobertura fraca lente, tela pequena, os motoristas não estão disponíveis on-line.</t>
  </si>
  <si>
    <t>tempo de construção de imagem lento. Requer uma forte pressão para o botão do obturador para se cadastrar.</t>
  </si>
  <si>
    <t>Não foi possível conseguir o foco em situações normais iluminação doméstica. Lente não é muito acentuada.</t>
  </si>
  <si>
    <t>Não seja preguiçoso, ler a resenha.</t>
  </si>
  <si>
    <t>Drena baterias rápido, sem cobertura lense, nenhum caso.</t>
  </si>
  <si>
    <t>Camera é um pouco pesado. tampa da lente frágil.</t>
  </si>
  <si>
    <t>Sem USB, Menu um pouco confuso</t>
  </si>
  <si>
    <t>sem USB, apenas 8MB incluído</t>
  </si>
  <si>
    <t>volumosos quando dobrado</t>
  </si>
  <si>
    <t>Velocidade de impressão reduzida, sem impressão sem margens</t>
  </si>
  <si>
    <t>mecanismo de alimentação de papel questionável; durabilidade questionável</t>
  </si>
  <si>
    <t>impressão de fotos lento.</t>
  </si>
  <si>
    <t>atolamentos de papel</t>
  </si>
  <si>
    <t>Preço</t>
  </si>
  <si>
    <t>única manuseio de papel feira</t>
  </si>
  <si>
    <t>Poucos - bandeja de papel pequena capacidade e atolamento de papel ocasional.</t>
  </si>
  <si>
    <t>não é compatível com IE.5.5 ou IE.6</t>
  </si>
  <si>
    <t>Não vem com cabos necessários.</t>
  </si>
  <si>
    <t>Come baterias como uma criança numa loja de doces, noseprints, software lento</t>
  </si>
  <si>
    <t>slot para cartão de memória botão da tampa / eject barato. Não tão grandes tiros ao ar livre. LCD é um pouco fraco no brilho quando usar dentro de casa à noite com iluminação normal.</t>
  </si>
  <si>
    <t>Muito pouco de armazenamento, não adaptador AC, usa muita baterias.</t>
  </si>
  <si>
    <t>pesado - difícil de impulso, não vai ficar dobrado, COBERTURAS inútil ,, restrição peso assento</t>
  </si>
  <si>
    <t>ficar sem tinta rapidamente, dependendo de quanto tinta você realmente empurrar. Existem melhores impressoras para este catagory</t>
  </si>
  <si>
    <t>lento, precisa de algumas compras adicionais</t>
  </si>
  <si>
    <t>A velocidade é mais lenta do que o anunciado</t>
  </si>
  <si>
    <t>Tinta acabar muito rapidamente e é caro</t>
  </si>
  <si>
    <t>pequenas peculiaridades, nada devastador</t>
  </si>
  <si>
    <t>Caros, consumíveis defeituosos. Má qualidade de cor, o texto esboçado.</t>
  </si>
  <si>
    <t>4 reclinar posições misturam-se em cima de um ou para baixo, nenhum suporte da bebida / frasco,</t>
  </si>
  <si>
    <t>Eats baterias para o jantar, não pode atualizar firmware.</t>
  </si>
  <si>
    <t>driver de impressora foi difícil de instalar.</t>
  </si>
  <si>
    <t>manual do usuário ruim, OS muito intuitiva</t>
  </si>
  <si>
    <t>componentes baratos</t>
  </si>
  <si>
    <t>(Menor) nenhum acessório para tampa da lente</t>
  </si>
  <si>
    <t>Muito barulhento durante a ISO 400, bordas roxas em telefoto total, não muito mais ...</t>
  </si>
  <si>
    <t>bateria curta vida tem-solução, bateria externa</t>
  </si>
  <si>
    <t>Pobres controles manuais inadequados para profissionais</t>
  </si>
  <si>
    <t>Difícil de usar interruptor. Mal projetado tampa da lente.</t>
  </si>
  <si>
    <t>tampa da lente tende a estalar fora com muita facilidade.</t>
  </si>
  <si>
    <t>configuração padrão f-stop</t>
  </si>
  <si>
    <t>nada até agora</t>
  </si>
  <si>
    <t>não tão avançado como alguns</t>
  </si>
  <si>
    <t>Nenhum realmente</t>
  </si>
  <si>
    <t>Bad on / off switch, Viewer é de má lugar</t>
  </si>
  <si>
    <t>sem zoom</t>
  </si>
  <si>
    <t>nenhuma USB</t>
  </si>
  <si>
    <t>Bateria conexão, Serviço de Bad, nenhum caso</t>
  </si>
  <si>
    <t>interface serial</t>
  </si>
  <si>
    <t>volumoso, difícil de empurrar, caro</t>
  </si>
  <si>
    <t>Difícil conseguir coisas dentro e fora do cesto inferior. Preço.</t>
  </si>
  <si>
    <t>Preço, cesta</t>
  </si>
  <si>
    <t>Não manobrar bem. Obtém aberta preso ou fechado. Preço.</t>
  </si>
  <si>
    <t>Sobre o lado pesado. cesta de material rodante muito pequeno.</t>
  </si>
  <si>
    <t>O cartão de memória é pequeno</t>
  </si>
  <si>
    <t>Flash estranho, ruim com a distância</t>
  </si>
  <si>
    <t>você não pode ampliar, fotos de má qualidade, amigo com câmeras melhores rir de você</t>
  </si>
  <si>
    <t>Eu ainda tenho que encontrar e contras</t>
  </si>
  <si>
    <t>BATERIAS drenos</t>
  </si>
  <si>
    <t>Volumoso. Apenas 1,5 megapixel. fede Flash. problemas de foco conhecidos. Curva de aprendizado.</t>
  </si>
  <si>
    <t>Sem suporte da Sony</t>
  </si>
  <si>
    <t>capabilites macro têm seus problemas. forma funk não é copacetic com tiro ou vestindo.</t>
  </si>
  <si>
    <t>forma estranha para a compra de acessórios transportando</t>
  </si>
  <si>
    <t>construção Ok, pobre perto acima qualidade, interface de usuário HORRÍVEL</t>
  </si>
  <si>
    <t>8 mb memory stick, nenhum saco da câmera, curta duração da bateria, um pouco caro</t>
  </si>
  <si>
    <t>Terrível qualidade de imagem &amp; amp; # 13; &amp; amp; # 10; fácil de corpo aquecido &amp; amp; # 13; &amp; amp; # 10;</t>
  </si>
  <si>
    <t>A câmera não permite que você edite a fotografia depois de ter sido tomada.,</t>
  </si>
  <si>
    <t>Parou de funcionar depois de apenas alguns meses, a garantia limitada</t>
  </si>
  <si>
    <t>fotos noturnas não são o maior. software Sony é meio fraco.</t>
  </si>
  <si>
    <t>Você deve comprar mais do que a própria câmera.</t>
  </si>
  <si>
    <t>Contras ?? !!</t>
  </si>
  <si>
    <t>NENHUM</t>
  </si>
  <si>
    <t>No caso da câmera com a compra</t>
  </si>
  <si>
    <t>pobre de flash; documentação</t>
  </si>
  <si>
    <t>pode ser mais durável, alto-falante poderia ser melhorado ligeiramente</t>
  </si>
  <si>
    <t>Pára abruptamente.</t>
  </si>
  <si>
    <t>Nenhuma câmera, há tons de música, apenas toques polifônicos.</t>
  </si>
  <si>
    <t>Tranqüila caros, mas nós amamos são gadgets. Sem Infra-Vermelho, Bluetooth, ou HSCSD.</t>
  </si>
  <si>
    <t>Questionável qualidade de construção, preço, carece de funções aparentemente básicas.</t>
  </si>
  <si>
    <t>frente de arranhões telefone facilmente, a vida da bateria.</t>
  </si>
  <si>
    <t>... mais curto queda da promessa.</t>
  </si>
  <si>
    <t>Nenhuma porta Bluetooth, IR é inútil, sem marcação por voz, opções de imagem limitados. Sem conectividade PC.</t>
  </si>
  <si>
    <t>Às vezes tem problemas para pegar um sinal onde existe um monte de interferance.</t>
  </si>
  <si>
    <t>pequena melhoria sobre 8260; teclado difícil; incompatíveis com 8260 suporte de carga</t>
  </si>
  <si>
    <t>Um pouco maior do que alguns</t>
  </si>
  <si>
    <t>Meus bateria morre muito rapidamente ... não toques suficientes.</t>
  </si>
  <si>
    <t>Recursos, facilidade de uso</t>
  </si>
  <si>
    <t>No wap :(</t>
  </si>
  <si>
    <t>O telefone é não-intuitivo</t>
  </si>
  <si>
    <t>a vida da bateria pobres, não amigável</t>
  </si>
  <si>
    <t>não pode segurar configurações-reverte para motorola pré-sets, a tela fica em branco, uma má recepção.</t>
  </si>
  <si>
    <t>"Lags" (explicado no comentário)</t>
  </si>
  <si>
    <t>Exibir fontes muito pequeno -</t>
  </si>
  <si>
    <t>tudo o que você pode pensar</t>
  </si>
  <si>
    <t>a chave é muito pequeno</t>
  </si>
  <si>
    <t>A vida da bateria; falta de toques; dificuldade geral</t>
  </si>
  <si>
    <t>Bateria, Agenda</t>
  </si>
  <si>
    <t>Nem todos os sinos e assobios</t>
  </si>
  <si>
    <t>não encontraram errado alguma coisa com este telefone ainda</t>
  </si>
  <si>
    <t>recepção / chamadas abandonadas pobres, modo de vibração ineficaz, algumas falhas de projeto</t>
  </si>
  <si>
    <t>Não alto o suficiente, faz números não claras após chamada, nenhuma função de vibração</t>
  </si>
  <si>
    <t>discagem Finicky (voz / Remarcação / bluetooth) que poderia levar a momentos muito embaraçoso, não enviada para VM.</t>
  </si>
  <si>
    <t>Assista que a força da bateria se você usar o Bluetooth.</t>
  </si>
  <si>
    <t>qualidade de impressão</t>
  </si>
  <si>
    <t>Excelente qualidade de impressão, muito bom software que acompanha, facilidade de uso</t>
  </si>
  <si>
    <t>O zoom óptico e digital. Lotes de características. Grande apoio ao cliente.</t>
  </si>
  <si>
    <t>preço incrível! Grande performance!</t>
  </si>
  <si>
    <t>Excelente reprodução de cores. A tinta permanece brilhante. Não desaparecendo.</t>
  </si>
  <si>
    <t>Barato, fácil de usar</t>
  </si>
  <si>
    <t>Excelente custo-benefício, imagens fantásticas, uma lente zoom REAL.</t>
  </si>
  <si>
    <t>Excelente qualidade de imagem, zoom óptico 3x, verdadeiro macro, boa vida útil da bateria</t>
  </si>
  <si>
    <t>Pequeno e leve, com preços razoáveis, de boa qualidade, 20 segundo vídeo</t>
  </si>
  <si>
    <t>Rápido, silencioso, confiável, impressionante qualidade de impressão, impressão cabeça no cartucho.</t>
  </si>
  <si>
    <t>saída rápida PPM, grande DPI para a cor, impressão em 2 faces (opcional).</t>
  </si>
  <si>
    <t>Bastante rápido, excelente serviço</t>
  </si>
  <si>
    <t>Tudo em um projeto economiza espaço, poder e dinheiro</t>
  </si>
  <si>
    <t>"All in one", ocupa pouco espaço, Marca, Quick</t>
  </si>
  <si>
    <t>-All-n uma funcionalidade</t>
  </si>
  <si>
    <t>excelente design, parece ótimo, excelente funcionalidade, velocidade, qualidade, excelente função de cópia.</t>
  </si>
  <si>
    <t>O preço era bom para uma câmera digital de nível de entrada.</t>
  </si>
  <si>
    <t>Preço, qualidade das imagens, facilidade de uso, tamanho</t>
  </si>
  <si>
    <t>Ótimas fotos mesmo em ambientes fechados, ótimo valor, ótima vida útil da bateria w / out LCD</t>
  </si>
  <si>
    <t>custo, qualidade de foto, facilidade de uso</t>
  </si>
  <si>
    <t>Elaboração fácil em casa Imagem</t>
  </si>
  <si>
    <t>fácil de usar, multi-funções, qualidade grande foto</t>
  </si>
  <si>
    <t>Relativamente barato</t>
  </si>
  <si>
    <t>Facilidade de uso, qualidade das fotos, tela de lcd.</t>
  </si>
  <si>
    <t>Fácil de usar, funciona para a frente e design.</t>
  </si>
  <si>
    <t>Ao lado das fotos que eu tomei com meus 35mm e eles são tão bons.</t>
  </si>
  <si>
    <t>fotos incríveis, cores precisas, rápida do obturador, apontar e disparar, divertido, pequeno</t>
  </si>
  <si>
    <t>Realmente fácil de compartilhar, de alta qualidade fotos rica de cores!</t>
  </si>
  <si>
    <t>excelente qualidade, preço, facilidade de uso</t>
  </si>
  <si>
    <t>Arrefecer características, sistema combinado, agradável exploração.</t>
  </si>
  <si>
    <t>Qualidade de Impressão Muito Boa</t>
  </si>
  <si>
    <t>Toma algumas fotos decentes uma vez que você desligar o flash.</t>
  </si>
  <si>
    <t>Preço, qualidade de impressão, funcionamento silencioso</t>
  </si>
  <si>
    <t>Grande qualidade, super tranquila, BARATO</t>
  </si>
  <si>
    <t>Qualidade de impressão, Parcelamento Fácil e Preço</t>
  </si>
  <si>
    <t>Uma tinta Cartrage, inexspensive fácil de usar</t>
  </si>
  <si>
    <t>Barato e boa impressão de texto</t>
  </si>
  <si>
    <t>excelente preço, impressões de alta qualidade, grandes saídas em todos os tipos de papel, etc etc etc.</t>
  </si>
  <si>
    <t>Qualidade de impressão, velocidade e bandejas de impressão dupla.</t>
  </si>
  <si>
    <t>Boa qualidade de impressão &amp; amp; copiar, fácil de usar, pode trabalhar a partir do teclado w / out computador</t>
  </si>
  <si>
    <t>3-em-1 funções, user-friendly</t>
  </si>
  <si>
    <t>Peso leve, tamanho compacto, características excelentes para o dinheiro</t>
  </si>
  <si>
    <t>Facilidade de uso, vista cor da tela</t>
  </si>
  <si>
    <t>fotos grandes, fácil de usar, as configurações pro</t>
  </si>
  <si>
    <t>Compacto, leve, simples, zoom óptico 3x, cabo USB</t>
  </si>
  <si>
    <t>Boa qualidade de imagem, bateria de longa duração, muito fácil de usar.</t>
  </si>
  <si>
    <t>Alta resolução</t>
  </si>
  <si>
    <t>Muitos recursos para um preço mais baixo</t>
  </si>
  <si>
    <t>Bela foto. Pequeno e elegante.</t>
  </si>
  <si>
    <t>Impressionante LCD, demônio da velocidade, baixa distorção barril</t>
  </si>
  <si>
    <t>Package, pilhas AA, Pequeno SmartMedia, luz LOW !, Auto tudo.</t>
  </si>
  <si>
    <t>Imagens de grande qualidade, fácil de usar</t>
  </si>
  <si>
    <t>fácil de seguir instruções e imagens claras</t>
  </si>
  <si>
    <t>Excelente qualidade de imagem, excelentes imagens de pouca luz</t>
  </si>
  <si>
    <t>Rápido, fácil de usar.</t>
  </si>
  <si>
    <t>Resistente e bem desenhado, dobra-se tão pequeno</t>
  </si>
  <si>
    <t>PREÇO, projeto de vista caro elegante, software incluído, cabos, cartão de memória e câmera caso, a qualidade de imagem.</t>
  </si>
  <si>
    <t>eu amo isso</t>
  </si>
  <si>
    <t>fácil, apontar e disparar, imagens de boa qualidade</t>
  </si>
  <si>
    <t>Fácil de usar, nítidas fotos</t>
  </si>
  <si>
    <t>excelente qualidade, tira fotos rápido, Registros Mpeg Filmes.</t>
  </si>
  <si>
    <t>Pequeno, de boa qualidade, 3.3 megapixels, bateria de longa duração</t>
  </si>
  <si>
    <t>Boa qualidade de imagem, Bright Flash, modo de filme bom, para fora AV, ecrã LCD agradável</t>
  </si>
  <si>
    <t>Excelente qualidade de imagem; fácil de usar recursos; bateria de longa duração</t>
  </si>
  <si>
    <t>Facilidade de uso, peso leve, ótimas fotos, capacidade de tirar fotos rapidamente.</t>
  </si>
  <si>
    <t>Grande apontar e disparar para o amador., Recursos avançados para os mais experientes.</t>
  </si>
  <si>
    <t>Incrível qualidade de imagem, fácil de usar, vem com todos os acessórios, manual do usuário agradável</t>
  </si>
  <si>
    <t>câmera elegante para um preço decente.</t>
  </si>
  <si>
    <t>tecnologia de CD-R, excelente capacidade de imagem, baixo custo de estrutura, capacidade de zoom ampla, confortável view finder</t>
  </si>
  <si>
    <t>Qualquer pessoa pode usar essa câmera! Grande ecrã LCD, grandes fotos!</t>
  </si>
  <si>
    <t>FÁCIL DE USAR</t>
  </si>
  <si>
    <t>belas fotos</t>
  </si>
  <si>
    <t>Super-fácil de usar</t>
  </si>
  <si>
    <t>Usos de disquete, a vida da bateria, simples de usar.</t>
  </si>
  <si>
    <t>grande lente zoom</t>
  </si>
  <si>
    <t>Fácil de usar, as imagens são fantásticas, pode usar disquetes</t>
  </si>
  <si>
    <t>barato</t>
  </si>
  <si>
    <t>grandes fotos a um preço acessível</t>
  </si>
  <si>
    <t>imagem nítida e imprime qualidade premium 5x7 do e menor</t>
  </si>
  <si>
    <t>Bom preço, All-in-one máquina, de alta resolução, garantia de 1 ano, feito pela Xerox, copiadora colorida</t>
  </si>
  <si>
    <t>caso de metal de alumínio Ultraslim, exibição brilhante, Bluetooth, adornos de viva-voz, a antena interna</t>
  </si>
  <si>
    <t>Elegante, pequeno, grande LCD.</t>
  </si>
  <si>
    <t>Magro, luz, olhar fresco, chama as pessoas</t>
  </si>
  <si>
    <t>É lightweight..that de todos!</t>
  </si>
  <si>
    <t>Rosa !, Grande recepção, Web habilitado, a vida boa da bateria, fácil, boa câmera, boa memória, Bluetooth</t>
  </si>
  <si>
    <t>Grande negócio em um telefone muito afiada!</t>
  </si>
  <si>
    <t>Grande telefone com vida útil da bateria superiores</t>
  </si>
  <si>
    <t>Pequeno; boa tela brilhante; Confiável; Boa recepção</t>
  </si>
  <si>
    <t>Pequeno pacote oferece uma excelente performance</t>
  </si>
  <si>
    <t>produto confiável</t>
  </si>
  <si>
    <t>Tamanho, personalização, muitos recursos</t>
  </si>
  <si>
    <t>pequeno, muito durável, AIM instalado em alguns, teclas espaçosas</t>
  </si>
  <si>
    <t>Fácil de usar, parece bom, pequeno e leve, apenas um grande telefone.</t>
  </si>
  <si>
    <t>Dianteiro e faceplates costas, ringtone compositor, calendário, alarme, mensagens</t>
  </si>
  <si>
    <t>design intuitivo, boas áreas, bons comunidade</t>
  </si>
  <si>
    <t>Compacto, LCD externo e uma exibição clara, grava notas de voz.</t>
  </si>
  <si>
    <t>Tamanho, portabilidade, identificador de chamadas externo, tamanho lista telefónica, marcação por voz um plus, clareza chamada.</t>
  </si>
  <si>
    <t>Excelente telefone. características maravilhosas</t>
  </si>
  <si>
    <t>Boa recepção, a vida da bateria, tela, câmera, recursos</t>
  </si>
  <si>
    <t>grande display LCD &amp; # 13; &amp; # 10; Crystal Clear recepção em todo os Estados Unidos. &amp; # 13; &amp; # 10;</t>
  </si>
  <si>
    <t>Olha, olha que você começa, capacidades e perguntas sobre o telefone e serviço.</t>
  </si>
  <si>
    <t>MP3 Ringtones, toques MIDI, boa câmera, alisar a superfície resistente a riscos, boa tela LCD</t>
  </si>
  <si>
    <t>O tamanho pequeno, grande agenda organizador, melhor do que o Samsung N400</t>
  </si>
  <si>
    <t>Menus são fáceis de usar e parece realmente bom</t>
  </si>
  <si>
    <t>Agradável, melhor tela TFT, (incrível). Os Melhores PCS anel tones.Features.Sprint, uma bela Telefone</t>
  </si>
  <si>
    <t>telefone gratuito, grande qualidade de som, fácil de usar com mais recursos do que modelo mais antigo.</t>
  </si>
  <si>
    <t>DURABILIDADE, tamanho</t>
  </si>
</sst>
</file>

<file path=xl/styles.xml><?xml version="1.0" encoding="utf-8"?>
<styleSheet xmlns="http://schemas.openxmlformats.org/spreadsheetml/2006/main">
  <numFmts count="4">
    <numFmt numFmtId="176" formatCode="_-&quot;R$&quot;* #,##0.00_-;\-&quot;R$&quot;* #,##0.00_-;_-&quot;R$&quot;* &quot;-&quot;??_-;_-@_-"/>
    <numFmt numFmtId="177" formatCode="_-* #,##0_-;\-* #,##0_-;_-* &quot;-&quot;_-;_-@_-"/>
    <numFmt numFmtId="178" formatCode="_-&quot;R$&quot;* #,##0_-;\-&quot;R$&quot;* #,##0_-;_-&quot;R$&quot;* &quot;-&quot;_-;_-@_-"/>
    <numFmt numFmtId="179" formatCode="_-* #,##0.00_-;\-* #,##0.00_-;_-* &quot;-&quot;??_-;_-@_-"/>
  </numFmts>
  <fonts count="24">
    <font>
      <sz val="11"/>
      <color theme="1"/>
      <name val="Arial"/>
      <charset val="134"/>
    </font>
    <font>
      <sz val="11"/>
      <color rgb="FF000000"/>
      <name val="Arial"/>
      <charset val="134"/>
    </font>
    <font>
      <sz val="11"/>
      <color theme="1"/>
      <name val="Calibri"/>
      <charset val="134"/>
    </font>
    <font>
      <u/>
      <sz val="11"/>
      <color rgb="FF0000FF"/>
      <name val="Arial"/>
      <charset val="134"/>
    </font>
    <font>
      <b/>
      <sz val="15"/>
      <color theme="3"/>
      <name val="Calibri"/>
      <charset val="134"/>
      <scheme val="minor"/>
    </font>
    <font>
      <sz val="11"/>
      <color rgb="FFFF0000"/>
      <name val="Calibri"/>
      <charset val="0"/>
      <scheme val="minor"/>
    </font>
    <font>
      <sz val="10"/>
      <color theme="1"/>
      <name val="Calibri"/>
      <charset val="134"/>
      <scheme val="minor"/>
    </font>
    <font>
      <b/>
      <sz val="11"/>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rgb="FFFFFFFF"/>
      <name val="Calibri"/>
      <charset val="0"/>
      <scheme val="minor"/>
    </font>
    <font>
      <sz val="11"/>
      <color rgb="FF006100"/>
      <name val="Calibri"/>
      <charset val="0"/>
      <scheme val="minor"/>
    </font>
    <font>
      <sz val="11"/>
      <color rgb="FFFA7D00"/>
      <name val="Calibri"/>
      <charset val="0"/>
      <scheme val="minor"/>
    </font>
    <font>
      <b/>
      <sz val="13"/>
      <color theme="3"/>
      <name val="Calibri"/>
      <charset val="134"/>
      <scheme val="minor"/>
    </font>
    <font>
      <u/>
      <sz val="11"/>
      <color rgb="FF0000FF"/>
      <name val="Calibri"/>
      <charset val="0"/>
      <scheme val="minor"/>
    </font>
    <font>
      <b/>
      <sz val="18"/>
      <color theme="3"/>
      <name val="Calibri"/>
      <charset val="134"/>
      <scheme val="minor"/>
    </font>
    <font>
      <i/>
      <sz val="11"/>
      <color rgb="FF7F7F7F"/>
      <name val="Calibri"/>
      <charset val="0"/>
      <scheme val="minor"/>
    </font>
    <font>
      <b/>
      <sz val="11"/>
      <color rgb="FF3F3F3F"/>
      <name val="Calibri"/>
      <charset val="0"/>
      <scheme val="minor"/>
    </font>
    <font>
      <sz val="11"/>
      <color rgb="FF3F3F76"/>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
      <sz val="11"/>
      <color rgb="FF9C0006"/>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theme="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4" tint="0.599993896298105"/>
        <bgColor indexed="64"/>
      </patternFill>
    </fill>
    <fill>
      <patternFill patternType="solid">
        <fgColor rgb="FFFFC7CE"/>
        <bgColor indexed="64"/>
      </patternFill>
    </fill>
    <fill>
      <patternFill patternType="solid">
        <fgColor theme="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tint="0.599993896298105"/>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179" fontId="6" fillId="0" borderId="0" applyFont="0" applyFill="0" applyBorder="0" applyAlignment="0" applyProtection="0">
      <alignment vertical="center"/>
    </xf>
    <xf numFmtId="177" fontId="6" fillId="0" borderId="0" applyFont="0" applyFill="0" applyBorder="0" applyAlignment="0" applyProtection="0">
      <alignment vertical="center"/>
    </xf>
    <xf numFmtId="0" fontId="10" fillId="8" borderId="0" applyNumberFormat="0" applyBorder="0" applyAlignment="0" applyProtection="0">
      <alignment vertical="center"/>
    </xf>
    <xf numFmtId="9" fontId="6" fillId="0" borderId="0" applyFont="0" applyFill="0" applyBorder="0" applyAlignment="0" applyProtection="0">
      <alignment vertical="center"/>
    </xf>
    <xf numFmtId="0" fontId="13" fillId="0" borderId="5" applyNumberFormat="0" applyFill="0" applyAlignment="0" applyProtection="0">
      <alignment vertical="center"/>
    </xf>
    <xf numFmtId="0" fontId="11" fillId="9" borderId="4" applyNumberFormat="0" applyAlignment="0" applyProtection="0">
      <alignment vertical="center"/>
    </xf>
    <xf numFmtId="178" fontId="6" fillId="0" borderId="0" applyFont="0" applyFill="0" applyBorder="0" applyAlignment="0" applyProtection="0">
      <alignment vertical="center"/>
    </xf>
    <xf numFmtId="0" fontId="10" fillId="5" borderId="0" applyNumberFormat="0" applyBorder="0" applyAlignment="0" applyProtection="0">
      <alignment vertical="center"/>
    </xf>
    <xf numFmtId="176" fontId="6" fillId="0" borderId="0" applyFont="0" applyFill="0" applyBorder="0" applyAlignment="0" applyProtection="0">
      <alignment vertical="center"/>
    </xf>
    <xf numFmtId="0" fontId="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12" borderId="0" applyNumberFormat="0" applyBorder="0" applyAlignment="0" applyProtection="0">
      <alignment vertical="center"/>
    </xf>
    <xf numFmtId="0" fontId="6" fillId="2" borderId="3" applyNumberFormat="0" applyFont="0" applyAlignment="0" applyProtection="0">
      <alignment vertical="center"/>
    </xf>
    <xf numFmtId="0" fontId="10" fillId="15" borderId="0" applyNumberFormat="0" applyBorder="0" applyAlignment="0" applyProtection="0">
      <alignment vertical="center"/>
    </xf>
    <xf numFmtId="0" fontId="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7" borderId="0" applyNumberFormat="0" applyBorder="0" applyAlignment="0" applyProtection="0">
      <alignment vertical="center"/>
    </xf>
    <xf numFmtId="0" fontId="4" fillId="0" borderId="1" applyNumberFormat="0" applyFill="0" applyAlignment="0" applyProtection="0">
      <alignment vertical="center"/>
    </xf>
    <xf numFmtId="0" fontId="9" fillId="18" borderId="0" applyNumberFormat="0" applyBorder="0" applyAlignment="0" applyProtection="0">
      <alignment vertical="center"/>
    </xf>
    <xf numFmtId="0" fontId="14" fillId="0" borderId="1" applyNumberFormat="0" applyFill="0" applyAlignment="0" applyProtection="0">
      <alignment vertical="center"/>
    </xf>
    <xf numFmtId="0" fontId="9" fillId="17" borderId="0" applyNumberFormat="0" applyBorder="0" applyAlignment="0" applyProtection="0">
      <alignment vertical="center"/>
    </xf>
    <xf numFmtId="0" fontId="7" fillId="0" borderId="2" applyNumberFormat="0" applyFill="0" applyAlignment="0" applyProtection="0">
      <alignment vertical="center"/>
    </xf>
    <xf numFmtId="0" fontId="9" fillId="21" borderId="0" applyNumberFormat="0" applyBorder="0" applyAlignment="0" applyProtection="0">
      <alignment vertical="center"/>
    </xf>
    <xf numFmtId="0" fontId="7" fillId="0" borderId="0" applyNumberFormat="0" applyFill="0" applyBorder="0" applyAlignment="0" applyProtection="0">
      <alignment vertical="center"/>
    </xf>
    <xf numFmtId="0" fontId="19" fillId="23" borderId="7" applyNumberFormat="0" applyAlignment="0" applyProtection="0">
      <alignment vertical="center"/>
    </xf>
    <xf numFmtId="0" fontId="18" fillId="22" borderId="6" applyNumberFormat="0" applyAlignment="0" applyProtection="0">
      <alignment vertical="center"/>
    </xf>
    <xf numFmtId="0" fontId="21" fillId="22" borderId="7" applyNumberFormat="0" applyAlignment="0" applyProtection="0">
      <alignment vertical="center"/>
    </xf>
    <xf numFmtId="0" fontId="20" fillId="0" borderId="8" applyNumberFormat="0" applyFill="0" applyAlignment="0" applyProtection="0">
      <alignment vertical="center"/>
    </xf>
    <xf numFmtId="0" fontId="10" fillId="25" borderId="0" applyNumberFormat="0" applyBorder="0" applyAlignment="0" applyProtection="0">
      <alignment vertical="center"/>
    </xf>
    <xf numFmtId="0" fontId="12" fillId="10" borderId="0" applyNumberFormat="0" applyBorder="0" applyAlignment="0" applyProtection="0">
      <alignment vertical="center"/>
    </xf>
    <xf numFmtId="0" fontId="23" fillId="26" borderId="0" applyNumberFormat="0" applyBorder="0" applyAlignment="0" applyProtection="0">
      <alignment vertical="center"/>
    </xf>
    <xf numFmtId="0" fontId="22" fillId="24" borderId="0" applyNumberFormat="0" applyBorder="0" applyAlignment="0" applyProtection="0">
      <alignment vertical="center"/>
    </xf>
    <xf numFmtId="0" fontId="10" fillId="16" borderId="0" applyNumberFormat="0" applyBorder="0" applyAlignment="0" applyProtection="0">
      <alignment vertical="center"/>
    </xf>
    <xf numFmtId="0" fontId="9" fillId="27" borderId="0" applyNumberFormat="0" applyBorder="0" applyAlignment="0" applyProtection="0">
      <alignment vertical="center"/>
    </xf>
    <xf numFmtId="0" fontId="10" fillId="28" borderId="0" applyNumberFormat="0" applyBorder="0" applyAlignment="0" applyProtection="0">
      <alignment vertical="center"/>
    </xf>
    <xf numFmtId="0" fontId="9" fillId="4" borderId="0" applyNumberFormat="0" applyBorder="0" applyAlignment="0" applyProtection="0">
      <alignment vertical="center"/>
    </xf>
    <xf numFmtId="0" fontId="10" fillId="14" borderId="0" applyNumberFormat="0" applyBorder="0" applyAlignment="0" applyProtection="0">
      <alignment vertical="center"/>
    </xf>
    <xf numFmtId="0" fontId="9" fillId="3" borderId="0" applyNumberFormat="0" applyBorder="0" applyAlignment="0" applyProtection="0">
      <alignment vertical="center"/>
    </xf>
    <xf numFmtId="0" fontId="10" fillId="11" borderId="0" applyNumberFormat="0" applyBorder="0" applyAlignment="0" applyProtection="0">
      <alignment vertical="center"/>
    </xf>
    <xf numFmtId="0" fontId="9" fillId="30" borderId="0" applyNumberFormat="0" applyBorder="0" applyAlignment="0" applyProtection="0">
      <alignment vertical="center"/>
    </xf>
    <xf numFmtId="0" fontId="10" fillId="32" borderId="0" applyNumberFormat="0" applyBorder="0" applyAlignment="0" applyProtection="0">
      <alignment vertical="center"/>
    </xf>
    <xf numFmtId="0" fontId="9" fillId="6" borderId="0" applyNumberFormat="0" applyBorder="0" applyAlignment="0" applyProtection="0">
      <alignment vertical="center"/>
    </xf>
    <xf numFmtId="0" fontId="10" fillId="20" borderId="0" applyNumberFormat="0" applyBorder="0" applyAlignment="0" applyProtection="0">
      <alignment vertical="center"/>
    </xf>
    <xf numFmtId="0" fontId="9" fillId="19" borderId="0" applyNumberFormat="0" applyBorder="0" applyAlignment="0" applyProtection="0">
      <alignment vertical="center"/>
    </xf>
    <xf numFmtId="0" fontId="10" fillId="29" borderId="0" applyNumberFormat="0" applyBorder="0" applyAlignment="0" applyProtection="0">
      <alignment vertical="center"/>
    </xf>
    <xf numFmtId="0" fontId="9" fillId="13" borderId="0" applyNumberFormat="0" applyBorder="0" applyAlignment="0" applyProtection="0">
      <alignment vertical="center"/>
    </xf>
    <xf numFmtId="0" fontId="9" fillId="31" borderId="0" applyNumberFormat="0" applyBorder="0" applyAlignment="0" applyProtection="0">
      <alignment vertical="center"/>
    </xf>
  </cellStyleXfs>
  <cellXfs count="5">
    <xf numFmtId="0" fontId="0" fillId="0" borderId="0" xfId="0" applyFont="1" applyAlignment="1"/>
    <xf numFmtId="0" fontId="1" fillId="0" borderId="0" xfId="0" applyFont="1" applyAlignment="1">
      <alignment horizontal="center"/>
    </xf>
    <xf numFmtId="0" fontId="2" fillId="0" borderId="0" xfId="0" applyFont="1" applyAlignment="1">
      <alignment horizontal="center"/>
    </xf>
    <xf numFmtId="0" fontId="2" fillId="0" borderId="0" xfId="0" applyFont="1"/>
    <xf numFmtId="0" fontId="3" fillId="0" borderId="0" xfId="0" applyFont="1"/>
  </cellXfs>
  <cellStyles count="49">
    <cellStyle name="Normal" xfId="0" builtinId="0"/>
    <cellStyle name="Comma" xfId="1" builtinId="3"/>
    <cellStyle name="Comma [0]" xfId="2" builtinId="6"/>
    <cellStyle name="40% - Ênfase 4" xfId="3" builtinId="43"/>
    <cellStyle name="Porcentagem" xfId="4" builtinId="5"/>
    <cellStyle name="Célula Vinculada" xfId="5" builtinId="24"/>
    <cellStyle name="Célula de Verificação" xfId="6" builtinId="23"/>
    <cellStyle name="Moeda [0]" xfId="7" builtinId="7"/>
    <cellStyle name="20% - Ênfase 3" xfId="8" builtinId="38"/>
    <cellStyle name="Moeda" xfId="9" builtinId="4"/>
    <cellStyle name="Hyperlink seguido" xfId="10" builtinId="9"/>
    <cellStyle name="Hyperlink" xfId="11" builtinId="8"/>
    <cellStyle name="40% - Ênfase 2" xfId="12" builtinId="35"/>
    <cellStyle name="Observação" xfId="13" builtinId="10"/>
    <cellStyle name="40% - Ênfase 6" xfId="14" builtinId="51"/>
    <cellStyle name="Texto de Aviso" xfId="15" builtinId="11"/>
    <cellStyle name="Título" xfId="16" builtinId="15"/>
    <cellStyle name="Texto Explicativo" xfId="17" builtinId="53"/>
    <cellStyle name="Ênfase 3" xfId="18" builtinId="37"/>
    <cellStyle name="Título 1" xfId="19" builtinId="16"/>
    <cellStyle name="Ênfase 4" xfId="20" builtinId="41"/>
    <cellStyle name="Título 2" xfId="21" builtinId="17"/>
    <cellStyle name="Ênfase 5" xfId="22" builtinId="45"/>
    <cellStyle name="Título 3" xfId="23" builtinId="18"/>
    <cellStyle name="Ênfase 6" xfId="24" builtinId="49"/>
    <cellStyle name="Título 4" xfId="25" builtinId="19"/>
    <cellStyle name="Entrada" xfId="26" builtinId="20"/>
    <cellStyle name="Saída" xfId="27" builtinId="21"/>
    <cellStyle name="Cálculo" xfId="28" builtinId="22"/>
    <cellStyle name="Total" xfId="29" builtinId="25"/>
    <cellStyle name="40% - Ênfase 1" xfId="30" builtinId="31"/>
    <cellStyle name="Bom" xfId="31" builtinId="26"/>
    <cellStyle name="Ruim" xfId="32" builtinId="27"/>
    <cellStyle name="Neutro" xfId="33" builtinId="28"/>
    <cellStyle name="20% - Ênfase 5" xfId="34" builtinId="46"/>
    <cellStyle name="Ênfase 1" xfId="35" builtinId="29"/>
    <cellStyle name="20% - Ênfase 1" xfId="36" builtinId="30"/>
    <cellStyle name="60% - Ênfase 1" xfId="37" builtinId="32"/>
    <cellStyle name="20% - Ênfase 6" xfId="38" builtinId="50"/>
    <cellStyle name="Ênfase 2" xfId="39" builtinId="33"/>
    <cellStyle name="20% - Ênfase 2" xfId="40" builtinId="34"/>
    <cellStyle name="60% - Ênfase 2" xfId="41" builtinId="36"/>
    <cellStyle name="40% - Ênfase 3" xfId="42" builtinId="39"/>
    <cellStyle name="60% - Ênfase 3" xfId="43" builtinId="40"/>
    <cellStyle name="20% - Ênfase 4" xfId="44" builtinId="42"/>
    <cellStyle name="60% - Ênfase 4" xfId="45" builtinId="44"/>
    <cellStyle name="40% - Ênfase 5" xfId="46" builtinId="47"/>
    <cellStyle name="60% - Ênfase 5" xfId="47" builtinId="48"/>
    <cellStyle name="60% - Ênfase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8816"/>
  <sheetViews>
    <sheetView tabSelected="1" workbookViewId="0">
      <selection activeCell="E11" sqref="E11"/>
    </sheetView>
  </sheetViews>
  <sheetFormatPr defaultColWidth="12.6333333333333" defaultRowHeight="15" customHeight="1" outlineLevelCol="1"/>
  <cols>
    <col min="1" max="1" width="71" customWidth="1"/>
    <col min="2" max="2" width="14" customWidth="1"/>
    <col min="3" max="3" width="9.88333333333333" customWidth="1"/>
    <col min="4" max="4" width="7.63333333333333" customWidth="1"/>
  </cols>
  <sheetData>
    <row r="1" ht="14.4" spans="1:2">
      <c r="A1" s="1" t="s">
        <v>0</v>
      </c>
      <c r="B1" s="2" t="s">
        <v>1</v>
      </c>
    </row>
    <row r="2" ht="14.4" spans="1:2">
      <c r="A2" s="3" t="str">
        <f>IFERROR(__xludf.DUMMYFUNCTION("GOOGLETRANSLATE(A2,""en"",""pt"")"),"Portanto, não há nenhuma maneira para que eu ligá-lo aqui nos EUA, a menos que eu vá por um conversor.")</f>
        <v>Portanto, não há nenhuma maneira para que eu ligá-lo aqui nos EUA, a menos que eu vá por um conversor.</v>
      </c>
      <c r="B2" s="3">
        <v>0</v>
      </c>
    </row>
    <row r="3" ht="14.4" spans="1:2">
      <c r="A3" s="3" t="str">
        <f>IFERROR(__xludf.DUMMYFUNCTION("GOOGLETRANSLATE(A3,""en"",""pt"")"),"Bom caso, valor excelente.")</f>
        <v>Bom caso, valor excelente.</v>
      </c>
      <c r="B3" s="3">
        <v>1</v>
      </c>
    </row>
    <row r="4" ht="14.4" spans="1:2">
      <c r="A4" s="3" t="str">
        <f>IFERROR(__xludf.DUMMYFUNCTION("GOOGLETRANSLATE(A4,""en"",""pt"")"),"Ótimo para o maxilar.")</f>
        <v>Ótimo para o maxilar.</v>
      </c>
      <c r="B4" s="3">
        <v>1</v>
      </c>
    </row>
    <row r="5" ht="14.4" spans="1:2">
      <c r="A5" s="3" t="str">
        <f>IFERROR(__xludf.DUMMYFUNCTION("GOOGLETRANSLATE(A5,""en"",""pt"")"),"Amarrado ao carregador para conversas que duram mais de 45 minutes.MAJOR PROBLEMAS !!")</f>
        <v>Amarrado ao carregador para conversas que duram mais de 45 minutes.MAJOR PROBLEMAS !!</v>
      </c>
      <c r="B5" s="3">
        <v>0</v>
      </c>
    </row>
    <row r="6" ht="14.4" spans="1:2">
      <c r="A6" s="3" t="str">
        <f>IFERROR(__xludf.DUMMYFUNCTION("GOOGLETRANSLATE(A6,""en"",""pt"")"),"O microfone é grande.")</f>
        <v>O microfone é grande.</v>
      </c>
      <c r="B6" s="3">
        <v>1</v>
      </c>
    </row>
    <row r="7" ht="14.4" spans="1:2">
      <c r="A7" s="3" t="str">
        <f>IFERROR(__xludf.DUMMYFUNCTION("GOOGLETRANSLATE(A7,""en"",""pt"")"),"Tenho que sacudir a ficha para obtê-lo para alinhar direito de obter o volume decente.")</f>
        <v>Tenho que sacudir a ficha para obtê-lo para alinhar direito de obter o volume decente.</v>
      </c>
      <c r="B7" s="3">
        <v>0</v>
      </c>
    </row>
    <row r="8" ht="14.4" spans="1:2">
      <c r="A8" s="3" t="str">
        <f>IFERROR(__xludf.DUMMYFUNCTION("GOOGLETRANSLATE(A8,""en"",""pt"")"),"Se você tiver várias dezenas ou centenas de contatos, então imagine a diversão de envio de cada um deles um por um.")</f>
        <v>Se você tiver várias dezenas ou centenas de contatos, então imagine a diversão de envio de cada um deles um por um.</v>
      </c>
      <c r="B8" s="3">
        <v>0</v>
      </c>
    </row>
    <row r="9" ht="14.4" spans="1:2">
      <c r="A9" s="3" t="str">
        <f>IFERROR(__xludf.DUMMYFUNCTION("GOOGLETRANSLATE(A9,""en"",""pt"")"),"Se você é Razr proprietário ... você deve ter este!")</f>
        <v>Se você é Razr proprietário ... você deve ter este!</v>
      </c>
      <c r="B9" s="3">
        <v>1</v>
      </c>
    </row>
    <row r="10" ht="14.4" spans="1:2">
      <c r="A10" s="3" t="str">
        <f>IFERROR(__xludf.DUMMYFUNCTION("GOOGLETRANSLATE(A10,""en"",""pt"")"),"Escusado será dizer que eu desperdicei meu dinheiro.")</f>
        <v>Escusado será dizer que eu desperdicei meu dinheiro.</v>
      </c>
      <c r="B10" s="3">
        <v>0</v>
      </c>
    </row>
    <row r="11" ht="14.4" spans="1:2">
      <c r="A11" s="3" t="str">
        <f>IFERROR(__xludf.DUMMYFUNCTION("GOOGLETRANSLATE(A11,""en"",""pt"")"),"Que desperdício de dinheiro e tempo!.")</f>
        <v>Que desperdício de dinheiro e tempo!.</v>
      </c>
      <c r="B11" s="3">
        <v>0</v>
      </c>
    </row>
    <row r="12" ht="14.4" spans="1:2">
      <c r="A12" s="3" t="str">
        <f>IFERROR(__xludf.DUMMYFUNCTION("GOOGLETRANSLATE(A12,""en"",""pt"")"),"E a qualidade do som é grande.")</f>
        <v>E a qualidade do som é grande.</v>
      </c>
      <c r="B12" s="3">
        <v>1</v>
      </c>
    </row>
    <row r="13" ht="14.4" spans="1:2">
      <c r="A13" s="3" t="str">
        <f>IFERROR(__xludf.DUMMYFUNCTION("GOOGLETRANSLATE(A13,""en"",""pt"")"),"Ele foi muito impressionado quando vai da bateria original para a bateria estendida.")</f>
        <v>Ele foi muito impressionado quando vai da bateria original para a bateria estendida.</v>
      </c>
      <c r="B13" s="3">
        <v>1</v>
      </c>
    </row>
    <row r="14" ht="14.4" spans="1:2">
      <c r="A14" s="3" t="str">
        <f>IFERROR(__xludf.DUMMYFUNCTION("GOOGLETRANSLATE(A14,""en"",""pt"")"),"Se os dois foram separados por uns meros 5 + ft eu comecei a notar estática excessiva e som distorcido do fone de ouvido.")</f>
        <v>Se os dois foram separados por uns meros 5 + ft eu comecei a notar estática excessiva e som distorcido do fone de ouvido.</v>
      </c>
      <c r="B14" s="3">
        <v>0</v>
      </c>
    </row>
    <row r="15" ht="14.4" spans="1:2">
      <c r="A15" s="3" t="str">
        <f>IFERROR(__xludf.DUMMYFUNCTION("GOOGLETRANSLATE(A15,""en"",""pt"")"),"Muito boa qualidade embora")</f>
        <v>Muito boa qualidade embora</v>
      </c>
      <c r="B15" s="3">
        <v>1</v>
      </c>
    </row>
    <row r="16" ht="14.4" spans="1:2">
      <c r="A16" s="3" t="str">
        <f>IFERROR(__xludf.DUMMYFUNCTION("GOOGLETRANSLATE(A16,""en"",""pt"")"),"O design é muito estranho, como o ""clipe"" ouvido não é muito confortável.")</f>
        <v>O design é muito estranho, como o "clipe" ouvido não é muito confortável.</v>
      </c>
      <c r="B16" s="3">
        <v>0</v>
      </c>
    </row>
    <row r="17" ht="14.4" spans="1:2">
      <c r="A17" s="3" t="str">
        <f>IFERROR(__xludf.DUMMYFUNCTION("GOOGLETRANSLATE(A17,""en"",""pt"")"),"Recomendo para qualquer um que tenha um telefone dente azul.")</f>
        <v>Recomendo para qualquer um que tenha um telefone dente azul.</v>
      </c>
      <c r="B17" s="3">
        <v>1</v>
      </c>
    </row>
    <row r="18" ht="14.4" spans="1:2">
      <c r="A18" s="3" t="s">
        <v>2</v>
      </c>
      <c r="B18" s="3">
        <v>0</v>
      </c>
    </row>
    <row r="19" ht="14.4" spans="1:2">
      <c r="A19" s="3" t="str">
        <f>IFERROR(__xludf.DUMMYFUNCTION("GOOGLETRANSLATE(A19,""en"",""pt"")"),"Por enquanto, tudo bem!.")</f>
        <v>Por enquanto, tudo bem!.</v>
      </c>
      <c r="B19" s="3">
        <v>1</v>
      </c>
    </row>
    <row r="20" ht="14.4" spans="1:2">
      <c r="A20" s="3" t="str">
        <f>IFERROR(__xludf.DUMMYFUNCTION("GOOGLETRANSLATE(A20,""en"",""pt"")"),"Funciona bem!.")</f>
        <v>Funciona bem!.</v>
      </c>
      <c r="B20" s="3">
        <v>1</v>
      </c>
    </row>
    <row r="21" ht="15.75" customHeight="1" spans="1:2">
      <c r="A21" s="3" t="str">
        <f>IFERROR(__xludf.DUMMYFUNCTION("GOOGLETRANSLATE(A21,""en"",""pt"")"),"Encaixar de uma maneira que faz você se perguntar quanto tempo esse mecanismo iria durar.")</f>
        <v>Encaixar de uma maneira que faz você se perguntar quanto tempo esse mecanismo iria durar.</v>
      </c>
      <c r="B21" s="3">
        <v>0</v>
      </c>
    </row>
    <row r="22" ht="15.75" customHeight="1" spans="1:2">
      <c r="A22" s="3" t="str">
        <f>IFERROR(__xludf.DUMMYFUNCTION("GOOGLETRANSLATE(A22,""en"",""pt"")"),"Eu fui no site da Motorola e seguiu todas as direções, mas não poderia fazê-lo par novamente.")</f>
        <v>Eu fui no site da Motorola e seguiu todas as direções, mas não poderia fazê-lo par novamente.</v>
      </c>
      <c r="B22" s="3">
        <v>0</v>
      </c>
    </row>
    <row r="23" ht="15.75" customHeight="1" spans="1:2">
      <c r="A23" s="3" t="str">
        <f>IFERROR(__xludf.DUMMYFUNCTION("GOOGLETRANSLATE(A23,""en"",""pt"")"),"Eu comprei este para usar com o meu Kindle Fire e absolutamente amamos!")</f>
        <v>Eu comprei este para usar com o meu Kindle Fire e absolutamente amamos!</v>
      </c>
      <c r="B23" s="3">
        <v>1</v>
      </c>
    </row>
    <row r="24" ht="15.75" customHeight="1" spans="1:2">
      <c r="A24" s="3" t="str">
        <f>IFERROR(__xludf.DUMMYFUNCTION("GOOGLETRANSLATE(A24,""en"",""pt"")"),"Os comerciais são os mais enganosa.")</f>
        <v>Os comerciais são os mais enganosa.</v>
      </c>
      <c r="B24" s="3">
        <v>0</v>
      </c>
    </row>
    <row r="25" ht="15.75" customHeight="1" spans="1:2">
      <c r="A25" s="3" t="str">
        <f>IFERROR(__xludf.DUMMYFUNCTION("GOOGLETRANSLATE(A25,""en"",""pt"")"),"Eu ainda tenho que executar essa nova bateria abaixo de dois bares e isso é três dias sem cobrar.")</f>
        <v>Eu ainda tenho que executar essa nova bateria abaixo de dois bares e isso é três dias sem cobrar.</v>
      </c>
      <c r="B25" s="3">
        <v>1</v>
      </c>
    </row>
    <row r="26" ht="15.75" customHeight="1" spans="1:2">
      <c r="A26" s="3" t="str">
        <f>IFERROR(__xludf.DUMMYFUNCTION("GOOGLETRANSLATE(A26,""en"",""pt"")"),"Comprei-o para minha mãe e ela teve um problema com a bateria.")</f>
        <v>Comprei-o para minha mãe e ela teve um problema com a bateria.</v>
      </c>
      <c r="B26" s="3">
        <v>0</v>
      </c>
    </row>
    <row r="27" ht="15.75" customHeight="1" spans="1:2">
      <c r="A27" s="3" t="str">
        <f>IFERROR(__xludf.DUMMYFUNCTION("GOOGLETRANSLATE(A27,""en"",""pt"")"),"Grande Pocket PC / combinação telefone.")</f>
        <v>Grande Pocket PC / combinação telefone.</v>
      </c>
      <c r="B27" s="3">
        <v>1</v>
      </c>
    </row>
    <row r="28" ht="15.75" customHeight="1" spans="1:2">
      <c r="A28" s="3" t="str">
        <f>IFERROR(__xludf.DUMMYFUNCTION("GOOGLETRANSLATE(A28,""en"",""pt"")"),"Eu possuía este telefone por 7 meses agora e pode dizer que é o melhor celular que já tive.")</f>
        <v>Eu possuía este telefone por 7 meses agora e pode dizer que é o melhor celular que já tive.</v>
      </c>
      <c r="B28" s="3">
        <v>1</v>
      </c>
    </row>
    <row r="29" ht="15.75" customHeight="1" spans="1:2">
      <c r="A29" s="3" t="str">
        <f>IFERROR(__xludf.DUMMYFUNCTION("GOOGLETRANSLATE(A29,""en"",""pt"")"),"Eu não acho que as instruções fornecidas foram úteis para mim.")</f>
        <v>Eu não acho que as instruções fornecidas foram úteis para mim.</v>
      </c>
      <c r="B29" s="3">
        <v>0</v>
      </c>
    </row>
    <row r="30" ht="15.75" customHeight="1" spans="1:2">
      <c r="A30" s="3" t="str">
        <f>IFERROR(__xludf.DUMMYFUNCTION("GOOGLETRANSLATE(A30,""en"",""pt"")"),"As pessoas não pudemos ouvir-me falar e eu tive que retirar o fone de ouvido e falar ao telefone.")</f>
        <v>As pessoas não pudemos ouvir-me falar e eu tive que retirar o fone de ouvido e falar ao telefone.</v>
      </c>
      <c r="B30" s="3">
        <v>0</v>
      </c>
    </row>
    <row r="31" ht="15.75" customHeight="1" spans="1:2">
      <c r="A31" s="3" t="str">
        <f>IFERROR(__xludf.DUMMYFUNCTION("GOOGLETRANSLATE(A31,""en"",""pt"")"),"Não é titular de carga.")</f>
        <v>Não é titular de carga.</v>
      </c>
      <c r="B31" s="3">
        <v>0</v>
      </c>
    </row>
    <row r="32" ht="15.75" customHeight="1" spans="1:2">
      <c r="A32" s="3" t="str">
        <f>IFERROR(__xludf.DUMMYFUNCTION("GOOGLETRANSLATE(A32,""en"",""pt"")"),"Isto é um pouco telefone simples de usar, mas a ruptura é unacceptible.")</f>
        <v>Isto é um pouco telefone simples de usar, mas a ruptura é unacceptible.</v>
      </c>
      <c r="B32" s="3">
        <v>0</v>
      </c>
    </row>
    <row r="33" ht="15.75" customHeight="1" spans="1:2">
      <c r="A33" s="3" t="str">
        <f>IFERROR(__xludf.DUMMYFUNCTION("GOOGLETRANSLATE(A33,""en"",""pt"")"),"Este produto é ideal para pessoas como eu, cujas orelhas são muito sensíveis.")</f>
        <v>Este produto é ideal para pessoas como eu, cujas orelhas são muito sensíveis.</v>
      </c>
      <c r="B33" s="3">
        <v>1</v>
      </c>
    </row>
    <row r="34" ht="15.75" customHeight="1" spans="1:2">
      <c r="A34" s="3" t="str">
        <f>IFERROR(__xludf.DUMMYFUNCTION("GOOGLETRANSLATE(A34,""en"",""pt"")"),"É inutilizável em um carro em movimento a uma velocidade freeway.")</f>
        <v>É inutilizável em um carro em movimento a uma velocidade freeway.</v>
      </c>
      <c r="B34" s="3">
        <v>0</v>
      </c>
    </row>
    <row r="35" ht="15.75" customHeight="1" spans="1:2">
      <c r="A35" s="3" t="str">
        <f>IFERROR(__xludf.DUMMYFUNCTION("GOOGLETRANSLATE(A35,""en"",""pt"")"),"Eu tenho mais dois anos deixou neste contrato e eu odeio este telefone.")</f>
        <v>Eu tenho mais dois anos deixou neste contrato e eu odeio este telefone.</v>
      </c>
      <c r="B35" s="3">
        <v>0</v>
      </c>
    </row>
    <row r="36" ht="15.75" customHeight="1" spans="1:2">
      <c r="A36" s="3" t="str">
        <f>IFERROR(__xludf.DUMMYFUNCTION("GOOGLETRANSLATE(A36,""en"",""pt"")"),"carregador de carro, bem como carregador AC são incluídos para se certificar de que você nunca ficar sem juice.Highy recomendado")</f>
        <v>carregador de carro, bem como carregador AC são incluídos para se certificar de que você nunca ficar sem juice.Highy recomendado</v>
      </c>
      <c r="B36" s="3">
        <v>1</v>
      </c>
    </row>
    <row r="37" ht="15.75" customHeight="1" spans="1:2">
      <c r="A37" s="3" t="str">
        <f>IFERROR(__xludf.DUMMYFUNCTION("GOOGLETRANSLATE(A37,""en"",""pt"")"),"Você precisa de pelo menos 3 minutos para chegar ao seu livro de telefone a partir do momento que você primeira vez na vida phone.Battery é curto.")</f>
        <v>Você precisa de pelo menos 3 minutos para chegar ao seu livro de telefone a partir do momento que você primeira vez na vida phone.Battery é curto.</v>
      </c>
      <c r="B37" s="3">
        <v>0</v>
      </c>
    </row>
    <row r="38" ht="15.75" customHeight="1" spans="1:2">
      <c r="A38" s="3" t="str">
        <f>IFERROR(__xludf.DUMMYFUNCTION("GOOGLETRANSLATE(A38,""en"",""pt"")"),"Ele manteve-se muito bem.")</f>
        <v>Ele manteve-se muito bem.</v>
      </c>
      <c r="B38" s="3">
        <v>1</v>
      </c>
    </row>
    <row r="39" ht="15.75" customHeight="1" spans="1:2">
      <c r="A39" s="3" t="str">
        <f>IFERROR(__xludf.DUMMYFUNCTION("GOOGLETRANSLATE(A39,""en"",""pt"")"),"Pobre Discussão desempenho no tempo.")</f>
        <v>Pobre Discussão desempenho no tempo.</v>
      </c>
      <c r="B39" s="3">
        <v>0</v>
      </c>
    </row>
    <row r="40" ht="15.75" customHeight="1" spans="1:2">
      <c r="A40" s="3" t="str">
        <f>IFERROR(__xludf.DUMMYFUNCTION("GOOGLETRANSLATE(A40,""en"",""pt"")"),"O caso é ótimo e funciona bem com o 680.")</f>
        <v>O caso é ótimo e funciona bem com o 680.</v>
      </c>
      <c r="B40" s="3">
        <v>1</v>
      </c>
    </row>
    <row r="41" ht="15.75" customHeight="1" spans="1:2">
      <c r="A41" s="3" t="str">
        <f>IFERROR(__xludf.DUMMYFUNCTION("GOOGLETRANSLATE(A41,""en"",""pt"")"),"produto inútil.")</f>
        <v>produto inútil.</v>
      </c>
      <c r="B41" s="3">
        <v>0</v>
      </c>
    </row>
    <row r="42" ht="15.75" customHeight="1" spans="1:2">
      <c r="A42" s="3" t="str">
        <f>IFERROR(__xludf.DUMMYFUNCTION("GOOGLETRANSLATE(A42,""en"",""pt"")"),"Ele tem uma ótima câmera isso é 2MP, e as fotos são bons e claros com grande qualidade de imagem.")</f>
        <v>Ele tem uma ótima câmera isso é 2MP, e as fotos são bons e claros com grande qualidade de imagem.</v>
      </c>
      <c r="B42" s="3">
        <v>1</v>
      </c>
    </row>
    <row r="43" ht="15.75" customHeight="1" spans="1:2">
      <c r="A43" s="3" t="str">
        <f>IFERROR(__xludf.DUMMYFUNCTION("GOOGLETRANSLATE(A43,""en"",""pt"")"),"Eu não estava impressionado com este produto.")</f>
        <v>Eu não estava impressionado com este produto.</v>
      </c>
      <c r="B43" s="3">
        <v>0</v>
      </c>
    </row>
    <row r="44" ht="15.75" customHeight="1" spans="1:2">
      <c r="A44" s="3" t="str">
        <f>IFERROR(__xludf.DUMMYFUNCTION("GOOGLETRANSLATE(A44,""en"",""pt"")"),"Bom headset preço certo.")</f>
        <v>Bom headset preço certo.</v>
      </c>
      <c r="B44" s="3">
        <v>1</v>
      </c>
    </row>
    <row r="45" ht="15.75" customHeight="1" spans="1:2">
      <c r="A45" s="3" t="str">
        <f>IFERROR(__xludf.DUMMYFUNCTION("GOOGLETRANSLATE(A45,""en"",""pt"")"),"Eu só ouvir lixo para áudio.")</f>
        <v>Eu só ouvir lixo para áudio.</v>
      </c>
      <c r="B45" s="3">
        <v>0</v>
      </c>
    </row>
    <row r="46" ht="15.75" customHeight="1" spans="1:2">
      <c r="A46" s="3" t="str">
        <f>IFERROR(__xludf.DUMMYFUNCTION("GOOGLETRANSLATE(A46,""en"",""pt"")"),"Excelente fone de ouvido bluetooth.")</f>
        <v>Excelente fone de ouvido bluetooth.</v>
      </c>
      <c r="B46" s="3">
        <v>1</v>
      </c>
    </row>
    <row r="47" ht="15.75" customHeight="1" spans="1:2">
      <c r="A47" s="3" t="str">
        <f>IFERROR(__xludf.DUMMYFUNCTION("GOOGLETRANSLATE(A47,""en"",""pt"")"),"Ele tem todas as características que eu quero")</f>
        <v>Ele tem todas as características que eu quero</v>
      </c>
      <c r="B47" s="3">
        <v>1</v>
      </c>
    </row>
    <row r="48" ht="15.75" customHeight="1" spans="1:2">
      <c r="A48" s="3" t="str">
        <f>IFERROR(__xludf.DUMMYFUNCTION("GOOGLETRANSLATE(A48,""en"",""pt"")"),"Quem no seu perfeito juízo vai comprar esta bateria ?.")</f>
        <v>Quem no seu perfeito juízo vai comprar esta bateria ?.</v>
      </c>
      <c r="B48" s="3">
        <v>0</v>
      </c>
    </row>
    <row r="49" ht="15.75" customHeight="1" spans="1:2">
      <c r="A49" s="3" t="str">
        <f>IFERROR(__xludf.DUMMYFUNCTION("GOOGLETRANSLATE(A49,""en"",""pt"")"),"Depois de discutir com a Verizon SOBRE OS chamadas abandonadas voltamos no TELEFONES depois de dois dias.")</f>
        <v>Depois de discutir com a Verizon SOBRE OS chamadas abandonadas voltamos no TELEFONES depois de dois dias.</v>
      </c>
      <c r="B49" s="3">
        <v>0</v>
      </c>
    </row>
    <row r="50" ht="15.75" customHeight="1" spans="1:2">
      <c r="A50" s="3" t="str">
        <f>IFERROR(__xludf.DUMMYFUNCTION("GOOGLETRANSLATE(A50,""en"",""pt"")"),"Este caso parece bem feita.")</f>
        <v>Este caso parece bem feita.</v>
      </c>
      <c r="B50" s="3">
        <v>1</v>
      </c>
    </row>
    <row r="51" ht="15.75" customHeight="1" spans="1:2">
      <c r="A51" s="3" t="str">
        <f>IFERROR(__xludf.DUMMYFUNCTION("GOOGLETRANSLATE(A51,""en"",""pt"")"),"Desapontado com a bateria.")</f>
        <v>Desapontado com a bateria.</v>
      </c>
      <c r="B51" s="3">
        <v>0</v>
      </c>
    </row>
    <row r="52" ht="15.75" customHeight="1" spans="1:2">
      <c r="A52" s="3" t="str">
        <f>IFERROR(__xludf.DUMMYFUNCTION("GOOGLETRANSLATE(A52,""en"",""pt"")"),"Não alto o suficiente e não liga como deveria.")</f>
        <v>Não alto o suficiente e não liga como deveria.</v>
      </c>
      <c r="B52" s="3">
        <v>0</v>
      </c>
    </row>
    <row r="53" ht="15.75" customHeight="1" spans="1:2">
      <c r="A53" s="3" t="str">
        <f>IFERROR(__xludf.DUMMYFUNCTION("GOOGLETRANSLATE(A53,""en"",""pt"")"),"boa proteção e não faz telefone demasiado volumoso.")</f>
        <v>boa proteção e não faz telefone demasiado volumoso.</v>
      </c>
      <c r="B53" s="3">
        <v>1</v>
      </c>
    </row>
    <row r="54" ht="15.75" customHeight="1" spans="1:2">
      <c r="A54" s="3" t="str">
        <f>IFERROR(__xludf.DUMMYFUNCTION("GOOGLETRANSLATE(A54,""en"",""pt"")"),"Um teclado utilizável realmente transforma um PDA em uma máquina útil no mundo real em vez de apenas um gadget arrumado.")</f>
        <v>Um teclado utilizável realmente transforma um PDA em uma máquina útil no mundo real em vez de apenas um gadget arrumado.</v>
      </c>
      <c r="B54" s="3">
        <v>1</v>
      </c>
    </row>
    <row r="55" ht="15.75" customHeight="1" spans="1:2">
      <c r="A55" s="3" t="str">
        <f>IFERROR(__xludf.DUMMYFUNCTION("GOOGLETRANSLATE(A55,""en"",""pt"")"),"Este telefone é muito resistente e eu nunca tive quaisquer grandes problemas com ele.")</f>
        <v>Este telefone é muito resistente e eu nunca tive quaisquer grandes problemas com ele.</v>
      </c>
      <c r="B55" s="3">
        <v>1</v>
      </c>
    </row>
    <row r="56" ht="15.75" customHeight="1" spans="1:2">
      <c r="A56" s="3" t="str">
        <f>IFERROR(__xludf.DUMMYFUNCTION("GOOGLETRANSLATE(A56,""en"",""pt"")"),"Eu amo essa coisa!")</f>
        <v>Eu amo essa coisa!</v>
      </c>
      <c r="B56" s="3">
        <v>1</v>
      </c>
    </row>
    <row r="57" ht="15.75" customHeight="1" spans="1:2">
      <c r="A57" s="3" t="str">
        <f>IFERROR(__xludf.DUMMYFUNCTION("GOOGLETRANSLATE(A57,""en"",""pt"")"),"Tudo sobre ele é bom e razoável para o preço ou seja,")</f>
        <v>Tudo sobre ele é bom e razoável para o preço ou seja,</v>
      </c>
      <c r="B57" s="3">
        <v>1</v>
      </c>
    </row>
    <row r="58" ht="15.75" customHeight="1" spans="1:2">
      <c r="A58" s="3" t="str">
        <f>IFERROR(__xludf.DUMMYFUNCTION("GOOGLETRANSLATE(A58,""en"",""pt"")"),"MUITO DESAPONTADO.")</f>
        <v>MUITO DESAPONTADO.</v>
      </c>
      <c r="B58" s="3">
        <v>0</v>
      </c>
    </row>
    <row r="59" ht="15.75" customHeight="1" spans="1:2">
      <c r="A59" s="3" t="str">
        <f>IFERROR(__xludf.DUMMYFUNCTION("GOOGLETRANSLATE(A59,""en"",""pt"")"),"Eu mesmo cair este telefone em um córrego e foi submerso por 15 segundos e ainda funciona muito bem!")</f>
        <v>Eu mesmo cair este telefone em um córrego e foi submerso por 15 segundos e ainda funciona muito bem!</v>
      </c>
      <c r="B59" s="3">
        <v>1</v>
      </c>
    </row>
    <row r="60" ht="15.75" customHeight="1" spans="1:2">
      <c r="A60" s="3" t="str">
        <f>IFERROR(__xludf.DUMMYFUNCTION("GOOGLETRANSLATE(A60,""en"",""pt"")"),"Tenho sido muito feliz com o 510 e não tiveram reclamações de qualquer um sobre a minha qualidade de som em sua extremidade.")</f>
        <v>Tenho sido muito feliz com o 510 e não tiveram reclamações de qualquer um sobre a minha qualidade de som em sua extremidade.</v>
      </c>
      <c r="B60" s="3">
        <v>1</v>
      </c>
    </row>
    <row r="61" ht="15.75" customHeight="1" spans="1:2">
      <c r="A61" s="3" t="str">
        <f>IFERROR(__xludf.DUMMYFUNCTION("GOOGLETRANSLATE(A61,""en"",""pt"")"),"Os botões para ligar e desligar são ruins.")</f>
        <v>Os botões para ligar e desligar são ruins.</v>
      </c>
      <c r="B61" s="3">
        <v>0</v>
      </c>
    </row>
    <row r="62" ht="15.75" customHeight="1" spans="1:2">
      <c r="A62" s="3" t="str">
        <f>IFERROR(__xludf.DUMMYFUNCTION("GOOGLETRANSLATE(A62,""en"",""pt"")"),"Essencialmente, você pode esquecer de suporte técnico da Microsoft.")</f>
        <v>Essencialmente, você pode esquecer de suporte técnico da Microsoft.</v>
      </c>
      <c r="B62" s="3">
        <v>0</v>
      </c>
    </row>
    <row r="63" ht="15.75" customHeight="1" spans="1:2">
      <c r="A63" s="3" t="str">
        <f>IFERROR(__xludf.DUMMYFUNCTION("GOOGLETRANSLATE(A63,""en"",""pt"")"),"Eu realmente recomendo este faceplates uma vez que parece muito agradável, elegante e fresco.")</f>
        <v>Eu realmente recomendo este faceplates uma vez que parece muito agradável, elegante e fresco.</v>
      </c>
      <c r="B63" s="3">
        <v>1</v>
      </c>
    </row>
    <row r="64" ht="15.75" customHeight="1" spans="1:2">
      <c r="A64" s="3" t="str">
        <f>IFERROR(__xludf.DUMMYFUNCTION("GOOGLETRANSLATE(A64,""en"",""pt"")"),"Estes auscultadores foram um ótimo - e eu acho que eles são, talvez, a melhor compra que fiz nos últimos anos - a sério.")</f>
        <v>Estes auscultadores foram um ótimo - e eu acho que eles são, talvez, a melhor compra que fiz nos últimos anos - a sério.</v>
      </c>
      <c r="B64" s="3">
        <v>1</v>
      </c>
    </row>
    <row r="65" ht="15.75" customHeight="1" spans="1:2">
      <c r="A65" s="3" t="str">
        <f>IFERROR(__xludf.DUMMYFUNCTION("GOOGLETRANSLATE(A65,""en"",""pt"")"),"Comprar um telefone diferente - mas não este.")</f>
        <v>Comprar um telefone diferente - mas não este.</v>
      </c>
      <c r="B65" s="3">
        <v>0</v>
      </c>
    </row>
    <row r="66" ht="15.75" customHeight="1" spans="1:2">
      <c r="A66" s="3" t="str">
        <f>IFERROR(__xludf.DUMMYFUNCTION("GOOGLETRANSLATE(A66,""en"",""pt"")"),"Você tem que segurar o telefone em um ângulo particular para a outra parte para ouvi-lo claramente.")</f>
        <v>Você tem que segurar o telefone em um ângulo particular para a outra parte para ouvi-lo claramente.</v>
      </c>
      <c r="B66" s="3">
        <v>0</v>
      </c>
    </row>
    <row r="67" ht="15.75" customHeight="1" spans="1:2">
      <c r="A67" s="3" t="str">
        <f>IFERROR(__xludf.DUMMYFUNCTION("GOOGLETRANSLATE(A67,""en"",""pt"")"),"A única grande desvantagem do leitor de MP3 é que os botões na tampa frontal do telefone que permitem pausar e pular as músicas lock-out após alguns segundos.")</f>
        <v>A única grande desvantagem do leitor de MP3 é que os botões na tampa frontal do telefone que permitem pausar e pular as músicas lock-out após alguns segundos.</v>
      </c>
      <c r="B67" s="3">
        <v>0</v>
      </c>
    </row>
    <row r="68" ht="15.75" customHeight="1" spans="1:2">
      <c r="A68" s="3" t="str">
        <f>IFERROR(__xludf.DUMMYFUNCTION("GOOGLETRANSLATE(A68,""en"",""pt"")"),"Uma semana mais tarde depois que eu ativado, ele morreu de repente.")</f>
        <v>Uma semana mais tarde depois que eu ativado, ele morreu de repente.</v>
      </c>
      <c r="B68" s="3">
        <v>0</v>
      </c>
    </row>
    <row r="69" ht="15.75" customHeight="1" spans="1:2">
      <c r="A69" s="3" t="str">
        <f>IFERROR(__xludf.DUMMYFUNCTION("GOOGLETRANSLATE(A69,""en"",""pt"")"),"Ela se sente mais confortável do que a maioria dos fones de ouvido, porque eu uso óculos e que fica no caminho, às vezes.")</f>
        <v>Ela se sente mais confortável do que a maioria dos fones de ouvido, porque eu uso óculos e que fica no caminho, às vezes.</v>
      </c>
      <c r="B69" s="3">
        <v>1</v>
      </c>
    </row>
    <row r="70" ht="15.75" customHeight="1" spans="1:2">
      <c r="A70" s="3" t="str">
        <f>IFERROR(__xludf.DUMMYFUNCTION("GOOGLETRANSLATE(A70,""en"",""pt"")"),"Grande para iPods também.")</f>
        <v>Grande para iPods também.</v>
      </c>
      <c r="B70" s="3">
        <v>1</v>
      </c>
    </row>
    <row r="71" ht="15.75" customHeight="1" spans="1:2">
      <c r="A71" s="3" t="str">
        <f>IFERROR(__xludf.DUMMYFUNCTION("GOOGLETRANSLATE(A71,""en"",""pt"")"),"Este dispositivo é grande em várias situações: 1).")</f>
        <v>Este dispositivo é grande em várias situações: 1).</v>
      </c>
      <c r="B71" s="3">
        <v>1</v>
      </c>
    </row>
    <row r="72" ht="15.75" customHeight="1" spans="1:2">
      <c r="A72" s="3" t="str">
        <f>IFERROR(__xludf.DUMMYFUNCTION("GOOGLETRANSLATE(A72,""en"",""pt"")"),"Mic não funciona.")</f>
        <v>Mic não funciona.</v>
      </c>
      <c r="B72" s="3">
        <v>0</v>
      </c>
    </row>
    <row r="73" ht="15.75" customHeight="1" spans="1:2">
      <c r="A73" s="3" t="str">
        <f>IFERROR(__xludf.DUMMYFUNCTION("GOOGLETRANSLATE(A73,""en"",""pt"")"),"Mesmo nos meus BMW série 3, que é bastante tranquilo, tenho problemas de audição que a outra pessoa está dizendo.")</f>
        <v>Mesmo nos meus BMW série 3, que é bastante tranquilo, tenho problemas de audição que a outra pessoa está dizendo.</v>
      </c>
      <c r="B73" s="3">
        <v>0</v>
      </c>
    </row>
    <row r="74" ht="15.75" customHeight="1" spans="1:2">
      <c r="A74" s="3" t="str">
        <f>IFERROR(__xludf.DUMMYFUNCTION("GOOGLETRANSLATE(A74,""en"",""pt"")"),"Ótima escolha!")</f>
        <v>Ótima escolha!</v>
      </c>
      <c r="B74" s="3">
        <v>1</v>
      </c>
    </row>
    <row r="75" ht="15.75" customHeight="1" spans="1:2">
      <c r="A75" s="3" t="str">
        <f>IFERROR(__xludf.DUMMYFUNCTION("GOOGLETRANSLATE(A75,""en"",""pt"")"),"docking station agradável para casa ou trabalho.")</f>
        <v>docking station agradável para casa ou trabalho.</v>
      </c>
      <c r="B75" s="3">
        <v>1</v>
      </c>
    </row>
    <row r="76" ht="15.75" customHeight="1" spans="1:2">
      <c r="A76" s="3" t="str">
        <f>IFERROR(__xludf.DUMMYFUNCTION("GOOGLETRANSLATE(A76,""en"",""pt"")"),"Este é um belo telefone.")</f>
        <v>Este é um belo telefone.</v>
      </c>
      <c r="B76" s="3">
        <v>1</v>
      </c>
    </row>
    <row r="77" ht="15.75" customHeight="1" spans="1:2">
      <c r="A77" s="3" t="str">
        <f>IFERROR(__xludf.DUMMYFUNCTION("GOOGLETRANSLATE(A77,""en"",""pt"")"),"Adorar este produto.")</f>
        <v>Adorar este produto.</v>
      </c>
      <c r="B77" s="3">
        <v>1</v>
      </c>
    </row>
    <row r="78" ht="15.75" customHeight="1" spans="1:2">
      <c r="A78" s="3" t="str">
        <f>IFERROR(__xludf.DUMMYFUNCTION("GOOGLETRANSLATE(A78,""en"",""pt"")"),"Não compre para D807 ... erroneamente anunciado para D807.")</f>
        <v>Não compre para D807 ... erroneamente anunciado para D807.</v>
      </c>
      <c r="B78" s="3">
        <v>0</v>
      </c>
    </row>
    <row r="79" ht="15.75" customHeight="1" spans="1:2">
      <c r="A79" s="3" t="str">
        <f>IFERROR(__xludf.DUMMYFUNCTION("GOOGLETRANSLATE(A79,""en"",""pt"")"),"Este é um grande item pouco.")</f>
        <v>Este é um grande item pouco.</v>
      </c>
      <c r="B79" s="3">
        <v>1</v>
      </c>
    </row>
    <row r="80" ht="15.75" customHeight="1" spans="1:2">
      <c r="A80" s="3" t="str">
        <f>IFERROR(__xludf.DUMMYFUNCTION("GOOGLETRANSLATE(A80,""en"",""pt"")"),"Eu amo este telefone, é muito útil e tem um monte de recursos.")</f>
        <v>Eu amo este telefone, é muito útil e tem um monte de recursos.</v>
      </c>
      <c r="B80" s="3">
        <v>1</v>
      </c>
    </row>
    <row r="81" ht="15.75" customHeight="1" spans="1:2">
      <c r="A81" s="3" t="str">
        <f>IFERROR(__xludf.DUMMYFUNCTION("GOOGLETRANSLATE(A81,""en"",""pt"")"),"Eu comprei este e dentro de 2 dias não era mais trabalho !!!!!!!!!")</f>
        <v>Eu comprei este e dentro de 2 dias não era mais trabalho !!!!!!!!!</v>
      </c>
      <c r="B81" s="3">
        <v>0</v>
      </c>
    </row>
    <row r="82" ht="15.75" customHeight="1" spans="1:2">
      <c r="A82" s="3" t="str">
        <f>IFERROR(__xludf.DUMMYFUNCTION("GOOGLETRANSLATE(A82,""en"",""pt"")"),"Eu usá-lo todos os dias e ele mantém-se muito bem.")</f>
        <v>Eu usá-lo todos os dias e ele mantém-se muito bem.</v>
      </c>
      <c r="B82" s="3">
        <v>1</v>
      </c>
    </row>
    <row r="83" ht="15.75" customHeight="1" spans="1:2">
      <c r="A83" s="3" t="str">
        <f>IFERROR(__xludf.DUMMYFUNCTION("GOOGLETRANSLATE(A83,""en"",""pt"")"),"Não é um bom negócio.")</f>
        <v>Não é um bom negócio.</v>
      </c>
      <c r="B83" s="3">
        <v>0</v>
      </c>
    </row>
    <row r="84" ht="15.75" customHeight="1" spans="1:2">
      <c r="A84" s="3" t="str">
        <f>IFERROR(__xludf.DUMMYFUNCTION("GOOGLETRANSLATE(A84,""en"",""pt"")"),"Bem embalado, chegou na hora certa, e funciona como pretendido.")</f>
        <v>Bem embalado, chegou na hora certa, e funciona como pretendido.</v>
      </c>
      <c r="B84" s="3">
        <v>1</v>
      </c>
    </row>
    <row r="85" ht="15.75" customHeight="1" spans="1:2">
      <c r="A85" s="3" t="str">
        <f>IFERROR(__xludf.DUMMYFUNCTION("GOOGLETRANSLATE(A85,""en"",""pt"")"),"A bateria se esgota rapidamente.")</f>
        <v>A bateria se esgota rapidamente.</v>
      </c>
      <c r="B85" s="3">
        <v>0</v>
      </c>
    </row>
    <row r="86" ht="15.75" customHeight="1" spans="1:2">
      <c r="A86" s="3" t="str">
        <f>IFERROR(__xludf.DUMMYFUNCTION("GOOGLETRANSLATE(A86,""en"",""pt"")"),"Este item funcionou muito bem, mas quebrou após 6 meses de uso.")</f>
        <v>Este item funcionou muito bem, mas quebrou após 6 meses de uso.</v>
      </c>
      <c r="B86" s="3">
        <v>0</v>
      </c>
    </row>
    <row r="87" ht="15.75" customHeight="1" spans="1:2">
      <c r="A87" s="3" t="str">
        <f>IFERROR(__xludf.DUMMYFUNCTION("GOOGLETRANSLATE(A87,""en"",""pt"")"),"Os fones de ouvido são fáceis de usar e todo mundo ama.")</f>
        <v>Os fones de ouvido são fáceis de usar e todo mundo ama.</v>
      </c>
      <c r="B87" s="3">
        <v>1</v>
      </c>
    </row>
    <row r="88" ht="15.75" customHeight="1" spans="1:2">
      <c r="A88" s="3" t="str">
        <f>IFERROR(__xludf.DUMMYFUNCTION("GOOGLETRANSLATE(A88,""en"",""pt"")"),"Este telefone funciona muito bem.")</f>
        <v>Este telefone funciona muito bem.</v>
      </c>
      <c r="B88" s="3">
        <v>1</v>
      </c>
    </row>
    <row r="89" ht="15.75" customHeight="1" spans="1:2">
      <c r="A89" s="3" t="str">
        <f>IFERROR(__xludf.DUMMYFUNCTION("GOOGLETRANSLATE(A89,""en"",""pt"")"),"A construção dos auriculares é pobre.")</f>
        <v>A construção dos auriculares é pobre.</v>
      </c>
      <c r="B89" s="3">
        <v>0</v>
      </c>
    </row>
    <row r="90" ht="15.75" customHeight="1" spans="1:2">
      <c r="A90" s="3" t="str">
        <f>IFERROR(__xludf.DUMMYFUNCTION("GOOGLETRANSLATE(A90,""en"",""pt"")"),"Produto foi excelente e funciona melhor do que a Verizon um e boy foi mais barata!")</f>
        <v>Produto foi excelente e funciona melhor do que a Verizon um e boy foi mais barata!</v>
      </c>
      <c r="B90" s="3">
        <v>1</v>
      </c>
    </row>
    <row r="91" ht="15.75" customHeight="1" spans="1:2">
      <c r="A91" s="3" t="str">
        <f>IFERROR(__xludf.DUMMYFUNCTION("GOOGLETRANSLATE(A91,""en"",""pt"")"),"O super telefone carrega!")</f>
        <v>O super telefone carrega!</v>
      </c>
      <c r="B91" s="3">
        <v>1</v>
      </c>
    </row>
    <row r="92" ht="15.75" customHeight="1" spans="1:2">
      <c r="A92" s="3" t="str">
        <f>IFERROR(__xludf.DUMMYFUNCTION("GOOGLETRANSLATE(A92,""en"",""pt"")"),"Para um produto que custa tanto quanto este faz, eu espero que o trabalho muito melhor e com maior facilidade do que essa coisa faz.")</f>
        <v>Para um produto que custa tanto quanto este faz, eu espero que o trabalho muito melhor e com maior facilidade do que essa coisa faz.</v>
      </c>
      <c r="B92" s="3">
        <v>0</v>
      </c>
    </row>
    <row r="93" ht="15.75" customHeight="1" spans="1:2">
      <c r="A93" s="3" t="str">
        <f>IFERROR(__xludf.DUMMYFUNCTION("GOOGLETRANSLATE(A93,""en"",""pt"")"),"Feito muito resistente.")</f>
        <v>Feito muito resistente.</v>
      </c>
      <c r="B93" s="3">
        <v>1</v>
      </c>
    </row>
    <row r="94" ht="15.75" customHeight="1" spans="1:2">
      <c r="A94" s="3" t="str">
        <f>IFERROR(__xludf.DUMMYFUNCTION("GOOGLETRANSLATE(A94,""en"",""pt"")"),"Trabalhou ótimo !.")</f>
        <v>Trabalhou ótimo !.</v>
      </c>
      <c r="B94" s="3">
        <v>1</v>
      </c>
    </row>
    <row r="95" ht="15.75" customHeight="1" spans="1:2">
      <c r="A95" s="3" t="str">
        <f>IFERROR(__xludf.DUMMYFUNCTION("GOOGLETRANSLATE(A95,""en"",""pt"")"),"Os fones de ouvido só jogar a música em um ouvido.")</f>
        <v>Os fones de ouvido só jogar a música em um ouvido.</v>
      </c>
      <c r="B95" s="3">
        <v>0</v>
      </c>
    </row>
    <row r="96" ht="15.75" customHeight="1" spans="1:2">
      <c r="A96" s="3" t="str">
        <f>IFERROR(__xludf.DUMMYFUNCTION("GOOGLETRANSLATE(A96,""en"",""pt"")"),"Não desperdice seu dinheiro ...")</f>
        <v>Não desperdice seu dinheiro ...</v>
      </c>
      <c r="B96" s="3">
        <v>0</v>
      </c>
    </row>
    <row r="97" ht="15.75" customHeight="1" spans="1:2">
      <c r="A97" s="3" t="str">
        <f>IFERROR(__xludf.DUMMYFUNCTION("GOOGLETRANSLATE(A97,""en"",""pt"")"),"Vai encomendar-los novamente!")</f>
        <v>Vai encomendar-los novamente!</v>
      </c>
      <c r="B97" s="3">
        <v>1</v>
      </c>
    </row>
    <row r="98" ht="15.75" customHeight="1" spans="1:2">
      <c r="A98" s="3" t="str">
        <f>IFERROR(__xludf.DUMMYFUNCTION("GOOGLETRANSLATE(A98,""en"",""pt"")"),"Se você pretende usar isso em um carro esquecê-la.")</f>
        <v>Se você pretende usar isso em um carro esquecê-la.</v>
      </c>
      <c r="B98" s="3">
        <v>0</v>
      </c>
    </row>
    <row r="99" ht="15.75" customHeight="1" spans="1:2">
      <c r="A99" s="3" t="str">
        <f>IFERROR(__xludf.DUMMYFUNCTION("GOOGLETRANSLATE(A99,""en"",""pt"")"),"Achei que este produto está waaay muito grande.")</f>
        <v>Achei que este produto está waaay muito grande.</v>
      </c>
      <c r="B99" s="3">
        <v>0</v>
      </c>
    </row>
    <row r="100" ht="15.75" customHeight="1" spans="1:2">
      <c r="A100" s="3" t="str">
        <f>IFERROR(__xludf.DUMMYFUNCTION("GOOGLETRANSLATE(A100,""en"",""pt"")"),"Melhor que eu encontrei até agora .... Eu tentei 2 outros bluetooths e este tem a melhor qualidade (para mim e para o ouvinte), bem como facilidade de usar.")</f>
        <v>Melhor que eu encontrei até agora .... Eu tentei 2 outros bluetooths e este tem a melhor qualidade (para mim e para o ouvinte), bem como facilidade de usar.</v>
      </c>
      <c r="B100" s="3">
        <v>1</v>
      </c>
    </row>
    <row r="101" ht="15.75" customHeight="1" spans="1:2">
      <c r="A101" s="3" t="str">
        <f>IFERROR(__xludf.DUMMYFUNCTION("GOOGLETRANSLATE(A101,""en"",""pt"")"),"Estou muito desapontado com a minha decisão.")</f>
        <v>Estou muito desapontado com a minha decisão.</v>
      </c>
      <c r="B101" s="3">
        <v>0</v>
      </c>
    </row>
    <row r="102" ht="15.75" customHeight="1" spans="1:2">
      <c r="A102" s="3" t="str">
        <f>IFERROR(__xludf.DUMMYFUNCTION("GOOGLETRANSLATE(A102,""en"",""pt"")"),"Integrado perfeitamente com o telefone Motorola RAZR.")</f>
        <v>Integrado perfeitamente com o telefone Motorola RAZR.</v>
      </c>
      <c r="B102" s="3">
        <v>1</v>
      </c>
    </row>
    <row r="103" ht="15.75" customHeight="1" spans="1:2">
      <c r="A103" s="3" t="str">
        <f>IFERROR(__xludf.DUMMYFUNCTION("GOOGLETRANSLATE(A103,""en"",""pt"")"),"Comprador Cuidado, você pode liberar dinheiro certo no vaso sanitário.")</f>
        <v>Comprador Cuidado, você pode liberar dinheiro certo no vaso sanitário.</v>
      </c>
      <c r="B103" s="3">
        <v>0</v>
      </c>
    </row>
    <row r="104" ht="15.75" customHeight="1" spans="1:2">
      <c r="A104" s="3" t="str">
        <f>IFERROR(__xludf.DUMMYFUNCTION("GOOGLETRANSLATE(A104,""en"",""pt"")"),"Definitivamente um negócio.")</f>
        <v>Definitivamente um negócio.</v>
      </c>
      <c r="B104" s="3">
        <v>1</v>
      </c>
    </row>
    <row r="105" ht="15.75" customHeight="1" spans="1:2">
      <c r="A105" s="3" t="str">
        <f>IFERROR(__xludf.DUMMYFUNCTION("GOOGLETRANSLATE(A105,""en"",""pt"")"),"O preço foi muito boa e com o frete grátis e tudo foi uma boa compra.")</f>
        <v>O preço foi muito boa e com o frete grátis e tudo foi uma boa compra.</v>
      </c>
      <c r="B105" s="3">
        <v>1</v>
      </c>
    </row>
    <row r="106" ht="15.75" customHeight="1" spans="1:2">
      <c r="A106" s="3" t="str">
        <f>IFERROR(__xludf.DUMMYFUNCTION("GOOGLETRANSLATE(A106,""en"",""pt"")"),"Recebi a minha suposta nova motorola 375 e, aparentemente, não havia uma correspondência entre o telefone eo carregador.")</f>
        <v>Recebi a minha suposta nova motorola 375 e, aparentemente, não havia uma correspondência entre o telefone eo carregador.</v>
      </c>
      <c r="B106" s="3">
        <v>0</v>
      </c>
    </row>
    <row r="107" ht="15.75" customHeight="1" spans="1:2">
      <c r="A107" s="3" t="str">
        <f>IFERROR(__xludf.DUMMYFUNCTION("GOOGLETRANSLATE(A107,""en"",""pt"")"),"Prós: câmera -Bom - imagens muito agradáveis, também tem estilos interessantes, como preto e branco, e muito mais.")</f>
        <v>Prós: câmera -Bom - imagens muito agradáveis, também tem estilos interessantes, como preto e branco, e muito mais.</v>
      </c>
      <c r="B107" s="3">
        <v>1</v>
      </c>
    </row>
    <row r="108" ht="15.75" customHeight="1" spans="1:2">
      <c r="A108" s="3" t="str">
        <f>IFERROR(__xludf.DUMMYFUNCTION("GOOGLETRANSLATE(A108,""en"",""pt"")"),"Isso é uma enorme falha de projeto (a menos que eu não estou usando-o corretamente, o que eu não acho que é o caso).")</f>
        <v>Isso é uma enorme falha de projeto (a menos que eu não estou usando-o corretamente, o que eu não acho que é o caso).</v>
      </c>
      <c r="B108" s="3">
        <v>0</v>
      </c>
    </row>
    <row r="109" ht="15.75" customHeight="1" spans="1:2">
      <c r="A109" s="3" t="str">
        <f>IFERROR(__xludf.DUMMYFUNCTION("GOOGLETRANSLATE(A109,""en"",""pt"")"),"Eu amo meu fone de ouvido 350 .. Minha Jabra350 Auricular Bluetooth é grande, a recepção é muito boa ea parte da orelha é um ajuste confortável.")</f>
        <v>Eu amo meu fone de ouvido 350 .. Minha Jabra350 Auricular Bluetooth é grande, a recepção é muito boa ea parte da orelha é um ajuste confortável.</v>
      </c>
      <c r="B109" s="3">
        <v>1</v>
      </c>
    </row>
    <row r="110" ht="15.75" customHeight="1" spans="1:2">
      <c r="A110" s="3" t="str">
        <f>IFERROR(__xludf.DUMMYFUNCTION("GOOGLETRANSLATE(A110,""en"",""pt"")"),"A câmera, embora avaliado em uns impressionantes 1,3 megapixels, produz imagens que caem bem abaixo das expectativas de tal resolução relativamente alta.")</f>
        <v>A câmera, embora avaliado em uns impressionantes 1,3 megapixels, produz imagens que caem bem abaixo das expectativas de tal resolução relativamente alta.</v>
      </c>
      <c r="B110" s="3">
        <v>0</v>
      </c>
    </row>
    <row r="111" ht="15.75" customHeight="1" spans="1:2">
      <c r="A111" s="3" t="str">
        <f>IFERROR(__xludf.DUMMYFUNCTION("GOOGLETRANSLATE(A111,""en"",""pt"")"),"I purcashed isso para o carregador de carro e ele não funciona.")</f>
        <v>I purcashed isso para o carregador de carro e ele não funciona.</v>
      </c>
      <c r="B111" s="3">
        <v>0</v>
      </c>
    </row>
    <row r="112" ht="15.75" customHeight="1" spans="1:2">
      <c r="A112" s="3" t="str">
        <f>IFERROR(__xludf.DUMMYFUNCTION("GOOGLETRANSLATE(A112,""en"",""pt"")"),"A qualidade do som em ambos final é excelente, eu uso fone de ouvido para chamar minha esposa e pedir a minha esposa para fone de ouvido uso para me chamar! 2.")</f>
        <v>A qualidade do som em ambos final é excelente, eu uso fone de ouvido para chamar minha esposa e pedir a minha esposa para fone de ouvido uso para me chamar! 2.</v>
      </c>
      <c r="B112" s="3">
        <v>1</v>
      </c>
    </row>
    <row r="113" ht="15.75" customHeight="1" spans="1:2">
      <c r="A113" s="3" t="str">
        <f>IFERROR(__xludf.DUMMYFUNCTION("GOOGLETRANSLATE(A113,""en"",""pt"")"),"Este telefone é fino e leve e o visor é bonito.")</f>
        <v>Este telefone é fino e leve e o visor é bonito.</v>
      </c>
      <c r="B113" s="3">
        <v>1</v>
      </c>
    </row>
    <row r="114" ht="15.75" customHeight="1" spans="1:2">
      <c r="A114" s="3" t="str">
        <f>IFERROR(__xludf.DUMMYFUNCTION("GOOGLETRANSLATE(A114,""en"",""pt"")"),"é um pouco nerd, mas eu acho que isso é o seu sexo na torrada e rochas e exala sexo até ao seu estojo de couro elegante elegante incorporado bateria.")</f>
        <v>é um pouco nerd, mas eu acho que isso é o seu sexo na torrada e rochas e exala sexo até ao seu estojo de couro elegante elegante incorporado bateria.</v>
      </c>
      <c r="B114" s="3">
        <v>1</v>
      </c>
    </row>
    <row r="115" ht="15.75" customHeight="1" spans="1:2">
      <c r="A115" s="3" t="str">
        <f>IFERROR(__xludf.DUMMYFUNCTION("GOOGLETRANSLATE(A115,""en"",""pt"")"),"Grande produto, transporte rápido !.")</f>
        <v>Grande produto, transporte rápido !.</v>
      </c>
      <c r="B115" s="3">
        <v>1</v>
      </c>
    </row>
    <row r="116" ht="15.75" customHeight="1" spans="1:2">
      <c r="A116" s="3" t="str">
        <f>IFERROR(__xludf.DUMMYFUNCTION("GOOGLETRANSLATE(A116,""en"",""pt"")"),"Absolutamente grande.")</f>
        <v>Absolutamente grande.</v>
      </c>
      <c r="B116" s="3">
        <v>1</v>
      </c>
    </row>
    <row r="117" ht="15.75" customHeight="1" spans="1:2">
      <c r="A117" s="3" t="str">
        <f>IFERROR(__xludf.DUMMYFUNCTION("GOOGLETRANSLATE(A117,""en"",""pt"")"),"O teclado é um bom compromisso entre um QWERTY completo e o teclado básico número de telefone celular.")</f>
        <v>O teclado é um bom compromisso entre um QWERTY completo e o teclado básico número de telefone celular.</v>
      </c>
      <c r="B117" s="3">
        <v>1</v>
      </c>
    </row>
    <row r="118" ht="15.75" customHeight="1" spans="1:2">
      <c r="A118" s="3" t="str">
        <f>IFERROR(__xludf.DUMMYFUNCTION("GOOGLETRANSLATE(A118,""en"",""pt"")"),"eu tenho esse telefone em todo o final de maio e eu estou completamente satisfeito com ele.")</f>
        <v>eu tenho esse telefone em todo o final de maio e eu estou completamente satisfeito com ele.</v>
      </c>
      <c r="B118" s="3">
        <v>0</v>
      </c>
    </row>
    <row r="119" ht="15.75" customHeight="1" spans="1:2">
      <c r="A119" s="3" t="str">
        <f>IFERROR(__xludf.DUMMYFUNCTION("GOOGLETRANSLATE(A119,""en"",""pt"")"),"É muito confortável na orelha.")</f>
        <v>É muito confortável na orelha.</v>
      </c>
      <c r="B119" s="3">
        <v>1</v>
      </c>
    </row>
    <row r="120" ht="15.75" customHeight="1" spans="1:2">
      <c r="A120" s="3" t="str">
        <f>IFERROR(__xludf.DUMMYFUNCTION("GOOGLETRANSLATE(A120,""en"",""pt"")"),"Ele tem sido um vencedor para nós.")</f>
        <v>Ele tem sido um vencedor para nós.</v>
      </c>
      <c r="B120" s="3">
        <v>1</v>
      </c>
    </row>
    <row r="121" ht="15.75" customHeight="1" spans="1:2">
      <c r="A121" s="3" t="str">
        <f>IFERROR(__xludf.DUMMYFUNCTION("GOOGLETRANSLATE(A121,""en"",""pt"")"),"Eu tentei vários auriculares diferentes para o meu telefone celular e este Jabra é a primeira que eu encontrei que se encaixa meu ouvido confortavelmente.")</f>
        <v>Eu tentei vários auriculares diferentes para o meu telefone celular e este Jabra é a primeira que eu encontrei que se encaixa meu ouvido confortavelmente.</v>
      </c>
      <c r="B121" s="3">
        <v>1</v>
      </c>
    </row>
    <row r="122" ht="15.75" customHeight="1" spans="1:2">
      <c r="A122" s="3" t="str">
        <f>IFERROR(__xludf.DUMMYFUNCTION("GOOGLETRANSLATE(A122,""en"",""pt"")"),"Não foi possível obter sinal forte o suficiente.")</f>
        <v>Não foi possível obter sinal forte o suficiente.</v>
      </c>
      <c r="B122" s="3">
        <v>0</v>
      </c>
    </row>
    <row r="123" ht="15.75" customHeight="1" spans="1:2">
      <c r="A123" s="3" t="str">
        <f>IFERROR(__xludf.DUMMYFUNCTION("GOOGLETRANSLATE(A123,""en"",""pt"")"),"Eu estou muito satisfeito com minha compra.")</f>
        <v>Eu estou muito satisfeito com minha compra.</v>
      </c>
      <c r="B123" s="3">
        <v>1</v>
      </c>
    </row>
    <row r="124" ht="15.75" customHeight="1" spans="1:2">
      <c r="A124" s="3" t="str">
        <f>IFERROR(__xludf.DUMMYFUNCTION("GOOGLETRANSLATE(A124,""en"",""pt"")"),"Qualidade ruim.")</f>
        <v>Qualidade ruim.</v>
      </c>
      <c r="B124" s="3">
        <v>0</v>
      </c>
    </row>
    <row r="125" ht="15.75" customHeight="1" spans="1:2">
      <c r="A125" s="3" t="str">
        <f>IFERROR(__xludf.DUMMYFUNCTION("GOOGLETRANSLATE(A125,""en"",""pt"")"),"Começa o trabalho feito.")</f>
        <v>Começa o trabalho feito.</v>
      </c>
      <c r="B125" s="3">
        <v>1</v>
      </c>
    </row>
    <row r="126" ht="15.75" customHeight="1" spans="1:2">
      <c r="A126" s="3" t="str">
        <f>IFERROR(__xludf.DUMMYFUNCTION("GOOGLETRANSLATE(A126,""en"",""pt"")"),"Grande áudio !.")</f>
        <v>Grande áudio !.</v>
      </c>
      <c r="B126" s="3">
        <v>1</v>
      </c>
    </row>
    <row r="127" ht="15.75" customHeight="1" spans="1:2">
      <c r="A127" s="3" t="str">
        <f>IFERROR(__xludf.DUMMYFUNCTION("GOOGLETRANSLATE(A127,""en"",""pt"")"),"Basicamente, o serviço foi muito ruim.")</f>
        <v>Basicamente, o serviço foi muito ruim.</v>
      </c>
      <c r="B127" s="3">
        <v>0</v>
      </c>
    </row>
    <row r="128" ht="15.75" customHeight="1" spans="1:2">
      <c r="A128" s="3" t="str">
        <f>IFERROR(__xludf.DUMMYFUNCTION("GOOGLETRANSLATE(A128,""en"",""pt"")"),"não funcionou na minha ficha de telefone celular Estou muito até definir com o carregador !.")</f>
        <v>não funcionou na minha ficha de telefone celular Estou muito até definir com o carregador !.</v>
      </c>
      <c r="B128" s="3">
        <v>0</v>
      </c>
    </row>
    <row r="129" ht="15.75" customHeight="1" spans="1:2">
      <c r="A129" s="3" t="str">
        <f>IFERROR(__xludf.DUMMYFUNCTION("GOOGLETRANSLATE(A129,""en"",""pt"")"),"Eu só tinha o meu bluetooth para algumas semanas, mas eu realmente gosto dele.")</f>
        <v>Eu só tinha o meu bluetooth para algumas semanas, mas eu realmente gosto dele.</v>
      </c>
      <c r="B129" s="3">
        <v>1</v>
      </c>
    </row>
    <row r="130" ht="15.75" customHeight="1" spans="1:2">
      <c r="A130" s="3" t="str">
        <f>IFERROR(__xludf.DUMMYFUNCTION("GOOGLETRANSLATE(A130,""en"",""pt"")"),"O fone de ouvido BT foi de tal disapoinment.")</f>
        <v>O fone de ouvido BT foi de tal disapoinment.</v>
      </c>
      <c r="B130" s="3">
        <v>0</v>
      </c>
    </row>
    <row r="131" ht="15.75" customHeight="1" spans="1:2">
      <c r="A131" s="3" t="str">
        <f>IFERROR(__xludf.DUMMYFUNCTION("GOOGLETRANSLATE(A131,""en"",""pt"")"),"É tão pequeno e você nem sequer percebem que ele está lá depois de um tempo para se acostumar a ele.")</f>
        <v>É tão pequeno e você nem sequer percebem que ele está lá depois de um tempo para se acostumar a ele.</v>
      </c>
      <c r="B131" s="3">
        <v>1</v>
      </c>
    </row>
    <row r="132" ht="15.75" customHeight="1" spans="1:2">
      <c r="A132" s="3" t="str">
        <f>IFERROR(__xludf.DUMMYFUNCTION("GOOGLETRANSLATE(A132,""en"",""pt"")"),"O software acompanhado é quase brilhante.")</f>
        <v>O software acompanhado é quase brilhante.</v>
      </c>
      <c r="B132" s="3">
        <v>1</v>
      </c>
    </row>
    <row r="133" ht="15.75" customHeight="1" spans="1:2">
      <c r="A133" s="3" t="str">
        <f>IFERROR(__xludf.DUMMYFUNCTION("GOOGLETRANSLATE(A133,""en"",""pt"")"),"Headset funciona muito bem e foi empacotado bem para evitar quaisquer danos.")</f>
        <v>Headset funciona muito bem e foi empacotado bem para evitar quaisquer danos.</v>
      </c>
      <c r="B133" s="3">
        <v>1</v>
      </c>
    </row>
    <row r="134" ht="15.75" customHeight="1" spans="1:2">
      <c r="A134" s="3" t="str">
        <f>IFERROR(__xludf.DUMMYFUNCTION("GOOGLETRANSLATE(A134,""en"",""pt"")"),"Comprador - Tenha muito cuidado !!!!!.")</f>
        <v>Comprador - Tenha muito cuidado !!!!!.</v>
      </c>
      <c r="B134" s="3">
        <v>0</v>
      </c>
    </row>
    <row r="135" ht="15.75" customHeight="1" spans="1:2">
      <c r="A135" s="3" t="str">
        <f>IFERROR(__xludf.DUMMYFUNCTION("GOOGLETRANSLATE(A135,""en"",""pt"")"),"A maioria dos fones de ouvido da Logitech earbud falhou.")</f>
        <v>A maioria dos fones de ouvido da Logitech earbud falhou.</v>
      </c>
      <c r="B135" s="3">
        <v>0</v>
      </c>
    </row>
    <row r="136" ht="15.75" customHeight="1" spans="1:2">
      <c r="A136" s="3" t="str">
        <f>IFERROR(__xludf.DUMMYFUNCTION("GOOGLETRANSLATE(A136,""en"",""pt"")"),"Material muito bom para o preço.")</f>
        <v>Material muito bom para o preço.</v>
      </c>
      <c r="B136" s="3">
        <v>1</v>
      </c>
    </row>
    <row r="137" ht="15.75" customHeight="1" spans="1:2">
      <c r="A137" s="3" t="str">
        <f>IFERROR(__xludf.DUMMYFUNCTION("GOOGLETRANSLATE(A137,""en"",""pt"")"),"Meu headset funciona apenas peachy-afiado.")</f>
        <v>Meu headset funciona apenas peachy-afiado.</v>
      </c>
      <c r="B137" s="3">
        <v>1</v>
      </c>
    </row>
    <row r="138" ht="15.75" customHeight="1" spans="1:2">
      <c r="A138" s="3" t="str">
        <f>IFERROR(__xludf.DUMMYFUNCTION("GOOGLETRANSLATE(A138,""en"",""pt"")"),"Na minha casa eu estava ficando no andar de cima a cobertura caiu e nenhuma cobertura no meu porão.")</f>
        <v>Na minha casa eu estava ficando no andar de cima a cobertura caiu e nenhuma cobertura no meu porão.</v>
      </c>
      <c r="B138" s="3">
        <v>0</v>
      </c>
    </row>
    <row r="139" ht="15.75" customHeight="1" spans="1:2">
      <c r="A139" s="3" t="str">
        <f>IFERROR(__xludf.DUMMYFUNCTION("GOOGLETRANSLATE(A139,""en"",""pt"")"),"O reconhecimento de voz é enorme!")</f>
        <v>O reconhecimento de voz é enorme!</v>
      </c>
      <c r="B139" s="3">
        <v>1</v>
      </c>
    </row>
    <row r="140" ht="15.75" customHeight="1" spans="1:2">
      <c r="A140" s="3" t="str">
        <f>IFERROR(__xludf.DUMMYFUNCTION("GOOGLETRANSLATE(A140,""en"",""pt"")"),"Que desperdício.")</f>
        <v>Que desperdício.</v>
      </c>
      <c r="B140" s="3">
        <v>0</v>
      </c>
    </row>
    <row r="141" ht="15.75" customHeight="1" spans="1:2">
      <c r="A141" s="3" t="str">
        <f>IFERROR(__xludf.DUMMYFUNCTION("GOOGLETRANSLATE(A141,""en"",""pt"")"),"Durante várias chamadas diferentes de 2 minutos, eu experimentei 5 gotas e foi em uma área que tinha 5 bares.")</f>
        <v>Durante várias chamadas diferentes de 2 minutos, eu experimentei 5 gotas e foi em uma área que tinha 5 bares.</v>
      </c>
      <c r="B141" s="3">
        <v>0</v>
      </c>
    </row>
    <row r="142" ht="15.75" customHeight="1" spans="1:2">
      <c r="A142" s="3" t="str">
        <f>IFERROR(__xludf.DUMMYFUNCTION("GOOGLETRANSLATE(A142,""en"",""pt"")"),"Eu não estava feliz com este item.")</f>
        <v>Eu não estava feliz com este item.</v>
      </c>
      <c r="B142" s="3">
        <v>0</v>
      </c>
    </row>
    <row r="143" ht="15.75" customHeight="1" spans="1:2">
      <c r="A143" s="3" t="str">
        <f>IFERROR(__xludf.DUMMYFUNCTION("GOOGLETRANSLATE(A143,""en"",""pt"")"),"Muito desapontado.")</f>
        <v>Muito desapontado.</v>
      </c>
      <c r="B143" s="3">
        <v>0</v>
      </c>
    </row>
    <row r="144" ht="15.75" customHeight="1" spans="1:2">
      <c r="A144" s="3" t="str">
        <f>IFERROR(__xludf.DUMMYFUNCTION("GOOGLETRANSLATE(A144,""en"",""pt"")"),"O telefone leva uma eternidade para carregar, como 2 a 5 horas literalmente.")</f>
        <v>O telefone leva uma eternidade para carregar, como 2 a 5 horas literalmente.</v>
      </c>
      <c r="B144" s="3">
        <v>0</v>
      </c>
    </row>
    <row r="145" ht="15.75" customHeight="1" spans="1:2">
      <c r="A145" s="3" t="str">
        <f>IFERROR(__xludf.DUMMYFUNCTION("GOOGLETRANSLATE(A145,""en"",""pt"")"),"Eu tenho esse telefone na recomendação de um parente e eu estou feliz que eu fiz.")</f>
        <v>Eu tenho esse telefone na recomendação de um parente e eu estou feliz que eu fiz.</v>
      </c>
      <c r="B145" s="3">
        <v>1</v>
      </c>
    </row>
    <row r="146" ht="15.75" customHeight="1" spans="1:2">
      <c r="A146" s="3" t="str">
        <f>IFERROR(__xludf.DUMMYFUNCTION("GOOGLETRANSLATE(A146,""en"",""pt"")"),"Que perda de tempo!")</f>
        <v>Que perda de tempo!</v>
      </c>
      <c r="B146" s="3">
        <v>0</v>
      </c>
    </row>
    <row r="147" ht="15.75" customHeight="1" spans="1:2">
      <c r="A147" s="3" t="str">
        <f>IFERROR(__xludf.DUMMYFUNCTION("GOOGLETRANSLATE(A147,""en"",""pt"")"),"A recepção é muito, muito pobre.")</f>
        <v>A recepção é muito, muito pobre.</v>
      </c>
      <c r="B147" s="3">
        <v>0</v>
      </c>
    </row>
    <row r="148" ht="15.75" customHeight="1" spans="1:2">
      <c r="A148" s="3" t="str">
        <f>IFERROR(__xludf.DUMMYFUNCTION("GOOGLETRANSLATE(A148,""en"",""pt"")"),"Os itens expressos como incluído a partir da descrição não estão incluídos.")</f>
        <v>Os itens expressos como incluído a partir da descrição não estão incluídos.</v>
      </c>
      <c r="B148" s="3">
        <v>0</v>
      </c>
    </row>
    <row r="149" ht="15.75" customHeight="1" spans="1:2">
      <c r="A149" s="3" t="str">
        <f>IFERROR(__xludf.DUMMYFUNCTION("GOOGLETRANSLATE(A149,""en"",""pt"")"),"Após 3 meses, a tela só fui tudo preto de repente.")</f>
        <v>Após 3 meses, a tela só fui tudo preto de repente.</v>
      </c>
      <c r="B149" s="3">
        <v>0</v>
      </c>
    </row>
    <row r="150" ht="15.75" customHeight="1" spans="1:2">
      <c r="A150" s="3" t="str">
        <f>IFERROR(__xludf.DUMMYFUNCTION("GOOGLETRANSLATE(A150,""en"",""pt"")"),"Eu estava esperando por mais.")</f>
        <v>Eu estava esperando por mais.</v>
      </c>
      <c r="B150" s="3">
        <v>0</v>
      </c>
    </row>
    <row r="151" ht="15.75" customHeight="1" spans="1:2">
      <c r="A151" s="3" t="str">
        <f>IFERROR(__xludf.DUMMYFUNCTION("GOOGLETRANSLATE(A151,""en"",""pt"")"),"Qualidade de áudio é pobre, muito pobre.")</f>
        <v>Qualidade de áudio é pobre, muito pobre.</v>
      </c>
      <c r="B151" s="3">
        <v>0</v>
      </c>
    </row>
    <row r="152" ht="15.75" customHeight="1" spans="1:2">
      <c r="A152" s="3" t="str">
        <f>IFERROR(__xludf.DUMMYFUNCTION("GOOGLETRANSLATE(A152,""en"",""pt"")"),"Eu não tinha absolutamente nenhum problema com este auricular ligando para o meu Blackberry Curve 8530!")</f>
        <v>Eu não tinha absolutamente nenhum problema com este auricular ligando para o meu Blackberry Curve 8530!</v>
      </c>
      <c r="B152" s="3">
        <v>1</v>
      </c>
    </row>
    <row r="153" ht="15.75" customHeight="1" spans="1:2">
      <c r="A153" s="3" t="str">
        <f>IFERROR(__xludf.DUMMYFUNCTION("GOOGLETRANSLATE(A153,""en"",""pt"")"),"Eu sei que soa engraçado, mas para mim parecia que a tecnologia esboçado que não iria funcionar well.Well, este funciona muito bem.")</f>
        <v>Eu sei que soa engraçado, mas para mim parecia que a tecnologia esboçado que não iria funcionar well.Well, este funciona muito bem.</v>
      </c>
      <c r="B153" s="3">
        <v>1</v>
      </c>
    </row>
    <row r="154" ht="15.75" customHeight="1" spans="1:2">
      <c r="A154" s="3" t="str">
        <f>IFERROR(__xludf.DUMMYFUNCTION("GOOGLETRANSLATE(A154,""en"",""pt"")"),"Eu comprei $ 5 fones de ouvido com fio que o som melhor do que estes.")</f>
        <v>Eu comprei $ 5 fones de ouvido com fio que o som melhor do que estes.</v>
      </c>
      <c r="B154" s="3">
        <v>0</v>
      </c>
    </row>
    <row r="155" ht="15.75" customHeight="1" spans="1:2">
      <c r="A155" s="3" t="str">
        <f>IFERROR(__xludf.DUMMYFUNCTION("GOOGLETRANSLATE(A155,""en"",""pt"")"),"Este telefone é muito rápido com o envio de qualquer tipo de mensagens e navegação na web é significativamente mais rápido do que os telefones anteriores que tenho usado.")</f>
        <v>Este telefone é muito rápido com o envio de qualquer tipo de mensagens e navegação na web é significativamente mais rápido do que os telefones anteriores que tenho usado.</v>
      </c>
      <c r="B155" s="3">
        <v>1</v>
      </c>
    </row>
    <row r="156" ht="15.75" customHeight="1" spans="1:2">
      <c r="A156" s="3" t="str">
        <f>IFERROR(__xludf.DUMMYFUNCTION("GOOGLETRANSLATE(A156,""en"",""pt"")"),"qualidade de construção agradável, ao contrário de alguns barato s *** lá fora.")</f>
        <v>qualidade de construção agradável, ao contrário de alguns barato s *** lá fora.</v>
      </c>
      <c r="B156" s="3">
        <v>1</v>
      </c>
    </row>
    <row r="157" ht="15.75" customHeight="1" spans="1:2">
      <c r="A157" s="3" t="str">
        <f>IFERROR(__xludf.DUMMYFUNCTION("GOOGLETRANSLATE(A157,""en"",""pt"")"),"Este artigo é fantástico e funciona perfeitamente!")</f>
        <v>Este artigo é fantástico e funciona perfeitamente!</v>
      </c>
      <c r="B157" s="3">
        <v>1</v>
      </c>
    </row>
    <row r="158" ht="15.75" customHeight="1" spans="1:2">
      <c r="A158" s="3" t="str">
        <f>IFERROR(__xludf.DUMMYFUNCTION("GOOGLETRANSLATE(A158,""en"",""pt"")"),"E eu simplesmente amo as cores!")</f>
        <v>E eu simplesmente amo as cores!</v>
      </c>
      <c r="B158" s="3">
        <v>1</v>
      </c>
    </row>
    <row r="159" ht="15.75" customHeight="1" spans="1:2">
      <c r="A159" s="3" t="str">
        <f>IFERROR(__xludf.DUMMYFUNCTION("GOOGLETRANSLATE(A159,""en"",""pt"")"),"W810i é apenas excelente.")</f>
        <v>W810i é apenas excelente.</v>
      </c>
      <c r="B159" s="3">
        <v>1</v>
      </c>
    </row>
    <row r="160" ht="15.75" customHeight="1" spans="1:2">
      <c r="A160" s="3" t="str">
        <f>IFERROR(__xludf.DUMMYFUNCTION("GOOGLETRANSLATE(A160,""en"",""pt"")"),"Tudo o que posso fazer é lamentar na Internet, então aqui goes.The mais eu uso a coisa menos eu como ele.")</f>
        <v>Tudo o que posso fazer é lamentar na Internet, então aqui goes.The mais eu uso a coisa menos eu como ele.</v>
      </c>
      <c r="B160" s="3">
        <v>0</v>
      </c>
    </row>
    <row r="161" ht="15.75" customHeight="1" spans="1:2">
      <c r="A161" s="3" t="str">
        <f>IFERROR(__xludf.DUMMYFUNCTION("GOOGLETRANSLATE(A161,""en"",""pt"")"),"Grande carregador.")</f>
        <v>Grande carregador.</v>
      </c>
      <c r="B161" s="3">
        <v>1</v>
      </c>
    </row>
    <row r="162" ht="15.75" customHeight="1" spans="1:2">
      <c r="A162" s="3" t="str">
        <f>IFERROR(__xludf.DUMMYFUNCTION("GOOGLETRANSLATE(A162,""en"",""pt"")"),"Esta é essencialmente uma ferramenta de comunicação que não se comunica.")</f>
        <v>Esta é essencialmente uma ferramenta de comunicação que não se comunica.</v>
      </c>
      <c r="B162" s="3">
        <v>0</v>
      </c>
    </row>
    <row r="163" ht="15.75" customHeight="1" spans="1:2">
      <c r="A163" s="3" t="str">
        <f>IFERROR(__xludf.DUMMYFUNCTION("GOOGLETRANSLATE(A163,""en"",""pt"")"),"Funciona como um encanto; -lo funcionar o mesmo que o que eu tenho com o telefone.")</f>
        <v>Funciona como um encanto; -lo funcionar o mesmo que o que eu tenho com o telefone.</v>
      </c>
      <c r="B163" s="3">
        <v>1</v>
      </c>
    </row>
    <row r="164" ht="15.75" customHeight="1" spans="1:2">
      <c r="A164" s="3" t="str">
        <f>IFERROR(__xludf.DUMMYFUNCTION("GOOGLETRANSLATE(A164,""en"",""pt"")"),"Eu ainda mantenho que os macacos não deve fazer fones de ouvido, nós apenas obviamente não compartilham DNA suficiente para copiar o design mais para os seres humanos.")</f>
        <v>Eu ainda mantenho que os macacos não deve fazer fones de ouvido, nós apenas obviamente não compartilham DNA suficiente para copiar o design mais para os seres humanos.</v>
      </c>
      <c r="B164" s="3">
        <v>0</v>
      </c>
    </row>
    <row r="165" ht="15.75" customHeight="1" spans="1:2">
      <c r="A165" s="3" t="str">
        <f>IFERROR(__xludf.DUMMYFUNCTION("GOOGLETRANSLATE(A165,""en"",""pt"")"),"Grande valor.")</f>
        <v>Grande valor.</v>
      </c>
      <c r="B165" s="3">
        <v>1</v>
      </c>
    </row>
    <row r="166" ht="15.75" customHeight="1" spans="1:2">
      <c r="A166" s="3" t="str">
        <f>IFERROR(__xludf.DUMMYFUNCTION("GOOGLETRANSLATE(A166,""en"",""pt"")"),"Não funciona em todos .. Eu bougth-lo para o meu L7c e não o seu trabalho.")</f>
        <v>Não funciona em todos .. Eu bougth-lo para o meu L7c e não o seu trabalho.</v>
      </c>
      <c r="B166" s="3">
        <v>0</v>
      </c>
    </row>
    <row r="167" ht="15.75" customHeight="1" spans="1:2">
      <c r="A167" s="3" t="str">
        <f>IFERROR(__xludf.DUMMYFUNCTION("GOOGLETRANSLATE(A167,""en"",""pt"")"),"O olhar dele é muito forte e a tela é agradável e clara, com ótimos gráficos.")</f>
        <v>O olhar dele é muito forte e a tela é agradável e clara, com ótimos gráficos.</v>
      </c>
      <c r="B167" s="3">
        <v>1</v>
      </c>
    </row>
    <row r="168" ht="15.75" customHeight="1" spans="1:2">
      <c r="A168" s="3" t="str">
        <f>IFERROR(__xludf.DUMMYFUNCTION("GOOGLETRANSLATE(A168,""en"",""pt"")"),"não dura muito tempo.")</f>
        <v>não dura muito tempo.</v>
      </c>
      <c r="B168" s="3">
        <v>0</v>
      </c>
    </row>
    <row r="169" ht="15.75" customHeight="1" spans="1:2">
      <c r="A169" s="3" t="str">
        <f>IFERROR(__xludf.DUMMYFUNCTION("GOOGLETRANSLATE(A169,""en"",""pt"")"),"Uma coisa que eu odeio é o botão set modo ao lado.")</f>
        <v>Uma coisa que eu odeio é o botão set modo ao lado.</v>
      </c>
      <c r="B169" s="3">
        <v>0</v>
      </c>
    </row>
    <row r="170" ht="15.75" customHeight="1" spans="1:2">
      <c r="A170" s="3" t="str">
        <f>IFERROR(__xludf.DUMMYFUNCTION("GOOGLETRANSLATE(A170,""en"",""pt"")"),"SERVIÇO EXCELENTE!!!!!!!!.")</f>
        <v>SERVIÇO EXCELENTE!!!!!!!!.</v>
      </c>
      <c r="B170" s="3">
        <v>1</v>
      </c>
    </row>
    <row r="171" ht="15.75" customHeight="1" spans="1:2">
      <c r="A171" s="3" t="str">
        <f>IFERROR(__xludf.DUMMYFUNCTION("GOOGLETRANSLATE(A171,""en"",""pt"")"),"Obrigado por desperdiçar o meu dinheiro.")</f>
        <v>Obrigado por desperdiçar o meu dinheiro.</v>
      </c>
      <c r="B171" s="3">
        <v>0</v>
      </c>
    </row>
    <row r="172" ht="15.75" customHeight="1" spans="1:2">
      <c r="A172" s="3" t="str">
        <f>IFERROR(__xludf.DUMMYFUNCTION("GOOGLETRANSLATE(A172,""en"",""pt"")"),"Como pode ser isso? A qualidade de áudio é pobre.")</f>
        <v>Como pode ser isso? A qualidade de áudio é pobre.</v>
      </c>
      <c r="B172" s="3">
        <v>0</v>
      </c>
    </row>
    <row r="173" ht="15.75" customHeight="1" spans="1:2">
      <c r="A173" s="3" t="str">
        <f>IFERROR(__xludf.DUMMYFUNCTION("GOOGLETRANSLATE(A173,""en"",""pt"")"),"Os carregadores iGo e dicas são realmente grandes.")</f>
        <v>Os carregadores iGo e dicas são realmente grandes.</v>
      </c>
      <c r="B173" s="3">
        <v>1</v>
      </c>
    </row>
    <row r="174" ht="15.75" customHeight="1" spans="1:2">
      <c r="A174" s="3" t="str">
        <f>IFERROR(__xludf.DUMMYFUNCTION("GOOGLETRANSLATE(A174,""en"",""pt"")"),"O navegador de arquivos oferece todas as opções que se needs.Handsfree é grande.")</f>
        <v>O navegador de arquivos oferece todas as opções que se needs.Handsfree é grande.</v>
      </c>
      <c r="B174" s="3">
        <v>1</v>
      </c>
    </row>
    <row r="175" ht="15.75" customHeight="1" spans="1:2">
      <c r="A175" s="3" t="str">
        <f>IFERROR(__xludf.DUMMYFUNCTION("GOOGLETRANSLATE(A175,""en"",""pt"")"),"Superb Telefone de uma grande rede.")</f>
        <v>Superb Telefone de uma grande rede.</v>
      </c>
      <c r="B175" s="3">
        <v>1</v>
      </c>
    </row>
    <row r="176" ht="15.75" customHeight="1" spans="1:2">
      <c r="A176" s="3" t="str">
        <f>IFERROR(__xludf.DUMMYFUNCTION("GOOGLETRANSLATE(A176,""en"",""pt"")"),"Liguei Bluetooth da minha esposa, (Motorola HS850) para o meu telefone e funcionou como um encanto se o telefone estava no meu bolso ou o caso.")</f>
        <v>Liguei Bluetooth da minha esposa, (Motorola HS850) para o meu telefone e funcionou como um encanto se o telefone estava no meu bolso ou o caso.</v>
      </c>
      <c r="B176" s="3">
        <v>1</v>
      </c>
    </row>
    <row r="177" ht="15.75" customHeight="1" spans="1:2">
      <c r="A177" s="3" t="str">
        <f>IFERROR(__xludf.DUMMYFUNCTION("GOOGLETRANSLATE(A177,""en"",""pt"")"),"Eu coloquei o mais recente sistema operacional nele (v1.15g), e agora gosta de abrandar para um rastreamento e bloqueio de vez em quando.")</f>
        <v>Eu coloquei o mais recente sistema operacional nele (v1.15g), e agora gosta de abrandar para um rastreamento e bloqueio de vez em quando.</v>
      </c>
      <c r="B177" s="3">
        <v>0</v>
      </c>
    </row>
    <row r="178" ht="15.75" customHeight="1" spans="1:2">
      <c r="A178" s="3" t="str">
        <f>IFERROR(__xludf.DUMMYFUNCTION("GOOGLETRANSLATE(A178,""en"",""pt"")"),"Ele só reconhece o telefone como dispositivo de armazenamento.")</f>
        <v>Ele só reconhece o telefone como dispositivo de armazenamento.</v>
      </c>
      <c r="B178" s="3">
        <v>0</v>
      </c>
    </row>
    <row r="179" ht="15.75" customHeight="1" spans="1:2">
      <c r="A179" s="3" t="str">
        <f>IFERROR(__xludf.DUMMYFUNCTION("GOOGLETRANSLATE(A179,""en"",""pt"")"),"Se você gosta de um zumbido alto para substituir todas as suas conversas, então este telefone é para você!")</f>
        <v>Se você gosta de um zumbido alto para substituir todas as suas conversas, então este telefone é para você!</v>
      </c>
      <c r="B179" s="3">
        <v>0</v>
      </c>
    </row>
    <row r="180" ht="15.75" customHeight="1" spans="1:2">
      <c r="A180" s="3" t="str">
        <f>IFERROR(__xludf.DUMMYFUNCTION("GOOGLETRANSLATE(A180,""en"",""pt"")"),"Não compre este produto.")</f>
        <v>Não compre este produto.</v>
      </c>
      <c r="B180" s="3">
        <v>0</v>
      </c>
    </row>
    <row r="181" ht="15.75" customHeight="1" spans="1:2">
      <c r="A181" s="3" t="str">
        <f>IFERROR(__xludf.DUMMYFUNCTION("GOOGLETRANSLATE(A181,""en"",""pt"")"),"Eu tive este auricular Bluetoooth já há algum tempo e ainda não está confortável com a forma como ele se encaixa na orelha.")</f>
        <v>Eu tive este auricular Bluetoooth já há algum tempo e ainda não está confortável com a forma como ele se encaixa na orelha.</v>
      </c>
      <c r="B181" s="3">
        <v>0</v>
      </c>
    </row>
    <row r="182" ht="15.75" customHeight="1" spans="1:2">
      <c r="A182" s="3" t="str">
        <f>IFERROR(__xludf.DUMMYFUNCTION("GOOGLETRANSLATE(A182,""en"",""pt"")"),"A qualidade do som é boa e funcionalidade é incrível.")</f>
        <v>A qualidade do som é boa e funcionalidade é incrível.</v>
      </c>
      <c r="B182" s="3">
        <v>1</v>
      </c>
    </row>
    <row r="183" ht="15.75" customHeight="1" spans="1:2">
      <c r="A183" s="3" t="str">
        <f>IFERROR(__xludf.DUMMYFUNCTION("GOOGLETRANSLATE(A183,""en"",""pt"")"),"Eu tenho este telefone e é um espinho no meu lado, eu realmente abomino isso.")</f>
        <v>Eu tenho este telefone e é um espinho no meu lado, eu realmente abomino isso.</v>
      </c>
      <c r="B183" s="3">
        <v>0</v>
      </c>
    </row>
    <row r="184" ht="15.75" customHeight="1" spans="1:2">
      <c r="A184" s="3" t="str">
        <f>IFERROR(__xludf.DUMMYFUNCTION("GOOGLETRANSLATE(A184,""en"",""pt"")"),"Recentemente, tive problemas em que eu não poderia ficar conectado por mais de 10 minutos antes de ser desconectado.")</f>
        <v>Recentemente, tive problemas em que eu não poderia ficar conectado por mais de 10 minutos antes de ser desconectado.</v>
      </c>
      <c r="B184" s="3">
        <v>0</v>
      </c>
    </row>
    <row r="185" ht="15.75" customHeight="1" spans="1:2">
      <c r="A185" s="3" t="str">
        <f>IFERROR(__xludf.DUMMYFUNCTION("GOOGLETRANSLATE(A185,""en"",""pt"")"),"Incrível!.")</f>
        <v>Incrível!.</v>
      </c>
      <c r="B185" s="3">
        <v>1</v>
      </c>
    </row>
    <row r="186" ht="15.75" customHeight="1" spans="1:2">
      <c r="A186" s="3" t="str">
        <f>IFERROR(__xludf.DUMMYFUNCTION("GOOGLETRANSLATE(A186,""en"",""pt"")"),"Falha de design?.")</f>
        <v>Falha de design?.</v>
      </c>
      <c r="B186" s="3">
        <v>0</v>
      </c>
    </row>
    <row r="187" ht="15.75" customHeight="1" spans="1:2">
      <c r="A187" s="3" t="str">
        <f>IFERROR(__xludf.DUMMYFUNCTION("GOOGLETRANSLATE(A187,""en"",""pt"")"),"Grande telefone !.")</f>
        <v>Grande telefone !.</v>
      </c>
      <c r="B187" s="3">
        <v>1</v>
      </c>
    </row>
    <row r="188" ht="15.75" customHeight="1" spans="1:2">
      <c r="A188" s="3" t="str">
        <f>IFERROR(__xludf.DUMMYFUNCTION("GOOGLETRANSLATE(A188,""en"",""pt"")"),"Desperdício de 13 dólares.")</f>
        <v>Desperdício de 13 dólares.</v>
      </c>
      <c r="B188" s="3">
        <v>0</v>
      </c>
    </row>
    <row r="189" ht="15.75" customHeight="1" spans="1:2">
      <c r="A189" s="3" t="str">
        <f>IFERROR(__xludf.DUMMYFUNCTION("GOOGLETRANSLATE(A189,""en"",""pt"")"),"Mas quando eu verificar o correio de voz durante a noite, o teclado luz de fundo desliga alguns segundos para a primeira mensagem, e então eu estou perdido.")</f>
        <v>Mas quando eu verificar o correio de voz durante a noite, o teclado luz de fundo desliga alguns segundos para a primeira mensagem, e então eu estou perdido.</v>
      </c>
      <c r="B189" s="3">
        <v>0</v>
      </c>
    </row>
    <row r="190" ht="15.75" customHeight="1" spans="1:2">
      <c r="A190" s="3" t="str">
        <f>IFERROR(__xludf.DUMMYFUNCTION("GOOGLETRANSLATE(A190,""en"",""pt"")"),"A substituição morreu em poucas semanas.")</f>
        <v>A substituição morreu em poucas semanas.</v>
      </c>
      <c r="B190" s="3">
        <v>0</v>
      </c>
    </row>
    <row r="191" ht="15.75" customHeight="1" spans="1:2">
      <c r="A191" s="3" t="str">
        <f>IFERROR(__xludf.DUMMYFUNCTION("GOOGLETRANSLATE(A191,""en"",""pt"")"),"Qualquer telefone tocar tone..Overall bom para comprar ..")</f>
        <v>Qualquer telefone tocar tone..Overall bom para comprar ..</v>
      </c>
      <c r="B191" s="3">
        <v>1</v>
      </c>
    </row>
    <row r="192" ht="15.75" customHeight="1" spans="1:2">
      <c r="A192" s="3" t="str">
        <f>IFERROR(__xludf.DUMMYFUNCTION("GOOGLETRANSLATE(A192,""en"",""pt"")"),"Ultimamente eles têm sido extremamente agradável e útil no telefone.")</f>
        <v>Ultimamente eles têm sido extremamente agradável e útil no telefone.</v>
      </c>
      <c r="B192" s="3">
        <v>1</v>
      </c>
    </row>
    <row r="193" ht="15.75" customHeight="1" spans="1:2">
      <c r="A193" s="3" t="str">
        <f>IFERROR(__xludf.DUMMYFUNCTION("GOOGLETRANSLATE(A193,""en"",""pt"")"),"Eu tive problemas sagacidade atingidas caindo sinal e muito mais.")</f>
        <v>Eu tive problemas sagacidade atingidas caindo sinal e muito mais.</v>
      </c>
      <c r="B193" s="3">
        <v>0</v>
      </c>
    </row>
    <row r="194" ht="15.75" customHeight="1" spans="1:2">
      <c r="A194" s="3" t="str">
        <f>IFERROR(__xludf.DUMMYFUNCTION("GOOGLETRANSLATE(A194,""en"",""pt"")"),"Não estou impressionado.")</f>
        <v>Não estou impressionado.</v>
      </c>
      <c r="B194" s="3">
        <v>0</v>
      </c>
    </row>
    <row r="195" ht="15.75" customHeight="1" spans="1:2">
      <c r="A195" s="3" t="str">
        <f>IFERROR(__xludf.DUMMYFUNCTION("GOOGLETRANSLATE(A195,""en"",""pt"")"),"peso leve, eu dificilmente notará que está lá.")</f>
        <v>peso leve, eu dificilmente notará que está lá.</v>
      </c>
      <c r="B195" s="3">
        <v>1</v>
      </c>
    </row>
    <row r="196" ht="15.75" customHeight="1" spans="1:2">
      <c r="A196" s="3" t="str">
        <f>IFERROR(__xludf.DUMMYFUNCTION("GOOGLETRANSLATE(A196,""en"",""pt"")"),"Você vai adorar o quão magro ele é.")</f>
        <v>Você vai adorar o quão magro ele é.</v>
      </c>
      <c r="B196" s="3">
        <v>1</v>
      </c>
    </row>
    <row r="197" ht="15.75" customHeight="1" spans="1:2">
      <c r="A197" s="3" t="str">
        <f>IFERROR(__xludf.DUMMYFUNCTION("GOOGLETRANSLATE(A197,""en"",""pt"")"),"Má escolha.")</f>
        <v>Má escolha.</v>
      </c>
      <c r="B197" s="3">
        <v>0</v>
      </c>
    </row>
    <row r="198" ht="15.75" customHeight="1" spans="1:2">
      <c r="A198" s="3" t="str">
        <f>IFERROR(__xludf.DUMMYFUNCTION("GOOGLETRANSLATE(A198,""en"",""pt"")"),"O caso pleather não se encaixa.")</f>
        <v>O caso pleather não se encaixa.</v>
      </c>
      <c r="B198" s="3">
        <v>0</v>
      </c>
    </row>
    <row r="199" ht="15.75" customHeight="1" spans="1:2">
      <c r="A199" s="3" t="str">
        <f>IFERROR(__xludf.DUMMYFUNCTION("GOOGLETRANSLATE(A199,""en"",""pt"")"),"telefone inútil, simplesmente surdo.")</f>
        <v>telefone inútil, simplesmente surdo.</v>
      </c>
      <c r="B199" s="3">
        <v>0</v>
      </c>
    </row>
    <row r="200" ht="15.75" customHeight="1" spans="1:2">
      <c r="A200" s="3" t="str">
        <f>IFERROR(__xludf.DUMMYFUNCTION("GOOGLETRANSLATE(A200,""en"",""pt"")"),"A cor é ainda mais bonita do que eu pensava que seria, e os gráficos são incrivelmente nítidas.")</f>
        <v>A cor é ainda mais bonita do que eu pensava que seria, e os gráficos são incrivelmente nítidas.</v>
      </c>
      <c r="B200" s="3">
        <v>1</v>
      </c>
    </row>
    <row r="201" ht="15.75" customHeight="1" spans="1:2">
      <c r="A201" s="3" t="str">
        <f>IFERROR(__xludf.DUMMYFUNCTION("GOOGLETRANSLATE(A201,""en"",""pt"")"),"Apesar de tudo, acho que foi um bom investimento.")</f>
        <v>Apesar de tudo, acho que foi um bom investimento.</v>
      </c>
      <c r="B201" s="3">
        <v>1</v>
      </c>
    </row>
    <row r="202" ht="15.75" customHeight="1" spans="1:2">
      <c r="A202" s="3" t="str">
        <f>IFERROR(__xludf.DUMMYFUNCTION("GOOGLETRANSLATE(A202,""en"",""pt"")"),"Ele faz barulhos estranhos passando muito antes de terminar a chamada.")</f>
        <v>Ele faz barulhos estranhos passando muito antes de terminar a chamada.</v>
      </c>
      <c r="B202" s="3">
        <v>0</v>
      </c>
    </row>
    <row r="203" ht="15.75" customHeight="1" spans="1:2">
      <c r="A203" s="3" t="str">
        <f>IFERROR(__xludf.DUMMYFUNCTION("GOOGLETRANSLATE(A203,""en"",""pt"")"),"Os melhores eletrônica dos transmissores FM disponíveis.")</f>
        <v>Os melhores eletrônica dos transmissores FM disponíveis.</v>
      </c>
      <c r="B203" s="3">
        <v>1</v>
      </c>
    </row>
    <row r="204" ht="15.75" customHeight="1" spans="1:2">
      <c r="A204" s="3" t="str">
        <f>IFERROR(__xludf.DUMMYFUNCTION("GOOGLETRANSLATE(A204,""en"",""pt"")"),"Bateria dura apenas algumas horas.")</f>
        <v>Bateria dura apenas algumas horas.</v>
      </c>
      <c r="B204" s="3">
        <v>0</v>
      </c>
    </row>
    <row r="205" ht="15.75" customHeight="1" spans="1:2">
      <c r="A205" s="3" t="str">
        <f>IFERROR(__xludf.DUMMYFUNCTION("GOOGLETRANSLATE(A205,""en"",""pt"")"),"fone de ouvido grande, muito impressionado - H500.")</f>
        <v>fone de ouvido grande, muito impressionado - H500.</v>
      </c>
      <c r="B205" s="3">
        <v>1</v>
      </c>
    </row>
    <row r="206" ht="15.75" customHeight="1" spans="1:2">
      <c r="A206" s="3" t="str">
        <f>IFERROR(__xludf.DUMMYFUNCTION("GOOGLETRANSLATE(A206,""en"",""pt"")"),"O ""1.2"" mega pixel câmera, sendo uma parte de um telefone, é razoavelmente good7.")</f>
        <v>O "1.2" mega pixel câmera, sendo uma parte de um telefone, é razoavelmente good7.</v>
      </c>
      <c r="B206" s="3">
        <v>1</v>
      </c>
    </row>
    <row r="207" ht="15.75" customHeight="1" spans="1:2">
      <c r="A207" s="3" t="str">
        <f>IFERROR(__xludf.DUMMYFUNCTION("GOOGLETRANSLATE(A207,""en"",""pt"")"),"Eu tive isso por quase 2 anos e tem funcionado muito bem para mim.")</f>
        <v>Eu tive isso por quase 2 anos e tem funcionado muito bem para mim.</v>
      </c>
      <c r="B207" s="3">
        <v>1</v>
      </c>
    </row>
    <row r="208" ht="15.75" customHeight="1" spans="1:2">
      <c r="A208" s="3" t="str">
        <f>IFERROR(__xludf.DUMMYFUNCTION("GOOGLETRANSLATE(A208,""en"",""pt"")"),"Bom áudio de transmissão.")</f>
        <v>Bom áudio de transmissão.</v>
      </c>
      <c r="B208" s="3">
        <v>1</v>
      </c>
    </row>
    <row r="209" ht="15.75" customHeight="1" spans="1:2">
      <c r="A209" s="3" t="str">
        <f>IFERROR(__xludf.DUMMYFUNCTION("GOOGLETRANSLATE(A209,""en"",""pt"")"),"Estamos enviando-o de volta.")</f>
        <v>Estamos enviando-o de volta.</v>
      </c>
      <c r="B209" s="3">
        <v>0</v>
      </c>
    </row>
    <row r="210" ht="15.75" customHeight="1" spans="1:2">
      <c r="A210" s="3" t="str">
        <f>IFERROR(__xludf.DUMMYFUNCTION("GOOGLETRANSLATE(A210,""en"",""pt"")"),"Eu não me incomodei entrar em contato com a empresa para alguns produtos dólar, mas eu aprendi a lição de que eu não deveria ter comprado este formulário on-line de qualquer maneira.")</f>
        <v>Eu não me incomodei entrar em contato com a empresa para alguns produtos dólar, mas eu aprendi a lição de que eu não deveria ter comprado este formulário on-line de qualquer maneira.</v>
      </c>
      <c r="B210" s="3">
        <v>0</v>
      </c>
    </row>
    <row r="211" ht="15.75" customHeight="1" spans="1:2">
      <c r="A211" s="3" t="str">
        <f>IFERROR(__xludf.DUMMYFUNCTION("GOOGLETRANSLATE(A211,""en"",""pt"")"),"Se você odeia earbugs, evitar este telefone por todos os meios.")</f>
        <v>Se você odeia earbugs, evitar este telefone por todos os meios.</v>
      </c>
      <c r="B211" s="3">
        <v>0</v>
      </c>
    </row>
    <row r="212" ht="15.75" customHeight="1" spans="1:2">
      <c r="A212" s="3" t="str">
        <f>IFERROR(__xludf.DUMMYFUNCTION("GOOGLETRANSLATE(A212,""en"",""pt"")"),"Grande preço também!")</f>
        <v>Grande preço também!</v>
      </c>
      <c r="B212" s="3">
        <v>1</v>
      </c>
    </row>
    <row r="213" ht="15.75" customHeight="1" spans="1:2">
      <c r="A213" s="3" t="str">
        <f>IFERROR(__xludf.DUMMYFUNCTION("GOOGLETRANSLATE(A213,""en"",""pt"")"),"A gama é muito decente, eu tenho sido capaz de se movimentar minha casa com o telefone na sala de estar, sem problemas de qualidade de recepção / som.")</f>
        <v>A gama é muito decente, eu tenho sido capaz de se movimentar minha casa com o telefone na sala de estar, sem problemas de qualidade de recepção / som.</v>
      </c>
      <c r="B213" s="3">
        <v>1</v>
      </c>
    </row>
    <row r="214" ht="15.75" customHeight="1" spans="1:2">
      <c r="A214" s="3" t="str">
        <f>IFERROR(__xludf.DUMMYFUNCTION("GOOGLETRANSLATE(A214,""en"",""pt"")"),"serviço rápido.")</f>
        <v>serviço rápido.</v>
      </c>
      <c r="B214" s="3">
        <v>1</v>
      </c>
    </row>
    <row r="215" ht="15.75" customHeight="1" spans="1:2">
      <c r="A215" s="3" t="str">
        <f>IFERROR(__xludf.DUMMYFUNCTION("GOOGLETRANSLATE(A215,""en"",""pt"")"),"Eu recomendaria muito isso.")</f>
        <v>Eu recomendaria muito isso.</v>
      </c>
      <c r="B215" s="3">
        <v>1</v>
      </c>
    </row>
    <row r="216" ht="15.75" customHeight="1" spans="1:2">
      <c r="A216" s="3" t="str">
        <f>IFERROR(__xludf.DUMMYFUNCTION("GOOGLETRANSLATE(A216,""en"",""pt"")"),"Gostaria de recomendar este.")</f>
        <v>Gostaria de recomendar este.</v>
      </c>
      <c r="B216" s="3">
        <v>1</v>
      </c>
    </row>
    <row r="217" ht="15.75" customHeight="1" spans="1:2">
      <c r="A217" s="3" t="str">
        <f>IFERROR(__xludf.DUMMYFUNCTION("GOOGLETRANSLATE(A217,""en"",""pt"")"),"Eu também não gostava do botão ""on"", parecia que iria quebrar com o uso.")</f>
        <v>Eu também não gostava do botão "on", parecia que iria quebrar com o uso.</v>
      </c>
      <c r="B217" s="3">
        <v>0</v>
      </c>
    </row>
    <row r="218" ht="15.75" customHeight="1" spans="1:2">
      <c r="A218" s="3" t="str">
        <f>IFERROR(__xludf.DUMMYFUNCTION("GOOGLETRANSLATE(A218,""en"",""pt"")"),"PIOR TELEFONE SEMPRE.")</f>
        <v>PIOR TELEFONE SEMPRE.</v>
      </c>
      <c r="B218" s="3">
        <v>0</v>
      </c>
    </row>
    <row r="219" ht="15.75" customHeight="1" spans="1:2">
      <c r="A219" s="3" t="str">
        <f>IFERROR(__xludf.DUMMYFUNCTION("GOOGLETRANSLATE(A219,""en"",""pt"")"),"Eu ainda estou apaixonado por este telefone.")</f>
        <v>Eu ainda estou apaixonado por este telefone.</v>
      </c>
      <c r="B219" s="3">
        <v>1</v>
      </c>
    </row>
    <row r="220" ht="15.75" customHeight="1" spans="1:2">
      <c r="A220" s="3" t="str">
        <f>IFERROR(__xludf.DUMMYFUNCTION("GOOGLETRANSLATE(A220,""en"",""pt"")"),"Congela frequently4.")</f>
        <v>Congela frequently4.</v>
      </c>
      <c r="B220" s="3">
        <v>0</v>
      </c>
    </row>
    <row r="221" ht="15.75" customHeight="1" spans="1:2">
      <c r="A221" s="3" t="str">
        <f>IFERROR(__xludf.DUMMYFUNCTION("GOOGLETRANSLATE(A221,""en"",""pt"")"),"É uma espécie de embaraçoso para usar por causa de sua aparência e principalmente é embaraçoso como criança, como a empresa é.")</f>
        <v>É uma espécie de embaraçoso para usar por causa de sua aparência e principalmente é embaraçoso como criança, como a empresa é.</v>
      </c>
      <c r="B221" s="3">
        <v>0</v>
      </c>
    </row>
    <row r="222" ht="15.75" customHeight="1" spans="1:2">
      <c r="A222" s="3" t="str">
        <f>IFERROR(__xludf.DUMMYFUNCTION("GOOGLETRANSLATE(A222,""en"",""pt"")"),"Simples, leve e grande ajuste.")</f>
        <v>Simples, leve e grande ajuste.</v>
      </c>
      <c r="B222" s="3">
        <v>1</v>
      </c>
    </row>
    <row r="223" ht="15.75" customHeight="1" spans="1:2">
      <c r="A223" s="3" t="str">
        <f>IFERROR(__xludf.DUMMYFUNCTION("GOOGLETRANSLATE(A223,""en"",""pt"")"),"Tudo em tudo, eu esperava uma experiência de consumo melhor da Motorola.")</f>
        <v>Tudo em tudo, eu esperava uma experiência de consumo melhor da Motorola.</v>
      </c>
      <c r="B223" s="3">
        <v>0</v>
      </c>
    </row>
    <row r="224" ht="15.75" customHeight="1" spans="1:2">
      <c r="A224" s="3" t="str">
        <f>IFERROR(__xludf.DUMMYFUNCTION("GOOGLETRANSLATE(A224,""en"",""pt"")"),"Há um som carrapato horrível no fundo em todas as minhas chamadas que eu nunca experimentaram antes.")</f>
        <v>Há um som carrapato horrível no fundo em todas as minhas chamadas que eu nunca experimentaram antes.</v>
      </c>
      <c r="B224" s="3">
        <v>0</v>
      </c>
    </row>
    <row r="225" ht="15.75" customHeight="1" spans="1:2">
      <c r="A225" s="3" t="str">
        <f>IFERROR(__xludf.DUMMYFUNCTION("GOOGLETRANSLATE(A225,""en"",""pt"")"),"Estes são certamente muito confortável e funcionalidade é decente.")</f>
        <v>Estes são certamente muito confortável e funcionalidade é decente.</v>
      </c>
      <c r="B225" s="3">
        <v>1</v>
      </c>
    </row>
    <row r="226" ht="15.75" customHeight="1" spans="1:2">
      <c r="A226" s="3" t="str">
        <f>IFERROR(__xludf.DUMMYFUNCTION("GOOGLETRANSLATE(A226,""en"",""pt"")"),"Eu normalmente não gosto headbands mas este é muito leve e não estragar meu cabelo.")</f>
        <v>Eu normalmente não gosto headbands mas este é muito leve e não estragar meu cabelo.</v>
      </c>
      <c r="B226" s="3">
        <v>1</v>
      </c>
    </row>
    <row r="227" ht="15.75" customHeight="1" spans="1:2">
      <c r="A227" s="3" t="str">
        <f>IFERROR(__xludf.DUMMYFUNCTION("GOOGLETRANSLATE(A227,""en"",""pt"")"),"Estou um pouco desapontado.")</f>
        <v>Estou um pouco desapontado.</v>
      </c>
      <c r="B227" s="3">
        <v>0</v>
      </c>
    </row>
    <row r="228" ht="15.75" customHeight="1" spans="1:2">
      <c r="A228" s="3" t="str">
        <f>IFERROR(__xludf.DUMMYFUNCTION("GOOGLETRANSLATE(A228,""en"",""pt"")"),"Eu tive este telefone durante mais de um ano agora, e vou dizer-lhe, não é assim tão grande.")</f>
        <v>Eu tive este telefone durante mais de um ano agora, e vou dizer-lhe, não é assim tão grande.</v>
      </c>
      <c r="B228" s="3">
        <v>0</v>
      </c>
    </row>
    <row r="229" ht="15.75" customHeight="1" spans="1:2">
      <c r="A229" s="3" t="str">
        <f>IFERROR(__xludf.DUMMYFUNCTION("GOOGLETRANSLATE(A229,""en"",""pt"")"),"Eu pedi este para Sony Ericsson W810i, mas acho que só trabalhou uma vez (é quando usei pela primeira vez).")</f>
        <v>Eu pedi este para Sony Ericsson W810i, mas acho que só trabalhou uma vez (é quando usei pela primeira vez).</v>
      </c>
      <c r="B229" s="3">
        <v>0</v>
      </c>
    </row>
    <row r="230" ht="15.75" customHeight="1" spans="1:2">
      <c r="A230" s="3" t="str">
        <f>IFERROR(__xludf.DUMMYFUNCTION("GOOGLETRANSLATE(A230,""en"",""pt"")"),"A bateria é completamente inútil para mim.")</f>
        <v>A bateria é completamente inútil para mim.</v>
      </c>
      <c r="B230" s="3">
        <v>0</v>
      </c>
    </row>
    <row r="231" ht="15.75" customHeight="1" spans="1:2">
      <c r="A231" s="3" t="str">
        <f>IFERROR(__xludf.DUMMYFUNCTION("GOOGLETRANSLATE(A231,""en"",""pt"")"),"O que um grande desperdício de tempo.")</f>
        <v>O que um grande desperdício de tempo.</v>
      </c>
      <c r="B231" s="3">
        <v>0</v>
      </c>
    </row>
    <row r="232" ht="15.75" customHeight="1" spans="1:2">
      <c r="A232" s="3" t="str">
        <f>IFERROR(__xludf.DUMMYFUNCTION("GOOGLETRANSLATE(A232,""en"",""pt"")"),"Não desperdice o seu $$$ em um presente.")</f>
        <v>Não desperdice o seu $$$ em um presente.</v>
      </c>
      <c r="B232" s="3">
        <v>0</v>
      </c>
    </row>
    <row r="233" ht="15.75" customHeight="1" spans="1:2">
      <c r="A233" s="3" t="str">
        <f>IFERROR(__xludf.DUMMYFUNCTION("GOOGLETRANSLATE(A233,""en"",""pt"")"),"Excelente som e serviço.")</f>
        <v>Excelente som e serviço.</v>
      </c>
      <c r="B233" s="3">
        <v>1</v>
      </c>
    </row>
    <row r="234" ht="15.75" customHeight="1" spans="1:2">
      <c r="A234" s="3" t="str">
        <f>IFERROR(__xludf.DUMMYFUNCTION("GOOGLETRANSLATE(A234,""en"",""pt"")"),"Muito satisfeito com este produto até o momento.")</f>
        <v>Muito satisfeito com este produto até o momento.</v>
      </c>
      <c r="B234" s="3">
        <v>1</v>
      </c>
    </row>
    <row r="235" ht="15.75" customHeight="1" spans="1:2">
      <c r="A235" s="3" t="str">
        <f>IFERROR(__xludf.DUMMYFUNCTION("GOOGLETRANSLATE(A235,""en"",""pt"")"),"Uma das minhas compras favoritos de sempre.")</f>
        <v>Uma das minhas compras favoritos de sempre.</v>
      </c>
      <c r="B235" s="3">
        <v>1</v>
      </c>
    </row>
    <row r="236" ht="15.75" customHeight="1" spans="1:2">
      <c r="A236" s="3" t="str">
        <f>IFERROR(__xludf.DUMMYFUNCTION("GOOGLETRANSLATE(A236,""en"",""pt"")"),"melhor do bluetooth no mercado.")</f>
        <v>melhor do bluetooth no mercado.</v>
      </c>
      <c r="B236" s="3">
        <v>1</v>
      </c>
    </row>
    <row r="237" ht="15.75" customHeight="1" spans="1:2">
      <c r="A237" s="3" t="str">
        <f>IFERROR(__xludf.DUMMYFUNCTION("GOOGLETRANSLATE(A237,""en"",""pt"")"),"couro autêntico com brilho agradável e conforto .I recomendar esse caso !!")</f>
        <v>couro autêntico com brilho agradável e conforto .I recomendar esse caso !!</v>
      </c>
      <c r="B237" s="3">
        <v>1</v>
      </c>
    </row>
    <row r="238" ht="15.75" customHeight="1" spans="1:2">
      <c r="A238" s="3" t="str">
        <f>IFERROR(__xludf.DUMMYFUNCTION("GOOGLETRANSLATE(A238,""en"",""pt"")"),"Eu estava muito animado para começar este fone de ouvido, porque eu pensei que era realmente bonito.")</f>
        <v>Eu estava muito animado para começar este fone de ouvido, porque eu pensei que era realmente bonito.</v>
      </c>
      <c r="B238" s="3">
        <v>1</v>
      </c>
    </row>
    <row r="239" ht="15.75" customHeight="1" spans="1:2">
      <c r="A239" s="3" t="str">
        <f>IFERROR(__xludf.DUMMYFUNCTION("GOOGLETRANSLATE(A239,""en"",""pt"")"),"Não cometa o mesmo erro que eu.")</f>
        <v>Não cometa o mesmo erro que eu.</v>
      </c>
      <c r="B239" s="3">
        <v>0</v>
      </c>
    </row>
    <row r="240" ht="15.75" customHeight="1" spans="1:2">
      <c r="A240" s="3" t="str">
        <f>IFERROR(__xludf.DUMMYFUNCTION("GOOGLETRANSLATE(A240,""en"",""pt"")"),"Decepção Big com sincronização de calendário.")</f>
        <v>Decepção Big com sincronização de calendário.</v>
      </c>
      <c r="B240" s="3">
        <v>0</v>
      </c>
    </row>
    <row r="241" ht="15.75" customHeight="1" spans="1:2">
      <c r="A241" s="3" t="str">
        <f>IFERROR(__xludf.DUMMYFUNCTION("GOOGLETRANSLATE(A241,""en"",""pt"")"),"o telefone estava inutilizável e não era nova.")</f>
        <v>o telefone estava inutilizável e não era nova.</v>
      </c>
      <c r="B241" s="3">
        <v>0</v>
      </c>
    </row>
    <row r="242" ht="15.75" customHeight="1" spans="1:2">
      <c r="A242" s="3" t="str">
        <f>IFERROR(__xludf.DUMMYFUNCTION("GOOGLETRANSLATE(A242,""en"",""pt"")"),"Piores serviço ao cliente.")</f>
        <v>Piores serviço ao cliente.</v>
      </c>
      <c r="B242" s="3">
        <v>0</v>
      </c>
    </row>
    <row r="243" ht="15.75" customHeight="1" spans="1:2">
      <c r="A243" s="3" t="str">
        <f>IFERROR(__xludf.DUMMYFUNCTION("GOOGLETRANSLATE(A243,""en"",""pt"")"),"Não géis adicionais de ouvido fornecidos, e há instruções qualquer.")</f>
        <v>Não géis adicionais de ouvido fornecidos, e há instruções qualquer.</v>
      </c>
      <c r="B243" s="3">
        <v>0</v>
      </c>
    </row>
    <row r="244" ht="15.75" customHeight="1" spans="1:2">
      <c r="A244" s="3" t="str">
        <f>IFERROR(__xludf.DUMMYFUNCTION("GOOGLETRANSLATE(A244,""en"",""pt"")"),"Ele derrota o propósito de um fone de ouvido bluetooth.")</f>
        <v>Ele derrota o propósito de um fone de ouvido bluetooth.</v>
      </c>
      <c r="B244" s="3">
        <v>0</v>
      </c>
    </row>
    <row r="245" ht="15.75" customHeight="1" spans="1:2">
      <c r="A245" s="3" t="str">
        <f>IFERROR(__xludf.DUMMYFUNCTION("GOOGLETRANSLATE(A245,""en"",""pt"")"),"Vale cada centavo.")</f>
        <v>Vale cada centavo.</v>
      </c>
      <c r="B245" s="3">
        <v>1</v>
      </c>
    </row>
    <row r="246" ht="15.75" customHeight="1" spans="1:2">
      <c r="A246" s="3" t="str">
        <f>IFERROR(__xludf.DUMMYFUNCTION("GOOGLETRANSLATE(A246,""en"",""pt"")"),"Excelente caso de telefone tipo carteira.")</f>
        <v>Excelente caso de telefone tipo carteira.</v>
      </c>
      <c r="B246" s="3">
        <v>1</v>
      </c>
    </row>
    <row r="247" ht="15.75" customHeight="1" spans="1:2">
      <c r="A247" s="3" t="str">
        <f>IFERROR(__xludf.DUMMYFUNCTION("GOOGLETRANSLATE(A247,""en"",""pt"")"),"headphones agradáveis ​​para o preço e um grande trabalho!")</f>
        <v>headphones agradáveis ​​para o preço e um grande trabalho!</v>
      </c>
      <c r="B247" s="3">
        <v>1</v>
      </c>
    </row>
    <row r="248" ht="15.75" customHeight="1" spans="1:2">
      <c r="A248" s="3" t="str">
        <f>IFERROR(__xludf.DUMMYFUNCTION("GOOGLETRANSLATE(A248,""en"",""pt"")"),"Internet é excrutiatingly lento.")</f>
        <v>Internet é excrutiatingly lento.</v>
      </c>
      <c r="B248" s="3">
        <v>0</v>
      </c>
    </row>
    <row r="249" ht="15.75" customHeight="1" spans="1:2">
      <c r="A249" s="3" t="str">
        <f>IFERROR(__xludf.DUMMYFUNCTION("GOOGLETRANSLATE(A249,""en"",""pt"")"),"É muito confortável de usar, bem como, o que é provavelmente o aspecto mais importante sobre o uso de um caso.")</f>
        <v>É muito confortável de usar, bem como, o que é provavelmente o aspecto mais importante sobre o uso de um caso.</v>
      </c>
      <c r="B249" s="3">
        <v>1</v>
      </c>
    </row>
    <row r="250" ht="15.75" customHeight="1" spans="1:2">
      <c r="A250" s="3" t="str">
        <f>IFERROR(__xludf.DUMMYFUNCTION("GOOGLETRANSLATE(A250,""en"",""pt"")"),"É encaixa como uma luva e é forte, segura e durável.")</f>
        <v>É encaixa como uma luva e é forte, segura e durável.</v>
      </c>
      <c r="B250" s="3">
        <v>1</v>
      </c>
    </row>
    <row r="251" ht="15.75" customHeight="1" spans="1:2">
      <c r="A251" s="3" t="str">
        <f>IFERROR(__xludf.DUMMYFUNCTION("GOOGLETRANSLATE(A251,""en"",""pt"")"),"O meu Deus o melhor celular que já tive.")</f>
        <v>O meu Deus o melhor celular que já tive.</v>
      </c>
      <c r="B251" s="3">
        <v>1</v>
      </c>
    </row>
    <row r="252" ht="15.75" customHeight="1" spans="1:2">
      <c r="A252" s="3" t="str">
        <f>IFERROR(__xludf.DUMMYFUNCTION("GOOGLETRANSLATE(A252,""en"",""pt"")"),"É muito atraente e parece ser de boa qualidade.")</f>
        <v>É muito atraente e parece ser de boa qualidade.</v>
      </c>
      <c r="B252" s="3">
        <v>1</v>
      </c>
    </row>
    <row r="253" ht="15.75" customHeight="1" spans="1:2">
      <c r="A253" s="3" t="str">
        <f>IFERROR(__xludf.DUMMYFUNCTION("GOOGLETRANSLATE(A253,""en"",""pt"")"),"Eu amo tudo o fator características e forma.")</f>
        <v>Eu amo tudo o fator características e forma.</v>
      </c>
      <c r="B253" s="3">
        <v>1</v>
      </c>
    </row>
    <row r="254" ht="15.75" customHeight="1" spans="1:2">
      <c r="A254" s="3" t="str">
        <f>IFERROR(__xludf.DUMMYFUNCTION("GOOGLETRANSLATE(A254,""en"",""pt"")"),"Este produto tinha um forte cheiro de borracha / petróleo que era insuportável depois de um tempo e me fez devolvê-lo")</f>
        <v>Este produto tinha um forte cheiro de borracha / petróleo que era insuportável depois de um tempo e me fez devolvê-lo</v>
      </c>
      <c r="B254" s="3">
        <v>0</v>
      </c>
    </row>
    <row r="255" ht="15.75" customHeight="1" spans="1:2">
      <c r="A255" s="3" t="str">
        <f>IFERROR(__xludf.DUMMYFUNCTION("GOOGLETRANSLATE(A255,""en"",""pt"")"),"má qualidade e serviço.")</f>
        <v>má qualidade e serviço.</v>
      </c>
      <c r="B255" s="3">
        <v>0</v>
      </c>
    </row>
    <row r="256" ht="15.75" customHeight="1" spans="1:2">
      <c r="A256" s="3" t="str">
        <f>IFERROR(__xludf.DUMMYFUNCTION("GOOGLETRANSLATE(A256,""en"",""pt"")"),"O cabo parece tão fina e frágil, é assustador.")</f>
        <v>O cabo parece tão fina e frágil, é assustador.</v>
      </c>
      <c r="B256" s="3">
        <v>0</v>
      </c>
    </row>
    <row r="257" ht="15.75" customHeight="1" spans="1:2">
      <c r="A257" s="3" t="str">
        <f>IFERROR(__xludf.DUMMYFUNCTION("GOOGLETRANSLATE(A257,""en"",""pt"")"),"Grande Auricular.")</f>
        <v>Grande Auricular.</v>
      </c>
      <c r="B257" s="3">
        <v>1</v>
      </c>
    </row>
    <row r="258" ht="15.75" customHeight="1" spans="1:2">
      <c r="A258" s="3" t="str">
        <f>IFERROR(__xludf.DUMMYFUNCTION("GOOGLETRANSLATE(A258,""en"",""pt"")"),"Excelente ferramenta livre mãos.")</f>
        <v>Excelente ferramenta livre mãos.</v>
      </c>
      <c r="B258" s="3">
        <v>1</v>
      </c>
    </row>
    <row r="259" ht="15.75" customHeight="1" spans="1:2">
      <c r="A259" s="3" t="str">
        <f>IFERROR(__xludf.DUMMYFUNCTION("GOOGLETRANSLATE(A259,""en"",""pt"")"),"Ótimo para usar com seu aparelho de som.")</f>
        <v>Ótimo para usar com seu aparelho de som.</v>
      </c>
      <c r="B259" s="3">
        <v>1</v>
      </c>
    </row>
    <row r="260" ht="15.75" customHeight="1" spans="1:2">
      <c r="A260" s="3" t="str">
        <f>IFERROR(__xludf.DUMMYFUNCTION("GOOGLETRANSLATE(A260,""en"",""pt"")"),"Bom produto - valor incrível.")</f>
        <v>Bom produto - valor incrível.</v>
      </c>
      <c r="B260" s="3">
        <v>1</v>
      </c>
    </row>
    <row r="261" ht="15.75" customHeight="1" spans="1:2">
      <c r="A261" s="3" t="str">
        <f>IFERROR(__xludf.DUMMYFUNCTION("GOOGLETRANSLATE(A261,""en"",""pt"")"),"Só tinha esse um mês, mas tem funcionado na perfeição até agora.")</f>
        <v>Só tinha esse um mês, mas tem funcionado na perfeição até agora.</v>
      </c>
      <c r="B261" s="3">
        <v>1</v>
      </c>
    </row>
    <row r="262" ht="15.75" customHeight="1" spans="1:2">
      <c r="A262" s="3" t="str">
        <f>IFERROR(__xludf.DUMMYFUNCTION("GOOGLETRANSLATE(A262,""en"",""pt"")"),"Funciona bem.")</f>
        <v>Funciona bem.</v>
      </c>
      <c r="B262" s="3">
        <v>1</v>
      </c>
    </row>
    <row r="263" ht="15.75" customHeight="1" spans="1:2">
      <c r="A263" s="3" t="str">
        <f>IFERROR(__xludf.DUMMYFUNCTION("GOOGLETRANSLATE(A263,""en"",""pt"")"),"junk absolutel.")</f>
        <v>junk absolutel.</v>
      </c>
      <c r="B263" s="3">
        <v>0</v>
      </c>
    </row>
    <row r="264" ht="15.75" customHeight="1" spans="1:2">
      <c r="A264" s="3" t="str">
        <f>IFERROR(__xludf.DUMMYFUNCTION("GOOGLETRANSLATE(A264,""en"",""pt"")"),"Que não quer trabalhar.")</f>
        <v>Que não quer trabalhar.</v>
      </c>
      <c r="B264" s="3">
        <v>0</v>
      </c>
    </row>
    <row r="265" ht="15.75" customHeight="1" spans="1:2">
      <c r="A265" s="3" t="str">
        <f>IFERROR(__xludf.DUMMYFUNCTION("GOOGLETRANSLATE(A265,""en"",""pt"")"),"A vida da bateria é muito bom.")</f>
        <v>A vida da bateria é muito bom.</v>
      </c>
      <c r="B265" s="3">
        <v>1</v>
      </c>
    </row>
    <row r="266" ht="15.75" customHeight="1" spans="1:2">
      <c r="A266" s="3" t="str">
        <f>IFERROR(__xludf.DUMMYFUNCTION("GOOGLETRANSLATE(A266,""en"",""pt"")"),"Voltou 8 horas mais tarde.")</f>
        <v>Voltou 8 horas mais tarde.</v>
      </c>
      <c r="B266" s="3">
        <v>0</v>
      </c>
    </row>
    <row r="267" ht="15.75" customHeight="1" spans="1:2">
      <c r="A267" s="3" t="str">
        <f>IFERROR(__xludf.DUMMYFUNCTION("GOOGLETRANSLATE(A267,""en"",""pt"")"),"É um grande item.")</f>
        <v>É um grande item.</v>
      </c>
      <c r="B267" s="3">
        <v>1</v>
      </c>
    </row>
    <row r="268" ht="15.75" customHeight="1" spans="1:2">
      <c r="A268" s="3" t="str">
        <f>IFERROR(__xludf.DUMMYFUNCTION("GOOGLETRANSLATE(A268,""en"",""pt"")"),"Não desperdice seu dinheiro !.")</f>
        <v>Não desperdice seu dinheiro !.</v>
      </c>
      <c r="B268" s="3">
        <v>0</v>
      </c>
    </row>
    <row r="269" ht="15.75" customHeight="1" spans="1:2">
      <c r="A269" s="3" t="str">
        <f>IFERROR(__xludf.DUMMYFUNCTION("GOOGLETRANSLATE(A269,""en"",""pt"")"),"Amo este fone de ouvido!")</f>
        <v>Amo este fone de ouvido!</v>
      </c>
      <c r="B269" s="3">
        <v>1</v>
      </c>
    </row>
    <row r="270" ht="15.75" customHeight="1" spans="1:2">
      <c r="A270" s="3" t="str">
        <f>IFERROR(__xludf.DUMMYFUNCTION("GOOGLETRANSLATE(A270,""en"",""pt"")"),"Não só irá drenar o seu jogador, mas também pode potencialmente fritá-lo.")</f>
        <v>Não só irá drenar o seu jogador, mas também pode potencialmente fritá-lo.</v>
      </c>
      <c r="B270" s="3">
        <v>0</v>
      </c>
    </row>
    <row r="271" ht="15.75" customHeight="1" spans="1:2">
      <c r="A271" s="3" t="str">
        <f>IFERROR(__xludf.DUMMYFUNCTION("GOOGLETRANSLATE(A271,""en"",""pt"")"),"Funcionou perfeitamente!")</f>
        <v>Funcionou perfeitamente!</v>
      </c>
      <c r="B271" s="3">
        <v>1</v>
      </c>
    </row>
    <row r="272" ht="15.75" customHeight="1" spans="1:2">
      <c r="A272" s="3" t="str">
        <f>IFERROR(__xludf.DUMMYFUNCTION("GOOGLETRANSLATE(A272,""en"",""pt"")"),"Não confiável - Estou desistindo.")</f>
        <v>Não confiável - Estou desistindo.</v>
      </c>
      <c r="B272" s="3">
        <v>0</v>
      </c>
    </row>
    <row r="273" ht="15.75" customHeight="1" spans="1:2">
      <c r="A273" s="3" t="str">
        <f>IFERROR(__xludf.DUMMYFUNCTION("GOOGLETRANSLATE(A273,""en"",""pt"")"),"I deram a 5 estrelas, porque a qualidade do som.")</f>
        <v>I deram a 5 estrelas, porque a qualidade do som.</v>
      </c>
      <c r="B273" s="3">
        <v>1</v>
      </c>
    </row>
    <row r="274" ht="15.75" customHeight="1" spans="1:2">
      <c r="A274" s="3" t="str">
        <f>IFERROR(__xludf.DUMMYFUNCTION("GOOGLETRANSLATE(A274,""en"",""pt"")"),"Evitar este um, se possível.")</f>
        <v>Evitar este um, se possível.</v>
      </c>
      <c r="B274" s="3">
        <v>0</v>
      </c>
    </row>
    <row r="275" ht="15.75" customHeight="1" spans="1:2">
      <c r="A275" s="3" t="str">
        <f>IFERROR(__xludf.DUMMYFUNCTION("GOOGLETRANSLATE(A275,""en"",""pt"")"),"plugue reversível funciona muito bem.")</f>
        <v>plugue reversível funciona muito bem.</v>
      </c>
      <c r="B275" s="3">
        <v>1</v>
      </c>
    </row>
    <row r="276" ht="15.75" customHeight="1" spans="1:2">
      <c r="A276" s="3" t="str">
        <f>IFERROR(__xludf.DUMMYFUNCTION("GOOGLETRANSLATE(A276,""en"",""pt"")"),"Eu perdi meu pouco dinheiro com este fone de ouvido.")</f>
        <v>Eu perdi meu pouco dinheiro com este fone de ouvido.</v>
      </c>
      <c r="B276" s="3">
        <v>0</v>
      </c>
    </row>
    <row r="277" ht="15.75" customHeight="1" spans="1:2">
      <c r="A277" s="3" t="str">
        <f>IFERROR(__xludf.DUMMYFUNCTION("GOOGLETRANSLATE(A277,""en"",""pt"")"),"Muito bom telefone.")</f>
        <v>Muito bom telefone.</v>
      </c>
      <c r="B277" s="3">
        <v>1</v>
      </c>
    </row>
    <row r="278" ht="15.75" customHeight="1" spans="1:2">
      <c r="A278" s="3" t="str">
        <f>IFERROR(__xludf.DUMMYFUNCTION("GOOGLETRANSLATE(A278,""en"",""pt"")"),"O melhor de tudo é a característica de rotação, muito útil.")</f>
        <v>O melhor de tudo é a característica de rotação, muito útil.</v>
      </c>
      <c r="B278" s="3">
        <v>1</v>
      </c>
    </row>
    <row r="279" ht="15.75" customHeight="1" spans="1:2">
      <c r="A279" s="3" t="str">
        <f>IFERROR(__xludf.DUMMYFUNCTION("GOOGLETRANSLATE(A279,""en"",""pt"")"),"Conforto para toda a nossa família.")</f>
        <v>Conforto para toda a nossa família.</v>
      </c>
      <c r="B279" s="3">
        <v>1</v>
      </c>
    </row>
    <row r="280" ht="15.75" customHeight="1" spans="1:2">
      <c r="A280" s="3" t="str">
        <f>IFERROR(__xludf.DUMMYFUNCTION("GOOGLETRANSLATE(A280,""en"",""pt"")"),"Bom produto, bom vendedor.")</f>
        <v>Bom produto, bom vendedor.</v>
      </c>
      <c r="B280" s="3">
        <v>1</v>
      </c>
    </row>
    <row r="281" ht="15.75" customHeight="1" spans="1:2">
      <c r="A281" s="3" t="str">
        <f>IFERROR(__xludf.DUMMYFUNCTION("GOOGLETRANSLATE(A281,""en"",""pt"")"),"Eu amo este Bluetooth!")</f>
        <v>Eu amo este Bluetooth!</v>
      </c>
      <c r="B281" s="3">
        <v>1</v>
      </c>
    </row>
    <row r="282" ht="15.75" customHeight="1" spans="1:2">
      <c r="A282" s="3" t="str">
        <f>IFERROR(__xludf.DUMMYFUNCTION("GOOGLETRANSLATE(A282,""en"",""pt"")"),"Primeiro de tudo, ele não vestir bem.")</f>
        <v>Primeiro de tudo, ele não vestir bem.</v>
      </c>
      <c r="B282" s="3">
        <v>0</v>
      </c>
    </row>
    <row r="283" ht="15.75" customHeight="1" spans="1:2">
      <c r="A283" s="3" t="str">
        <f>IFERROR(__xludf.DUMMYFUNCTION("GOOGLETRANSLATE(A283,""en"",""pt"")"),"Estou muito impressionado com este fone de ouvido da Plantronics.")</f>
        <v>Estou muito impressionado com este fone de ouvido da Plantronics.</v>
      </c>
      <c r="B283" s="3">
        <v>1</v>
      </c>
    </row>
    <row r="284" ht="15.75" customHeight="1" spans="1:2">
      <c r="A284" s="3" t="str">
        <f>IFERROR(__xludf.DUMMYFUNCTION("GOOGLETRANSLATE(A284,""en"",""pt"")"),"Eu entendi porque era muito pequena e adorável.")</f>
        <v>Eu entendi porque era muito pequena e adorável.</v>
      </c>
      <c r="B284" s="3">
        <v>1</v>
      </c>
    </row>
    <row r="285" ht="15.75" customHeight="1" spans="1:2">
      <c r="A285" s="3" t="str">
        <f>IFERROR(__xludf.DUMMYFUNCTION("GOOGLETRANSLATE(A285,""en"",""pt"")"),"Grande telefone !.")</f>
        <v>Grande telefone !.</v>
      </c>
      <c r="B285" s="3">
        <v>1</v>
      </c>
    </row>
    <row r="286" ht="15.75" customHeight="1" spans="1:2">
      <c r="A286" s="3" t="str">
        <f>IFERROR(__xludf.DUMMYFUNCTION("GOOGLETRANSLATE(A286,""en"",""pt"")"),"Eu não recomendaria comprar este produto.")</f>
        <v>Eu não recomendaria comprar este produto.</v>
      </c>
      <c r="B286" s="3">
        <v>0</v>
      </c>
    </row>
    <row r="287" ht="15.75" customHeight="1" spans="1:2">
      <c r="A287" s="3" t="str">
        <f>IFERROR(__xludf.DUMMYFUNCTION("GOOGLETRANSLATE(A287,""en"",""pt"")"),"Pedaço de lixo.")</f>
        <v>Pedaço de lixo.</v>
      </c>
      <c r="B287" s="3">
        <v>0</v>
      </c>
    </row>
    <row r="288" ht="15.75" customHeight="1" spans="1:2">
      <c r="A288" s="3" t="str">
        <f>IFERROR(__xludf.DUMMYFUNCTION("GOOGLETRANSLATE(A288,""en"",""pt"")"),"dobradiça contstruct mal.")</f>
        <v>dobradiça contstruct mal.</v>
      </c>
      <c r="B288" s="3">
        <v>0</v>
      </c>
    </row>
    <row r="289" ht="15.75" customHeight="1" spans="1:2">
      <c r="A289" s="3" t="str">
        <f>IFERROR(__xludf.DUMMYFUNCTION("GOOGLETRANSLATE(A289,""en"",""pt"")"),"Este artigo é grande, instalou-lo, deixá-lo carregado overnite e tem sido boa cada trabalhando desde sem problemas")</f>
        <v>Este artigo é grande, instalou-lo, deixá-lo carregado overnite e tem sido boa cada trabalhando desde sem problemas</v>
      </c>
      <c r="B289" s="3">
        <v>1</v>
      </c>
    </row>
    <row r="290" ht="15.75" customHeight="1" spans="1:2">
      <c r="A290" s="3" t="str">
        <f>IFERROR(__xludf.DUMMYFUNCTION("GOOGLETRANSLATE(A290,""en"",""pt"")"),"Grande Phone.")</f>
        <v>Grande Phone.</v>
      </c>
      <c r="B290" s="3">
        <v>1</v>
      </c>
    </row>
    <row r="291" ht="15.75" customHeight="1" spans="1:2">
      <c r="A291" s="3" t="str">
        <f>IFERROR(__xludf.DUMMYFUNCTION("GOOGLETRANSLATE(A291,""en"",""pt"")"),"Não comprá-lo.")</f>
        <v>Não comprá-lo.</v>
      </c>
      <c r="B291" s="3">
        <v>0</v>
      </c>
    </row>
    <row r="292" ht="15.75" customHeight="1" spans="1:2">
      <c r="A292" s="3" t="str">
        <f>IFERROR(__xludf.DUMMYFUNCTION("GOOGLETRANSLATE(A292,""en"",""pt"")"),"Excelente Phone.")</f>
        <v>Excelente Phone.</v>
      </c>
      <c r="B292" s="3">
        <v>1</v>
      </c>
    </row>
    <row r="293" ht="15.75" customHeight="1" spans="1:2">
      <c r="A293" s="3" t="str">
        <f>IFERROR(__xludf.DUMMYFUNCTION("GOOGLETRANSLATE(A293,""en"",""pt"")"),"Não compre este telefone.")</f>
        <v>Não compre este telefone.</v>
      </c>
      <c r="B293" s="3">
        <v>0</v>
      </c>
    </row>
    <row r="294" ht="15.75" customHeight="1" spans="1:2">
      <c r="A294" s="3" t="str">
        <f>IFERROR(__xludf.DUMMYFUNCTION("GOOGLETRANSLATE(A294,""en"",""pt"")"),"O reconhecimento de voz através do aparelho é excelente.")</f>
        <v>O reconhecimento de voz através do aparelho é excelente.</v>
      </c>
      <c r="B294" s="3">
        <v>1</v>
      </c>
    </row>
    <row r="295" ht="15.75" customHeight="1" spans="1:2">
      <c r="A295" s="3" t="str">
        <f>IFERROR(__xludf.DUMMYFUNCTION("GOOGLETRANSLATE(A295,""en"",""pt"")"),"Este é de longe o melhor celular que já tive.")</f>
        <v>Este é de longe o melhor celular que já tive.</v>
      </c>
      <c r="B295" s="3">
        <v>1</v>
      </c>
    </row>
    <row r="296" ht="15.75" customHeight="1" spans="1:2">
      <c r="A296" s="3" t="str">
        <f>IFERROR(__xludf.DUMMYFUNCTION("GOOGLETRANSLATE(A296,""en"",""pt"")"),"Funciona muito bem, quando meu gato atacou o telefone ele arranhou a faixa de proteção, em vez de destruir a tela.")</f>
        <v>Funciona muito bem, quando meu gato atacou o telefone ele arranhou a faixa de proteção, em vez de destruir a tela.</v>
      </c>
      <c r="B296" s="3">
        <v>1</v>
      </c>
    </row>
    <row r="297" ht="15.75" customHeight="1" spans="1:2">
      <c r="A297" s="3" t="str">
        <f>IFERROR(__xludf.DUMMYFUNCTION("GOOGLETRANSLATE(A297,""en"",""pt"")"),"Este funciona e foi preço à direita.")</f>
        <v>Este funciona e foi preço à direita.</v>
      </c>
      <c r="B297" s="3">
        <v>1</v>
      </c>
    </row>
    <row r="298" ht="15.75" customHeight="1" spans="1:2">
      <c r="A298" s="3" t="str">
        <f>IFERROR(__xludf.DUMMYFUNCTION("GOOGLETRANSLATE(A298,""en"",""pt"")"),"Serviço ao cliente foi terrível.")</f>
        <v>Serviço ao cliente foi terrível.</v>
      </c>
      <c r="B298" s="3">
        <v>0</v>
      </c>
    </row>
    <row r="299" ht="15.75" customHeight="1" spans="1:2">
      <c r="A299" s="3" t="str">
        <f>IFERROR(__xludf.DUMMYFUNCTION("GOOGLETRANSLATE(A299,""en"",""pt"")"),"A vida da bateria ainda não há tempo suficiente no Motorola Navalha V3i.")</f>
        <v>A vida da bateria ainda não há tempo suficiente no Motorola Navalha V3i.</v>
      </c>
      <c r="B299" s="3">
        <v>0</v>
      </c>
    </row>
    <row r="300" ht="15.75" customHeight="1" spans="1:2">
      <c r="A300" s="3" t="str">
        <f>IFERROR(__xludf.DUMMYFUNCTION("GOOGLETRANSLATE(A300,""en"",""pt"")"),"Enviá-lo de volta.")</f>
        <v>Enviá-lo de volta.</v>
      </c>
      <c r="B300" s="3">
        <v>0</v>
      </c>
    </row>
    <row r="301" ht="15.75" customHeight="1" spans="1:2">
      <c r="A301" s="3" t="str">
        <f>IFERROR(__xludf.DUMMYFUNCTION("GOOGLETRANSLATE(A301,""en"",""pt"")"),"Agora eu sei que eu fiz uma decisão sábia.")</f>
        <v>Agora eu sei que eu fiz uma decisão sábia.</v>
      </c>
      <c r="B301" s="3">
        <v>1</v>
      </c>
    </row>
    <row r="302" ht="15.75" customHeight="1" spans="1:2">
      <c r="A302" s="3" t="str">
        <f>IFERROR(__xludf.DUMMYFUNCTION("GOOGLETRANSLATE(A302,""en"",""pt"")"),"Alguém shouldve inventou isso mais cedo.")</f>
        <v>Alguém shouldve inventou isso mais cedo.</v>
      </c>
      <c r="B302" s="3">
        <v>1</v>
      </c>
    </row>
    <row r="303" ht="15.75" customHeight="1" spans="1:2">
      <c r="A303" s="3" t="str">
        <f>IFERROR(__xludf.DUMMYFUNCTION("GOOGLETRANSLATE(A303,""en"",""pt"")"),"Bom preço.")</f>
        <v>Bom preço.</v>
      </c>
      <c r="B303" s="3">
        <v>1</v>
      </c>
    </row>
    <row r="304" ht="15.75" customHeight="1" spans="1:2">
      <c r="A304" s="3" t="str">
        <f>IFERROR(__xludf.DUMMYFUNCTION("GOOGLETRANSLATE(A304,""en"",""pt"")"),"Tudo funcionou no primeiro dispositivo try.The certamente foi projetado de maneira inteligente e a construção se sente bem.")</f>
        <v>Tudo funcionou no primeiro dispositivo try.The certamente foi projetado de maneira inteligente e a construção se sente bem.</v>
      </c>
      <c r="B304" s="3">
        <v>1</v>
      </c>
    </row>
    <row r="305" ht="15.75" customHeight="1" spans="1:2">
      <c r="A305" s="3" t="str">
        <f>IFERROR(__xludf.DUMMYFUNCTION("GOOGLETRANSLATE(A305,""en"",""pt"")"),"Recebi-lo rapidamente e ele funciona muito bem !!")</f>
        <v>Recebi-lo rapidamente e ele funciona muito bem !!</v>
      </c>
      <c r="B305" s="3">
        <v>1</v>
      </c>
    </row>
    <row r="306" ht="15.75" customHeight="1" spans="1:2">
      <c r="A306" s="3" t="str">
        <f>IFERROR(__xludf.DUMMYFUNCTION("GOOGLETRANSLATE(A306,""en"",""pt"")"),"Tem vindo a trabalhar bem.")</f>
        <v>Tem vindo a trabalhar bem.</v>
      </c>
      <c r="B306" s="3">
        <v>1</v>
      </c>
    </row>
    <row r="307" ht="15.75" customHeight="1" spans="1:2">
      <c r="A307" s="3" t="str">
        <f>IFERROR(__xludf.DUMMYFUNCTION("GOOGLETRANSLATE(A307,""en"",""pt"")"),"Como muitas pessoas se queixaram, achei microfone deste fone de ouvido era muito fraco.")</f>
        <v>Como muitas pessoas se queixaram, achei microfone deste fone de ouvido era muito fraco.</v>
      </c>
      <c r="B307" s="3">
        <v>0</v>
      </c>
    </row>
    <row r="308" ht="15.75" customHeight="1" spans="1:2">
      <c r="A308" s="3" t="str">
        <f>IFERROR(__xludf.DUMMYFUNCTION("GOOGLETRANSLATE(A308,""en"",""pt"")"),"Meu 5 anos de idade Nokia 2160 de Tracfone detém a carga muito melhor do que isso.")</f>
        <v>Meu 5 anos de idade Nokia 2160 de Tracfone detém a carga muito melhor do que isso.</v>
      </c>
      <c r="B308" s="3">
        <v>0</v>
      </c>
    </row>
    <row r="309" ht="15.75" customHeight="1" spans="1:2">
      <c r="A309" s="3" t="str">
        <f>IFERROR(__xludf.DUMMYFUNCTION("GOOGLETRANSLATE(A309,""en"",""pt"")"),"Eles não se preocupam com o consumidor um pouco.")</f>
        <v>Eles não se preocupam com o consumidor um pouco.</v>
      </c>
      <c r="B309" s="3">
        <v>0</v>
      </c>
    </row>
    <row r="310" ht="15.75" customHeight="1" spans="1:2">
      <c r="A310" s="3" t="str">
        <f>IFERROR(__xludf.DUMMYFUNCTION("GOOGLETRANSLATE(A310,""en"",""pt"")"),"Esta é uma boa bateria, e ele ficou aqui muito rápido.")</f>
        <v>Esta é uma boa bateria, e ele ficou aqui muito rápido.</v>
      </c>
      <c r="B310" s="3">
        <v>1</v>
      </c>
    </row>
    <row r="311" ht="15.75" customHeight="1" spans="1:2">
      <c r="A311" s="3" t="str">
        <f>IFERROR(__xludf.DUMMYFUNCTION("GOOGLETRANSLATE(A311,""en"",""pt"")"),"O manual de instruções está faltando.")</f>
        <v>O manual de instruções está faltando.</v>
      </c>
      <c r="B311" s="3">
        <v>0</v>
      </c>
    </row>
    <row r="312" ht="15.75" customHeight="1" spans="1:2">
      <c r="A312" s="3" t="str">
        <f>IFERROR(__xludf.DUMMYFUNCTION("GOOGLETRANSLATE(A312,""en"",""pt"")"),"Também é o suficiente fina para caber em minha docking station despertador sem retirar o caso.")</f>
        <v>Também é o suficiente fina para caber em minha docking station despertador sem retirar o caso.</v>
      </c>
      <c r="B312" s="3">
        <v>1</v>
      </c>
    </row>
    <row r="313" ht="15.75" customHeight="1" spans="1:2">
      <c r="A313" s="3" t="str">
        <f>IFERROR(__xludf.DUMMYFUNCTION("GOOGLETRANSLATE(A313,""en"",""pt"")"),"Telefone agora detém carga como ele fez quando era novo.")</f>
        <v>Telefone agora detém carga como ele fez quando era novo.</v>
      </c>
      <c r="B313" s="3">
        <v>1</v>
      </c>
    </row>
    <row r="314" ht="15.75" customHeight="1" spans="1:2">
      <c r="A314" s="3" t="str">
        <f>IFERROR(__xludf.DUMMYFUNCTION("GOOGLETRANSLATE(A314,""en"",""pt"")"),"A bateria não é confiável, bem como a antena de uso de serviço.")</f>
        <v>A bateria não é confiável, bem como a antena de uso de serviço.</v>
      </c>
      <c r="B314" s="3">
        <v>0</v>
      </c>
    </row>
    <row r="315" ht="15.75" customHeight="1" spans="1:2">
      <c r="A315" s="3" t="str">
        <f>IFERROR(__xludf.DUMMYFUNCTION("GOOGLETRANSLATE(A315,""en"",""pt"")"),"É desconfortável ea qualidade do som é muito pobre em comparação com o telefone (Razr) ou com o meu fone de ouvido com fio anterior (que conectado a uma LG).")</f>
        <v>É desconfortável ea qualidade do som é muito pobre em comparação com o telefone (Razr) ou com o meu fone de ouvido com fio anterior (que conectado a uma LG).</v>
      </c>
      <c r="B315" s="3">
        <v>0</v>
      </c>
    </row>
    <row r="316" ht="15.75" customHeight="1" spans="1:2">
      <c r="A316" s="3" t="str">
        <f>IFERROR(__xludf.DUMMYFUNCTION("GOOGLETRANSLATE(A316,""en"",""pt"")"),"Nós tivemos um monte de elogios sobre ele.")</f>
        <v>Nós tivemos um monte de elogios sobre ele.</v>
      </c>
      <c r="B316" s="3">
        <v>1</v>
      </c>
    </row>
    <row r="317" ht="15.75" customHeight="1" spans="1:2">
      <c r="A317" s="3" t="str">
        <f>IFERROR(__xludf.DUMMYFUNCTION("GOOGLETRANSLATE(A317,""en"",""pt"")"),"Este é definitivamente um deve ter se o seu estado não permite o uso do telefone celular enquanto estiver dirigindo.")</f>
        <v>Este é definitivamente um deve ter se o seu estado não permite o uso do telefone celular enquanto estiver dirigindo.</v>
      </c>
      <c r="B317" s="3">
        <v>1</v>
      </c>
    </row>
    <row r="318" ht="15.75" customHeight="1" spans="1:2">
      <c r="A318" s="3" t="str">
        <f>IFERROR(__xludf.DUMMYFUNCTION("GOOGLETRANSLATE(A318,""en"",""pt"")"),"Eu quero meu dinheiro de volta.")</f>
        <v>Eu quero meu dinheiro de volta.</v>
      </c>
      <c r="B318" s="3">
        <v>0</v>
      </c>
    </row>
    <row r="319" ht="15.75" customHeight="1" spans="1:2">
      <c r="A319" s="3" t="str">
        <f>IFERROR(__xludf.DUMMYFUNCTION("GOOGLETRANSLATE(A319,""en"",""pt"")"),"Eu amo este dispositivo.")</f>
        <v>Eu amo este dispositivo.</v>
      </c>
      <c r="B319" s="3">
        <v>1</v>
      </c>
    </row>
    <row r="320" ht="15.75" customHeight="1" spans="1:2">
      <c r="A320" s="3" t="str">
        <f>IFERROR(__xludf.DUMMYFUNCTION("GOOGLETRANSLATE(A320,""en"",""pt"")"),"Eu também estou muito feliz com o preço.")</f>
        <v>Eu também estou muito feliz com o preço.</v>
      </c>
      <c r="B320" s="3">
        <v>1</v>
      </c>
    </row>
    <row r="321" ht="15.75" customHeight="1" spans="1:2">
      <c r="A321" s="3" t="str">
        <f>IFERROR(__xludf.DUMMYFUNCTION("GOOGLETRANSLATE(A321,""en"",""pt"")"),"Eu pedi este produto em primeiro lugar e estava descontente com ele imediatamente.")</f>
        <v>Eu pedi este produto em primeiro lugar e estava descontente com ele imediatamente.</v>
      </c>
      <c r="B321" s="3">
        <v>0</v>
      </c>
    </row>
    <row r="322" ht="15.75" customHeight="1" spans="1:2">
      <c r="A322" s="3" t="str">
        <f>IFERROR(__xludf.DUMMYFUNCTION("GOOGLETRANSLATE(A322,""en"",""pt"")"),"O Ngage ainda está faltando em fones de ouvido.")</f>
        <v>O Ngage ainda está faltando em fones de ouvido.</v>
      </c>
      <c r="B322" s="3">
        <v>0</v>
      </c>
    </row>
    <row r="323" ht="15.75" customHeight="1" spans="1:2">
      <c r="A323" s="3" t="str">
        <f>IFERROR(__xludf.DUMMYFUNCTION("GOOGLETRANSLATE(A323,""en"",""pt"")"),"Eu era capaz de fazer a marcação por voz no carro sem nenhum problema.")</f>
        <v>Eu era capaz de fazer a marcação por voz no carro sem nenhum problema.</v>
      </c>
      <c r="B323" s="3">
        <v>1</v>
      </c>
    </row>
    <row r="324" ht="15.75" customHeight="1" spans="1:2">
      <c r="A324" s="3" t="str">
        <f>IFERROR(__xludf.DUMMYFUNCTION("GOOGLETRANSLATE(A324,""en"",""pt"")"),"Tenho 2-3 bares no meu celular quando estou em casa, mas você não posso ouvir nada.")</f>
        <v>Tenho 2-3 bares no meu celular quando estou em casa, mas você não posso ouvir nada.</v>
      </c>
      <c r="B324" s="3">
        <v>0</v>
      </c>
    </row>
    <row r="325" ht="15.75" customHeight="1" spans="1:2">
      <c r="A325" s="3" t="str">
        <f>IFERROR(__xludf.DUMMYFUNCTION("GOOGLETRANSLATE(A325,""en"",""pt"")"),"good item, preço baixo.")</f>
        <v>good item, preço baixo.</v>
      </c>
      <c r="B325" s="3">
        <v>1</v>
      </c>
    </row>
    <row r="326" ht="15.75" customHeight="1" spans="1:2">
      <c r="A326" s="3" t="str">
        <f>IFERROR(__xludf.DUMMYFUNCTION("GOOGLETRANSLATE(A326,""en"",""pt"")"),"No entanto, os riingtones não são os melhores, e nem são os jogos.")</f>
        <v>No entanto, os riingtones não são os melhores, e nem são os jogos.</v>
      </c>
      <c r="B326" s="3">
        <v>0</v>
      </c>
    </row>
    <row r="327" ht="15.75" customHeight="1" spans="1:2">
      <c r="A327" s="3" t="str">
        <f>IFERROR(__xludf.DUMMYFUNCTION("GOOGLETRANSLATE(A327,""en"",""pt"")"),"A ficha não funcionou muito bem.")</f>
        <v>A ficha não funcionou muito bem.</v>
      </c>
      <c r="B327" s="3">
        <v>0</v>
      </c>
    </row>
    <row r="328" ht="15.75" customHeight="1" spans="1:2">
      <c r="A328" s="3" t="str">
        <f>IFERROR(__xludf.DUMMYFUNCTION("GOOGLETRANSLATE(A328,""en"",""pt"")"),"AMAZON SUGA.")</f>
        <v>AMAZON SUGA.</v>
      </c>
      <c r="B328" s="3">
        <v>0</v>
      </c>
    </row>
    <row r="329" ht="15.75" customHeight="1" spans="1:2">
      <c r="A329" s="3" t="str">
        <f>IFERROR(__xludf.DUMMYFUNCTION("GOOGLETRANSLATE(A329,""en"",""pt"")"),"Rip off transporte ---- sobre a carga.")</f>
        <v>Rip off transporte ---- sobre a carga.</v>
      </c>
      <c r="B329" s="3">
        <v>0</v>
      </c>
    </row>
    <row r="330" ht="15.75" customHeight="1" spans="1:2">
      <c r="A330" s="3" t="str">
        <f>IFERROR(__xludf.DUMMYFUNCTION("GOOGLETRANSLATE(A330,""en"",""pt"")"),"Muito confortável.")</f>
        <v>Muito confortável.</v>
      </c>
      <c r="B330" s="3">
        <v>1</v>
      </c>
    </row>
    <row r="331" ht="15.75" customHeight="1" spans="1:2">
      <c r="A331" s="3" t="str">
        <f>IFERROR(__xludf.DUMMYFUNCTION("GOOGLETRANSLATE(A331,""en"",""pt"")"),"A bateria está funcionando bem como um substituto para o original que veio com o telefone mais de 2 anos atrás.")</f>
        <v>A bateria está funcionando bem como um substituto para o original que veio com o telefone mais de 2 anos atrás.</v>
      </c>
      <c r="B331" s="3">
        <v>1</v>
      </c>
    </row>
    <row r="332" ht="15.75" customHeight="1" spans="1:2">
      <c r="A332" s="3" t="str">
        <f>IFERROR(__xludf.DUMMYFUNCTION("GOOGLETRANSLATE(A332,""en"",""pt"")"),"A recepção é excelente!")</f>
        <v>A recepção é excelente!</v>
      </c>
      <c r="B332" s="3">
        <v>1</v>
      </c>
    </row>
    <row r="333" ht="15.75" customHeight="1" spans="1:2">
      <c r="A333" s="3" t="str">
        <f>IFERROR(__xludf.DUMMYFUNCTION("GOOGLETRANSLATE(A333,""en"",""pt"")"),"Ele se encaixa confortavelmente em qualquer um dos ouvidos, o som é claro e alto, ea carga dura um par de dias.")</f>
        <v>Ele se encaixa confortavelmente em qualquer um dos ouvidos, o som é claro e alto, ea carga dura um par de dias.</v>
      </c>
      <c r="B333" s="3">
        <v>1</v>
      </c>
    </row>
    <row r="334" ht="15.75" customHeight="1" spans="1:2">
      <c r="A334" s="3" t="str">
        <f>IFERROR(__xludf.DUMMYFUNCTION("GOOGLETRANSLATE(A334,""en"",""pt"")"),"muito claro, a qualidade de som e você não tem que mexer com o som do seu iPod desde que você tem os botões de som no fone de ouvido.")</f>
        <v>muito claro, a qualidade de som e você não tem que mexer com o som do seu iPod desde que você tem os botões de som no fone de ouvido.</v>
      </c>
      <c r="B334" s="3">
        <v>1</v>
      </c>
    </row>
    <row r="335" ht="15.75" customHeight="1" spans="1:2">
      <c r="A335" s="3" t="str">
        <f>IFERROR(__xludf.DUMMYFUNCTION("GOOGLETRANSLATE(A335,""en"",""pt"")"),"Obviamente, há um problema com o adesivo.")</f>
        <v>Obviamente, há um problema com o adesivo.</v>
      </c>
      <c r="B335" s="3">
        <v>0</v>
      </c>
    </row>
    <row r="336" ht="15.75" customHeight="1" spans="1:2">
      <c r="A336" s="3" t="str">
        <f>IFERROR(__xludf.DUMMYFUNCTION("GOOGLETRANSLATE(A336,""en"",""pt"")"),"Muito decepcionante.")</f>
        <v>Muito decepcionante.</v>
      </c>
      <c r="B336" s="3">
        <v>0</v>
      </c>
    </row>
    <row r="337" ht="15.75" customHeight="1" spans="1:2">
      <c r="A337" s="3" t="str">
        <f>IFERROR(__xludf.DUMMYFUNCTION("GOOGLETRANSLATE(A337,""en"",""pt"")"),"Era uma peça barata, mas eu ainda teria esperado melhor qualidade.")</f>
        <v>Era uma peça barata, mas eu ainda teria esperado melhor qualidade.</v>
      </c>
      <c r="B337" s="3">
        <v>0</v>
      </c>
    </row>
    <row r="338" ht="15.75" customHeight="1" spans="1:2">
      <c r="A338" s="3" t="str">
        <f>IFERROR(__xludf.DUMMYFUNCTION("GOOGLETRANSLATE(A338,""en"",""pt"")"),"É praticamente inútil e não adicionar qualquer tipo de impulso para a minha recepção depois que eu comprei.")</f>
        <v>É praticamente inútil e não adicionar qualquer tipo de impulso para a minha recepção depois que eu comprei.</v>
      </c>
      <c r="B338" s="3">
        <v>0</v>
      </c>
    </row>
    <row r="339" ht="15.75" customHeight="1" spans="1:2">
      <c r="A339" s="3" t="str">
        <f>IFERROR(__xludf.DUMMYFUNCTION("GOOGLETRANSLATE(A339,""en"",""pt"")"),"Excelente qualidade de som.")</f>
        <v>Excelente qualidade de som.</v>
      </c>
      <c r="B339" s="3">
        <v>1</v>
      </c>
    </row>
    <row r="340" ht="15.75" customHeight="1" spans="1:2">
      <c r="A340" s="3" t="str">
        <f>IFERROR(__xludf.DUMMYFUNCTION("GOOGLETRANSLATE(A340,""en"",""pt"")"),"não estava feliz.")</f>
        <v>não estava feliz.</v>
      </c>
      <c r="B340" s="3">
        <v>0</v>
      </c>
    </row>
    <row r="341" ht="15.75" customHeight="1" spans="1:2">
      <c r="A341" s="3" t="str">
        <f>IFERROR(__xludf.DUMMYFUNCTION("GOOGLETRANSLATE(A341,""en"",""pt"")"),"Um pedaço de lixo que quebrou depois de ser EM MEU TELEFONE PARA 2 DIAS !!!")</f>
        <v>Um pedaço de lixo que quebrou depois de ser EM MEU TELEFONE PARA 2 DIAS !!!</v>
      </c>
      <c r="B341" s="3">
        <v>0</v>
      </c>
    </row>
    <row r="342" ht="15.75" customHeight="1" spans="1:2">
      <c r="A342" s="3" t="str">
        <f>IFERROR(__xludf.DUMMYFUNCTION("GOOGLETRANSLATE(A342,""en"",""pt"")"),"Nova bateria funciona muito bem no telefone.")</f>
        <v>Nova bateria funciona muito bem no telefone.</v>
      </c>
      <c r="B342" s="3">
        <v>1</v>
      </c>
    </row>
    <row r="343" ht="15.75" customHeight="1" spans="1:2">
      <c r="A343" s="3" t="str">
        <f>IFERROR(__xludf.DUMMYFUNCTION("GOOGLETRANSLATE(A343,""en"",""pt"")"),"Pior serviço ao cliente.")</f>
        <v>Pior serviço ao cliente.</v>
      </c>
      <c r="B343" s="3">
        <v>0</v>
      </c>
    </row>
    <row r="344" ht="15.75" customHeight="1" spans="1:2">
      <c r="A344" s="3" t="str">
        <f>IFERROR(__xludf.DUMMYFUNCTION("GOOGLETRANSLATE(A344,""en"",""pt"")"),"Eu deixei cair meu telefone mais vezes do que eu posso dizer, mesmo em concreto e meu telefone ainda é grande (bata na madeira!).")</f>
        <v>Eu deixei cair meu telefone mais vezes do que eu posso dizer, mesmo em concreto e meu telefone ainda é grande (bata na madeira!).</v>
      </c>
      <c r="B344" s="3">
        <v>1</v>
      </c>
    </row>
    <row r="345" ht="15.75" customHeight="1" spans="1:2">
      <c r="A345" s="3" t="str">
        <f>IFERROR(__xludf.DUMMYFUNCTION("GOOGLETRANSLATE(A345,""en"",""pt"")"),"A recepção é terrível e cheio de estática.")</f>
        <v>A recepção é terrível e cheio de estática.</v>
      </c>
      <c r="B345" s="3">
        <v>0</v>
      </c>
    </row>
    <row r="346" ht="15.75" customHeight="1" spans="1:2">
      <c r="A346" s="3" t="str">
        <f>IFERROR(__xludf.DUMMYFUNCTION("GOOGLETRANSLATE(A346,""en"",""pt"")"),"Boa qualidade de áudio.")</f>
        <v>Boa qualidade de áudio.</v>
      </c>
      <c r="B346" s="3">
        <v>1</v>
      </c>
    </row>
    <row r="347" ht="15.75" customHeight="1" spans="1:2">
      <c r="A347" s="3" t="str">
        <f>IFERROR(__xludf.DUMMYFUNCTION("GOOGLETRANSLATE(A347,""en"",""pt"")"),"Este pequeno dispositivo transformou a minha capacidade organizacional e fez a minha vida muito mais fácil.")</f>
        <v>Este pequeno dispositivo transformou a minha capacidade organizacional e fez a minha vida muito mais fácil.</v>
      </c>
      <c r="B347" s="3">
        <v>1</v>
      </c>
    </row>
    <row r="348" ht="15.75" customHeight="1" spans="1:2">
      <c r="A348" s="3" t="str">
        <f>IFERROR(__xludf.DUMMYFUNCTION("GOOGLETRANSLATE(A348,""en"",""pt"")"),"Eu estava sentado no meu veículo, com o berço no meu cinto, e o sinal headset perdido.")</f>
        <v>Eu estava sentado no meu veículo, com o berço no meu cinto, e o sinal headset perdido.</v>
      </c>
      <c r="B348" s="3">
        <v>0</v>
      </c>
    </row>
    <row r="349" ht="15.75" customHeight="1" spans="1:2">
      <c r="A349" s="3" t="str">
        <f>IFERROR(__xludf.DUMMYFUNCTION("GOOGLETRANSLATE(A349,""en"",""pt"")"),"Foram JERKS no telefone.")</f>
        <v>Foram JERKS no telefone.</v>
      </c>
      <c r="B349" s="3">
        <v>0</v>
      </c>
    </row>
    <row r="350" ht="15.75" customHeight="1" spans="1:2">
      <c r="A350" s="3" t="str">
        <f>IFERROR(__xludf.DUMMYFUNCTION("GOOGLETRANSLATE(A350,""en"",""pt"")"),"Funciona como um encanto .. funciona como anunciado.")</f>
        <v>Funciona como um encanto .. funciona como anunciado.</v>
      </c>
      <c r="B350" s="3">
        <v>1</v>
      </c>
    </row>
    <row r="351" ht="15.75" customHeight="1" spans="1:2">
      <c r="A351" s="3" t="str">
        <f>IFERROR(__xludf.DUMMYFUNCTION("GOOGLETRANSLATE(A351,""en"",""pt"")"),"Confortável, agradável Range, boa bateria.")</f>
        <v>Confortável, agradável Range, boa bateria.</v>
      </c>
      <c r="B351" s="3">
        <v>1</v>
      </c>
    </row>
    <row r="352" ht="15.75" customHeight="1" spans="1:2">
      <c r="A352" s="3" t="str">
        <f>IFERROR(__xludf.DUMMYFUNCTION("GOOGLETRANSLATE(A352,""en"",""pt"")"),"Sua cobertura de rede em Los Angeles é horrível.")</f>
        <v>Sua cobertura de rede em Los Angeles é horrível.</v>
      </c>
      <c r="B352" s="3">
        <v>0</v>
      </c>
    </row>
    <row r="353" ht="15.75" customHeight="1" spans="1:2">
      <c r="A353" s="3" t="str">
        <f>IFERROR(__xludf.DUMMYFUNCTION("GOOGLETRANSLATE(A353,""en"",""pt"")"),"Excelente arranque fone de ouvido sem fio.")</f>
        <v>Excelente arranque fone de ouvido sem fio.</v>
      </c>
      <c r="B353" s="3">
        <v>0</v>
      </c>
    </row>
    <row r="354" ht="15.75" customHeight="1" spans="1:2">
      <c r="A354" s="3" t="str">
        <f>IFERROR(__xludf.DUMMYFUNCTION("GOOGLETRANSLATE(A354,""en"",""pt"")"),"A opção de alto-falante é grande, os pára-choques com as luzes é muito ... atraente.")</f>
        <v>A opção de alto-falante é grande, os pára-choques com as luzes é muito ... atraente.</v>
      </c>
      <c r="B354" s="3">
        <v>0</v>
      </c>
    </row>
    <row r="355" ht="15.75" customHeight="1" spans="1:2">
      <c r="A355" s="3" t="str">
        <f>IFERROR(__xludf.DUMMYFUNCTION("GOOGLETRANSLATE(A355,""en"",""pt"")"),"A única coisa que eu acho que poderia melhorar é o vazamento de som para fora do fone de ouvido.")</f>
        <v>A única coisa que eu acho que poderia melhorar é o vazamento de som para fora do fone de ouvido.</v>
      </c>
      <c r="B355" s="3">
        <v>0</v>
      </c>
    </row>
    <row r="356" ht="15.75" customHeight="1" spans="1:2">
      <c r="A356" s="3" t="str">
        <f>IFERROR(__xludf.DUMMYFUNCTION("GOOGLETRANSLATE(A356,""en"",""pt"")"),"Em primeiro lugar a recepção é uma porcaria, eu nunca tive mais de 2 bares, nunca.")</f>
        <v>Em primeiro lugar a recepção é uma porcaria, eu nunca tive mais de 2 bares, nunca.</v>
      </c>
      <c r="B356" s="3">
        <v>0</v>
      </c>
    </row>
    <row r="357" ht="15.75" customHeight="1" spans="1:2">
      <c r="A357" s="3" t="str">
        <f>IFERROR(__xludf.DUMMYFUNCTION("GOOGLETRANSLATE(A357,""en"",""pt"")"),"O telefone fica extremamente quente!")</f>
        <v>O telefone fica extremamente quente!</v>
      </c>
      <c r="B357" s="3">
        <v>0</v>
      </c>
    </row>
    <row r="358" ht="15.75" customHeight="1" spans="1:2">
      <c r="A358" s="3" t="str">
        <f>IFERROR(__xludf.DUMMYFUNCTION("GOOGLETRANSLATE(A358,""en"",""pt"")"),"O microfone também funciona bem, mas (de acordo com pessoas que têm chamado) que applifies tudo.")</f>
        <v>O microfone também funciona bem, mas (de acordo com pessoas que têm chamado) que applifies tudo.</v>
      </c>
      <c r="B358" s="3">
        <v>1</v>
      </c>
    </row>
    <row r="359" ht="15.75" customHeight="1" spans="1:2">
      <c r="A359" s="3" t="str">
        <f>IFERROR(__xludf.DUMMYFUNCTION("GOOGLETRANSLATE(A359,""en"",""pt"")"),"Nice design e qualidade.")</f>
        <v>Nice design e qualidade.</v>
      </c>
      <c r="B359" s="3">
        <v>1</v>
      </c>
    </row>
    <row r="360" ht="15.75" customHeight="1" spans="1:2">
      <c r="A360" s="3" t="str">
        <f>IFERROR(__xludf.DUMMYFUNCTION("GOOGLETRANSLATE(A360,""en"",""pt"")"),"Além disso, se o seu telefone cair, este caso não vai salvá-lo, especialmente quando caiu de bruços.")</f>
        <v>Além disso, se o seu telefone cair, este caso não vai salvá-lo, especialmente quando caiu de bruços.</v>
      </c>
      <c r="B360" s="3">
        <v>0</v>
      </c>
    </row>
    <row r="361" ht="15.75" customHeight="1" spans="1:2">
      <c r="A361" s="3" t="str">
        <f>IFERROR(__xludf.DUMMYFUNCTION("GOOGLETRANSLATE(A361,""en"",""pt"")"),"É leve, fácil de usar, e tem recepção e transmissão muito clara.")</f>
        <v>É leve, fácil de usar, e tem recepção e transmissão muito clara.</v>
      </c>
      <c r="B361" s="3">
        <v>1</v>
      </c>
    </row>
    <row r="362" ht="15.75" customHeight="1" spans="1:2">
      <c r="A362" s="3" t="str">
        <f>IFERROR(__xludf.DUMMYFUNCTION("GOOGLETRANSLATE(A362,""en"",""pt"")"),"ajuste ruim, muito grande.")</f>
        <v>ajuste ruim, muito grande.</v>
      </c>
      <c r="B362" s="3">
        <v>0</v>
      </c>
    </row>
    <row r="363" ht="15.75" customHeight="1" spans="1:2">
      <c r="A363" s="3" t="str">
        <f>IFERROR(__xludf.DUMMYFUNCTION("GOOGLETRANSLATE(A363,""en"",""pt"")"),"Ele definitivamente não era tão bom quanto o meu S11.")</f>
        <v>Ele definitivamente não era tão bom quanto o meu S11.</v>
      </c>
      <c r="B363" s="3">
        <v>1</v>
      </c>
    </row>
    <row r="364" ht="15.75" customHeight="1" spans="1:2">
      <c r="A364" s="3" t="str">
        <f>IFERROR(__xludf.DUMMYFUNCTION("GOOGLETRANSLATE(A364,""en"",""pt"")"),"dispositivo incrível.")</f>
        <v>dispositivo incrível.</v>
      </c>
      <c r="B364" s="3">
        <v>1</v>
      </c>
    </row>
    <row r="365" ht="15.75" customHeight="1" spans="1:2">
      <c r="A365" s="3" t="str">
        <f>IFERROR(__xludf.DUMMYFUNCTION("GOOGLETRANSLATE(A365,""en"",""pt"")"),"Desperdício de dinheiro.")</f>
        <v>Desperdício de dinheiro.</v>
      </c>
      <c r="B365" s="3">
        <v>0</v>
      </c>
    </row>
    <row r="366" ht="15.75" customHeight="1" spans="1:2">
      <c r="A366" s="3" t="str">
        <f>IFERROR(__xludf.DUMMYFUNCTION("GOOGLETRANSLATE(A366,""en"",""pt"")"),"Eu tinha encomendado um cabo de dados Motorola, tem um produto muito bem acabado e trabalhar.")</f>
        <v>Eu tinha encomendado um cabo de dados Motorola, tem um produto muito bem acabado e trabalhar.</v>
      </c>
      <c r="B366" s="3">
        <v>1</v>
      </c>
    </row>
    <row r="367" ht="15.75" customHeight="1" spans="1:2">
      <c r="A367" s="3" t="str">
        <f>IFERROR(__xludf.DUMMYFUNCTION("GOOGLETRANSLATE(A367,""en"",""pt"")"),"Amo este telefone.")</f>
        <v>Amo este telefone.</v>
      </c>
      <c r="B367" s="3">
        <v>1</v>
      </c>
    </row>
    <row r="368" ht="15.75" customHeight="1" spans="1:2">
      <c r="A368" s="3" t="str">
        <f>IFERROR(__xludf.DUMMYFUNCTION("GOOGLETRANSLATE(A368,""en"",""pt"")"),"Eu estava procurando por este fone de ouvido por um longo tempo e agora que eu tenho que eu não poderia estar mais feliz.")</f>
        <v>Eu estava procurando por este fone de ouvido por um longo tempo e agora que eu tenho que eu não poderia estar mais feliz.</v>
      </c>
      <c r="B368" s="3">
        <v>1</v>
      </c>
    </row>
    <row r="369" ht="15.75" customHeight="1" spans="1:2">
      <c r="A369" s="3" t="str">
        <f>IFERROR(__xludf.DUMMYFUNCTION("GOOGLETRANSLATE(A369,""en"",""pt"")"),"Eu vou ser drivng junto, e meu fone de ouvido começa a tocar sem motivo.")</f>
        <v>Eu vou ser drivng junto, e meu fone de ouvido começa a tocar sem motivo.</v>
      </c>
      <c r="B369" s="3">
        <v>0</v>
      </c>
    </row>
    <row r="370" ht="15.75" customHeight="1" spans="1:2">
      <c r="A370" s="3" t="str">
        <f>IFERROR(__xludf.DUMMYFUNCTION("GOOGLETRANSLATE(A370,""en"",""pt"")"),"Display é excelente e câmera é tão bom quanto qualquer a partir desse ano.")</f>
        <v>Display é excelente e câmera é tão bom quanto qualquer a partir desse ano.</v>
      </c>
      <c r="B370" s="3">
        <v>1</v>
      </c>
    </row>
    <row r="371" ht="15.75" customHeight="1" spans="1:2">
      <c r="A371" s="3" t="str">
        <f>IFERROR(__xludf.DUMMYFUNCTION("GOOGLETRANSLATE(A371,""en"",""pt"")"),"A duração da bateria também é ótimo!")</f>
        <v>A duração da bateria também é ótimo!</v>
      </c>
      <c r="B371" s="3">
        <v>1</v>
      </c>
    </row>
    <row r="372" ht="15.75" customHeight="1" spans="1:2">
      <c r="A372" s="3" t="str">
        <f>IFERROR(__xludf.DUMMYFUNCTION("GOOGLETRANSLATE(A372,""en"",""pt"")"),"O pior telefone que já tive .... Só tinha-lo por alguns meses.")</f>
        <v>O pior telefone que já tive .... Só tinha-lo por alguns meses.</v>
      </c>
      <c r="B372" s="3">
        <v>0</v>
      </c>
    </row>
    <row r="373" ht="15.75" customHeight="1" spans="1:2">
      <c r="A373" s="3" t="str">
        <f>IFERROR(__xludf.DUMMYFUNCTION("GOOGLETRANSLATE(A373,""en"",""pt"")"),"Não é um bom item .. Ele trabalhou por um tempo, em seguida, começou a ter problemas em minha auto jogador de fita inversa.")</f>
        <v>Não é um bom item .. Ele trabalhou por um tempo, em seguida, começou a ter problemas em minha auto jogador de fita inversa.</v>
      </c>
      <c r="B373" s="3">
        <v>0</v>
      </c>
    </row>
    <row r="374" ht="15.75" customHeight="1" spans="1:2">
      <c r="A374" s="3" t="str">
        <f>IFERROR(__xludf.DUMMYFUNCTION("GOOGLETRANSLATE(A374,""en"",""pt"")"),"Isto é tão embaraçoso e também meus ouvidos doer se eu tentar empurrar o plugue de orelha em meu ouvido.")</f>
        <v>Isto é tão embaraçoso e também meus ouvidos doer se eu tentar empurrar o plugue de orelha em meu ouvido.</v>
      </c>
      <c r="B374" s="3">
        <v>0</v>
      </c>
    </row>
    <row r="375" ht="15.75" customHeight="1" spans="1:2">
      <c r="A375" s="3" t="str">
        <f>IFERROR(__xludf.DUMMYFUNCTION("GOOGLETRANSLATE(A375,""en"",""pt"")"),"Protege o telefone de todos os lados.")</f>
        <v>Protege o telefone de todos os lados.</v>
      </c>
      <c r="B375" s="3">
        <v>1</v>
      </c>
    </row>
    <row r="376" ht="15.75" customHeight="1" spans="1:2">
      <c r="A376" s="3" t="str">
        <f>IFERROR(__xludf.DUMMYFUNCTION("GOOGLETRANSLATE(A376,""en"",""pt"")"),"Este é um telefone muito média com a vida da bateria ruim que opera em uma rede fraca.")</f>
        <v>Este é um telefone muito média com a vida da bateria ruim que opera em uma rede fraca.</v>
      </c>
      <c r="B376" s="3">
        <v>0</v>
      </c>
    </row>
    <row r="377" ht="15.75" customHeight="1" spans="1:2">
      <c r="A377" s="3" t="str">
        <f>IFERROR(__xludf.DUMMYFUNCTION("GOOGLETRANSLATE(A377,""en"",""pt"")"),"Limpar Skype Chamadas, Bateria de Longa Duração, Long Range.")</f>
        <v>Limpar Skype Chamadas, Bateria de Longa Duração, Long Range.</v>
      </c>
      <c r="B377" s="3">
        <v>1</v>
      </c>
    </row>
    <row r="378" ht="15.75" customHeight="1" spans="1:2">
      <c r="A378" s="3" t="str">
        <f>IFERROR(__xludf.DUMMYFUNCTION("GOOGLETRANSLATE(A378,""en"",""pt"")"),"Soyo tecnologia é uma merda.")</f>
        <v>Soyo tecnologia é uma merda.</v>
      </c>
      <c r="B378" s="3">
        <v>0</v>
      </c>
    </row>
    <row r="379" ht="15.75" customHeight="1" spans="1:2">
      <c r="A379" s="3" t="str">
        <f>IFERROR(__xludf.DUMMYFUNCTION("GOOGLETRANSLATE(A379,""en"",""pt"")"),"Dispositivo Grande Hands Free.")</f>
        <v>Dispositivo Grande Hands Free.</v>
      </c>
      <c r="B379" s="3">
        <v>1</v>
      </c>
    </row>
    <row r="380" ht="15.75" customHeight="1" spans="1:2">
      <c r="A380" s="3" t="str">
        <f>IFERROR(__xludf.DUMMYFUNCTION("GOOGLETRANSLATE(A380,""en"",""pt"")"),"você pode até mesmo tirar auto-retratos com a exibição fora (exterior), muito legal.")</f>
        <v>você pode até mesmo tirar auto-retratos com a exibição fora (exterior), muito legal.</v>
      </c>
      <c r="B380" s="3">
        <v>1</v>
      </c>
    </row>
    <row r="381" ht="15.75" customHeight="1" spans="1:2">
      <c r="A381" s="3" t="str">
        <f>IFERROR(__xludf.DUMMYFUNCTION("GOOGLETRANSLATE(A381,""en"",""pt"")"),"Mesmo problema como os outros.")</f>
        <v>Mesmo problema como os outros.</v>
      </c>
      <c r="B381" s="3">
        <v>0</v>
      </c>
    </row>
    <row r="382" ht="15.75" customHeight="1" spans="1:2">
      <c r="A382" s="3" t="str">
        <f>IFERROR(__xludf.DUMMYFUNCTION("GOOGLETRANSLATE(A382,""en"",""pt"")"),"Depois de tentar muitos dispositivos mãos-livres Esta é a que finalmente funciona bem.")</f>
        <v>Depois de tentar muitos dispositivos mãos-livres Esta é a que finalmente funciona bem.</v>
      </c>
      <c r="B382" s="3">
        <v>1</v>
      </c>
    </row>
    <row r="383" ht="15.75" customHeight="1" spans="1:2">
      <c r="A383" s="3" t="str">
        <f>IFERROR(__xludf.DUMMYFUNCTION("GOOGLETRANSLATE(A383,""en"",""pt"")"),"Ajuda mágico.")</f>
        <v>Ajuda mágico.</v>
      </c>
      <c r="B383" s="3">
        <v>1</v>
      </c>
    </row>
    <row r="384" ht="15.75" customHeight="1" spans="1:2">
      <c r="A384" s="3" t="str">
        <f>IFERROR(__xludf.DUMMYFUNCTION("GOOGLETRANSLATE(A384,""en"",""pt"")"),"O pior pedaço de merda nunca junto com o serviço ao cliente Verizon.")</f>
        <v>O pior pedaço de merda nunca junto com o serviço ao cliente Verizon.</v>
      </c>
      <c r="B384" s="3">
        <v>0</v>
      </c>
    </row>
    <row r="385" ht="15.75" customHeight="1" spans="1:2">
      <c r="A385" s="3" t="str">
        <f>IFERROR(__xludf.DUMMYFUNCTION("GOOGLETRANSLATE(A385,""en"",""pt"")"),"qualidade de som pobre.")</f>
        <v>qualidade de som pobre.</v>
      </c>
      <c r="B385" s="3">
        <v>0</v>
      </c>
    </row>
    <row r="386" ht="15.75" customHeight="1" spans="1:2">
      <c r="A386" s="3" t="str">
        <f>IFERROR(__xludf.DUMMYFUNCTION("GOOGLETRANSLATE(A386,""en"",""pt"")"),"O melhor celular em :) mercado.")</f>
        <v>O melhor celular em :) mercado.</v>
      </c>
      <c r="B386" s="3">
        <v>1</v>
      </c>
    </row>
    <row r="387" ht="15.75" customHeight="1" spans="1:2">
      <c r="A387" s="3" t="str">
        <f>IFERROR(__xludf.DUMMYFUNCTION("GOOGLETRANSLATE(A387,""en"",""pt"")"),"Funcionou muito bem.")</f>
        <v>Funcionou muito bem.</v>
      </c>
      <c r="B387" s="3">
        <v>1</v>
      </c>
    </row>
    <row r="388" ht="15.75" customHeight="1" spans="1:2">
      <c r="A388" s="3" t="str">
        <f>IFERROR(__xludf.DUMMYFUNCTION("GOOGLETRANSLATE(A388,""en"",""pt"")"),"A companhia vendeu meu produto muito rapidamente e funciona bem.")</f>
        <v>A companhia vendeu meu produto muito rapidamente e funciona bem.</v>
      </c>
      <c r="B388" s="3">
        <v>1</v>
      </c>
    </row>
    <row r="389" ht="15.75" customHeight="1" spans="1:2">
      <c r="A389" s="3" t="str">
        <f>IFERROR(__xludf.DUMMYFUNCTION("GOOGLETRANSLATE(A389,""en"",""pt"")"),"Exatamente o que eu queria.")</f>
        <v>Exatamente o que eu queria.</v>
      </c>
      <c r="B389" s="3">
        <v>1</v>
      </c>
    </row>
    <row r="390" ht="15.75" customHeight="1" spans="1:2">
      <c r="A390" s="3" t="str">
        <f>IFERROR(__xludf.DUMMYFUNCTION("GOOGLETRANSLATE(A390,""en"",""pt"")"),"A resolução da imagem é muito abaixo do que outros telefones com preço comparável estão oferecendo hoje.")</f>
        <v>A resolução da imagem é muito abaixo do que outros telefones com preço comparável estão oferecendo hoje.</v>
      </c>
      <c r="B390" s="3">
        <v>0</v>
      </c>
    </row>
    <row r="391" ht="15.75" customHeight="1" spans="1:2">
      <c r="A391" s="3" t="str">
        <f>IFERROR(__xludf.DUMMYFUNCTION("GOOGLETRANSLATE(A391,""en"",""pt"")"),"Este é um grande negócio.")</f>
        <v>Este é um grande negócio.</v>
      </c>
      <c r="B391" s="3">
        <v>1</v>
      </c>
    </row>
    <row r="392" ht="15.75" customHeight="1" spans="1:2">
      <c r="A392" s="3" t="str">
        <f>IFERROR(__xludf.DUMMYFUNCTION("GOOGLETRANSLATE(A392,""en"",""pt"")"),"Excelente produto, estou muito satisfeito com a compra.")</f>
        <v>Excelente produto, estou muito satisfeito com a compra.</v>
      </c>
      <c r="B392" s="3">
        <v>1</v>
      </c>
    </row>
    <row r="393" ht="15.75" customHeight="1" spans="1:2">
      <c r="A393" s="3" t="str">
        <f>IFERROR(__xludf.DUMMYFUNCTION("GOOGLETRANSLATE(A393,""en"",""pt"")"),"Eu recomendo estes e incentivar as pessoas a dar-lhes uma tentativa.")</f>
        <v>Eu recomendo estes e incentivar as pessoas a dar-lhes uma tentativa.</v>
      </c>
      <c r="B393" s="3">
        <v>1</v>
      </c>
    </row>
    <row r="394" ht="15.75" customHeight="1" spans="1:2">
      <c r="A394" s="3" t="str">
        <f>IFERROR(__xludf.DUMMYFUNCTION("GOOGLETRANSLATE(A394,""en"",""pt"")"),"Melhor do que você esperaria.")</f>
        <v>Melhor do que você esperaria.</v>
      </c>
      <c r="B394" s="3">
        <v>1</v>
      </c>
    </row>
    <row r="395" ht="15.75" customHeight="1" spans="1:2">
      <c r="A395" s="3" t="str">
        <f>IFERROR(__xludf.DUMMYFUNCTION("GOOGLETRANSLATE(A395,""en"",""pt"")"),"Usando todos os fones de ouvido, esquerda ou direita, essa coisa não vai ficar no meu ouvido.")</f>
        <v>Usando todos os fones de ouvido, esquerda ou direita, essa coisa não vai ficar no meu ouvido.</v>
      </c>
      <c r="B395" s="3">
        <v>0</v>
      </c>
    </row>
    <row r="396" ht="15.75" customHeight="1" spans="1:2">
      <c r="A396" s="3" t="str">
        <f>IFERROR(__xludf.DUMMYFUNCTION("GOOGLETRANSLATE(A396,""en"",""pt"")"),"Grande produto e preço.")</f>
        <v>Grande produto e preço.</v>
      </c>
      <c r="B396" s="3">
        <v>1</v>
      </c>
    </row>
    <row r="397" ht="15.75" customHeight="1" spans="1:2">
      <c r="A397" s="3" t="str">
        <f>IFERROR(__xludf.DUMMYFUNCTION("GOOGLETRANSLATE(A397,""en"",""pt"")"),"Parece bom com preços razoáveis ​​e eficaz, que a sua simples!")</f>
        <v>Parece bom com preços razoáveis ​​e eficaz, que a sua simples!</v>
      </c>
      <c r="B397" s="3">
        <v>1</v>
      </c>
    </row>
    <row r="398" ht="15.75" customHeight="1" spans="1:2">
      <c r="A398" s="3" t="str">
        <f>IFERROR(__xludf.DUMMYFUNCTION("GOOGLETRANSLATE(A398,""en"",""pt"")"),"Ainda esperando ...... eu tenho certeza que este item iria funcionar bem .. se eu nunca recebê-lo!")</f>
        <v>Ainda esperando ...... eu tenho certeza que este item iria funcionar bem .. se eu nunca recebê-lo!</v>
      </c>
      <c r="B398" s="3">
        <v>0</v>
      </c>
    </row>
    <row r="399" ht="15.75" customHeight="1" spans="1:2">
      <c r="A399" s="3" t="str">
        <f>IFERROR(__xludf.DUMMYFUNCTION("GOOGLETRANSLATE(A399,""en"",""pt"")"),"que decepção")</f>
        <v>que decepção</v>
      </c>
      <c r="B399" s="3">
        <v>0</v>
      </c>
    </row>
    <row r="400" ht="15.75" customHeight="1" spans="1:2">
      <c r="A400" s="3" t="str">
        <f>IFERROR(__xludf.DUMMYFUNCTION("GOOGLETRANSLATE(A400,""en"",""pt"")"),"Muito pronto serviço.")</f>
        <v>Muito pronto serviço.</v>
      </c>
      <c r="B400" s="3">
        <v>1</v>
      </c>
    </row>
    <row r="401" ht="15.75" customHeight="1" spans="1:2">
      <c r="A401" s="3" t="str">
        <f>IFERROR(__xludf.DUMMYFUNCTION("GOOGLETRANSLATE(A401,""en"",""pt"")"),"Excelente produto pelo preço.")</f>
        <v>Excelente produto pelo preço.</v>
      </c>
      <c r="B401" s="3">
        <v>1</v>
      </c>
    </row>
    <row r="402" ht="15.75" customHeight="1" spans="1:2">
      <c r="A402" s="3" t="str">
        <f>IFERROR(__xludf.DUMMYFUNCTION("GOOGLETRANSLATE(A402,""en"",""pt"")"),"Muito satisfeito com este auricular.")</f>
        <v>Muito satisfeito com este auricular.</v>
      </c>
      <c r="B402" s="3">
        <v>1</v>
      </c>
    </row>
    <row r="403" ht="15.75" customHeight="1" spans="1:2">
      <c r="A403" s="3" t="str">
        <f>IFERROR(__xludf.DUMMYFUNCTION("GOOGLETRANSLATE(A403,""en"",""pt"")"),"não perca seu tempo e dinheiro.")</f>
        <v>não perca seu tempo e dinheiro.</v>
      </c>
      <c r="B403" s="3">
        <v>0</v>
      </c>
    </row>
    <row r="404" ht="15.75" customHeight="1" spans="1:2">
      <c r="A404" s="3" t="str">
        <f>IFERROR(__xludf.DUMMYFUNCTION("GOOGLETRANSLATE(A404,""en"",""pt"")"),"Eu particularmente adoro a bateria de longa duração.")</f>
        <v>Eu particularmente adoro a bateria de longa duração.</v>
      </c>
      <c r="B404" s="3">
        <v>1</v>
      </c>
    </row>
    <row r="405" ht="15.75" customHeight="1" spans="1:2">
      <c r="A405" s="3" t="str">
        <f>IFERROR(__xludf.DUMMYFUNCTION("GOOGLETRANSLATE(A405,""en"",""pt"")"),"É tão estúpido para ter que continuar comprando novos carregadores, carregadores de carro, berços, fones de ouvido e kits para carro cada vez que um novo telefone sai.")</f>
        <v>É tão estúpido para ter que continuar comprando novos carregadores, carregadores de carro, berços, fones de ouvido e kits para carro cada vez que um novo telefone sai.</v>
      </c>
      <c r="B405" s="3">
        <v>0</v>
      </c>
    </row>
    <row r="406" ht="15.75" customHeight="1" spans="1:2">
      <c r="A406" s="3" t="str">
        <f>IFERROR(__xludf.DUMMYFUNCTION("GOOGLETRANSLATE(A406,""en"",""pt"")"),"Funciona bem.")</f>
        <v>Funciona bem.</v>
      </c>
      <c r="B406" s="3">
        <v>1</v>
      </c>
    </row>
    <row r="407" ht="15.75" customHeight="1" spans="1:2">
      <c r="A407" s="3" t="str">
        <f>IFERROR(__xludf.DUMMYFUNCTION("GOOGLETRANSLATE(A407,""en"",""pt"")"),"Plantronics Bluetooth Excelente Buy.")</f>
        <v>Plantronics Bluetooth Excelente Buy.</v>
      </c>
      <c r="B407" s="3">
        <v>1</v>
      </c>
    </row>
    <row r="408" ht="15.75" customHeight="1" spans="1:2">
      <c r="A408" s="3" t="str">
        <f>IFERROR(__xludf.DUMMYFUNCTION("GOOGLETRANSLATE(A408,""en"",""pt"")"),"I veio da Verizon porque cingulair tem telefones celulares mais agradáveis ​​.... a primeira coisa que notei foi a realmente mau serviço.")</f>
        <v>I veio da Verizon porque cingulair tem telefones celulares mais agradáveis ​​.... a primeira coisa que notei foi a realmente mau serviço.</v>
      </c>
      <c r="B408" s="3">
        <v>0</v>
      </c>
    </row>
    <row r="409" ht="15.75" customHeight="1" spans="1:2">
      <c r="A409" s="3" t="str">
        <f>IFERROR(__xludf.DUMMYFUNCTION("GOOGLETRANSLATE(A409,""en"",""pt"")"),"Eu vou estar à procura de um novo fone de ouvido.")</f>
        <v>Eu vou estar à procura de um novo fone de ouvido.</v>
      </c>
      <c r="B409" s="3">
        <v>0</v>
      </c>
    </row>
    <row r="410" ht="15.75" customHeight="1" spans="1:2">
      <c r="A410" s="3" t="str">
        <f>IFERROR(__xludf.DUMMYFUNCTION("GOOGLETRANSLATE(A410,""en"",""pt"")"),"Eu recomendo este dispositivo para todos!")</f>
        <v>Eu recomendo este dispositivo para todos!</v>
      </c>
      <c r="B410" s="3">
        <v>1</v>
      </c>
    </row>
    <row r="411" ht="15.75" customHeight="1" spans="1:2">
      <c r="A411" s="3" t="str">
        <f>IFERROR(__xludf.DUMMYFUNCTION("GOOGLETRANSLATE(A411,""en"",""pt"")"),"Jawbone Era é incrível também!")</f>
        <v>Jawbone Era é incrível também!</v>
      </c>
      <c r="B411" s="3">
        <v>1</v>
      </c>
    </row>
    <row r="412" ht="15.75" customHeight="1" spans="1:2">
      <c r="A412" s="3" t="str">
        <f>IFERROR(__xludf.DUMMYFUNCTION("GOOGLETRANSLATE(A412,""en"",""pt"")"),"Recebemos uma bateria de cor branca que vai mortos após um originais casal hoursTHe usado para durar uma semana - mas ainda dura mais de thereplacement")</f>
        <v>Recebemos uma bateria de cor branca que vai mortos após um originais casal hoursTHe usado para durar uma semana - mas ainda dura mais de thereplacement</v>
      </c>
      <c r="B412" s="3">
        <v>0</v>
      </c>
    </row>
    <row r="413" ht="15.75" customHeight="1" spans="1:2">
      <c r="A413" s="3" t="str">
        <f>IFERROR(__xludf.DUMMYFUNCTION("GOOGLETRANSLATE(A413,""en"",""pt"")"),"Depois de um ano a bateria foi completamente morto no meu fone de ouvido.")</f>
        <v>Depois de um ano a bateria foi completamente morto no meu fone de ouvido.</v>
      </c>
      <c r="B413" s="3">
        <v>0</v>
      </c>
    </row>
    <row r="414" ht="15.75" customHeight="1" spans="1:2">
      <c r="A414" s="3" t="str">
        <f>IFERROR(__xludf.DUMMYFUNCTION("GOOGLETRANSLATE(A414,""en"",""pt"")"),"Eu tenho usado vários telefone em dois anos, mas este é o melhor.")</f>
        <v>Eu tenho usado vários telefone em dois anos, mas este é o melhor.</v>
      </c>
      <c r="B414" s="3">
        <v>1</v>
      </c>
    </row>
    <row r="415" ht="15.75" customHeight="1" spans="1:2">
      <c r="A415" s="3" t="str">
        <f>IFERROR(__xludf.DUMMYFUNCTION("GOOGLETRANSLATE(A415,""en"",""pt"")"),"An Awesome New Look Para Outono 2000 !.")</f>
        <v>An Awesome New Look Para Outono 2000 !.</v>
      </c>
      <c r="B415" s="3">
        <v>1</v>
      </c>
    </row>
    <row r="416" ht="15.75" customHeight="1" spans="1:2">
      <c r="A416" s="3" t="str">
        <f>IFERROR(__xludf.DUMMYFUNCTION("GOOGLETRANSLATE(A416,""en"",""pt"")"),"Este é o primeiro telefone que eu tive que tem sido tão barato feita.")</f>
        <v>Este é o primeiro telefone que eu tive que tem sido tão barato feita.</v>
      </c>
      <c r="B416" s="3">
        <v>0</v>
      </c>
    </row>
    <row r="417" ht="15.75" customHeight="1" spans="1:2">
      <c r="A417" s="3" t="str">
        <f>IFERROR(__xludf.DUMMYFUNCTION("GOOGLETRANSLATE(A417,""en"",""pt"")"),"Att não está claro, o som é muito distorcida e você tem que gritar quando você fala.")</f>
        <v>Att não está claro, o som é muito distorcida e você tem que gritar quando você fala.</v>
      </c>
      <c r="B417" s="3">
        <v>0</v>
      </c>
    </row>
    <row r="418" ht="15.75" customHeight="1" spans="1:2">
      <c r="A418" s="3" t="str">
        <f>IFERROR(__xludf.DUMMYFUNCTION("GOOGLETRANSLATE(A418,""en"",""pt"")"),"As quebras de plástico realmente fácil sobre esse clipe.")</f>
        <v>As quebras de plástico realmente fácil sobre esse clipe.</v>
      </c>
      <c r="B418" s="3">
        <v>0</v>
      </c>
    </row>
    <row r="419" ht="15.75" customHeight="1" spans="1:2">
      <c r="A419" s="3" t="str">
        <f>IFERROR(__xludf.DUMMYFUNCTION("GOOGLETRANSLATE(A419,""en"",""pt"")"),"O preço é muito bom.")</f>
        <v>O preço é muito bom.</v>
      </c>
      <c r="B419" s="3">
        <v>1</v>
      </c>
    </row>
    <row r="420" ht="15.75" customHeight="1" spans="1:2">
      <c r="A420" s="3" t="str">
        <f>IFERROR(__xludf.DUMMYFUNCTION("GOOGLETRANSLATE(A420,""en"",""pt"")"),"Não cometa o mesmo erro que eu fiz.")</f>
        <v>Não cometa o mesmo erro que eu fiz.</v>
      </c>
      <c r="B420" s="3">
        <v>0</v>
      </c>
    </row>
    <row r="421" ht="15.75" customHeight="1" spans="1:2">
      <c r="A421" s="3" t="str">
        <f>IFERROR(__xludf.DUMMYFUNCTION("GOOGLETRANSLATE(A421,""en"",""pt"")"),"Ah, e eu esqueci de mencionar também o efeito de cor estranha que tem no seu telefone.")</f>
        <v>Ah, e eu esqueci de mencionar também o efeito de cor estranha que tem no seu telefone.</v>
      </c>
      <c r="B421" s="3">
        <v>0</v>
      </c>
    </row>
    <row r="422" ht="15.75" customHeight="1" spans="1:2">
      <c r="A422" s="3" t="str">
        <f>IFERROR(__xludf.DUMMYFUNCTION("GOOGLETRANSLATE(A422,""en"",""pt"")"),"Eu estou usando-o com um iriver SPINN (com caixa) e que se encaixa bem.")</f>
        <v>Eu estou usando-o com um iriver SPINN (com caixa) e que se encaixa bem.</v>
      </c>
      <c r="B422" s="3">
        <v>1</v>
      </c>
    </row>
    <row r="423" ht="15.75" customHeight="1" spans="1:2">
      <c r="A423" s="3" t="str">
        <f>IFERROR(__xludf.DUMMYFUNCTION("GOOGLETRANSLATE(A423,""en"",""pt"")"),"Também a área onde minha unidade quebrou) .- Eu não sou muito apreciador da pulseira magnética.")</f>
        <v>Também a área onde minha unidade quebrou) .- Eu não sou muito apreciador da pulseira magnética.</v>
      </c>
      <c r="B423" s="3">
        <v>0</v>
      </c>
    </row>
    <row r="424" ht="15.75" customHeight="1" spans="1:2">
      <c r="A424" s="3" t="str">
        <f>IFERROR(__xludf.DUMMYFUNCTION("GOOGLETRANSLATE(A424,""en"",""pt"")"),"No geral, eu estou empolgado para ter um telefone que tem todos os meus compromissos e contatos em e recebe grande recepção.")</f>
        <v>No geral, eu estou empolgado para ter um telefone que tem todos os meus compromissos e contatos em e recebe grande recepção.</v>
      </c>
      <c r="B424" s="3">
        <v>1</v>
      </c>
    </row>
    <row r="425" ht="15.75" customHeight="1" spans="1:2">
      <c r="A425" s="3" t="str">
        <f>IFERROR(__xludf.DUMMYFUNCTION("GOOGLETRANSLATE(A425,""en"",""pt"")"),"cada coisa no trabalho telefone perfeitamente, ela gosta.")</f>
        <v>cada coisa no trabalho telefone perfeitamente, ela gosta.</v>
      </c>
      <c r="B425" s="3">
        <v>1</v>
      </c>
    </row>
    <row r="426" ht="15.75" customHeight="1" spans="1:2">
      <c r="A426" s="3" t="str">
        <f>IFERROR(__xludf.DUMMYFUNCTION("GOOGLETRANSLATE(A426,""en"",""pt"")"),"Outra nota sobre a aparência deste telefone é que ele realmente parece bastante branda, especialmente no modelo todo preto.")</f>
        <v>Outra nota sobre a aparência deste telefone é que ele realmente parece bastante branda, especialmente no modelo todo preto.</v>
      </c>
      <c r="B426" s="3">
        <v>0</v>
      </c>
    </row>
    <row r="427" ht="15.75" customHeight="1" spans="1:2">
      <c r="A427" s="3" t="str">
        <f>IFERROR(__xludf.DUMMYFUNCTION("GOOGLETRANSLATE(A427,""en"",""pt"")"),"É realmente fácil.")</f>
        <v>É realmente fácil.</v>
      </c>
      <c r="B427" s="3">
        <v>1</v>
      </c>
    </row>
    <row r="428" ht="15.75" customHeight="1" spans="1:2">
      <c r="A428" s="3" t="str">
        <f>IFERROR(__xludf.DUMMYFUNCTION("GOOGLETRANSLATE(A428,""en"",""pt"")"),"Meu Sanyo sobreviveu dezenas de gotas em asfalto sem efeito doente.")</f>
        <v>Meu Sanyo sobreviveu dezenas de gotas em asfalto sem efeito doente.</v>
      </c>
      <c r="B428" s="3">
        <v>1</v>
      </c>
    </row>
    <row r="429" ht="15.75" customHeight="1" spans="1:2">
      <c r="A429" s="3" t="str">
        <f>IFERROR(__xludf.DUMMYFUNCTION("GOOGLETRANSLATE(A429,""en"",""pt"")"),"fones de ouvido fantástico.")</f>
        <v>fones de ouvido fantástico.</v>
      </c>
      <c r="B429" s="3">
        <v>1</v>
      </c>
    </row>
    <row r="430" ht="15.75" customHeight="1" spans="1:2">
      <c r="A430" s="3" t="str">
        <f>IFERROR(__xludf.DUMMYFUNCTION("GOOGLETRANSLATE(A430,""en"",""pt"")"),"Ele encontra meu celular imediatamente quando eu entrar no carro.")</f>
        <v>Ele encontra meu celular imediatamente quando eu entrar no carro.</v>
      </c>
      <c r="B430" s="3">
        <v>1</v>
      </c>
    </row>
    <row r="431" ht="15.75" customHeight="1" spans="1:2">
      <c r="A431" s="3" t="str">
        <f>IFERROR(__xludf.DUMMYFUNCTION("GOOGLETRANSLATE(A431,""en"",""pt"")"),"Baixa qualidade.")</f>
        <v>Baixa qualidade.</v>
      </c>
      <c r="B431" s="3">
        <v>0</v>
      </c>
    </row>
    <row r="432" ht="15.75" customHeight="1" spans="1:2">
      <c r="A432" s="3" t="str">
        <f>IFERROR(__xludf.DUMMYFUNCTION("GOOGLETRANSLATE(A432,""en"",""pt"")"),"Eu recomendo este telefone celular modesta preços.")</f>
        <v>Eu recomendo este telefone celular modesta preços.</v>
      </c>
      <c r="B432" s="3">
        <v>1</v>
      </c>
    </row>
    <row r="433" ht="15.75" customHeight="1" spans="1:2">
      <c r="A433" s="3" t="str">
        <f>IFERROR(__xludf.DUMMYFUNCTION("GOOGLETRANSLATE(A433,""en"",""pt"")"),"Mas ele faz ficar melhor recepção e clareza do que qualquer telefone que eu tive antes.")</f>
        <v>Mas ele faz ficar melhor recepção e clareza do que qualquer telefone que eu tive antes.</v>
      </c>
      <c r="B433" s="3">
        <v>1</v>
      </c>
    </row>
    <row r="434" ht="15.75" customHeight="1" spans="1:2">
      <c r="A434" s="3" t="str">
        <f>IFERROR(__xludf.DUMMYFUNCTION("GOOGLETRANSLATE(A434,""en"",""pt"")"),"Aviso - Fique longe.")</f>
        <v>Aviso - Fique longe.</v>
      </c>
      <c r="B434" s="3">
        <v>0</v>
      </c>
    </row>
    <row r="435" ht="15.75" customHeight="1" spans="1:2">
      <c r="A435" s="3" t="str">
        <f>IFERROR(__xludf.DUMMYFUNCTION("GOOGLETRANSLATE(A435,""en"",""pt"")"),"Eu gostaria de poder voltar a unidade e voltar meu dinheiro.")</f>
        <v>Eu gostaria de poder voltar a unidade e voltar meu dinheiro.</v>
      </c>
      <c r="B435" s="3">
        <v>0</v>
      </c>
    </row>
    <row r="436" ht="15.75" customHeight="1" spans="1:2">
      <c r="A436" s="3" t="str">
        <f>IFERROR(__xludf.DUMMYFUNCTION("GOOGLETRANSLATE(A436,""en"",""pt"")"),"Awsome dispositivo funciona Great !!.")</f>
        <v>Awsome dispositivo funciona Great !!.</v>
      </c>
      <c r="B436" s="3">
        <v>1</v>
      </c>
    </row>
    <row r="437" ht="15.75" customHeight="1" spans="1:2">
      <c r="A437" s="3" t="str">
        <f>IFERROR(__xludf.DUMMYFUNCTION("GOOGLETRANSLATE(A437,""en"",""pt"")"),"Eu costumava falar com ele para 1 - 1 1/2 horas e a bateria seria literalmente drenado e morrendo.")</f>
        <v>Eu costumava falar com ele para 1 - 1 1/2 horas e a bateria seria literalmente drenado e morrendo.</v>
      </c>
      <c r="B437" s="3">
        <v>0</v>
      </c>
    </row>
    <row r="438" ht="15.75" customHeight="1" spans="1:2">
      <c r="A438" s="3" t="str">
        <f>IFERROR(__xludf.DUMMYFUNCTION("GOOGLETRANSLATE(A438,""en"",""pt"")"),"Se você não encontrá-lo, muito ruim, como novamente a unidade vem com uma almofada de orelha only.I não recomendo este a ninguém.")</f>
        <v>Se você não encontrá-lo, muito ruim, como novamente a unidade vem com uma almofada de orelha only.I não recomendo este a ninguém.</v>
      </c>
      <c r="B438" s="3">
        <v>0</v>
      </c>
    </row>
    <row r="439" ht="15.75" customHeight="1" spans="1:2">
      <c r="A439" s="3" t="str">
        <f>IFERROR(__xludf.DUMMYFUNCTION("GOOGLETRANSLATE(A439,""en"",""pt"")"),"Muito descontente.")</f>
        <v>Muito descontente.</v>
      </c>
      <c r="B439" s="3">
        <v>0</v>
      </c>
    </row>
    <row r="440" ht="15.75" customHeight="1" spans="1:2">
      <c r="A440" s="3" t="str">
        <f>IFERROR(__xludf.DUMMYFUNCTION("GOOGLETRANSLATE(A440,""en"",""pt"")"),"Eu poderia ter obtido um defeito, mas eu não correria o risco de comprá-lo novamente por causa da qualidade construído sozinho.")</f>
        <v>Eu poderia ter obtido um defeito, mas eu não correria o risco de comprá-lo novamente por causa da qualidade construído sozinho.</v>
      </c>
      <c r="B440" s="3">
        <v>0</v>
      </c>
    </row>
    <row r="441" ht="15.75" customHeight="1" spans="1:2">
      <c r="A441" s="3" t="str">
        <f>IFERROR(__xludf.DUMMYFUNCTION("GOOGLETRANSLATE(A441,""en"",""pt"")"),"Eles fizeram neste caso muito pequeno e é muito difícil de instalar.")</f>
        <v>Eles fizeram neste caso muito pequeno e é muito difícil de instalar.</v>
      </c>
      <c r="B441" s="3">
        <v>0</v>
      </c>
    </row>
    <row r="442" ht="15.75" customHeight="1" spans="1:2">
      <c r="A442" s="3" t="str">
        <f>IFERROR(__xludf.DUMMYFUNCTION("GOOGLETRANSLATE(A442,""en"",""pt"")"),"Restaurado meu telefone para como novo desempenho.")</f>
        <v>Restaurado meu telefone para como novo desempenho.</v>
      </c>
      <c r="B442" s="3">
        <v>1</v>
      </c>
    </row>
    <row r="443" ht="15.75" customHeight="1" spans="1:2">
      <c r="A443" s="3" t="str">
        <f>IFERROR(__xludf.DUMMYFUNCTION("GOOGLETRANSLATE(A443,""en"",""pt"")"),"Eu recomendaria comprar os Jabra JX-10 série 2 que funciona perfeitamente com o meu Moto Q, figura movimento.")</f>
        <v>Eu recomendaria comprar os Jabra JX-10 série 2 que funciona perfeitamente com o meu Moto Q, figura movimento.</v>
      </c>
      <c r="B443" s="3">
        <v>1</v>
      </c>
    </row>
    <row r="444" ht="15.75" customHeight="1" spans="1:2">
      <c r="A444" s="3" t="str">
        <f>IFERROR(__xludf.DUMMYFUNCTION("GOOGLETRANSLATE(A444,""en"",""pt"")"),"Eu procurei na Internet e encontramos esta a ser o melhor valor.")</f>
        <v>Eu procurei na Internet e encontramos esta a ser o melhor valor.</v>
      </c>
      <c r="B444" s="3">
        <v>1</v>
      </c>
    </row>
    <row r="445" ht="15.75" customHeight="1" spans="1:2">
      <c r="A445" s="3" t="str">
        <f>IFERROR(__xludf.DUMMYFUNCTION("GOOGLETRANSLATE(A445,""en"",""pt"")"),"Não serve.")</f>
        <v>Não serve.</v>
      </c>
      <c r="B445" s="3">
        <v>0</v>
      </c>
    </row>
    <row r="446" ht="15.75" customHeight="1" spans="1:2">
      <c r="A446" s="3" t="str">
        <f>IFERROR(__xludf.DUMMYFUNCTION("GOOGLETRANSLATE(A446,""en"",""pt"")"),"Muito satisfeito com este produto.")</f>
        <v>Muito satisfeito com este produto.</v>
      </c>
      <c r="B446" s="3">
        <v>1</v>
      </c>
    </row>
    <row r="447" ht="15.75" customHeight="1" spans="1:2">
      <c r="A447" s="3" t="str">
        <f>IFERROR(__xludf.DUMMYFUNCTION("GOOGLETRANSLATE(A447,""en"",""pt"")"),"O tamanho da tela é grande almofada, chave iluminada bem o suficiente, ea qualidade da câmera é excelente para uma câmera do telefone.")</f>
        <v>O tamanho da tela é grande almofada, chave iluminada bem o suficiente, ea qualidade da câmera é excelente para uma câmera do telefone.</v>
      </c>
      <c r="B447" s="3">
        <v>1</v>
      </c>
    </row>
    <row r="448" ht="15.75" customHeight="1" spans="1:2">
      <c r="A448" s="3" t="str">
        <f>IFERROR(__xludf.DUMMYFUNCTION("GOOGLETRANSLATE(A448,""en"",""pt"")"),"Realmente não há nada ruim que eu posso dizer sobre este auricular.")</f>
        <v>Realmente não há nada ruim que eu posso dizer sobre este auricular.</v>
      </c>
      <c r="B448" s="3">
        <v>0</v>
      </c>
    </row>
    <row r="449" ht="15.75" customHeight="1" spans="1:2">
      <c r="A449" s="3" t="str">
        <f>IFERROR(__xludf.DUMMYFUNCTION("GOOGLETRANSLATE(A449,""en"",""pt"")"),"i estou feliz por ter encontrado este produto na Amazon é difícil de encontrar, não foi fixado o preço elevado.")</f>
        <v>i estou feliz por ter encontrado este produto na Amazon é difícil de encontrar, não foi fixado o preço elevado.</v>
      </c>
      <c r="B449" s="3">
        <v>1</v>
      </c>
    </row>
    <row r="450" ht="15.75" customHeight="1" spans="1:2">
      <c r="A450" s="3" t="str">
        <f>IFERROR(__xludf.DUMMYFUNCTION("GOOGLETRANSLATE(A450,""en"",""pt"")"),"Portátil e funciona.")</f>
        <v>Portátil e funciona.</v>
      </c>
      <c r="B450" s="3">
        <v>1</v>
      </c>
    </row>
    <row r="451" ht="15.75" customHeight="1" spans="1:2">
      <c r="A451" s="3" t="str">
        <f>IFERROR(__xludf.DUMMYFUNCTION("GOOGLETRANSLATE(A451,""en"",""pt"")"),"Meu colega e eu agora obter grande reception.A pouco caro, mas o desempenho é grande.")</f>
        <v>Meu colega e eu agora obter grande reception.A pouco caro, mas o desempenho é grande.</v>
      </c>
      <c r="B451" s="3">
        <v>1</v>
      </c>
    </row>
    <row r="452" ht="15.75" customHeight="1" spans="1:2">
      <c r="A452" s="3" t="str">
        <f>IFERROR(__xludf.DUMMYFUNCTION("GOOGLETRANSLATE(A452,""en"",""pt"")"),"Eu até completamente carregada, antes de eu ir para a cama e desligado dente azul e wi-fi e notei que ele só tinha 20% à esquerda de manhã.")</f>
        <v>Eu até completamente carregada, antes de eu ir para a cama e desligado dente azul e wi-fi e notei que ele só tinha 20% à esquerda de manhã.</v>
      </c>
      <c r="B452" s="3">
        <v>0</v>
      </c>
    </row>
    <row r="453" ht="15.75" customHeight="1" spans="1:2">
      <c r="A453" s="3" t="str">
        <f>IFERROR(__xludf.DUMMYFUNCTION("GOOGLETRANSLATE(A453,""en"",""pt"")"),"Eu também tive problemas com o telefone ler o cartão de memória no qual eu sempre ligá-lo e, em seguida, novamente.")</f>
        <v>Eu também tive problemas com o telefone ler o cartão de memória no qual eu sempre ligá-lo e, em seguida, novamente.</v>
      </c>
      <c r="B453" s="3">
        <v>0</v>
      </c>
    </row>
    <row r="454" ht="15.75" customHeight="1" spans="1:2">
      <c r="A454" s="3" t="str">
        <f>IFERROR(__xludf.DUMMYFUNCTION("GOOGLETRANSLATE(A454,""en"",""pt"")"),"Não é bom quando vestindo um chapéu ou óculos de sol.")</f>
        <v>Não é bom quando vestindo um chapéu ou óculos de sol.</v>
      </c>
      <c r="B454" s="3">
        <v>0</v>
      </c>
    </row>
    <row r="455" ht="15.75" customHeight="1" spans="1:2">
      <c r="A455" s="3" t="str">
        <f>IFERROR(__xludf.DUMMYFUNCTION("GOOGLETRANSLATE(A455,""en"",""pt"")"),"expedição oportuna e qualidade do produto.")</f>
        <v>expedição oportuna e qualidade do produto.</v>
      </c>
      <c r="B455" s="3">
        <v>1</v>
      </c>
    </row>
    <row r="456" ht="15.75" customHeight="1" spans="1:2">
      <c r="A456" s="3" t="str">
        <f>IFERROR(__xludf.DUMMYFUNCTION("GOOGLETRANSLATE(A456,""en"",""pt"")"),"Bom teclado sólida.")</f>
        <v>Bom teclado sólida.</v>
      </c>
      <c r="B456" s="3">
        <v>1</v>
      </c>
    </row>
    <row r="457" ht="15.75" customHeight="1" spans="1:2">
      <c r="A457" s="3" t="str">
        <f>IFERROR(__xludf.DUMMYFUNCTION("GOOGLETRANSLATE(A457,""en"",""pt"")"),"Muito bem feito e se encaixa na minha Surefire GX2 perfeitamente.")</f>
        <v>Muito bem feito e se encaixa na minha Surefire GX2 perfeitamente.</v>
      </c>
      <c r="B457" s="3">
        <v>1</v>
      </c>
    </row>
    <row r="458" ht="15.75" customHeight="1" spans="1:2">
      <c r="A458" s="3" t="str">
        <f>IFERROR(__xludf.DUMMYFUNCTION("GOOGLETRANSLATE(A458,""en"",""pt"")"),"telefone horrível.")</f>
        <v>telefone horrível.</v>
      </c>
      <c r="B458" s="3">
        <v>0</v>
      </c>
    </row>
    <row r="459" ht="15.75" customHeight="1" spans="1:2">
      <c r="A459" s="3" t="str">
        <f>IFERROR(__xludf.DUMMYFUNCTION("GOOGLETRANSLATE(A459,""en"",""pt"")"),"BT50 junk bateria !.")</f>
        <v>BT50 junk bateria !.</v>
      </c>
      <c r="B459" s="3">
        <v>0</v>
      </c>
    </row>
    <row r="460" ht="15.75" customHeight="1" spans="1:2">
      <c r="A460" s="3" t="str">
        <f>IFERROR(__xludf.DUMMYFUNCTION("GOOGLETRANSLATE(A460,""en"",""pt"")"),"Nós recomendamos-los para outros.")</f>
        <v>Nós recomendamos-los para outros.</v>
      </c>
      <c r="B460" s="3">
        <v>1</v>
      </c>
    </row>
    <row r="461" ht="15.75" customHeight="1" spans="1:2">
      <c r="A461" s="3" t="str">
        <f>IFERROR(__xludf.DUMMYFUNCTION("GOOGLETRANSLATE(A461,""en"",""pt"")"),"Não pode obter o software para trabalho com meu computador.")</f>
        <v>Não pode obter o software para trabalho com meu computador.</v>
      </c>
      <c r="B461" s="3">
        <v>0</v>
      </c>
    </row>
    <row r="462" ht="15.75" customHeight="1" spans="1:2">
      <c r="A462" s="3" t="str">
        <f>IFERROR(__xludf.DUMMYFUNCTION("GOOGLETRANSLATE(A462,""en"",""pt"")"),"Desapontado !.")</f>
        <v>Desapontado !.</v>
      </c>
      <c r="B462" s="3">
        <v>0</v>
      </c>
    </row>
    <row r="463" ht="15.75" customHeight="1" spans="1:2">
      <c r="A463" s="3" t="str">
        <f>IFERROR(__xludf.DUMMYFUNCTION("GOOGLETRANSLATE(A463,""en"",""pt"")"),"pobre clareza de voz.")</f>
        <v>pobre clareza de voz.</v>
      </c>
      <c r="B463" s="3">
        <v>0</v>
      </c>
    </row>
    <row r="464" ht="15.75" customHeight="1" spans="1:2">
      <c r="A464" s="3" t="str">
        <f>IFERROR(__xludf.DUMMYFUNCTION("GOOGLETRANSLATE(A464,""en"",""pt"")"),"A bateria funciona muito bem!")</f>
        <v>A bateria funciona muito bem!</v>
      </c>
      <c r="B464" s="3">
        <v>1</v>
      </c>
    </row>
    <row r="465" ht="15.75" customHeight="1" spans="1:2">
      <c r="A465" s="3" t="str">
        <f>IFERROR(__xludf.DUMMYFUNCTION("GOOGLETRANSLATE(A465,""en"",""pt"")"),"Nenhum remorso compradores sobre este !.")</f>
        <v>Nenhum remorso compradores sobre este !.</v>
      </c>
      <c r="B465" s="3">
        <v>0</v>
      </c>
    </row>
    <row r="466" ht="15.75" customHeight="1" spans="1:2">
      <c r="A466" s="3" t="str">
        <f>IFERROR(__xludf.DUMMYFUNCTION("GOOGLETRANSLATE(A466,""en"",""pt"")"),"Muito decepcionado com AccessoryOne.")</f>
        <v>Muito decepcionado com AccessoryOne.</v>
      </c>
      <c r="B466" s="3">
        <v>0</v>
      </c>
    </row>
    <row r="467" ht="15.75" customHeight="1" spans="1:2">
      <c r="A467" s="3" t="str">
        <f>IFERROR(__xludf.DUMMYFUNCTION("GOOGLETRANSLATE(A467,""en"",""pt"")"),"I encontrar este imperdoável e assim será, provavelmente, devolver este telefone e talvez mudar operadoras.")</f>
        <v>I encontrar este imperdoável e assim será, provavelmente, devolver este telefone e talvez mudar operadoras.</v>
      </c>
      <c r="B467" s="3">
        <v>0</v>
      </c>
    </row>
    <row r="468" ht="15.75" customHeight="1" spans="1:2">
      <c r="A468" s="3" t="str">
        <f>IFERROR(__xludf.DUMMYFUNCTION("GOOGLETRANSLATE(A468,""en"",""pt"")"),"Parece ótimo e é forte "".")</f>
        <v>Parece ótimo e é forte ".</v>
      </c>
      <c r="B468" s="3">
        <v>1</v>
      </c>
    </row>
    <row r="469" ht="15.75" customHeight="1" spans="1:2">
      <c r="A469" s="3" t="str">
        <f>IFERROR(__xludf.DUMMYFUNCTION("GOOGLETRANSLATE(A469,""en"",""pt"")"),"I tiveram serviço TMobile para 2 ou 3 anos agora, e eu estou muito feliz com ele.")</f>
        <v>I tiveram serviço TMobile para 2 ou 3 anos agora, e eu estou muito feliz com ele.</v>
      </c>
      <c r="B469" s="3">
        <v>1</v>
      </c>
    </row>
    <row r="470" ht="15.75" customHeight="1" spans="1:2">
      <c r="A470" s="3" t="str">
        <f>IFERROR(__xludf.DUMMYFUNCTION("GOOGLETRANSLATE(A470,""en"",""pt"")"),"O procedimento de atualização é difícil e complicado.")</f>
        <v>O procedimento de atualização é difícil e complicado.</v>
      </c>
      <c r="B470" s="3">
        <v>0</v>
      </c>
    </row>
    <row r="471" ht="15.75" customHeight="1" spans="1:2">
      <c r="A471" s="3" t="str">
        <f>IFERROR(__xludf.DUMMYFUNCTION("GOOGLETRANSLATE(A471,""en"",""pt"")"),"Decepção .. Eu odeio tudo o que vai no meu ouvido.")</f>
        <v>Decepção .. Eu odeio tudo o que vai no meu ouvido.</v>
      </c>
      <c r="B471" s="3">
        <v>0</v>
      </c>
    </row>
    <row r="472" ht="15.75" customHeight="1" spans="1:2">
      <c r="A472" s="3" t="str">
        <f>IFERROR(__xludf.DUMMYFUNCTION("GOOGLETRANSLATE(A472,""en"",""pt"")"),"Grande software para Motorolas.")</f>
        <v>Grande software para Motorolas.</v>
      </c>
      <c r="B472" s="3">
        <v>1</v>
      </c>
    </row>
    <row r="473" ht="15.75" customHeight="1" spans="1:2">
      <c r="A473" s="3" t="str">
        <f>IFERROR(__xludf.DUMMYFUNCTION("GOOGLETRANSLATE(A473,""en"",""pt"")"),"A entrega foi no tempo.")</f>
        <v>A entrega foi no tempo.</v>
      </c>
      <c r="B473" s="3">
        <v>1</v>
      </c>
    </row>
    <row r="474" ht="15.75" customHeight="1" spans="1:2">
      <c r="A474" s="3" t="str">
        <f>IFERROR(__xludf.DUMMYFUNCTION("GOOGLETRANSLATE(A474,""en"",""pt"")"),"Muito fácil de usar.")</f>
        <v>Muito fácil de usar.</v>
      </c>
      <c r="B474" s="3">
        <v>1</v>
      </c>
    </row>
    <row r="475" ht="15.75" customHeight="1" spans="1:2">
      <c r="A475" s="3" t="str">
        <f>IFERROR(__xludf.DUMMYFUNCTION("GOOGLETRANSLATE(A475,""en"",""pt"")"),"Desconfortável no ouvido, não use com LG VX9900 (env).")</f>
        <v>Desconfortável no ouvido, não use com LG VX9900 (env).</v>
      </c>
      <c r="B475" s="3">
        <v>0</v>
      </c>
    </row>
    <row r="476" ht="15.75" customHeight="1" spans="1:2">
      <c r="A476" s="3" t="str">
        <f>IFERROR(__xludf.DUMMYFUNCTION("GOOGLETRANSLATE(A476,""en"",""pt"")"),"O interruptor de volume disparou para fora da unidade para um destino desconhecido.")</f>
        <v>O interruptor de volume disparou para fora da unidade para um destino desconhecido.</v>
      </c>
      <c r="B476" s="3">
        <v>0</v>
      </c>
    </row>
    <row r="477" ht="15.75" customHeight="1" spans="1:2">
      <c r="A477" s="3" t="str">
        <f>IFERROR(__xludf.DUMMYFUNCTION("GOOGLETRANSLATE(A477,""en"",""pt"")"),"Ele mantém a carga por muito tempo, é razoavelmente confortável em condições de longa vestindo e a qualidade do som é tremendo.")</f>
        <v>Ele mantém a carga por muito tempo, é razoavelmente confortável em condições de longa vestindo e a qualidade do som é tremendo.</v>
      </c>
      <c r="B477" s="3">
        <v>1</v>
      </c>
    </row>
    <row r="478" ht="15.75" customHeight="1" spans="1:2">
      <c r="A478" s="3" t="str">
        <f>IFERROR(__xludf.DUMMYFUNCTION("GOOGLETRANSLATE(A478,""en"",""pt"")"),"Eu gostaria de devolvê-lo.")</f>
        <v>Eu gostaria de devolvê-lo.</v>
      </c>
      <c r="B478" s="3">
        <v>0</v>
      </c>
    </row>
    <row r="479" ht="15.75" customHeight="1" spans="1:2">
      <c r="A479" s="3" t="str">
        <f>IFERROR(__xludf.DUMMYFUNCTION("GOOGLETRANSLATE(A479,""en"",""pt"")"),"O teclado é realmente vale a pena na utilidade e é bastante resistente Eu não espero quaisquer problemas.")</f>
        <v>O teclado é realmente vale a pena na utilidade e é bastante resistente Eu não espero quaisquer problemas.</v>
      </c>
      <c r="B479" s="3">
        <v>1</v>
      </c>
    </row>
    <row r="480" ht="15.75" customHeight="1" spans="1:2">
      <c r="A480" s="3" t="str">
        <f>IFERROR(__xludf.DUMMYFUNCTION("GOOGLETRANSLATE(A480,""en"",""pt"")"),"contas da Verizon, no entanto, são difíceis de entender, embora os seus planos de preços são simples.")</f>
        <v>contas da Verizon, no entanto, são difíceis de entender, embora os seus planos de preços são simples.</v>
      </c>
      <c r="B480" s="3">
        <v>0</v>
      </c>
    </row>
    <row r="481" ht="15.75" customHeight="1" spans="1:2">
      <c r="A481" s="3" t="str">
        <f>IFERROR(__xludf.DUMMYFUNCTION("GOOGLETRANSLATE(A481,""en"",""pt"")"),"Depois de carregar durante a noite, essas baterias funcionam muito bem.")</f>
        <v>Depois de carregar durante a noite, essas baterias funcionam muito bem.</v>
      </c>
      <c r="B481" s="3">
        <v>1</v>
      </c>
    </row>
    <row r="482" ht="15.75" customHeight="1" spans="1:2">
      <c r="A482" s="3" t="str">
        <f>IFERROR(__xludf.DUMMYFUNCTION("GOOGLETRANSLATE(A482,""en"",""pt"")"),"Você não vai se arrepender!")</f>
        <v>Você não vai se arrepender!</v>
      </c>
      <c r="B482" s="3">
        <v>1</v>
      </c>
    </row>
    <row r="483" ht="15.75" customHeight="1" spans="1:2">
      <c r="A483" s="3" t="str">
        <f>IFERROR(__xludf.DUMMYFUNCTION("GOOGLETRANSLATE(A483,""en"",""pt"")"),"Eu amo este telefone !.")</f>
        <v>Eu amo este telefone !.</v>
      </c>
      <c r="B483" s="3">
        <v>1</v>
      </c>
    </row>
    <row r="484" ht="15.75" customHeight="1" spans="1:2">
      <c r="A484" s="3" t="str">
        <f>IFERROR(__xludf.DUMMYFUNCTION("GOOGLETRANSLATE(A484,""en"",""pt"")"),"Um desapontamento.")</f>
        <v>Um desapontamento.</v>
      </c>
      <c r="B484" s="3">
        <v>0</v>
      </c>
    </row>
    <row r="485" ht="15.75" customHeight="1" spans="1:2">
      <c r="A485" s="3" t="str">
        <f>IFERROR(__xludf.DUMMYFUNCTION("GOOGLETRANSLATE(A485,""en"",""pt"")"),"A sua não é amigável.")</f>
        <v>A sua não é amigável.</v>
      </c>
      <c r="B485" s="3">
        <v>0</v>
      </c>
    </row>
    <row r="486" ht="15.75" customHeight="1" spans="1:2">
      <c r="A486" s="3" t="str">
        <f>IFERROR(__xludf.DUMMYFUNCTION("GOOGLETRANSLATE(A486,""en"",""pt"")"),"Infelizmente, a capacidade de realmente saber que você está recebendo uma chamada é uma característica bastante importante e este telefone é lamentável a esse respeito.")</f>
        <v>Infelizmente, a capacidade de realmente saber que você está recebendo uma chamada é uma característica bastante importante e este telefone é lamentável a esse respeito.</v>
      </c>
      <c r="B486" s="3">
        <v>0</v>
      </c>
    </row>
    <row r="487" ht="15.75" customHeight="1" spans="1:2">
      <c r="A487" s="3" t="str">
        <f>IFERROR(__xludf.DUMMYFUNCTION("GOOGLETRANSLATE(A487,""en"",""pt"")"),"Então eu trocado pelo mesmo telefone, mesmo que teve o mesmo problema.")</f>
        <v>Então eu trocado pelo mesmo telefone, mesmo que teve o mesmo problema.</v>
      </c>
      <c r="B487" s="3">
        <v>0</v>
      </c>
    </row>
    <row r="488" ht="15.75" customHeight="1" spans="1:2">
      <c r="A488" s="3" t="str">
        <f>IFERROR(__xludf.DUMMYFUNCTION("GOOGLETRANSLATE(A488,""en"",""pt"")"),"Isso resulta no telefone que está sendo qualquer preso a um volume máximo ou mudo.")</f>
        <v>Isso resulta no telefone que está sendo qualquer preso a um volume máximo ou mudo.</v>
      </c>
      <c r="B488" s="3">
        <v>0</v>
      </c>
    </row>
    <row r="489" ht="15.75" customHeight="1" spans="1:2">
      <c r="A489" s="3" t="str">
        <f>IFERROR(__xludf.DUMMYFUNCTION("GOOGLETRANSLATE(A489,""en"",""pt"")"),"Este PDA rochas.")</f>
        <v>Este PDA rochas.</v>
      </c>
      <c r="B489" s="3">
        <v>1</v>
      </c>
    </row>
    <row r="490" ht="15.75" customHeight="1" spans="1:2">
      <c r="A490" s="3" t="str">
        <f>IFERROR(__xludf.DUMMYFUNCTION("GOOGLETRANSLATE(A490,""en"",""pt"")"),"Ele é super carregada para o uso como um pequeno híbrido palmtop / câmera / celular, e se destaca nesses papéis.")</f>
        <v>Ele é super carregada para o uso como um pequeno híbrido palmtop / câmera / celular, e se destaca nesses papéis.</v>
      </c>
      <c r="B490" s="3">
        <v>1</v>
      </c>
    </row>
    <row r="491" ht="15.75" customHeight="1" spans="1:2">
      <c r="A491" s="3" t="str">
        <f>IFERROR(__xludf.DUMMYFUNCTION("GOOGLETRANSLATE(A491,""en"",""pt"")"),"Eu recomendaria definitivamente o Jabra BT250V para aqueles que estão à procura de conforto, clareza e um ótimo preço!")</f>
        <v>Eu recomendaria definitivamente o Jabra BT250V para aqueles que estão à procura de conforto, clareza e um ótimo preço!</v>
      </c>
      <c r="B491" s="3">
        <v>1</v>
      </c>
    </row>
    <row r="492" ht="15.75" customHeight="1" spans="1:2">
      <c r="A492" s="3" t="str">
        <f>IFERROR(__xludf.DUMMYFUNCTION("GOOGLETRANSLATE(A492,""en"",""pt"")"),"Eu tinha Verizon há 2 anos e realmente gostei seu serviço.")</f>
        <v>Eu tinha Verizon há 2 anos e realmente gostei seu serviço.</v>
      </c>
      <c r="B492" s="3">
        <v>1</v>
      </c>
    </row>
    <row r="493" ht="15.75" customHeight="1" spans="1:2">
      <c r="A493" s="3" t="str">
        <f>IFERROR(__xludf.DUMMYFUNCTION("GOOGLETRANSLATE(A493,""en"",""pt"")"),"Parte consideravelmente de lixo.")</f>
        <v>Parte consideravelmente de lixo.</v>
      </c>
      <c r="B493" s="3">
        <v>0</v>
      </c>
    </row>
    <row r="494" ht="15.75" customHeight="1" spans="1:2">
      <c r="A494" s="3" t="str">
        <f>IFERROR(__xludf.DUMMYFUNCTION("GOOGLETRANSLATE(A494,""en"",""pt"")"),"Ligue era do tamanho errado.")</f>
        <v>Ligue era do tamanho errado.</v>
      </c>
      <c r="B494" s="3">
        <v>0</v>
      </c>
    </row>
    <row r="495" ht="15.75" customHeight="1" spans="1:2">
      <c r="A495" s="3" t="str">
        <f>IFERROR(__xludf.DUMMYFUNCTION("GOOGLETRANSLATE(A495,""en"",""pt"")"),"Funciona como descrito.")</f>
        <v>Funciona como descrito.</v>
      </c>
      <c r="B495" s="3">
        <v>1</v>
      </c>
    </row>
    <row r="496" ht="15.75" customHeight="1" spans="1:2">
      <c r="A496" s="3" t="str">
        <f>IFERROR(__xludf.DUMMYFUNCTION("GOOGLETRANSLATE(A496,""en"",""pt"")"),"Guardar o seu dinheiro .... Eu tive este item para 11 meses agora.")</f>
        <v>Guardar o seu dinheiro .... Eu tive este item para 11 meses agora.</v>
      </c>
      <c r="B496" s="3">
        <v>0</v>
      </c>
    </row>
    <row r="497" ht="15.75" customHeight="1" spans="1:2">
      <c r="A497" s="3" t="str">
        <f>IFERROR(__xludf.DUMMYFUNCTION("GOOGLETRANSLATE(A497,""en"",""pt"")"),"Bad Compra.")</f>
        <v>Bad Compra.</v>
      </c>
      <c r="B497" s="3">
        <v>0</v>
      </c>
    </row>
    <row r="498" ht="15.75" customHeight="1" spans="1:2">
      <c r="A498" s="3" t="str">
        <f>IFERROR(__xludf.DUMMYFUNCTION("GOOGLETRANSLATE(A498,""en"",""pt"")"),"BEM IM satisfeito.")</f>
        <v>BEM IM satisfeito.</v>
      </c>
      <c r="B498" s="3">
        <v>1</v>
      </c>
    </row>
    <row r="499" ht="15.75" customHeight="1" spans="1:2">
      <c r="A499" s="3" t="str">
        <f>IFERROR(__xludf.DUMMYFUNCTION("GOOGLETRANSLATE(A499,""en"",""pt"")"),"O cancelamento de ruído Bose é incrível, o que é muito importante para um viajante NYC.")</f>
        <v>O cancelamento de ruído Bose é incrível, o que é muito importante para um viajante NYC.</v>
      </c>
      <c r="B499" s="3">
        <v>1</v>
      </c>
    </row>
    <row r="500" ht="15.75" customHeight="1" spans="1:2">
      <c r="A500" s="3" t="str">
        <f>IFERROR(__xludf.DUMMYFUNCTION("GOOGLETRANSLATE(A500,""en"",""pt"")"),"Esta bateria é um excelente negócio!")</f>
        <v>Esta bateria é um excelente negócio!</v>
      </c>
      <c r="B500" s="3">
        <v>1</v>
      </c>
    </row>
    <row r="501" ht="15.75" customHeight="1" spans="1:2">
      <c r="A501" s="3" t="str">
        <f>IFERROR(__xludf.DUMMYFUNCTION("GOOGLETRANSLATE(A501,""en"",""pt"")"),"porcaria defeito.")</f>
        <v>porcaria defeito.</v>
      </c>
      <c r="B501" s="3">
        <v>0</v>
      </c>
    </row>
    <row r="502" ht="15.75" customHeight="1" spans="1:2">
      <c r="A502" s="3" t="str">
        <f>IFERROR(__xludf.DUMMYFUNCTION("GOOGLETRANSLATE(A502,""en"",""pt"")"),"Eu teria dado nenhuma estrela se eu era capaz.")</f>
        <v>Eu teria dado nenhuma estrela se eu era capaz.</v>
      </c>
      <c r="B502" s="3">
        <v>0</v>
      </c>
    </row>
    <row r="503" ht="15.75" customHeight="1" spans="1:2">
      <c r="A503" s="3" t="str">
        <f>IFERROR(__xludf.DUMMYFUNCTION("GOOGLETRANSLATE(A503,""en"",""pt"")"),"Eu uso óculos e ele se encaixa muito bem com eles.")</f>
        <v>Eu uso óculos e ele se encaixa muito bem com eles.</v>
      </c>
      <c r="B503" s="3">
        <v>1</v>
      </c>
    </row>
    <row r="504" ht="15.75" customHeight="1" spans="1:2">
      <c r="A504" s="3" t="str">
        <f>IFERROR(__xludf.DUMMYFUNCTION("GOOGLETRANSLATE(A504,""en"",""pt"")"),"A qualidade do som para o dispositivo é unacceptable.Unless você está em uma área muito tranquila, você quase não ouve nada.")</f>
        <v>A qualidade do som para o dispositivo é unacceptable.Unless você está em uma área muito tranquila, você quase não ouve nada.</v>
      </c>
      <c r="B504" s="3">
        <v>0</v>
      </c>
    </row>
    <row r="505" ht="15.75" customHeight="1" spans="1:2">
      <c r="A505" s="3" t="str">
        <f>IFERROR(__xludf.DUMMYFUNCTION("GOOGLETRANSLATE(A505,""en"",""pt"")"),"Eu não recomendo este item para ninguém.")</f>
        <v>Eu não recomendo este item para ninguém.</v>
      </c>
      <c r="B505" s="3">
        <v>0</v>
      </c>
    </row>
    <row r="506" ht="15.75" customHeight="1" spans="1:2">
      <c r="A506" s="3" t="str">
        <f>IFERROR(__xludf.DUMMYFUNCTION("GOOGLETRANSLATE(A506,""en"",""pt"")"),"O coldre que chegou não coincidir com a foto no anúncio.")</f>
        <v>O coldre que chegou não coincidir com a foto no anúncio.</v>
      </c>
      <c r="B506" s="3">
        <v>0</v>
      </c>
    </row>
    <row r="507" ht="15.75" customHeight="1" spans="1:2">
      <c r="A507" s="3" t="str">
        <f>IFERROR(__xludf.DUMMYFUNCTION("GOOGLETRANSLATE(A507,""en"",""pt"")"),"grandes ... sem problemas em tudo !.")</f>
        <v>grandes ... sem problemas em tudo !.</v>
      </c>
      <c r="B507" s="3">
        <v>1</v>
      </c>
    </row>
    <row r="508" ht="15.75" customHeight="1" spans="1:2">
      <c r="A508" s="3" t="str">
        <f>IFERROR(__xludf.DUMMYFUNCTION("GOOGLETRANSLATE(A508,""en"",""pt"")"),"Como um comentário anterior observou, conecte este carregador e nada acontece.")</f>
        <v>Como um comentário anterior observou, conecte este carregador e nada acontece.</v>
      </c>
      <c r="B508" s="3">
        <v>0</v>
      </c>
    </row>
    <row r="509" ht="15.75" customHeight="1" spans="1:2">
      <c r="A509" s="3" t="str">
        <f>IFERROR(__xludf.DUMMYFUNCTION("GOOGLETRANSLATE(A509,""en"",""pt"")"),"Este encanto do telefone rã é adorável e muito atraente.")</f>
        <v>Este encanto do telefone rã é adorável e muito atraente.</v>
      </c>
      <c r="B509" s="3">
        <v>1</v>
      </c>
    </row>
    <row r="510" ht="15.75" customHeight="1" spans="1:2">
      <c r="A510" s="3" t="str">
        <f>IFERROR(__xludf.DUMMYFUNCTION("GOOGLETRANSLATE(A510,""en"",""pt"")"),"Você nunca sabe se você empurrou-o com força suficiente ou o número certo de vezes para a função que você quer ou não.")</f>
        <v>Você nunca sabe se você empurrou-o com força suficiente ou o número certo de vezes para a função que você quer ou não.</v>
      </c>
      <c r="B510" s="3">
        <v>0</v>
      </c>
    </row>
    <row r="511" ht="15.75" customHeight="1" spans="1:2">
      <c r="A511" s="3" t="str">
        <f>IFERROR(__xludf.DUMMYFUNCTION("GOOGLETRANSLATE(A511,""en"",""pt"")"),"O som é claro e as pessoas com quem eu falo sobre ele são espantado com a qualidade também.")</f>
        <v>O som é claro e as pessoas com quem eu falo sobre ele são espantado com a qualidade também.</v>
      </c>
      <c r="B511" s="3">
        <v>1</v>
      </c>
    </row>
    <row r="512" ht="15.75" customHeight="1" spans="1:2">
      <c r="A512" s="3" t="str">
        <f>IFERROR(__xludf.DUMMYFUNCTION("GOOGLETRANSLATE(A512,""en"",""pt"")"),"Eu tenho a caixa de alumínio para o meu novo Palm VX e funcionou muito bem - ele tem protegido meu computador de mão perfeitamente até agora.")</f>
        <v>Eu tenho a caixa de alumínio para o meu novo Palm VX e funcionou muito bem - ele tem protegido meu computador de mão perfeitamente até agora.</v>
      </c>
      <c r="B512" s="3">
        <v>1</v>
      </c>
    </row>
    <row r="513" ht="15.75" customHeight="1" spans="1:2">
      <c r="A513" s="3" t="str">
        <f>IFERROR(__xludf.DUMMYFUNCTION("GOOGLETRANSLATE(A513,""en"",""pt"")"),"produto muito bom, bem feito.")</f>
        <v>produto muito bom, bem feito.</v>
      </c>
      <c r="B513" s="3">
        <v>1</v>
      </c>
    </row>
    <row r="514" ht="15.75" customHeight="1" spans="1:2">
      <c r="A514" s="3" t="str">
        <f>IFERROR(__xludf.DUMMYFUNCTION("GOOGLETRANSLATE(A514,""en"",""pt"")"),"Mobile Phone Tools são um deve ter.")</f>
        <v>Mobile Phone Tools são um deve ter.</v>
      </c>
      <c r="B514" s="3">
        <v>1</v>
      </c>
    </row>
    <row r="515" ht="15.75" customHeight="1" spans="1:2">
      <c r="A515" s="3" t="str">
        <f>IFERROR(__xludf.DUMMYFUNCTION("GOOGLETRANSLATE(A515,""en"",""pt"")"),"Estou muito impressionado com o trabalho que a Motorola fez sobre a robustez deste telefone.")</f>
        <v>Estou muito impressionado com o trabalho que a Motorola fez sobre a robustez deste telefone.</v>
      </c>
      <c r="B515" s="3">
        <v>1</v>
      </c>
    </row>
    <row r="516" ht="15.75" customHeight="1" spans="1:2">
      <c r="A516" s="3" t="str">
        <f>IFERROR(__xludf.DUMMYFUNCTION("GOOGLETRANSLATE(A516,""en"",""pt"")"),"Recebi minhas ordens bem dentro do prazo de envio, tudo estava em boas condições de funcionamento e, em geral, estou muito animado para ter essa fonte.")</f>
        <v>Recebi minhas ordens bem dentro do prazo de envio, tudo estava em boas condições de funcionamento e, em geral, estou muito animado para ter essa fonte.</v>
      </c>
      <c r="B516" s="3">
        <v>1</v>
      </c>
    </row>
    <row r="517" ht="15.75" customHeight="1" spans="1:2">
      <c r="A517" s="3" t="str">
        <f>IFERROR(__xludf.DUMMYFUNCTION("GOOGLETRANSLATE(A517,""en"",""pt"")"),"O telefone é resistente e impermeável.")</f>
        <v>O telefone é resistente e impermeável.</v>
      </c>
      <c r="B517" s="3">
        <v>1</v>
      </c>
    </row>
    <row r="518" ht="15.75" customHeight="1" spans="1:2">
      <c r="A518" s="3" t="str">
        <f>IFERROR(__xludf.DUMMYFUNCTION("GOOGLETRANSLATE(A518,""en"",""pt"")"),"Não estou impressionado com este e eu não recomendo este item para ninguém.")</f>
        <v>Não estou impressionado com este e eu não recomendo este item para ninguém.</v>
      </c>
      <c r="B518" s="3">
        <v>0</v>
      </c>
    </row>
    <row r="519" ht="15.75" customHeight="1" spans="1:2">
      <c r="A519" s="3" t="str">
        <f>IFERROR(__xludf.DUMMYFUNCTION("GOOGLETRANSLATE(A519,""en"",""pt"")"),"A minha única reclamação é o volume de som padrão é um pouco baixo, mesmo quando virou até 5 (de 5)")</f>
        <v>A minha única reclamação é o volume de som padrão é um pouco baixo, mesmo quando virou até 5 (de 5)</v>
      </c>
      <c r="B519" s="3">
        <v>0</v>
      </c>
    </row>
    <row r="520" ht="15.75" customHeight="1" spans="1:2">
      <c r="A520" s="3" t="str">
        <f>IFERROR(__xludf.DUMMYFUNCTION("GOOGLETRANSLATE(A520,""en"",""pt"")"),"Obrigado novamente para a Amazon para ter as coisas que eu preciso para um bom preço!")</f>
        <v>Obrigado novamente para a Amazon para ter as coisas que eu preciso para um bom preço!</v>
      </c>
      <c r="B520" s="3">
        <v>1</v>
      </c>
    </row>
    <row r="521" ht="15.75" customHeight="1" spans="1:2">
      <c r="A521" s="3" t="str">
        <f>IFERROR(__xludf.DUMMYFUNCTION("GOOGLETRANSLATE(A521,""en"",""pt"")"),"Eu acabei deslizando-a na borda das minhas calças ou bolsos traseiros vez.")</f>
        <v>Eu acabei deslizando-a na borda das minhas calças ou bolsos traseiros vez.</v>
      </c>
      <c r="B521" s="3">
        <v>1</v>
      </c>
    </row>
    <row r="522" ht="15.75" customHeight="1" spans="1:2">
      <c r="A522" s="3" t="str">
        <f>IFERROR(__xludf.DUMMYFUNCTION("GOOGLETRANSLATE(A522,""en"",""pt"")"),"Eu tive que ir a uma loja e comprei um novo telefone Nokia, que está trabalhando muito.")</f>
        <v>Eu tive que ir a uma loja e comprei um novo telefone Nokia, que está trabalhando muito.</v>
      </c>
      <c r="B522" s="3">
        <v>1</v>
      </c>
    </row>
    <row r="523" ht="15.75" customHeight="1" spans="1:2">
      <c r="A523" s="3" t="str">
        <f>IFERROR(__xludf.DUMMYFUNCTION("GOOGLETRANSLATE(A523,""en"",""pt"")"),"Funciona bem!.")</f>
        <v>Funciona bem!.</v>
      </c>
      <c r="B523" s="3">
        <v>1</v>
      </c>
    </row>
    <row r="524" ht="15.75" customHeight="1" spans="1:2">
      <c r="A524" s="3" t="str">
        <f>IFERROR(__xludf.DUMMYFUNCTION("GOOGLETRANSLATE(A524,""en"",""pt"")"),"REALMENTE FEIO.")</f>
        <v>REALMENTE FEIO.</v>
      </c>
      <c r="B524" s="3">
        <v>0</v>
      </c>
    </row>
    <row r="525" ht="15.75" customHeight="1" spans="1:2">
      <c r="A525" s="3" t="str">
        <f>IFERROR(__xludf.DUMMYFUNCTION("GOOGLETRANSLATE(A525,""en"",""pt"")"),"horrível, tive que mudar 3 vezes.")</f>
        <v>horrível, tive que mudar 3 vezes.</v>
      </c>
      <c r="B525" s="3">
        <v>0</v>
      </c>
    </row>
    <row r="526" ht="15.75" customHeight="1" spans="1:2">
      <c r="A526" s="3" t="str">
        <f>IFERROR(__xludf.DUMMYFUNCTION("GOOGLETRANSLATE(A526,""en"",""pt"")"),"O escudo de ruído é incrediable.")</f>
        <v>O escudo de ruído é incrediable.</v>
      </c>
      <c r="B526" s="3">
        <v>1</v>
      </c>
    </row>
    <row r="527" ht="15.75" customHeight="1" spans="1:2">
      <c r="A527" s="3" t="str">
        <f>IFERROR(__xludf.DUMMYFUNCTION("GOOGLETRANSLATE(A527,""en"",""pt"")"),"Nenhuma melhoria real.")</f>
        <v>Nenhuma melhoria real.</v>
      </c>
      <c r="B527" s="3">
        <v>0</v>
      </c>
    </row>
    <row r="528" ht="15.75" customHeight="1" spans="1:2">
      <c r="A528" s="3" t="str">
        <f>IFERROR(__xludf.DUMMYFUNCTION("GOOGLETRANSLATE(A528,""en"",""pt"")"),"Razr Bateria - boa compra.")</f>
        <v>Razr Bateria - boa compra.</v>
      </c>
      <c r="B528" s="3">
        <v>1</v>
      </c>
    </row>
    <row r="529" ht="15.75" customHeight="1" spans="1:2">
      <c r="A529" s="3" t="str">
        <f>IFERROR(__xludf.DUMMYFUNCTION("GOOGLETRANSLATE(A529,""en"",""pt"")"),"Mantenha o bom trabalho Amazon !!")</f>
        <v>Mantenha o bom trabalho Amazon !!</v>
      </c>
      <c r="B529" s="3">
        <v>1</v>
      </c>
    </row>
    <row r="530" ht="15.75" customHeight="1" spans="1:2">
      <c r="A530" s="3" t="str">
        <f>IFERROR(__xludf.DUMMYFUNCTION("GOOGLETRANSLATE(A530,""en"",""pt"")"),"Eles se recusam a reembolsar ou substituir.")</f>
        <v>Eles se recusam a reembolsar ou substituir.</v>
      </c>
      <c r="B530" s="3">
        <v>0</v>
      </c>
    </row>
    <row r="531" ht="15.75" customHeight="1" spans="1:2">
      <c r="A531" s="3" t="str">
        <f>IFERROR(__xludf.DUMMYFUNCTION("GOOGLETRANSLATE(A531,""en"",""pt"")"),"Infelizmente, é fácil acidentalmente ativá-los com os botões suave ao toque, se você acidentalmente tocar o telefone na sua cara enquanto ouve.")</f>
        <v>Infelizmente, é fácil acidentalmente ativá-los com os botões suave ao toque, se você acidentalmente tocar o telefone na sua cara enquanto ouve.</v>
      </c>
      <c r="B531" s="3">
        <v>0</v>
      </c>
    </row>
    <row r="532" ht="15.75" customHeight="1" spans="1:2">
      <c r="A532" s="3" t="str">
        <f>IFERROR(__xludf.DUMMYFUNCTION("GOOGLETRANSLATE(A532,""en"",""pt"")"),"Então eu basicamente joguei meu dinheiro pela janela para nada.")</f>
        <v>Então eu basicamente joguei meu dinheiro pela janela para nada.</v>
      </c>
      <c r="B532" s="3">
        <v>0</v>
      </c>
    </row>
    <row r="533" ht="15.75" customHeight="1" spans="1:2">
      <c r="A533" s="3" t="str">
        <f>IFERROR(__xludf.DUMMYFUNCTION("GOOGLETRANSLATE(A533,""en"",""pt"")"),"Grande caso e preço!")</f>
        <v>Grande caso e preço!</v>
      </c>
      <c r="B533" s="3">
        <v>1</v>
      </c>
    </row>
    <row r="534" ht="15.75" customHeight="1" spans="1:2">
      <c r="A534" s="3" t="str">
        <f>IFERROR(__xludf.DUMMYFUNCTION("GOOGLETRANSLATE(A534,""en"",""pt"")"),"Bastou uma gota de cerca de 6 polegadas acima do balcão da cozinha e foi cracked.I não estou impressionado e eu não estou rindo.")</f>
        <v>Bastou uma gota de cerca de 6 polegadas acima do balcão da cozinha e foi cracked.I não estou impressionado e eu não estou rindo.</v>
      </c>
      <c r="B534" s="3">
        <v>0</v>
      </c>
    </row>
    <row r="535" ht="15.75" customHeight="1" spans="1:2">
      <c r="A535" s="3" t="str">
        <f>IFERROR(__xludf.DUMMYFUNCTION("GOOGLETRANSLATE(A535,""en"",""pt"")"),"Bluetooth gama é bom - alguns dias atrás eu deixei meu telefone no tronco, recebi um telefonema, e levou a conversa sem problemas.")</f>
        <v>Bluetooth gama é bom - alguns dias atrás eu deixei meu telefone no tronco, recebi um telefonema, e levou a conversa sem problemas.</v>
      </c>
      <c r="B535" s="3">
        <v>1</v>
      </c>
    </row>
    <row r="536" ht="15.75" customHeight="1" spans="1:2">
      <c r="A536" s="3" t="str">
        <f>IFERROR(__xludf.DUMMYFUNCTION("GOOGLETRANSLATE(A536,""en"",""pt"")"),"Pequeno, elegante, impressionante olhando, configuração prático com amplo armazenamento no lugar.")</f>
        <v>Pequeno, elegante, impressionante olhando, configuração prático com amplo armazenamento no lugar.</v>
      </c>
      <c r="B536" s="3">
        <v>1</v>
      </c>
    </row>
    <row r="537" ht="15.75" customHeight="1" spans="1:2">
      <c r="A537" s="3" t="str">
        <f>IFERROR(__xludf.DUMMYFUNCTION("GOOGLETRANSLATE(A537,""en"",""pt"")"),"Os eargels canalizar o som diretamente em sua orelha e parecem aumentar o volume do som e clareza.")</f>
        <v>Os eargels canalizar o som diretamente em sua orelha e parecem aumentar o volume do som e clareza.</v>
      </c>
      <c r="B537" s="3">
        <v>1</v>
      </c>
    </row>
    <row r="538" ht="15.75" customHeight="1" spans="1:2">
      <c r="A538" s="3" t="str">
        <f>IFERROR(__xludf.DUMMYFUNCTION("GOOGLETRANSLATE(A538,""en"",""pt"")"),"nenhum dos novos já bastante funcionou corretamente.")</f>
        <v>nenhum dos novos já bastante funcionou corretamente.</v>
      </c>
      <c r="B538" s="3">
        <v>0</v>
      </c>
    </row>
    <row r="539" ht="15.75" customHeight="1" spans="1:2">
      <c r="A539" s="3" t="str">
        <f>IFERROR(__xludf.DUMMYFUNCTION("GOOGLETRANSLATE(A539,""en"",""pt"")"),"Estou feliz que eu comprei.")</f>
        <v>Estou feliz que eu comprei.</v>
      </c>
      <c r="B539" s="3">
        <v>1</v>
      </c>
    </row>
    <row r="540" ht="15.75" customHeight="1" spans="1:2">
      <c r="A540" s="3" t="str">
        <f>IFERROR(__xludf.DUMMYFUNCTION("GOOGLETRANSLATE(A540,""en"",""pt"")"),"Eu perdi várias chamadas por causa deste motivo.")</f>
        <v>Eu perdi várias chamadas por causa deste motivo.</v>
      </c>
      <c r="B540" s="3">
        <v>0</v>
      </c>
    </row>
    <row r="541" ht="15.75" customHeight="1" spans="1:2">
      <c r="A541" s="3" t="str">
        <f>IFERROR(__xludf.DUMMYFUNCTION("GOOGLETRANSLATE(A541,""en"",""pt"")"),"Talvez o meu telefone está com defeito, mas as pessoas não podem me ouvir quando eu uso isso.")</f>
        <v>Talvez o meu telefone está com defeito, mas as pessoas não podem me ouvir quando eu uso isso.</v>
      </c>
      <c r="B541" s="3">
        <v>0</v>
      </c>
    </row>
    <row r="542" ht="15.75" customHeight="1" spans="1:2">
      <c r="A542" s="3" t="str">
        <f>IFERROR(__xludf.DUMMYFUNCTION("GOOGLETRANSLATE(A542,""en"",""pt"")"),"Não compre este produto.")</f>
        <v>Não compre este produto.</v>
      </c>
      <c r="B542" s="3">
        <v>0</v>
      </c>
    </row>
    <row r="543" ht="15.75" customHeight="1" spans="1:2">
      <c r="A543" s="3" t="str">
        <f>IFERROR(__xludf.DUMMYFUNCTION("GOOGLETRANSLATE(A543,""en"",""pt"")"),"sugado, a maioria das coisas não funciona com meu telefone.")</f>
        <v>sugado, a maioria das coisas não funciona com meu telefone.</v>
      </c>
      <c r="B543" s="3">
        <v>0</v>
      </c>
    </row>
    <row r="544" ht="15.75" customHeight="1" spans="1:2">
      <c r="A544" s="3" t="str">
        <f>IFERROR(__xludf.DUMMYFUNCTION("GOOGLETRANSLATE(A544,""en"",""pt"")"),"Sem mudança, não borbulhante, nenhuma casca, nem sequer um arranhão, nada! Eu não poderia estar mais feliz com o meu novo um para o Droid.")</f>
        <v>Sem mudança, não borbulhante, nenhuma casca, nem sequer um arranhão, nada! Eu não poderia estar mais feliz com o meu novo um para o Droid.</v>
      </c>
      <c r="B544" s="3">
        <v>1</v>
      </c>
    </row>
    <row r="545" ht="15.75" customHeight="1" spans="1:2">
      <c r="A545" s="3" t="str">
        <f>IFERROR(__xludf.DUMMYFUNCTION("GOOGLETRANSLATE(A545,""en"",""pt"")"),"Pior software já usou .... Se eu pudesse dar este zero estrelas gostaria.")</f>
        <v>Pior software já usou .... Se eu pudesse dar este zero estrelas gostaria.</v>
      </c>
      <c r="B545" s="3">
        <v>0</v>
      </c>
    </row>
    <row r="546" ht="15.75" customHeight="1" spans="1:2">
      <c r="A546" s="3" t="str">
        <f>IFERROR(__xludf.DUMMYFUNCTION("GOOGLETRANSLATE(A546,""en"",""pt"")"),"Tentando fazer uma chamada sobre estes é um exercício de frustração.")</f>
        <v>Tentando fazer uma chamada sobre estes é um exercício de frustração.</v>
      </c>
      <c r="B546" s="3">
        <v>0</v>
      </c>
    </row>
    <row r="547" ht="15.75" customHeight="1" spans="1:2">
      <c r="A547" s="3" t="str">
        <f>IFERROR(__xludf.DUMMYFUNCTION("GOOGLETRANSLATE(A547,""en"",""pt"")"),"O caso é uma peça frágil de plástico e não tem frente ou de lado qualquer proteção.")</f>
        <v>O caso é uma peça frágil de plástico e não tem frente ou de lado qualquer proteção.</v>
      </c>
      <c r="B547" s="3">
        <v>0</v>
      </c>
    </row>
    <row r="548" ht="15.75" customHeight="1" spans="1:2">
      <c r="A548" s="3" t="str">
        <f>IFERROR(__xludf.DUMMYFUNCTION("GOOGLETRANSLATE(A548,""en"",""pt"")"),"Eu possuo uma Jabra Earset e estava muito feliz com isso, mas a qualidade do som, especialmente de saída, por isso é melhor.")</f>
        <v>Eu possuo uma Jabra Earset e estava muito feliz com isso, mas a qualidade do som, especialmente de saída, por isso é melhor.</v>
      </c>
      <c r="B548" s="3">
        <v>1</v>
      </c>
    </row>
    <row r="549" ht="15.75" customHeight="1" spans="1:2">
      <c r="A549" s="3" t="str">
        <f>IFERROR(__xludf.DUMMYFUNCTION("GOOGLETRANSLATE(A549,""en"",""pt"")"),"Eu amo a câmera, é realmente muito boa qualidade.")</f>
        <v>Eu amo a câmera, é realmente muito boa qualidade.</v>
      </c>
      <c r="B549" s="3">
        <v>1</v>
      </c>
    </row>
    <row r="550" ht="15.75" customHeight="1" spans="1:2">
      <c r="A550" s="3" t="str">
        <f>IFERROR(__xludf.DUMMYFUNCTION("GOOGLETRANSLATE(A550,""en"",""pt"")"),"Obrigado por esse serviço excelente.")</f>
        <v>Obrigado por esse serviço excelente.</v>
      </c>
      <c r="B550" s="3">
        <v>1</v>
      </c>
    </row>
    <row r="551" ht="15.75" customHeight="1" spans="1:2">
      <c r="A551" s="3" t="str">
        <f>IFERROR(__xludf.DUMMYFUNCTION("GOOGLETRANSLATE(A551,""en"",""pt"")"),"É um pacote total.")</f>
        <v>É um pacote total.</v>
      </c>
      <c r="B551" s="3">
        <v>1</v>
      </c>
    </row>
    <row r="552" ht="15.75" customHeight="1" spans="1:2">
      <c r="A552" s="3" t="str">
        <f>IFERROR(__xludf.DUMMYFUNCTION("GOOGLETRANSLATE(A552,""en"",""pt"")"),"O vendedor é muito compreensivo e paciente, eu definitivamente comprar a partir deles novamente.")</f>
        <v>O vendedor é muito compreensivo e paciente, eu definitivamente comprar a partir deles novamente.</v>
      </c>
      <c r="B552" s="3">
        <v>1</v>
      </c>
    </row>
    <row r="553" ht="15.75" customHeight="1" spans="1:2">
      <c r="A553" s="3" t="str">
        <f>IFERROR(__xludf.DUMMYFUNCTION("GOOGLETRANSLATE(A553,""en"",""pt"")"),"Dou Wirefly 1 star.I entrará em contato com a Cingular / AT &amp; T; e informá-los sobre esta prática.")</f>
        <v>Dou Wirefly 1 star.I entrará em contato com a Cingular / AT &amp; T; e informá-los sobre esta prática.</v>
      </c>
      <c r="B553" s="3">
        <v>0</v>
      </c>
    </row>
    <row r="554" ht="15.75" customHeight="1" spans="1:2">
      <c r="A554" s="3" t="str">
        <f>IFERROR(__xludf.DUMMYFUNCTION("GOOGLETRANSLATE(A554,""en"",""pt"")"),"É agravante!")</f>
        <v>É agravante!</v>
      </c>
      <c r="B554" s="3">
        <v>0</v>
      </c>
    </row>
    <row r="555" ht="15.75" customHeight="1" spans="1:2">
      <c r="A555" s="3" t="str">
        <f>IFERROR(__xludf.DUMMYFUNCTION("GOOGLETRANSLATE(A555,""en"",""pt"")"),"Bom produto para o preço!.")</f>
        <v>Bom produto para o preço!.</v>
      </c>
      <c r="B555" s="3">
        <v>1</v>
      </c>
    </row>
    <row r="556" ht="15.75" customHeight="1" spans="1:2">
      <c r="A556" s="3" t="str">
        <f>IFERROR(__xludf.DUMMYFUNCTION("GOOGLETRANSLATE(A556,""en"",""pt"")"),"Eu comprei estes para a família e os amigos, e todos desfrutar de sua clareza e facilidade de utilização")</f>
        <v>Eu comprei estes para a família e os amigos, e todos desfrutar de sua clareza e facilidade de utilização</v>
      </c>
      <c r="B556" s="3">
        <v>1</v>
      </c>
    </row>
    <row r="557" ht="15.75" customHeight="1" spans="1:2">
      <c r="A557" s="3" t="str">
        <f>IFERROR(__xludf.DUMMYFUNCTION("GOOGLETRANSLATE(A557,""en"",""pt"")"),"Virgem sem fio rochas e assim que faz este pequeno telefone barato!")</f>
        <v>Virgem sem fio rochas e assim que faz este pequeno telefone barato!</v>
      </c>
      <c r="B557" s="3">
        <v>1</v>
      </c>
    </row>
    <row r="558" ht="15.75" customHeight="1" spans="1:2">
      <c r="A558" s="3" t="str">
        <f>IFERROR(__xludf.DUMMYFUNCTION("GOOGLETRANSLATE(A558,""en"",""pt"")"),"Nada disso funciona, simplesmente não comprá-lo.")</f>
        <v>Nada disso funciona, simplesmente não comprá-lo.</v>
      </c>
      <c r="B558" s="3">
        <v>0</v>
      </c>
    </row>
    <row r="559" ht="15.75" customHeight="1" spans="1:2">
      <c r="A559" s="3" t="str">
        <f>IFERROR(__xludf.DUMMYFUNCTION("GOOGLETRANSLATE(A559,""en"",""pt"")"),"Lamacento, o som de baixa qualidade, e o invólucro em torno de inserção do fio de super foi mal coladas e deslizou para fora.")</f>
        <v>Lamacento, o som de baixa qualidade, e o invólucro em torno de inserção do fio de super foi mal coladas e deslizou para fora.</v>
      </c>
      <c r="B559" s="3">
        <v>0</v>
      </c>
    </row>
    <row r="560" ht="15.75" customHeight="1" spans="1:2">
      <c r="A560" s="3" t="str">
        <f>IFERROR(__xludf.DUMMYFUNCTION("GOOGLETRANSLATE(A560,""en"",""pt"")"),"Por favor, não desperdice seu dinheiro.")</f>
        <v>Por favor, não desperdice seu dinheiro.</v>
      </c>
      <c r="B560" s="3">
        <v>0</v>
      </c>
    </row>
    <row r="561" ht="15.75" customHeight="1" spans="1:2">
      <c r="A561" s="3" t="str">
        <f>IFERROR(__xludf.DUMMYFUNCTION("GOOGLETRANSLATE(A561,""en"",""pt"")"),"Tudo em tudo, estou muito satisfeito com esta compra.")</f>
        <v>Tudo em tudo, estou muito satisfeito com esta compra.</v>
      </c>
      <c r="B561" s="3">
        <v>1</v>
      </c>
    </row>
    <row r="562" ht="15.75" customHeight="1" spans="1:2">
      <c r="A562" s="3" t="str">
        <f>IFERROR(__xludf.DUMMYFUNCTION("GOOGLETRANSLATE(A562,""en"",""pt"")"),"Se você estiver procurando por uma boa qualidade Motorola Headset continue procurando, não é isso.")</f>
        <v>Se você estiver procurando por uma boa qualidade Motorola Headset continue procurando, não é isso.</v>
      </c>
      <c r="B562" s="3">
        <v>0</v>
      </c>
    </row>
    <row r="563" ht="15.75" customHeight="1" spans="1:2">
      <c r="A563" s="3" t="str">
        <f>IFERROR(__xludf.DUMMYFUNCTION("GOOGLETRANSLATE(A563,""en"",""pt"")"),"No entanto Plantronincs continua a usar o mesmo design carregador falho.")</f>
        <v>No entanto Plantronincs continua a usar o mesmo design carregador falho.</v>
      </c>
      <c r="B563" s="3">
        <v>0</v>
      </c>
    </row>
    <row r="564" ht="15.75" customHeight="1" spans="1:2">
      <c r="A564" s="3" t="str">
        <f>IFERROR(__xludf.DUMMYFUNCTION("GOOGLETRANSLATE(A564,""en"",""pt"")"),"Insatisfatório Resultados.")</f>
        <v>Insatisfatório Resultados.</v>
      </c>
      <c r="B564" s="3">
        <v>0</v>
      </c>
    </row>
    <row r="565" ht="15.75" customHeight="1" spans="1:2">
      <c r="A565" s="3" t="str">
        <f>IFERROR(__xludf.DUMMYFUNCTION("GOOGLETRANSLATE(A565,""en"",""pt"")"),"projeto complicado.")</f>
        <v>projeto complicado.</v>
      </c>
      <c r="B565" s="3">
        <v>0</v>
      </c>
    </row>
    <row r="566" ht="15.75" customHeight="1" spans="1:2">
      <c r="A566" s="3" t="str">
        <f>IFERROR(__xludf.DUMMYFUNCTION("GOOGLETRANSLATE(A566,""en"",""pt"")"),"Grande foi nova embalados agradável funciona bem, sem problemas e veio em menos tempo, então eu esperava !!!!")</f>
        <v>Grande foi nova embalados agradável funciona bem, sem problemas e veio em menos tempo, então eu esperava !!!!</v>
      </c>
      <c r="B566" s="3">
        <v>1</v>
      </c>
    </row>
    <row r="567" ht="15.75" customHeight="1" spans="1:2">
      <c r="A567" s="3" t="str">
        <f>IFERROR(__xludf.DUMMYFUNCTION("GOOGLETRANSLATE(A567,""en"",""pt"")"),"Ótimo produto.")</f>
        <v>Ótimo produto.</v>
      </c>
      <c r="B567" s="3">
        <v>1</v>
      </c>
    </row>
    <row r="568" ht="15.75" customHeight="1" spans="1:2">
      <c r="A568" s="3" t="str">
        <f>IFERROR(__xludf.DUMMYFUNCTION("GOOGLETRANSLATE(A568,""en"",""pt"")"),"É um pedaço de merda!")</f>
        <v>É um pedaço de merda!</v>
      </c>
      <c r="B568" s="3">
        <v>0</v>
      </c>
    </row>
    <row r="569" ht="15.75" customHeight="1" spans="1:2">
      <c r="A569" s="3" t="str">
        <f>IFERROR(__xludf.DUMMYFUNCTION("GOOGLETRANSLATE(A569,""en"",""pt"")"),"Minha experiência foi terrível ..... Esta foi a minha quarta fone de ouvido bluetooth, e enquanto era muito mais confortável do que a minha última Jabra (que eu odiava !!!")</f>
        <v>Minha experiência foi terrível ..... Esta foi a minha quarta fone de ouvido bluetooth, e enquanto era muito mais confortável do que a minha última Jabra (que eu odiava !!!</v>
      </c>
      <c r="B569" s="3">
        <v>0</v>
      </c>
    </row>
    <row r="570" ht="15.75" customHeight="1" spans="1:2">
      <c r="A570" s="3" t="str">
        <f>IFERROR(__xludf.DUMMYFUNCTION("GOOGLETRANSLATE(A570,""en"",""pt"")"),"Tudo isso corrige os problemas.")</f>
        <v>Tudo isso corrige os problemas.</v>
      </c>
      <c r="B570" s="3">
        <v>1</v>
      </c>
    </row>
    <row r="571" ht="15.75" customHeight="1" spans="1:2">
      <c r="A571" s="3" t="str">
        <f>IFERROR(__xludf.DUMMYFUNCTION("GOOGLETRANSLATE(A571,""en"",""pt"")"),"Pior de sempre.")</f>
        <v>Pior de sempre.</v>
      </c>
      <c r="B571" s="3">
        <v>0</v>
      </c>
    </row>
    <row r="572" ht="15.75" customHeight="1" spans="1:2">
      <c r="A572" s="3" t="str">
        <f>IFERROR(__xludf.DUMMYFUNCTION("GOOGLETRANSLATE(A572,""en"",""pt"")"),"estou muito feliz")</f>
        <v>estou muito feliz</v>
      </c>
      <c r="B572" s="3">
        <v>1</v>
      </c>
    </row>
    <row r="573" ht="15.75" customHeight="1" spans="1:2">
      <c r="A573" s="3" t="str">
        <f>IFERROR(__xludf.DUMMYFUNCTION("GOOGLETRANSLATE(A573,""en"",""pt"")"),"Eu não tinha problemas para acessar a Internet, download de ringtones ou executar qualquer uma das funções.")</f>
        <v>Eu não tinha problemas para acessar a Internet, download de ringtones ou executar qualquer uma das funções.</v>
      </c>
      <c r="B573" s="3">
        <v>1</v>
      </c>
    </row>
    <row r="574" ht="15.75" customHeight="1" spans="1:2">
      <c r="A574" s="3" t="str">
        <f>IFERROR(__xludf.DUMMYFUNCTION("GOOGLETRANSLATE(A574,""en"",""pt"")"),"Eu mal posso sempre ouvir sobre ele e estou constantemente a dizer ""o que?""")</f>
        <v>Eu mal posso sempre ouvir sobre ele e estou constantemente a dizer "o que?"</v>
      </c>
      <c r="B574" s="3">
        <v>0</v>
      </c>
    </row>
    <row r="575" ht="15.75" customHeight="1" spans="1:2">
      <c r="A575" s="3" t="str">
        <f>IFERROR(__xludf.DUMMYFUNCTION("GOOGLETRANSLATE(A575,""en"",""pt"")"),"A duração da bateria é altamente inaceitável.")</f>
        <v>A duração da bateria é altamente inaceitável.</v>
      </c>
      <c r="B575" s="3">
        <v>0</v>
      </c>
    </row>
    <row r="576" ht="15.75" customHeight="1" spans="1:2">
      <c r="A576" s="3" t="str">
        <f>IFERROR(__xludf.DUMMYFUNCTION("GOOGLETRANSLATE(A576,""en"",""pt"")"),"Essa empresa é uma piada.")</f>
        <v>Essa empresa é uma piada.</v>
      </c>
      <c r="B576" s="3">
        <v>0</v>
      </c>
    </row>
    <row r="577" ht="15.75" customHeight="1" spans="1:2">
      <c r="A577" s="3" t="str">
        <f>IFERROR(__xludf.DUMMYFUNCTION("GOOGLETRANSLATE(A577,""en"",""pt"")"),"Ele faz tudo o que a descrição disse que seria.")</f>
        <v>Ele faz tudo o que a descrição disse que seria.</v>
      </c>
      <c r="B577" s="3">
        <v>1</v>
      </c>
    </row>
    <row r="578" ht="15.75" customHeight="1" spans="1:2">
      <c r="A578" s="3" t="str">
        <f>IFERROR(__xludf.DUMMYFUNCTION("GOOGLETRANSLATE(A578,""en"",""pt"")"),"Devido a este acontecimento em cada chamada eu fui forçado a parar de usar este auricular.")</f>
        <v>Devido a este acontecimento em cada chamada eu fui forçado a parar de usar este auricular.</v>
      </c>
      <c r="B578" s="3">
        <v>0</v>
      </c>
    </row>
    <row r="579" ht="15.75" customHeight="1" spans="1:2">
      <c r="A579" s="3" t="str">
        <f>IFERROR(__xludf.DUMMYFUNCTION("GOOGLETRANSLATE(A579,""en"",""pt"")"),"Ele funciona muito bem com um carregador de carro, especialmente se você não pode conectar dois adaptadores ao mesmo tempo.")</f>
        <v>Ele funciona muito bem com um carregador de carro, especialmente se você não pode conectar dois adaptadores ao mesmo tempo.</v>
      </c>
      <c r="B579" s="3">
        <v>1</v>
      </c>
    </row>
    <row r="580" ht="15.75" customHeight="1" spans="1:2">
      <c r="A580" s="3" t="str">
        <f>IFERROR(__xludf.DUMMYFUNCTION("GOOGLETRANSLATE(A580,""en"",""pt"")"),"suporte técnico Verizon andou a minha através de alguns procedimentos, nenhum dos quais trabalharam e acabei tendo que fazer um disco re-set, acabando com todos os meus dados.")</f>
        <v>suporte técnico Verizon andou a minha através de alguns procedimentos, nenhum dos quais trabalharam e acabei tendo que fazer um disco re-set, acabando com todos os meus dados.</v>
      </c>
      <c r="B580" s="3">
        <v>0</v>
      </c>
    </row>
    <row r="581" ht="15.75" customHeight="1" spans="1:2">
      <c r="A581" s="3" t="str">
        <f>IFERROR(__xludf.DUMMYFUNCTION("GOOGLETRANSLATE(A581,""en"",""pt"")"),"Voice Quality, força do sinal, queda de chamadas.")</f>
        <v>Voice Quality, força do sinal, queda de chamadas.</v>
      </c>
      <c r="B581" s="3">
        <v>0</v>
      </c>
    </row>
    <row r="582" ht="15.75" customHeight="1" spans="1:2">
      <c r="A582" s="3" t="str">
        <f>IFERROR(__xludf.DUMMYFUNCTION("GOOGLETRANSLATE(A582,""en"",""pt"")"),"Ele joga mais alto do que qualquer outro orador deste tamanho; o preço é tão baixo que a maioria iria pensar a qualidade está faltando, no entanto, não é.")</f>
        <v>Ele joga mais alto do que qualquer outro orador deste tamanho; o preço é tão baixo que a maioria iria pensar a qualidade está faltando, no entanto, não é.</v>
      </c>
      <c r="B582" s="3">
        <v>1</v>
      </c>
    </row>
    <row r="583" ht="15.75" customHeight="1" spans="1:2">
      <c r="A583" s="3" t="str">
        <f>IFERROR(__xludf.DUMMYFUNCTION("GOOGLETRANSLATE(A583,""en"",""pt"")"),"Melhor que o esperado.")</f>
        <v>Melhor que o esperado.</v>
      </c>
      <c r="B583" s="3">
        <v>1</v>
      </c>
    </row>
    <row r="584" ht="15.75" customHeight="1" spans="1:2">
      <c r="A584" s="3" t="str">
        <f>IFERROR(__xludf.DUMMYFUNCTION("GOOGLETRANSLATE(A584,""en"",""pt"")"),"Ela se sente mal construídos, os menus são difíceis de navegar, e os botões são tão recesso que é difícil para empurrá-los.")</f>
        <v>Ela se sente mal construídos, os menus são difíceis de navegar, e os botões são tão recesso que é difícil para empurrá-los.</v>
      </c>
      <c r="B584" s="3">
        <v>0</v>
      </c>
    </row>
    <row r="585" ht="15.75" customHeight="1" spans="1:2">
      <c r="A585" s="3" t="str">
        <f>IFERROR(__xludf.DUMMYFUNCTION("GOOGLETRANSLATE(A585,""en"",""pt"")"),"Bateria está segurando bem.")</f>
        <v>Bateria está segurando bem.</v>
      </c>
      <c r="B585" s="3">
        <v>1</v>
      </c>
    </row>
    <row r="586" ht="15.75" customHeight="1" spans="1:2">
      <c r="A586" s="3" t="str">
        <f>IFERROR(__xludf.DUMMYFUNCTION("GOOGLETRANSLATE(A586,""en"",""pt"")"),"Também difícil colocar on.I'd recomendam evitar este produto.")</f>
        <v>Também difícil colocar on.I'd recomendam evitar este produto.</v>
      </c>
      <c r="B586" s="3">
        <v>0</v>
      </c>
    </row>
    <row r="587" ht="15.75" customHeight="1" spans="1:2">
      <c r="A587" s="3" t="str">
        <f>IFERROR(__xludf.DUMMYFUNCTION("GOOGLETRANSLATE(A587,""en"",""pt"")"),"Eu só usei dois dias, e não era sempre fácil de ouvir com.")</f>
        <v>Eu só usei dois dias, e não era sempre fácil de ouvir com.</v>
      </c>
      <c r="B587" s="3">
        <v>0</v>
      </c>
    </row>
    <row r="588" ht="15.75" customHeight="1" spans="1:2">
      <c r="A588" s="3" t="str">
        <f>IFERROR(__xludf.DUMMYFUNCTION("GOOGLETRANSLATE(A588,""en"",""pt"")"),"Eu tenho o carregador de carro e nem mesmo depois de uma semana o carregador foi quebrado ... Eu fui para ligá-lo e ele começou a fumar.")</f>
        <v>Eu tenho o carregador de carro e nem mesmo depois de uma semana o carregador foi quebrado ... Eu fui para ligá-lo e ele começou a fumar.</v>
      </c>
      <c r="B588" s="3">
        <v>0</v>
      </c>
    </row>
    <row r="589" ht="15.75" customHeight="1" spans="1:2">
      <c r="A589" s="3" t="str">
        <f>IFERROR(__xludf.DUMMYFUNCTION("GOOGLETRANSLATE(A589,""en"",""pt"")"),"Sprint - terrível serviço ao cliente.")</f>
        <v>Sprint - terrível serviço ao cliente.</v>
      </c>
      <c r="B589" s="3">
        <v>0</v>
      </c>
    </row>
    <row r="590" ht="15.75" customHeight="1" spans="1:2">
      <c r="A590" s="3" t="str">
        <f>IFERROR(__xludf.DUMMYFUNCTION("GOOGLETRANSLATE(A590,""en"",""pt"")"),"Ligado ao meu telefone sem esforço.")</f>
        <v>Ligado ao meu telefone sem esforço.</v>
      </c>
      <c r="B590" s="3">
        <v>1</v>
      </c>
    </row>
    <row r="591" ht="15.75" customHeight="1" spans="1:2">
      <c r="A591" s="3" t="str">
        <f>IFERROR(__xludf.DUMMYFUNCTION("GOOGLETRANSLATE(A591,""en"",""pt"")"),"Eles são tão cool!")</f>
        <v>Eles são tão cool!</v>
      </c>
      <c r="B591" s="3">
        <v>1</v>
      </c>
    </row>
    <row r="592" ht="15.75" customHeight="1" spans="1:2">
      <c r="A592" s="3" t="str">
        <f>IFERROR(__xludf.DUMMYFUNCTION("GOOGLETRANSLATE(A592,""en"",""pt"")"),"Fácil de usar.")</f>
        <v>Fácil de usar.</v>
      </c>
      <c r="B592" s="3">
        <v>1</v>
      </c>
    </row>
    <row r="593" ht="15.75" customHeight="1" spans="1:2">
      <c r="A593" s="3" t="str">
        <f>IFERROR(__xludf.DUMMYFUNCTION("GOOGLETRANSLATE(A593,""en"",""pt"")"),"Better Than Nova.")</f>
        <v>Better Than Nova.</v>
      </c>
      <c r="B593" s="3">
        <v>1</v>
      </c>
    </row>
    <row r="594" ht="15.75" customHeight="1" spans="1:2">
      <c r="A594" s="3" t="str">
        <f>IFERROR(__xludf.DUMMYFUNCTION("GOOGLETRANSLATE(A594,""en"",""pt"")"),"O que me possesed para obter esse lixo, eu não tenho idéia ...")</f>
        <v>O que me possesed para obter esse lixo, eu não tenho idéia ...</v>
      </c>
      <c r="B594" s="3">
        <v>0</v>
      </c>
    </row>
    <row r="595" ht="15.75" customHeight="1" spans="1:2">
      <c r="A595" s="3" t="str">
        <f>IFERROR(__xludf.DUMMYFUNCTION("GOOGLETRANSLATE(A595,""en"",""pt"")"),"Pedaço de lixo.")</f>
        <v>Pedaço de lixo.</v>
      </c>
      <c r="B595" s="3">
        <v>0</v>
      </c>
    </row>
    <row r="596" ht="15.75" customHeight="1" spans="1:2">
      <c r="A596" s="3" t="str">
        <f>IFERROR(__xludf.DUMMYFUNCTION("GOOGLETRANSLATE(A596,""en"",""pt"")"),"Um bom produto.")</f>
        <v>Um bom produto.</v>
      </c>
      <c r="B596" s="3">
        <v>1</v>
      </c>
    </row>
    <row r="597" ht="15.75" customHeight="1" spans="1:2">
      <c r="A597" s="3" t="str">
        <f>IFERROR(__xludf.DUMMYFUNCTION("GOOGLETRANSLATE(A597,""en"",""pt"")"),"Este é um ótimo telefone !.")</f>
        <v>Este é um ótimo telefone !.</v>
      </c>
      <c r="B597" s="3">
        <v>1</v>
      </c>
    </row>
    <row r="598" ht="15.75" customHeight="1" spans="1:2">
      <c r="A598" s="3" t="str">
        <f>IFERROR(__xludf.DUMMYFUNCTION("GOOGLETRANSLATE(A598,""en"",""pt"")"),"Para o preço na Amazon, é um excelente produto, que eu recomendo.")</f>
        <v>Para o preço na Amazon, é um excelente produto, que eu recomendo.</v>
      </c>
      <c r="B598" s="3">
        <v>1</v>
      </c>
    </row>
    <row r="599" ht="15.75" customHeight="1" spans="1:2">
      <c r="A599" s="3" t="str">
        <f>IFERROR(__xludf.DUMMYFUNCTION("GOOGLETRANSLATE(A599,""en"",""pt"")"),"Sua divisão de Pesquisa e Desenvolvimento, obviamente, sabe o que está fazendo.")</f>
        <v>Sua divisão de Pesquisa e Desenvolvimento, obviamente, sabe o que está fazendo.</v>
      </c>
      <c r="B599" s="3">
        <v>1</v>
      </c>
    </row>
    <row r="600" ht="15.75" customHeight="1" spans="1:2">
      <c r="A600" s="3" t="str">
        <f>IFERROR(__xludf.DUMMYFUNCTION("GOOGLETRANSLATE(A600,""en"",""pt"")"),"O verdadeiro assassino é o volume, e é claro que quebrar.")</f>
        <v>O verdadeiro assassino é o volume, e é claro que quebrar.</v>
      </c>
      <c r="B600" s="3">
        <v>0</v>
      </c>
    </row>
    <row r="601" ht="15.75" customHeight="1" spans="1:2">
      <c r="A601" s="3" t="str">
        <f>IFERROR(__xludf.DUMMYFUNCTION("GOOGLETRANSLATE(A601,""en"",""pt"")"),"Os telefones estão trabalhando muito bem agora.")</f>
        <v>Os telefones estão trabalhando muito bem agora.</v>
      </c>
      <c r="B601" s="3">
        <v>1</v>
      </c>
    </row>
    <row r="602" ht="15.75" customHeight="1" spans="1:2">
      <c r="A602" s="3" t="str">
        <f>IFERROR(__xludf.DUMMYFUNCTION("GOOGLETRANSLATE(A602,""en"",""pt"")"),"Estou mais do que feliz com este produto.")</f>
        <v>Estou mais do que feliz com este produto.</v>
      </c>
      <c r="B602" s="3">
        <v>1</v>
      </c>
    </row>
    <row r="603" ht="15.75" customHeight="1" spans="1:2">
      <c r="A603" s="3" t="str">
        <f>IFERROR(__xludf.DUMMYFUNCTION("GOOGLETRANSLATE(A603,""en"",""pt"")"),"Pobre construção.")</f>
        <v>Pobre construção.</v>
      </c>
      <c r="B603" s="3">
        <v>0</v>
      </c>
    </row>
    <row r="604" ht="15.75" customHeight="1" spans="1:2">
      <c r="A604" s="3" t="str">
        <f>IFERROR(__xludf.DUMMYFUNCTION("GOOGLETRANSLATE(A604,""en"",""pt"")"),"Isso é irritante.")</f>
        <v>Isso é irritante.</v>
      </c>
      <c r="B604" s="3">
        <v>0</v>
      </c>
    </row>
    <row r="605" ht="15.75" customHeight="1" spans="1:2">
      <c r="A605" s="3" t="str">
        <f>IFERROR(__xludf.DUMMYFUNCTION("GOOGLETRANSLATE(A605,""en"",""pt"")"),"No geral, eu recomendo este telefone sobre o novo Walkman.")</f>
        <v>No geral, eu recomendo este telefone sobre o novo Walkman.</v>
      </c>
      <c r="B605" s="3">
        <v>1</v>
      </c>
    </row>
    <row r="606" ht="15.75" customHeight="1" spans="1:2">
      <c r="A606" s="3" t="str">
        <f>IFERROR(__xludf.DUMMYFUNCTION("GOOGLETRANSLATE(A606,""en"",""pt"")"),"Sprint cobra por este serviço.")</f>
        <v>Sprint cobra por este serviço.</v>
      </c>
      <c r="B606" s="3">
        <v>0</v>
      </c>
    </row>
    <row r="607" ht="15.75" customHeight="1" spans="1:2">
      <c r="A607" s="3" t="str">
        <f>IFERROR(__xludf.DUMMYFUNCTION("GOOGLETRANSLATE(A607,""en"",""pt"")"),"É barato, e sentir e olhar tão barato.")</f>
        <v>É barato, e sentir e olhar tão barato.</v>
      </c>
      <c r="B607" s="3">
        <v>0</v>
      </c>
    </row>
    <row r="608" ht="15.75" customHeight="1" spans="1:2">
      <c r="A608" s="3" t="str">
        <f>IFERROR(__xludf.DUMMYFUNCTION("GOOGLETRANSLATE(A608,""en"",""pt"")"),"Ele se encaixa meu ouvido bem e é confortável diante.")</f>
        <v>Ele se encaixa meu ouvido bem e é confortável diante.</v>
      </c>
      <c r="B608" s="3">
        <v>1</v>
      </c>
    </row>
    <row r="609" ht="15.75" customHeight="1" spans="1:2">
      <c r="A609" s="3" t="str">
        <f>IFERROR(__xludf.DUMMYFUNCTION("GOOGLETRANSLATE(A609,""en"",""pt"")"),"Ela não funciona na Europa ou na Ásia.")</f>
        <v>Ela não funciona na Europa ou na Ásia.</v>
      </c>
      <c r="B609" s="3">
        <v>0</v>
      </c>
    </row>
    <row r="610" ht="15.75" customHeight="1" spans="1:2">
      <c r="A610" s="3" t="str">
        <f>IFERROR(__xludf.DUMMYFUNCTION("GOOGLETRANSLATE(A610,""en"",""pt"")"),"recorte esta ao seu cinto, deffinitely fazer você se sentir como 50 cent é up-and-coming.")</f>
        <v>recorte esta ao seu cinto, deffinitely fazer você se sentir como 50 cent é up-and-coming.</v>
      </c>
      <c r="B610" s="3">
        <v>1</v>
      </c>
    </row>
    <row r="611" ht="15.75" customHeight="1" spans="1:2">
      <c r="A611" s="3" t="str">
        <f>IFERROR(__xludf.DUMMYFUNCTION("GOOGLETRANSLATE(A611,""en"",""pt"")"),"I como o design ea aparência do Jabra behing os fones de ouvido e 5020 é bastante comfortible de usar 24 horas por dia, sem dor no ouvido.")</f>
        <v>I como o design ea aparência do Jabra behing os fones de ouvido e 5020 é bastante comfortible de usar 24 horas por dia, sem dor no ouvido.</v>
      </c>
      <c r="B611" s="3">
        <v>1</v>
      </c>
    </row>
    <row r="612" ht="15.75" customHeight="1" spans="1:2">
      <c r="A612" s="3" t="str">
        <f>IFERROR(__xludf.DUMMYFUNCTION("GOOGLETRANSLATE(A612,""en"",""pt"")"),"Fiquei espantado com a chegada rápida das duas baterias de telefone celular lg originais e e em uma fração do preço.")</f>
        <v>Fiquei espantado com a chegada rápida das duas baterias de telefone celular lg originais e e em uma fração do preço.</v>
      </c>
      <c r="B612" s="3">
        <v>1</v>
      </c>
    </row>
    <row r="613" ht="15.75" customHeight="1" spans="1:2">
      <c r="A613" s="3" t="str">
        <f>IFERROR(__xludf.DUMMYFUNCTION("GOOGLETRANSLATE(A613,""en"",""pt"")"),"o pior telefone da Samsung ... porcaria ..... esta porcaria Samsung E715 .. é o pior que eu já seeen.")</f>
        <v>o pior telefone da Samsung ... porcaria ..... esta porcaria Samsung E715 .. é o pior que eu já seeen.</v>
      </c>
      <c r="B613" s="3">
        <v>0</v>
      </c>
    </row>
    <row r="614" ht="15.75" customHeight="1" spans="1:2">
      <c r="A614" s="3" t="str">
        <f>IFERROR(__xludf.DUMMYFUNCTION("GOOGLETRANSLATE(A614,""en"",""pt"")"),"o carregador trabalhou por cerca de uma semana e, em seguida, completamente parou de cobrar o meu telefone.")</f>
        <v>o carregador trabalhou por cerca de uma semana e, em seguida, completamente parou de cobrar o meu telefone.</v>
      </c>
      <c r="B614" s="3">
        <v>0</v>
      </c>
    </row>
    <row r="615" ht="15.75" customHeight="1" spans="1:2">
      <c r="A615" s="3" t="str">
        <f>IFERROR(__xludf.DUMMYFUNCTION("GOOGLETRANSLATE(A615,""en"",""pt"")"),"Pobre produto.")</f>
        <v>Pobre produto.</v>
      </c>
      <c r="B615" s="3">
        <v>0</v>
      </c>
    </row>
    <row r="616" ht="15.75" customHeight="1" spans="1:2">
      <c r="A616" s="3" t="str">
        <f>IFERROR(__xludf.DUMMYFUNCTION("GOOGLETRANSLATE(A616,""en"",""pt"")"),"No entanto eu precisava algumas instruções melhores.")</f>
        <v>No entanto eu precisava algumas instruções melhores.</v>
      </c>
      <c r="B616" s="3">
        <v>0</v>
      </c>
    </row>
    <row r="617" ht="15.75" customHeight="1" spans="1:2">
      <c r="A617" s="3" t="str">
        <f>IFERROR(__xludf.DUMMYFUNCTION("GOOGLETRANSLATE(A617,""en"",""pt"")"),"Você precisa de duas mãos para operar a interface de software screen.This é década de idade e não pode competir com novos designs de software.")</f>
        <v>Você precisa de duas mãos para operar a interface de software screen.This é década de idade e não pode competir com novos designs de software.</v>
      </c>
      <c r="B617" s="3">
        <v>0</v>
      </c>
    </row>
    <row r="618" ht="15.75" customHeight="1" spans="1:2">
      <c r="A618" s="3" t="str">
        <f>IFERROR(__xludf.DUMMYFUNCTION("GOOGLETRANSLATE(A618,""en"",""pt"")"),"Funcionou muito bem emparelhado com um Treo 700w e, como um fone de ouvido Skype no meu PC (usando um transceptor Bluetooth USB).")</f>
        <v>Funcionou muito bem emparelhado com um Treo 700w e, como um fone de ouvido Skype no meu PC (usando um transceptor Bluetooth USB).</v>
      </c>
      <c r="B618" s="3">
        <v>1</v>
      </c>
    </row>
    <row r="619" ht="15.75" customHeight="1" spans="1:2">
      <c r="A619" s="3" t="str">
        <f>IFERROR(__xludf.DUMMYFUNCTION("GOOGLETRANSLATE(A619,""en"",""pt"")"),"Orientar clara deste produto e ir com as canetas da palma replacementr genuínas, que vêm em um pacote de três.")</f>
        <v>Orientar clara deste produto e ir com as canetas da palma replacementr genuínas, que vêm em um pacote de três.</v>
      </c>
      <c r="B619" s="3">
        <v>0</v>
      </c>
    </row>
    <row r="620" ht="15.75" customHeight="1" spans="1:2">
      <c r="A620" s="3" t="str">
        <f>IFERROR(__xludf.DUMMYFUNCTION("GOOGLETRANSLATE(A620,""en"",""pt"")"),"Não compre não BUYIT SUGA")</f>
        <v>Não compre não BUYIT SUGA</v>
      </c>
      <c r="B620" s="3">
        <v>0</v>
      </c>
    </row>
    <row r="621" ht="15.75" customHeight="1" spans="1:2">
      <c r="A621" s="3" t="str">
        <f>IFERROR(__xludf.DUMMYFUNCTION("GOOGLETRANSLATE(A621,""en"",""pt"")"),"Este é um ótimo produto ..... com certeza é melhor usar os dedos !.")</f>
        <v>Este é um ótimo produto ..... com certeza é melhor usar os dedos !.</v>
      </c>
      <c r="B621" s="3">
        <v>1</v>
      </c>
    </row>
    <row r="622" ht="15.75" customHeight="1" spans="1:2">
      <c r="A622" s="3" t="str">
        <f>IFERROR(__xludf.DUMMYFUNCTION("GOOGLETRANSLATE(A622,""en"",""pt"")"),"Além disso, eu realmente não acredito que vale a pena o seu ponto alto preço.")</f>
        <v>Além disso, eu realmente não acredito que vale a pena o seu ponto alto preço.</v>
      </c>
      <c r="B622" s="3">
        <v>0</v>
      </c>
    </row>
    <row r="623" ht="15.75" customHeight="1" spans="1:2">
      <c r="A623" s="3" t="str">
        <f>IFERROR(__xludf.DUMMYFUNCTION("GOOGLETRANSLATE(A623,""en"",""pt"")"),"Todos os outros casos que eu tentei normalmente desmoronar após alguns meses, mas este parece estar em para o longo curso.")</f>
        <v>Todos os outros casos que eu tentei normalmente desmoronar após alguns meses, mas este parece estar em para o longo curso.</v>
      </c>
      <c r="B623" s="3">
        <v>1</v>
      </c>
    </row>
    <row r="624" ht="15.75" customHeight="1" spans="1:2">
      <c r="A624" s="3" t="str">
        <f>IFERROR(__xludf.DUMMYFUNCTION("GOOGLETRANSLATE(A624,""en"",""pt"")"),"Muito decepcionante desempenho.")</f>
        <v>Muito decepcionante desempenho.</v>
      </c>
      <c r="B624" s="3">
        <v>0</v>
      </c>
    </row>
    <row r="625" ht="15.75" customHeight="1" spans="1:2">
      <c r="A625" s="3" t="str">
        <f>IFERROR(__xludf.DUMMYFUNCTION("GOOGLETRANSLATE(A625,""en"",""pt"")"),"Não cometa o mesmo erro que eu fiz e por favor não comprar esse telefone.")</f>
        <v>Não cometa o mesmo erro que eu fiz e por favor não comprar esse telefone.</v>
      </c>
      <c r="B625" s="3">
        <v>0</v>
      </c>
    </row>
    <row r="626" ht="15.75" customHeight="1" spans="1:2">
      <c r="A626" s="3" t="str">
        <f>IFERROR(__xludf.DUMMYFUNCTION("GOOGLETRANSLATE(A626,""en"",""pt"")"),"Este telefone pode muito bem ser o pior que eu já tive em qualquer marca.")</f>
        <v>Este telefone pode muito bem ser o pior que eu já tive em qualquer marca.</v>
      </c>
      <c r="B626" s="3">
        <v>0</v>
      </c>
    </row>
    <row r="627" ht="15.75" customHeight="1" spans="1:2">
      <c r="A627" s="3" t="str">
        <f>IFERROR(__xludf.DUMMYFUNCTION("GOOGLETRANSLATE(A627,""en"",""pt"")"),"Caso era mais ou menos um extra que eu inicialmente colocado on mas depois descartado porque arranhou meu ouvido.")</f>
        <v>Caso era mais ou menos um extra que eu inicialmente colocado on mas depois descartado porque arranhou meu ouvido.</v>
      </c>
      <c r="B627" s="3">
        <v>0</v>
      </c>
    </row>
    <row r="628" ht="15.75" customHeight="1" spans="1:2">
      <c r="A628" s="3" t="str">
        <f>IFERROR(__xludf.DUMMYFUNCTION("GOOGLETRANSLATE(A628,""en"",""pt"")"),"Eu recomendo iGo a qualquer pessoa com jogadores diferentes telefones celulares marca / mp3 na família.")</f>
        <v>Eu recomendo iGo a qualquer pessoa com jogadores diferentes telefones celulares marca / mp3 na família.</v>
      </c>
      <c r="B628" s="3">
        <v>1</v>
      </c>
    </row>
    <row r="629" ht="15.75" customHeight="1" spans="1:2">
      <c r="A629" s="3" t="str">
        <f>IFERROR(__xludf.DUMMYFUNCTION("GOOGLETRANSLATE(A629,""en"",""pt"")"),"Não se preocupe - ir até a loja.")</f>
        <v>Não se preocupe - ir até a loja.</v>
      </c>
      <c r="B629" s="3">
        <v>0</v>
      </c>
    </row>
    <row r="630" ht="15.75" customHeight="1" spans="1:2">
      <c r="A630" s="3" t="str">
        <f>IFERROR(__xludf.DUMMYFUNCTION("GOOGLETRANSLATE(A630,""en"",""pt"")"),"Eu postei mais comentários sob o telefone cinza ou preto detalhado, mas eu tenho o Red Fire e é uma grande cor!")</f>
        <v>Eu postei mais comentários sob o telefone cinza ou preto detalhado, mas eu tenho o Red Fire e é uma grande cor!</v>
      </c>
      <c r="B630" s="3">
        <v>1</v>
      </c>
    </row>
    <row r="631" ht="15.75" customHeight="1" spans="1:2">
      <c r="A631" s="3" t="str">
        <f>IFERROR(__xludf.DUMMYFUNCTION("GOOGLETRANSLATE(A631,""en"",""pt"")"),"Eu não tenho nenhum problema com este artigo e pedir novamente, se necessário.")</f>
        <v>Eu não tenho nenhum problema com este artigo e pedir novamente, se necessário.</v>
      </c>
      <c r="B631" s="3">
        <v>1</v>
      </c>
    </row>
    <row r="632" ht="15.75" customHeight="1" spans="1:2">
      <c r="A632" s="3" t="str">
        <f>IFERROR(__xludf.DUMMYFUNCTION("GOOGLETRANSLATE(A632,""en"",""pt"")"),"Você começa o que você paga, eu acho.")</f>
        <v>Você começa o que você paga, eu acho.</v>
      </c>
      <c r="B632" s="3">
        <v>0</v>
      </c>
    </row>
    <row r="633" ht="15.75" customHeight="1" spans="1:2">
      <c r="A633" s="3" t="str">
        <f>IFERROR(__xludf.DUMMYFUNCTION("GOOGLETRANSLATE(A633,""en"",""pt"")"),"Não só o software fazer um grande trabalho deste, eu também poderia fazer meus próprios ringtones formar meus CDs existentes sem uma conexão com a internet.")</f>
        <v>Não só o software fazer um grande trabalho deste, eu também poderia fazer meus próprios ringtones formar meus CDs existentes sem uma conexão com a internet.</v>
      </c>
      <c r="B633" s="3">
        <v>1</v>
      </c>
    </row>
    <row r="634" ht="15.75" customHeight="1" spans="1:2">
      <c r="A634" s="3" t="str">
        <f>IFERROR(__xludf.DUMMYFUNCTION("GOOGLETRANSLATE(A634,""en"",""pt"")"),"im surpreso este é um bom carregador de carro qualidade e não há muito comentários sobre ele.")</f>
        <v>im surpreso este é um bom carregador de carro qualidade e não há muito comentários sobre ele.</v>
      </c>
      <c r="B634" s="3">
        <v>1</v>
      </c>
    </row>
    <row r="635" ht="15.75" customHeight="1" spans="1:2">
      <c r="A635" s="3" t="str">
        <f>IFERROR(__xludf.DUMMYFUNCTION("GOOGLETRANSLATE(A635,""en"",""pt"")"),"Estes são fabuloso!")</f>
        <v>Estes são fabuloso!</v>
      </c>
      <c r="B635" s="3">
        <v>1</v>
      </c>
    </row>
    <row r="636" ht="15.75" customHeight="1" spans="1:2">
      <c r="A636" s="3" t="str">
        <f>IFERROR(__xludf.DUMMYFUNCTION("GOOGLETRANSLATE(A636,""en"",""pt"")"),"No entanto, headsets BT não estão boas para jogos em tempo real, como first-person shooters vez que o atraso messes áudio-me.")</f>
        <v>No entanto, headsets BT não estão boas para jogos em tempo real, como first-person shooters vez que o atraso messes áudio-me.</v>
      </c>
      <c r="B636" s="3">
        <v>0</v>
      </c>
    </row>
    <row r="637" ht="15.75" customHeight="1" spans="1:2">
      <c r="A637" s="3" t="str">
        <f>IFERROR(__xludf.DUMMYFUNCTION("GOOGLETRANSLATE(A637,""en"",""pt"")"),"Eu costumava bitpim (um programa gratuito que você pode encontrar na internet) para transferir dados para o preço phone.The do cabo foi excelente.")</f>
        <v>Eu costumava bitpim (um programa gratuito que você pode encontrar na internet) para transferir dados para o preço phone.The do cabo foi excelente.</v>
      </c>
      <c r="B637" s="3">
        <v>1</v>
      </c>
    </row>
    <row r="638" ht="15.75" customHeight="1" spans="1:2">
      <c r="A638" s="3" t="str">
        <f>IFERROR(__xludf.DUMMYFUNCTION("GOOGLETRANSLATE(A638,""en"",""pt"")"),"Decepcionante acessório de um bom fabricante.")</f>
        <v>Decepcionante acessório de um bom fabricante.</v>
      </c>
      <c r="B638" s="3">
        <v>0</v>
      </c>
    </row>
    <row r="639" ht="15.75" customHeight="1" spans="1:2">
      <c r="A639" s="3" t="str">
        <f>IFERROR(__xludf.DUMMYFUNCTION("GOOGLETRANSLATE(A639,""en"",""pt"")"),"Realizada terrível - abafado, tinny som de entrada e eco grave para aqueles do outro lado da chamada.")</f>
        <v>Realizada terrível - abafado, tinny som de entrada e eco grave para aqueles do outro lado da chamada.</v>
      </c>
      <c r="B639" s="3">
        <v>0</v>
      </c>
    </row>
    <row r="640" ht="15.75" customHeight="1" spans="1:2">
      <c r="A640" s="3" t="str">
        <f>IFERROR(__xludf.DUMMYFUNCTION("GOOGLETRANSLATE(A640,""en"",""pt"")"),"Muito resistente ao vento.")</f>
        <v>Muito resistente ao vento.</v>
      </c>
      <c r="B640" s="3">
        <v>1</v>
      </c>
    </row>
    <row r="641" ht="15.75" customHeight="1" spans="1:2">
      <c r="A641" s="3" t="str">
        <f>IFERROR(__xludf.DUMMYFUNCTION("GOOGLETRANSLATE(A641,""en"",""pt"")"),"Obviamente, eles têm um terrível serviço ao cliente, de modo a obter o que você paga.")</f>
        <v>Obviamente, eles têm um terrível serviço ao cliente, de modo a obter o que você paga.</v>
      </c>
      <c r="B641" s="3">
        <v>0</v>
      </c>
    </row>
    <row r="642" ht="15.75" customHeight="1" spans="1:2">
      <c r="A642" s="3" t="str">
        <f>IFERROR(__xludf.DUMMYFUNCTION("GOOGLETRANSLATE(A642,""en"",""pt"")"),"Eles não duram para sempre, mas não é excessivamente caro para replace.Easy de operar e o som é muito melhor do que outros que eu tentei.")</f>
        <v>Eles não duram para sempre, mas não é excessivamente caro para replace.Easy de operar e o som é muito melhor do que outros que eu tentei.</v>
      </c>
      <c r="B642" s="3">
        <v>1</v>
      </c>
    </row>
    <row r="643" ht="15.75" customHeight="1" spans="1:2">
      <c r="A643" s="3" t="str">
        <f>IFERROR(__xludf.DUMMYFUNCTION("GOOGLETRANSLATE(A643,""en"",""pt"")"),"Entrei em contato com a empresa e eles me disseram que, embora a unidade ainda estava na garantia, se eu não poderia produzir meu recibo que eu estava sem sorte.")</f>
        <v>Entrei em contato com a empresa e eles me disseram que, embora a unidade ainda estava na garantia, se eu não poderia produzir meu recibo que eu estava sem sorte.</v>
      </c>
      <c r="B643" s="3">
        <v>0</v>
      </c>
    </row>
    <row r="644" ht="15.75" customHeight="1" spans="1:2">
      <c r="A644" s="3" t="str">
        <f>IFERROR(__xludf.DUMMYFUNCTION("GOOGLETRANSLATE(A644,""en"",""pt"")"),"Linksys deve ter alguma maneira de trocar um telefone ruim para uma unidade refurb ou algo assim!")</f>
        <v>Linksys deve ter alguma maneira de trocar um telefone ruim para uma unidade refurb ou algo assim!</v>
      </c>
      <c r="B644" s="3">
        <v>0</v>
      </c>
    </row>
    <row r="645" ht="15.75" customHeight="1" spans="1:2">
      <c r="A645" s="3" t="str">
        <f>IFERROR(__xludf.DUMMYFUNCTION("GOOGLETRANSLATE(A645,""en"",""pt"")"),"Telefone é robusto como todos os telefones bar nokia são.")</f>
        <v>Telefone é robusto como todos os telefones bar nokia são.</v>
      </c>
      <c r="B645" s="3">
        <v>1</v>
      </c>
    </row>
    <row r="646" ht="15.75" customHeight="1" spans="1:2">
      <c r="A646" s="3" t="str">
        <f>IFERROR(__xludf.DUMMYFUNCTION("GOOGLETRANSLATE(A646,""en"",""pt"")"),"Grande telefone.")</f>
        <v>Grande telefone.</v>
      </c>
      <c r="B646" s="3">
        <v>1</v>
      </c>
    </row>
    <row r="647" ht="15.75" customHeight="1" spans="1:2">
      <c r="A647" s="3" t="str">
        <f>IFERROR(__xludf.DUMMYFUNCTION("GOOGLETRANSLATE(A647,""en"",""pt"")"),"Quando eu coloquei o meu Treo no caso, não só que não foi confortável, mas havia um monte de espaço extra nas laterais.")</f>
        <v>Quando eu coloquei o meu Treo no caso, não só que não foi confortável, mas havia um monte de espaço extra nas laterais.</v>
      </c>
      <c r="B647" s="3">
        <v>0</v>
      </c>
    </row>
    <row r="648" ht="15.75" customHeight="1" spans="1:2">
      <c r="A648" s="3" t="str">
        <f>IFERROR(__xludf.DUMMYFUNCTION("GOOGLETRANSLATE(A648,""en"",""pt"")"),"Estou satisfeito.")</f>
        <v>Estou satisfeito.</v>
      </c>
      <c r="B648" s="3">
        <v>1</v>
      </c>
    </row>
    <row r="649" ht="15.75" customHeight="1" spans="1:2">
      <c r="A649" s="3" t="str">
        <f>IFERROR(__xludf.DUMMYFUNCTION("GOOGLETRANSLATE(A649,""en"",""pt"")"),"Bateria é terrível.")</f>
        <v>Bateria é terrível.</v>
      </c>
      <c r="B649" s="3">
        <v>0</v>
      </c>
    </row>
    <row r="650" ht="15.75" customHeight="1" spans="1:2">
      <c r="A650" s="3" t="str">
        <f>IFERROR(__xludf.DUMMYFUNCTION("GOOGLETRANSLATE(A650,""en"",""pt"")"),"Eu achei que o produto seja fácil de configurar e usar.")</f>
        <v>Eu achei que o produto seja fácil de configurar e usar.</v>
      </c>
      <c r="B650" s="3">
        <v>1</v>
      </c>
    </row>
    <row r="651" ht="15.75" customHeight="1" spans="1:2">
      <c r="A651" s="3" t="str">
        <f>IFERROR(__xludf.DUMMYFUNCTION("GOOGLETRANSLATE(A651,""en"",""pt"")"),"O fone de ouvido sobre isso é muito grande ou muito pesado ... ele continua caindo fora da minha orelha.")</f>
        <v>O fone de ouvido sobre isso é muito grande ou muito pesado ... ele continua caindo fora da minha orelha.</v>
      </c>
      <c r="B651" s="3">
        <v>0</v>
      </c>
    </row>
    <row r="652" ht="15.75" customHeight="1" spans="1:2">
      <c r="A652" s="3" t="str">
        <f>IFERROR(__xludf.DUMMYFUNCTION("GOOGLETRANSLATE(A652,""en"",""pt"")"),"porcaria total .. A qualidade do som é terrível.")</f>
        <v>porcaria total .. A qualidade do som é terrível.</v>
      </c>
      <c r="B652" s="3">
        <v>0</v>
      </c>
    </row>
    <row r="653" ht="15.75" customHeight="1" spans="1:2">
      <c r="A653" s="3" t="str">
        <f>IFERROR(__xludf.DUMMYFUNCTION("GOOGLETRANSLATE(A653,""en"",""pt"")"),"O carregador chegou dentro do prazo prometido, mas não funcionou.")</f>
        <v>O carregador chegou dentro do prazo prometido, mas não funcionou.</v>
      </c>
      <c r="B653" s="3">
        <v>0</v>
      </c>
    </row>
    <row r="654" ht="15.75" customHeight="1" spans="1:2">
      <c r="A654" s="3" t="str">
        <f>IFERROR(__xludf.DUMMYFUNCTION("GOOGLETRANSLATE(A654,""en"",""pt"")"),"Sem suporte de ouvido necessário, é pequena eo som é grande.")</f>
        <v>Sem suporte de ouvido necessário, é pequena eo som é grande.</v>
      </c>
      <c r="B654" s="3">
        <v>1</v>
      </c>
    </row>
    <row r="655" ht="15.75" customHeight="1" spans="1:2">
      <c r="A655" s="3" t="str">
        <f>IFERROR(__xludf.DUMMYFUNCTION("GOOGLETRANSLATE(A655,""en"",""pt"")"),"Finalmente, depois de três ou quatro vezes a mola da trava quebrou e eu não poderia usá-lo por mais tempo na viseira.")</f>
        <v>Finalmente, depois de três ou quatro vezes a mola da trava quebrou e eu não poderia usá-lo por mais tempo na viseira.</v>
      </c>
      <c r="B655" s="3">
        <v>0</v>
      </c>
    </row>
    <row r="656" ht="15.75" customHeight="1" spans="1:2">
      <c r="A656" s="3" t="str">
        <f>IFERROR(__xludf.DUMMYFUNCTION("GOOGLETRANSLATE(A656,""en"",""pt"")"),"A parte handsfree funciona bem, mas, em seguida, o carro tenta baixar o catálogo de endereços e o Treo reboots.Overall, eu ainda votar neste alta dispositivo.")</f>
        <v>A parte handsfree funciona bem, mas, em seguida, o carro tenta baixar o catálogo de endereços e o Treo reboots.Overall, eu ainda votar neste alta dispositivo.</v>
      </c>
      <c r="B656" s="3">
        <v>1</v>
      </c>
    </row>
    <row r="657" ht="15.75" customHeight="1" spans="1:2">
      <c r="A657" s="3" t="str">
        <f>IFERROR(__xludf.DUMMYFUNCTION("GOOGLETRANSLATE(A657,""en"",""pt"")"),"Falar sobre serviço ao cliente inútil.")</f>
        <v>Falar sobre serviço ao cliente inútil.</v>
      </c>
      <c r="B657" s="3">
        <v>0</v>
      </c>
    </row>
    <row r="658" ht="15.75" customHeight="1" spans="1:2">
      <c r="A658" s="3" t="str">
        <f>IFERROR(__xludf.DUMMYFUNCTION("GOOGLETRANSLATE(A658,""en"",""pt"")"),"Ele se sentia muito leve e ""metálico."".")</f>
        <v>Ele se sentia muito leve e "metálico.".</v>
      </c>
      <c r="B658" s="3">
        <v>0</v>
      </c>
    </row>
    <row r="659" ht="15.75" customHeight="1" spans="1:2">
      <c r="A659" s="3" t="str">
        <f>IFERROR(__xludf.DUMMYFUNCTION("GOOGLETRANSLATE(A659,""en"",""pt"")"),"Isso não se encaixa no Palm Tungsten E2 e quebrou a primeira vez que tentou ligá-lo.")</f>
        <v>Isso não se encaixa no Palm Tungsten E2 e quebrou a primeira vez que tentou ligá-lo.</v>
      </c>
      <c r="B659" s="3">
        <v>0</v>
      </c>
    </row>
    <row r="660" ht="15.75" customHeight="1" spans="1:2">
      <c r="A660" s="3" t="str">
        <f>IFERROR(__xludf.DUMMYFUNCTION("GOOGLETRANSLATE(A660,""en"",""pt"")"),"Estou feliz com esta qualidade boa purchase- e baixo preço.")</f>
        <v>Estou feliz com esta qualidade boa purchase- e baixo preço.</v>
      </c>
      <c r="B660" s="3">
        <v>1</v>
      </c>
    </row>
    <row r="661" ht="15.75" customHeight="1" spans="1:2">
      <c r="A661" s="3" t="str">
        <f>IFERROR(__xludf.DUMMYFUNCTION("GOOGLETRANSLATE(A661,""en"",""pt"")"),"Eu amo o olhar ea sensação de flipphones Samsung.")</f>
        <v>Eu amo o olhar ea sensação de flipphones Samsung.</v>
      </c>
      <c r="B661" s="3">
        <v>1</v>
      </c>
    </row>
    <row r="662" ht="15.75" customHeight="1" spans="1:2">
      <c r="A662" s="3" t="str">
        <f>IFERROR(__xludf.DUMMYFUNCTION("GOOGLETRANSLATE(A662,""en"",""pt"")"),"Sua bem concebido e muito afiada - o azul é uma cor muito agradável.")</f>
        <v>Sua bem concebido e muito afiada - o azul é uma cor muito agradável.</v>
      </c>
      <c r="B662" s="3">
        <v>1</v>
      </c>
    </row>
    <row r="663" ht="15.75" customHeight="1" spans="1:2">
      <c r="A663" s="3" t="str">
        <f>IFERROR(__xludf.DUMMYFUNCTION("GOOGLETRANSLATE(A663,""en"",""pt"")"),"Faz tudo o que deve e muito mais.")</f>
        <v>Faz tudo o que deve e muito mais.</v>
      </c>
      <c r="B663" s="3">
        <v>1</v>
      </c>
    </row>
    <row r="664" ht="15.75" customHeight="1" spans="1:2">
      <c r="A664" s="3" t="str">
        <f>IFERROR(__xludf.DUMMYFUNCTION("GOOGLETRANSLATE(A664,""en"",""pt"")"),"Eu não poderia recomendar estes mais.")</f>
        <v>Eu não poderia recomendar estes mais.</v>
      </c>
      <c r="B664" s="3">
        <v>0</v>
      </c>
    </row>
    <row r="665" ht="15.75" customHeight="1" spans="1:2">
      <c r="A665" s="3" t="str">
        <f>IFERROR(__xludf.DUMMYFUNCTION("GOOGLETRANSLATE(A665,""en"",""pt"")"),"Bom som.")</f>
        <v>Bom som.</v>
      </c>
      <c r="B665" s="3">
        <v>1</v>
      </c>
    </row>
    <row r="666" ht="15.75" customHeight="1" spans="1:2">
      <c r="A666" s="3" t="str">
        <f>IFERROR(__xludf.DUMMYFUNCTION("GOOGLETRANSLATE(A666,""en"",""pt"")"),"Parece bom na foto, mas neste caso foi uma grande decepção !!")</f>
        <v>Parece bom na foto, mas neste caso foi uma grande decepção !!</v>
      </c>
      <c r="B666" s="3">
        <v>0</v>
      </c>
    </row>
    <row r="667" ht="15.75" customHeight="1" spans="1:2">
      <c r="A667" s="3" t="str">
        <f>IFERROR(__xludf.DUMMYFUNCTION("GOOGLETRANSLATE(A667,""en"",""pt"")"),"Muito menos do que a queixada eu estava indo para substituí-lo com.")</f>
        <v>Muito menos do que a queixada eu estava indo para substituí-lo com.</v>
      </c>
      <c r="B667" s="3">
        <v>1</v>
      </c>
    </row>
    <row r="668" ht="15.75" customHeight="1" spans="1:2">
      <c r="A668" s="3" t="str">
        <f>IFERROR(__xludf.DUMMYFUNCTION("GOOGLETRANSLATE(A668,""en"",""pt"")"),"Setup correu muito bem.")</f>
        <v>Setup correu muito bem.</v>
      </c>
      <c r="B668" s="3">
        <v>1</v>
      </c>
    </row>
    <row r="669" ht="15.75" customHeight="1" spans="1:2">
      <c r="A669" s="3" t="str">
        <f>IFERROR(__xludf.DUMMYFUNCTION("GOOGLETRANSLATE(A669,""en"",""pt"")"),"sua extremamente lento e leva uma eternidade para fazer nada com ele.")</f>
        <v>sua extremamente lento e leva uma eternidade para fazer nada com ele.</v>
      </c>
      <c r="B669" s="3">
        <v>0</v>
      </c>
    </row>
    <row r="670" ht="15.75" customHeight="1" spans="1:2">
      <c r="A670" s="3" t="str">
        <f>IFERROR(__xludf.DUMMYFUNCTION("GOOGLETRANSLATE(A670,""en"",""pt"")"),"Um estudo obrigação para qualquer pessoa interessada no ""piores pecados"" de design industrial.")</f>
        <v>Um estudo obrigação para qualquer pessoa interessada no "piores pecados" de design industrial.</v>
      </c>
      <c r="B670" s="3">
        <v>0</v>
      </c>
    </row>
    <row r="671" ht="15.75" customHeight="1" spans="1:2">
      <c r="A671" s="3" t="str">
        <f>IFERROR(__xludf.DUMMYFUNCTION("GOOGLETRANSLATE(A671,""en"",""pt"")"),"A primeira coisa que aconteceu foi que o rastreamento foi desligado.")</f>
        <v>A primeira coisa que aconteceu foi que o rastreamento foi desligado.</v>
      </c>
      <c r="B671" s="3">
        <v>0</v>
      </c>
    </row>
    <row r="672" ht="15.75" customHeight="1" spans="1:2">
      <c r="A672" s="3" t="str">
        <f>IFERROR(__xludf.DUMMYFUNCTION("GOOGLETRANSLATE(A672,""en"",""pt"")"),"É bem feito, fácil de acessar o telefone e tem, um clipe de cinto destacável calhar.")</f>
        <v>É bem feito, fácil de acessar o telefone e tem, um clipe de cinto destacável calhar.</v>
      </c>
      <c r="B672" s="3">
        <v>1</v>
      </c>
    </row>
    <row r="673" ht="15.75" customHeight="1" spans="1:2">
      <c r="A673" s="3" t="str">
        <f>IFERROR(__xludf.DUMMYFUNCTION("GOOGLETRANSLATE(A673,""en"",""pt"")"),"Então eu tinha que continuar o emparelhamento periodicamente, uma vez que de alguma forma manteve soltando.")</f>
        <v>Então eu tinha que continuar o emparelhamento periodicamente, uma vez que de alguma forma manteve soltando.</v>
      </c>
      <c r="B673" s="3">
        <v>0</v>
      </c>
    </row>
    <row r="674" ht="15.75" customHeight="1" spans="1:2">
      <c r="A674" s="3" t="str">
        <f>IFERROR(__xludf.DUMMYFUNCTION("GOOGLETRANSLATE(A674,""en"",""pt"")"),"Não é possível carregar ringtones de um terceiro.")</f>
        <v>Não é possível carregar ringtones de um terceiro.</v>
      </c>
      <c r="B674" s="3">
        <v>0</v>
      </c>
    </row>
    <row r="675" ht="15.75" customHeight="1" spans="1:2">
      <c r="A675" s="3" t="str">
        <f>IFERROR(__xludf.DUMMYFUNCTION("GOOGLETRANSLATE(A675,""en"",""pt"")"),"Bluetooth não funciona, telefone trava, telas apenas flash e agora ele só faz chamadas aleatoriamente enquanto no meu bolso bloqueado.")</f>
        <v>Bluetooth não funciona, telefone trava, telas apenas flash e agora ele só faz chamadas aleatoriamente enquanto no meu bolso bloqueado.</v>
      </c>
      <c r="B675" s="3">
        <v>0</v>
      </c>
    </row>
    <row r="676" ht="15.75" customHeight="1" spans="1:2">
      <c r="A676" s="3" t="str">
        <f>IFERROR(__xludf.DUMMYFUNCTION("GOOGLETRANSLATE(A676,""en"",""pt"")"),"Verdadeiramente terrível.")</f>
        <v>Verdadeiramente terrível.</v>
      </c>
      <c r="B676" s="3">
        <v>0</v>
      </c>
    </row>
    <row r="677" ht="15.75" customHeight="1" spans="1:2">
      <c r="A677" s="3" t="str">
        <f>IFERROR(__xludf.DUMMYFUNCTION("GOOGLETRANSLATE(A677,""en"",""pt"")"),"Ele funciona muito bem no meu Motorola 325 celular, e muito melhor do que a bateria gasta fez.")</f>
        <v>Ele funciona muito bem no meu Motorola 325 celular, e muito melhor do que a bateria gasta fez.</v>
      </c>
      <c r="B677" s="3">
        <v>1</v>
      </c>
    </row>
    <row r="678" ht="15.75" customHeight="1" spans="1:2">
      <c r="A678" s="3" t="str">
        <f>IFERROR(__xludf.DUMMYFUNCTION("GOOGLETRANSLATE(A678,""en"",""pt"")"),"O volume da campainha é bom real (você tem opções como alto).")</f>
        <v>O volume da campainha é bom real (você tem opções como alto).</v>
      </c>
      <c r="B678" s="3">
        <v>1</v>
      </c>
    </row>
    <row r="679" ht="15.75" customHeight="1" spans="1:2">
      <c r="A679" s="3" t="str">
        <f>IFERROR(__xludf.DUMMYFUNCTION("GOOGLETRANSLATE(A679,""en"",""pt"")"),"E nenhum dos tons é aceitável.")</f>
        <v>E nenhum dos tons é aceitável.</v>
      </c>
      <c r="B679" s="3">
        <v>0</v>
      </c>
    </row>
    <row r="680" ht="15.75" customHeight="1" spans="1:2">
      <c r="A680" s="3" t="str">
        <f>IFERROR(__xludf.DUMMYFUNCTION("GOOGLETRANSLATE(A680,""en"",""pt"")"),"equilíbrio de cor câmera é horrível.")</f>
        <v>equilíbrio de cor câmera é horrível.</v>
      </c>
      <c r="B680" s="3">
        <v>0</v>
      </c>
    </row>
    <row r="681" ht="15.75" customHeight="1" spans="1:2">
      <c r="A681" s="3" t="str">
        <f>IFERROR(__xludf.DUMMYFUNCTION("GOOGLETRANSLATE(A681,""en"",""pt"")"),"Este produto não é claramente pronto para o horário nobre, eu não me importo o quão legal olha, se você não pode dizer uma chamada está chegando é inútil.")</f>
        <v>Este produto não é claramente pronto para o horário nobre, eu não me importo o quão legal olha, se você não pode dizer uma chamada está chegando é inútil.</v>
      </c>
      <c r="B681" s="3">
        <v>0</v>
      </c>
    </row>
    <row r="682" ht="15.75" customHeight="1" spans="1:2">
      <c r="A682" s="3" t="str">
        <f>IFERROR(__xludf.DUMMYFUNCTION("GOOGLETRANSLATE(A682,""en"",""pt"")"),"Eu amo os ringtones porque eles são tão otimista!")</f>
        <v>Eu amo os ringtones porque eles são tão otimista!</v>
      </c>
      <c r="B682" s="3">
        <v>1</v>
      </c>
    </row>
    <row r="683" ht="15.75" customHeight="1" spans="1:2">
      <c r="A683" s="3" t="str">
        <f>IFERROR(__xludf.DUMMYFUNCTION("GOOGLETRANSLATE(A683,""en"",""pt"")"),"Chinese Falsificações Abound !.")</f>
        <v>Chinese Falsificações Abound !.</v>
      </c>
      <c r="B683" s="3">
        <v>0</v>
      </c>
    </row>
    <row r="684" ht="15.75" customHeight="1" spans="1:2">
      <c r="A684" s="3" t="str">
        <f>IFERROR(__xludf.DUMMYFUNCTION("GOOGLETRANSLATE(A684,""en"",""pt"")"),"Fácil de emparelhar com o meu celular Samsung.")</f>
        <v>Fácil de emparelhar com o meu celular Samsung.</v>
      </c>
      <c r="B684" s="3">
        <v>1</v>
      </c>
    </row>
    <row r="685" ht="15.75" customHeight="1" spans="1:2">
      <c r="A685" s="3" t="str">
        <f>IFERROR(__xludf.DUMMYFUNCTION("GOOGLETRANSLATE(A685,""en"",""pt"")"),"As instruções não explicou que uma tomada de microfone pode ser usado.")</f>
        <v>As instruções não explicou que uma tomada de microfone pode ser usado.</v>
      </c>
      <c r="B685" s="3">
        <v>0</v>
      </c>
    </row>
    <row r="686" ht="15.75" customHeight="1" spans="1:2">
      <c r="A686" s="3" t="str">
        <f>IFERROR(__xludf.DUMMYFUNCTION("GOOGLETRANSLATE(A686,""en"",""pt"")"),"Eu aconselharia a não comprar este artigo que nunca funcionou muito bem.")</f>
        <v>Eu aconselharia a não comprar este artigo que nunca funcionou muito bem.</v>
      </c>
      <c r="B686" s="3">
        <v>0</v>
      </c>
    </row>
    <row r="687" ht="15.75" customHeight="1" spans="1:2">
      <c r="A687" s="3" t="str">
        <f>IFERROR(__xludf.DUMMYFUNCTION("GOOGLETRANSLATE(A687,""en"",""pt"")"),"Pena que você tem que pagar até $$$ por mês para o serviço!")</f>
        <v>Pena que você tem que pagar até $$$ por mês para o serviço!</v>
      </c>
      <c r="B687" s="3">
        <v>0</v>
      </c>
    </row>
    <row r="688" ht="15.75" customHeight="1" spans="1:2">
      <c r="A688" s="3" t="str">
        <f>IFERROR(__xludf.DUMMYFUNCTION("GOOGLETRANSLATE(A688,""en"",""pt"")"),"Funciona bem.")</f>
        <v>Funciona bem.</v>
      </c>
      <c r="B688" s="3">
        <v>1</v>
      </c>
    </row>
    <row r="689" ht="15.75" customHeight="1" spans="1:2">
      <c r="A689" s="3" t="str">
        <f>IFERROR(__xludf.DUMMYFUNCTION("GOOGLETRANSLATE(A689,""en"",""pt"")"),"O cabo USB Nokia CA-42 não funcionou com o meu telefone.")</f>
        <v>O cabo USB Nokia CA-42 não funcionou com o meu telefone.</v>
      </c>
      <c r="B689" s="3">
        <v>0</v>
      </c>
    </row>
    <row r="690" ht="15.75" customHeight="1" spans="1:2">
      <c r="A690" s="3" t="str">
        <f>IFERROR(__xludf.DUMMYFUNCTION("GOOGLETRANSLATE(A690,""en"",""pt"")"),"som claro e nítido.")</f>
        <v>som claro e nítido.</v>
      </c>
      <c r="B690" s="3">
        <v>1</v>
      </c>
    </row>
    <row r="691" ht="15.75" customHeight="1" spans="1:2">
      <c r="A691" s="3" t="str">
        <f>IFERROR(__xludf.DUMMYFUNCTION("GOOGLETRANSLATE(A691,""en"",""pt"")"),"Eu tenho que usar o menor auriculares fornecidos, mas ele permanece no muito bem.")</f>
        <v>Eu tenho que usar o menor auriculares fornecidos, mas ele permanece no muito bem.</v>
      </c>
      <c r="B691" s="3">
        <v>1</v>
      </c>
    </row>
    <row r="692" ht="15.75" customHeight="1" spans="1:2">
      <c r="A692" s="3" t="str">
        <f>IFERROR(__xludf.DUMMYFUNCTION("GOOGLETRANSLATE(A692,""en"",""pt"")"),"A maior queixa que eu tenho é, a bateria drena super rápida.")</f>
        <v>A maior queixa que eu tenho é, a bateria drena super rápida.</v>
      </c>
      <c r="B692" s="3">
        <v>0</v>
      </c>
    </row>
    <row r="693" ht="15.75" customHeight="1" spans="1:2">
      <c r="A693" s="3" t="str">
        <f>IFERROR(__xludf.DUMMYFUNCTION("GOOGLETRANSLATE(A693,""en"",""pt"")"),"O design pode ser ergonômico na teoria, mas eu não poderia estar tendo estes em meu ouvido.")</f>
        <v>O design pode ser ergonômico na teoria, mas eu não poderia estar tendo estes em meu ouvido.</v>
      </c>
      <c r="B693" s="3">
        <v>0</v>
      </c>
    </row>
    <row r="694" ht="15.75" customHeight="1" spans="1:2">
      <c r="A694" s="3" t="str">
        <f>IFERROR(__xludf.DUMMYFUNCTION("GOOGLETRANSLATE(A694,""en"",""pt"")"),"Não compre se você quiser usar o coldre.")</f>
        <v>Não compre se você quiser usar o coldre.</v>
      </c>
      <c r="B694" s="3">
        <v>0</v>
      </c>
    </row>
    <row r="695" ht="15.75" customHeight="1" spans="1:2">
      <c r="A695" s="3" t="str">
        <f>IFERROR(__xludf.DUMMYFUNCTION("GOOGLETRANSLATE(A695,""en"",""pt"")"),"O telefone também pode tirar ótimas fotos e até mesmo clipes de vídeo.")</f>
        <v>O telefone também pode tirar ótimas fotos e até mesmo clipes de vídeo.</v>
      </c>
      <c r="B695" s="3">
        <v>1</v>
      </c>
    </row>
    <row r="696" ht="15.75" customHeight="1" spans="1:2">
      <c r="A696" s="3" t="str">
        <f>IFERROR(__xludf.DUMMYFUNCTION("GOOGLETRANSLATE(A696,""en"",""pt"")"),"Não faz você olhar fresco.")</f>
        <v>Não faz você olhar fresco.</v>
      </c>
      <c r="B696" s="3">
        <v>0</v>
      </c>
    </row>
    <row r="697" ht="15.75" customHeight="1" spans="1:2">
      <c r="A697" s="3" t="str">
        <f>IFERROR(__xludf.DUMMYFUNCTION("GOOGLETRANSLATE(A697,""en"",""pt"")"),"Porque ambas as orelhas são ocupados, fundo não está distraindo a todos.")</f>
        <v>Porque ambas as orelhas são ocupados, fundo não está distraindo a todos.</v>
      </c>
      <c r="B697" s="3">
        <v>1</v>
      </c>
    </row>
    <row r="698" ht="15.75" customHeight="1" spans="1:2">
      <c r="A698" s="3" t="str">
        <f>IFERROR(__xludf.DUMMYFUNCTION("GOOGLETRANSLATE(A698,""en"",""pt"")"),"ajuste confortável - você precisa de seu fone de ouvido para ser confortável para pelo menos uma hora de cada vez, se não fosse por um dia inteiro.")</f>
        <v>ajuste confortável - você precisa de seu fone de ouvido para ser confortável para pelo menos uma hora de cada vez, se não fosse por um dia inteiro.</v>
      </c>
      <c r="B698" s="3">
        <v>1</v>
      </c>
    </row>
    <row r="699" ht="15.75" customHeight="1" spans="1:2">
      <c r="A699" s="3" t="str">
        <f>IFERROR(__xludf.DUMMYFUNCTION("GOOGLETRANSLATE(A699,""en"",""pt"")"),"Além disso, o telefone não parecem aceitar qualquer coisa, exceto mp3s CBR, de preferência rasgadas pelo Windows Media Player.")</f>
        <v>Além disso, o telefone não parecem aceitar qualquer coisa, exceto mp3s CBR, de preferência rasgadas pelo Windows Media Player.</v>
      </c>
      <c r="B699" s="3">
        <v>0</v>
      </c>
    </row>
    <row r="700" ht="15.75" customHeight="1" spans="1:2">
      <c r="A700" s="3" t="str">
        <f>IFERROR(__xludf.DUMMYFUNCTION("GOOGLETRANSLATE(A700,""en"",""pt"")"),"Você não pode bater o preço sobre estes.")</f>
        <v>Você não pode bater o preço sobre estes.</v>
      </c>
      <c r="B700" s="3">
        <v>1</v>
      </c>
    </row>
    <row r="701" ht="15.75" customHeight="1" spans="1:2">
      <c r="A701" s="3" t="str">
        <f>IFERROR(__xludf.DUMMYFUNCTION("GOOGLETRANSLATE(A701,""en"",""pt"")"),"leve e funciona bem.")</f>
        <v>leve e funciona bem.</v>
      </c>
      <c r="B701" s="3">
        <v>1</v>
      </c>
    </row>
    <row r="702" ht="15.75" customHeight="1" spans="1:2">
      <c r="A702" s="3" t="str">
        <f>IFERROR(__xludf.DUMMYFUNCTION("GOOGLETRANSLATE(A702,""en"",""pt"")"),"Assim, apenas cuidado.")</f>
        <v>Assim, apenas cuidado.</v>
      </c>
      <c r="B702" s="3">
        <v>0</v>
      </c>
    </row>
    <row r="703" ht="15.75" customHeight="1" spans="1:2">
      <c r="A703" s="3" t="str">
        <f>IFERROR(__xludf.DUMMYFUNCTION("GOOGLETRANSLATE(A703,""en"",""pt"")"),"Eu amo este cabo - que me permite conectar qualquer dispositivo de mini-USB para o meu PC.")</f>
        <v>Eu amo este cabo - que me permite conectar qualquer dispositivo de mini-USB para o meu PC.</v>
      </c>
      <c r="B703" s="3">
        <v>1</v>
      </c>
    </row>
    <row r="704" ht="15.75" customHeight="1" spans="1:2">
      <c r="A704" s="3" t="str">
        <f>IFERROR(__xludf.DUMMYFUNCTION("GOOGLETRANSLATE(A704,""en"",""pt"")"),"Assim, qualquer pessoa perto de você vai ouvir parte de sua conversa.")</f>
        <v>Assim, qualquer pessoa perto de você vai ouvir parte de sua conversa.</v>
      </c>
      <c r="B704" s="3">
        <v>0</v>
      </c>
    </row>
    <row r="705" ht="15.75" customHeight="1" spans="1:2">
      <c r="A705" s="3" t="str">
        <f>IFERROR(__xludf.DUMMYFUNCTION("GOOGLETRANSLATE(A705,""en"",""pt"")"),"Isso é legal porque a maioria dos casos são apenas aberto há permitindo que a tela para obter todo arranhado.")</f>
        <v>Isso é legal porque a maioria dos casos são apenas aberto há permitindo que a tela para obter todo arranhado.</v>
      </c>
      <c r="B705" s="3">
        <v>1</v>
      </c>
    </row>
    <row r="706" ht="15.75" customHeight="1" spans="1:2">
      <c r="A706" s="3" t="str">
        <f>IFERROR(__xludf.DUMMYFUNCTION("GOOGLETRANSLATE(A706,""en"",""pt"")"),"Eu comprei este telefone como um substituto para o meu StarTac e me arrependi depois.")</f>
        <v>Eu comprei este telefone como um substituto para o meu StarTac e me arrependi depois.</v>
      </c>
      <c r="B706" s="3">
        <v>0</v>
      </c>
    </row>
    <row r="707" ht="15.75" customHeight="1" spans="1:2">
      <c r="A707" s="3" t="str">
        <f>IFERROR(__xludf.DUMMYFUNCTION("GOOGLETRANSLATE(A707,""en"",""pt"")"),"Parece realmente superar a bateria original da China, que veio com o meu V325i.")</f>
        <v>Parece realmente superar a bateria original da China, que veio com o meu V325i.</v>
      </c>
      <c r="B707" s="3">
        <v>1</v>
      </c>
    </row>
    <row r="708" ht="15.75" customHeight="1" spans="1:2">
      <c r="A708" s="3" t="str">
        <f>IFERROR(__xludf.DUMMYFUNCTION("GOOGLETRANSLATE(A708,""en"",""pt"")"),"não pode armazenar números de qualquer coisa, mas telefone para SIM.")</f>
        <v>não pode armazenar números de qualquer coisa, mas telefone para SIM.</v>
      </c>
      <c r="B708" s="3">
        <v>0</v>
      </c>
    </row>
    <row r="709" ht="15.75" customHeight="1" spans="1:2">
      <c r="A709" s="3" t="str">
        <f>IFERROR(__xludf.DUMMYFUNCTION("GOOGLETRANSLATE(A709,""en"",""pt"")"),"Ele dura menos de 3o minutos, se eu realmente tentar usar a esposa phone.My tem o mesmo telefone com o mesmo problema.")</f>
        <v>Ele dura menos de 3o minutos, se eu realmente tentar usar a esposa phone.My tem o mesmo telefone com o mesmo problema.</v>
      </c>
      <c r="B709" s="3">
        <v>0</v>
      </c>
    </row>
    <row r="710" ht="15.75" customHeight="1" spans="1:2">
      <c r="A710" s="3" t="str">
        <f>IFERROR(__xludf.DUMMYFUNCTION("GOOGLETRANSLATE(A710,""en"",""pt"")"),"Má qualidade.")</f>
        <v>Má qualidade.</v>
      </c>
      <c r="B710" s="3">
        <v>0</v>
      </c>
    </row>
    <row r="711" ht="15.75" customHeight="1" spans="1:2">
      <c r="A711" s="3" t="str">
        <f>IFERROR(__xludf.DUMMYFUNCTION("GOOGLETRANSLATE(A711,""en"",""pt"")"),"jabra géis ouvido ""R"" o melhor !.")</f>
        <v>jabra géis ouvido "R" o melhor !.</v>
      </c>
      <c r="B711" s="3">
        <v>1</v>
      </c>
    </row>
    <row r="712" ht="15.75" customHeight="1" spans="1:2">
      <c r="A712" s="3" t="str">
        <f>IFERROR(__xludf.DUMMYFUNCTION("GOOGLETRANSLATE(A712,""en"",""pt"")"),"Não vale a pena.")</f>
        <v>Não vale a pena.</v>
      </c>
      <c r="B712" s="3">
        <v>0</v>
      </c>
    </row>
    <row r="713" ht="15.75" customHeight="1" spans="1:2">
      <c r="A713" s="3" t="str">
        <f>IFERROR(__xludf.DUMMYFUNCTION("GOOGLETRANSLATE(A713,""en"",""pt"")"),"O telefone caiu completamente e agora eu tenho para obtê-lo substituído.")</f>
        <v>O telefone caiu completamente e agora eu tenho para obtê-lo substituído.</v>
      </c>
      <c r="B713" s="3">
        <v>0</v>
      </c>
    </row>
    <row r="714" ht="15.75" customHeight="1" spans="1:2">
      <c r="A714" s="3" t="str">
        <f>IFERROR(__xludf.DUMMYFUNCTION("GOOGLETRANSLATE(A714,""en"",""pt"")"),"Ele parar de trabalhar depois que eu usei por cerca de 18 meses, então eu acabei de comprar outro porque este é o melhor fone de ouvido que eu já possuía.")</f>
        <v>Ele parar de trabalhar depois que eu usei por cerca de 18 meses, então eu acabei de comprar outro porque este é o melhor fone de ouvido que eu já possuía.</v>
      </c>
      <c r="B714" s="3">
        <v>1</v>
      </c>
    </row>
    <row r="715" ht="15.75" customHeight="1" spans="1:2">
      <c r="A715" s="3" t="str">
        <f>IFERROR(__xludf.DUMMYFUNCTION("GOOGLETRANSLATE(A715,""en"",""pt"")"),"Infelizmente isso não vai recarregar minhas iPhone 4s, apesar de conectá-lo a partir de múltiplas fontes de energia (iMac, bateria externa, tomada de parede, etc).")</f>
        <v>Infelizmente isso não vai recarregar minhas iPhone 4s, apesar de conectá-lo a partir de múltiplas fontes de energia (iMac, bateria externa, tomada de parede, etc).</v>
      </c>
      <c r="B715" s="3">
        <v>0</v>
      </c>
    </row>
    <row r="716" ht="15.75" customHeight="1" spans="1:2">
      <c r="A716" s="3" t="str">
        <f>IFERROR(__xludf.DUMMYFUNCTION("GOOGLETRANSLATE(A716,""en"",""pt"")"),"Foi um grande telefone.")</f>
        <v>Foi um grande telefone.</v>
      </c>
      <c r="B716" s="3">
        <v>1</v>
      </c>
    </row>
    <row r="717" ht="15.75" customHeight="1" spans="1:2">
      <c r="A717" s="3" t="str">
        <f>IFERROR(__xludf.DUMMYFUNCTION("GOOGLETRANSLATE(A717,""en"",""pt"")"),"se você simplesmente quer um pequeno telefone flip - olhar em outros lugares como os sinos extras e assobios são medíocres.")</f>
        <v>se você simplesmente quer um pequeno telefone flip - olhar em outros lugares como os sinos extras e assobios são medíocres.</v>
      </c>
      <c r="B717" s="3">
        <v>0</v>
      </c>
    </row>
    <row r="718" ht="15.75" customHeight="1" spans="1:2">
      <c r="A718" s="3" t="str">
        <f>IFERROR(__xludf.DUMMYFUNCTION("GOOGLETRANSLATE(A718,""en"",""pt"")"),"Bom valor, funciona bem - energia via USB, carro ou tomada de parede.")</f>
        <v>Bom valor, funciona bem - energia via USB, carro ou tomada de parede.</v>
      </c>
      <c r="B718" s="3">
        <v>1</v>
      </c>
    </row>
    <row r="719" ht="15.75" customHeight="1" spans="1:2">
      <c r="A719" s="3" t="str">
        <f>IFERROR(__xludf.DUMMYFUNCTION("GOOGLETRANSLATE(A719,""en"",""pt"")"),"Meu telefone não deslizar em torno de meu carro agora e o aperto impede meu telefone de deslizar para fora da minha mão.")</f>
        <v>Meu telefone não deslizar em torno de meu carro agora e o aperto impede meu telefone de deslizar para fora da minha mão.</v>
      </c>
      <c r="B719" s="3">
        <v>1</v>
      </c>
    </row>
    <row r="720" ht="15.75" customHeight="1" spans="1:2">
      <c r="A720" s="3" t="str">
        <f>IFERROR(__xludf.DUMMYFUNCTION("GOOGLETRANSLATE(A720,""en"",""pt"")"),"Este é simplesmente o melhor fone de ouvido bluetooth para qualidade de som!")</f>
        <v>Este é simplesmente o melhor fone de ouvido bluetooth para qualidade de som!</v>
      </c>
      <c r="B720" s="3">
        <v>1</v>
      </c>
    </row>
    <row r="721" ht="15.75" customHeight="1" spans="1:2">
      <c r="A721" s="3" t="str">
        <f>IFERROR(__xludf.DUMMYFUNCTION("GOOGLETRANSLATE(A721,""en"",""pt"")"),"Pense sobre isso quando você pretende possuir este! Esta certeza é o último telefone MOTO para mim!")</f>
        <v>Pense sobre isso quando você pretende possuir este! Esta certeza é o último telefone MOTO para mim!</v>
      </c>
      <c r="B721" s="3">
        <v>0</v>
      </c>
    </row>
    <row r="722" ht="15.75" customHeight="1" spans="1:2">
      <c r="A722" s="3" t="str">
        <f>IFERROR(__xludf.DUMMYFUNCTION("GOOGLETRANSLATE(A722,""en"",""pt"")"),"No espaço de uma hora, eu tinha duas pessoas exclamar ""Whoa - é que o novo telefone na TV?!?")</f>
        <v>No espaço de uma hora, eu tinha duas pessoas exclamar "Whoa - é que o novo telefone na TV?!?</v>
      </c>
      <c r="B722" s="3">
        <v>1</v>
      </c>
    </row>
    <row r="723" ht="15.75" customHeight="1" spans="1:2">
      <c r="A723" s="3" t="str">
        <f>IFERROR(__xludf.DUMMYFUNCTION("GOOGLETRANSLATE(A723,""en"",""pt"")"),"Eu sempre usei fones de ouvido com fio e a liberdade do wireless é muito útil.")</f>
        <v>Eu sempre usei fones de ouvido com fio e a liberdade do wireless é muito útil.</v>
      </c>
      <c r="B723" s="3">
        <v>1</v>
      </c>
    </row>
    <row r="724" ht="15.75" customHeight="1" spans="1:2">
      <c r="A724" s="3" t="str">
        <f>IFERROR(__xludf.DUMMYFUNCTION("GOOGLETRANSLATE(A724,""en"",""pt"")"),"Este caso já passou a marca de um ano e, enquanto ele mostra sinais de desgaste, é 100% funcional.")</f>
        <v>Este caso já passou a marca de um ano e, enquanto ele mostra sinais de desgaste, é 100% funcional.</v>
      </c>
      <c r="B724" s="3">
        <v>1</v>
      </c>
    </row>
    <row r="725" ht="15.75" customHeight="1" spans="1:2">
      <c r="A725" s="3" t="str">
        <f>IFERROR(__xludf.DUMMYFUNCTION("GOOGLETRANSLATE(A725,""en"",""pt"")"),"Fora isso, o couro é agradável e suave; o ajuste é muito apertado; o corte para fora para o rosto é uma forma boa.")</f>
        <v>Fora isso, o couro é agradável e suave; o ajuste é muito apertado; o corte para fora para o rosto é uma forma boa.</v>
      </c>
      <c r="B725" s="3">
        <v>1</v>
      </c>
    </row>
    <row r="726" ht="15.75" customHeight="1" spans="1:2">
      <c r="A726" s="3" t="str">
        <f>IFERROR(__xludf.DUMMYFUNCTION("GOOGLETRANSLATE(A726,""en"",""pt"")"),"Ele tem tudo que eu preciso e eu não podia pedir mais.")</f>
        <v>Ele tem tudo que eu preciso e eu não podia pedir mais.</v>
      </c>
      <c r="B726" s="3">
        <v>1</v>
      </c>
    </row>
    <row r="727" ht="15.75" customHeight="1" spans="1:2">
      <c r="A727" s="3" t="str">
        <f>IFERROR(__xludf.DUMMYFUNCTION("GOOGLETRANSLATE(A727,""en"",""pt"")"),"Depois de receber e utilizar o produto por apenas 2 dias ele quebrou.")</f>
        <v>Depois de receber e utilizar o produto por apenas 2 dias ele quebrou.</v>
      </c>
      <c r="B727" s="3">
        <v>0</v>
      </c>
    </row>
    <row r="728" ht="15.75" customHeight="1" spans="1:2">
      <c r="A728" s="3" t="str">
        <f>IFERROR(__xludf.DUMMYFUNCTION("GOOGLETRANSLATE(A728,""en"",""pt"")"),"Este produto é grande ... é torna o trabalho muito mais fácil eu posso ir para a copiadora enquanto espera em espera por algo.")</f>
        <v>Este produto é grande ... é torna o trabalho muito mais fácil eu posso ir para a copiadora enquanto espera em espera por algo.</v>
      </c>
      <c r="B728" s="3">
        <v>1</v>
      </c>
    </row>
    <row r="729" ht="15.75" customHeight="1" spans="1:2">
      <c r="A729" s="3" t="str">
        <f>IFERROR(__xludf.DUMMYFUNCTION("GOOGLETRANSLATE(A729,""en"",""pt"")"),"Nenhum dos três tamanhos que eles enviaram com o fone de ouvido ficaria em meus ouvidos.")</f>
        <v>Nenhum dos três tamanhos que eles enviaram com o fone de ouvido ficaria em meus ouvidos.</v>
      </c>
      <c r="B729" s="3">
        <v>0</v>
      </c>
    </row>
    <row r="730" ht="15.75" customHeight="1" spans="1:2">
      <c r="A730" s="3" t="str">
        <f>IFERROR(__xludf.DUMMYFUNCTION("GOOGLETRANSLATE(A730,""en"",""pt"")"),"T-Mobile tem o melhor em qualquer lugar serviço ao cliente.")</f>
        <v>T-Mobile tem o melhor em qualquer lugar serviço ao cliente.</v>
      </c>
      <c r="B730" s="3">
        <v>1</v>
      </c>
    </row>
    <row r="731" ht="15.75" customHeight="1" spans="1:2">
      <c r="A731" s="3" t="str">
        <f>IFERROR(__xludf.DUMMYFUNCTION("GOOGLETRANSLATE(A731,""en"",""pt"")"),"Chegou rapidamente e muito menos caro do que outros que estão sendo vendidos.")</f>
        <v>Chegou rapidamente e muito menos caro do que outros que estão sendo vendidos.</v>
      </c>
      <c r="B731" s="3">
        <v>1</v>
      </c>
    </row>
    <row r="732" ht="15.75" customHeight="1" spans="1:2">
      <c r="A732" s="3" t="str">
        <f>IFERROR(__xludf.DUMMYFUNCTION("GOOGLETRANSLATE(A732,""en"",""pt"")"),"Tentámos 2 unidades e ambos falharam dentro de 2 meses .. Prós")</f>
        <v>Tentámos 2 unidades e ambos falharam dentro de 2 meses .. Prós</v>
      </c>
      <c r="B732" s="3">
        <v>0</v>
      </c>
    </row>
    <row r="733" ht="15.75" customHeight="1" spans="1:2">
      <c r="A733" s="3" t="str">
        <f>IFERROR(__xludf.DUMMYFUNCTION("GOOGLETRANSLATE(A733,""en"",""pt"")"),"Fornece boa proteção e aparência elegante, também.")</f>
        <v>Fornece boa proteção e aparência elegante, também.</v>
      </c>
      <c r="B733" s="3">
        <v>1</v>
      </c>
    </row>
    <row r="734" ht="15.75" customHeight="1" spans="1:2">
      <c r="A734" s="3" t="str">
        <f>IFERROR(__xludf.DUMMYFUNCTION("GOOGLETRANSLATE(A734,""en"",""pt"")"),"Krussel Sempre bom.")</f>
        <v>Krussel Sempre bom.</v>
      </c>
      <c r="B734" s="3">
        <v>1</v>
      </c>
    </row>
    <row r="735" ht="15.75" customHeight="1" spans="1:2">
      <c r="A735" s="3" t="str">
        <f>IFERROR(__xludf.DUMMYFUNCTION("GOOGLETRANSLATE(A735,""en"",""pt"")"),"O tracfonewebsite é amigável e facilita toactivate, etc.")</f>
        <v>O tracfonewebsite é amigável e facilita toactivate, etc.</v>
      </c>
      <c r="B735" s="3">
        <v>1</v>
      </c>
    </row>
    <row r="736" ht="15.75" customHeight="1" spans="1:2">
      <c r="A736" s="3" t="str">
        <f>IFERROR(__xludf.DUMMYFUNCTION("GOOGLETRANSLATE(A736,""en"",""pt"")"),"O design é muito good.4.")</f>
        <v>O design é muito good.4.</v>
      </c>
      <c r="B736" s="3">
        <v>1</v>
      </c>
    </row>
    <row r="737" ht="15.75" customHeight="1" spans="1:2">
      <c r="A737" s="3" t="str">
        <f>IFERROR(__xludf.DUMMYFUNCTION("GOOGLETRANSLATE(A737,""en"",""pt"")"),"I grande recepção o tempo todo.")</f>
        <v>I grande recepção o tempo todo.</v>
      </c>
      <c r="B737" s="3">
        <v>1</v>
      </c>
    </row>
    <row r="738" ht="15.75" customHeight="1" spans="1:2">
      <c r="A738" s="3" t="str">
        <f>IFERROR(__xludf.DUMMYFUNCTION("GOOGLETRANSLATE(A738,""en"",""pt"")"),"Eu recomendo este produto.")</f>
        <v>Eu recomendo este produto.</v>
      </c>
      <c r="B738" s="3">
        <v>1</v>
      </c>
    </row>
    <row r="739" ht="15.75" customHeight="1" spans="1:2">
      <c r="A739" s="3" t="str">
        <f>IFERROR(__xludf.DUMMYFUNCTION("GOOGLETRANSLATE(A739,""en"",""pt"")"),"Não foi possível usar a unidade com óculos de sol, não é bom em Texas!")</f>
        <v>Não foi possível usar a unidade com óculos de sol, não é bom em Texas!</v>
      </c>
      <c r="B739" s="3">
        <v>0</v>
      </c>
    </row>
    <row r="740" ht="15.75" customHeight="1" spans="1:2">
      <c r="A740" s="3" t="str">
        <f>IFERROR(__xludf.DUMMYFUNCTION("GOOGLETRANSLATE(A740,""en"",""pt"")"),"Não dit trabalhar a maior parte do tempo com o meu Nokia 5320.")</f>
        <v>Não dit trabalhar a maior parte do tempo com o meu Nokia 5320.</v>
      </c>
      <c r="B740" s="3">
        <v>0</v>
      </c>
    </row>
    <row r="741" ht="15.75" customHeight="1" spans="1:2">
      <c r="A741" s="3" t="str">
        <f>IFERROR(__xludf.DUMMYFUNCTION("GOOGLETRANSLATE(A741,""en"",""pt"")"),"Comprados principalmente para o carregador, que quebrou logo após a compra.")</f>
        <v>Comprados principalmente para o carregador, que quebrou logo após a compra.</v>
      </c>
      <c r="B741" s="3">
        <v>0</v>
      </c>
    </row>
    <row r="742" ht="15.75" customHeight="1" spans="1:2">
      <c r="A742" s="3" t="str">
        <f>IFERROR(__xludf.DUMMYFUNCTION("GOOGLETRANSLATE(A742,""en"",""pt"")"),"Se você gosta de um zumbido alto para substituir todas as suas conversas, então este telefone é para você!")</f>
        <v>Se você gosta de um zumbido alto para substituir todas as suas conversas, então este telefone é para você!</v>
      </c>
      <c r="B742" s="3">
        <v>0</v>
      </c>
    </row>
    <row r="743" ht="15.75" customHeight="1" spans="1:2">
      <c r="A743" s="3" t="str">
        <f>IFERROR(__xludf.DUMMYFUNCTION("GOOGLETRANSLATE(A743,""en"",""pt"")"),"compra fantástica e vai ficar novamente para o que meu próximo aparelho é")</f>
        <v>compra fantástica e vai ficar novamente para o que meu próximo aparelho é</v>
      </c>
      <c r="B743" s="3">
        <v>1</v>
      </c>
    </row>
    <row r="744" ht="15.75" customHeight="1" spans="1:2">
      <c r="A744" s="3" t="str">
        <f>IFERROR(__xludf.DUMMYFUNCTION("GOOGLETRANSLATE(A744,""en"",""pt"")"),"ficar longe desta loja, tenha cuidado.")</f>
        <v>ficar longe desta loja, tenha cuidado.</v>
      </c>
      <c r="B744" s="3">
        <v>0</v>
      </c>
    </row>
    <row r="745" ht="15.75" customHeight="1" spans="1:2">
      <c r="A745" s="3" t="str">
        <f>IFERROR(__xludf.DUMMYFUNCTION("GOOGLETRANSLATE(A745,""en"",""pt"")"),"Este alto-falante de telefone mãos-livres BlueAnt Supertooth é IMPRESSIONANTE.")</f>
        <v>Este alto-falante de telefone mãos-livres BlueAnt Supertooth é IMPRESSIONANTE.</v>
      </c>
      <c r="B745" s="3">
        <v>1</v>
      </c>
    </row>
    <row r="746" ht="15.75" customHeight="1" spans="1:2">
      <c r="A746" s="3" t="str">
        <f>IFERROR(__xludf.DUMMYFUNCTION("GOOGLETRANSLATE(A746,""en"",""pt"")"),"Não serve.")</f>
        <v>Não serve.</v>
      </c>
      <c r="B746" s="3">
        <v>0</v>
      </c>
    </row>
    <row r="747" ht="15.75" customHeight="1" spans="1:2">
      <c r="A747" s="3" t="str">
        <f>IFERROR(__xludf.DUMMYFUNCTION("GOOGLETRANSLATE(A747,""en"",""pt"")"),"É leve, tem muita capacidade da bateria, e é muito confortável de usar por períodos um pouco de tempo prolongado.")</f>
        <v>É leve, tem muita capacidade da bateria, e é muito confortável de usar por períodos um pouco de tempo prolongado.</v>
      </c>
      <c r="B747" s="3">
        <v>1</v>
      </c>
    </row>
    <row r="748" ht="15.75" customHeight="1" spans="1:2">
      <c r="A748" s="3" t="str">
        <f>IFERROR(__xludf.DUMMYFUNCTION("GOOGLETRANSLATE(A748,""en"",""pt"")"),"decepcionante.")</f>
        <v>decepcionante.</v>
      </c>
      <c r="B748" s="3">
        <v>0</v>
      </c>
    </row>
    <row r="749" ht="15.75" customHeight="1" spans="1:2">
      <c r="A749" s="3" t="str">
        <f>IFERROR(__xludf.DUMMYFUNCTION("GOOGLETRANSLATE(A749,""en"",""pt"")"),"Azul Ant é fácil de usar.")</f>
        <v>Azul Ant é fácil de usar.</v>
      </c>
      <c r="B749" s="3">
        <v>1</v>
      </c>
    </row>
    <row r="750" ht="15.75" customHeight="1" spans="1:2">
      <c r="A750" s="3" t="str">
        <f>IFERROR(__xludf.DUMMYFUNCTION("GOOGLETRANSLATE(A750,""en"",""pt"")"),"Barato, mas hey ele funciona .. Foi agradavelmente surpresos dado o baixo custo deste item.")</f>
        <v>Barato, mas hey ele funciona .. Foi agradavelmente surpresos dado o baixo custo deste item.</v>
      </c>
      <c r="B750" s="3">
        <v>1</v>
      </c>
    </row>
    <row r="751" ht="15.75" customHeight="1" spans="1:2">
      <c r="A751" s="3" t="str">
        <f>IFERROR(__xludf.DUMMYFUNCTION("GOOGLETRANSLATE(A751,""en"",""pt"")"),"A câmera do telefone pode ser usado como uma pá quando dentro de casa ... Eu prefiro usar um descartável então este.")</f>
        <v>A câmera do telefone pode ser usado como uma pá quando dentro de casa ... Eu prefiro usar um descartável então este.</v>
      </c>
      <c r="B751" s="3">
        <v>0</v>
      </c>
    </row>
    <row r="752" ht="15.75" customHeight="1" spans="1:2">
      <c r="A752" s="3" t="str">
        <f>IFERROR(__xludf.DUMMYFUNCTION("GOOGLETRANSLATE(A752,""en"",""pt"")"),"Então, alguns dias depois do sopro um de fumaça saiu do telefone enquanto estiver em uso.")</f>
        <v>Então, alguns dias depois do sopro um de fumaça saiu do telefone enquanto estiver em uso.</v>
      </c>
      <c r="B752" s="3">
        <v>0</v>
      </c>
    </row>
    <row r="753" ht="15.75" customHeight="1" spans="1:2">
      <c r="A753" s="3" t="str">
        <f>IFERROR(__xludf.DUMMYFUNCTION("GOOGLETRANSLATE(A753,""en"",""pt"")"),"É muito conveniente e simples de usar - fica trabalho feito e faz o passeio de carro muito mais suave.")</f>
        <v>É muito conveniente e simples de usar - fica trabalho feito e faz o passeio de carro muito mais suave.</v>
      </c>
      <c r="B753" s="3">
        <v>1</v>
      </c>
    </row>
    <row r="754" ht="15.75" customHeight="1" spans="1:2">
      <c r="A754" s="3" t="str">
        <f>IFERROR(__xludf.DUMMYFUNCTION("GOOGLETRANSLATE(A754,""en"",""pt"")"),"O nano afirmou it.My filho estava desapontado.")</f>
        <v>O nano afirmou it.My filho estava desapontado.</v>
      </c>
      <c r="B754" s="3">
        <v>0</v>
      </c>
    </row>
    <row r="755" ht="15.75" customHeight="1" spans="1:2">
      <c r="A755" s="3" t="str">
        <f>IFERROR(__xludf.DUMMYFUNCTION("GOOGLETRANSLATE(A755,""en"",""pt"")"),"A qualidade do som é excelente.")</f>
        <v>A qualidade do som é excelente.</v>
      </c>
      <c r="B755" s="3">
        <v>1</v>
      </c>
    </row>
    <row r="756" ht="15.75" customHeight="1" spans="1:2">
      <c r="A756" s="3" t="str">
        <f>IFERROR(__xludf.DUMMYFUNCTION("GOOGLETRANSLATE(A756,""en"",""pt"")"),"É o melhor fone de ouvido que tenho usado.")</f>
        <v>É o melhor fone de ouvido que tenho usado.</v>
      </c>
      <c r="B756" s="3">
        <v>1</v>
      </c>
    </row>
    <row r="757" ht="15.75" customHeight="1" spans="1:2">
      <c r="A757" s="3" t="str">
        <f>IFERROR(__xludf.DUMMYFUNCTION("GOOGLETRANSLATE(A757,""en"",""pt"")"),"não seria reccommend.")</f>
        <v>não seria reccommend.</v>
      </c>
      <c r="B757" s="3">
        <v>0</v>
      </c>
    </row>
    <row r="758" ht="15.75" customHeight="1" spans="1:2">
      <c r="A758" s="3" t="str">
        <f>IFERROR(__xludf.DUMMYFUNCTION("GOOGLETRANSLATE(A758,""en"",""pt"")"),"Eles têm sido em torno de anos e leva a mais alta qualidade de protetor de tela anti-reflexo que eu encontrei até agora.")</f>
        <v>Eles têm sido em torno de anos e leva a mais alta qualidade de protetor de tela anti-reflexo que eu encontrei até agora.</v>
      </c>
      <c r="B758" s="3">
        <v>1</v>
      </c>
    </row>
    <row r="759" ht="15.75" customHeight="1" spans="1:2">
      <c r="A759" s="3" t="str">
        <f>IFERROR(__xludf.DUMMYFUNCTION("GOOGLETRANSLATE(A759,""en"",""pt"")"),"Apenas o que eu queria.")</f>
        <v>Apenas o que eu queria.</v>
      </c>
      <c r="B759" s="3">
        <v>1</v>
      </c>
    </row>
    <row r="760" ht="15.75" customHeight="1" spans="1:2">
      <c r="A760" s="3" t="str">
        <f>IFERROR(__xludf.DUMMYFUNCTION("GOOGLETRANSLATE(A760,""en"",""pt"")"),"Este modelo em particular não iria trabalhar com meu smartphone Motorola Q.")</f>
        <v>Este modelo em particular não iria trabalhar com meu smartphone Motorola Q.</v>
      </c>
      <c r="B760" s="3">
        <v>0</v>
      </c>
    </row>
    <row r="761" ht="15.75" customHeight="1" spans="1:2">
      <c r="A761" s="3" t="str">
        <f>IFERROR(__xludf.DUMMYFUNCTION("GOOGLETRANSLATE(A761,""en"",""pt"")"),"direito não vai funcionar ou pelo menos para mim.")</f>
        <v>direito não vai funcionar ou pelo menos para mim.</v>
      </c>
      <c r="B761" s="3">
        <v>0</v>
      </c>
    </row>
    <row r="762" ht="15.75" customHeight="1" spans="1:2">
      <c r="A762" s="3" t="str">
        <f>IFERROR(__xludf.DUMMYFUNCTION("GOOGLETRANSLATE(A762,""en"",""pt"")"),"além disso, sente &amp; amp; Parece que o telefone é tudo barato de plástico leve.")</f>
        <v>além disso, sente &amp; amp; Parece que o telefone é tudo barato de plástico leve.</v>
      </c>
      <c r="B762" s="3">
        <v>0</v>
      </c>
    </row>
    <row r="763" ht="15.75" customHeight="1" spans="1:2">
      <c r="A763" s="3" t="str">
        <f>IFERROR(__xludf.DUMMYFUNCTION("GOOGLETRANSLATE(A763,""en"",""pt"")"),"Mas agora que ele está ""fora da garantia"" os mesmos problemas reoccure.Bottom linha ... colocar o seu dinheiro em outro lugar ... Cingular não vai apoiá-lo.")</f>
        <v>Mas agora que ele está "fora da garantia" os mesmos problemas reoccure.Bottom linha ... colocar o seu dinheiro em outro lugar ... Cingular não vai apoiá-lo.</v>
      </c>
      <c r="B763" s="3">
        <v>0</v>
      </c>
    </row>
    <row r="764" ht="15.75" customHeight="1" spans="1:2">
      <c r="A764" s="3" t="str">
        <f>IFERROR(__xludf.DUMMYFUNCTION("GOOGLETRANSLATE(A764,""en"",""pt"")"),"Eu realmente queria que a Plantronics 510 a ser o caminho certo, mas tem muitas questões para me.The boa")</f>
        <v>Eu realmente queria que a Plantronics 510 a ser o caminho certo, mas tem muitas questões para me.The boa</v>
      </c>
      <c r="B764" s="3">
        <v>0</v>
      </c>
    </row>
    <row r="765" ht="15.75" customHeight="1" spans="1:2">
      <c r="A765" s="3" t="str">
        <f>IFERROR(__xludf.DUMMYFUNCTION("GOOGLETRANSLATE(A765,""en"",""pt"")"),"Ótimo produto.")</f>
        <v>Ótimo produto.</v>
      </c>
      <c r="B765" s="3">
        <v>1</v>
      </c>
    </row>
    <row r="766" ht="15.75" customHeight="1" spans="1:2">
      <c r="A766" s="3" t="str">
        <f>IFERROR(__xludf.DUMMYFUNCTION("GOOGLETRANSLATE(A766,""en"",""pt"")"),"Nítida e clara.")</f>
        <v>Nítida e clara.</v>
      </c>
      <c r="B766" s="3">
        <v>1</v>
      </c>
    </row>
    <row r="767" ht="15.75" customHeight="1" spans="1:2">
      <c r="A767" s="3" t="str">
        <f>IFERROR(__xludf.DUMMYFUNCTION("GOOGLETRANSLATE(A767,""en"",""pt"")"),"Após a primeira carga continuou mortos após 12 minutos.")</f>
        <v>Após a primeira carga continuou mortos após 12 minutos.</v>
      </c>
      <c r="B767" s="3">
        <v>0</v>
      </c>
    </row>
    <row r="768" ht="15.75" customHeight="1" spans="1:2">
      <c r="A768" s="3" t="str">
        <f>IFERROR(__xludf.DUMMYFUNCTION("GOOGLETRANSLATE(A768,""en"",""pt"")"),"MUITO plástico barato, rangidos como um piso de madeira velha.")</f>
        <v>MUITO plástico barato, rangidos como um piso de madeira velha.</v>
      </c>
      <c r="B768" s="3">
        <v>0</v>
      </c>
    </row>
    <row r="769" ht="15.75" customHeight="1" spans="1:2">
      <c r="A769" s="3" t="str">
        <f>IFERROR(__xludf.DUMMYFUNCTION("GOOGLETRANSLATE(A769,""en"",""pt"")"),"I começar a recepção absolutamente horrível em meu apartamento, onde com outros telefones que eu não tive este problema.")</f>
        <v>I começar a recepção absolutamente horrível em meu apartamento, onde com outros telefones que eu não tive este problema.</v>
      </c>
      <c r="B769" s="3">
        <v>0</v>
      </c>
    </row>
    <row r="770" ht="15.75" customHeight="1" spans="1:2">
      <c r="A770" s="3" t="str">
        <f>IFERROR(__xludf.DUMMYFUNCTION("GOOGLETRANSLATE(A770,""en"",""pt"")"),"A recepção tem sido geralmente boa.")</f>
        <v>A recepção tem sido geralmente boa.</v>
      </c>
      <c r="B770" s="3">
        <v>1</v>
      </c>
    </row>
    <row r="771" ht="15.75" customHeight="1" spans="1:2">
      <c r="A771" s="3" t="str">
        <f>IFERROR(__xludf.DUMMYFUNCTION("GOOGLETRANSLATE(A771,""en"",""pt"")"),"Excelente som, bateria e discreto para arrancar !.")</f>
        <v>Excelente som, bateria e discreto para arrancar !.</v>
      </c>
      <c r="B771" s="3">
        <v>1</v>
      </c>
    </row>
    <row r="772" ht="15.75" customHeight="1" spans="1:2">
      <c r="A772" s="3" t="str">
        <f>IFERROR(__xludf.DUMMYFUNCTION("GOOGLETRANSLATE(A772,""en"",""pt"")"),"Grande Bluetooth !.")</f>
        <v>Grande Bluetooth !.</v>
      </c>
      <c r="B772" s="3">
        <v>1</v>
      </c>
    </row>
    <row r="773" ht="15.75" customHeight="1" spans="1:2">
      <c r="A773" s="3" t="str">
        <f>IFERROR(__xludf.DUMMYFUNCTION("GOOGLETRANSLATE(A773,""en"",""pt"")"),"Eu recomendo altamente este caso.")</f>
        <v>Eu recomendo altamente este caso.</v>
      </c>
      <c r="B773" s="3">
        <v>1</v>
      </c>
    </row>
    <row r="774" ht="15.75" customHeight="1" spans="1:2">
      <c r="A774" s="3" t="str">
        <f>IFERROR(__xludf.DUMMYFUNCTION("GOOGLETRANSLATE(A774,""en"",""pt"")"),"QUE VALE A PENA.")</f>
        <v>QUE VALE A PENA.</v>
      </c>
      <c r="B774" s="3">
        <v>1</v>
      </c>
    </row>
    <row r="775" ht="15.75" customHeight="1" spans="1:2">
      <c r="A775" s="3" t="str">
        <f>IFERROR(__xludf.DUMMYFUNCTION("GOOGLETRANSLATE(A775,""en"",""pt"")"),"Este é um grande negócio.")</f>
        <v>Este é um grande negócio.</v>
      </c>
      <c r="B775" s="3">
        <v>1</v>
      </c>
    </row>
    <row r="776" ht="15.75" customHeight="1" spans="1:2">
      <c r="A776" s="3" t="str">
        <f>IFERROR(__xludf.DUMMYFUNCTION("GOOGLETRANSLATE(A776,""en"",""pt"")"),"Após o meu telefone tem que ser cerca de um ano de idade, ele foi lentamente quebrando apesar de muito cuidado da minha parte.")</f>
        <v>Após o meu telefone tem que ser cerca de um ano de idade, ele foi lentamente quebrando apesar de muito cuidado da minha parte.</v>
      </c>
      <c r="B776" s="3">
        <v>0</v>
      </c>
    </row>
    <row r="777" ht="15.75" customHeight="1" spans="1:2">
      <c r="A777" s="3" t="str">
        <f>IFERROR(__xludf.DUMMYFUNCTION("GOOGLETRANSLATE(A777,""en"",""pt"")"),"Lamento que fiz esta compra.")</f>
        <v>Lamento que fiz esta compra.</v>
      </c>
      <c r="B777" s="3">
        <v>0</v>
      </c>
    </row>
    <row r="778" ht="15.75" customHeight="1" spans="1:2">
      <c r="A778" s="3" t="str">
        <f>IFERROR(__xludf.DUMMYFUNCTION("GOOGLETRANSLATE(A778,""en"",""pt"")"),"Eu comprei estas esperando que eu poderia fazer o meu fone de ouvido Bluetooth se encaixam melhor, mas essas coisas tornaram impossível para vestir.")</f>
        <v>Eu comprei estas esperando que eu poderia fazer o meu fone de ouvido Bluetooth se encaixam melhor, mas essas coisas tornaram impossível para vestir.</v>
      </c>
      <c r="B778" s="3">
        <v>0</v>
      </c>
    </row>
    <row r="779" ht="15.75" customHeight="1" spans="1:2">
      <c r="A779" s="3" t="str">
        <f>IFERROR(__xludf.DUMMYFUNCTION("GOOGLETRANSLATE(A779,""en"",""pt"")"),"Treo e T-Mobile recusaram-se a substituí-lo novamente e me obrigou a comprar outro telefone sem qualquer tipo de desconto upgrade.")</f>
        <v>Treo e T-Mobile recusaram-se a substituí-lo novamente e me obrigou a comprar outro telefone sem qualquer tipo de desconto upgrade.</v>
      </c>
      <c r="B779" s="3">
        <v>0</v>
      </c>
    </row>
    <row r="780" ht="15.75" customHeight="1" spans="1:2">
      <c r="A780" s="3" t="str">
        <f>IFERROR(__xludf.DUMMYFUNCTION("GOOGLETRANSLATE(A780,""en"",""pt"")"),"Foi horrível!.")</f>
        <v>Foi horrível!.</v>
      </c>
      <c r="B780" s="3">
        <v>0</v>
      </c>
    </row>
    <row r="781" ht="15.75" customHeight="1" spans="1:2">
      <c r="A781" s="3" t="str">
        <f>IFERROR(__xludf.DUMMYFUNCTION("GOOGLETRANSLATE(A781,""en"",""pt"")"),"Eu não acho que vai realizar-lo também securly em seu cinto.")</f>
        <v>Eu não acho que vai realizar-lo também securly em seu cinto.</v>
      </c>
      <c r="B781" s="3">
        <v>0</v>
      </c>
    </row>
    <row r="782" ht="15.75" customHeight="1" spans="1:2">
      <c r="A782" s="3" t="str">
        <f>IFERROR(__xludf.DUMMYFUNCTION("GOOGLETRANSLATE(A782,""en"",""pt"")"),"Isso permite a possibilidade de dupla reserva a mesma data e hora após o primeiro para.")</f>
        <v>Isso permite a possibilidade de dupla reserva a mesma data e hora após o primeiro para.</v>
      </c>
      <c r="B782" s="3">
        <v>0</v>
      </c>
    </row>
    <row r="783" ht="15.75" customHeight="1" spans="1:2">
      <c r="A783" s="3" t="str">
        <f>IFERROR(__xludf.DUMMYFUNCTION("GOOGLETRANSLATE(A783,""en"",""pt"")"),"Eles trabalham cerca de 2 semanas, em seguida, quebrar.")</f>
        <v>Eles trabalham cerca de 2 semanas, em seguida, quebrar.</v>
      </c>
      <c r="B783" s="3">
        <v>0</v>
      </c>
    </row>
    <row r="784" ht="15.75" customHeight="1" spans="1:2">
      <c r="A784" s="3" t="str">
        <f>IFERROR(__xludf.DUMMYFUNCTION("GOOGLETRANSLATE(A784,""en"",""pt"")"),"É simples de usar e eu como ele.")</f>
        <v>É simples de usar e eu como ele.</v>
      </c>
      <c r="B784" s="3">
        <v>1</v>
      </c>
    </row>
    <row r="785" ht="15.75" customHeight="1" spans="1:2">
      <c r="A785" s="3" t="str">
        <f>IFERROR(__xludf.DUMMYFUNCTION("GOOGLETRANSLATE(A785,""en"",""pt"")"),"É uma grande ferramenta para o entretenimento, comunicação e dados management.Oh, certifique-se de usar o ActiveSync 4.2 para otimizar os resultados de sincronização de dados!")</f>
        <v>É uma grande ferramenta para o entretenimento, comunicação e dados management.Oh, certifique-se de usar o ActiveSync 4.2 para otimizar os resultados de sincronização de dados!</v>
      </c>
      <c r="B785" s="3">
        <v>1</v>
      </c>
    </row>
    <row r="786" ht="15.75" customHeight="1" spans="1:2">
      <c r="A786" s="3" t="str">
        <f>IFERROR(__xludf.DUMMYFUNCTION("GOOGLETRANSLATE(A786,""en"",""pt"")"),"Eu não posso usar neste caso, porque o cheiro é nojento.")</f>
        <v>Eu não posso usar neste caso, porque o cheiro é nojento.</v>
      </c>
      <c r="B786" s="3">
        <v>0</v>
      </c>
    </row>
    <row r="787" ht="15.75" customHeight="1" spans="1:2">
      <c r="A787" s="3" t="str">
        <f>IFERROR(__xludf.DUMMYFUNCTION("GOOGLETRANSLATE(A787,""en"",""pt"")"),"O que eu queria.")</f>
        <v>O que eu queria.</v>
      </c>
      <c r="B787" s="3">
        <v>0</v>
      </c>
    </row>
    <row r="788" ht="15.75" customHeight="1" spans="1:2">
      <c r="A788" s="3" t="str">
        <f>IFERROR(__xludf.DUMMYFUNCTION("GOOGLETRANSLATE(A788,""en"",""pt"")"),"Eu possuo 2 destes casos e iria pedir outro.")</f>
        <v>Eu possuo 2 destes casos e iria pedir outro.</v>
      </c>
      <c r="B788" s="3">
        <v>1</v>
      </c>
    </row>
    <row r="789" ht="15.75" customHeight="1" spans="1:2">
      <c r="A789" s="3" t="str">
        <f>IFERROR(__xludf.DUMMYFUNCTION("GOOGLETRANSLATE(A789,""en"",""pt"")"),"Grande Phone.")</f>
        <v>Grande Phone.</v>
      </c>
      <c r="B789" s="3">
        <v>1</v>
      </c>
    </row>
    <row r="790" ht="15.75" customHeight="1" spans="1:2">
      <c r="A790" s="3" t="str">
        <f>IFERROR(__xludf.DUMMYFUNCTION("GOOGLETRANSLATE(A790,""en"",""pt"")"),"Eu comprei esta bateria com um cupom do Amazon e estou muito feliz com minha compra.")</f>
        <v>Eu comprei esta bateria com um cupom do Amazon e estou muito feliz com minha compra.</v>
      </c>
      <c r="B790" s="3">
        <v>1</v>
      </c>
    </row>
    <row r="791" ht="15.75" customHeight="1" spans="1:2">
      <c r="A791" s="3" t="str">
        <f>IFERROR(__xludf.DUMMYFUNCTION("GOOGLETRANSLATE(A791,""en"",""pt"")"),"O acesso à internet foi bom, é a instância rara que ele trabalhou.")</f>
        <v>O acesso à internet foi bom, é a instância rara que ele trabalhou.</v>
      </c>
      <c r="B791" s="3">
        <v>0</v>
      </c>
    </row>
    <row r="792" ht="15.75" customHeight="1" spans="1:2">
      <c r="A792" s="3" t="str">
        <f>IFERROR(__xludf.DUMMYFUNCTION("GOOGLETRANSLATE(A792,""en"",""pt"")"),"Perfeito para o PS3.")</f>
        <v>Perfeito para o PS3.</v>
      </c>
      <c r="B792" s="3">
        <v>1</v>
      </c>
    </row>
    <row r="793" ht="15.75" customHeight="1" spans="1:2">
      <c r="A793" s="3" t="str">
        <f>IFERROR(__xludf.DUMMYFUNCTION("GOOGLETRANSLATE(A793,""en"",""pt"")"),"Cinco estrelas plus, plus.")</f>
        <v>Cinco estrelas plus, plus.</v>
      </c>
      <c r="B793" s="3">
        <v>1</v>
      </c>
    </row>
    <row r="794" ht="15.75" customHeight="1" spans="1:2">
      <c r="A794" s="3" t="str">
        <f>IFERROR(__xludf.DUMMYFUNCTION("GOOGLETRANSLATE(A794,""en"",""pt"")"),"Uma pechincha boa qualidade .. Eu comprei este depois que eu comprei um cheapy de Big Lots que soou horrível e as pessoas do outro lado não podia me ouvir.")</f>
        <v>Uma pechincha boa qualidade .. Eu comprei este depois que eu comprei um cheapy de Big Lots que soou horrível e as pessoas do outro lado não podia me ouvir.</v>
      </c>
      <c r="B794" s="3">
        <v>1</v>
      </c>
    </row>
    <row r="795" ht="15.75" customHeight="1" spans="1:2">
      <c r="A795" s="3" t="str">
        <f>IFERROR(__xludf.DUMMYFUNCTION("GOOGLETRANSLATE(A795,""en"",""pt"")"),"Eu tentei falar bem alto, mas gritando no telefone fica velho e eu ainda foi dito que não foi ótimo.")</f>
        <v>Eu tentei falar bem alto, mas gritando no telefone fica velho e eu ainda foi dito que não foi ótimo.</v>
      </c>
      <c r="B795" s="3">
        <v>0</v>
      </c>
    </row>
    <row r="796" ht="15.75" customHeight="1" spans="1:2">
      <c r="A796" s="3" t="str">
        <f>IFERROR(__xludf.DUMMYFUNCTION("GOOGLETRANSLATE(A796,""en"",""pt"")"),"Bom, funciona bem.")</f>
        <v>Bom, funciona bem.</v>
      </c>
      <c r="B796" s="3">
        <v>1</v>
      </c>
    </row>
    <row r="797" ht="15.75" customHeight="1" spans="1:2">
      <c r="A797" s="3" t="str">
        <f>IFERROR(__xludf.DUMMYFUNCTION("GOOGLETRANSLATE(A797,""en"",""pt"")"),"Para o preço este foi um grande negócio.")</f>
        <v>Para o preço este foi um grande negócio.</v>
      </c>
      <c r="B797" s="3">
        <v>1</v>
      </c>
    </row>
    <row r="798" ht="15.75" customHeight="1" spans="1:2">
      <c r="A798" s="3" t="str">
        <f>IFERROR(__xludf.DUMMYFUNCTION("GOOGLETRANSLATE(A798,""en"",""pt"")"),"Ótimo preço, também!")</f>
        <v>Ótimo preço, também!</v>
      </c>
      <c r="B798" s="3">
        <v>1</v>
      </c>
    </row>
    <row r="799" ht="15.75" customHeight="1" spans="1:2">
      <c r="A799" s="3" t="str">
        <f>IFERROR(__xludf.DUMMYFUNCTION("GOOGLETRANSLATE(A799,""en"",""pt"")"),"Se há um vento, é completamente inútil.")</f>
        <v>Se há um vento, é completamente inútil.</v>
      </c>
      <c r="B799" s="3">
        <v>0</v>
      </c>
    </row>
    <row r="800" ht="15.75" customHeight="1" spans="1:2">
      <c r="A800" s="3" t="str">
        <f>IFERROR(__xludf.DUMMYFUNCTION("GOOGLETRANSLATE(A800,""en"",""pt"")"),"Sim, é brilhante na parte da frente - e eu adoro isso!")</f>
        <v>Sim, é brilhante na parte da frente - e eu adoro isso!</v>
      </c>
      <c r="B800" s="3">
        <v>1</v>
      </c>
    </row>
    <row r="801" ht="15.75" customHeight="1" spans="1:2">
      <c r="A801" s="3" t="str">
        <f>IFERROR(__xludf.DUMMYFUNCTION("GOOGLETRANSLATE(A801,""en"",""pt"")"),"Não funciona.")</f>
        <v>Não funciona.</v>
      </c>
      <c r="B801" s="3">
        <v>0</v>
      </c>
    </row>
    <row r="802" ht="15.75" customHeight="1" spans="1:2">
      <c r="A802" s="3" t="str">
        <f>IFERROR(__xludf.DUMMYFUNCTION("GOOGLETRANSLATE(A802,""en"",""pt"")"),"No começo eu pensei que estava grtting um bom negócio em US $ 7,44, até que eu liguei para o meu telefone (V3c Razr).")</f>
        <v>No começo eu pensei que estava grtting um bom negócio em US $ 7,44, até que eu liguei para o meu telefone (V3c Razr).</v>
      </c>
      <c r="B802" s="3">
        <v>0</v>
      </c>
    </row>
    <row r="803" ht="15.75" customHeight="1" spans="1:2">
      <c r="A803" s="3" t="str">
        <f>IFERROR(__xludf.DUMMYFUNCTION("GOOGLETRANSLATE(A803,""en"",""pt"")"),"A recepção por este headset é excelente.")</f>
        <v>A recepção por este headset é excelente.</v>
      </c>
      <c r="B803" s="3">
        <v>1</v>
      </c>
    </row>
    <row r="804" ht="15.75" customHeight="1" spans="1:2">
      <c r="A804" s="3" t="str">
        <f>IFERROR(__xludf.DUMMYFUNCTION("GOOGLETRANSLATE(A804,""en"",""pt"")"),"Eu tenho um telefone Verizon LG e eles trabalham bem em conjunto, uma boa recepção e intervalo que excede 20 pés linha de visão.")</f>
        <v>Eu tenho um telefone Verizon LG e eles trabalham bem em conjunto, uma boa recepção e intervalo que excede 20 pés linha de visão.</v>
      </c>
      <c r="B804" s="3">
        <v>1</v>
      </c>
    </row>
    <row r="805" ht="15.75" customHeight="1" spans="1:2">
      <c r="A805" s="3" t="str">
        <f>IFERROR(__xludf.DUMMYFUNCTION("GOOGLETRANSLATE(A805,""en"",""pt"")"),"A inscrição indevida .... eu tinha que devolvê-lo.")</f>
        <v>A inscrição indevida .... eu tinha que devolvê-lo.</v>
      </c>
      <c r="B805" s="3">
        <v>0</v>
      </c>
    </row>
    <row r="806" ht="15.75" customHeight="1" spans="1:2">
      <c r="A806" s="3" t="str">
        <f>IFERROR(__xludf.DUMMYFUNCTION("GOOGLETRANSLATE(A806,""en"",""pt"")"),"Carga da bateria de vida é bastante longo.")</f>
        <v>Carga da bateria de vida é bastante longo.</v>
      </c>
      <c r="B806" s="3">
        <v>1</v>
      </c>
    </row>
    <row r="807" ht="15.75" customHeight="1" spans="1:2">
      <c r="A807" s="3" t="str">
        <f>IFERROR(__xludf.DUMMYFUNCTION("GOOGLETRANSLATE(A807,""en"",""pt"")"),"Os EarGels Jabra caber minhas orelhas muito bem.")</f>
        <v>Os EarGels Jabra caber minhas orelhas muito bem.</v>
      </c>
      <c r="B807" s="3">
        <v>1</v>
      </c>
    </row>
    <row r="808" ht="15.75" customHeight="1" spans="1:2">
      <c r="A808" s="3" t="str">
        <f>IFERROR(__xludf.DUMMYFUNCTION("GOOGLETRANSLATE(A808,""en"",""pt"")"),"Bateria não tem vida.")</f>
        <v>Bateria não tem vida.</v>
      </c>
      <c r="B808" s="3">
        <v>0</v>
      </c>
    </row>
    <row r="809" ht="15.75" customHeight="1" spans="1:2">
      <c r="A809" s="3" t="str">
        <f>IFERROR(__xludf.DUMMYFUNCTION("GOOGLETRANSLATE(A809,""en"",""pt"")"),"Eu verifiquei em todos os lugares e não há recurso para isso que é realmente decepcionante.")</f>
        <v>Eu verifiquei em todos os lugares e não há recurso para isso que é realmente decepcionante.</v>
      </c>
      <c r="B809" s="3">
        <v>0</v>
      </c>
    </row>
    <row r="810" ht="15.75" customHeight="1" spans="1:2">
      <c r="A810" s="3" t="str">
        <f>IFERROR(__xludf.DUMMYFUNCTION("GOOGLETRANSLATE(A810,""en"",""pt"")"),"Produto é exatamente como descrito.")</f>
        <v>Produto é exatamente como descrito.</v>
      </c>
      <c r="B810" s="3">
        <v>1</v>
      </c>
    </row>
    <row r="811" ht="15.75" customHeight="1" spans="1:2">
      <c r="A811" s="3" t="str">
        <f>IFERROR(__xludf.DUMMYFUNCTION("GOOGLETRANSLATE(A811,""en"",""pt"")"),"Obtém um sinal quando outros telefones Verizon não vai.")</f>
        <v>Obtém um sinal quando outros telefones Verizon não vai.</v>
      </c>
      <c r="B811" s="3">
        <v>1</v>
      </c>
    </row>
    <row r="812" ht="15.75" customHeight="1" spans="1:2">
      <c r="A812" s="3" t="str">
        <f>IFERROR(__xludf.DUMMYFUNCTION("GOOGLETRANSLATE(A812,""en"",""pt"")"),"não fazer o trabalho.")</f>
        <v>não fazer o trabalho.</v>
      </c>
      <c r="B812" s="3">
        <v>0</v>
      </c>
    </row>
    <row r="813" ht="15.75" customHeight="1" spans="1:2">
      <c r="A813" s="3" t="str">
        <f>IFERROR(__xludf.DUMMYFUNCTION("GOOGLETRANSLATE(A813,""en"",""pt"")"),"Eu recomendaria.")</f>
        <v>Eu recomendaria.</v>
      </c>
      <c r="B813" s="3">
        <v>1</v>
      </c>
    </row>
    <row r="814" ht="15.75" customHeight="1" spans="1:2">
      <c r="A814" s="3" t="str">
        <f>IFERROR(__xludf.DUMMYFUNCTION("GOOGLETRANSLATE(A814,""en"",""pt"")"),"Plano sobre a ordenação de-los novamente e novamente.")</f>
        <v>Plano sobre a ordenação de-los novamente e novamente.</v>
      </c>
      <c r="B814" s="3">
        <v>1</v>
      </c>
    </row>
    <row r="815" ht="15.75" customHeight="1" spans="1:2">
      <c r="A815" s="3" t="str">
        <f>IFERROR(__xludf.DUMMYFUNCTION("GOOGLETRANSLATE(A815,""en"",""pt"")"),"Dito isto, para um telefone, a câmera é muito agradável; muitos efeitos interessantes para brincar, e vídeo é decente, bem.")</f>
        <v>Dito isto, para um telefone, a câmera é muito agradável; muitos efeitos interessantes para brincar, e vídeo é decente, bem.</v>
      </c>
      <c r="B815" s="3">
        <v>1</v>
      </c>
    </row>
    <row r="816" ht="15.75" customHeight="1" spans="1:2">
      <c r="A816" s="3" t="str">
        <f>IFERROR(__xludf.DUMMYFUNCTION("GOOGLETRANSLATE(A816,""en"",""pt"")"),"I foram muito satisfeito com este telefone celular desde o primeiro dia.")</f>
        <v>I foram muito satisfeito com este telefone celular desde o primeiro dia.</v>
      </c>
      <c r="B816" s="3">
        <v>1</v>
      </c>
    </row>
    <row r="817" ht="15.75" customHeight="1" spans="1:2">
      <c r="A817" s="3" t="str">
        <f>IFERROR(__xludf.DUMMYFUNCTION("GOOGLETRANSLATE(A817,""en"",""pt"")"),"Eles continuam ficando melhor e melhor (este é o meu terceiro e eu tive inúmeras Palms também).")</f>
        <v>Eles continuam ficando melhor e melhor (este é o meu terceiro e eu tive inúmeras Palms também).</v>
      </c>
      <c r="B817" s="3">
        <v>1</v>
      </c>
    </row>
    <row r="818" ht="15.75" customHeight="1" spans="1:2">
      <c r="A818" s="3" t="str">
        <f>IFERROR(__xludf.DUMMYFUNCTION("GOOGLETRANSLATE(A818,""en"",""pt"")"),"Complicado de usar e não confiável.")</f>
        <v>Complicado de usar e não confiável.</v>
      </c>
      <c r="B818" s="3">
        <v>0</v>
      </c>
    </row>
    <row r="819" ht="15.75" customHeight="1" spans="1:2">
      <c r="A819" s="3" t="str">
        <f>IFERROR(__xludf.DUMMYFUNCTION("GOOGLETRANSLATE(A819,""en"",""pt"")"),"O tempo de navegação também foi muito rápido!")</f>
        <v>O tempo de navegação também foi muito rápido!</v>
      </c>
      <c r="B819" s="3">
        <v>1</v>
      </c>
    </row>
    <row r="820" ht="15.75" customHeight="1" spans="1:2">
      <c r="A820" s="3" t="str">
        <f>IFERROR(__xludf.DUMMYFUNCTION("GOOGLETRANSLATE(A820,""en"",""pt"")"),"Não tão bom como eu esperava.")</f>
        <v>Não tão bom como eu esperava.</v>
      </c>
      <c r="B820" s="3">
        <v>0</v>
      </c>
    </row>
    <row r="821" ht="15.75" customHeight="1" spans="1:2">
      <c r="A821" s="3" t="str">
        <f>IFERROR(__xludf.DUMMYFUNCTION("GOOGLETRANSLATE(A821,""en"",""pt"")"),"Bom caso !.")</f>
        <v>Bom caso !.</v>
      </c>
      <c r="B821" s="3">
        <v>1</v>
      </c>
    </row>
    <row r="822" ht="15.75" customHeight="1" spans="1:2">
      <c r="A822" s="3" t="str">
        <f>IFERROR(__xludf.DUMMYFUNCTION("GOOGLETRANSLATE(A822,""en"",""pt"")"),"não funciona.")</f>
        <v>não funciona.</v>
      </c>
      <c r="B822" s="3">
        <v>0</v>
      </c>
    </row>
    <row r="823" ht="15.75" customHeight="1" spans="1:2">
      <c r="A823" s="3" t="str">
        <f>IFERROR(__xludf.DUMMYFUNCTION("GOOGLETRANSLATE(A823,""en"",""pt"")"),"É realmente um bom produto.")</f>
        <v>É realmente um bom produto.</v>
      </c>
      <c r="B823" s="3">
        <v>1</v>
      </c>
    </row>
    <row r="824" ht="15.75" customHeight="1" spans="1:2">
      <c r="A824" s="3" t="str">
        <f>IFERROR(__xludf.DUMMYFUNCTION("GOOGLETRANSLATE(A824,""en"",""pt"")"),"Infelizmente não funcionou.")</f>
        <v>Infelizmente não funcionou.</v>
      </c>
      <c r="B824" s="3">
        <v>0</v>
      </c>
    </row>
    <row r="825" ht="15.75" customHeight="1" spans="1:2">
      <c r="A825" s="3" t="str">
        <f>IFERROR(__xludf.DUMMYFUNCTION("GOOGLETRANSLATE(A825,""en"",""pt"")"),"Todos os três quebrou dentro de dois meses de uso.")</f>
        <v>Todos os três quebrou dentro de dois meses de uso.</v>
      </c>
      <c r="B825" s="3">
        <v>0</v>
      </c>
    </row>
    <row r="826" ht="15.75" customHeight="1" spans="1:2">
      <c r="A826" s="3" t="str">
        <f>IFERROR(__xludf.DUMMYFUNCTION("GOOGLETRANSLATE(A826,""en"",""pt"")"),"Não comprá-lo.")</f>
        <v>Não comprá-lo.</v>
      </c>
      <c r="B826" s="3">
        <v>0</v>
      </c>
    </row>
    <row r="827" ht="15.75" customHeight="1" spans="1:2">
      <c r="A827" s="3" t="str">
        <f>IFERROR(__xludf.DUMMYFUNCTION("GOOGLETRANSLATE(A827,""en"",""pt"")"),"Meu pai tem o V265, ea bateria está morrendo.")</f>
        <v>Meu pai tem o V265, ea bateria está morrendo.</v>
      </c>
      <c r="B827" s="3">
        <v>0</v>
      </c>
    </row>
    <row r="828" ht="15.75" customHeight="1" spans="1:2">
      <c r="A828" s="3" t="str">
        <f>IFERROR(__xludf.DUMMYFUNCTION("GOOGLETRANSLATE(A828,""en"",""pt"")"),"No entanto, as almofadas sair facilmente e depois de apenas uma semana eu perdi um.")</f>
        <v>No entanto, as almofadas sair facilmente e depois de apenas uma semana eu perdi um.</v>
      </c>
      <c r="B828" s="3">
        <v>0</v>
      </c>
    </row>
    <row r="829" ht="15.75" customHeight="1" spans="1:2">
      <c r="A829" s="3" t="str">
        <f>IFERROR(__xludf.DUMMYFUNCTION("GOOGLETRANSLATE(A829,""en"",""pt"")"),"As chamadas de cair, o telefone vem dentro e fora à vontade, a tela fica preta eo pior de tudo ele pára de tocar de forma intermitente.")</f>
        <v>As chamadas de cair, o telefone vem dentro e fora à vontade, a tela fica preta eo pior de tudo ele pára de tocar de forma intermitente.</v>
      </c>
      <c r="B829" s="3">
        <v>0</v>
      </c>
    </row>
    <row r="830" ht="15.75" customHeight="1" spans="1:2">
      <c r="A830" s="3" t="str">
        <f>IFERROR(__xludf.DUMMYFUNCTION("GOOGLETRANSLATE(A830,""en"",""pt"")"),"Horrível, protetor horrível.")</f>
        <v>Horrível, protetor horrível.</v>
      </c>
      <c r="B830" s="3">
        <v>0</v>
      </c>
    </row>
    <row r="831" ht="15.75" customHeight="1" spans="1:2">
      <c r="A831" s="3" t="str">
        <f>IFERROR(__xludf.DUMMYFUNCTION("GOOGLETRANSLATE(A831,""en"",""pt"")"),"Eu não gosto dessa Nokia quer.")</f>
        <v>Eu não gosto dessa Nokia quer.</v>
      </c>
      <c r="B831" s="3">
        <v>0</v>
      </c>
    </row>
    <row r="832" ht="15.75" customHeight="1" spans="1:2">
      <c r="A832" s="3" t="str">
        <f>IFERROR(__xludf.DUMMYFUNCTION("GOOGLETRANSLATE(A832,""en"",""pt"")"),"Alcance para a linha de fundo é desconfortável, e as chaves de envio e fim não estão onde eu espero que eles be.3.")</f>
        <v>Alcance para a linha de fundo é desconfortável, e as chaves de envio e fim não estão onde eu espero que eles be.3.</v>
      </c>
      <c r="B832" s="3">
        <v>0</v>
      </c>
    </row>
    <row r="833" ht="15.75" customHeight="1" spans="1:2">
      <c r="A833" s="3" t="str">
        <f>IFERROR(__xludf.DUMMYFUNCTION("GOOGLETRANSLATE(A833,""en"",""pt"")"),"Eu comprei esse telefone celular Nokia, há algumas semanas e foi um pesadelo.")</f>
        <v>Eu comprei esse telefone celular Nokia, há algumas semanas e foi um pesadelo.</v>
      </c>
      <c r="B833" s="3">
        <v>0</v>
      </c>
    </row>
    <row r="834" ht="15.75" customHeight="1" spans="1:2">
      <c r="A834" s="3" t="str">
        <f>IFERROR(__xludf.DUMMYFUNCTION("GOOGLETRANSLATE(A834,""en"",""pt"")"),"Levaria muito tempo para descrever o quão ruim a minha experiência de serviço ao cliente tem sido com a Amazônia.")</f>
        <v>Levaria muito tempo para descrever o quão ruim a minha experiência de serviço ao cliente tem sido com a Amazônia.</v>
      </c>
      <c r="B834" s="3">
        <v>0</v>
      </c>
    </row>
    <row r="835" ht="15.75" customHeight="1" spans="1:2">
      <c r="A835" s="3" t="str">
        <f>IFERROR(__xludf.DUMMYFUNCTION("GOOGLETRANSLATE(A835,""en"",""pt"")"),"a única coisa muito decepcionante foi que não havia SPEAKERPHONE !!!!")</f>
        <v>a única coisa muito decepcionante foi que não havia SPEAKERPHONE !!!!</v>
      </c>
      <c r="B835" s="3">
        <v>0</v>
      </c>
    </row>
    <row r="836" ht="15.75" customHeight="1" spans="1:2">
      <c r="A836" s="3" t="str">
        <f>IFERROR(__xludf.DUMMYFUNCTION("GOOGLETRANSLATE(A836,""en"",""pt"")"),"Terrível .. Meu carro não vai aceitar essa cassete.")</f>
        <v>Terrível .. Meu carro não vai aceitar essa cassete.</v>
      </c>
      <c r="B836" s="3">
        <v>0</v>
      </c>
    </row>
    <row r="837" ht="15.75" customHeight="1" spans="1:2">
      <c r="A837" s="3" t="str">
        <f>IFERROR(__xludf.DUMMYFUNCTION("GOOGLETRANSLATE(A837,""en"",""pt"")"),"Produto é inútil, uma vez que não têm o suficiente corrente de carga para carregar os 2 celulares que eu estava planejando usá-lo com.")</f>
        <v>Produto é inútil, uma vez que não têm o suficiente corrente de carga para carregar os 2 celulares que eu estava planejando usá-lo com.</v>
      </c>
      <c r="B837" s="3">
        <v>0</v>
      </c>
    </row>
    <row r="838" ht="15.75" customHeight="1" spans="1:2">
      <c r="A838" s="3" t="str">
        <f>IFERROR(__xludf.DUMMYFUNCTION("GOOGLETRANSLATE(A838,""en"",""pt"")"),"Não é o que diz que é.")</f>
        <v>Não é o que diz que é.</v>
      </c>
      <c r="B838" s="3">
        <v>0</v>
      </c>
    </row>
    <row r="839" ht="15.75" customHeight="1" spans="1:2">
      <c r="A839" s="3" t="str">
        <f>IFERROR(__xludf.DUMMYFUNCTION("GOOGLETRANSLATE(A839,""en"",""pt"")"),"Fique longe do Q !.")</f>
        <v>Fique longe do Q !.</v>
      </c>
      <c r="B839" s="3">
        <v>0</v>
      </c>
    </row>
    <row r="840" ht="15.75" customHeight="1" spans="1:2">
      <c r="A840" s="3" t="str">
        <f>IFERROR(__xludf.DUMMYFUNCTION("GOOGLETRANSLATE(A840,""en"",""pt"")"),"Usado e sujo.")</f>
        <v>Usado e sujo.</v>
      </c>
      <c r="B840" s="3">
        <v>0</v>
      </c>
    </row>
    <row r="841" ht="15.75" customHeight="1" spans="1:2">
      <c r="A841" s="3" t="str">
        <f>IFERROR(__xludf.DUMMYFUNCTION("GOOGLETRANSLATE(A841,""en"",""pt"")"),"serviço muito confiável da T-Mobile!")</f>
        <v>serviço muito confiável da T-Mobile!</v>
      </c>
      <c r="B841" s="3">
        <v>0</v>
      </c>
    </row>
    <row r="842" ht="15.75" customHeight="1" spans="1:2">
      <c r="A842" s="3" t="str">
        <f>IFERROR(__xludf.DUMMYFUNCTION("GOOGLETRANSLATE(A842,""en"",""pt"")"),"Não é bom o suficiente para o preço.")</f>
        <v>Não é bom o suficiente para o preço.</v>
      </c>
      <c r="B842" s="3">
        <v>0</v>
      </c>
    </row>
    <row r="843" ht="15.75" customHeight="1" spans="1:2">
      <c r="A843" s="3" t="str">
        <f>IFERROR(__xludf.DUMMYFUNCTION("GOOGLETRANSLATE(A843,""en"",""pt"")"),"Eu comprei dois deles e nem vai cobrar.")</f>
        <v>Eu comprei dois deles e nem vai cobrar.</v>
      </c>
      <c r="B843" s="3">
        <v>0</v>
      </c>
    </row>
    <row r="844" ht="15.75" customHeight="1" spans="1:2">
      <c r="A844" s="3" t="str">
        <f>IFERROR(__xludf.DUMMYFUNCTION("GOOGLETRANSLATE(A844,""en"",""pt"")"),"Ele parece muito bom.")</f>
        <v>Ele parece muito bom.</v>
      </c>
      <c r="B844" s="3">
        <v>1</v>
      </c>
    </row>
    <row r="845" ht="15.75" customHeight="1" spans="1:2">
      <c r="A845" s="3" t="str">
        <f>IFERROR(__xludf.DUMMYFUNCTION("GOOGLETRANSLATE(A845,""en"",""pt"")"),"Esta é uma excelente ferramenta, especialmente quando combinadas com auto-resposta de seu telefone.")</f>
        <v>Esta é uma excelente ferramenta, especialmente quando combinadas com auto-resposta de seu telefone.</v>
      </c>
      <c r="B845" s="3">
        <v>1</v>
      </c>
    </row>
    <row r="846" ht="15.75" customHeight="1" spans="1:2">
      <c r="A846" s="3" t="str">
        <f>IFERROR(__xludf.DUMMYFUNCTION("GOOGLETRANSLATE(A846,""en"",""pt"")"),"Eu li comentários de outras aqui, mas eu não tive qualquer problema com ele.")</f>
        <v>Eu li comentários de outras aqui, mas eu não tive qualquer problema com ele.</v>
      </c>
      <c r="B846" s="3">
        <v>1</v>
      </c>
    </row>
    <row r="847" ht="15.75" customHeight="1" spans="1:2">
      <c r="A847" s="3" t="str">
        <f>IFERROR(__xludf.DUMMYFUNCTION("GOOGLETRANSLATE(A847,""en"",""pt"")"),"Esses produtos abrangem-se o sensor de luz importante por cima da saa da orelha.")</f>
        <v>Esses produtos abrangem-se o sensor de luz importante por cima da saa da orelha.</v>
      </c>
      <c r="B847" s="3">
        <v>0</v>
      </c>
    </row>
    <row r="848" ht="15.75" customHeight="1" spans="1:2">
      <c r="A848" s="3" t="str">
        <f>IFERROR(__xludf.DUMMYFUNCTION("GOOGLETRANSLATE(A848,""en"",""pt"")"),"Confortável na minha mão.")</f>
        <v>Confortável na minha mão.</v>
      </c>
      <c r="B848" s="3">
        <v>1</v>
      </c>
    </row>
    <row r="849" ht="15.75" customHeight="1" spans="1:2">
      <c r="A849" s="3" t="str">
        <f>IFERROR(__xludf.DUMMYFUNCTION("GOOGLETRANSLATE(A849,""en"",""pt"")"),"Simplesmente não funciona.")</f>
        <v>Simplesmente não funciona.</v>
      </c>
      <c r="B849" s="3">
        <v>0</v>
      </c>
    </row>
    <row r="850" ht="15.75" customHeight="1" spans="1:2">
      <c r="A850" s="3" t="str">
        <f>IFERROR(__xludf.DUMMYFUNCTION("GOOGLETRANSLATE(A850,""en"",""pt"")"),"Pouca confiabilidade.")</f>
        <v>Pouca confiabilidade.</v>
      </c>
      <c r="B850" s="3">
        <v>0</v>
      </c>
    </row>
    <row r="851" ht="15.75" customHeight="1" spans="1:2">
      <c r="A851" s="3" t="str">
        <f>IFERROR(__xludf.DUMMYFUNCTION("GOOGLETRANSLATE(A851,""en"",""pt"")"),"Se eu tirar uma foto, a bateria deixa cair um bar, e começa a apitar, deixando-me saber a sua morrendo.")</f>
        <v>Se eu tirar uma foto, a bateria deixa cair um bar, e começa a apitar, deixando-me saber a sua morrendo.</v>
      </c>
      <c r="B851" s="3">
        <v>0</v>
      </c>
    </row>
    <row r="852" ht="15.75" customHeight="1" spans="1:2">
      <c r="A852" s="3" t="str">
        <f>IFERROR(__xludf.DUMMYFUNCTION("GOOGLETRANSLATE(A852,""en"",""pt"")"),"Terrível produto e desperdício de dinheiro!")</f>
        <v>Terrível produto e desperdício de dinheiro!</v>
      </c>
      <c r="B852" s="3">
        <v>0</v>
      </c>
    </row>
    <row r="853" ht="15.75" customHeight="1" spans="1:2">
      <c r="A853" s="3" t="str">
        <f>IFERROR(__xludf.DUMMYFUNCTION("GOOGLETRANSLATE(A853,""en"",""pt"")"),"Última tempo comprando de você.")</f>
        <v>Última tempo comprando de você.</v>
      </c>
      <c r="B853" s="3">
        <v>0</v>
      </c>
    </row>
    <row r="854" ht="15.75" customHeight="1" spans="1:2">
      <c r="A854" s="3" t="str">
        <f>IFERROR(__xludf.DUMMYFUNCTION("GOOGLETRANSLATE(A854,""en"",""pt"")"),"Foi um desperdício do meu dinheiro.")</f>
        <v>Foi um desperdício do meu dinheiro.</v>
      </c>
      <c r="B854" s="3">
        <v>0</v>
      </c>
    </row>
    <row r="855" ht="15.75" customHeight="1" spans="1:2">
      <c r="A855" s="3" t="str">
        <f>IFERROR(__xludf.DUMMYFUNCTION("GOOGLETRANSLATE(A855,""en"",""pt"")"),"Até agora ele tem trabalhado como um encanto.")</f>
        <v>Até agora ele tem trabalhado como um encanto.</v>
      </c>
      <c r="B855" s="3">
        <v>1</v>
      </c>
    </row>
    <row r="856" ht="15.75" customHeight="1" spans="1:2">
      <c r="A856" s="3" t="str">
        <f>IFERROR(__xludf.DUMMYFUNCTION("GOOGLETRANSLATE(A856,""en"",""pt"")"),"Eu só tinha ele por algumas semanas, mas até agora, tão bom.")</f>
        <v>Eu só tinha ele por algumas semanas, mas até agora, tão bom.</v>
      </c>
      <c r="B856" s="3">
        <v>1</v>
      </c>
    </row>
    <row r="857" ht="15.75" customHeight="1" spans="1:2">
      <c r="A857" s="3" t="str">
        <f>IFERROR(__xludf.DUMMYFUNCTION("GOOGLETRANSLATE(A857,""en"",""pt"")"),"Mas, em qualquer caso, a melhor parte é, você pode baixar essas imagens para o seu laptop usando IR, ou até mesmo enviar fotos do seu laptop para o telefone.")</f>
        <v>Mas, em qualquer caso, a melhor parte é, você pode baixar essas imagens para o seu laptop usando IR, ou até mesmo enviar fotos do seu laptop para o telefone.</v>
      </c>
      <c r="B857" s="3">
        <v>1</v>
      </c>
    </row>
    <row r="858" ht="15.75" customHeight="1" spans="1:2">
      <c r="A858" s="3" t="str">
        <f>IFERROR(__xludf.DUMMYFUNCTION("GOOGLETRANSLATE(A858,""en"",""pt"")"),"Recomendaria este item.")</f>
        <v>Recomendaria este item.</v>
      </c>
      <c r="B858" s="3">
        <v>1</v>
      </c>
    </row>
    <row r="859" ht="15.75" customHeight="1" spans="1:2">
      <c r="A859" s="3" t="str">
        <f>IFERROR(__xludf.DUMMYFUNCTION("GOOGLETRANSLATE(A859,""en"",""pt"")"),"Tem sido o meu headset escolha para som years.Great; bom volume; boa cancelamento de ruído.")</f>
        <v>Tem sido o meu headset escolha para som years.Great; bom volume; boa cancelamento de ruído.</v>
      </c>
      <c r="B859" s="3">
        <v>1</v>
      </c>
    </row>
    <row r="860" ht="15.75" customHeight="1" spans="1:2">
      <c r="A860" s="3" t="str">
        <f>IFERROR(__xludf.DUMMYFUNCTION("GOOGLETRANSLATE(A860,""en"",""pt"")"),"Bom caso, se sente bem em suas mãos.")</f>
        <v>Bom caso, se sente bem em suas mãos.</v>
      </c>
      <c r="B860" s="3">
        <v>1</v>
      </c>
    </row>
    <row r="861" ht="15.75" customHeight="1" spans="1:2">
      <c r="A861" s="3" t="str">
        <f>IFERROR(__xludf.DUMMYFUNCTION("GOOGLETRANSLATE(A861,""en"",""pt"")"),"O artigo recebido era falsificado.")</f>
        <v>O artigo recebido era falsificado.</v>
      </c>
      <c r="B861" s="3">
        <v>0</v>
      </c>
    </row>
    <row r="862" ht="15.75" customHeight="1" spans="1:2">
      <c r="A862" s="3" t="str">
        <f>IFERROR(__xludf.DUMMYFUNCTION("GOOGLETRANSLATE(A862,""en"",""pt"")"),"Apenas realmente bom .. Até agora, provavelmente o melhor BT fone de ouvido que eu já tive.")</f>
        <v>Apenas realmente bom .. Até agora, provavelmente o melhor BT fone de ouvido que eu já tive.</v>
      </c>
      <c r="B862" s="3">
        <v>1</v>
      </c>
    </row>
    <row r="863" ht="15.75" customHeight="1" spans="1:2">
      <c r="A863" s="3" t="str">
        <f>IFERROR(__xludf.DUMMYFUNCTION("GOOGLETRANSLATE(A863,""en"",""pt"")"),"Funciona bem.")</f>
        <v>Funciona bem.</v>
      </c>
      <c r="B863" s="3">
        <v>1</v>
      </c>
    </row>
    <row r="864" ht="15.75" customHeight="1" spans="1:2">
      <c r="A864" s="3" t="str">
        <f>IFERROR(__xludf.DUMMYFUNCTION("GOOGLETRANSLATE(A864,""en"",""pt"")"),"Eu recebi o meu fone de ouvido em tempo útil e estava feliz com isso.")</f>
        <v>Eu recebi o meu fone de ouvido em tempo útil e estava feliz com isso.</v>
      </c>
      <c r="B864" s="3">
        <v>1</v>
      </c>
    </row>
    <row r="865" ht="15.75" customHeight="1" spans="1:2">
      <c r="A865" s="3" t="str">
        <f>IFERROR(__xludf.DUMMYFUNCTION("GOOGLETRANSLATE(A865,""en"",""pt"")"),"Fiquei muito satisfeito ao ver que eu poderia substituir o meu bem travled giratório coldre para meu falhanço de Blackberry.")</f>
        <v>Fiquei muito satisfeito ao ver que eu poderia substituir o meu bem travled giratório coldre para meu falhanço de Blackberry.</v>
      </c>
      <c r="B865" s="3">
        <v>1</v>
      </c>
    </row>
    <row r="866" ht="15.75" customHeight="1" spans="1:2">
      <c r="A866" s="3" t="str">
        <f>IFERROR(__xludf.DUMMYFUNCTION("GOOGLETRANSLATE(A866,""en"",""pt"")"),"Minha irmã tem um também, e ela adora.")</f>
        <v>Minha irmã tem um também, e ela adora.</v>
      </c>
      <c r="B866" s="3">
        <v>1</v>
      </c>
    </row>
    <row r="867" ht="15.75" customHeight="1" spans="1:2">
      <c r="A867" s="3" t="str">
        <f>IFERROR(__xludf.DUMMYFUNCTION("GOOGLETRANSLATE(A867,""en"",""pt"")"),"Boa qualidade.")</f>
        <v>Boa qualidade.</v>
      </c>
      <c r="B867" s="3">
        <v>1</v>
      </c>
    </row>
    <row r="868" ht="15.75" customHeight="1" spans="1:2">
      <c r="A868" s="3" t="str">
        <f>IFERROR(__xludf.DUMMYFUNCTION("GOOGLETRANSLATE(A868,""en"",""pt"")"),"Este é de longe o pior compra que eu fiz na Amazon.")</f>
        <v>Este é de longe o pior compra que eu fiz na Amazon.</v>
      </c>
      <c r="B868" s="3">
        <v>0</v>
      </c>
    </row>
    <row r="869" ht="15.75" customHeight="1" spans="1:2">
      <c r="A869" s="3" t="str">
        <f>IFERROR(__xludf.DUMMYFUNCTION("GOOGLETRANSLATE(A869,""en"",""pt"")"),"Excelente fone dual-purpose.")</f>
        <v>Excelente fone dual-purpose.</v>
      </c>
      <c r="B869" s="3">
        <v>1</v>
      </c>
    </row>
    <row r="870" ht="15.75" customHeight="1" spans="1:2">
      <c r="A870" s="3" t="str">
        <f>IFERROR(__xludf.DUMMYFUNCTION("GOOGLETRANSLATE(A870,""en"",""pt"")"),"Excelente!.")</f>
        <v>Excelente!.</v>
      </c>
      <c r="B870" s="3">
        <v>1</v>
      </c>
    </row>
    <row r="871" ht="15.75" customHeight="1" spans="1:2">
      <c r="A871" s="3" t="str">
        <f>IFERROR(__xludf.DUMMYFUNCTION("GOOGLETRANSLATE(A871,""en"",""pt"")"),"Não funciona para ouvir música com a Cingular 8125.")</f>
        <v>Não funciona para ouvir música com a Cingular 8125.</v>
      </c>
      <c r="B871" s="3">
        <v>0</v>
      </c>
    </row>
    <row r="872" ht="15.75" customHeight="1" spans="1:2">
      <c r="A872" s="3" t="str">
        <f>IFERROR(__xludf.DUMMYFUNCTION("GOOGLETRANSLATE(A872,""en"",""pt"")"),"Parece completamente seguro, ambos segurando a minha cintura, e mantendo o interior iPhone.")</f>
        <v>Parece completamente seguro, ambos segurando a minha cintura, e mantendo o interior iPhone.</v>
      </c>
      <c r="B872" s="3">
        <v>1</v>
      </c>
    </row>
    <row r="873" ht="15.75" customHeight="1" spans="1:2">
      <c r="A873" s="3" t="str">
        <f>IFERROR(__xludf.DUMMYFUNCTION("GOOGLETRANSLATE(A873,""en"",""pt"")"),"A linha de bottowm ... outro valor, gimmick barato de Sprint.")</f>
        <v>A linha de bottowm ... outro valor, gimmick barato de Sprint.</v>
      </c>
      <c r="B873" s="3">
        <v>0</v>
      </c>
    </row>
    <row r="874" ht="15.75" customHeight="1" spans="1:2">
      <c r="A874" s="3" t="str">
        <f>IFERROR(__xludf.DUMMYFUNCTION("GOOGLETRANSLATE(A874,""en"",""pt"")"),"Tendo problemas com volume.")</f>
        <v>Tendo problemas com volume.</v>
      </c>
      <c r="B874" s="3">
        <v>0</v>
      </c>
    </row>
    <row r="875" ht="15.75" customHeight="1" spans="1:2">
      <c r="A875" s="3" t="str">
        <f>IFERROR(__xludf.DUMMYFUNCTION("GOOGLETRANSLATE(A875,""en"",""pt"")"),"A única coisa boa foi que ele se encaixa confortavelmente em orelhas pequenas.")</f>
        <v>A única coisa boa foi que ele se encaixa confortavelmente em orelhas pequenas.</v>
      </c>
      <c r="B875" s="3">
        <v>1</v>
      </c>
    </row>
    <row r="876" ht="15.75" customHeight="1" spans="1:2">
      <c r="A876" s="3" t="str">
        <f>IFERROR(__xludf.DUMMYFUNCTION("GOOGLETRANSLATE(A876,""en"",""pt"")"),"AVISO - Não compre !!.")</f>
        <v>AVISO - Não compre !!.</v>
      </c>
      <c r="B876" s="3">
        <v>0</v>
      </c>
    </row>
    <row r="877" ht="15.75" customHeight="1" spans="1:2">
      <c r="A877" s="3" t="str">
        <f>IFERROR(__xludf.DUMMYFUNCTION("GOOGLETRANSLATE(A877,""en"",""pt"")"),"Estou emparelhando isto com o meu iphone, e eu não poderia estar mais feliz com ele até agora.")</f>
        <v>Estou emparelhando isto com o meu iphone, e eu não poderia estar mais feliz com ele até agora.</v>
      </c>
      <c r="B877" s="3">
        <v>1</v>
      </c>
    </row>
    <row r="878" ht="15.75" customHeight="1" spans="1:2">
      <c r="A878" s="3" t="str">
        <f>IFERROR(__xludf.DUMMYFUNCTION("GOOGLETRANSLATE(A878,""en"",""pt"")"),"Quando se abre, a conexão da bateria está quebrado e que o dispositivo está desligado.")</f>
        <v>Quando se abre, a conexão da bateria está quebrado e que o dispositivo está desligado.</v>
      </c>
      <c r="B878" s="3">
        <v>0</v>
      </c>
    </row>
    <row r="879" ht="15.75" customHeight="1" spans="1:2">
      <c r="A879" s="3" t="str">
        <f>IFERROR(__xludf.DUMMYFUNCTION("GOOGLETRANSLATE(A879,""en"",""pt"")"),"Eu não queria que o clipe de passar por cima de meu ouvido, causando desconforto.")</f>
        <v>Eu não queria que o clipe de passar por cima de meu ouvido, causando desconforto.</v>
      </c>
      <c r="B879" s="3">
        <v>0</v>
      </c>
    </row>
    <row r="880" ht="15.75" customHeight="1" spans="1:2">
      <c r="A880" s="3" t="str">
        <f>IFERROR(__xludf.DUMMYFUNCTION("GOOGLETRANSLATE(A880,""en"",""pt"")"),"Melhor headset nunca !!!.")</f>
        <v>Melhor headset nunca !!!.</v>
      </c>
      <c r="B880" s="3">
        <v>1</v>
      </c>
    </row>
    <row r="881" ht="15.75" customHeight="1" spans="1:2">
      <c r="A881" s="3" t="str">
        <f>IFERROR(__xludf.DUMMYFUNCTION("GOOGLETRANSLATE(A881,""en"",""pt"")"),"Não confie em seu site e não esperar qualquer apoio útil.")</f>
        <v>Não confie em seu site e não esperar qualquer apoio útil.</v>
      </c>
      <c r="B881" s="3">
        <v>0</v>
      </c>
    </row>
    <row r="882" ht="15.75" customHeight="1" spans="1:2">
      <c r="A882" s="3" t="str">
        <f>IFERROR(__xludf.DUMMYFUNCTION("GOOGLETRANSLATE(A882,""en"",""pt"")"),"Foi esse loud.Glad dizer que a Plantronics 510 mantém uma conexão perfeita para o meu celular e sem estática durante o uso normal.")</f>
        <v>Foi esse loud.Glad dizer que a Plantronics 510 mantém uma conexão perfeita para o meu celular e sem estática durante o uso normal.</v>
      </c>
      <c r="B882" s="3">
        <v>1</v>
      </c>
    </row>
    <row r="883" ht="15.75" customHeight="1" spans="1:2">
      <c r="A883" s="3" t="str">
        <f>IFERROR(__xludf.DUMMYFUNCTION("GOOGLETRANSLATE(A883,""en"",""pt"")"),"O alto-falante é de baixa qualidade, de modo a fazer os toques soam muito barato.")</f>
        <v>O alto-falante é de baixa qualidade, de modo a fazer os toques soam muito barato.</v>
      </c>
      <c r="B883" s="3">
        <v>0</v>
      </c>
    </row>
    <row r="884" ht="15.75" customHeight="1" spans="1:2">
      <c r="A884" s="3" t="str">
        <f>IFERROR(__xludf.DUMMYFUNCTION("GOOGLETRANSLATE(A884,""en"",""pt"")"),"Se encaixa confortavelmente, veio com três tamanhos de pontas de ouvido.")</f>
        <v>Se encaixa confortavelmente, veio com três tamanhos de pontas de ouvido.</v>
      </c>
      <c r="B884" s="3">
        <v>1</v>
      </c>
    </row>
    <row r="885" ht="15.75" customHeight="1" spans="1:2">
      <c r="A885" s="3" t="str">
        <f>IFERROR(__xludf.DUMMYFUNCTION("GOOGLETRANSLATE(A885,""en"",""pt"")"),"Excelente produto pelo preço.")</f>
        <v>Excelente produto pelo preço.</v>
      </c>
      <c r="B885" s="3">
        <v>1</v>
      </c>
    </row>
    <row r="886" ht="15.75" customHeight="1" spans="1:2">
      <c r="A886" s="3" t="str">
        <f>IFERROR(__xludf.DUMMYFUNCTION("GOOGLETRANSLATE(A886,""en"",""pt"")"),"Má recepção.")</f>
        <v>Má recepção.</v>
      </c>
      <c r="B886" s="3">
        <v>0</v>
      </c>
    </row>
    <row r="887" ht="15.75" customHeight="1" spans="1:2">
      <c r="A887" s="3" t="str">
        <f>IFERROR(__xludf.DUMMYFUNCTION("GOOGLETRANSLATE(A887,""en"",""pt"")"),"Este produto é muito alta qualidade CRAP chinês !!!!!!")</f>
        <v>Este produto é muito alta qualidade CRAP chinês !!!!!!</v>
      </c>
      <c r="B887" s="3">
        <v>0</v>
      </c>
    </row>
    <row r="888" ht="15.75" customHeight="1" spans="1:2">
      <c r="A888" s="3" t="str">
        <f>IFERROR(__xludf.DUMMYFUNCTION("GOOGLETRANSLATE(A888,""en"",""pt"")"),"Foi bastante confortável no ouvido.")</f>
        <v>Foi bastante confortável no ouvido.</v>
      </c>
      <c r="B888" s="3">
        <v>1</v>
      </c>
    </row>
    <row r="889" ht="15.75" customHeight="1" spans="1:2">
      <c r="A889" s="3" t="str">
        <f>IFERROR(__xludf.DUMMYFUNCTION("GOOGLETRANSLATE(A889,""en"",""pt"")"),"Grande telefone.")</f>
        <v>Grande telefone.</v>
      </c>
      <c r="B889" s="3">
        <v>1</v>
      </c>
    </row>
    <row r="890" ht="15.75" customHeight="1" spans="1:2">
      <c r="A890" s="3" t="str">
        <f>IFERROR(__xludf.DUMMYFUNCTION("GOOGLETRANSLATE(A890,""en"",""pt"")"),"Não compre este produto - Ele falha !.")</f>
        <v>Não compre este produto - Ele falha !.</v>
      </c>
      <c r="B890" s="3">
        <v>0</v>
      </c>
    </row>
    <row r="891" ht="15.75" customHeight="1" spans="1:2">
      <c r="A891" s="3" t="str">
        <f>IFERROR(__xludf.DUMMYFUNCTION("GOOGLETRANSLATE(A891,""en"",""pt"")"),"Tudo sobre este produto é wrong.First")</f>
        <v>Tudo sobre este produto é wrong.First</v>
      </c>
      <c r="B891" s="3">
        <v>0</v>
      </c>
    </row>
    <row r="892" ht="15.75" customHeight="1" spans="1:2">
      <c r="A892" s="3" t="str">
        <f>IFERROR(__xludf.DUMMYFUNCTION("GOOGLETRANSLATE(A892,""en"",""pt"")"),"O emparelhamento dos dois dispositivos foi tão fácil que quase levou alguns minutos antes de começar a fazer chamadas com o recurso de discagem por voz.")</f>
        <v>O emparelhamento dos dois dispositivos foi tão fácil que quase levou alguns minutos antes de começar a fazer chamadas com o recurso de discagem por voz.</v>
      </c>
      <c r="B892" s="3">
        <v>1</v>
      </c>
    </row>
    <row r="893" ht="15.75" customHeight="1" spans="1:2">
      <c r="A893" s="3" t="str">
        <f>IFERROR(__xludf.DUMMYFUNCTION("GOOGLETRANSLATE(A893,""en"",""pt"")"),"Este foi totalmente confuso no início, o que me fez perder um par de contactos muito, muito importantes.")</f>
        <v>Este foi totalmente confuso no início, o que me fez perder um par de contactos muito, muito importantes.</v>
      </c>
      <c r="B893" s="3">
        <v>0</v>
      </c>
    </row>
    <row r="894" ht="15.75" customHeight="1" spans="1:2">
      <c r="A894" s="3" t="str">
        <f>IFERROR(__xludf.DUMMYFUNCTION("GOOGLETRANSLATE(A894,""en"",""pt"")"),"suporte do telefone terrível.")</f>
        <v>suporte do telefone terrível.</v>
      </c>
      <c r="B894" s="3">
        <v>0</v>
      </c>
    </row>
    <row r="895" ht="15.75" customHeight="1" spans="1:2">
      <c r="A895" s="3" t="str">
        <f>IFERROR(__xludf.DUMMYFUNCTION("GOOGLETRANSLATE(A895,""en"",""pt"")"),"Os recortes e botões são colocados perfeitamente.")</f>
        <v>Os recortes e botões são colocados perfeitamente.</v>
      </c>
      <c r="B895" s="3">
        <v>1</v>
      </c>
    </row>
    <row r="896" ht="15.75" customHeight="1" spans="1:2">
      <c r="A896" s="3" t="str">
        <f>IFERROR(__xludf.DUMMYFUNCTION("GOOGLETRANSLATE(A896,""en"",""pt"")"),"Eu amo ser capaz de usar um fone de ouvido para tanto por linha terrestre e celular.")</f>
        <v>Eu amo ser capaz de usar um fone de ouvido para tanto por linha terrestre e celular.</v>
      </c>
      <c r="B896" s="3">
        <v>1</v>
      </c>
    </row>
    <row r="897" ht="15.75" customHeight="1" spans="1:2">
      <c r="A897" s="3" t="str">
        <f>IFERROR(__xludf.DUMMYFUNCTION("GOOGLETRANSLATE(A897,""en"",""pt"")"),"O problema é que os laços de ouvido são feitos de material fraco e quebra facilmente.")</f>
        <v>O problema é que os laços de ouvido são feitos de material fraco e quebra facilmente.</v>
      </c>
      <c r="B897" s="3">
        <v>0</v>
      </c>
    </row>
    <row r="898" ht="15.75" customHeight="1" spans="1:2">
      <c r="A898" s="3" t="str">
        <f>IFERROR(__xludf.DUMMYFUNCTION("GOOGLETRANSLATE(A898,""en"",""pt"")"),"Não quase tão bonito como a imagem AMAZON faz com que pareça.")</f>
        <v>Não quase tão bonito como a imagem AMAZON faz com que pareça.</v>
      </c>
      <c r="B898" s="3">
        <v>0</v>
      </c>
    </row>
    <row r="899" ht="15.75" customHeight="1" spans="1:2">
      <c r="A899" s="3" t="str">
        <f>IFERROR(__xludf.DUMMYFUNCTION("GOOGLETRANSLATE(A899,""en"",""pt"")"),"Mas, apesar dessas poucas falhas, neste caso, é de qualidade excepcional e vale bem os custos adicionais de possuir um produto oficial OEM.")</f>
        <v>Mas, apesar dessas poucas falhas, neste caso, é de qualidade excepcional e vale bem os custos adicionais de possuir um produto oficial OEM.</v>
      </c>
      <c r="B899" s="3">
        <v>1</v>
      </c>
    </row>
    <row r="900" ht="15.75" customHeight="1" spans="1:2">
      <c r="A900" s="3" t="str">
        <f>IFERROR(__xludf.DUMMYFUNCTION("GOOGLETRANSLATE(A900,""en"",""pt"")"),"O quão estúpido é isso?")</f>
        <v>O quão estúpido é isso?</v>
      </c>
      <c r="B900" s="3">
        <v>0</v>
      </c>
    </row>
    <row r="901" ht="15.75" customHeight="1" spans="1:2">
      <c r="A901" s="3" t="str">
        <f>IFERROR(__xludf.DUMMYFUNCTION("GOOGLETRANSLATE(A901,""en"",""pt"")"),"Eu posso ouvir enquanto estou dirigindo o carro, e, geralmente, não têm sequer para colocá-lo na configuração mais alta a sua.")</f>
        <v>Eu posso ouvir enquanto estou dirigindo o carro, e, geralmente, não têm sequer para colocá-lo na configuração mais alta a sua.</v>
      </c>
      <c r="B901" s="3">
        <v>1</v>
      </c>
    </row>
    <row r="902" ht="15.75" customHeight="1" spans="1:2">
      <c r="A902" s="3" t="str">
        <f>IFERROR(__xludf.DUMMYFUNCTION("GOOGLETRANSLATE(A902,""en"",""pt"")"),"O vendedor enviado rapidamente e muito mais barato do que os concorrentes.")</f>
        <v>O vendedor enviado rapidamente e muito mais barato do que os concorrentes.</v>
      </c>
      <c r="B902" s="3">
        <v>1</v>
      </c>
    </row>
    <row r="903" ht="15.75" customHeight="1" spans="1:2">
      <c r="A903" s="3" t="str">
        <f>IFERROR(__xludf.DUMMYFUNCTION("GOOGLETRANSLATE(A903,""en"",""pt"")"),"Boa show, Samsung.")</f>
        <v>Boa show, Samsung.</v>
      </c>
      <c r="B903" s="3">
        <v>1</v>
      </c>
    </row>
    <row r="904" ht="15.75" customHeight="1" spans="1:2">
      <c r="A904" s="3" t="str">
        <f>IFERROR(__xludf.DUMMYFUNCTION("GOOGLETRANSLATE(A904,""en"",""pt"")"),"Então eu comprei cerca de 10 deles e salvou um monte de dinheiro.")</f>
        <v>Então eu comprei cerca de 10 deles e salvou um monte de dinheiro.</v>
      </c>
      <c r="B904" s="3">
        <v>1</v>
      </c>
    </row>
    <row r="905" ht="15.75" customHeight="1" spans="1:2">
      <c r="A905" s="3" t="str">
        <f>IFERROR(__xludf.DUMMYFUNCTION("GOOGLETRANSLATE(A905,""en"",""pt"")"),"Ela sempre corta e faz um som de beep beep beep então diz sinal falhou.")</f>
        <v>Ela sempre corta e faz um som de beep beep beep então diz sinal falhou.</v>
      </c>
      <c r="B905" s="3">
        <v>0</v>
      </c>
    </row>
    <row r="906" ht="15.75" customHeight="1" spans="1:2">
      <c r="A906" s="3" t="str">
        <f>IFERROR(__xludf.DUMMYFUNCTION("GOOGLETRANSLATE(A906,""en"",""pt"")"),"Não foi possível descobrir isso")</f>
        <v>Não foi possível descobrir isso</v>
      </c>
      <c r="B906" s="3">
        <v>0</v>
      </c>
    </row>
    <row r="907" ht="15.75" customHeight="1" spans="1:2">
      <c r="A907" s="3" t="str">
        <f>IFERROR(__xludf.DUMMYFUNCTION("GOOGLETRANSLATE(A907,""en"",""pt"")"),"Meu telefone soou OK (não grande - OK), mas o telefone da minha esposa foi quase totalmente ininteligível, ela não podia entender uma palavra se disse sobre ele.")</f>
        <v>Meu telefone soou OK (não grande - OK), mas o telefone da minha esposa foi quase totalmente ininteligível, ela não podia entender uma palavra se disse sobre ele.</v>
      </c>
      <c r="B907" s="3">
        <v>0</v>
      </c>
    </row>
    <row r="908" ht="15.75" customHeight="1" spans="1:2">
      <c r="A908" s="3" t="str">
        <f>IFERROR(__xludf.DUMMYFUNCTION("GOOGLETRANSLATE(A908,""en"",""pt"")"),"Então eu tive que tirar a bateria do telefone colocar tudo de volta juntos e, em seguida, reiniciá-lo.")</f>
        <v>Então eu tive que tirar a bateria do telefone colocar tudo de volta juntos e, em seguida, reiniciá-lo.</v>
      </c>
      <c r="B908" s="3">
        <v>0</v>
      </c>
    </row>
    <row r="909" ht="15.75" customHeight="1" spans="1:2">
      <c r="A909" s="3" t="str">
        <f>IFERROR(__xludf.DUMMYFUNCTION("GOOGLETRANSLATE(A909,""en"",""pt"")"),"Enquanto eu consegui dobrar a mola de volta folha no lugar, o metal agora tem o esforço suficiente para que ele irá quebrar na próxima queda.")</f>
        <v>Enquanto eu consegui dobrar a mola de volta folha no lugar, o metal agora tem o esforço suficiente para que ele irá quebrar na próxima queda.</v>
      </c>
      <c r="B909" s="3">
        <v>0</v>
      </c>
    </row>
    <row r="910" ht="15.75" customHeight="1" spans="1:2">
      <c r="A910" s="3" t="str">
        <f>IFERROR(__xludf.DUMMYFUNCTION("GOOGLETRANSLATE(A910,""en"",""pt"")"),"Cópia do leopardo é maravilhosamente selvagem !.")</f>
        <v>Cópia do leopardo é maravilhosamente selvagem !.</v>
      </c>
      <c r="B910" s="3">
        <v>1</v>
      </c>
    </row>
    <row r="911" ht="15.75" customHeight="1" spans="1:2">
      <c r="A911" s="3" t="str">
        <f>IFERROR(__xludf.DUMMYFUNCTION("GOOGLETRANSLATE(A911,""en"",""pt"")"),"Funciona para mim.")</f>
        <v>Funciona para mim.</v>
      </c>
      <c r="B911" s="3">
        <v>1</v>
      </c>
    </row>
    <row r="912" ht="15.75" customHeight="1" spans="1:2">
      <c r="A912" s="3" t="str">
        <f>IFERROR(__xludf.DUMMYFUNCTION("GOOGLETRANSLATE(A912,""en"",""pt"")"),"Saggy, peça flexível de lixo.")</f>
        <v>Saggy, peça flexível de lixo.</v>
      </c>
      <c r="B912" s="3">
        <v>0</v>
      </c>
    </row>
    <row r="913" ht="15.75" customHeight="1" spans="1:2">
      <c r="A913" s="3" t="str">
        <f>IFERROR(__xludf.DUMMYFUNCTION("GOOGLETRANSLATE(A913,""en"",""pt"")"),"muito melhor do que os casos de plástico rígido.")</f>
        <v>muito melhor do que os casos de plástico rígido.</v>
      </c>
      <c r="B913" s="3">
        <v>1</v>
      </c>
    </row>
    <row r="914" ht="15.75" customHeight="1" spans="1:2">
      <c r="A914" s="3" t="str">
        <f>IFERROR(__xludf.DUMMYFUNCTION("GOOGLETRANSLATE(A914,""en"",""pt"")"),"Ele também tinha um novo problema.")</f>
        <v>Ele também tinha um novo problema.</v>
      </c>
      <c r="B914" s="3">
        <v>0</v>
      </c>
    </row>
    <row r="915" ht="15.75" customHeight="1" spans="1:2">
      <c r="A915" s="3" t="str">
        <f>IFERROR(__xludf.DUMMYFUNCTION("GOOGLETRANSLATE(A915,""en"",""pt"")"),"Feliz até agora !.")</f>
        <v>Feliz até agora !.</v>
      </c>
      <c r="B915" s="3">
        <v>1</v>
      </c>
    </row>
    <row r="916" ht="15.75" customHeight="1" spans="1:2">
      <c r="A916" s="3" t="str">
        <f>IFERROR(__xludf.DUMMYFUNCTION("GOOGLETRANSLATE(A916,""en"",""pt"")"),"telefone cool.")</f>
        <v>telefone cool.</v>
      </c>
      <c r="B916" s="3">
        <v>1</v>
      </c>
    </row>
    <row r="917" ht="15.75" customHeight="1" spans="1:2">
      <c r="A917" s="3" t="str">
        <f>IFERROR(__xludf.DUMMYFUNCTION("GOOGLETRANSLATE(A917,""en"",""pt"")"),"Funciona bem.")</f>
        <v>Funciona bem.</v>
      </c>
      <c r="B917" s="3">
        <v>1</v>
      </c>
    </row>
    <row r="918" ht="15.75" customHeight="1" spans="1:2">
      <c r="A918" s="3" t="str">
        <f>IFERROR(__xludf.DUMMYFUNCTION("GOOGLETRANSLATE(A918,""en"",""pt"")"),"Motorola finalmente a qualidade de voz de um direito fone de ouvido bluetooth.")</f>
        <v>Motorola finalmente a qualidade de voz de um direito fone de ouvido bluetooth.</v>
      </c>
      <c r="B918" s="3">
        <v>1</v>
      </c>
    </row>
    <row r="919" ht="15.75" customHeight="1" spans="1:2">
      <c r="A919" s="3" t="str">
        <f>IFERROR(__xludf.DUMMYFUNCTION("GOOGLETRANSLATE(A919,""en"",""pt"")"),"Ele perde a ligação ao telefone mesmo quando ele está dentro de um par de pés entre os dois.")</f>
        <v>Ele perde a ligação ao telefone mesmo quando ele está dentro de um par de pés entre os dois.</v>
      </c>
      <c r="B919" s="3">
        <v>0</v>
      </c>
    </row>
    <row r="920" ht="15.75" customHeight="1" spans="1:2">
      <c r="A920" s="3" t="str">
        <f>IFERROR(__xludf.DUMMYFUNCTION("GOOGLETRANSLATE(A920,""en"",""pt"")"),"mas é grande, eu realmente recomendo")</f>
        <v>mas é grande, eu realmente recomendo</v>
      </c>
      <c r="B920" s="3">
        <v>1</v>
      </c>
    </row>
    <row r="921" ht="15.75" customHeight="1" spans="1:2">
      <c r="A921" s="3" t="str">
        <f>IFERROR(__xludf.DUMMYFUNCTION("GOOGLETRANSLATE(A921,""en"",""pt"")"),"Torna mais fácil para manter-se com o meu Bluetooth quando não estou usando.")</f>
        <v>Torna mais fácil para manter-se com o meu Bluetooth quando não estou usando.</v>
      </c>
      <c r="B921" s="3">
        <v>0</v>
      </c>
    </row>
    <row r="922" ht="15.75" customHeight="1" spans="1:2">
      <c r="A922" s="3" t="str">
        <f>IFERROR(__xludf.DUMMYFUNCTION("GOOGLETRANSLATE(A922,""en"",""pt"")"),"Como eu disse acima .... bastante inútil!")</f>
        <v>Como eu disse acima .... bastante inútil!</v>
      </c>
      <c r="B922" s="3">
        <v>0</v>
      </c>
    </row>
    <row r="923" ht="15.75" customHeight="1" spans="1:2">
      <c r="A923" s="3" t="str">
        <f>IFERROR(__xludf.DUMMYFUNCTION("GOOGLETRANSLATE(A923,""en"",""pt"")"),"Nunca consegui-lo !!!!!")</f>
        <v>Nunca consegui-lo !!!!!</v>
      </c>
      <c r="B923" s="3">
        <v>0</v>
      </c>
    </row>
    <row r="924" ht="15.75" customHeight="1" spans="1:2">
      <c r="A924" s="3" t="str">
        <f>IFERROR(__xludf.DUMMYFUNCTION("GOOGLETRANSLATE(A924,""en"",""pt"")"),"Este par de fones de ouvido é o pior que eu já tive som-wise.")</f>
        <v>Este par de fones de ouvido é o pior que eu já tive som-wise.</v>
      </c>
      <c r="B924" s="3">
        <v>0</v>
      </c>
    </row>
    <row r="925" ht="15.75" customHeight="1" spans="1:2">
      <c r="A925" s="3" t="str">
        <f>IFERROR(__xludf.DUMMYFUNCTION("GOOGLETRANSLATE(A925,""en"",""pt"")"),"Não carregue a Cingular (ATT) 8525 telefone.")</f>
        <v>Não carregue a Cingular (ATT) 8525 telefone.</v>
      </c>
      <c r="B925" s="3">
        <v>0</v>
      </c>
    </row>
    <row r="926" ht="15.75" customHeight="1" spans="1:2">
      <c r="A926" s="3" t="str">
        <f>IFERROR(__xludf.DUMMYFUNCTION("GOOGLETRANSLATE(A926,""en"",""pt"")"),"Você ganhar minutos extras para que você possa realizar a chamada e não ser cortado "".")</f>
        <v>Você ganhar minutos extras para que você possa realizar a chamada e não ser cortado ".</v>
      </c>
      <c r="B926" s="3">
        <v>1</v>
      </c>
    </row>
    <row r="927" ht="15.75" customHeight="1" spans="1:2">
      <c r="A927" s="3" t="str">
        <f>IFERROR(__xludf.DUMMYFUNCTION("GOOGLETRANSLATE(A927,""en"",""pt"")"),"No entanto, após cerca de um ano, a tampa articulada começou a ficar solto e vacilante e, eventualmente, a minha tela ficou preta e eu não poderia receber e fazer chamadas.")</f>
        <v>No entanto, após cerca de um ano, a tampa articulada começou a ficar solto e vacilante e, eventualmente, a minha tela ficou preta e eu não poderia receber e fazer chamadas.</v>
      </c>
      <c r="B927" s="3">
        <v>0</v>
      </c>
    </row>
    <row r="928" ht="15.75" customHeight="1" spans="1:2">
      <c r="A928" s="3" t="str">
        <f>IFERROR(__xludf.DUMMYFUNCTION("GOOGLETRANSLATE(A928,""en"",""pt"")"),"Eu mantive a captura do cabo no banco e eu tive que puxar o telefone para transformá-lo em um off.")</f>
        <v>Eu mantive a captura do cabo no banco e eu tive que puxar o telefone para transformá-lo em um off.</v>
      </c>
      <c r="B928" s="3">
        <v>0</v>
      </c>
    </row>
    <row r="929" ht="15.75" customHeight="1" spans="1:2">
      <c r="A929" s="3" t="str">
        <f>IFERROR(__xludf.DUMMYFUNCTION("GOOGLETRANSLATE(A929,""en"",""pt"")"),"O fone de ouvido atende minhas necessidades, por isso estou feliz com minha compra.")</f>
        <v>O fone de ouvido atende minhas necessidades, por isso estou feliz com minha compra.</v>
      </c>
      <c r="B929" s="3">
        <v>1</v>
      </c>
    </row>
    <row r="930" ht="15.75" customHeight="1" spans="1:2">
      <c r="A930" s="3" t="str">
        <f>IFERROR(__xludf.DUMMYFUNCTION("GOOGLETRANSLATE(A930,""en"",""pt"")"),"Logitech Bluetooth Headset é um 10 !.")</f>
        <v>Logitech Bluetooth Headset é um 10 !.</v>
      </c>
      <c r="B930" s="3">
        <v>1</v>
      </c>
    </row>
    <row r="931" ht="15.75" customHeight="1" spans="1:2">
      <c r="A931" s="3" t="str">
        <f>IFERROR(__xludf.DUMMYFUNCTION("GOOGLETRANSLATE(A931,""en"",""pt"")"),"Eu gosto do fato de que ela repousa levemente contra sua orelha, em vez de dentro.")</f>
        <v>Eu gosto do fato de que ela repousa levemente contra sua orelha, em vez de dentro.</v>
      </c>
      <c r="B931" s="3">
        <v>1</v>
      </c>
    </row>
    <row r="932" ht="15.75" customHeight="1" spans="1:2">
      <c r="A932" s="3" t="str">
        <f>IFERROR(__xludf.DUMMYFUNCTION("GOOGLETRANSLATE(A932,""en"",""pt"")"),"Um monte de sites foram classificar este um telefone muito bom e assim fazer I.")</f>
        <v>Um monte de sites foram classificar este um telefone muito bom e assim fazer I.</v>
      </c>
      <c r="B932" s="3">
        <v>1</v>
      </c>
    </row>
    <row r="933" ht="15.75" customHeight="1" spans="1:2">
      <c r="A933" s="3" t="str">
        <f>IFERROR(__xludf.DUMMYFUNCTION("GOOGLETRANSLATE(A933,""en"",""pt"")"),"Eu tentei estes cabos com meu computador e meu iPod e ele funciona muito bem.")</f>
        <v>Eu tentei estes cabos com meu computador e meu iPod e ele funciona muito bem.</v>
      </c>
      <c r="B933" s="3">
        <v>1</v>
      </c>
    </row>
    <row r="934" ht="15.75" customHeight="1" spans="1:2">
      <c r="A934" s="3" t="str">
        <f>IFERROR(__xludf.DUMMYFUNCTION("GOOGLETRANSLATE(A934,""en"",""pt"")"),"O microfone não é uma piada, e o volume é muito baixo.")</f>
        <v>O microfone não é uma piada, e o volume é muito baixo.</v>
      </c>
      <c r="B934" s="3">
        <v>0</v>
      </c>
    </row>
    <row r="935" ht="15.75" customHeight="1" spans="1:2">
      <c r="A935" s="3" t="str">
        <f>IFERROR(__xludf.DUMMYFUNCTION("GOOGLETRANSLATE(A935,""en"",""pt"")"),"Estou retornando-los.")</f>
        <v>Estou retornando-los.</v>
      </c>
      <c r="B935" s="3">
        <v>0</v>
      </c>
    </row>
    <row r="936" ht="15.75" customHeight="1" spans="1:2">
      <c r="A936" s="3" t="str">
        <f>IFERROR(__xludf.DUMMYFUNCTION("GOOGLETRANSLATE(A936,""en"",""pt"")"),"Eu não manter uma conexão com o computador enquanto ele estiver no meu colo.")</f>
        <v>Eu não manter uma conexão com o computador enquanto ele estiver no meu colo.</v>
      </c>
      <c r="B936" s="3">
        <v>0</v>
      </c>
    </row>
    <row r="937" ht="15.75" customHeight="1" spans="1:2">
      <c r="A937" s="3" t="str">
        <f>IFERROR(__xludf.DUMMYFUNCTION("GOOGLETRANSLATE(A937,""en"",""pt"")"),"É fácil ligar e desligar quando você está no carro e os controles de volume são bastante acessível.")</f>
        <v>É fácil ligar e desligar quando você está no carro e os controles de volume são bastante acessível.</v>
      </c>
      <c r="B937" s="3">
        <v>1</v>
      </c>
    </row>
    <row r="938" ht="15.75" customHeight="1" spans="1:2">
      <c r="A938" s="3" t="str">
        <f>IFERROR(__xludf.DUMMYFUNCTION("GOOGLETRANSLATE(A938,""en"",""pt"")"),"Eu tive o meu por cerca de um ano e neste Natal eu comprei alguns para o resto da família.")</f>
        <v>Eu tive o meu por cerca de um ano e neste Natal eu comprei alguns para o resto da família.</v>
      </c>
      <c r="B938" s="3">
        <v>1</v>
      </c>
    </row>
    <row r="939" ht="15.75" customHeight="1" spans="1:2">
      <c r="A939" s="3" t="str">
        <f>IFERROR(__xludf.DUMMYFUNCTION("GOOGLETRANSLATE(A939,""en"",""pt"")"),"Caso contrário, fácil de instalar e usar, som claro.")</f>
        <v>Caso contrário, fácil de instalar e usar, som claro.</v>
      </c>
      <c r="B939" s="3">
        <v>1</v>
      </c>
    </row>
    <row r="940" ht="15.75" customHeight="1" spans="1:2">
      <c r="A940" s="3" t="str">
        <f>IFERROR(__xludf.DUMMYFUNCTION("GOOGLETRANSLATE(A940,""en"",""pt"")"),"agradável couro.")</f>
        <v>agradável couro.</v>
      </c>
      <c r="B940" s="3">
        <v>1</v>
      </c>
    </row>
    <row r="941" ht="15.75" customHeight="1" spans="1:2">
      <c r="A941" s="3" t="str">
        <f>IFERROR(__xludf.DUMMYFUNCTION("GOOGLETRANSLATE(A941,""en"",""pt"")"),"Eu tive que comprar um caso diferente.")</f>
        <v>Eu tive que comprar um caso diferente.</v>
      </c>
      <c r="B941" s="3">
        <v>0</v>
      </c>
    </row>
    <row r="942" ht="15.75" customHeight="1" spans="1:2">
      <c r="A942" s="3" t="str">
        <f>IFERROR(__xludf.DUMMYFUNCTION("GOOGLETRANSLATE(A942,""en"",""pt"")"),"É uma alegria para usar.")</f>
        <v>É uma alegria para usar.</v>
      </c>
      <c r="B942" s="3">
        <v>1</v>
      </c>
    </row>
    <row r="943" ht="15.75" customHeight="1" spans="1:2">
      <c r="A943" s="3" t="str">
        <f>IFERROR(__xludf.DUMMYFUNCTION("GOOGLETRANSLATE(A943,""en"",""pt"")"),"Muito desapontado com esta empresa.")</f>
        <v>Muito desapontado com esta empresa.</v>
      </c>
      <c r="B943" s="3">
        <v>0</v>
      </c>
    </row>
    <row r="944" ht="15.75" customHeight="1" spans="1:2">
      <c r="A944" s="3" t="str">
        <f>IFERROR(__xludf.DUMMYFUNCTION("GOOGLETRANSLATE(A944,""en"",""pt"")"),"Muito satisifed com isso.")</f>
        <v>Muito satisifed com isso.</v>
      </c>
      <c r="B944" s="3">
        <v>1</v>
      </c>
    </row>
    <row r="945" ht="15.75" customHeight="1" spans="1:2">
      <c r="A945" s="3" t="str">
        <f>IFERROR(__xludf.DUMMYFUNCTION("GOOGLETRANSLATE(A945,""en"",""pt"")"),"Ele não fez para mim.")</f>
        <v>Ele não fez para mim.</v>
      </c>
      <c r="B945" s="3">
        <v>0</v>
      </c>
    </row>
    <row r="946" ht="15.75" customHeight="1" spans="1:2">
      <c r="A946" s="3" t="str">
        <f>IFERROR(__xludf.DUMMYFUNCTION("GOOGLETRANSLATE(A946,""en"",""pt"")"),"Este é o telefone para obter para 2005 .... Acabei de comprar minha S710a e tudo o que posso dizer é WOW!")</f>
        <v>Este é o telefone para obter para 2005 .... Acabei de comprar minha S710a e tudo o que posso dizer é WOW!</v>
      </c>
      <c r="B946" s="3">
        <v>1</v>
      </c>
    </row>
    <row r="947" ht="15.75" customHeight="1" spans="1:2">
      <c r="A947" s="3" t="str">
        <f>IFERROR(__xludf.DUMMYFUNCTION("GOOGLETRANSLATE(A947,""en"",""pt"")"),"Os botões são muito pequenos.")</f>
        <v>Os botões são muito pequenos.</v>
      </c>
      <c r="B947" s="3">
        <v>0</v>
      </c>
    </row>
    <row r="948" ht="15.75" customHeight="1" spans="1:2">
      <c r="A948" s="3" t="str">
        <f>IFERROR(__xludf.DUMMYFUNCTION("GOOGLETRANSLATE(A948,""en"",""pt"")"),"Basta ler sobre as especificações por si só faz dizer WOW.")</f>
        <v>Basta ler sobre as especificações por si só faz dizer WOW.</v>
      </c>
      <c r="B948" s="3">
        <v>1</v>
      </c>
    </row>
    <row r="949" ht="15.75" customHeight="1" spans="1:2">
      <c r="A949" s="3" t="str">
        <f>IFERROR(__xludf.DUMMYFUNCTION("GOOGLETRANSLATE(A949,""en"",""pt"")"),"Love it .. Grande braçadeira.")</f>
        <v>Love it .. Grande braçadeira.</v>
      </c>
      <c r="B949" s="3">
        <v>1</v>
      </c>
    </row>
    <row r="950" ht="15.75" customHeight="1" spans="1:2">
      <c r="A950" s="3" t="str">
        <f>IFERROR(__xludf.DUMMYFUNCTION("GOOGLETRANSLATE(A950,""en"",""pt"")"),"Eu realmente gosto deste produto ao longo da Motorola porque é allot mais clara sobre o pedaço da orelha e o microfone.")</f>
        <v>Eu realmente gosto deste produto ao longo da Motorola porque é allot mais clara sobre o pedaço da orelha e o microfone.</v>
      </c>
      <c r="B950" s="3">
        <v>1</v>
      </c>
    </row>
    <row r="951" ht="15.75" customHeight="1" spans="1:2">
      <c r="A951" s="3" t="str">
        <f>IFERROR(__xludf.DUMMYFUNCTION("GOOGLETRANSLATE(A951,""en"",""pt"")"),"No entanto, os teclados são tão metálico que eu às vezes alcançar os botões errados.")</f>
        <v>No entanto, os teclados são tão metálico que eu às vezes alcançar os botões errados.</v>
      </c>
      <c r="B951" s="3">
        <v>0</v>
      </c>
    </row>
    <row r="952" ht="15.75" customHeight="1" spans="1:2">
      <c r="A952" s="3" t="str">
        <f>IFERROR(__xludf.DUMMYFUNCTION("GOOGLETRANSLATE(A952,""en"",""pt"")"),"Troquei o Z500a Ericson Sony para isso e estou muito feliz com essa decisão.")</f>
        <v>Troquei o Z500a Ericson Sony para isso e estou muito feliz com essa decisão.</v>
      </c>
      <c r="B952" s="3">
        <v>1</v>
      </c>
    </row>
    <row r="953" ht="15.75" customHeight="1" spans="1:2">
      <c r="A953" s="3" t="str">
        <f>IFERROR(__xludf.DUMMYFUNCTION("GOOGLETRANSLATE(A953,""en"",""pt"")"),"Fiquei muito impressionado com o preço dos casos.")</f>
        <v>Fiquei muito impressionado com o preço dos casos.</v>
      </c>
      <c r="B953" s="3">
        <v>1</v>
      </c>
    </row>
    <row r="954" ht="15.75" customHeight="1" spans="1:2">
      <c r="A954" s="3" t="str">
        <f>IFERROR(__xludf.DUMMYFUNCTION("GOOGLETRANSLATE(A954,""en"",""pt"")"),"Também torna mais fácil de segurar.")</f>
        <v>Também torna mais fácil de segurar.</v>
      </c>
      <c r="B954" s="3">
        <v>1</v>
      </c>
    </row>
    <row r="955" ht="15.75" customHeight="1" spans="1:2">
      <c r="A955" s="3" t="str">
        <f>IFERROR(__xludf.DUMMYFUNCTION("GOOGLETRANSLATE(A955,""en"",""pt"")"),"Eu uso este produto em um centro de controle do motor, onde há um monte de zumbido do equipamento de alta tensão, e ele funciona muito bem!")</f>
        <v>Eu uso este produto em um centro de controle do motor, onde há um monte de zumbido do equipamento de alta tensão, e ele funciona muito bem!</v>
      </c>
      <c r="B955" s="3">
        <v>1</v>
      </c>
    </row>
    <row r="956" ht="15.75" customHeight="1" spans="1:2">
      <c r="A956" s="3" t="str">
        <f>IFERROR(__xludf.DUMMYFUNCTION("GOOGLETRANSLATE(A956,""en"",""pt"")"),"É muito fácil.")</f>
        <v>É muito fácil.</v>
      </c>
      <c r="B956" s="3">
        <v>1</v>
      </c>
    </row>
    <row r="957" ht="15.75" customHeight="1" spans="1:2">
      <c r="A957" s="3" t="str">
        <f>IFERROR(__xludf.DUMMYFUNCTION("GOOGLETRANSLATE(A957,""en"",""pt"")"),"Eu não posso fazer chamadas a determinados lugares.")</f>
        <v>Eu não posso fazer chamadas a determinados lugares.</v>
      </c>
      <c r="B957" s="3">
        <v>0</v>
      </c>
    </row>
    <row r="958" ht="15.75" customHeight="1" spans="1:2">
      <c r="A958" s="3" t="str">
        <f>IFERROR(__xludf.DUMMYFUNCTION("GOOGLETRANSLATE(A958,""en"",""pt"")"),"no entanto, a minha menina foi reclamar que alguns vez que o telefone não acorda, como telefone normal faz.")</f>
        <v>no entanto, a minha menina foi reclamar que alguns vez que o telefone não acorda, como telefone normal faz.</v>
      </c>
      <c r="B958" s="3">
        <v>0</v>
      </c>
    </row>
    <row r="959" ht="15.75" customHeight="1" spans="1:2">
      <c r="A959" s="3" t="str">
        <f>IFERROR(__xludf.DUMMYFUNCTION("GOOGLETRANSLATE(A959,""en"",""pt"")"),"Estilo bonito embora.")</f>
        <v>Estilo bonito embora.</v>
      </c>
      <c r="B959" s="3">
        <v>1</v>
      </c>
    </row>
    <row r="960" ht="15.75" customHeight="1" spans="1:2">
      <c r="A960" s="3" t="str">
        <f>IFERROR(__xludf.DUMMYFUNCTION("GOOGLETRANSLATE(A960,""en"",""pt"")"),"Esta carga empresa me uma taxa de reabastecimento e ainda não me deu a minha restituição de volta.")</f>
        <v>Esta carga empresa me uma taxa de reabastecimento e ainda não me deu a minha restituição de volta.</v>
      </c>
      <c r="B960" s="3">
        <v>0</v>
      </c>
    </row>
    <row r="961" ht="15.75" customHeight="1" spans="1:2">
      <c r="A961" s="3" t="str">
        <f>IFERROR(__xludf.DUMMYFUNCTION("GOOGLETRANSLATE(A961,""en"",""pt"")"),"Estou tentando devolvê-lo para um reembolso.")</f>
        <v>Estou tentando devolvê-lo para um reembolso.</v>
      </c>
      <c r="B961" s="3">
        <v>0</v>
      </c>
    </row>
    <row r="962" ht="15.75" customHeight="1" spans="1:2">
      <c r="A962" s="3" t="str">
        <f>IFERROR(__xludf.DUMMYFUNCTION("GOOGLETRANSLATE(A962,""en"",""pt"")"),"Eu liguei apenas para descobrir não um danado trabalhou.")</f>
        <v>Eu liguei apenas para descobrir não um danado trabalhou.</v>
      </c>
      <c r="B962" s="3">
        <v>0</v>
      </c>
    </row>
    <row r="963" ht="15.75" customHeight="1" spans="1:2">
      <c r="A963" s="3" t="str">
        <f>IFERROR(__xludf.DUMMYFUNCTION("GOOGLETRANSLATE(A963,""en"",""pt"")"),"Produto excelente.")</f>
        <v>Produto excelente.</v>
      </c>
      <c r="B963" s="3">
        <v>1</v>
      </c>
    </row>
    <row r="964" ht="15.75" customHeight="1" spans="1:2">
      <c r="A964" s="3" t="str">
        <f>IFERROR(__xludf.DUMMYFUNCTION("GOOGLETRANSLATE(A964,""en"",""pt"")"),"peça quebra de ouvido facilmente.")</f>
        <v>peça quebra de ouvido facilmente.</v>
      </c>
      <c r="B964" s="3">
        <v>0</v>
      </c>
    </row>
    <row r="965" ht="15.75" customHeight="1" spans="1:2">
      <c r="A965" s="3" t="str">
        <f>IFERROR(__xludf.DUMMYFUNCTION("GOOGLETRANSLATE(A965,""en"",""pt"")"),"produto ruim.")</f>
        <v>produto ruim.</v>
      </c>
      <c r="B965" s="3">
        <v>0</v>
      </c>
    </row>
    <row r="966" ht="15.75" customHeight="1" spans="1:2">
      <c r="A966" s="3" t="str">
        <f>IFERROR(__xludf.DUMMYFUNCTION("GOOGLETRANSLATE(A966,""en"",""pt"")"),"Este telefone se esforça muito para fazer tudo, mas não no é muito capacidade de ser um telefone.")</f>
        <v>Este telefone se esforça muito para fazer tudo, mas não no é muito capacidade de ser um telefone.</v>
      </c>
      <c r="B966" s="3">
        <v>0</v>
      </c>
    </row>
    <row r="967" ht="15.75" customHeight="1" spans="1:2">
      <c r="A967" s="3" t="str">
        <f>IFERROR(__xludf.DUMMYFUNCTION("GOOGLETRANSLATE(A967,""en"",""pt"")"),"É o melhor carregador tenho visto no mercado ainda.")</f>
        <v>É o melhor carregador tenho visto no mercado ainda.</v>
      </c>
      <c r="B967" s="3">
        <v>1</v>
      </c>
    </row>
    <row r="968" ht="15.75" customHeight="1" spans="1:2">
      <c r="A968" s="3" t="str">
        <f>IFERROR(__xludf.DUMMYFUNCTION("GOOGLETRANSLATE(A968,""en"",""pt"")"),"SWEETEST TELEFONE !!!")</f>
        <v>SWEETEST TELEFONE !!!</v>
      </c>
      <c r="B968" s="3">
        <v>1</v>
      </c>
    </row>
    <row r="969" ht="15.75" customHeight="1" spans="1:2">
      <c r="A969" s="3" t="str">
        <f>IFERROR(__xludf.DUMMYFUNCTION("GOOGLETRANSLATE(A969,""en"",""pt"")"),"Ele se encaixa tão firmemente que o gancho não precisa mesmo de ser utilizado e o som é melhor dirigida por meio de seu canal auditivo.")</f>
        <v>Ele se encaixa tão firmemente que o gancho não precisa mesmo de ser utilizado e o som é melhor dirigida por meio de seu canal auditivo.</v>
      </c>
      <c r="B969" s="3">
        <v>1</v>
      </c>
    </row>
    <row r="970" ht="15.75" customHeight="1" spans="1:2">
      <c r="A970" s="3" t="str">
        <f>IFERROR(__xludf.DUMMYFUNCTION("GOOGLETRANSLATE(A970,""en"",""pt"")"),"o volume não é suficiente.")</f>
        <v>o volume não é suficiente.</v>
      </c>
      <c r="B970" s="3">
        <v>0</v>
      </c>
    </row>
    <row r="971" ht="15.75" customHeight="1" spans="1:2">
      <c r="A971" s="3" t="str">
        <f>IFERROR(__xludf.DUMMYFUNCTION("GOOGLETRANSLATE(A971,""en"",""pt"")"),"Eco Problema .... Muito insatisfatório")</f>
        <v>Eco Problema .... Muito insatisfatório</v>
      </c>
      <c r="B971" s="3">
        <v>0</v>
      </c>
    </row>
    <row r="972" ht="15.75" customHeight="1" spans="1:2">
      <c r="A972" s="3" t="str">
        <f>IFERROR(__xludf.DUMMYFUNCTION("GOOGLETRANSLATE(A972,""en"",""pt"")"),"você só pode levar 2 vídeos em um tempo e a qualidade era muito pobre.")</f>
        <v>você só pode levar 2 vídeos em um tempo e a qualidade era muito pobre.</v>
      </c>
      <c r="B972" s="3">
        <v>0</v>
      </c>
    </row>
    <row r="973" ht="15.75" customHeight="1" spans="1:2">
      <c r="A973" s="3" t="str">
        <f>IFERROR(__xludf.DUMMYFUNCTION("GOOGLETRANSLATE(A973,""en"",""pt"")"),"não desperdice seu dinheiro.")</f>
        <v>não desperdice seu dinheiro.</v>
      </c>
      <c r="B973" s="3">
        <v>0</v>
      </c>
    </row>
    <row r="974" ht="15.75" customHeight="1" spans="1:2">
      <c r="A974" s="3" t="str">
        <f>IFERROR(__xludf.DUMMYFUNCTION("GOOGLETRANSLATE(A974,""en"",""pt"")"),"Vou ter que ser o primeiro a comentar negativamente este produto.")</f>
        <v>Vou ter que ser o primeiro a comentar negativamente este produto.</v>
      </c>
      <c r="B974" s="3">
        <v>0</v>
      </c>
    </row>
    <row r="975" ht="15.75" customHeight="1" spans="1:2">
      <c r="A975" s="3" t="str">
        <f>IFERROR(__xludf.DUMMYFUNCTION("GOOGLETRANSLATE(A975,""en"",""pt"")"),"O adaptador não fornecer corrente de carga suficiente.")</f>
        <v>O adaptador não fornecer corrente de carga suficiente.</v>
      </c>
      <c r="B975" s="3">
        <v>0</v>
      </c>
    </row>
    <row r="976" ht="15.75" customHeight="1" spans="1:2">
      <c r="A976" s="3" t="str">
        <f>IFERROR(__xludf.DUMMYFUNCTION("GOOGLETRANSLATE(A976,""en"",""pt"")"),"Havia tanto hype sobre este telefone que eu achava que era o melhor, o meu erro.")</f>
        <v>Havia tanto hype sobre este telefone que eu achava que era o melhor, o meu erro.</v>
      </c>
      <c r="B976" s="3">
        <v>0</v>
      </c>
    </row>
    <row r="977" ht="15.75" customHeight="1" spans="1:2">
      <c r="A977" s="3" t="str">
        <f>IFERROR(__xludf.DUMMYFUNCTION("GOOGLETRANSLATE(A977,""en"",""pt"")"),"Você também não pode tirar fotos com ele no caso porque a lente é coberto.")</f>
        <v>Você também não pode tirar fotos com ele no caso porque a lente é coberto.</v>
      </c>
      <c r="B977" s="3">
        <v>0</v>
      </c>
    </row>
    <row r="978" ht="15.75" customHeight="1" spans="1:2">
      <c r="A978" s="3" t="str">
        <f>IFERROR(__xludf.DUMMYFUNCTION("GOOGLETRANSLATE(A978,""en"",""pt"")"),"Telefone cai facilmente.")</f>
        <v>Telefone cai facilmente.</v>
      </c>
      <c r="B978" s="3">
        <v>0</v>
      </c>
    </row>
    <row r="979" ht="15.75" customHeight="1" spans="1:2">
      <c r="A979" s="3" t="str">
        <f>IFERROR(__xludf.DUMMYFUNCTION("GOOGLETRANSLATE(A979,""en"",""pt"")"),"Não funcionou, as pessoas não podem me ouvir quando eu falo.")</f>
        <v>Não funcionou, as pessoas não podem me ouvir quando eu falo.</v>
      </c>
      <c r="B979" s="3">
        <v>0</v>
      </c>
    </row>
    <row r="980" ht="15.75" customHeight="1" spans="1:2">
      <c r="A980" s="3" t="str">
        <f>IFERROR(__xludf.DUMMYFUNCTION("GOOGLETRANSLATE(A980,""en"",""pt"")"),"O recurso de mensagens de texto é realmente complicado de usar.")</f>
        <v>O recurso de mensagens de texto é realmente complicado de usar.</v>
      </c>
      <c r="B980" s="3">
        <v>0</v>
      </c>
    </row>
    <row r="981" ht="15.75" customHeight="1" spans="1:2">
      <c r="A981" s="3" t="str">
        <f>IFERROR(__xludf.DUMMYFUNCTION("GOOGLETRANSLATE(A981,""en"",""pt"")"),"Estou realmente desapontado tudo o que eu tenho agora é um carregador que não funciona.")</f>
        <v>Estou realmente desapontado tudo o que eu tenho agora é um carregador que não funciona.</v>
      </c>
      <c r="B981" s="3">
        <v>0</v>
      </c>
    </row>
    <row r="982" ht="15.75" customHeight="1" spans="1:2">
      <c r="A982" s="3" t="str">
        <f>IFERROR(__xludf.DUMMYFUNCTION("GOOGLETRANSLATE(A982,""en"",""pt"")"),"Dolorosa na orelha.")</f>
        <v>Dolorosa na orelha.</v>
      </c>
      <c r="B982" s="3">
        <v>0</v>
      </c>
    </row>
    <row r="983" ht="15.75" customHeight="1" spans="1:2">
      <c r="A983" s="3" t="str">
        <f>IFERROR(__xludf.DUMMYFUNCTION("GOOGLETRANSLATE(A983,""en"",""pt"")"),"Durou um dia e, em seguida, explodiu.")</f>
        <v>Durou um dia e, em seguida, explodiu.</v>
      </c>
      <c r="B983" s="3">
        <v>0</v>
      </c>
    </row>
    <row r="984" ht="15.75" customHeight="1" spans="1:2">
      <c r="A984" s="3" t="str">
        <f>IFERROR(__xludf.DUMMYFUNCTION("GOOGLETRANSLATE(A984,""en"",""pt"")"),"desapontado.")</f>
        <v>desapontado.</v>
      </c>
      <c r="B984" s="3">
        <v>0</v>
      </c>
    </row>
    <row r="985" ht="15.75" customHeight="1" spans="1:2">
      <c r="A985" s="3" t="str">
        <f>IFERROR(__xludf.DUMMYFUNCTION("GOOGLETRANSLATE(A985,""en"",""pt"")"),"Tipo de fracassos ao redor.")</f>
        <v>Tipo de fracassos ao redor.</v>
      </c>
      <c r="B985" s="3">
        <v>0</v>
      </c>
    </row>
    <row r="986" ht="15.75" customHeight="1" spans="1:2">
      <c r="A986" s="3" t="str">
        <f>IFERROR(__xludf.DUMMYFUNCTION("GOOGLETRANSLATE(A986,""en"",""pt"")"),"A tela não ficar manchado facilmente porque toca sua orelha e no rosto.")</f>
        <v>A tela não ficar manchado facilmente porque toca sua orelha e no rosto.</v>
      </c>
      <c r="B986" s="3">
        <v>0</v>
      </c>
    </row>
    <row r="987" ht="15.75" customHeight="1" spans="1:2">
      <c r="A987" s="3" t="str">
        <f>IFERROR(__xludf.DUMMYFUNCTION("GOOGLETRANSLATE(A987,""en"",""pt"")"),"O que um pedaço de lixo .. eu perder mais chamadas neste telefone.")</f>
        <v>O que um pedaço de lixo .. eu perder mais chamadas neste telefone.</v>
      </c>
      <c r="B987" s="3">
        <v>0</v>
      </c>
    </row>
    <row r="988" ht="15.75" customHeight="1" spans="1:2">
      <c r="A988" s="3" t="str">
        <f>IFERROR(__xludf.DUMMYFUNCTION("GOOGLETRANSLATE(A988,""en"",""pt"")"),"Item não Imagem Match.")</f>
        <v>Item não Imagem Match.</v>
      </c>
      <c r="B988" s="3">
        <v>0</v>
      </c>
    </row>
    <row r="989" ht="15.75" customHeight="1" spans="1:2">
      <c r="A989" s="3" t="str">
        <f>IFERROR(__xludf.DUMMYFUNCTION("GOOGLETRANSLATE(A989,""en"",""pt"")"),"A única coisa que me decepcionou é a porta de infra-vermelhos (IrDA).")</f>
        <v>A única coisa que me decepcionou é a porta de infra-vermelhos (IrDA).</v>
      </c>
      <c r="B989" s="3">
        <v>0</v>
      </c>
    </row>
    <row r="990" ht="15.75" customHeight="1" spans="1:2">
      <c r="A990" s="3" t="str">
        <f>IFERROR(__xludf.DUMMYFUNCTION("GOOGLETRANSLATE(A990,""en"",""pt"")"),"Não é possível atender chamadas com o aparelho, nunca funcionou uma vez!")</f>
        <v>Não é possível atender chamadas com o aparelho, nunca funcionou uma vez!</v>
      </c>
      <c r="B990" s="3">
        <v>0</v>
      </c>
    </row>
    <row r="991" ht="15.75" customHeight="1" spans="1:2">
      <c r="A991" s="3" t="str">
        <f>IFERROR(__xludf.DUMMYFUNCTION("GOOGLETRANSLATE(A991,""en"",""pt"")"),"Um muito, muito, muito lento, filme sem rumo sobre um jovem angustiado, à deriva.")</f>
        <v>Um muito, muito, muito lento, filme sem rumo sobre um jovem angustiado, à deriva.</v>
      </c>
      <c r="B991" s="3">
        <v>0</v>
      </c>
    </row>
    <row r="992" ht="15.75" customHeight="1" spans="1:2">
      <c r="A992" s="3" t="str">
        <f>IFERROR(__xludf.DUMMYFUNCTION("GOOGLETRANSLATE(A992,""en"",""pt"")"),"Não tenho certeza que foi mais perdido - os personagens planas ou o público, quase metade dos quais saiu.")</f>
        <v>Não tenho certeza que foi mais perdido - os personagens planas ou o público, quase metade dos quais saiu.</v>
      </c>
      <c r="B992" s="3">
        <v>0</v>
      </c>
    </row>
    <row r="993" ht="15.75" customHeight="1" spans="1:2">
      <c r="A993" s="3" t="str">
        <f>IFERROR(__xludf.DUMMYFUNCTION("GOOGLETRANSLATE(A993,""en"",""pt"")"),"A tentativa artiness com ângulos de câmera preto e branco e inteligente, o filme desapontado - tornou-se ainda mais ridículo - como a atuação foi fraca eo enredo e linhas quase inexistente.")</f>
        <v>A tentativa artiness com ângulos de câmera preto e branco e inteligente, o filme desapontado - tornou-se ainda mais ridículo - como a atuação foi fraca eo enredo e linhas quase inexistente.</v>
      </c>
      <c r="B993" s="3">
        <v>0</v>
      </c>
    </row>
    <row r="994" ht="15.75" customHeight="1" spans="1:2">
      <c r="A994" s="3" t="str">
        <f>IFERROR(__xludf.DUMMYFUNCTION("GOOGLETRANSLATE(A994,""en"",""pt"")"),"Muito pouco de música ou qualquer coisa para falar.")</f>
        <v>Muito pouco de música ou qualquer coisa para falar.</v>
      </c>
      <c r="B994" s="3">
        <v>0</v>
      </c>
    </row>
    <row r="995" ht="15.75" customHeight="1" spans="1:2">
      <c r="A995" s="3" t="str">
        <f>IFERROR(__xludf.DUMMYFUNCTION("GOOGLETRANSLATE(A995,""en"",""pt"")"),"A melhor cena do filme foi quando Gerardo está tentando encontrar uma música que continua correndo por sua cabeça.")</f>
        <v>A melhor cena do filme foi quando Gerardo está tentando encontrar uma música que continua correndo por sua cabeça.</v>
      </c>
      <c r="B995" s="3">
        <v>1</v>
      </c>
    </row>
    <row r="996" ht="15.75" customHeight="1" spans="1:2">
      <c r="A996" s="3" t="str">
        <f>IFERROR(__xludf.DUMMYFUNCTION("GOOGLETRANSLATE(A996,""en"",""pt"")"),"O resto do filme carece de arte, encanto, o que significa ... Se é sobre o vazio, ele funciona Acho que é porque ele está vazio.")</f>
        <v>O resto do filme carece de arte, encanto, o que significa ... Se é sobre o vazio, ele funciona Acho que é porque ele está vazio.</v>
      </c>
      <c r="B996" s="3">
        <v>0</v>
      </c>
    </row>
    <row r="997" ht="15.75" customHeight="1" spans="1:2">
      <c r="A997" s="3" t="str">
        <f>IFERROR(__xludf.DUMMYFUNCTION("GOOGLETRANSLATE(A997,""en"",""pt"")"),"Desperdiçado duas horas.")</f>
        <v>Desperdiçado duas horas.</v>
      </c>
      <c r="B997" s="3">
        <v>0</v>
      </c>
    </row>
    <row r="998" ht="15.75" customHeight="1" spans="1:2">
      <c r="A998" s="3" t="str">
        <f>IFERROR(__xludf.DUMMYFUNCTION("GOOGLETRANSLATE(A998,""en"",""pt"")"),"Viu o filme hoje e pensei que era um esforço bom, boas mensagens para as crianças.")</f>
        <v>Viu o filme hoje e pensei que era um esforço bom, boas mensagens para as crianças.</v>
      </c>
      <c r="B998" s="3">
        <v>1</v>
      </c>
    </row>
    <row r="999" ht="15.75" customHeight="1" spans="1:2">
      <c r="A999" s="3" t="str">
        <f>IFERROR(__xludf.DUMMYFUNCTION("GOOGLETRANSLATE(A999,""en"",""pt"")"),"Um pouco previsível.")</f>
        <v>Um pouco previsível.</v>
      </c>
      <c r="B999" s="3">
        <v>0</v>
      </c>
    </row>
    <row r="1000" ht="15.75" customHeight="1" spans="1:2">
      <c r="A1000" s="3" t="str">
        <f>IFERROR(__xludf.DUMMYFUNCTION("GOOGLETRANSLATE(A1000,""en"",""pt"")"),"Adorei a fundição de Jimmy Buffet como o professor de ciências.")</f>
        <v>Adorei a fundição de Jimmy Buffet como o professor de ciências.</v>
      </c>
      <c r="B1000" s="3">
        <v>1</v>
      </c>
    </row>
    <row r="1001" ht="15.75" customHeight="1" spans="1:2">
      <c r="A1001" s="3" t="str">
        <f>IFERROR(__xludf.DUMMYFUNCTION("GOOGLETRANSLATE(A1001,""en"",""pt"")"),"E essas corujas do bebê foram adorável.")</f>
        <v>E essas corujas do bebê foram adorável.</v>
      </c>
      <c r="B1001" s="3">
        <v>1</v>
      </c>
    </row>
    <row r="1002" ht="15.75" customHeight="1" spans="1:2">
      <c r="A1002" s="3" t="str">
        <f>IFERROR(__xludf.DUMMYFUNCTION("GOOGLETRANSLATE(A1002,""en"",""pt"")"),"O filme mostrou um monte de Florida no melhor de, fez com que pareça muito atraente.")</f>
        <v>O filme mostrou um monte de Florida no melhor de, fez com que pareça muito atraente.</v>
      </c>
      <c r="B1002" s="3">
        <v>1</v>
      </c>
    </row>
    <row r="1003" ht="15.75" customHeight="1" spans="1:2">
      <c r="A1003" s="3" t="str">
        <f>IFERROR(__xludf.DUMMYFUNCTION("GOOGLETRANSLATE(A1003,""en"",""pt"")"),"As canções foram os melhores e os Muppets eram tão hilariante.")</f>
        <v>As canções foram os melhores e os Muppets eram tão hilariante.</v>
      </c>
      <c r="B1003" s="3">
        <v>1</v>
      </c>
    </row>
    <row r="1004" ht="15.75" customHeight="1" spans="1:2">
      <c r="A1004" s="3" t="str">
        <f>IFERROR(__xludf.DUMMYFUNCTION("GOOGLETRANSLATE(A1004,""en"",""pt"")"),"Foi tão legal.")</f>
        <v>Foi tão legal.</v>
      </c>
      <c r="B1004" s="3">
        <v>1</v>
      </c>
    </row>
    <row r="1005" ht="15.75" customHeight="1" spans="1:2">
      <c r="A1005" s="3" t="str">
        <f>IFERROR(__xludf.DUMMYFUNCTION("GOOGLETRANSLATE(A1005,""en"",""pt"")"),"Este é um filme muito ""direito no caso"" que oferece quase tudo certo em seu rosto.")</f>
        <v>Este é um filme muito "direito no caso" que oferece quase tudo certo em seu rosto.</v>
      </c>
      <c r="B1005" s="3">
        <v>1</v>
      </c>
    </row>
    <row r="1006" ht="15.75" customHeight="1" spans="1:2">
      <c r="A1006" s="3" t="str">
        <f>IFERROR(__xludf.DUMMYFUNCTION("GOOGLETRANSLATE(A1006,""en"",""pt"")"),"Ele teve algum ator média da pessoa principal, e foi um baixo orçamento como você pode ver claramente.")</f>
        <v>Ele teve algum ator média da pessoa principal, e foi um baixo orçamento como você pode ver claramente.</v>
      </c>
      <c r="B1006" s="3">
        <v>0</v>
      </c>
    </row>
    <row r="1007" ht="15.75" customHeight="1" spans="1:2">
      <c r="A1007" s="3" t="str">
        <f>IFERROR(__xludf.DUMMYFUNCTION("GOOGLETRANSLATE(A1007,""en"",""pt"")"),"Esta revisão é muito atrasada, pois considero A Tale of Two Sisters ser o único maior filme já feito.")</f>
        <v>Esta revisão é muito atrasada, pois considero A Tale of Two Sisters ser o único maior filme já feito.</v>
      </c>
      <c r="B1007" s="3">
        <v>1</v>
      </c>
    </row>
    <row r="1008" ht="15.75" customHeight="1" spans="1:2">
      <c r="A1008" s="3" t="str">
        <f>IFERROR(__xludf.DUMMYFUNCTION("GOOGLETRANSLATE(A1008,""en"",""pt"")"),"Vou colocar esta jóia contra qualquer filme em termos de roteiro, cinematografia, atuação, pós-produção, edição, direção, ou qualquer outro aspecto do cinema.")</f>
        <v>Vou colocar esta jóia contra qualquer filme em termos de roteiro, cinematografia, atuação, pós-produção, edição, direção, ou qualquer outro aspecto do cinema.</v>
      </c>
      <c r="B1008" s="3">
        <v>1</v>
      </c>
    </row>
    <row r="1009" ht="15.75" customHeight="1" spans="1:2">
      <c r="A1009" s="3" t="str">
        <f>IFERROR(__xludf.DUMMYFUNCTION("GOOGLETRANSLATE(A1009,""en"",""pt"")"),"É praticamente perfeito em todos eles A- A verdadeira obra-prima em um mar de falso ""obras-primas.")</f>
        <v>É praticamente perfeito em todos eles A- A verdadeira obra-prima em um mar de falso "obras-primas.</v>
      </c>
      <c r="B1009" s="3">
        <v>1</v>
      </c>
    </row>
    <row r="1010" ht="15.75" customHeight="1" spans="1:2">
      <c r="A1010" s="3" t="str">
        <f>IFERROR(__xludf.DUMMYFUNCTION("GOOGLETRANSLATE(A1010,""en"",""pt"")")," A estrutura deste filme é facilmente o mais firmemente construído na história do cinema.")</f>
        <v> A estrutura deste filme é facilmente o mais firmemente construído na história do cinema.</v>
      </c>
      <c r="B1010" s="3">
        <v>1</v>
      </c>
    </row>
    <row r="1011" ht="15.75" customHeight="1" spans="1:2">
      <c r="A1011" s="3" t="str">
        <f>IFERROR(__xludf.DUMMYFUNCTION("GOOGLETRANSLATE(A1011,""en"",""pt"")"),"Não consigo pensar em nenhum outro filme em que algo de vital importância ocorre a cada minuto.")</f>
        <v>Não consigo pensar em nenhum outro filme em que algo de vital importância ocorre a cada minuto.</v>
      </c>
      <c r="B1011" s="3">
        <v>1</v>
      </c>
    </row>
    <row r="1012" ht="15.75" customHeight="1" spans="1:2">
      <c r="A1012" s="3" t="str">
        <f>IFERROR(__xludf.DUMMYFUNCTION("GOOGLETRANSLATE(A1012,""en"",""pt"")"),"Em outras palavras, o nível de conteúdo deste filme é o suficiente para facilmente preencher uma dúzia de outros filmes.")</f>
        <v>Em outras palavras, o nível de conteúdo deste filme é o suficiente para facilmente preencher uma dúzia de outros filmes.</v>
      </c>
      <c r="B1012" s="3">
        <v>1</v>
      </c>
    </row>
    <row r="1013" ht="15.75" customHeight="1" spans="1:2">
      <c r="A1013" s="3" t="str">
        <f>IFERROR(__xludf.DUMMYFUNCTION("GOOGLETRANSLATE(A1013,""en"",""pt"")"),"Como é que alguém no seu perfeito juízo pode pedir mais nada a partir de um filme do que isso?")</f>
        <v>Como é que alguém no seu perfeito juízo pode pedir mais nada a partir de um filme do que isso?</v>
      </c>
      <c r="B1013" s="3">
        <v>1</v>
      </c>
    </row>
    <row r="1014" ht="15.75" customHeight="1" spans="1:2">
      <c r="A1014" s="3" t="str">
        <f>IFERROR(__xludf.DUMMYFUNCTION("GOOGLETRANSLATE(A1014,""en"",""pt"")"),"É simplesmente a forma mais elevada, mais superlativo de imagináveis ​​cinema.")</f>
        <v>É simplesmente a forma mais elevada, mais superlativo de imagináveis ​​cinema.</v>
      </c>
      <c r="B1014" s="3">
        <v>1</v>
      </c>
    </row>
    <row r="1015" ht="15.75" customHeight="1" spans="1:2">
      <c r="A1015" s="3" t="str">
        <f>IFERROR(__xludf.DUMMYFUNCTION("GOOGLETRANSLATE(A1015,""en"",""pt"")"),"Sim, este filme requer uma quantidade bastante significativa de quebra-cabeças, mas as peças se encaixam para criar uma bela imagem.")</f>
        <v>Sim, este filme requer uma quantidade bastante significativa de quebra-cabeças, mas as peças se encaixam para criar uma bela imagem.</v>
      </c>
      <c r="B1015" s="3">
        <v>1</v>
      </c>
    </row>
    <row r="1016" ht="15.75" customHeight="1" spans="1:2">
      <c r="A1016" s="3" t="str">
        <f>IFERROR(__xludf.DUMMYFUNCTION("GOOGLETRANSLATE(A1016,""en"",""pt"")"),"Esta curta-metragem, certamente, não faz rodeios.")</f>
        <v>Esta curta-metragem, certamente, não faz rodeios.</v>
      </c>
      <c r="B1016" s="3">
        <v>0</v>
      </c>
    </row>
    <row r="1017" ht="15.75" customHeight="1" spans="1:2">
      <c r="A1017" s="3" t="str">
        <f>IFERROR(__xludf.DUMMYFUNCTION("GOOGLETRANSLATE(A1017,""en"",""pt"")"),"Gráficos está longe de ser a melhor parte do jogo.")</f>
        <v>Gráficos está longe de ser a melhor parte do jogo.</v>
      </c>
      <c r="B1017" s="3">
        <v>0</v>
      </c>
    </row>
    <row r="1018" ht="15.75" customHeight="1" spans="1:2">
      <c r="A1018" s="3" t="str">
        <f>IFERROR(__xludf.DUMMYFUNCTION("GOOGLETRANSLATE(A1018,""en"",""pt"")"),"Este é o número um melhor jogo TH na série.")</f>
        <v>Este é o número um melhor jogo TH na série.</v>
      </c>
      <c r="B1018" s="3">
        <v>1</v>
      </c>
    </row>
    <row r="1019" ht="15.75" customHeight="1" spans="1:2">
      <c r="A1019" s="3" t="str">
        <f>IFERROR(__xludf.DUMMYFUNCTION("GOOGLETRANSLATE(A1019,""en"",""pt"")"),"Merece amor forte.")</f>
        <v>Merece amor forte.</v>
      </c>
      <c r="B1019" s="3">
        <v>1</v>
      </c>
    </row>
    <row r="1020" ht="15.75" customHeight="1" spans="1:2">
      <c r="A1020" s="3" t="str">
        <f>IFERROR(__xludf.DUMMYFUNCTION("GOOGLETRANSLATE(A1020,""en"",""pt"")"),"É um jogo louco.")</f>
        <v>É um jogo louco.</v>
      </c>
      <c r="B1020" s="3">
        <v>1</v>
      </c>
    </row>
    <row r="1021" ht="15.75" customHeight="1" spans="1:2">
      <c r="A1021" s="3" t="str">
        <f>IFERROR(__xludf.DUMMYFUNCTION("GOOGLETRANSLATE(A1021,""en"",""pt"")"),"Há níveis enormes, enormes personagens desbloqueáveis ​​... é apenas um jogo enorme.")</f>
        <v>Há níveis enormes, enormes personagens desbloqueáveis ​​... é apenas um jogo enorme.</v>
      </c>
      <c r="B1021" s="3">
        <v>1</v>
      </c>
    </row>
    <row r="1022" ht="15.75" customHeight="1" spans="1:2">
      <c r="A1022" s="3" t="str">
        <f>IFERROR(__xludf.DUMMYFUNCTION("GOOGLETRANSLATE(A1022,""en"",""pt"")"),"Desperdice seu dinheiro com este jogo.")</f>
        <v>Desperdice seu dinheiro com este jogo.</v>
      </c>
      <c r="B1022" s="3">
        <v>1</v>
      </c>
    </row>
    <row r="1023" ht="15.75" customHeight="1" spans="1:2">
      <c r="A1023" s="3" t="str">
        <f>IFERROR(__xludf.DUMMYFUNCTION("GOOGLETRANSLATE(A1023,""en"",""pt"")"),"Este é o tipo de dinheiro que é desperdiçado corretamente.")</f>
        <v>Este é o tipo de dinheiro que é desperdiçado corretamente.</v>
      </c>
      <c r="B1023" s="3">
        <v>1</v>
      </c>
    </row>
    <row r="1024" ht="15.75" customHeight="1" spans="1:2">
      <c r="A1024" s="3" t="str">
        <f>IFERROR(__xludf.DUMMYFUNCTION("GOOGLETRANSLATE(A1024,""en"",""pt"")"),"Na verdade, os gráficos eram bons no momento.")</f>
        <v>Na verdade, os gráficos eram bons no momento.</v>
      </c>
      <c r="B1024" s="3">
        <v>1</v>
      </c>
    </row>
    <row r="1025" ht="15.75" customHeight="1" spans="1:2">
      <c r="A1025" s="3" t="str">
        <f>IFERROR(__xludf.DUMMYFUNCTION("GOOGLETRANSLATE(A1025,""en"",""pt"")"),"Hoje os gráficos são uma porcaria.")</f>
        <v>Hoje os gráficos são uma porcaria.</v>
      </c>
      <c r="B1025" s="3">
        <v>0</v>
      </c>
    </row>
    <row r="1026" ht="15.75" customHeight="1" spans="1:2">
      <c r="A1026" s="3" t="str">
        <f>IFERROR(__xludf.DUMMYFUNCTION("GOOGLETRANSLATE(A1026,""en"",""pt"")"),"Como dizem no Canadá, Este é o jogo divertido, sim.")</f>
        <v>Como dizem no Canadá, Este é o jogo divertido, sim.</v>
      </c>
      <c r="B1026" s="3">
        <v>1</v>
      </c>
    </row>
    <row r="1027" ht="15.75" customHeight="1" spans="1:2">
      <c r="A1027" s="3" t="str">
        <f>IFERROR(__xludf.DUMMYFUNCTION("GOOGLETRANSLATE(A1027,""en"",""pt"")"),"Este jogo rochas.")</f>
        <v>Este jogo rochas.</v>
      </c>
      <c r="B1027" s="3">
        <v>1</v>
      </c>
    </row>
    <row r="1028" ht="15.75" customHeight="1" spans="1:2">
      <c r="A1028" s="3" t="str">
        <f>IFERROR(__xludf.DUMMYFUNCTION("GOOGLETRANSLATE(A1028,""en"",""pt"")"),"Comprá-lo, tocá-lo, apreciá-lo, amá-lo.")</f>
        <v>Comprá-lo, tocá-lo, apreciá-lo, amá-lo.</v>
      </c>
      <c r="B1028" s="3">
        <v>1</v>
      </c>
    </row>
    <row r="1029" ht="15.75" customHeight="1" spans="1:2">
      <c r="A1029" s="3" t="str">
        <f>IFERROR(__xludf.DUMMYFUNCTION("GOOGLETRANSLATE(A1029,""en"",""pt"")"),"É puro brilho.")</f>
        <v>É puro brilho.</v>
      </c>
      <c r="B1029" s="3">
        <v>1</v>
      </c>
    </row>
    <row r="1030" ht="15.75" customHeight="1" spans="1:2">
      <c r="A1030" s="3" t="str">
        <f>IFERROR(__xludf.DUMMYFUNCTION("GOOGLETRANSLATE(A1030,""en"",""pt"")"),"Este foi um movimento condenado desde a sua concepção.")</f>
        <v>Este foi um movimento condenado desde a sua concepção.</v>
      </c>
      <c r="B1030" s="3">
        <v>0</v>
      </c>
    </row>
    <row r="1031" ht="15.75" customHeight="1" spans="1:2">
      <c r="A1031" s="3" t="str">
        <f>IFERROR(__xludf.DUMMYFUNCTION("GOOGLETRANSLATE(A1031,""en"",""pt"")"),"A própria idéia de que era lame - tomar um personagem secundário de uma medíocre PG-13 filmes, e fazer uma não-sequela completa ao mudar seu tom a um filme da família PG-rated.")</f>
        <v>A própria idéia de que era lame - tomar um personagem secundário de uma medíocre PG-13 filmes, e fazer uma não-sequela completa ao mudar seu tom a um filme da família PG-rated.</v>
      </c>
      <c r="B1031" s="3">
        <v>0</v>
      </c>
    </row>
    <row r="1032" ht="15.75" customHeight="1" spans="1:2">
      <c r="A1032" s="3" t="str">
        <f>IFERROR(__xludf.DUMMYFUNCTION("GOOGLETRANSLATE(A1032,""en"",""pt"")"),"Eu estava nem um pouco interessado.")</f>
        <v>Eu estava nem um pouco interessado.</v>
      </c>
      <c r="B1032" s="3">
        <v>0</v>
      </c>
    </row>
    <row r="1033" ht="15.75" customHeight="1" spans="1:2">
      <c r="A1033" s="3" t="str">
        <f>IFERROR(__xludf.DUMMYFUNCTION("GOOGLETRANSLATE(A1033,""en"",""pt"")"),"Não só apenas confirmam que o filme seria sem graça e genérico, mas também conseguiu dar todo o filme; e eu não estou exagerando - cada momento, cada ponto da trama, cada piada é contada no trailer.")</f>
        <v>Não só apenas confirmam que o filme seria sem graça e genérico, mas também conseguiu dar todo o filme; e eu não estou exagerando - cada momento, cada ponto da trama, cada piada é contada no trailer.</v>
      </c>
      <c r="B1033" s="3">
        <v>0</v>
      </c>
    </row>
    <row r="1034" ht="15.75" customHeight="1" spans="1:2">
      <c r="A1034" s="3" t="str">
        <f>IFERROR(__xludf.DUMMYFUNCTION("GOOGLETRANSLATE(A1034,""en"",""pt"")"),"Mas não é apenas engraçado.")</f>
        <v>Mas não é apenas engraçado.</v>
      </c>
      <c r="B1034" s="3">
        <v>0</v>
      </c>
    </row>
    <row r="1035" ht="15.75" customHeight="1" spans="1:2">
      <c r="A1035" s="3" t="str">
        <f>IFERROR(__xludf.DUMMYFUNCTION("GOOGLETRANSLATE(A1035,""en"",""pt"")"),"Mas mesmo o talentoso Carrell não pode salvar este.")</f>
        <v>Mas mesmo o talentoso Carrell não pode salvar este.</v>
      </c>
      <c r="B1035" s="3">
        <v>0</v>
      </c>
    </row>
    <row r="1036" ht="15.75" customHeight="1" spans="1:2">
      <c r="A1036" s="3" t="str">
        <f>IFERROR(__xludf.DUMMYFUNCTION("GOOGLETRANSLATE(A1036,""en"",""pt"")"),"Seus colegas de elenco não se saem muito melhor, com pessoas como Morgan Freeman, Jonah Hill, e Ed Helms apenas desperdiçados.")</f>
        <v>Seus colegas de elenco não se saem muito melhor, com pessoas como Morgan Freeman, Jonah Hill, e Ed Helms apenas desperdiçados.</v>
      </c>
      <c r="B1036" s="3">
        <v>0</v>
      </c>
    </row>
    <row r="1037" ht="15.75" customHeight="1" spans="1:2">
      <c r="A1037" s="3" t="str">
        <f>IFERROR(__xludf.DUMMYFUNCTION("GOOGLETRANSLATE(A1037,""en"",""pt"")"),"A história em si é apenas previsível e preguiçoso.")</f>
        <v>A história em si é apenas previsível e preguiçoso.</v>
      </c>
      <c r="B1037" s="3">
        <v>0</v>
      </c>
    </row>
    <row r="1038" ht="15.75" customHeight="1" spans="1:2">
      <c r="A1038" s="3" t="str">
        <f>IFERROR(__xludf.DUMMYFUNCTION("GOOGLETRANSLATE(A1038,""en"",""pt"")"),"O trabalho efeitos só real é a presença de todos os animais, bem como a integração das pessoas nas cenas é uma das piores e mais óbvia trabalho azul / tela verde que eu já vi.")</f>
        <v>O trabalho efeitos só real é a presença de todos os animais, bem como a integração das pessoas nas cenas é uma das piores e mais óbvia trabalho azul / tela verde que eu já vi.</v>
      </c>
      <c r="B1038" s="3">
        <v>0</v>
      </c>
    </row>
    <row r="1039" ht="15.75" customHeight="1" spans="1:2">
      <c r="A1039" s="3" t="str">
        <f>IFERROR(__xludf.DUMMYFUNCTION("GOOGLETRANSLATE(A1039,""en"",""pt"")"),"Mas o que foi que lhes custou tanto, não se traduzem em qualidade, isso é certo.")</f>
        <v>Mas o que foi que lhes custou tanto, não se traduzem em qualidade, isso é certo.</v>
      </c>
      <c r="B1039" s="3">
        <v>0</v>
      </c>
    </row>
    <row r="1040" ht="15.75" customHeight="1" spans="1:2">
      <c r="A1040" s="3" t="str">
        <f>IFERROR(__xludf.DUMMYFUNCTION("GOOGLETRANSLATE(A1040,""en"",""pt"")"),"O filme tem sucesso apesar, ou talvez por causa, um orçamento obviamente insuficiente.")</f>
        <v>O filme tem sucesso apesar, ou talvez por causa, um orçamento obviamente insuficiente.</v>
      </c>
      <c r="B1040" s="3">
        <v>1</v>
      </c>
    </row>
    <row r="1041" ht="15.75" customHeight="1" spans="1:2">
      <c r="A1041" s="3" t="str">
        <f>IFERROR(__xludf.DUMMYFUNCTION("GOOGLETRANSLATE(A1041,""en"",""pt"")"),"Estou contente o filme não ir para a escolha mais óbvia, como um filme menor, certamente teria.")</f>
        <v>Estou contente o filme não ir para a escolha mais óbvia, como um filme menor, certamente teria.</v>
      </c>
      <c r="B1041" s="3">
        <v>1</v>
      </c>
    </row>
    <row r="1042" ht="15.75" customHeight="1" spans="1:2">
      <c r="A1042" s="3" t="str">
        <f>IFERROR(__xludf.DUMMYFUNCTION("GOOGLETRANSLATE(A1042,""en"",""pt"")"),"Além de ter uma das canções mais lindas já escritas, French Cancan também possui um dos mais bonitos protagonistas nunca para enfeitar a tela.")</f>
        <v>Além de ter uma das canções mais lindas já escritas, French Cancan também possui um dos mais bonitos protagonistas nunca para enfeitar a tela.</v>
      </c>
      <c r="B1042" s="3">
        <v>1</v>
      </c>
    </row>
    <row r="1043" ht="15.75" customHeight="1" spans="1:2">
      <c r="A1043" s="3" t="str">
        <f>IFERROR(__xludf.DUMMYFUNCTION("GOOGLETRANSLATE(A1043,""en"",""pt"")"),"É difícil não cair cabeça-sobre-saltos no amor com aquela garota.")</f>
        <v>É difícil não cair cabeça-sobre-saltos no amor com aquela garota.</v>
      </c>
      <c r="B1043" s="3">
        <v>1</v>
      </c>
    </row>
    <row r="1044" ht="15.75" customHeight="1" spans="1:2">
      <c r="A1044" s="3" t="str">
        <f>IFERROR(__xludf.DUMMYFUNCTION("GOOGLETRANSLATE(A1044,""en"",""pt"")"),"No negativo, é bastante insípida a causa arrependimento por mais 2 horas de vida desperdiçados na frente da tela.")</f>
        <v>No negativo, é bastante insípida a causa arrependimento por mais 2 horas de vida desperdiçados na frente da tela.</v>
      </c>
      <c r="B1044" s="3">
        <v>0</v>
      </c>
    </row>
    <row r="1045" ht="15.75" customHeight="1" spans="1:2">
      <c r="A1045" s="3" t="str">
        <f>IFERROR(__xludf.DUMMYFUNCTION("GOOGLETRANSLATE(A1045,""en"",""pt"")"),"Longo, chorosa e sem sentido.")</f>
        <v>Longo, chorosa e sem sentido.</v>
      </c>
      <c r="B1045" s="3">
        <v>0</v>
      </c>
    </row>
    <row r="1046" ht="15.75" customHeight="1" spans="1:2">
      <c r="A1046" s="3" t="str">
        <f>IFERROR(__xludf.DUMMYFUNCTION("GOOGLETRANSLATE(A1046,""en"",""pt"")"),"Mas eu recomendo à espera de seus esforços futuros, que este só vez.")</f>
        <v>Mas eu recomendo à espera de seus esforços futuros, que este só vez.</v>
      </c>
      <c r="B1046" s="3">
        <v>0</v>
      </c>
    </row>
    <row r="1047" ht="15.75" customHeight="1" spans="1:2">
      <c r="A1047" s="3" t="str">
        <f>IFERROR(__xludf.DUMMYFUNCTION("GOOGLETRANSLATE(A1047,""en"",""pt"")"),"Excelente elenco, enredo, performances.")</f>
        <v>Excelente elenco, enredo, performances.</v>
      </c>
      <c r="B1047" s="3">
        <v>1</v>
      </c>
    </row>
    <row r="1048" ht="15.75" customHeight="1" spans="1:2">
      <c r="A1048" s="3" t="str">
        <f>IFERROR(__xludf.DUMMYFUNCTION("GOOGLETRANSLATE(A1048,""en"",""pt"")"),"Totalmente crível.")</f>
        <v>Totalmente crível.</v>
      </c>
      <c r="B1048" s="3">
        <v>1</v>
      </c>
    </row>
    <row r="1049" ht="15.75" customHeight="1" spans="1:2">
      <c r="A1049" s="3" t="str">
        <f>IFERROR(__xludf.DUMMYFUNCTION("GOOGLETRANSLATE(A1049,""en"",""pt"")"),"Anne Heche foi absolutamente convincente.")</f>
        <v>Anne Heche foi absolutamente convincente.</v>
      </c>
      <c r="B1049" s="3">
        <v>1</v>
      </c>
    </row>
    <row r="1050" ht="15.75" customHeight="1" spans="1:2">
      <c r="A1050" s="3" t="str">
        <f>IFERROR(__xludf.DUMMYFUNCTION("GOOGLETRANSLATE(A1050,""en"",""pt"")"),"retrato de um entusiasmado Marinha de Sam Shepard foi decepcionante.")</f>
        <v>retrato de um entusiasmado Marinha de Sam Shepard foi decepcionante.</v>
      </c>
      <c r="B1050" s="3">
        <v>1</v>
      </c>
    </row>
    <row r="1051" ht="15.75" customHeight="1" spans="1:2">
      <c r="A1051" s="3" t="str">
        <f>IFERROR(__xludf.DUMMYFUNCTION("GOOGLETRANSLATE(A1051,""en"",""pt"")"),"I sat preso à tela da TV.")</f>
        <v>I sat preso à tela da TV.</v>
      </c>
      <c r="B1051" s="3">
        <v>1</v>
      </c>
    </row>
    <row r="1052" ht="15.75" customHeight="1" spans="1:2">
      <c r="A1052" s="3" t="str">
        <f>IFERROR(__xludf.DUMMYFUNCTION("GOOGLETRANSLATE(A1052,""en"",""pt"")"),"Apesar de tudo, dar um presente uma 9 ressoando de 10.")</f>
        <v>Apesar de tudo, dar um presente uma 9 ressoando de 10.</v>
      </c>
      <c r="B1052" s="3">
        <v>1</v>
      </c>
    </row>
    <row r="1053" ht="15.75" customHeight="1" spans="1:2">
      <c r="A1053" s="3" t="str">
        <f>IFERROR(__xludf.DUMMYFUNCTION("GOOGLETRANSLATE(A1053,""en"",""pt"")"),"Eu acho que Tom Hanks é um bom ator.")</f>
        <v>Eu acho que Tom Hanks é um bom ator.</v>
      </c>
      <c r="B1053" s="3">
        <v>1</v>
      </c>
    </row>
    <row r="1054" ht="15.75" customHeight="1" spans="1:2">
      <c r="A1054" s="3" t="str">
        <f>IFERROR(__xludf.DUMMYFUNCTION("GOOGLETRANSLATE(A1054,""en"",""pt"")"),"Eu gostava de ler este livro para meus filhos quando eram pequenos.")</f>
        <v>Eu gostava de ler este livro para meus filhos quando eram pequenos.</v>
      </c>
      <c r="B1054" s="3">
        <v>1</v>
      </c>
    </row>
    <row r="1055" ht="15.75" customHeight="1" spans="1:2">
      <c r="A1055" s="3" t="str">
        <f>IFERROR(__xludf.DUMMYFUNCTION("GOOGLETRANSLATE(A1055,""en"",""pt"")"),"Fiquei muito decepcionado com o filme.")</f>
        <v>Fiquei muito decepcionado com o filme.</v>
      </c>
      <c r="B1055" s="3">
        <v>0</v>
      </c>
    </row>
    <row r="1056" ht="15.75" customHeight="1" spans="1:2">
      <c r="A1056" s="3" t="str">
        <f>IFERROR(__xludf.DUMMYFUNCTION("GOOGLETRANSLATE(A1056,""en"",""pt"")"),"Um personagem é totalmente irritante com uma voz que me dá a sensação de unhas em um quadro.")</f>
        <v>Um personagem é totalmente irritante com uma voz que me dá a sensação de unhas em um quadro.</v>
      </c>
      <c r="B1056" s="3">
        <v>0</v>
      </c>
    </row>
    <row r="1057" ht="15.75" customHeight="1" spans="1:2">
      <c r="A1057" s="3" t="str">
        <f>IFERROR(__xludf.DUMMYFUNCTION("GOOGLETRANSLATE(A1057,""en"",""pt"")"),"Há uma cena russa totalmente desnecessário trem / rolo.")</f>
        <v>Há uma cena russa totalmente desnecessário trem / rolo.</v>
      </c>
      <c r="B1057" s="3">
        <v>0</v>
      </c>
    </row>
    <row r="1058" ht="15.75" customHeight="1" spans="1:2">
      <c r="A1058" s="3" t="str">
        <f>IFERROR(__xludf.DUMMYFUNCTION("GOOGLETRANSLATE(A1058,""en"",""pt"")"),"Não havia absolutamente nenhum calor ou charme para estas cenas ou personagens.")</f>
        <v>Não havia absolutamente nenhum calor ou charme para estas cenas ou personagens.</v>
      </c>
      <c r="B1058" s="3">
        <v>0</v>
      </c>
    </row>
    <row r="1059" ht="15.75" customHeight="1" spans="1:2">
      <c r="A1059" s="3" t="str">
        <f>IFERROR(__xludf.DUMMYFUNCTION("GOOGLETRANSLATE(A1059,""en"",""pt"")"),"Este filme irrita totalmente em meus nervos.")</f>
        <v>Este filme irrita totalmente em meus nervos.</v>
      </c>
      <c r="B1059" s="3">
        <v>0</v>
      </c>
    </row>
    <row r="1060" ht="15.75" customHeight="1" spans="1:2">
      <c r="A1060" s="3" t="str">
        <f>IFERROR(__xludf.DUMMYFUNCTION("GOOGLETRANSLATE(A1060,""en"",""pt"")"),"As performances não são melhoradas pela improvisação, porque os atores têm agora duas vezes mais com que se preocupar: não só se eles estão entregando a linha bem, mas se a linha em si é bom.")</f>
        <v>As performances não são melhoradas pela improvisação, porque os atores têm agora duas vezes mais com que se preocupar: não só se eles estão entregando a linha bem, mas se a linha em si é bom.</v>
      </c>
      <c r="B1060" s="3">
        <v>0</v>
      </c>
    </row>
    <row r="1061" ht="15.75" customHeight="1" spans="1:2">
      <c r="A1061" s="3" t="str">
        <f>IFERROR(__xludf.DUMMYFUNCTION("GOOGLETRANSLATE(A1061,""en"",""pt"")"),"E, muito sinceramente, muitas vezes não é muito bom.")</f>
        <v>E, muito sinceramente, muitas vezes não é muito bom.</v>
      </c>
      <c r="B1061" s="3">
        <v>0</v>
      </c>
    </row>
    <row r="1062" ht="15.75" customHeight="1" spans="1:2">
      <c r="A1062" s="3" t="str">
        <f>IFERROR(__xludf.DUMMYFUNCTION("GOOGLETRANSLATE(A1062,""en"",""pt"")"),"Muitas vezes, o diálogo realmente não siga de uma linha para outra, ou se encaixam nas imediações.")</f>
        <v>Muitas vezes, o diálogo realmente não siga de uma linha para outra, ou se encaixam nas imediações.</v>
      </c>
      <c r="B1062" s="3">
        <v>0</v>
      </c>
    </row>
    <row r="1063" ht="15.75" customHeight="1" spans="1:2">
      <c r="A1063" s="3" t="str">
        <f>IFERROR(__xludf.DUMMYFUNCTION("GOOGLETRANSLATE(A1063,""en"",""pt"")"),"Ele explode com uma energia imprevisível, jovem - mas honestamente, eu achei difícil de seguir e se concentrar no que serpenteia tão mal.")</f>
        <v>Ele explode com uma energia imprevisível, jovem - mas honestamente, eu achei difícil de seguir e se concentrar no que serpenteia tão mal.</v>
      </c>
      <c r="B1063" s="3">
        <v>0</v>
      </c>
    </row>
    <row r="1064" ht="15.75" customHeight="1" spans="1:2">
      <c r="A1064" s="3" t="str">
        <f>IFERROR(__xludf.DUMMYFUNCTION("GOOGLETRANSLATE(A1064,""en"",""pt"")"),"Há algumas geralmente grandes coisas nele.")</f>
        <v>Há algumas geralmente grandes coisas nele.</v>
      </c>
      <c r="B1064" s="3">
        <v>1</v>
      </c>
    </row>
    <row r="1065" ht="15.75" customHeight="1" spans="1:2">
      <c r="A1065" s="3" t="str">
        <f>IFERROR(__xludf.DUMMYFUNCTION("GOOGLETRANSLATE(A1065,""en"",""pt"")"),"Eu não diria que eles valem 2 horas de seu tempo, no entanto.")</f>
        <v>Eu não diria que eles valem 2 horas de seu tempo, no entanto.</v>
      </c>
      <c r="B1065" s="3">
        <v>0</v>
      </c>
    </row>
    <row r="1066" ht="15.75" customHeight="1" spans="1:2">
      <c r="A1066" s="3" t="str">
        <f>IFERROR(__xludf.DUMMYFUNCTION("GOOGLETRANSLATE(A1066,""en"",""pt"")"),"Os construtores de suspense eram bons, e apenas cruzar a linha de G para PG.")</f>
        <v>Os construtores de suspense eram bons, e apenas cruzar a linha de G para PG.</v>
      </c>
      <c r="B1066" s="3">
        <v>1</v>
      </c>
    </row>
    <row r="1067" ht="15.75" customHeight="1" spans="1:2">
      <c r="A1067" s="3" t="str">
        <f>IFERROR(__xludf.DUMMYFUNCTION("GOOGLETRANSLATE(A1067,""en"",""pt"")"),"Eu gostei especialmente as escolhas não-clichê com os pais; em outros filmes, eu poderia prever o diálogo na íntegra, mas a escrita neste filme feito melhores seleções.")</f>
        <v>Eu gostei especialmente as escolhas não-clichê com os pais; em outros filmes, eu poderia prever o diálogo na íntegra, mas a escrita neste filme feito melhores seleções.</v>
      </c>
      <c r="B1067" s="3">
        <v>1</v>
      </c>
    </row>
    <row r="1068" ht="15.75" customHeight="1" spans="1:2">
      <c r="A1068" s="3" t="str">
        <f>IFERROR(__xludf.DUMMYFUNCTION("GOOGLETRANSLATE(A1068,""en"",""pt"")"),"Se você quer um filme que não é bruto, mas dá-lhe alguns calafrios, esta é uma ótima escolha.")</f>
        <v>Se você quer um filme que não é bruto, mas dá-lhe alguns calafrios, esta é uma ótima escolha.</v>
      </c>
      <c r="B1068" s="3">
        <v>1</v>
      </c>
    </row>
    <row r="1069" ht="15.75" customHeight="1" spans="1:2">
      <c r="A1069" s="3" t="str">
        <f>IFERROR(__xludf.DUMMYFUNCTION("GOOGLETRANSLATE(A1069,""en"",""pt"")"),"Alexander Nevsky é um grande filme.")</f>
        <v>Alexander Nevsky é um grande filme.</v>
      </c>
      <c r="B1069" s="3">
        <v>1</v>
      </c>
    </row>
    <row r="1070" ht="15.75" customHeight="1" spans="1:2">
      <c r="A1070" s="3" t="str">
        <f>IFERROR(__xludf.DUMMYFUNCTION("GOOGLETRANSLATE(A1070,""en"",""pt"")"),"Ele é um artista filme incrível, um dos mais importante quem viveu.")</f>
        <v>Ele é um artista filme incrível, um dos mais importante quem viveu.</v>
      </c>
      <c r="B1070" s="3">
        <v>1</v>
      </c>
    </row>
    <row r="1071" ht="15.75" customHeight="1" spans="1:2">
      <c r="A1071" s="3" t="str">
        <f>IFERROR(__xludf.DUMMYFUNCTION("GOOGLETRANSLATE(A1071,""en"",""pt"")"),"Estou feliz esta peça pretensiosa de s *** não fazer como planejado pelos tiros de Dodge Stratus grandes ... vai fabricantes de ajuda de filmes que não estão no ""negócio do filme"" muito contido de QuÃ © bec.")</f>
        <v>Estou feliz esta peça pretensiosa de s *** não fazer como planejado pelos tiros de Dodge Stratus grandes ... vai fabricantes de ajuda de filmes que não estão no "negócio do filme" muito contido de QuÃ © bec.</v>
      </c>
      <c r="B1071" s="3">
        <v>0</v>
      </c>
    </row>
    <row r="1072" ht="15.75" customHeight="1" spans="1:2">
      <c r="A1072" s="3" t="str">
        <f>IFERROR(__xludf.DUMMYFUNCTION("GOOGLETRANSLATE(A1072,""en"",""pt"")"),"Isso se o primeiro filme que eu tenho dado a 10 em anos.")</f>
        <v>Isso se o primeiro filme que eu tenho dado a 10 em anos.</v>
      </c>
      <c r="B1072" s="3">
        <v>1</v>
      </c>
    </row>
    <row r="1073" ht="15.75" customHeight="1" spans="1:2">
      <c r="A1073" s="3" t="str">
        <f>IFERROR(__xludf.DUMMYFUNCTION("GOOGLETRANSLATE(A1073,""en"",""pt"")"),"Se alguma vez houve um filme que precisava de boca-a-boca para promover, é isso.")</f>
        <v>Se alguma vez houve um filme que precisava de boca-a-boca para promover, é isso.</v>
      </c>
      <c r="B1073" s="3">
        <v>1</v>
      </c>
    </row>
    <row r="1074" ht="15.75" customHeight="1" spans="1:2">
      <c r="A1074" s="3" t="str">
        <f>IFERROR(__xludf.DUMMYFUNCTION("GOOGLETRANSLATE(A1074,""en"",""pt"")"),"No geral, o filme é interessante e instigante.")</f>
        <v>No geral, o filme é interessante e instigante.</v>
      </c>
      <c r="B1074" s="3">
        <v>1</v>
      </c>
    </row>
    <row r="1075" ht="15.75" customHeight="1" spans="1:2">
      <c r="A1075" s="3" t="str">
        <f>IFERROR(__xludf.DUMMYFUNCTION("GOOGLETRANSLATE(A1075,""en"",""pt"")"),"Além disso, ele foi bem tranqüilo e adequado a sua tempo de execução relativamente curto.")</f>
        <v>Além disso, ele foi bem tranqüilo e adequado a sua tempo de execução relativamente curto.</v>
      </c>
      <c r="B1075" s="3">
        <v>1</v>
      </c>
    </row>
    <row r="1076" ht="15.75" customHeight="1" spans="1:2">
      <c r="A1076" s="3" t="str">
        <f>IFERROR(__xludf.DUMMYFUNCTION("GOOGLETRANSLATE(A1076,""en"",""pt"")"),"Dar um olhar.")</f>
        <v>Dar um olhar.</v>
      </c>
      <c r="B1076" s="3">
        <v>1</v>
      </c>
    </row>
    <row r="1077" ht="15.75" customHeight="1" spans="1:2">
      <c r="A1077" s="3" t="str">
        <f>IFERROR(__xludf.DUMMYFUNCTION("GOOGLETRANSLATE(A1077,""en"",""pt"")"),"Eu dei-lhe um 10")</f>
        <v>Eu dei-lhe um 10</v>
      </c>
      <c r="B1077" s="3">
        <v>1</v>
      </c>
    </row>
    <row r="1078" ht="15.75" customHeight="1" spans="1:2">
      <c r="A1078" s="3" t="str">
        <f>IFERROR(__xludf.DUMMYFUNCTION("GOOGLETRANSLATE(A1078,""en"",""pt"")"),"O Vento eo Leão é bem escrito e muito bem atuado.")</f>
        <v>O Vento eo Leão é bem escrito e muito bem atuado.</v>
      </c>
      <c r="B1078" s="3">
        <v>1</v>
      </c>
    </row>
    <row r="1079" ht="15.75" customHeight="1" spans="1:2">
      <c r="A1079" s="3" t="str">
        <f>IFERROR(__xludf.DUMMYFUNCTION("GOOGLETRANSLATE(A1079,""en"",""pt"")"),"É um verdadeiro clássico.")</f>
        <v>É um verdadeiro clássico.</v>
      </c>
      <c r="B1079" s="3">
        <v>1</v>
      </c>
    </row>
    <row r="1080" ht="15.75" customHeight="1" spans="1:2">
      <c r="A1080" s="3" t="str">
        <f>IFERROR(__xludf.DUMMYFUNCTION("GOOGLETRANSLATE(A1080,""en"",""pt"")"),"Na verdade, acabou por ser bastante decente, tanto quanto lista B horror / filmes de suspense ir.")</f>
        <v>Na verdade, acabou por ser bastante decente, tanto quanto lista B horror / filmes de suspense ir.</v>
      </c>
      <c r="B1080" s="3">
        <v>1</v>
      </c>
    </row>
    <row r="1081" ht="15.75" customHeight="1" spans="1:2">
      <c r="A1081" s="3" t="str">
        <f>IFERROR(__xludf.DUMMYFUNCTION("GOOGLETRANSLATE(A1081,""en"",""pt"")"),"Definitivamente vale a pena conferir.")</f>
        <v>Definitivamente vale a pena conferir.</v>
      </c>
      <c r="B1081" s="3">
        <v>1</v>
      </c>
    </row>
    <row r="1082" ht="15.75" customHeight="1" spans="1:2">
      <c r="A1082" s="3" t="str">
        <f>IFERROR(__xludf.DUMMYFUNCTION("GOOGLETRANSLATE(A1082,""en"",""pt"")"),"O problema foi o script.")</f>
        <v>O problema foi o script.</v>
      </c>
      <c r="B1082" s="3">
        <v>0</v>
      </c>
    </row>
    <row r="1083" ht="15.75" customHeight="1" spans="1:2">
      <c r="A1083" s="3" t="str">
        <f>IFERROR(__xludf.DUMMYFUNCTION("GOOGLETRANSLATE(A1083,""en"",""pt"")"),"Foi horrível.")</f>
        <v>Foi horrível.</v>
      </c>
      <c r="B1083" s="3">
        <v>0</v>
      </c>
    </row>
    <row r="1084" ht="15.75" customHeight="1" spans="1:2">
      <c r="A1084" s="3" t="str">
        <f>IFERROR(__xludf.DUMMYFUNCTION("GOOGLETRANSLATE(A1084,""en"",""pt"")"),"Não havia nada crível sobre ele em tudo.")</f>
        <v>Não havia nada crível sobre ele em tudo.</v>
      </c>
      <c r="B1084" s="3">
        <v>0</v>
      </c>
    </row>
    <row r="1085" ht="15.75" customHeight="1" spans="1:2">
      <c r="A1085" s="3" t="str">
        <f>IFERROR(__xludf.DUMMYFUNCTION("GOOGLETRANSLATE(A1085,""en"",""pt"")"),"O único suspense que eu estava sentindo era a frustração com o quão retardado as meninas estavam.")</f>
        <v>O único suspense que eu estava sentindo era a frustração com o quão retardado as meninas estavam.</v>
      </c>
      <c r="B1085" s="3">
        <v>0</v>
      </c>
    </row>
    <row r="1086" ht="15.75" customHeight="1" spans="1:2">
      <c r="A1086" s="3" t="str">
        <f>IFERROR(__xludf.DUMMYFUNCTION("GOOGLETRANSLATE(A1086,""en"",""pt"")"),"Maná do céu é um filme fantástico que é ao mesmo tempo previsíveis e imprevisíveis, ao mesmo tempo.")</f>
        <v>Maná do céu é um filme fantástico que é ao mesmo tempo previsíveis e imprevisíveis, ao mesmo tempo.</v>
      </c>
      <c r="B1086" s="3">
        <v>1</v>
      </c>
    </row>
    <row r="1087" ht="15.75" customHeight="1" spans="1:2">
      <c r="A1087" s="3" t="str">
        <f>IFERROR(__xludf.DUMMYFUNCTION("GOOGLETRANSLATE(A1087,""en"",""pt"")"),"As cenas são muitas vezes engraçado e, ocasionalmente tocando como os personagens avaliar suas vidas e para onde estão indo.")</f>
        <v>As cenas são muitas vezes engraçado e, ocasionalmente tocando como os personagens avaliar suas vidas e para onde estão indo.</v>
      </c>
      <c r="B1087" s="3">
        <v>1</v>
      </c>
    </row>
    <row r="1088" ht="15.75" customHeight="1" spans="1:2">
      <c r="A1088" s="3" t="str">
        <f>IFERROR(__xludf.DUMMYFUNCTION("GOOGLETRANSLATE(A1088,""en"",""pt"")"),"O elenco de atores veteranos são mais do que apenas uma viagem de nostalgia.")</f>
        <v>O elenco de atores veteranos são mais do que apenas uma viagem de nostalgia.</v>
      </c>
      <c r="B1088" s="3">
        <v>1</v>
      </c>
    </row>
    <row r="1089" ht="15.75" customHeight="1" spans="1:2">
      <c r="A1089" s="3" t="str">
        <f>IFERROR(__xludf.DUMMYFUNCTION("GOOGLETRANSLATE(A1089,""en"",""pt"")"),"retrato da freira de Ursula Burton é ao mesmo tempo comovente e engraçado ao mesmo tempo com a tirando sarro de freiras ou a igreja.")</f>
        <v>retrato da freira de Ursula Burton é ao mesmo tempo comovente e engraçado ao mesmo tempo com a tirando sarro de freiras ou a igreja.</v>
      </c>
      <c r="B1089" s="3">
        <v>1</v>
      </c>
    </row>
    <row r="1090" ht="15.75" customHeight="1" spans="1:2">
      <c r="A1090" s="3" t="str">
        <f>IFERROR(__xludf.DUMMYFUNCTION("GOOGLETRANSLATE(A1090,""en"",""pt"")"),"Se você está à procura de um filme com um elenco fantástico, uma boa música (incluindo uma versão Shirley Jones de ""The Way You Look Tonight""), e uma elevação fim, dar um presente uma tentativa.")</f>
        <v>Se você está à procura de um filme com um elenco fantástico, uma boa música (incluindo uma versão Shirley Jones de "The Way You Look Tonight"), e uma elevação fim, dar um presente uma tentativa.</v>
      </c>
      <c r="B1090" s="3">
        <v>1</v>
      </c>
    </row>
    <row r="1091" ht="15.75" customHeight="1" spans="1:2">
      <c r="A1091" s="3" t="str">
        <f>IFERROR(__xludf.DUMMYFUNCTION("GOOGLETRANSLATE(A1091,""en"",""pt"")"),"Eu não acho que você vai ficar desapontado.")</f>
        <v>Eu não acho que você vai ficar desapontado.</v>
      </c>
      <c r="B1091" s="3">
        <v>1</v>
      </c>
    </row>
    <row r="1092" ht="15.75" customHeight="1" spans="1:2">
      <c r="A1092" s="3" t="str">
        <f>IFERROR(__xludf.DUMMYFUNCTION("GOOGLETRANSLATE(A1092,""en"",""pt"")"),"Francamente, após o clube do algodão e Unfaithful, era uma espécie de embaraçoso para assistir Lane e Gere no filme, porque ele é ruim.")</f>
        <v>Francamente, após o clube do algodão e Unfaithful, era uma espécie de embaraçoso para assistir Lane e Gere no filme, porque ele é ruim.</v>
      </c>
      <c r="B1092" s="3">
        <v>0</v>
      </c>
    </row>
    <row r="1093" ht="15.75" customHeight="1" spans="1:2">
      <c r="A1093" s="3" t="str">
        <f>IFERROR(__xludf.DUMMYFUNCTION("GOOGLETRANSLATE(A1093,""en"",""pt"")"),"A atuação foi ruim, os diálogos eram extremamente superficial e insincera.")</f>
        <v>A atuação foi ruim, os diálogos eram extremamente superficial e insincera.</v>
      </c>
      <c r="B1093" s="3">
        <v>0</v>
      </c>
    </row>
    <row r="1094" ht="15.75" customHeight="1" spans="1:2">
      <c r="A1094" s="3" t="str">
        <f>IFERROR(__xludf.DUMMYFUNCTION("GOOGLETRANSLATE(A1094,""en"",""pt"")"),"Foi muito previsível, mesmo para um chick flick.")</f>
        <v>Foi muito previsível, mesmo para um chick flick.</v>
      </c>
      <c r="B1094" s="3">
        <v>0</v>
      </c>
    </row>
    <row r="1095" ht="15.75" customHeight="1" spans="1:2">
      <c r="A1095" s="3" t="str">
        <f>IFERROR(__xludf.DUMMYFUNCTION("GOOGLETRANSLATE(A1095,""en"",""pt"")"),"Muito politicamente correto.")</f>
        <v>Muito politicamente correto.</v>
      </c>
      <c r="B1095" s="3">
        <v>0</v>
      </c>
    </row>
    <row r="1096" ht="15.75" customHeight="1" spans="1:2">
      <c r="A1096" s="3" t="str">
        <f>IFERROR(__xludf.DUMMYFUNCTION("GOOGLETRANSLATE(A1096,""en"",""pt"")"),"Muito decepcionante.")</f>
        <v>Muito decepcionante.</v>
      </c>
      <c r="B1096" s="3">
        <v>0</v>
      </c>
    </row>
    <row r="1097" ht="15.75" customHeight="1" spans="1:2">
      <c r="A1097" s="3" t="str">
        <f>IFERROR(__xludf.DUMMYFUNCTION("GOOGLETRANSLATE(A1097,""en"",""pt"")"),"A única coisa que realmente vale a pena assistir foi o cenário e a casa, porque é bonito.")</f>
        <v>A única coisa que realmente vale a pena assistir foi o cenário e a casa, porque é bonito.</v>
      </c>
      <c r="B1097" s="3">
        <v>1</v>
      </c>
    </row>
    <row r="1098" ht="15.75" customHeight="1" spans="1:2">
      <c r="A1098" s="3" t="str">
        <f>IFERROR(__xludf.DUMMYFUNCTION("GOOGLETRANSLATE(A1098,""en"",""pt"")"),"Eu amo a pista, mas eu nunca a vi em um filme este mau.")</f>
        <v>Eu amo a pista, mas eu nunca a vi em um filme este mau.</v>
      </c>
      <c r="B1098" s="3">
        <v>0</v>
      </c>
    </row>
    <row r="1099" ht="15.75" customHeight="1" spans="1:2">
      <c r="A1099" s="3" t="str">
        <f>IFERROR(__xludf.DUMMYFUNCTION("GOOGLETRANSLATE(A1099,""en"",""pt"")"),"Uma hora e meia Eu gostaria de poder trazer de volta.")</f>
        <v>Uma hora e meia Eu gostaria de poder trazer de volta.</v>
      </c>
      <c r="B1099" s="3">
        <v>0</v>
      </c>
    </row>
    <row r="1100" ht="15.75" customHeight="1" spans="1:2">
      <c r="A1100" s="3" t="str">
        <f>IFERROR(__xludf.DUMMYFUNCTION("GOOGLETRANSLATE(A1100,""en"",""pt"")"),"Mas em termos de escrita é muito fresca e negrito.")</f>
        <v>Mas em termos de escrita é muito fresca e negrito.</v>
      </c>
      <c r="B1100" s="3">
        <v>1</v>
      </c>
    </row>
    <row r="1101" ht="15.75" customHeight="1" spans="1:2">
      <c r="A1101" s="3" t="str">
        <f>IFERROR(__xludf.DUMMYFUNCTION("GOOGLETRANSLATE(A1101,""en"",""pt"")"),"A atuação ajuda a escrita dão muito bem (talvez a irmã idiota-savant poderia ter sido jogado melhor), e é uma verdadeira alegria de assistir.")</f>
        <v>A atuação ajuda a escrita dão muito bem (talvez a irmã idiota-savant poderia ter sido jogado melhor), e é uma verdadeira alegria de assistir.</v>
      </c>
      <c r="B1101" s="3">
        <v>1</v>
      </c>
    </row>
    <row r="1102" ht="15.75" customHeight="1" spans="1:2">
      <c r="A1102" s="3" t="str">
        <f>IFERROR(__xludf.DUMMYFUNCTION("GOOGLETRANSLATE(A1102,""en"",""pt"")"),"A direção e cinematografia não são tão bons.")</f>
        <v>A direção e cinematografia não são tão bons.</v>
      </c>
      <c r="B1102" s="3">
        <v>0</v>
      </c>
    </row>
    <row r="1103" ht="15.75" customHeight="1" spans="1:2">
      <c r="A1103" s="3" t="str">
        <f>IFERROR(__xludf.DUMMYFUNCTION("GOOGLETRANSLATE(A1103,""en"",""pt"")"),"O filme foi tão chato, que às vezes eu encontrei-me ocupado pico no papel em vez de assistir (nunca aconteceu durante um filme Columbo antes!")</f>
        <v>O filme foi tão chato, que às vezes eu encontrei-me ocupado pico no papel em vez de assistir (nunca aconteceu durante um filme Columbo antes!</v>
      </c>
      <c r="B1103" s="3">
        <v>0</v>
      </c>
    </row>
    <row r="1104" ht="15.75" customHeight="1" spans="1:2">
      <c r="A1104" s="3" t="str">
        <f>IFERROR(__xludf.DUMMYFUNCTION("GOOGLETRANSLATE(A1104,""en"",""pt"")"),"A direção parece demasiado pretensioso.")</f>
        <v>A direção parece demasiado pretensioso.</v>
      </c>
      <c r="B1104" s="3">
        <v>0</v>
      </c>
    </row>
    <row r="1105" ht="15.75" customHeight="1" spans="1:2">
      <c r="A1105" s="3" t="str">
        <f>IFERROR(__xludf.DUMMYFUNCTION("GOOGLETRANSLATE(A1105,""en"",""pt"")"),"As cenas com o ""oh-so-amadurecer"" vizinho de menina são uma misplace.")</f>
        <v>As cenas com o "oh-so-amadurecer" vizinho de menina são uma misplace.</v>
      </c>
      <c r="B1105" s="3">
        <v>0</v>
      </c>
    </row>
    <row r="1106" ht="15.75" customHeight="1" spans="1:2">
      <c r="A1106" s="3" t="str">
        <f>IFERROR(__xludf.DUMMYFUNCTION("GOOGLETRANSLATE(A1106,""en"",""pt"")"),"E, geralmente, as linhas e enredo é mais fraco do que o episódio média.")</f>
        <v>E, geralmente, as linhas e enredo é mais fraco do que o episódio média.</v>
      </c>
      <c r="B1106" s="3">
        <v>0</v>
      </c>
    </row>
    <row r="1107" ht="15.75" customHeight="1" spans="1:2">
      <c r="A1107" s="3" t="str">
        <f>IFERROR(__xludf.DUMMYFUNCTION("GOOGLETRANSLATE(A1107,""en"",""pt"")"),"Então cena em que eles debatido se deve ou não demitir o trompetista (que falsamente foi acusado pelo assassinato) é puro horror, realmente estúpido.")</f>
        <v>Então cena em que eles debatido se deve ou não demitir o trompetista (que falsamente foi acusado pelo assassinato) é puro horror, realmente estúpido.</v>
      </c>
      <c r="B1107" s="3">
        <v>0</v>
      </c>
    </row>
    <row r="1108" ht="15.75" customHeight="1" spans="1:2">
      <c r="A1108" s="3" t="str">
        <f>IFERROR(__xludf.DUMMYFUNCTION("GOOGLETRANSLATE(A1108,""en"",""pt"")"),"Alguns aplausos deve ser dada ao ""prelúdio"", no entanto.")</f>
        <v>Alguns aplausos deve ser dada ao "prelúdio", no entanto.</v>
      </c>
      <c r="B1108" s="3">
        <v>1</v>
      </c>
    </row>
    <row r="1109" ht="15.75" customHeight="1" spans="1:2">
      <c r="A1109" s="3" t="str">
        <f>IFERROR(__xludf.DUMMYFUNCTION("GOOGLETRANSLATE(A1109,""en"",""pt"")"),"Eu realmente gostei que.")</f>
        <v>Eu realmente gostei que.</v>
      </c>
      <c r="B1109" s="3">
        <v>1</v>
      </c>
    </row>
    <row r="1110" ht="15.75" customHeight="1" spans="1:2">
      <c r="A1110" s="3" t="str">
        <f>IFERROR(__xludf.DUMMYFUNCTION("GOOGLETRANSLATE(A1110,""en"",""pt"")"),"Um grande filme de um grande diretor.")</f>
        <v>Um grande filme de um grande diretor.</v>
      </c>
      <c r="B1110" s="3">
        <v>1</v>
      </c>
    </row>
    <row r="1111" ht="15.75" customHeight="1" spans="1:2">
      <c r="A1111" s="3" t="str">
        <f>IFERROR(__xludf.DUMMYFUNCTION("GOOGLETRANSLATE(A1111,""en"",""pt"")"),"O filme tinha-lo na borda de seu assento e fez-lhe um pouco com medo de ir para o seu carro no final da noite.")</f>
        <v>O filme tinha-lo na borda de seu assento e fez-lhe um pouco com medo de ir para o seu carro no final da noite.</v>
      </c>
      <c r="B1111" s="3">
        <v>1</v>
      </c>
    </row>
    <row r="1112" ht="15.75" customHeight="1" spans="1:2">
      <c r="A1112" s="3" t="str">
        <f>IFERROR(__xludf.DUMMYFUNCTION("GOOGLETRANSLATE(A1112,""en"",""pt"")"),"A música do filme é muito bom também.")</f>
        <v>A música do filme é muito bom também.</v>
      </c>
      <c r="B1112" s="3">
        <v>1</v>
      </c>
    </row>
    <row r="1113" ht="15.75" customHeight="1" spans="1:2">
      <c r="A1113" s="3" t="str">
        <f>IFERROR(__xludf.DUMMYFUNCTION("GOOGLETRANSLATE(A1113,""en"",""pt"")"),"Eu aconselho ninguém a ir vê-lo.")</f>
        <v>Eu aconselho ninguém a ir vê-lo.</v>
      </c>
      <c r="B1113" s="3">
        <v>1</v>
      </c>
    </row>
    <row r="1114" ht="15.75" customHeight="1" spans="1:2">
      <c r="A1114" s="3" t="str">
        <f>IFERROR(__xludf.DUMMYFUNCTION("GOOGLETRANSLATE(A1114,""en"",""pt"")"),"Brilhante!")</f>
        <v>Brilhante!</v>
      </c>
      <c r="B1114" s="3">
        <v>1</v>
      </c>
    </row>
    <row r="1115" ht="15.75" customHeight="1" spans="1:2">
      <c r="A1115" s="3" t="str">
        <f>IFERROR(__xludf.DUMMYFUNCTION("GOOGLETRANSLATE(A1115,""en"",""pt"")"),"Eu gostei desta maneira filme muito.")</f>
        <v>Eu gostei desta maneira filme muito.</v>
      </c>
      <c r="B1115" s="3">
        <v>1</v>
      </c>
    </row>
    <row r="1116" ht="15.75" customHeight="1" spans="1:2">
      <c r="A1116" s="3" t="str">
        <f>IFERROR(__xludf.DUMMYFUNCTION("GOOGLETRANSLATE(A1116,""en"",""pt"")"),"O meu único problema é que eu pensei que o ator que interpreta o vilão era um aluguel baixo Michael Ironside.")</f>
        <v>O meu único problema é que eu pensei que o ator que interpreta o vilão era um aluguel baixo Michael Ironside.</v>
      </c>
      <c r="B1116" s="3">
        <v>0</v>
      </c>
    </row>
    <row r="1117" ht="15.75" customHeight="1" spans="1:2">
      <c r="A1117" s="3" t="str">
        <f>IFERROR(__xludf.DUMMYFUNCTION("GOOGLETRANSLATE(A1117,""en"",""pt"")"),"Ele balançou meu mundo e é certamente um deve ver para quem sem saídas sociais ou físicas.")</f>
        <v>Ele balançou meu mundo e é certamente um deve ver para quem sem saídas sociais ou físicas.</v>
      </c>
      <c r="B1117" s="3">
        <v>1</v>
      </c>
    </row>
    <row r="1118" ht="15.75" customHeight="1" spans="1:2">
      <c r="A1118" s="3" t="str">
        <f>IFERROR(__xludf.DUMMYFUNCTION("GOOGLETRANSLATE(A1118,""en"",""pt"")"),"No entanto, este não fez para o fato de que, em geral, este foi um filme tremendamente chato.")</f>
        <v>No entanto, este não fez para o fato de que, em geral, este foi um filme tremendamente chato.</v>
      </c>
      <c r="B1118" s="3">
        <v>0</v>
      </c>
    </row>
    <row r="1119" ht="15.75" customHeight="1" spans="1:2">
      <c r="A1119" s="3" t="str">
        <f>IFERROR(__xludf.DUMMYFUNCTION("GOOGLETRANSLATE(A1119,""en"",""pt"")"),"Não havia química entre Ben Affleck e Sandra Bullock no filme, e eu não conseguia entender por que ele consideraria mesmo deixando sua esposa-a-ser para essa garota que ele supostamente foi nocauteado por.")</f>
        <v>Não havia química entre Ben Affleck e Sandra Bullock no filme, e eu não conseguia entender por que ele consideraria mesmo deixando sua esposa-a-ser para essa garota que ele supostamente foi nocauteado por.</v>
      </c>
      <c r="B1119" s="3">
        <v>0</v>
      </c>
    </row>
    <row r="1120" ht="15.75" customHeight="1" spans="1:2">
      <c r="A1120" s="3" t="str">
        <f>IFERROR(__xludf.DUMMYFUNCTION("GOOGLETRANSLATE(A1120,""en"",""pt"")"),"Houve vários momentos no filme que simplesmente não precisa estar lá e foram dolorosamente lentos.")</f>
        <v>Houve vários momentos no filme que simplesmente não precisa estar lá e foram dolorosamente lentos.</v>
      </c>
      <c r="B1120" s="3">
        <v>0</v>
      </c>
    </row>
    <row r="1121" ht="15.75" customHeight="1" spans="1:2">
      <c r="A1121" s="3" t="str">
        <f>IFERROR(__xludf.DUMMYFUNCTION("GOOGLETRANSLATE(A1121,""en"",""pt"")"),"Este foi um remake pobre de ""Wedding meus melhores amigos"".")</f>
        <v>Este foi um remake pobre de "Wedding meus melhores amigos".</v>
      </c>
      <c r="B1121" s="3">
        <v>0</v>
      </c>
    </row>
    <row r="1122" ht="15.75" customHeight="1" spans="1:2">
      <c r="A1122" s="3" t="str">
        <f>IFERROR(__xludf.DUMMYFUNCTION("GOOGLETRANSLATE(A1122,""en"",""pt"")"),"Tudo em tudo, uma grande decepção.")</f>
        <v>Tudo em tudo, uma grande decepção.</v>
      </c>
      <c r="B1122" s="3">
        <v>0</v>
      </c>
    </row>
    <row r="1123" ht="15.75" customHeight="1" spans="1:2">
      <c r="A1123" s="3" t="str">
        <f>IFERROR(__xludf.DUMMYFUNCTION("GOOGLETRANSLATE(A1123,""en"",""pt"")"),"Eu não posso acreditar que os atores concordaram em fazer isso ""filme"".")</f>
        <v>Eu não posso acreditar que os atores concordaram em fazer isso "filme".</v>
      </c>
      <c r="B1123" s="3">
        <v>0</v>
      </c>
    </row>
    <row r="1124" ht="15.75" customHeight="1" spans="1:2">
      <c r="A1124" s="3" t="str">
        <f>IFERROR(__xludf.DUMMYFUNCTION("GOOGLETRANSLATE(A1124,""en"",""pt"")"),"Eu não poderia estar até mesmo vê-lo por muito tempo por medo de perder I.Q.")</f>
        <v>Eu não poderia estar até mesmo vê-lo por muito tempo por medo de perder I.Q.</v>
      </c>
      <c r="B1124" s="3">
        <v>0</v>
      </c>
    </row>
    <row r="1125" ht="15.75" customHeight="1" spans="1:2">
      <c r="A1125" s="3" t="str">
        <f>IFERROR(__xludf.DUMMYFUNCTION("GOOGLETRANSLATE(A1125,""en"",""pt"")"),"Eu acho que ninguém na rede que foi ao ar neste drible assisti-lo antes de colocá-lo.")</f>
        <v>Eu acho que ninguém na rede que foi ao ar neste drible assisti-lo antes de colocá-lo.</v>
      </c>
      <c r="B1125" s="3">
        <v>0</v>
      </c>
    </row>
    <row r="1126" ht="15.75" customHeight="1" spans="1:2">
      <c r="A1126" s="3" t="str">
        <f>IFERROR(__xludf.DUMMYFUNCTION("GOOGLETRANSLATE(A1126,""en"",""pt"")"),"classificações de IMDB única ir tão baixo 1 para horrível, é hora de obter alguns números negativos em lá para casos como estes.")</f>
        <v>classificações de IMDB única ir tão baixo 1 para horrível, é hora de obter alguns números negativos em lá para casos como estes.</v>
      </c>
      <c r="B1126" s="3">
        <v>0</v>
      </c>
    </row>
    <row r="1127" ht="15.75" customHeight="1" spans="1:2">
      <c r="A1127" s="3" t="str">
        <f>IFERROR(__xludf.DUMMYFUNCTION("GOOGLETRANSLATE(A1127,""en"",""pt"")"),"Eu vi ""Mirrormask"" ontem à noite e foi uma experiência insatisfatória.")</f>
        <v>Eu vi "Mirrormask" ontem à noite e foi uma experiência insatisfatória.</v>
      </c>
      <c r="B1127" s="3">
        <v>0</v>
      </c>
    </row>
    <row r="1128" ht="15.75" customHeight="1" spans="1:2">
      <c r="A1128" s="3" t="str">
        <f>IFERROR(__xludf.DUMMYFUNCTION("GOOGLETRANSLATE(A1128,""en"",""pt"")"),"Infelizmente, a inexperiência de direção significava que cena após cena passou com pouco na forma de tensão dramática ou conflito.")</f>
        <v>Infelizmente, a inexperiência de direção significava que cena após cena passou com pouco na forma de tensão dramática ou conflito.</v>
      </c>
      <c r="B1128" s="3">
        <v>0</v>
      </c>
    </row>
    <row r="1129" ht="15.75" customHeight="1" spans="1:2">
      <c r="A1129" s="3" t="str">
        <f>IFERROR(__xludf.DUMMYFUNCTION("GOOGLETRANSLATE(A1129,""en"",""pt"")"),"Estes são os temas centrais do filme e eles são tratados ineptly, estereotipada e sem profundidade da imaginação.")</f>
        <v>Estes são os temas centrais do filme e eles são tratados ineptly, estereotipada e sem profundidade da imaginação.</v>
      </c>
      <c r="B1129" s="3">
        <v>0</v>
      </c>
    </row>
    <row r="1130" ht="15.75" customHeight="1" spans="1:2">
      <c r="A1130" s="3" t="str">
        <f>IFERROR(__xludf.DUMMYFUNCTION("GOOGLETRANSLATE(A1130,""en"",""pt"")"),"Todas as fotos bonitas do mundo não pode fazer-se de uma peça de trabalho que é falho no núcleo.")</f>
        <v>Todas as fotos bonitas do mundo não pode fazer-se de uma peça de trabalho que é falho no núcleo.</v>
      </c>
      <c r="B1130" s="3">
        <v>0</v>
      </c>
    </row>
    <row r="1131" ht="15.75" customHeight="1" spans="1:2">
      <c r="A1131" s="3" t="str">
        <f>IFERROR(__xludf.DUMMYFUNCTION("GOOGLETRANSLATE(A1131,""en"",""pt"")"),"É uma hora e meia desperdício de tempo, seguindo um monte de muito bonito estudantes do ensino médio lamentar e chorar vida.")</f>
        <v>É uma hora e meia desperdício de tempo, seguindo um monte de muito bonito estudantes do ensino médio lamentar e chorar vida.</v>
      </c>
      <c r="B1131" s="3">
        <v>0</v>
      </c>
    </row>
    <row r="1132" ht="15.75" customHeight="1" spans="1:2">
      <c r="A1132" s="3" t="str">
        <f>IFERROR(__xludf.DUMMYFUNCTION("GOOGLETRANSLATE(A1132,""en"",""pt"")"),"Você não pode se relacionar com eles, o inferno você mal consegue entendê-los.")</f>
        <v>Você não pode se relacionar com eles, o inferno você mal consegue entendê-los.</v>
      </c>
      <c r="B1132" s="3">
        <v>0</v>
      </c>
    </row>
    <row r="1133" ht="15.75" customHeight="1" spans="1:2">
      <c r="A1133" s="3" t="str">
        <f>IFERROR(__xludf.DUMMYFUNCTION("GOOGLETRANSLATE(A1133,""en"",""pt"")"),"Este é definitivamente um clássico cult vale bem a visualização e partilha com os outros.")</f>
        <v>Este é definitivamente um clássico cult vale bem a visualização e partilha com os outros.</v>
      </c>
      <c r="B1133" s="3">
        <v>1</v>
      </c>
    </row>
    <row r="1134" ht="15.75" customHeight="1" spans="1:2">
      <c r="A1134" s="3" t="str">
        <f>IFERROR(__xludf.DUMMYFUNCTION("GOOGLETRANSLATE(A1134,""en"",""pt"")"),"Este filme é um desastre puro, a história é estúpido e da edição é o pior que tenho visto, ele confunde incrivelmente.")</f>
        <v>Este filme é um desastre puro, a história é estúpido e da edição é o pior que tenho visto, ele confunde incrivelmente.</v>
      </c>
      <c r="B1134" s="3">
        <v>0</v>
      </c>
    </row>
    <row r="1135" ht="15.75" customHeight="1" spans="1:2">
      <c r="A1135" s="3" t="str">
        <f>IFERROR(__xludf.DUMMYFUNCTION("GOOGLETRANSLATE(A1135,""en"",""pt"")"),"O peixe é mal feita e algumas de suas fotos subaquáticas são repetidos milhares de vezes no filme.")</f>
        <v>O peixe é mal feita e algumas de suas fotos subaquáticas são repetidos milhares de vezes no filme.</v>
      </c>
      <c r="B1135" s="3">
        <v>0</v>
      </c>
    </row>
    <row r="1136" ht="15.75" customHeight="1" spans="1:2">
      <c r="A1136" s="3" t="str">
        <f>IFERROR(__xludf.DUMMYFUNCTION("GOOGLETRANSLATE(A1136,""en"",""pt"")"),"Um verdadeiramente, verdadeiramente mau filme.")</f>
        <v>Um verdadeiramente, verdadeiramente mau filme.</v>
      </c>
      <c r="B1136" s="3">
        <v>0</v>
      </c>
    </row>
    <row r="1137" ht="15.75" customHeight="1" spans="1:2">
      <c r="A1137" s="3" t="str">
        <f>IFERROR(__xludf.DUMMYFUNCTION("GOOGLETRANSLATE(A1137,""en"",""pt"")"),"A atuação é terrível, ea escrita é pior.")</f>
        <v>A atuação é terrível, ea escrita é pior.</v>
      </c>
      <c r="B1137" s="3">
        <v>0</v>
      </c>
    </row>
    <row r="1138" ht="15.75" customHeight="1" spans="1:2">
      <c r="A1138" s="3" t="str">
        <f>IFERROR(__xludf.DUMMYFUNCTION("GOOGLETRANSLATE(A1138,""en"",""pt"")"),"A única maneira possível este filme poderia ser resgatado seria tão MST3K forragem.")</f>
        <v>A única maneira possível este filme poderia ser resgatado seria tão MST3K forragem.</v>
      </c>
      <c r="B1138" s="3">
        <v>0</v>
      </c>
    </row>
    <row r="1139" ht="15.75" customHeight="1" spans="1:2">
      <c r="A1139" s="3" t="str">
        <f>IFERROR(__xludf.DUMMYFUNCTION("GOOGLETRANSLATE(A1139,""en"",""pt"")"),"Eu paguei muito.")</f>
        <v>Eu paguei muito.</v>
      </c>
      <c r="B1139" s="3">
        <v>0</v>
      </c>
    </row>
    <row r="1140" ht="15.75" customHeight="1" spans="1:2">
      <c r="A1140" s="3" t="str">
        <f>IFERROR(__xludf.DUMMYFUNCTION("GOOGLETRANSLATE(A1140,""en"",""pt"")"),"Além disso, é um verdadeiro deleite para ver Anthony Quinn jogo Crazy Horse.")</f>
        <v>Além disso, é um verdadeiro deleite para ver Anthony Quinn jogo Crazy Horse.</v>
      </c>
      <c r="B1140" s="3">
        <v>1</v>
      </c>
    </row>
    <row r="1141" ht="15.75" customHeight="1" spans="1:2">
      <c r="A1141" s="3" t="str">
        <f>IFERROR(__xludf.DUMMYFUNCTION("GOOGLETRANSLATE(A1141,""en"",""pt"")"),"Era tão chato!")</f>
        <v>Era tão chato!</v>
      </c>
      <c r="B1141" s="3">
        <v>0</v>
      </c>
    </row>
    <row r="1142" ht="15.75" customHeight="1" spans="1:2">
      <c r="A1142" s="3" t="str">
        <f>IFERROR(__xludf.DUMMYFUNCTION("GOOGLETRANSLATE(A1142,""en"",""pt"")"),"No enredo qualquer!")</f>
        <v>No enredo qualquer!</v>
      </c>
      <c r="B1142" s="3">
        <v>0</v>
      </c>
    </row>
    <row r="1143" ht="15.75" customHeight="1" spans="1:2">
      <c r="A1143" s="3" t="str">
        <f>IFERROR(__xludf.DUMMYFUNCTION("GOOGLETRANSLATE(A1143,""en"",""pt"")"),"Novamente, nenhuma parcela em tudo.")</f>
        <v>Novamente, nenhuma parcela em tudo.</v>
      </c>
      <c r="B1143" s="3">
        <v>0</v>
      </c>
    </row>
    <row r="1144" ht="15.75" customHeight="1" spans="1:2">
      <c r="A1144" s="3" t="str">
        <f>IFERROR(__xludf.DUMMYFUNCTION("GOOGLETRANSLATE(A1144,""en"",""pt"")"),"Horrível!")</f>
        <v>Horrível!</v>
      </c>
      <c r="B1144" s="3">
        <v>0</v>
      </c>
    </row>
    <row r="1145" ht="15.75" customHeight="1" spans="1:2">
      <c r="A1145" s="3" t="str">
        <f>IFERROR(__xludf.DUMMYFUNCTION("GOOGLETRANSLATE(A1145,""en"",""pt"")"),"Pior hora e meia da minha vida! Oh meu Deus!")</f>
        <v>Pior hora e meia da minha vida! Oh meu Deus!</v>
      </c>
      <c r="B1145" s="3">
        <v>0</v>
      </c>
    </row>
    <row r="1146" ht="15.75" customHeight="1" spans="1:2">
      <c r="A1146" s="3" t="str">
        <f>IFERROR(__xludf.DUMMYFUNCTION("GOOGLETRANSLATE(A1146,""en"",""pt"")"),"Eu tive que sair do teatro por alguns minutos apenas para obter algum alívio!")</f>
        <v>Eu tive que sair do teatro por alguns minutos apenas para obter algum alívio!</v>
      </c>
      <c r="B1146" s="3">
        <v>0</v>
      </c>
    </row>
    <row r="1147" ht="15.75" customHeight="1" spans="1:2">
      <c r="A1147" s="3" t="str">
        <f>IFERROR(__xludf.DUMMYFUNCTION("GOOGLETRANSLATE(A1147,""en"",""pt"")"),"Eu odeio filmes como esse.")</f>
        <v>Eu odeio filmes como esse.</v>
      </c>
      <c r="B1147" s="3">
        <v>0</v>
      </c>
    </row>
    <row r="1148" ht="15.75" customHeight="1" spans="1:2">
      <c r="A1148" s="3" t="str">
        <f>IFERROR(__xludf.DUMMYFUNCTION("GOOGLETRANSLATE(A1148,""en"",""pt"")"),"Sim, o filme praticamente sugado.")</f>
        <v>Sim, o filme praticamente sugado.</v>
      </c>
      <c r="B1148" s="3">
        <v>0</v>
      </c>
    </row>
    <row r="1149" ht="15.75" customHeight="1" spans="1:2">
      <c r="A1149" s="3" t="str">
        <f>IFERROR(__xludf.DUMMYFUNCTION("GOOGLETRANSLATE(A1149,""en"",""pt"")"),"NÃO HÁ enredo ou STORYLINE !!")</f>
        <v>NÃO HÁ enredo ou STORYLINE !!</v>
      </c>
      <c r="B1149" s="3">
        <v>0</v>
      </c>
    </row>
    <row r="1150" ht="15.75" customHeight="1" spans="1:2">
      <c r="A1150" s="3" t="str">
        <f>IFERROR(__xludf.DUMMYFUNCTION("GOOGLETRANSLATE(A1150,""en"",""pt"")"),"Se você vai ver este filme, trazer um travesseiro ou uma namorada / namorado para mantê-lo ocupado por fora.")</f>
        <v>Se você vai ver este filme, trazer um travesseiro ou uma namorada / namorado para mantê-lo ocupado por fora.</v>
      </c>
      <c r="B1150" s="3">
        <v>0</v>
      </c>
    </row>
    <row r="1151" ht="15.75" customHeight="1" spans="1:2">
      <c r="A1151" s="3" t="str">
        <f>IFERROR(__xludf.DUMMYFUNCTION("GOOGLETRANSLATE(A1151,""en"",""pt"")"),"Horrível.")</f>
        <v>Horrível.</v>
      </c>
      <c r="B1151" s="3">
        <v>0</v>
      </c>
    </row>
    <row r="1152" ht="15.75" customHeight="1" spans="1:2">
      <c r="A1152" s="3" t="str">
        <f>IFERROR(__xludf.DUMMYFUNCTION("GOOGLETRANSLATE(A1152,""en"",""pt"")"),"Eu não acho que eu já ido para um filme e não gostava tanto.")</f>
        <v>Eu não acho que eu já ido para um filme e não gostava tanto.</v>
      </c>
      <c r="B1152" s="3">
        <v>0</v>
      </c>
    </row>
    <row r="1153" ht="15.75" customHeight="1" spans="1:2">
      <c r="A1153" s="3" t="str">
        <f>IFERROR(__xludf.DUMMYFUNCTION("GOOGLETRANSLATE(A1153,""en"",""pt"")"),"Foi uma coisa boa que os bilhetes custam apenas cinco dólares, porque eu seria louco se eu teria pago US $ 7,50 para ver essa porcaria.")</f>
        <v>Foi uma coisa boa que os bilhetes custam apenas cinco dólares, porque eu seria louco se eu teria pago US $ 7,50 para ver essa porcaria.</v>
      </c>
      <c r="B1153" s="3">
        <v>0</v>
      </c>
    </row>
    <row r="1154" ht="15.75" customHeight="1" spans="1:2">
      <c r="A1154" s="3" t="str">
        <f>IFERROR(__xludf.DUMMYFUNCTION("GOOGLETRANSLATE(A1154,""en"",""pt"")"),"identifica NINGUÉM com esses personagens porque eles são todos os recortes de papelão e estereótipos (ou previsivelmente reversa estereótipos).")</f>
        <v>identifica NINGUÉM com esses personagens porque eles são todos os recortes de papelão e estereótipos (ou previsivelmente reversa estereótipos).</v>
      </c>
      <c r="B1154" s="3">
        <v>0</v>
      </c>
    </row>
    <row r="1155" ht="15.75" customHeight="1" spans="1:2">
      <c r="A1155" s="3" t="str">
        <f>IFERROR(__xludf.DUMMYFUNCTION("GOOGLETRANSLATE(A1155,""en"",""pt"")"),"Este é um filme ruim, com má escrita e bons atores .... um desenho feio trabalhada por Paul Haggis para pessoas que não podem lidar com qualquer coisa, mas as pinceladas ousadas na narrativa .... um quadro pintado com lápis de cor.")</f>
        <v>Este é um filme ruim, com má escrita e bons atores .... um desenho feio trabalhada por Paul Haggis para pessoas que não podem lidar com qualquer coisa, mas as pinceladas ousadas na narrativa .... um quadro pintado com lápis de cor.</v>
      </c>
      <c r="B1155" s="3">
        <v>0</v>
      </c>
    </row>
    <row r="1156" ht="15.75" customHeight="1" spans="1:2">
      <c r="A1156" s="3" t="str">
        <f>IFERROR(__xludf.DUMMYFUNCTION("GOOGLETRANSLATE(A1156,""en"",""pt"")"),"Bater é um pouco nada deprimente, que provoca emoção, mas ensina-lhe nada se você já sabe o racismo eo preconceito são coisas ruins.")</f>
        <v>Bater é um pouco nada deprimente, que provoca emoção, mas ensina-lhe nada se você já sabe o racismo eo preconceito são coisas ruins.</v>
      </c>
      <c r="B1156" s="3">
        <v>0</v>
      </c>
    </row>
    <row r="1157" ht="15.75" customHeight="1" spans="1:2">
      <c r="A1157" s="3" t="str">
        <f>IFERROR(__xludf.DUMMYFUNCTION("GOOGLETRANSLATE(A1157,""en"",""pt"")"),"Ainda assim, eu gosto deste filme para ele do empoderamento das mulheres; não há filmes suficientes lá fora como este.")</f>
        <v>Ainda assim, eu gosto deste filme para ele do empoderamento das mulheres; não há filmes suficientes lá fora como este.</v>
      </c>
      <c r="B1157" s="3">
        <v>1</v>
      </c>
    </row>
    <row r="1158" ht="15.75" customHeight="1" spans="1:2">
      <c r="A1158" s="3" t="str">
        <f>IFERROR(__xludf.DUMMYFUNCTION("GOOGLETRANSLATE(A1158,""en"",""pt"")"),"Seu cérebro vai tentar shut-down, como parte de um impulso primitivo de auto-preservação.")</f>
        <v>Seu cérebro vai tentar shut-down, como parte de um impulso primitivo de auto-preservação.</v>
      </c>
      <c r="B1158" s="3">
        <v>0</v>
      </c>
    </row>
    <row r="1159" ht="15.75" customHeight="1" spans="1:2">
      <c r="A1159" s="3" t="str">
        <f>IFERROR(__xludf.DUMMYFUNCTION("GOOGLETRANSLATE(A1159,""en"",""pt"")"),"I ficou abalada com a experiência de assistir a este 'filme' e eu dei uma boa duas horas para se recuperar totalmente.")</f>
        <v>I ficou abalada com a experiência de assistir a este 'filme' e eu dei uma boa duas horas para se recuperar totalmente.</v>
      </c>
      <c r="B1159" s="3">
        <v>0</v>
      </c>
    </row>
    <row r="1160" ht="15.75" customHeight="1" spans="1:2">
      <c r="A1160" s="3" t="str">
        <f>IFERROR(__xludf.DUMMYFUNCTION("GOOGLETRANSLATE(A1160,""en"",""pt"")"),"Este filme agora se junta Revenge of the Boogeyman e Zombiez como parte da trindade infernal de filmes de terror.")</f>
        <v>Este filme agora se junta Revenge of the Boogeyman e Zombiez como parte da trindade infernal de filmes de terror.</v>
      </c>
      <c r="B1160" s="3">
        <v>0</v>
      </c>
    </row>
    <row r="1161" ht="15.75" customHeight="1" spans="1:2">
      <c r="A1161" s="3" t="str">
        <f>IFERROR(__xludf.DUMMYFUNCTION("GOOGLETRANSLATE(A1161,""en"",""pt"")"),"Eu certamente não quero dizer esta distinção em um bom caminho.")</f>
        <v>Eu certamente não quero dizer esta distinção em um bom caminho.</v>
      </c>
      <c r="B1161" s="3">
        <v>0</v>
      </c>
    </row>
    <row r="1162" ht="15.75" customHeight="1" spans="1:2">
      <c r="A1162" s="3" t="str">
        <f>IFERROR(__xludf.DUMMYFUNCTION("GOOGLETRANSLATE(A1162,""en"",""pt"")"),"Quero dizer isso de uma maneira terrível.")</f>
        <v>Quero dizer isso de uma maneira terrível.</v>
      </c>
      <c r="B1162" s="3">
        <v>0</v>
      </c>
    </row>
    <row r="1163" ht="15.75" customHeight="1" spans="1:2">
      <c r="A1163" s="3" t="str">
        <f>IFERROR(__xludf.DUMMYFUNCTION("GOOGLETRANSLATE(A1163,""en"",""pt"")"),"Este filme não tem características redentoras.")</f>
        <v>Este filme não tem características redentoras.</v>
      </c>
      <c r="B1163" s="3">
        <v>0</v>
      </c>
    </row>
    <row r="1164" ht="15.75" customHeight="1" spans="1:2">
      <c r="A1164" s="3" t="str">
        <f>IFERROR(__xludf.DUMMYFUNCTION("GOOGLETRANSLATE(A1164,""en"",""pt"")"),"Tudo é terrível.")</f>
        <v>Tudo é terrível.</v>
      </c>
      <c r="B1164" s="3">
        <v>0</v>
      </c>
    </row>
    <row r="1165" ht="15.75" customHeight="1" spans="1:2">
      <c r="A1165" s="3" t="str">
        <f>IFERROR(__xludf.DUMMYFUNCTION("GOOGLETRANSLATE(A1165,""en"",""pt"")"),"Artless trabalho de câmera sem parar nos apresenta o mais feio imagináveis ​​configuração, ou seja,")</f>
        <v>Artless trabalho de câmera sem parar nos apresenta o mais feio imagináveis ​​configuração, ou seja,</v>
      </c>
      <c r="B1165" s="3">
        <v>0</v>
      </c>
    </row>
    <row r="1166" ht="15.75" customHeight="1" spans="1:2">
      <c r="A1166" s="3" t="str">
        <f>IFERROR(__xludf.DUMMYFUNCTION("GOOGLETRANSLATE(A1166,""en"",""pt"")"),"A história está além de estúpido.")</f>
        <v>A história está além de estúpido.</v>
      </c>
      <c r="B1166" s="3">
        <v>0</v>
      </c>
    </row>
    <row r="1167" ht="15.75" customHeight="1" spans="1:2">
      <c r="A1167" s="3" t="str">
        <f>IFERROR(__xludf.DUMMYFUNCTION("GOOGLETRANSLATE(A1167,""en"",""pt"")"),"O script Isa ... houve um script?")</f>
        <v>O script Isa ... houve um script?</v>
      </c>
      <c r="B1167" s="3">
        <v>0</v>
      </c>
    </row>
    <row r="1168" ht="15.75" customHeight="1" spans="1:2">
      <c r="A1168" s="3" t="str">
        <f>IFERROR(__xludf.DUMMYFUNCTION("GOOGLETRANSLATE(A1168,""en"",""pt"")"),"As crianças são irritantes.")</f>
        <v>As crianças são irritantes.</v>
      </c>
      <c r="B1168" s="3">
        <v>0</v>
      </c>
    </row>
    <row r="1169" ht="15.75" customHeight="1" spans="1:2">
      <c r="A1169" s="3" t="str">
        <f>IFERROR(__xludf.DUMMYFUNCTION("GOOGLETRANSLATE(A1169,""en"",""pt"")"),"O homem de chumbo é livre de carisma.")</f>
        <v>O homem de chumbo é livre de carisma.</v>
      </c>
      <c r="B1169" s="3">
        <v>0</v>
      </c>
    </row>
    <row r="1170" ht="15.75" customHeight="1" spans="1:2">
      <c r="A1170" s="3" t="str">
        <f>IFERROR(__xludf.DUMMYFUNCTION("GOOGLETRANSLATE(A1170,""en"",""pt"")"),"Totalmente sem mérito, em qualquer nível, este é semelhante à tortura.")</f>
        <v>Totalmente sem mérito, em qualquer nível, este é semelhante à tortura.</v>
      </c>
      <c r="B1170" s="3">
        <v>0</v>
      </c>
    </row>
    <row r="1171" ht="15.75" customHeight="1" spans="1:2">
      <c r="A1171" s="3" t="str">
        <f>IFERROR(__xludf.DUMMYFUNCTION("GOOGLETRANSLATE(A1171,""en"",""pt"")"),"Vou até dizê-lo novamente Â- isso é tortura.")</f>
        <v>Vou até dizê-lo novamente Â- isso é tortura.</v>
      </c>
      <c r="B1171" s="3">
        <v>0</v>
      </c>
    </row>
    <row r="1172" ht="15.75" customHeight="1" spans="1:2">
      <c r="A1172" s="3" t="str">
        <f>IFERROR(__xludf.DUMMYFUNCTION("GOOGLETRANSLATE(A1172,""en"",""pt"")"),"Talvez houvesse uma explicação razoável para esta atrocidade.")</f>
        <v>Talvez houvesse uma explicação razoável para esta atrocidade.</v>
      </c>
      <c r="B1172" s="3">
        <v>0</v>
      </c>
    </row>
    <row r="1173" ht="15.75" customHeight="1" spans="1:2">
      <c r="A1173" s="3" t="str">
        <f>IFERROR(__xludf.DUMMYFUNCTION("GOOGLETRANSLATE(A1173,""en"",""pt"")"),"Não uma viagem agradável de auto-descoberta.")</f>
        <v>Não uma viagem agradável de auto-descoberta.</v>
      </c>
      <c r="B1173" s="3">
        <v>0</v>
      </c>
    </row>
    <row r="1174" ht="15.75" customHeight="1" spans="1:2">
      <c r="A1174" s="3" t="str">
        <f>IFERROR(__xludf.DUMMYFUNCTION("GOOGLETRANSLATE(A1174,""en"",""pt"")"),"Altamente unrecommended.")</f>
        <v>Altamente unrecommended.</v>
      </c>
      <c r="B1174" s="3">
        <v>0</v>
      </c>
    </row>
    <row r="1175" ht="15.75" customHeight="1" spans="1:2">
      <c r="A1175" s="3" t="str">
        <f>IFERROR(__xludf.DUMMYFUNCTION("GOOGLETRANSLATE(A1175,""en"",""pt"")"),"Se este som premissa estúpido, isso é porque é.")</f>
        <v>Se este som premissa estúpido, isso é porque é.</v>
      </c>
      <c r="B1175" s="3">
        <v>0</v>
      </c>
    </row>
    <row r="1176" ht="15.75" customHeight="1" spans="1:2">
      <c r="A1176" s="3" t="str">
        <f>IFERROR(__xludf.DUMMYFUNCTION("GOOGLETRANSLATE(A1176,""en"",""pt"")"),"Sim, é assim tão mau.")</f>
        <v>Sim, é assim tão mau.</v>
      </c>
      <c r="B1176" s="3">
        <v>0</v>
      </c>
    </row>
    <row r="1177" ht="15.75" customHeight="1" spans="1:2">
      <c r="A1177" s="3" t="str">
        <f>IFERROR(__xludf.DUMMYFUNCTION("GOOGLETRANSLATE(A1177,""en"",""pt"")"),"Nada a recomendar.")</f>
        <v>Nada a recomendar.</v>
      </c>
      <c r="B1177" s="3">
        <v>0</v>
      </c>
    </row>
    <row r="1178" ht="15.75" customHeight="1" spans="1:2">
      <c r="A1178" s="3" t="str">
        <f>IFERROR(__xludf.DUMMYFUNCTION("GOOGLETRANSLATE(A1178,""en"",""pt"")"),"Um excelente desempenho de Ms.")</f>
        <v>Um excelente desempenho de Ms.</v>
      </c>
      <c r="B1178" s="3">
        <v>1</v>
      </c>
    </row>
    <row r="1179" ht="15.75" customHeight="1" spans="1:2">
      <c r="A1179" s="3" t="str">
        <f>IFERROR(__xludf.DUMMYFUNCTION("GOOGLETRANSLATE(A1179,""en"",""pt"")"),"Garbo, que mostrou logo de cara que seu talento poderia transitar da era silenciosa (Eu queria ver um pouco de seu trabalho silencioso, mas o Netflix não parece ser armazená-los.")</f>
        <v>Garbo, que mostrou logo de cara que seu talento poderia transitar da era silenciosa (Eu queria ver um pouco de seu trabalho silencioso, mas o Netflix não parece ser armazená-los.</v>
      </c>
      <c r="B1179" s="3">
        <v>1</v>
      </c>
    </row>
    <row r="1180" ht="15.75" customHeight="1" spans="1:2">
      <c r="A1180" s="3" t="str">
        <f>IFERROR(__xludf.DUMMYFUNCTION("GOOGLETRANSLATE(A1180,""en"",""pt"")"),"Também é ótimo para ver que renomado roteirista silenciosa Frances Marion não perdeu um passo que vai de silêncio para o som.")</f>
        <v>Também é ótimo para ver que renomado roteirista silenciosa Frances Marion não perdeu um passo que vai de silêncio para o som.</v>
      </c>
      <c r="B1180" s="3">
        <v>1</v>
      </c>
    </row>
    <row r="1181" ht="15.75" customHeight="1" spans="1:2">
      <c r="A1181" s="3" t="str">
        <f>IFERROR(__xludf.DUMMYFUNCTION("GOOGLETRANSLATE(A1181,""en"",""pt"")"),"Este filme sofreu por causa da escrita, que precisava de mais suspense.")</f>
        <v>Este filme sofreu por causa da escrita, que precisava de mais suspense.</v>
      </c>
      <c r="B1181" s="3">
        <v>0</v>
      </c>
    </row>
    <row r="1182" ht="15.75" customHeight="1" spans="1:2">
      <c r="A1182" s="3" t="str">
        <f>IFERROR(__xludf.DUMMYFUNCTION("GOOGLETRANSLATE(A1182,""en"",""pt"")"),"Havia muitos close-ups.")</f>
        <v>Havia muitos close-ups.</v>
      </c>
      <c r="B1182" s="3">
        <v>0</v>
      </c>
    </row>
    <row r="1183" ht="15.75" customHeight="1" spans="1:2">
      <c r="A1183" s="3" t="str">
        <f>IFERROR(__xludf.DUMMYFUNCTION("GOOGLETRANSLATE(A1183,""en"",""pt"")"),"Mas diferente do que o filme parecia arrastar e os heróis realmente não trabalho para sua liberdade.")</f>
        <v>Mas diferente do que o filme parecia arrastar e os heróis realmente não trabalho para sua liberdade.</v>
      </c>
      <c r="B1183" s="3">
        <v>0</v>
      </c>
    </row>
    <row r="1184" ht="15.75" customHeight="1" spans="1:2">
      <c r="A1184" s="3" t="str">
        <f>IFERROR(__xludf.DUMMYFUNCTION("GOOGLETRANSLATE(A1184,""en"",""pt"")"),"Mas este filme é definitivamente uma renda abaixo da média.")</f>
        <v>Mas este filme é definitivamente uma renda abaixo da média.</v>
      </c>
      <c r="B1184" s="3">
        <v>0</v>
      </c>
    </row>
    <row r="1185" ht="15.75" customHeight="1" spans="1:2">
      <c r="A1185" s="3" t="str">
        <f>IFERROR(__xludf.DUMMYFUNCTION("GOOGLETRANSLATE(A1185,""en"",""pt"")"),"Você vai amar!")</f>
        <v>Você vai amar!</v>
      </c>
      <c r="B1185" s="3">
        <v>1</v>
      </c>
    </row>
    <row r="1186" ht="15.75" customHeight="1" spans="1:2">
      <c r="A1186" s="3" t="str">
        <f>IFERROR(__xludf.DUMMYFUNCTION("GOOGLETRANSLATE(A1186,""en"",""pt"")"),"Este filme é ruim.")</f>
        <v>Este filme é ruim.</v>
      </c>
      <c r="B1186" s="3">
        <v>0</v>
      </c>
    </row>
    <row r="1187" ht="15.75" customHeight="1" spans="1:2">
      <c r="A1187" s="3" t="str">
        <f>IFERROR(__xludf.DUMMYFUNCTION("GOOGLETRANSLATE(A1187,""en"",""pt"")"),"Tão ruim.")</f>
        <v>Tão ruim.</v>
      </c>
      <c r="B1187" s="3">
        <v>0</v>
      </c>
    </row>
    <row r="1188" ht="15.75" customHeight="1" spans="1:2">
      <c r="A1188" s="3" t="str">
        <f>IFERROR(__xludf.DUMMYFUNCTION("GOOGLETRANSLATE(A1188,""en"",""pt"")"),"O filme é um caminho muito longo.")</f>
        <v>O filme é um caminho muito longo.</v>
      </c>
      <c r="B1188" s="3">
        <v>0</v>
      </c>
    </row>
    <row r="1189" ht="15.75" customHeight="1" spans="1:2">
      <c r="A1189" s="3" t="str">
        <f>IFERROR(__xludf.DUMMYFUNCTION("GOOGLETRANSLATE(A1189,""en"",""pt"")"),"Este é definitivamente um dos maus.")</f>
        <v>Este é definitivamente um dos maus.</v>
      </c>
      <c r="B1189" s="3">
        <v>0</v>
      </c>
    </row>
    <row r="1190" ht="15.75" customHeight="1" spans="1:2">
      <c r="A1190" s="3" t="str">
        <f>IFERROR(__xludf.DUMMYFUNCTION("GOOGLETRANSLATE(A1190,""en"",""pt"")"),"O filme que recebi foi um grande filme de qualidade para a sua idade.")</f>
        <v>O filme que recebi foi um grande filme de qualidade para a sua idade.</v>
      </c>
      <c r="B1190" s="3">
        <v>1</v>
      </c>
    </row>
    <row r="1191" ht="15.75" customHeight="1" spans="1:2">
      <c r="A1191" s="3" t="str">
        <f>IFERROR(__xludf.DUMMYFUNCTION("GOOGLETRANSLATE(A1191,""en"",""pt"")"),"John Wayne fez um trabalho incrível por ser tão jovem na indústria do cinema.")</f>
        <v>John Wayne fez um trabalho incrível por ser tão jovem na indústria do cinema.</v>
      </c>
      <c r="B1191" s="3">
        <v>1</v>
      </c>
    </row>
    <row r="1192" ht="15.75" customHeight="1" spans="1:2">
      <c r="A1192" s="3" t="str">
        <f>IFERROR(__xludf.DUMMYFUNCTION("GOOGLETRANSLATE(A1192,""en"",""pt"")"),"Sua presença na tela em brilhou pensou, embora houvesse outros atores seniores na tela com ele.")</f>
        <v>Sua presença na tela em brilhou pensou, embora houvesse outros atores seniores na tela com ele.</v>
      </c>
      <c r="B1192" s="3">
        <v>1</v>
      </c>
    </row>
    <row r="1193" ht="15.75" customHeight="1" spans="1:2">
      <c r="A1193" s="3" t="str">
        <f>IFERROR(__xludf.DUMMYFUNCTION("GOOGLETRANSLATE(A1193,""en"",""pt"")"),"Eu acho que é um deve ver mais antigo filme de John Wayne.")</f>
        <v>Eu acho que é um deve ver mais antigo filme de John Wayne.</v>
      </c>
      <c r="B1193" s="3">
        <v>1</v>
      </c>
    </row>
    <row r="1194" ht="15.75" customHeight="1" spans="1:2">
      <c r="A1194" s="3" t="str">
        <f>IFERROR(__xludf.DUMMYFUNCTION("GOOGLETRANSLATE(A1194,""en"",""pt"")"),"Eu realmente não vejo como alguém pode apreciar este filme.")</f>
        <v>Eu realmente não vejo como alguém pode apreciar este filme.</v>
      </c>
      <c r="B1194" s="3">
        <v>0</v>
      </c>
    </row>
    <row r="1195" ht="15.75" customHeight="1" spans="1:2">
      <c r="A1195" s="3" t="str">
        <f>IFERROR(__xludf.DUMMYFUNCTION("GOOGLETRANSLATE(A1195,""en"",""pt"")"),"Eu não acho que eu já vi uma meia filme tão chato como esta peça auto-indulgente de lixo.")</f>
        <v>Eu não acho que eu já vi uma meia filme tão chato como esta peça auto-indulgente de lixo.</v>
      </c>
      <c r="B1195" s="3">
        <v>0</v>
      </c>
    </row>
    <row r="1196" ht="15.75" customHeight="1" spans="1:2">
      <c r="A1196" s="3" t="str">
        <f>IFERROR(__xludf.DUMMYFUNCTION("GOOGLETRANSLATE(A1196,""en"",""pt"")"),"Provavelmente teria sido melhor se o diretor não tinha passado a maior parte do filme apresentando a sua própria obra de arte, que realmente não é tão notável.")</f>
        <v>Provavelmente teria sido melhor se o diretor não tinha passado a maior parte do filme apresentando a sua própria obra de arte, que realmente não é tão notável.</v>
      </c>
      <c r="B1196" s="3">
        <v>0</v>
      </c>
    </row>
    <row r="1197" ht="15.75" customHeight="1" spans="1:2">
      <c r="A1197" s="3" t="str">
        <f>IFERROR(__xludf.DUMMYFUNCTION("GOOGLETRANSLATE(A1197,""en"",""pt"")"),"Outra coisa que eu realmente não gosto é quando um personagem levou um soco no rosto, um galão de sangue iria vomitar logo depois.")</f>
        <v>Outra coisa que eu realmente não gosto é quando um personagem levou um soco no rosto, um galão de sangue iria vomitar logo depois.</v>
      </c>
      <c r="B1197" s="3">
        <v>0</v>
      </c>
    </row>
    <row r="1198" ht="15.75" customHeight="1" spans="1:2">
      <c r="A1198" s="3" t="str">
        <f>IFERROR(__xludf.DUMMYFUNCTION("GOOGLETRANSLATE(A1198,""en"",""pt"")"),"Jamie Foxx é absolutamente Ray Charles.")</f>
        <v>Jamie Foxx é absolutamente Ray Charles.</v>
      </c>
      <c r="B1198" s="3">
        <v>1</v>
      </c>
    </row>
    <row r="1199" ht="15.75" customHeight="1" spans="1:2">
      <c r="A1199" s="3" t="str">
        <f>IFERROR(__xludf.DUMMYFUNCTION("GOOGLETRANSLATE(A1199,""en"",""pt"")"),"Seu desempenho é simplesmente genial.")</f>
        <v>Seu desempenho é simplesmente genial.</v>
      </c>
      <c r="B1199" s="3">
        <v>1</v>
      </c>
    </row>
    <row r="1200" ht="15.75" customHeight="1" spans="1:2">
      <c r="A1200" s="3" t="str">
        <f>IFERROR(__xludf.DUMMYFUNCTION("GOOGLETRANSLATE(A1200,""en"",""pt"")"),"Ele é dono do filme, assim como Spacek propriedade ""filha de mineiro de carvão"" e Quaid propriedade ""Great Balls of Fire.")</f>
        <v>Ele é dono do filme, assim como Spacek propriedade "filha de mineiro de carvão" e Quaid propriedade "Great Balls of Fire.</v>
      </c>
      <c r="B1200" s="3">
        <v>1</v>
      </c>
    </row>
    <row r="1201" ht="15.75" customHeight="1" spans="1:2">
      <c r="A1201" s="3" t="str">
        <f>IFERROR(__xludf.DUMMYFUNCTION("GOOGLETRANSLATE(A1201,""en"",""pt"")")," Na verdade, é difícil lembrar que a parte de Ray Charles está sendo deliberado, e não jogado pelo próprio homem.")</f>
        <v> Na verdade, é difícil lembrar que a parte de Ray Charles está sendo deliberado, e não jogado pelo próprio homem.</v>
      </c>
      <c r="B1201" s="3">
        <v>1</v>
      </c>
    </row>
    <row r="1202" ht="15.75" customHeight="1" spans="1:2">
      <c r="A1202" s="3" t="str">
        <f>IFERROR(__xludf.DUMMYFUNCTION("GOOGLETRANSLATE(A1202,""en"",""pt"")"),"Ray Charles é lendária.")</f>
        <v>Ray Charles é lendária.</v>
      </c>
      <c r="B1202" s="3">
        <v>1</v>
      </c>
    </row>
    <row r="1203" ht="15.75" customHeight="1" spans="1:2">
      <c r="A1203" s="3" t="str">
        <f>IFERROR(__xludf.DUMMYFUNCTION("GOOGLETRANSLATE(A1203,""en"",""pt"")"),"vida Ray Charles' forneceu excelente material biográfico para o filme, que vai muito além de ser apenas mais um filme sobre um músico.")</f>
        <v>vida Ray Charles' forneceu excelente material biográfico para o filme, que vai muito além de ser apenas mais um filme sobre um músico.</v>
      </c>
      <c r="B1203" s="3">
        <v>1</v>
      </c>
    </row>
    <row r="1204" ht="15.75" customHeight="1" spans="1:2">
      <c r="A1204" s="3" t="str">
        <f>IFERROR(__xludf.DUMMYFUNCTION("GOOGLETRANSLATE(A1204,""en"",""pt"")"),"Hitchcock é um grande diretor.")</f>
        <v>Hitchcock é um grande diretor.</v>
      </c>
      <c r="B1204" s="3">
        <v>1</v>
      </c>
    </row>
    <row r="1205" ht="15.75" customHeight="1" spans="1:2">
      <c r="A1205" s="3" t="str">
        <f>IFERROR(__xludf.DUMMYFUNCTION("GOOGLETRANSLATE(A1205,""en"",""pt"")"),"Ironicamente I principalmente encontrar seus filmes um total desperdício de tempo para assistir.")</f>
        <v>Ironicamente I principalmente encontrar seus filmes um total desperdício de tempo para assistir.</v>
      </c>
      <c r="B1205" s="3">
        <v>0</v>
      </c>
    </row>
    <row r="1206" ht="15.75" customHeight="1" spans="1:2">
      <c r="A1206" s="3" t="str">
        <f>IFERROR(__xludf.DUMMYFUNCTION("GOOGLETRANSLATE(A1206,""en"",""pt"")"),"Em segundo lugar, Hitchcock praticamente aperfeiçoou o suspense e filme de perseguição.")</f>
        <v>Em segundo lugar, Hitchcock praticamente aperfeiçoou o suspense e filme de perseguição.</v>
      </c>
      <c r="B1206" s="3">
        <v>1</v>
      </c>
    </row>
    <row r="1207" ht="15.75" customHeight="1" spans="1:2">
      <c r="A1207" s="3" t="str">
        <f>IFERROR(__xludf.DUMMYFUNCTION("GOOGLETRANSLATE(A1207,""en"",""pt"")"),"É este pandering para o público que sabotagens maioria de seus filmes.")</f>
        <v>É este pandering para o público que sabotagens maioria de seus filmes.</v>
      </c>
      <c r="B1207" s="3">
        <v>0</v>
      </c>
    </row>
    <row r="1208" ht="15.75" customHeight="1" spans="1:2">
      <c r="A1208" s="3" t="str">
        <f>IFERROR(__xludf.DUMMYFUNCTION("GOOGLETRANSLATE(A1208,""en"",""pt"")"),"Daí toda a história carece de uma certa energia.")</f>
        <v>Daí toda a história carece de uma certa energia.</v>
      </c>
      <c r="B1208" s="3">
        <v>0</v>
      </c>
    </row>
    <row r="1209" ht="15.75" customHeight="1" spans="1:2">
      <c r="A1209" s="3" t="str">
        <f>IFERROR(__xludf.DUMMYFUNCTION("GOOGLETRANSLATE(A1209,""en"",""pt"")"),"O enredo simplesmente burburinhos sobre como uma máquina, desesperadamente, dependendo da adição de novas cenas.")</f>
        <v>O enredo simplesmente burburinhos sobre como uma máquina, desesperadamente, dependendo da adição de novas cenas.</v>
      </c>
      <c r="B1209" s="3">
        <v>0</v>
      </c>
    </row>
    <row r="1210" ht="15.75" customHeight="1" spans="1:2">
      <c r="A1210" s="3" t="str">
        <f>IFERROR(__xludf.DUMMYFUNCTION("GOOGLETRANSLATE(A1210,""en"",""pt"")"),"Existem as habituais falhas lógicas Hitchcock.")</f>
        <v>Existem as habituais falhas lógicas Hitchcock.</v>
      </c>
      <c r="B1210" s="3">
        <v>0</v>
      </c>
    </row>
    <row r="1211" ht="15.75" customHeight="1" spans="1:2">
      <c r="A1211" s="3" t="str">
        <f>IFERROR(__xludf.DUMMYFUNCTION("GOOGLETRANSLATE(A1211,""en"",""pt"")"),"Mishima é extremamente desinteressante.")</f>
        <v>Mishima é extremamente desinteressante.</v>
      </c>
      <c r="B1211" s="3">
        <v>0</v>
      </c>
    </row>
    <row r="1212" ht="15.75" customHeight="1" spans="1:2">
      <c r="A1212" s="3" t="str">
        <f>IFERROR(__xludf.DUMMYFUNCTION("GOOGLETRANSLATE(A1212,""en"",""pt"")"),"Esta é uma fria, filme normal sobre um autor estar / trabalhar em um frio abstrusa cultura.")</f>
        <v>Esta é uma fria, filme normal sobre um autor estar / trabalhar em um frio abstrusa cultura.</v>
      </c>
      <c r="B1212" s="3">
        <v>0</v>
      </c>
    </row>
    <row r="1213" ht="15.75" customHeight="1" spans="1:2">
      <c r="A1213" s="3" t="str">
        <f>IFERROR(__xludf.DUMMYFUNCTION("GOOGLETRANSLATE(A1213,""en"",""pt"")"),"As reconstituições planas não prenda sua atenção porque são emocionalmente à deriva e stagy.")</f>
        <v>As reconstituições planas não prenda sua atenção porque são emocionalmente à deriva e stagy.</v>
      </c>
      <c r="B1213" s="3">
        <v>0</v>
      </c>
    </row>
    <row r="1214" ht="15.75" customHeight="1" spans="1:2">
      <c r="A1214" s="3" t="str">
        <f>IFERROR(__xludf.DUMMYFUNCTION("GOOGLETRANSLATE(A1214,""en"",""pt"")"),"E o resto ele só fica lá ser terrível ... com soldados cantando músicas sobre a masculinidade eles se comprometem a, hairsplitting sobre a pureza, a admiração de espadas, etc.")</f>
        <v>E o resto ele só fica lá ser terrível ... com soldados cantando músicas sobre a masculinidade eles se comprometem a, hairsplitting sobre a pureza, a admiração de espadas, etc.</v>
      </c>
      <c r="B1214" s="3">
        <v>0</v>
      </c>
    </row>
    <row r="1215" ht="15.75" customHeight="1" spans="1:2">
      <c r="A1215" s="3" t="str">
        <f>IFERROR(__xludf.DUMMYFUNCTION("GOOGLETRANSLATE(A1215,""en"",""pt"")"),"Ele pode aborrecê-lo em pedaços, e matar o ímpeto de um filme, mais rápido do que qualquer outra pessoa.")</f>
        <v>Ele pode aborrecê-lo em pedaços, e matar o ímpeto de um filme, mais rápido do que qualquer outra pessoa.</v>
      </c>
      <c r="B1215" s="3">
        <v>0</v>
      </c>
    </row>
    <row r="1216" ht="15.75" customHeight="1" spans="1:2">
      <c r="A1216" s="3" t="str">
        <f>IFERROR(__xludf.DUMMYFUNCTION("GOOGLETRANSLATE(A1216,""en"",""pt"")"),"Schrader tem feito um resumo completo de mau, filmes amadores.")</f>
        <v>Schrader tem feito um resumo completo de mau, filmes amadores.</v>
      </c>
      <c r="B1216" s="3">
        <v>0</v>
      </c>
    </row>
    <row r="1217" ht="15.75" customHeight="1" spans="1:2">
      <c r="A1217" s="3" t="str">
        <f>IFERROR(__xludf.DUMMYFUNCTION("GOOGLETRANSLATE(A1217,""en"",""pt"")"),"Quando eu assisti pela primeira vez este filme, nos anos 80, eu adorei.")</f>
        <v>Quando eu assisti pela primeira vez este filme, nos anos 80, eu adorei.</v>
      </c>
      <c r="B1217" s="3">
        <v>1</v>
      </c>
    </row>
    <row r="1218" ht="15.75" customHeight="1" spans="1:2">
      <c r="A1218" s="3" t="str">
        <f>IFERROR(__xludf.DUMMYFUNCTION("GOOGLETRANSLATE(A1218,""en"",""pt"")"),"Eu estava totalmente fascinado pela música, a dança ... tudo.")</f>
        <v>Eu estava totalmente fascinado pela música, a dança ... tudo.</v>
      </c>
      <c r="B1218" s="3">
        <v>1</v>
      </c>
    </row>
    <row r="1219" ht="15.75" customHeight="1" spans="1:2">
      <c r="A1219" s="3" t="str">
        <f>IFERROR(__xludf.DUMMYFUNCTION("GOOGLETRANSLATE(A1219,""en"",""pt"")"),"No entanto, Recentemente assisti a coisa toda novamente em DVD, e eu estava completamente impressionado pela forma como extremamente estúpido o enredo era - como ele continha buracos, inconsistências e - francamente - um monte de porcaria - e como horríve"&amp;"l a dança era.")</f>
        <v>No entanto, Recentemente assisti a coisa toda novamente em DVD, e eu estava completamente impressionado pela forma como extremamente estúpido o enredo era - como ele continha buracos, inconsistências e - francamente - um monte de porcaria - e como horrível a dança era.</v>
      </c>
      <c r="B1219" s="3">
        <v>0</v>
      </c>
    </row>
    <row r="1220" ht="15.75" customHeight="1" spans="1:2">
      <c r="A1220" s="3" t="str">
        <f>IFERROR(__xludf.DUMMYFUNCTION("GOOGLETRANSLATE(A1220,""en"",""pt"")"),"Quero dizer, em um mundo realista, ela nunca teria chegado a esse repertório ballet ... A coisa toda foi bastante patético.")</f>
        <v>Quero dizer, em um mundo realista, ela nunca teria chegado a esse repertório ballet ... A coisa toda foi bastante patético.</v>
      </c>
      <c r="B1220" s="3">
        <v>0</v>
      </c>
    </row>
    <row r="1221" ht="15.75" customHeight="1" spans="1:2">
      <c r="A1221" s="3" t="str">
        <f>IFERROR(__xludf.DUMMYFUNCTION("GOOGLETRANSLATE(A1221,""en"",""pt"")"),"Os desenvolvimentos de caráter também faltava em profundidade.")</f>
        <v>Os desenvolvimentos de caráter também faltava em profundidade.</v>
      </c>
      <c r="B1221" s="3">
        <v>0</v>
      </c>
    </row>
    <row r="1222" ht="15.75" customHeight="1" spans="1:2">
      <c r="A1222" s="3" t="str">
        <f>IFERROR(__xludf.DUMMYFUNCTION("GOOGLETRANSLATE(A1222,""en"",""pt"")"),"WOA, conversa sobre horrível.")</f>
        <v>WOA, conversa sobre horrível.</v>
      </c>
      <c r="B1222" s="3">
        <v>0</v>
      </c>
    </row>
    <row r="1223" ht="15.75" customHeight="1" spans="1:2">
      <c r="A1223" s="3" t="str">
        <f>IFERROR(__xludf.DUMMYFUNCTION("GOOGLETRANSLATE(A1223,""en"",""pt"")"),"Não perca seu tempo.")</f>
        <v>Não perca seu tempo.</v>
      </c>
      <c r="B1223" s="3">
        <v>0</v>
      </c>
    </row>
    <row r="1224" ht="15.75" customHeight="1" spans="1:2">
      <c r="A1224" s="3" t="str">
        <f>IFERROR(__xludf.DUMMYFUNCTION("GOOGLETRANSLATE(A1224,""en"",""pt"")"),"Era muito horrível.")</f>
        <v>Era muito horrível.</v>
      </c>
      <c r="B1224" s="3">
        <v>0</v>
      </c>
    </row>
    <row r="1225" ht="15.75" customHeight="1" spans="1:2">
      <c r="A1225" s="3" t="str">
        <f>IFERROR(__xludf.DUMMYFUNCTION("GOOGLETRANSLATE(A1225,""en"",""pt"")"),"A, o diálogo pior sappiest ... Eu poderia continuar e continuar.")</f>
        <v>A, o diálogo pior sappiest ... Eu poderia continuar e continuar.</v>
      </c>
      <c r="B1225" s="3">
        <v>0</v>
      </c>
    </row>
    <row r="1226" ht="15.75" customHeight="1" spans="1:2">
      <c r="A1226" s="3" t="str">
        <f>IFERROR(__xludf.DUMMYFUNCTION("GOOGLETRANSLATE(A1226,""en"",""pt"")"),"Mas o que realmente feitas unwatchable era a direção.")</f>
        <v>Mas o que realmente feitas unwatchable era a direção.</v>
      </c>
      <c r="B1226" s="3">
        <v>0</v>
      </c>
    </row>
    <row r="1227" ht="15.75" customHeight="1" spans="1:2">
      <c r="A1227" s="3" t="str">
        <f>IFERROR(__xludf.DUMMYFUNCTION("GOOGLETRANSLATE(A1227,""en"",""pt"")"),"Os atores pobres.")</f>
        <v>Os atores pobres.</v>
      </c>
      <c r="B1227" s="3">
        <v>0</v>
      </c>
    </row>
    <row r="1228" ht="15.75" customHeight="1" spans="1:2">
      <c r="A1228" s="3" t="str">
        <f>IFERROR(__xludf.DUMMYFUNCTION("GOOGLETRANSLATE(A1228,""en"",""pt"")"),"Você não pode sequer dizer se eles têm algum talento, porque eles não só têm linhas patéticas para falar, mas o diretor não lhes deu nenhuma ação.")</f>
        <v>Você não pode sequer dizer se eles têm algum talento, porque eles não só têm linhas patéticas para falar, mas o diretor não lhes deu nenhuma ação.</v>
      </c>
      <c r="B1228" s="3">
        <v>0</v>
      </c>
    </row>
    <row r="1229" ht="15.75" customHeight="1" spans="1:2">
      <c r="A1229" s="3" t="str">
        <f>IFERROR(__xludf.DUMMYFUNCTION("GOOGLETRANSLATE(A1229,""en"",""pt"")"),"Se você verificar filme do diretor neste site você vai ver por que esse filme não tem uma chance.")</f>
        <v>Se você verificar filme do diretor neste site você vai ver por que esse filme não tem uma chance.</v>
      </c>
      <c r="B1229" s="3">
        <v>0</v>
      </c>
    </row>
    <row r="1230" ht="15.75" customHeight="1" spans="1:2">
      <c r="A1230" s="3" t="str">
        <f>IFERROR(__xludf.DUMMYFUNCTION("GOOGLETRANSLATE(A1230,""en"",""pt"")"),"Isso não seria mesmo bom como um feito para filme de TV.")</f>
        <v>Isso não seria mesmo bom como um feito para filme de TV.</v>
      </c>
      <c r="B1230" s="3">
        <v>0</v>
      </c>
    </row>
    <row r="1231" ht="15.75" customHeight="1" spans="1:2">
      <c r="A1231" s="3" t="str">
        <f>IFERROR(__xludf.DUMMYFUNCTION("GOOGLETRANSLATE(A1231,""en"",""pt"")"),"Se boas intenções fez um grande filme, então este filme pode ser um dos maiores filmes já feitos.")</f>
        <v>Se boas intenções fez um grande filme, então este filme pode ser um dos maiores filmes já feitos.</v>
      </c>
      <c r="B1231" s="3">
        <v>1</v>
      </c>
    </row>
    <row r="1232" ht="15.75" customHeight="1" spans="1:2">
      <c r="A1232" s="3" t="str">
        <f>IFERROR(__xludf.DUMMYFUNCTION("GOOGLETRANSLATE(A1232,""en"",""pt"")"),"O filme tem grandes atores, um diretor mestre, um tema importante - pelo menos um suposto tema significativo, tom de cinquenta existencial cansaço mundo, cenas aéreas que deveriam ter emocionado ambos os sentidos e imaginação e personagens sobre os quais "&amp;"se poderia profundamente importa.")</f>
        <v>O filme tem grandes atores, um diretor mestre, um tema importante - pelo menos um suposto tema significativo, tom de cinquenta existencial cansaço mundo, cenas aéreas que deveriam ter emocionado ambos os sentidos e imaginação e personagens sobre os quais se poderia profundamente importa.</v>
      </c>
      <c r="B1232" s="3">
        <v>1</v>
      </c>
    </row>
    <row r="1233" ht="15.75" customHeight="1" spans="1:2">
      <c r="A1233" s="3" t="str">
        <f>IFERROR(__xludf.DUMMYFUNCTION("GOOGLETRANSLATE(A1233,""en"",""pt"")"),"Infelizmente, o filme falha.")</f>
        <v>Infelizmente, o filme falha.</v>
      </c>
      <c r="B1233" s="3">
        <v>0</v>
      </c>
    </row>
    <row r="1234" ht="15.75" customHeight="1" spans="1:2">
      <c r="A1234" s="3" t="str">
        <f>IFERROR(__xludf.DUMMYFUNCTION("GOOGLETRANSLATE(A1234,""en"",""pt"")"),"O filme carece de interesse visual, drama, expressão do sentimento, e da celebração do muito patriotismo que sublinha a narrativa.")</f>
        <v>O filme carece de interesse visual, drama, expressão do sentimento, e da celebração do muito patriotismo que sublinha a narrativa.</v>
      </c>
      <c r="B1234" s="3">
        <v>0</v>
      </c>
    </row>
    <row r="1235" ht="15.75" customHeight="1" spans="1:2">
      <c r="A1235" s="3" t="str">
        <f>IFERROR(__xludf.DUMMYFUNCTION("GOOGLETRANSLATE(A1235,""en"",""pt"")"),"Sem atriz foi pior usadas que junho Allison neste filme.")</f>
        <v>Sem atriz foi pior usadas que junho Allison neste filme.</v>
      </c>
      <c r="B1235" s="3">
        <v>0</v>
      </c>
    </row>
    <row r="1236" ht="15.75" customHeight="1" spans="1:2">
      <c r="A1236" s="3" t="str">
        <f>IFERROR(__xludf.DUMMYFUNCTION("GOOGLETRANSLATE(A1236,""en"",""pt"")"),"No entanto, eu gosto de vê-lo.")</f>
        <v>No entanto, eu gosto de vê-lo.</v>
      </c>
      <c r="B1236" s="3">
        <v>1</v>
      </c>
    </row>
    <row r="1237" ht="15.75" customHeight="1" spans="1:2">
      <c r="A1237" s="3" t="str">
        <f>IFERROR(__xludf.DUMMYFUNCTION("GOOGLETRANSLATE(A1237,""en"",""pt"")"),"Infelizmente, este é um filme ruim que é apenas má simples.")</f>
        <v>Infelizmente, este é um filme ruim que é apenas má simples.</v>
      </c>
      <c r="B1237" s="3">
        <v>0</v>
      </c>
    </row>
    <row r="1238" ht="15.75" customHeight="1" spans="1:2">
      <c r="A1238" s="3" t="str">
        <f>IFERROR(__xludf.DUMMYFUNCTION("GOOGLETRANSLATE(A1238,""en"",""pt"")"),"Roteiro ruim, mau direção e atuação horrível, fazem deste um mau liso!")</f>
        <v>Roteiro ruim, mau direção e atuação horrível, fazem deste um mau liso!</v>
      </c>
      <c r="B1238" s="3">
        <v>0</v>
      </c>
    </row>
    <row r="1239" ht="15.75" customHeight="1" spans="1:2">
      <c r="A1239" s="3" t="str">
        <f>IFERROR(__xludf.DUMMYFUNCTION("GOOGLETRANSLATE(A1239,""en"",""pt"")"),"O diálogo sugado.")</f>
        <v>O diálogo sugado.</v>
      </c>
      <c r="B1239" s="3">
        <v>0</v>
      </c>
    </row>
    <row r="1240" ht="15.75" customHeight="1" spans="1:2">
      <c r="A1240" s="3" t="str">
        <f>IFERROR(__xludf.DUMMYFUNCTION("GOOGLETRANSLATE(A1240,""en"",""pt"")"),"A cinematografia-se ele pode ser chamado assim-sugado.")</f>
        <v>A cinematografia-se ele pode ser chamado assim-sugado.</v>
      </c>
      <c r="B1240" s="3">
        <v>0</v>
      </c>
    </row>
    <row r="1241" ht="15.75" customHeight="1" spans="1:2">
      <c r="A1241" s="3" t="str">
        <f>IFERROR(__xludf.DUMMYFUNCTION("GOOGLETRANSLATE(A1241,""en"",""pt"")"),"A trilha sonora sugado.")</f>
        <v>A trilha sonora sugado.</v>
      </c>
      <c r="B1241" s="3">
        <v>0</v>
      </c>
    </row>
    <row r="1242" ht="15.75" customHeight="1" spans="1:2">
      <c r="A1242" s="3" t="str">
        <f>IFERROR(__xludf.DUMMYFUNCTION("GOOGLETRANSLATE(A1242,""en"",""pt"")"),"A atuação sugado.")</f>
        <v>A atuação sugado.</v>
      </c>
      <c r="B1242" s="3">
        <v>0</v>
      </c>
    </row>
    <row r="1243" ht="15.75" customHeight="1" spans="1:2">
      <c r="A1243" s="3" t="str">
        <f>IFERROR(__xludf.DUMMYFUNCTION("GOOGLETRANSLATE(A1243,""en"",""pt"")"),"As seqüências de concertos apenas sugou.")</f>
        <v>As seqüências de concertos apenas sugou.</v>
      </c>
      <c r="B1243" s="3">
        <v>0</v>
      </c>
    </row>
    <row r="1244" ht="15.75" customHeight="1" spans="1:2">
      <c r="A1244" s="3" t="str">
        <f>IFERROR(__xludf.DUMMYFUNCTION("GOOGLETRANSLATE(A1244,""en"",""pt"")"),"Aquilo foi legal.")</f>
        <v>Aquilo foi legal.</v>
      </c>
      <c r="B1244" s="3">
        <v>1</v>
      </c>
    </row>
    <row r="1245" ht="15.75" customHeight="1" spans="1:2">
      <c r="A1245" s="3" t="str">
        <f>IFERROR(__xludf.DUMMYFUNCTION("GOOGLETRANSLATE(A1245,""en"",""pt"")"),"Aquilo foi engraçado.")</f>
        <v>Aquilo foi engraçado.</v>
      </c>
      <c r="B1245" s="3">
        <v>1</v>
      </c>
    </row>
    <row r="1246" ht="15.75" customHeight="1" spans="1:2">
      <c r="A1246" s="3" t="str">
        <f>IFERROR(__xludf.DUMMYFUNCTION("GOOGLETRANSLATE(A1246,""en"",""pt"")"),"Foi tão engraçado.")</f>
        <v>Foi tão engraçado.</v>
      </c>
      <c r="B1246" s="3">
        <v>1</v>
      </c>
    </row>
    <row r="1247" ht="15.75" customHeight="1" spans="1:2">
      <c r="A1247" s="3" t="str">
        <f>IFERROR(__xludf.DUMMYFUNCTION("GOOGLETRANSLATE(A1247,""en"",""pt"")"),"No geral, este filme foi lixo barato.")</f>
        <v>No geral, este filme foi lixo barato.</v>
      </c>
      <c r="B1247" s="3">
        <v>0</v>
      </c>
    </row>
    <row r="1248" ht="15.75" customHeight="1" spans="1:2">
      <c r="A1248" s="3" t="str">
        <f>IFERROR(__xludf.DUMMYFUNCTION("GOOGLETRANSLATE(A1248,""en"",""pt"")"),"Mas este filme não é engraçado, considerando o ridículo dele.")</f>
        <v>Mas este filme não é engraçado, considerando o ridículo dele.</v>
      </c>
      <c r="B1248" s="3">
        <v>0</v>
      </c>
    </row>
    <row r="1249" ht="15.75" customHeight="1" spans="1:2">
      <c r="A1249" s="3" t="str">
        <f>IFERROR(__xludf.DUMMYFUNCTION("GOOGLETRANSLATE(A1249,""en"",""pt"")"),"I veio de fora sentindo raiva.")</f>
        <v>I veio de fora sentindo raiva.</v>
      </c>
      <c r="B1249" s="3">
        <v>0</v>
      </c>
    </row>
    <row r="1250" ht="15.75" customHeight="1" spans="1:2">
      <c r="A1250" s="3" t="str">
        <f>IFERROR(__xludf.DUMMYFUNCTION("GOOGLETRANSLATE(A1250,""en"",""pt"")"),"A cinematografia é simplesmente deslumbrante (para dizer o mínimo) eo fx não são nada se não state-of-the-art.")</f>
        <v>A cinematografia é simplesmente deslumbrante (para dizer o mínimo) eo fx não são nada se não state-of-the-art.</v>
      </c>
      <c r="B1250" s="3">
        <v>1</v>
      </c>
    </row>
    <row r="1251" ht="15.75" customHeight="1" spans="1:2">
      <c r="A1251" s="3" t="str">
        <f>IFERROR(__xludf.DUMMYFUNCTION("GOOGLETRANSLATE(A1251,""en"",""pt"")"),"Conceitualmente, a mostra oferece um pouco de tudo-e para praticamente todos (pais, crianças, fantasia e / ou fãs fx).")</f>
        <v>Conceitualmente, a mostra oferece um pouco de tudo-e para praticamente todos (pais, crianças, fantasia e / ou fãs fx).</v>
      </c>
      <c r="B1251" s="3">
        <v>1</v>
      </c>
    </row>
    <row r="1252" ht="15.75" customHeight="1" spans="1:2">
      <c r="A1252" s="3" t="str">
        <f>IFERROR(__xludf.DUMMYFUNCTION("GOOGLETRANSLATE(A1252,""en"",""pt"")"),"E não havia uma única nota azedo atingiu agindo-sábio, tampouco; alguns elenco surpreendentemente sólido, aqui.")</f>
        <v>E não havia uma única nota azedo atingiu agindo-sábio, tampouco; alguns elenco surpreendentemente sólido, aqui.</v>
      </c>
      <c r="B1252" s="3">
        <v>1</v>
      </c>
    </row>
    <row r="1253" ht="15.75" customHeight="1" spans="1:2">
      <c r="A1253" s="3" t="str">
        <f>IFERROR(__xludf.DUMMYFUNCTION("GOOGLETRANSLATE(A1253,""en"",""pt"")"),"Tudo considerado, um trabalho muito bem feito.")</f>
        <v>Tudo considerado, um trabalho muito bem feito.</v>
      </c>
      <c r="B1253" s="3">
        <v>1</v>
      </c>
    </row>
    <row r="1254" ht="15.75" customHeight="1" spans="1:2">
      <c r="A1254" s="3" t="str">
        <f>IFERROR(__xludf.DUMMYFUNCTION("GOOGLETRANSLATE(A1254,""en"",""pt"")"),"Graças bom um filme como este foi feito e liberado.")</f>
        <v>Graças bom um filme como este foi feito e liberado.</v>
      </c>
      <c r="B1254" s="3">
        <v>1</v>
      </c>
    </row>
    <row r="1255" ht="15.75" customHeight="1" spans="1:2">
      <c r="A1255" s="3" t="str">
        <f>IFERROR(__xludf.DUMMYFUNCTION("GOOGLETRANSLATE(A1255,""en"",""pt"")"),"Um dos melhores filmes mexicana sempre !, e uma das menos compreendidas, mesmo por mexicana si mesmos, não importa o quão identificou o deve ter sentido com ele.")</f>
        <v>Um dos melhores filmes mexicana sempre !, e uma das menos compreendidas, mesmo por mexicana si mesmos, não importa o quão identificou o deve ter sentido com ele.</v>
      </c>
      <c r="B1255" s="3">
        <v>1</v>
      </c>
    </row>
    <row r="1256" ht="15.75" customHeight="1" spans="1:2">
      <c r="A1256" s="3" t="str">
        <f>IFERROR(__xludf.DUMMYFUNCTION("GOOGLETRANSLATE(A1256,""en"",""pt"")"),"Ele ocupa um lugar destacado como um grande noir-crime-drama, performances incríveis de Belmondo e Lino Ventura.")</f>
        <v>Ele ocupa um lugar destacado como um grande noir-crime-drama, performances incríveis de Belmondo e Lino Ventura.</v>
      </c>
      <c r="B1256" s="3">
        <v>1</v>
      </c>
    </row>
    <row r="1257" ht="15.75" customHeight="1" spans="1:2">
      <c r="A1257" s="3" t="str">
        <f>IFERROR(__xludf.DUMMYFUNCTION("GOOGLETRANSLATE(A1257,""en"",""pt"")"),"A atenção dada a cada personagem, e retratos psicológicos complexos, detalhando lealdade, traição, amor e esperança, são tremendas.")</f>
        <v>A atenção dada a cada personagem, e retratos psicológicos complexos, detalhando lealdade, traição, amor e esperança, são tremendas.</v>
      </c>
      <c r="B1257" s="3">
        <v>1</v>
      </c>
    </row>
    <row r="1258" ht="15.75" customHeight="1" spans="1:2">
      <c r="A1258" s="3" t="str">
        <f>IFERROR(__xludf.DUMMYFUNCTION("GOOGLETRANSLATE(A1258,""en"",""pt"")"),"É um excelente drama, um excelente suspense, e um excelente filme.")</f>
        <v>É um excelente drama, um excelente suspense, e um excelente filme.</v>
      </c>
      <c r="B1258" s="3">
        <v>1</v>
      </c>
    </row>
    <row r="1259" ht="15.75" customHeight="1" spans="1:2">
      <c r="A1259" s="3" t="str">
        <f>IFERROR(__xludf.DUMMYFUNCTION("GOOGLETRANSLATE(A1259,""en"",""pt"")"),"Até lá com o melhor de Melville.")</f>
        <v>Até lá com o melhor de Melville.</v>
      </c>
      <c r="B1259" s="3">
        <v>1</v>
      </c>
    </row>
    <row r="1260" ht="15.75" customHeight="1" spans="1:2">
      <c r="A1260" s="3" t="str">
        <f>IFERROR(__xludf.DUMMYFUNCTION("GOOGLETRANSLATE(A1260,""en"",""pt"")"),"Tudo sobre este filme é simplesmente incrível.")</f>
        <v>Tudo sobre este filme é simplesmente incrível.</v>
      </c>
      <c r="B1260" s="3">
        <v>1</v>
      </c>
    </row>
    <row r="1261" ht="15.75" customHeight="1" spans="1:2">
      <c r="A1261" s="3" t="str">
        <f>IFERROR(__xludf.DUMMYFUNCTION("GOOGLETRANSLATE(A1261,""en"",""pt"")"),"Você realmente aproveitar esta viagem através dos olhos ea alma de uma criança.")</f>
        <v>Você realmente aproveitar esta viagem através dos olhos ea alma de uma criança.</v>
      </c>
      <c r="B1261" s="3">
        <v>1</v>
      </c>
    </row>
    <row r="1262" ht="15.75" customHeight="1" spans="1:2">
      <c r="A1262" s="3" t="str">
        <f>IFERROR(__xludf.DUMMYFUNCTION("GOOGLETRANSLATE(A1262,""en"",""pt"")"),"A água preta é um thriller que consegue transcender completamente suas limitações (que é um filme indie) por subverter continuamente expectativas para emergir como uma experiência intensa.")</f>
        <v>A água preta é um thriller que consegue transcender completamente suas limitações (que é um filme indie) por subverter continuamente expectativas para emergir como uma experiência intensa.</v>
      </c>
      <c r="B1262" s="3">
        <v>1</v>
      </c>
    </row>
    <row r="1263" ht="15.75" customHeight="1" spans="1:2">
      <c r="A1263" s="3" t="str">
        <f>IFERROR(__xludf.DUMMYFUNCTION("GOOGLETRANSLATE(A1263,""en"",""pt"")"),"As performances são reais e emocionante, o crocdodile é extremamente bem feito, de fato, se o site da Black Water é para ser acreditado que é porque eles usaram crocs reais ea localização pântano é fabuloso.")</f>
        <v>As performances são reais e emocionante, o crocdodile é extremamente bem feito, de fato, se o site da Black Water é para ser acreditado que é porque eles usaram crocs reais ea localização pântano é fabuloso.</v>
      </c>
      <c r="B1263" s="3">
        <v>1</v>
      </c>
    </row>
    <row r="1264" ht="15.75" customHeight="1" spans="1:2">
      <c r="A1264" s="3" t="str">
        <f>IFERROR(__xludf.DUMMYFUNCTION("GOOGLETRANSLATE(A1264,""en"",""pt"")"),"Eu desfrutamos quando Christopher Eccleston assumiu o controle da TARDIS ea continuação da série.")</f>
        <v>Eu desfrutamos quando Christopher Eccleston assumiu o controle da TARDIS ea continuação da série.</v>
      </c>
      <c r="B1264" s="3">
        <v>1</v>
      </c>
    </row>
    <row r="1265" ht="15.75" customHeight="1" spans="1:2">
      <c r="A1265" s="3" t="str">
        <f>IFERROR(__xludf.DUMMYFUNCTION("GOOGLETRANSLATE(A1265,""en"",""pt"")"),"Eu não tenho certeza do que ele estava tentando fazer com este filme.")</f>
        <v>Eu não tenho certeza do que ele estava tentando fazer com este filme.</v>
      </c>
      <c r="B1265" s="3">
        <v>0</v>
      </c>
    </row>
    <row r="1266" ht="15.75" customHeight="1" spans="1:2">
      <c r="A1266" s="3" t="str">
        <f>IFERROR(__xludf.DUMMYFUNCTION("GOOGLETRANSLATE(A1266,""en"",""pt"")"),"Se era para transformar o meu sentimento bom dia em uma noite de memórias perturbadoras do que eu acho que ele conseguiu.")</f>
        <v>Se era para transformar o meu sentimento bom dia em uma noite de memórias perturbadoras do que eu acho que ele conseguiu.</v>
      </c>
      <c r="B1266" s="3">
        <v>0</v>
      </c>
    </row>
    <row r="1267" ht="15.75" customHeight="1" spans="1:2">
      <c r="A1267" s="3" t="str">
        <f>IFERROR(__xludf.DUMMYFUNCTION("GOOGLETRANSLATE(A1267,""en"",""pt"")"),"Há um monte de lugares bonitos.")</f>
        <v>Há um monte de lugares bonitos.</v>
      </c>
      <c r="B1267" s="3">
        <v>1</v>
      </c>
    </row>
    <row r="1268" ht="15.75" customHeight="1" spans="1:2">
      <c r="A1268" s="3" t="str">
        <f>IFERROR(__xludf.DUMMYFUNCTION("GOOGLETRANSLATE(A1268,""en"",""pt"")"),"Ele foi forçado, como tudo neste filme.")</f>
        <v>Ele foi forçado, como tudo neste filme.</v>
      </c>
      <c r="B1268" s="3">
        <v>0</v>
      </c>
    </row>
    <row r="1269" ht="15.75" customHeight="1" spans="1:2">
      <c r="A1269" s="3" t="str">
        <f>IFERROR(__xludf.DUMMYFUNCTION("GOOGLETRANSLATE(A1269,""en"",""pt"")"),"Mais uma vez, coxo.")</f>
        <v>Mais uma vez, coxo.</v>
      </c>
      <c r="B1269" s="3">
        <v>0</v>
      </c>
    </row>
    <row r="1270" ht="15.75" customHeight="1" spans="1:2">
      <c r="A1270" s="3" t="str">
        <f>IFERROR(__xludf.DUMMYFUNCTION("GOOGLETRANSLATE(A1270,""en"",""pt"")"),"Aqui é onde o filme realmente pi ** me ed fora.")</f>
        <v>Aqui é onde o filme realmente pi ** me ed fora.</v>
      </c>
      <c r="B1270" s="3">
        <v>0</v>
      </c>
    </row>
    <row r="1271" ht="15.75" customHeight="1" spans="1:2">
      <c r="A1271" s="3" t="str">
        <f>IFERROR(__xludf.DUMMYFUNCTION("GOOGLETRANSLATE(A1271,""en"",""pt"")"),"E nem sequer me fale sobre o camerawork jerky.")</f>
        <v>E nem sequer me fale sobre o camerawork jerky.</v>
      </c>
      <c r="B1271" s="3">
        <v>0</v>
      </c>
    </row>
    <row r="1272" ht="15.75" customHeight="1" spans="1:2">
      <c r="A1272" s="3" t="str">
        <f>IFERROR(__xludf.DUMMYFUNCTION("GOOGLETRANSLATE(A1272,""en"",""pt"")"),"Quando eu vi isso no teatro eu pensei que eu ia ficar doente.")</f>
        <v>Quando eu vi isso no teatro eu pensei que eu ia ficar doente.</v>
      </c>
      <c r="B1272" s="3">
        <v>0</v>
      </c>
    </row>
    <row r="1273" ht="15.75" customHeight="1" spans="1:2">
      <c r="A1273" s="3" t="str">
        <f>IFERROR(__xludf.DUMMYFUNCTION("GOOGLETRANSLATE(A1273,""en"",""pt"")"),"Resumo: Os chistes não eram espirituoso.")</f>
        <v>Resumo: Os chistes não eram espirituoso.</v>
      </c>
      <c r="B1273" s="3">
        <v>0</v>
      </c>
    </row>
    <row r="1274" ht="15.75" customHeight="1" spans="1:2">
      <c r="A1274" s="3" t="str">
        <f>IFERROR(__xludf.DUMMYFUNCTION("GOOGLETRANSLATE(A1274,""en"",""pt"")"),"A trama - bem, eu disse que ia deixar essa passar.")</f>
        <v>A trama - bem, eu disse que ia deixar essa passar.</v>
      </c>
      <c r="B1274" s="3">
        <v>0</v>
      </c>
    </row>
    <row r="1275" ht="15.75" customHeight="1" spans="1:2">
      <c r="A1275" s="3" t="str">
        <f>IFERROR(__xludf.DUMMYFUNCTION("GOOGLETRANSLATE(A1275,""en"",""pt"")"),"A atuação foi ruim.")</f>
        <v>A atuação foi ruim.</v>
      </c>
      <c r="B1275" s="3">
        <v>0</v>
      </c>
    </row>
    <row r="1276" ht="15.75" customHeight="1" spans="1:2">
      <c r="A1276" s="3" t="str">
        <f>IFERROR(__xludf.DUMMYFUNCTION("GOOGLETRANSLATE(A1276,""en"",""pt"")"),"Muito ruim.")</f>
        <v>Muito ruim.</v>
      </c>
      <c r="B1276" s="3">
        <v>0</v>
      </c>
    </row>
    <row r="1277" ht="15.75" customHeight="1" spans="1:2">
      <c r="A1277" s="3" t="str">
        <f>IFERROR(__xludf.DUMMYFUNCTION("GOOGLETRANSLATE(A1277,""en"",""pt"")"),"Mesmo Billy Bob não poderia subir acima do script, o que era pior.")</f>
        <v>Mesmo Billy Bob não poderia subir acima do script, o que era pior.</v>
      </c>
      <c r="B1277" s="3">
        <v>0</v>
      </c>
    </row>
    <row r="1278" ht="15.75" customHeight="1" spans="1:2">
      <c r="A1278" s="3" t="str">
        <f>IFERROR(__xludf.DUMMYFUNCTION("GOOGLETRANSLATE(A1278,""en"",""pt"")"),"Camerawork - novamente, ruim.")</f>
        <v>Camerawork - novamente, ruim.</v>
      </c>
      <c r="B1278" s="3">
        <v>0</v>
      </c>
    </row>
    <row r="1279" ht="15.75" customHeight="1" spans="1:2">
      <c r="A1279" s="3" t="str">
        <f>IFERROR(__xludf.DUMMYFUNCTION("GOOGLETRANSLATE(A1279,""en"",""pt"")"),"Avaliação: 1 out of 10.")</f>
        <v>Avaliação: 1 out of 10.</v>
      </c>
      <c r="B1279" s="3">
        <v>0</v>
      </c>
    </row>
    <row r="1280" ht="15.75" customHeight="1" spans="1:2">
      <c r="A1280" s="3" t="str">
        <f>IFERROR(__xludf.DUMMYFUNCTION("GOOGLETRANSLATE(A1280,""en"",""pt"")"),"Um final incrível para Possivelmente a melhor trilogia de todos os tempos!")</f>
        <v>Um final incrível para Possivelmente a melhor trilogia de todos os tempos!</v>
      </c>
      <c r="B1280" s="3">
        <v>1</v>
      </c>
    </row>
    <row r="1281" ht="15.75" customHeight="1" spans="1:2">
      <c r="A1281" s="3" t="str">
        <f>IFERROR(__xludf.DUMMYFUNCTION("GOOGLETRANSLATE(A1281,""en"",""pt"")"),"Kieslowski nunca deixa de me surpreender.")</f>
        <v>Kieslowski nunca deixa de me surpreender.</v>
      </c>
      <c r="B1281" s="3">
        <v>1</v>
      </c>
    </row>
    <row r="1282" ht="15.75" customHeight="1" spans="1:2">
      <c r="A1282" s="3" t="str">
        <f>IFERROR(__xludf.DUMMYFUNCTION("GOOGLETRANSLATE(A1282,""en"",""pt"")"),"Ele é um dos meus diretores favoritos, e um dos a maioria dos diretores talentosos da história do cinema.")</f>
        <v>Ele é um dos meus diretores favoritos, e um dos a maioria dos diretores talentosos da história do cinema.</v>
      </c>
      <c r="B1282" s="3">
        <v>1</v>
      </c>
    </row>
    <row r="1283" ht="15.75" customHeight="1" spans="1:2">
      <c r="A1283" s="3" t="str">
        <f>IFERROR(__xludf.DUMMYFUNCTION("GOOGLETRANSLATE(A1283,""en"",""pt"")"),"Seu uso das cores da bandeira francesa nos três filmes foi nada menos que incrível, cada tiro, cada cena era como uma obra de arte.")</f>
        <v>Seu uso das cores da bandeira francesa nos três filmes foi nada menos que incrível, cada tiro, cada cena era como uma obra de arte.</v>
      </c>
      <c r="B1283" s="3">
        <v>1</v>
      </c>
    </row>
    <row r="1284" ht="15.75" customHeight="1" spans="1:2">
      <c r="A1284" s="3" t="str">
        <f>IFERROR(__xludf.DUMMYFUNCTION("GOOGLETRANSLATE(A1284,""en"",""pt"")"),"Três dos filmes mais visualmente atraentes que eu já vi.")</f>
        <v>Três dos filmes mais visualmente atraentes que eu já vi.</v>
      </c>
      <c r="B1284" s="3">
        <v>1</v>
      </c>
    </row>
    <row r="1285" ht="15.75" customHeight="1" spans="1:2">
      <c r="A1285" s="3" t="str">
        <f>IFERROR(__xludf.DUMMYFUNCTION("GOOGLETRANSLATE(A1285,""en"",""pt"")"),"E suas conexões sutis entre os três filmes são impressionantes.")</f>
        <v>E suas conexões sutis entre os três filmes são impressionantes.</v>
      </c>
      <c r="B1285" s="3">
        <v>1</v>
      </c>
    </row>
    <row r="1286" ht="15.75" customHeight="1" spans="1:2">
      <c r="A1286" s="3" t="str">
        <f>IFERROR(__xludf.DUMMYFUNCTION("GOOGLETRANSLATE(A1286,""en"",""pt"")"),"Eu tenho que falar isso e é um grande spoiler, eu amei o final, como todos os personagens dos três filmes foram os sobreviventes do desastre da balsa, com Valentine eo jovem juiz juntos, e o velho vê-lo em seu TV, solidificando sua felicidade sobre o sofr"&amp;"imento que ele lidou com para aqueles muitos anos.")</f>
        <v>Eu tenho que falar isso e é um grande spoiler, eu amei o final, como todos os personagens dos três filmes foram os sobreviventes do desastre da balsa, com Valentine eo jovem juiz juntos, e o velho vê-lo em seu TV, solidificando sua felicidade sobre o sofrimento que ele lidou com para aqueles muitos anos.</v>
      </c>
      <c r="B1286" s="3">
        <v>1</v>
      </c>
    </row>
    <row r="1287" ht="15.75" customHeight="1" spans="1:2">
      <c r="A1287" s="3" t="str">
        <f>IFERROR(__xludf.DUMMYFUNCTION("GOOGLETRANSLATE(A1287,""en"",""pt"")"),"Eu não conseguia pensar em uma maneira melhor de terminar o filme, mas um sorriso no meu rosto, ótima maneira de encerrar um filme incrível e trilogia!")</f>
        <v>Eu não conseguia pensar em uma maneira melhor de terminar o filme, mas um sorriso no meu rosto, ótima maneira de encerrar um filme incrível e trilogia!</v>
      </c>
      <c r="B1287" s="3">
        <v>1</v>
      </c>
    </row>
    <row r="1288" ht="15.75" customHeight="1" spans="1:2">
      <c r="A1288" s="3" t="str">
        <f>IFERROR(__xludf.DUMMYFUNCTION("GOOGLETRANSLATE(A1288,""en"",""pt"")"),"Eu recomendo este para todos que ama filme, filmes, qualquer coisa ... uma obra de arte!")</f>
        <v>Eu recomendo este para todos que ama filme, filmes, qualquer coisa ... uma obra de arte!</v>
      </c>
      <c r="B1288" s="3">
        <v>1</v>
      </c>
    </row>
    <row r="1289" ht="15.75" customHeight="1" spans="1:2">
      <c r="A1289" s="3" t="str">
        <f>IFERROR(__xludf.DUMMYFUNCTION("GOOGLETRANSLATE(A1289,""en"",""pt"")"),"Eu literalmente vomitou enquanto assistir a este filme.")</f>
        <v>Eu literalmente vomitou enquanto assistir a este filme.</v>
      </c>
      <c r="B1289" s="3">
        <v>0</v>
      </c>
    </row>
    <row r="1290" ht="15.75" customHeight="1" spans="1:2">
      <c r="A1290" s="3" t="str">
        <f>IFERROR(__xludf.DUMMYFUNCTION("GOOGLETRANSLATE(A1290,""en"",""pt"")"),"Eu acho que foi uma das pessoas que encontraram este outro de pérolas de Roth.")</f>
        <v>Eu acho que foi uma das pessoas que encontraram este outro de pérolas de Roth.</v>
      </c>
      <c r="B1290" s="3">
        <v>1</v>
      </c>
    </row>
    <row r="1291" ht="15.75" customHeight="1" spans="1:2">
      <c r="A1291" s="3" t="str">
        <f>IFERROR(__xludf.DUMMYFUNCTION("GOOGLETRANSLATE(A1291,""en"",""pt"")"),"seu desempenho, como premiado, foi impressionante.")</f>
        <v>seu desempenho, como premiado, foi impressionante.</v>
      </c>
      <c r="B1291" s="3">
        <v>1</v>
      </c>
    </row>
    <row r="1292" ht="15.75" customHeight="1" spans="1:2">
      <c r="A1292" s="3" t="str">
        <f>IFERROR(__xludf.DUMMYFUNCTION("GOOGLETRANSLATE(A1292,""en"",""pt"")"),"a história que foi contada de forma tão eloquente por Francis Ford Coppola 25 anos antes, realmente se desenrola gradualmente e sala de folhas para os personagens para se desenvolver.")</f>
        <v>a história que foi contada de forma tão eloquente por Francis Ford Coppola 25 anos antes, realmente se desenrola gradualmente e sala de folhas para os personagens para se desenvolver.</v>
      </c>
      <c r="B1292" s="3">
        <v>1</v>
      </c>
    </row>
    <row r="1293" ht="15.75" customHeight="1" spans="1:2">
      <c r="A1293" s="3" t="str">
        <f>IFERROR(__xludf.DUMMYFUNCTION("GOOGLETRANSLATE(A1293,""en"",""pt"")"),"Em um local mais maravilhoso encontra-se uma história de contraste.")</f>
        <v>Em um local mais maravilhoso encontra-se uma história de contraste.</v>
      </c>
      <c r="B1293" s="3">
        <v>1</v>
      </c>
    </row>
    <row r="1294" ht="15.75" customHeight="1" spans="1:2">
      <c r="A1294" s="3" t="str">
        <f>IFERROR(__xludf.DUMMYFUNCTION("GOOGLETRANSLATE(A1294,""en"",""pt"")"),"Todos em um filme dirigido bonita de Roeg de Nicola wih um elenco sublime.")</f>
        <v>Todos em um filme dirigido bonita de Roeg de Nicola wih um elenco sublime.</v>
      </c>
      <c r="B1294" s="3">
        <v>1</v>
      </c>
    </row>
    <row r="1295" ht="15.75" customHeight="1" spans="1:2">
      <c r="A1295" s="3" t="str">
        <f>IFERROR(__xludf.DUMMYFUNCTION("GOOGLETRANSLATE(A1295,""en"",""pt"")"),"Eu estou traduzindo filmes para uma vida e este é o primeiro filme na minha experiência de trabalho de 5 anos que eu achei ofensiva à minha inteligência.")</f>
        <v>Eu estou traduzindo filmes para uma vida e este é o primeiro filme na minha experiência de trabalho de 5 anos que eu achei ofensiva à minha inteligência.</v>
      </c>
      <c r="B1295" s="3">
        <v>0</v>
      </c>
    </row>
    <row r="1296" ht="15.75" customHeight="1" spans="1:2">
      <c r="A1296" s="3" t="str">
        <f>IFERROR(__xludf.DUMMYFUNCTION("GOOGLETRANSLATE(A1296,""en"",""pt"")"),"Mas quando alguém se esforça para a grandeza e poesia, mas oferece uma história confusa (e muitas vezes ridículo), um monte de cenas diferentes, o diálogo pretensioso ... Então você começa o pior tipo de um filme que algum outro usuário definido com muita"&amp;" precisão como ""pretensioso porcaria"".")</f>
        <v>Mas quando alguém se esforça para a grandeza e poesia, mas oferece uma história confusa (e muitas vezes ridículo), um monte de cenas diferentes, o diálogo pretensioso ... Então você começa o pior tipo de um filme que algum outro usuário definido com muita precisão como "pretensioso porcaria".</v>
      </c>
      <c r="B1296" s="3">
        <v>0</v>
      </c>
    </row>
    <row r="1297" ht="15.75" customHeight="1" spans="1:2">
      <c r="A1297" s="3" t="str">
        <f>IFERROR(__xludf.DUMMYFUNCTION("GOOGLETRANSLATE(A1297,""en"",""pt"")"),"Para aqueles que acham este filme inteligente ou até mesmo magistral, eu só posso dizer - é a sua inteligência e sua imaginação, você obviamente usado para tentar fazer algum sentido de esta tentativa lamentável (é em nossa natureza humana para tentar faz"&amp;"er sentido das coisas).")</f>
        <v>Para aqueles que acham este filme inteligente ou até mesmo magistral, eu só posso dizer - é a sua inteligência e sua imaginação, você obviamente usado para tentar fazer algum sentido de esta tentativa lamentável (é em nossa natureza humana para tentar fazer sentido das coisas).</v>
      </c>
      <c r="B1297" s="3">
        <v>0</v>
      </c>
    </row>
    <row r="1298" ht="15.75" customHeight="1" spans="1:2">
      <c r="A1298" s="3" t="str">
        <f>IFERROR(__xludf.DUMMYFUNCTION("GOOGLETRANSLATE(A1298,""en"",""pt"")"),"Só mais uma coisa: eu posso tolerar incorreção política muito bem, eu sou todo para a liberdade artística e suspensão da descrença, mas a personagem feminina eslava era demais.")</f>
        <v>Só mais uma coisa: eu posso tolerar incorreção política muito bem, eu sou todo para a liberdade artística e suspensão da descrença, mas a personagem feminina eslava era demais.</v>
      </c>
      <c r="B1298" s="3">
        <v>0</v>
      </c>
    </row>
    <row r="1299" ht="15.75" customHeight="1" spans="1:2">
      <c r="A1299" s="3" t="str">
        <f>IFERROR(__xludf.DUMMYFUNCTION("GOOGLETRANSLATE(A1299,""en"",""pt"")"),"Isto é tão divertido um e filme engraçado.")</f>
        <v>Isto é tão divertido um e filme engraçado.</v>
      </c>
      <c r="B1299" s="3">
        <v>1</v>
      </c>
    </row>
    <row r="1300" ht="15.75" customHeight="1" spans="1:2">
      <c r="A1300" s="3" t="str">
        <f>IFERROR(__xludf.DUMMYFUNCTION("GOOGLETRANSLATE(A1300,""en"",""pt"")"),"Altamente entreter em todos os ângulos.")</f>
        <v>Altamente entreter em todos os ângulos.</v>
      </c>
      <c r="B1300" s="3">
        <v>1</v>
      </c>
    </row>
    <row r="1301" ht="15.75" customHeight="1" spans="1:2">
      <c r="A1301" s="3" t="str">
        <f>IFERROR(__xludf.DUMMYFUNCTION("GOOGLETRANSLATE(A1301,""en"",""pt"")"),"Ele apresenta uma matriz estranha de porcas marcantes, psicóticas mas amáveis.")</f>
        <v>Ele apresenta uma matriz estranha de porcas marcantes, psicóticas mas amáveis.</v>
      </c>
      <c r="B1301" s="3">
        <v>1</v>
      </c>
    </row>
    <row r="1302" ht="15.75" customHeight="1" spans="1:2">
      <c r="A1302" s="3" t="str">
        <f>IFERROR(__xludf.DUMMYFUNCTION("GOOGLETRANSLATE(A1302,""en"",""pt"")"),"Então, para nosso prazer nós começamos a vê-los correr, jogar jogos, e ser perigoso.")</f>
        <v>Então, para nosso prazer nós começamos a vê-los correr, jogar jogos, e ser perigoso.</v>
      </c>
      <c r="B1302" s="3">
        <v>1</v>
      </c>
    </row>
    <row r="1303" ht="15.75" customHeight="1" spans="1:2">
      <c r="A1303" s="3" t="str">
        <f>IFERROR(__xludf.DUMMYFUNCTION("GOOGLETRANSLATE(A1303,""en"",""pt"")"),"Ele ainda tem seus momentos doces.")</f>
        <v>Ele ainda tem seus momentos doces.</v>
      </c>
      <c r="B1303" s="3">
        <v>1</v>
      </c>
    </row>
    <row r="1304" ht="15.75" customHeight="1" spans="1:2">
      <c r="A1304" s="3" t="str">
        <f>IFERROR(__xludf.DUMMYFUNCTION("GOOGLETRANSLATE(A1304,""en"",""pt"")"),"O homem de reparação de telefone era muito engraçado e suas reações ao patrão nozes e mal-intencionado eram verdadeiramente genuíno.")</f>
        <v>O homem de reparação de telefone era muito engraçado e suas reações ao patrão nozes e mal-intencionado eram verdadeiramente genuíno.</v>
      </c>
      <c r="B1304" s="3">
        <v>1</v>
      </c>
    </row>
    <row r="1305" ht="15.75" customHeight="1" spans="1:2">
      <c r="A1305" s="3" t="str">
        <f>IFERROR(__xludf.DUMMYFUNCTION("GOOGLETRANSLATE(A1305,""en"",""pt"")"),"Todos os personagens deste filme são tremendamente bem jogado.")</f>
        <v>Todos os personagens deste filme são tremendamente bem jogado.</v>
      </c>
      <c r="B1305" s="3">
        <v>1</v>
      </c>
    </row>
    <row r="1306" ht="15.75" customHeight="1" spans="1:2">
      <c r="A1306" s="3" t="str">
        <f>IFERROR(__xludf.DUMMYFUNCTION("GOOGLETRANSLATE(A1306,""en"",""pt"")"),"E eu realmente encontrá-los engraçado.")</f>
        <v>E eu realmente encontrá-los engraçado.</v>
      </c>
      <c r="B1306" s="3">
        <v>1</v>
      </c>
    </row>
    <row r="1307" ht="15.75" customHeight="1" spans="1:2">
      <c r="A1307" s="3" t="str">
        <f>IFERROR(__xludf.DUMMYFUNCTION("GOOGLETRANSLATE(A1307,""en"",""pt"")"),"Este é realmente um filme muito inteligente.")</f>
        <v>Este é realmente um filme muito inteligente.</v>
      </c>
      <c r="B1307" s="3">
        <v>1</v>
      </c>
    </row>
    <row r="1308" ht="15.75" customHeight="1" spans="1:2">
      <c r="A1308" s="3" t="str">
        <f>IFERROR(__xludf.DUMMYFUNCTION("GOOGLETRANSLATE(A1308,""en"",""pt"")"),"Há um brilhante final torção.")</f>
        <v>Há um brilhante final torção.</v>
      </c>
      <c r="B1308" s="3">
        <v>1</v>
      </c>
    </row>
    <row r="1309" ht="15.75" customHeight="1" spans="1:2">
      <c r="A1309" s="3" t="str">
        <f>IFERROR(__xludf.DUMMYFUNCTION("GOOGLETRANSLATE(A1309,""en"",""pt"")")," Eu amo isso.")</f>
        <v> Eu amo isso.</v>
      </c>
      <c r="B1309" s="3">
        <v>1</v>
      </c>
    </row>
    <row r="1310" ht="15.75" customHeight="1" spans="1:2">
      <c r="A1310" s="3" t="str">
        <f>IFERROR(__xludf.DUMMYFUNCTION("GOOGLETRANSLATE(A1310,""en"",""pt"")"),"O final é tão, tão perfeita ... você vai derramar uma lágrima.")</f>
        <v>O final é tão, tão perfeita ... você vai derramar uma lágrima.</v>
      </c>
      <c r="B1310" s="3">
        <v>1</v>
      </c>
    </row>
    <row r="1311" ht="15.75" customHeight="1" spans="1:2">
      <c r="A1311" s="3" t="str">
        <f>IFERROR(__xludf.DUMMYFUNCTION("GOOGLETRANSLATE(A1311,""en"",""pt"")"),"Estou tão excitado depois de ver um filme como este.")</f>
        <v>Estou tão excitado depois de ver um filme como este.</v>
      </c>
      <c r="B1311" s="3">
        <v>1</v>
      </c>
    </row>
    <row r="1312" ht="15.75" customHeight="1" spans="1:2">
      <c r="A1312" s="3" t="str">
        <f>IFERROR(__xludf.DUMMYFUNCTION("GOOGLETRANSLATE(A1312,""en"",""pt"")"),"Eu nunca vou esquecer isso agora.")</f>
        <v>Eu nunca vou esquecer isso agora.</v>
      </c>
      <c r="B1312" s="3">
        <v>1</v>
      </c>
    </row>
    <row r="1313" ht="15.75" customHeight="1" spans="1:2">
      <c r="A1313" s="3" t="str">
        <f>IFERROR(__xludf.DUMMYFUNCTION("GOOGLETRANSLATE(A1313,""en"",""pt"")"),"Não é apenas um culto ... É um clássico cult.")</f>
        <v>Não é apenas um culto ... É um clássico cult.</v>
      </c>
      <c r="B1313" s="3">
        <v>1</v>
      </c>
    </row>
    <row r="1314" ht="15.75" customHeight="1" spans="1:2">
      <c r="A1314" s="3" t="str">
        <f>IFERROR(__xludf.DUMMYFUNCTION("GOOGLETRANSLATE(A1314,""en"",""pt"")"),"Que tem mais profundidade e caráter do que o homem debaixo dela.")</f>
        <v>Que tem mais profundidade e caráter do que o homem debaixo dela.</v>
      </c>
      <c r="B1314" s="3">
        <v>0</v>
      </c>
    </row>
    <row r="1315" ht="15.75" customHeight="1" spans="1:2">
      <c r="A1315" s="3" t="str">
        <f>IFERROR(__xludf.DUMMYFUNCTION("GOOGLETRANSLATE(A1315,""en"",""pt"")"),"As configurações de Malta são tão seco e tão estéril como o diálogo.")</f>
        <v>As configurações de Malta são tão seco e tão estéril como o diálogo.</v>
      </c>
      <c r="B1315" s="3">
        <v>0</v>
      </c>
    </row>
    <row r="1316" ht="15.75" customHeight="1" spans="1:2">
      <c r="A1316" s="3" t="str">
        <f>IFERROR(__xludf.DUMMYFUNCTION("GOOGLETRANSLATE(A1316,""en"",""pt"")"),"Este filme é terrível.")</f>
        <v>Este filme é terrível.</v>
      </c>
      <c r="B1316" s="3">
        <v>0</v>
      </c>
    </row>
    <row r="1317" ht="15.75" customHeight="1" spans="1:2">
      <c r="A1317" s="3" t="str">
        <f>IFERROR(__xludf.DUMMYFUNCTION("GOOGLETRANSLATE(A1317,""en"",""pt"")"),"As cenas de hóquei são terríveis, defensemen jogando como eles são 5 anos de idade, os goleiros de mergulho em tiros que são 10 pés de largura da rede, etc.")</f>
        <v>As cenas de hóquei são terríveis, defensemen jogando como eles são 5 anos de idade, os goleiros de mergulho em tiros que são 10 pés de largura da rede, etc.</v>
      </c>
      <c r="B1317" s="3">
        <v>0</v>
      </c>
    </row>
    <row r="1318" ht="15.75" customHeight="1" spans="1:2">
      <c r="A1318" s="3" t="str">
        <f>IFERROR(__xludf.DUMMYFUNCTION("GOOGLETRANSLATE(A1318,""en"",""pt"")"),"Para aqueles que não viram isso, não perca o seu tempo!")</f>
        <v>Para aqueles que não viram isso, não perca o seu tempo!</v>
      </c>
      <c r="B1318" s="3">
        <v>0</v>
      </c>
    </row>
    <row r="1319" ht="15.75" customHeight="1" spans="1:2">
      <c r="A1319" s="3" t="str">
        <f>IFERROR(__xludf.DUMMYFUNCTION("GOOGLETRANSLATE(A1319,""en"",""pt"")"),"Para chamar este filme um drama é ridículo!")</f>
        <v>Para chamar este filme um drama é ridículo!</v>
      </c>
      <c r="B1319" s="3">
        <v>0</v>
      </c>
    </row>
    <row r="1320" ht="15.75" customHeight="1" spans="1:2">
      <c r="A1320" s="3" t="str">
        <f>IFERROR(__xludf.DUMMYFUNCTION("GOOGLETRANSLATE(A1320,""en"",""pt"")"),"Começou a assistir a este, mas não acreditava em qualquer um dos personagens.")</f>
        <v>Começou a assistir a este, mas não acreditava em qualquer um dos personagens.</v>
      </c>
      <c r="B1320" s="3">
        <v>0</v>
      </c>
    </row>
    <row r="1321" ht="15.75" customHeight="1" spans="1:2">
      <c r="A1321" s="3" t="str">
        <f>IFERROR(__xludf.DUMMYFUNCTION("GOOGLETRANSLATE(A1321,""en"",""pt"")"),"Em particular, a relação entre o assistente de padaria e garçonete simplesmente não funciona para mim em tudo.")</f>
        <v>Em particular, a relação entre o assistente de padaria e garçonete simplesmente não funciona para mim em tudo.</v>
      </c>
      <c r="B1321" s="3">
        <v>0</v>
      </c>
    </row>
    <row r="1322" ht="15.75" customHeight="1" spans="1:2">
      <c r="A1322" s="3" t="str">
        <f>IFERROR(__xludf.DUMMYFUNCTION("GOOGLETRANSLATE(A1322,""en"",""pt"")"),"Era um filme muito superficial e ele me deu a sensação de que eu estava assistindo o jogo, em vez de um filme.")</f>
        <v>Era um filme muito superficial e ele me deu a sensação de que eu estava assistindo o jogo, em vez de um filme.</v>
      </c>
      <c r="B1322" s="3">
        <v>0</v>
      </c>
    </row>
    <row r="1323" ht="15.75" customHeight="1" spans="1:2">
      <c r="A1323" s="3" t="str">
        <f>IFERROR(__xludf.DUMMYFUNCTION("GOOGLETRANSLATE(A1323,""en"",""pt"")"),"Os personagens eram muito 'teatral' ea história era muito parecida com uma farsa palco.")</f>
        <v>Os personagens eram muito 'teatral' ea história era muito parecida com uma farsa palco.</v>
      </c>
      <c r="B1323" s="3">
        <v>0</v>
      </c>
    </row>
    <row r="1324" ht="15.75" customHeight="1" spans="1:2">
      <c r="A1324" s="3" t="str">
        <f>IFERROR(__xludf.DUMMYFUNCTION("GOOGLETRANSLATE(A1324,""en"",""pt"")"),"Até o momento o piromaníaco waylaid o assistente eu estava entediado e não ligava para o que aconteceu em seguida e então eu desligado.")</f>
        <v>Até o momento o piromaníaco waylaid o assistente eu estava entediado e não ligava para o que aconteceu em seguida e então eu desligado.</v>
      </c>
      <c r="B1324" s="3">
        <v>0</v>
      </c>
    </row>
    <row r="1325" ht="15.75" customHeight="1" spans="1:2">
      <c r="A1325" s="3" t="str">
        <f>IFERROR(__xludf.DUMMYFUNCTION("GOOGLETRANSLATE(A1325,""en"",""pt"")"),"Feliz por não pagar para ver.")</f>
        <v>Feliz por não pagar para ver.</v>
      </c>
      <c r="B1325" s="3">
        <v>0</v>
      </c>
    </row>
    <row r="1326" ht="15.75" customHeight="1" spans="1:2">
      <c r="A1326" s="3" t="str">
        <f>IFERROR(__xludf.DUMMYFUNCTION("GOOGLETRANSLATE(A1326,""en"",""pt"")"),"não rir ou mesmo sorrir uma vez.")</f>
        <v>não rir ou mesmo sorrir uma vez.</v>
      </c>
      <c r="B1326" s="3">
        <v>0</v>
      </c>
    </row>
    <row r="1327" ht="15.75" customHeight="1" spans="1:2">
      <c r="A1327" s="3" t="str">
        <f>IFERROR(__xludf.DUMMYFUNCTION("GOOGLETRANSLATE(A1327,""en"",""pt"")"),"Mas não foi nada em tudo apenas um grande bocejo ...")</f>
        <v>Mas não foi nada em tudo apenas um grande bocejo ...</v>
      </c>
      <c r="B1327" s="3">
        <v>0</v>
      </c>
    </row>
    <row r="1328" ht="15.75" customHeight="1" spans="1:2">
      <c r="A1328" s="3" t="str">
        <f>IFERROR(__xludf.DUMMYFUNCTION("GOOGLETRANSLATE(A1328,""en"",""pt"")"),"É realmente um bom show para assistir.")</f>
        <v>É realmente um bom show para assistir.</v>
      </c>
      <c r="B1328" s="3">
        <v>1</v>
      </c>
    </row>
    <row r="1329" ht="15.75" customHeight="1" spans="1:2">
      <c r="A1329" s="3" t="str">
        <f>IFERROR(__xludf.DUMMYFUNCTION("GOOGLETRANSLATE(A1329,""en"",""pt"")"),"É muito educativo para crianças de 1 a 8 anos de idade.")</f>
        <v>É muito educativo para crianças de 1 a 8 anos de idade.</v>
      </c>
      <c r="B1329" s="3">
        <v>1</v>
      </c>
    </row>
    <row r="1330" ht="15.75" customHeight="1" spans="1:2">
      <c r="A1330" s="3" t="str">
        <f>IFERROR(__xludf.DUMMYFUNCTION("GOOGLETRANSLATE(A1330,""en"",""pt"")"),"Barney é definitivamente super-DE duper.")</f>
        <v>Barney é definitivamente super-DE duper.</v>
      </c>
      <c r="B1330" s="3">
        <v>1</v>
      </c>
    </row>
    <row r="1331" ht="15.75" customHeight="1" spans="1:2">
      <c r="A1331" s="3" t="str">
        <f>IFERROR(__xludf.DUMMYFUNCTION("GOOGLETRANSLATE(A1331,""en"",""pt"")"),"é muito engraçado.")</f>
        <v>é muito engraçado.</v>
      </c>
      <c r="B1331" s="3">
        <v>1</v>
      </c>
    </row>
    <row r="1332" ht="15.75" customHeight="1" spans="1:2">
      <c r="A1332" s="3" t="str">
        <f>IFERROR(__xludf.DUMMYFUNCTION("GOOGLETRANSLATE(A1332,""en"",""pt"")"),"Babie Bop é muito bonito.")</f>
        <v>Babie Bop é muito bonito.</v>
      </c>
      <c r="B1332" s="3">
        <v>1</v>
      </c>
    </row>
    <row r="1333" ht="15.75" customHeight="1" spans="1:2">
      <c r="A1333" s="3" t="str">
        <f>IFERROR(__xludf.DUMMYFUNCTION("GOOGLETRANSLATE(A1333,""en"",""pt"")"),"As crianças são muito legal também.")</f>
        <v>As crianças são muito legal também.</v>
      </c>
      <c r="B1333" s="3">
        <v>1</v>
      </c>
    </row>
    <row r="1334" ht="15.75" customHeight="1" spans="1:2">
      <c r="A1334" s="3" t="str">
        <f>IFERROR(__xludf.DUMMYFUNCTION("GOOGLETRANSLATE(A1334,""en"",""pt"")")," Mas Storm Trooper"" nem sequer é ruim o suficiente para torná-lo para a lista de filmes maravilhosamente terríveis.")</f>
        <v> Mas Storm Trooper" nem sequer é ruim o suficiente para torná-lo para a lista de filmes maravilhosamente terríveis.</v>
      </c>
      <c r="B1334" s="3">
        <v>0</v>
      </c>
    </row>
    <row r="1335" ht="15.75" customHeight="1" spans="1:2">
      <c r="A1335" s="3" t="str">
        <f>IFERROR(__xludf.DUMMYFUNCTION("GOOGLETRANSLATE(A1335,""en"",""pt"")"),"É apenas coxo.")</f>
        <v>É apenas coxo.</v>
      </c>
      <c r="B1335" s="3">
        <v>0</v>
      </c>
    </row>
    <row r="1336" ht="15.75" customHeight="1" spans="1:2">
      <c r="A1336" s="3" t="str">
        <f>IFERROR(__xludf.DUMMYFUNCTION("GOOGLETRANSLATE(A1336,""en"",""pt"")"),"O cara que disse que ele teve um melhor diálogo com os seus vasos de plantas tem direito.")</f>
        <v>O cara que disse que ele teve um melhor diálogo com os seus vasos de plantas tem direito.</v>
      </c>
      <c r="B1336" s="3">
        <v>0</v>
      </c>
    </row>
    <row r="1337" ht="15.75" customHeight="1" spans="1:2">
      <c r="A1337" s="3" t="str">
        <f>IFERROR(__xludf.DUMMYFUNCTION("GOOGLETRANSLATE(A1337,""en"",""pt"")"),"Tudo sobre este filme é estúpido.")</f>
        <v>Tudo sobre este filme é estúpido.</v>
      </c>
      <c r="B1337" s="3">
        <v>0</v>
      </c>
    </row>
    <row r="1338" ht="15.75" customHeight="1" spans="1:2">
      <c r="A1338" s="3" t="str">
        <f>IFERROR(__xludf.DUMMYFUNCTION("GOOGLETRANSLATE(A1338,""en"",""pt"")"),"Mesmo se você ama filmes ruins, não assistir a este filme.")</f>
        <v>Mesmo se você ama filmes ruins, não assistir a este filme.</v>
      </c>
      <c r="B1338" s="3">
        <v>0</v>
      </c>
    </row>
    <row r="1339" ht="15.75" customHeight="1" spans="1:2">
      <c r="A1339" s="3" t="str">
        <f>IFERROR(__xludf.DUMMYFUNCTION("GOOGLETRANSLATE(A1339,""en"",""pt"")"),"É vergonhoso.")</f>
        <v>É vergonhoso.</v>
      </c>
      <c r="B1339" s="3">
        <v>0</v>
      </c>
    </row>
    <row r="1340" ht="15.75" customHeight="1" spans="1:2">
      <c r="A1340" s="3" t="str">
        <f>IFERROR(__xludf.DUMMYFUNCTION("GOOGLETRANSLATE(A1340,""en"",""pt"")"),"Quero dar a este série de televisão a 10, mais se eu pudesse.")</f>
        <v>Quero dar a este série de televisão a 10, mais se eu pudesse.</v>
      </c>
      <c r="B1340" s="3">
        <v>1</v>
      </c>
    </row>
    <row r="1341" ht="15.75" customHeight="1" spans="1:2">
      <c r="A1341" s="3" t="str">
        <f>IFERROR(__xludf.DUMMYFUNCTION("GOOGLETRANSLATE(A1341,""en"",""pt"")"),"Os escritores eram ""bem no"" e eu acho que os melhores atores e atrizes foram um bônus para os personagens show.These eram tão real.")</f>
        <v>Os escritores eram "bem no" e eu acho que os melhores atores e atrizes foram um bônus para os personagens show.These eram tão real.</v>
      </c>
      <c r="B1341" s="3">
        <v>1</v>
      </c>
    </row>
    <row r="1342" ht="15.75" customHeight="1" spans="1:2">
      <c r="A1342" s="3" t="str">
        <f>IFERROR(__xludf.DUMMYFUNCTION("GOOGLETRANSLATE(A1342,""en"",""pt"")"),"Devo dizer que eu ter gravado a maioria dos episódios e eu encontro-me a observá-los uma e outra vez.")</f>
        <v>Devo dizer que eu ter gravado a maioria dos episódios e eu encontro-me a observá-los uma e outra vez.</v>
      </c>
      <c r="B1342" s="3">
        <v>1</v>
      </c>
    </row>
    <row r="1343" ht="15.75" customHeight="1" spans="1:2">
      <c r="A1343" s="3" t="str">
        <f>IFERROR(__xludf.DUMMYFUNCTION("GOOGLETRANSLATE(A1343,""en"",""pt"")"),"Agora você sabe porque eu dei-lhe um 10+!")</f>
        <v>Agora você sabe porque eu dei-lhe um 10+!</v>
      </c>
      <c r="B1343" s="3">
        <v>1</v>
      </c>
    </row>
    <row r="1344" ht="15.75" customHeight="1" spans="1:2">
      <c r="A1344" s="3" t="str">
        <f>IFERROR(__xludf.DUMMYFUNCTION("GOOGLETRANSLATE(A1344,""en"",""pt"")"),"Eu não sei exatamente o que é sobre este filme, mas agarrou a este filme cativante e tornou-se uma parte especial de memórias da nossa família.")</f>
        <v>Eu não sei exatamente o que é sobre este filme, mas agarrou a este filme cativante e tornou-se uma parte especial de memórias da nossa família.</v>
      </c>
      <c r="B1344" s="3">
        <v>1</v>
      </c>
    </row>
    <row r="1345" ht="15.75" customHeight="1" spans="1:2">
      <c r="A1345" s="3" t="str">
        <f>IFERROR(__xludf.DUMMYFUNCTION("GOOGLETRANSLATE(A1345,""en"",""pt"")"),"I total e absolutamente recomendar este filme para quem gosta de bons filmes de família saudável porque isso é exatamente o que é isso.")</f>
        <v>I total e absolutamente recomendar este filme para quem gosta de bons filmes de família saudável porque isso é exatamente o que é isso.</v>
      </c>
      <c r="B1345" s="3">
        <v>1</v>
      </c>
    </row>
    <row r="1346" ht="15.75" customHeight="1" spans="1:2">
      <c r="A1346" s="3" t="str">
        <f>IFERROR(__xludf.DUMMYFUNCTION("GOOGLETRANSLATE(A1346,""en"",""pt"")"),"As coisas que as quatro crianças se metem em é absolutamente hilariante para assistir.")</f>
        <v>As coisas que as quatro crianças se metem em é absolutamente hilariante para assistir.</v>
      </c>
      <c r="B1346" s="3">
        <v>1</v>
      </c>
    </row>
    <row r="1347" ht="15.75" customHeight="1" spans="1:2">
      <c r="A1347" s="3" t="str">
        <f>IFERROR(__xludf.DUMMYFUNCTION("GOOGLETRANSLATE(A1347,""en"",""pt"")"),"Este é um dos melhores filmes lá fora, que mostra como forte vínculo irmão para o outro.")</f>
        <v>Este é um dos melhores filmes lá fora, que mostra como forte vínculo irmão para o outro.</v>
      </c>
      <c r="B1347" s="3">
        <v>1</v>
      </c>
    </row>
    <row r="1348" ht="15.75" customHeight="1" spans="1:2">
      <c r="A1348" s="3" t="str">
        <f>IFERROR(__xludf.DUMMYFUNCTION("GOOGLETRANSLATE(A1348,""en"",""pt"")"),"Muito mais interessante, mais ação, mais suspense, e menos da controvérsia desnecessária.")</f>
        <v>Muito mais interessante, mais ação, mais suspense, e menos da controvérsia desnecessária.</v>
      </c>
      <c r="B1348" s="3">
        <v>1</v>
      </c>
    </row>
    <row r="1349" ht="15.75" customHeight="1" spans="1:2">
      <c r="A1349" s="3" t="str">
        <f>IFERROR(__xludf.DUMMYFUNCTION("GOOGLETRANSLATE(A1349,""en"",""pt"")"),"Tudo a partir de atuar à cinematografia era sólido.")</f>
        <v>Tudo a partir de atuar à cinematografia era sólido.</v>
      </c>
      <c r="B1349" s="3">
        <v>1</v>
      </c>
    </row>
    <row r="1350" ht="15.75" customHeight="1" spans="1:2">
      <c r="A1350" s="3" t="str">
        <f>IFERROR(__xludf.DUMMYFUNCTION("GOOGLETRANSLATE(A1350,""en"",""pt"")"),"Definitivamente vale a pena conferir.")</f>
        <v>Definitivamente vale a pena conferir.</v>
      </c>
      <c r="B1350" s="3">
        <v>1</v>
      </c>
    </row>
    <row r="1351" ht="15.75" customHeight="1" spans="1:2">
      <c r="A1351" s="3" t="str">
        <f>IFERROR(__xludf.DUMMYFUNCTION("GOOGLETRANSLATE(A1351,""en"",""pt"")"),"Damian é tão talentoso e versátil em tantas maneiras de escrever e interpretar diferentes personagens na tela.")</f>
        <v>Damian é tão talentoso e versátil em tantas maneiras de escrever e interpretar diferentes personagens na tela.</v>
      </c>
      <c r="B1351" s="3">
        <v>1</v>
      </c>
    </row>
    <row r="1352" ht="15.75" customHeight="1" spans="1:2">
      <c r="A1352" s="3" t="str">
        <f>IFERROR(__xludf.DUMMYFUNCTION("GOOGLETRANSLATE(A1352,""en"",""pt"")"),"Este filme tem uma aresta de corte a ela.")</f>
        <v>Este filme tem uma aresta de corte a ela.</v>
      </c>
      <c r="B1352" s="3">
        <v>1</v>
      </c>
    </row>
    <row r="1353" ht="15.75" customHeight="1" spans="1:2">
      <c r="A1353" s="3" t="str">
        <f>IFERROR(__xludf.DUMMYFUNCTION("GOOGLETRANSLATE(A1353,""en"",""pt"")"),"Estou tão contente de saber como um moderno gênio dia está lá fora, deixando a paixão para a arte levá-lo e tomar-nos como uma audiência com ele.")</f>
        <v>Estou tão contente de saber como um moderno gênio dia está lá fora, deixando a paixão para a arte levá-lo e tomar-nos como uma audiência com ele.</v>
      </c>
      <c r="B1353" s="3">
        <v>1</v>
      </c>
    </row>
    <row r="1354" ht="15.75" customHeight="1" spans="1:2">
      <c r="A1354" s="3" t="str">
        <f>IFERROR(__xludf.DUMMYFUNCTION("GOOGLETRANSLATE(A1354,""en"",""pt"")"),"Os novos personagens não eram tão memorável, e eu encontrei-me esquecendo quem era quem.")</f>
        <v>Os novos personagens não eram tão memorável, e eu encontrei-me esquecendo quem era quem.</v>
      </c>
      <c r="B1354" s="3">
        <v>0</v>
      </c>
    </row>
    <row r="1355" ht="15.75" customHeight="1" spans="1:2">
      <c r="A1355" s="3" t="str">
        <f>IFERROR(__xludf.DUMMYFUNCTION("GOOGLETRANSLATE(A1355,""en"",""pt"")"),"Eu senti como se ela vai para a Irlanda não fez absolutamente nada que seja.")</f>
        <v>Eu senti como se ela vai para a Irlanda não fez absolutamente nada que seja.</v>
      </c>
      <c r="B1355" s="3">
        <v>0</v>
      </c>
    </row>
    <row r="1356" ht="15.75" customHeight="1" spans="1:2">
      <c r="A1356" s="3" t="str">
        <f>IFERROR(__xludf.DUMMYFUNCTION("GOOGLETRANSLATE(A1356,""en"",""pt"")"),"Ele não me fez medo, horrorizado, ou fazer-me solidário com os personagens; era simplesmente irritante.")</f>
        <v>Ele não me fez medo, horrorizado, ou fazer-me solidário com os personagens; era simplesmente irritante.</v>
      </c>
      <c r="B1356" s="3">
        <v>0</v>
      </c>
    </row>
    <row r="1357" ht="15.75" customHeight="1" spans="1:2">
      <c r="A1357" s="3" t="str">
        <f>IFERROR(__xludf.DUMMYFUNCTION("GOOGLETRANSLATE(A1357,""en"",""pt"")"),"Os movimentos de câmera bruscos também foram irritante.")</f>
        <v>Os movimentos de câmera bruscos também foram irritante.</v>
      </c>
      <c r="B1357" s="3">
        <v>0</v>
      </c>
    </row>
    <row r="1358" ht="15.75" customHeight="1" spans="1:2">
      <c r="A1358" s="3" t="str">
        <f>IFERROR(__xludf.DUMMYFUNCTION("GOOGLETRANSLATE(A1358,""en"",""pt"")"),"O enredo foi o mesmo que praticamente todos os outros horror barato.")</f>
        <v>O enredo foi o mesmo que praticamente todos os outros horror barato.</v>
      </c>
      <c r="B1358" s="3">
        <v>0</v>
      </c>
    </row>
    <row r="1359" ht="15.75" customHeight="1" spans="1:2">
      <c r="A1359" s="3" t="str">
        <f>IFERROR(__xludf.DUMMYFUNCTION("GOOGLETRANSLATE(A1359,""en"",""pt"")"),"Houve algumas tentativas patéticas para dar aos personagens alguma profundidade, mas não deu muito certo para o resto da trama.")</f>
        <v>Houve algumas tentativas patéticas para dar aos personagens alguma profundidade, mas não deu muito certo para o resto da trama.</v>
      </c>
      <c r="B1359" s="3">
        <v>0</v>
      </c>
    </row>
    <row r="1360" ht="15.75" customHeight="1" spans="1:2">
      <c r="A1360" s="3" t="str">
        <f>IFERROR(__xludf.DUMMYFUNCTION("GOOGLETRANSLATE(A1360,""en"",""pt"")"),"Eu acho que era para ser toque inteligente, em seguida, lançar alguma luz sobre a situação, mas era simplesmente estúpido.")</f>
        <v>Eu acho que era para ser toque inteligente, em seguida, lançar alguma luz sobre a situação, mas era simplesmente estúpido.</v>
      </c>
      <c r="B1360" s="3">
        <v>0</v>
      </c>
    </row>
    <row r="1361" ht="15.75" customHeight="1" spans="1:2">
      <c r="A1361" s="3" t="str">
        <f>IFERROR(__xludf.DUMMYFUNCTION("GOOGLETRANSLATE(A1361,""en"",""pt"")"),"Se você vê-lo, você provavelmente deve apenas deixá-lo na prateleira.")</f>
        <v>Se você vê-lo, você provavelmente deve apenas deixá-lo na prateleira.</v>
      </c>
      <c r="B1361" s="3">
        <v>0</v>
      </c>
    </row>
    <row r="1362" ht="15.75" customHeight="1" spans="1:2">
      <c r="A1362" s="3" t="str">
        <f>IFERROR(__xludf.DUMMYFUNCTION("GOOGLETRANSLATE(A1362,""en"",""pt"")"),"Elias Koteas, Jack Palance papéis jogar bem Angelina é quente e fica naked.Billy Drago aparece neste e é legal, como de costume + um cameo por Sven ole Thorsen ajuda a tornar este um filme muito agradável, com boa atuação e um orçamento decente.")</f>
        <v>Elias Koteas, Jack Palance papéis jogar bem Angelina é quente e fica naked.Billy Drago aparece neste e é legal, como de costume + um cameo por Sven ole Thorsen ajuda a tornar este um filme muito agradável, com boa atuação e um orçamento decente.</v>
      </c>
      <c r="B1362" s="3">
        <v>1</v>
      </c>
    </row>
    <row r="1363" ht="15.75" customHeight="1" spans="1:2">
      <c r="A1363" s="3" t="str">
        <f>IFERROR(__xludf.DUMMYFUNCTION("GOOGLETRANSLATE(A1363,""en"",""pt"")"),"Este foi um filme tão impressionante que eu comprei fora de Ebay.")</f>
        <v>Este foi um filme tão impressionante que eu comprei fora de Ebay.</v>
      </c>
      <c r="B1363" s="3">
        <v>1</v>
      </c>
    </row>
    <row r="1364" ht="15.75" customHeight="1" spans="1:2">
      <c r="A1364" s="3" t="str">
        <f>IFERROR(__xludf.DUMMYFUNCTION("GOOGLETRANSLATE(A1364,""en"",""pt"")"),"Eu realmente amei a linha da história e o urso poler estava meio cute.But se alguém tem uma pergunta sobre Fort Steele, basta perguntar afastado :)")</f>
        <v>Eu realmente amei a linha da história e o urso poler estava meio cute.But se alguém tem uma pergunta sobre Fort Steele, basta perguntar afastado :)</v>
      </c>
      <c r="B1364" s="3">
        <v>1</v>
      </c>
    </row>
    <row r="1365" ht="15.75" customHeight="1" spans="1:2">
      <c r="A1365" s="3" t="str">
        <f>IFERROR(__xludf.DUMMYFUNCTION("GOOGLETRANSLATE(A1365,""en"",""pt"")"),"Este filme totalmente sem graça é tão por cima e patético e irrealista que durante os 90 minutos de tortura absoluta eu provavelmente olhou para o relógio sobre 70000 vezes!")</f>
        <v>Este filme totalmente sem graça é tão por cima e patético e irrealista que durante os 90 minutos de tortura absoluta eu provavelmente olhou para o relógio sobre 70000 vezes!</v>
      </c>
      <c r="B1365" s="3">
        <v>0</v>
      </c>
    </row>
    <row r="1366" ht="15.75" customHeight="1" spans="1:2">
      <c r="A1366" s="3" t="str">
        <f>IFERROR(__xludf.DUMMYFUNCTION("GOOGLETRANSLATE(A1366,""en"",""pt"")"),"Lucy Bell é muito maior do que essa porcaria e para ela a afundar esta baixa é bastante deprimente.")</f>
        <v>Lucy Bell é muito maior do que essa porcaria e para ela a afundar esta baixa é bastante deprimente.</v>
      </c>
      <c r="B1366" s="3">
        <v>0</v>
      </c>
    </row>
    <row r="1367" ht="15.75" customHeight="1" spans="1:2">
      <c r="A1367" s="3" t="str">
        <f>IFERROR(__xludf.DUMMYFUNCTION("GOOGLETRANSLATE(A1367,""en"",""pt"")"),"Todos este filme faz é deixá-lo doente assistindo a todos esses folgados dar desculpas por suas ações estúpidas para 90 minutos.")</f>
        <v>Todos este filme faz é deixá-lo doente assistindo a todos esses folgados dar desculpas por suas ações estúpidas para 90 minutos.</v>
      </c>
      <c r="B1367" s="3">
        <v>0</v>
      </c>
    </row>
    <row r="1368" ht="15.75" customHeight="1" spans="1:2">
      <c r="A1368" s="3" t="str">
        <f>IFERROR(__xludf.DUMMYFUNCTION("GOOGLETRANSLATE(A1368,""en"",""pt"")"),"Deus, e eu nunca pode obter que 90 minutos de volta!")</f>
        <v>Deus, e eu nunca pode obter que 90 minutos de volta!</v>
      </c>
      <c r="B1368" s="3">
        <v>0</v>
      </c>
    </row>
    <row r="1369" ht="15.75" customHeight="1" spans="1:2">
      <c r="A1369" s="3" t="str">
        <f>IFERROR(__xludf.DUMMYFUNCTION("GOOGLETRANSLATE(A1369,""en"",""pt"")"),"Eu acho que as peças maravilhosas maioria (literalmente, cheio de ""maravilha"") são os trechos de suas obras.")</f>
        <v>Eu acho que as peças maravilhosas maioria (literalmente, cheio de "maravilha") são os trechos de suas obras.</v>
      </c>
      <c r="B1369" s="3">
        <v>1</v>
      </c>
    </row>
    <row r="1370" ht="15.75" customHeight="1" spans="1:2">
      <c r="A1370" s="3" t="str">
        <f>IFERROR(__xludf.DUMMYFUNCTION("GOOGLETRANSLATE(A1370,""en"",""pt"")"),"Os conjuntos (especialmente projetado para trabalhar com a câmera) são incrível .... estilizado, bonito e eficaz.")</f>
        <v>Os conjuntos (especialmente projetado para trabalhar com a câmera) são incrível .... estilizado, bonito e eficaz.</v>
      </c>
      <c r="B1370" s="3">
        <v>1</v>
      </c>
    </row>
    <row r="1371" ht="15.75" customHeight="1" spans="1:2">
      <c r="A1371" s="3" t="str">
        <f>IFERROR(__xludf.DUMMYFUNCTION("GOOGLETRANSLATE(A1371,""en"",""pt"")"),"Eles poderiam ser usados ​​como exemplos para qualquer designer set.")</f>
        <v>Eles poderiam ser usados ​​como exemplos para qualquer designer set.</v>
      </c>
      <c r="B1371" s="3">
        <v>1</v>
      </c>
    </row>
    <row r="1372" ht="15.75" customHeight="1" spans="1:2">
      <c r="A1372" s="3" t="str">
        <f>IFERROR(__xludf.DUMMYFUNCTION("GOOGLETRANSLATE(A1372,""en"",""pt"")"),"As histórias eram explorações poderosos da natureza do homem e da arte.")</f>
        <v>As histórias eram explorações poderosos da natureza do homem e da arte.</v>
      </c>
      <c r="B1372" s="3">
        <v>1</v>
      </c>
    </row>
    <row r="1373" ht="15.75" customHeight="1" spans="1:2">
      <c r="A1373" s="3" t="str">
        <f>IFERROR(__xludf.DUMMYFUNCTION("GOOGLETRANSLATE(A1373,""en"",""pt"")"),"Depois de assistir este filme, eu queria aprender mais sobre as obras deste artista.")</f>
        <v>Depois de assistir este filme, eu queria aprender mais sobre as obras deste artista.</v>
      </c>
      <c r="B1373" s="3">
        <v>1</v>
      </c>
    </row>
    <row r="1374" ht="15.75" customHeight="1" spans="1:2">
      <c r="A1374" s="3" t="str">
        <f>IFERROR(__xludf.DUMMYFUNCTION("GOOGLETRANSLATE(A1374,""en"",""pt"")"),"Eu recomendo este filme para qualquer pessoa interessada em arte, poesia, teatro, política ou história japonesa.")</f>
        <v>Eu recomendo este filme para qualquer pessoa interessada em arte, poesia, teatro, política ou história japonesa.</v>
      </c>
      <c r="B1374" s="3">
        <v>1</v>
      </c>
    </row>
    <row r="1375" ht="15.75" customHeight="1" spans="1:2">
      <c r="A1375" s="3" t="str">
        <f>IFERROR(__xludf.DUMMYFUNCTION("GOOGLETRANSLATE(A1375,""en"",""pt"")"),"Aqui, o vento eo leão, vemos uma rendição maravilhosa da própria idade imperial da América.")</f>
        <v>Aqui, o vento eo leão, vemos uma rendição maravilhosa da própria idade imperial da América.</v>
      </c>
      <c r="B1375" s="3">
        <v>1</v>
      </c>
    </row>
    <row r="1376" ht="15.75" customHeight="1" spans="1:2">
      <c r="A1376" s="3" t="str">
        <f>IFERROR(__xludf.DUMMYFUNCTION("GOOGLETRANSLATE(A1376,""en"",""pt"")"),"Embora o vento eo Leão é contada em grande parte através dos olhos do filho, cada membro da família pode identificar-se com um dos personagens, seja bandido nobre de Sean Connery, heroína mal-humorada de Candice Bergen, de John Huston astuto John Hay ou S"&amp;"teve Kanaly de spiffy, radiante, implacável can-do tenente, ""Big Stick"" de Roosevelt.")</f>
        <v>Embora o vento eo Leão é contada em grande parte através dos olhos do filho, cada membro da família pode identificar-se com um dos personagens, seja bandido nobre de Sean Connery, heroína mal-humorada de Candice Bergen, de John Huston astuto John Hay ou Steve Kanaly de spiffy, radiante, implacável can-do tenente, "Big Stick" de Roosevelt.</v>
      </c>
      <c r="B1376" s="3">
        <v>1</v>
      </c>
    </row>
    <row r="1377" ht="15.75" customHeight="1" spans="1:2">
      <c r="A1377" s="3" t="str">
        <f>IFERROR(__xludf.DUMMYFUNCTION("GOOGLETRANSLATE(A1377,""en"",""pt"")"),"Esta é uma grande aventura no seu melhor.")</f>
        <v>Esta é uma grande aventura no seu melhor.</v>
      </c>
      <c r="B1377" s="3">
        <v>1</v>
      </c>
    </row>
    <row r="1378" ht="15.75" customHeight="1" spans="1:2">
      <c r="A1378" s="3" t="str">
        <f>IFERROR(__xludf.DUMMYFUNCTION("GOOGLETRANSLATE(A1378,""en"",""pt"")"),"Acho que foi Robert Ryans melhor filme, porque ele retratou alguém como o meu pai, e ele era um esquizofrênico na vida real, (meu pai), embora ele nunca matou ninguém, mas foi afetada mais durante a segunda guerra mundial que fez dele pior.")</f>
        <v>Acho que foi Robert Ryans melhor filme, porque ele retratou alguém como o meu pai, e ele era um esquizofrênico na vida real, (meu pai), embora ele nunca matou ninguém, mas foi afetada mais durante a segunda guerra mundial que fez dele pior.</v>
      </c>
      <c r="B1378" s="3">
        <v>1</v>
      </c>
    </row>
    <row r="1379" ht="15.75" customHeight="1" spans="1:2">
      <c r="A1379" s="3" t="str">
        <f>IFERROR(__xludf.DUMMYFUNCTION("GOOGLETRANSLATE(A1379,""en"",""pt"")"),"Ter de humor dele para sobreviver e passar o dia era tão apt.")</f>
        <v>Ter de humor dele para sobreviver e passar o dia era tão apt.</v>
      </c>
      <c r="B1379" s="3">
        <v>1</v>
      </c>
    </row>
    <row r="1380" ht="15.75" customHeight="1" spans="1:2">
      <c r="A1380" s="3" t="str">
        <f>IFERROR(__xludf.DUMMYFUNCTION("GOOGLETRANSLATE(A1380,""en"",""pt"")"),"Quase todas as músicas de Cover Girl são antiquado e não muito melodioso.")</f>
        <v>Quase todas as músicas de Cover Girl são antiquado e não muito melodioso.</v>
      </c>
      <c r="B1380" s="3">
        <v>0</v>
      </c>
    </row>
    <row r="1381" ht="15.75" customHeight="1" spans="1:2">
      <c r="A1381" s="3" t="str">
        <f>IFERROR(__xludf.DUMMYFUNCTION("GOOGLETRANSLATE(A1381,""en"",""pt"")"),"A coisa mais irritante sobre 'Cover Girl' é a maneira em que Rita Hayworth é colocado em um pedestal.")</f>
        <v>A coisa mais irritante sobre 'Cover Girl' é a maneira em que Rita Hayworth é colocado em um pedestal.</v>
      </c>
      <c r="B1381" s="3">
        <v>0</v>
      </c>
    </row>
    <row r="1382" ht="15.75" customHeight="1" spans="1:2">
      <c r="A1382" s="3" t="str">
        <f>IFERROR(__xludf.DUMMYFUNCTION("GOOGLETRANSLATE(A1382,""en"",""pt"")"),"Infelizmente, 'Cover Girl' é um exemplo de como Hollywood usada para explorar mulheres para ganho financeiro.")</f>
        <v>Infelizmente, 'Cover Girl' é um exemplo de como Hollywood usada para explorar mulheres para ganho financeiro.</v>
      </c>
      <c r="B1382" s="3">
        <v>0</v>
      </c>
    </row>
    <row r="1383" ht="15.75" customHeight="1" spans="1:2">
      <c r="A1383" s="3" t="str">
        <f>IFERROR(__xludf.DUMMYFUNCTION("GOOGLETRANSLATE(A1383,""en"",""pt"")"),"narração não-linear, assim, muitos flashbacks e todas as partes se articulam muito bem.")</f>
        <v>narração não-linear, assim, muitos flashbacks e todas as partes se articulam muito bem.</v>
      </c>
      <c r="B1383" s="3">
        <v>1</v>
      </c>
    </row>
    <row r="1384" ht="15.75" customHeight="1" spans="1:2">
      <c r="A1384" s="3" t="str">
        <f>IFERROR(__xludf.DUMMYFUNCTION("GOOGLETRANSLATE(A1384,""en"",""pt"")"),"A boa fotografia também faz com que ela e Monica Bellucci está muito bonita.")</f>
        <v>A boa fotografia também faz com que ela e Monica Bellucci está muito bonita.</v>
      </c>
      <c r="B1384" s="3">
        <v>1</v>
      </c>
    </row>
    <row r="1385" ht="15.75" customHeight="1" spans="1:2">
      <c r="A1385" s="3" t="str">
        <f>IFERROR(__xludf.DUMMYFUNCTION("GOOGLETRANSLATE(A1385,""en"",""pt"")"),"Um bom comentário do amor de hoje e, sem dúvida, uma pena filme vendo.")</f>
        <v>Um bom comentário do amor de hoje e, sem dúvida, uma pena filme vendo.</v>
      </c>
      <c r="B1385" s="3">
        <v>1</v>
      </c>
    </row>
    <row r="1386" ht="15.75" customHeight="1" spans="1:2">
      <c r="A1386" s="3" t="str">
        <f>IFERROR(__xludf.DUMMYFUNCTION("GOOGLETRANSLATE(A1386,""en"",""pt"")"),"Para as pessoas que são iniciantes no cinema, eu acho que eles fizeram um excelente trabalho !!")</f>
        <v>Para as pessoas que são iniciantes no cinema, eu acho que eles fizeram um excelente trabalho !!</v>
      </c>
      <c r="B1386" s="3">
        <v>1</v>
      </c>
    </row>
    <row r="1387" ht="15.75" customHeight="1" spans="1:2">
      <c r="A1387" s="3" t="str">
        <f>IFERROR(__xludf.DUMMYFUNCTION("GOOGLETRANSLATE(A1387,""en"",""pt"")"),"Ele era muito popular quando eu estava no cinema, uma boa casa e muito boas reações e muitas risadas.")</f>
        <v>Ele era muito popular quando eu estava no cinema, uma boa casa e muito boas reações e muitas risadas.</v>
      </c>
      <c r="B1387" s="3">
        <v>1</v>
      </c>
    </row>
    <row r="1388" ht="15.75" customHeight="1" spans="1:2">
      <c r="A1388" s="3" t="str">
        <f>IFERROR(__xludf.DUMMYFUNCTION("GOOGLETRANSLATE(A1388,""en"",""pt"")"),"É um filme bem-estar e é assim que me senti quando saí do cinema!")</f>
        <v>É um filme bem-estar e é assim que me senti quando saí do cinema!</v>
      </c>
      <c r="B1388" s="3">
        <v>1</v>
      </c>
    </row>
    <row r="1389" ht="15.75" customHeight="1" spans="1:2">
      <c r="A1389" s="3" t="str">
        <f>IFERROR(__xludf.DUMMYFUNCTION("GOOGLETRANSLATE(A1389,""en"",""pt"")"),"Tem humor norte e positiva sobre a comunidade que ele representa.")</f>
        <v>Tem humor norte e positiva sobre a comunidade que ele representa.</v>
      </c>
      <c r="B1389" s="3">
        <v>1</v>
      </c>
    </row>
    <row r="1390" ht="15.75" customHeight="1" spans="1:2">
      <c r="A1390" s="3" t="str">
        <f>IFERROR(__xludf.DUMMYFUNCTION("GOOGLETRANSLATE(A1390,""en"",""pt"")"),"Prefiro gostei.")</f>
        <v>Prefiro gostei.</v>
      </c>
      <c r="B1390" s="3">
        <v>1</v>
      </c>
    </row>
    <row r="1391" ht="15.75" customHeight="1" spans="1:2">
      <c r="A1391" s="3" t="str">
        <f>IFERROR(__xludf.DUMMYFUNCTION("GOOGLETRANSLATE(A1391,""en"",""pt"")"),"Eu gostei.")</f>
        <v>Eu gostei.</v>
      </c>
      <c r="B1391" s="3">
        <v>1</v>
      </c>
    </row>
    <row r="1392" ht="15.75" customHeight="1" spans="1:2">
      <c r="A1392" s="3" t="str">
        <f>IFERROR(__xludf.DUMMYFUNCTION("GOOGLETRANSLATE(A1392,""en"",""pt"")"),"Eu não poderia levá-los a sério.")</f>
        <v>Eu não poderia levá-los a sério.</v>
      </c>
      <c r="B1392" s="3">
        <v>0</v>
      </c>
    </row>
    <row r="1393" ht="15.75" customHeight="1" spans="1:2">
      <c r="A1393" s="3" t="str">
        <f>IFERROR(__xludf.DUMMYFUNCTION("GOOGLETRANSLATE(A1393,""en"",""pt"")"),"É realmente criado uma sensação única embora.")</f>
        <v>É realmente criado uma sensação única embora.</v>
      </c>
      <c r="B1393" s="3">
        <v>1</v>
      </c>
    </row>
    <row r="1394" ht="15.75" customHeight="1" spans="1:2">
      <c r="A1394" s="3" t="str">
        <f>IFERROR(__xludf.DUMMYFUNCTION("GOOGLETRANSLATE(A1394,""en"",""pt"")"),"Vivian Schilling fez um excelente trabalho com o script.")</f>
        <v>Vivian Schilling fez um excelente trabalho com o script.</v>
      </c>
      <c r="B1394" s="3">
        <v>1</v>
      </c>
    </row>
    <row r="1395" ht="15.75" customHeight="1" spans="1:2">
      <c r="A1395" s="3" t="str">
        <f>IFERROR(__xludf.DUMMYFUNCTION("GOOGLETRANSLATE(A1395,""en"",""pt"")"),"Um mundo melhor do que 95% do lixo nos cinemas hoje.")</f>
        <v>Um mundo melhor do que 95% do lixo nos cinemas hoje.</v>
      </c>
      <c r="B1395" s="3">
        <v>1</v>
      </c>
    </row>
    <row r="1396" ht="15.75" customHeight="1" spans="1:2">
      <c r="A1396" s="3" t="str">
        <f>IFERROR(__xludf.DUMMYFUNCTION("GOOGLETRANSLATE(A1396,""en"",""pt"")"),"Seu papel foi jogado bem.")</f>
        <v>Seu papel foi jogado bem.</v>
      </c>
      <c r="B1396" s="3">
        <v>1</v>
      </c>
    </row>
    <row r="1397" ht="15.75" customHeight="1" spans="1:2">
      <c r="A1397" s="3" t="str">
        <f>IFERROR(__xludf.DUMMYFUNCTION("GOOGLETRANSLATE(A1397,""en"",""pt"")"),"Não muito Screamy não ao masculino, mas apenas para a direita.")</f>
        <v>Não muito Screamy não ao masculino, mas apenas para a direita.</v>
      </c>
      <c r="B1397" s="3">
        <v>1</v>
      </c>
    </row>
    <row r="1398" ht="15.75" customHeight="1" spans="1:2">
      <c r="A1398" s="3" t="str">
        <f>IFERROR(__xludf.DUMMYFUNCTION("GOOGLETRANSLATE(A1398,""en"",""pt"")"),"A câmera realmente gosta dela neste filme.")</f>
        <v>A câmera realmente gosta dela neste filme.</v>
      </c>
      <c r="B1398" s="3">
        <v>1</v>
      </c>
    </row>
    <row r="1399" ht="15.75" customHeight="1" spans="1:2">
      <c r="A1399" s="3" t="str">
        <f>IFERROR(__xludf.DUMMYFUNCTION("GOOGLETRANSLATE(A1399,""en"",""pt"")"),"Eu teria escalado ela nesse papel depois de pronto o roteiro.")</f>
        <v>Eu teria escalado ela nesse papel depois de pronto o roteiro.</v>
      </c>
      <c r="B1399" s="3">
        <v>1</v>
      </c>
    </row>
    <row r="1400" ht="15.75" customHeight="1" spans="1:2">
      <c r="A1400" s="3" t="str">
        <f>IFERROR(__xludf.DUMMYFUNCTION("GOOGLETRANSLATE(A1400,""en"",""pt"")"),"Como europeu, o filme é um bom retrocesso para o meu tempo como estudante na década de 1980 e as experiências que tive que vivem no exterior e interagir com outras nacionalidades, embora as circunstâncias eram ligeiramente diferentes.")</f>
        <v>Como europeu, o filme é um bom retrocesso para o meu tempo como estudante na década de 1980 e as experiências que tive que vivem no exterior e interagir com outras nacionalidades, embora as circunstâncias eram ligeiramente diferentes.</v>
      </c>
      <c r="B1400" s="3">
        <v>1</v>
      </c>
    </row>
    <row r="1401" ht="15.75" customHeight="1" spans="1:2">
      <c r="A1401" s="3" t="str">
        <f>IFERROR(__xludf.DUMMYFUNCTION("GOOGLETRANSLATE(A1401,""en"",""pt"")"),"Eu sou um fã dele ... Este filme sugado realmente ruim.")</f>
        <v>Eu sou um fã dele ... Este filme sugado realmente ruim.</v>
      </c>
      <c r="B1401" s="3">
        <v>0</v>
      </c>
    </row>
    <row r="1402" ht="15.75" customHeight="1" spans="1:2">
      <c r="A1402" s="3" t="str">
        <f>IFERROR(__xludf.DUMMYFUNCTION("GOOGLETRANSLATE(A1402,""en"",""pt"")"),"Ainda pior do que Ticker!")</f>
        <v>Ainda pior do que Ticker!</v>
      </c>
      <c r="B1402" s="3">
        <v>0</v>
      </c>
    </row>
    <row r="1403" ht="15.75" customHeight="1" spans="1:2">
      <c r="A1403" s="3" t="str">
        <f>IFERROR(__xludf.DUMMYFUNCTION("GOOGLETRANSLATE(A1403,""en"",""pt"")"),"Apenas como 3 ou 4 edifícios utilizados, um par de locais, talvez, &amp; Poor hummh!")</f>
        <v>Apenas como 3 ou 4 edifícios utilizados, um par de locais, talvez, &amp; Poor hummh!</v>
      </c>
      <c r="B1403" s="3">
        <v>0</v>
      </c>
    </row>
    <row r="1404" ht="15.75" customHeight="1" spans="1:2">
      <c r="A1404" s="3" t="str">
        <f>IFERROR(__xludf.DUMMYFUNCTION("GOOGLETRANSLATE(A1404,""en"",""pt"")"),"Ele só explodiu.")</f>
        <v>Ele só explodiu.</v>
      </c>
      <c r="B1404" s="3">
        <v>0</v>
      </c>
    </row>
    <row r="1405" ht="15.75" customHeight="1" spans="1:2">
      <c r="A1405" s="3" t="str">
        <f>IFERROR(__xludf.DUMMYFUNCTION("GOOGLETRANSLATE(A1405,""en"",""pt"")"),"Este filme é excelente Angel é linda e Scamp é adorável Seus pequenos gritos quando hes scared, e as partes mais engraçadas são quando:! Scamp está preso sob a cortina e quando Angel e Scamp estão cantando 'Eu nunca tive essa sensação Before'.I recomendo "&amp;"totalmente este filme, sua vinda para fora na edição especial sobre a cobertura junho 20.O tem scamp em uma lata de lixo e Angel debaixo da tampa.")</f>
        <v>Este filme é excelente Angel é linda e Scamp é adorável Seus pequenos gritos quando hes scared, e as partes mais engraçadas são quando:! Scamp está preso sob a cortina e quando Angel e Scamp estão cantando 'Eu nunca tive essa sensação Before'.I recomendo totalmente este filme, sua vinda para fora na edição especial sobre a cobertura junho 20.O tem scamp em uma lata de lixo e Angel debaixo da tampa.</v>
      </c>
      <c r="B1405" s="3">
        <v>1</v>
      </c>
    </row>
    <row r="1406" ht="15.75" customHeight="1" spans="1:2">
      <c r="A1406" s="3" t="str">
        <f>IFERROR(__xludf.DUMMYFUNCTION("GOOGLETRANSLATE(A1406,""en"",""pt"")"),"Eu só não posso explicar este filme mais do que romântico, charmoso, divertido, e adorable.The cenas de ferro-velho são engraçados, todos os cães de ferro-velho ter algo special.Too engraçado eu ri, as crianças vão adorar it.Buy-lo quando ele sai, ele tem"&amp;" Novas características!")</f>
        <v>Eu só não posso explicar este filme mais do que romântico, charmoso, divertido, e adorable.The cenas de ferro-velho são engraçados, todos os cães de ferro-velho ter algo special.Too engraçado eu ri, as crianças vão adorar it.Buy-lo quando ele sai, ele tem Novas características!</v>
      </c>
      <c r="B1406" s="3">
        <v>1</v>
      </c>
    </row>
    <row r="1407" ht="15.75" customHeight="1" spans="1:2">
      <c r="A1407" s="3" t="str">
        <f>IFERROR(__xludf.DUMMYFUNCTION("GOOGLETRANSLATE(A1407,""en"",""pt"")"),"Agora fomos escolhidos para ser torturado com esta peça nojento de propaganda americano flagrante.")</f>
        <v>Agora fomos escolhidos para ser torturado com esta peça nojento de propaganda americano flagrante.</v>
      </c>
      <c r="B1407" s="3">
        <v>0</v>
      </c>
    </row>
    <row r="1408" ht="15.75" customHeight="1" spans="1:2">
      <c r="A1408" s="3" t="str">
        <f>IFERROR(__xludf.DUMMYFUNCTION("GOOGLETRANSLATE(A1408,""en"",""pt"")"),"Este show é feito para os americanos - é muito estúpido e cheio de ódio e clichê © s para ser admitido em outro lugar.")</f>
        <v>Este show é feito para os americanos - é muito estúpido e cheio de ódio e clichê © s para ser admitido em outro lugar.</v>
      </c>
      <c r="B1408" s="3">
        <v>0</v>
      </c>
    </row>
    <row r="1409" ht="15.75" customHeight="1" spans="1:2">
      <c r="A1409" s="3" t="str">
        <f>IFERROR(__xludf.DUMMYFUNCTION("GOOGLETRANSLATE(A1409,""en"",""pt"")"),"Quase todos os envolvidos devem ser do retorno à escola, agir é totalmente previsível e ruim, script é pilha de lixo todo.")</f>
        <v>Quase todos os envolvidos devem ser do retorno à escola, agir é totalmente previsível e ruim, script é pilha de lixo todo.</v>
      </c>
      <c r="B1409" s="3">
        <v>0</v>
      </c>
    </row>
    <row r="1410" ht="15.75" customHeight="1" spans="1:2">
      <c r="A1410" s="3" t="str">
        <f>IFERROR(__xludf.DUMMYFUNCTION("GOOGLETRANSLATE(A1410,""en"",""pt"")"),"Eu gostaria de poder entrar valores negativos, os administradores?")</f>
        <v>Eu gostaria de poder entrar valores negativos, os administradores?</v>
      </c>
      <c r="B1410" s="3">
        <v>0</v>
      </c>
    </row>
    <row r="1411" ht="15.75" customHeight="1" spans="1:2">
      <c r="A1411" s="3" t="str">
        <f>IFERROR(__xludf.DUMMYFUNCTION("GOOGLETRANSLATE(A1411,""en"",""pt"")"),"Os conjuntos são tão ruins, eles não pareceria fora de lugar em um episódio Thunderbirds.")</f>
        <v>Os conjuntos são tão ruins, eles não pareceria fora de lugar em um episódio Thunderbirds.</v>
      </c>
      <c r="B1411" s="3">
        <v>0</v>
      </c>
    </row>
    <row r="1412" ht="15.75" customHeight="1" spans="1:2">
      <c r="A1412" s="3" t="str">
        <f>IFERROR(__xludf.DUMMYFUNCTION("GOOGLETRANSLATE(A1412,""en"",""pt"")"),"O uso de câmera lenta desnecessariamente se repete ao longo do filme, mas é bem apoiada por uma atuação ruim (e ruim é uma palavra amável aqui), há continuidade, cenas que são jogados em por qualquer razão, os veículos que parecia que foram feitas a parti"&amp;"r de uma caixa de flocos de milho e um estilo de direção que beirava a estupidez.")</f>
        <v>O uso de câmera lenta desnecessariamente se repete ao longo do filme, mas é bem apoiada por uma atuação ruim (e ruim é uma palavra amável aqui), há continuidade, cenas que são jogados em por qualquer razão, os veículos que parecia que foram feitas a partir de uma caixa de flocos de milho e um estilo de direção que beirava a estupidez.</v>
      </c>
      <c r="B1412" s="3">
        <v>0</v>
      </c>
    </row>
    <row r="1413" ht="15.75" customHeight="1" spans="1:2">
      <c r="A1413" s="3" t="str">
        <f>IFERROR(__xludf.DUMMYFUNCTION("GOOGLETRANSLATE(A1413,""en"",""pt"")"),"Oh sim, e o enredo era patético também.")</f>
        <v>Oh sim, e o enredo era patético também.</v>
      </c>
      <c r="B1413" s="3">
        <v>0</v>
      </c>
    </row>
    <row r="1414" ht="15.75" customHeight="1" spans="1:2">
      <c r="A1414" s="3" t="str">
        <f>IFERROR(__xludf.DUMMYFUNCTION("GOOGLETRANSLATE(A1414,""en"",""pt"")"),"Eu odeio escrever comentários ruins sobre filmes - especialmente aqueles em que eu realmente gosto da estrela - mas este filme é tão ruim que eu não acredito por um segundo que qualquer um poderia ter sido orgulhoso dele.")</f>
        <v>Eu odeio escrever comentários ruins sobre filmes - especialmente aqueles em que eu realmente gosto da estrela - mas este filme é tão ruim que eu não acredito por um segundo que qualquer um poderia ter sido orgulhoso dele.</v>
      </c>
      <c r="B1414" s="3">
        <v>0</v>
      </c>
    </row>
    <row r="1415" ht="15.75" customHeight="1" spans="1:2">
      <c r="A1415" s="3" t="str">
        <f>IFERROR(__xludf.DUMMYFUNCTION("GOOGLETRANSLATE(A1415,""en"",""pt"")"),"Eu não sou um cineasta nem sou um diretor, mas gostaria de esconder a cabeça na areia se eu tinha passado qualquer quantidade de tempo e dinheiro nesse filme.")</f>
        <v>Eu não sou um cineasta nem sou um diretor, mas gostaria de esconder a cabeça na areia se eu tinha passado qualquer quantidade de tempo e dinheiro nesse filme.</v>
      </c>
      <c r="B1415" s="3">
        <v>0</v>
      </c>
    </row>
    <row r="1416" ht="15.75" customHeight="1" spans="1:2">
      <c r="A1416" s="3" t="str">
        <f>IFERROR(__xludf.DUMMYFUNCTION("GOOGLETRANSLATE(A1416,""en"",""pt"")"),"Em suma - este foi um desperdício monumental de tempo e energia e eu não recomendo ninguém para ver que nunca este filme.")</f>
        <v>Em suma - este foi um desperdício monumental de tempo e energia e eu não recomendo ninguém para ver que nunca este filme.</v>
      </c>
      <c r="B1416" s="3">
        <v>0</v>
      </c>
    </row>
    <row r="1417" ht="15.75" customHeight="1" spans="1:2">
      <c r="A1417" s="3" t="str">
        <f>IFERROR(__xludf.DUMMYFUNCTION("GOOGLETRANSLATE(A1417,""en"",""pt"")"),"Ele veio livre com um leitor de DVD que eu comprei, mas eu ainda virou a coisa fora a meio porque eu estava envergonhado por Howell.")</f>
        <v>Ele veio livre com um leitor de DVD que eu comprei, mas eu ainda virou a coisa fora a meio porque eu estava envergonhado por Howell.</v>
      </c>
      <c r="B1417" s="3">
        <v>0</v>
      </c>
    </row>
    <row r="1418" ht="15.75" customHeight="1" spans="1:2">
      <c r="A1418" s="3" t="str">
        <f>IFERROR(__xludf.DUMMYFUNCTION("GOOGLETRANSLATE(A1418,""en"",""pt"")"),"Uma premissa interessante, e Billy Drago é sempre bom como um perigoso porca-bag (nota lateral: Eu adoraria ver Drago, Stephen McHattie e Lance Hendrikson em um filme juntos, falar sobre furiosa maçãs do rosto!).")</f>
        <v>Uma premissa interessante, e Billy Drago é sempre bom como um perigoso porca-bag (nota lateral: Eu adoraria ver Drago, Stephen McHattie e Lance Hendrikson em um filme juntos, falar sobre furiosa maçãs do rosto!).</v>
      </c>
      <c r="B1418" s="3">
        <v>1</v>
      </c>
    </row>
    <row r="1419" ht="15.75" customHeight="1" spans="1:2">
      <c r="A1419" s="3" t="str">
        <f>IFERROR(__xludf.DUMMYFUNCTION("GOOGLETRANSLATE(A1419,""en"",""pt"")"),"A trilha sonora não era terrível, qualquer um.")</f>
        <v>A trilha sonora não era terrível, qualquer um.</v>
      </c>
      <c r="B1419" s="3">
        <v>1</v>
      </c>
    </row>
    <row r="1420" ht="15.75" customHeight="1" spans="1:2">
      <c r="A1420" s="3" t="str">
        <f>IFERROR(__xludf.DUMMYFUNCTION("GOOGLETRANSLATE(A1420,""en"",""pt"")"),"Mas a atuação - mesmo que de tais profissionais como Drago e Debbie Rochon - era terrível, a dirigir pior (talvez contribui para o primeiro), o chimpanzé-like, e o trabalho de câmera de diálogo, apenas tolerável.")</f>
        <v>Mas a atuação - mesmo que de tais profissionais como Drago e Debbie Rochon - era terrível, a dirigir pior (talvez contribui para o primeiro), o chimpanzé-like, e o trabalho de câmera de diálogo, apenas tolerável.</v>
      </c>
      <c r="B1420" s="3">
        <v>0</v>
      </c>
    </row>
    <row r="1421" ht="15.75" customHeight="1" spans="1:2">
      <c r="A1421" s="3" t="str">
        <f>IFERROR(__xludf.DUMMYFUNCTION("GOOGLETRANSLATE(A1421,""en"",""pt"")"),"Ainda assim, foram os jogos que tem um grande ""10"" na minha escala ""oy-vey"".")</f>
        <v>Ainda assim, foram os jogos que tem um grande "10" na minha escala "oy-vey".</v>
      </c>
      <c r="B1421" s="3">
        <v>1</v>
      </c>
    </row>
    <row r="1422" ht="15.75" customHeight="1" spans="1:2">
      <c r="A1422" s="3" t="str">
        <f>IFERROR(__xludf.DUMMYFUNCTION("GOOGLETRANSLATE(A1422,""en"",""pt"")"),"Sim, eu estou simplificando as coisas aqui em prol da brevidade, para este realmente é o cerne dos problemas com esse filme - tem muita coisa acontecendo sem qualquer real, cumprindo explicação.")</f>
        <v>Sim, eu estou simplificando as coisas aqui em prol da brevidade, para este realmente é o cerne dos problemas com esse filme - tem muita coisa acontecendo sem qualquer real, cumprindo explicação.</v>
      </c>
      <c r="B1422" s="3">
        <v>0</v>
      </c>
    </row>
    <row r="1423" ht="15.75" customHeight="1" spans="1:2">
      <c r="A1423" s="3" t="str">
        <f>IFERROR(__xludf.DUMMYFUNCTION("GOOGLETRANSLATE(A1423,""en"",""pt"")"),"Ambos fazem bons empregos e são bastante divertido.")</f>
        <v>Ambos fazem bons empregos e são bastante divertido.</v>
      </c>
      <c r="B1423" s="3">
        <v>1</v>
      </c>
    </row>
    <row r="1424" ht="15.75" customHeight="1" spans="1:2">
      <c r="A1424" s="3" t="str">
        <f>IFERROR(__xludf.DUMMYFUNCTION("GOOGLETRANSLATE(A1424,""en"",""pt"")"),"Mas a trama complicada apenas não me convenceu, e grande parte do filme foi assistido com um olhar interrogativo estranho.")</f>
        <v>Mas a trama complicada apenas não me convenceu, e grande parte do filme foi assistido com um olhar interrogativo estranho.</v>
      </c>
      <c r="B1424" s="3">
        <v>0</v>
      </c>
    </row>
    <row r="1425" ht="15.75" customHeight="1" spans="1:2">
      <c r="A1425" s="3" t="str">
        <f>IFERROR(__xludf.DUMMYFUNCTION("GOOGLETRANSLATE(A1425,""en"",""pt"")"),"Eu deixei a minha namorada talk-me em ver isso - má idéia, nós dois odiava.")</f>
        <v>Eu deixei a minha namorada talk-me em ver isso - má idéia, nós dois odiava.</v>
      </c>
      <c r="B1425" s="3">
        <v>0</v>
      </c>
    </row>
    <row r="1426" ht="15.75" customHeight="1" spans="1:2">
      <c r="A1426" s="3" t="str">
        <f>IFERROR(__xludf.DUMMYFUNCTION("GOOGLETRANSLATE(A1426,""en"",""pt"")"),"Os últimos 15 minutos do filme também não são ruins também.")</f>
        <v>Os últimos 15 minutos do filme também não são ruins também.</v>
      </c>
      <c r="B1426" s="3">
        <v>1</v>
      </c>
    </row>
    <row r="1427" ht="15.75" customHeight="1" spans="1:2">
      <c r="A1427" s="3" t="str">
        <f>IFERROR(__xludf.DUMMYFUNCTION("GOOGLETRANSLATE(A1427,""en"",""pt"")"),"Bela Lugosi foi totalmente estranho, intoning linhas ímpares.")</f>
        <v>Bela Lugosi foi totalmente estranho, intoning linhas ímpares.</v>
      </c>
      <c r="B1427" s="3">
        <v>0</v>
      </c>
    </row>
    <row r="1428" ht="15.75" customHeight="1" spans="1:2">
      <c r="A1428" s="3" t="str">
        <f>IFERROR(__xludf.DUMMYFUNCTION("GOOGLETRANSLATE(A1428,""en"",""pt"")"),"A atuação foi decididamente madeira, embora não é pior do que um filme de época Universal B.")</f>
        <v>A atuação foi decididamente madeira, embora não é pior do que um filme de época Universal B.</v>
      </c>
      <c r="B1428" s="3">
        <v>0</v>
      </c>
    </row>
    <row r="1429" ht="15.75" customHeight="1" spans="1:2">
      <c r="A1429" s="3" t="str">
        <f>IFERROR(__xludf.DUMMYFUNCTION("GOOGLETRANSLATE(A1429,""en"",""pt"")"),"I como Armand Assante &amp; resumo da minha empresa de cabo pareceu interessante, então eu assisti-lo, já por duas vezes, e provavelmente será novamente.")</f>
        <v>I como Armand Assante &amp; resumo da minha empresa de cabo pareceu interessante, então eu assisti-lo, já por duas vezes, e provavelmente será novamente.</v>
      </c>
      <c r="B1429" s="3">
        <v>1</v>
      </c>
    </row>
    <row r="1430" ht="15.75" customHeight="1" spans="1:2">
      <c r="A1430" s="3" t="str">
        <f>IFERROR(__xludf.DUMMYFUNCTION("GOOGLETRANSLATE(A1430,""en"",""pt"")"),"Eu acredito que o roteirista fez um bom trabalho de amarrar as pontas soltas.")</f>
        <v>Eu acredito que o roteirista fez um bom trabalho de amarrar as pontas soltas.</v>
      </c>
      <c r="B1430" s="3">
        <v>1</v>
      </c>
    </row>
    <row r="1431" ht="15.75" customHeight="1" spans="1:2">
      <c r="A1431" s="3" t="str">
        <f>IFERROR(__xludf.DUMMYFUNCTION("GOOGLETRANSLATE(A1431,""en"",""pt"")"),"Minha pontuação de 8/10 é principalmente para o enredo.")</f>
        <v>Minha pontuação de 8/10 é principalmente para o enredo.</v>
      </c>
      <c r="B1431" s="3">
        <v>1</v>
      </c>
    </row>
    <row r="1432" ht="15.75" customHeight="1" spans="1:2">
      <c r="A1432" s="3" t="str">
        <f>IFERROR(__xludf.DUMMYFUNCTION("GOOGLETRANSLATE(A1432,""en"",""pt"")"),"Eu não vou dizer mais nada - eu não gosto de spoilers, então eu não quero ser um, mas eu acredito que este filme vale a pena o seu tempo.")</f>
        <v>Eu não vou dizer mais nada - eu não gosto de spoilers, então eu não quero ser um, mas eu acredito que este filme vale a pena o seu tempo.</v>
      </c>
      <c r="B1432" s="3">
        <v>1</v>
      </c>
    </row>
    <row r="1433" ht="15.75" customHeight="1" spans="1:2">
      <c r="A1433" s="3" t="str">
        <f>IFERROR(__xludf.DUMMYFUNCTION("GOOGLETRANSLATE(A1433,""en"",""pt"")"),"Uau, que um filme ruim.")</f>
        <v>Uau, que um filme ruim.</v>
      </c>
      <c r="B1433" s="3">
        <v>0</v>
      </c>
    </row>
    <row r="1434" ht="15.75" customHeight="1" spans="1:2">
      <c r="A1434" s="3" t="str">
        <f>IFERROR(__xludf.DUMMYFUNCTION("GOOGLETRANSLATE(A1434,""en"",""pt"")"),"Não assustador no mínimo, e de difícil compreensão.")</f>
        <v>Não assustador no mínimo, e de difícil compreensão.</v>
      </c>
      <c r="B1434" s="3">
        <v>0</v>
      </c>
    </row>
    <row r="1435" ht="15.75" customHeight="1" spans="1:2">
      <c r="A1435" s="3" t="str">
        <f>IFERROR(__xludf.DUMMYFUNCTION("GOOGLETRANSLATE(A1435,""en"",""pt"")"),"O enredo não ficar juntos em tudo, e a qualidade é absolutamente chocante.")</f>
        <v>O enredo não ficar juntos em tudo, e a qualidade é absolutamente chocante.</v>
      </c>
      <c r="B1435" s="3">
        <v>0</v>
      </c>
    </row>
    <row r="1436" ht="15.75" customHeight="1" spans="1:2">
      <c r="A1436" s="3" t="str">
        <f>IFERROR(__xludf.DUMMYFUNCTION("GOOGLETRANSLATE(A1436,""en"",""pt"")"),"Nem mesmo bom para o valor acampamento!")</f>
        <v>Nem mesmo bom para o valor acampamento!</v>
      </c>
      <c r="B1436" s="3">
        <v>0</v>
      </c>
    </row>
    <row r="1437" ht="15.75" customHeight="1" spans="1:2">
      <c r="A1437" s="3" t="str">
        <f>IFERROR(__xludf.DUMMYFUNCTION("GOOGLETRANSLATE(A1437,""en"",""pt"")"),"Eu não estava esperando material de Oscar, mas isso?")</f>
        <v>Eu não estava esperando material de Oscar, mas isso?</v>
      </c>
      <c r="B1437" s="3">
        <v>0</v>
      </c>
    </row>
    <row r="1438" ht="15.75" customHeight="1" spans="1:2">
      <c r="A1438" s="3" t="str">
        <f>IFERROR(__xludf.DUMMYFUNCTION("GOOGLETRANSLATE(A1438,""en"",""pt"")"),"Você teria que ter o QI de molusco particularmente estúpido para não ver que uma vinda.")</f>
        <v>Você teria que ter o QI de molusco particularmente estúpido para não ver que uma vinda.</v>
      </c>
      <c r="B1438" s="3">
        <v>0</v>
      </c>
    </row>
    <row r="1439" ht="15.75" customHeight="1" spans="1:2">
      <c r="A1439" s="3" t="str">
        <f>IFERROR(__xludf.DUMMYFUNCTION("GOOGLETRANSLATE(A1439,""en"",""pt"")"),"Este filme (e eu uso essa palavra vagamente) é um insulto para o público de ir ao cinema.")</f>
        <v>Este filme (e eu uso essa palavra vagamente) é um insulto para o público de ir ao cinema.</v>
      </c>
      <c r="B1439" s="3">
        <v>0</v>
      </c>
    </row>
    <row r="1440" ht="15.75" customHeight="1" spans="1:2">
      <c r="A1440" s="3" t="str">
        <f>IFERROR(__xludf.DUMMYFUNCTION("GOOGLETRANSLATE(A1440,""en"",""pt"")"),"Se apenas alguém envolvido com ela soube encadear narrativa!")</f>
        <v>Se apenas alguém envolvido com ela soube encadear narrativa!</v>
      </c>
      <c r="B1440" s="3">
        <v>0</v>
      </c>
    </row>
    <row r="1441" ht="15.75" customHeight="1" spans="1:2">
      <c r="A1441" s="3" t="str">
        <f>IFERROR(__xludf.DUMMYFUNCTION("GOOGLETRANSLATE(A1441,""en"",""pt"")"),"Isso fica a 1 fora de 10, simplesmente porque não há nada mais baixa.")</f>
        <v>Isso fica a 1 fora de 10, simplesmente porque não há nada mais baixa.</v>
      </c>
      <c r="B1441" s="3">
        <v>0</v>
      </c>
    </row>
    <row r="1442" ht="15.75" customHeight="1" spans="1:2">
      <c r="A1442" s="3" t="str">
        <f>IFERROR(__xludf.DUMMYFUNCTION("GOOGLETRANSLATE(A1442,""en"",""pt"")"),"Este é um que eu não tenho, mas eu assisti-lo recentemente na Fox Movie Channel, e foi muito decepcionado.")</f>
        <v>Este é um que eu não tenho, mas eu assisti-lo recentemente na Fox Movie Channel, e foi muito decepcionado.</v>
      </c>
      <c r="B1442" s="3">
        <v>0</v>
      </c>
    </row>
    <row r="1443" ht="15.75" customHeight="1" spans="1:2">
      <c r="A1443" s="3" t="str">
        <f>IFERROR(__xludf.DUMMYFUNCTION("GOOGLETRANSLATE(A1443,""en"",""pt"")"),"Eu sei que ele era um jogador de contrato com pouco controle sobre seus roteiros, mas a atuação foi tão ruim quanto o script.")</f>
        <v>Eu sei que ele era um jogador de contrato com pouco controle sobre seus roteiros, mas a atuação foi tão ruim quanto o script.</v>
      </c>
      <c r="B1443" s="3">
        <v>0</v>
      </c>
    </row>
    <row r="1444" ht="15.75" customHeight="1" spans="1:2">
      <c r="A1444" s="3" t="str">
        <f>IFERROR(__xludf.DUMMYFUNCTION("GOOGLETRANSLATE(A1444,""en"",""pt"")"),"Victor McLaglen era mesmo ruim, e Brian Donlevy estava quase irreconhecível.")</f>
        <v>Victor McLaglen era mesmo ruim, e Brian Donlevy estava quase irreconhecível.</v>
      </c>
      <c r="B1444" s="3">
        <v>0</v>
      </c>
    </row>
    <row r="1445" ht="15.75" customHeight="1" spans="1:2">
      <c r="A1445" s="3" t="str">
        <f>IFERROR(__xludf.DUMMYFUNCTION("GOOGLETRANSLATE(A1445,""en"",""pt"")"),"Considerando as relações fora da tela entre Taylor e Stanwyck, foi surpreendente o quão pouco a química que havia na tela entre os dois.")</f>
        <v>Considerando as relações fora da tela entre Taylor e Stanwyck, foi surpreendente o quão pouco a química que havia na tela entre os dois.</v>
      </c>
      <c r="B1445" s="3">
        <v>0</v>
      </c>
    </row>
    <row r="1446" ht="15.75" customHeight="1" spans="1:2">
      <c r="A1446" s="3" t="str">
        <f>IFERROR(__xludf.DUMMYFUNCTION("GOOGLETRANSLATE(A1446,""en"",""pt"")"),"Mas a premissa do filme foi tão ridículo: de que o presidente do EUA")</f>
        <v>Mas a premissa do filme foi tão ridículo: de que o presidente do EUA</v>
      </c>
      <c r="B1446" s="3">
        <v>0</v>
      </c>
    </row>
    <row r="1447" ht="15.75" customHeight="1" spans="1:2">
      <c r="A1447" s="3" t="str">
        <f>IFERROR(__xludf.DUMMYFUNCTION("GOOGLETRANSLATE(A1447,""en"",""pt"")"),"As cenas do corredor da morte foram totalmente imóvel.")</f>
        <v>As cenas do corredor da morte foram totalmente imóvel.</v>
      </c>
      <c r="B1447" s="3">
        <v>0</v>
      </c>
    </row>
    <row r="1448" ht="15.75" customHeight="1" spans="1:2">
      <c r="A1448" s="3" t="str">
        <f>IFERROR(__xludf.DUMMYFUNCTION("GOOGLETRANSLATE(A1448,""en"",""pt"")"),"A única coisa pior do que a atuação de Taylor era o canto de Stanwyck.")</f>
        <v>A única coisa pior do que a atuação de Taylor era o canto de Stanwyck.</v>
      </c>
      <c r="B1448" s="3">
        <v>0</v>
      </c>
    </row>
    <row r="1449" ht="15.75" customHeight="1" spans="1:2">
      <c r="A1449" s="3" t="str">
        <f>IFERROR(__xludf.DUMMYFUNCTION("GOOGLETRANSLATE(A1449,""en"",""pt"")"),"Seja qual for o produtor estava indo para, ele perdeu completamente.")</f>
        <v>Seja qual for o produtor estava indo para, ele perdeu completamente.</v>
      </c>
      <c r="B1449" s="3">
        <v>0</v>
      </c>
    </row>
    <row r="1450" ht="15.75" customHeight="1" spans="1:2">
      <c r="A1450" s="3" t="str">
        <f>IFERROR(__xludf.DUMMYFUNCTION("GOOGLETRANSLATE(A1450,""en"",""pt"")"),"Fiquei profundamente impressionado com o personagem que interpretou.")</f>
        <v>Fiquei profundamente impressionado com o personagem que interpretou.</v>
      </c>
      <c r="B1450" s="3">
        <v>1</v>
      </c>
    </row>
    <row r="1451" ht="15.75" customHeight="1" spans="1:2">
      <c r="A1451" s="3" t="str">
        <f>IFERROR(__xludf.DUMMYFUNCTION("GOOGLETRANSLATE(A1451,""en"",""pt"")"),"Eu sabia que quando eu vi o filme que mais grandes coisas estavam por vir a partir deste talentoso ator.")</f>
        <v>Eu sabia que quando eu vi o filme que mais grandes coisas estavam por vir a partir deste talentoso ator.</v>
      </c>
      <c r="B1451" s="3">
        <v>1</v>
      </c>
    </row>
    <row r="1452" ht="15.75" customHeight="1" spans="1:2">
      <c r="A1452" s="3" t="str">
        <f>IFERROR(__xludf.DUMMYFUNCTION("GOOGLETRANSLATE(A1452,""en"",""pt"")"),"Um filme de roubo barato e triste com a má caracterização, muitas estóico estilo underbite emoting (acho que Chow Yun Fat em A Better Tomorrow) e alguns queijo clichê © s jogado em uma fábrica abandonada pronto para alguns mal executados voando rolos de j"&amp;"udô a la John Woo .")</f>
        <v>Um filme de roubo barato e triste com a má caracterização, muitas estóico estilo underbite emoting (acho que Chow Yun Fat em A Better Tomorrow) e alguns queijo clichê © s jogado em uma fábrica abandonada pronto para alguns mal executados voando rolos de judô a la John Woo .</v>
      </c>
      <c r="B1452" s="3">
        <v>0</v>
      </c>
    </row>
    <row r="1453" ht="15.75" customHeight="1" spans="1:2">
      <c r="A1453" s="3" t="str">
        <f>IFERROR(__xludf.DUMMYFUNCTION("GOOGLETRANSLATE(A1453,""en"",""pt"")"),"Mesmo os squibs horrível.")</f>
        <v>Mesmo os squibs horrível.</v>
      </c>
      <c r="B1453" s="3">
        <v>0</v>
      </c>
    </row>
    <row r="1454" ht="15.75" customHeight="1" spans="1:2">
      <c r="A1454" s="3" t="str">
        <f>IFERROR(__xludf.DUMMYFUNCTION("GOOGLETRANSLATE(A1454,""en"",""pt"")"),"Em nenhum momento do processo ele se parece remotamente como a América.")</f>
        <v>Em nenhum momento do processo ele se parece remotamente como a América.</v>
      </c>
      <c r="B1454" s="3">
        <v>0</v>
      </c>
    </row>
    <row r="1455" ht="15.75" customHeight="1" spans="1:2">
      <c r="A1455" s="3" t="str">
        <f>IFERROR(__xludf.DUMMYFUNCTION("GOOGLETRANSLATE(A1455,""en"",""pt"")"),"A trama, tal como está, é então derivado e previsível que o final é como uma matança mercê.")</f>
        <v>A trama, tal como está, é então derivado e previsível que o final é como uma matança mercê.</v>
      </c>
      <c r="B1455" s="3">
        <v>0</v>
      </c>
    </row>
    <row r="1456" ht="15.75" customHeight="1" spans="1:2">
      <c r="A1456" s="3" t="str">
        <f>IFERROR(__xludf.DUMMYFUNCTION("GOOGLETRANSLATE(A1456,""en"",""pt"")"),"O diálogo terrível e exagero desesperada por todos que receberem topo rematar um verdadeiro desperdício de espaço e tempo.")</f>
        <v>O diálogo terrível e exagero desesperada por todos que receberem topo rematar um verdadeiro desperdício de espaço e tempo.</v>
      </c>
      <c r="B1456" s="3">
        <v>0</v>
      </c>
    </row>
    <row r="1457" ht="15.75" customHeight="1" spans="1:2">
      <c r="A1457" s="3" t="str">
        <f>IFERROR(__xludf.DUMMYFUNCTION("GOOGLETRANSLATE(A1457,""en"",""pt"")"),"Eu estava muito desconfortável com o quão ruim este filme foi, mas não assustou a todos.")</f>
        <v>Eu estava muito desconfortável com o quão ruim este filme foi, mas não assustou a todos.</v>
      </c>
      <c r="B1457" s="3">
        <v>0</v>
      </c>
    </row>
    <row r="1458" ht="15.75" customHeight="1" spans="1:2">
      <c r="A1458" s="3" t="str">
        <f>IFERROR(__xludf.DUMMYFUNCTION("GOOGLETRANSLATE(A1458,""en"",""pt"")"),"O diálogo é composta de coisas que fazem pouco sentido.")</f>
        <v>O diálogo é composta de coisas que fazem pouco sentido.</v>
      </c>
      <c r="B1458" s="3">
        <v>0</v>
      </c>
    </row>
    <row r="1459" ht="15.75" customHeight="1" spans="1:2">
      <c r="A1459" s="3" t="str">
        <f>IFERROR(__xludf.DUMMYFUNCTION("GOOGLETRANSLATE(A1459,""en"",""pt"")"),"Cerca de 30 minutos de imagens é desperdiçado para mostrar atores idosos medíocres desajeitadamente balbuciando overwrought pseudo-satânico jargão piegas o suficiente para fazer um adolescente Goth blush, quase sempre em Olde Inglês, e às vezes em latim q"&amp;"ue pode ou não ser feitas até palavras.")</f>
        <v>Cerca de 30 minutos de imagens é desperdiçado para mostrar atores idosos medíocres desajeitadamente balbuciando overwrought pseudo-satânico jargão piegas o suficiente para fazer um adolescente Goth blush, quase sempre em Olde Inglês, e às vezes em latim que pode ou não ser feitas até palavras.</v>
      </c>
      <c r="B1459" s="3">
        <v>0</v>
      </c>
    </row>
    <row r="1460" ht="15.75" customHeight="1" spans="1:2">
      <c r="A1460" s="3" t="str">
        <f>IFERROR(__xludf.DUMMYFUNCTION("GOOGLETRANSLATE(A1460,""en"",""pt"")"),"A direção é desleixado na melhor das hipóteses.")</f>
        <v>A direção é desleixado na melhor das hipóteses.</v>
      </c>
      <c r="B1460" s="3">
        <v>0</v>
      </c>
    </row>
    <row r="1461" ht="15.75" customHeight="1" spans="1:2">
      <c r="A1461" s="3" t="str">
        <f>IFERROR(__xludf.DUMMYFUNCTION("GOOGLETRANSLATE(A1461,""en"",""pt"")"),"escrita banal, certamente, mas ainda pior pela má direção.")</f>
        <v>escrita banal, certamente, mas ainda pior pela má direção.</v>
      </c>
      <c r="B1461" s="3">
        <v>0</v>
      </c>
    </row>
    <row r="1462" ht="15.75" customHeight="1" spans="1:2">
      <c r="A1462" s="3" t="str">
        <f>IFERROR(__xludf.DUMMYFUNCTION("GOOGLETRANSLATE(A1462,""en"",""pt"")"),"Claro, a qualidade é blah.")</f>
        <v>Claro, a qualidade é blah.</v>
      </c>
      <c r="B1462" s="3">
        <v>0</v>
      </c>
    </row>
    <row r="1463" ht="15.75" customHeight="1" spans="1:2">
      <c r="A1463" s="3" t="str">
        <f>IFERROR(__xludf.DUMMYFUNCTION("GOOGLETRANSLATE(A1463,""en"",""pt"")"),"A atuação por todo o elenco poderia ser colocado em uma escala e perfeitamente equilibrado entre exagerando e underacting.")</f>
        <v>A atuação por todo o elenco poderia ser colocado em uma escala e perfeitamente equilibrado entre exagerando e underacting.</v>
      </c>
      <c r="B1463" s="3">
        <v>0</v>
      </c>
    </row>
    <row r="1464" ht="15.75" customHeight="1" spans="1:2">
      <c r="A1464" s="3" t="str">
        <f>IFERROR(__xludf.DUMMYFUNCTION("GOOGLETRANSLATE(A1464,""en"",""pt"")"),"E, finalmente, depois de tudo isso, chegamos a um final que teria sido ótimo se tivesse sido tratado por pessoas competentes e não Jerry Falwell.")</f>
        <v>E, finalmente, depois de tudo isso, chegamos a um final que teria sido ótimo se tivesse sido tratado por pessoas competentes e não Jerry Falwell.</v>
      </c>
      <c r="B1464" s="3">
        <v>0</v>
      </c>
    </row>
    <row r="1465" ht="15.75" customHeight="1" spans="1:2">
      <c r="A1465" s="3" t="str">
        <f>IFERROR(__xludf.DUMMYFUNCTION("GOOGLETRANSLATE(A1465,""en"",""pt"")"),"Eu amei este filme foi um grande retrato de uma família que tinha quota de altos e baixo-lo de, mas no final eles sabiam que o amor especial que eles tinham um pelo outro.")</f>
        <v>Eu amei este filme foi um grande retrato de uma família que tinha quota de altos e baixo-lo de, mas no final eles sabiam que o amor especial que eles tinham um pelo outro.</v>
      </c>
      <c r="B1465" s="3">
        <v>1</v>
      </c>
    </row>
    <row r="1466" ht="15.75" customHeight="1" spans="1:2">
      <c r="A1466" s="3" t="str">
        <f>IFERROR(__xludf.DUMMYFUNCTION("GOOGLETRANSLATE(A1466,""en"",""pt"")"),"Eu tenho visto muitos filmes estrelado por Jaclyn Smith, mas meu deus este foi um dos melhores dela, embora ele saiu há 12 anos.")</f>
        <v>Eu tenho visto muitos filmes estrelado por Jaclyn Smith, mas meu deus este foi um dos melhores dela, embora ele saiu há 12 anos.</v>
      </c>
      <c r="B1466" s="3">
        <v>1</v>
      </c>
    </row>
    <row r="1467" ht="15.75" customHeight="1" spans="1:2">
      <c r="A1467" s="3" t="str">
        <f>IFERROR(__xludf.DUMMYFUNCTION("GOOGLETRANSLATE(A1467,""en"",""pt"")"),"Este filme continha um elenco de estrelas, eo que eu amei o mais foi que ele abriu meus olhos para ver outros atores que eu não tenha visto antes.")</f>
        <v>Este filme continha um elenco de estrelas, eo que eu amei o mais foi que ele abriu meus olhos para ver outros atores que eu não tenha visto antes.</v>
      </c>
      <c r="B1467" s="3">
        <v>1</v>
      </c>
    </row>
    <row r="1468" ht="15.75" customHeight="1" spans="1:2">
      <c r="A1468" s="3" t="str">
        <f>IFERROR(__xludf.DUMMYFUNCTION("GOOGLETRANSLATE(A1468,""en"",""pt"")"),"Este filme era uma espécie de longa de duração, mas eu gostei cada minuto.")</f>
        <v>Este filme era uma espécie de longa de duração, mas eu gostei cada minuto.</v>
      </c>
      <c r="B1468" s="3">
        <v>1</v>
      </c>
    </row>
    <row r="1469" ht="15.75" customHeight="1" spans="1:2">
      <c r="A1469" s="3" t="str">
        <f>IFERROR(__xludf.DUMMYFUNCTION("GOOGLETRANSLATE(A1469,""en"",""pt"")"),"Taxa global de I este filme um 10 de uma escala de 1-10.")</f>
        <v>Taxa global de I este filme um 10 de uma escala de 1-10.</v>
      </c>
      <c r="B1469" s="3">
        <v>1</v>
      </c>
    </row>
    <row r="1470" ht="15.75" customHeight="1" spans="1:2">
      <c r="A1470" s="3" t="str">
        <f>IFERROR(__xludf.DUMMYFUNCTION("GOOGLETRANSLATE(A1470,""en"",""pt"")"),"Lifetime não ar-la o suficiente, então se alguém sabe o que loja vende-lo deixe-me saber porque este é um must-have.")</f>
        <v>Lifetime não ar-la o suficiente, então se alguém sabe o que loja vende-lo deixe-me saber porque este é um must-have.</v>
      </c>
      <c r="B1470" s="3">
        <v>1</v>
      </c>
    </row>
    <row r="1471" ht="15.75" customHeight="1" spans="1:2">
      <c r="A1471" s="3" t="str">
        <f>IFERROR(__xludf.DUMMYFUNCTION("GOOGLETRANSLATE(A1471,""en"",""pt"")"),"Lembro-me especialmente meus sentidos sendo agredido por cabos estridentes de música que iria Blare para fora com muito pouco aviso, e ainda menos significado.")</f>
        <v>Lembro-me especialmente meus sentidos sendo agredido por cabos estridentes de música que iria Blare para fora com muito pouco aviso, e ainda menos significado.</v>
      </c>
      <c r="B1471" s="3">
        <v>0</v>
      </c>
    </row>
    <row r="1472" ht="15.75" customHeight="1" spans="1:2">
      <c r="A1472" s="3" t="str">
        <f>IFERROR(__xludf.DUMMYFUNCTION("GOOGLETRANSLATE(A1472,""en"",""pt"")"),"É exatamente o tipo de pap que é exibido no período da tarde para punir os desempregados por não ter emprego.")</f>
        <v>É exatamente o tipo de pap que é exibido no período da tarde para punir os desempregados por não ter emprego.</v>
      </c>
      <c r="B1472" s="3">
        <v>0</v>
      </c>
    </row>
    <row r="1473" ht="15.75" customHeight="1" spans="1:2">
      <c r="A1473" s="3" t="str">
        <f>IFERROR(__xludf.DUMMYFUNCTION("GOOGLETRANSLATE(A1473,""en"",""pt"")"),"Totalmente diferente, com cargas de eufemismo e comédia de humor negro, este é um poucos get filme para ver, mas aqueles que vão se lembrar.")</f>
        <v>Totalmente diferente, com cargas de eufemismo e comédia de humor negro, este é um poucos get filme para ver, mas aqueles que vão se lembrar.</v>
      </c>
      <c r="B1473" s="3">
        <v>1</v>
      </c>
    </row>
    <row r="1474" ht="15.75" customHeight="1" spans="1:2">
      <c r="A1474" s="3" t="str">
        <f>IFERROR(__xludf.DUMMYFUNCTION("GOOGLETRANSLATE(A1474,""en"",""pt"")"),"Este filme cria seu próprio universo, e é fascinante em todos os sentidos.")</f>
        <v>Este filme cria seu próprio universo, e é fascinante em todos os sentidos.</v>
      </c>
      <c r="B1474" s="3">
        <v>1</v>
      </c>
    </row>
    <row r="1475" ht="15.75" customHeight="1" spans="1:2">
      <c r="A1475" s="3" t="str">
        <f>IFERROR(__xludf.DUMMYFUNCTION("GOOGLETRANSLATE(A1475,""en"",""pt"")"),"Mas este filme realmente tem para mim.")</f>
        <v>Mas este filme realmente tem para mim.</v>
      </c>
      <c r="B1475" s="3">
        <v>1</v>
      </c>
    </row>
    <row r="1476" ht="15.75" customHeight="1" spans="1:2">
      <c r="A1476" s="3" t="str">
        <f>IFERROR(__xludf.DUMMYFUNCTION("GOOGLETRANSLATE(A1476,""en"",""pt"")"),"Veja.")</f>
        <v>Veja.</v>
      </c>
      <c r="B1476" s="3">
        <v>1</v>
      </c>
    </row>
    <row r="1477" ht="15.75" customHeight="1" spans="1:2">
      <c r="A1477" s="3" t="str">
        <f>IFERROR(__xludf.DUMMYFUNCTION("GOOGLETRANSLATE(A1477,""en"",""pt"")"),"Eu realmente espero que a equipe por trás deste filme faz mais filmes, e que eles vão continuar a fazê-lo em seu próprio, algum estilo meio estranho.")</f>
        <v>Eu realmente espero que a equipe por trás deste filme faz mais filmes, e que eles vão continuar a fazê-lo em seu próprio, algum estilo meio estranho.</v>
      </c>
      <c r="B1477" s="3">
        <v>1</v>
      </c>
    </row>
    <row r="1478" ht="15.75" customHeight="1" spans="1:2">
      <c r="A1478" s="3" t="str">
        <f>IFERROR(__xludf.DUMMYFUNCTION("GOOGLETRANSLATE(A1478,""en"",""pt"")"),"E eu esqueci: A Fundição aqui i soberbo, com Trond Fausa AurvÃ ¥ g ser perfeito no papel como o Homem Bothersome, que não entende onde ele está, o que está fazendo e por quê.")</f>
        <v>E eu esqueci: A Fundição aqui i soberbo, com Trond Fausa AurvÃ ¥ g ser perfeito no papel como o Homem Bothersome, que não entende onde ele está, o que está fazendo e por quê.</v>
      </c>
      <c r="B1478" s="3">
        <v>1</v>
      </c>
    </row>
    <row r="1479" ht="15.75" customHeight="1" spans="1:2">
      <c r="A1479" s="3" t="str">
        <f>IFERROR(__xludf.DUMMYFUNCTION("GOOGLETRANSLATE(A1479,""en"",""pt"")"),"Este filme é um comentário bom e bem-humorado sobre a vida em 2006.")</f>
        <v>Este filme é um comentário bom e bem-humorado sobre a vida em 2006.</v>
      </c>
      <c r="B1479" s="3">
        <v>1</v>
      </c>
    </row>
    <row r="1480" ht="15.75" customHeight="1" spans="1:2">
      <c r="A1480" s="3" t="str">
        <f>IFERROR(__xludf.DUMMYFUNCTION("GOOGLETRANSLATE(A1480,""en"",""pt"")"),"Eu encontrei esta mover bonita, agradável e edificante.")</f>
        <v>Eu encontrei esta mover bonita, agradável e edificante.</v>
      </c>
      <c r="B1480" s="3">
        <v>1</v>
      </c>
    </row>
    <row r="1481" ht="15.75" customHeight="1" spans="1:2">
      <c r="A1481" s="3" t="str">
        <f>IFERROR(__xludf.DUMMYFUNCTION("GOOGLETRANSLATE(A1481,""en"",""pt"")"),"Inicialmente, os sites locais no filme, que foi filmado aqui em Buffalo, me intrigou.")</f>
        <v>Inicialmente, os sites locais no filme, que foi filmado aqui em Buffalo, me intrigou.</v>
      </c>
      <c r="B1481" s="3">
        <v>1</v>
      </c>
    </row>
    <row r="1482" ht="15.75" customHeight="1" spans="1:2">
      <c r="A1482" s="3" t="str">
        <f>IFERROR(__xludf.DUMMYFUNCTION("GOOGLETRANSLATE(A1482,""en"",""pt"")"),"Mais tarde, encontrei-me perdido no poder do filme.")</f>
        <v>Mais tarde, encontrei-me perdido no poder do filme.</v>
      </c>
      <c r="B1482" s="3">
        <v>1</v>
      </c>
    </row>
    <row r="1483" ht="15.75" customHeight="1" spans="1:2">
      <c r="A1483" s="3" t="str">
        <f>IFERROR(__xludf.DUMMYFUNCTION("GOOGLETRANSLATE(A1483,""en"",""pt"")"),"Todo o público aplaudiu no final do filme.")</f>
        <v>Todo o público aplaudiu no final do filme.</v>
      </c>
      <c r="B1483" s="3">
        <v>1</v>
      </c>
    </row>
    <row r="1484" ht="15.75" customHeight="1" spans="1:2">
      <c r="A1484" s="3" t="str">
        <f>IFERROR(__xludf.DUMMYFUNCTION("GOOGLETRANSLATE(A1484,""en"",""pt"")"),"Saí do teatro com uma cadência no meu passo, alegria no meu coração e esperança para a raça humana.")</f>
        <v>Saí do teatro com uma cadência no meu passo, alegria no meu coração e esperança para a raça humana.</v>
      </c>
      <c r="B1484" s="3">
        <v>1</v>
      </c>
    </row>
    <row r="1485" ht="15.75" customHeight="1" spans="1:2">
      <c r="A1485" s="3" t="str">
        <f>IFERROR(__xludf.DUMMYFUNCTION("GOOGLETRANSLATE(A1485,""en"",""pt"")"),"Duris tem uma aparência saudável e dá um bom desempenho.")</f>
        <v>Duris tem uma aparência saudável e dá um bom desempenho.</v>
      </c>
      <c r="B1485" s="3">
        <v>1</v>
      </c>
    </row>
    <row r="1486" ht="15.75" customHeight="1" spans="1:2">
      <c r="A1486" s="3" t="str">
        <f>IFERROR(__xludf.DUMMYFUNCTION("GOOGLETRANSLATE(A1486,""en"",""pt"")"),"O restante do elenco também jogar bem.")</f>
        <v>O restante do elenco também jogar bem.</v>
      </c>
      <c r="B1486" s="3">
        <v>1</v>
      </c>
    </row>
    <row r="1487" ht="15.75" customHeight="1" spans="1:2">
      <c r="A1487" s="3" t="str">
        <f>IFERROR(__xludf.DUMMYFUNCTION("GOOGLETRANSLATE(A1487,""en"",""pt"")"),"Cinematografia notável incluindo belas vistas de Barcelona e suas famosas torres de Gaudi.")</f>
        <v>Cinematografia notável incluindo belas vistas de Barcelona e suas famosas torres de Gaudi.</v>
      </c>
      <c r="B1487" s="3">
        <v>1</v>
      </c>
    </row>
    <row r="1488" ht="15.75" customHeight="1" spans="1:2">
      <c r="A1488" s="3" t="str">
        <f>IFERROR(__xludf.DUMMYFUNCTION("GOOGLETRANSLATE(A1488,""en"",""pt"")"),"Cerca de dez minutos deste filme eu comecei a ter segundos pensamentos.")</f>
        <v>Cerca de dez minutos deste filme eu comecei a ter segundos pensamentos.</v>
      </c>
      <c r="B1488" s="3">
        <v>0</v>
      </c>
    </row>
    <row r="1489" ht="15.75" customHeight="1" spans="1:2">
      <c r="A1489" s="3" t="str">
        <f>IFERROR(__xludf.DUMMYFUNCTION("GOOGLETRANSLATE(A1489,""en"",""pt"")"),"Sobre a meio deste filme eu comecei a não gostar.")</f>
        <v>Sobre a meio deste filme eu comecei a não gostar.</v>
      </c>
      <c r="B1489" s="3">
        <v>0</v>
      </c>
    </row>
    <row r="1490" ht="15.75" customHeight="1" spans="1:2">
      <c r="A1490" s="3" t="str">
        <f>IFERROR(__xludf.DUMMYFUNCTION("GOOGLETRANSLATE(A1490,""en"",""pt"")"),"Quando o filme acabou, eu não só não gostava dele, eu desprezava.")</f>
        <v>Quando o filme acabou, eu não só não gostava dele, eu desprezava.</v>
      </c>
      <c r="B1490" s="3">
        <v>0</v>
      </c>
    </row>
    <row r="1491" ht="15.75" customHeight="1" spans="1:2">
      <c r="A1491" s="3" t="str">
        <f>IFERROR(__xludf.DUMMYFUNCTION("GOOGLETRANSLATE(A1491,""en"",""pt"")"),"O que este filme não tem um roteiro convincente.")</f>
        <v>O que este filme não tem um roteiro convincente.</v>
      </c>
      <c r="B1491" s="3">
        <v>0</v>
      </c>
    </row>
    <row r="1492" ht="15.75" customHeight="1" spans="1:2">
      <c r="A1492" s="3" t="str">
        <f>IFERROR(__xludf.DUMMYFUNCTION("GOOGLETRANSLATE(A1492,""en"",""pt"")"),"O roteiro parece como se apenas um rascunho foi escrito e tiroteio começou antes de um roteiro final foi concluída.")</f>
        <v>O roteiro parece como se apenas um rascunho foi escrito e tiroteio começou antes de um roteiro final foi concluída.</v>
      </c>
      <c r="B1492" s="3">
        <v>0</v>
      </c>
    </row>
    <row r="1493" ht="15.75" customHeight="1" spans="1:2">
      <c r="A1493" s="3" t="str">
        <f>IFERROR(__xludf.DUMMYFUNCTION("GOOGLETRANSLATE(A1493,""en"",""pt"")"),"As coisas acontecem, a mudança personagens personalidades, reviravoltas ocorrer por nenhuma razão real para além de que as chamadas de script para ele.")</f>
        <v>As coisas acontecem, a mudança personagens personalidades, reviravoltas ocorrer por nenhuma razão real para além de que as chamadas de script para ele.</v>
      </c>
      <c r="B1493" s="3">
        <v>0</v>
      </c>
    </row>
    <row r="1494" ht="15.75" customHeight="1" spans="1:2">
      <c r="A1494" s="3" t="str">
        <f>IFERROR(__xludf.DUMMYFUNCTION("GOOGLETRANSLATE(A1494,""en"",""pt"")"),"O elenco é bom.")</f>
        <v>O elenco é bom.</v>
      </c>
      <c r="B1494" s="3">
        <v>1</v>
      </c>
    </row>
    <row r="1495" ht="15.75" customHeight="1" spans="1:2">
      <c r="A1495" s="3" t="str">
        <f>IFERROR(__xludf.DUMMYFUNCTION("GOOGLETRANSLATE(A1495,""en"",""pt"")"),"Para isso, vale a pena conferir.")</f>
        <v>Para isso, vale a pena conferir.</v>
      </c>
      <c r="B1495" s="3">
        <v>1</v>
      </c>
    </row>
    <row r="1496" ht="15.75" customHeight="1" spans="1:2">
      <c r="A1496" s="3" t="str">
        <f>IFERROR(__xludf.DUMMYFUNCTION("GOOGLETRANSLATE(A1496,""en"",""pt"")"),"Este é provavelmente o mais show de irritante que eu já vi em toda a minha vida.")</f>
        <v>Este é provavelmente o mais show de irritante que eu já vi em toda a minha vida.</v>
      </c>
      <c r="B1496" s="3">
        <v>0</v>
      </c>
    </row>
    <row r="1497" ht="15.75" customHeight="1" spans="1:2">
      <c r="A1497" s="3" t="str">
        <f>IFERROR(__xludf.DUMMYFUNCTION("GOOGLETRANSLATE(A1497,""en"",""pt"")"),"É indescritível o show mais chato e idiota que eu já vi.")</f>
        <v>É indescritível o show mais chato e idiota que eu já vi.</v>
      </c>
      <c r="B1497" s="3">
        <v>0</v>
      </c>
    </row>
    <row r="1498" ht="15.75" customHeight="1" spans="1:2">
      <c r="A1498" s="3" t="str">
        <f>IFERROR(__xludf.DUMMYFUNCTION("GOOGLETRANSLATE(A1498,""en"",""pt"")"),"Tudo sobre ele é apenas ruim.")</f>
        <v>Tudo sobre ele é apenas ruim.</v>
      </c>
      <c r="B1498" s="3">
        <v>0</v>
      </c>
    </row>
    <row r="1499" ht="15.75" customHeight="1" spans="1:2">
      <c r="A1499" s="3" t="str">
        <f>IFERROR(__xludf.DUMMYFUNCTION("GOOGLETRANSLATE(A1499,""en"",""pt"")"),"Eu não conseguia entender, que tipo de idiota iria produzir essa bagunça em primeiro lugar para não mencionar vários temporada.")</f>
        <v>Eu não conseguia entender, que tipo de idiota iria produzir essa bagunça em primeiro lugar para não mencionar vários temporada.</v>
      </c>
      <c r="B1499" s="3">
        <v>0</v>
      </c>
    </row>
    <row r="1500" ht="15.75" customHeight="1" spans="1:2">
      <c r="A1500" s="3" t="str">
        <f>IFERROR(__xludf.DUMMYFUNCTION("GOOGLETRANSLATE(A1500,""en"",""pt"")"),"O roteiro é ruim muito ruim A-, que contém tanto cheesiness e piada antiético que você normalmente vê em R nominal ou filme NC-17.")</f>
        <v>O roteiro é ruim muito ruim A-, que contém tanto cheesiness e piada antiético que você normalmente vê em R nominal ou filme NC-17.</v>
      </c>
      <c r="B1500" s="3">
        <v>0</v>
      </c>
    </row>
    <row r="1501" ht="15.75" customHeight="1" spans="1:2">
      <c r="A1501" s="3" t="str">
        <f>IFERROR(__xludf.DUMMYFUNCTION("GOOGLETRANSLATE(A1501,""en"",""pt"")"),"O elenco também é horrível, porque tudo que você vê é uma Actors realmente muito ruim, período.")</f>
        <v>O elenco também é horrível, porque tudo que você vê é uma Actors realmente muito ruim, período.</v>
      </c>
      <c r="B1501" s="3">
        <v>0</v>
      </c>
    </row>
    <row r="1502" ht="15.75" customHeight="1" spans="1:2">
      <c r="A1502" s="3" t="str">
        <f>IFERROR(__xludf.DUMMYFUNCTION("GOOGLETRANSLATE(A1502,""en"",""pt"")"),"Palavra final: Este show é uma verdadeira tortura !!")</f>
        <v>Palavra final: Este show é uma verdadeira tortura !!</v>
      </c>
      <c r="B1502" s="3">
        <v>0</v>
      </c>
    </row>
    <row r="1503" ht="15.75" customHeight="1" spans="1:2">
      <c r="A1503" s="3" t="str">
        <f>IFERROR(__xludf.DUMMYFUNCTION("GOOGLETRANSLATE(A1503,""en"",""pt"")"),"É zilhão de vezes longe da realidade.")</f>
        <v>É zilhão de vezes longe da realidade.</v>
      </c>
      <c r="B1503" s="3">
        <v>0</v>
      </c>
    </row>
    <row r="1504" ht="15.75" customHeight="1" spans="1:2">
      <c r="A1504" s="3" t="str">
        <f>IFERROR(__xludf.DUMMYFUNCTION("GOOGLETRANSLATE(A1504,""en"",""pt"")"),"Assistindo twirling máquina de lavar roupa em torno de não ferir seus olhos tanto quanto este show.")</f>
        <v>Assistindo twirling máquina de lavar roupa em torno de não ferir seus olhos tanto quanto este show.</v>
      </c>
      <c r="B1504" s="3">
        <v>0</v>
      </c>
    </row>
    <row r="1505" ht="15.75" customHeight="1" spans="1:2">
      <c r="A1505" s="3" t="str">
        <f>IFERROR(__xludf.DUMMYFUNCTION("GOOGLETRANSLATE(A1505,""en"",""pt"")"),"Rating: 0/10 (Grau: Z) Nota: O Show tão ruim é que mesmo a mãe do elenco Puxe sua filha fora do show.")</f>
        <v>Rating: 0/10 (Grau: Z) Nota: O Show tão ruim é que mesmo a mãe do elenco Puxe sua filha fora do show.</v>
      </c>
      <c r="B1505" s="3">
        <v>0</v>
      </c>
    </row>
    <row r="1506" ht="15.75" customHeight="1" spans="1:2">
      <c r="A1506" s="3" t="str">
        <f>IFERROR(__xludf.DUMMYFUNCTION("GOOGLETRANSLATE(A1506,""en"",""pt"")"),"Cheio de personagens de papelão pouco convincentes é suavemente escrito por Edward Chodorov, que também produziu, e é surpreendentemente dirigido por Jean Negulesco de quem se poderia esperar muito mais.")</f>
        <v>Cheio de personagens de papelão pouco convincentes é suavemente escrito por Edward Chodorov, que também produziu, e é surpreendentemente dirigido por Jean Negulesco de quem se poderia esperar muito mais.</v>
      </c>
      <c r="B1506" s="3">
        <v>0</v>
      </c>
    </row>
    <row r="1507" ht="15.75" customHeight="1" spans="1:2">
      <c r="A1507" s="3" t="str">
        <f>IFERROR(__xludf.DUMMYFUNCTION("GOOGLETRANSLATE(A1507,""en"",""pt"")"),"A partir daqui sobre o caráter voltas Widmark involuntariamente cômicos!")</f>
        <v>A partir daqui sobre o caráter voltas Widmark involuntariamente cômicos!</v>
      </c>
      <c r="B1507" s="3">
        <v>0</v>
      </c>
    </row>
    <row r="1508" ht="15.75" customHeight="1" spans="1:2">
      <c r="A1508" s="3" t="str">
        <f>IFERROR(__xludf.DUMMYFUNCTION("GOOGLETRANSLATE(A1508,""en"",""pt"")"),"Sua perdendo o juízo tão cedo no processo é totalmente implausível e pouco convincente.")</f>
        <v>Sua perdendo o juízo tão cedo no processo é totalmente implausível e pouco convincente.</v>
      </c>
      <c r="B1508" s="3">
        <v>0</v>
      </c>
    </row>
    <row r="1509" ht="15.75" customHeight="1" spans="1:2">
      <c r="A1509" s="3" t="str">
        <f>IFERROR(__xludf.DUMMYFUNCTION("GOOGLETRANSLATE(A1509,""en"",""pt"")"),"E se isso não é o suficiente de uma confusão de um filme para você - a imagem também é marcado com um uso constante de aparelhos de estúdio e exteriores interiores.")</f>
        <v>E se isso não é o suficiente de uma confusão de um filme para você - a imagem também é marcado com um uso constante de aparelhos de estúdio e exteriores interiores.</v>
      </c>
      <c r="B1509" s="3">
        <v>0</v>
      </c>
    </row>
    <row r="1510" ht="15.75" customHeight="1" spans="1:2">
      <c r="A1510" s="3" t="str">
        <f>IFERROR(__xludf.DUMMYFUNCTION("GOOGLETRANSLATE(A1510,""en"",""pt"")"),"Seja qual for solicitado tal documentário está além de mim!")</f>
        <v>Seja qual for solicitado tal documentário está além de mim!</v>
      </c>
      <c r="B1510" s="3">
        <v>0</v>
      </c>
    </row>
    <row r="1511" ht="15.75" customHeight="1" spans="1:2">
      <c r="A1511" s="3" t="str">
        <f>IFERROR(__xludf.DUMMYFUNCTION("GOOGLETRANSLATE(A1511,""en"",""pt"")"),"há tantos problemas Eu não sei por onde começar.")</f>
        <v>há tantos problemas Eu não sei por onde começar.</v>
      </c>
      <c r="B1511" s="3">
        <v>0</v>
      </c>
    </row>
    <row r="1512" ht="15.75" customHeight="1" spans="1:2">
      <c r="A1512" s="3" t="str">
        <f>IFERROR(__xludf.DUMMYFUNCTION("GOOGLETRANSLATE(A1512,""en"",""pt"")"),"o elenco foi ótimo.")</f>
        <v>o elenco foi ótimo.</v>
      </c>
      <c r="B1512" s="3">
        <v>1</v>
      </c>
    </row>
    <row r="1513" ht="15.75" customHeight="1" spans="1:2">
      <c r="A1513" s="3" t="str">
        <f>IFERROR(__xludf.DUMMYFUNCTION("GOOGLETRANSLATE(A1513,""en"",""pt"")"),"Steve Martin oferece um desempenho muito engraçado de, uma classe superior de meia-idade, cara branco tenso.")</f>
        <v>Steve Martin oferece um desempenho muito engraçado de, uma classe superior de meia-idade, cara branco tenso.</v>
      </c>
      <c r="B1513" s="3">
        <v>1</v>
      </c>
    </row>
    <row r="1514" ht="15.75" customHeight="1" spans="1:2">
      <c r="A1514" s="3" t="str">
        <f>IFERROR(__xludf.DUMMYFUNCTION("GOOGLETRANSLATE(A1514,""en"",""pt"")"),"adicionar betty branco e Jean Smart e você tem um grande elenco - todos desempenharam suas peças muito bem.")</f>
        <v>adicionar betty branco e Jean Smart e você tem um grande elenco - todos desempenharam suas peças muito bem.</v>
      </c>
      <c r="B1514" s="3">
        <v>1</v>
      </c>
    </row>
    <row r="1515" ht="15.75" customHeight="1" spans="1:2">
      <c r="A1515" s="3" t="str">
        <f>IFERROR(__xludf.DUMMYFUNCTION("GOOGLETRANSLATE(A1515,""en"",""pt"")"),"mas o filme faz um monte de erros graves.")</f>
        <v>mas o filme faz um monte de erros graves.</v>
      </c>
      <c r="B1515" s="3">
        <v>0</v>
      </c>
    </row>
    <row r="1516" ht="15.75" customHeight="1" spans="1:2">
      <c r="A1516" s="3" t="str">
        <f>IFERROR(__xludf.DUMMYFUNCTION("GOOGLETRANSLATE(A1516,""en"",""pt"")"),"Primeiro de tudo, existem estereótipos raciais suficientes e piadas raciais para ofender todos.")</f>
        <v>Primeiro de tudo, existem estereótipos raciais suficientes e piadas raciais para ofender todos.</v>
      </c>
      <c r="B1516" s="3">
        <v>0</v>
      </c>
    </row>
    <row r="1517" ht="15.75" customHeight="1" spans="1:2">
      <c r="A1517" s="3" t="s">
        <v>3</v>
      </c>
      <c r="B1517" s="3">
        <v>0</v>
      </c>
    </row>
    <row r="1518" ht="15.75" customHeight="1" spans="1:2">
      <c r="A1518" s="3" t="str">
        <f>IFERROR(__xludf.DUMMYFUNCTION("GOOGLETRANSLATE(A1518,""en"",""pt"")"),"colocando a carta da raça à parte, vamos olhar para a grande falha no filme: eles destroem o caráter das latifa.")</f>
        <v>colocando a carta da raça à parte, vamos olhar para a grande falha no filme: eles destroem o caráter das latifa.</v>
      </c>
      <c r="B1518" s="3">
        <v>0</v>
      </c>
    </row>
    <row r="1519" ht="15.75" customHeight="1" spans="1:2">
      <c r="A1519" s="3" t="str">
        <f>IFERROR(__xludf.DUMMYFUNCTION("GOOGLETRANSLATE(A1519,""en"",""pt"")"),"não há nenhuma conspiração real.")</f>
        <v>não há nenhuma conspiração real.</v>
      </c>
      <c r="B1519" s="3">
        <v>0</v>
      </c>
    </row>
    <row r="1520" ht="15.75" customHeight="1" spans="1:2">
      <c r="A1520" s="3" t="str">
        <f>IFERROR(__xludf.DUMMYFUNCTION("GOOGLETRANSLATE(A1520,""en"",""pt"")"),"eu não tomaria ver esse filme novamente de forma gratuita.")</f>
        <v>eu não tomaria ver esse filme novamente de forma gratuita.</v>
      </c>
      <c r="B1520" s="3">
        <v>0</v>
      </c>
    </row>
    <row r="1521" ht="15.75" customHeight="1" spans="1:2">
      <c r="A1521" s="3" t="str">
        <f>IFERROR(__xludf.DUMMYFUNCTION("GOOGLETRANSLATE(A1521,""en"",""pt"")"),"Vapor Willie é um filme incrivelmente importante para a nossa história do cinema.")</f>
        <v>Vapor Willie é um filme incrivelmente importante para a nossa história do cinema.</v>
      </c>
      <c r="B1521" s="3">
        <v>1</v>
      </c>
    </row>
    <row r="1522" ht="15.75" customHeight="1" spans="1:2">
      <c r="A1522" s="3" t="str">
        <f>IFERROR(__xludf.DUMMYFUNCTION("GOOGLETRANSLATE(A1522,""en"",""pt"")"),"Esta segunda aparição de Mickey Mouse (seguindo o plano silenciosa LOUCO no início daquele ano) é provavelmente o seu mais famoso filme - principalmente porque ele era tão inovador.")</f>
        <v>Esta segunda aparição de Mickey Mouse (seguindo o plano silenciosa LOUCO no início daquele ano) é provavelmente o seu mais famoso filme - principalmente porque ele era tão inovador.</v>
      </c>
      <c r="B1522" s="3">
        <v>1</v>
      </c>
    </row>
    <row r="1523" ht="15.75" customHeight="1" spans="1:2">
      <c r="A1523" s="3" t="str">
        <f>IFERROR(__xludf.DUMMYFUNCTION("GOOGLETRANSLATE(A1523,""en"",""pt"")"),"Enquanto você ainda não ouvir Mickey falar, há toneladas de efeitos sonoros e música ao longo do filme - algo que nós tomamos para concedido agora, mas que foi um enorme prazer para todos em 1928.")</f>
        <v>Enquanto você ainda não ouvir Mickey falar, há toneladas de efeitos sonoros e música ao longo do filme - algo que nós tomamos para concedido agora, mas que foi um enorme prazer para todos em 1928.</v>
      </c>
      <c r="B1523" s="3">
        <v>1</v>
      </c>
    </row>
    <row r="1524" ht="15.75" customHeight="1" spans="1:2">
      <c r="A1524" s="3" t="str">
        <f>IFERROR(__xludf.DUMMYFUNCTION("GOOGLETRANSLATE(A1524,""en"",""pt"")"),"No entanto, depois de ver a curto novamente após cerca de 25 anos, fiquei espantado com a forma como atemporal o filme realmente é.")</f>
        <v>No entanto, depois de ver a curto novamente após cerca de 25 anos, fiquei espantado com a forma como atemporal o filme realmente é.</v>
      </c>
      <c r="B1524" s="3">
        <v>1</v>
      </c>
    </row>
    <row r="1525" ht="15.75" customHeight="1" spans="1:2">
      <c r="A1525" s="3" t="str">
        <f>IFERROR(__xludf.DUMMYFUNCTION("GOOGLETRANSLATE(A1525,""en"",""pt"")"),"É simplesmente adorável vendo Mickey jogo ""Turkey in the Straw"" de uma forma altamente imaginativa (se ocasionalmente cruel).")</f>
        <v>É simplesmente adorável vendo Mickey jogo "Turkey in the Straw" de uma forma altamente imaginativa (se ocasionalmente cruel).</v>
      </c>
      <c r="B1525" s="3">
        <v>1</v>
      </c>
    </row>
    <row r="1526" ht="15.75" customHeight="1" spans="1:2">
      <c r="A1526" s="3" t="str">
        <f>IFERROR(__xludf.DUMMYFUNCTION("GOOGLETRANSLATE(A1526,""en"",""pt"")"),"Inteligente e uma multidão-pleaser verdadeiro - este filme ainda está entre os melhores filmes de Mickey mesmo depois de 80 anos maravilhosos.")</f>
        <v>Inteligente e uma multidão-pleaser verdadeiro - este filme ainda está entre os melhores filmes de Mickey mesmo depois de 80 anos maravilhosos.</v>
      </c>
      <c r="B1526" s="3">
        <v>1</v>
      </c>
    </row>
    <row r="1527" ht="15.75" customHeight="1" spans="1:2">
      <c r="A1527" s="3" t="str">
        <f>IFERROR(__xludf.DUMMYFUNCTION("GOOGLETRANSLATE(A1527,""en"",""pt"")"),"A bipolaridade do matador implacável (um minuto uma assassino implacável, o minuto seguinte de uma fralda comercial LUV) é convincente completamente.")</f>
        <v>A bipolaridade do matador implacável (um minuto uma assassino implacável, o minuto seguinte de uma fralda comercial LUV) é convincente completamente.</v>
      </c>
      <c r="B1527" s="3">
        <v>0</v>
      </c>
    </row>
    <row r="1528" ht="15.75" customHeight="1" spans="1:2">
      <c r="A1528" s="3" t="str">
        <f>IFERROR(__xludf.DUMMYFUNCTION("GOOGLETRANSLATE(A1528,""en"",""pt"")"),"Estou terrivelmente decepcionado que este filme receberia tantos prêmios e elogios, especialmente quando há muito mais obras merecedoras de filme lá fora.")</f>
        <v>Estou terrivelmente decepcionado que este filme receberia tantos prêmios e elogios, especialmente quando há muito mais obras merecedoras de filme lá fora.</v>
      </c>
      <c r="B1528" s="3">
        <v>0</v>
      </c>
    </row>
    <row r="1529" ht="15.75" customHeight="1" spans="1:2">
      <c r="A1529" s="3" t="str">
        <f>IFERROR(__xludf.DUMMYFUNCTION("GOOGLETRANSLATE(A1529,""en"",""pt"")"),"O corpo original e Soul (1947) é uma obra-prima.")</f>
        <v>O corpo original e Soul (1947) é uma obra-prima.</v>
      </c>
      <c r="B1529" s="3">
        <v>1</v>
      </c>
    </row>
    <row r="1530" ht="15.75" customHeight="1" spans="1:2">
      <c r="A1530" s="3" t="s">
        <v>4</v>
      </c>
      <c r="B1530" s="3">
        <v>1</v>
      </c>
    </row>
    <row r="1531" ht="15.75" customHeight="1" spans="1:2">
      <c r="A1531" s="3" t="str">
        <f>IFERROR(__xludf.DUMMYFUNCTION("GOOGLETRANSLATE(A1531,""en"",""pt"")"),"Eu não acho que existem quaisquer qualidades redentoras neste remake.")</f>
        <v>Eu não acho que existem quaisquer qualidades redentoras neste remake.</v>
      </c>
      <c r="B1531" s="3">
        <v>0</v>
      </c>
    </row>
    <row r="1532" ht="15.75" customHeight="1" spans="1:2">
      <c r="A1532" s="3" t="str">
        <f>IFERROR(__xludf.DUMMYFUNCTION("GOOGLETRANSLATE(A1532,""en"",""pt"")"),"Este pode ser o único mau filme que ele já fez.")</f>
        <v>Este pode ser o único mau filme que ele já fez.</v>
      </c>
      <c r="B1532" s="3">
        <v>0</v>
      </c>
    </row>
    <row r="1533" ht="15.75" customHeight="1" spans="1:2">
      <c r="A1533" s="3" t="str">
        <f>IFERROR(__xludf.DUMMYFUNCTION("GOOGLETRANSLATE(A1533,""en"",""pt"")"),"Tão ruim ... bem ... é só ruim.")</f>
        <v>Tão ruim ... bem ... é só ruim.</v>
      </c>
      <c r="B1533" s="3">
        <v>0</v>
      </c>
    </row>
    <row r="1534" ht="15.75" customHeight="1" spans="1:2">
      <c r="A1534" s="3" t="str">
        <f>IFERROR(__xludf.DUMMYFUNCTION("GOOGLETRANSLATE(A1534,""en"",""pt"")"),"Este filme é um sólido exemplo de um enredo ruim e muito, muito má ideia por todo o caminho.")</f>
        <v>Este filme é um sólido exemplo de um enredo ruim e muito, muito má ideia por todo o caminho.</v>
      </c>
      <c r="B1534" s="3">
        <v>0</v>
      </c>
    </row>
    <row r="1535" ht="15.75" customHeight="1" spans="1:2">
      <c r="A1535" s="3" t="str">
        <f>IFERROR(__xludf.DUMMYFUNCTION("GOOGLETRANSLATE(A1535,""en"",""pt"")"),"É uma vergonha para ver bons atores como Thomerson e James ganhar a vida em uma confusão como essa.")</f>
        <v>É uma vergonha para ver bons atores como Thomerson e James ganhar a vida em uma confusão como essa.</v>
      </c>
      <c r="B1535" s="3">
        <v>0</v>
      </c>
    </row>
    <row r="1536" ht="15.75" customHeight="1" spans="1:2">
      <c r="A1536" s="3" t="str">
        <f>IFERROR(__xludf.DUMMYFUNCTION("GOOGLETRANSLATE(A1536,""en"",""pt"")"),"Eu pensei que era ruim.")</f>
        <v>Eu pensei que era ruim.</v>
      </c>
      <c r="B1536" s="3">
        <v>0</v>
      </c>
    </row>
    <row r="1537" ht="15.75" customHeight="1" spans="1:2">
      <c r="A1537" s="3" t="str">
        <f>IFERROR(__xludf.DUMMYFUNCTION("GOOGLETRANSLATE(A1537,""en"",""pt"")"),"Ambos os filmes são terríveis, mas para o crédito da versão 1986, era assistível.")</f>
        <v>Ambos os filmes são terríveis, mas para o crédito da versão 1986, era assistível.</v>
      </c>
      <c r="B1537" s="3">
        <v>0</v>
      </c>
    </row>
    <row r="1538" ht="15.75" customHeight="1" spans="1:2">
      <c r="A1538" s="3" t="str">
        <f>IFERROR(__xludf.DUMMYFUNCTION("GOOGLETRANSLATE(A1538,""en"",""pt"")"),"Vamos começar com toda a problemsÂ-a atuação, especialmente do professor de chumbo, foi muito, muito ruim.")</f>
        <v>Vamos começar com toda a problemsÂ-a atuação, especialmente do professor de chumbo, foi muito, muito ruim.</v>
      </c>
      <c r="B1538" s="3">
        <v>0</v>
      </c>
    </row>
    <row r="1539" ht="15.75" customHeight="1" spans="1:2">
      <c r="A1539" s="3" t="str">
        <f>IFERROR(__xludf.DUMMYFUNCTION("GOOGLETRANSLATE(A1539,""en"",""pt"")"),"O roteiro é uma grande confusão falho.")</f>
        <v>O roteiro é uma grande confusão falho.</v>
      </c>
      <c r="B1539" s="3">
        <v>0</v>
      </c>
    </row>
    <row r="1540" ht="15.75" customHeight="1" spans="1:2">
      <c r="A1540" s="3" t="str">
        <f>IFERROR(__xludf.DUMMYFUNCTION("GOOGLETRANSLATE(A1540,""en"",""pt"")"),"O melhor exemplo de como mudo a escrita é quando é estabelecido que você pode transformar os zumbis-alunos de volta para os seres humanos através da remoção de um colar contendo um pedaço do meteorito.")</f>
        <v>O melhor exemplo de como mudo a escrita é quando é estabelecido que você pode transformar os zumbis-alunos de volta para os seres humanos através da remoção de um colar contendo um pedaço do meteorito.</v>
      </c>
      <c r="B1540" s="3">
        <v>0</v>
      </c>
    </row>
    <row r="1541" ht="15.75" customHeight="1" spans="1:2">
      <c r="A1541" s="3" t="str">
        <f>IFERROR(__xludf.DUMMYFUNCTION("GOOGLETRANSLATE(A1541,""en"",""pt"")"),"O diretor Paul Matthews, que também escreveu / dirigiu o fraco filme de monstro 1995 ""Grim"", claramente não sabe como andar de seus filmes.")</f>
        <v>O diretor Paul Matthews, que também escreveu / dirigiu o fraco filme de monstro 1995 "Grim", claramente não sabe como andar de seus filmes.</v>
      </c>
      <c r="B1541" s="3">
        <v>0</v>
      </c>
    </row>
    <row r="1542" ht="15.75" customHeight="1" spans="1:2">
      <c r="A1542" s="3" t="str">
        <f>IFERROR(__xludf.DUMMYFUNCTION("GOOGLETRANSLATE(A1542,""en"",""pt"")"),"O filme é terrivelmente chato em alguns lugares.")</f>
        <v>O filme é terrivelmente chato em alguns lugares.</v>
      </c>
      <c r="B1542" s="3">
        <v>0</v>
      </c>
    </row>
    <row r="1543" ht="15.75" customHeight="1" spans="1:2">
      <c r="A1543" s="3" t="str">
        <f>IFERROR(__xludf.DUMMYFUNCTION("GOOGLETRANSLATE(A1543,""en"",""pt"")"),"A iluminação é horrível.")</f>
        <v>A iluminação é horrível.</v>
      </c>
      <c r="B1543" s="3">
        <v>0</v>
      </c>
    </row>
    <row r="1544" ht="15.75" customHeight="1" spans="1:2">
      <c r="A1544" s="3" t="str">
        <f>IFERROR(__xludf.DUMMYFUNCTION("GOOGLETRANSLATE(A1544,""en"",""pt"")"),"O filme parece barato e sem graça.")</f>
        <v>O filme parece barato e sem graça.</v>
      </c>
      <c r="B1544" s="3">
        <v>0</v>
      </c>
    </row>
    <row r="1545" ht="15.75" customHeight="1" spans="1:2">
      <c r="A1545" s="3" t="str">
        <f>IFERROR(__xludf.DUMMYFUNCTION("GOOGLETRANSLATE(A1545,""en"",""pt"")"),"Um dos aspectos mais decepcionantes é a falta de notável gore.")</f>
        <v>Um dos aspectos mais decepcionantes é a falta de notável gore.</v>
      </c>
      <c r="B1545" s="3">
        <v>0</v>
      </c>
    </row>
    <row r="1546" ht="15.75" customHeight="1" spans="1:2">
      <c r="A1546" s="3" t="str">
        <f>IFERROR(__xludf.DUMMYFUNCTION("GOOGLETRANSLATE(A1546,""en"",""pt"")"),"Esta convenção nunca funcionou bem no passado, e certamente não funciona aqui.")</f>
        <v>Esta convenção nunca funcionou bem no passado, e certamente não funciona aqui.</v>
      </c>
      <c r="B1546" s="3">
        <v>0</v>
      </c>
    </row>
    <row r="1547" ht="15.75" customHeight="1" spans="1:2">
      <c r="A1547" s="3" t="str">
        <f>IFERROR(__xludf.DUMMYFUNCTION("GOOGLETRANSLATE(A1547,""en"",""pt"")"),"Os efeitos visuais foram horrível.")</f>
        <v>Os efeitos visuais foram horrível.</v>
      </c>
      <c r="B1547" s="3">
        <v>0</v>
      </c>
    </row>
    <row r="1548" ht="15.75" customHeight="1" spans="1:2">
      <c r="A1548" s="3" t="str">
        <f>IFERROR(__xludf.DUMMYFUNCTION("GOOGLETRANSLATE(A1548,""en"",""pt"")"),"A seqüência de abertura CG no espaço parecia que poderia ter sido criado em Microsoft Slideshow pelo amor de Deus!")</f>
        <v>A seqüência de abertura CG no espaço parecia que poderia ter sido criado em Microsoft Slideshow pelo amor de Deus!</v>
      </c>
      <c r="B1548" s="3">
        <v>0</v>
      </c>
    </row>
    <row r="1549" ht="15.75" customHeight="1" spans="1:2">
      <c r="A1549" s="3" t="str">
        <f>IFERROR(__xludf.DUMMYFUNCTION("GOOGLETRANSLATE(A1549,""en"",""pt"")"),"A ""explosão"" dos reservatórios de gás no final era tão horrível.")</f>
        <v>A "explosão" dos reservatórios de gás no final era tão horrível.</v>
      </c>
      <c r="B1549" s="3">
        <v>0</v>
      </c>
    </row>
    <row r="1550" ht="15.75" customHeight="1" spans="1:2">
      <c r="A1550" s="3" t="str">
        <f>IFERROR(__xludf.DUMMYFUNCTION("GOOGLETRANSLATE(A1550,""en"",""pt"")"),"Ok, eu gosto de me considerar um crítico justo, então eu vou dar crédito onde o crédito devido - os efeitos de criaturas foram realmente muito legal.")</f>
        <v>Ok, eu gosto de me considerar um crítico justo, então eu vou dar crédito onde o crédito devido - os efeitos de criaturas foram realmente muito legal.</v>
      </c>
      <c r="B1550" s="3">
        <v>1</v>
      </c>
    </row>
    <row r="1551" ht="15.75" customHeight="1" spans="1:2">
      <c r="A1551" s="3" t="str">
        <f>IFERROR(__xludf.DUMMYFUNCTION("GOOGLETRANSLATE(A1551,""en"",""pt"")"),"Conseguiu amar aqueles closes de viscoso, babando dentes!")</f>
        <v>Conseguiu amar aqueles closes de viscoso, babando dentes!</v>
      </c>
      <c r="B1551" s="3">
        <v>1</v>
      </c>
    </row>
    <row r="1552" ht="15.75" customHeight="1" spans="1:2">
      <c r="A1552" s="3" t="str">
        <f>IFERROR(__xludf.DUMMYFUNCTION("GOOGLETRANSLATE(A1552,""en"",""pt"")"),"Para resumir o filme Up ""Breeders"" é um terrível filme de terror, feito barata que devem ser evitados como o vírus Ebola.")</f>
        <v>Para resumir o filme Up "Breeders" é um terrível filme de terror, feito barata que devem ser evitados como o vírus Ebola.</v>
      </c>
      <c r="B1552" s="3">
        <v>0</v>
      </c>
    </row>
    <row r="1553" ht="15.75" customHeight="1" spans="1:2">
      <c r="A1553" s="3" t="str">
        <f>IFERROR(__xludf.DUMMYFUNCTION("GOOGLETRANSLATE(A1553,""en"",""pt"")"),"Não recomendado.")</f>
        <v>Não recomendado.</v>
      </c>
      <c r="B1553" s="3">
        <v>0</v>
      </c>
    </row>
    <row r="1554" ht="15.75" customHeight="1" spans="1:2">
      <c r="A1554" s="3" t="str">
        <f>IFERROR(__xludf.DUMMYFUNCTION("GOOGLETRANSLATE(A1554,""en"",""pt"")"),"Ele é quase insuportável para assistir na tela, ele tem pouco ou nenhum carisma, e terrível timing cômico.")</f>
        <v>Ele é quase insuportável para assistir na tela, ele tem pouco ou nenhum carisma, e terrível timing cômico.</v>
      </c>
      <c r="B1554" s="3">
        <v>0</v>
      </c>
    </row>
    <row r="1555" ht="15.75" customHeight="1" spans="1:2">
      <c r="A1555" s="3" t="str">
        <f>IFERROR(__xludf.DUMMYFUNCTION("GOOGLETRANSLATE(A1555,""en"",""pt"")"),"Além de que é terrível chumbo, este filme tem uma infinidade de outros débitos.")</f>
        <v>Além de que é terrível chumbo, este filme tem uma infinidade de outros débitos.</v>
      </c>
      <c r="B1555" s="3">
        <v>0</v>
      </c>
    </row>
    <row r="1556" ht="15.75" customHeight="1" spans="1:2">
      <c r="A1556" s="3" t="str">
        <f>IFERROR(__xludf.DUMMYFUNCTION("GOOGLETRANSLATE(A1556,""en"",""pt"")"),"Eu entendo que é suposto ser uma comédia pipoca barato, mas isso não significa que ele tem de insultar completamente a nossa inteligência, e ter escrito tão incrivelmente hackneyed que faz fronteira com a ofensiva.")</f>
        <v>Eu entendo que é suposto ser uma comédia pipoca barato, mas isso não significa que ele tem de insultar completamente a nossa inteligência, e ter escrito tão incrivelmente hackneyed que faz fronteira com a ofensiva.</v>
      </c>
      <c r="B1556" s="3">
        <v>0</v>
      </c>
    </row>
    <row r="1557" ht="15.75" customHeight="1" spans="1:2">
      <c r="A1557" s="3" t="str">
        <f>IFERROR(__xludf.DUMMYFUNCTION("GOOGLETRANSLATE(A1557,""en"",""pt"")"),"considerável talento de Lewis Black é desperdiçado aqui também, como ele é no seu mais incendiária quando ele é desenfreada, que a classificação PG-13, certamente não vai permitir.")</f>
        <v>considerável talento de Lewis Black é desperdiçado aqui também, como ele é no seu mais incendiária quando ele é desenfreada, que a classificação PG-13, certamente não vai permitir.</v>
      </c>
      <c r="B1557" s="3">
        <v>0</v>
      </c>
    </row>
    <row r="1558" ht="15.75" customHeight="1" spans="1:2">
      <c r="A1558" s="3" t="str">
        <f>IFERROR(__xludf.DUMMYFUNCTION("GOOGLETRANSLATE(A1558,""en"",""pt"")"),"único ponto brilhante do filme era Jonah Hill (que vai ficar quase irreconhecível para os fãs da recente Superbad devido à quantidade de peso perdeu no ínterim).")</f>
        <v>único ponto brilhante do filme era Jonah Hill (que vai ficar quase irreconhecível para os fãs da recente Superbad devido à quantidade de peso perdeu no ínterim).</v>
      </c>
      <c r="B1558" s="3">
        <v>1</v>
      </c>
    </row>
    <row r="1559" ht="15.75" customHeight="1" spans="1:2">
      <c r="A1559" s="3" t="str">
        <f>IFERROR(__xludf.DUMMYFUNCTION("GOOGLETRANSLATE(A1559,""en"",""pt"")"),"Com a originalidade e frescor do primeiro filme já passou, este remake tinha pouco mais a oferecer.")</f>
        <v>Com a originalidade e frescor do primeiro filme já passou, este remake tinha pouco mais a oferecer.</v>
      </c>
      <c r="B1559" s="3">
        <v>0</v>
      </c>
    </row>
    <row r="1560" ht="15.75" customHeight="1" spans="1:2">
      <c r="A1560" s="3" t="str">
        <f>IFERROR(__xludf.DUMMYFUNCTION("GOOGLETRANSLATE(A1560,""en"",""pt"")"),"O orçamento foi evidentemente muito limitado.")</f>
        <v>O orçamento foi evidentemente muito limitado.</v>
      </c>
      <c r="B1560" s="3">
        <v>0</v>
      </c>
    </row>
    <row r="1561" ht="15.75" customHeight="1" spans="1:2">
      <c r="A1561" s="3" t="str">
        <f>IFERROR(__xludf.DUMMYFUNCTION("GOOGLETRANSLATE(A1561,""en"",""pt"")"),"Isso se refletiu não só no elenco, mas também no script abaixo-par, que emprestado muito do início clássico.")</f>
        <v>Isso se refletiu não só no elenco, mas também no script abaixo-par, que emprestado muito do início clássico.</v>
      </c>
      <c r="B1561" s="3">
        <v>0</v>
      </c>
    </row>
    <row r="1562" ht="15.75" customHeight="1" spans="1:2">
      <c r="A1562" s="3" t="str">
        <f>IFERROR(__xludf.DUMMYFUNCTION("GOOGLETRANSLATE(A1562,""en"",""pt"")"),"No entanto, aqui não havia decente atuação, ação ou local de trabalho para equilibrar as coisas.")</f>
        <v>No entanto, aqui não havia decente atuação, ação ou local de trabalho para equilibrar as coisas.</v>
      </c>
      <c r="B1562" s="3">
        <v>0</v>
      </c>
    </row>
    <row r="1563" ht="15.75" customHeight="1" spans="1:2">
      <c r="A1563" s="3" t="str">
        <f>IFERROR(__xludf.DUMMYFUNCTION("GOOGLETRANSLATE(A1563,""en"",""pt"")"),"Filmiing foi menos expansivo.")</f>
        <v>Filmiing foi menos expansivo.</v>
      </c>
      <c r="B1563" s="3">
        <v>0</v>
      </c>
    </row>
    <row r="1564" ht="15.75" customHeight="1" spans="1:2">
      <c r="A1564" s="3" t="str">
        <f>IFERROR(__xludf.DUMMYFUNCTION("GOOGLETRANSLATE(A1564,""en"",""pt"")"),"Ele não conseguiu transmitir a ampla extensão de paisagens que foram uma grande parte do original.")</f>
        <v>Ele não conseguiu transmitir a ampla extensão de paisagens que foram uma grande parte do original.</v>
      </c>
      <c r="B1564" s="3">
        <v>0</v>
      </c>
    </row>
    <row r="1565" ht="15.75" customHeight="1" spans="1:2">
      <c r="A1565" s="3" t="str">
        <f>IFERROR(__xludf.DUMMYFUNCTION("GOOGLETRANSLATE(A1565,""en"",""pt"")"),"Geralmente; a apenas carecido imaginação.")</f>
        <v>Geralmente; a apenas carecido imaginação.</v>
      </c>
      <c r="B1565" s="3">
        <v>0</v>
      </c>
    </row>
    <row r="1566" ht="15.75" customHeight="1" spans="1:2">
      <c r="A1566" s="3" t="str">
        <f>IFERROR(__xludf.DUMMYFUNCTION("GOOGLETRANSLATE(A1566,""en"",""pt"")"),"Não recomendado.")</f>
        <v>Não recomendado.</v>
      </c>
      <c r="B1566" s="3">
        <v>0</v>
      </c>
    </row>
    <row r="1567" ht="15.75" customHeight="1" spans="1:2">
      <c r="A1567" s="3" t="str">
        <f>IFERROR(__xludf.DUMMYFUNCTION("GOOGLETRANSLATE(A1567,""en"",""pt"")"),"É possível que um filme para ficar pior do que isso?")</f>
        <v>É possível que um filme para ficar pior do que isso?</v>
      </c>
      <c r="B1567" s="3">
        <v>0</v>
      </c>
    </row>
    <row r="1568" ht="15.75" customHeight="1" spans="1:2">
      <c r="A1568" s="3" t="str">
        <f>IFERROR(__xludf.DUMMYFUNCTION("GOOGLETRANSLATE(A1568,""en"",""pt"")"),"Não há enredo aqui para mantê-lo em primeiro lugar.")</f>
        <v>Não há enredo aqui para mantê-lo em primeiro lugar.</v>
      </c>
      <c r="B1568" s="3">
        <v>0</v>
      </c>
    </row>
    <row r="1569" ht="15.75" customHeight="1" spans="1:2">
      <c r="A1569" s="3" t="str">
        <f>IFERROR(__xludf.DUMMYFUNCTION("GOOGLETRANSLATE(A1569,""en"",""pt"")"),"Mesmo quando as mulheres finalmente aparecer, não há sinais de melhoria; as coisas mais esperados acontecer e pelo tempo que o filme é longo, você pode ser muito sono.")</f>
        <v>Mesmo quando as mulheres finalmente aparecer, não há sinais de melhoria; as coisas mais esperados acontecer e pelo tempo que o filme é longo, você pode ser muito sono.</v>
      </c>
      <c r="B1569" s="3">
        <v>0</v>
      </c>
    </row>
    <row r="1570" ht="15.75" customHeight="1" spans="1:2">
      <c r="A1570" s="3" t="str">
        <f>IFERROR(__xludf.DUMMYFUNCTION("GOOGLETRANSLATE(A1570,""en"",""pt"")"),"Cuidado: este não é um filme cult trashy, este é lixo -period!")</f>
        <v>Cuidado: este não é um filme cult trashy, este é lixo -period!</v>
      </c>
      <c r="B1570" s="3">
        <v>0</v>
      </c>
    </row>
    <row r="1571" ht="15.75" customHeight="1" spans="1:2">
      <c r="A1571" s="3" t="str">
        <f>IFERROR(__xludf.DUMMYFUNCTION("GOOGLETRANSLATE(A1571,""en"",""pt"")"),"Não posso acreditar que não há sequer uma sequela para isso!")</f>
        <v>Não posso acreditar que não há sequer uma sequela para isso!</v>
      </c>
      <c r="B1571" s="3">
        <v>0</v>
      </c>
    </row>
    <row r="1572" ht="15.75" customHeight="1" spans="1:2">
      <c r="A1572" s="3" t="str">
        <f>IFERROR(__xludf.DUMMYFUNCTION("GOOGLETRANSLATE(A1572,""en"",""pt"")"),"Que é precisamente por isso que estou dando-lhe um tal revisão ruim!")</f>
        <v>Que é precisamente por isso que estou dando-lhe um tal revisão ruim!</v>
      </c>
      <c r="B1572" s="3">
        <v>0</v>
      </c>
    </row>
    <row r="1573" ht="15.75" customHeight="1" spans="1:2">
      <c r="A1573" s="3" t="str">
        <f>IFERROR(__xludf.DUMMYFUNCTION("GOOGLETRANSLATE(A1573,""en"",""pt"")"),"Ser criança dos anos 90, eu realmente se esse show e eu posso dizer com orgulho que eu gostei grande tempo e ainda mais do que as caricaturas WB clássicos.")</f>
        <v>Ser criança dos anos 90, eu realmente se esse show e eu posso dizer com orgulho que eu gostei grande tempo e ainda mais do que as caricaturas WB clássicos.</v>
      </c>
      <c r="B1573" s="3">
        <v>1</v>
      </c>
    </row>
    <row r="1574" ht="15.75" customHeight="1" spans="1:2">
      <c r="A1574" s="3" t="str">
        <f>IFERROR(__xludf.DUMMYFUNCTION("GOOGLETRANSLATE(A1574,""en"",""pt"")"),"Mas ""Tiny Toons"" manteve vibração anos 90 e entregou um dos mais populares desenhos animados, engraçado, e subestimado já criados.")</f>
        <v>Mas "Tiny Toons" manteve vibração anos 90 e entregou um dos mais populares desenhos animados, engraçado, e subestimado já criados.</v>
      </c>
      <c r="B1574" s="3">
        <v>1</v>
      </c>
    </row>
    <row r="1575" ht="15.75" customHeight="1" spans="1:2">
      <c r="A1575" s="3" t="str">
        <f>IFERROR(__xludf.DUMMYFUNCTION("GOOGLETRANSLATE(A1575,""en"",""pt"")"),"As memórias são obscuras, mas eu só posso dizer que se em cada episódio e produto relacionado com o show.")</f>
        <v>As memórias são obscuras, mas eu só posso dizer que se em cada episódio e produto relacionado com o show.</v>
      </c>
      <c r="B1575" s="3">
        <v>1</v>
      </c>
    </row>
    <row r="1576" ht="15.75" customHeight="1" spans="1:2">
      <c r="A1576" s="3" t="str">
        <f>IFERROR(__xludf.DUMMYFUNCTION("GOOGLETRANSLATE(A1576,""en"",""pt"")"),"Facilmente, nenhuma outra banda desenhada me fez rir de uma forma suave (antes de entrar em sitcoms escuras orientados para adolescentes).")</f>
        <v>Facilmente, nenhuma outra banda desenhada me fez rir de uma forma suave (antes de entrar em sitcoms escuras orientados para adolescentes).</v>
      </c>
      <c r="B1576" s="3">
        <v>1</v>
      </c>
    </row>
    <row r="1577" ht="15.75" customHeight="1" spans="1:2">
      <c r="A1577" s="3" t="str">
        <f>IFERROR(__xludf.DUMMYFUNCTION("GOOGLETRANSLATE(A1577,""en"",""pt"")"),"Os personagens eram tudo engraçado e tinha a peculiaridade de não ter um verdadeiro personagem principal.")</f>
        <v>Os personagens eram tudo engraçado e tinha a peculiaridade de não ter um verdadeiro personagem principal.</v>
      </c>
      <c r="B1577" s="3">
        <v>1</v>
      </c>
    </row>
    <row r="1578" ht="15.75" customHeight="1" spans="1:2">
      <c r="A1578" s="3" t="str">
        <f>IFERROR(__xludf.DUMMYFUNCTION("GOOGLETRANSLATE(A1578,""en"",""pt"")"),"Cada personagem era hilariante e merecia ser chamado de chumbo.")</f>
        <v>Cada personagem era hilariante e merecia ser chamado de chumbo.</v>
      </c>
      <c r="B1578" s="3">
        <v>1</v>
      </c>
    </row>
    <row r="1579" ht="15.75" customHeight="1" spans="1:2">
      <c r="A1579" s="3" t="str">
        <f>IFERROR(__xludf.DUMMYFUNCTION("GOOGLETRANSLATE(A1579,""en"",""pt"")"),"Cada elemento desta história era tão por cima, falso excessivamente e artificial que era doloroso para sentar-se através.")</f>
        <v>Cada elemento desta história era tão por cima, falso excessivamente e artificial que era doloroso para sentar-se através.</v>
      </c>
      <c r="B1579" s="3">
        <v>0</v>
      </c>
    </row>
    <row r="1580" ht="15.75" customHeight="1" spans="1:2">
      <c r="A1580" s="3" t="str">
        <f>IFERROR(__xludf.DUMMYFUNCTION("GOOGLETRANSLATE(A1580,""en"",""pt"")"),"Suas linhas parecem ter sido escrito por um 15 anos de idade, embora eles estão tentando oh, tão, tão difícil de som como como um de quinze anos seria realmente, hum, você sabe, bem ... falar.")</f>
        <v>Suas linhas parecem ter sido escrito por um 15 anos de idade, embora eles estão tentando oh, tão, tão difícil de som como como um de quinze anos seria realmente, hum, você sabe, bem ... falar.</v>
      </c>
      <c r="B1580" s="3">
        <v>0</v>
      </c>
    </row>
    <row r="1581" ht="15.75" customHeight="1" spans="1:2">
      <c r="A1581" s="3" t="str">
        <f>IFERROR(__xludf.DUMMYFUNCTION("GOOGLETRANSLATE(A1581,""en"",""pt"")"),"Perabo tem um nível de energia agradável e é, obviamente, muito confortável na frente de uma câmera.")</f>
        <v>Perabo tem um nível de energia agradável e é, obviamente, muito confortável na frente de uma câmera.</v>
      </c>
      <c r="B1581" s="3">
        <v>1</v>
      </c>
    </row>
    <row r="1582" ht="15.75" customHeight="1" spans="1:2">
      <c r="A1582" s="3" t="str">
        <f>IFERROR(__xludf.DUMMYFUNCTION("GOOGLETRANSLATE(A1582,""en"",""pt"")"),"Simplesmente não há desculpa para algo esta mal feito.")</f>
        <v>Simplesmente não há desculpa para algo esta mal feito.</v>
      </c>
      <c r="B1582" s="3">
        <v>0</v>
      </c>
    </row>
    <row r="1583" ht="15.75" customHeight="1" spans="1:2">
      <c r="A1583" s="3" t="str">
        <f>IFERROR(__xludf.DUMMYFUNCTION("GOOGLETRANSLATE(A1583,""en"",""pt"")"),"Eu vi este filme e eu pensei que este é um filme estúpido.")</f>
        <v>Eu vi este filme e eu pensei que este é um filme estúpido.</v>
      </c>
      <c r="B1583" s="3">
        <v>0</v>
      </c>
    </row>
    <row r="1584" ht="15.75" customHeight="1" spans="1:2">
      <c r="A1584" s="3" t="str">
        <f>IFERROR(__xludf.DUMMYFUNCTION("GOOGLETRANSLATE(A1584,""en"",""pt"")"),"O que é ainda mais estúpido é que quem tinha pensado uma idéia que deve haver um vulcão em Los Angeles?")</f>
        <v>O que é ainda mais estúpido é que quem tinha pensado uma idéia que deve haver um vulcão em Los Angeles?</v>
      </c>
      <c r="B1584" s="3">
        <v>0</v>
      </c>
    </row>
    <row r="1585" ht="15.75" customHeight="1" spans="1:2">
      <c r="A1585" s="3" t="str">
        <f>IFERROR(__xludf.DUMMYFUNCTION("GOOGLETRANSLATE(A1585,""en"",""pt"")"),"Para ser honesto com você, isso é um absurdo inacreditável e muito tolo.")</f>
        <v>Para ser honesto com você, isso é um absurdo inacreditável e muito tolo.</v>
      </c>
      <c r="B1585" s="3">
        <v>0</v>
      </c>
    </row>
    <row r="1586" ht="15.75" customHeight="1" spans="1:2">
      <c r="A1586" s="3" t="str">
        <f>IFERROR(__xludf.DUMMYFUNCTION("GOOGLETRANSLATE(A1586,""en"",""pt"")"),"Em conclusão, eu não vou preocupar com este filme porque um vulcão em Los Angeles é nada, mas um disparate.")</f>
        <v>Em conclusão, eu não vou preocupar com este filme porque um vulcão em Los Angeles é nada, mas um disparate.</v>
      </c>
      <c r="B1586" s="3">
        <v>0</v>
      </c>
    </row>
    <row r="1587" ht="15.75" customHeight="1" spans="1:2">
      <c r="A1587" s="3" t="str">
        <f>IFERROR(__xludf.DUMMYFUNCTION("GOOGLETRANSLATE(A1587,""en"",""pt"")"),"O enredo é simplesmente horrível!")</f>
        <v>O enredo é simplesmente horrível!</v>
      </c>
      <c r="B1587" s="3">
        <v>0</v>
      </c>
    </row>
    <row r="1588" ht="15.75" customHeight="1" spans="1:2">
      <c r="A1588" s="3" t="str">
        <f>IFERROR(__xludf.DUMMYFUNCTION("GOOGLETRANSLATE(A1588,""en"",""pt"")"),"É apenas doloroso!")</f>
        <v>É apenas doloroso!</v>
      </c>
      <c r="B1588" s="3">
        <v>0</v>
      </c>
    </row>
    <row r="1589" ht="15.75" customHeight="1" spans="1:2">
      <c r="A1589" s="3" t="str">
        <f>IFERROR(__xludf.DUMMYFUNCTION("GOOGLETRANSLATE(A1589,""en"",""pt"")"),"E os acentos são absolutamente abismal!")</f>
        <v>E os acentos são absolutamente abismal!</v>
      </c>
      <c r="B1589" s="3">
        <v>0</v>
      </c>
    </row>
    <row r="1590" ht="15.75" customHeight="1" spans="1:2">
      <c r="A1590" s="3" t="str">
        <f>IFERROR(__xludf.DUMMYFUNCTION("GOOGLETRANSLATE(A1590,""en"",""pt"")"),"Há também a hipocrisia suficiente neste filme para me fazer vomitar.")</f>
        <v>Há também a hipocrisia suficiente neste filme para me fazer vomitar.</v>
      </c>
      <c r="B1590" s="3">
        <v>0</v>
      </c>
    </row>
    <row r="1591" ht="15.75" customHeight="1" spans="1:2">
      <c r="A1591" s="3" t="str">
        <f>IFERROR(__xludf.DUMMYFUNCTION("GOOGLETRANSLATE(A1591,""en"",""pt"")"),"Não desperdice o seu tempo assistindo esse filme não-pesquisado lixo.")</f>
        <v>Não desperdice o seu tempo assistindo esse filme não-pesquisado lixo.</v>
      </c>
      <c r="B1591" s="3">
        <v>0</v>
      </c>
    </row>
    <row r="1592" ht="15.75" customHeight="1" spans="1:2">
      <c r="A1592" s="3" t="str">
        <f>IFERROR(__xludf.DUMMYFUNCTION("GOOGLETRANSLATE(A1592,""en"",""pt"")"),"Acredito que Pitch Black foi bem feito.")</f>
        <v>Acredito que Pitch Black foi bem feito.</v>
      </c>
      <c r="B1592" s="3">
        <v>1</v>
      </c>
    </row>
    <row r="1593" ht="15.75" customHeight="1" spans="1:2">
      <c r="A1593" s="3" t="str">
        <f>IFERROR(__xludf.DUMMYFUNCTION("GOOGLETRANSLATE(A1593,""en"",""pt"")"),"Os personagens são interessantes e você quiser saber mais sobre eles quanto mais tempo o filme se passa, e eu acho que as pessoas vão se surpreender com quem faz e não fazê-lo.")</f>
        <v>Os personagens são interessantes e você quiser saber mais sobre eles quanto mais tempo o filme se passa, e eu acho que as pessoas vão se surpreender com quem faz e não fazê-lo.</v>
      </c>
      <c r="B1593" s="3">
        <v>1</v>
      </c>
    </row>
    <row r="1594" ht="15.75" customHeight="1" spans="1:2">
      <c r="A1594" s="3" t="str">
        <f>IFERROR(__xludf.DUMMYFUNCTION("GOOGLETRANSLATE(A1594,""en"",""pt"")"),"Vá vê-lo!")</f>
        <v>Vá vê-lo!</v>
      </c>
      <c r="B1594" s="3">
        <v>1</v>
      </c>
    </row>
    <row r="1595" ht="15.75" customHeight="1" spans="1:2">
      <c r="A1595" s="3" t="str">
        <f>IFERROR(__xludf.DUMMYFUNCTION("GOOGLETRANSLATE(A1595,""en"",""pt"")"),"Omitir vendo isso.")</f>
        <v>Omitir vendo isso.</v>
      </c>
      <c r="B1595" s="3">
        <v>0</v>
      </c>
    </row>
    <row r="1596" ht="15.75" customHeight="1" spans="1:2">
      <c r="A1596" s="3" t="str">
        <f>IFERROR(__xludf.DUMMYFUNCTION("GOOGLETRANSLATE(A1596,""en"",""pt"")"),"Muito engraçado!")</f>
        <v>Muito engraçado!</v>
      </c>
      <c r="B1596" s="3">
        <v>1</v>
      </c>
    </row>
    <row r="1597" ht="15.75" customHeight="1" spans="1:2">
      <c r="A1597" s="3" t="str">
        <f>IFERROR(__xludf.DUMMYFUNCTION("GOOGLETRANSLATE(A1597,""en"",""pt"")"),"Minha classificação: apenas 3 de 10.")</f>
        <v>Minha classificação: apenas 3 de 10.</v>
      </c>
      <c r="B1597" s="3">
        <v>0</v>
      </c>
    </row>
    <row r="1598" ht="15.75" customHeight="1" spans="1:2">
      <c r="A1598" s="3" t="str">
        <f>IFERROR(__xludf.DUMMYFUNCTION("GOOGLETRANSLATE(A1598,""en"",""pt"")"),"Os personagens são interessantes e você realmente se importa para eles.")</f>
        <v>Os personagens são interessantes e você realmente se importa para eles.</v>
      </c>
      <c r="B1598" s="3">
        <v>1</v>
      </c>
    </row>
    <row r="1599" ht="15.75" customHeight="1" spans="1:2">
      <c r="A1599" s="3" t="str">
        <f>IFERROR(__xludf.DUMMYFUNCTION("GOOGLETRANSLATE(A1599,""en"",""pt"")"),"Um clássico instantâneo, com uma grande banda sonora e uma canção cativante durante os créditos finais.")</f>
        <v>Um clássico instantâneo, com uma grande banda sonora e uma canção cativante durante os créditos finais.</v>
      </c>
      <c r="B1599" s="3">
        <v>1</v>
      </c>
    </row>
    <row r="1600" ht="15.75" customHeight="1" spans="1:2">
      <c r="A1600" s="3" t="str">
        <f>IFERROR(__xludf.DUMMYFUNCTION("GOOGLETRANSLATE(A1600,""en"",""pt"")"),"Não perca.")</f>
        <v>Não perca.</v>
      </c>
      <c r="B1600" s="3">
        <v>1</v>
      </c>
    </row>
    <row r="1601" ht="15.75" customHeight="1" spans="1:2">
      <c r="A1601" s="3" t="str">
        <f>IFERROR(__xludf.DUMMYFUNCTION("GOOGLETRANSLATE(A1601,""en"",""pt"")"),"Esta é uma peça magistral de produção de filmes, com muitos temas fervendo e, ocasionalmente, fervendo neste verrugas e tudo estudo da boêmia do poeta, anos de tempo de guerra auto-indulgente que abrangem os bombardeios aéreos de Londres e no exterior tra"&amp;"nquilidade de um retiro costeira Welsh - as fronteiras entre a amizade, o desejo eo amor, a dedicação à arte e experiência contra interesses práticos, o ciúme, rivalidade, covardia e egoísmo contra heroísmo e auto-sacrifício e muito mais.")</f>
        <v>Esta é uma peça magistral de produção de filmes, com muitos temas fervendo e, ocasionalmente, fervendo neste verrugas e tudo estudo da boêmia do poeta, anos de tempo de guerra auto-indulgente que abrangem os bombardeios aéreos de Londres e no exterior tranquilidade de um retiro costeira Welsh - as fronteiras entre a amizade, o desejo eo amor, a dedicação à arte e experiência contra interesses práticos, o ciúme, rivalidade, covardia e egoísmo contra heroísmo e auto-sacrifício e muito mais.</v>
      </c>
      <c r="B1601" s="3">
        <v>1</v>
      </c>
    </row>
    <row r="1602" ht="15.75" customHeight="1" spans="1:2">
      <c r="A1602" s="3" t="str">
        <f>IFERROR(__xludf.DUMMYFUNCTION("GOOGLETRANSLATE(A1602,""en"",""pt"")"),"A amadurecer, roteiro sutil que sugere e ocasionalmente traz em foco dramática as tensões subjacentes é bem servida por performances perfeitas (para além da estranha inapropriado sorrindo que Keira Knightley está propenso a, embora, talvez, sob a direção "&amp;"desta vez como os outros personagens, muitas vezes eles mesmos mencionam ).")</f>
        <v>A amadurecer, roteiro sutil que sugere e ocasionalmente traz em foco dramática as tensões subjacentes é bem servida por performances perfeitas (para além da estranha inapropriado sorrindo que Keira Knightley está propenso a, embora, talvez, sob a direção desta vez como os outros personagens, muitas vezes eles mesmos mencionam ).</v>
      </c>
      <c r="B1602" s="3">
        <v>1</v>
      </c>
    </row>
    <row r="1603" ht="15.75" customHeight="1" spans="1:2">
      <c r="A1603" s="3" t="str">
        <f>IFERROR(__xludf.DUMMYFUNCTION("GOOGLETRANSLATE(A1603,""en"",""pt"")"),"Mas acima de tudo a composição visual requintado de cada momento, com o uso inventivo e elegante de close-up, ângulo de câmera e iluminação, incluindo pointillistic faux filme caseiro metragem, é uma maravilha e alegria para os olhos.")</f>
        <v>Mas acima de tudo a composição visual requintado de cada momento, com o uso inventivo e elegante de close-up, ângulo de câmera e iluminação, incluindo pointillistic faux filme caseiro metragem, é uma maravilha e alegria para os olhos.</v>
      </c>
      <c r="B1603" s="3">
        <v>1</v>
      </c>
    </row>
    <row r="1604" ht="15.75" customHeight="1" spans="1:2">
      <c r="A1604" s="3" t="str">
        <f>IFERROR(__xludf.DUMMYFUNCTION("GOOGLETRANSLATE(A1604,""en"",""pt"")"),"É como continuamente bonito para olhar como um Bertolucci, mas as relações aqui são mais convincentes e a narrativa mais envolvente do que algum do trabalho desse mestre.")</f>
        <v>É como continuamente bonito para olhar como um Bertolucci, mas as relações aqui são mais convincentes e a narrativa mais envolvente do que algum do trabalho desse mestre.</v>
      </c>
      <c r="B1604" s="3">
        <v>1</v>
      </c>
    </row>
    <row r="1605" ht="15.75" customHeight="1" spans="1:2">
      <c r="A1605" s="3" t="str">
        <f>IFERROR(__xludf.DUMMYFUNCTION("GOOGLETRANSLATE(A1605,""en"",""pt"")"),"A premissa básica é desperdiçado, uma vez que está afastado pelo foco inexplicável na equipe de documentário.")</f>
        <v>A premissa básica é desperdiçado, uma vez que está afastado pelo foco inexplicável na equipe de documentário.</v>
      </c>
      <c r="B1605" s="3">
        <v>0</v>
      </c>
    </row>
    <row r="1606" ht="15.75" customHeight="1" spans="1:2">
      <c r="A1606" s="3" t="str">
        <f>IFERROR(__xludf.DUMMYFUNCTION("GOOGLETRANSLATE(A1606,""en"",""pt"")"),"Independentemente disso, o filme falha na maioria dos níveis.")</f>
        <v>Independentemente disso, o filme falha na maioria dos níveis.</v>
      </c>
      <c r="B1606" s="3">
        <v>0</v>
      </c>
    </row>
    <row r="1607" ht="15.75" customHeight="1" spans="1:2">
      <c r="A1607" s="3" t="str">
        <f>IFERROR(__xludf.DUMMYFUNCTION("GOOGLETRANSLATE(A1607,""en"",""pt"")"),"Evitar a todo custo.")</f>
        <v>Evitar a todo custo.</v>
      </c>
      <c r="B1607" s="3">
        <v>0</v>
      </c>
    </row>
    <row r="1608" ht="15.75" customHeight="1" spans="1:2">
      <c r="A1608" s="3" t="str">
        <f>IFERROR(__xludf.DUMMYFUNCTION("GOOGLETRANSLATE(A1608,""en"",""pt"")"),"Eu vi esse filme em Natal, e que um grande filme que era!")</f>
        <v>Eu vi esse filme em Natal, e que um grande filme que era!</v>
      </c>
      <c r="B1608" s="3">
        <v>1</v>
      </c>
    </row>
    <row r="1609" ht="15.75" customHeight="1" spans="1:2">
      <c r="A1609" s="3" t="str">
        <f>IFERROR(__xludf.DUMMYFUNCTION("GOOGLETRANSLATE(A1609,""en"",""pt"")"),"Pensei Errol Flynn foi brilhante como Custer e desde então se tornou o meu ator favorito!")</f>
        <v>Pensei Errol Flynn foi brilhante como Custer e desde então se tornou o meu ator favorito!</v>
      </c>
      <c r="B1609" s="3">
        <v>1</v>
      </c>
    </row>
    <row r="1610" ht="15.75" customHeight="1" spans="1:2">
      <c r="A1610" s="3" t="str">
        <f>IFERROR(__xludf.DUMMYFUNCTION("GOOGLETRANSLATE(A1610,""en"",""pt"")"),"Sua atuação ao lado de Olivia De Havilland foi brilhante e o final foi fantástico!")</f>
        <v>Sua atuação ao lado de Olivia De Havilland foi brilhante e o final foi fantástico!</v>
      </c>
      <c r="B1610" s="3">
        <v>1</v>
      </c>
    </row>
    <row r="1611" ht="15.75" customHeight="1" spans="1:2">
      <c r="A1611" s="3" t="str">
        <f>IFERROR(__xludf.DUMMYFUNCTION("GOOGLETRANSLATE(A1611,""en"",""pt"")"),"Eu sempre soube que Errol Flynn era um ator brilhante como ele era meus pais ator favorito, e eu cresci assistindo seus filmes como uma criança.")</f>
        <v>Eu sempre soube que Errol Flynn era um ator brilhante como ele era meus pais ator favorito, e eu cresci assistindo seus filmes como uma criança.</v>
      </c>
      <c r="B1611" s="3">
        <v>1</v>
      </c>
    </row>
    <row r="1612" ht="15.75" customHeight="1" spans="1:2">
      <c r="A1612" s="3" t="str">
        <f>IFERROR(__xludf.DUMMYFUNCTION("GOOGLETRANSLATE(A1612,""en"",""pt"")"),"Mas não foi até que eu assisti esse filme que eu percebi o quão grande ele realmente era.")</f>
        <v>Mas não foi até que eu assisti esse filme que eu percebi o quão grande ele realmente era.</v>
      </c>
      <c r="B1612" s="3">
        <v>1</v>
      </c>
    </row>
    <row r="1613" ht="15.75" customHeight="1" spans="1:2">
      <c r="A1613" s="3" t="str">
        <f>IFERROR(__xludf.DUMMYFUNCTION("GOOGLETRANSLATE(A1613,""en"",""pt"")"),"Eu vou dar a este filme 10 de 10!")</f>
        <v>Eu vou dar a este filme 10 de 10!</v>
      </c>
      <c r="B1613" s="3">
        <v>1</v>
      </c>
    </row>
    <row r="1614" ht="15.75" customHeight="1" spans="1:2">
      <c r="A1614" s="3" t="str">
        <f>IFERROR(__xludf.DUMMYFUNCTION("GOOGLETRANSLATE(A1614,""en"",""pt"")"),"Eu sei que Jim O'Connor foi muito enérgico e que ninguém poderia ser tanto quanto ele, mas George era bem monótona.")</f>
        <v>Eu sei que Jim O'Connor foi muito enérgico e que ninguém poderia ser tanto quanto ele, mas George era bem monótona.</v>
      </c>
      <c r="B1614" s="3">
        <v>0</v>
      </c>
    </row>
    <row r="1615" ht="15.75" customHeight="1" spans="1:2">
      <c r="A1615" s="3" t="str">
        <f>IFERROR(__xludf.DUMMYFUNCTION("GOOGLETRANSLATE(A1615,""en"",""pt"")"),"Ele realmente não parecem querer ser hospedagem; Sua voz-overs eram monótonas, não se envolveu com os convidados.")</f>
        <v>Ele realmente não parecem querer ser hospedagem; Sua voz-overs eram monótonas, não se envolveu com os convidados.</v>
      </c>
      <c r="B1615" s="3">
        <v>0</v>
      </c>
    </row>
    <row r="1616" ht="15.75" customHeight="1" spans="1:2">
      <c r="A1616" s="3" t="str">
        <f>IFERROR(__xludf.DUMMYFUNCTION("GOOGLETRANSLATE(A1616,""en"",""pt"")"),"thriller de pouco encantador de Hitchcock, com vários nice travessuras em torno de um espião assassinado, uma criança sequestrada, uma igreja desagradável, uma trama estrangeira e alguns taxidermistas aleatórios.")</f>
        <v>thriller de pouco encantador de Hitchcock, com vários nice travessuras em torno de um espião assassinado, uma criança sequestrada, uma igreja desagradável, uma trama estrangeira e alguns taxidermistas aleatórios.</v>
      </c>
      <c r="B1616" s="3">
        <v>1</v>
      </c>
    </row>
    <row r="1617" ht="15.75" customHeight="1" spans="1:2">
      <c r="A1617" s="3" t="str">
        <f>IFERROR(__xludf.DUMMYFUNCTION("GOOGLETRANSLATE(A1617,""en"",""pt"")"),"Jimmy Stewart é como sempre um grande herói para Hitchcock, a história rasga junto ao seu clímax legal em uma função embaixada, mas falta-lhe a ameaça ninhada de preto e branco, original, de baixo orçamento de Hitchcock.")</f>
        <v>Jimmy Stewart é como sempre um grande herói para Hitchcock, a história rasga junto ao seu clímax legal em uma função embaixada, mas falta-lhe a ameaça ninhada de preto e branco, original, de baixo orçamento de Hitchcock.</v>
      </c>
      <c r="B1617" s="3">
        <v>1</v>
      </c>
    </row>
    <row r="1618" ht="15.75" customHeight="1" spans="1:2">
      <c r="A1618" s="3" t="str">
        <f>IFERROR(__xludf.DUMMYFUNCTION("GOOGLETRANSLATE(A1618,""en"",""pt"")"),"ainda, no entanto, outro filme maravilhoso de estável do grande mestre.")</f>
        <v>ainda, no entanto, outro filme maravilhoso de estável do grande mestre.</v>
      </c>
      <c r="B1618" s="3">
        <v>1</v>
      </c>
    </row>
    <row r="1619" ht="15.75" customHeight="1" spans="1:2">
      <c r="A1619" s="3" t="str">
        <f>IFERROR(__xludf.DUMMYFUNCTION("GOOGLETRANSLATE(A1619,""en"",""pt"")"),"Eu tenho que dizer que este filme foi excelentemente produzida e tops as classificações como um filme fi típico sci!")</f>
        <v>Eu tenho que dizer que este filme foi excelentemente produzida e tops as classificações como um filme fi típico sci!</v>
      </c>
      <c r="B1619" s="3">
        <v>1</v>
      </c>
    </row>
    <row r="1620" ht="15.75" customHeight="1" spans="1:2">
      <c r="A1620" s="3" t="str">
        <f>IFERROR(__xludf.DUMMYFUNCTION("GOOGLETRANSLATE(A1620,""en"",""pt"")"),"Excelentemente produzido por um dos melhores produtores de Sci-fi Scot Vandiver!")</f>
        <v>Excelentemente produzido por um dos melhores produtores de Sci-fi Scot Vandiver!</v>
      </c>
      <c r="B1620" s="3">
        <v>1</v>
      </c>
    </row>
    <row r="1621" ht="15.75" customHeight="1" spans="1:2">
      <c r="A1621" s="3" t="str">
        <f>IFERROR(__xludf.DUMMYFUNCTION("GOOGLETRANSLATE(A1621,""en"",""pt"")"),"Mas é divertido, no entanto.")</f>
        <v>Mas é divertido, no entanto.</v>
      </c>
      <c r="B1621" s="3">
        <v>1</v>
      </c>
    </row>
    <row r="1622" ht="15.75" customHeight="1" spans="1:2">
      <c r="A1622" s="3" t="str">
        <f>IFERROR(__xludf.DUMMYFUNCTION("GOOGLETRANSLATE(A1622,""en"",""pt"")"),"É uma espécie exagerado de filme que é uma alegria para assistir.")</f>
        <v>É uma espécie exagerado de filme que é uma alegria para assistir.</v>
      </c>
      <c r="B1622" s="3">
        <v>1</v>
      </c>
    </row>
    <row r="1623" ht="15.75" customHeight="1" spans="1:2">
      <c r="A1623" s="3" t="str">
        <f>IFERROR(__xludf.DUMMYFUNCTION("GOOGLETRANSLATE(A1623,""en"",""pt"")"),"Há apenas um momento chato no filme e há uma abundância de peças humorísticas.")</f>
        <v>Há apenas um momento chato no filme e há uma abundância de peças humorísticas.</v>
      </c>
      <c r="B1623" s="3">
        <v>1</v>
      </c>
    </row>
    <row r="1624" ht="15.75" customHeight="1" spans="1:2">
      <c r="A1624" s="3" t="str">
        <f>IFERROR(__xludf.DUMMYFUNCTION("GOOGLETRANSLATE(A1624,""en"",""pt"")"),"O elenco é sempre divertido, como de costume.")</f>
        <v>O elenco é sempre divertido, como de costume.</v>
      </c>
      <c r="B1624" s="3">
        <v>1</v>
      </c>
    </row>
    <row r="1625" ht="15.75" customHeight="1" spans="1:2">
      <c r="A1625" s="3" t="str">
        <f>IFERROR(__xludf.DUMMYFUNCTION("GOOGLETRANSLATE(A1625,""en"",""pt"")"),"No geral, uma delícia!")</f>
        <v>No geral, uma delícia!</v>
      </c>
      <c r="B1625" s="3">
        <v>1</v>
      </c>
    </row>
    <row r="1626" ht="15.75" customHeight="1" spans="1:2">
      <c r="A1626" s="3" t="str">
        <f>IFERROR(__xludf.DUMMYFUNCTION("GOOGLETRANSLATE(A1626,""en"",""pt"")"),"Este filme é tão mente-bendingly terrível, não poderia mesmo ter sido criado.")</f>
        <v>Este filme é tão mente-bendingly terrível, não poderia mesmo ter sido criado.</v>
      </c>
      <c r="B1626" s="3">
        <v>0</v>
      </c>
    </row>
    <row r="1627" ht="15.75" customHeight="1" spans="1:2">
      <c r="A1627" s="3" t="str">
        <f>IFERROR(__xludf.DUMMYFUNCTION("GOOGLETRANSLATE(A1627,""en"",""pt"")"),"O filme carece de qualquer sustos reais ou tensão e alguma da terminologia médica usada em toda é um pouco duvidoso para dizer o mínimo &amp; I dizer que como um diabético insulino-dependente de mim.")</f>
        <v>O filme carece de qualquer sustos reais ou tensão e alguma da terminologia médica usada em toda é um pouco duvidoso para dizer o mínimo &amp; I dizer que como um diabético insulino-dependente de mim.</v>
      </c>
      <c r="B1627" s="3">
        <v>0</v>
      </c>
    </row>
    <row r="1628" ht="15.75" customHeight="1" spans="1:2">
      <c r="A1628" s="3" t="str">
        <f>IFERROR(__xludf.DUMMYFUNCTION("GOOGLETRANSLATE(A1628,""en"",""pt"")"),"A menos dito sobre a agir melhor.")</f>
        <v>A menos dito sobre a agir melhor.</v>
      </c>
      <c r="B1628" s="3">
        <v>0</v>
      </c>
    </row>
    <row r="1629" ht="15.75" customHeight="1" spans="1:2">
      <c r="A1629" s="3" t="str">
        <f>IFERROR(__xludf.DUMMYFUNCTION("GOOGLETRANSLATE(A1629,""en"",""pt"")"),"Este filme faz um excelente trabalho de revelar a complexidade da tarefa e os desafios incríveis que enfrentam África do Sul.")</f>
        <v>Este filme faz um excelente trabalho de revelar a complexidade da tarefa e os desafios incríveis que enfrentam África do Sul.</v>
      </c>
      <c r="B1629" s="3">
        <v>1</v>
      </c>
    </row>
    <row r="1630" ht="15.75" customHeight="1" spans="1:2">
      <c r="A1630" s="3" t="str">
        <f>IFERROR(__xludf.DUMMYFUNCTION("GOOGLETRANSLATE(A1630,""en"",""pt"")"),"Eu acredito que cada um deve ver este filme como eu acho que poucas pessoas fora da África do Sul compreender o seu passado eo que está sendo tentada no processo de Verdade e Reconciliação.")</f>
        <v>Eu acredito que cada um deve ver este filme como eu acho que poucas pessoas fora da África do Sul compreender o seu passado eo que está sendo tentada no processo de Verdade e Reconciliação.</v>
      </c>
      <c r="B1630" s="3">
        <v>1</v>
      </c>
    </row>
    <row r="1631" ht="15.75" customHeight="1" spans="1:2">
      <c r="A1631" s="3" t="str">
        <f>IFERROR(__xludf.DUMMYFUNCTION("GOOGLETRANSLATE(A1631,""en"",""pt"")"),"Nada menos do que magnífico fotografia / cinema neste filme.")</f>
        <v>Nada menos do que magnífico fotografia / cinema neste filme.</v>
      </c>
      <c r="B1631" s="3">
        <v>1</v>
      </c>
    </row>
    <row r="1632" ht="15.75" customHeight="1" spans="1:2">
      <c r="A1632" s="3" t="str">
        <f>IFERROR(__xludf.DUMMYFUNCTION("GOOGLETRANSLATE(A1632,""en"",""pt"")"),"A qualidade é fantástica, as histórias são perfeitamente entrelaçados, e os cães são esplêndidos ............. A deve alugar, visão ou ver.")</f>
        <v>A qualidade é fantástica, as histórias são perfeitamente entrelaçados, e os cães são esplêndidos ............. A deve alugar, visão ou ver.</v>
      </c>
      <c r="B1632" s="3">
        <v>1</v>
      </c>
    </row>
    <row r="1633" ht="15.75" customHeight="1" spans="1:2">
      <c r="A1633" s="3" t="str">
        <f>IFERROR(__xludf.DUMMYFUNCTION("GOOGLETRANSLATE(A1633,""en"",""pt"")"),"Não tenha medo de legendas ........ o que vale uma terapia pouco aversão 10/10")</f>
        <v>Não tenha medo de legendas ........ o que vale uma terapia pouco aversão 10/10</v>
      </c>
      <c r="B1633" s="3">
        <v>1</v>
      </c>
    </row>
    <row r="1634" ht="15.75" customHeight="1" spans="1:2">
      <c r="A1634" s="3" t="str">
        <f>IFERROR(__xludf.DUMMYFUNCTION("GOOGLETRANSLATE(A1634,""en"",""pt"")"),"Excelente desempenho.")</f>
        <v>Excelente desempenho.</v>
      </c>
      <c r="B1634" s="3">
        <v>1</v>
      </c>
    </row>
    <row r="1635" ht="15.75" customHeight="1" spans="1:2">
      <c r="A1635" s="3" t="str">
        <f>IFERROR(__xludf.DUMMYFUNCTION("GOOGLETRANSLATE(A1635,""en"",""pt"")"),"Há ainda bons atores de todas!")</f>
        <v>Há ainda bons atores de todas!</v>
      </c>
      <c r="B1635" s="3">
        <v>1</v>
      </c>
    </row>
    <row r="1636" ht="15.75" customHeight="1" spans="1:2">
      <c r="A1636" s="3" t="str">
        <f>IFERROR(__xludf.DUMMYFUNCTION("GOOGLETRANSLATE(A1636,""en"",""pt"")"),"Também excelente direção e fotografia.")</f>
        <v>Também excelente direção e fotografia.</v>
      </c>
      <c r="B1636" s="3">
        <v>1</v>
      </c>
    </row>
    <row r="1637" ht="15.75" customHeight="1" spans="1:2">
      <c r="A1637" s="3" t="str">
        <f>IFERROR(__xludf.DUMMYFUNCTION("GOOGLETRANSLATE(A1637,""en"",""pt"")"),"Muito fiel ao Shakespear, e um 'must' para todos os fãs Shakespear.")</f>
        <v>Muito fiel ao Shakespear, e um 'must' para todos os fãs Shakespear.</v>
      </c>
      <c r="B1637" s="3">
        <v>1</v>
      </c>
    </row>
    <row r="1638" ht="15.75" customHeight="1" spans="1:2">
      <c r="A1638" s="3" t="str">
        <f>IFERROR(__xludf.DUMMYFUNCTION("GOOGLETRANSLATE(A1638,""en"",""pt"")"),"Macbeth (Jason Connery) me às lágrimas com o seu monólogo final (fora breve vela, fora) Ele deu a esfera de decadência e escuras forças morais um rosto humano, o que torna ainda mais interessante.")</f>
        <v>Macbeth (Jason Connery) me às lágrimas com o seu monólogo final (fora breve vela, fora) Ele deu a esfera de decadência e escuras forças morais um rosto humano, o que torna ainda mais interessante.</v>
      </c>
      <c r="B1638" s="3">
        <v>1</v>
      </c>
    </row>
    <row r="1639" ht="15.75" customHeight="1" spans="1:2">
      <c r="A1639" s="3" t="str">
        <f>IFERROR(__xludf.DUMMYFUNCTION("GOOGLETRANSLATE(A1639,""en"",""pt"")"),"Helen Baxendale é uma senhora muito credível Macbeth que pode ser muito cheerfull, por vezes, e às vezes ela parece apenas uma garota malvada, mas mortal em seu gosto por sangue e do mal.")</f>
        <v>Helen Baxendale é uma senhora muito credível Macbeth que pode ser muito cheerfull, por vezes, e às vezes ela parece apenas uma garota malvada, mas mortal em seu gosto por sangue e do mal.</v>
      </c>
      <c r="B1639" s="3">
        <v>1</v>
      </c>
    </row>
    <row r="1640" ht="15.75" customHeight="1" spans="1:2">
      <c r="A1640" s="3" t="str">
        <f>IFERROR(__xludf.DUMMYFUNCTION("GOOGLETRANSLATE(A1640,""en"",""pt"")"),"Se você ama letras Shakespears morte e decadência, e ... esta é a única.")</f>
        <v>Se você ama letras Shakespears morte e decadência, e ... esta é a única.</v>
      </c>
      <c r="B1640" s="3">
        <v>1</v>
      </c>
    </row>
    <row r="1641" ht="15.75" customHeight="1" spans="1:2">
      <c r="A1641" s="3" t="str">
        <f>IFERROR(__xludf.DUMMYFUNCTION("GOOGLETRANSLATE(A1641,""en"",""pt"")"),"Este é um espirituoso e adaptação deliciosa do livro Dr. Seuss, brilhantemente animado pelo melhor da UPA e completamente merecedora de seu Oscar.")</f>
        <v>Este é um espirituoso e adaptação deliciosa do livro Dr. Seuss, brilhantemente animado pelo melhor da UPA e completamente merecedora de seu Oscar.</v>
      </c>
      <c r="B1641" s="3">
        <v>1</v>
      </c>
    </row>
    <row r="1642" ht="15.75" customHeight="1" spans="1:2">
      <c r="A1642" s="3" t="str">
        <f>IFERROR(__xludf.DUMMYFUNCTION("GOOGLETRANSLATE(A1642,""en"",""pt"")"),"Menção especial deve ser feita da partitura de música e efeitos sonoros excelentes, que são um elemento integral para ajudar a fazer este memorável um cartoon e agradável.")</f>
        <v>Menção especial deve ser feita da partitura de música e efeitos sonoros excelentes, que são um elemento integral para ajudar a fazer este memorável um cartoon e agradável.</v>
      </c>
      <c r="B1642" s="3">
        <v>1</v>
      </c>
    </row>
    <row r="1643" ht="15.75" customHeight="1" spans="1:2">
      <c r="A1643" s="3" t="str">
        <f>IFERROR(__xludf.DUMMYFUNCTION("GOOGLETRANSLATE(A1643,""en"",""pt"")"),"No entanto Paul Schrader, de fato, fez um filme ""sobre"" Mishima que é excelente &amp; complexa.")</f>
        <v>No entanto Paul Schrader, de fato, fez um filme "sobre" Mishima que é excelente &amp; complexa.</v>
      </c>
      <c r="B1643" s="3">
        <v>1</v>
      </c>
    </row>
    <row r="1644" ht="15.75" customHeight="1" spans="1:2">
      <c r="A1644" s="3" t="str">
        <f>IFERROR(__xludf.DUMMYFUNCTION("GOOGLETRANSLATE(A1644,""en"",""pt"")"),"Também notável é bem nítido de John Bailey lindamente cinematografia colorido e do grande projeto de produção e figurinos de Eiko Ishioka, que passou a fazer os figurinos memoráveis ​​para Drácula de Coppola, pelo qual recebeu um Oscar merecido.")</f>
        <v>Também notável é bem nítido de John Bailey lindamente cinematografia colorido e do grande projeto de produção e figurinos de Eiko Ishioka, que passou a fazer os figurinos memoráveis ​​para Drácula de Coppola, pelo qual recebeu um Oscar merecido.</v>
      </c>
      <c r="B1644" s="3">
        <v>1</v>
      </c>
    </row>
    <row r="1645" ht="15.75" customHeight="1" spans="1:2">
      <c r="A1645" s="3" t="str">
        <f>IFERROR(__xludf.DUMMYFUNCTION("GOOGLETRANSLATE(A1645,""en"",""pt"")"),"Mesmo tendo em conta os valores de produção pobres para a época (1971) e o formato (uma espécie de mini-série), este é baaaaaad.")</f>
        <v>Mesmo tendo em conta os valores de produção pobres para a época (1971) e o formato (uma espécie de mini-série), este é baaaaaad.</v>
      </c>
      <c r="B1645" s="3">
        <v>0</v>
      </c>
    </row>
    <row r="1646" ht="15.75" customHeight="1" spans="1:2">
      <c r="A1646" s="3" t="str">
        <f>IFERROR(__xludf.DUMMYFUNCTION("GOOGLETRANSLATE(A1646,""en"",""pt"")"),"A menos que você está apenas fora visualmente ""Collect"" todos os filmes existentes de obra de Austen, você pode ignorar esta.")</f>
        <v>A menos que você está apenas fora visualmente "Collect" todos os filmes existentes de obra de Austen, você pode ignorar esta.</v>
      </c>
      <c r="B1646" s="3">
        <v>0</v>
      </c>
    </row>
    <row r="1647" ht="15.75" customHeight="1" spans="1:2">
      <c r="A1647" s="3" t="str">
        <f>IFERROR(__xludf.DUMMYFUNCTION("GOOGLETRANSLATE(A1647,""en"",""pt"")"),"Se você fizer vê-lo, no entanto, existem pequenas consolações: as atrizes jogar irmãs de Anne cada um fazer um trabalho maravilhoso com seus papéis.")</f>
        <v>Se você fizer vê-lo, no entanto, existem pequenas consolações: as atrizes jogar irmãs de Anne cada um fazer um trabalho maravilhoso com seus papéis.</v>
      </c>
      <c r="B1647" s="3">
        <v>1</v>
      </c>
    </row>
    <row r="1648" ht="15.75" customHeight="1" spans="1:2">
      <c r="A1648" s="3" t="str">
        <f>IFERROR(__xludf.DUMMYFUNCTION("GOOGLETRANSLATE(A1648,""en"",""pt"")"),"Isso não é bom.")</f>
        <v>Isso não é bom.</v>
      </c>
      <c r="B1648" s="3">
        <v>0</v>
      </c>
    </row>
    <row r="1649" ht="15.75" customHeight="1" spans="1:2">
      <c r="A1649" s="3" t="str">
        <f>IFERROR(__xludf.DUMMYFUNCTION("GOOGLETRANSLATE(A1649,""en"",""pt"")"),"Falando da música, é insuportavelmente previsível e kitchy.")</f>
        <v>Falando da música, é insuportavelmente previsível e kitchy.</v>
      </c>
      <c r="B1649" s="3">
        <v>0</v>
      </c>
    </row>
    <row r="1650" ht="15.75" customHeight="1" spans="1:2">
      <c r="A1650" s="3" t="str">
        <f>IFERROR(__xludf.DUMMYFUNCTION("GOOGLETRANSLATE(A1650,""en"",""pt"")"),"Em seguida, o filme só deixou a bola cair.")</f>
        <v>Em seguida, o filme só deixou a bola cair.</v>
      </c>
      <c r="B1650" s="3">
        <v>0</v>
      </c>
    </row>
    <row r="1651" ht="15.75" customHeight="1" spans="1:2">
      <c r="A1651" s="3" t="str">
        <f>IFERROR(__xludf.DUMMYFUNCTION("GOOGLETRANSLATE(A1651,""en"",""pt"")"),"Este é um filme deslumbrante.")</f>
        <v>Este é um filme deslumbrante.</v>
      </c>
      <c r="B1651" s="3">
        <v>1</v>
      </c>
    </row>
    <row r="1652" ht="15.75" customHeight="1" spans="1:2">
      <c r="A1652" s="3" t="str">
        <f>IFERROR(__xludf.DUMMYFUNCTION("GOOGLETRANSLATE(A1652,""en"",""pt"")"),"Raw e movimento sublime.")</f>
        <v>Raw e movimento sublime.</v>
      </c>
      <c r="B1652" s="3">
        <v>1</v>
      </c>
    </row>
    <row r="1653" ht="15.75" customHeight="1" spans="1:2">
      <c r="A1653" s="3" t="str">
        <f>IFERROR(__xludf.DUMMYFUNCTION("GOOGLETRANSLATE(A1653,""en"",""pt"")"),"Parecia que, uma peça de teatro inteligente muito emocionante (mas sem o sentimento excessivamente teatral um realmente fica de assistir as pessoas em um palco) que desempenha em todos terror de uma mentira branca escalada a consequências monstruosas.")</f>
        <v>Parecia que, uma peça de teatro inteligente muito emocionante (mas sem o sentimento excessivamente teatral um realmente fica de assistir as pessoas em um palco) que desempenha em todos terror de uma mentira branca escalada a consequências monstruosas.</v>
      </c>
      <c r="B1653" s="3">
        <v>1</v>
      </c>
    </row>
    <row r="1654" ht="15.75" customHeight="1" spans="1:2">
      <c r="A1654" s="3" t="str">
        <f>IFERROR(__xludf.DUMMYFUNCTION("GOOGLETRANSLATE(A1654,""en"",""pt"")"),"Todos os principais jogadores são fascinantes.")</f>
        <v>Todos os principais jogadores são fascinantes.</v>
      </c>
      <c r="B1654" s="3">
        <v>1</v>
      </c>
    </row>
    <row r="1655" ht="15.75" customHeight="1" spans="1:2">
      <c r="A1655" s="3" t="str">
        <f>IFERROR(__xludf.DUMMYFUNCTION("GOOGLETRANSLATE(A1655,""en"",""pt"")"),"Tom Wilkinson quebrou meu coração no final ... e todos os outros a julgar pela quantidade de desastrado para lenços e mãos indo até rostos entre homens e mulheres igualmente.")</f>
        <v>Tom Wilkinson quebrou meu coração no final ... e todos os outros a julgar pela quantidade de desastrado para lenços e mãos indo até rostos entre homens e mulheres igualmente.</v>
      </c>
      <c r="B1655" s="3">
        <v>1</v>
      </c>
    </row>
    <row r="1656" ht="15.75" customHeight="1" spans="1:2">
      <c r="A1656" s="3" t="str">
        <f>IFERROR(__xludf.DUMMYFUNCTION("GOOGLETRANSLATE(A1656,""en"",""pt"")"),"Julian Fellowes triunfou novamente.")</f>
        <v>Julian Fellowes triunfou novamente.</v>
      </c>
      <c r="B1656" s="3">
        <v>1</v>
      </c>
    </row>
    <row r="1657" ht="15.75" customHeight="1" spans="1:2">
      <c r="A1657" s="3" t="str">
        <f>IFERROR(__xludf.DUMMYFUNCTION("GOOGLETRANSLATE(A1657,""en"",""pt"")"),"Ele é um tesouro nacional.")</f>
        <v>Ele é um tesouro nacional.</v>
      </c>
      <c r="B1657" s="3">
        <v>1</v>
      </c>
    </row>
    <row r="1658" ht="15.75" customHeight="1" spans="1:2">
      <c r="A1658" s="3" t="str">
        <f>IFERROR(__xludf.DUMMYFUNCTION("GOOGLETRANSLATE(A1658,""en"",""pt"")"),"VÁ E VEJA!")</f>
        <v>VÁ E VEJA!</v>
      </c>
      <c r="B1658" s="3">
        <v>1</v>
      </c>
    </row>
    <row r="1659" ht="15.75" customHeight="1" spans="1:2">
      <c r="A1659" s="3" t="str">
        <f>IFERROR(__xludf.DUMMYFUNCTION("GOOGLETRANSLATE(A1659,""en"",""pt"")"),"Este é um excelente filme.")</f>
        <v>Este é um excelente filme.</v>
      </c>
      <c r="B1659" s="3">
        <v>1</v>
      </c>
    </row>
    <row r="1660" ht="15.75" customHeight="1" spans="1:2">
      <c r="A1660" s="3" t="str">
        <f>IFERROR(__xludf.DUMMYFUNCTION("GOOGLETRANSLATE(A1660,""en"",""pt"")"),"As cenas aéreas foram bem-feito.")</f>
        <v>As cenas aéreas foram bem-feito.</v>
      </c>
      <c r="B1660" s="3">
        <v>1</v>
      </c>
    </row>
    <row r="1661" ht="15.75" customHeight="1" spans="1:2">
      <c r="A1661" s="3" t="str">
        <f>IFERROR(__xludf.DUMMYFUNCTION("GOOGLETRANSLATE(A1661,""en"",""pt"")"),"Foi também o equilíbrio certo de guerra e amor.")</f>
        <v>Foi também o equilíbrio certo de guerra e amor.</v>
      </c>
      <c r="B1661" s="3">
        <v>1</v>
      </c>
    </row>
    <row r="1662" ht="15.75" customHeight="1" spans="1:2">
      <c r="A1662" s="3" t="str">
        <f>IFERROR(__xludf.DUMMYFUNCTION("GOOGLETRANSLATE(A1662,""en"",""pt"")"),"O filme dá sentido à frase: ""Nunca na história do conflito humano tem sido muito devido por tantos para tão poucos.")</f>
        <v>O filme dá sentido à frase: "Nunca na história do conflito humano tem sido muito devido por tantos para tão poucos.</v>
      </c>
      <c r="B1662" s="3">
        <v>1</v>
      </c>
    </row>
    <row r="1663" ht="15.75" customHeight="1" spans="1:2">
      <c r="A1663" s="3" t="str">
        <f>IFERROR(__xludf.DUMMYFUNCTION("GOOGLETRANSLATE(A1663,""en"",""pt"")"),"Kris Kristofferson é bom neste filme e realmente faz a diferença.")</f>
        <v>Kris Kristofferson é bom neste filme e realmente faz a diferença.</v>
      </c>
      <c r="B1663" s="3">
        <v>1</v>
      </c>
    </row>
    <row r="1664" ht="15.75" customHeight="1" spans="1:2">
      <c r="A1664" s="3" t="str">
        <f>IFERROR(__xludf.DUMMYFUNCTION("GOOGLETRANSLATE(A1664,""en"",""pt"")"),"Um bom filme por um grande diretor!")</f>
        <v>Um bom filme por um grande diretor!</v>
      </c>
      <c r="B1664" s="3">
        <v>1</v>
      </c>
    </row>
    <row r="1665" ht="15.75" customHeight="1" spans="1:2">
      <c r="A1665" s="3" t="str">
        <f>IFERROR(__xludf.DUMMYFUNCTION("GOOGLETRANSLATE(A1665,""en"",""pt"")"),"Este é definitivamente um dos melhores documentários que eu vi olhando para as relações familiares e casamento.")</f>
        <v>Este é definitivamente um dos melhores documentários que eu vi olhando para as relações familiares e casamento.</v>
      </c>
      <c r="B1665" s="3">
        <v>1</v>
      </c>
    </row>
    <row r="1666" ht="15.75" customHeight="1" spans="1:2">
      <c r="A1666" s="3" t="str">
        <f>IFERROR(__xludf.DUMMYFUNCTION("GOOGLETRANSLATE(A1666,""en"",""pt"")"),"Há muitos erros de continuidade: um outro usuário comentou sobre carros diferentes na garagem, copos de Joe ... o que tem que me o mais foi o fato de configuração pêlos faciais Joe pareceu mudar de cena para cena.")</f>
        <v>Há muitos erros de continuidade: um outro usuário comentou sobre carros diferentes na garagem, copos de Joe ... o que tem que me o mais foi o fato de configuração pêlos faciais Joe pareceu mudar de cena para cena.</v>
      </c>
      <c r="B1666" s="3">
        <v>0</v>
      </c>
    </row>
    <row r="1667" ht="15.75" customHeight="1" spans="1:2">
      <c r="A1667" s="3" t="str">
        <f>IFERROR(__xludf.DUMMYFUNCTION("GOOGLETRANSLATE(A1667,""en"",""pt"")"),"Este é apenas um grande filme.")</f>
        <v>Este é apenas um grande filme.</v>
      </c>
      <c r="B1667" s="3">
        <v>1</v>
      </c>
    </row>
    <row r="1668" ht="15.75" customHeight="1" spans="1:2">
      <c r="A1668" s="3" t="str">
        <f>IFERROR(__xludf.DUMMYFUNCTION("GOOGLETRANSLATE(A1668,""en"",""pt"")"),"Eu não posso ver como este filme pode ser uma inspiração para qualquer pessoa a sair ou superar o medo e rejeição.")</f>
        <v>Eu não posso ver como este filme pode ser uma inspiração para qualquer pessoa a sair ou superar o medo e rejeição.</v>
      </c>
      <c r="B1668" s="3">
        <v>0</v>
      </c>
    </row>
    <row r="1669" ht="15.75" customHeight="1" spans="1:2">
      <c r="A1669" s="3" t="str">
        <f>IFERROR(__xludf.DUMMYFUNCTION("GOOGLETRANSLATE(A1669,""en"",""pt"")"),"É tão ruim que é realmente vale a pena ver apenas por esse motivo.")</f>
        <v>É tão ruim que é realmente vale a pena ver apenas por esse motivo.</v>
      </c>
      <c r="B1669" s="3">
        <v>0</v>
      </c>
    </row>
    <row r="1670" ht="15.75" customHeight="1" spans="1:2">
      <c r="A1670" s="3" t="str">
        <f>IFERROR(__xludf.DUMMYFUNCTION("GOOGLETRANSLATE(A1670,""en"",""pt"")"),"Punishment Park é uma brilhante peça de cinema.")</f>
        <v>Punishment Park é uma brilhante peça de cinema.</v>
      </c>
      <c r="B1670" s="3">
        <v>1</v>
      </c>
    </row>
    <row r="1671" ht="15.75" customHeight="1" spans="1:2">
      <c r="A1671" s="3" t="str">
        <f>IFERROR(__xludf.DUMMYFUNCTION("GOOGLETRANSLATE(A1671,""en"",""pt"")"),"Tiro no deserto do sul da Califórnia usando seu estilo de falso documentário patente, Watkins cria um filme como nenhum outro.")</f>
        <v>Tiro no deserto do sul da Califórnia usando seu estilo de falso documentário patente, Watkins cria um filme como nenhum outro.</v>
      </c>
      <c r="B1671" s="3">
        <v>1</v>
      </c>
    </row>
    <row r="1672" ht="15.75" customHeight="1" spans="1:2">
      <c r="A1672" s="3" t="str">
        <f>IFERROR(__xludf.DUMMYFUNCTION("GOOGLETRANSLATE(A1672,""en"",""pt"")"),"Este é um dos Peter Watkins filmes mais acessíveis.")</f>
        <v>Este é um dos Peter Watkins filmes mais acessíveis.</v>
      </c>
      <c r="B1672" s="3">
        <v>1</v>
      </c>
    </row>
    <row r="1673" ht="15.75" customHeight="1" spans="1:2">
      <c r="A1673" s="3" t="str">
        <f>IFERROR(__xludf.DUMMYFUNCTION("GOOGLETRANSLATE(A1673,""en"",""pt"")"),"Eu aconselho você a olhar para ele.")</f>
        <v>Eu aconselho você a olhar para ele.</v>
      </c>
      <c r="B1673" s="3">
        <v>1</v>
      </c>
    </row>
    <row r="1674" ht="15.75" customHeight="1" spans="1:2">
      <c r="A1674" s="3" t="str">
        <f>IFERROR(__xludf.DUMMYFUNCTION("GOOGLETRANSLATE(A1674,""en"",""pt"")"),"Você não vai se arrepender!")</f>
        <v>Você não vai se arrepender!</v>
      </c>
      <c r="B1674" s="3">
        <v>1</v>
      </c>
    </row>
    <row r="1675" ht="15.75" customHeight="1" spans="1:2">
      <c r="A1675" s="3" t="str">
        <f>IFERROR(__xludf.DUMMYFUNCTION("GOOGLETRANSLATE(A1675,""en"",""pt"")"),"Altamente recomendado A +")</f>
        <v>Altamente recomendado A +</v>
      </c>
      <c r="B1675" s="3">
        <v>1</v>
      </c>
    </row>
    <row r="1676" ht="15.75" customHeight="1" spans="1:2">
      <c r="A1676" s="3" t="str">
        <f>IFERROR(__xludf.DUMMYFUNCTION("GOOGLETRANSLATE(A1676,""en"",""pt"")"),"Bem ... Só se você continuar pensando como é ruim.")</f>
        <v>Bem ... Só se você continuar pensando como é ruim.</v>
      </c>
      <c r="B1676" s="3">
        <v>0</v>
      </c>
    </row>
    <row r="1677" ht="15.75" customHeight="1" spans="1:2">
      <c r="A1677" s="3" t="str">
        <f>IFERROR(__xludf.DUMMYFUNCTION("GOOGLETRANSLATE(A1677,""en"",""pt"")"),"É uma peça medíocre, miserável, oca, risível e previsível de lixo.")</f>
        <v>É uma peça medíocre, miserável, oca, risível e previsível de lixo.</v>
      </c>
      <c r="B1677" s="3">
        <v>0</v>
      </c>
    </row>
    <row r="1678" ht="15.75" customHeight="1" spans="1:2">
      <c r="A1678" s="3" t="str">
        <f>IFERROR(__xludf.DUMMYFUNCTION("GOOGLETRANSLATE(A1678,""en"",""pt"")"),"É um caso de 'tão ruim que é risível'.")</f>
        <v>É um caso de 'tão ruim que é risível'.</v>
      </c>
      <c r="B1678" s="3">
        <v>0</v>
      </c>
    </row>
    <row r="1679" ht="15.75" customHeight="1" spans="1:2">
      <c r="A1679" s="3" t="str">
        <f>IFERROR(__xludf.DUMMYFUNCTION("GOOGLETRANSLATE(A1679,""en"",""pt"")"),"É um filme sobre nada, apenas um pretexto para mostrar cenas de ação ridículas.")</f>
        <v>É um filme sobre nada, apenas um pretexto para mostrar cenas de ação ridículas.</v>
      </c>
      <c r="B1679" s="3">
        <v>0</v>
      </c>
    </row>
    <row r="1680" ht="15.75" customHeight="1" spans="1:2">
      <c r="A1680" s="3" t="str">
        <f>IFERROR(__xludf.DUMMYFUNCTION("GOOGLETRANSLATE(A1680,""en"",""pt"")"),"Quão terrível que ela é!")</f>
        <v>Quão terrível que ela é!</v>
      </c>
      <c r="B1680" s="3">
        <v>0</v>
      </c>
    </row>
    <row r="1681" ht="15.75" customHeight="1" spans="1:2">
      <c r="A1681" s="3" t="str">
        <f>IFERROR(__xludf.DUMMYFUNCTION("GOOGLETRANSLATE(A1681,""en"",""pt"")"),"Mas ela ainda é uma má atriz, repetindo seus movimentos faciais robóticos em cada uma de suas fotos.")</f>
        <v>Mas ela ainda é uma má atriz, repetindo seus movimentos faciais robóticos em cada uma de suas fotos.</v>
      </c>
      <c r="B1681" s="3">
        <v>0</v>
      </c>
    </row>
    <row r="1682" ht="15.75" customHeight="1" spans="1:2">
      <c r="A1682" s="3" t="str">
        <f>IFERROR(__xludf.DUMMYFUNCTION("GOOGLETRANSLATE(A1682,""en"",""pt"")"),"Os resultados, bem, são uma vergonha.")</f>
        <v>Os resultados, bem, são uma vergonha.</v>
      </c>
      <c r="B1682" s="3">
        <v>0</v>
      </c>
    </row>
    <row r="1683" ht="15.75" customHeight="1" spans="1:2">
      <c r="A1683" s="3" t="str">
        <f>IFERROR(__xludf.DUMMYFUNCTION("GOOGLETRANSLATE(A1683,""en"",""pt"")"),"APAGAR esse filme de sua mente!")</f>
        <v>APAGAR esse filme de sua mente!</v>
      </c>
      <c r="B1683" s="3">
        <v>0</v>
      </c>
    </row>
    <row r="1684" ht="15.75" customHeight="1" spans="1:2">
      <c r="A1684" s="3" t="str">
        <f>IFERROR(__xludf.DUMMYFUNCTION("GOOGLETRANSLATE(A1684,""en"",""pt"")"),"Uma das piores apresentações de todos os tempos.")</f>
        <v>Uma das piores apresentações de todos os tempos.</v>
      </c>
      <c r="B1684" s="3">
        <v>0</v>
      </c>
    </row>
    <row r="1685" ht="15.75" customHeight="1" spans="1:2">
      <c r="A1685" s="3" t="str">
        <f>IFERROR(__xludf.DUMMYFUNCTION("GOOGLETRANSLATE(A1685,""en"",""pt"")"),"O show começaria com espertinho ed comentários uns aos outros que seria totalmente fora da parede e desnecessário.")</f>
        <v>O show começaria com espertinho ed comentários uns aos outros que seria totalmente fora da parede e desnecessário.</v>
      </c>
      <c r="B1685" s="3">
        <v>0</v>
      </c>
    </row>
    <row r="1686" ht="15.75" customHeight="1" spans="1:2">
      <c r="A1686" s="3" t="str">
        <f>IFERROR(__xludf.DUMMYFUNCTION("GOOGLETRANSLATE(A1686,""en"",""pt"")"),"O computador geek gordura era inacreditável, o batedor da bíblia, a menina do mau-burro, quem são esses atores ???")</f>
        <v>O computador geek gordura era inacreditável, o batedor da bíblia, a menina do mau-burro, quem são esses atores ???</v>
      </c>
      <c r="B1686" s="3">
        <v>0</v>
      </c>
    </row>
    <row r="1687" ht="15.75" customHeight="1" spans="1:2">
      <c r="A1687" s="3" t="str">
        <f>IFERROR(__xludf.DUMMYFUNCTION("GOOGLETRANSLATE(A1687,""en"",""pt"")"),"Nunca ouvi falar de nenhum deles, exceto Cole, que foi totalmente inacreditável na peça.")</f>
        <v>Nunca ouvi falar de nenhum deles, exceto Cole, que foi totalmente inacreditável na peça.</v>
      </c>
      <c r="B1687" s="3">
        <v>0</v>
      </c>
    </row>
    <row r="1688" ht="15.75" customHeight="1" spans="1:2">
      <c r="A1688" s="3" t="str">
        <f>IFERROR(__xludf.DUMMYFUNCTION("GOOGLETRANSLATE(A1688,""en"",""pt"")"),"Toda vez que ele abriu a boca você espera ouvir, ""você vê crianças ..."" puxar o plugue foi uma matança misericórdia para este espectáculo horrível.")</f>
        <v>Toda vez que ele abriu a boca você espera ouvir, "você vê crianças ..." puxar o plugue foi uma matança misericórdia para este espectáculo horrível.</v>
      </c>
      <c r="B1688" s="3">
        <v>0</v>
      </c>
    </row>
    <row r="1689" ht="15.75" customHeight="1" spans="1:2">
      <c r="A1689" s="3" t="str">
        <f>IFERROR(__xludf.DUMMYFUNCTION("GOOGLETRANSLATE(A1689,""en"",""pt"")"),"As histórias eram tão inacreditável quanto os atores.")</f>
        <v>As histórias eram tão inacreditável quanto os atores.</v>
      </c>
      <c r="B1689" s="3">
        <v>0</v>
      </c>
    </row>
    <row r="1690" ht="15.75" customHeight="1" spans="1:2">
      <c r="A1690" s="3" t="str">
        <f>IFERROR(__xludf.DUMMYFUNCTION("GOOGLETRANSLATE(A1690,""en"",""pt"")"),"Lame seria a melhor maneira de descrevê-lo.")</f>
        <v>Lame seria a melhor maneira de descrevê-lo.</v>
      </c>
      <c r="B1690" s="3">
        <v>0</v>
      </c>
    </row>
    <row r="1691" ht="15.75" customHeight="1" spans="1:2">
      <c r="A1691" s="3" t="str">
        <f>IFERROR(__xludf.DUMMYFUNCTION("GOOGLETRANSLATE(A1691,""en"",""pt"")"),"Stanwyck e Morgan são perfeitamente escalado para o que é, em muitos aspectos, um equivalente moderno de Dickens' A Christmas Carol em sua sensibilidade.")</f>
        <v>Stanwyck e Morgan são perfeitamente escalado para o que é, em muitos aspectos, um equivalente moderno de Dickens' A Christmas Carol em sua sensibilidade.</v>
      </c>
      <c r="B1691" s="3">
        <v>1</v>
      </c>
    </row>
    <row r="1692" ht="15.75" customHeight="1" spans="1:2">
      <c r="A1692" s="3" t="str">
        <f>IFERROR(__xludf.DUMMYFUNCTION("GOOGLETRANSLATE(A1692,""en"",""pt"")"),"O sucesso do filme depende da fundição de Sydney Greenstreet como o personagem Alexander Yardley.")</f>
        <v>O sucesso do filme depende da fundição de Sydney Greenstreet como o personagem Alexander Yardley.</v>
      </c>
      <c r="B1692" s="3">
        <v>1</v>
      </c>
    </row>
    <row r="1693" ht="15.75" customHeight="1" spans="1:2">
      <c r="A1693" s="3" t="str">
        <f>IFERROR(__xludf.DUMMYFUNCTION("GOOGLETRANSLATE(A1693,""en"",""pt"")"),"O conjunto atraente usado durante a maior parte do filme é uma jóia olho-agradável.")</f>
        <v>O conjunto atraente usado durante a maior parte do filme é uma jóia olho-agradável.</v>
      </c>
      <c r="B1693" s="3">
        <v>1</v>
      </c>
    </row>
    <row r="1694" ht="15.75" customHeight="1" spans="1:2">
      <c r="A1694" s="3" t="str">
        <f>IFERROR(__xludf.DUMMYFUNCTION("GOOGLETRANSLATE(A1694,""en"",""pt"")"),"Im grande fã de jogos de RPG também, mas este filme, é uma desgraça para qualquer RPGer preze existe.")</f>
        <v>Im grande fã de jogos de RPG também, mas este filme, é uma desgraça para qualquer RPGer preze existe.</v>
      </c>
      <c r="B1694" s="3">
        <v>0</v>
      </c>
    </row>
    <row r="1695" ht="15.75" customHeight="1" spans="1:2">
      <c r="A1695" s="3" t="str">
        <f>IFERROR(__xludf.DUMMYFUNCTION("GOOGLETRANSLATE(A1695,""en"",""pt"")"),"As linhas, os cortes, o áudio, tudo está errado.")</f>
        <v>As linhas, os cortes, o áudio, tudo está errado.</v>
      </c>
      <c r="B1695" s="3">
        <v>0</v>
      </c>
    </row>
    <row r="1696" ht="15.75" customHeight="1" spans="1:2">
      <c r="A1696" s="3" t="str">
        <f>IFERROR(__xludf.DUMMYFUNCTION("GOOGLETRANSLATE(A1696,""en"",""pt"")"),"Você pode encontrar melhores filmes em youtube.")</f>
        <v>Você pode encontrar melhores filmes em youtube.</v>
      </c>
      <c r="B1696" s="3">
        <v>0</v>
      </c>
    </row>
    <row r="1697" ht="15.75" customHeight="1" spans="1:2">
      <c r="A1697" s="3" t="str">
        <f>IFERROR(__xludf.DUMMYFUNCTION("GOOGLETRANSLATE(A1697,""en"",""pt"")"),"Linha superior: Não desperdice o seu tempo e dinheiro em um presente, a sua tão ruim quanto se trata.")</f>
        <v>Linha superior: Não desperdice o seu tempo e dinheiro em um presente, a sua tão ruim quanto se trata.</v>
      </c>
      <c r="B1697" s="3">
        <v>0</v>
      </c>
    </row>
    <row r="1698" ht="15.75" customHeight="1" spans="1:2">
      <c r="A1698" s="3" t="str">
        <f>IFERROR(__xludf.DUMMYFUNCTION("GOOGLETRANSLATE(A1698,""en"",""pt"")"),"filme A Lassie que deveria ter sido ""posto para dormir"" .... SEMPRE.")</f>
        <v>filme A Lassie que deveria ter sido "posto para dormir" .... SEMPRE.</v>
      </c>
      <c r="B1698" s="3">
        <v>0</v>
      </c>
    </row>
    <row r="1699" ht="15.75" customHeight="1" spans="1:2">
      <c r="A1699" s="3" t="str">
        <f>IFERROR(__xludf.DUMMYFUNCTION("GOOGLETRANSLATE(A1699,""en"",""pt"")"),"É assim que eu descreveria essa perda de tempo dolorosamente triste de um filme.")</f>
        <v>É assim que eu descreveria essa perda de tempo dolorosamente triste de um filme.</v>
      </c>
      <c r="B1699" s="3">
        <v>0</v>
      </c>
    </row>
    <row r="1700" ht="15.75" customHeight="1" spans="1:2">
      <c r="A1700" s="3" t="str">
        <f>IFERROR(__xludf.DUMMYFUNCTION("GOOGLETRANSLATE(A1700,""en"",""pt"")"),"Tão medíocre em todos os aspectos que ele só se torna um maçante bagunça, desinteressante, este é um dos filmes mais esquecíveis que eu vi.")</f>
        <v>Tão medíocre em todos os aspectos que ele só se torna um maçante bagunça, desinteressante, este é um dos filmes mais esquecíveis que eu vi.</v>
      </c>
      <c r="B1700" s="3">
        <v>0</v>
      </c>
    </row>
    <row r="1701" ht="15.75" customHeight="1" spans="1:2">
      <c r="A1701" s="3" t="str">
        <f>IFERROR(__xludf.DUMMYFUNCTION("GOOGLETRANSLATE(A1701,""en"",""pt"")"),"Nem sequer é uma conquista como um ""assim-mau-é-bom"" ou o filme ""-é-memoráveis ​​tão ruim"".")</f>
        <v>Nem sequer é uma conquista como um "assim-mau-é-bom" ou o filme "-é-memoráveis ​​tão ruim".</v>
      </c>
      <c r="B1701" s="3">
        <v>0</v>
      </c>
    </row>
    <row r="1702" ht="15.75" customHeight="1" spans="1:2">
      <c r="A1702" s="3" t="str">
        <f>IFERROR(__xludf.DUMMYFUNCTION("GOOGLETRANSLATE(A1702,""en"",""pt"")"),"É uma casca vazia, oca de um filme.")</f>
        <v>É uma casca vazia, oca de um filme.</v>
      </c>
      <c r="B1702" s="3">
        <v>0</v>
      </c>
    </row>
    <row r="1703" ht="15.75" customHeight="1" spans="1:2">
      <c r="A1703" s="3" t="str">
        <f>IFERROR(__xludf.DUMMYFUNCTION("GOOGLETRANSLATE(A1703,""en"",""pt"")"),"Sério, não vale a pena desperdiçar o seu, ou o tempo do seu filho diante.")</f>
        <v>Sério, não vale a pena desperdiçar o seu, ou o tempo do seu filho diante.</v>
      </c>
      <c r="B1703" s="3">
        <v>0</v>
      </c>
    </row>
    <row r="1704" ht="15.75" customHeight="1" spans="1:2">
      <c r="A1704" s="3" t="str">
        <f>IFERROR(__xludf.DUMMYFUNCTION("GOOGLETRANSLATE(A1704,""en"",""pt"")"),"Evite, evite, evite!")</f>
        <v>Evite, evite, evite!</v>
      </c>
      <c r="B1704" s="3">
        <v>0</v>
      </c>
    </row>
    <row r="1705" ht="15.75" customHeight="1" spans="1:2">
      <c r="A1705" s="3" t="str">
        <f>IFERROR(__xludf.DUMMYFUNCTION("GOOGLETRANSLATE(A1705,""en"",""pt"")"),"Ele irá conduzir você latindo louco!")</f>
        <v>Ele irá conduzir você latindo louco!</v>
      </c>
      <c r="B1705" s="3">
        <v>0</v>
      </c>
    </row>
    <row r="1706" ht="15.75" customHeight="1" spans="1:2">
      <c r="A1706" s="3" t="str">
        <f>IFERROR(__xludf.DUMMYFUNCTION("GOOGLETRANSLATE(A1706,""en"",""pt"")"),"As transferências são muito bons.")</f>
        <v>As transferências são muito bons.</v>
      </c>
      <c r="B1706" s="3">
        <v>1</v>
      </c>
    </row>
    <row r="1707" ht="15.75" customHeight="1" spans="1:2">
      <c r="A1707" s="3" t="str">
        <f>IFERROR(__xludf.DUMMYFUNCTION("GOOGLETRANSLATE(A1707,""en"",""pt"")"),"Muito agradável e relaxante visualização tarde da noite.")</f>
        <v>Muito agradável e relaxante visualização tarde da noite.</v>
      </c>
      <c r="B1707" s="3">
        <v>1</v>
      </c>
    </row>
    <row r="1708" ht="15.75" customHeight="1" spans="1:2">
      <c r="A1708" s="3" t="str">
        <f>IFERROR(__xludf.DUMMYFUNCTION("GOOGLETRANSLATE(A1708,""en"",""pt"")"),"O filme é cheio de dança maravilhosa (daí o título!")</f>
        <v>O filme é cheio de dança maravilhosa (daí o título!</v>
      </c>
      <c r="B1708" s="3">
        <v>1</v>
      </c>
    </row>
    <row r="1709" ht="15.75" customHeight="1" spans="1:2">
      <c r="A1709" s="3" t="str">
        <f>IFERROR(__xludf.DUMMYFUNCTION("GOOGLETRANSLATE(A1709,""en"",""pt"")"),"Ele lida com alguns problemas difíceis com dignidade e graça, e, claro, tem (chocando saqueador aqui!")</f>
        <v>Ele lida com alguns problemas difíceis com dignidade e graça, e, claro, tem (chocando saqueador aqui!</v>
      </c>
      <c r="B1709" s="3">
        <v>1</v>
      </c>
    </row>
    <row r="1710" ht="15.75" customHeight="1" spans="1:2">
      <c r="A1710" s="3" t="str">
        <f>IFERROR(__xludf.DUMMYFUNCTION("GOOGLETRANSLATE(A1710,""en"",""pt"")"),"O ponto é a viagem, uma viagem que toca cada membro da família.")</f>
        <v>O ponto é a viagem, uma viagem que toca cada membro da família.</v>
      </c>
      <c r="B1710" s="3">
        <v>1</v>
      </c>
    </row>
    <row r="1711" ht="15.75" customHeight="1" spans="1:2">
      <c r="A1711" s="3" t="str">
        <f>IFERROR(__xludf.DUMMYFUNCTION("GOOGLETRANSLATE(A1711,""en"",""pt"")"),"É um dos filmes que eu preciso ver sempre que ele vem na TV ... não importa o fato de que eu já memorizado!")</f>
        <v>É um dos filmes que eu preciso ver sempre que ele vem na TV ... não importa o fato de que eu já memorizado!</v>
      </c>
      <c r="B1711" s="3">
        <v>1</v>
      </c>
    </row>
    <row r="1712" ht="15.75" customHeight="1" spans="1:2">
      <c r="A1712" s="3" t="str">
        <f>IFERROR(__xludf.DUMMYFUNCTION("GOOGLETRANSLATE(A1712,""en"",""pt"")"),"Nada de novo lá.")</f>
        <v>Nada de novo lá.</v>
      </c>
      <c r="B1712" s="3">
        <v>0</v>
      </c>
    </row>
    <row r="1713" ht="15.75" customHeight="1" spans="1:2">
      <c r="A1713" s="3" t="str">
        <f>IFERROR(__xludf.DUMMYFUNCTION("GOOGLETRANSLATE(A1713,""en"",""pt"")"),"Isso foi feito no segundo filme.")</f>
        <v>Isso foi feito no segundo filme.</v>
      </c>
      <c r="B1713" s="3">
        <v>0</v>
      </c>
    </row>
    <row r="1714" ht="15.75" customHeight="1" spans="1:2">
      <c r="A1714" s="3" t="str">
        <f>IFERROR(__xludf.DUMMYFUNCTION("GOOGLETRANSLATE(A1714,""en"",""pt"")"),"O filme quase não tem cenas de ação em que e muito pouco de comédia.")</f>
        <v>O filme quase não tem cenas de ação em que e muito pouco de comédia.</v>
      </c>
      <c r="B1714" s="3">
        <v>0</v>
      </c>
    </row>
    <row r="1715" ht="15.75" customHeight="1" spans="1:2">
      <c r="A1715" s="3" t="str">
        <f>IFERROR(__xludf.DUMMYFUNCTION("GOOGLETRANSLATE(A1715,""en"",""pt"")"),"A trama tem mais furos do que um par de meias arrastão e a direcção e a edição é surpreendentemente presunto que punhos.")</f>
        <v>A trama tem mais furos do que um par de meias arrastão e a direcção e a edição é surpreendentemente presunto que punhos.</v>
      </c>
      <c r="B1715" s="3">
        <v>0</v>
      </c>
    </row>
    <row r="1716" ht="15.75" customHeight="1" spans="1:2">
      <c r="A1716" s="3" t="str">
        <f>IFERROR(__xludf.DUMMYFUNCTION("GOOGLETRANSLATE(A1716,""en"",""pt"")"),"O que na terra é Irons fazendo neste filme?")</f>
        <v>O que na terra é Irons fazendo neste filme?</v>
      </c>
      <c r="B1716" s="3">
        <v>0</v>
      </c>
    </row>
    <row r="1717" ht="15.75" customHeight="1" spans="1:2">
      <c r="A1717" s="3" t="s">
        <v>5</v>
      </c>
      <c r="B1717" s="3">
        <v>1</v>
      </c>
    </row>
    <row r="1718" ht="15.75" customHeight="1" spans="1:2">
      <c r="A1718" s="3" t="str">
        <f>IFERROR(__xludf.DUMMYFUNCTION("GOOGLETRANSLATE(A1718,""en"",""pt"")"),"Tem um muito bom enredo, ele mantém sua atenção completa, a qualidade é excelente, Tom Wilkinson foi fantástico e Emily Watson também foi muito bom.")</f>
        <v>Tem um muito bom enredo, ele mantém sua atenção completa, a qualidade é excelente, Tom Wilkinson foi fantástico e Emily Watson também foi muito bom.</v>
      </c>
      <c r="B1718" s="3">
        <v>1</v>
      </c>
    </row>
    <row r="1719" ht="15.75" customHeight="1" spans="1:2">
      <c r="A1719" s="3" t="str">
        <f>IFERROR(__xludf.DUMMYFUNCTION("GOOGLETRANSLATE(A1719,""en"",""pt"")"),"Um filme muito bom, na verdade, sobre a grande e incondicional amor.")</f>
        <v>Um filme muito bom, na verdade, sobre a grande e incondicional amor.</v>
      </c>
      <c r="B1719" s="3">
        <v>1</v>
      </c>
    </row>
    <row r="1720" ht="15.75" customHeight="1" spans="1:2">
      <c r="A1720" s="3" t="str">
        <f>IFERROR(__xludf.DUMMYFUNCTION("GOOGLETRANSLATE(A1720,""en"",""pt"")"),"O personagem de Tom Wilkinson é um homem que não está preparado para a provação que está prestes a começar, mas ele leva o assunto em mão como os avanços da história, e este grande ator dá um desempenho que faz você se sentir angústia e sofrimento do pers"&amp;"onagem.")</f>
        <v>O personagem de Tom Wilkinson é um homem que não está preparado para a provação que está prestes a começar, mas ele leva o assunto em mão como os avanços da história, e este grande ator dá um desempenho que faz você se sentir angústia e sofrimento do personagem.</v>
      </c>
      <c r="B1720" s="3">
        <v>1</v>
      </c>
    </row>
    <row r="1721" ht="15.75" customHeight="1" spans="1:2">
      <c r="A1721" s="3" t="str">
        <f>IFERROR(__xludf.DUMMYFUNCTION("GOOGLETRANSLATE(A1721,""en"",""pt"")"),"O personagem de Emily Watson é muito forte, e ela tem apenas para dar uma rápida olhada e você entende tudo.")</f>
        <v>O personagem de Emily Watson é muito forte, e ela tem apenas para dar uma rápida olhada e você entende tudo.</v>
      </c>
      <c r="B1721" s="3">
        <v>1</v>
      </c>
    </row>
    <row r="1722" ht="15.75" customHeight="1" spans="1:2">
      <c r="A1722" s="3" t="str">
        <f>IFERROR(__xludf.DUMMYFUNCTION("GOOGLETRANSLATE(A1722,""en"",""pt"")"),"Apesar das panelas de usuários, eu gostei deste filme.")</f>
        <v>Apesar das panelas de usuários, eu gostei deste filme.</v>
      </c>
      <c r="B1722" s="3">
        <v>1</v>
      </c>
    </row>
    <row r="1723" ht="15.75" customHeight="1" spans="1:2">
      <c r="A1723" s="3" t="str">
        <f>IFERROR(__xludf.DUMMYFUNCTION("GOOGLETRANSLATE(A1723,""en"",""pt"")"),"Na verdade, eu gostei melhor do que Entrevista com um vampiro e eu gostei este Lestat (Stuart Townsend) melhor do que a tentativa de Cruise.")</f>
        <v>Na verdade, eu gostei melhor do que Entrevista com um vampiro e eu gostei este Lestat (Stuart Townsend) melhor do que a tentativa de Cruise.</v>
      </c>
      <c r="B1723" s="3">
        <v>1</v>
      </c>
    </row>
    <row r="1724" ht="15.75" customHeight="1" spans="1:2">
      <c r="A1724" s="3" t="str">
        <f>IFERROR(__xludf.DUMMYFUNCTION("GOOGLETRANSLATE(A1724,""en"",""pt"")"),"Aailiyah era bom bonito como Akasha, em lugares atraentes (a sua primeira entrada e cena mini-dança).")</f>
        <v>Aailiyah era bom bonito como Akasha, em lugares atraentes (a sua primeira entrada e cena mini-dança).</v>
      </c>
      <c r="B1724" s="3">
        <v>1</v>
      </c>
    </row>
    <row r="1725" ht="15.75" customHeight="1" spans="1:2">
      <c r="A1725" s="3" t="str">
        <f>IFERROR(__xludf.DUMMYFUNCTION("GOOGLETRANSLATE(A1725,""en"",""pt"")"),"Eu sou um grande fã desta série principalmente devido ao estilo, sensibilidades e tratamentos de Anne Rice.")</f>
        <v>Eu sou um grande fã desta série principalmente devido ao estilo, sensibilidades e tratamentos de Anne Rice.</v>
      </c>
      <c r="B1725" s="3">
        <v>1</v>
      </c>
    </row>
    <row r="1726" ht="15.75" customHeight="1" spans="1:2">
      <c r="A1726" s="3" t="str">
        <f>IFERROR(__xludf.DUMMYFUNCTION("GOOGLETRANSLATE(A1726,""en"",""pt"")"),"Eu acho que eu gostei os detalhes de sua disfunção - ele era crível.")</f>
        <v>Eu acho que eu gostei os detalhes de sua disfunção - ele era crível.</v>
      </c>
      <c r="B1726" s="3">
        <v>1</v>
      </c>
    </row>
    <row r="1727" ht="15.75" customHeight="1" spans="1:2">
      <c r="A1727" s="3" t="str">
        <f>IFERROR(__xludf.DUMMYFUNCTION("GOOGLETRANSLATE(A1727,""en"",""pt"")"),"As cenas de futebol no final foram desconcertante.")</f>
        <v>As cenas de futebol no final foram desconcertante.</v>
      </c>
      <c r="B1727" s="3">
        <v>0</v>
      </c>
    </row>
    <row r="1728" ht="15.75" customHeight="1" spans="1:2">
      <c r="A1728" s="3" t="str">
        <f>IFERROR(__xludf.DUMMYFUNCTION("GOOGLETRANSLATE(A1728,""en"",""pt"")"),"Mas eu pensei que sua atuação era hábil.")</f>
        <v>Mas eu pensei que sua atuação era hábil.</v>
      </c>
      <c r="B1728" s="3">
        <v>1</v>
      </c>
    </row>
    <row r="1729" ht="15.75" customHeight="1" spans="1:2">
      <c r="A1729" s="3" t="str">
        <f>IFERROR(__xludf.DUMMYFUNCTION("GOOGLETRANSLATE(A1729,""en"",""pt"")"),"Meredith M era melhor do que tudo bem.")</f>
        <v>Meredith M era melhor do que tudo bem.</v>
      </c>
      <c r="B1729" s="3">
        <v>1</v>
      </c>
    </row>
    <row r="1730" ht="15.75" customHeight="1" spans="1:2">
      <c r="A1730" s="3" t="str">
        <f>IFERROR(__xludf.DUMMYFUNCTION("GOOGLETRANSLATE(A1730,""en"",""pt"")"),"Um filme muito charmoso com sentimento e coração maravilhoso.")</f>
        <v>Um filme muito charmoso com sentimento e coração maravilhoso.</v>
      </c>
      <c r="B1730" s="3">
        <v>1</v>
      </c>
    </row>
    <row r="1731" ht="15.75" customHeight="1" spans="1:2">
      <c r="A1731" s="3" t="str">
        <f>IFERROR(__xludf.DUMMYFUNCTION("GOOGLETRANSLATE(A1731,""en"",""pt"")"),"É raro quando um cineasta toma o tempo para contar um conto moral digna com cuidado e amor que não caia na armadilha de ser excessivamente xaroposo ou mais indulgente.")</f>
        <v>É raro quando um cineasta toma o tempo para contar um conto moral digna com cuidado e amor que não caia na armadilha de ser excessivamente xaroposo ou mais indulgente.</v>
      </c>
      <c r="B1731" s="3">
        <v>1</v>
      </c>
    </row>
    <row r="1732" ht="15.75" customHeight="1" spans="1:2">
      <c r="A1732" s="3" t="str">
        <f>IFERROR(__xludf.DUMMYFUNCTION("GOOGLETRANSLATE(A1732,""en"",""pt"")"),"Nove em cada dez para um verdadeiramente encantador filme.")</f>
        <v>Nove em cada dez para um verdadeiramente encantador filme.</v>
      </c>
      <c r="B1732" s="3">
        <v>1</v>
      </c>
    </row>
    <row r="1733" ht="15.75" customHeight="1" spans="1:2">
      <c r="A1733" s="3" t="str">
        <f>IFERROR(__xludf.DUMMYFUNCTION("GOOGLETRANSLATE(A1733,""en"",""pt"")"),"Este filme cedo do futuro goremeister Lucio Fulci é uma adição muito boa para o sub-gênero giallo.")</f>
        <v>Este filme cedo do futuro goremeister Lucio Fulci é uma adição muito boa para o sub-gênero giallo.</v>
      </c>
      <c r="B1733" s="3">
        <v>1</v>
      </c>
    </row>
    <row r="1734" ht="15.75" customHeight="1" spans="1:2">
      <c r="A1734" s="3" t="str">
        <f>IFERROR(__xludf.DUMMYFUNCTION("GOOGLETRANSLATE(A1734,""en"",""pt"")"),"Este é um dos melhores thrillers italianos do início dos anos 70.")</f>
        <v>Este é um dos melhores thrillers italianos do início dos anos 70.</v>
      </c>
      <c r="B1734" s="3">
        <v>1</v>
      </c>
    </row>
    <row r="1735" ht="15.75" customHeight="1" spans="1:2">
      <c r="A1735" s="3" t="str">
        <f>IFERROR(__xludf.DUMMYFUNCTION("GOOGLETRANSLATE(A1735,""en"",""pt"")"),"Uma cena de destaque.")</f>
        <v>Uma cena de destaque.</v>
      </c>
      <c r="B1735" s="3">
        <v>1</v>
      </c>
    </row>
    <row r="1736" ht="15.75" customHeight="1" spans="1:2">
      <c r="A1736" s="3" t="str">
        <f>IFERROR(__xludf.DUMMYFUNCTION("GOOGLETRANSLATE(A1736,""en"",""pt"")"),"Esta cena é muito forte e desagradável.")</f>
        <v>Esta cena é muito forte e desagradável.</v>
      </c>
      <c r="B1736" s="3">
        <v>0</v>
      </c>
    </row>
    <row r="1737" ht="15.75" customHeight="1" spans="1:2">
      <c r="A1737" s="3" t="str">
        <f>IFERROR(__xludf.DUMMYFUNCTION("GOOGLETRANSLATE(A1737,""en"",""pt"")"),"Tecnicamente, o filme é bem feito, com um impressionante trabalho de câmera, atuação sólida e música eficaz de Riz Ortolani Â- particularmente bom é um vocal feminino desacompanhada recorrente que soa como ele está vindo de uma colina distante.")</f>
        <v>Tecnicamente, o filme é bem feito, com um impressionante trabalho de câmera, atuação sólida e música eficaz de Riz Ortolani Â- particularmente bom é um vocal feminino desacompanhada recorrente que soa como ele está vindo de uma colina distante.</v>
      </c>
      <c r="B1737" s="3">
        <v>1</v>
      </c>
    </row>
    <row r="1738" ht="15.75" customHeight="1" spans="1:2">
      <c r="A1738" s="3" t="str">
        <f>IFERROR(__xludf.DUMMYFUNCTION("GOOGLETRANSLATE(A1738,""en"",""pt"")"),"É ainda o material selvagem embora e é altamente recomendado para os fãs de cinema giallo.")</f>
        <v>É ainda o material selvagem embora e é altamente recomendado para os fãs de cinema giallo.</v>
      </c>
      <c r="B1738" s="3">
        <v>1</v>
      </c>
    </row>
    <row r="1739" ht="15.75" customHeight="1" spans="1:2">
      <c r="A1739" s="3" t="str">
        <f>IFERROR(__xludf.DUMMYFUNCTION("GOOGLETRANSLATE(A1739,""en"",""pt"")"),"O filme foi muito interessante do começo ao fim.")</f>
        <v>O filme foi muito interessante do começo ao fim.</v>
      </c>
      <c r="B1739" s="3">
        <v>1</v>
      </c>
    </row>
    <row r="1740" ht="15.75" customHeight="1" spans="1:2">
      <c r="A1740" s="3" t="str">
        <f>IFERROR(__xludf.DUMMYFUNCTION("GOOGLETRANSLATE(A1740,""en"",""pt"")"),"Gostei da forma como o personagem de Dustin Hoffman estava pronto para fazer quase tudo para ficar com seu filho.")</f>
        <v>Gostei da forma como o personagem de Dustin Hoffman estava pronto para fazer quase tudo para ficar com seu filho.</v>
      </c>
      <c r="B1740" s="3">
        <v>1</v>
      </c>
    </row>
    <row r="1741" ht="15.75" customHeight="1" spans="1:2">
      <c r="A1741" s="3" t="str">
        <f>IFERROR(__xludf.DUMMYFUNCTION("GOOGLETRANSLATE(A1741,""en"",""pt"")"),"Este filme também é revelador.")</f>
        <v>Este filme também é revelador.</v>
      </c>
      <c r="B1741" s="3">
        <v>1</v>
      </c>
    </row>
    <row r="1742" ht="15.75" customHeight="1" spans="1:2">
      <c r="A1742" s="3" t="str">
        <f>IFERROR(__xludf.DUMMYFUNCTION("GOOGLETRANSLATE(A1742,""en"",""pt"")"),"Pessoalmente, acho que isso mostra que as pessoas devem aprender a encontrar um compromisso auto-los sem envolver outras pessoas em questão.")</f>
        <v>Pessoalmente, acho que isso mostra que as pessoas devem aprender a encontrar um compromisso auto-los sem envolver outras pessoas em questão.</v>
      </c>
      <c r="B1742" s="3">
        <v>1</v>
      </c>
    </row>
    <row r="1743" ht="15.75" customHeight="1" spans="1:2">
      <c r="A1743" s="3" t="str">
        <f>IFERROR(__xludf.DUMMYFUNCTION("GOOGLETRANSLATE(A1743,""en"",""pt"")"),"E foi chato.")</f>
        <v>E foi chato.</v>
      </c>
      <c r="B1743" s="3">
        <v>0</v>
      </c>
    </row>
    <row r="1744" ht="15.75" customHeight="1" spans="1:2">
      <c r="A1744" s="3" t="str">
        <f>IFERROR(__xludf.DUMMYFUNCTION("GOOGLETRANSLATE(A1744,""en"",""pt"")"),"Eu estou tão cansado de clichê s que é apenas a escrita preguiçoso, e aqui eles vêm em grosso e rápido.")</f>
        <v>Eu estou tão cansado de clichê s que é apenas a escrita preguiçoso, e aqui eles vêm em grosso e rápido.</v>
      </c>
      <c r="B1744" s="3">
        <v>0</v>
      </c>
    </row>
    <row r="1745" ht="15.75" customHeight="1" spans="1:2">
      <c r="A1745" s="3" t="str">
        <f>IFERROR(__xludf.DUMMYFUNCTION("GOOGLETRANSLATE(A1745,""en"",""pt"")"),"PS a única cena no filme que foi legal é quando o personagem central encontra seu quarto explodido.")</f>
        <v>PS a única cena no filme que foi legal é quando o personagem central encontra seu quarto explodido.</v>
      </c>
      <c r="B1745" s="3">
        <v>1</v>
      </c>
    </row>
    <row r="1746" ht="15.75" customHeight="1" spans="1:2">
      <c r="A1746" s="3" t="str">
        <f>IFERROR(__xludf.DUMMYFUNCTION("GOOGLETRANSLATE(A1746,""en"",""pt"")"),"É um fresco, sutil e efeito bastante sublime.")</f>
        <v>É um fresco, sutil e efeito bastante sublime.</v>
      </c>
      <c r="B1746" s="3">
        <v>1</v>
      </c>
    </row>
    <row r="1747" ht="15.75" customHeight="1" spans="1:2">
      <c r="A1747" s="3" t="str">
        <f>IFERROR(__xludf.DUMMYFUNCTION("GOOGLETRANSLATE(A1747,""en"",""pt"")"),"Um revisor italiano chamou isso de ""uma pequena, grande filme,"" e isso é certo.")</f>
        <v>Um revisor italiano chamou isso de "uma pequena, grande filme," e isso é certo.</v>
      </c>
      <c r="B1747" s="3">
        <v>1</v>
      </c>
    </row>
    <row r="1748" ht="15.75" customHeight="1" spans="1:2">
      <c r="A1748" s="3" t="str">
        <f>IFERROR(__xludf.DUMMYFUNCTION("GOOGLETRANSLATE(A1748,""en"",""pt"")"),"Todos os atores dar um desempenho maravilhoso, especialmente Jennifer Rubin como Jamie Harris, que muda a partir do starlet nervoso no início através dos estranhos acontecimentos que ela faz parte de para a estrela legal.")</f>
        <v>Todos os atores dar um desempenho maravilhoso, especialmente Jennifer Rubin como Jamie Harris, que muda a partir do starlet nervoso no início através dos estranhos acontecimentos que ela faz parte de para a estrela legal.</v>
      </c>
      <c r="B1748" s="3">
        <v>1</v>
      </c>
    </row>
    <row r="1749" ht="15.75" customHeight="1" spans="1:2">
      <c r="A1749" s="3" t="str">
        <f>IFERROR(__xludf.DUMMYFUNCTION("GOOGLETRANSLATE(A1749,""en"",""pt"")"),"Você aprende muito sobre o real dentro emoções das pessoas neste filme, e muito sobre o próprio negócio do cinema.")</f>
        <v>Você aprende muito sobre o real dentro emoções das pessoas neste filme, e muito sobre o próprio negócio do cinema.</v>
      </c>
      <c r="B1749" s="3">
        <v>1</v>
      </c>
    </row>
    <row r="1750" ht="15.75" customHeight="1" spans="1:2">
      <c r="A1750" s="3" t="str">
        <f>IFERROR(__xludf.DUMMYFUNCTION("GOOGLETRANSLATE(A1750,""en"",""pt"")"),"O filme em situações de cinema no início e através do jogo que é jogado com ela pelo ""treinador agindo"" são fascinantes.")</f>
        <v>O filme em situações de cinema no início e através do jogo que é jogado com ela pelo "treinador agindo" são fascinantes.</v>
      </c>
      <c r="B1750" s="3">
        <v>1</v>
      </c>
    </row>
    <row r="1751" ht="15.75" customHeight="1" spans="1:2">
      <c r="A1751" s="3" t="str">
        <f>IFERROR(__xludf.DUMMYFUNCTION("GOOGLETRANSLATE(A1751,""en"",""pt"")"),"Também a música de Mark Snow é possivelmente a melhor pontuação que eu já ouvi.")</f>
        <v>Também a música de Mark Snow é possivelmente a melhor pontuação que eu já ouvi.</v>
      </c>
      <c r="B1751" s="3">
        <v>1</v>
      </c>
    </row>
    <row r="1752" ht="15.75" customHeight="1" spans="1:2">
      <c r="A1752" s="3" t="str">
        <f>IFERROR(__xludf.DUMMYFUNCTION("GOOGLETRANSLATE(A1752,""en"",""pt"")"),"Você não vai esquecer este filme!")</f>
        <v>Você não vai esquecer este filme!</v>
      </c>
      <c r="B1752" s="3">
        <v>1</v>
      </c>
    </row>
    <row r="1753" ht="15.75" customHeight="1" spans="1:2">
      <c r="A1753" s="3" t="str">
        <f>IFERROR(__xludf.DUMMYFUNCTION("GOOGLETRANSLATE(A1753,""en"",""pt"")"),"Por que este filme feito?")</f>
        <v>Por que este filme feito?</v>
      </c>
      <c r="B1753" s="3">
        <v>0</v>
      </c>
    </row>
    <row r="1754" ht="15.75" customHeight="1" spans="1:2">
      <c r="A1754" s="3" t="str">
        <f>IFERROR(__xludf.DUMMYFUNCTION("GOOGLETRANSLATE(A1754,""en"",""pt"")"),"O filme tem um olhar ultra-barato para ele.")</f>
        <v>O filme tem um olhar ultra-barato para ele.</v>
      </c>
      <c r="B1754" s="3">
        <v>0</v>
      </c>
    </row>
    <row r="1755" ht="15.75" customHeight="1" spans="1:2">
      <c r="A1755" s="3" t="str">
        <f>IFERROR(__xludf.DUMMYFUNCTION("GOOGLETRANSLATE(A1755,""en"",""pt"")"),"O resultado é um filme que simplesmente não parece certo.")</f>
        <v>O resultado é um filme que simplesmente não parece certo.</v>
      </c>
      <c r="B1755" s="3">
        <v>0</v>
      </c>
    </row>
    <row r="1756" ht="15.75" customHeight="1" spans="1:2">
      <c r="A1756" s="3" t="str">
        <f>IFERROR(__xludf.DUMMYFUNCTION("GOOGLETRANSLATE(A1756,""en"",""pt"")"),"Nenhum deles é envolvente ou emocionante.")</f>
        <v>Nenhum deles é envolvente ou emocionante.</v>
      </c>
      <c r="B1756" s="3">
        <v>0</v>
      </c>
    </row>
    <row r="1757" ht="15.75" customHeight="1" spans="1:2">
      <c r="A1757" s="3" t="str">
        <f>IFERROR(__xludf.DUMMYFUNCTION("GOOGLETRANSLATE(A1757,""en"",""pt"")"),"O enredo é um absurdo que não interessa nem um pouco maneira ou ter qualquer exclusividade para ele.")</f>
        <v>O enredo é um absurdo que não interessa nem um pouco maneira ou ter qualquer exclusividade para ele.</v>
      </c>
      <c r="B1757" s="3">
        <v>0</v>
      </c>
    </row>
    <row r="1758" ht="15.75" customHeight="1" spans="1:2">
      <c r="A1758" s="3" t="str">
        <f>IFERROR(__xludf.DUMMYFUNCTION("GOOGLETRANSLATE(A1758,""en"",""pt"")"),"O Estrangeiro não vale um segundo de seu tempo.")</f>
        <v>O Estrangeiro não vale um segundo de seu tempo.</v>
      </c>
      <c r="B1758" s="3">
        <v>0</v>
      </c>
    </row>
    <row r="1759" ht="15.75" customHeight="1" spans="1:2">
      <c r="A1759" s="3" t="str">
        <f>IFERROR(__xludf.DUMMYFUNCTION("GOOGLETRANSLATE(A1759,""en"",""pt"")"),"Eu vi isso como uma criança nas costas TV em 1973, quando foi ""The Stranger"" e eu adorei.")</f>
        <v>Eu vi isso como uma criança nas costas TV em 1973, quando foi "The Stranger" e eu adorei.</v>
      </c>
      <c r="B1759" s="3">
        <v>1</v>
      </c>
    </row>
    <row r="1760" ht="15.75" customHeight="1" spans="1:2">
      <c r="A1760" s="3" t="str">
        <f>IFERROR(__xludf.DUMMYFUNCTION("GOOGLETRANSLATE(A1760,""en"",""pt"")"),"Mas o dueto entre o astronauta e seu médico no início do filme é uma troca perfeita quando se considera que este filme foi feito bem na Guerra Fria e maior medo do astronauta é que ele caiu na URSS.")</f>
        <v>Mas o dueto entre o astronauta e seu médico no início do filme é uma troca perfeita quando se considera que este filme foi feito bem na Guerra Fria e maior medo do astronauta é que ele caiu na URSS.</v>
      </c>
      <c r="B1760" s="3">
        <v>1</v>
      </c>
    </row>
    <row r="1761" ht="15.75" customHeight="1" spans="1:2">
      <c r="A1761" s="3" t="str">
        <f>IFERROR(__xludf.DUMMYFUNCTION("GOOGLETRANSLATE(A1761,""en"",""pt"")"),"Este filme é tão incrível!")</f>
        <v>Este filme é tão incrível!</v>
      </c>
      <c r="B1761" s="3">
        <v>1</v>
      </c>
    </row>
    <row r="1762" ht="15.75" customHeight="1" spans="1:2">
      <c r="A1762" s="3" t="str">
        <f>IFERROR(__xludf.DUMMYFUNCTION("GOOGLETRANSLATE(A1762,""en"",""pt"")"),"Eu adorei, foi realmente assustador.")</f>
        <v>Eu adorei, foi realmente assustador.</v>
      </c>
      <c r="B1762" s="3">
        <v>1</v>
      </c>
    </row>
    <row r="1763" ht="15.75" customHeight="1" spans="1:2">
      <c r="A1763" s="3" t="str">
        <f>IFERROR(__xludf.DUMMYFUNCTION("GOOGLETRANSLATE(A1763,""en"",""pt"")"),"Eu amo os filmes gritar e todos os filmes de terror e esta fileiras caminho até lá.")</f>
        <v>Eu amo os filmes gritar e todos os filmes de terror e esta fileiras caminho até lá.</v>
      </c>
      <c r="B1763" s="3">
        <v>1</v>
      </c>
    </row>
    <row r="1764" ht="15.75" customHeight="1" spans="1:2">
      <c r="A1764" s="3" t="str">
        <f>IFERROR(__xludf.DUMMYFUNCTION("GOOGLETRANSLATE(A1764,""en"",""pt"")"),"Se você quiser um verdadeiro susto alugar este!")</f>
        <v>Se você quiser um verdadeiro susto alugar este!</v>
      </c>
      <c r="B1764" s="3">
        <v>1</v>
      </c>
    </row>
    <row r="1765" ht="15.75" customHeight="1" spans="1:2">
      <c r="A1765" s="3" t="str">
        <f>IFERROR(__xludf.DUMMYFUNCTION("GOOGLETRANSLATE(A1765,""en"",""pt"")"),"Este é um filme extraordinário.")</f>
        <v>Este é um filme extraordinário.</v>
      </c>
      <c r="B1765" s="3">
        <v>1</v>
      </c>
    </row>
    <row r="1766" ht="15.75" customHeight="1" spans="1:2">
      <c r="A1766" s="3" t="str">
        <f>IFERROR(__xludf.DUMMYFUNCTION("GOOGLETRANSLATE(A1766,""en"",""pt"")"),"Como um drama de tribunal, é atraente, como uma acusação sobre o sistema de justiça americano, é assustador.")</f>
        <v>Como um drama de tribunal, é atraente, como uma acusação sobre o sistema de justiça americano, é assustador.</v>
      </c>
      <c r="B1766" s="3">
        <v>1</v>
      </c>
    </row>
    <row r="1767" ht="15.75" customHeight="1" spans="1:2">
      <c r="A1767" s="3" t="str">
        <f>IFERROR(__xludf.DUMMYFUNCTION("GOOGLETRANSLATE(A1767,""en"",""pt"")"),"Este filme destaca as falhas fundamentais do processo legal, que não é sobre a descoberta de culpa ou inocência, mas sim, é sobre quem apresenta melhores no tribunal.")</f>
        <v>Este filme destaca as falhas fundamentais do processo legal, que não é sobre a descoberta de culpa ou inocência, mas sim, é sobre quem apresenta melhores no tribunal.</v>
      </c>
      <c r="B1767" s="3">
        <v>1</v>
      </c>
    </row>
    <row r="1768" ht="15.75" customHeight="1" spans="1:2">
      <c r="A1768" s="3" t="str">
        <f>IFERROR(__xludf.DUMMYFUNCTION("GOOGLETRANSLATE(A1768,""en"",""pt"")"),"O filme é bem ritmado, discreto e um dos melhores documentários de tribunal que eu vi.")</f>
        <v>O filme é bem ritmado, discreto e um dos melhores documentários de tribunal que eu vi.</v>
      </c>
      <c r="B1768" s="3">
        <v>1</v>
      </c>
    </row>
    <row r="1769" ht="15.75" customHeight="1" spans="1:2">
      <c r="A1769" s="3" t="str">
        <f>IFERROR(__xludf.DUMMYFUNCTION("GOOGLETRANSLATE(A1769,""en"",""pt"")"),"Este drama principalmente rotina TV baseada em fatos recebe um impulso do desempenho bem por Cole.")</f>
        <v>Este drama principalmente rotina TV baseada em fatos recebe um impulso do desempenho bem por Cole.</v>
      </c>
      <c r="B1769" s="3">
        <v>1</v>
      </c>
    </row>
    <row r="1770" ht="15.75" customHeight="1" spans="1:2">
      <c r="A1770" s="3" t="str">
        <f>IFERROR(__xludf.DUMMYFUNCTION("GOOGLETRANSLATE(A1770,""en"",""pt"")"),"Previsível, mas não é uma má relógio.")</f>
        <v>Previsível, mas não é uma má relógio.</v>
      </c>
      <c r="B1770" s="3">
        <v>1</v>
      </c>
    </row>
    <row r="1771" ht="15.75" customHeight="1" spans="1:2">
      <c r="A1771" s="3" t="str">
        <f>IFERROR(__xludf.DUMMYFUNCTION("GOOGLETRANSLATE(A1771,""en"",""pt"")"),"Ficou claro que ela tinha o alcance ea capacidade de retirar essa parte.")</f>
        <v>Ficou claro que ela tinha o alcance ea capacidade de retirar essa parte.</v>
      </c>
      <c r="B1771" s="3">
        <v>1</v>
      </c>
    </row>
    <row r="1772" ht="15.75" customHeight="1" spans="1:2">
      <c r="A1772" s="3" t="str">
        <f>IFERROR(__xludf.DUMMYFUNCTION("GOOGLETRANSLATE(A1772,""en"",""pt"")"),"Ela carrega o poço filme.")</f>
        <v>Ela carrega o poço filme.</v>
      </c>
      <c r="B1772" s="3">
        <v>1</v>
      </c>
    </row>
    <row r="1773" ht="15.75" customHeight="1" spans="1:2">
      <c r="A1773" s="3" t="str">
        <f>IFERROR(__xludf.DUMMYFUNCTION("GOOGLETRANSLATE(A1773,""en"",""pt"")"),"Constantino dá tudo a intensidade certa e parece ter uma boa compreensão das motivações psicológicas subjacentes.")</f>
        <v>Constantino dá tudo a intensidade certa e parece ter uma boa compreensão das motivações psicológicas subjacentes.</v>
      </c>
      <c r="B1773" s="3">
        <v>1</v>
      </c>
    </row>
    <row r="1774" ht="15.75" customHeight="1" spans="1:2">
      <c r="A1774" s="3" t="str">
        <f>IFERROR(__xludf.DUMMYFUNCTION("GOOGLETRANSLATE(A1774,""en"",""pt"")"),"É maravilhoso e inspirador para assistir, e eu espero que ele fica liberado novamente para vídeo ou DVD.")</f>
        <v>É maravilhoso e inspirador para assistir, e eu espero que ele fica liberado novamente para vídeo ou DVD.</v>
      </c>
      <c r="B1774" s="3">
        <v>1</v>
      </c>
    </row>
    <row r="1775" ht="15.75" customHeight="1" spans="1:2">
      <c r="A1775" s="3" t="str">
        <f>IFERROR(__xludf.DUMMYFUNCTION("GOOGLETRANSLATE(A1775,""en"",""pt"")"),"Como este pedaço de lixo que nunca foi lançado está além de mim: a atuação, a história, os personagens, os efeitos supostamente especiais, etc ... Está tudo errado.")</f>
        <v>Como este pedaço de lixo que nunca foi lançado está além de mim: a atuação, a história, os personagens, os efeitos supostamente especiais, etc ... Está tudo errado.</v>
      </c>
      <c r="B1775" s="3">
        <v>0</v>
      </c>
    </row>
    <row r="1776" ht="15.75" customHeight="1" spans="1:2">
      <c r="A1776" s="3" t="str">
        <f>IFERROR(__xludf.DUMMYFUNCTION("GOOGLETRANSLATE(A1776,""en"",""pt"")"),"Na verdade, esta stinker cheira como uma liberação direct-to-video.")</f>
        <v>Na verdade, esta stinker cheira como uma liberação direct-to-video.</v>
      </c>
      <c r="B1776" s="3">
        <v>0</v>
      </c>
    </row>
    <row r="1777" ht="15.75" customHeight="1" spans="1:2">
      <c r="A1777" s="3" t="str">
        <f>IFERROR(__xludf.DUMMYFUNCTION("GOOGLETRANSLATE(A1777,""en"",""pt"")"),"Evitar a todos os custos!")</f>
        <v>Evitar a todos os custos!</v>
      </c>
      <c r="B1777" s="3">
        <v>0</v>
      </c>
    </row>
    <row r="1778" ht="15.75" customHeight="1" spans="1:2">
      <c r="A1778" s="3" t="str">
        <f>IFERROR(__xludf.DUMMYFUNCTION("GOOGLETRANSLATE(A1778,""en"",""pt"")"),"Star Trek V The Final Frontier é o pior da série.")</f>
        <v>Star Trek V The Final Frontier é o pior da série.</v>
      </c>
      <c r="B1778" s="3">
        <v>0</v>
      </c>
    </row>
    <row r="1779" ht="15.75" customHeight="1" spans="1:2">
      <c r="A1779" s="3" t="s">
        <v>6</v>
      </c>
      <c r="B1779" s="3">
        <v>0</v>
      </c>
    </row>
    <row r="1780" ht="15.75" customHeight="1" spans="1:2">
      <c r="A1780" s="3" t="str">
        <f>IFERROR(__xludf.DUMMYFUNCTION("GOOGLETRANSLATE(A1780,""en"",""pt"")"),"As tentativas de humor foram patético e história é tão terrível que dosen't pensamento urso sobre o que basicamente envolve um Vulcan roubando a Enterprise para encontrar Deus (sério) eu apenas não me importava com nada disso cinema e oh não mencionar Uhu"&amp;"ra faz uma dança do ventre para distrair os guardas do sexo masculino.")</f>
        <v>As tentativas de humor foram patético e história é tão terrível que dosen't pensamento urso sobre o que basicamente envolve um Vulcan roubando a Enterprise para encontrar Deus (sério) eu apenas não me importava com nada disso cinema e oh não mencionar Uhura faz uma dança do ventre para distrair os guardas do sexo masculino.</v>
      </c>
      <c r="B1780" s="3">
        <v>0</v>
      </c>
    </row>
    <row r="1781" ht="15.75" customHeight="1" spans="1:2">
      <c r="A1781" s="3" t="str">
        <f>IFERROR(__xludf.DUMMYFUNCTION("GOOGLETRANSLATE(A1781,""en"",""pt"")"),"O único lugar bom para este filme é no lixo.")</f>
        <v>O único lugar bom para este filme é no lixo.</v>
      </c>
      <c r="B1781" s="3">
        <v>0</v>
      </c>
    </row>
    <row r="1782" ht="15.75" customHeight="1" spans="1:2">
      <c r="A1782" s="3" t="str">
        <f>IFERROR(__xludf.DUMMYFUNCTION("GOOGLETRANSLATE(A1782,""en"",""pt"")"),"O pior da série.")</f>
        <v>O pior da série.</v>
      </c>
      <c r="B1782" s="3">
        <v>0</v>
      </c>
    </row>
    <row r="1783" ht="15.75" customHeight="1" spans="1:2">
      <c r="A1783" s="3" t="str">
        <f>IFERROR(__xludf.DUMMYFUNCTION("GOOGLETRANSLATE(A1783,""en"",""pt"")"),"Editar: A edição deste filme foi fenomenal na minha opinião.")</f>
        <v>Editar: A edição deste filme foi fenomenal na minha opinião.</v>
      </c>
      <c r="B1783" s="3">
        <v>1</v>
      </c>
    </row>
    <row r="1784" ht="15.75" customHeight="1" spans="1:2">
      <c r="A1784" s="3" t="str">
        <f>IFERROR(__xludf.DUMMYFUNCTION("GOOGLETRANSLATE(A1784,""en"",""pt"")"),"Quando uma música poderia explicar as emoções dos indivíduos melhores, como quando a vida infeliz Jay Adams era um assunto de conversa, a canção Old Man por Neil Young foi tocada, que evoca muitas emoções.")</f>
        <v>Quando uma música poderia explicar as emoções dos indivíduos melhores, como quando a vida infeliz Jay Adams era um assunto de conversa, a canção Old Man por Neil Young foi tocada, que evoca muitas emoções.</v>
      </c>
      <c r="B1784" s="3">
        <v>1</v>
      </c>
    </row>
    <row r="1785" ht="15.75" customHeight="1" spans="1:2">
      <c r="A1785" s="3" t="str">
        <f>IFERROR(__xludf.DUMMYFUNCTION("GOOGLETRANSLATE(A1785,""en"",""pt"")"),"Fotografia: O filme foi filmado em uma maneira interessante.")</f>
        <v>Fotografia: O filme foi filmado em uma maneira interessante.</v>
      </c>
      <c r="B1785" s="3">
        <v>1</v>
      </c>
    </row>
    <row r="1786" ht="15.75" customHeight="1" spans="1:2">
      <c r="A1786" s="3" t="str">
        <f>IFERROR(__xludf.DUMMYFUNCTION("GOOGLETRANSLATE(A1786,""en"",""pt"")"),"É claro que as imagens dos anos 70 foi granulada, mas isso só aumentou o filme.")</f>
        <v>É claro que as imagens dos anos 70 foi granulada, mas isso só aumentou o filme.</v>
      </c>
      <c r="B1786" s="3">
        <v>1</v>
      </c>
    </row>
    <row r="1787" ht="15.75" customHeight="1" spans="1:2">
      <c r="A1787" s="3" t="str">
        <f>IFERROR(__xludf.DUMMYFUNCTION("GOOGLETRANSLATE(A1787,""en"",""pt"")"),"Este filme oferece muitas delícias e surpresas.")</f>
        <v>Este filme oferece muitas delícias e surpresas.</v>
      </c>
      <c r="B1787" s="3">
        <v>1</v>
      </c>
    </row>
    <row r="1788" ht="15.75" customHeight="1" spans="1:2">
      <c r="A1788" s="3" t="str">
        <f>IFERROR(__xludf.DUMMYFUNCTION("GOOGLETRANSLATE(A1788,""en"",""pt"")"),"Quando Achille e Philippa lindamente cantar um dueto de ""Don Giovanni"", que descreve perfeitamente a sua situação no filme, você aprecia as camadas sutis de este excelente filme.")</f>
        <v>Quando Achille e Philippa lindamente cantar um dueto de "Don Giovanni", que descreve perfeitamente a sua situação no filme, você aprecia as camadas sutis de este excelente filme.</v>
      </c>
      <c r="B1788" s="3">
        <v>1</v>
      </c>
    </row>
    <row r="1789" ht="15.75" customHeight="1" spans="1:2">
      <c r="A1789" s="3" t="str">
        <f>IFERROR(__xludf.DUMMYFUNCTION("GOOGLETRANSLATE(A1789,""en"",""pt"")"),"Os desdobra história no século 18 Jutlândia e o uso da música período jogado em instrumentos de época é apenas mais um toque fino.")</f>
        <v>Os desdobra história no século 18 Jutlândia e o uso da música período jogado em instrumentos de época é apenas mais um toque fino.</v>
      </c>
      <c r="B1789" s="3">
        <v>1</v>
      </c>
    </row>
    <row r="1790" ht="15.75" customHeight="1" spans="1:2">
      <c r="A1790" s="3" t="str">
        <f>IFERROR(__xludf.DUMMYFUNCTION("GOOGLETRANSLATE(A1790,""en"",""pt"")"),"Você compartilha a alegria requintado do general Loewenhielm na sua participação do Cailles en sarcophage mesmo que você está apenas assistindo a um filme - mas você desejo de apenas uma pequena amostra para saborear.")</f>
        <v>Você compartilha a alegria requintado do general Loewenhielm na sua participação do Cailles en sarcophage mesmo que você está apenas assistindo a um filme - mas você desejo de apenas uma pequena amostra para saborear.</v>
      </c>
      <c r="B1790" s="3">
        <v>1</v>
      </c>
    </row>
    <row r="1791" ht="15.75" customHeight="1" spans="1:2">
      <c r="A1791" s="3" t="str">
        <f>IFERROR(__xludf.DUMMYFUNCTION("GOOGLETRANSLATE(A1791,""en"",""pt"")"),"Mas este discreto folhas de cinema uma impressão duradoura.")</f>
        <v>Mas este discreto folhas de cinema uma impressão duradoura.</v>
      </c>
      <c r="B1791" s="3">
        <v>1</v>
      </c>
    </row>
    <row r="1792" ht="15.75" customHeight="1" spans="1:2">
      <c r="A1792" s="3" t="str">
        <f>IFERROR(__xludf.DUMMYFUNCTION("GOOGLETRANSLATE(A1792,""en"",""pt"")"),"O calor gera está em contraste com seu pano de fundo austero.")</f>
        <v>O calor gera está em contraste com seu pano de fundo austero.</v>
      </c>
      <c r="B1792" s="3">
        <v>1</v>
      </c>
    </row>
    <row r="1793" ht="15.75" customHeight="1" spans="1:2">
      <c r="A1793" s="3" t="str">
        <f>IFERROR(__xludf.DUMMYFUNCTION("GOOGLETRANSLATE(A1793,""en"",""pt"")"),"Você vai sair do cinema querendo sair e dançar sob as estrelas.")</f>
        <v>Você vai sair do cinema querendo sair e dançar sob as estrelas.</v>
      </c>
      <c r="B1793" s="3">
        <v>1</v>
      </c>
    </row>
    <row r="1794" ht="15.75" customHeight="1" spans="1:2">
      <c r="A1794" s="3" t="str">
        <f>IFERROR(__xludf.DUMMYFUNCTION("GOOGLETRANSLATE(A1794,""en"",""pt"")"),"A atuação, como seria de esperar deste elenco, é top de linha.")</f>
        <v>A atuação, como seria de esperar deste elenco, é top de linha.</v>
      </c>
      <c r="B1794" s="3">
        <v>1</v>
      </c>
    </row>
    <row r="1795" ht="15.75" customHeight="1" spans="1:2">
      <c r="A1795" s="3" t="str">
        <f>IFERROR(__xludf.DUMMYFUNCTION("GOOGLETRANSLATE(A1795,""en"",""pt"")"),"Os personagens são aprofundados surpreendentemente bem, particularmente Grimes e Blake, e todos os atores entregar suas linhas acentuadamente script com apenas a quantidade certa de língua inexpressivo no rosto para fazer o diálogo tanto hilariante e real"&amp;"ista.")</f>
        <v>Os personagens são aprofundados surpreendentemente bem, particularmente Grimes e Blake, e todos os atores entregar suas linhas acentuadamente script com apenas a quantidade certa de língua inexpressivo no rosto para fazer o diálogo tanto hilariante e realista.</v>
      </c>
      <c r="B1795" s="3">
        <v>1</v>
      </c>
    </row>
    <row r="1796" ht="15.75" customHeight="1" spans="1:2">
      <c r="A1796" s="3" t="str">
        <f>IFERROR(__xludf.DUMMYFUNCTION("GOOGLETRANSLATE(A1796,""en"",""pt"")"),"Angus Scrimm também se transforma em um bom desempenho em um pouco breve, mas o papel memorável como o delicadamente ameaçador, anatomista-tocando violino Doctor Quinn.")</f>
        <v>Angus Scrimm também se transforma em um bom desempenho em um pouco breve, mas o papel memorável como o delicadamente ameaçador, anatomista-tocando violino Doctor Quinn.</v>
      </c>
      <c r="B1796" s="3">
        <v>1</v>
      </c>
    </row>
    <row r="1797" ht="15.75" customHeight="1" spans="1:2">
      <c r="A1797" s="3" t="str">
        <f>IFERROR(__xludf.DUMMYFUNCTION("GOOGLETRANSLATE(A1797,""en"",""pt"")"),"Conclusão - eu adorei.")</f>
        <v>Conclusão - eu adorei.</v>
      </c>
      <c r="B1797" s="3">
        <v>1</v>
      </c>
    </row>
    <row r="1798" ht="15.75" customHeight="1" spans="1:2">
      <c r="A1798" s="3" t="str">
        <f>IFERROR(__xludf.DUMMYFUNCTION("GOOGLETRANSLATE(A1798,""en"",""pt"")"),"É um longo tempo desde que eu estava tão entretidos por um filme.")</f>
        <v>É um longo tempo desde que eu estava tão entretidos por um filme.</v>
      </c>
      <c r="B1798" s="3">
        <v>1</v>
      </c>
    </row>
    <row r="1799" ht="15.75" customHeight="1" spans="1:2">
      <c r="A1799" s="3" t="str">
        <f>IFERROR(__xludf.DUMMYFUNCTION("GOOGLETRANSLATE(A1799,""en"",""pt"")"),"I luta para encontrar nada de ruim a dizer sobre isso.")</f>
        <v>I luta para encontrar nada de ruim a dizer sobre isso.</v>
      </c>
      <c r="B1799" s="3">
        <v>1</v>
      </c>
    </row>
    <row r="1800" ht="15.75" customHeight="1" spans="1:2">
      <c r="A1800" s="3" t="str">
        <f>IFERROR(__xludf.DUMMYFUNCTION("GOOGLETRANSLATE(A1800,""en"",""pt"")"),"Marque minhas palavras, este é um daqueles filmes cult como Evil Dead 2 ou Phantasm que as pessoas ainda estarão descobrindo e se apaixonando por 20, 30, 40 anos para baixo da linha.")</f>
        <v>Marque minhas palavras, este é um daqueles filmes cult como Evil Dead 2 ou Phantasm que as pessoas ainda estarão descobrindo e se apaixonando por 20, 30, 40 anos para baixo da linha.</v>
      </c>
      <c r="B1800" s="3">
        <v>1</v>
      </c>
    </row>
    <row r="1801" ht="15.75" customHeight="1" spans="1:2">
      <c r="A1801" s="3" t="str">
        <f>IFERROR(__xludf.DUMMYFUNCTION("GOOGLETRANSLATE(A1801,""en"",""pt"")"),"É bastante surpreendente que este filme maravilhoso foi feito em 1949, como Hollywood geralmente tinham suas cabeças coletivas na areia sobre questões preto e branco da época.")</f>
        <v>É bastante surpreendente que este filme maravilhoso foi feito em 1949, como Hollywood geralmente tinham suas cabeças coletivas na areia sobre questões preto e branco da época.</v>
      </c>
      <c r="B1801" s="3">
        <v>1</v>
      </c>
    </row>
    <row r="1802" ht="15.75" customHeight="1" spans="1:2">
      <c r="A1802" s="3" t="str">
        <f>IFERROR(__xludf.DUMMYFUNCTION("GOOGLETRANSLATE(A1802,""en"",""pt"")"),"O filme merece elogios fortes para tomar esta posição, por ter atuação excepcional de seu elenco em sua maioria menos conhecido e para o script super-inteligente que não insulta o público ou tomar o caminho mais fácil quando se trata de racismo branco.")</f>
        <v>O filme merece elogios fortes para tomar esta posição, por ter atuação excepcional de seu elenco em sua maioria menos conhecido e para o script super-inteligente que não insulta o público ou tomar o caminho mais fácil quando se trata de racismo branco.</v>
      </c>
      <c r="B1802" s="3">
        <v>1</v>
      </c>
    </row>
    <row r="1803" ht="15.75" customHeight="1" spans="1:2">
      <c r="A1803" s="3" t="str">
        <f>IFERROR(__xludf.DUMMYFUNCTION("GOOGLETRANSLATE(A1803,""en"",""pt"")"),"Além disso, com orçamento bastante modesto do filme e rápido tempo de execução, ele faz um trabalho incrível!")</f>
        <v>Além disso, com orçamento bastante modesto do filme e rápido tempo de execução, ele faz um trabalho incrível!</v>
      </c>
      <c r="B1803" s="3">
        <v>1</v>
      </c>
    </row>
    <row r="1804" ht="15.75" customHeight="1" spans="1:2">
      <c r="A1804" s="3" t="str">
        <f>IFERROR(__xludf.DUMMYFUNCTION("GOOGLETRANSLATE(A1804,""en"",""pt"")"),"Juano Hernandez (um ator excepcional que interpretou papéis em muitos filmes da época de suporte) é um homem orgulhoso preto, que é acusado de assassinar um homem branco no Sul.")</f>
        <v>Juano Hernandez (um ator excepcional que interpretou papéis em muitos filmes da época de suporte) é um homem orgulhoso preto, que é acusado de assassinar um homem branco no Sul.</v>
      </c>
      <c r="B1804" s="3">
        <v>1</v>
      </c>
    </row>
    <row r="1805" ht="15.75" customHeight="1" spans="1:2">
      <c r="A1805" s="3" t="str">
        <f>IFERROR(__xludf.DUMMYFUNCTION("GOOGLETRANSLATE(A1805,""en"",""pt"")"),"Trumbull em I Love Lucy).")</f>
        <v>Trumbull em I Love Lucy).</v>
      </c>
      <c r="B1805" s="3">
        <v>1</v>
      </c>
    </row>
    <row r="1806" ht="15.75" customHeight="1" spans="1:2">
      <c r="A1806" s="3" t="str">
        <f>IFERROR(__xludf.DUMMYFUNCTION("GOOGLETRANSLATE(A1806,""en"",""pt"")"),"Veja-o com os seus filhos, se você tem uma chance - ele vai abrir algum diálogo surpreendente sobre o quão longe as relações raciais têm vindo nos últimos 50 anos.")</f>
        <v>Veja-o com os seus filhos, se você tem uma chance - ele vai abrir algum diálogo surpreendente sobre o quão longe as relações raciais têm vindo nos últimos 50 anos.</v>
      </c>
      <c r="B1806" s="3">
        <v>1</v>
      </c>
    </row>
    <row r="1807" ht="15.75" customHeight="1" spans="1:2">
      <c r="A1807" s="3" t="str">
        <f>IFERROR(__xludf.DUMMYFUNCTION("GOOGLETRANSLATE(A1807,""en"",""pt"")"),"Ver os dois filmes se você puder.")</f>
        <v>Ver os dois filmes se você puder.</v>
      </c>
      <c r="B1807" s="3">
        <v>1</v>
      </c>
    </row>
    <row r="1808" ht="15.75" customHeight="1" spans="1:2">
      <c r="A1808" s="3" t="str">
        <f>IFERROR(__xludf.DUMMYFUNCTION("GOOGLETRANSLATE(A1808,""en"",""pt"")"),"Foi naquele ano, no entanto, que nos lembrou que Huston ainda estava no topo de seu jogo como evidenciado pelo seu fiel adaptação do romance aclamado de James Joyce ""The Dead.")</f>
        <v>Foi naquele ano, no entanto, que nos lembrou que Huston ainda estava no topo de seu jogo como evidenciado pelo seu fiel adaptação do romance aclamado de James Joyce "The Dead.</v>
      </c>
      <c r="B1808" s="3">
        <v>1</v>
      </c>
    </row>
    <row r="1809" ht="15.75" customHeight="1" spans="1:2">
      <c r="A1809" s="3" t="str">
        <f>IFERROR(__xludf.DUMMYFUNCTION("GOOGLETRANSLATE(A1809,""en"",""pt"")"),"Sentimentos, pensamentos ... o desconforto de Gabriel durante a dança ... todos esses intangíveis saltar para a vida e chegar ao alcance do espectador no retrato de Huston.")</f>
        <v>Sentimentos, pensamentos ... o desconforto de Gabriel durante a dança ... todos esses intangíveis saltar para a vida e chegar ao alcance do espectador no retrato de Huston.</v>
      </c>
      <c r="B1809" s="3">
        <v>1</v>
      </c>
    </row>
    <row r="1810" ht="15.75" customHeight="1" spans="1:2">
      <c r="A1810" s="3" t="str">
        <f>IFERROR(__xludf.DUMMYFUNCTION("GOOGLETRANSLATE(A1810,""en"",""pt"")"),"Muito decepcionado e perguntou como ele poderia estar na lista Oscar.")</f>
        <v>Muito decepcionado e perguntou como ele poderia estar na lista Oscar.</v>
      </c>
      <c r="B1810" s="3">
        <v>0</v>
      </c>
    </row>
    <row r="1811" ht="15.75" customHeight="1" spans="1:2">
      <c r="A1811" s="3" t="str">
        <f>IFERROR(__xludf.DUMMYFUNCTION("GOOGLETRANSLATE(A1811,""en"",""pt"")"),"É muito lento.")</f>
        <v>É muito lento.</v>
      </c>
      <c r="B1811" s="3">
        <v>0</v>
      </c>
    </row>
    <row r="1812" ht="15.75" customHeight="1" spans="1:2">
      <c r="A1812" s="3" t="str">
        <f>IFERROR(__xludf.DUMMYFUNCTION("GOOGLETRANSLATE(A1812,""en"",""pt"")"),"Monte de buracos na trama: não há nada sobre como ele se tornou o imperador; nada sobre onde gastar 20 anos entre a infância ea idade adulta.")</f>
        <v>Monte de buracos na trama: não há nada sobre como ele se tornou o imperador; nada sobre onde gastar 20 anos entre a infância ea idade adulta.</v>
      </c>
      <c r="B1812" s="3">
        <v>0</v>
      </c>
    </row>
    <row r="1813" ht="15.75" customHeight="1" spans="1:2">
      <c r="A1813" s="3" t="str">
        <f>IFERROR(__xludf.DUMMYFUNCTION("GOOGLETRANSLATE(A1813,""en"",""pt"")"),"Fim dos Dias é um dos piores filmes de ação de grande orçamento que eu já vi.")</f>
        <v>Fim dos Dias é um dos piores filmes de ação de grande orçamento que eu já vi.</v>
      </c>
      <c r="B1813" s="3">
        <v>0</v>
      </c>
    </row>
    <row r="1814" ht="15.75" customHeight="1" spans="1:2">
      <c r="A1814" s="3" t="str">
        <f>IFERROR(__xludf.DUMMYFUNCTION("GOOGLETRANSLATE(A1814,""en"",""pt"")"),"Ele certamente não sabe como fazer um filme de ação coerente do roteirista de Air Force One que só foi obrigado a escrever o roteiro apenas para uma grande soma de dinheiro.")</f>
        <v>Ele certamente não sabe como fazer um filme de ação coerente do roteirista de Air Force One que só foi obrigado a escrever o roteiro apenas para uma grande soma de dinheiro.</v>
      </c>
      <c r="B1814" s="3">
        <v>0</v>
      </c>
    </row>
    <row r="1815" ht="15.75" customHeight="1" spans="1:2">
      <c r="A1815" s="3" t="str">
        <f>IFERROR(__xludf.DUMMYFUNCTION("GOOGLETRANSLATE(A1815,""en"",""pt"")"),"Este foi um dos piores filmes que eu já vi.")</f>
        <v>Este foi um dos piores filmes que eu já vi.</v>
      </c>
      <c r="B1815" s="3">
        <v>0</v>
      </c>
    </row>
    <row r="1816" ht="15.75" customHeight="1" spans="1:2">
      <c r="A1816" s="3" t="str">
        <f>IFERROR(__xludf.DUMMYFUNCTION("GOOGLETRANSLATE(A1816,""en"",""pt"")"),"Eu ainda estou tentando superar o quão ruim era.")</f>
        <v>Eu ainda estou tentando superar o quão ruim era.</v>
      </c>
      <c r="B1816" s="3">
        <v>0</v>
      </c>
    </row>
    <row r="1817" ht="15.75" customHeight="1" spans="1:2">
      <c r="A1817" s="3" t="str">
        <f>IFERROR(__xludf.DUMMYFUNCTION("GOOGLETRANSLATE(A1817,""en"",""pt"")"),"Este filme é, possivelmente, um dos mais obras criativas de horror nunca.")</f>
        <v>Este filme é, possivelmente, um dos mais obras criativas de horror nunca.</v>
      </c>
      <c r="B1817" s="3">
        <v>1</v>
      </c>
    </row>
    <row r="1818" ht="15.75" customHeight="1" spans="1:2">
      <c r="A1818" s="3" t="str">
        <f>IFERROR(__xludf.DUMMYFUNCTION("GOOGLETRANSLATE(A1818,""en"",""pt"")"),"Ele tem tudo que você poderia querer ... suspense, drama, comédia, subtramas confuso, nativos americanos, comer cérebro ... Se você está procurando a todo o ser-end-todos os filmes brainsucking, não procure mais.")</f>
        <v>Ele tem tudo que você poderia querer ... suspense, drama, comédia, subtramas confuso, nativos americanos, comer cérebro ... Se você está procurando a todo o ser-end-todos os filmes brainsucking, não procure mais.</v>
      </c>
      <c r="B1818" s="3">
        <v>1</v>
      </c>
    </row>
    <row r="1819" ht="15.75" customHeight="1" spans="1:2">
      <c r="A1819" s="3" t="str">
        <f>IFERROR(__xludf.DUMMYFUNCTION("GOOGLETRANSLATE(A1819,""en"",""pt"")")," Com efeitos sonoros grandes e efeitos especiais impressionantes, eu não posso recomendar este o suficiente filme.")</f>
        <v> Com efeitos sonoros grandes e efeitos especiais impressionantes, eu não posso recomendar este o suficiente filme.</v>
      </c>
      <c r="B1819" s="3">
        <v>1</v>
      </c>
    </row>
    <row r="1820" ht="15.75" customHeight="1" spans="1:2">
      <c r="A1820" s="3" t="str">
        <f>IFERROR(__xludf.DUMMYFUNCTION("GOOGLETRANSLATE(A1820,""en"",""pt"")"),"Chame-me uma porca, mas acho que este é um dos melhores filmes de sempre.")</f>
        <v>Chame-me uma porca, mas acho que este é um dos melhores filmes de sempre.</v>
      </c>
      <c r="B1820" s="3">
        <v>1</v>
      </c>
    </row>
    <row r="1821" ht="15.75" customHeight="1" spans="1:2">
      <c r="A1821" s="3" t="s">
        <v>7</v>
      </c>
      <c r="B1821" s="3">
        <v>1</v>
      </c>
    </row>
    <row r="1822" ht="15.75" customHeight="1" spans="1:2">
      <c r="A1822" s="3" t="str">
        <f>IFERROR(__xludf.DUMMYFUNCTION("GOOGLETRANSLATE(A1822,""en"",""pt"")"),"Muitos buracos no roteiro.")</f>
        <v>Muitos buracos no roteiro.</v>
      </c>
      <c r="B1822" s="3">
        <v>0</v>
      </c>
    </row>
    <row r="1823" ht="15.75" customHeight="1" spans="1:2">
      <c r="A1823" s="3" t="str">
        <f>IFERROR(__xludf.DUMMYFUNCTION("GOOGLETRANSLATE(A1823,""en"",""pt"")"),"É como um filme ruim duas horas TV.")</f>
        <v>É como um filme ruim duas horas TV.</v>
      </c>
      <c r="B1823" s="3">
        <v>0</v>
      </c>
    </row>
    <row r="1824" ht="15.75" customHeight="1" spans="1:2">
      <c r="A1824" s="3" t="str">
        <f>IFERROR(__xludf.DUMMYFUNCTION("GOOGLETRANSLATE(A1824,""en"",""pt"")"),"Agora imagine que cada uma dessas decisões foi feito errado.")</f>
        <v>Agora imagine que cada uma dessas decisões foi feito errado.</v>
      </c>
      <c r="B1824" s="3">
        <v>0</v>
      </c>
    </row>
    <row r="1825" ht="15.75" customHeight="1" spans="1:2">
      <c r="A1825" s="3" t="str">
        <f>IFERROR(__xludf.DUMMYFUNCTION("GOOGLETRANSLATE(A1825,""en"",""pt"")"),"O diálogo é atroz.")</f>
        <v>O diálogo é atroz.</v>
      </c>
      <c r="B1825" s="3">
        <v>0</v>
      </c>
    </row>
    <row r="1826" ht="15.75" customHeight="1" spans="1:2">
      <c r="A1826" s="3" t="str">
        <f>IFERROR(__xludf.DUMMYFUNCTION("GOOGLETRANSLATE(A1826,""en"",""pt"")"),"A qualidade é além abismal.")</f>
        <v>A qualidade é além abismal.</v>
      </c>
      <c r="B1826" s="3">
        <v>0</v>
      </c>
    </row>
    <row r="1827" ht="15.75" customHeight="1" spans="1:2">
      <c r="A1827" s="3" t="str">
        <f>IFERROR(__xludf.DUMMYFUNCTION("GOOGLETRANSLATE(A1827,""en"",""pt"")"),"fede tudo.")</f>
        <v>fede tudo.</v>
      </c>
      <c r="B1827" s="3">
        <v>0</v>
      </c>
    </row>
    <row r="1828" ht="15.75" customHeight="1" spans="1:2">
      <c r="A1828" s="3" t="str">
        <f>IFERROR(__xludf.DUMMYFUNCTION("GOOGLETRANSLATE(A1828,""en"",""pt"")"),"O problema é que, a escrever e dirigir tornam impossível estabelecer essas coisas que fazem um watchable filme, como caráter, história, tema e assim por diante.")</f>
        <v>O problema é que, a escrever e dirigir tornam impossível estabelecer essas coisas que fazem um watchable filme, como caráter, história, tema e assim por diante.</v>
      </c>
      <c r="B1828" s="3">
        <v>0</v>
      </c>
    </row>
    <row r="1829" ht="15.75" customHeight="1" spans="1:2">
      <c r="A1829" s="3" t="str">
        <f>IFERROR(__xludf.DUMMYFUNCTION("GOOGLETRANSLATE(A1829,""en"",""pt"")"),"Pior, há uma sub-trama incrivelmente fraco jogado no que segue um pequeno grupo de Mansonites dos últimos dias como eles vão depois de um repórter que está trabalhando em uma reportagem sobre o aniversário dos assassinatos.")</f>
        <v>Pior, há uma sub-trama incrivelmente fraco jogado no que segue um pequeno grupo de Mansonites dos últimos dias como eles vão depois de um repórter que está trabalhando em uma reportagem sobre o aniversário dos assassinatos.</v>
      </c>
      <c r="B1829" s="3">
        <v>0</v>
      </c>
    </row>
    <row r="1830" ht="15.75" customHeight="1" spans="1:2">
      <c r="A1830" s="3" t="str">
        <f>IFERROR(__xludf.DUMMYFUNCTION("GOOGLETRANSLATE(A1830,""en"",""pt"")"),"É idiota e sem sentido, e uma completa perda de tempo.")</f>
        <v>É idiota e sem sentido, e uma completa perda de tempo.</v>
      </c>
      <c r="B1830" s="3">
        <v>0</v>
      </c>
    </row>
    <row r="1831" ht="15.75" customHeight="1" spans="1:2">
      <c r="A1831" s="3" t="str">
        <f>IFERROR(__xludf.DUMMYFUNCTION("GOOGLETRANSLATE(A1831,""en"",""pt"")"),"Em suma, não se incomodam com este filme.")</f>
        <v>Em suma, não se incomodam com este filme.</v>
      </c>
      <c r="B1831" s="3">
        <v>0</v>
      </c>
    </row>
    <row r="1832" ht="15.75" customHeight="1" spans="1:2">
      <c r="A1832" s="3" t="str">
        <f>IFERROR(__xludf.DUMMYFUNCTION("GOOGLETRANSLATE(A1832,""en"",""pt"")"),"Eu não vou desperdiçá-la, mas o terminando em bastante surpreendente.")</f>
        <v>Eu não vou desperdiçá-la, mas o terminando em bastante surpreendente.</v>
      </c>
      <c r="B1832" s="3">
        <v>1</v>
      </c>
    </row>
    <row r="1833" ht="15.75" customHeight="1" spans="1:2">
      <c r="A1833" s="3" t="str">
        <f>IFERROR(__xludf.DUMMYFUNCTION("GOOGLETRANSLATE(A1833,""en"",""pt"")"),"A melhor cena do filme está no final, mas eu não vou desperdiçá-la.")</f>
        <v>A melhor cena do filme está no final, mas eu não vou desperdiçá-la.</v>
      </c>
      <c r="B1833" s="3">
        <v>1</v>
      </c>
    </row>
    <row r="1834" ht="15.75" customHeight="1" spans="1:2">
      <c r="A1834" s="3" t="str">
        <f>IFERROR(__xludf.DUMMYFUNCTION("GOOGLETRANSLATE(A1834,""en"",""pt"")"),"Se alguma vez houve uma indicação de um escritor e capacidade de um diretor de fundir dois temperamentos altamente voláteis em uma união perfeita de criatividade, então é isso!")</f>
        <v>Se alguma vez houve uma indicação de um escritor e capacidade de um diretor de fundir dois temperamentos altamente voláteis em uma união perfeita de criatividade, então é isso!</v>
      </c>
      <c r="B1834" s="3">
        <v>1</v>
      </c>
    </row>
    <row r="1835" ht="15.75" customHeight="1" spans="1:2">
      <c r="A1835" s="3" t="str">
        <f>IFERROR(__xludf.DUMMYFUNCTION("GOOGLETRANSLATE(A1835,""en"",""pt"")"),"O resultado é uma realização potência, fez mais oportuna agora talvez por causa de perturbar o fascínio de nossa cultura com a celebridade, e é interpretações distorcidas de fama.")</f>
        <v>O resultado é uma realização potência, fez mais oportuna agora talvez por causa de perturbar o fascínio de nossa cultura com a celebridade, e é interpretações distorcidas de fama.</v>
      </c>
      <c r="B1835" s="3">
        <v>1</v>
      </c>
    </row>
    <row r="1836" ht="15.75" customHeight="1" spans="1:2">
      <c r="A1836" s="3" t="str">
        <f>IFERROR(__xludf.DUMMYFUNCTION("GOOGLETRANSLATE(A1836,""en"",""pt"")"),"Um filme não é facilmente esquecido.")</f>
        <v>Um filme não é facilmente esquecido.</v>
      </c>
      <c r="B1836" s="3">
        <v>1</v>
      </c>
    </row>
    <row r="1837" ht="15.75" customHeight="1" spans="1:2">
      <c r="A1837" s="3" t="str">
        <f>IFERROR(__xludf.DUMMYFUNCTION("GOOGLETRANSLATE(A1837,""en"",""pt"")"),"Mas, Kevin Spacey é um excelente, tsunami verbal como Buddy Ackerman Â- e totalmente crível, porque ele é um grande ator.")</f>
        <v>Mas, Kevin Spacey é um excelente, tsunami verbal como Buddy Ackerman Â- e totalmente crível, porque ele é um grande ator.</v>
      </c>
      <c r="B1837" s="3">
        <v>1</v>
      </c>
    </row>
    <row r="1838" ht="15.75" customHeight="1" spans="1:2">
      <c r="A1838" s="3" t="str">
        <f>IFERROR(__xludf.DUMMYFUNCTION("GOOGLETRANSLATE(A1838,""en"",""pt"")"),"O script da comédia sutil é inigualável por qualquer filme nos últimos anos.")</f>
        <v>O script da comédia sutil é inigualável por qualquer filme nos últimos anos.</v>
      </c>
      <c r="B1838" s="3">
        <v>1</v>
      </c>
    </row>
    <row r="1839" ht="15.75" customHeight="1" spans="1:2">
      <c r="A1839" s="3" t="str">
        <f>IFERROR(__xludf.DUMMYFUNCTION("GOOGLETRANSLATE(A1839,""en"",""pt"")"),"Os personagens são interessantes, mesmo se um pouco previsível.")</f>
        <v>Os personagens são interessantes, mesmo se um pouco previsível.</v>
      </c>
      <c r="B1839" s="3">
        <v>1</v>
      </c>
    </row>
    <row r="1840" ht="15.75" customHeight="1" spans="1:2">
      <c r="A1840" s="3" t="str">
        <f>IFERROR(__xludf.DUMMYFUNCTION("GOOGLETRANSLATE(A1840,""en"",""pt"")"),"Altamente recomendado para todas as idades, embora os mais jovens provavelmente não vai apreciar algumas das referências mais sutis, eles irão certamente apreciar uma cena galley em particular!")</f>
        <v>Altamente recomendado para todas as idades, embora os mais jovens provavelmente não vai apreciar algumas das referências mais sutis, eles irão certamente apreciar uma cena galley em particular!</v>
      </c>
      <c r="B1840" s="3">
        <v>1</v>
      </c>
    </row>
    <row r="1841" ht="15.75" customHeight="1" spans="1:2">
      <c r="A1841" s="3" t="str">
        <f>IFERROR(__xludf.DUMMYFUNCTION("GOOGLETRANSLATE(A1841,""en"",""pt"")"),"Ótimo filme!")</f>
        <v>Ótimo filme!</v>
      </c>
      <c r="B1841" s="3">
        <v>1</v>
      </c>
    </row>
    <row r="1842" ht="15.75" customHeight="1" spans="1:2">
      <c r="A1842" s="3" t="str">
        <f>IFERROR(__xludf.DUMMYFUNCTION("GOOGLETRANSLATE(A1842,""en"",""pt"")"),"Também a história e agir eram fracos.")</f>
        <v>Também a história e agir eram fracos.</v>
      </c>
      <c r="B1842" s="3">
        <v>0</v>
      </c>
    </row>
    <row r="1843" ht="15.75" customHeight="1" spans="1:2">
      <c r="A1843" s="3" t="str">
        <f>IFERROR(__xludf.DUMMYFUNCTION("GOOGLETRANSLATE(A1843,""en"",""pt"")"),"Por volta das 16:00 eu comprei, por volta das 20:00 eu comecei a assistir, por volta das 20:15 eu rápido transmitiu o filme restante para ver se havia mais alguma coisa assistível para um ser humano com um cérebro ... mas não havia.")</f>
        <v>Por volta das 16:00 eu comprei, por volta das 20:00 eu comecei a assistir, por volta das 20:15 eu rápido transmitiu o filme restante para ver se havia mais alguma coisa assistível para um ser humano com um cérebro ... mas não havia.</v>
      </c>
      <c r="B1843" s="3">
        <v>0</v>
      </c>
    </row>
    <row r="1844" ht="15.75" customHeight="1" spans="1:2">
      <c r="A1844" s="3" t="str">
        <f>IFERROR(__xludf.DUMMYFUNCTION("GOOGLETRANSLATE(A1844,""en"",""pt"")"),"De qualquer maneira, é uma porcaria.")</f>
        <v>De qualquer maneira, é uma porcaria.</v>
      </c>
      <c r="B1844" s="3">
        <v>0</v>
      </c>
    </row>
    <row r="1845" ht="15.75" customHeight="1" spans="1:2">
      <c r="A1845" s="3" t="str">
        <f>IFERROR(__xludf.DUMMYFUNCTION("GOOGLETRANSLATE(A1845,""en"",""pt"")"),"O roteiro é terrivelmente estúpido.")</f>
        <v>O roteiro é terrivelmente estúpido.</v>
      </c>
      <c r="B1845" s="3">
        <v>0</v>
      </c>
    </row>
    <row r="1846" ht="15.75" customHeight="1" spans="1:2">
      <c r="A1846" s="3" t="str">
        <f>IFERROR(__xludf.DUMMYFUNCTION("GOOGLETRANSLATE(A1846,""en"",""pt"")"),"A história começa muito rápido com absolutamente nenhum suspense ou build-up na mínima.")</f>
        <v>A história começa muito rápido com absolutamente nenhum suspense ou build-up na mínima.</v>
      </c>
      <c r="B1846" s="3">
        <v>0</v>
      </c>
    </row>
    <row r="1847" ht="15.75" customHeight="1" spans="1:2">
      <c r="A1847" s="3" t="str">
        <f>IFERROR(__xludf.DUMMYFUNCTION("GOOGLETRANSLATE(A1847,""en"",""pt"")"),"Tudo capitão Howdy diz ou é risível ou simplesmente estúpido.")</f>
        <v>Tudo capitão Howdy diz ou é risível ou simplesmente estúpido.</v>
      </c>
      <c r="B1847" s="3">
        <v>0</v>
      </c>
    </row>
    <row r="1848" ht="15.75" customHeight="1" spans="1:2">
      <c r="A1848" s="3" t="str">
        <f>IFERROR(__xludf.DUMMYFUNCTION("GOOGLETRANSLATE(A1848,""en"",""pt"")"),"Que raio de merda é essa ?!")</f>
        <v>Que raio de merda é essa ?!</v>
      </c>
      <c r="B1848" s="3">
        <v>0</v>
      </c>
    </row>
    <row r="1849" ht="15.75" customHeight="1" spans="1:2">
      <c r="A1849" s="3" t="str">
        <f>IFERROR(__xludf.DUMMYFUNCTION("GOOGLETRANSLATE(A1849,""en"",""pt"")"),"Então, há o enredo buracos.")</f>
        <v>Então, há o enredo buracos.</v>
      </c>
      <c r="B1849" s="3">
        <v>0</v>
      </c>
    </row>
    <row r="1850" ht="15.75" customHeight="1" spans="1:2">
      <c r="A1850" s="3" t="str">
        <f>IFERROR(__xludf.DUMMYFUNCTION("GOOGLETRANSLATE(A1850,""en"",""pt"")"),"Você poderia dirigir um caminhão semi para esses buracos!")</f>
        <v>Você poderia dirigir um caminhão semi para esses buracos!</v>
      </c>
      <c r="B1850" s="3">
        <v>0</v>
      </c>
    </row>
    <row r="1851" ht="15.75" customHeight="1" spans="1:2">
      <c r="A1851" s="3" t="str">
        <f>IFERROR(__xludf.DUMMYFUNCTION("GOOGLETRANSLATE(A1851,""en"",""pt"")"),"Linda Cardellini é a única coisa boa neste filme.")</f>
        <v>Linda Cardellini é a única coisa boa neste filme.</v>
      </c>
      <c r="B1851" s="3">
        <v>1</v>
      </c>
    </row>
    <row r="1852" ht="15.75" customHeight="1" spans="1:2">
      <c r="A1852" s="3" t="str">
        <f>IFERROR(__xludf.DUMMYFUNCTION("GOOGLETRANSLATE(A1852,""en"",""pt"")"),"Ela é equilibrado e surpreendente.")</f>
        <v>Ela é equilibrado e surpreendente.</v>
      </c>
      <c r="B1852" s="3">
        <v>1</v>
      </c>
    </row>
    <row r="1853" ht="15.75" customHeight="1" spans="1:2">
      <c r="A1853" s="3" t="str">
        <f>IFERROR(__xludf.DUMMYFUNCTION("GOOGLETRANSLATE(A1853,""en"",""pt"")"),"Dee Snider simplesmente uma porcaria.")</f>
        <v>Dee Snider simplesmente uma porcaria.</v>
      </c>
      <c r="B1853" s="3">
        <v>0</v>
      </c>
    </row>
    <row r="1854" ht="15.75" customHeight="1" spans="1:2">
      <c r="A1854" s="3" t="str">
        <f>IFERROR(__xludf.DUMMYFUNCTION("GOOGLETRANSLATE(A1854,""en"",""pt"")"),"Ele não pode agir (um dos vilões menos assustadoras que eu já vi), ele não pode escrever (que ele escreveu este filme maldito em seu sono?")</f>
        <v>Ele não pode agir (um dos vilões menos assustadoras que eu já vi), ele não pode escrever (que ele escreveu este filme maldito em seu sono?</v>
      </c>
      <c r="B1854" s="3">
        <v>0</v>
      </c>
    </row>
    <row r="1855" ht="15.75" customHeight="1" spans="1:2">
      <c r="A1855" s="3" t="str">
        <f>IFERROR(__xludf.DUMMYFUNCTION("GOOGLETRANSLATE(A1855,""en"",""pt"")"),"Eu estava entediado ao longo de toda a maldita coisa.")</f>
        <v>Eu estava entediado ao longo de toda a maldita coisa.</v>
      </c>
      <c r="B1855" s="3">
        <v>0</v>
      </c>
    </row>
    <row r="1856" ht="15.75" customHeight="1" spans="1:2">
      <c r="A1856" s="3" t="str">
        <f>IFERROR(__xludf.DUMMYFUNCTION("GOOGLETRANSLATE(A1856,""en"",""pt"")"),"A atuação suga, a música é uma porcaria, o script é uma porcaria, o ritmo é uma porcaria, o FX especial chupar, a direção é uma porcaria ... basicamente, este filme é uma porcaria.")</f>
        <v>A atuação suga, a música é uma porcaria, o script é uma porcaria, o ritmo é uma porcaria, o FX especial chupar, a direção é uma porcaria ... basicamente, este filme é uma porcaria.</v>
      </c>
      <c r="B1856" s="3">
        <v>0</v>
      </c>
    </row>
    <row r="1857" ht="15.75" customHeight="1" spans="1:2">
      <c r="A1857" s="3" t="str">
        <f>IFERROR(__xludf.DUMMYFUNCTION("GOOGLETRANSLATE(A1857,""en"",""pt"")"),"Este filme tenta ser um sério e sofisticado suspense / filme de terror e ele falhar miseravelmente.")</f>
        <v>Este filme tenta ser um sério e sofisticado suspense / filme de terror e ele falhar miseravelmente.</v>
      </c>
      <c r="B1857" s="3">
        <v>0</v>
      </c>
    </row>
    <row r="1858" ht="15.75" customHeight="1" spans="1:2">
      <c r="A1858" s="3" t="str">
        <f>IFERROR(__xludf.DUMMYFUNCTION("GOOGLETRANSLATE(A1858,""en"",""pt"")"),"Este é provavelmente um dos filmes menos eficazes e totalmente banal que eu já vi em toda a minha vida.")</f>
        <v>Este é provavelmente um dos filmes menos eficazes e totalmente banal que eu já vi em toda a minha vida.</v>
      </c>
      <c r="B1858" s="3">
        <v>0</v>
      </c>
    </row>
    <row r="1859" ht="15.75" customHeight="1" spans="1:2">
      <c r="A1859" s="3" t="str">
        <f>IFERROR(__xludf.DUMMYFUNCTION("GOOGLETRANSLATE(A1859,""en"",""pt"")"),"Um pedaço de lixo cinematográfico capturada em celulóide.")</f>
        <v>Um pedaço de lixo cinematográfico capturada em celulóide.</v>
      </c>
      <c r="B1859" s="3">
        <v>0</v>
      </c>
    </row>
    <row r="1860" ht="15.75" customHeight="1" spans="1:2">
      <c r="A1860" s="3" t="str">
        <f>IFERROR(__xludf.DUMMYFUNCTION("GOOGLETRANSLATE(A1860,""en"",""pt"")"),"Evitar a todo e qualquer custo.")</f>
        <v>Evitar a todo e qualquer custo.</v>
      </c>
      <c r="B1860" s="3">
        <v>0</v>
      </c>
    </row>
    <row r="1861" ht="15.75" customHeight="1" spans="1:2">
      <c r="A1861" s="3" t="str">
        <f>IFERROR(__xludf.DUMMYFUNCTION("GOOGLETRANSLATE(A1861,""en"",""pt"")"),"De qualquer forma isso fede de cinema, não é engraçado, e Fulci deveria ter ficado com giallo e filmes de zumbis sobrenaturais.")</f>
        <v>De qualquer forma isso fede de cinema, não é engraçado, e Fulci deveria ter ficado com giallo e filmes de zumbis sobrenaturais.</v>
      </c>
      <c r="B1861" s="3">
        <v>0</v>
      </c>
    </row>
    <row r="1862" ht="15.75" customHeight="1" spans="1:2">
      <c r="A1862" s="3" t="str">
        <f>IFERROR(__xludf.DUMMYFUNCTION("GOOGLETRANSLATE(A1862,""en"",""pt"")"),"Evitar este filme a qualquer custo.")</f>
        <v>Evitar este filme a qualquer custo.</v>
      </c>
      <c r="B1862" s="3">
        <v>0</v>
      </c>
    </row>
    <row r="1863" ht="15.75" customHeight="1" spans="1:2">
      <c r="A1863" s="3" t="str">
        <f>IFERROR(__xludf.DUMMYFUNCTION("GOOGLETRANSLATE(A1863,""en"",""pt"")"),"Eu não sei o que aconteceu na quinta temporada, que confusão.")</f>
        <v>Eu não sei o que aconteceu na quinta temporada, que confusão.</v>
      </c>
      <c r="B1863" s="3">
        <v>0</v>
      </c>
    </row>
    <row r="1864" ht="15.75" customHeight="1" spans="1:2">
      <c r="A1864" s="3" t="str">
        <f>IFERROR(__xludf.DUMMYFUNCTION("GOOGLETRANSLATE(A1864,""en"",""pt"")"),"A rosca única consistente segurando a série juntos foram as performances surpreendentes de Leni Parker e Anita Laselva como os dois Taelons em conflito idealogical tranquila.")</f>
        <v>A rosca única consistente segurando a série juntos foram as performances surpreendentes de Leni Parker e Anita Laselva como os dois Taelons em conflito idealogical tranquila.</v>
      </c>
      <c r="B1864" s="3">
        <v>0</v>
      </c>
    </row>
    <row r="1865" ht="15.75" customHeight="1" spans="1:2">
      <c r="A1865" s="3" t="str">
        <f>IFERROR(__xludf.DUMMYFUNCTION("GOOGLETRANSLATE(A1865,""en"",""pt"")"),"Agora, este é um filme que eu realmente não gosto.")</f>
        <v>Agora, este é um filme que eu realmente não gosto.</v>
      </c>
      <c r="B1865" s="3">
        <v>0</v>
      </c>
    </row>
    <row r="1866" ht="15.75" customHeight="1" spans="1:2">
      <c r="A1866" s="3" t="s">
        <v>8</v>
      </c>
      <c r="B1866" s="3">
        <v>0</v>
      </c>
    </row>
    <row r="1867" ht="15.75" customHeight="1" spans="1:2">
      <c r="A1867" s="3" t="str">
        <f>IFERROR(__xludf.DUMMYFUNCTION("GOOGLETRANSLATE(A1867,""en"",""pt"")"),"Os bonecos olhar realmente brega, não em um bom caminho, como em filmes dos anos 80 Puppet Master.")</f>
        <v>Os bonecos olhar realmente brega, não em um bom caminho, como em filmes dos anos 80 Puppet Master.</v>
      </c>
      <c r="B1867" s="3">
        <v>0</v>
      </c>
    </row>
    <row r="1868" ht="15.75" customHeight="1" spans="1:2">
      <c r="A1868" s="3" t="str">
        <f>IFERROR(__xludf.DUMMYFUNCTION("GOOGLETRANSLATE(A1868,""en"",""pt"")"),"A história é coxo, não é interessante e nunca realmente explica as origens sinistras dos bonecos.")</f>
        <v>A história é coxo, não é interessante e nunca realmente explica as origens sinistras dos bonecos.</v>
      </c>
      <c r="B1868" s="3">
        <v>0</v>
      </c>
    </row>
    <row r="1869" ht="15.75" customHeight="1" spans="1:2">
      <c r="A1869" s="3" t="str">
        <f>IFERROR(__xludf.DUMMYFUNCTION("GOOGLETRANSLATE(A1869,""en"",""pt"")"),"Não há cenas de morte, como nos filmes anteriores e a f / x são terríveis.")</f>
        <v>Não há cenas de morte, como nos filmes anteriores e a f / x são terríveis.</v>
      </c>
      <c r="B1869" s="3">
        <v>0</v>
      </c>
    </row>
    <row r="1870" ht="15.75" customHeight="1" spans="1:2">
      <c r="A1870" s="3" t="str">
        <f>IFERROR(__xludf.DUMMYFUNCTION("GOOGLETRANSLATE(A1870,""en"",""pt"")"),"Senti dormindo a primeira vez que eu assisti-lo, para que eu possa recomendá-lo para insones.")</f>
        <v>Senti dormindo a primeira vez que eu assisti-lo, para que eu possa recomendá-lo para insones.</v>
      </c>
      <c r="B1870" s="3">
        <v>0</v>
      </c>
    </row>
    <row r="1871" ht="15.75" customHeight="1" spans="1:2">
      <c r="A1871" s="3" t="str">
        <f>IFERROR(__xludf.DUMMYFUNCTION("GOOGLETRANSLATE(A1871,""en"",""pt"")"),"O fato é que este filme é um maravilhoso, reconfortante conto sobre duas pessoas perseguindo seus sonhos.")</f>
        <v>O fato é que este filme é um maravilhoso, reconfortante conto sobre duas pessoas perseguindo seus sonhos.</v>
      </c>
      <c r="B1871" s="3">
        <v>1</v>
      </c>
    </row>
    <row r="1872" ht="15.75" customHeight="1" spans="1:2">
      <c r="A1872" s="3" t="str">
        <f>IFERROR(__xludf.DUMMYFUNCTION("GOOGLETRANSLATE(A1872,""en"",""pt"")"),"A melhor parte sobre ""Enfermeira Betty"" é de imprevisibilidade.")</f>
        <v>A melhor parte sobre "Enfermeira Betty" é de imprevisibilidade.</v>
      </c>
      <c r="B1872" s="3">
        <v>1</v>
      </c>
    </row>
    <row r="1873" ht="15.75" customHeight="1" spans="1:2">
      <c r="A1873" s="3" t="str">
        <f>IFERROR(__xludf.DUMMYFUNCTION("GOOGLETRANSLATE(A1873,""en"",""pt"")"),"Diretor Neil LaBute usa a violência brutal aos sonhos separados da realidade, e junto com o drama comovente e hilariante comédia, você nunca pode dizer o que vai acontecer a seguir.")</f>
        <v>Diretor Neil LaBute usa a violência brutal aos sonhos separados da realidade, e junto com o drama comovente e hilariante comédia, você nunca pode dizer o que vai acontecer a seguir.</v>
      </c>
      <c r="B1873" s="3">
        <v>1</v>
      </c>
    </row>
    <row r="1874" ht="15.75" customHeight="1" spans="1:2">
      <c r="A1874" s="3" t="str">
        <f>IFERROR(__xludf.DUMMYFUNCTION("GOOGLETRANSLATE(A1874,""en"",""pt"")"),"Caso contrário, nem sequer desperdiçar seu tempo com isso.")</f>
        <v>Caso contrário, nem sequer desperdiçar seu tempo com isso.</v>
      </c>
      <c r="B1874" s="3">
        <v>0</v>
      </c>
    </row>
    <row r="1875" ht="15.75" customHeight="1" spans="1:2">
      <c r="A1875" s="3" t="str">
        <f>IFERROR(__xludf.DUMMYFUNCTION("GOOGLETRANSLATE(A1875,""en"",""pt"")"),"Este apenas não criar qualquer suspense real.")</f>
        <v>Este apenas não criar qualquer suspense real.</v>
      </c>
      <c r="B1875" s="3">
        <v>0</v>
      </c>
    </row>
    <row r="1876" ht="15.75" customHeight="1" spans="1:2">
      <c r="A1876" s="3" t="str">
        <f>IFERROR(__xludf.DUMMYFUNCTION("GOOGLETRANSLATE(A1876,""en"",""pt"")"),"Quanto ao assassino, não espere originais nada nem mesmo remotamente assustadora.")</f>
        <v>Quanto ao assassino, não espere originais nada nem mesmo remotamente assustadora.</v>
      </c>
      <c r="B1876" s="3">
        <v>0</v>
      </c>
    </row>
    <row r="1877" ht="15.75" customHeight="1" spans="1:2">
      <c r="A1877" s="3" t="str">
        <f>IFERROR(__xludf.DUMMYFUNCTION("GOOGLETRANSLATE(A1877,""en"",""pt"")"),"Há, no entanto, alguns boa atuação muito (pelo menos, para este tipo de filme).")</f>
        <v>Há, no entanto, alguns boa atuação muito (pelo menos, para este tipo de filme).</v>
      </c>
      <c r="B1877" s="3">
        <v>1</v>
      </c>
    </row>
    <row r="1878" ht="15.75" customHeight="1" spans="1:2">
      <c r="A1878" s="3" t="s">
        <v>9</v>
      </c>
      <c r="B1878" s="3">
        <v>0</v>
      </c>
    </row>
    <row r="1879" ht="15.75" customHeight="1" spans="1:2">
      <c r="A1879" s="3" t="str">
        <f>IFERROR(__xludf.DUMMYFUNCTION("GOOGLETRANSLATE(A1879,""en"",""pt"")"),"Uma das mais chatas, filmes sem sentido que eu já vi.")</f>
        <v>Uma das mais chatas, filmes sem sentido que eu já vi.</v>
      </c>
      <c r="B1879" s="3">
        <v>0</v>
      </c>
    </row>
    <row r="1880" ht="15.75" customHeight="1" spans="1:2">
      <c r="A1880" s="3" t="str">
        <f>IFERROR(__xludf.DUMMYFUNCTION("GOOGLETRANSLATE(A1880,""en"",""pt"")"),"A linha de trama secundário é incompreensível e a sua relação com a linha de trama primária é mistificante.")</f>
        <v>A linha de trama secundário é incompreensível e a sua relação com a linha de trama primária é mistificante.</v>
      </c>
      <c r="B1880" s="3">
        <v>0</v>
      </c>
    </row>
    <row r="1881" ht="15.75" customHeight="1" spans="1:2">
      <c r="A1881" s="3" t="str">
        <f>IFERROR(__xludf.DUMMYFUNCTION("GOOGLETRANSLATE(A1881,""en"",""pt"")"),"Odiava.")</f>
        <v>Odiava.</v>
      </c>
      <c r="B1881" s="3">
        <v>0</v>
      </c>
    </row>
    <row r="1882" ht="15.75" customHeight="1" spans="1:2">
      <c r="A1882" s="3" t="str">
        <f>IFERROR(__xludf.DUMMYFUNCTION("GOOGLETRANSLATE(A1882,""en"",""pt"")"),"Este é um dos piores filmes Sandra Bullock desde Speed ​​2 Mas não é tão ruim.")</f>
        <v>Este é um dos piores filmes Sandra Bullock desde Speed ​​2 Mas não é tão ruim.</v>
      </c>
      <c r="B1882" s="3">
        <v>0</v>
      </c>
    </row>
    <row r="1883" ht="15.75" customHeight="1" spans="1:2">
      <c r="A1883" s="3" t="str">
        <f>IFERROR(__xludf.DUMMYFUNCTION("GOOGLETRANSLATE(A1883,""en"",""pt"")"),"Eu não entendo como este lixo tem nas prateleiras da loja do filme, não é mesmo um filme real!")</f>
        <v>Eu não entendo como este lixo tem nas prateleiras da loja do filme, não é mesmo um filme real!</v>
      </c>
      <c r="B1883" s="3">
        <v>0</v>
      </c>
    </row>
    <row r="1884" ht="15.75" customHeight="1" spans="1:2">
      <c r="A1884" s="3" t="str">
        <f>IFERROR(__xludf.DUMMYFUNCTION("GOOGLETRANSLATE(A1884,""en"",""pt"")"),"Eu duvido que qualquer um podia assim lixo.")</f>
        <v>Eu duvido que qualquer um podia assim lixo.</v>
      </c>
      <c r="B1884" s="3">
        <v>0</v>
      </c>
    </row>
    <row r="1885" ht="15.75" customHeight="1" spans="1:2">
      <c r="A1885" s="3" t="str">
        <f>IFERROR(__xludf.DUMMYFUNCTION("GOOGLETRANSLATE(A1885,""en"",""pt"")"),"Isto não é de criação do filme.")</f>
        <v>Isto não é de criação do filme.</v>
      </c>
      <c r="B1885" s="3">
        <v>0</v>
      </c>
    </row>
    <row r="1886" ht="15.75" customHeight="1" spans="1:2">
      <c r="A1886" s="3" t="str">
        <f>IFERROR(__xludf.DUMMYFUNCTION("GOOGLETRANSLATE(A1886,""en"",""pt"")"),"A atuação é como assistir bonecos de madeira em movimento ao redor e leitura de um livro, que é como é ruim.")</f>
        <v>A atuação é como assistir bonecos de madeira em movimento ao redor e leitura de um livro, que é como é ruim.</v>
      </c>
      <c r="B1886" s="3">
        <v>0</v>
      </c>
    </row>
    <row r="1887" ht="15.75" customHeight="1" spans="1:2">
      <c r="A1887" s="3" t="str">
        <f>IFERROR(__xludf.DUMMYFUNCTION("GOOGLETRANSLATE(A1887,""en"",""pt"")"),"Então, eu estou aqui para avisá-lo - NÃO alugar este filme, é a coisa mais estúpida que você nunca viu!")</f>
        <v>Então, eu estou aqui para avisá-lo - NÃO alugar este filme, é a coisa mais estúpida que você nunca viu!</v>
      </c>
      <c r="B1887" s="3">
        <v>0</v>
      </c>
    </row>
    <row r="1888" ht="15.75" customHeight="1" spans="1:2">
      <c r="A1888" s="3" t="str">
        <f>IFERROR(__xludf.DUMMYFUNCTION("GOOGLETRANSLATE(A1888,""en"",""pt"")"),"Eu vi esse filme curto na HBO no outro dia e absolutamente Entes.")</f>
        <v>Eu vi esse filme curto na HBO no outro dia e absolutamente Entes.</v>
      </c>
      <c r="B1888" s="3">
        <v>1</v>
      </c>
    </row>
    <row r="1889" ht="15.75" customHeight="1" spans="1:2">
      <c r="A1889" s="3" t="str">
        <f>IFERROR(__xludf.DUMMYFUNCTION("GOOGLETRANSLATE(A1889,""en"",""pt"")"),"Eu não percebi o quão maravilhoso a curto realmente é até que as duas últimas cenas.")</f>
        <v>Eu não percebi o quão maravilhoso a curto realmente é até que as duas últimas cenas.</v>
      </c>
      <c r="B1889" s="3">
        <v>1</v>
      </c>
    </row>
    <row r="1890" ht="15.75" customHeight="1" spans="1:2">
      <c r="A1890" s="3" t="str">
        <f>IFERROR(__xludf.DUMMYFUNCTION("GOOGLETRANSLATE(A1890,""en"",""pt"")"),"Excelente curta-metragem.")</f>
        <v>Excelente curta-metragem.</v>
      </c>
      <c r="B1890" s="3">
        <v>1</v>
      </c>
    </row>
    <row r="1891" ht="15.75" customHeight="1" spans="1:2">
      <c r="A1891" s="3" t="str">
        <f>IFERROR(__xludf.DUMMYFUNCTION("GOOGLETRANSLATE(A1891,""en"",""pt"")"),"Felizmente, o diretor James Cox pode transformar o curta em um longa-metragem com o mesmo elenco, ou ganhar-nos com um filme totalmente novo.")</f>
        <v>Felizmente, o diretor James Cox pode transformar o curta em um longa-metragem com o mesmo elenco, ou ganhar-nos com um filme totalmente novo.</v>
      </c>
      <c r="B1891" s="3">
        <v>1</v>
      </c>
    </row>
    <row r="1892" ht="15.75" customHeight="1" spans="1:2">
      <c r="A1892" s="3" t="str">
        <f>IFERROR(__xludf.DUMMYFUNCTION("GOOGLETRANSLATE(A1892,""en"",""pt"")"),"Concordo com Jessica, este filme é muito ruim.")</f>
        <v>Concordo com Jessica, este filme é muito ruim.</v>
      </c>
      <c r="B1892" s="3">
        <v>0</v>
      </c>
    </row>
    <row r="1893" ht="15.75" customHeight="1" spans="1:2">
      <c r="A1893" s="3" t="str">
        <f>IFERROR(__xludf.DUMMYFUNCTION("GOOGLETRANSLATE(A1893,""en"",""pt"")"),"Personagens são unidimensionais, até mesmo os bons e especialmente os bandidos.")</f>
        <v>Personagens são unidimensionais, até mesmo os bons e especialmente os bandidos.</v>
      </c>
      <c r="B1893" s="3">
        <v>0</v>
      </c>
    </row>
    <row r="1894" ht="15.75" customHeight="1" spans="1:2">
      <c r="A1894" s="3" t="str">
        <f>IFERROR(__xludf.DUMMYFUNCTION("GOOGLETRANSLATE(A1894,""en"",""pt"")"),"O enredo é totalmente previsível.")</f>
        <v>O enredo é totalmente previsível.</v>
      </c>
      <c r="B1894" s="3">
        <v>0</v>
      </c>
    </row>
    <row r="1895" ht="15.75" customHeight="1" spans="1:2">
      <c r="A1895" s="3" t="str">
        <f>IFERROR(__xludf.DUMMYFUNCTION("GOOGLETRANSLATE(A1895,""en"",""pt"")"),"Não muito diálogo, não muita música, todo o filme foi rodado tão elaborada e esteticamente como uma escultura.")</f>
        <v>Não muito diálogo, não muita música, todo o filme foi rodado tão elaborada e esteticamente como uma escultura.</v>
      </c>
      <c r="B1895" s="3">
        <v>1</v>
      </c>
    </row>
    <row r="1896" ht="15.75" customHeight="1" spans="1:2">
      <c r="A1896" s="3" t="str">
        <f>IFERROR(__xludf.DUMMYFUNCTION("GOOGLETRANSLATE(A1896,""en"",""pt"")"),"Eu vi novelas mais inteligentes do que este filme.")</f>
        <v>Eu vi novelas mais inteligentes do que este filme.</v>
      </c>
      <c r="B1896" s="3">
        <v>0</v>
      </c>
    </row>
    <row r="1897" ht="15.75" customHeight="1" spans="1:2">
      <c r="A1897" s="3" t="str">
        <f>IFERROR(__xludf.DUMMYFUNCTION("GOOGLETRANSLATE(A1897,""en"",""pt"")"),"caracteres mau, mau história e atuação ruim.")</f>
        <v>caracteres mau, mau história e atuação ruim.</v>
      </c>
      <c r="B1897" s="3">
        <v>0</v>
      </c>
    </row>
    <row r="1898" ht="15.75" customHeight="1" spans="1:2">
      <c r="A1898" s="3" t="str">
        <f>IFERROR(__xludf.DUMMYFUNCTION("GOOGLETRANSLATE(A1898,""en"",""pt"")"),"Realmente terrível.")</f>
        <v>Realmente terrível.</v>
      </c>
      <c r="B1898" s="3">
        <v>0</v>
      </c>
    </row>
    <row r="1899" ht="15.75" customHeight="1" spans="1:2">
      <c r="A1899" s="3" t="str">
        <f>IFERROR(__xludf.DUMMYFUNCTION("GOOGLETRANSLATE(A1899,""en"",""pt"")"),"Não é fácil de assistir.")</f>
        <v>Não é fácil de assistir.</v>
      </c>
      <c r="B1899" s="3">
        <v>0</v>
      </c>
    </row>
    <row r="1900" ht="15.75" customHeight="1" spans="1:2">
      <c r="A1900" s="3" t="str">
        <f>IFERROR(__xludf.DUMMYFUNCTION("GOOGLETRANSLATE(A1900,""en"",""pt"")"),"Engraçado, inteligente, hip - assim como o filme anterior de Pray, Hype!")</f>
        <v>Engraçado, inteligente, hip - assim como o filme anterior de Pray, Hype!</v>
      </c>
      <c r="B1900" s="3">
        <v>1</v>
      </c>
    </row>
    <row r="1901" ht="15.75" customHeight="1" spans="1:2">
      <c r="A1901" s="3" t="str">
        <f>IFERROR(__xludf.DUMMYFUNCTION("GOOGLETRANSLATE(A1901,""en"",""pt"")"),"Foi um longo período de tempo que eu não ver um ator tão carismático na tela.")</f>
        <v>Foi um longo período de tempo que eu não ver um ator tão carismático na tela.</v>
      </c>
      <c r="B1901" s="3">
        <v>1</v>
      </c>
    </row>
    <row r="1902" ht="15.75" customHeight="1" spans="1:2">
      <c r="A1902" s="3" t="str">
        <f>IFERROR(__xludf.DUMMYFUNCTION("GOOGLETRANSLATE(A1902,""en"",""pt"")"),"Paolo Sorrentino tem escrito uma história maravilhosa sobre solidão e Tony construiu um dos mais inesquecíveis personagens vistos em filmes nos últimos anos.")</f>
        <v>Paolo Sorrentino tem escrito uma história maravilhosa sobre solidão e Tony construiu um dos mais inesquecíveis personagens vistos em filmes nos últimos anos.</v>
      </c>
      <c r="B1902" s="3">
        <v>1</v>
      </c>
    </row>
    <row r="1903" ht="15.75" customHeight="1" spans="1:2">
      <c r="A1903" s="3" t="str">
        <f>IFERROR(__xludf.DUMMYFUNCTION("GOOGLETRANSLATE(A1903,""en"",""pt"")"),"O filme não é perfeito completamente, mas 'Titta Di Girolamo' vai ficar com você por um longo tempo depois da visão do filme.")</f>
        <v>O filme não é perfeito completamente, mas 'Titta Di Girolamo' vai ficar com você por um longo tempo depois da visão do filme.</v>
      </c>
      <c r="B1903" s="3">
        <v>1</v>
      </c>
    </row>
    <row r="1904" ht="15.75" customHeight="1" spans="1:2">
      <c r="A1904" s="3" t="str">
        <f>IFERROR(__xludf.DUMMYFUNCTION("GOOGLETRANSLATE(A1904,""en"",""pt"")"),"I tarifa este filme 9/10.")</f>
        <v>I tarifa este filme 9/10.</v>
      </c>
      <c r="B1904" s="3">
        <v>1</v>
      </c>
    </row>
    <row r="1905" ht="15.75" customHeight="1" spans="1:2">
      <c r="A1905" s="3" t="str">
        <f>IFERROR(__xludf.DUMMYFUNCTION("GOOGLETRANSLATE(A1905,""en"",""pt"")"),"Eu não sei se isso era estréia na direção de Emilio Estevez, mas o ritmo, a interação eo desenvolvimento dos personagens, bem como alguns trabalho de câmera inteligente em torno do caráter Estevez joga tudo sugere um olhar natural.")</f>
        <v>Eu não sei se isso era estréia na direção de Emilio Estevez, mas o ritmo, a interação eo desenvolvimento dos personagens, bem como alguns trabalho de câmera inteligente em torno do caráter Estevez joga tudo sugere um olhar natural.</v>
      </c>
      <c r="B1905" s="3">
        <v>1</v>
      </c>
    </row>
    <row r="1906" ht="15.75" customHeight="1" spans="1:2">
      <c r="A1906" s="3" t="str">
        <f>IFERROR(__xludf.DUMMYFUNCTION("GOOGLETRANSLATE(A1906,""en"",""pt"")"),"A interação entre Martin e Emilio contém a mesma química maravilhosa que vimos em Wall Street, com Martin e Charlie.")</f>
        <v>A interação entre Martin e Emilio contém a mesma química maravilhosa que vimos em Wall Street, com Martin e Charlie.</v>
      </c>
      <c r="B1906" s="3">
        <v>1</v>
      </c>
    </row>
    <row r="1907" ht="15.75" customHeight="1" spans="1:2">
      <c r="A1907" s="3" t="str">
        <f>IFERROR(__xludf.DUMMYFUNCTION("GOOGLETRANSLATE(A1907,""en"",""pt"")"),"Kathy Bates é maravilhoso em seus personagens desespero sutil e escapismo; uma variação sobre sua personagem em ""Brincando nos Campos do Senhor"".")</f>
        <v>Kathy Bates é maravilhoso em seus personagens desespero sutil e escapismo; uma variação sobre sua personagem em "Brincando nos Campos do Senhor".</v>
      </c>
      <c r="B1907" s="3">
        <v>1</v>
      </c>
    </row>
    <row r="1908" ht="15.75" customHeight="1" spans="1:2">
      <c r="A1908" s="3" t="str">
        <f>IFERROR(__xludf.DUMMYFUNCTION("GOOGLETRANSLATE(A1908,""en"",""pt"")"),"Para os leitores que já viram um dos filmes de Miyazaki: ele ainda está em sua melhor forma e fez outra experiência válida.")</f>
        <v>Para os leitores que já viram um dos filmes de Miyazaki: ele ainda está em sua melhor forma e fez outra experiência válida.</v>
      </c>
      <c r="B1908" s="3">
        <v>1</v>
      </c>
    </row>
    <row r="1909" ht="15.75" customHeight="1" spans="1:2">
      <c r="A1909" s="3" t="str">
        <f>IFERROR(__xludf.DUMMYFUNCTION("GOOGLETRANSLATE(A1909,""en"",""pt"")"),"Nunca condescende, todos os personagens têm bons corações genuínas e problemas verossímeis.")</f>
        <v>Nunca condescende, todos os personagens têm bons corações genuínas e problemas verossímeis.</v>
      </c>
      <c r="B1909" s="3">
        <v>1</v>
      </c>
    </row>
    <row r="1910" ht="15.75" customHeight="1" spans="1:2">
      <c r="A1910" s="3" t="str">
        <f>IFERROR(__xludf.DUMMYFUNCTION("GOOGLETRANSLATE(A1910,""en"",""pt"")"),"Os dois personagens principais pode ser dois dos mais crianças crível que eu já vi colocar na tela.")</f>
        <v>Os dois personagens principais pode ser dois dos mais crianças crível que eu já vi colocar na tela.</v>
      </c>
      <c r="B1910" s="3">
        <v>1</v>
      </c>
    </row>
    <row r="1911" ht="15.75" customHeight="1" spans="1:2">
      <c r="A1911" s="3" t="str">
        <f>IFERROR(__xludf.DUMMYFUNCTION("GOOGLETRANSLATE(A1911,""en"",""pt"")"),"Eles são tão fáceis de amor, mas é ainda mais fácil de identificar.")</f>
        <v>Eles são tão fáceis de amor, mas é ainda mais fácil de identificar.</v>
      </c>
      <c r="B1911" s="3">
        <v>1</v>
      </c>
    </row>
    <row r="1912" ht="15.75" customHeight="1" spans="1:2">
      <c r="A1912" s="3" t="str">
        <f>IFERROR(__xludf.DUMMYFUNCTION("GOOGLETRANSLATE(A1912,""en"",""pt"")"),"Este filme é grande - especialmente se você gosta de artes visuais.")</f>
        <v>Este filme é grande - especialmente se você gosta de artes visuais.</v>
      </c>
      <c r="B1912" s="3">
        <v>1</v>
      </c>
    </row>
    <row r="1913" ht="15.75" customHeight="1" spans="1:2">
      <c r="A1913" s="3" t="str">
        <f>IFERROR(__xludf.DUMMYFUNCTION("GOOGLETRANSLATE(A1913,""en"",""pt"")"),"A paisagem que as duas filhas pintura e fotografia são lindas.")</f>
        <v>A paisagem que as duas filhas pintura e fotografia são lindas.</v>
      </c>
      <c r="B1913" s="3">
        <v>1</v>
      </c>
    </row>
    <row r="1914" ht="15.75" customHeight="1" spans="1:2">
      <c r="A1914" s="3" t="str">
        <f>IFERROR(__xludf.DUMMYFUNCTION("GOOGLETRANSLATE(A1914,""en"",""pt"")"),"A história também é engraçado e comovente, por vezes.")</f>
        <v>A história também é engraçado e comovente, por vezes.</v>
      </c>
      <c r="B1914" s="3">
        <v>1</v>
      </c>
    </row>
    <row r="1915" ht="15.75" customHeight="1" spans="1:2">
      <c r="A1915" s="3" t="str">
        <f>IFERROR(__xludf.DUMMYFUNCTION("GOOGLETRANSLATE(A1915,""en"",""pt"")"),"Pessoas que gostam de filmes europeus e ""filmes de arte"" vai gostar deste filme.")</f>
        <v>Pessoas que gostam de filmes europeus e "filmes de arte" vai gostar deste filme.</v>
      </c>
      <c r="B1915" s="3">
        <v>1</v>
      </c>
    </row>
    <row r="1916" ht="15.75" customHeight="1" spans="1:2">
      <c r="A1916" s="3" t="str">
        <f>IFERROR(__xludf.DUMMYFUNCTION("GOOGLETRANSLATE(A1916,""en"",""pt"")"),"Este é verdadeiramente um filme de arte - ele realmente tem um monte de arte nele.")</f>
        <v>Este é verdadeiramente um filme de arte - ele realmente tem um monte de arte nele.</v>
      </c>
      <c r="B1916" s="3">
        <v>1</v>
      </c>
    </row>
    <row r="1917" ht="15.75" customHeight="1" spans="1:2">
      <c r="A1917" s="3" t="str">
        <f>IFERROR(__xludf.DUMMYFUNCTION("GOOGLETRANSLATE(A1917,""en"",""pt"")"),"Ir alugá-la.")</f>
        <v>Ir alugá-la.</v>
      </c>
      <c r="B1917" s="3">
        <v>1</v>
      </c>
    </row>
    <row r="1918" ht="15.75" customHeight="1" spans="1:2">
      <c r="A1918" s="3" t="str">
        <f>IFERROR(__xludf.DUMMYFUNCTION("GOOGLETRANSLATE(A1918,""en"",""pt"")"),"No entanto, depois de finalmente assistir a este filme, percebi que não só eu tinha tido uma mente fechada ao brilho que retrata, eu também encontrei-me vê-lo uma e outra vez.")</f>
        <v>No entanto, depois de finalmente assistir a este filme, percebi que não só eu tinha tido uma mente fechada ao brilho que retrata, eu também encontrei-me vê-lo uma e outra vez.</v>
      </c>
      <c r="B1918" s="3">
        <v>1</v>
      </c>
    </row>
    <row r="1919" ht="15.75" customHeight="1" spans="1:2">
      <c r="A1919" s="3" t="str">
        <f>IFERROR(__xludf.DUMMYFUNCTION("GOOGLETRANSLATE(A1919,""en"",""pt"")"),"É o único filme que nunca deixa de me interessa, simplesmente porque ele me mantém alerta, como eu tento tentar decifrá-la de significados.")</f>
        <v>É o único filme que nunca deixa de me interessa, simplesmente porque ele me mantém alerta, como eu tento tentar decifrá-la de significados.</v>
      </c>
      <c r="B1919" s="3">
        <v>1</v>
      </c>
    </row>
    <row r="1920" ht="15.75" customHeight="1" spans="1:2">
      <c r="A1920" s="3" t="str">
        <f>IFERROR(__xludf.DUMMYFUNCTION("GOOGLETRANSLATE(A1920,""en"",""pt"")"),"Brilliance, de fato.")</f>
        <v>Brilliance, de fato.</v>
      </c>
      <c r="B1920" s="3">
        <v>1</v>
      </c>
    </row>
    <row r="1921" ht="15.75" customHeight="1" spans="1:2">
      <c r="A1921" s="3" t="str">
        <f>IFERROR(__xludf.DUMMYFUNCTION("GOOGLETRANSLATE(A1921,""en"",""pt"")"),"Mas se você gostou filmes como Matrix (e ainda melhor, suas seqüelas) Eu acho que você vai apreciar o pensamento provocando, mindblowing experiência deste filme vai lhe dar.")</f>
        <v>Mas se você gostou filmes como Matrix (e ainda melhor, suas seqüelas) Eu acho que você vai apreciar o pensamento provocando, mindblowing experiência deste filme vai lhe dar.</v>
      </c>
      <c r="B1921" s="3">
        <v>1</v>
      </c>
    </row>
    <row r="1922" ht="15.75" customHeight="1" spans="1:2">
      <c r="A1922" s="3" t="str">
        <f>IFERROR(__xludf.DUMMYFUNCTION("GOOGLETRANSLATE(A1922,""en"",""pt"")"),"Pense do filme ser como um sonho.")</f>
        <v>Pense do filme ser como um sonho.</v>
      </c>
      <c r="B1922" s="3">
        <v>1</v>
      </c>
    </row>
    <row r="1923" ht="15.75" customHeight="1" spans="1:2">
      <c r="A1923" s="3" t="str">
        <f>IFERROR(__xludf.DUMMYFUNCTION("GOOGLETRANSLATE(A1923,""en"",""pt"")"),"Simplesmente lindo.")</f>
        <v>Simplesmente lindo.</v>
      </c>
      <c r="B1923" s="3">
        <v>1</v>
      </c>
    </row>
    <row r="1924" ht="15.75" customHeight="1" spans="1:2">
      <c r="A1924" s="3" t="str">
        <f>IFERROR(__xludf.DUMMYFUNCTION("GOOGLETRANSLATE(A1924,""en"",""pt"")"),"Ambos Rickman e Stowe desempenhar as suas funções ao máximo neste conto do escritor um livro das crianças who-- talvez? - escreveu um trato subversivo.")</f>
        <v>Ambos Rickman e Stowe desempenhar as suas funções ao máximo neste conto do escritor um livro das crianças who-- talvez? - escreveu um trato subversivo.</v>
      </c>
      <c r="B1924" s="3">
        <v>1</v>
      </c>
    </row>
    <row r="1925" ht="15.75" customHeight="1" spans="1:2">
      <c r="A1925" s="3" t="str">
        <f>IFERROR(__xludf.DUMMYFUNCTION("GOOGLETRANSLATE(A1925,""en"",""pt"")"),"É um divertimento gloriosamente, rápido e representação bastante precisa da noite de um raver.")</f>
        <v>É um divertimento gloriosamente, rápido e representação bastante precisa da noite de um raver.</v>
      </c>
      <c r="B1925" s="3">
        <v>1</v>
      </c>
    </row>
    <row r="1926" ht="15.75" customHeight="1" spans="1:2">
      <c r="A1926" s="3" t="str">
        <f>IFERROR(__xludf.DUMMYFUNCTION("GOOGLETRANSLATE(A1926,""en"",""pt"")"),"Ele apresenta um retrato idílico ainda grave dos altos e baixos da vida personagens.")</f>
        <v>Ele apresenta um retrato idílico ainda grave dos altos e baixos da vida personagens.</v>
      </c>
      <c r="B1926" s="3">
        <v>1</v>
      </c>
    </row>
    <row r="1927" ht="15.75" customHeight="1" spans="1:2">
      <c r="A1927" s="3" t="str">
        <f>IFERROR(__xludf.DUMMYFUNCTION("GOOGLETRANSLATE(A1927,""en"",""pt"")"),"Apenas faça o que fizer, evitar o ""sulco"" como a antítese de tudo o que é bom sobre Tráfico Humano.")</f>
        <v>Apenas faça o que fizer, evitar o "sulco" como a antítese de tudo o que é bom sobre Tráfico Humano.</v>
      </c>
      <c r="B1927" s="3">
        <v>0</v>
      </c>
    </row>
    <row r="1928" ht="15.75" customHeight="1" spans="1:2">
      <c r="A1928" s="3" t="str">
        <f>IFERROR(__xludf.DUMMYFUNCTION("GOOGLETRANSLATE(A1928,""en"",""pt"")"),"É muito ruim que todos os outros envolvidos não compartilhavam nível de dedicação de Crowe com a qualidade, porque, se o fizessem, nós teríamos uma melhor filme em nossas mãos do que este sub-par bagunça.")</f>
        <v>É muito ruim que todos os outros envolvidos não compartilhavam nível de dedicação de Crowe com a qualidade, porque, se o fizessem, nós teríamos uma melhor filme em nossas mãos do que este sub-par bagunça.</v>
      </c>
      <c r="B1928" s="3">
        <v>0</v>
      </c>
    </row>
    <row r="1929" ht="15.75" customHeight="1" spans="1:2">
      <c r="A1929" s="3" t="str">
        <f>IFERROR(__xludf.DUMMYFUNCTION("GOOGLETRANSLATE(A1929,""en"",""pt"")"),"O filme parecia um pouco lento no início.")</f>
        <v>O filme parecia um pouco lento no início.</v>
      </c>
      <c r="B1929" s="3">
        <v>0</v>
      </c>
    </row>
    <row r="1930" ht="15.75" customHeight="1" spans="1:2">
      <c r="A1930" s="3" t="str">
        <f>IFERROR(__xludf.DUMMYFUNCTION("GOOGLETRANSLATE(A1930,""en"",""pt"")"),"Mas pegou velocidade e foi direto ao ponto.")</f>
        <v>Mas pegou velocidade e foi direto ao ponto.</v>
      </c>
      <c r="B1930" s="3">
        <v>1</v>
      </c>
    </row>
    <row r="1931" ht="15.75" customHeight="1" spans="1:2">
      <c r="A1931" s="3" t="str">
        <f>IFERROR(__xludf.DUMMYFUNCTION("GOOGLETRANSLATE(A1931,""en"",""pt"")"),"Ele mostrou exatamente como o governo eo cientista argumentou para a humanidade e as razões do ""aparelho"".")</f>
        <v>Ele mostrou exatamente como o governo eo cientista argumentou para a humanidade e as razões do "aparelho".</v>
      </c>
      <c r="B1931" s="3">
        <v>1</v>
      </c>
    </row>
    <row r="1932" ht="15.75" customHeight="1" spans="1:2">
      <c r="A1932" s="3" t="str">
        <f>IFERROR(__xludf.DUMMYFUNCTION("GOOGLETRANSLATE(A1932,""en"",""pt"")"),"Eu gostei.")</f>
        <v>Eu gostei.</v>
      </c>
      <c r="B1932" s="3">
        <v>1</v>
      </c>
    </row>
    <row r="1933" ht="15.75" customHeight="1" spans="1:2">
      <c r="A1933" s="3" t="str">
        <f>IFERROR(__xludf.DUMMYFUNCTION("GOOGLETRANSLATE(A1933,""en"",""pt"")"),"Tenho recomendado para amigos.")</f>
        <v>Tenho recomendado para amigos.</v>
      </c>
      <c r="B1933" s="3">
        <v>1</v>
      </c>
    </row>
    <row r="1934" ht="15.75" customHeight="1" spans="1:2">
      <c r="A1934" s="3" t="str">
        <f>IFERROR(__xludf.DUMMYFUNCTION("GOOGLETRANSLATE(A1934,""en"",""pt"")"),"Fiquei particularmente satisfeito com a capacidade agindo de Dwight Schultz.")</f>
        <v>Fiquei particularmente satisfeito com a capacidade agindo de Dwight Schultz.</v>
      </c>
      <c r="B1934" s="3">
        <v>1</v>
      </c>
    </row>
    <row r="1935" ht="15.75" customHeight="1" spans="1:2">
      <c r="A1935" s="3" t="str">
        <f>IFERROR(__xludf.DUMMYFUNCTION("GOOGLETRANSLATE(A1935,""en"",""pt"")"),"Ambos os atores realmente entender e tornar-se seu caráter particular, entregando uma convincente, o desempenho sincero.")</f>
        <v>Ambos os atores realmente entender e tornar-se seu caráter particular, entregando uma convincente, o desempenho sincero.</v>
      </c>
      <c r="B1935" s="3">
        <v>1</v>
      </c>
    </row>
    <row r="1936" ht="15.75" customHeight="1" spans="1:2">
      <c r="A1936" s="3" t="str">
        <f>IFERROR(__xludf.DUMMYFUNCTION("GOOGLETRANSLATE(A1936,""en"",""pt"")"),"A química na tela, fundamental para todo o filme, é genuína.")</f>
        <v>A química na tela, fundamental para todo o filme, é genuína.</v>
      </c>
      <c r="B1936" s="3">
        <v>1</v>
      </c>
    </row>
    <row r="1937" ht="15.75" customHeight="1" spans="1:2">
      <c r="A1937" s="3" t="str">
        <f>IFERROR(__xludf.DUMMYFUNCTION("GOOGLETRANSLATE(A1937,""en"",""pt"")"),"O diálogo do filme é natural, verdadeiro para a vida.")</f>
        <v>O diálogo do filme é natural, verdadeiro para a vida.</v>
      </c>
      <c r="B1937" s="3">
        <v>1</v>
      </c>
    </row>
    <row r="1938" ht="15.75" customHeight="1" spans="1:2">
      <c r="A1938" s="3" t="str">
        <f>IFERROR(__xludf.DUMMYFUNCTION("GOOGLETRANSLATE(A1938,""en"",""pt"")"),"O escritor, Gorman Bechard, sem dúvida, fez sua lição de casa, porque todas as referências são a indústria e caráter-idade apropriada.")</f>
        <v>O escritor, Gorman Bechard, sem dúvida, fez sua lição de casa, porque todas as referências são a indústria e caráter-idade apropriada.</v>
      </c>
      <c r="B1938" s="3">
        <v>1</v>
      </c>
    </row>
    <row r="1939" ht="15.75" customHeight="1" spans="1:2">
      <c r="A1939" s="3" t="str">
        <f>IFERROR(__xludf.DUMMYFUNCTION("GOOGLETRANSLATE(A1939,""en"",""pt"")"),"A trilha sonora incrível realmente capta a essência do filme.")</f>
        <v>A trilha sonora incrível realmente capta a essência do filme.</v>
      </c>
      <c r="B1939" s="3">
        <v>1</v>
      </c>
    </row>
    <row r="1940" ht="15.75" customHeight="1" spans="1:2">
      <c r="A1940" s="3" t="str">
        <f>IFERROR(__xludf.DUMMYFUNCTION("GOOGLETRANSLATE(A1940,""en"",""pt"")"),"sentimento cada faixa comandos, na verdade, contribuindo para as cenas e personagens.")</f>
        <v>sentimento cada faixa comandos, na verdade, contribuindo para as cenas e personagens.</v>
      </c>
      <c r="B1940" s="3">
        <v>1</v>
      </c>
    </row>
    <row r="1941" ht="15.75" customHeight="1" spans="1:2">
      <c r="A1941" s="3" t="str">
        <f>IFERROR(__xludf.DUMMYFUNCTION("GOOGLETRANSLATE(A1941,""en"",""pt"")"),"Definitivamente seeingÂ ... é o tipo de pensamento provocando filme que obriga a questionar seu próprio limite de solidão.")</f>
        <v>Definitivamente seeingÂ ... é o tipo de pensamento provocando filme que obriga a questionar seu próprio limite de solidão.</v>
      </c>
      <c r="B1941" s="3">
        <v>1</v>
      </c>
    </row>
    <row r="1942" ht="15.75" customHeight="1" spans="1:2">
      <c r="A1942" s="3" t="str">
        <f>IFERROR(__xludf.DUMMYFUNCTION("GOOGLETRANSLATE(A1942,""en"",""pt"")"),"filme mais recente e oitavo de Hayao Miyazaki para Studio Ghibili, ""Gake No Ue no Ponyo"" (Ponyo on the Cliff by the Sea) é um maravilhosamente olhar divertido e imaginativo na infância.")</f>
        <v>filme mais recente e oitavo de Hayao Miyazaki para Studio Ghibili, "Gake No Ue no Ponyo" (Ponyo on the Cliff by the Sea) é um maravilhosamente olhar divertido e imaginativo na infância.</v>
      </c>
      <c r="B1942" s="3">
        <v>1</v>
      </c>
    </row>
    <row r="1943" ht="15.75" customHeight="1" spans="1:2">
      <c r="A1943" s="3" t="str">
        <f>IFERROR(__xludf.DUMMYFUNCTION("GOOGLETRANSLATE(A1943,""en"",""pt"")"),"Numa altura em que parece que cinema de animação tem sido dominado por obras-primas CGI da Disney / Pixar, é tanto refrescante e reconfortante saber que Miyazaki ainda está contando com animação tradicional feito à mão para contar suas histórias encantado"&amp;"ras e encantadoras.")</f>
        <v>Numa altura em que parece que cinema de animação tem sido dominado por obras-primas CGI da Disney / Pixar, é tanto refrescante e reconfortante saber que Miyazaki ainda está contando com animação tradicional feito à mão para contar suas histórias encantadoras e encantadoras.</v>
      </c>
      <c r="B1943" s="3">
        <v>1</v>
      </c>
    </row>
    <row r="1944" ht="15.75" customHeight="1" spans="1:2">
      <c r="A1944" s="3" t="str">
        <f>IFERROR(__xludf.DUMMYFUNCTION("GOOGLETRANSLATE(A1944,""en"",""pt"")"),"Suficiente não pode ser dito da animação notável neste filme.")</f>
        <v>Suficiente não pode ser dito da animação notável neste filme.</v>
      </c>
      <c r="B1944" s="3">
        <v>1</v>
      </c>
    </row>
    <row r="1945" ht="15.75" customHeight="1" spans="1:2">
      <c r="A1945" s="3" t="str">
        <f>IFERROR(__xludf.DUMMYFUNCTION("GOOGLETRANSLATE(A1945,""en"",""pt"")"),"O estilo de arte tem a aparência de desenhos da infância / lápis e é maravilhosamente colorido e fantasioso.")</f>
        <v>O estilo de arte tem a aparência de desenhos da infância / lápis e é maravilhosamente colorido e fantasioso.</v>
      </c>
      <c r="B1945" s="3">
        <v>1</v>
      </c>
    </row>
    <row r="1946" ht="15.75" customHeight="1" spans="1:2">
      <c r="A1946" s="3" t="str">
        <f>IFERROR(__xludf.DUMMYFUNCTION("GOOGLETRANSLATE(A1946,""en"",""pt"")"),"Se você agir de tal filme, você deve estar feliz que você vai afastar-se da terra, tanto quanto possível!")</f>
        <v>Se você agir de tal filme, você deve estar feliz que você vai afastar-se da terra, tanto quanto possível!</v>
      </c>
      <c r="B1946" s="3">
        <v>0</v>
      </c>
    </row>
    <row r="1947" ht="15.75" customHeight="1" spans="1:2">
      <c r="A1947" s="3" t="str">
        <f>IFERROR(__xludf.DUMMYFUNCTION("GOOGLETRANSLATE(A1947,""en"",""pt"")"),"Isto se quer navegar na pequena onda de filmes espaciais em 1998 (Deep Impact e Armageddon), e este falhar em todos os lugares.")</f>
        <v>Isto se quer navegar na pequena onda de filmes espaciais em 1998 (Deep Impact e Armageddon), e este falhar em todos os lugares.</v>
      </c>
      <c r="B1947" s="3">
        <v>0</v>
      </c>
    </row>
    <row r="1948" ht="15.75" customHeight="1" spans="1:2">
      <c r="A1948" s="3" t="str">
        <f>IFERROR(__xludf.DUMMYFUNCTION("GOOGLETRANSLATE(A1948,""en"",""pt"")"),"Se você ainda não se engasgou em seu próprio vômito até o final (por todo o drama barato e diálogo inútil) que você deve ter furado-se à morte com este desperdício de tempo.")</f>
        <v>Se você ainda não se engasgou em seu próprio vômito até o final (por todo o drama barato e diálogo inútil) que você deve ter furado-se à morte com este desperdício de tempo.</v>
      </c>
      <c r="B1948" s="3">
        <v>0</v>
      </c>
    </row>
    <row r="1949" ht="15.75" customHeight="1" spans="1:2">
      <c r="A1949" s="3" t="str">
        <f>IFERROR(__xludf.DUMMYFUNCTION("GOOGLETRANSLATE(A1949,""en"",""pt"")"),"Ainda assim, faz-se de tudo isso com um super terminando que retrata uma grande embarcação mar sendo retirados pelo poderoso geada.")</f>
        <v>Ainda assim, faz-se de tudo isso com um super terminando que retrata uma grande embarcação mar sendo retirados pelo poderoso geada.</v>
      </c>
      <c r="B1949" s="3">
        <v>1</v>
      </c>
    </row>
    <row r="1950" ht="15.75" customHeight="1" spans="1:2">
      <c r="A1950" s="3" t="str">
        <f>IFERROR(__xludf.DUMMYFUNCTION("GOOGLETRANSLATE(A1950,""en"",""pt"")"),"Basta considerar o excelente história, atuação sólida e visual do filme como bônus adicionados.")</f>
        <v>Basta considerar o excelente história, atuação sólida e visual do filme como bônus adicionados.</v>
      </c>
      <c r="B1950" s="3">
        <v>1</v>
      </c>
    </row>
    <row r="1951" ht="15.75" customHeight="1" spans="1:2">
      <c r="A1951" s="3" t="str">
        <f>IFERROR(__xludf.DUMMYFUNCTION("GOOGLETRANSLATE(A1951,""en"",""pt"")"),"Em vez disso, temos um furo fest sobre um whiny, babysitting criança mimada.")</f>
        <v>Em vez disso, temos um furo fest sobre um whiny, babysitting criança mimada.</v>
      </c>
      <c r="B1951" s="3">
        <v>0</v>
      </c>
    </row>
    <row r="1952" ht="15.75" customHeight="1" spans="1:2">
      <c r="A1952" s="3" t="str">
        <f>IFERROR(__xludf.DUMMYFUNCTION("GOOGLETRANSLATE(A1952,""en"",""pt"")"),"Então eu assisti-lo novamente dois domingos atrás (20 de março, 2005) e eu comecei a realmente apreciá-lo e desta vez eu gravei a coisa toda.")</f>
        <v>Então eu assisti-lo novamente dois domingos atrás (20 de março, 2005) e eu comecei a realmente apreciá-lo e desta vez eu gravei a coisa toda.</v>
      </c>
      <c r="B1952" s="3">
        <v>1</v>
      </c>
    </row>
    <row r="1953" ht="15.75" customHeight="1" spans="1:2">
      <c r="A1953" s="3" t="str">
        <f>IFERROR(__xludf.DUMMYFUNCTION("GOOGLETRANSLATE(A1953,""en"",""pt"")"),"É uma TV Movie muito bem atuado e feito.")</f>
        <v>É uma TV Movie muito bem atuado e feito.</v>
      </c>
      <c r="B1953" s="3">
        <v>1</v>
      </c>
    </row>
    <row r="1954" ht="15.75" customHeight="1" spans="1:2">
      <c r="A1954" s="3" t="str">
        <f>IFERROR(__xludf.DUMMYFUNCTION("GOOGLETRANSLATE(A1954,""en"",""pt"")"),"Judith Light é uma das minhas atrizes favoritas e eu acho que ela faz um excelente trabalho neste filme!")</f>
        <v>Judith Light é uma das minhas atrizes favoritas e eu acho que ela faz um excelente trabalho neste filme!</v>
      </c>
      <c r="B1954" s="3">
        <v>1</v>
      </c>
    </row>
    <row r="1955" ht="15.75" customHeight="1" spans="1:2">
      <c r="A1955" s="3" t="str">
        <f>IFERROR(__xludf.DUMMYFUNCTION("GOOGLETRANSLATE(A1955,""en"",""pt"")"),"Eu continuo assistindo mais e mais.")</f>
        <v>Eu continuo assistindo mais e mais.</v>
      </c>
      <c r="B1955" s="3">
        <v>1</v>
      </c>
    </row>
    <row r="1956" ht="15.75" customHeight="1" spans="1:2">
      <c r="A1956" s="3" t="str">
        <f>IFERROR(__xludf.DUMMYFUNCTION("GOOGLETRANSLATE(A1956,""en"",""pt"")"),"É um filme triste, mas muito bom.")</f>
        <v>É um filme triste, mas muito bom.</v>
      </c>
      <c r="B1956" s="3">
        <v>1</v>
      </c>
    </row>
    <row r="1957" ht="15.75" customHeight="1" spans="1:2">
      <c r="A1957" s="3" t="str">
        <f>IFERROR(__xludf.DUMMYFUNCTION("GOOGLETRANSLATE(A1957,""en"",""pt"")"),"Se você ainda não viu este filme, eu definitivamente recomendo!")</f>
        <v>Se você ainda não viu este filme, eu definitivamente recomendo!</v>
      </c>
      <c r="B1957" s="3">
        <v>1</v>
      </c>
    </row>
    <row r="1958" ht="15.75" customHeight="1" spans="1:2">
      <c r="A1958" s="3" t="str">
        <f>IFERROR(__xludf.DUMMYFUNCTION("GOOGLETRANSLATE(A1958,""en"",""pt"")"),"Ela é tão linda, como de costume, este cutie!")</f>
        <v>Ela é tão linda, como de costume, este cutie!</v>
      </c>
      <c r="B1958" s="3">
        <v>1</v>
      </c>
    </row>
    <row r="1959" ht="15.75" customHeight="1" spans="1:2">
      <c r="A1959" s="3" t="str">
        <f>IFERROR(__xludf.DUMMYFUNCTION("GOOGLETRANSLATE(A1959,""en"",""pt"")"),"Ainda é bastante interessante e divertido de seguir.")</f>
        <v>Ainda é bastante interessante e divertido de seguir.</v>
      </c>
      <c r="B1959" s="3">
        <v>1</v>
      </c>
    </row>
    <row r="1960" ht="15.75" customHeight="1" spans="1:2">
      <c r="A1960" s="3" t="str">
        <f>IFERROR(__xludf.DUMMYFUNCTION("GOOGLETRANSLATE(A1960,""en"",""pt"")"),"Este filme é bem equilibrado com comédia e drama e eu desfrutamos eu.")</f>
        <v>Este filme é bem equilibrado com comédia e drama e eu desfrutamos eu.</v>
      </c>
      <c r="B1960" s="3">
        <v>1</v>
      </c>
    </row>
    <row r="1961" ht="15.75" customHeight="1" spans="1:2">
      <c r="A1961" s="3" t="str">
        <f>IFERROR(__xludf.DUMMYFUNCTION("GOOGLETRANSLATE(A1961,""en"",""pt"")"),"Foi um tumulto para ver Hugo Weaving desempenham um vendedor gay imobiliário obcecado por sexo que usa casas de seus clientes para os seus encontros com o Darren flamejante (Tom Hollander).")</f>
        <v>Foi um tumulto para ver Hugo Weaving desempenham um vendedor gay imobiliário obcecado por sexo que usa casas de seus clientes para os seus encontros com o Darren flamejante (Tom Hollander).</v>
      </c>
      <c r="B1961" s="3">
        <v>1</v>
      </c>
    </row>
    <row r="1962" ht="15.75" customHeight="1" spans="1:2">
      <c r="A1962" s="3" t="str">
        <f>IFERROR(__xludf.DUMMYFUNCTION("GOOGLETRANSLATE(A1962,""en"",""pt"")"),"A seqüência de esta jóia de abertura é um clássico, e os jogos de gato n rato que se seguem são uma delícia de assistir.")</f>
        <v>A seqüência de esta jóia de abertura é um clássico, e os jogos de gato n rato que se seguem são uma delícia de assistir.</v>
      </c>
      <c r="B1962" s="3">
        <v>1</v>
      </c>
    </row>
    <row r="1963" ht="15.75" customHeight="1" spans="1:2">
      <c r="A1963" s="3" t="str">
        <f>IFERROR(__xludf.DUMMYFUNCTION("GOOGLETRANSLATE(A1963,""en"",""pt"")"),"Os fãs do gênero estarão no céu.")</f>
        <v>Os fãs do gênero estarão no céu.</v>
      </c>
      <c r="B1963" s="3">
        <v>1</v>
      </c>
    </row>
    <row r="1964" ht="15.75" customHeight="1" spans="1:2">
      <c r="A1964" s="3" t="str">
        <f>IFERROR(__xludf.DUMMYFUNCTION("GOOGLETRANSLATE(A1964,""en"",""pt"")"),"Lange tornou-se uma grande atriz.")</f>
        <v>Lange tornou-se uma grande atriz.</v>
      </c>
      <c r="B1964" s="3">
        <v>1</v>
      </c>
    </row>
    <row r="1965" ht="15.75" customHeight="1" spans="1:2">
      <c r="A1965" s="3" t="str">
        <f>IFERROR(__xludf.DUMMYFUNCTION("GOOGLETRANSLATE(A1965,""en"",""pt"")"),"Parecia uma história maravilhosa.")</f>
        <v>Parecia uma história maravilhosa.</v>
      </c>
      <c r="B1965" s="3">
        <v>1</v>
      </c>
    </row>
    <row r="1966" ht="15.75" customHeight="1" spans="1:2">
      <c r="A1966" s="3" t="str">
        <f>IFERROR(__xludf.DUMMYFUNCTION("GOOGLETRANSLATE(A1966,""en"",""pt"")"),"Eu nunca saí de um filme mais rápido.")</f>
        <v>Eu nunca saí de um filme mais rápido.</v>
      </c>
      <c r="B1966" s="3">
        <v>0</v>
      </c>
    </row>
    <row r="1967" ht="15.75" customHeight="1" spans="1:2">
      <c r="A1967" s="3" t="str">
        <f>IFERROR(__xludf.DUMMYFUNCTION("GOOGLETRANSLATE(A1967,""en"",""pt"")"),"Eu só fiquei entediado assistindo Jessice Lange tirar a roupa!")</f>
        <v>Eu só fiquei entediado assistindo Jessice Lange tirar a roupa!</v>
      </c>
      <c r="B1967" s="3">
        <v>0</v>
      </c>
    </row>
    <row r="1968" ht="15.75" customHeight="1" spans="1:2">
      <c r="A1968" s="3" t="str">
        <f>IFERROR(__xludf.DUMMYFUNCTION("GOOGLETRANSLATE(A1968,""en"",""pt"")"),"Infelizmente, alguma virtude no trabalho de produção deste filme foi perdido em um roteiro lamentável.")</f>
        <v>Infelizmente, alguma virtude no trabalho de produção deste filme foi perdido em um roteiro lamentável.</v>
      </c>
      <c r="B1968" s="3">
        <v>0</v>
      </c>
    </row>
    <row r="1969" ht="15.75" customHeight="1" spans="1:2">
      <c r="A1969" s="3" t="str">
        <f>IFERROR(__xludf.DUMMYFUNCTION("GOOGLETRANSLATE(A1969,""en"",""pt"")"),"Em uma palavra, é embaraçoso.")</f>
        <v>Em uma palavra, é embaraçoso.</v>
      </c>
      <c r="B1969" s="3">
        <v>0</v>
      </c>
    </row>
    <row r="1970" ht="15.75" customHeight="1" spans="1:2">
      <c r="A1970" s="3" t="str">
        <f>IFERROR(__xludf.DUMMYFUNCTION("GOOGLETRANSLATE(A1970,""en"",""pt"")"),"Excepcionalmente mau!")</f>
        <v>Excepcionalmente mau!</v>
      </c>
      <c r="B1970" s="3">
        <v>0</v>
      </c>
    </row>
    <row r="1971" ht="15.75" customHeight="1" spans="1:2">
      <c r="A1971" s="3" t="str">
        <f>IFERROR(__xludf.DUMMYFUNCTION("GOOGLETRANSLATE(A1971,""en"",""pt"")"),"Todos em toda a sua um insulto à inteligência de um e um enorme desperdício de dinheiro.")</f>
        <v>Todos em toda a sua um insulto à inteligência de um e um enorme desperdício de dinheiro.</v>
      </c>
      <c r="B1971" s="3">
        <v>0</v>
      </c>
    </row>
    <row r="1972" ht="15.75" customHeight="1" spans="1:2">
      <c r="A1972" s="3" t="str">
        <f>IFERROR(__xludf.DUMMYFUNCTION("GOOGLETRANSLATE(A1972,""en"",""pt"")"),"Wow ... Amamos este lugar.")</f>
        <v>Wow ... Amamos este lugar.</v>
      </c>
      <c r="B1972" s="3">
        <v>1</v>
      </c>
    </row>
    <row r="1973" ht="15.75" customHeight="1" spans="1:2">
      <c r="A1973" s="3" t="str">
        <f>IFERROR(__xludf.DUMMYFUNCTION("GOOGLETRANSLATE(A1973,""en"",""pt"")"),"Crosta não é bom.")</f>
        <v>Crosta não é bom.</v>
      </c>
      <c r="B1973" s="3">
        <v>0</v>
      </c>
    </row>
    <row r="1974" ht="15.75" customHeight="1" spans="1:2">
      <c r="A1974" s="3" t="str">
        <f>IFERROR(__xludf.DUMMYFUNCTION("GOOGLETRANSLATE(A1974,""en"",""pt"")"),"Não saborosa ea textura foi apenas desagradável.")</f>
        <v>Não saborosa ea textura foi apenas desagradável.</v>
      </c>
      <c r="B1974" s="3">
        <v>0</v>
      </c>
    </row>
    <row r="1975" ht="15.75" customHeight="1" spans="1:2">
      <c r="A1975" s="3" t="str">
        <f>IFERROR(__xludf.DUMMYFUNCTION("GOOGLETRANSLATE(A1975,""en"",""pt"")"),"Parado por, durante o final de maio bank férias fora Rick Steve recomendação e adorei.")</f>
        <v>Parado por, durante o final de maio bank férias fora Rick Steve recomendação e adorei.</v>
      </c>
      <c r="B1975" s="3">
        <v>1</v>
      </c>
    </row>
    <row r="1976" ht="15.75" customHeight="1" spans="1:2">
      <c r="A1976" s="3" t="str">
        <f>IFERROR(__xludf.DUMMYFUNCTION("GOOGLETRANSLATE(A1976,""en"",""pt"")"),"A selecção no menu foi grande e tão foram os preços.")</f>
        <v>A selecção no menu foi grande e tão foram os preços.</v>
      </c>
      <c r="B1976" s="3">
        <v>1</v>
      </c>
    </row>
    <row r="1977" ht="15.75" customHeight="1" spans="1:2">
      <c r="A1977" s="3" t="str">
        <f>IFERROR(__xludf.DUMMYFUNCTION("GOOGLETRANSLATE(A1977,""en"",""pt"")"),"Agora eu estou ficando com raiva e eu quero o meu maldito pho.")</f>
        <v>Agora eu estou ficando com raiva e eu quero o meu maldito pho.</v>
      </c>
      <c r="B1977" s="3">
        <v>0</v>
      </c>
    </row>
    <row r="1978" ht="15.75" customHeight="1" spans="1:2">
      <c r="A1978" s="3" t="str">
        <f>IFERROR(__xludf.DUMMYFUNCTION("GOOGLETRANSLATE(A1978,""en"",""pt"")"),"Honeslty não gosto que fresco.)")</f>
        <v>Honeslty não gosto que fresco.)</v>
      </c>
      <c r="B1978" s="3">
        <v>0</v>
      </c>
    </row>
    <row r="1979" ht="15.75" customHeight="1" spans="1:2">
      <c r="A1979" s="3" t="str">
        <f>IFERROR(__xludf.DUMMYFUNCTION("GOOGLETRANSLATE(A1979,""en"",""pt"")"),"As batatas foram como borracha e pode dizer que tinha sido feita antes do tempo sendo mantidos em um aquecedor.")</f>
        <v>As batatas foram como borracha e pode dizer que tinha sido feita antes do tempo sendo mantidos em um aquecedor.</v>
      </c>
      <c r="B1979" s="3">
        <v>0</v>
      </c>
    </row>
    <row r="1980" ht="15.75" customHeight="1" spans="1:2">
      <c r="A1980" s="3" t="str">
        <f>IFERROR(__xludf.DUMMYFUNCTION("GOOGLETRANSLATE(A1980,""en"",""pt"")"),"As batatas fritas foram ótimo também.")</f>
        <v>As batatas fritas foram ótimo também.</v>
      </c>
      <c r="B1980" s="3">
        <v>1</v>
      </c>
    </row>
    <row r="1981" ht="15.75" customHeight="1" spans="1:2">
      <c r="A1981" s="3" t="str">
        <f>IFERROR(__xludf.DUMMYFUNCTION("GOOGLETRANSLATE(A1981,""en"",""pt"")"),"Um ótimo toque.")</f>
        <v>Um ótimo toque.</v>
      </c>
      <c r="B1981" s="3">
        <v>1</v>
      </c>
    </row>
    <row r="1982" ht="15.75" customHeight="1" spans="1:2">
      <c r="A1982" s="3" t="str">
        <f>IFERROR(__xludf.DUMMYFUNCTION("GOOGLETRANSLATE(A1982,""en"",""pt"")"),"Serviço foi muito rápido.")</f>
        <v>Serviço foi muito rápido.</v>
      </c>
      <c r="B1982" s="3">
        <v>1</v>
      </c>
    </row>
    <row r="1983" ht="15.75" customHeight="1" spans="1:2">
      <c r="A1983" s="3" t="str">
        <f>IFERROR(__xludf.DUMMYFUNCTION("GOOGLETRANSLATE(A1983,""en"",""pt"")"),"não iria voltar.")</f>
        <v>não iria voltar.</v>
      </c>
      <c r="B1983" s="3">
        <v>0</v>
      </c>
    </row>
    <row r="1984" ht="15.75" customHeight="1" spans="1:2">
      <c r="A1984" s="3" t="str">
        <f>IFERROR(__xludf.DUMMYFUNCTION("GOOGLETRANSLATE(A1984,""en"",""pt"")"),"O caixa não tinha cuidado de modo que nunca sobre o que eu tinha a dizer ainda acabou sendo wayyy as.")</f>
        <v>O caixa não tinha cuidado de modo que nunca sobre o que eu tinha a dizer ainda acabou sendo wayyy as.</v>
      </c>
      <c r="B1984" s="3">
        <v>0</v>
      </c>
    </row>
    <row r="1985" ht="15.75" customHeight="1" spans="1:2">
      <c r="A1985" s="3" t="str">
        <f>IFERROR(__xludf.DUMMYFUNCTION("GOOGLETRANSLATE(A1985,""en"",""pt"")"),"Eu tentei os ravoli Cape Cod, frango, com cranberry ... mmmm!")</f>
        <v>Eu tentei os ravoli Cape Cod, frango, com cranberry ... mmmm!</v>
      </c>
      <c r="B1985" s="3">
        <v>1</v>
      </c>
    </row>
    <row r="1986" ht="15.75" customHeight="1" spans="1:2">
      <c r="A1986" s="3" t="str">
        <f>IFERROR(__xludf.DUMMYFUNCTION("GOOGLETRANSLATE(A1986,""en"",""pt"")"),"Eu estava desgostoso porque eu tinha certeza que era cabelo humano.")</f>
        <v>Eu estava desgostoso porque eu tinha certeza que era cabelo humano.</v>
      </c>
      <c r="B1986" s="3">
        <v>0</v>
      </c>
    </row>
    <row r="1987" ht="15.75" customHeight="1" spans="1:2">
      <c r="A1987" s="3" t="str">
        <f>IFERROR(__xludf.DUMMYFUNCTION("GOOGLETRANSLATE(A1987,""en"",""pt"")"),"Fiquei chocado, porque há sinais indicam apenas dinheiro.")</f>
        <v>Fiquei chocado, porque há sinais indicam apenas dinheiro.</v>
      </c>
      <c r="B1987" s="3">
        <v>0</v>
      </c>
    </row>
    <row r="1988" ht="15.75" customHeight="1" spans="1:2">
      <c r="A1988" s="3" t="str">
        <f>IFERROR(__xludf.DUMMYFUNCTION("GOOGLETRANSLATE(A1988,""en"",""pt"")"),"Altamente recomendado.")</f>
        <v>Altamente recomendado.</v>
      </c>
      <c r="B1988" s="3">
        <v>1</v>
      </c>
    </row>
    <row r="1989" ht="15.75" customHeight="1" spans="1:2">
      <c r="A1989" s="3" t="str">
        <f>IFERROR(__xludf.DUMMYFUNCTION("GOOGLETRANSLATE(A1989,""en"",""pt"")"),"Garçonete foi um pouco lento no serviço.")</f>
        <v>Garçonete foi um pouco lento no serviço.</v>
      </c>
      <c r="B1989" s="3">
        <v>0</v>
      </c>
    </row>
    <row r="1990" ht="15.75" customHeight="1" spans="1:2">
      <c r="A1990" s="3" t="str">
        <f>IFERROR(__xludf.DUMMYFUNCTION("GOOGLETRANSLATE(A1990,""en"",""pt"")"),"Este lugar não vale o seu tempo, e muito menos Vegas.")</f>
        <v>Este lugar não vale o seu tempo, e muito menos Vegas.</v>
      </c>
      <c r="B1990" s="3">
        <v>0</v>
      </c>
    </row>
    <row r="1991" ht="15.75" customHeight="1" spans="1:2">
      <c r="A1991" s="3" t="str">
        <f>IFERROR(__xludf.DUMMYFUNCTION("GOOGLETRANSLATE(A1991,""en"",""pt"")"),"não gostava de todo.")</f>
        <v>não gostava de todo.</v>
      </c>
      <c r="B1991" s="3">
        <v>0</v>
      </c>
    </row>
    <row r="1992" ht="15.75" customHeight="1" spans="1:2">
      <c r="A1992" s="3" t="str">
        <f>IFERROR(__xludf.DUMMYFUNCTION("GOOGLETRANSLATE(A1992,""en"",""pt"")"),"O blá burrittos!")</f>
        <v>O blá burrittos!</v>
      </c>
      <c r="B1992" s="3">
        <v>0</v>
      </c>
    </row>
    <row r="1993" ht="15.75" customHeight="1" spans="1:2">
      <c r="A1993" s="3" t="str">
        <f>IFERROR(__xludf.DUMMYFUNCTION("GOOGLETRANSLATE(A1993,""en"",""pt"")"),"A comida, incrível.")</f>
        <v>A comida, incrível.</v>
      </c>
      <c r="B1993" s="3">
        <v>1</v>
      </c>
    </row>
    <row r="1994" ht="15.75" customHeight="1" spans="1:2">
      <c r="A1994" s="3" t="str">
        <f>IFERROR(__xludf.DUMMYFUNCTION("GOOGLETRANSLATE(A1994,""en"",""pt"")"),"Serviço também é bonito.")</f>
        <v>Serviço também é bonito.</v>
      </c>
      <c r="B1994" s="3">
        <v>1</v>
      </c>
    </row>
    <row r="1995" ht="15.75" customHeight="1" spans="1:2">
      <c r="A1995" s="3" t="str">
        <f>IFERROR(__xludf.DUMMYFUNCTION("GOOGLETRANSLATE(A1995,""en"",""pt"")"),"Eu poderia me importar menos ... O interior é apenas bonito.")</f>
        <v>Eu poderia me importar menos ... O interior é apenas bonito.</v>
      </c>
      <c r="B1995" s="3">
        <v>1</v>
      </c>
    </row>
    <row r="1996" ht="15.75" customHeight="1" spans="1:2">
      <c r="A1996" s="3" t="str">
        <f>IFERROR(__xludf.DUMMYFUNCTION("GOOGLETRANSLATE(A1996,""en"",""pt"")"),"Então eles realizaram.")</f>
        <v>Então eles realizaram.</v>
      </c>
      <c r="B1996" s="3">
        <v>1</v>
      </c>
    </row>
    <row r="1997" ht="15.75" customHeight="1" spans="1:2">
      <c r="A1997" s="3" t="str">
        <f>IFERROR(__xludf.DUMMYFUNCTION("GOOGLETRANSLATE(A1997,""en"",""pt"")"),"É isso mesmo .... o bolo de veludo vermelho ..... ohhh este material é tão bom.")</f>
        <v>É isso mesmo .... o bolo de veludo vermelho ..... ohhh este material é tão bom.</v>
      </c>
      <c r="B1997" s="3">
        <v>1</v>
      </c>
    </row>
    <row r="1998" ht="15.75" customHeight="1" spans="1:2">
      <c r="A1998" s="3" t="str">
        <f>IFERROR(__xludf.DUMMYFUNCTION("GOOGLETRANSLATE(A1998,""en"",""pt"")"),"#ERROR!")</f>
        <v>#ERROR!</v>
      </c>
      <c r="B1998" s="3">
        <v>0</v>
      </c>
    </row>
    <row r="1999" ht="15.75" customHeight="1" spans="1:2">
      <c r="A1999" s="3" t="str">
        <f>IFERROR(__xludf.DUMMYFUNCTION("GOOGLETRANSLATE(A1999,""en"",""pt"")"),"Este buraco na parede tem grandes street tacos mexicanos, e amigável.")</f>
        <v>Este buraco na parede tem grandes street tacos mexicanos, e amigável.</v>
      </c>
      <c r="B1999" s="3">
        <v>1</v>
      </c>
    </row>
    <row r="2000" ht="15.75" customHeight="1" spans="1:2">
      <c r="A2000" s="3" t="str">
        <f>IFERROR(__xludf.DUMMYFUNCTION("GOOGLETRANSLATE(A2000,""en"",""pt"")"),"Levou uma hora para chegar a nossa comida apenas 4 mesas no restaurante minha comida era morno, Nosso sever foi correndo por aí como ele estava totalmente esmagada.")</f>
        <v>Levou uma hora para chegar a nossa comida apenas 4 mesas no restaurante minha comida era morno, Nosso sever foi correndo por aí como ele estava totalmente esmagada.</v>
      </c>
      <c r="B2000" s="3">
        <v>0</v>
      </c>
    </row>
    <row r="2001" ht="15.75" customHeight="1" spans="1:2">
      <c r="A2001" s="3" t="str">
        <f>IFERROR(__xludf.DUMMYFUNCTION("GOOGLETRANSLATE(A2001,""en"",""pt"")"),"O pior era a sashimi salmão.")</f>
        <v>O pior era a sashimi salmão.</v>
      </c>
      <c r="B2001" s="3">
        <v>0</v>
      </c>
    </row>
    <row r="2002" ht="15.75" customHeight="1" spans="1:2">
      <c r="A2002" s="3" t="str">
        <f>IFERROR(__xludf.DUMMYFUNCTION("GOOGLETRANSLATE(A2002,""en"",""pt"")"),"Também há combos como um hambúrguer, batatas fritas e cerveja para 23, que é um negócio decente.")</f>
        <v>Também há combos como um hambúrguer, batatas fritas e cerveja para 23, que é um negócio decente.</v>
      </c>
      <c r="B2002" s="3">
        <v>1</v>
      </c>
    </row>
    <row r="2003" ht="15.75" customHeight="1" spans="1:2">
      <c r="A2003" s="3" t="str">
        <f>IFERROR(__xludf.DUMMYFUNCTION("GOOGLETRANSLATE(A2003,""en"",""pt"")"),"Isso foi como o golpe final!")</f>
        <v>Isso foi como o golpe final!</v>
      </c>
      <c r="B2003" s="3">
        <v>0</v>
      </c>
    </row>
    <row r="2004" ht="15.75" customHeight="1" spans="1:2">
      <c r="A2004" s="3" t="str">
        <f>IFERROR(__xludf.DUMMYFUNCTION("GOOGLETRANSLATE(A2004,""en"",""pt"")"),"Encontrei este lugar por acidente e eu não poderia estar mais feliz.")</f>
        <v>Encontrei este lugar por acidente e eu não poderia estar mais feliz.</v>
      </c>
      <c r="B2004" s="3">
        <v>1</v>
      </c>
    </row>
    <row r="2005" ht="15.75" customHeight="1" spans="1:2">
      <c r="A2005" s="3" t="str">
        <f>IFERROR(__xludf.DUMMYFUNCTION("GOOGLETRANSLATE(A2005,""en"",""pt"")"),"parece ser um bom lugar rápido para agarrar uma mordida de algum familiar comida de pub, mas faça um favor e procurar outro lugar.")</f>
        <v>parece ser um bom lugar rápido para agarrar uma mordida de algum familiar comida de pub, mas faça um favor e procurar outro lugar.</v>
      </c>
      <c r="B2005" s="3">
        <v>0</v>
      </c>
    </row>
    <row r="2006" ht="15.75" customHeight="1" spans="1:2">
      <c r="A2006" s="3" t="str">
        <f>IFERROR(__xludf.DUMMYFUNCTION("GOOGLETRANSLATE(A2006,""en"",""pt"")"),"No geral, eu gosto deste lugar muito.")</f>
        <v>No geral, eu gosto deste lugar muito.</v>
      </c>
      <c r="B2006" s="3">
        <v>1</v>
      </c>
    </row>
    <row r="2007" ht="15.75" customHeight="1" spans="1:2">
      <c r="A2007" s="3" t="str">
        <f>IFERROR(__xludf.DUMMYFUNCTION("GOOGLETRANSLATE(A2007,""en"",""pt"")"),"A qualidade só redimir do restaurante foi que foi muito barato.")</f>
        <v>A qualidade só redimir do restaurante foi que foi muito barato.</v>
      </c>
      <c r="B2007" s="3">
        <v>1</v>
      </c>
    </row>
    <row r="2008" ht="15.75" customHeight="1" spans="1:2">
      <c r="A2008" s="3" t="str">
        <f>IFERROR(__xludf.DUMMYFUNCTION("GOOGLETRANSLATE(A2008,""en"",""pt"")"),"Amplas porções e bons preços.")</f>
        <v>Amplas porções e bons preços.</v>
      </c>
      <c r="B2008" s="3">
        <v>1</v>
      </c>
    </row>
    <row r="2009" ht="15.75" customHeight="1" spans="1:2">
      <c r="A2009" s="3" t="str">
        <f>IFERROR(__xludf.DUMMYFUNCTION("GOOGLETRANSLATE(A2009,""en"",""pt"")"),"Pobre serviço, o garçom me fez sentir como se eu fosse estúpido a cada vez que ele veio para a mesa.")</f>
        <v>Pobre serviço, o garçom me fez sentir como se eu fosse estúpido a cada vez que ele veio para a mesa.</v>
      </c>
      <c r="B2009" s="3">
        <v>0</v>
      </c>
    </row>
    <row r="2010" ht="15.75" customHeight="1" spans="1:2">
      <c r="A2010" s="3" t="str">
        <f>IFERROR(__xludf.DUMMYFUNCTION("GOOGLETRANSLATE(A2010,""en"",""pt"")"),"Minha primeira visita a Hiro foi uma delícia!")</f>
        <v>Minha primeira visita a Hiro foi uma delícia!</v>
      </c>
      <c r="B2010" s="3">
        <v>1</v>
      </c>
    </row>
    <row r="2011" ht="15.75" customHeight="1" spans="1:2">
      <c r="A2011" s="3" t="str">
        <f>IFERROR(__xludf.DUMMYFUNCTION("GOOGLETRANSLATE(A2011,""en"",""pt"")"),"Serviço é uma porcaria.")</f>
        <v>Serviço é uma porcaria.</v>
      </c>
      <c r="B2011" s="3">
        <v>0</v>
      </c>
    </row>
    <row r="2012" ht="15.75" customHeight="1" spans="1:2">
      <c r="A2012" s="3" t="str">
        <f>IFERROR(__xludf.DUMMYFUNCTION("GOOGLETRANSLATE(A2012,""en"",""pt"")"),"O concurso camarão e úmido.")</f>
        <v>O concurso camarão e úmido.</v>
      </c>
      <c r="B2012" s="3">
        <v>1</v>
      </c>
    </row>
    <row r="2013" ht="15.75" customHeight="1" spans="1:2">
      <c r="A2013" s="3" t="str">
        <f>IFERROR(__xludf.DUMMYFUNCTION("GOOGLETRANSLATE(A2013,""en"",""pt"")"),"Não é uma boa o suficiente negócio que me arrastar para esse estabelecimento novamente.")</f>
        <v>Não é uma boa o suficiente negócio que me arrastar para esse estabelecimento novamente.</v>
      </c>
      <c r="B2013" s="3">
        <v>0</v>
      </c>
    </row>
    <row r="2014" ht="15.75" customHeight="1" spans="1:2">
      <c r="A2014" s="3" t="str">
        <f>IFERROR(__xludf.DUMMYFUNCTION("GOOGLETRANSLATE(A2014,""en"",""pt"")"),"Difícil julgar se estes lados eram bons porque estávamos enojada pela isopor derretido e não queria comê-lo por medo de ficar doente.")</f>
        <v>Difícil julgar se estes lados eram bons porque estávamos enojada pela isopor derretido e não queria comê-lo por medo de ficar doente.</v>
      </c>
      <c r="B2014" s="3">
        <v>0</v>
      </c>
    </row>
    <row r="2015" ht="15.75" customHeight="1" spans="1:2">
      <c r="A2015" s="3" t="str">
        <f>IFERROR(__xludf.DUMMYFUNCTION("GOOGLETRANSLATE(A2015,""en"",""pt"")"),"Em uma nota positiva, o nosso servidor foi muito atencioso e excelente serviço.")</f>
        <v>Em uma nota positiva, o nosso servidor foi muito atencioso e excelente serviço.</v>
      </c>
      <c r="B2015" s="3">
        <v>1</v>
      </c>
    </row>
    <row r="2016" ht="15.75" customHeight="1" spans="1:2">
      <c r="A2016" s="3" t="str">
        <f>IFERROR(__xludf.DUMMYFUNCTION("GOOGLETRANSLATE(A2016,""en"",""pt"")"),"discos congelados de desgosto, com algumas das piores pessoas por trás do registo.")</f>
        <v>discos congelados de desgosto, com algumas das piores pessoas por trás do registo.</v>
      </c>
      <c r="B2016" s="3">
        <v>0</v>
      </c>
    </row>
    <row r="2017" ht="15.75" customHeight="1" spans="1:2">
      <c r="A2017" s="3" t="str">
        <f>IFERROR(__xludf.DUMMYFUNCTION("GOOGLETRANSLATE(A2017,""en"",""pt"")"),"A única coisa que eu não gostei foi a seção de reforço e sobremesa prime.")</f>
        <v>A única coisa que eu não gostei foi a seção de reforço e sobremesa prime.</v>
      </c>
      <c r="B2017" s="3">
        <v>1</v>
      </c>
    </row>
    <row r="2018" ht="15.75" customHeight="1" spans="1:2">
      <c r="A2018" s="3" t="str">
        <f>IFERROR(__xludf.DUMMYFUNCTION("GOOGLETRANSLATE(A2018,""en"",""pt"")"),"É muito ruim a comida é tão maldito genérico.")</f>
        <v>É muito ruim a comida é tão maldito genérico.</v>
      </c>
      <c r="B2018" s="3">
        <v>0</v>
      </c>
    </row>
    <row r="2019" ht="15.75" customHeight="1" spans="1:2">
      <c r="A2019" s="3" t="str">
        <f>IFERROR(__xludf.DUMMYFUNCTION("GOOGLETRANSLATE(A2019,""en"",""pt"")"),"O hambúrguer é boa carne, preparados apenas à direita.")</f>
        <v>O hambúrguer é boa carne, preparados apenas à direita.</v>
      </c>
      <c r="B2019" s="3">
        <v>1</v>
      </c>
    </row>
    <row r="2020" ht="15.75" customHeight="1" spans="1:2">
      <c r="A2020" s="3" t="str">
        <f>IFERROR(__xludf.DUMMYFUNCTION("GOOGLETRANSLATE(A2020,""en"",""pt"")"),"Se você quer um sanduíche basta ir a qualquer Firehouse !!!!!")</f>
        <v>Se você quer um sanduíche basta ir a qualquer Firehouse !!!!!</v>
      </c>
      <c r="B2020" s="3">
        <v>1</v>
      </c>
    </row>
    <row r="2021" ht="15.75" customHeight="1" spans="1:2">
      <c r="A2021" s="3" t="str">
        <f>IFERROR(__xludf.DUMMYFUNCTION("GOOGLETRANSLATE(A2021,""en"",""pt"")"),"Minha salada grega lado com o curativo grego era tão saborosa, eo pita e Homus foi muito refrescante.")</f>
        <v>Minha salada grega lado com o curativo grego era tão saborosa, eo pita e Homus foi muito refrescante.</v>
      </c>
      <c r="B2021" s="3">
        <v>1</v>
      </c>
    </row>
    <row r="2022" ht="15.75" customHeight="1" spans="1:2">
      <c r="A2022" s="3" t="str">
        <f>IFERROR(__xludf.DUMMYFUNCTION("GOOGLETRANSLATE(A2022,""en"",""pt"")"),"Nós pedimos o pato raras e foi rosa e concurso no interior com um agradável caractere do lado de fora.")</f>
        <v>Nós pedimos o pato raras e foi rosa e concurso no interior com um agradável caractere do lado de fora.</v>
      </c>
      <c r="B2022" s="3">
        <v>1</v>
      </c>
    </row>
    <row r="2023" ht="15.75" customHeight="1" spans="1:2">
      <c r="A2023" s="3" t="str">
        <f>IFERROR(__xludf.DUMMYFUNCTION("GOOGLETRANSLATE(A2023,""en"",""pt"")"),"Ele veio correndo atrás de nós quando ele percebeu o meu marido tinha deixado seus óculos de sol em cima da mesa.")</f>
        <v>Ele veio correndo atrás de nós quando ele percebeu o meu marido tinha deixado seus óculos de sol em cima da mesa.</v>
      </c>
      <c r="B2023" s="3">
        <v>1</v>
      </c>
    </row>
    <row r="2024" ht="15.75" customHeight="1" spans="1:2">
      <c r="A2024" s="3" t="str">
        <f>IFERROR(__xludf.DUMMYFUNCTION("GOOGLETRANSLATE(A2024,""en"",""pt"")"),"Sua chow mein é tão bom!")</f>
        <v>Sua chow mein é tão bom!</v>
      </c>
      <c r="B2024" s="3">
        <v>1</v>
      </c>
    </row>
    <row r="2025" ht="15.75" customHeight="1" spans="1:2">
      <c r="A2025" s="3" t="str">
        <f>IFERROR(__xludf.DUMMYFUNCTION("GOOGLETRANSLATE(A2025,""en"",""pt"")"),"Eles têm atitudes horríveis para com os clientes, e falar para baixo a cada um quando os clientes não gostam de sua comida.")</f>
        <v>Eles têm atitudes horríveis para com os clientes, e falar para baixo a cada um quando os clientes não gostam de sua comida.</v>
      </c>
      <c r="B2025" s="3">
        <v>0</v>
      </c>
    </row>
    <row r="2026" ht="15.75" customHeight="1" spans="1:2">
      <c r="A2026" s="3" t="str">
        <f>IFERROR(__xludf.DUMMYFUNCTION("GOOGLETRANSLATE(A2026,""en"",""pt"")"),"A porção era enorme!")</f>
        <v>A porção era enorme!</v>
      </c>
      <c r="B2026" s="3">
        <v>1</v>
      </c>
    </row>
    <row r="2027" ht="15.75" customHeight="1" spans="1:2">
      <c r="A2027" s="3" t="str">
        <f>IFERROR(__xludf.DUMMYFUNCTION("GOOGLETRANSLATE(A2027,""en"",""pt"")"),"Adorei ... amigável servidores, boa comida, menu maravilhoso e imaginativo.")</f>
        <v>Adorei ... amigável servidores, boa comida, menu maravilhoso e imaginativo.</v>
      </c>
      <c r="B2027" s="3">
        <v>1</v>
      </c>
    </row>
    <row r="2028" ht="15.75" customHeight="1" spans="1:2">
      <c r="A2028" s="3" t="str">
        <f>IFERROR(__xludf.DUMMYFUNCTION("GOOGLETRANSLATE(A2028,""en"",""pt"")"),"O Heart Attack Grill, no centro de Vegas é uma desculpa absolutamente alinhada plana para um restaurante.")</f>
        <v>O Heart Attack Grill, no centro de Vegas é uma desculpa absolutamente alinhada plana para um restaurante.</v>
      </c>
      <c r="B2028" s="3">
        <v>0</v>
      </c>
    </row>
    <row r="2029" ht="15.75" customHeight="1" spans="1:2">
      <c r="A2029" s="3" t="str">
        <f>IFERROR(__xludf.DUMMYFUNCTION("GOOGLETRANSLATE(A2029,""en"",""pt"")"),"Não muito frutos do mar e como 5 cordas de massas na parte inferior.")</f>
        <v>Não muito frutos do mar e como 5 cordas de massas na parte inferior.</v>
      </c>
      <c r="B2029" s="3">
        <v>0</v>
      </c>
    </row>
    <row r="2030" ht="15.75" customHeight="1" spans="1:2">
      <c r="A2030" s="3" t="str">
        <f>IFERROR(__xludf.DUMMYFUNCTION("GOOGLETRANSLATE(A2030,""en"",""pt"")"),"A salada tinha apenas a quantidade certa de molho para não sobre o poder do vieira, que foi perfeitamente preparados.")</f>
        <v>A salada tinha apenas a quantidade certa de molho para não sobre o poder do vieira, que foi perfeitamente preparados.</v>
      </c>
      <c r="B2030" s="3">
        <v>1</v>
      </c>
    </row>
    <row r="2031" ht="15.75" customHeight="1" spans="1:2">
      <c r="A2031" s="3" t="str">
        <f>IFERROR(__xludf.DUMMYFUNCTION("GOOGLETRANSLATE(A2031,""en"",""pt"")"),"A banana rasgado não só foi rasgado, mas petrificados e sem gosto.")</f>
        <v>A banana rasgado não só foi rasgado, mas petrificados e sem gosto.</v>
      </c>
      <c r="B2031" s="3">
        <v>0</v>
      </c>
    </row>
    <row r="2032" ht="15.75" customHeight="1" spans="1:2">
      <c r="A2032" s="3" t="str">
        <f>IFERROR(__xludf.DUMMYFUNCTION("GOOGLETRANSLATE(A2032,""en"",""pt"")"),"Pelo menos acho que para encher o meu água antes de eu me esforço para acenar-lhe ao longo de 10 minutos.")</f>
        <v>Pelo menos acho que para encher o meu água antes de eu me esforço para acenar-lhe ao longo de 10 minutos.</v>
      </c>
      <c r="B2032" s="3">
        <v>0</v>
      </c>
    </row>
    <row r="2033" ht="15.75" customHeight="1" spans="1:2">
      <c r="A2033" s="3" t="str">
        <f>IFERROR(__xludf.DUMMYFUNCTION("GOOGLETRANSLATE(A2033,""en"",""pt"")"),"Este lugar recebe estrelas para seus aperitivos !!!")</f>
        <v>Este lugar recebe estrelas para seus aperitivos !!!</v>
      </c>
      <c r="B2033" s="3">
        <v>1</v>
      </c>
    </row>
    <row r="2034" ht="15.75" customHeight="1" spans="1:2">
      <c r="A2034" s="3" t="str">
        <f>IFERROR(__xludf.DUMMYFUNCTION("GOOGLETRANSLATE(A2034,""en"",""pt"")"),"Os cocktails são todos feitos à mão e delicioso.")</f>
        <v>Os cocktails são todos feitos à mão e delicioso.</v>
      </c>
      <c r="B2034" s="3">
        <v>1</v>
      </c>
    </row>
    <row r="2035" ht="15.75" customHeight="1" spans="1:2">
      <c r="A2035" s="3" t="str">
        <f>IFERROR(__xludf.DUMMYFUNCTION("GOOGLETRANSLATE(A2035,""en"",""pt"")"),"Nós definitivamente voltar aqui novamente.")</f>
        <v>Nós definitivamente voltar aqui novamente.</v>
      </c>
      <c r="B2035" s="3">
        <v>1</v>
      </c>
    </row>
    <row r="2036" ht="15.75" customHeight="1" spans="1:2">
      <c r="A2036" s="3" t="str">
        <f>IFERROR(__xludf.DUMMYFUNCTION("GOOGLETRANSLATE(A2036,""en"",""pt"")"),"Estamos tão feliz que encontramos este lugar.")</f>
        <v>Estamos tão feliz que encontramos este lugar.</v>
      </c>
      <c r="B2036" s="3">
        <v>1</v>
      </c>
    </row>
    <row r="2037" ht="15.75" customHeight="1" spans="1:2">
      <c r="A2037" s="3" t="str">
        <f>IFERROR(__xludf.DUMMYFUNCTION("GOOGLETRANSLATE(A2037,""en"",""pt"")"),"Great alimentos e serviço, porções enormes e eles dão um desconto militar.")</f>
        <v>Great alimentos e serviço, porções enormes e eles dão um desconto militar.</v>
      </c>
      <c r="B2037" s="3">
        <v>1</v>
      </c>
    </row>
    <row r="2038" ht="15.75" customHeight="1" spans="1:2">
      <c r="A2038" s="3" t="str">
        <f>IFERROR(__xludf.DUMMYFUNCTION("GOOGLETRANSLATE(A2038,""en"",""pt"")"),"Sempre um grande momento em Dos Gringos!")</f>
        <v>Sempre um grande momento em Dos Gringos!</v>
      </c>
      <c r="B2038" s="3">
        <v>1</v>
      </c>
    </row>
    <row r="2039" ht="15.75" customHeight="1" spans="1:2">
      <c r="A2039" s="3" t="str">
        <f>IFERROR(__xludf.DUMMYFUNCTION("GOOGLETRANSLATE(A2039,""en"",""pt"")"),"Atualização ..... fomos voltar para uma segunda vez e ainda era tão incrível")</f>
        <v>Atualização ..... fomos voltar para uma segunda vez e ainda era tão incrível</v>
      </c>
      <c r="B2039" s="3">
        <v>1</v>
      </c>
    </row>
    <row r="2040" ht="15.75" customHeight="1" spans="1:2">
      <c r="A2040" s="3" t="str">
        <f>IFERROR(__xludf.DUMMYFUNCTION("GOOGLETRANSLATE(A2040,""en"",""pt"")"),"Temos a comida e, aparentemente, eles nunca ouviram falar de sal e a massa sobre o peixe foi mastigável.")</f>
        <v>Temos a comida e, aparentemente, eles nunca ouviram falar de sal e a massa sobre o peixe foi mastigável.</v>
      </c>
      <c r="B2040" s="3">
        <v>0</v>
      </c>
    </row>
    <row r="2041" ht="15.75" customHeight="1" spans="1:2">
      <c r="A2041" s="3" t="str">
        <f>IFERROR(__xludf.DUMMYFUNCTION("GOOGLETRANSLATE(A2041,""en"",""pt"")"),"Uma ótima maneira de terminar um grande.")</f>
        <v>Uma ótima maneira de terminar um grande.</v>
      </c>
      <c r="B2041" s="3">
        <v>1</v>
      </c>
    </row>
    <row r="2042" ht="15.75" customHeight="1" spans="1:2">
      <c r="A2042" s="3" t="str">
        <f>IFERROR(__xludf.DUMMYFUNCTION("GOOGLETRANSLATE(A2042,""en"",""pt"")"),"O negócio incluiu 5 degustações e 2 bebidas, e Jeff foi acima e além daquilo que era esperado.")</f>
        <v>O negócio incluiu 5 degustações e 2 bebidas, e Jeff foi acima e além daquilo que era esperado.</v>
      </c>
      <c r="B2042" s="3">
        <v>1</v>
      </c>
    </row>
    <row r="2043" ht="15.75" customHeight="1" spans="1:2">
      <c r="A2043" s="3" t="str">
        <f>IFERROR(__xludf.DUMMYFUNCTION("GOOGLETRANSLATE(A2043,""en"",""pt"")"),"O serviço foi meh.")</f>
        <v>O serviço foi meh.</v>
      </c>
      <c r="B2043" s="3">
        <v>0</v>
      </c>
    </row>
    <row r="2044" ht="15.75" customHeight="1" spans="1:2">
      <c r="A2044" s="3" t="str">
        <f>IFERROR(__xludf.DUMMYFUNCTION("GOOGLETRANSLATE(A2044,""en"",""pt"")"),"Levou mais de 30 minutos para obter o seu milk-shake, que nada mais era do que o leite de chocolate.")</f>
        <v>Levou mais de 30 minutos para obter o seu milk-shake, que nada mais era do que o leite de chocolate.</v>
      </c>
      <c r="B2044" s="3">
        <v>0</v>
      </c>
    </row>
    <row r="2045" ht="15.75" customHeight="1" spans="1:2">
      <c r="A2045" s="3" t="str">
        <f>IFERROR(__xludf.DUMMYFUNCTION("GOOGLETRANSLATE(A2045,""en"",""pt"")"),"Acho que eu deveria ter sabido que este lugar seria um saco, porque está dentro da Excalibur, mas eu não uso o meu senso comum.")</f>
        <v>Acho que eu deveria ter sabido que este lugar seria um saco, porque está dentro da Excalibur, mas eu não uso o meu senso comum.</v>
      </c>
      <c r="B2045" s="3">
        <v>0</v>
      </c>
    </row>
    <row r="2046" ht="15.75" customHeight="1" spans="1:2">
      <c r="A2046" s="3" t="str">
        <f>IFERROR(__xludf.DUMMYFUNCTION("GOOGLETRANSLATE(A2046,""en"",""pt"")"),"O prato de vieiras é muito consternante para o valor também.")</f>
        <v>O prato de vieiras é muito consternante para o valor também.</v>
      </c>
      <c r="B2046" s="3">
        <v>0</v>
      </c>
    </row>
    <row r="2047" ht="15.75" customHeight="1" spans="1:2">
      <c r="A2047" s="3" t="str">
        <f>IFERROR(__xludf.DUMMYFUNCTION("GOOGLETRANSLATE(A2047,""en"",""pt"")"),"O batata-frita foram muito bom e experiente.")</f>
        <v>O batata-frita foram muito bom e experiente.</v>
      </c>
      <c r="B2047" s="3">
        <v>1</v>
      </c>
    </row>
    <row r="2048" ht="15.75" customHeight="1" spans="1:2">
      <c r="A2048" s="3" t="str">
        <f>IFERROR(__xludf.DUMMYFUNCTION("GOOGLETRANSLATE(A2048,""en"",""pt"")"),"Hoje é a segunda vez que eu estive ao seu buffet de almoço e foi muito bom.")</f>
        <v>Hoje é a segunda vez que eu estive ao seu buffet de almoço e foi muito bom.</v>
      </c>
      <c r="B2048" s="3">
        <v>1</v>
      </c>
    </row>
    <row r="2049" ht="15.75" customHeight="1" spans="1:2">
      <c r="A2049" s="3" t="str">
        <f>IFERROR(__xludf.DUMMYFUNCTION("GOOGLETRANSLATE(A2049,""en"",""pt"")"),"Há tanta coisa boa comida em Vegas que eu sentir enganado por desperdiçar uma oportunidade de comer, indo para arroz e Company.")</f>
        <v>Há tanta coisa boa comida em Vegas que eu sentir enganado por desperdiçar uma oportunidade de comer, indo para arroz e Company.</v>
      </c>
      <c r="B2049" s="3">
        <v>0</v>
      </c>
    </row>
    <row r="2050" ht="15.75" customHeight="1" spans="1:2">
      <c r="A2050" s="3" t="str">
        <f>IFERROR(__xludf.DUMMYFUNCTION("GOOGLETRANSLATE(A2050,""en"",""pt"")"),"Vir aqui é como experimentar um relacionamento decepcionante que ambas as partes não podem esperar que a outra pessoa para perguntar se separar.")</f>
        <v>Vir aqui é como experimentar um relacionamento decepcionante que ambas as partes não podem esperar que a outra pessoa para perguntar se separar.</v>
      </c>
      <c r="B2050" s="3">
        <v>0</v>
      </c>
    </row>
    <row r="2051" ht="15.75" customHeight="1" spans="1:2">
      <c r="A2051" s="3" t="str">
        <f>IFERROR(__xludf.DUMMYFUNCTION("GOOGLETRANSLATE(A2051,""en"",""pt"")"),"entrou eo lugar cheirava como um velho caixa de gordura e apenas 2 outras pessoas lá comer.")</f>
        <v>entrou eo lugar cheirava como um velho caixa de gordura e apenas 2 outras pessoas lá comer.</v>
      </c>
      <c r="B2051" s="3">
        <v>0</v>
      </c>
    </row>
    <row r="2052" ht="15.75" customHeight="1" spans="1:2">
      <c r="A2052" s="3" t="str">
        <f>IFERROR(__xludf.DUMMYFUNCTION("GOOGLETRANSLATE(A2052,""en"",""pt"")"),"O peru e rosbife foram sem graça.")</f>
        <v>O peru e rosbife foram sem graça.</v>
      </c>
      <c r="B2052" s="3">
        <v>0</v>
      </c>
    </row>
    <row r="2053" ht="15.75" customHeight="1" spans="1:2">
      <c r="A2053" s="3" t="str">
        <f>IFERROR(__xludf.DUMMYFUNCTION("GOOGLETRANSLATE(A2053,""en"",""pt"")"),"Este lugar tem!")</f>
        <v>Este lugar tem!</v>
      </c>
      <c r="B2053" s="3">
        <v>1</v>
      </c>
    </row>
    <row r="2054" ht="15.75" customHeight="1" spans="1:2">
      <c r="A2054" s="3" t="str">
        <f>IFERROR(__xludf.DUMMYFUNCTION("GOOGLETRANSLATE(A2054,""en"",""pt"")"),"O bolos pan todos estão empolgadíssimos com sabor como um desastre açucarado adaptados ao paladar de uma criança de seis anos.")</f>
        <v>O bolos pan todos estão empolgadíssimos com sabor como um desastre açucarado adaptados ao paladar de uma criança de seis anos.</v>
      </c>
      <c r="B2054" s="3">
        <v>0</v>
      </c>
    </row>
    <row r="2055" ht="15.75" customHeight="1" spans="1:2">
      <c r="A2055" s="3" t="str">
        <f>IFERROR(__xludf.DUMMYFUNCTION("GOOGLETRANSLATE(A2055,""en"",""pt"")"),"Eu amo o Pho e os rolos de Primavera oh tão delicioso você tem que tentar.")</f>
        <v>Eu amo o Pho e os rolos de Primavera oh tão delicioso você tem que tentar.</v>
      </c>
      <c r="B2055" s="3">
        <v>1</v>
      </c>
    </row>
    <row r="2056" ht="15.75" customHeight="1" spans="1:2">
      <c r="A2056" s="3" t="str">
        <f>IFERROR(__xludf.DUMMYFUNCTION("GOOGLETRANSLATE(A2056,""en"",""pt"")"),"Os pobres massa à relação da carne fez as propostas de frango muito insatisfatório.")</f>
        <v>Os pobres massa à relação da carne fez as propostas de frango muito insatisfatório.</v>
      </c>
      <c r="B2056" s="3">
        <v>0</v>
      </c>
    </row>
    <row r="2057" ht="15.75" customHeight="1" spans="1:2">
      <c r="A2057" s="3" t="str">
        <f>IFERROR(__xludf.DUMMYFUNCTION("GOOGLETRANSLATE(A2057,""en"",""pt"")"),"Tudo o que eu tenho a dizer é a comida era incrível !!!")</f>
        <v>Tudo o que eu tenho a dizer é a comida era incrível !!!</v>
      </c>
      <c r="B2057" s="3">
        <v>1</v>
      </c>
    </row>
    <row r="2058" ht="15.75" customHeight="1" spans="1:2">
      <c r="A2058" s="3" t="str">
        <f>IFERROR(__xludf.DUMMYFUNCTION("GOOGLETRANSLATE(A2058,""en"",""pt"")"),"Omeletes são de morrer!")</f>
        <v>Omeletes são de morrer!</v>
      </c>
      <c r="B2058" s="3">
        <v>1</v>
      </c>
    </row>
    <row r="2059" ht="15.75" customHeight="1" spans="1:2">
      <c r="A2059" s="3" t="str">
        <f>IFERROR(__xludf.DUMMYFUNCTION("GOOGLETRANSLATE(A2059,""en"",""pt"")"),"Tudo estava fresco e delicioso!")</f>
        <v>Tudo estava fresco e delicioso!</v>
      </c>
      <c r="B2059" s="3">
        <v>1</v>
      </c>
    </row>
    <row r="2060" ht="15.75" customHeight="1" spans="1:2">
      <c r="A2060" s="3" t="str">
        <f>IFERROR(__xludf.DUMMYFUNCTION("GOOGLETRANSLATE(A2060,""en"",""pt"")"),"Em resumo, esta foi uma experiência muito decepcionantes.")</f>
        <v>Em resumo, esta foi uma experiência muito decepcionantes.</v>
      </c>
      <c r="B2060" s="3">
        <v>0</v>
      </c>
    </row>
    <row r="2061" ht="15.75" customHeight="1" spans="1:2">
      <c r="A2061" s="3" t="str">
        <f>IFERROR(__xludf.DUMMYFUNCTION("GOOGLETRANSLATE(A2061,""en"",""pt"")"),"É como uma festa realmente sexy em sua boca, onde você está flertando escandalosamente com a pessoa mais quente na festa.")</f>
        <v>É como uma festa realmente sexy em sua boca, onde você está flertando escandalosamente com a pessoa mais quente na festa.</v>
      </c>
      <c r="B2061" s="3">
        <v>1</v>
      </c>
    </row>
    <row r="2062" ht="15.75" customHeight="1" spans="1:2">
      <c r="A2062" s="3" t="str">
        <f>IFERROR(__xludf.DUMMYFUNCTION("GOOGLETRANSLATE(A2062,""en"",""pt"")"),"Nunca estive em Hard Rock Casino antes, nunca vai passo em frente no-lo novamente!")</f>
        <v>Nunca estive em Hard Rock Casino antes, nunca vai passo em frente no-lo novamente!</v>
      </c>
      <c r="B2062" s="3">
        <v>0</v>
      </c>
    </row>
    <row r="2063" ht="15.75" customHeight="1" spans="1:2">
      <c r="A2063" s="3" t="str">
        <f>IFERROR(__xludf.DUMMYFUNCTION("GOOGLETRANSLATE(A2063,""en"",""pt"")"),"Melhor buffet de pequeno-almoço !!!")</f>
        <v>Melhor buffet de pequeno-almoço !!!</v>
      </c>
      <c r="B2063" s="3">
        <v>1</v>
      </c>
    </row>
    <row r="2064" ht="15.75" customHeight="1" spans="1:2">
      <c r="A2064" s="3" t="str">
        <f>IFERROR(__xludf.DUMMYFUNCTION("GOOGLETRANSLATE(A2064,""en"",""pt"")"),"dizer o adeus a sua senhora dica!")</f>
        <v>dizer o adeus a sua senhora dica!</v>
      </c>
      <c r="B2064" s="3">
        <v>0</v>
      </c>
    </row>
    <row r="2065" ht="15.75" customHeight="1" spans="1:2">
      <c r="A2065" s="3" t="str">
        <f>IFERROR(__xludf.DUMMYFUNCTION("GOOGLETRANSLATE(A2065,""en"",""pt"")"),"Nós nunca iremos novamente.")</f>
        <v>Nós nunca iremos novamente.</v>
      </c>
      <c r="B2065" s="3">
        <v>0</v>
      </c>
    </row>
    <row r="2066" ht="15.75" customHeight="1" spans="1:2">
      <c r="A2066" s="3" t="str">
        <f>IFERROR(__xludf.DUMMYFUNCTION("GOOGLETRANSLATE(A2066,""en"",""pt"")"),"Será novamente!")</f>
        <v>Será novamente!</v>
      </c>
      <c r="B2066" s="3">
        <v>1</v>
      </c>
    </row>
    <row r="2067" ht="15.75" customHeight="1" spans="1:2">
      <c r="A2067" s="3" t="str">
        <f>IFERROR(__xludf.DUMMYFUNCTION("GOOGLETRANSLATE(A2067,""en"",""pt"")"),"Comida chegou rapidamente!")</f>
        <v>Comida chegou rapidamente!</v>
      </c>
      <c r="B2067" s="3">
        <v>1</v>
      </c>
    </row>
    <row r="2068" ht="15.75" customHeight="1" spans="1:2">
      <c r="A2068" s="3" t="str">
        <f>IFERROR(__xludf.DUMMYFUNCTION("GOOGLETRANSLATE(A2068,""en"",""pt"")"),"Não foi bom.")</f>
        <v>Não foi bom.</v>
      </c>
      <c r="B2068" s="3">
        <v>0</v>
      </c>
    </row>
    <row r="2069" ht="15.75" customHeight="1" spans="1:2">
      <c r="A2069" s="3" t="str">
        <f>IFERROR(__xludf.DUMMYFUNCTION("GOOGLETRANSLATE(A2069,""en"",""pt"")"),"Do lado de cima, o café serve realmente boa comida.")</f>
        <v>Do lado de cima, o café serve realmente boa comida.</v>
      </c>
      <c r="B2069" s="3">
        <v>1</v>
      </c>
    </row>
    <row r="2070" ht="15.75" customHeight="1" spans="1:2">
      <c r="A2070" s="3" t="str">
        <f>IFERROR(__xludf.DUMMYFUNCTION("GOOGLETRANSLATE(A2070,""en"",""pt"")"),"O nosso servidor foi fantástico e quando ele descobriu que os amores esposa assado alho e medula óssea, acrescentou extra para a nossa refeição e outra de medula para ir!")</f>
        <v>O nosso servidor foi fantástico e quando ele descobriu que os amores esposa assado alho e medula óssea, acrescentou extra para a nossa refeição e outra de medula para ir!</v>
      </c>
      <c r="B2070" s="3">
        <v>1</v>
      </c>
    </row>
    <row r="2071" ht="15.75" customHeight="1" spans="1:2">
      <c r="A2071" s="3" t="str">
        <f>IFERROR(__xludf.DUMMYFUNCTION("GOOGLETRANSLATE(A2071,""en"",""pt"")"),"A única coisa boa foi o nosso garçom, ele foi muito útil e manteve o mary bloddy está vindo.")</f>
        <v>A única coisa boa foi o nosso garçom, ele foi muito útil e manteve o mary bloddy está vindo.</v>
      </c>
      <c r="B2071" s="3">
        <v>1</v>
      </c>
    </row>
    <row r="2072" ht="15.75" customHeight="1" spans="1:2">
      <c r="A2072" s="3" t="str">
        <f>IFERROR(__xludf.DUMMYFUNCTION("GOOGLETRANSLATE(A2072,""en"",""pt"")"),"Melhor buffet da cidade, para o preço que você não pode vencê-lo.")</f>
        <v>Melhor buffet da cidade, para o preço que você não pode vencê-lo.</v>
      </c>
      <c r="B2072" s="3">
        <v>1</v>
      </c>
    </row>
    <row r="2073" ht="15.75" customHeight="1" spans="1:2">
      <c r="A2073" s="3" t="str">
        <f>IFERROR(__xludf.DUMMYFUNCTION("GOOGLETRANSLATE(A2073,""en"",""pt"")"),"Eu amei a sua mexilhões cozidos nesta redução de vinho, o pato se enterneceu, e seus pratos de batata foram delicioso.")</f>
        <v>Eu amei a sua mexilhões cozidos nesta redução de vinho, o pato se enterneceu, e seus pratos de batata foram delicioso.</v>
      </c>
      <c r="B2073" s="3">
        <v>1</v>
      </c>
    </row>
    <row r="2074" ht="15.75" customHeight="1" spans="1:2">
      <c r="A2074" s="3" t="str">
        <f>IFERROR(__xludf.DUMMYFUNCTION("GOOGLETRANSLATE(A2074,""en"",""pt"")"),"Este é um dos melhores buffets que eu já estive.")</f>
        <v>Este é um dos melhores buffets que eu já estive.</v>
      </c>
      <c r="B2074" s="3">
        <v>1</v>
      </c>
    </row>
    <row r="2075" ht="15.75" customHeight="1" spans="1:2">
      <c r="A2075" s="3" t="str">
        <f>IFERROR(__xludf.DUMMYFUNCTION("GOOGLETRANSLATE(A2075,""en"",""pt"")"),"Então nós fomos para Tigerlilly e teve uma tarde fantástica!")</f>
        <v>Então nós fomos para Tigerlilly e teve uma tarde fantástica!</v>
      </c>
      <c r="B2075" s="3">
        <v>1</v>
      </c>
    </row>
    <row r="2076" ht="15.75" customHeight="1" spans="1:2">
      <c r="A2076" s="3" t="str">
        <f>IFERROR(__xludf.DUMMYFUNCTION("GOOGLETRANSLATE(A2076,""en"",""pt"")"),"A comida era deliciosa, o nosso barman foi atenciosa e simpática e temos um grande negócio!")</f>
        <v>A comida era deliciosa, o nosso barman foi atenciosa e simpática e temos um grande negócio!</v>
      </c>
      <c r="B2076" s="3">
        <v>1</v>
      </c>
    </row>
    <row r="2077" ht="15.75" customHeight="1" spans="1:2">
      <c r="A2077" s="3" t="str">
        <f>IFERROR(__xludf.DUMMYFUNCTION("GOOGLETRANSLATE(A2077,""en"",""pt"")"),"O ambiente é maravilhoso e há música.")</f>
        <v>O ambiente é maravilhoso e há música.</v>
      </c>
      <c r="B2077" s="3">
        <v>1</v>
      </c>
    </row>
    <row r="2078" ht="15.75" customHeight="1" spans="1:2">
      <c r="A2078" s="3" t="str">
        <f>IFERROR(__xludf.DUMMYFUNCTION("GOOGLETRANSLATE(A2078,""en"",""pt"")"),"Vai voltar próxima viagem.")</f>
        <v>Vai voltar próxima viagem.</v>
      </c>
      <c r="B2078" s="3">
        <v>1</v>
      </c>
    </row>
    <row r="2079" ht="15.75" customHeight="1" spans="1:2">
      <c r="A2079" s="3" t="str">
        <f>IFERROR(__xludf.DUMMYFUNCTION("GOOGLETRANSLATE(A2079,""en"",""pt"")"),"Sentia tão bom !!")</f>
        <v>Sentia tão bom !!</v>
      </c>
      <c r="B2079" s="3">
        <v>1</v>
      </c>
    </row>
    <row r="2080" ht="15.75" customHeight="1" spans="1:2">
      <c r="A2080" s="3" t="str">
        <f>IFERROR(__xludf.DUMMYFUNCTION("GOOGLETRANSLATE(A2080,""en"",""pt"")"),"os amantes de sushi REAIS, vamos ser honestos - Yama não é tão bom.")</f>
        <v>os amantes de sushi REAIS, vamos ser honestos - Yama não é tão bom.</v>
      </c>
      <c r="B2080" s="3">
        <v>0</v>
      </c>
    </row>
    <row r="2081" ht="15.75" customHeight="1" spans="1:2">
      <c r="A2081" s="3" t="str">
        <f>IFERROR(__xludf.DUMMYFUNCTION("GOOGLETRANSLATE(A2081,""en"",""pt"")"),"Pelo menos 40min passou entre nós pedidos e a comida chegar, e não foi ocupado.")</f>
        <v>Pelo menos 40min passou entre nós pedidos e a comida chegar, e não foi ocupado.</v>
      </c>
      <c r="B2081" s="3">
        <v>0</v>
      </c>
    </row>
    <row r="2082" ht="15.75" customHeight="1" spans="1:2">
      <c r="A2082" s="3" t="str">
        <f>IFERROR(__xludf.DUMMYFUNCTION("GOOGLETRANSLATE(A2082,""en"",""pt"")"),"Este é um restaurante realmente fantástico tailandesa que é definitivamente vale a pena uma visita.")</f>
        <v>Este é um restaurante realmente fantástico tailandesa que é definitivamente vale a pena uma visita.</v>
      </c>
      <c r="B2082" s="3">
        <v>1</v>
      </c>
    </row>
    <row r="2083" ht="15.75" customHeight="1" spans="1:2">
      <c r="A2083" s="3" t="str">
        <f>IFERROR(__xludf.DUMMYFUNCTION("GOOGLETRANSLATE(A2083,""en"",""pt"")"),"Bom, picante e concurso.")</f>
        <v>Bom, picante e concurso.</v>
      </c>
      <c r="B2083" s="3">
        <v>1</v>
      </c>
    </row>
    <row r="2084" ht="15.75" customHeight="1" spans="1:2">
      <c r="A2084" s="3" t="str">
        <f>IFERROR(__xludf.DUMMYFUNCTION("GOOGLETRANSLATE(A2084,""en"",""pt"")"),"Bons preços.")</f>
        <v>Bons preços.</v>
      </c>
      <c r="B2084" s="3">
        <v>1</v>
      </c>
    </row>
    <row r="2085" ht="15.75" customHeight="1" spans="1:2">
      <c r="A2085" s="3" t="str">
        <f>IFERROR(__xludf.DUMMYFUNCTION("GOOGLETRANSLATE(A2085,""en"",""pt"")"),"Confira.")</f>
        <v>Confira.</v>
      </c>
      <c r="B2085" s="3">
        <v>1</v>
      </c>
    </row>
    <row r="2086" ht="15.75" customHeight="1" spans="1:2">
      <c r="A2086" s="3" t="str">
        <f>IFERROR(__xludf.DUMMYFUNCTION("GOOGLETRANSLATE(A2086,""en"",""pt"")"),"Foi muito grosseiro!")</f>
        <v>Foi muito grosseiro!</v>
      </c>
      <c r="B2086" s="3">
        <v>0</v>
      </c>
    </row>
    <row r="2087" ht="15.75" customHeight="1" spans="1:2">
      <c r="A2087" s="3" t="str">
        <f>IFERROR(__xludf.DUMMYFUNCTION("GOOGLETRANSLATE(A2087,""en"",""pt"")"),"Eu tive melhor atmosfera.")</f>
        <v>Eu tive melhor atmosfera.</v>
      </c>
      <c r="B2087" s="3">
        <v>0</v>
      </c>
    </row>
    <row r="2088" ht="15.75" customHeight="1" spans="1:2">
      <c r="A2088" s="3" t="str">
        <f>IFERROR(__xludf.DUMMYFUNCTION("GOOGLETRANSLATE(A2088,""en"",""pt"")"),"Tipo de difícil oficiais um bife, mas eles fizeram.")</f>
        <v>Tipo de difícil oficiais um bife, mas eles fizeram.</v>
      </c>
      <c r="B2088" s="3">
        <v>0</v>
      </c>
    </row>
    <row r="2089" ht="15.75" customHeight="1" spans="1:2">
      <c r="A2089" s="3" t="str">
        <f>IFERROR(__xludf.DUMMYFUNCTION("GOOGLETRANSLATE(A2089,""en"",""pt"")"),"Embora eu gostei bastante a aparência eo som deste lugar, a experiência real foi um pouco decepcionante.")</f>
        <v>Embora eu gostei bastante a aparência eo som deste lugar, a experiência real foi um pouco decepcionante.</v>
      </c>
      <c r="B2089" s="3">
        <v>0</v>
      </c>
    </row>
    <row r="2090" ht="15.75" customHeight="1" spans="1:2">
      <c r="A2090" s="3" t="str">
        <f>IFERROR(__xludf.DUMMYFUNCTION("GOOGLETRANSLATE(A2090,""en"",""pt"")"),"Eu só não sei como este lugar conseguiu servido o blandest comida que já comi quando eles estão se preparando culinária indiana.")</f>
        <v>Eu só não sei como este lugar conseguiu servido o blandest comida que já comi quando eles estão se preparando culinária indiana.</v>
      </c>
      <c r="B2090" s="3">
        <v>0</v>
      </c>
    </row>
    <row r="2091" ht="15.75" customHeight="1" spans="1:2">
      <c r="A2091" s="3" t="str">
        <f>IFERROR(__xludf.DUMMYFUNCTION("GOOGLETRANSLATE(A2091,""en"",""pt"")"),"Pior serviço de boot, mas essa é a menor de suas preocupações.")</f>
        <v>Pior serviço de boot, mas essa é a menor de suas preocupações.</v>
      </c>
      <c r="B2091" s="3">
        <v>0</v>
      </c>
    </row>
    <row r="2092" ht="15.75" customHeight="1" spans="1:2">
      <c r="A2092" s="3" t="str">
        <f>IFERROR(__xludf.DUMMYFUNCTION("GOOGLETRANSLATE(A2092,""en"",""pt"")"),"O serviço foi bom ea garçonete foi amigável.")</f>
        <v>O serviço foi bom ea garçonete foi amigável.</v>
      </c>
      <c r="B2092" s="3">
        <v>1</v>
      </c>
    </row>
    <row r="2093" ht="15.75" customHeight="1" spans="1:2">
      <c r="A2093" s="3" t="str">
        <f>IFERROR(__xludf.DUMMYFUNCTION("GOOGLETRANSLATE(A2093,""en"",""pt"")"),"Os caras todos tinham bifes, e nosso bife filho que teve bife com os melhores e piores lugares disse que era o melhor filé que ele tinha comido amoroso.")</f>
        <v>Os caras todos tinham bifes, e nosso bife filho que teve bife com os melhores e piores lugares disse que era o melhor filé que ele tinha comido amoroso.</v>
      </c>
      <c r="B2093" s="3">
        <v>1</v>
      </c>
    </row>
    <row r="2094" ht="15.75" customHeight="1" spans="1:2">
      <c r="A2094" s="3" t="str">
        <f>IFERROR(__xludf.DUMMYFUNCTION("GOOGLETRANSLATE(A2094,""en"",""pt"")"),"Nós pensamos que você teria que se aventurar mais longe para obter um bom sushi, mas este lugar atingir o local naquela noite.")</f>
        <v>Nós pensamos que você teria que se aventurar mais longe para obter um bom sushi, mas este lugar atingir o local naquela noite.</v>
      </c>
      <c r="B2094" s="3">
        <v>1</v>
      </c>
    </row>
    <row r="2095" ht="15.75" customHeight="1" spans="1:2">
      <c r="A2095" s="3" t="str">
        <f>IFERROR(__xludf.DUMMYFUNCTION("GOOGLETRANSLATE(A2095,""en"",""pt"")"),"equipe anfitrião foram, por falta de uma palavra melhor, cadelas!")</f>
        <v>equipe anfitrião foram, por falta de uma palavra melhor, cadelas!</v>
      </c>
      <c r="B2095" s="3">
        <v>0</v>
      </c>
    </row>
    <row r="2096" ht="15.75" customHeight="1" spans="1:2">
      <c r="A2096" s="3" t="str">
        <f>IFERROR(__xludf.DUMMYFUNCTION("GOOGLETRANSLATE(A2096,""en"",""pt"")"),"Bland ... Não é um gosto este lugar para uma série de razões e eu não quero perder tempo com mau revisão .. Eu vou deixar por isso mesmo ...")</f>
        <v>Bland ... Não é um gosto este lugar para uma série de razões e eu não quero perder tempo com mau revisão .. Eu vou deixar por isso mesmo ...</v>
      </c>
      <c r="B2096" s="3">
        <v>0</v>
      </c>
    </row>
    <row r="2097" ht="15.75" customHeight="1" spans="1:2">
      <c r="A2097" s="3" t="str">
        <f>IFERROR(__xludf.DUMMYFUNCTION("GOOGLETRANSLATE(A2097,""en"",""pt"")"),"Fenomenal comida, serviço e ambiente.")</f>
        <v>Fenomenal comida, serviço e ambiente.</v>
      </c>
      <c r="B2097" s="3">
        <v>1</v>
      </c>
    </row>
    <row r="2098" ht="15.75" customHeight="1" spans="1:2">
      <c r="A2098" s="3" t="str">
        <f>IFERROR(__xludf.DUMMYFUNCTION("GOOGLETRANSLATE(A2098,""en"",""pt"")"),"Eu não voltaria.")</f>
        <v>Eu não voltaria.</v>
      </c>
      <c r="B2098" s="3">
        <v>0</v>
      </c>
    </row>
    <row r="2099" ht="15.75" customHeight="1" spans="1:2">
      <c r="A2099" s="3" t="str">
        <f>IFERROR(__xludf.DUMMYFUNCTION("GOOGLETRANSLATE(A2099,""en"",""pt"")"),"Definitivamente vale a pena se aventurar fora da faixa para a barriga de porco, vai voltar na próxima vez estou em Las Vegas.")</f>
        <v>Definitivamente vale a pena se aventurar fora da faixa para a barriga de porco, vai voltar na próxima vez estou em Las Vegas.</v>
      </c>
      <c r="B2099" s="3">
        <v>1</v>
      </c>
    </row>
    <row r="2100" ht="15.75" customHeight="1" spans="1:2">
      <c r="A2100" s="3" t="str">
        <f>IFERROR(__xludf.DUMMYFUNCTION("GOOGLETRANSLATE(A2100,""en"",""pt"")"),"Este lugar é muito caro para comida medíocre.")</f>
        <v>Este lugar é muito caro para comida medíocre.</v>
      </c>
      <c r="B2100" s="3">
        <v>0</v>
      </c>
    </row>
    <row r="2101" ht="15.75" customHeight="1" spans="1:2">
      <c r="A2101" s="3" t="str">
        <f>IFERROR(__xludf.DUMMYFUNCTION("GOOGLETRANSLATE(A2101,""en"",""pt"")"),"excelente vodka penne!")</f>
        <v>excelente vodka penne!</v>
      </c>
      <c r="B2101" s="3">
        <v>1</v>
      </c>
    </row>
    <row r="2102" ht="15.75" customHeight="1" spans="1:2">
      <c r="A2102" s="3" t="str">
        <f>IFERROR(__xludf.DUMMYFUNCTION("GOOGLETRANSLATE(A2102,""en"",""pt"")"),"Eles têm uma boa selecção de comida incluindo um enorme sanduíche bolo, uma bandagem de frango crocante, um derretimento delicioso atum e alguns saborosos hambúrgueres.")</f>
        <v>Eles têm uma boa selecção de comida incluindo um enorme sanduíche bolo, uma bandagem de frango crocante, um derretimento delicioso atum e alguns saborosos hambúrgueres.</v>
      </c>
      <c r="B2102" s="3">
        <v>1</v>
      </c>
    </row>
    <row r="2103" ht="15.75" customHeight="1" spans="1:2">
      <c r="A2103" s="3" t="str">
        <f>IFERROR(__xludf.DUMMYFUNCTION("GOOGLETRANSLATE(A2103,""en"",""pt"")"),"A gestão é rude.")</f>
        <v>A gestão é rude.</v>
      </c>
      <c r="B2103" s="3">
        <v>0</v>
      </c>
    </row>
    <row r="2104" ht="15.75" customHeight="1" spans="1:2">
      <c r="A2104" s="3" t="str">
        <f>IFERROR(__xludf.DUMMYFUNCTION("GOOGLETRANSLATE(A2104,""en"",""pt"")"),"bagels deliciosa NYC, boas seleções de queijo creme, bens Lox com alcaparras mesmo.")</f>
        <v>bagels deliciosa NYC, boas seleções de queijo creme, bens Lox com alcaparras mesmo.</v>
      </c>
      <c r="B2104" s="3">
        <v>1</v>
      </c>
    </row>
    <row r="2105" ht="15.75" customHeight="1" spans="1:2">
      <c r="A2105" s="3" t="str">
        <f>IFERROR(__xludf.DUMMYFUNCTION("GOOGLETRANSLATE(A2105,""en"",""pt"")"),"Grande Subway, na verdade, é tão bom quando você vem aqui todas as outras Metro não vai atender às suas expectativas.")</f>
        <v>Grande Subway, na verdade, é tão bom quando você vem aqui todas as outras Metro não vai atender às suas expectativas.</v>
      </c>
      <c r="B2105" s="3">
        <v>1</v>
      </c>
    </row>
    <row r="2106" ht="15.75" customHeight="1" spans="1:2">
      <c r="A2106" s="3" t="str">
        <f>IFERROR(__xludf.DUMMYFUNCTION("GOOGLETRANSLATE(A2106,""en"",""pt"")"),"Eu tinha um pequeno-almoço a sério sólida aqui.")</f>
        <v>Eu tinha um pequeno-almoço a sério sólida aqui.</v>
      </c>
      <c r="B2106" s="3">
        <v>1</v>
      </c>
    </row>
    <row r="2107" ht="15.75" customHeight="1" spans="1:2">
      <c r="A2107" s="3" t="str">
        <f>IFERROR(__xludf.DUMMYFUNCTION("GOOGLETRANSLATE(A2107,""en"",""pt"")"),"Este é um dos melhores bares com comida em Las Vegas.")</f>
        <v>Este é um dos melhores bares com comida em Las Vegas.</v>
      </c>
      <c r="B2107" s="3">
        <v>1</v>
      </c>
    </row>
    <row r="2108" ht="15.75" customHeight="1" spans="1:2">
      <c r="A2108" s="3" t="str">
        <f>IFERROR(__xludf.DUMMYFUNCTION("GOOGLETRANSLATE(A2108,""en"",""pt"")"),"Ele foi extremamente rude e realmente, há muitos outros restaurantes que eu gostaria de jantar no durante um fim de semana em Las Vegas.")</f>
        <v>Ele foi extremamente rude e realmente, há muitos outros restaurantes que eu gostaria de jantar no durante um fim de semana em Las Vegas.</v>
      </c>
      <c r="B2108" s="3">
        <v>0</v>
      </c>
    </row>
    <row r="2109" ht="15.75" customHeight="1" spans="1:2">
      <c r="A2109" s="3" t="str">
        <f>IFERROR(__xludf.DUMMYFUNCTION("GOOGLETRANSLATE(A2109,""en"",""pt"")"),"Minha bebida nunca foi vazio e fez alguns realmente ótimas sugestões de menu.")</f>
        <v>Minha bebida nunca foi vazio e fez alguns realmente ótimas sugestões de menu.</v>
      </c>
      <c r="B2109" s="3">
        <v>1</v>
      </c>
    </row>
    <row r="2110" ht="15.75" customHeight="1" spans="1:2">
      <c r="A2110" s="3" t="str">
        <f>IFERROR(__xludf.DUMMYFUNCTION("GOOGLETRANSLATE(A2110,""en"",""pt"")"),"Não faça isso !!!!")</f>
        <v>Não faça isso !!!!</v>
      </c>
      <c r="B2110" s="3">
        <v>0</v>
      </c>
    </row>
    <row r="2111" ht="15.75" customHeight="1" spans="1:2">
      <c r="A2111" s="3" t="str">
        <f>IFERROR(__xludf.DUMMYFUNCTION("GOOGLETRANSLATE(A2111,""en"",""pt"")"),"O garçom não foi útil ou amigável e raramente xadrezes.")</f>
        <v>O garçom não foi útil ou amigável e raramente xadrezes.</v>
      </c>
      <c r="B2111" s="3">
        <v>0</v>
      </c>
    </row>
    <row r="2112" ht="15.75" customHeight="1" spans="1:2">
      <c r="A2112" s="3" t="str">
        <f>IFERROR(__xludf.DUMMYFUNCTION("GOOGLETRANSLATE(A2112,""en"",""pt"")"),"Meu marido e eu comi almoço aqui e foram muito decepcionado com a comida e serviço.")</f>
        <v>Meu marido e eu comi almoço aqui e foram muito decepcionado com a comida e serviço.</v>
      </c>
      <c r="B2112" s="3">
        <v>0</v>
      </c>
    </row>
    <row r="2113" ht="15.75" customHeight="1" spans="1:2">
      <c r="A2113" s="3" t="str">
        <f>IFERROR(__xludf.DUMMYFUNCTION("GOOGLETRANSLATE(A2113,""en"",""pt"")"),"Eo curry vermelho tinha tanto brotos de bambu e não era muito saboroso para mim.")</f>
        <v>Eo curry vermelho tinha tanto brotos de bambu e não era muito saboroso para mim.</v>
      </c>
      <c r="B2113" s="3">
        <v>0</v>
      </c>
    </row>
    <row r="2114" ht="15.75" customHeight="1" spans="1:2">
      <c r="A2114" s="3" t="str">
        <f>IFERROR(__xludf.DUMMYFUNCTION("GOOGLETRANSLATE(A2114,""en"",""pt"")"),"Bom cobertor de Moz por cima, mas eu sinto que isso foi feito para encobrir a comida abaixo da média.")</f>
        <v>Bom cobertor de Moz por cima, mas eu sinto que isso foi feito para encobrir a comida abaixo da média.</v>
      </c>
      <c r="B2114" s="3">
        <v>1</v>
      </c>
    </row>
    <row r="2115" ht="15.75" customHeight="1" spans="1:2">
      <c r="A2115" s="3" t="str">
        <f>IFERROR(__xludf.DUMMYFUNCTION("GOOGLETRANSLATE(A2115,""en"",""pt"")"),"Os banheiros são limpos eo lugar em si é bem decorado.")</f>
        <v>Os banheiros são limpos eo lugar em si é bem decorado.</v>
      </c>
      <c r="B2115" s="3">
        <v>1</v>
      </c>
    </row>
    <row r="2116" ht="15.75" customHeight="1" spans="1:2">
      <c r="A2116" s="3" t="str">
        <f>IFERROR(__xludf.DUMMYFUNCTION("GOOGLETRANSLATE(A2116,""en"",""pt"")"),"O menu está sempre a mudar, a qualidade dos alimentos está indo para baixo e serviço é extremamente lento.")</f>
        <v>O menu está sempre a mudar, a qualidade dos alimentos está indo para baixo e serviço é extremamente lento.</v>
      </c>
      <c r="B2116" s="3">
        <v>0</v>
      </c>
    </row>
    <row r="2117" ht="15.75" customHeight="1" spans="1:2">
      <c r="A2117" s="3" t="str">
        <f>IFERROR(__xludf.DUMMYFUNCTION("GOOGLETRANSLATE(A2117,""en"",""pt"")"),"O serviço foi um pouco lento, considerando que foram servidos por 3 servidores pessoas para a comida estava vindo em um ritmo lento.")</f>
        <v>O serviço foi um pouco lento, considerando que foram servidos por 3 servidores pessoas para a comida estava vindo em um ritmo lento.</v>
      </c>
      <c r="B2117" s="3">
        <v>0</v>
      </c>
    </row>
    <row r="2118" ht="15.75" customHeight="1" spans="1:2">
      <c r="A2118" s="3" t="str">
        <f>IFERROR(__xludf.DUMMYFUNCTION("GOOGLETRANSLATE(A2118,""en"",""pt"")"),"Dou-lhe 2 polegares para baixo")</f>
        <v>Dou-lhe 2 polegares para baixo</v>
      </c>
      <c r="B2118" s="3">
        <v>0</v>
      </c>
    </row>
    <row r="2119" ht="15.75" customHeight="1" spans="1:2">
      <c r="A2119" s="3" t="str">
        <f>IFERROR(__xludf.DUMMYFUNCTION("GOOGLETRANSLATE(A2119,""en"",""pt"")"),"Vimos nosso salário garçom muito mais atenção a outras mesas e nos ignorar.")</f>
        <v>Vimos nosso salário garçom muito mais atenção a outras mesas e nos ignorar.</v>
      </c>
      <c r="B2119" s="3">
        <v>0</v>
      </c>
    </row>
    <row r="2120" ht="15.75" customHeight="1" spans="1:2">
      <c r="A2120" s="3" t="str">
        <f>IFERROR(__xludf.DUMMYFUNCTION("GOOGLETRANSLATE(A2120,""en"",""pt"")"),"Meu fiancÃ © e eu vim no meio do dia e fomos recebidos e sentado à direita.")</f>
        <v>Meu fiancÃ © e eu vim no meio do dia e fomos recebidos e sentado à direita.</v>
      </c>
      <c r="B2120" s="3">
        <v>1</v>
      </c>
    </row>
    <row r="2121" ht="15.75" customHeight="1" spans="1:2">
      <c r="A2121" s="3" t="str">
        <f>IFERROR(__xludf.DUMMYFUNCTION("GOOGLETRANSLATE(A2121,""en"",""pt"")"),"Este é um ótimo restaurante no Mandalay Bay.")</f>
        <v>Este é um ótimo restaurante no Mandalay Bay.</v>
      </c>
      <c r="B2121" s="3">
        <v>1</v>
      </c>
    </row>
    <row r="2122" ht="15.75" customHeight="1" spans="1:2">
      <c r="A2122" s="3" t="str">
        <f>IFERROR(__xludf.DUMMYFUNCTION("GOOGLETRANSLATE(A2122,""en"",""pt"")"),"Esperamos por quarenta e cinco minutos em vão.")</f>
        <v>Esperamos por quarenta e cinco minutos em vão.</v>
      </c>
      <c r="B2122" s="3">
        <v>0</v>
      </c>
    </row>
    <row r="2123" ht="15.75" customHeight="1" spans="1:2">
      <c r="A2123" s="3" t="str">
        <f>IFERROR(__xludf.DUMMYFUNCTION("GOOGLETRANSLATE(A2123,""en"",""pt"")"),"Crostini que veio com a salada foi envelhecer.")</f>
        <v>Crostini que veio com a salada foi envelhecer.</v>
      </c>
      <c r="B2123" s="3">
        <v>0</v>
      </c>
    </row>
    <row r="2124" ht="15.75" customHeight="1" spans="1:2">
      <c r="A2124" s="3" t="str">
        <f>IFERROR(__xludf.DUMMYFUNCTION("GOOGLETRANSLATE(A2124,""en"",""pt"")"),"Alguns destaques: grande qualidade nigiri aqui!")</f>
        <v>Alguns destaques: grande qualidade nigiri aqui!</v>
      </c>
      <c r="B2124" s="3">
        <v>1</v>
      </c>
    </row>
    <row r="2125" ht="15.75" customHeight="1" spans="1:2">
      <c r="A2125" s="3" t="str">
        <f>IFERROR(__xludf.DUMMYFUNCTION("GOOGLETRANSLATE(A2125,""en"",""pt"")"),"o pessoal é amigável e a articulação é sempre limpo.")</f>
        <v>o pessoal é amigável e a articulação é sempre limpo.</v>
      </c>
      <c r="B2125" s="3">
        <v>1</v>
      </c>
    </row>
    <row r="2126" ht="15.75" customHeight="1" spans="1:2">
      <c r="A2126" s="3" t="str">
        <f>IFERROR(__xludf.DUMMYFUNCTION("GOOGLETRANSLATE(A2126,""en"",""pt"")"),"este foi um corte diferente do que a peça no outro dia, mas ainda maravilhoso e concurso é bem assim com sabor.")</f>
        <v>este foi um corte diferente do que a peça no outro dia, mas ainda maravilhoso e concurso é bem assim com sabor.</v>
      </c>
      <c r="B2126" s="3">
        <v>1</v>
      </c>
    </row>
    <row r="2127" ht="15.75" customHeight="1" spans="1:2">
      <c r="A2127" s="3" t="str">
        <f>IFERROR(__xludf.DUMMYFUNCTION("GOOGLETRANSLATE(A2127,""en"",""pt"")"),"Eu pedi a massa de Voodoo e foi a primeira vez que eu tinha realmente excelente massas desde ir sem glúten há vários anos.")</f>
        <v>Eu pedi a massa de Voodoo e foi a primeira vez que eu tinha realmente excelente massas desde ir sem glúten há vários anos.</v>
      </c>
      <c r="B2127" s="3">
        <v>1</v>
      </c>
    </row>
    <row r="2128" ht="15.75" customHeight="1" spans="1:2">
      <c r="A2128" s="3" t="str">
        <f>IFERROR(__xludf.DUMMYFUNCTION("GOOGLETRANSLATE(A2128,""en"",""pt"")"),"este lugar é bom.")</f>
        <v>este lugar é bom.</v>
      </c>
      <c r="B2128" s="3">
        <v>1</v>
      </c>
    </row>
    <row r="2129" ht="15.75" customHeight="1" spans="1:2">
      <c r="A2129" s="3" t="str">
        <f>IFERROR(__xludf.DUMMYFUNCTION("GOOGLETRANSLATE(A2129,""en"",""pt"")"),"Infelizmente, temos de ter atingido o padaria no restante dia porque tudo o que pedimos foi envelhecer.")</f>
        <v>Infelizmente, temos de ter atingido o padaria no restante dia porque tudo o que pedimos foi envelhecer.</v>
      </c>
      <c r="B2129" s="3">
        <v>0</v>
      </c>
    </row>
    <row r="2130" ht="15.75" customHeight="1" spans="1:2">
      <c r="A2130" s="3" t="str">
        <f>IFERROR(__xludf.DUMMYFUNCTION("GOOGLETRANSLATE(A2130,""en"",""pt"")"),"Voltei hoje, já que eles se mudaram e ainda não impressionou.")</f>
        <v>Voltei hoje, já que eles se mudaram e ainda não impressionou.</v>
      </c>
      <c r="B2130" s="3">
        <v>0</v>
      </c>
    </row>
    <row r="2131" ht="15.75" customHeight="1" spans="1:2">
      <c r="A2131" s="3" t="str">
        <f>IFERROR(__xludf.DUMMYFUNCTION("GOOGLETRANSLATE(A2131,""en"",""pt"")"),"Eu estava sentado imediatamente.")</f>
        <v>Eu estava sentado imediatamente.</v>
      </c>
      <c r="B2131" s="3">
        <v>1</v>
      </c>
    </row>
    <row r="2132" ht="15.75" customHeight="1" spans="1:2">
      <c r="A2132" s="3" t="str">
        <f>IFERROR(__xludf.DUMMYFUNCTION("GOOGLETRANSLATE(A2132,""en"",""pt"")"),"Seu menu é diversificado, e com preços razoáveis.")</f>
        <v>Seu menu é diversificado, e com preços razoáveis.</v>
      </c>
      <c r="B2132" s="3">
        <v>1</v>
      </c>
    </row>
    <row r="2133" ht="15.75" customHeight="1" spans="1:2">
      <c r="A2133" s="3" t="str">
        <f>IFERROR(__xludf.DUMMYFUNCTION("GOOGLETRANSLATE(A2133,""en"",""pt"")"),"Evitar a todo o custo!")</f>
        <v>Evitar a todo o custo!</v>
      </c>
      <c r="B2133" s="3">
        <v>0</v>
      </c>
    </row>
    <row r="2134" ht="15.75" customHeight="1" spans="1:2">
      <c r="A2134" s="3" t="str">
        <f>IFERROR(__xludf.DUMMYFUNCTION("GOOGLETRANSLATE(A2134,""en"",""pt"")"),"Restaurante está sempre cheio, mas nunca esperar.")</f>
        <v>Restaurante está sempre cheio, mas nunca esperar.</v>
      </c>
      <c r="B2134" s="3">
        <v>1</v>
      </c>
    </row>
    <row r="2135" ht="15.75" customHeight="1" spans="1:2">
      <c r="A2135" s="3" t="str">
        <f>IFERROR(__xludf.DUMMYFUNCTION("GOOGLETRANSLATE(A2135,""en"",""pt"")"),"DELICIOSO!!")</f>
        <v>DELICIOSO!!</v>
      </c>
      <c r="B2135" s="3">
        <v>1</v>
      </c>
    </row>
    <row r="2136" ht="15.75" customHeight="1" spans="1:2">
      <c r="A2136" s="3" t="str">
        <f>IFERROR(__xludf.DUMMYFUNCTION("GOOGLETRANSLATE(A2136,""en"",""pt"")"),"Este lugar é um mãos-para baixo dos melhores lugares para comer na área metropolitana de Phoenix.")</f>
        <v>Este lugar é um mãos-para baixo dos melhores lugares para comer na área metropolitana de Phoenix.</v>
      </c>
      <c r="B2136" s="3">
        <v>1</v>
      </c>
    </row>
    <row r="2137" ht="15.75" customHeight="1" spans="1:2">
      <c r="A2137" s="3" t="str">
        <f>IFERROR(__xludf.DUMMYFUNCTION("GOOGLETRANSLATE(A2137,""en"",""pt"")"),"Portanto, não vá lá se você está procurando boa comida ...")</f>
        <v>Portanto, não vá lá se você está procurando boa comida ...</v>
      </c>
      <c r="B2137" s="3">
        <v>0</v>
      </c>
    </row>
    <row r="2138" ht="15.75" customHeight="1" spans="1:2">
      <c r="A2138" s="3" t="str">
        <f>IFERROR(__xludf.DUMMYFUNCTION("GOOGLETRANSLATE(A2138,""en"",""pt"")"),"Eu nunca foram tratados tão mal.")</f>
        <v>Eu nunca foram tratados tão mal.</v>
      </c>
      <c r="B2138" s="3">
        <v>0</v>
      </c>
    </row>
    <row r="2139" ht="15.75" customHeight="1" spans="1:2">
      <c r="A2139" s="3" t="str">
        <f>IFERROR(__xludf.DUMMYFUNCTION("GOOGLETRANSLATE(A2139,""en"",""pt"")"),"Bacon é hella salgado.")</f>
        <v>Bacon é hella salgado.</v>
      </c>
      <c r="B2139" s="3">
        <v>1</v>
      </c>
    </row>
    <row r="2140" ht="15.75" customHeight="1" spans="1:2">
      <c r="A2140" s="3" t="str">
        <f>IFERROR(__xludf.DUMMYFUNCTION("GOOGLETRANSLATE(A2140,""en"",""pt"")"),"Nós também ordenou o espinafre e salada de abacate; os ingredientes estavam tristes eo curativo literalmente tinha zero sabor.")</f>
        <v>Nós também ordenou o espinafre e salada de abacate; os ingredientes estavam tristes eo curativo literalmente tinha zero sabor.</v>
      </c>
      <c r="B2140" s="3">
        <v>0</v>
      </c>
    </row>
    <row r="2141" ht="15.75" customHeight="1" spans="1:2">
      <c r="A2141" s="3" t="str">
        <f>IFERROR(__xludf.DUMMYFUNCTION("GOOGLETRANSLATE(A2141,""en"",""pt"")"),"Isso realmente é como Vegas restaurantes finos costumava ser, para baixo direito dos menus entregues às senhoras que não têm preços listados.")</f>
        <v>Isso realmente é como Vegas restaurantes finos costumava ser, para baixo direito dos menus entregues às senhoras que não têm preços listados.</v>
      </c>
      <c r="B2141" s="3">
        <v>1</v>
      </c>
    </row>
    <row r="2142" ht="15.75" customHeight="1" spans="1:2">
      <c r="A2142" s="3" t="str">
        <f>IFERROR(__xludf.DUMMYFUNCTION("GOOGLETRANSLATE(A2142,""en"",""pt"")"),"O garçonetes são muito amigável.")</f>
        <v>O garçonetes são muito amigável.</v>
      </c>
      <c r="B2142" s="3">
        <v>1</v>
      </c>
    </row>
    <row r="2143" ht="15.75" customHeight="1" spans="1:2">
      <c r="A2143" s="3" t="str">
        <f>IFERROR(__xludf.DUMMYFUNCTION("GOOGLETRANSLATE(A2143,""en"",""pt"")"),"Lordy, o Khao Soi é um prato que não é para ser desperdiçada para os amantes de curry!")</f>
        <v>Lordy, o Khao Soi é um prato que não é para ser desperdiçada para os amantes de curry!</v>
      </c>
      <c r="B2143" s="3">
        <v>1</v>
      </c>
    </row>
    <row r="2144" ht="15.75" customHeight="1" spans="1:2">
      <c r="A2144" s="3" t="str">
        <f>IFERROR(__xludf.DUMMYFUNCTION("GOOGLETRANSLATE(A2144,""en"",""pt"")"),"Tudo no menu é ótimo e nós também foram muito contentes que eles fizeram acomodações incríveis para nossa filha vegetariana.")</f>
        <v>Tudo no menu é ótimo e nós também foram muito contentes que eles fizeram acomodações incríveis para nossa filha vegetariana.</v>
      </c>
      <c r="B2144" s="3">
        <v>1</v>
      </c>
    </row>
    <row r="2145" ht="15.75" customHeight="1" spans="1:2">
      <c r="A2145" s="3" t="str">
        <f>IFERROR(__xludf.DUMMYFUNCTION("GOOGLETRANSLATE(A2145,""en"",""pt"")"),"Talvez eu apanhado-lhes uma noite off julgar pelos outros comentários, mas eu não estou inspirado para voltar.")</f>
        <v>Talvez eu apanhado-lhes uma noite off julgar pelos outros comentários, mas eu não estou inspirado para voltar.</v>
      </c>
      <c r="B2145" s="3">
        <v>0</v>
      </c>
    </row>
    <row r="2146" ht="15.75" customHeight="1" spans="1:2">
      <c r="A2146" s="3" t="str">
        <f>IFERROR(__xludf.DUMMYFUNCTION("GOOGLETRANSLATE(A2146,""en"",""pt"")"),"O serviço aqui deixa muito a desejar.")</f>
        <v>O serviço aqui deixa muito a desejar.</v>
      </c>
      <c r="B2146" s="3">
        <v>0</v>
      </c>
    </row>
    <row r="2147" ht="15.75" customHeight="1" spans="1:2">
      <c r="A2147" s="3" t="str">
        <f>IFERROR(__xludf.DUMMYFUNCTION("GOOGLETRANSLATE(A2147,""en"",""pt"")"),"A atmosfera é moderno e quadril, mantendo um toque de aconchego.")</f>
        <v>A atmosfera é moderno e quadril, mantendo um toque de aconchego.</v>
      </c>
      <c r="B2147" s="3">
        <v>1</v>
      </c>
    </row>
    <row r="2148" ht="15.75" customHeight="1" spans="1:2">
      <c r="A2148" s="3" t="str">
        <f>IFERROR(__xludf.DUMMYFUNCTION("GOOGLETRANSLATE(A2148,""en"",""pt"")"),"Não é um refúgio semanal, mas definitivamente um lugar para voltar a cada vez em quando.")</f>
        <v>Não é um refúgio semanal, mas definitivamente um lugar para voltar a cada vez em quando.</v>
      </c>
      <c r="B2148" s="3">
        <v>1</v>
      </c>
    </row>
    <row r="2149" ht="15.75" customHeight="1" spans="1:2">
      <c r="A2149" s="3" t="str">
        <f>IFERROR(__xludf.DUMMYFUNCTION("GOOGLETRANSLATE(A2149,""en"",""pt"")"),"Nós literalmente sentou-se lá por 20 minutos com ninguém pedindo para tomar nosso pedido.")</f>
        <v>Nós literalmente sentou-se lá por 20 minutos com ninguém pedindo para tomar nosso pedido.</v>
      </c>
      <c r="B2149" s="3">
        <v>0</v>
      </c>
    </row>
    <row r="2150" ht="15.75" customHeight="1" spans="1:2">
      <c r="A2150" s="3" t="str">
        <f>IFERROR(__xludf.DUMMYFUNCTION("GOOGLETRANSLATE(A2150,""en"",""pt"")"),"O hambúrguer tinha absolutamente nenhum sabor - a carne em si foi totalmente sem graça, o hambúrguer estava cozido e não havia sabor carvão.")</f>
        <v>O hambúrguer tinha absolutamente nenhum sabor - a carne em si foi totalmente sem graça, o hambúrguer estava cozido e não havia sabor carvão.</v>
      </c>
      <c r="B2150" s="3">
        <v>0</v>
      </c>
    </row>
    <row r="2151" ht="15.75" customHeight="1" spans="1:2">
      <c r="A2151" s="3" t="str">
        <f>IFERROR(__xludf.DUMMYFUNCTION("GOOGLETRANSLATE(A2151,""en"",""pt"")"),"Eu também decidiu não enviá-lo de volta, porque a nossa garçonete parecia que ela estava prestes a ter um ataque cardíaco.")</f>
        <v>Eu também decidiu não enviá-lo de volta, porque a nossa garçonete parecia que ela estava prestes a ter um ataque cardíaco.</v>
      </c>
      <c r="B2151" s="3">
        <v>0</v>
      </c>
    </row>
    <row r="2152" ht="15.75" customHeight="1" spans="1:2">
      <c r="A2152" s="3" t="str">
        <f>IFERROR(__xludf.DUMMYFUNCTION("GOOGLETRANSLATE(A2152,""en"",""pt"")"),"Eu me vesti de ser tratado de forma tão rude!")</f>
        <v>Eu me vesti de ser tratado de forma tão rude!</v>
      </c>
      <c r="B2152" s="3">
        <v>0</v>
      </c>
    </row>
    <row r="2153" ht="15.75" customHeight="1" spans="1:2">
      <c r="A2153" s="3" t="str">
        <f>IFERROR(__xludf.DUMMYFUNCTION("GOOGLETRANSLATE(A2153,""en"",""pt"")"),"Foi provavelmente a sujeira.")</f>
        <v>Foi provavelmente a sujeira.</v>
      </c>
      <c r="B2153" s="3">
        <v>0</v>
      </c>
    </row>
    <row r="2154" ht="15.75" customHeight="1" spans="1:2">
      <c r="A2154" s="3" t="str">
        <f>IFERROR(__xludf.DUMMYFUNCTION("GOOGLETRANSLATE(A2154,""en"",""pt"")"),"Adoramos este lugar, bate o ponto quando eu quiser algo saudável, mas não falta de quantidade ou sabor.")</f>
        <v>Adoramos este lugar, bate o ponto quando eu quiser algo saudável, mas não falta de quantidade ou sabor.</v>
      </c>
      <c r="B2154" s="3">
        <v>1</v>
      </c>
    </row>
    <row r="2155" ht="15.75" customHeight="1" spans="1:2">
      <c r="A2155" s="3" t="str">
        <f>IFERROR(__xludf.DUMMYFUNCTION("GOOGLETRANSLATE(A2155,""en"",""pt"")"),"Eu pedi o framboesa cocktail de gelo do limão que também foi incrível.")</f>
        <v>Eu pedi o framboesa cocktail de gelo do limão que também foi incrível.</v>
      </c>
      <c r="B2155" s="3">
        <v>1</v>
      </c>
    </row>
    <row r="2156" ht="15.75" customHeight="1" spans="1:2">
      <c r="A2156" s="3" t="str">
        <f>IFERROR(__xludf.DUMMYFUNCTION("GOOGLETRANSLATE(A2156,""en"",""pt"")"),"A comida chupado, o que se esperava, mas sugado mais do que poderíamos ter imaginado.")</f>
        <v>A comida chupado, o que se esperava, mas sugado mais do que poderíamos ter imaginado.</v>
      </c>
      <c r="B2156" s="3">
        <v>0</v>
      </c>
    </row>
    <row r="2157" ht="15.75" customHeight="1" spans="1:2">
      <c r="A2157" s="3" t="str">
        <f>IFERROR(__xludf.DUMMYFUNCTION("GOOGLETRANSLATE(A2157,""en"",""pt"")"),"decoração interessante.")</f>
        <v>decoração interessante.</v>
      </c>
      <c r="B2157" s="3">
        <v>1</v>
      </c>
    </row>
    <row r="2158" ht="15.75" customHeight="1" spans="1:2">
      <c r="A2158" s="3" t="str">
        <f>IFERROR(__xludf.DUMMYFUNCTION("GOOGLETRANSLATE(A2158,""en"",""pt"")"),"O que eu realmente gosto, há a estação de crepe.")</f>
        <v>O que eu realmente gosto, há a estação de crepe.</v>
      </c>
      <c r="B2158" s="3">
        <v>1</v>
      </c>
    </row>
    <row r="2159" ht="15.75" customHeight="1" spans="1:2">
      <c r="A2159" s="3" t="str">
        <f>IFERROR(__xludf.DUMMYFUNCTION("GOOGLETRANSLATE(A2159,""en"",""pt"")"),"Também foram servidos pão quente e manteiga, e batatas fritas caseiras de batata com bacon bits em cima .... muito original e muito bom.")</f>
        <v>Também foram servidos pão quente e manteiga, e batatas fritas caseiras de batata com bacon bits em cima .... muito original e muito bom.</v>
      </c>
      <c r="B2159" s="3">
        <v>1</v>
      </c>
    </row>
    <row r="2160" ht="15.75" customHeight="1" spans="1:2">
      <c r="A2160" s="3" t="str">
        <f>IFERROR(__xludf.DUMMYFUNCTION("GOOGLETRANSLATE(A2160,""en"",""pt"")"),"você pode vê-los a preparar a comida deliciosa!)")</f>
        <v>você pode vê-los a preparar a comida deliciosa!)</v>
      </c>
      <c r="B2160" s="3">
        <v>1</v>
      </c>
    </row>
    <row r="2161" ht="15.75" customHeight="1" spans="1:2">
      <c r="A2161" s="3" t="str">
        <f>IFERROR(__xludf.DUMMYFUNCTION("GOOGLETRANSLATE(A2161,""en"",""pt"")"),"Ambos os rolos de ovos foram fantástica.")</f>
        <v>Ambos os rolos de ovos foram fantástica.</v>
      </c>
      <c r="B2161" s="3">
        <v>1</v>
      </c>
    </row>
    <row r="2162" ht="15.75" customHeight="1" spans="1:2">
      <c r="A2162" s="3" t="str">
        <f>IFERROR(__xludf.DUMMYFUNCTION("GOOGLETRANSLATE(A2162,""en"",""pt"")"),"Quando a minha encomenda chegou, um dos giroscópios estava faltando.")</f>
        <v>Quando a minha encomenda chegou, um dos giroscópios estava faltando.</v>
      </c>
      <c r="B2162" s="3">
        <v>0</v>
      </c>
    </row>
    <row r="2163" ht="15.75" customHeight="1" spans="1:2">
      <c r="A2163" s="3" t="str">
        <f>IFERROR(__xludf.DUMMYFUNCTION("GOOGLETRANSLATE(A2163,""en"",""pt"")"),"Eu tinha uma salada com as asas, e um pouco de sorvete para a sobremesa e sensação esquerda bastante satisfeito.")</f>
        <v>Eu tinha uma salada com as asas, e um pouco de sorvete para a sobremesa e sensação esquerda bastante satisfeito.</v>
      </c>
      <c r="B2163" s="3">
        <v>1</v>
      </c>
    </row>
    <row r="2164" ht="15.75" customHeight="1" spans="1:2">
      <c r="A2164" s="3" t="str">
        <f>IFERROR(__xludf.DUMMYFUNCTION("GOOGLETRANSLATE(A2164,""en"",""pt"")"),"Eu não sou realmente certo como Joey foi eleito o melhor cachorro-quente no Vale pelos leitores da Phoenix Magazine.")</f>
        <v>Eu não sou realmente certo como Joey foi eleito o melhor cachorro-quente no Vale pelos leitores da Phoenix Magazine.</v>
      </c>
      <c r="B2164" s="3">
        <v>0</v>
      </c>
    </row>
    <row r="2165" ht="15.75" customHeight="1" spans="1:2">
      <c r="A2165" s="3" t="str">
        <f>IFERROR(__xludf.DUMMYFUNCTION("GOOGLETRANSLATE(A2165,""en"",""pt"")"),"O melhor lugar para ir para uma tigela saborosa de Pho!")</f>
        <v>O melhor lugar para ir para uma tigela saborosa de Pho!</v>
      </c>
      <c r="B2165" s="3">
        <v>1</v>
      </c>
    </row>
    <row r="2166" ht="15.75" customHeight="1" spans="1:2">
      <c r="A2166" s="3" t="str">
        <f>IFERROR(__xludf.DUMMYFUNCTION("GOOGLETRANSLATE(A2166,""en"",""pt"")"),"A música ao vivo às sextas-feiras totalmente sopra.")</f>
        <v>A música ao vivo às sextas-feiras totalmente sopra.</v>
      </c>
      <c r="B2166" s="3">
        <v>0</v>
      </c>
    </row>
    <row r="2167" ht="15.75" customHeight="1" spans="1:2">
      <c r="A2167" s="3" t="str">
        <f>IFERROR(__xludf.DUMMYFUNCTION("GOOGLETRANSLATE(A2167,""en"",""pt"")"),"Eu nunca fui mais insultado ou sentiu desrespeitado.")</f>
        <v>Eu nunca fui mais insultado ou sentiu desrespeitado.</v>
      </c>
      <c r="B2167" s="3">
        <v>0</v>
      </c>
    </row>
    <row r="2168" ht="15.75" customHeight="1" spans="1:2">
      <c r="A2168" s="3" t="str">
        <f>IFERROR(__xludf.DUMMYFUNCTION("GOOGLETRANSLATE(A2168,""en"",""pt"")"),"Muito simpática equipe.")</f>
        <v>Muito simpática equipe.</v>
      </c>
      <c r="B2168" s="3">
        <v>1</v>
      </c>
    </row>
    <row r="2169" ht="15.75" customHeight="1" spans="1:2">
      <c r="A2169" s="3" t="str">
        <f>IFERROR(__xludf.DUMMYFUNCTION("GOOGLETRANSLATE(A2169,""en"",""pt"")"),"Vale a pena a unidade.")</f>
        <v>Vale a pena a unidade.</v>
      </c>
      <c r="B2169" s="3">
        <v>1</v>
      </c>
    </row>
    <row r="2170" ht="15.75" customHeight="1" spans="1:2">
      <c r="A2170" s="3" t="str">
        <f>IFERROR(__xludf.DUMMYFUNCTION("GOOGLETRANSLATE(A2170,""en"",""pt"")"),"Eu tinha ouvido falar coisas boas sobre esse lugar, mas é superior a toda a esperança que eu poderia ter sonhado.")</f>
        <v>Eu tinha ouvido falar coisas boas sobre esse lugar, mas é superior a toda a esperança que eu poderia ter sonhado.</v>
      </c>
      <c r="B2170" s="3">
        <v>1</v>
      </c>
    </row>
    <row r="2171" ht="15.75" customHeight="1" spans="1:2">
      <c r="A2171" s="3" t="str">
        <f>IFERROR(__xludf.DUMMYFUNCTION("GOOGLETRANSLATE(A2171,""en"",""pt"")"),"Alimentos foi grande e tão foi a trocar!")</f>
        <v>Alimentos foi grande e tão foi a trocar!</v>
      </c>
      <c r="B2171" s="3">
        <v>1</v>
      </c>
    </row>
    <row r="2172" ht="15.75" customHeight="1" spans="1:2">
      <c r="A2172" s="3" t="str">
        <f>IFERROR(__xludf.DUMMYFUNCTION("GOOGLETRANSLATE(A2172,""en"",""pt"")"),"A cerveja quente não ajuda.")</f>
        <v>A cerveja quente não ajuda.</v>
      </c>
      <c r="B2172" s="3">
        <v>0</v>
      </c>
    </row>
    <row r="2173" ht="15.75" customHeight="1" spans="1:2">
      <c r="A2173" s="3" t="str">
        <f>IFERROR(__xludf.DUMMYFUNCTION("GOOGLETRANSLATE(A2173,""en"",""pt"")"),"Ótimo local brunch.")</f>
        <v>Ótimo local brunch.</v>
      </c>
      <c r="B2173" s="3">
        <v>1</v>
      </c>
    </row>
    <row r="2174" ht="15.75" customHeight="1" spans="1:2">
      <c r="A2174" s="3" t="str">
        <f>IFERROR(__xludf.DUMMYFUNCTION("GOOGLETRANSLATE(A2174,""en"",""pt"")"),"O serviço é amigável e convidativo.")</f>
        <v>O serviço é amigável e convidativo.</v>
      </c>
      <c r="B2174" s="3">
        <v>1</v>
      </c>
    </row>
    <row r="2175" ht="15.75" customHeight="1" spans="1:2">
      <c r="A2175" s="3" t="str">
        <f>IFERROR(__xludf.DUMMYFUNCTION("GOOGLETRANSLATE(A2175,""en"",""pt"")"),"Muito bom local para o almoço.")</f>
        <v>Muito bom local para o almoço.</v>
      </c>
      <c r="B2175" s="3">
        <v>1</v>
      </c>
    </row>
    <row r="2176" ht="15.75" customHeight="1" spans="1:2">
      <c r="A2176" s="3" t="str">
        <f>IFERROR(__xludf.DUMMYFUNCTION("GOOGLETRANSLATE(A2176,""en"",""pt"")"),"Eu vivi aqui desde 1979 e esta foi a primeira (e última) vez que eu pisei o pé em este lugar.")</f>
        <v>Eu vivi aqui desde 1979 e esta foi a primeira (e última) vez que eu pisei o pé em este lugar.</v>
      </c>
      <c r="B2176" s="3">
        <v>0</v>
      </c>
    </row>
    <row r="2177" ht="15.75" customHeight="1" spans="1:2">
      <c r="A2177" s="3" t="str">
        <f>IFERROR(__xludf.DUMMYFUNCTION("GOOGLETRANSLATE(A2177,""en"",""pt"")"),"A experiência pior.")</f>
        <v>A experiência pior.</v>
      </c>
      <c r="B2177" s="3">
        <v>0</v>
      </c>
    </row>
    <row r="2178" ht="15.75" customHeight="1" spans="1:2">
      <c r="A2178" s="3" t="str">
        <f>IFERROR(__xludf.DUMMYFUNCTION("GOOGLETRANSLATE(A2178,""en"",""pt"")"),"Deve ter sido um fora noite neste lugar.")</f>
        <v>Deve ter sido um fora noite neste lugar.</v>
      </c>
      <c r="B2178" s="3">
        <v>0</v>
      </c>
    </row>
    <row r="2179" ht="15.75" customHeight="1" spans="1:2">
      <c r="A2179" s="3" t="str">
        <f>IFERROR(__xludf.DUMMYFUNCTION("GOOGLETRANSLATE(A2179,""en"",""pt"")"),"Os lados são delicioso - cogumelos mistos, purê de ouro yukon, milho branco - beateous.")</f>
        <v>Os lados são delicioso - cogumelos mistos, purê de ouro yukon, milho branco - beateous.</v>
      </c>
      <c r="B2179" s="3">
        <v>1</v>
      </c>
    </row>
    <row r="2180" ht="15.75" customHeight="1" spans="1:2">
      <c r="A2180" s="3" t="str">
        <f>IFERROR(__xludf.DUMMYFUNCTION("GOOGLETRANSLATE(A2180,""en"",""pt"")"),"Se esse bug não apareceu eu teria dado um 4 com certeza, mas no outro lado da parede onde este bug foi escalada era a cozinha.")</f>
        <v>Se esse bug não apareceu eu teria dado um 4 com certeza, mas no outro lado da parede onde este bug foi escalada era a cozinha.</v>
      </c>
      <c r="B2180" s="3">
        <v>0</v>
      </c>
    </row>
    <row r="2181" ht="15.75" customHeight="1" spans="1:2">
      <c r="A2181" s="3" t="str">
        <f>IFERROR(__xludf.DUMMYFUNCTION("GOOGLETRANSLATE(A2181,""en"",""pt"")"),"Por cerca de 10 minutos, nós estamos esperando por sua salada quando percebemos que não estava vindo tão cedo.")</f>
        <v>Por cerca de 10 minutos, nós estamos esperando por sua salada quando percebemos que não estava vindo tão cedo.</v>
      </c>
      <c r="B2181" s="3">
        <v>0</v>
      </c>
    </row>
    <row r="2182" ht="15.75" customHeight="1" spans="1:2">
      <c r="A2182" s="3" t="str">
        <f>IFERROR(__xludf.DUMMYFUNCTION("GOOGLETRANSLATE(A2182,""en"",""pt"")"),"Meu amigo amei o tartar de salmão.")</f>
        <v>Meu amigo amei o tartar de salmão.</v>
      </c>
      <c r="B2182" s="3">
        <v>1</v>
      </c>
    </row>
    <row r="2183" ht="15.75" customHeight="1" spans="1:2">
      <c r="A2183" s="3" t="str">
        <f>IFERROR(__xludf.DUMMYFUNCTION("GOOGLETRANSLATE(A2183,""en"",""pt"")"),"não vai voltar.")</f>
        <v>não vai voltar.</v>
      </c>
      <c r="B2183" s="3">
        <v>0</v>
      </c>
    </row>
    <row r="2184" ht="15.75" customHeight="1" spans="1:2">
      <c r="A2184" s="3" t="str">
        <f>IFERROR(__xludf.DUMMYFUNCTION("GOOGLETRANSLATE(A2184,""en"",""pt"")"),"Extremamente saborosa!")</f>
        <v>Extremamente saborosa!</v>
      </c>
      <c r="B2184" s="3">
        <v>1</v>
      </c>
    </row>
    <row r="2185" ht="15.75" customHeight="1" spans="1:2">
      <c r="A2185" s="3" t="str">
        <f>IFERROR(__xludf.DUMMYFUNCTION("GOOGLETRANSLATE(A2185,""en"",""pt"")"),"Garçonete foi bom!")</f>
        <v>Garçonete foi bom!</v>
      </c>
      <c r="B2185" s="3">
        <v>1</v>
      </c>
    </row>
    <row r="2186" ht="15.75" customHeight="1" spans="1:2">
      <c r="A2186" s="3" t="str">
        <f>IFERROR(__xludf.DUMMYFUNCTION("GOOGLETRANSLATE(A2186,""en"",""pt"")"),"Encharcado e não é bom.")</f>
        <v>Encharcado e não é bom.</v>
      </c>
      <c r="B2186" s="3">
        <v>0</v>
      </c>
    </row>
    <row r="2187" ht="15.75" customHeight="1" spans="1:2">
      <c r="A2187" s="3" t="str">
        <f>IFERROR(__xludf.DUMMYFUNCTION("GOOGLETRANSLATE(A2187,""en"",""pt"")"),"Os mojitos jamaicanos são deliciosos.")</f>
        <v>Os mojitos jamaicanos são deliciosos.</v>
      </c>
      <c r="B2187" s="3">
        <v>1</v>
      </c>
    </row>
    <row r="2188" ht="15.75" customHeight="1" spans="1:2">
      <c r="A2188" s="3" t="str">
        <f>IFERROR(__xludf.DUMMYFUNCTION("GOOGLETRANSLATE(A2188,""en"",""pt"")"),"Que são pequenos e não vale o preço.")</f>
        <v>Que são pequenos e não vale o preço.</v>
      </c>
      <c r="B2188" s="3">
        <v>0</v>
      </c>
    </row>
    <row r="2189" ht="15.75" customHeight="1" spans="1:2">
      <c r="A2189" s="3" t="str">
        <f>IFERROR(__xludf.DUMMYFUNCTION("GOOGLETRANSLATE(A2189,""en"",""pt"")"),"#ERROR!")</f>
        <v>#ERROR!</v>
      </c>
      <c r="B2189" s="3">
        <v>1</v>
      </c>
    </row>
    <row r="2190" ht="15.75" customHeight="1" spans="1:2">
      <c r="A2190" s="3" t="str">
        <f>IFERROR(__xludf.DUMMYFUNCTION("GOOGLETRANSLATE(A2190,""en"",""pt"")"),"A área do chuveiro é fora para que você só pode lavar, não tomar um banho completo, a menos que você não se importa de estar nu para todo mundo ver!")</f>
        <v>A área do chuveiro é fora para que você só pode lavar, não tomar um banho completo, a menos que você não se importa de estar nu para todo mundo ver!</v>
      </c>
      <c r="B2190" s="3">
        <v>0</v>
      </c>
    </row>
    <row r="2191" ht="15.75" customHeight="1" spans="1:2">
      <c r="A2191" s="3" t="str">
        <f>IFERROR(__xludf.DUMMYFUNCTION("GOOGLETRANSLATE(A2191,""en"",""pt"")"),"O serviço foi um pouco falta.")</f>
        <v>O serviço foi um pouco falta.</v>
      </c>
      <c r="B2191" s="3">
        <v>0</v>
      </c>
    </row>
    <row r="2192" ht="15.75" customHeight="1" spans="1:2">
      <c r="A2192" s="3" t="str">
        <f>IFERROR(__xludf.DUMMYFUNCTION("GOOGLETRANSLATE(A2192,""en"",""pt"")"),"Bisque de lagosta, Bussell Couves, risoto, filé ALL necessário sal e pepper..and, claro, há nenhum nas mesas.")</f>
        <v>Bisque de lagosta, Bussell Couves, risoto, filé ALL necessário sal e pepper..and, claro, há nenhum nas mesas.</v>
      </c>
      <c r="B2192" s="3">
        <v>0</v>
      </c>
    </row>
    <row r="2193" ht="15.75" customHeight="1" spans="1:2">
      <c r="A2193" s="3" t="str">
        <f>IFERROR(__xludf.DUMMYFUNCTION("GOOGLETRANSLATE(A2193,""en"",""pt"")"),"Esperemos que este bodes para eles sair do negócio e alguém que pode cozinhar pode entrar.")</f>
        <v>Esperemos que este bodes para eles sair do negócio e alguém que pode cozinhar pode entrar.</v>
      </c>
      <c r="B2193" s="3">
        <v>0</v>
      </c>
    </row>
    <row r="2194" ht="15.75" customHeight="1" spans="1:2">
      <c r="A2194" s="3" t="str">
        <f>IFERROR(__xludf.DUMMYFUNCTION("GOOGLETRANSLATE(A2194,""en"",""pt"")"),"Era demasiado frio, não o suficiente sabor ou apenas ruim.")</f>
        <v>Era demasiado frio, não o suficiente sabor ou apenas ruim.</v>
      </c>
      <c r="B2194" s="3">
        <v>0</v>
      </c>
    </row>
    <row r="2195" ht="15.75" customHeight="1" spans="1:2">
      <c r="A2195" s="3" t="str">
        <f>IFERROR(__xludf.DUMMYFUNCTION("GOOGLETRANSLATE(A2195,""en"",""pt"")"),"Eu amei as datas bacon moldura.")</f>
        <v>Eu amei as datas bacon moldura.</v>
      </c>
      <c r="B2195" s="3">
        <v>1</v>
      </c>
    </row>
    <row r="2196" ht="15.75" customHeight="1" spans="1:2">
      <c r="A2196" s="3" t="str">
        <f>IFERROR(__xludf.DUMMYFUNCTION("GOOGLETRANSLATE(A2196,""en"",""pt"")"),"Este é um negócio inacreditável!")</f>
        <v>Este é um negócio inacreditável!</v>
      </c>
      <c r="B2196" s="3">
        <v>1</v>
      </c>
    </row>
    <row r="2197" ht="15.75" customHeight="1" spans="1:2">
      <c r="A2197" s="3" t="str">
        <f>IFERROR(__xludf.DUMMYFUNCTION("GOOGLETRANSLATE(A2197,""en"",""pt"")"),"O pessoal da Otto sempre nos fazem sentir bem-vindo e especial.")</f>
        <v>O pessoal da Otto sempre nos fazem sentir bem-vindo e especial.</v>
      </c>
      <c r="B2197" s="3">
        <v>1</v>
      </c>
    </row>
    <row r="2198" ht="15.75" customHeight="1" spans="1:2">
      <c r="A2198" s="3" t="str">
        <f>IFERROR(__xludf.DUMMYFUNCTION("GOOGLETRANSLATE(A2198,""en"",""pt"")"),"Quanto aos ""rede"", também sem inspiração.")</f>
        <v>Quanto aos "rede", também sem inspiração.</v>
      </c>
      <c r="B2198" s="3">
        <v>0</v>
      </c>
    </row>
    <row r="2199" ht="15.75" customHeight="1" spans="1:2">
      <c r="A2199" s="3" t="str">
        <f>IFERROR(__xludf.DUMMYFUNCTION("GOOGLETRANSLATE(A2199,""en"",""pt"")"),"Este é o lugar onde eu primeiro teve pho e foi incrível !!")</f>
        <v>Este é o lugar onde eu primeiro teve pho e foi incrível !!</v>
      </c>
      <c r="B2199" s="3">
        <v>1</v>
      </c>
    </row>
    <row r="2200" ht="15.75" customHeight="1" spans="1:2">
      <c r="A2200" s="3" t="str">
        <f>IFERROR(__xludf.DUMMYFUNCTION("GOOGLETRANSLATE(A2200,""en"",""pt"")"),"Esta experiência maravilhosa fez este lugar um must-stop sempre que estamos na cidade novamente.")</f>
        <v>Esta experiência maravilhosa fez este lugar um must-stop sempre que estamos na cidade novamente.</v>
      </c>
      <c r="B2200" s="3">
        <v>1</v>
      </c>
    </row>
    <row r="2201" ht="15.75" customHeight="1" spans="1:2">
      <c r="A2201" s="3" t="str">
        <f>IFERROR(__xludf.DUMMYFUNCTION("GOOGLETRANSLATE(A2201,""en"",""pt"")"),"Se a comida não é ruim o suficiente para você, então desfrutar de lidar com piores / bêbado pessoas irritantes do mundo.")</f>
        <v>Se a comida não é ruim o suficiente para você, então desfrutar de lidar com piores / bêbado pessoas irritantes do mundo.</v>
      </c>
      <c r="B2201" s="3">
        <v>0</v>
      </c>
    </row>
    <row r="2202" ht="15.75" customHeight="1" spans="1:2">
      <c r="A2202" s="3" t="str">
        <f>IFERROR(__xludf.DUMMYFUNCTION("GOOGLETRANSLATE(A2202,""en"",""pt"")"),"Muito cozinheiro chefe divertido.")</f>
        <v>Muito cozinheiro chefe divertido.</v>
      </c>
      <c r="B2202" s="3">
        <v>1</v>
      </c>
    </row>
    <row r="2203" ht="15.75" customHeight="1" spans="1:2">
      <c r="A2203" s="3" t="str">
        <f>IFERROR(__xludf.DUMMYFUNCTION("GOOGLETRANSLATE(A2203,""en"",""pt"")"),"Pedi um cheeseburger duplo e tem um único patty que estava caindo aos pedaços (imagem carregada) Sim, ainda é uma porcaria.")</f>
        <v>Pedi um cheeseburger duplo e tem um único patty que estava caindo aos pedaços (imagem carregada) Sim, ainda é uma porcaria.</v>
      </c>
      <c r="B2203" s="3">
        <v>0</v>
      </c>
    </row>
    <row r="2204" ht="15.75" customHeight="1" spans="1:2">
      <c r="A2204" s="3" t="str">
        <f>IFERROR(__xludf.DUMMYFUNCTION("GOOGLETRANSLATE(A2204,""en"",""pt"")"),"Ótimo lugar para ter um par de bebidas e assistir a todas e quaisquer eventos esportivos como as paredes são cobertas com TV.")</f>
        <v>Ótimo lugar para ter um par de bebidas e assistir a todas e quaisquer eventos esportivos como as paredes são cobertas com TV.</v>
      </c>
      <c r="B2204" s="3">
        <v>1</v>
      </c>
    </row>
    <row r="2205" ht="15.75" customHeight="1" spans="1:2">
      <c r="A2205" s="3" t="str">
        <f>IFERROR(__xludf.DUMMYFUNCTION("GOOGLETRANSLATE(A2205,""en"",""pt"")"),"Se fosse possível para lhes dar zero estrelas, eles têm-lo.")</f>
        <v>Se fosse possível para lhes dar zero estrelas, eles têm-lo.</v>
      </c>
      <c r="B2205" s="3">
        <v>0</v>
      </c>
    </row>
    <row r="2206" ht="15.75" customHeight="1" spans="1:2">
      <c r="A2206" s="3" t="str">
        <f>IFERROR(__xludf.DUMMYFUNCTION("GOOGLETRANSLATE(A2206,""en"",""pt"")"),"As descrições disse ""molho yum yum"" e outro disse: ""enguia molho"", outro disse ""mayo picante"" ... bem nenhum dos rolos tinha molhos sobre eles.")</f>
        <v>As descrições disse "molho yum yum" e outro disse: "enguia molho", outro disse "mayo picante" ... bem nenhum dos rolos tinha molhos sobre eles.</v>
      </c>
      <c r="B2206" s="3">
        <v>0</v>
      </c>
    </row>
    <row r="2207" ht="15.75" customHeight="1" spans="1:2">
      <c r="A2207" s="3" t="str">
        <f>IFERROR(__xludf.DUMMYFUNCTION("GOOGLETRANSLATE(A2207,""en"",""pt"")"),"Eu diria que seria a decisão mais difícil ... Honestamente, todos os pratos de M gosto como eles são suposto gosto (incrível).")</f>
        <v>Eu diria que seria a decisão mais difícil ... Honestamente, todos os pratos de M gosto como eles são suposto gosto (incrível).</v>
      </c>
      <c r="B2207" s="3">
        <v>1</v>
      </c>
    </row>
    <row r="2208" ht="15.75" customHeight="1" spans="1:2">
      <c r="A2208" s="3" t="str">
        <f>IFERROR(__xludf.DUMMYFUNCTION("GOOGLETRANSLATE(A2208,""en"",""pt"")"),"Se ela não tivesse rolado os olhos que pode ter ficado ... Não tenho certeza se vamos voltar e tentar de novo.")</f>
        <v>Se ela não tivesse rolado os olhos que pode ter ficado ... Não tenho certeza se vamos voltar e tentar de novo.</v>
      </c>
      <c r="B2208" s="3">
        <v>0</v>
      </c>
    </row>
    <row r="2209" ht="15.75" customHeight="1" spans="1:2">
      <c r="A2209" s="3" t="str">
        <f>IFERROR(__xludf.DUMMYFUNCTION("GOOGLETRANSLATE(A2209,""en"",""pt"")"),"Todo mundo é muito atencioso, proporcionando excelente serviço ao cliente.")</f>
        <v>Todo mundo é muito atencioso, proporcionando excelente serviço ao cliente.</v>
      </c>
      <c r="B2209" s="3">
        <v>1</v>
      </c>
    </row>
    <row r="2210" ht="15.75" customHeight="1" spans="1:2">
      <c r="A2210" s="3" t="str">
        <f>IFERROR(__xludf.DUMMYFUNCTION("GOOGLETRANSLATE(A2210,""en"",""pt"")"),"Horrível - não perca seu tempo e dinheiro.")</f>
        <v>Horrível - não perca seu tempo e dinheiro.</v>
      </c>
      <c r="B2210" s="3">
        <v>0</v>
      </c>
    </row>
    <row r="2211" ht="15.75" customHeight="1" spans="1:2">
      <c r="A2211" s="3" t="str">
        <f>IFERROR(__xludf.DUMMYFUNCTION("GOOGLETRANSLATE(A2211,""en"",""pt"")"),"Agora este prato era muito saboroso.")</f>
        <v>Agora este prato era muito saboroso.</v>
      </c>
      <c r="B2211" s="3">
        <v>1</v>
      </c>
    </row>
    <row r="2212" ht="15.75" customHeight="1" spans="1:2">
      <c r="A2212" s="3" t="str">
        <f>IFERROR(__xludf.DUMMYFUNCTION("GOOGLETRANSLATE(A2212,""en"",""pt"")"),"Por esta altura o nosso lado do restaurante estava quase vazio, então não havia desculpa.")</f>
        <v>Por esta altura o nosso lado do restaurante estava quase vazio, então não havia desculpa.</v>
      </c>
      <c r="B2212" s="3">
        <v>0</v>
      </c>
    </row>
    <row r="2213" ht="15.75" customHeight="1" spans="1:2">
      <c r="A2213" s="3" t="str">
        <f>IFERROR(__xludf.DUMMYFUNCTION("GOOGLETRANSLATE(A2213,""en"",""pt"")"),"Como o outro usuário disse: ""você não podia pagar-me para comer neste lugar novamente.""")</f>
        <v>Como o outro usuário disse: "você não podia pagar-me para comer neste lugar novamente."</v>
      </c>
      <c r="B2213" s="3">
        <v>0</v>
      </c>
    </row>
    <row r="2214" ht="15.75" customHeight="1" spans="1:2">
      <c r="A2214" s="3" t="str">
        <f>IFERROR(__xludf.DUMMYFUNCTION("GOOGLETRANSLATE(A2214,""en"",""pt"")"),"-Bebidas levou perto de 30 minutos para sair em um ponto.")</f>
        <v>-Bebidas levou perto de 30 minutos para sair em um ponto.</v>
      </c>
      <c r="B2214" s="3">
        <v>0</v>
      </c>
    </row>
    <row r="2215" ht="15.75" customHeight="1" spans="1:2">
      <c r="A2215" s="3" t="str">
        <f>IFERROR(__xludf.DUMMYFUNCTION("GOOGLETRANSLATE(A2215,""en"",""pt"")"),"delícias seriamente saborosos, pessoal.")</f>
        <v>delícias seriamente saborosos, pessoal.</v>
      </c>
      <c r="B2215" s="3">
        <v>1</v>
      </c>
    </row>
    <row r="2216" ht="15.75" customHeight="1" spans="1:2">
      <c r="A2216" s="3" t="str">
        <f>IFERROR(__xludf.DUMMYFUNCTION("GOOGLETRANSLATE(A2216,""en"",""pt"")"),"Muito melhor do que o outro AYCE sushi lugar que eu fui para em Las Vegas.")</f>
        <v>Muito melhor do que o outro AYCE sushi lugar que eu fui para em Las Vegas.</v>
      </c>
      <c r="B2216" s="3">
        <v>1</v>
      </c>
    </row>
    <row r="2217" ht="15.75" customHeight="1" spans="1:2">
      <c r="A2217" s="3" t="str">
        <f>IFERROR(__xludf.DUMMYFUNCTION("GOOGLETRANSLATE(A2217,""en"",""pt"")"),"A iluminação é apenas o suficiente escuro para definir o humor.")</f>
        <v>A iluminação é apenas o suficiente escuro para definir o humor.</v>
      </c>
      <c r="B2217" s="3">
        <v>1</v>
      </c>
    </row>
    <row r="2218" ht="15.75" customHeight="1" spans="1:2">
      <c r="A2218" s="3" t="str">
        <f>IFERROR(__xludf.DUMMYFUNCTION("GOOGLETRANSLATE(A2218,""en"",""pt"")"),"Com base na sub-par serviço I recebido e nenhum esforço para mostrar sua gratidão para o meu negócio eu não vou voltar.")</f>
        <v>Com base na sub-par serviço I recebido e nenhum esforço para mostrar sua gratidão para o meu negócio eu não vou voltar.</v>
      </c>
      <c r="B2218" s="3">
        <v>0</v>
      </c>
    </row>
    <row r="2219" ht="15.75" customHeight="1" spans="1:2">
      <c r="A2219" s="3" t="str">
        <f>IFERROR(__xludf.DUMMYFUNCTION("GOOGLETRANSLATE(A2219,""en"",""pt"")"),"do Proprietário são realmente grandes pessoas.!")</f>
        <v>do Proprietário são realmente grandes pessoas.!</v>
      </c>
      <c r="B2219" s="3">
        <v>1</v>
      </c>
    </row>
    <row r="2220" ht="15.75" customHeight="1" spans="1:2">
      <c r="A2220" s="3" t="str">
        <f>IFERROR(__xludf.DUMMYFUNCTION("GOOGLETRANSLATE(A2220,""en"",""pt"")"),"Não há nada privilegiado sobre o trabalho / comer lá.")</f>
        <v>Não há nada privilegiado sobre o trabalho / comer lá.</v>
      </c>
      <c r="B2220" s="3">
        <v>0</v>
      </c>
    </row>
    <row r="2221" ht="15.75" customHeight="1" spans="1:2">
      <c r="A2221" s="3" t="str">
        <f>IFERROR(__xludf.DUMMYFUNCTION("GOOGLETRANSLATE(A2221,""en"",""pt"")"),"O curativo grego era muito cremoso e saboroso.")</f>
        <v>O curativo grego era muito cremoso e saboroso.</v>
      </c>
      <c r="B2221" s="3">
        <v>1</v>
      </c>
    </row>
    <row r="2222" ht="15.75" customHeight="1" spans="1:2">
      <c r="A2222" s="3" t="str">
        <f>IFERROR(__xludf.DUMMYFUNCTION("GOOGLETRANSLATE(A2222,""en"",""pt"")"),"No geral, eu não acho que eu levaria meus pais a este lugar novamente porque eles fizeram a maioria das queixas semelhantes que eu silenciosamente se sentia muito.")</f>
        <v>No geral, eu não acho que eu levaria meus pais a este lugar novamente porque eles fizeram a maioria das queixas semelhantes que eu silenciosamente se sentia muito.</v>
      </c>
      <c r="B2222" s="3">
        <v>0</v>
      </c>
    </row>
    <row r="2223" ht="15.75" customHeight="1" spans="1:2">
      <c r="A2223" s="3" t="str">
        <f>IFERROR(__xludf.DUMMYFUNCTION("GOOGLETRANSLATE(A2223,""en"",""pt"")"),"Agora o próprio pizza era bom, o molho de amendoim foi muito saborosa.")</f>
        <v>Agora o próprio pizza era bom, o molho de amendoim foi muito saborosa.</v>
      </c>
      <c r="B2223" s="3">
        <v>1</v>
      </c>
    </row>
    <row r="2224" ht="15.75" customHeight="1" spans="1:2">
      <c r="A2224" s="3" t="str">
        <f>IFERROR(__xludf.DUMMYFUNCTION("GOOGLETRANSLATE(A2224,""en"",""pt"")"),"Tivemos 7 na nossa mesa eo serviço foi muito rápido.")</f>
        <v>Tivemos 7 na nossa mesa eo serviço foi muito rápido.</v>
      </c>
      <c r="B2224" s="3">
        <v>1</v>
      </c>
    </row>
    <row r="2225" ht="15.75" customHeight="1" spans="1:2">
      <c r="A2225" s="3" t="str">
        <f>IFERROR(__xludf.DUMMYFUNCTION("GOOGLETRANSLATE(A2225,""en"",""pt"")"),"serviço fantástico aqui.")</f>
        <v>serviço fantástico aqui.</v>
      </c>
      <c r="B2225" s="3">
        <v>1</v>
      </c>
    </row>
    <row r="2226" ht="15.75" customHeight="1" spans="1:2">
      <c r="A2226" s="3" t="str">
        <f>IFERROR(__xludf.DUMMYFUNCTION("GOOGLETRANSLATE(A2226,""en"",""pt"")"),"Eu também teria dado padrinhos zero estrelas se possível.")</f>
        <v>Eu também teria dado padrinhos zero estrelas se possível.</v>
      </c>
      <c r="B2226" s="3">
        <v>0</v>
      </c>
    </row>
    <row r="2227" ht="15.75" customHeight="1" spans="1:2">
      <c r="A2227" s="3" t="str">
        <f>IFERROR(__xludf.DUMMYFUNCTION("GOOGLETRANSLATE(A2227,""en"",""pt"")"),"Eles sabem como fazê-los aqui.")</f>
        <v>Eles sabem como fazê-los aqui.</v>
      </c>
      <c r="B2227" s="3">
        <v>1</v>
      </c>
    </row>
    <row r="2228" ht="15.75" customHeight="1" spans="1:2">
      <c r="A2228" s="3" t="str">
        <f>IFERROR(__xludf.DUMMYFUNCTION("GOOGLETRANSLATE(A2228,""en"",""pt"")"),"muito difícil e muito curto sobre o sabor!")</f>
        <v>muito difícil e muito curto sobre o sabor!</v>
      </c>
      <c r="B2228" s="3">
        <v>0</v>
      </c>
    </row>
    <row r="2229" ht="15.75" customHeight="1" spans="1:2">
      <c r="A2229" s="3" t="str">
        <f>IFERROR(__xludf.DUMMYFUNCTION("GOOGLETRANSLATE(A2229,""en"",""pt"")"),"Espero que este lugar fura ao redor.")</f>
        <v>Espero que este lugar fura ao redor.</v>
      </c>
      <c r="B2229" s="3">
        <v>1</v>
      </c>
    </row>
    <row r="2230" ht="15.75" customHeight="1" spans="1:2">
      <c r="A2230" s="3" t="str">
        <f>IFERROR(__xludf.DUMMYFUNCTION("GOOGLETRANSLATE(A2230,""en"",""pt"")"),"Estive em mais de alguns bares em Vegas, e nunca lembro de ter sido cobrado por água da torneira.")</f>
        <v>Estive em mais de alguns bares em Vegas, e nunca lembro de ter sido cobrado por água da torneira.</v>
      </c>
      <c r="B2230" s="3">
        <v>0</v>
      </c>
    </row>
    <row r="2231" ht="15.75" customHeight="1" spans="1:2">
      <c r="A2231" s="3" t="str">
        <f>IFERROR(__xludf.DUMMYFUNCTION("GOOGLETRANSLATE(A2231,""en"",""pt"")"),"A atmosfera do restaurante foi requintado.")</f>
        <v>A atmosfera do restaurante foi requintado.</v>
      </c>
      <c r="B2231" s="3">
        <v>1</v>
      </c>
    </row>
    <row r="2232" ht="15.75" customHeight="1" spans="1:2">
      <c r="A2232" s="3" t="str">
        <f>IFERROR(__xludf.DUMMYFUNCTION("GOOGLETRANSLATE(A2232,""en"",""pt"")"),"O bom serviço, muito limpo e barato, para arrancar!")</f>
        <v>O bom serviço, muito limpo e barato, para arrancar!</v>
      </c>
      <c r="B2232" s="3">
        <v>1</v>
      </c>
    </row>
    <row r="2233" ht="15.75" customHeight="1" spans="1:2">
      <c r="A2233" s="3" t="str">
        <f>IFERROR(__xludf.DUMMYFUNCTION("GOOGLETRANSLATE(A2233,""en"",""pt"")"),"O marisco fresco e foi generosa em parte.")</f>
        <v>O marisco fresco e foi generosa em parte.</v>
      </c>
      <c r="B2233" s="3">
        <v>1</v>
      </c>
    </row>
    <row r="2234" ht="15.75" customHeight="1" spans="1:2">
      <c r="A2234" s="3" t="str">
        <f>IFERROR(__xludf.DUMMYFUNCTION("GOOGLETRANSLATE(A2234,""en"",""pt"")"),"Além disso, é apenas 8 dólares.")</f>
        <v>Além disso, é apenas 8 dólares.</v>
      </c>
      <c r="B2234" s="3">
        <v>1</v>
      </c>
    </row>
    <row r="2235" ht="15.75" customHeight="1" spans="1:2">
      <c r="A2235" s="3" t="str">
        <f>IFERROR(__xludf.DUMMYFUNCTION("GOOGLETRANSLATE(A2235,""en"",""pt"")"),"O serviço não foi até ao par, qualquer um.")</f>
        <v>O serviço não foi até ao par, qualquer um.</v>
      </c>
      <c r="B2235" s="3">
        <v>0</v>
      </c>
    </row>
    <row r="2236" ht="15.75" customHeight="1" spans="1:2">
      <c r="A2236" s="3" t="str">
        <f>IFERROR(__xludf.DUMMYFUNCTION("GOOGLETRANSLATE(A2236,""en"",""pt"")"),"Até agora, só visitou duas vezes e a comida foi absolutamente delicioso cada vez.")</f>
        <v>Até agora, só visitou duas vezes e a comida foi absolutamente delicioso cada vez.</v>
      </c>
      <c r="B2236" s="3">
        <v>1</v>
      </c>
    </row>
    <row r="2237" ht="15.75" customHeight="1" spans="1:2">
      <c r="A2237" s="3" t="str">
        <f>IFERROR(__xludf.DUMMYFUNCTION("GOOGLETRANSLATE(A2237,""en"",""pt"")"),"Tão boa como quando eu tinha mais do que um ano atrás!")</f>
        <v>Tão boa como quando eu tinha mais do que um ano atrás!</v>
      </c>
      <c r="B2237" s="3">
        <v>1</v>
      </c>
    </row>
    <row r="2238" ht="15.75" customHeight="1" spans="1:2">
      <c r="A2238" s="3" t="str">
        <f>IFERROR(__xludf.DUMMYFUNCTION("GOOGLETRANSLATE(A2238,""en"",""pt"")"),"Para uma auto-proclamada café café, eu estava descontroladamente desapontado.")</f>
        <v>Para uma auto-proclamada café café, eu estava descontroladamente desapontado.</v>
      </c>
      <c r="B2238" s="3">
        <v>0</v>
      </c>
    </row>
    <row r="2239" ht="15.75" customHeight="1" spans="1:2">
      <c r="A2239" s="3" t="str">
        <f>IFERROR(__xludf.DUMMYFUNCTION("GOOGLETRANSLATE(A2239,""en"",""pt"")"),"O prato Veggitarian está fora deste mundo!")</f>
        <v>O prato Veggitarian está fora deste mundo!</v>
      </c>
      <c r="B2239" s="3">
        <v>1</v>
      </c>
    </row>
    <row r="2240" ht="15.75" customHeight="1" spans="1:2">
      <c r="A2240" s="3" t="str">
        <f>IFERROR(__xludf.DUMMYFUNCTION("GOOGLETRANSLATE(A2240,""en"",""pt"")"),"Você não pode errar com qualquer dos alimentos aqui.")</f>
        <v>Você não pode errar com qualquer dos alimentos aqui.</v>
      </c>
      <c r="B2240" s="3">
        <v>1</v>
      </c>
    </row>
    <row r="2241" ht="15.75" customHeight="1" spans="1:2">
      <c r="A2241" s="3" t="str">
        <f>IFERROR(__xludf.DUMMYFUNCTION("GOOGLETRANSLATE(A2241,""en"",""pt"")"),"Você não pode bater isso.")</f>
        <v>Você não pode bater isso.</v>
      </c>
      <c r="B2241" s="3">
        <v>1</v>
      </c>
    </row>
    <row r="2242" ht="15.75" customHeight="1" spans="1:2">
      <c r="A2242" s="3" t="str">
        <f>IFERROR(__xludf.DUMMYFUNCTION("GOOGLETRANSLATE(A2242,""en"",""pt"")"),"Parado por este lugar enquanto em Madison para o Ironman, muito simpática, tipo equipe.")</f>
        <v>Parado por este lugar enquanto em Madison para o Ironman, muito simpática, tipo equipe.</v>
      </c>
      <c r="B2242" s="3">
        <v>1</v>
      </c>
    </row>
    <row r="2243" ht="15.75" customHeight="1" spans="1:2">
      <c r="A2243" s="3" t="str">
        <f>IFERROR(__xludf.DUMMYFUNCTION("GOOGLETRANSLATE(A2243,""en"",""pt"")"),"Os chefs foram amigável e fez um bom trabalho.")</f>
        <v>Os chefs foram amigável e fez um bom trabalho.</v>
      </c>
      <c r="B2243" s="3">
        <v>1</v>
      </c>
    </row>
    <row r="2244" ht="15.75" customHeight="1" spans="1:2">
      <c r="A2244" s="3" t="str">
        <f>IFERROR(__xludf.DUMMYFUNCTION("GOOGLETRANSLATE(A2244,""en"",""pt"")"),"Eu tive melhor, não só a partir de pontos boba chá dedicados, mas até mesmo de Jenni Pho.")</f>
        <v>Eu tive melhor, não só a partir de pontos boba chá dedicados, mas até mesmo de Jenni Pho.</v>
      </c>
      <c r="B2244" s="3">
        <v>0</v>
      </c>
    </row>
    <row r="2245" ht="15.75" customHeight="1" spans="1:2">
      <c r="A2245" s="3" t="str">
        <f>IFERROR(__xludf.DUMMYFUNCTION("GOOGLETRANSLATE(A2245,""en"",""pt"")"),"Eu gostei do pátio eo serviço foi excelente.")</f>
        <v>Eu gostei do pátio eo serviço foi excelente.</v>
      </c>
      <c r="B2245" s="3">
        <v>1</v>
      </c>
    </row>
    <row r="2246" ht="15.75" customHeight="1" spans="1:2">
      <c r="A2246" s="3" t="str">
        <f>IFERROR(__xludf.DUMMYFUNCTION("GOOGLETRANSLATE(A2246,""en"",""pt"")"),"A cabra taco não poupar na carne e wow que sabor!")</f>
        <v>A cabra taco não poupar na carne e wow que sabor!</v>
      </c>
      <c r="B2246" s="3">
        <v>1</v>
      </c>
    </row>
    <row r="2247" ht="15.75" customHeight="1" spans="1:2">
      <c r="A2247" s="3" t="str">
        <f>IFERROR(__xludf.DUMMYFUNCTION("GOOGLETRANSLATE(A2247,""en"",""pt"")"),"Eu não pense novamente")</f>
        <v>Eu não pense novamente</v>
      </c>
      <c r="B2247" s="3">
        <v>0</v>
      </c>
    </row>
    <row r="2248" ht="15.75" customHeight="1" spans="1:2">
      <c r="A2248" s="3" t="str">
        <f>IFERROR(__xludf.DUMMYFUNCTION("GOOGLETRANSLATE(A2248,""en"",""pt"")"),"Eu tinha a salada de mac e foi bastante sem graça, então eu não vai ter isso de novo.")</f>
        <v>Eu tinha a salada de mac e foi bastante sem graça, então eu não vai ter isso de novo.</v>
      </c>
      <c r="B2248" s="3">
        <v>0</v>
      </c>
    </row>
    <row r="2249" ht="15.75" customHeight="1" spans="1:2">
      <c r="A2249" s="3" t="str">
        <f>IFERROR(__xludf.DUMMYFUNCTION("GOOGLETRANSLATE(A2249,""en"",""pt"")"),"Fui para Bachi Burger numa recomendação de um amigo e não fiquei desapontado.")</f>
        <v>Fui para Bachi Burger numa recomendação de um amigo e não fiquei desapontado.</v>
      </c>
      <c r="B2249" s="3">
        <v>1</v>
      </c>
    </row>
    <row r="2250" ht="15.75" customHeight="1" spans="1:2">
      <c r="A2250" s="3" t="str">
        <f>IFERROR(__xludf.DUMMYFUNCTION("GOOGLETRANSLATE(A2250,""en"",""pt"")"),"Serviço fede aqui!")</f>
        <v>Serviço fede aqui!</v>
      </c>
      <c r="B2250" s="3">
        <v>0</v>
      </c>
    </row>
    <row r="2251" ht="15.75" customHeight="1" spans="1:2">
      <c r="A2251" s="3" t="str">
        <f>IFERROR(__xludf.DUMMYFUNCTION("GOOGLETRANSLATE(A2251,""en"",""pt"")"),"Eu esperei e esperei.")</f>
        <v>Eu esperei e esperei.</v>
      </c>
      <c r="B2251" s="3">
        <v>0</v>
      </c>
    </row>
    <row r="2252" ht="15.75" customHeight="1" spans="1:2">
      <c r="A2252" s="3" t="str">
        <f>IFERROR(__xludf.DUMMYFUNCTION("GOOGLETRANSLATE(A2252,""en"",""pt"")"),"Este lugar não é sushi qualidade, não é um restaurante de qualidade.")</f>
        <v>Este lugar não é sushi qualidade, não é um restaurante de qualidade.</v>
      </c>
      <c r="B2252" s="3">
        <v>0</v>
      </c>
    </row>
    <row r="2253" ht="15.75" customHeight="1" spans="1:2">
      <c r="A2253" s="3" t="str">
        <f>IFERROR(__xludf.DUMMYFUNCTION("GOOGLETRANSLATE(A2253,""en"",""pt"")"),"Eu recomendaria definitivamente as asas, assim como a pizza.")</f>
        <v>Eu recomendaria definitivamente as asas, assim como a pizza.</v>
      </c>
      <c r="B2253" s="3">
        <v>1</v>
      </c>
    </row>
    <row r="2254" ht="15.75" customHeight="1" spans="1:2">
      <c r="A2254" s="3" t="str">
        <f>IFERROR(__xludf.DUMMYFUNCTION("GOOGLETRANSLATE(A2254,""en"",""pt"")"),"Great pizza e saladas!")</f>
        <v>Great pizza e saladas!</v>
      </c>
      <c r="B2254" s="3">
        <v>1</v>
      </c>
    </row>
    <row r="2255" ht="15.75" customHeight="1" spans="1:2">
      <c r="A2255" s="3" t="str">
        <f>IFERROR(__xludf.DUMMYFUNCTION("GOOGLETRANSLATE(A2255,""en"",""pt"")"),"Coisas que deram errado: - Eles queimaram o saganaki.")</f>
        <v>Coisas que deram errado: - Eles queimaram o saganaki.</v>
      </c>
      <c r="B2255" s="3">
        <v>0</v>
      </c>
    </row>
    <row r="2256" ht="15.75" customHeight="1" spans="1:2">
      <c r="A2256" s="3" t="str">
        <f>IFERROR(__xludf.DUMMYFUNCTION("GOOGLETRANSLATE(A2256,""en"",""pt"")"),"Esperamos uma hora para o que era um pequeno-almoço que eu poderia ter feito 100 vezes melhor em casa.")</f>
        <v>Esperamos uma hora para o que era um pequeno-almoço que eu poderia ter feito 100 vezes melhor em casa.</v>
      </c>
      <c r="B2256" s="3">
        <v>0</v>
      </c>
    </row>
    <row r="2257" ht="15.75" customHeight="1" spans="1:2">
      <c r="A2257" s="3" t="str">
        <f>IFERROR(__xludf.DUMMYFUNCTION("GOOGLETRANSLATE(A2257,""en"",""pt"")"),"Este lugar é incrível!")</f>
        <v>Este lugar é incrível!</v>
      </c>
      <c r="B2257" s="3">
        <v>1</v>
      </c>
    </row>
    <row r="2258" ht="15.75" customHeight="1" spans="1:2">
      <c r="A2258" s="3" t="str">
        <f>IFERROR(__xludf.DUMMYFUNCTION("GOOGLETRANSLATE(A2258,""en"",""pt"")"),"Eu odeio a discordar com os meus colegas Yelpers, mas o meu marido e eu estávamos tão decepcionado com este lugar.")</f>
        <v>Eu odeio a discordar com os meus colegas Yelpers, mas o meu marido e eu estávamos tão decepcionado com este lugar.</v>
      </c>
      <c r="B2258" s="3">
        <v>0</v>
      </c>
    </row>
    <row r="2259" ht="15.75" customHeight="1" spans="1:2">
      <c r="A2259" s="3" t="str">
        <f>IFERROR(__xludf.DUMMYFUNCTION("GOOGLETRANSLATE(A2259,""en"",""pt"")"),"Esperou 2 horas e nunca tive qualquer um dos nossos pizzas como muitos outros em torno de nós que veio mais tarde fez!")</f>
        <v>Esperou 2 horas e nunca tive qualquer um dos nossos pizzas como muitos outros em torno de nós que veio mais tarde fez!</v>
      </c>
      <c r="B2259" s="3">
        <v>0</v>
      </c>
    </row>
    <row r="2260" ht="15.75" customHeight="1" spans="1:2">
      <c r="A2260" s="3" t="str">
        <f>IFERROR(__xludf.DUMMYFUNCTION("GOOGLETRANSLATE(A2260,""en"",""pt"")"),"Só não sei por que eles estavam tão lento.")</f>
        <v>Só não sei por que eles estavam tão lento.</v>
      </c>
      <c r="B2260" s="3">
        <v>0</v>
      </c>
    </row>
    <row r="2261" ht="15.75" customHeight="1" spans="1:2">
      <c r="A2261" s="3" t="str">
        <f>IFERROR(__xludf.DUMMYFUNCTION("GOOGLETRANSLATE(A2261,""en"",""pt"")"),"A equipe é grande, a comida é ótima, e eles têm uma selecção de cerveja incrível.")</f>
        <v>A equipe é grande, a comida é ótima, e eles têm uma selecção de cerveja incrível.</v>
      </c>
      <c r="B2261" s="3">
        <v>1</v>
      </c>
    </row>
    <row r="2262" ht="15.75" customHeight="1" spans="1:2">
      <c r="A2262" s="3" t="str">
        <f>IFERROR(__xludf.DUMMYFUNCTION("GOOGLETRANSLATE(A2262,""en"",""pt"")"),"Eu moro no bairro, por isso estou decepcionado eu não vou estar de volta aqui, porque é uma localização conveniente.")</f>
        <v>Eu moro no bairro, por isso estou decepcionado eu não vou estar de volta aqui, porque é uma localização conveniente.</v>
      </c>
      <c r="B2262" s="3">
        <v>0</v>
      </c>
    </row>
    <row r="2263" ht="15.75" customHeight="1" spans="1:2">
      <c r="A2263" s="3" t="str">
        <f>IFERROR(__xludf.DUMMYFUNCTION("GOOGLETRANSLATE(A2263,""en"",""pt"")"),"Eu não sabia que carne de porco poderia ser soooo delicioso.")</f>
        <v>Eu não sabia que carne de porco poderia ser soooo delicioso.</v>
      </c>
      <c r="B2263" s="3">
        <v>1</v>
      </c>
    </row>
    <row r="2264" ht="15.75" customHeight="1" spans="1:2">
      <c r="A2264" s="3" t="str">
        <f>IFERROR(__xludf.DUMMYFUNCTION("GOOGLETRANSLATE(A2264,""en"",""pt"")"),"Você começa peixes incrivelmente fresca, preparada com cuidado.")</f>
        <v>Você começa peixes incrivelmente fresca, preparada com cuidado.</v>
      </c>
      <c r="B2264" s="3">
        <v>1</v>
      </c>
    </row>
    <row r="2265" ht="15.75" customHeight="1" spans="1:2">
      <c r="A2265" s="3" t="str">
        <f>IFERROR(__xludf.DUMMYFUNCTION("GOOGLETRANSLATE(A2265,""en"",""pt"")"),"Antes de eu ir para porque eu dei uma classificação de 1 estrela por favor, saibam que este era o meu tempo comendo terceiro em Bachi hambúrguer antes de escrever um comentário.")</f>
        <v>Antes de eu ir para porque eu dei uma classificação de 1 estrela por favor, saibam que este era o meu tempo comendo terceiro em Bachi hambúrguer antes de escrever um comentário.</v>
      </c>
      <c r="B2265" s="3">
        <v>0</v>
      </c>
    </row>
    <row r="2266" ht="15.75" customHeight="1" spans="1:2">
      <c r="A2266" s="3" t="str">
        <f>IFERROR(__xludf.DUMMYFUNCTION("GOOGLETRANSLATE(A2266,""en"",""pt"")"),"Eu amo o fato de que tudo no seu menu vale a pena.")</f>
        <v>Eu amo o fato de que tudo no seu menu vale a pena.</v>
      </c>
      <c r="B2266" s="3">
        <v>1</v>
      </c>
    </row>
    <row r="2267" ht="15.75" customHeight="1" spans="1:2">
      <c r="A2267" s="3" t="str">
        <f>IFERROR(__xludf.DUMMYFUNCTION("GOOGLETRANSLATE(A2267,""en"",""pt"")"),"Nunca mais vou ser jantar neste lugar!")</f>
        <v>Nunca mais vou ser jantar neste lugar!</v>
      </c>
      <c r="B2267" s="3">
        <v>0</v>
      </c>
    </row>
    <row r="2268" ht="15.75" customHeight="1" spans="1:2">
      <c r="A2268" s="3" t="str">
        <f>IFERROR(__xludf.DUMMYFUNCTION("GOOGLETRANSLATE(A2268,""en"",""pt"")"),"A comida era excelente eo serviço foi muito bom.")</f>
        <v>A comida era excelente eo serviço foi muito bom.</v>
      </c>
      <c r="B2268" s="3">
        <v>1</v>
      </c>
    </row>
    <row r="2269" ht="15.75" customHeight="1" spans="1:2">
      <c r="A2269" s="3" t="str">
        <f>IFERROR(__xludf.DUMMYFUNCTION("GOOGLETRANSLATE(A2269,""en"",""pt"")"),"Boa cerveja e selecção de bebida e boa seleção de alimentos.")</f>
        <v>Boa cerveja e selecção de bebida e boa seleção de alimentos.</v>
      </c>
      <c r="B2269" s="3">
        <v>1</v>
      </c>
    </row>
    <row r="2270" ht="15.75" customHeight="1" spans="1:2">
      <c r="A2270" s="3" t="str">
        <f>IFERROR(__xludf.DUMMYFUNCTION("GOOGLETRANSLATE(A2270,""en"",""pt"")"),"Por favor, fique longe dos noodles camarão fritos.")</f>
        <v>Por favor, fique longe dos noodles camarão fritos.</v>
      </c>
      <c r="B2270" s="3">
        <v>0</v>
      </c>
    </row>
    <row r="2271" ht="15.75" customHeight="1" spans="1:2">
      <c r="A2271" s="3" t="str">
        <f>IFERROR(__xludf.DUMMYFUNCTION("GOOGLETRANSLATE(A2271,""en"",""pt"")"),"A ordem de batatas fritas era triste ... Eu provavelmente poderia contar quantas fichas estavam em que a caixa e foi provavelmente cerca de 12.")</f>
        <v>A ordem de batatas fritas era triste ... Eu provavelmente poderia contar quantas fichas estavam em que a caixa e foi provavelmente cerca de 12.</v>
      </c>
      <c r="B2271" s="3">
        <v>0</v>
      </c>
    </row>
    <row r="2272" ht="15.75" customHeight="1" spans="1:2">
      <c r="A2272" s="3" t="str">
        <f>IFERROR(__xludf.DUMMYFUNCTION("GOOGLETRANSLATE(A2272,""en"",""pt"")"),"Alimentos foi muito chato.")</f>
        <v>Alimentos foi muito chato.</v>
      </c>
      <c r="B2272" s="3">
        <v>0</v>
      </c>
    </row>
    <row r="2273" ht="15.75" customHeight="1" spans="1:2">
      <c r="A2273" s="3" t="str">
        <f>IFERROR(__xludf.DUMMYFUNCTION("GOOGLETRANSLATE(A2273,""en"",""pt"")"),"Serviço de verificação de bom!")</f>
        <v>Serviço de verificação de bom!</v>
      </c>
      <c r="B2273" s="3">
        <v>1</v>
      </c>
    </row>
    <row r="2274" ht="15.75" customHeight="1" spans="1:2">
      <c r="A2274" s="3" t="str">
        <f>IFERROR(__xludf.DUMMYFUNCTION("GOOGLETRANSLATE(A2274,""en"",""pt"")"),"Esta corporação gananciosa nunca verá um centavo de mim!")</f>
        <v>Esta corporação gananciosa nunca verá um centavo de mim!</v>
      </c>
      <c r="B2274" s="3">
        <v>0</v>
      </c>
    </row>
    <row r="2275" ht="15.75" customHeight="1" spans="1:2">
      <c r="A2275" s="3" t="str">
        <f>IFERROR(__xludf.DUMMYFUNCTION("GOOGLETRANSLATE(A2275,""en"",""pt"")"),"Nunca, nunca voltar.")</f>
        <v>Nunca, nunca voltar.</v>
      </c>
      <c r="B2275" s="3">
        <v>0</v>
      </c>
    </row>
    <row r="2276" ht="15.75" customHeight="1" spans="1:2">
      <c r="A2276" s="3" t="str">
        <f>IFERROR(__xludf.DUMMYFUNCTION("GOOGLETRANSLATE(A2276,""en"",""pt"")"),"Tanto quanto eu gostaria de voltar, eu não consigo me passou o atroz serviço e nunca voltar.")</f>
        <v>Tanto quanto eu gostaria de voltar, eu não consigo me passou o atroz serviço e nunca voltar.</v>
      </c>
      <c r="B2276" s="3">
        <v>0</v>
      </c>
    </row>
    <row r="2277" ht="15.75" customHeight="1" spans="1:2">
      <c r="A2277" s="3" t="str">
        <f>IFERROR(__xludf.DUMMYFUNCTION("GOOGLETRANSLATE(A2277,""en"",""pt"")"),"No verão, você pode jantar em um charmoso pátio ao ar livre - muito delicioso.")</f>
        <v>No verão, você pode jantar em um charmoso pátio ao ar livre - muito delicioso.</v>
      </c>
      <c r="B2277" s="3">
        <v>1</v>
      </c>
    </row>
    <row r="2278" ht="15.75" customHeight="1" spans="1:2">
      <c r="A2278" s="3" t="str">
        <f>IFERROR(__xludf.DUMMYFUNCTION("GOOGLETRANSLATE(A2278,""en"",""pt"")"),"Eu não esperava que isso seja tão bom!")</f>
        <v>Eu não esperava que isso seja tão bom!</v>
      </c>
      <c r="B2278" s="3">
        <v>1</v>
      </c>
    </row>
    <row r="2279" ht="15.75" customHeight="1" spans="1:2">
      <c r="A2279" s="3" t="str">
        <f>IFERROR(__xludf.DUMMYFUNCTION("GOOGLETRANSLATE(A2279,""en"",""pt"")"),"Comida fantástica!")</f>
        <v>Comida fantástica!</v>
      </c>
      <c r="B2279" s="3">
        <v>1</v>
      </c>
    </row>
    <row r="2280" ht="15.75" customHeight="1" spans="1:2">
      <c r="A2280" s="3" t="str">
        <f>IFERROR(__xludf.DUMMYFUNCTION("GOOGLETRANSLATE(A2280,""en"",""pt"")"),"Ela ordenou uma torrado muffin Inglês que saiu untoasted.")</f>
        <v>Ela ordenou uma torrado muffin Inglês que saiu untoasted.</v>
      </c>
      <c r="B2280" s="3">
        <v>0</v>
      </c>
    </row>
    <row r="2281" ht="15.75" customHeight="1" spans="1:2">
      <c r="A2281" s="3" t="str">
        <f>IFERROR(__xludf.DUMMYFUNCTION("GOOGLETRANSLATE(A2281,""en"",""pt"")"),"A comida estava muito boa.")</f>
        <v>A comida estava muito boa.</v>
      </c>
      <c r="B2281" s="3">
        <v>1</v>
      </c>
    </row>
    <row r="2282" ht="15.75" customHeight="1" spans="1:2">
      <c r="A2282" s="3" t="str">
        <f>IFERROR(__xludf.DUMMYFUNCTION("GOOGLETRANSLATE(A2282,""en"",""pt"")"),"Nunca back.")</f>
        <v>Nunca back.</v>
      </c>
      <c r="B2282" s="3">
        <v>0</v>
      </c>
    </row>
    <row r="2283" ht="15.75" customHeight="1" spans="1:2">
      <c r="A2283" s="3" t="str">
        <f>IFERROR(__xludf.DUMMYFUNCTION("GOOGLETRANSLATE(A2283,""en"",""pt"")"),"Boa comida para o preço, que é muito alta qualidade e casa feita.")</f>
        <v>Boa comida para o preço, que é muito alta qualidade e casa feita.</v>
      </c>
      <c r="B2283" s="3">
        <v>1</v>
      </c>
    </row>
    <row r="2284" ht="15.75" customHeight="1" spans="1:2">
      <c r="A2284" s="3" t="str">
        <f>IFERROR(__xludf.DUMMYFUNCTION("GOOGLETRANSLATE(A2284,""en"",""pt"")"),"O ônibus boy, por outro lado foi tão rude.")</f>
        <v>O ônibus boy, por outro lado foi tão rude.</v>
      </c>
      <c r="B2284" s="3">
        <v>0</v>
      </c>
    </row>
    <row r="2285" ht="15.75" customHeight="1" spans="1:2">
      <c r="A2285" s="3" t="str">
        <f>IFERROR(__xludf.DUMMYFUNCTION("GOOGLETRANSLATE(A2285,""en"",""pt"")"),"Por este ponto, meus amigos e eu tinha basicamente descobriu este lugar era uma piada e não me importo de fazer isso publicamente e em voz alta conhecida.")</f>
        <v>Por este ponto, meus amigos e eu tinha basicamente descobriu este lugar era uma piada e não me importo de fazer isso publicamente e em voz alta conhecida.</v>
      </c>
      <c r="B2285" s="3">
        <v>0</v>
      </c>
    </row>
    <row r="2286" ht="15.75" customHeight="1" spans="1:2">
      <c r="A2286" s="3" t="str">
        <f>IFERROR(__xludf.DUMMYFUNCTION("GOOGLETRANSLATE(A2286,""en"",""pt"")"),"Voltar para bom churrasco, pratos leves, preços razoáveis ​​e dizer ao público que eles estão de volta aos velhos tempos.")</f>
        <v>Voltar para bom churrasco, pratos leves, preços razoáveis ​​e dizer ao público que eles estão de volta aos velhos tempos.</v>
      </c>
      <c r="B2286" s="3">
        <v>1</v>
      </c>
    </row>
    <row r="2287" ht="15.75" customHeight="1" spans="1:2">
      <c r="A2287" s="3" t="str">
        <f>IFERROR(__xludf.DUMMYFUNCTION("GOOGLETRANSLATE(A2287,""en"",""pt"")"),"E considerando os dois nos deixou há muito cheio e feliz por cerca de US $ 20, você simplesmente não pode dar errado.")</f>
        <v>E considerando os dois nos deixou há muito cheio e feliz por cerca de US $ 20, você simplesmente não pode dar errado.</v>
      </c>
      <c r="B2287" s="3">
        <v>1</v>
      </c>
    </row>
    <row r="2288" ht="15.75" customHeight="1" spans="1:2">
      <c r="A2288" s="3" t="str">
        <f>IFERROR(__xludf.DUMMYFUNCTION("GOOGLETRANSLATE(A2288,""en"",""pt"")"),"Todo o pão é feito em casa!")</f>
        <v>Todo o pão é feito em casa!</v>
      </c>
      <c r="B2288" s="3">
        <v>1</v>
      </c>
    </row>
    <row r="2289" ht="15.75" customHeight="1" spans="1:2">
      <c r="A2289" s="3" t="str">
        <f>IFERROR(__xludf.DUMMYFUNCTION("GOOGLETRANSLATE(A2289,""en"",""pt"")"),"A única desvantagem é o serviço.")</f>
        <v>A única desvantagem é o serviço.</v>
      </c>
      <c r="B2289" s="3">
        <v>0</v>
      </c>
    </row>
    <row r="2290" ht="15.75" customHeight="1" spans="1:2">
      <c r="A2290" s="3" t="str">
        <f>IFERROR(__xludf.DUMMYFUNCTION("GOOGLETRANSLATE(A2290,""en"",""pt"")"),"Além disso, as batatas fritas são sem dúvida o pior batatas fritas que eu já tive.")</f>
        <v>Além disso, as batatas fritas são sem dúvida o pior batatas fritas que eu já tive.</v>
      </c>
      <c r="B2290" s="3">
        <v>0</v>
      </c>
    </row>
    <row r="2291" ht="15.75" customHeight="1" spans="1:2">
      <c r="A2291" s="3" t="str">
        <f>IFERROR(__xludf.DUMMYFUNCTION("GOOGLETRANSLATE(A2291,""en"",""pt"")"),"O serviço foi excepcional e comida era um bom como todos os comentários.")</f>
        <v>O serviço foi excepcional e comida era um bom como todos os comentários.</v>
      </c>
      <c r="B2291" s="3">
        <v>1</v>
      </c>
    </row>
    <row r="2292" ht="15.75" customHeight="1" spans="1:2">
      <c r="A2292" s="3" t="str">
        <f>IFERROR(__xludf.DUMMYFUNCTION("GOOGLETRANSLATE(A2292,""en"",""pt"")"),"Um par de meses depois, voltei e tinha uma incrível refeição.")</f>
        <v>Um par de meses depois, voltei e tinha uma incrível refeição.</v>
      </c>
      <c r="B2292" s="3">
        <v>1</v>
      </c>
    </row>
    <row r="2293" ht="15.75" customHeight="1" spans="1:2">
      <c r="A2293" s="3" t="str">
        <f>IFERROR(__xludf.DUMMYFUNCTION("GOOGLETRANSLATE(A2293,""en"",""pt"")"),"lugar favorito na cidade para shawarrrrrrma !!!!!!")</f>
        <v>lugar favorito na cidade para shawarrrrrrma !!!!!!</v>
      </c>
      <c r="B2293" s="3">
        <v>1</v>
      </c>
    </row>
    <row r="2294" ht="15.75" customHeight="1" spans="1:2">
      <c r="A2294" s="3" t="str">
        <f>IFERROR(__xludf.DUMMYFUNCTION("GOOGLETRANSLATE(A2294,""en"",""pt"")"),"Os black eyed peas e batata doce ... UNREAL!")</f>
        <v>Os black eyed peas e batata doce ... UNREAL!</v>
      </c>
      <c r="B2294" s="3">
        <v>1</v>
      </c>
    </row>
    <row r="2295" ht="15.75" customHeight="1" spans="1:2">
      <c r="A2295" s="3" t="str">
        <f>IFERROR(__xludf.DUMMYFUNCTION("GOOGLETRANSLATE(A2295,""en"",""pt"")"),"Você não vai se decepcionar.")</f>
        <v>Você não vai se decepcionar.</v>
      </c>
      <c r="B2295" s="3">
        <v>1</v>
      </c>
    </row>
    <row r="2296" ht="15.75" customHeight="1" spans="1:2">
      <c r="A2296" s="3" t="str">
        <f>IFERROR(__xludf.DUMMYFUNCTION("GOOGLETRANSLATE(A2296,""en"",""pt"")"),"Eles poderiam servi-lo apenas com o vinagrete e pode fazer para uma melhor prato em geral, mas ainda era muito bom.")</f>
        <v>Eles poderiam servi-lo apenas com o vinagrete e pode fazer para uma melhor prato em geral, mas ainda era muito bom.</v>
      </c>
      <c r="B2296" s="3">
        <v>1</v>
      </c>
    </row>
    <row r="2297" ht="15.75" customHeight="1" spans="1:2">
      <c r="A2297" s="3" t="str">
        <f>IFERROR(__xludf.DUMMYFUNCTION("GOOGLETRANSLATE(A2297,""en"",""pt"")"),"Eu vou a lugares distante demais e eu nunca vi qualquer restaurante que serve um pequeno-almoço 1 ovo, especialmente para US $ 4,00.")</f>
        <v>Eu vou a lugares distante demais e eu nunca vi qualquer restaurante que serve um pequeno-almoço 1 ovo, especialmente para US $ 4,00.</v>
      </c>
      <c r="B2297" s="3">
        <v>0</v>
      </c>
    </row>
    <row r="2298" ht="15.75" customHeight="1" spans="1:2">
      <c r="A2298" s="3" t="str">
        <f>IFERROR(__xludf.DUMMYFUNCTION("GOOGLETRANSLATE(A2298,""en"",""pt"")"),"Quando a minha mãe e eu cheguei em casa ela imediatamente ficou doente e ela tinha apenas algumas mordidas de salada.")</f>
        <v>Quando a minha mãe e eu cheguei em casa ela imediatamente ficou doente e ela tinha apenas algumas mordidas de salada.</v>
      </c>
      <c r="B2298" s="3">
        <v>0</v>
      </c>
    </row>
    <row r="2299" ht="15.75" customHeight="1" spans="1:2">
      <c r="A2299" s="3" t="str">
        <f>IFERROR(__xludf.DUMMYFUNCTION("GOOGLETRANSLATE(A2299,""en"",""pt"")"),"Os servidores não são agradáveis ​​para lidar com e eles nem sempre honrar cupons Pizza Hut.")</f>
        <v>Os servidores não são agradáveis ​​para lidar com e eles nem sempre honrar cupons Pizza Hut.</v>
      </c>
      <c r="B2299" s="3">
        <v>0</v>
      </c>
    </row>
    <row r="2300" ht="15.75" customHeight="1" spans="1:2">
      <c r="A2300" s="3" t="str">
        <f>IFERROR(__xludf.DUMMYFUNCTION("GOOGLETRANSLATE(A2300,""en"",""pt"")"),"Ambos eram bons verdadeiramente inacreditável, e eu estou tão feliz que fomos para trás.")</f>
        <v>Ambos eram bons verdadeiramente inacreditável, e eu estou tão feliz que fomos para trás.</v>
      </c>
      <c r="B2300" s="3">
        <v>1</v>
      </c>
    </row>
    <row r="2301" ht="15.75" customHeight="1" spans="1:2">
      <c r="A2301" s="3" t="str">
        <f>IFERROR(__xludf.DUMMYFUNCTION("GOOGLETRANSLATE(A2301,""en"",""pt"")"),"Tivemos um serviço fantástico, e ficaram satisfeitos com a atmosfera.")</f>
        <v>Tivemos um serviço fantástico, e ficaram satisfeitos com a atmosfera.</v>
      </c>
      <c r="B2301" s="3">
        <v>1</v>
      </c>
    </row>
    <row r="2302" ht="15.75" customHeight="1" spans="1:2">
      <c r="A2302" s="3" t="str">
        <f>IFERROR(__xludf.DUMMYFUNCTION("GOOGLETRANSLATE(A2302,""en"",""pt"")"),"Tudo era nojento.")</f>
        <v>Tudo era nojento.</v>
      </c>
      <c r="B2302" s="3">
        <v>0</v>
      </c>
    </row>
    <row r="2303" ht="15.75" customHeight="1" spans="1:2">
      <c r="A2303" s="3" t="str">
        <f>IFERROR(__xludf.DUMMYFUNCTION("GOOGLETRANSLATE(A2303,""en"",""pt"")"),"Eu amo esse lugar.")</f>
        <v>Eu amo esse lugar.</v>
      </c>
      <c r="B2303" s="3">
        <v>1</v>
      </c>
    </row>
    <row r="2304" ht="15.75" customHeight="1" spans="1:2">
      <c r="A2304" s="3" t="str">
        <f>IFERROR(__xludf.DUMMYFUNCTION("GOOGLETRANSLATE(A2304,""en"",""pt"")"),"Excelente serviço e comida.")</f>
        <v>Excelente serviço e comida.</v>
      </c>
      <c r="B2304" s="3">
        <v>1</v>
      </c>
    </row>
    <row r="2305" ht="15.75" customHeight="1" spans="1:2">
      <c r="A2305" s="3" t="str">
        <f>IFERROR(__xludf.DUMMYFUNCTION("GOOGLETRANSLATE(A2305,""en"",""pt"")"),"Em primeiro lugar - as casas de banho neste local foram Seat cobre sujo- não são reabastecidos e apenas nojento simples !!!")</f>
        <v>Em primeiro lugar - as casas de banho neste local foram Seat cobre sujo- não são reabastecidos e apenas nojento simples !!!</v>
      </c>
      <c r="B2305" s="3">
        <v>0</v>
      </c>
    </row>
    <row r="2306" ht="15.75" customHeight="1" spans="1:2">
      <c r="A2306" s="3" t="str">
        <f>IFERROR(__xludf.DUMMYFUNCTION("GOOGLETRANSLATE(A2306,""en"",""pt"")"),"O hambúrguer ... eu tenho o ""Gold Standard"" de US $ 17 hambúrguer e foi meio decepcionante.")</f>
        <v>O hambúrguer ... eu tenho o "Gold Standard" de US $ 17 hambúrguer e foi meio decepcionante.</v>
      </c>
      <c r="B2306" s="3">
        <v>0</v>
      </c>
    </row>
    <row r="2307" ht="15.75" customHeight="1" spans="1:2">
      <c r="A2307" s="3" t="str">
        <f>IFERROR(__xludf.DUMMYFUNCTION("GOOGLETRANSLATE(A2307,""en"",""pt"")"),"OMG, a comida foi delicioso!")</f>
        <v>OMG, a comida foi delicioso!</v>
      </c>
      <c r="B2307" s="3">
        <v>1</v>
      </c>
    </row>
    <row r="2308" ht="15.75" customHeight="1" spans="1:2">
      <c r="A2308" s="3" t="str">
        <f>IFERROR(__xludf.DUMMYFUNCTION("GOOGLETRANSLATE(A2308,""en"",""pt"")"),"Não há nada autêntico sobre este lugar.")</f>
        <v>Não há nada autêntico sobre este lugar.</v>
      </c>
      <c r="B2308" s="3">
        <v>0</v>
      </c>
    </row>
    <row r="2309" ht="15.75" customHeight="1" spans="1:2">
      <c r="A2309" s="3" t="str">
        <f>IFERROR(__xludf.DUMMYFUNCTION("GOOGLETRANSLATE(A2309,""en"",""pt"")"),"o espaguete é absolutamente nada especial.")</f>
        <v>o espaguete é absolutamente nada especial.</v>
      </c>
      <c r="B2309" s="3">
        <v>0</v>
      </c>
    </row>
    <row r="2310" ht="15.75" customHeight="1" spans="1:2">
      <c r="A2310" s="3" t="str">
        <f>IFERROR(__xludf.DUMMYFUNCTION("GOOGLETRANSLATE(A2310,""en"",""pt"")"),"De todos os pratos, o salmão foi o melhor, mas todos foram excelentes.")</f>
        <v>De todos os pratos, o salmão foi o melhor, mas todos foram excelentes.</v>
      </c>
      <c r="B2310" s="3">
        <v>1</v>
      </c>
    </row>
    <row r="2311" ht="15.75" customHeight="1" spans="1:2">
      <c r="A2311" s="3" t="str">
        <f>IFERROR(__xludf.DUMMYFUNCTION("GOOGLETRANSLATE(A2311,""en"",""pt"")"),"Os vegetais são tão frescos eo molho sente como tailandesa autêntica.")</f>
        <v>Os vegetais são tão frescos eo molho sente como tailandesa autêntica.</v>
      </c>
      <c r="B2311" s="3">
        <v>1</v>
      </c>
    </row>
    <row r="2312" ht="15.75" customHeight="1" spans="1:2">
      <c r="A2312" s="3" t="str">
        <f>IFERROR(__xludf.DUMMYFUNCTION("GOOGLETRANSLATE(A2312,""en"",""pt"")"),"Vale a pena dirigir-se a partir de Tucson!")</f>
        <v>Vale a pena dirigir-se a partir de Tucson!</v>
      </c>
      <c r="B2312" s="3">
        <v>1</v>
      </c>
    </row>
    <row r="2313" ht="15.75" customHeight="1" spans="1:2">
      <c r="A2313" s="3" t="str">
        <f>IFERROR(__xludf.DUMMYFUNCTION("GOOGLETRANSLATE(A2313,""en"",""pt"")"),"A seleção foi provavelmente o pior que já vi em Vegas ..... não havia nenhuma.")</f>
        <v>A seleção foi provavelmente o pior que já vi em Vegas ..... não havia nenhuma.</v>
      </c>
      <c r="B2313" s="3">
        <v>0</v>
      </c>
    </row>
    <row r="2314" ht="15.75" customHeight="1" spans="1:2">
      <c r="A2314" s="3" t="str">
        <f>IFERROR(__xludf.DUMMYFUNCTION("GOOGLETRANSLATE(A2314,""en"",""pt"")"),"boa cerveja seleção bonita também.")</f>
        <v>boa cerveja seleção bonita também.</v>
      </c>
      <c r="B2314" s="3">
        <v>1</v>
      </c>
    </row>
    <row r="2315" ht="15.75" customHeight="1" spans="1:2">
      <c r="A2315" s="3" t="str">
        <f>IFERROR(__xludf.DUMMYFUNCTION("GOOGLETRANSLATE(A2315,""en"",""pt"")"),"Este lugar é como Chipotle, mas melhor.")</f>
        <v>Este lugar é como Chipotle, mas melhor.</v>
      </c>
      <c r="B2315" s="3">
        <v>1</v>
      </c>
    </row>
    <row r="2316" ht="15.75" customHeight="1" spans="1:2">
      <c r="A2316" s="3" t="str">
        <f>IFERROR(__xludf.DUMMYFUNCTION("GOOGLETRANSLATE(A2316,""en"",""pt"")"),"Classy / ambiente acolhedor, diversão e aperitivos frescos, bifes suculentos (bife de beisebol !!!!!")</f>
        <v>Classy / ambiente acolhedor, diversão e aperitivos frescos, bifes suculentos (bife de beisebol !!!!!</v>
      </c>
      <c r="B2316" s="3">
        <v>1</v>
      </c>
    </row>
    <row r="2317" ht="15.75" customHeight="1" spans="1:2">
      <c r="A2317" s="3" t="str">
        <f>IFERROR(__xludf.DUMMYFUNCTION("GOOGLETRANSLATE(A2317,""en"",""pt"")"),"Tenho comido aqui várias vezes, e cada vez a comida foi delicioso.")</f>
        <v>Tenho comido aqui várias vezes, e cada vez a comida foi delicioso.</v>
      </c>
      <c r="B2317" s="3">
        <v>1</v>
      </c>
    </row>
    <row r="2318" ht="15.75" customHeight="1" spans="1:2">
      <c r="A2318" s="3" t="str">
        <f>IFERROR(__xludf.DUMMYFUNCTION("GOOGLETRANSLATE(A2318,""en"",""pt"")"),"Sentamos mais dez minutos e finalmente desistiu e foi embora.")</f>
        <v>Sentamos mais dez minutos e finalmente desistiu e foi embora.</v>
      </c>
      <c r="B2318" s="3">
        <v>0</v>
      </c>
    </row>
    <row r="2319" ht="15.75" customHeight="1" spans="1:2">
      <c r="A2319" s="3" t="str">
        <f>IFERROR(__xludf.DUMMYFUNCTION("GOOGLETRANSLATE(A2319,""en"",""pt"")"),"Ele era terrível!")</f>
        <v>Ele era terrível!</v>
      </c>
      <c r="B2319" s="3">
        <v>0</v>
      </c>
    </row>
    <row r="2320" ht="15.75" customHeight="1" spans="1:2">
      <c r="A2320" s="3" t="str">
        <f>IFERROR(__xludf.DUMMYFUNCTION("GOOGLETRANSLATE(A2320,""en"",""pt"")"),"Todos são tratados igualmente especial.")</f>
        <v>Todos são tratados igualmente especial.</v>
      </c>
      <c r="B2320" s="3">
        <v>1</v>
      </c>
    </row>
    <row r="2321" ht="15.75" customHeight="1" spans="1:2">
      <c r="A2321" s="3" t="str">
        <f>IFERROR(__xludf.DUMMYFUNCTION("GOOGLETRANSLATE(A2321,""en"",""pt"")"),"Não deve demorar 30 minutos para panquecas e ovos.")</f>
        <v>Não deve demorar 30 minutos para panquecas e ovos.</v>
      </c>
      <c r="B2321" s="3">
        <v>0</v>
      </c>
    </row>
    <row r="2322" ht="15.75" customHeight="1" spans="1:2">
      <c r="A2322" s="3" t="str">
        <f>IFERROR(__xludf.DUMMYFUNCTION("GOOGLETRANSLATE(A2322,""en"",""pt"")"),"Estava uma delícia!!!")</f>
        <v>Estava uma delícia!!!</v>
      </c>
      <c r="B2322" s="3">
        <v>1</v>
      </c>
    </row>
    <row r="2323" ht="15.75" customHeight="1" spans="1:2">
      <c r="A2323" s="3" t="str">
        <f>IFERROR(__xludf.DUMMYFUNCTION("GOOGLETRANSLATE(A2323,""en"",""pt"")"),"No lado bom, a equipe foi realmente agradável e entusiasta - um regalo.")</f>
        <v>No lado bom, a equipe foi realmente agradável e entusiasta - um regalo.</v>
      </c>
      <c r="B2323" s="3">
        <v>1</v>
      </c>
    </row>
    <row r="2324" ht="15.75" customHeight="1" spans="1:2">
      <c r="A2324" s="3" t="str">
        <f>IFERROR(__xludf.DUMMYFUNCTION("GOOGLETRANSLATE(A2324,""en"",""pt"")"),"Infelizmente, Bife de Gordon Ramsey é um lugar que devem evitar acentuadamente durante a nossa próxima viagem a Las Vegas.")</f>
        <v>Infelizmente, Bife de Gordon Ramsey é um lugar que devem evitar acentuadamente durante a nossa próxima viagem a Las Vegas.</v>
      </c>
      <c r="B2324" s="3">
        <v>0</v>
      </c>
    </row>
    <row r="2325" ht="15.75" customHeight="1" spans="1:2">
      <c r="A2325" s="3" t="str">
        <f>IFERROR(__xludf.DUMMYFUNCTION("GOOGLETRANSLATE(A2325,""en"",""pt"")"),"Como sempre a noite foi maravilhoso ea comida deliciosa!")</f>
        <v>Como sempre a noite foi maravilhoso ea comida deliciosa!</v>
      </c>
      <c r="B2325" s="3">
        <v>1</v>
      </c>
    </row>
    <row r="2326" ht="15.75" customHeight="1" spans="1:2">
      <c r="A2326" s="3" t="str">
        <f>IFERROR(__xludf.DUMMYFUNCTION("GOOGLETRANSLATE(A2326,""en"",""pt"")"),"Melhor peixe que eu já tive na minha vida!")</f>
        <v>Melhor peixe que eu já tive na minha vida!</v>
      </c>
      <c r="B2326" s="3">
        <v>1</v>
      </c>
    </row>
    <row r="2327" ht="15.75" customHeight="1" spans="1:2">
      <c r="A2327" s="3" t="str">
        <f>IFERROR(__xludf.DUMMYFUNCTION("GOOGLETRANSLATE(A2327,""en"",""pt"")"),"O buffet é pequeno e toda a comida que eles ofereceram foi sem graça.")</f>
        <v>O buffet é pequeno e toda a comida que eles ofereceram foi sem graça.</v>
      </c>
      <c r="B2327" s="3">
        <v>0</v>
      </c>
    </row>
    <row r="2328" ht="15.75" customHeight="1" spans="1:2">
      <c r="A2328" s="3" t="str">
        <f>IFERROR(__xludf.DUMMYFUNCTION("GOOGLETRANSLATE(A2328,""en"",""pt"")"),"Este é um pequeno restaurante excepcional com alguma da melhor comida que já provei.")</f>
        <v>Este é um pequeno restaurante excepcional com alguma da melhor comida que já provei.</v>
      </c>
      <c r="B2328" s="3">
        <v>1</v>
      </c>
    </row>
    <row r="2329" ht="15.75" customHeight="1" spans="1:2">
      <c r="A2329" s="3" t="str">
        <f>IFERROR(__xludf.DUMMYFUNCTION("GOOGLETRANSLATE(A2329,""en"",""pt"")"),"Muito legal, eu diria.")</f>
        <v>Muito legal, eu diria.</v>
      </c>
      <c r="B2329" s="3">
        <v>1</v>
      </c>
    </row>
    <row r="2330" ht="15.75" customHeight="1" spans="1:2">
      <c r="A2330" s="3" t="str">
        <f>IFERROR(__xludf.DUMMYFUNCTION("GOOGLETRANSLATE(A2330,""en"",""pt"")"),"Definitivamente um desligar para mim e eu duvido que vou estar de volta a menos que alguém está comprando.")</f>
        <v>Definitivamente um desligar para mim e eu duvido que vou estar de volta a menos que alguém está comprando.</v>
      </c>
      <c r="B2330" s="3">
        <v>0</v>
      </c>
    </row>
    <row r="2331" ht="15.75" customHeight="1" spans="1:2">
      <c r="A2331" s="3" t="str">
        <f>IFERROR(__xludf.DUMMYFUNCTION("GOOGLETRANSLATE(A2331,""en"",""pt"")"),"Servidor fez um grande trabalho consegue administrar nossa grande mesa turbulento.")</f>
        <v>Servidor fez um grande trabalho consegue administrar nossa grande mesa turbulento.</v>
      </c>
      <c r="B2331" s="3">
        <v>1</v>
      </c>
    </row>
    <row r="2332" ht="15.75" customHeight="1" spans="1:2">
      <c r="A2332" s="3" t="str">
        <f>IFERROR(__xludf.DUMMYFUNCTION("GOOGLETRANSLATE(A2332,""en"",""pt"")"),"Acho desperdiçando alimento a ser desprezível, mas isso simplesmente não era comida.")</f>
        <v>Acho desperdiçando alimento a ser desprezível, mas isso simplesmente não era comida.</v>
      </c>
      <c r="B2332" s="3">
        <v>0</v>
      </c>
    </row>
    <row r="2333" ht="15.75" customHeight="1" spans="1:2">
      <c r="A2333" s="3" t="str">
        <f>IFERROR(__xludf.DUMMYFUNCTION("GOOGLETRANSLATE(A2333,""en"",""pt"")"),"Minha esposa teve a sopa de lagosta Bisque que era morna.")</f>
        <v>Minha esposa teve a sopa de lagosta Bisque que era morna.</v>
      </c>
      <c r="B2333" s="3">
        <v>0</v>
      </c>
    </row>
    <row r="2334" ht="15.75" customHeight="1" spans="1:2">
      <c r="A2334" s="3" t="str">
        <f>IFERROR(__xludf.DUMMYFUNCTION("GOOGLETRANSLATE(A2334,""en"",""pt"")"),"Gostaríamos de voltar novamente se eu tinha um desejo sushi enquanto em Las Vegas.")</f>
        <v>Gostaríamos de voltar novamente se eu tinha um desejo sushi enquanto em Las Vegas.</v>
      </c>
      <c r="B2334" s="3">
        <v>1</v>
      </c>
    </row>
    <row r="2335" ht="15.75" customHeight="1" spans="1:2">
      <c r="A2335" s="3" t="str">
        <f>IFERROR(__xludf.DUMMYFUNCTION("GOOGLETRANSLATE(A2335,""en"",""pt"")"),"A equipe são ótimas, o ambiente é ótimo.")</f>
        <v>A equipe são ótimas, o ambiente é ótimo.</v>
      </c>
      <c r="B2335" s="3">
        <v>1</v>
      </c>
    </row>
    <row r="2336" ht="15.75" customHeight="1" spans="1:2">
      <c r="A2336" s="3" t="str">
        <f>IFERROR(__xludf.DUMMYFUNCTION("GOOGLETRANSLATE(A2336,""en"",""pt"")"),"Ele merece 5 estrelas.")</f>
        <v>Ele merece 5 estrelas.</v>
      </c>
      <c r="B2336" s="3">
        <v>1</v>
      </c>
    </row>
    <row r="2337" ht="15.75" customHeight="1" spans="1:2">
      <c r="A2337" s="3" t="str">
        <f>IFERROR(__xludf.DUMMYFUNCTION("GOOGLETRANSLATE(A2337,""en"",""pt"")"),"Saí com uma dor de estômago e sentiu-se mal o resto do dia.")</f>
        <v>Saí com uma dor de estômago e sentiu-se mal o resto do dia.</v>
      </c>
      <c r="B2337" s="3">
        <v>0</v>
      </c>
    </row>
    <row r="2338" ht="15.75" customHeight="1" spans="1:2">
      <c r="A2338" s="3" t="str">
        <f>IFERROR(__xludf.DUMMYFUNCTION("GOOGLETRANSLATE(A2338,""en"",""pt"")"),"Eles caíram mais do que a bola.")</f>
        <v>Eles caíram mais do que a bola.</v>
      </c>
      <c r="B2338" s="3">
        <v>0</v>
      </c>
    </row>
    <row r="2339" ht="15.75" customHeight="1" spans="1:2">
      <c r="A2339" s="3" t="str">
        <f>IFERROR(__xludf.DUMMYFUNCTION("GOOGLETRANSLATE(A2339,""en"",""pt"")"),"O espaço de jantar é pequena, mas elegantemente decorados e confortáveis.")</f>
        <v>O espaço de jantar é pequena, mas elegantemente decorados e confortáveis.</v>
      </c>
      <c r="B2339" s="3">
        <v>1</v>
      </c>
    </row>
    <row r="2340" ht="15.75" customHeight="1" spans="1:2">
      <c r="A2340" s="3" t="str">
        <f>IFERROR(__xludf.DUMMYFUNCTION("GOOGLETRANSLATE(A2340,""en"",""pt"")"),"Eles vão personalizar sua ordem qualquer maneira que você quiser, meu costume é Berinjela com feijão verde frite, o amor!")</f>
        <v>Eles vão personalizar sua ordem qualquer maneira que você quiser, meu costume é Berinjela com feijão verde frite, o amor!</v>
      </c>
      <c r="B2340" s="3">
        <v>1</v>
      </c>
    </row>
    <row r="2341" ht="15.75" customHeight="1" spans="1:2">
      <c r="A2341" s="3" t="str">
        <f>IFERROR(__xludf.DUMMYFUNCTION("GOOGLETRANSLATE(A2341,""en"",""pt"")"),"E o feijão e arroz foram medíocre no melhor.")</f>
        <v>E o feijão e arroz foram medíocre no melhor.</v>
      </c>
      <c r="B2341" s="3">
        <v>0</v>
      </c>
    </row>
    <row r="2342" ht="15.75" customHeight="1" spans="1:2">
      <c r="A2342" s="3" t="str">
        <f>IFERROR(__xludf.DUMMYFUNCTION("GOOGLETRANSLATE(A2342,""en"",""pt"")"),"Melhores tacos na cidade de longe !!")</f>
        <v>Melhores tacos na cidade de longe !!</v>
      </c>
      <c r="B2342" s="3">
        <v>1</v>
      </c>
    </row>
    <row r="2343" ht="15.75" customHeight="1" spans="1:2">
      <c r="A2343" s="3" t="str">
        <f>IFERROR(__xludf.DUMMYFUNCTION("GOOGLETRANSLATE(A2343,""en"",""pt"")"),"Eu levei de volta o meu dinheiro e ficou fora de lá.")</f>
        <v>Eu levei de volta o meu dinheiro e ficou fora de lá.</v>
      </c>
      <c r="B2343" s="3">
        <v>0</v>
      </c>
    </row>
    <row r="2344" ht="15.75" customHeight="1" spans="1:2">
      <c r="A2344" s="3" t="str">
        <f>IFERROR(__xludf.DUMMYFUNCTION("GOOGLETRANSLATE(A2344,""en"",""pt"")"),"Em uma parte interessante da cidade, este lugar é incrível.")</f>
        <v>Em uma parte interessante da cidade, este lugar é incrível.</v>
      </c>
      <c r="B2344" s="3">
        <v>1</v>
      </c>
    </row>
    <row r="2345" ht="15.75" customHeight="1" spans="1:2">
      <c r="A2345" s="3" t="str">
        <f>IFERROR(__xludf.DUMMYFUNCTION("GOOGLETRANSLATE(A2345,""en"",""pt"")"),"RUDE &amp; INCONSIDERADO GESTÃO.")</f>
        <v>RUDE &amp; INCONSIDERADO GESTÃO.</v>
      </c>
      <c r="B2345" s="3">
        <v>0</v>
      </c>
    </row>
    <row r="2346" ht="15.75" customHeight="1" spans="1:2">
      <c r="A2346" s="3" t="str">
        <f>IFERROR(__xludf.DUMMYFUNCTION("GOOGLETRANSLATE(A2346,""en"",""pt"")"),"Os funcionários estão agora a não tão amigável, os tempos de espera para ser servido são horríveis, ninguém sequer diz oi para os primeiros 10 minutos.")</f>
        <v>Os funcionários estão agora a não tão amigável, os tempos de espera para ser servido são horríveis, ninguém sequer diz oi para os primeiros 10 minutos.</v>
      </c>
      <c r="B2346" s="3">
        <v>0</v>
      </c>
    </row>
    <row r="2347" ht="15.75" customHeight="1" spans="1:2">
      <c r="A2347" s="3" t="str">
        <f>IFERROR(__xludf.DUMMYFUNCTION("GOOGLETRANSLATE(A2347,""en"",""pt"")"),"Eu não vou estar de volta.")</f>
        <v>Eu não vou estar de volta.</v>
      </c>
      <c r="B2347" s="3">
        <v>0</v>
      </c>
    </row>
    <row r="2348" ht="15.75" customHeight="1" spans="1:2">
      <c r="A2348" s="3" t="str">
        <f>IFERROR(__xludf.DUMMYFUNCTION("GOOGLETRANSLATE(A2348,""en"",""pt"")"),"Eles têm grandes jantares.")</f>
        <v>Eles têm grandes jantares.</v>
      </c>
      <c r="B2348" s="3">
        <v>1</v>
      </c>
    </row>
    <row r="2349" ht="15.75" customHeight="1" spans="1:2">
      <c r="A2349" s="3" t="str">
        <f>IFERROR(__xludf.DUMMYFUNCTION("GOOGLETRANSLATE(A2349,""en"",""pt"")"),"O serviço foi suplantando &amp; I definitivamente recomendo o alabote.")</f>
        <v>O serviço foi suplantando &amp; I definitivamente recomendo o alabote.</v>
      </c>
      <c r="B2349" s="3">
        <v>1</v>
      </c>
    </row>
    <row r="2350" ht="15.75" customHeight="1" spans="1:2">
      <c r="A2350" s="3" t="str">
        <f>IFERROR(__xludf.DUMMYFUNCTION("GOOGLETRANSLATE(A2350,""en"",""pt"")"),"A comida era terrível.")</f>
        <v>A comida era terrível.</v>
      </c>
      <c r="B2350" s="3">
        <v>0</v>
      </c>
    </row>
    <row r="2351" ht="15.75" customHeight="1" spans="1:2">
      <c r="A2351" s="3" t="str">
        <f>IFERROR(__xludf.DUMMYFUNCTION("GOOGLETRANSLATE(A2351,""en"",""pt"")"),"Nunca vai voltar e disse muitas pessoas que tinha acontecido.")</f>
        <v>Nunca vai voltar e disse muitas pessoas que tinha acontecido.</v>
      </c>
      <c r="B2351" s="3">
        <v>0</v>
      </c>
    </row>
    <row r="2352" ht="15.75" customHeight="1" spans="1:2">
      <c r="A2352" s="3" t="str">
        <f>IFERROR(__xludf.DUMMYFUNCTION("GOOGLETRANSLATE(A2352,""en"",""pt"")"),"Eu não recomendo a menos que seus carro quebra para baixo na frente dele e você está morrendo de fome.")</f>
        <v>Eu não recomendo a menos que seus carro quebra para baixo na frente dele e você está morrendo de fome.</v>
      </c>
      <c r="B2352" s="3">
        <v>0</v>
      </c>
    </row>
    <row r="2353" ht="15.75" customHeight="1" spans="1:2">
      <c r="A2353" s="3" t="str">
        <f>IFERROR(__xludf.DUMMYFUNCTION("GOOGLETRANSLATE(A2353,""en"",""pt"")"),"Vou voltar aqui cada vez que eu estou em Las Vegas.")</f>
        <v>Vou voltar aqui cada vez que eu estou em Las Vegas.</v>
      </c>
      <c r="B2353" s="3">
        <v>1</v>
      </c>
    </row>
    <row r="2354" ht="15.75" customHeight="1" spans="1:2">
      <c r="A2354" s="3" t="str">
        <f>IFERROR(__xludf.DUMMYFUNCTION("GOOGLETRANSLATE(A2354,""en"",""pt"")"),"Este lugar merece uma estrela e 90% tem a ver com a comida.")</f>
        <v>Este lugar merece uma estrela e 90% tem a ver com a comida.</v>
      </c>
      <c r="B2354" s="3">
        <v>0</v>
      </c>
    </row>
    <row r="2355" ht="15.75" customHeight="1" spans="1:2">
      <c r="A2355" s="3" t="str">
        <f>IFERROR(__xludf.DUMMYFUNCTION("GOOGLETRANSLATE(A2355,""en"",""pt"")"),"Isto é uma vergonha.")</f>
        <v>Isto é uma vergonha.</v>
      </c>
      <c r="B2355" s="3">
        <v>0</v>
      </c>
    </row>
    <row r="2356" ht="15.75" customHeight="1" spans="1:2">
      <c r="A2356" s="3" t="str">
        <f>IFERROR(__xludf.DUMMYFUNCTION("GOOGLETRANSLATE(A2356,""en"",""pt"")"),"Def voltar a taça na próxima vez")</f>
        <v>Def voltar a taça na próxima vez</v>
      </c>
      <c r="B2356" s="3">
        <v>1</v>
      </c>
    </row>
    <row r="2357" ht="15.75" customHeight="1" spans="1:2">
      <c r="A2357" s="3" t="str">
        <f>IFERROR(__xludf.DUMMYFUNCTION("GOOGLETRANSLATE(A2357,""en"",""pt"")"),"Se quiser comida autêntica ou ética saudável, experimente este lugar.")</f>
        <v>Se quiser comida autêntica ou ética saudável, experimente este lugar.</v>
      </c>
      <c r="B2357" s="3">
        <v>1</v>
      </c>
    </row>
    <row r="2358" ht="15.75" customHeight="1" spans="1:2">
      <c r="A2358" s="3" t="str">
        <f>IFERROR(__xludf.DUMMYFUNCTION("GOOGLETRANSLATE(A2358,""en"",""pt"")"),"Vou continuar a vir aqui na noite das senhoras andddd data noite ... recomendo este lugar para quem está na área (;")</f>
        <v>Vou continuar a vir aqui na noite das senhoras andddd data noite ... recomendo este lugar para quem está na área (;</v>
      </c>
      <c r="B2358" s="3">
        <v>1</v>
      </c>
    </row>
    <row r="2359" ht="15.75" customHeight="1" spans="1:2">
      <c r="A2359" s="3" t="str">
        <f>IFERROR(__xludf.DUMMYFUNCTION("GOOGLETRANSLATE(A2359,""en"",""pt"")"),"Eu estive aqui várias vezes no passado, ea experiência tem sido sempre excelente.")</f>
        <v>Eu estive aqui várias vezes no passado, ea experiência tem sido sempre excelente.</v>
      </c>
      <c r="B2359" s="3">
        <v>1</v>
      </c>
    </row>
    <row r="2360" ht="15.75" customHeight="1" spans="1:2">
      <c r="A2360" s="3" t="str">
        <f>IFERROR(__xludf.DUMMYFUNCTION("GOOGLETRANSLATE(A2360,""en"",""pt"")"),"Nós orientado, recheadas e feliz com a nossa primeira experiência buffet Vegas.")</f>
        <v>Nós orientado, recheadas e feliz com a nossa primeira experiência buffet Vegas.</v>
      </c>
      <c r="B2360" s="3">
        <v>1</v>
      </c>
    </row>
    <row r="2361" ht="15.75" customHeight="1" spans="1:2">
      <c r="A2361" s="3" t="str">
        <f>IFERROR(__xludf.DUMMYFUNCTION("GOOGLETRANSLATE(A2361,""en"",""pt"")"),"O serviço foi excelente e os preços são bastante razoável considerando que este é Vegas e localizado no interior dos cristais de shopping centers por Aria.")</f>
        <v>O serviço foi excelente e os preços são bastante razoável considerando que este é Vegas e localizado no interior dos cristais de shopping centers por Aria.</v>
      </c>
      <c r="B2361" s="3">
        <v>1</v>
      </c>
    </row>
    <row r="2362" ht="15.75" customHeight="1" spans="1:2">
      <c r="A2362" s="3" t="str">
        <f>IFERROR(__xludf.DUMMYFUNCTION("GOOGLETRANSLATE(A2362,""en"",""pt"")"),"Para resumir ... a comida foi incrível, ou melhor, transcendant ... mas nada me traz alegria completamente como a memória do distribuidor condimento pneumático.")</f>
        <v>Para resumir ... a comida foi incrível, ou melhor, transcendant ... mas nada me traz alegria completamente como a memória do distribuidor condimento pneumático.</v>
      </c>
      <c r="B2362" s="3">
        <v>1</v>
      </c>
    </row>
    <row r="2363" ht="15.75" customHeight="1" spans="1:2">
      <c r="A2363" s="3" t="str">
        <f>IFERROR(__xludf.DUMMYFUNCTION("GOOGLETRANSLATE(A2363,""en"",""pt"")"),"Eu sou provavelmente uma das poucas pessoas a nunca ir para Ians e não como ele.")</f>
        <v>Eu sou provavelmente uma das poucas pessoas a nunca ir para Ians e não como ele.</v>
      </c>
      <c r="B2363" s="3">
        <v>0</v>
      </c>
    </row>
    <row r="2364" ht="15.75" customHeight="1" spans="1:2">
      <c r="A2364" s="3" t="str">
        <f>IFERROR(__xludf.DUMMYFUNCTION("GOOGLETRANSLATE(A2364,""en"",""pt"")"),"Crianças pizza é sempre uma muito atingido com lotes de grandes opções de prato de lado para os pequenos!")</f>
        <v>Crianças pizza é sempre uma muito atingido com lotes de grandes opções de prato de lado para os pequenos!</v>
      </c>
      <c r="B2364" s="3">
        <v>1</v>
      </c>
    </row>
    <row r="2365" ht="15.75" customHeight="1" spans="1:2">
      <c r="A2365" s="3" t="str">
        <f>IFERROR(__xludf.DUMMYFUNCTION("GOOGLETRANSLATE(A2365,""en"",""pt"")"),"O serviço é perfeito e o ambiente familiar é bom ver.")</f>
        <v>O serviço é perfeito e o ambiente familiar é bom ver.</v>
      </c>
      <c r="B2365" s="3">
        <v>1</v>
      </c>
    </row>
    <row r="2366" ht="15.75" customHeight="1" spans="1:2">
      <c r="A2366" s="3" t="str">
        <f>IFERROR(__xludf.DUMMYFUNCTION("GOOGLETRANSLATE(A2366,""en"",""pt"")"),"Cozido à perfeição eo serviço foi impecável.")</f>
        <v>Cozido à perfeição eo serviço foi impecável.</v>
      </c>
      <c r="B2366" s="3">
        <v>1</v>
      </c>
    </row>
    <row r="2367" ht="15.75" customHeight="1" spans="1:2">
      <c r="A2367" s="3" t="str">
        <f>IFERROR(__xludf.DUMMYFUNCTION("GOOGLETRANSLATE(A2367,""en"",""pt"")"),"Este é simplesmente uma decepção.")</f>
        <v>Este é simplesmente uma decepção.</v>
      </c>
      <c r="B2367" s="3">
        <v>0</v>
      </c>
    </row>
    <row r="2368" ht="15.75" customHeight="1" spans="1:2">
      <c r="A2368" s="3" t="str">
        <f>IFERROR(__xludf.DUMMYFUNCTION("GOOGLETRANSLATE(A2368,""en"",""pt"")"),"No geral, eu estava muito decepcionado com a qualidade dos alimentos no Bouchon.")</f>
        <v>No geral, eu estava muito decepcionado com a qualidade dos alimentos no Bouchon.</v>
      </c>
      <c r="B2368" s="3">
        <v>0</v>
      </c>
    </row>
    <row r="2369" ht="15.75" customHeight="1" spans="1:2">
      <c r="A2369" s="3" t="s">
        <v>10</v>
      </c>
      <c r="B2369" s="3">
        <v>0</v>
      </c>
    </row>
    <row r="2370" ht="15.75" customHeight="1" spans="1:2">
      <c r="A2370" s="3" t="str">
        <f>IFERROR(__xludf.DUMMYFUNCTION("GOOGLETRANSLATE(A2370,""en"",""pt"")"),"Ótimo lugar para comer, me lembra do pequeno mãe e lojas pop na área da Baía de San Francisco.")</f>
        <v>Ótimo lugar para comer, me lembra do pequeno mãe e lojas pop na área da Baía de San Francisco.</v>
      </c>
      <c r="B2370" s="3">
        <v>1</v>
      </c>
    </row>
    <row r="2371" ht="15.75" customHeight="1" spans="1:2">
      <c r="A2371" s="3" t="str">
        <f>IFERROR(__xludf.DUMMYFUNCTION("GOOGLETRANSLATE(A2371,""en"",""pt"")"),"Hoje foi meu primeiro gosto de um Gourmet Hot Dog Buldogis e eu tenho que dizer que foi mais do que eu jamais imaginou ser possível.")</f>
        <v>Hoje foi meu primeiro gosto de um Gourmet Hot Dog Buldogis e eu tenho que dizer que foi mais do que eu jamais imaginou ser possível.</v>
      </c>
      <c r="B2371" s="3">
        <v>1</v>
      </c>
    </row>
    <row r="2372" ht="15.75" customHeight="1" spans="1:2">
      <c r="A2372" s="3" t="str">
        <f>IFERROR(__xludf.DUMMYFUNCTION("GOOGLETRANSLATE(A2372,""en"",""pt"")"),"Deixou muito frustrado.")</f>
        <v>Deixou muito frustrado.</v>
      </c>
      <c r="B2372" s="3">
        <v>0</v>
      </c>
    </row>
    <row r="2373" ht="15.75" customHeight="1" spans="1:2">
      <c r="A2373" s="3" t="str">
        <f>IFERROR(__xludf.DUMMYFUNCTION("GOOGLETRANSLATE(A2373,""en"",""pt"")"),"Eu definitivamente vou estar em breve novamente.")</f>
        <v>Eu definitivamente vou estar em breve novamente.</v>
      </c>
      <c r="B2373" s="3">
        <v>1</v>
      </c>
    </row>
    <row r="2374" ht="15.75" customHeight="1" spans="1:2">
      <c r="A2374" s="3" t="str">
        <f>IFERROR(__xludf.DUMMYFUNCTION("GOOGLETRANSLATE(A2374,""en"",""pt"")"),"Comida era muito boa e eu tenho rápido mesquinho completo.")</f>
        <v>Comida era muito boa e eu tenho rápido mesquinho completo.</v>
      </c>
      <c r="B2374" s="3">
        <v>1</v>
      </c>
    </row>
    <row r="2375" ht="15.75" customHeight="1" spans="1:2">
      <c r="A2375" s="3" t="str">
        <f>IFERROR(__xludf.DUMMYFUNCTION("GOOGLETRANSLATE(A2375,""en"",""pt"")"),"O serviço foi fantástico.")</f>
        <v>O serviço foi fantástico.</v>
      </c>
      <c r="B2375" s="3">
        <v>1</v>
      </c>
    </row>
    <row r="2376" ht="15.75" customHeight="1" spans="1:2">
      <c r="A2376" s="3" t="str">
        <f>IFERROR(__xludf.DUMMYFUNCTION("GOOGLETRANSLATE(A2376,""en"",""pt"")"),"Total desperdício de tempo.")</f>
        <v>Total desperdício de tempo.</v>
      </c>
      <c r="B2376" s="3">
        <v>0</v>
      </c>
    </row>
    <row r="2377" ht="15.75" customHeight="1" spans="1:2">
      <c r="A2377" s="3" t="str">
        <f>IFERROR(__xludf.DUMMYFUNCTION("GOOGLETRANSLATE(A2377,""en"",""pt"")"),"Eu não sei que tipo é, mas eles têm o melhor chá gelado.")</f>
        <v>Eu não sei que tipo é, mas eles têm o melhor chá gelado.</v>
      </c>
      <c r="B2377" s="3">
        <v>1</v>
      </c>
    </row>
    <row r="2378" ht="15.75" customHeight="1" spans="1:2">
      <c r="A2378" s="3" t="str">
        <f>IFERROR(__xludf.DUMMYFUNCTION("GOOGLETRANSLATE(A2378,""en"",""pt"")"),"Venha com fome, deixe feliz e recheado!")</f>
        <v>Venha com fome, deixe feliz e recheado!</v>
      </c>
      <c r="B2378" s="3">
        <v>1</v>
      </c>
    </row>
    <row r="2379" ht="15.75" customHeight="1" spans="1:2">
      <c r="A2379" s="3" t="str">
        <f>IFERROR(__xludf.DUMMYFUNCTION("GOOGLETRANSLATE(A2379,""en"",""pt"")"),"Para o serviço, eu dar-lhes nenhuma estrela.")</f>
        <v>Para o serviço, eu dar-lhes nenhuma estrela.</v>
      </c>
      <c r="B2379" s="3">
        <v>0</v>
      </c>
    </row>
    <row r="2380" ht="15.75" customHeight="1" spans="1:2">
      <c r="A2380" s="3" t="str">
        <f>IFERROR(__xludf.DUMMYFUNCTION("GOOGLETRANSLATE(A2380,""en"",""pt"")"),"Posso assegurar-lhe que você não vai se decepcionar.")</f>
        <v>Posso assegurar-lhe que você não vai se decepcionar.</v>
      </c>
      <c r="B2380" s="3">
        <v>1</v>
      </c>
    </row>
    <row r="2381" ht="15.75" customHeight="1" spans="1:2">
      <c r="A2381" s="3" t="str">
        <f>IFERROR(__xludf.DUMMYFUNCTION("GOOGLETRANSLATE(A2381,""en"",""pt"")"),"Eu posso ter um pouco de mau serviço, mas a comida é uma porcaria.")</f>
        <v>Eu posso ter um pouco de mau serviço, mas a comida é uma porcaria.</v>
      </c>
      <c r="B2381" s="3">
        <v>0</v>
      </c>
    </row>
    <row r="2382" ht="15.75" customHeight="1" spans="1:2">
      <c r="A2382" s="3" t="str">
        <f>IFERROR(__xludf.DUMMYFUNCTION("GOOGLETRANSLATE(A2382,""en"",""pt"")"),"Desistiu de tentar comer qualquer da crosta (dentes ainda doloridos).")</f>
        <v>Desistiu de tentar comer qualquer da crosta (dentes ainda doloridos).</v>
      </c>
      <c r="B2382" s="3">
        <v>0</v>
      </c>
    </row>
    <row r="2383" ht="15.75" customHeight="1" spans="1:2">
      <c r="A2383" s="3" t="str">
        <f>IFERROR(__xludf.DUMMYFUNCTION("GOOGLETRANSLATE(A2383,""en"",""pt"")"),"Mas agora eu estava completamente enojada.")</f>
        <v>Mas agora eu estava completamente enojada.</v>
      </c>
      <c r="B2383" s="3">
        <v>0</v>
      </c>
    </row>
    <row r="2384" ht="15.75" customHeight="1" spans="1:2">
      <c r="A2384" s="3" t="str">
        <f>IFERROR(__xludf.DUMMYFUNCTION("GOOGLETRANSLATE(A2384,""en"",""pt"")"),"Eu realmente gostei comer aqui.")</f>
        <v>Eu realmente gostei comer aqui.</v>
      </c>
      <c r="B2384" s="3">
        <v>1</v>
      </c>
    </row>
    <row r="2385" ht="15.75" customHeight="1" spans="1:2">
      <c r="A2385" s="3" t="str">
        <f>IFERROR(__xludf.DUMMYFUNCTION("GOOGLETRANSLATE(A2385,""en"",""pt"")"),"Primeira vez indo mas eu acho que vai se tornar rapidamente um regular.")</f>
        <v>Primeira vez indo mas eu acho que vai se tornar rapidamente um regular.</v>
      </c>
      <c r="B2385" s="3">
        <v>1</v>
      </c>
    </row>
    <row r="2386" ht="15.75" customHeight="1" spans="1:2">
      <c r="A2386" s="3" t="str">
        <f>IFERROR(__xludf.DUMMYFUNCTION("GOOGLETRANSLATE(A2386,""en"",""pt"")"),"O nosso servidor foi muito bom, e mesmo que ele parecia um pouco sobrecarregado com todas as nossas necessidades, ele permaneceu profissional e amigável até o fim.")</f>
        <v>O nosso servidor foi muito bom, e mesmo que ele parecia um pouco sobrecarregado com todas as nossas necessidades, ele permaneceu profissional e amigável até o fim.</v>
      </c>
      <c r="B2386" s="3">
        <v>1</v>
      </c>
    </row>
    <row r="2387" ht="15.75" customHeight="1" spans="1:2">
      <c r="A2387" s="3" t="str">
        <f>IFERROR(__xludf.DUMMYFUNCTION("GOOGLETRANSLATE(A2387,""en"",""pt"")"),"Pelo que os meus companheiros de jantar me ... disse tudo era muito fresco, com boa textura e sabor.")</f>
        <v>Pelo que os meus companheiros de jantar me ... disse tudo era muito fresco, com boa textura e sabor.</v>
      </c>
      <c r="B2387" s="3">
        <v>1</v>
      </c>
    </row>
    <row r="2388" ht="15.75" customHeight="1" spans="1:2">
      <c r="A2388" s="3" t="str">
        <f>IFERROR(__xludf.DUMMYFUNCTION("GOOGLETRANSLATE(A2388,""en"",""pt"")"),"No chão, ao lado de nossa mesa foi uma grande pilha, manchada, foi-pisou-in-and-rastreado em todos os lugares de cocô pássaro verde.")</f>
        <v>No chão, ao lado de nossa mesa foi uma grande pilha, manchada, foi-pisou-in-and-rastreado em todos os lugares de cocô pássaro verde.</v>
      </c>
      <c r="B2388" s="3">
        <v>0</v>
      </c>
    </row>
    <row r="2389" ht="15.75" customHeight="1" spans="1:2">
      <c r="A2389" s="3" t="str">
        <f>IFERROR(__xludf.DUMMYFUNCTION("GOOGLETRANSLATE(A2389,""en"",""pt"")"),"Além disso, você não pode mesmo encontrar horas de funcionamento no site!")</f>
        <v>Além disso, você não pode mesmo encontrar horas de funcionamento no site!</v>
      </c>
      <c r="B2389" s="3">
        <v>0</v>
      </c>
    </row>
    <row r="2390" ht="15.75" customHeight="1" spans="1:2">
      <c r="A2390" s="3" t="str">
        <f>IFERROR(__xludf.DUMMYFUNCTION("GOOGLETRANSLATE(A2390,""en"",""pt"")"),"Nós tentamos como este lugar, mas depois de 10 + vezes eu acho que nós estamos feito com eles.")</f>
        <v>Nós tentamos como este lugar, mas depois de 10 + vezes eu acho que nós estamos feito com eles.</v>
      </c>
      <c r="B2390" s="3">
        <v>0</v>
      </c>
    </row>
    <row r="2391" ht="15.75" customHeight="1" spans="1:2">
      <c r="A2391" s="3" t="str">
        <f>IFERROR(__xludf.DUMMYFUNCTION("GOOGLETRANSLATE(A2391,""en"",""pt"")"),"Que erro foi esse!")</f>
        <v>Que erro foi esse!</v>
      </c>
      <c r="B2391" s="3">
        <v>0</v>
      </c>
    </row>
    <row r="2392" ht="15.75" customHeight="1" spans="1:2">
      <c r="A2392" s="3" t="str">
        <f>IFERROR(__xludf.DUMMYFUNCTION("GOOGLETRANSLATE(A2392,""en"",""pt"")"),"Não há queixas!")</f>
        <v>Não há queixas!</v>
      </c>
      <c r="B2392" s="3">
        <v>1</v>
      </c>
    </row>
    <row r="2393" ht="15.75" customHeight="1" spans="1:2">
      <c r="A2393" s="3" t="str">
        <f>IFERROR(__xludf.DUMMYFUNCTION("GOOGLETRANSLATE(A2393,""en"",""pt"")"),"Este é algum seriamente boa pizza e eu sou um especialista / connisseur sobre o tema.")</f>
        <v>Este é algum seriamente boa pizza e eu sou um especialista / connisseur sobre o tema.</v>
      </c>
      <c r="B2393" s="3">
        <v>1</v>
      </c>
    </row>
    <row r="2394" ht="15.75" customHeight="1" spans="1:2">
      <c r="A2394" s="3" t="str">
        <f>IFERROR(__xludf.DUMMYFUNCTION("GOOGLETRANSLATE(A2394,""en"",""pt"")"),"Garçom era um idiota.")</f>
        <v>Garçom era um idiota.</v>
      </c>
      <c r="B2394" s="3">
        <v>0</v>
      </c>
    </row>
    <row r="2395" ht="15.75" customHeight="1" spans="1:2">
      <c r="A2395" s="3" t="str">
        <f>IFERROR(__xludf.DUMMYFUNCTION("GOOGLETRANSLATE(A2395,""en"",""pt"")"),"Strike 2, que quer ser apressado.")</f>
        <v>Strike 2, que quer ser apressado.</v>
      </c>
      <c r="B2395" s="3">
        <v>0</v>
      </c>
    </row>
    <row r="2396" ht="15.75" customHeight="1" spans="1:2">
      <c r="A2396" s="3" t="str">
        <f>IFERROR(__xludf.DUMMYFUNCTION("GOOGLETRANSLATE(A2396,""en"",""pt"")"),"Estes são os mais agradáveis ​​proprietários do restaurante que eu já encontrei.")</f>
        <v>Estes são os mais agradáveis ​​proprietários do restaurante que eu já encontrei.</v>
      </c>
      <c r="B2396" s="3">
        <v>1</v>
      </c>
    </row>
    <row r="2397" ht="15.75" customHeight="1" spans="1:2">
      <c r="A2397" s="3" t="str">
        <f>IFERROR(__xludf.DUMMYFUNCTION("GOOGLETRANSLATE(A2397,""en"",""pt"")"),"Eu nunca voltar.")</f>
        <v>Eu nunca voltar.</v>
      </c>
      <c r="B2397" s="3">
        <v>0</v>
      </c>
    </row>
    <row r="2398" ht="15.75" customHeight="1" spans="1:2">
      <c r="A2398" s="3" t="str">
        <f>IFERROR(__xludf.DUMMYFUNCTION("GOOGLETRANSLATE(A2398,""en"",""pt"")"),"Nós amamos os biscoitos !!!")</f>
        <v>Nós amamos os biscoitos !!!</v>
      </c>
      <c r="B2398" s="3">
        <v>1</v>
      </c>
    </row>
    <row r="2399" ht="15.75" customHeight="1" spans="1:2">
      <c r="A2399" s="3" t="s">
        <v>11</v>
      </c>
      <c r="B2399" s="3">
        <v>1</v>
      </c>
    </row>
    <row r="2400" ht="15.75" customHeight="1" spans="1:2">
      <c r="A2400" s="3" t="str">
        <f>IFERROR(__xludf.DUMMYFUNCTION("GOOGLETRANSLATE(A2400,""en"",""pt"")"),"Pedi um aperitivo e levou 40 minutos e, em seguida, a pizza mais 10 minutos.")</f>
        <v>Pedi um aperitivo e levou 40 minutos e, em seguida, a pizza mais 10 minutos.</v>
      </c>
      <c r="B2400" s="3">
        <v>0</v>
      </c>
    </row>
    <row r="2401" ht="15.75" customHeight="1" spans="1:2">
      <c r="A2401" s="3" t="str">
        <f>IFERROR(__xludf.DUMMYFUNCTION("GOOGLETRANSLATE(A2401,""en"",""pt"")"),"Então absolutley fantástica.")</f>
        <v>Então absolutley fantástica.</v>
      </c>
      <c r="B2401" s="3">
        <v>1</v>
      </c>
    </row>
    <row r="2402" ht="15.75" customHeight="1" spans="1:2">
      <c r="A2402" s="3" t="str">
        <f>IFERROR(__xludf.DUMMYFUNCTION("GOOGLETRANSLATE(A2402,""en"",""pt"")"),"Foi um enorme pedaço 1.5lb estranha de vaca que foi de 3 / 4ths cartilagem e gordura.")</f>
        <v>Foi um enorme pedaço 1.5lb estranha de vaca que foi de 3 / 4ths cartilagem e gordura.</v>
      </c>
      <c r="B2402" s="3">
        <v>0</v>
      </c>
    </row>
    <row r="2403" ht="15.75" customHeight="1" spans="1:2">
      <c r="A2403" s="3" t="str">
        <f>IFERROR(__xludf.DUMMYFUNCTION("GOOGLETRANSLATE(A2403,""en"",""pt"")"),"Definitivamente vou voltar aqui novamente.")</f>
        <v>Definitivamente vou voltar aqui novamente.</v>
      </c>
      <c r="B2403" s="3">
        <v>1</v>
      </c>
    </row>
    <row r="2404" ht="15.75" customHeight="1" spans="1:2">
      <c r="A2404" s="3" t="str">
        <f>IFERROR(__xludf.DUMMYFUNCTION("GOOGLETRANSLATE(A2404,""en"",""pt"")"),"I como Steiners porque está escuro e parece que um bar.")</f>
        <v>I como Steiners porque está escuro e parece que um bar.</v>
      </c>
      <c r="B2404" s="3">
        <v>1</v>
      </c>
    </row>
    <row r="2405" ht="15.75" customHeight="1" spans="1:2">
      <c r="A2405" s="3" t="str">
        <f>IFERROR(__xludf.DUMMYFUNCTION("GOOGLETRANSLATE(A2405,""en"",""pt"")"),"Wow muito picante mas delicioso.")</f>
        <v>Wow muito picante mas delicioso.</v>
      </c>
      <c r="B2405" s="3">
        <v>1</v>
      </c>
    </row>
    <row r="2406" ht="15.75" customHeight="1" spans="1:2">
      <c r="A2406" s="3" t="str">
        <f>IFERROR(__xludf.DUMMYFUNCTION("GOOGLETRANSLATE(A2406,""en"",""pt"")"),"Se você não está familiarizado, check it out.")</f>
        <v>Se você não está familiarizado, check it out.</v>
      </c>
      <c r="B2406" s="3">
        <v>1</v>
      </c>
    </row>
    <row r="2407" ht="15.75" customHeight="1" spans="1:2">
      <c r="A2407" s="3" t="str">
        <f>IFERROR(__xludf.DUMMYFUNCTION("GOOGLETRANSLATE(A2407,""en"",""pt"")"),"Vou levar os meus dólares do jantar negócio em outro lugar.")</f>
        <v>Vou levar os meus dólares do jantar negócio em outro lugar.</v>
      </c>
      <c r="B2407" s="3">
        <v>0</v>
      </c>
    </row>
    <row r="2408" ht="15.75" customHeight="1" spans="1:2">
      <c r="A2408" s="3" t="str">
        <f>IFERROR(__xludf.DUMMYFUNCTION("GOOGLETRANSLATE(A2408,""en"",""pt"")"),"Eu adoraria voltar.")</f>
        <v>Eu adoraria voltar.</v>
      </c>
      <c r="B2408" s="3">
        <v>1</v>
      </c>
    </row>
    <row r="2409" ht="15.75" customHeight="1" spans="1:2">
      <c r="A2409" s="3" t="str">
        <f>IFERROR(__xludf.DUMMYFUNCTION("GOOGLETRANSLATE(A2409,""en"",""pt"")"),"De qualquer forma, este restaurante FS tem um maravilhoso café da manhã / almoço.")</f>
        <v>De qualquer forma, este restaurante FS tem um maravilhoso café da manhã / almoço.</v>
      </c>
      <c r="B2409" s="3">
        <v>1</v>
      </c>
    </row>
    <row r="2410" ht="15.75" customHeight="1" spans="1:2">
      <c r="A2410" s="3" t="str">
        <f>IFERROR(__xludf.DUMMYFUNCTION("GOOGLETRANSLATE(A2410,""en"",""pt"")"),"Nada especial.")</f>
        <v>Nada especial.</v>
      </c>
      <c r="B2410" s="3">
        <v>0</v>
      </c>
    </row>
    <row r="2411" ht="15.75" customHeight="1" spans="1:2">
      <c r="A2411" s="3" t="str">
        <f>IFERROR(__xludf.DUMMYFUNCTION("GOOGLETRANSLATE(A2411,""en"",""pt"")"),"Cada dia da semana eles têm um negócio diferente e é tudo tão delicioso!")</f>
        <v>Cada dia da semana eles têm um negócio diferente e é tudo tão delicioso!</v>
      </c>
      <c r="B2411" s="3">
        <v>1</v>
      </c>
    </row>
    <row r="2412" ht="15.75" customHeight="1" spans="1:2">
      <c r="A2412" s="3" t="str">
        <f>IFERROR(__xludf.DUMMYFUNCTION("GOOGLETRANSLATE(A2412,""en"",""pt"")"),"para não mencionar a combinação de peras, amêndoas e bacon é um grande vencedor!")</f>
        <v>para não mencionar a combinação de peras, amêndoas e bacon é um grande vencedor!</v>
      </c>
      <c r="B2412" s="3">
        <v>1</v>
      </c>
    </row>
    <row r="2413" ht="15.75" customHeight="1" spans="1:2">
      <c r="A2413" s="3" t="str">
        <f>IFERROR(__xludf.DUMMYFUNCTION("GOOGLETRANSLATE(A2413,""en"",""pt"")"),"não vai estar de volta.")</f>
        <v>não vai estar de volta.</v>
      </c>
      <c r="B2413" s="3">
        <v>0</v>
      </c>
    </row>
    <row r="2414" ht="15.75" customHeight="1" spans="1:2">
      <c r="A2414" s="3" t="str">
        <f>IFERROR(__xludf.DUMMYFUNCTION("GOOGLETRANSLATE(A2414,""en"",""pt"")"),"Molho era sem gosto.")</f>
        <v>Molho era sem gosto.</v>
      </c>
      <c r="B2414" s="3">
        <v>0</v>
      </c>
    </row>
    <row r="2415" ht="15.75" customHeight="1" spans="1:2">
      <c r="A2415" s="3" t="str">
        <f>IFERROR(__xludf.DUMMYFUNCTION("GOOGLETRANSLATE(A2415,""en"",""pt"")"),"A comida é deliciosa e apenas o suficiente picante, por isso não deixe de pedir mais picante se você preferem que seja assim.")</f>
        <v>A comida é deliciosa e apenas o suficiente picante, por isso não deixe de pedir mais picante se você preferem que seja assim.</v>
      </c>
      <c r="B2415" s="3">
        <v>1</v>
      </c>
    </row>
    <row r="2416" ht="15.75" customHeight="1" spans="1:2">
      <c r="A2416" s="3" t="str">
        <f>IFERROR(__xludf.DUMMYFUNCTION("GOOGLETRANSLATE(A2416,""en"",""pt"")"),"Minha steak foi feito na perfeitamente e teve grande sabor de algaroba.")</f>
        <v>Minha steak foi feito na perfeitamente e teve grande sabor de algaroba.</v>
      </c>
      <c r="B2416" s="3">
        <v>1</v>
      </c>
    </row>
    <row r="2417" ht="15.75" customHeight="1" spans="1:2">
      <c r="A2417" s="3" t="str">
        <f>IFERROR(__xludf.DUMMYFUNCTION("GOOGLETRANSLATE(A2417,""en"",""pt"")"),"Eu não acho que vou voltar em breve.")</f>
        <v>Eu não acho que vou voltar em breve.</v>
      </c>
      <c r="B2417" s="3">
        <v>0</v>
      </c>
    </row>
    <row r="2418" ht="15.75" customHeight="1" spans="1:2">
      <c r="A2418" s="3" t="str">
        <f>IFERROR(__xludf.DUMMYFUNCTION("GOOGLETRANSLATE(A2418,""en"",""pt"")"),"Comida era tão gooodd.")</f>
        <v>Comida era tão gooodd.</v>
      </c>
      <c r="B2418" s="3">
        <v>1</v>
      </c>
    </row>
    <row r="2419" ht="15.75" customHeight="1" spans="1:2">
      <c r="A2419" s="3" t="str">
        <f>IFERROR(__xludf.DUMMYFUNCTION("GOOGLETRANSLATE(A2419,""en"",""pt"")"),"Estou longe de ser um conhecedor de sushi, mas eu posso definitivamente dizer a diferença entre boa comida e comida ruim e este foi certamente comida ruim.")</f>
        <v>Estou longe de ser um conhecedor de sushi, mas eu posso definitivamente dizer a diferença entre boa comida e comida ruim e este foi certamente comida ruim.</v>
      </c>
      <c r="B2419" s="3">
        <v>0</v>
      </c>
    </row>
    <row r="2420" ht="15.75" customHeight="1" spans="1:2">
      <c r="A2420" s="3" t="str">
        <f>IFERROR(__xludf.DUMMYFUNCTION("GOOGLETRANSLATE(A2420,""en"",""pt"")"),"Eu estava tão insultado.")</f>
        <v>Eu estava tão insultado.</v>
      </c>
      <c r="B2420" s="3">
        <v>0</v>
      </c>
    </row>
    <row r="2421" ht="15.75" customHeight="1" spans="1:2">
      <c r="A2421" s="3" t="str">
        <f>IFERROR(__xludf.DUMMYFUNCTION("GOOGLETRANSLATE(A2421,""en"",""pt"")"),"Os últimos 3 vezes eu tivemos um almoço aqui tem sido ruim.")</f>
        <v>Os últimos 3 vezes eu tivemos um almoço aqui tem sido ruim.</v>
      </c>
      <c r="B2421" s="3">
        <v>0</v>
      </c>
    </row>
    <row r="2422" ht="15.75" customHeight="1" spans="1:2">
      <c r="A2422" s="3" t="str">
        <f>IFERROR(__xludf.DUMMYFUNCTION("GOOGLETRANSLATE(A2422,""en"",""pt"")"),"As asas de frango continha o mais seco carne de frango que já comi.")</f>
        <v>As asas de frango continha o mais seco carne de frango que já comi.</v>
      </c>
      <c r="B2422" s="3">
        <v>0</v>
      </c>
    </row>
    <row r="2423" ht="15.75" customHeight="1" spans="1:2">
      <c r="A2423" s="3" t="str">
        <f>IFERROR(__xludf.DUMMYFUNCTION("GOOGLETRANSLATE(A2423,""en"",""pt"")"),"A comida era muito boa e eu apreciei cada bocado, um local descontraído agradável para casais pequenos grupos familiares etc.")</f>
        <v>A comida era muito boa e eu apreciei cada bocado, um local descontraído agradável para casais pequenos grupos familiares etc.</v>
      </c>
      <c r="B2423" s="3">
        <v>1</v>
      </c>
    </row>
    <row r="2424" ht="15.75" customHeight="1" spans="1:2">
      <c r="A2424" s="3" t="str">
        <f>IFERROR(__xludf.DUMMYFUNCTION("GOOGLETRANSLATE(A2424,""en"",""pt"")"),"Nargile - Eu acho que você é grande.")</f>
        <v>Nargile - Eu acho que você é grande.</v>
      </c>
      <c r="B2424" s="3">
        <v>1</v>
      </c>
    </row>
    <row r="2425" ht="15.75" customHeight="1" spans="1:2">
      <c r="A2425" s="3" t="str">
        <f>IFERROR(__xludf.DUMMYFUNCTION("GOOGLETRANSLATE(A2425,""en"",""pt"")"),"Melhores pequenos do tater, no sudoeste.")</f>
        <v>Melhores pequenos do tater, no sudoeste.</v>
      </c>
      <c r="B2425" s="3">
        <v>1</v>
      </c>
    </row>
    <row r="2426" ht="15.75" customHeight="1" spans="1:2">
      <c r="A2426" s="3" t="str">
        <f>IFERROR(__xludf.DUMMYFUNCTION("GOOGLETRANSLATE(A2426,""en"",""pt"")"),"Nós amamos o lugar.")</f>
        <v>Nós amamos o lugar.</v>
      </c>
      <c r="B2426" s="3">
        <v>1</v>
      </c>
    </row>
    <row r="2427" ht="15.75" customHeight="1" spans="1:2">
      <c r="A2427" s="3" t="str">
        <f>IFERROR(__xludf.DUMMYFUNCTION("GOOGLETRANSLATE(A2427,""en"",""pt"")"),"Definitivamente não vale US $ 3 que eu pago.")</f>
        <v>Definitivamente não vale US $ 3 que eu pago.</v>
      </c>
      <c r="B2427" s="3">
        <v>0</v>
      </c>
    </row>
    <row r="2428" ht="15.75" customHeight="1" spans="1:2">
      <c r="A2428" s="3" t="str">
        <f>IFERROR(__xludf.DUMMYFUNCTION("GOOGLETRANSLATE(A2428,""en"",""pt"")"),"O gelado de baunilha era cremosa e suave ao mesmo tempo a massa profiterole (choux) era suficiente fresco.")</f>
        <v>O gelado de baunilha era cremosa e suave ao mesmo tempo a massa profiterole (choux) era suficiente fresco.</v>
      </c>
      <c r="B2428" s="3">
        <v>1</v>
      </c>
    </row>
    <row r="2429" ht="15.75" customHeight="1" spans="1:2">
      <c r="A2429" s="3" t="str">
        <f>IFERROR(__xludf.DUMMYFUNCTION("GOOGLETRANSLATE(A2429,""en"",""pt"")"),"Im no AZ todo o tempo e agora tem o meu novo local.")</f>
        <v>Im no AZ todo o tempo e agora tem o meu novo local.</v>
      </c>
      <c r="B2429" s="3">
        <v>1</v>
      </c>
    </row>
    <row r="2430" ht="15.75" customHeight="1" spans="1:2">
      <c r="A2430" s="3" t="str">
        <f>IFERROR(__xludf.DUMMYFUNCTION("GOOGLETRANSLATE(A2430,""en"",""pt"")"),"O gerente foi o pior.")</f>
        <v>O gerente foi o pior.</v>
      </c>
      <c r="B2430" s="3">
        <v>0</v>
      </c>
    </row>
    <row r="2431" ht="15.75" customHeight="1" spans="1:2">
      <c r="A2431" s="3" t="str">
        <f>IFERROR(__xludf.DUMMYFUNCTION("GOOGLETRANSLATE(A2431,""en"",""pt"")"),"O interior é realmente muito bom e muito limpo.")</f>
        <v>O interior é realmente muito bom e muito limpo.</v>
      </c>
      <c r="B2431" s="3">
        <v>1</v>
      </c>
    </row>
    <row r="2432" ht="15.75" customHeight="1" spans="1:2">
      <c r="A2432" s="3" t="str">
        <f>IFERROR(__xludf.DUMMYFUNCTION("GOOGLETRANSLATE(A2432,""en"",""pt"")"),"A comida era excelente e os preços eram muito razoável.")</f>
        <v>A comida era excelente e os preços eram muito razoável.</v>
      </c>
      <c r="B2432" s="3">
        <v>1</v>
      </c>
    </row>
    <row r="2433" ht="15.75" customHeight="1" spans="1:2">
      <c r="A2433" s="3" t="str">
        <f>IFERROR(__xludf.DUMMYFUNCTION("GOOGLETRANSLATE(A2433,""en"",""pt"")"),"Eu não acho que eu vou estar correndo de volta para a qualquer hora do Carly breve para o alimento.")</f>
        <v>Eu não acho que eu vou estar correndo de volta para a qualquer hora do Carly breve para o alimento.</v>
      </c>
      <c r="B2433" s="3">
        <v>0</v>
      </c>
    </row>
    <row r="2434" ht="15.75" customHeight="1" spans="1:2">
      <c r="A2434" s="3" t="str">
        <f>IFERROR(__xludf.DUMMYFUNCTION("GOOGLETRANSLATE(A2434,""en"",""pt"")"),"Esta é deveu-se ao fato de que ele levou 20 minutos para ser reconhecido, em seguida, mais 35 minutos para chegar a alimentação ... e eles continuaram esquecendo as coisas.")</f>
        <v>Esta é deveu-se ao fato de que ele levou 20 minutos para ser reconhecido, em seguida, mais 35 minutos para chegar a alimentação ... e eles continuaram esquecendo as coisas.</v>
      </c>
      <c r="B2434" s="3">
        <v>0</v>
      </c>
    </row>
    <row r="2435" ht="15.75" customHeight="1" spans="1:2">
      <c r="A2435" s="3" t="str">
        <f>IFERROR(__xludf.DUMMYFUNCTION("GOOGLETRANSLATE(A2435,""en"",""pt"")"),"Amor as margaritas, também!")</f>
        <v>Amor as margaritas, também!</v>
      </c>
      <c r="B2435" s="3">
        <v>1</v>
      </c>
    </row>
    <row r="2436" ht="15.75" customHeight="1" spans="1:2">
      <c r="A2436" s="3" t="str">
        <f>IFERROR(__xludf.DUMMYFUNCTION("GOOGLETRANSLATE(A2436,""en"",""pt"")"),"Esta foi a minha primeira e única Vegas buffet e não decepcionou.")</f>
        <v>Esta foi a minha primeira e única Vegas buffet e não decepcionou.</v>
      </c>
      <c r="B2436" s="3">
        <v>1</v>
      </c>
    </row>
    <row r="2437" ht="15.75" customHeight="1" spans="1:2">
      <c r="A2437" s="3" t="s">
        <v>12</v>
      </c>
      <c r="B2437" s="3">
        <v>1</v>
      </c>
    </row>
    <row r="2438" ht="15.75" customHeight="1" spans="1:2">
      <c r="A2438" s="3" t="str">
        <f>IFERROR(__xludf.DUMMYFUNCTION("GOOGLETRANSLATE(A2438,""en"",""pt"")"),"Um plumas nota é a ventilação podem utilizar alguns modernização.")</f>
        <v>Um plumas nota é a ventilação podem utilizar alguns modernização.</v>
      </c>
      <c r="B2438" s="3">
        <v>0</v>
      </c>
    </row>
    <row r="2439" ht="15.75" customHeight="1" spans="1:2">
      <c r="A2439" s="3" t="str">
        <f>IFERROR(__xludf.DUMMYFUNCTION("GOOGLETRANSLATE(A2439,""en"",""pt"")"),"Ótimo sanduíche de carne de porco.")</f>
        <v>Ótimo sanduíche de carne de porco.</v>
      </c>
      <c r="B2439" s="3">
        <v>1</v>
      </c>
    </row>
    <row r="2440" ht="15.75" customHeight="1" spans="1:2">
      <c r="A2440" s="3" t="str">
        <f>IFERROR(__xludf.DUMMYFUNCTION("GOOGLETRANSLATE(A2440,""en"",""pt"")"),"Não desperdice o seu tempo aqui.")</f>
        <v>Não desperdice o seu tempo aqui.</v>
      </c>
      <c r="B2440" s="3">
        <v>0</v>
      </c>
    </row>
    <row r="2441" ht="15.75" customHeight="1" spans="1:2">
      <c r="A2441" s="3" t="str">
        <f>IFERROR(__xludf.DUMMYFUNCTION("GOOGLETRANSLATE(A2441,""en"",""pt"")"),"total decepção, eu seria muito melhor apenas ir para a Loja de Flores Camelback e Cartel Coffee.")</f>
        <v>total decepção, eu seria muito melhor apenas ir para a Loja de Flores Camelback e Cartel Coffee.</v>
      </c>
      <c r="B2441" s="3">
        <v>0</v>
      </c>
    </row>
    <row r="2442" ht="15.75" customHeight="1" spans="1:2">
      <c r="A2442" s="3" t="str">
        <f>IFERROR(__xludf.DUMMYFUNCTION("GOOGLETRANSLATE(A2442,""en"",""pt"")"),"Em terceiro lugar, o queijo no hambúrguer do meu amigo estava frio.")</f>
        <v>Em terceiro lugar, o queijo no hambúrguer do meu amigo estava frio.</v>
      </c>
      <c r="B2442" s="3">
        <v>0</v>
      </c>
    </row>
    <row r="2443" ht="15.75" customHeight="1" spans="1:2">
      <c r="A2443" s="3" t="str">
        <f>IFERROR(__xludf.DUMMYFUNCTION("GOOGLETRANSLATE(A2443,""en"",""pt"")"),"Nós desfrutar da sua pizza e brunch.")</f>
        <v>Nós desfrutar da sua pizza e brunch.</v>
      </c>
      <c r="B2443" s="3">
        <v>1</v>
      </c>
    </row>
    <row r="2444" ht="15.75" customHeight="1" spans="1:2">
      <c r="A2444" s="3" t="str">
        <f>IFERROR(__xludf.DUMMYFUNCTION("GOOGLETRANSLATE(A2444,""en"",""pt"")"),"O carnes são todos bem aparadas e também perfeitamente preparado na hora.")</f>
        <v>O carnes são todos bem aparadas e também perfeitamente preparado na hora.</v>
      </c>
      <c r="B2444" s="3">
        <v>1</v>
      </c>
    </row>
    <row r="2445" ht="15.75" customHeight="1" spans="1:2">
      <c r="A2445" s="3" t="str">
        <f>IFERROR(__xludf.DUMMYFUNCTION("GOOGLETRANSLATE(A2445,""en"",""pt"")"),"Tivemos um grupo de 70 + quando alegou que só teria 40 e eles trataram-nos muito bem.")</f>
        <v>Tivemos um grupo de 70 + quando alegou que só teria 40 e eles trataram-nos muito bem.</v>
      </c>
      <c r="B2445" s="3">
        <v>1</v>
      </c>
    </row>
    <row r="2446" ht="15.75" customHeight="1" spans="1:2">
      <c r="A2446" s="3" t="str">
        <f>IFERROR(__xludf.DUMMYFUNCTION("GOOGLETRANSLATE(A2446,""en"",""pt"")"),"Eu amei!")</f>
        <v>Eu amei!</v>
      </c>
      <c r="B2446" s="3">
        <v>1</v>
      </c>
    </row>
    <row r="2447" ht="15.75" customHeight="1" spans="1:2">
      <c r="A2447" s="3" t="str">
        <f>IFERROR(__xludf.DUMMYFUNCTION("GOOGLETRANSLATE(A2447,""en"",""pt"")"),"Nós pedimos para a conta à licença sem comer e eles não trazer o que quer.")</f>
        <v>Nós pedimos para a conta à licença sem comer e eles não trazer o que quer.</v>
      </c>
      <c r="B2447" s="3">
        <v>0</v>
      </c>
    </row>
    <row r="2448" ht="15.75" customHeight="1" spans="1:2">
      <c r="A2448" s="3" t="str">
        <f>IFERROR(__xludf.DUMMYFUNCTION("GOOGLETRANSLATE(A2448,""en"",""pt"")"),"Este lugar é uma jóia em Las Vegas, e exatamente o que eu estava esperando encontrar em quase dez anos que vivem aqui.")</f>
        <v>Este lugar é uma jóia em Las Vegas, e exatamente o que eu estava esperando encontrar em quase dez anos que vivem aqui.</v>
      </c>
      <c r="B2448" s="3">
        <v>1</v>
      </c>
    </row>
    <row r="2449" ht="15.75" customHeight="1" spans="1:2">
      <c r="A2449" s="3" t="str">
        <f>IFERROR(__xludf.DUMMYFUNCTION("GOOGLETRANSLATE(A2449,""en"",""pt"")"),"Seafood foi limitada a camarão e caranguejo pernas cozidos, mas as pernas de caranguejo definitivamente não gosto fresco.")</f>
        <v>Seafood foi limitada a camarão e caranguejo pernas cozidos, mas as pernas de caranguejo definitivamente não gosto fresco.</v>
      </c>
      <c r="B2449" s="3">
        <v>0</v>
      </c>
    </row>
    <row r="2450" ht="15.75" customHeight="1" spans="1:2">
      <c r="A2450" s="3" t="str">
        <f>IFERROR(__xludf.DUMMYFUNCTION("GOOGLETRANSLATE(A2450,""en"",""pt"")"),"A selecção de comida não era o melhor.")</f>
        <v>A selecção de comida não era o melhor.</v>
      </c>
      <c r="B2450" s="3">
        <v>0</v>
      </c>
    </row>
    <row r="2451" ht="15.75" customHeight="1" spans="1:2">
      <c r="A2451" s="3" t="str">
        <f>IFERROR(__xludf.DUMMYFUNCTION("GOOGLETRANSLATE(A2451,""en"",""pt"")"),"Delicioso e eu com certeza vai estar de volta!")</f>
        <v>Delicioso e eu com certeza vai estar de volta!</v>
      </c>
      <c r="B2451" s="3">
        <v>1</v>
      </c>
    </row>
    <row r="2452" ht="15.75" customHeight="1" spans="1:2">
      <c r="A2452" s="3" t="str">
        <f>IFERROR(__xludf.DUMMYFUNCTION("GOOGLETRANSLATE(A2452,""en"",""pt"")"),"Este não é um pequeno restaurante familiar, este é um estabelecimento de jantar fino.")</f>
        <v>Este não é um pequeno restaurante familiar, este é um estabelecimento de jantar fino.</v>
      </c>
      <c r="B2452" s="3">
        <v>1</v>
      </c>
    </row>
    <row r="2453" ht="15.75" customHeight="1" spans="1:2">
      <c r="A2453" s="3" t="str">
        <f>IFERROR(__xludf.DUMMYFUNCTION("GOOGLETRANSLATE(A2453,""en"",""pt"")"),"Eles tinham um toro tartare com um cavier que foi extraordinário e eu gostei do wagyu em fatias finas com trufa branca.")</f>
        <v>Eles tinham um toro tartare com um cavier que foi extraordinário e eu gostei do wagyu em fatias finas com trufa branca.</v>
      </c>
      <c r="B2453" s="3">
        <v>1</v>
      </c>
    </row>
    <row r="2454" ht="15.75" customHeight="1" spans="1:2">
      <c r="A2454" s="3" t="str">
        <f>IFERROR(__xludf.DUMMYFUNCTION("GOOGLETRANSLATE(A2454,""en"",""pt"")"),"Eu não acho que eu vou estar de volta para um tempo muito longo.")</f>
        <v>Eu não acho que eu vou estar de volta para um tempo muito longo.</v>
      </c>
      <c r="B2454" s="3">
        <v>0</v>
      </c>
    </row>
    <row r="2455" ht="15.75" customHeight="1" spans="1:2">
      <c r="A2455" s="3" t="str">
        <f>IFERROR(__xludf.DUMMYFUNCTION("GOOGLETRANSLATE(A2455,""en"",""pt"")"),"Foi ligado a um posto de gasolina, e que raramente é um bom sinal.")</f>
        <v>Foi ligado a um posto de gasolina, e que raramente é um bom sinal.</v>
      </c>
      <c r="B2455" s="3">
        <v>0</v>
      </c>
    </row>
    <row r="2456" ht="15.75" customHeight="1" spans="1:2">
      <c r="A2456" s="3" t="str">
        <f>IFERROR(__xludf.DUMMYFUNCTION("GOOGLETRANSLATE(A2456,""en"",""pt"")"),"Como impressionante é isso.")</f>
        <v>Como impressionante é isso.</v>
      </c>
      <c r="B2456" s="3">
        <v>1</v>
      </c>
    </row>
    <row r="2457" ht="15.75" customHeight="1" spans="1:2">
      <c r="A2457" s="3" t="str">
        <f>IFERROR(__xludf.DUMMYFUNCTION("GOOGLETRANSLATE(A2457,""en"",""pt"")"),"I estará de volta muitas vezes em breve.")</f>
        <v>I estará de volta muitas vezes em breve.</v>
      </c>
      <c r="B2457" s="3">
        <v>1</v>
      </c>
    </row>
    <row r="2458" ht="15.75" customHeight="1" spans="1:2">
      <c r="A2458" s="3" t="str">
        <f>IFERROR(__xludf.DUMMYFUNCTION("GOOGLETRANSLATE(A2458,""en"",""pt"")"),"O menu tinha tanta coisa boa sobre ele eu não poderia decidir!")</f>
        <v>O menu tinha tanta coisa boa sobre ele eu não poderia decidir!</v>
      </c>
      <c r="B2458" s="3">
        <v>1</v>
      </c>
    </row>
    <row r="2459" ht="15.75" customHeight="1" spans="1:2">
      <c r="A2459" s="3" t="str">
        <f>IFERROR(__xludf.DUMMYFUNCTION("GOOGLETRANSLATE(A2459,""en"",""pt"")"),"Pior de tudo, ele humilhou seu trabalho mesmo em frente me..Bunch de chamados de nomes horríveis.")</f>
        <v>Pior de tudo, ele humilhou seu trabalho mesmo em frente me..Bunch de chamados de nomes horríveis.</v>
      </c>
      <c r="B2459" s="3">
        <v>0</v>
      </c>
    </row>
    <row r="2460" ht="15.75" customHeight="1" spans="1:2">
      <c r="A2460" s="3" t="str">
        <f>IFERROR(__xludf.DUMMYFUNCTION("GOOGLETRANSLATE(A2460,""en"",""pt"")"),"CONCLUSÃO: Muito enchendo as refeições.")</f>
        <v>CONCLUSÃO: Muito enchendo as refeições.</v>
      </c>
      <c r="B2460" s="3">
        <v>1</v>
      </c>
    </row>
    <row r="2461" ht="15.75" customHeight="1" spans="1:2">
      <c r="A2461" s="3" t="str">
        <f>IFERROR(__xludf.DUMMYFUNCTION("GOOGLETRANSLATE(A2461,""en"",""pt"")"),"Suas especialidades diárias são sempre um sucesso com o meu grupo.")</f>
        <v>Suas especialidades diárias são sempre um sucesso com o meu grupo.</v>
      </c>
      <c r="B2461" s="3">
        <v>1</v>
      </c>
    </row>
    <row r="2462" ht="15.75" customHeight="1" spans="1:2">
      <c r="A2462" s="3" t="str">
        <f>IFERROR(__xludf.DUMMYFUNCTION("GOOGLETRANSLATE(A2462,""en"",""pt"")"),"E então aconteceu uma tragédia.")</f>
        <v>E então aconteceu uma tragédia.</v>
      </c>
      <c r="B2462" s="3">
        <v>0</v>
      </c>
    </row>
    <row r="2463" ht="15.75" customHeight="1" spans="1:2">
      <c r="A2463" s="3" t="str">
        <f>IFERROR(__xludf.DUMMYFUNCTION("GOOGLETRANSLATE(A2463,""en"",""pt"")"),"A panqueca também foi realmente bom e muito grande para isso.")</f>
        <v>A panqueca também foi realmente bom e muito grande para isso.</v>
      </c>
      <c r="B2463" s="3">
        <v>1</v>
      </c>
    </row>
    <row r="2464" ht="15.75" customHeight="1" spans="1:2">
      <c r="A2464" s="3" t="str">
        <f>IFERROR(__xludf.DUMMYFUNCTION("GOOGLETRANSLATE(A2464,""en"",""pt"")"),"Esta foi a minha primeira experiência lagosta, e foi delicioso!")</f>
        <v>Esta foi a minha primeira experiência lagosta, e foi delicioso!</v>
      </c>
      <c r="B2464" s="3">
        <v>1</v>
      </c>
    </row>
    <row r="2465" ht="15.75" customHeight="1" spans="1:2">
      <c r="A2465" s="3" t="str">
        <f>IFERROR(__xludf.DUMMYFUNCTION("GOOGLETRANSLATE(A2465,""en"",""pt"")"),"Seu monstro frango frito filé e ovos é o meu favorito de todos os tempos.")</f>
        <v>Seu monstro frango frito filé e ovos é o meu favorito de todos os tempos.</v>
      </c>
      <c r="B2465" s="3">
        <v>1</v>
      </c>
    </row>
    <row r="2466" ht="15.75" customHeight="1" spans="1:2">
      <c r="A2466" s="3" t="str">
        <f>IFERROR(__xludf.DUMMYFUNCTION("GOOGLETRANSLATE(A2466,""en"",""pt"")"),"Garçonete foi doce e engraçado.")</f>
        <v>Garçonete foi doce e engraçado.</v>
      </c>
      <c r="B2466" s="3">
        <v>1</v>
      </c>
    </row>
    <row r="2467" ht="15.75" customHeight="1" spans="1:2">
      <c r="A2467" s="3" t="str">
        <f>IFERROR(__xludf.DUMMYFUNCTION("GOOGLETRANSLATE(A2467,""en"",""pt"")"),"Eu também tive que provar panquecas de abóbora multi-grãos da minha mãe com manteiga de pecan e foram incrível, macio e delicioso!")</f>
        <v>Eu também tive que provar panquecas de abóbora multi-grãos da minha mãe com manteiga de pecan e foram incrível, macio e delicioso!</v>
      </c>
      <c r="B2467" s="3">
        <v>1</v>
      </c>
    </row>
    <row r="2468" ht="15.75" customHeight="1" spans="1:2">
      <c r="A2468" s="3" t="str">
        <f>IFERROR(__xludf.DUMMYFUNCTION("GOOGLETRANSLATE(A2468,""en"",""pt"")"),"Eu prefiro comer comida de avião, a sério.")</f>
        <v>Eu prefiro comer comida de avião, a sério.</v>
      </c>
      <c r="B2468" s="3">
        <v>0</v>
      </c>
    </row>
    <row r="2469" ht="15.75" customHeight="1" spans="1:2">
      <c r="A2469" s="3" t="str">
        <f>IFERROR(__xludf.DUMMYFUNCTION("GOOGLETRANSLATE(A2469,""en"",""pt"")"),"Não podem dizer suficiente coisas boas sobre esse lugar.")</f>
        <v>Não podem dizer suficiente coisas boas sobre esse lugar.</v>
      </c>
      <c r="B2469" s="3">
        <v>1</v>
      </c>
    </row>
    <row r="2470" ht="15.75" customHeight="1" spans="1:2">
      <c r="A2470" s="3" t="str">
        <f>IFERROR(__xludf.DUMMYFUNCTION("GOOGLETRANSLATE(A2470,""en"",""pt"")"),"O ambiente foi incrível.")</f>
        <v>O ambiente foi incrível.</v>
      </c>
      <c r="B2470" s="3">
        <v>1</v>
      </c>
    </row>
    <row r="2471" ht="15.75" customHeight="1" spans="1:2">
      <c r="A2471" s="3" t="str">
        <f>IFERROR(__xludf.DUMMYFUNCTION("GOOGLETRANSLATE(A2471,""en"",""pt"")"),"A garçonete e gerente são tão simpáticos.")</f>
        <v>A garçonete e gerente são tão simpáticos.</v>
      </c>
      <c r="B2471" s="3">
        <v>1</v>
      </c>
    </row>
    <row r="2472" ht="15.75" customHeight="1" spans="1:2">
      <c r="A2472" s="3" t="str">
        <f>IFERROR(__xludf.DUMMYFUNCTION("GOOGLETRANSLATE(A2472,""en"",""pt"")"),"Eu não recomendaria este lugar.")</f>
        <v>Eu não recomendaria este lugar.</v>
      </c>
      <c r="B2472" s="3">
        <v>0</v>
      </c>
    </row>
    <row r="2473" ht="15.75" customHeight="1" spans="1:2">
      <c r="A2473" s="3" t="str">
        <f>IFERROR(__xludf.DUMMYFUNCTION("GOOGLETRANSLATE(A2473,""en"",""pt"")"),"No geral eu não estava muito impressionado com Noca.")</f>
        <v>No geral eu não estava muito impressionado com Noca.</v>
      </c>
      <c r="B2473" s="3">
        <v>0</v>
      </c>
    </row>
    <row r="2474" ht="15.75" customHeight="1" spans="1:2">
      <c r="A2474" s="3" t="str">
        <f>IFERROR(__xludf.DUMMYFUNCTION("GOOGLETRANSLATE(A2474,""en"",""pt"")"),"Meu giroscópio foi basicamente alface somente.")</f>
        <v>Meu giroscópio foi basicamente alface somente.</v>
      </c>
      <c r="B2474" s="3">
        <v>0</v>
      </c>
    </row>
    <row r="2475" ht="15.75" customHeight="1" spans="1:2">
      <c r="A2475" s="3" t="str">
        <f>IFERROR(__xludf.DUMMYFUNCTION("GOOGLETRANSLATE(A2475,""en"",""pt"")"),"Serviço terrível!")</f>
        <v>Serviço terrível!</v>
      </c>
      <c r="B2475" s="3">
        <v>0</v>
      </c>
    </row>
    <row r="2476" ht="15.75" customHeight="1" spans="1:2">
      <c r="A2476" s="3" t="str">
        <f>IFERROR(__xludf.DUMMYFUNCTION("GOOGLETRANSLATE(A2476,""en"",""pt"")"),"Completamente decepcionado!")</f>
        <v>Completamente decepcionado!</v>
      </c>
      <c r="B2476" s="3">
        <v>0</v>
      </c>
    </row>
    <row r="2477" ht="15.75" customHeight="1" spans="1:2">
      <c r="A2477" s="3" t="str">
        <f>IFERROR(__xludf.DUMMYFUNCTION("GOOGLETRANSLATE(A2477,""en"",""pt"")"),"Eu não cada muito massas, mas eu amo os caseiros / mão feita massas e pizzas finas aqui.")</f>
        <v>Eu não cada muito massas, mas eu amo os caseiros / mão feita massas e pizzas finas aqui.</v>
      </c>
      <c r="B2477" s="3">
        <v>1</v>
      </c>
    </row>
    <row r="2478" ht="15.75" customHeight="1" spans="1:2">
      <c r="A2478" s="3" t="str">
        <f>IFERROR(__xludf.DUMMYFUNCTION("GOOGLETRANSLATE(A2478,""en"",""pt"")"),"Experimentá-lo, você será feliz que você fez.")</f>
        <v>Experimentá-lo, você será feliz que você fez.</v>
      </c>
      <c r="B2478" s="3">
        <v>1</v>
      </c>
    </row>
    <row r="2479" ht="15.75" customHeight="1" spans="1:2">
      <c r="A2479" s="3" t="str">
        <f>IFERROR(__xludf.DUMMYFUNCTION("GOOGLETRANSLATE(A2479,""en"",""pt"")"),"De longe o melhor cheesecurds que já tivemos!")</f>
        <v>De longe o melhor cheesecurds que já tivemos!</v>
      </c>
      <c r="B2479" s="3">
        <v>1</v>
      </c>
    </row>
    <row r="2480" ht="15.75" customHeight="1" spans="1:2">
      <c r="A2480" s="3" t="str">
        <f>IFERROR(__xludf.DUMMYFUNCTION("GOOGLETRANSLATE(A2480,""en"",""pt"")"),"A preços razoáveis ​​também!")</f>
        <v>A preços razoáveis ​​também!</v>
      </c>
      <c r="B2480" s="3">
        <v>1</v>
      </c>
    </row>
    <row r="2481" ht="15.75" customHeight="1" spans="1:2">
      <c r="A2481" s="3" t="str">
        <f>IFERROR(__xludf.DUMMYFUNCTION("GOOGLETRANSLATE(A2481,""en"",""pt"")"),"Tudo estava perfeito na noite em que estávamos.")</f>
        <v>Tudo estava perfeito na noite em que estávamos.</v>
      </c>
      <c r="B2481" s="3">
        <v>1</v>
      </c>
    </row>
    <row r="2482" ht="15.75" customHeight="1" spans="1:2">
      <c r="A2482" s="3" t="str">
        <f>IFERROR(__xludf.DUMMYFUNCTION("GOOGLETRANSLATE(A2482,""en"",""pt"")"),"A comida é muito bom para a sua típica comida de bar.")</f>
        <v>A comida é muito bom para a sua típica comida de bar.</v>
      </c>
      <c r="B2482" s="3">
        <v>1</v>
      </c>
    </row>
    <row r="2483" ht="15.75" customHeight="1" spans="1:2">
      <c r="A2483" s="3" t="str">
        <f>IFERROR(__xludf.DUMMYFUNCTION("GOOGLETRANSLATE(A2483,""en"",""pt"")"),"era uma unidade para chegar lá.")</f>
        <v>era uma unidade para chegar lá.</v>
      </c>
      <c r="B2483" s="3">
        <v>0</v>
      </c>
    </row>
    <row r="2484" ht="15.75" customHeight="1" spans="1:2">
      <c r="A2484" s="3" t="str">
        <f>IFERROR(__xludf.DUMMYFUNCTION("GOOGLETRANSLATE(A2484,""en"",""pt"")"),"À primeira vista, é um belo café padaria - ambiente agradável, limpo, funcionários simpáticos.")</f>
        <v>À primeira vista, é um belo café padaria - ambiente agradável, limpo, funcionários simpáticos.</v>
      </c>
      <c r="B2484" s="3">
        <v>1</v>
      </c>
    </row>
    <row r="2485" ht="15.75" customHeight="1" spans="1:2">
      <c r="A2485" s="3" t="str">
        <f>IFERROR(__xludf.DUMMYFUNCTION("GOOGLETRANSLATE(A2485,""en"",""pt"")"),"De qualquer forma, eu não acho que eu vou voltar para lá.")</f>
        <v>De qualquer forma, eu não acho que eu vou voltar para lá.</v>
      </c>
      <c r="B2485" s="3">
        <v>0</v>
      </c>
    </row>
    <row r="2486" ht="15.75" customHeight="1" spans="1:2">
      <c r="A2486" s="3" t="str">
        <f>IFERROR(__xludf.DUMMYFUNCTION("GOOGLETRANSLATE(A2486,""en"",""pt"")"),"Aponte seu dedo para qualquer item no menu, encomendá-lo e você não vai se decepcionar.")</f>
        <v>Aponte seu dedo para qualquer item no menu, encomendá-lo e você não vai se decepcionar.</v>
      </c>
      <c r="B2486" s="3">
        <v>1</v>
      </c>
    </row>
    <row r="2487" ht="15.75" customHeight="1" spans="1:2">
      <c r="A2487" s="3" t="str">
        <f>IFERROR(__xludf.DUMMYFUNCTION("GOOGLETRANSLATE(A2487,""en"",""pt"")"),"Oh isso é uma coisa de beleza, este restaurante.")</f>
        <v>Oh isso é uma coisa de beleza, este restaurante.</v>
      </c>
      <c r="B2487" s="3">
        <v>1</v>
      </c>
    </row>
    <row r="2488" ht="15.75" customHeight="1" spans="1:2">
      <c r="A2488" s="3" t="str">
        <f>IFERROR(__xludf.DUMMYFUNCTION("GOOGLETRANSLATE(A2488,""en"",""pt"")"),"Se você não ter ido aqui Vá agora!")</f>
        <v>Se você não ter ido aqui Vá agora!</v>
      </c>
      <c r="B2488" s="3">
        <v>1</v>
      </c>
    </row>
    <row r="2489" ht="15.75" customHeight="1" spans="1:2">
      <c r="A2489" s="3" t="str">
        <f>IFERROR(__xludf.DUMMYFUNCTION("GOOGLETRANSLATE(A2489,""en"",""pt"")"),"A gorduroso, refeição saudável.")</f>
        <v>A gorduroso, refeição saudável.</v>
      </c>
      <c r="B2489" s="3">
        <v>0</v>
      </c>
    </row>
    <row r="2490" ht="15.75" customHeight="1" spans="1:2">
      <c r="A2490" s="3" t="str">
        <f>IFERROR(__xludf.DUMMYFUNCTION("GOOGLETRANSLATE(A2490,""en"",""pt"")"),"primeira vez lá e só poderia ser a última.")</f>
        <v>primeira vez lá e só poderia ser a última.</v>
      </c>
      <c r="B2490" s="3">
        <v>0</v>
      </c>
    </row>
    <row r="2491" ht="15.75" customHeight="1" spans="1:2">
      <c r="A2491" s="3" t="str">
        <f>IFERROR(__xludf.DUMMYFUNCTION("GOOGLETRANSLATE(A2491,""en"",""pt"")"),"Esses hambúrgueres foram surpreendentes.")</f>
        <v>Esses hambúrgueres foram surpreendentes.</v>
      </c>
      <c r="B2491" s="3">
        <v>1</v>
      </c>
    </row>
    <row r="2492" ht="15.75" customHeight="1" spans="1:2">
      <c r="A2492" s="3" t="str">
        <f>IFERROR(__xludf.DUMMYFUNCTION("GOOGLETRANSLATE(A2492,""en"",""pt"")"),"Da mesma forma, o homem de entrega não disse uma palavra de desculpa quando a nossa comida era 45 minutos atrasado.")</f>
        <v>Da mesma forma, o homem de entrega não disse uma palavra de desculpa quando a nossa comida era 45 minutos atrasado.</v>
      </c>
      <c r="B2492" s="3">
        <v>0</v>
      </c>
    </row>
    <row r="2493" ht="15.75" customHeight="1" spans="1:2">
      <c r="A2493" s="3" t="str">
        <f>IFERROR(__xludf.DUMMYFUNCTION("GOOGLETRANSLATE(A2493,""en"",""pt"")"),"E era muito caro.")</f>
        <v>E era muito caro.</v>
      </c>
      <c r="B2493" s="3">
        <v>0</v>
      </c>
    </row>
    <row r="2494" ht="15.75" customHeight="1" spans="1:2">
      <c r="A2494" s="3" t="str">
        <f>IFERROR(__xludf.DUMMYFUNCTION("GOOGLETRANSLATE(A2494,""en"",""pt"")"),"Certifique-se de sobremesa fim, mesmo que você precisa para embalar-lo-go - o tiramisu e cannoli são ambos para morrer.")</f>
        <v>Certifique-se de sobremesa fim, mesmo que você precisa para embalar-lo-go - o tiramisu e cannoli são ambos para morrer.</v>
      </c>
      <c r="B2494" s="3">
        <v>1</v>
      </c>
    </row>
    <row r="2495" ht="15.75" customHeight="1" spans="1:2">
      <c r="A2495" s="3" t="str">
        <f>IFERROR(__xludf.DUMMYFUNCTION("GOOGLETRANSLATE(A2495,""en"",""pt"")"),"Esta foi a minha primeira vez e eu não posso esperar até a próxima.")</f>
        <v>Esta foi a minha primeira vez e eu não posso esperar até a próxima.</v>
      </c>
      <c r="B2495" s="3">
        <v>1</v>
      </c>
    </row>
    <row r="2496" ht="15.75" customHeight="1" spans="1:2">
      <c r="A2496" s="3" t="str">
        <f>IFERROR(__xludf.DUMMYFUNCTION("GOOGLETRANSLATE(A2496,""en"",""pt"")"),"O barman também foi bom.")</f>
        <v>O barman também foi bom.</v>
      </c>
      <c r="B2496" s="3">
        <v>1</v>
      </c>
    </row>
    <row r="2497" ht="15.75" customHeight="1" spans="1:2">
      <c r="A2497" s="3" t="str">
        <f>IFERROR(__xludf.DUMMYFUNCTION("GOOGLETRANSLATE(A2497,""en"",""pt"")"),"Tudo era bom e saboroso!")</f>
        <v>Tudo era bom e saboroso!</v>
      </c>
      <c r="B2497" s="3">
        <v>1</v>
      </c>
    </row>
    <row r="2498" ht="15.75" customHeight="1" spans="1:2">
      <c r="A2498" s="3" t="str">
        <f>IFERROR(__xludf.DUMMYFUNCTION("GOOGLETRANSLATE(A2498,""en"",""pt"")"),"Este lugar é dois polegares para cima .... caminho para cima.")</f>
        <v>Este lugar é dois polegares para cima .... caminho para cima.</v>
      </c>
      <c r="B2498" s="3">
        <v>1</v>
      </c>
    </row>
    <row r="2499" ht="15.75" customHeight="1" spans="1:2">
      <c r="A2499" s="3" t="str">
        <f>IFERROR(__xludf.DUMMYFUNCTION("GOOGLETRANSLATE(A2499,""en"",""pt"")"),"O melhor lugar em Las Vegas para pequeno-almoço (basta verificar a Sat ou Sol")</f>
        <v>O melhor lugar em Las Vegas para pequeno-almoço (basta verificar a Sat ou Sol</v>
      </c>
      <c r="B2499" s="3">
        <v>1</v>
      </c>
    </row>
    <row r="2500" ht="15.75" customHeight="1" spans="1:2">
      <c r="A2500" s="3" t="str">
        <f>IFERROR(__xludf.DUMMYFUNCTION("GOOGLETRANSLATE(A2500,""en"",""pt"")"),"Se você adora autêntica comida mexicana e quer um monte de interessantes, ainda deliciosas carnes para escolher, você precisa para tentar este lugar.")</f>
        <v>Se você adora autêntica comida mexicana e quer um monte de interessantes, ainda deliciosas carnes para escolher, você precisa para tentar este lugar.</v>
      </c>
      <c r="B2500" s="3">
        <v>1</v>
      </c>
    </row>
    <row r="2501" ht="15.75" customHeight="1" spans="1:2">
      <c r="A2501" s="3" t="str">
        <f>IFERROR(__xludf.DUMMYFUNCTION("GOOGLETRANSLATE(A2501,""en"",""pt"")"),"Terrível gestão.")</f>
        <v>Terrível gestão.</v>
      </c>
      <c r="B2501" s="3">
        <v>0</v>
      </c>
    </row>
    <row r="2502" ht="15.75" customHeight="1" spans="1:2">
      <c r="A2502" s="3" t="str">
        <f>IFERROR(__xludf.DUMMYFUNCTION("GOOGLETRANSLATE(A2502,""en"",""pt"")"),"Um excelente novo restaurante por um experiente francês.")</f>
        <v>Um excelente novo restaurante por um experiente francês.</v>
      </c>
      <c r="B2502" s="3">
        <v>1</v>
      </c>
    </row>
    <row r="2503" ht="15.75" customHeight="1" spans="1:2">
      <c r="A2503" s="3" t="str">
        <f>IFERROR(__xludf.DUMMYFUNCTION("GOOGLETRANSLATE(A2503,""en"",""pt"")"),"Se houvesse zero estrelas que gostaria de dar zero estrelas.")</f>
        <v>Se houvesse zero estrelas que gostaria de dar zero estrelas.</v>
      </c>
      <c r="B2503" s="3">
        <v>0</v>
      </c>
    </row>
    <row r="2504" ht="15.75" customHeight="1" spans="1:2">
      <c r="A2504" s="3" t="str">
        <f>IFERROR(__xludf.DUMMYFUNCTION("GOOGLETRANSLATE(A2504,""en"",""pt"")"),"Grande bife, grandes lados, grande vinho, sobremesas incríveis.")</f>
        <v>Grande bife, grandes lados, grande vinho, sobremesas incríveis.</v>
      </c>
      <c r="B2504" s="3">
        <v>1</v>
      </c>
    </row>
    <row r="2505" ht="15.75" customHeight="1" spans="1:2">
      <c r="A2505" s="3" t="str">
        <f>IFERROR(__xludf.DUMMYFUNCTION("GOOGLETRANSLATE(A2505,""en"",""pt"")"),"Pior martini sempre!")</f>
        <v>Pior martini sempre!</v>
      </c>
      <c r="B2505" s="3">
        <v>0</v>
      </c>
    </row>
    <row r="2506" ht="15.75" customHeight="1" spans="1:2">
      <c r="A2506" s="3" t="str">
        <f>IFERROR(__xludf.DUMMYFUNCTION("GOOGLETRANSLATE(A2506,""en"",""pt"")"),"O bife e do camarão são na minha opinião os melhores entradas no GC.")</f>
        <v>O bife e do camarão são na minha opinião os melhores entradas no GC.</v>
      </c>
      <c r="B2506" s="3">
        <v>1</v>
      </c>
    </row>
    <row r="2507" ht="15.75" customHeight="1" spans="1:2">
      <c r="A2507" s="3" t="str">
        <f>IFERROR(__xludf.DUMMYFUNCTION("GOOGLETRANSLATE(A2507,""en"",""pt"")"),"Eu tive hoje a oportunidade de provar suas pizzas incríveis!")</f>
        <v>Eu tive hoje a oportunidade de provar suas pizzas incríveis!</v>
      </c>
      <c r="B2507" s="3">
        <v>1</v>
      </c>
    </row>
    <row r="2508" ht="15.75" customHeight="1" spans="1:2">
      <c r="A2508" s="3" t="str">
        <f>IFERROR(__xludf.DUMMYFUNCTION("GOOGLETRANSLATE(A2508,""en"",""pt"")"),"Esperamos por trinta minutos para se sentar (embora houvesse 8 mesas vazias e que foram as únicas pessoas esperando).")</f>
        <v>Esperamos por trinta minutos para se sentar (embora houvesse 8 mesas vazias e que foram as únicas pessoas esperando).</v>
      </c>
      <c r="B2508" s="3">
        <v>0</v>
      </c>
    </row>
    <row r="2509" ht="15.75" customHeight="1" spans="1:2">
      <c r="A2509" s="3" t="str">
        <f>IFERROR(__xludf.DUMMYFUNCTION("GOOGLETRANSLATE(A2509,""en"",""pt"")"),"O carpaccio yellowtail foi derreter na sua doce boca.")</f>
        <v>O carpaccio yellowtail foi derreter na sua doce boca.</v>
      </c>
      <c r="B2509" s="3">
        <v>1</v>
      </c>
    </row>
    <row r="2510" ht="15.75" customHeight="1" spans="1:2">
      <c r="A2510" s="3" t="str">
        <f>IFERROR(__xludf.DUMMYFUNCTION("GOOGLETRANSLATE(A2510,""en"",""pt"")"),"Eu não vou tentar voltar lá mesmo que ele está vazio.")</f>
        <v>Eu não vou tentar voltar lá mesmo que ele está vazio.</v>
      </c>
      <c r="B2510" s="3">
        <v>0</v>
      </c>
    </row>
    <row r="2511" ht="15.75" customHeight="1" spans="1:2">
      <c r="A2511" s="3" t="s">
        <v>13</v>
      </c>
      <c r="B2511" s="3">
        <v>0</v>
      </c>
    </row>
    <row r="2512" ht="15.75" customHeight="1" spans="1:2">
      <c r="A2512" s="3" t="str">
        <f>IFERROR(__xludf.DUMMYFUNCTION("GOOGLETRANSLATE(A2512,""en"",""pt"")"),"Apenas picante suficiente .. Perfeito realmente.")</f>
        <v>Apenas picante suficiente .. Perfeito realmente.</v>
      </c>
      <c r="B2512" s="3">
        <v>1</v>
      </c>
    </row>
    <row r="2513" ht="15.75" customHeight="1" spans="1:2">
      <c r="A2513" s="3" t="str">
        <f>IFERROR(__xludf.DUMMYFUNCTION("GOOGLETRANSLATE(A2513,""en"",""pt"")"),"A noite passada foi a minha segunda vez jantar aqui e eu estava tão feliz que eu decidi voltar!")</f>
        <v>A noite passada foi a minha segunda vez jantar aqui e eu estava tão feliz que eu decidi voltar!</v>
      </c>
      <c r="B2513" s="3">
        <v>1</v>
      </c>
    </row>
    <row r="2514" ht="15.75" customHeight="1" spans="1:2">
      <c r="A2514" s="3" t="str">
        <f>IFERROR(__xludf.DUMMYFUNCTION("GOOGLETRANSLATE(A2514,""en"",""pt"")"),"nem mesmo um ""Olá, vamos estar bem com você.""")</f>
        <v>nem mesmo um "Olá, vamos estar bem com você."</v>
      </c>
      <c r="B2514" s="3">
        <v>0</v>
      </c>
    </row>
    <row r="2515" ht="15.75" customHeight="1" spans="1:2">
      <c r="A2515" s="3" t="str">
        <f>IFERROR(__xludf.DUMMYFUNCTION("GOOGLETRANSLATE(A2515,""en"",""pt"")"),"As sobremesas eram um pouco estranho.")</f>
        <v>As sobremesas eram um pouco estranho.</v>
      </c>
      <c r="B2515" s="3">
        <v>0</v>
      </c>
    </row>
    <row r="2516" ht="15.75" customHeight="1" spans="1:2">
      <c r="A2516" s="3" t="str">
        <f>IFERROR(__xludf.DUMMYFUNCTION("GOOGLETRANSLATE(A2516,""en"",""pt"")"),"O meu namorado e eu vim aqui pela primeira vez em uma recente viagem a Las Vegas e não poderia ter sido mais satisfeitos com a qualidade dos alimentos e serviço.")</f>
        <v>O meu namorado e eu vim aqui pela primeira vez em uma recente viagem a Las Vegas e não poderia ter sido mais satisfeitos com a qualidade dos alimentos e serviço.</v>
      </c>
      <c r="B2516" s="3">
        <v>1</v>
      </c>
    </row>
    <row r="2517" ht="15.75" customHeight="1" spans="1:2">
      <c r="A2517" s="3" t="str">
        <f>IFERROR(__xludf.DUMMYFUNCTION("GOOGLETRANSLATE(A2517,""en"",""pt"")"),"Eu realmente recomendo este lugar, você pode ir mal com este lugar rosquinha!")</f>
        <v>Eu realmente recomendo este lugar, você pode ir mal com este lugar rosquinha!</v>
      </c>
      <c r="B2517" s="3">
        <v>1</v>
      </c>
    </row>
    <row r="2518" ht="15.75" customHeight="1" spans="1:2">
      <c r="A2518" s="3" t="str">
        <f>IFERROR(__xludf.DUMMYFUNCTION("GOOGLETRANSLATE(A2518,""en"",""pt"")"),"Ambiente agradável.")</f>
        <v>Ambiente agradável.</v>
      </c>
      <c r="B2518" s="3">
        <v>1</v>
      </c>
    </row>
    <row r="2519" ht="15.75" customHeight="1" spans="1:2">
      <c r="A2519" s="3" t="str">
        <f>IFERROR(__xludf.DUMMYFUNCTION("GOOGLETRANSLATE(A2519,""en"",""pt"")"),"Eu recomendaria salvando para isso!")</f>
        <v>Eu recomendaria salvando para isso!</v>
      </c>
      <c r="B2519" s="3">
        <v>1</v>
      </c>
    </row>
    <row r="2520" ht="15.75" customHeight="1" spans="1:2">
      <c r="A2520" s="3" t="str">
        <f>IFERROR(__xludf.DUMMYFUNCTION("GOOGLETRANSLATE(A2520,""en"",""pt"")"),"Eu acho que talvez nós fomos em uma noite mas foi vergonhoso.")</f>
        <v>Eu acho que talvez nós fomos em uma noite mas foi vergonhoso.</v>
      </c>
      <c r="B2520" s="3">
        <v>0</v>
      </c>
    </row>
    <row r="2521" ht="15.75" customHeight="1" spans="1:2">
      <c r="A2521" s="3" t="str">
        <f>IFERROR(__xludf.DUMMYFUNCTION("GOOGLETRANSLATE(A2521,""en"",""pt"")"),"No entanto, a minha experiência recente neste local em particular não foi tão bom.")</f>
        <v>No entanto, a minha experiência recente neste local em particular não foi tão bom.</v>
      </c>
      <c r="B2521" s="3">
        <v>0</v>
      </c>
    </row>
    <row r="2522" ht="15.75" customHeight="1" spans="1:2">
      <c r="A2522" s="3" t="str">
        <f>IFERROR(__xludf.DUMMYFUNCTION("GOOGLETRANSLATE(A2522,""en"",""pt"")"),"Eu sei que isto não é como os outros restaurantes em tudo, algo está muito fora aqui!")</f>
        <v>Eu sei que isto não é como os outros restaurantes em tudo, algo está muito fora aqui!</v>
      </c>
      <c r="B2522" s="3">
        <v>0</v>
      </c>
    </row>
    <row r="2523" ht="15.75" customHeight="1" spans="1:2">
      <c r="A2523" s="3" t="str">
        <f>IFERROR(__xludf.DUMMYFUNCTION("GOOGLETRANSLATE(A2523,""en"",""pt"")"),"Evitar este estabelecimento!")</f>
        <v>Evitar este estabelecimento!</v>
      </c>
      <c r="B2523" s="3">
        <v>0</v>
      </c>
    </row>
    <row r="2524" ht="15.75" customHeight="1" spans="1:2">
      <c r="A2524" s="3" t="s">
        <v>14</v>
      </c>
      <c r="B2524" s="3">
        <v>0</v>
      </c>
    </row>
    <row r="2525" ht="15.75" customHeight="1" spans="1:2">
      <c r="A2525" s="3" t="str">
        <f>IFERROR(__xludf.DUMMYFUNCTION("GOOGLETRANSLATE(A2525,""en"",""pt"")"),"Todos os pratos de tapas foram delicioso!")</f>
        <v>Todos os pratos de tapas foram delicioso!</v>
      </c>
      <c r="B2525" s="3">
        <v>1</v>
      </c>
    </row>
    <row r="2526" ht="15.75" customHeight="1" spans="1:2">
      <c r="A2526" s="3" t="str">
        <f>IFERROR(__xludf.DUMMYFUNCTION("GOOGLETRANSLATE(A2526,""en"",""pt"")"),"I * coração * este lugar.")</f>
        <v>I * coração * este lugar.</v>
      </c>
      <c r="B2526" s="3">
        <v>1</v>
      </c>
    </row>
    <row r="2527" ht="15.75" customHeight="1" spans="1:2">
      <c r="A2527" s="3" t="str">
        <f>IFERROR(__xludf.DUMMYFUNCTION("GOOGLETRANSLATE(A2527,""en"",""pt"")"),"Minha salada teve uma vinegrette branda nos verdes do bebê e palmito.")</f>
        <v>Minha salada teve uma vinegrette branda nos verdes do bebê e palmito.</v>
      </c>
      <c r="B2527" s="3">
        <v>0</v>
      </c>
    </row>
    <row r="2528" ht="15.75" customHeight="1" spans="1:2">
      <c r="A2528" s="3" t="str">
        <f>IFERROR(__xludf.DUMMYFUNCTION("GOOGLETRANSLATE(A2528,""en"",""pt"")"),"Após dois Senti nojento.")</f>
        <v>Após dois Senti nojento.</v>
      </c>
      <c r="B2528" s="3">
        <v>0</v>
      </c>
    </row>
    <row r="2529" ht="15.75" customHeight="1" spans="1:2">
      <c r="A2529" s="3" t="str">
        <f>IFERROR(__xludf.DUMMYFUNCTION("GOOGLETRANSLATE(A2529,""en"",""pt"")"),"Um bom tempo!")</f>
        <v>Um bom tempo!</v>
      </c>
      <c r="B2529" s="3">
        <v>1</v>
      </c>
    </row>
    <row r="2530" ht="15.75" customHeight="1" spans="1:2">
      <c r="A2530" s="3" t="str">
        <f>IFERROR(__xludf.DUMMYFUNCTION("GOOGLETRANSLATE(A2530,""en"",""pt"")"),"Eu acredito que este lugar é uma ótima parada para aqueles com uma enorme barriga e desejo ardente de sushi.")</f>
        <v>Eu acredito que este lugar é uma ótima parada para aqueles com uma enorme barriga e desejo ardente de sushi.</v>
      </c>
      <c r="B2530" s="3">
        <v>1</v>
      </c>
    </row>
    <row r="2531" ht="15.75" customHeight="1" spans="1:2">
      <c r="A2531" s="3" t="str">
        <f>IFERROR(__xludf.DUMMYFUNCTION("GOOGLETRANSLATE(A2531,""en"",""pt"")"),"Porções generosas e excelente sabor.")</f>
        <v>Porções generosas e excelente sabor.</v>
      </c>
      <c r="B2531" s="3">
        <v>1</v>
      </c>
    </row>
    <row r="2532" ht="15.75" customHeight="1" spans="1:2">
      <c r="A2532" s="3" t="str">
        <f>IFERROR(__xludf.DUMMYFUNCTION("GOOGLETRANSLATE(A2532,""en"",""pt"")"),"Eu nunca vou voltar a este lugar e nunca vai recomendado este lugar para ninguém!")</f>
        <v>Eu nunca vou voltar a este lugar e nunca vai recomendado este lugar para ninguém!</v>
      </c>
      <c r="B2532" s="3">
        <v>0</v>
      </c>
    </row>
    <row r="2533" ht="15.75" customHeight="1" spans="1:2">
      <c r="A2533" s="3" t="str">
        <f>IFERROR(__xludf.DUMMYFUNCTION("GOOGLETRANSLATE(A2533,""en"",""pt"")"),"Os servidores ia e voltava várias vezes, nem mesmo tanto como um ""Você está sendo ajudado?""")</f>
        <v>Os servidores ia e voltava várias vezes, nem mesmo tanto como um "Você está sendo ajudado?"</v>
      </c>
      <c r="B2533" s="3">
        <v>0</v>
      </c>
    </row>
    <row r="2534" ht="15.75" customHeight="1" spans="1:2">
      <c r="A2534" s="3" t="str">
        <f>IFERROR(__xludf.DUMMYFUNCTION("GOOGLETRANSLATE(A2534,""en"",""pt"")"),"Alimentos foi delicioso!")</f>
        <v>Alimentos foi delicioso!</v>
      </c>
      <c r="B2534" s="3">
        <v>1</v>
      </c>
    </row>
    <row r="2535" ht="15.75" customHeight="1" spans="1:2">
      <c r="A2535" s="3" t="str">
        <f>IFERROR(__xludf.DUMMYFUNCTION("GOOGLETRANSLATE(A2535,""en"",""pt"")"),"UMA HORA ... a sério?")</f>
        <v>UMA HORA ... a sério?</v>
      </c>
      <c r="B2535" s="3">
        <v>0</v>
      </c>
    </row>
    <row r="2536" ht="15.75" customHeight="1" spans="1:2">
      <c r="A2536" s="3" t="str">
        <f>IFERROR(__xludf.DUMMYFUNCTION("GOOGLETRANSLATE(A2536,""en"",""pt"")"),"Eu considero este roubo.")</f>
        <v>Eu considero este roubo.</v>
      </c>
      <c r="B2536" s="3">
        <v>0</v>
      </c>
    </row>
    <row r="2537" ht="15.75" customHeight="1" spans="1:2">
      <c r="A2537" s="3" t="str">
        <f>IFERROR(__xludf.DUMMYFUNCTION("GOOGLETRANSLATE(A2537,""en"",""pt"")"),"Eew ... Este local precisa de uma revisão completa.")</f>
        <v>Eew ... Este local precisa de uma revisão completa.</v>
      </c>
      <c r="B2537" s="3">
        <v>0</v>
      </c>
    </row>
    <row r="2538" ht="15.75" customHeight="1" spans="1:2">
      <c r="A2538" s="3" t="str">
        <f>IFERROR(__xludf.DUMMYFUNCTION("GOOGLETRANSLATE(A2538,""en"",""pt"")"),"Nós recentemente testemunhou sua má qualidade da gestão em relação a outros hóspedes, bem.")</f>
        <v>Nós recentemente testemunhou sua má qualidade da gestão em relação a outros hóspedes, bem.</v>
      </c>
      <c r="B2538" s="3">
        <v>0</v>
      </c>
    </row>
    <row r="2539" ht="15.75" customHeight="1" spans="1:2">
      <c r="A2539" s="3" t="str">
        <f>IFERROR(__xludf.DUMMYFUNCTION("GOOGLETRANSLATE(A2539,""en"",""pt"")"),"Esperou e esperou e esperou.")</f>
        <v>Esperou e esperou e esperou.</v>
      </c>
      <c r="B2539" s="3">
        <v>0</v>
      </c>
    </row>
    <row r="2540" ht="15.75" customHeight="1" spans="1:2">
      <c r="A2540" s="3" t="str">
        <f>IFERROR(__xludf.DUMMYFUNCTION("GOOGLETRANSLATE(A2540,""en"",""pt"")"),"Ele também voltou para verificar a nós regularmente, excelente serviço.")</f>
        <v>Ele também voltou para verificar a nós regularmente, excelente serviço.</v>
      </c>
      <c r="B2540" s="3">
        <v>1</v>
      </c>
    </row>
    <row r="2541" ht="15.75" customHeight="1" spans="1:2">
      <c r="A2541" s="3" t="str">
        <f>IFERROR(__xludf.DUMMYFUNCTION("GOOGLETRANSLATE(A2541,""en"",""pt"")"),"O nosso servidor foi super agradável e verificado nos muitas vezes.")</f>
        <v>O nosso servidor foi super agradável e verificado nos muitas vezes.</v>
      </c>
      <c r="B2541" s="3">
        <v>1</v>
      </c>
    </row>
    <row r="2542" ht="15.75" customHeight="1" spans="1:2">
      <c r="A2542" s="3" t="str">
        <f>IFERROR(__xludf.DUMMYFUNCTION("GOOGLETRANSLATE(A2542,""en"",""pt"")"),"A pizza Experimentado antigo super-borracha, em não um bom caminho.")</f>
        <v>A pizza Experimentado antigo super-borracha, em não um bom caminho.</v>
      </c>
      <c r="B2542" s="3">
        <v>0</v>
      </c>
    </row>
    <row r="2543" ht="15.75" customHeight="1" spans="1:2">
      <c r="A2543" s="3" t="str">
        <f>IFERROR(__xludf.DUMMYFUNCTION("GOOGLETRANSLATE(A2543,""en"",""pt"")"),"Girei em dar-lhes uma tentativa, mas ficou profundamente desapontado.")</f>
        <v>Girei em dar-lhes uma tentativa, mas ficou profundamente desapontado.</v>
      </c>
      <c r="B2543" s="3">
        <v>0</v>
      </c>
    </row>
    <row r="2544" ht="15.75" customHeight="1" spans="1:2">
      <c r="A2544" s="3" t="str">
        <f>IFERROR(__xludf.DUMMYFUNCTION("GOOGLETRANSLATE(A2544,""en"",""pt"")"),"Serviço foi boa ea empresa foi melhor!")</f>
        <v>Serviço foi boa ea empresa foi melhor!</v>
      </c>
      <c r="B2544" s="3">
        <v>1</v>
      </c>
    </row>
    <row r="2545" ht="15.75" customHeight="1" spans="1:2">
      <c r="A2545" s="3" t="str">
        <f>IFERROR(__xludf.DUMMYFUNCTION("GOOGLETRANSLATE(A2545,""en"",""pt"")"),"Os funcionários também são muito simpáticos e eficientes.")</f>
        <v>Os funcionários também são muito simpáticos e eficientes.</v>
      </c>
      <c r="B2545" s="3">
        <v>1</v>
      </c>
    </row>
    <row r="2546" ht="15.75" customHeight="1" spans="1:2">
      <c r="A2546" s="3" t="str">
        <f>IFERROR(__xludf.DUMMYFUNCTION("GOOGLETRANSLATE(A2546,""en"",""pt"")"),"Como para o serviço: Eu sou um fã, porque é rápido e você está sendo servido por alguns povos agradáveis.")</f>
        <v>Como para o serviço: Eu sou um fã, porque é rápido e você está sendo servido por alguns povos agradáveis.</v>
      </c>
      <c r="B2546" s="3">
        <v>1</v>
      </c>
    </row>
    <row r="2547" ht="15.75" customHeight="1" spans="1:2">
      <c r="A2547" s="3" t="str">
        <f>IFERROR(__xludf.DUMMYFUNCTION("GOOGLETRANSLATE(A2547,""en"",""pt"")"),"Boy foi que otário seco !!.")</f>
        <v>Boy foi que otário seco !!.</v>
      </c>
      <c r="B2547" s="3">
        <v>0</v>
      </c>
    </row>
    <row r="2548" ht="15.75" customHeight="1" spans="1:2">
      <c r="A2548" s="3" t="str">
        <f>IFERROR(__xludf.DUMMYFUNCTION("GOOGLETRANSLATE(A2548,""en"",""pt"")"),"Superestimado.")</f>
        <v>Superestimado.</v>
      </c>
      <c r="B2548" s="3">
        <v>0</v>
      </c>
    </row>
    <row r="2549" ht="15.75" customHeight="1" spans="1:2">
      <c r="A2549" s="3" t="str">
        <f>IFERROR(__xludf.DUMMYFUNCTION("GOOGLETRANSLATE(A2549,""en"",""pt"")"),"Se você olhar para a autêntica comida tailandesa, vá para outros locais onde.")</f>
        <v>Se você olhar para a autêntica comida tailandesa, vá para outros locais onde.</v>
      </c>
      <c r="B2549" s="3">
        <v>0</v>
      </c>
    </row>
    <row r="2550" ht="15.75" customHeight="1" spans="1:2">
      <c r="A2550" s="3" t="str">
        <f>IFERROR(__xludf.DUMMYFUNCTION("GOOGLETRANSLATE(A2550,""en"",""pt"")"),"Suas carnes são 100% recomendado!")</f>
        <v>Suas carnes são 100% recomendado!</v>
      </c>
      <c r="B2550" s="3">
        <v>1</v>
      </c>
    </row>
    <row r="2551" ht="15.75" customHeight="1" spans="1:2">
      <c r="A2551" s="3" t="str">
        <f>IFERROR(__xludf.DUMMYFUNCTION("GOOGLETRANSLATE(A2551,""en"",""pt"")"),"Depois que eu puxei o meu carro eu esperei por mais 15 minutos antes de ser reconhecido.")</f>
        <v>Depois que eu puxei o meu carro eu esperei por mais 15 minutos antes de ser reconhecido.</v>
      </c>
      <c r="B2551" s="3">
        <v>0</v>
      </c>
    </row>
    <row r="2552" ht="15.75" customHeight="1" spans="1:2">
      <c r="A2552" s="3" t="str">
        <f>IFERROR(__xludf.DUMMYFUNCTION("GOOGLETRANSLATE(A2552,""en"",""pt"")"),"Óptima comida e excelente serviço em um ambiente limpo e amigável.")</f>
        <v>Óptima comida e excelente serviço em um ambiente limpo e amigável.</v>
      </c>
      <c r="B2552" s="3">
        <v>1</v>
      </c>
    </row>
    <row r="2553" ht="15.75" customHeight="1" spans="1:2">
      <c r="A2553" s="3" t="str">
        <f>IFERROR(__xludf.DUMMYFUNCTION("GOOGLETRANSLATE(A2553,""en"",""pt"")"),"Ao todo, posso garantir-vos que eu vou estar de volta.")</f>
        <v>Ao todo, posso garantir-vos que eu vou estar de volta.</v>
      </c>
      <c r="B2553" s="3">
        <v>1</v>
      </c>
    </row>
    <row r="2554" ht="15.75" customHeight="1" spans="1:2">
      <c r="A2554" s="3" t="str">
        <f>IFERROR(__xludf.DUMMYFUNCTION("GOOGLETRANSLATE(A2554,""en"",""pt"")"),"Eu odeio essas coisas, tanto quanto azeitonas pretas de qualidade barato.")</f>
        <v>Eu odeio essas coisas, tanto quanto azeitonas pretas de qualidade barato.</v>
      </c>
      <c r="B2554" s="3">
        <v>0</v>
      </c>
    </row>
    <row r="2555" ht="15.75" customHeight="1" spans="1:2">
      <c r="A2555" s="3" t="str">
        <f>IFERROR(__xludf.DUMMYFUNCTION("GOOGLETRANSLATE(A2555,""en"",""pt"")"),"Meu café da manhã foi perpared grande, com uma bela apresentação de 3 fatias gigantes de brinde, ligeiramente polvilhado com açúcar em pó.")</f>
        <v>Meu café da manhã foi perpared grande, com uma bela apresentação de 3 fatias gigantes de brinde, ligeiramente polvilhado com açúcar em pó.</v>
      </c>
      <c r="B2555" s="3">
        <v>1</v>
      </c>
    </row>
    <row r="2556" ht="15.75" customHeight="1" spans="1:2">
      <c r="A2556" s="3" t="str">
        <f>IFERROR(__xludf.DUMMYFUNCTION("GOOGLETRANSLATE(A2556,""en"",""pt"")"),"As crianças área de jogo é desagradável!")</f>
        <v>As crianças área de jogo é desagradável!</v>
      </c>
      <c r="B2556" s="3">
        <v>0</v>
      </c>
    </row>
    <row r="2557" ht="15.75" customHeight="1" spans="1:2">
      <c r="A2557" s="3" t="str">
        <f>IFERROR(__xludf.DUMMYFUNCTION("GOOGLETRANSLATE(A2557,""en"",""pt"")"),"Ótimo lugar fo tirar ou comer em.")</f>
        <v>Ótimo lugar fo tirar ou comer em.</v>
      </c>
      <c r="B2557" s="3">
        <v>1</v>
      </c>
    </row>
    <row r="2558" ht="15.75" customHeight="1" spans="1:2">
      <c r="A2558" s="3" t="str">
        <f>IFERROR(__xludf.DUMMYFUNCTION("GOOGLETRANSLATE(A2558,""en"",""pt"")"),"A garçonete foi amigável e feliz para acomodar para opções vegan / vegetariano.")</f>
        <v>A garçonete foi amigável e feliz para acomodar para opções vegan / vegetariano.</v>
      </c>
      <c r="B2558" s="3">
        <v>1</v>
      </c>
    </row>
    <row r="2559" ht="15.75" customHeight="1" spans="1:2">
      <c r="A2559" s="3" t="str">
        <f>IFERROR(__xludf.DUMMYFUNCTION("GOOGLETRANSLATE(A2559,""en"",""pt"")"),"OMG eu senti como eu nunca tinha comido comida tailandesa até este prato.")</f>
        <v>OMG eu senti como eu nunca tinha comido comida tailandesa até este prato.</v>
      </c>
      <c r="B2559" s="3">
        <v>1</v>
      </c>
    </row>
    <row r="2560" ht="15.75" customHeight="1" spans="1:2">
      <c r="A2560" s="3" t="str">
        <f>IFERROR(__xludf.DUMMYFUNCTION("GOOGLETRANSLATE(A2560,""en"",""pt"")"),"Foi extremamente ""crumby"" e gosto muito.")</f>
        <v>Foi extremamente "crumby" e gosto muito.</v>
      </c>
      <c r="B2560" s="3">
        <v>0</v>
      </c>
    </row>
    <row r="2561" ht="15.75" customHeight="1" spans="1:2">
      <c r="A2561" s="3" t="str">
        <f>IFERROR(__xludf.DUMMYFUNCTION("GOOGLETRANSLATE(A2561,""en"",""pt"")"),"Era de uma cor pálida em vez de carvão animal e agradável e não tem sabor.")</f>
        <v>Era de uma cor pálida em vez de carvão animal e agradável e não tem sabor.</v>
      </c>
      <c r="B2561" s="3">
        <v>0</v>
      </c>
    </row>
    <row r="2562" ht="15.75" customHeight="1" spans="1:2">
      <c r="A2562" s="3" t="str">
        <f>IFERROR(__xludf.DUMMYFUNCTION("GOOGLETRANSLATE(A2562,""en"",""pt"")"),"Os croutons também gosto caseiro que é um extra plus.")</f>
        <v>Os croutons também gosto caseiro que é um extra plus.</v>
      </c>
      <c r="B2562" s="3">
        <v>1</v>
      </c>
    </row>
    <row r="2563" ht="15.75" customHeight="1" spans="1:2">
      <c r="A2563" s="3" t="str">
        <f>IFERROR(__xludf.DUMMYFUNCTION("GOOGLETRANSLATE(A2563,""en"",""pt"")"),"Cheguei em casa para ver os mais secos asas malditos sempre!")</f>
        <v>Cheguei em casa para ver os mais secos asas malditos sempre!</v>
      </c>
      <c r="B2563" s="3">
        <v>0</v>
      </c>
    </row>
    <row r="2564" ht="15.75" customHeight="1" spans="1:2">
      <c r="A2564" s="3" t="str">
        <f>IFERROR(__xludf.DUMMYFUNCTION("GOOGLETRANSLATE(A2564,""en"",""pt"")"),"Vai ser uma parada regular em minhas viagens a Phoenix!")</f>
        <v>Vai ser uma parada regular em minhas viagens a Phoenix!</v>
      </c>
      <c r="B2564" s="3">
        <v>1</v>
      </c>
    </row>
    <row r="2565" ht="15.75" customHeight="1" spans="1:2">
      <c r="A2565" s="3" t="str">
        <f>IFERROR(__xludf.DUMMYFUNCTION("GOOGLETRANSLATE(A2565,""en"",""pt"")"),"Eu realmente gostei de Crema CafÃ © antes que eles expandido; Eu até disse a amigos que tinham o melhor café da manhã.")</f>
        <v>Eu realmente gostei de Crema CafÃ © antes que eles expandido; Eu até disse a amigos que tinham o melhor café da manhã.</v>
      </c>
      <c r="B2565" s="3">
        <v>1</v>
      </c>
    </row>
    <row r="2566" ht="15.75" customHeight="1" spans="1:2">
      <c r="A2566" s="3" t="str">
        <f>IFERROR(__xludf.DUMMYFUNCTION("GOOGLETRANSLATE(A2566,""en"",""pt"")"),"Não é bom para o dinheiro.")</f>
        <v>Não é bom para o dinheiro.</v>
      </c>
      <c r="B2566" s="3">
        <v>0</v>
      </c>
    </row>
    <row r="2567" ht="15.75" customHeight="1" spans="1:2">
      <c r="A2567" s="3" t="str">
        <f>IFERROR(__xludf.DUMMYFUNCTION("GOOGLETRANSLATE(A2567,""en"",""pt"")"),"Eu sinto falta dele e gostaria que eles tivessem um em Filadélfia!")</f>
        <v>Eu sinto falta dele e gostaria que eles tivessem um em Filadélfia!</v>
      </c>
      <c r="B2567" s="3">
        <v>1</v>
      </c>
    </row>
    <row r="2568" ht="15.75" customHeight="1" spans="1:2">
      <c r="A2568" s="3" t="str">
        <f>IFERROR(__xludf.DUMMYFUNCTION("GOOGLETRANSLATE(A2568,""en"",""pt"")"),"Temos de estar bastante rápido, mas, acabamos espera 40 minutos apenas para colocar o nosso pedido, mais 30 minutos antes da comida chegou.")</f>
        <v>Temos de estar bastante rápido, mas, acabamos espera 40 minutos apenas para colocar o nosso pedido, mais 30 minutos antes da comida chegou.</v>
      </c>
      <c r="B2568" s="3">
        <v>0</v>
      </c>
    </row>
    <row r="2569" ht="15.75" customHeight="1" spans="1:2">
      <c r="A2569" s="3" t="str">
        <f>IFERROR(__xludf.DUMMYFUNCTION("GOOGLETRANSLATE(A2569,""en"",""pt"")"),"Eles também têm o melhor queijo roupas na cidade.")</f>
        <v>Eles também têm o melhor queijo roupas na cidade.</v>
      </c>
      <c r="B2569" s="3">
        <v>1</v>
      </c>
    </row>
    <row r="2570" ht="15.75" customHeight="1" spans="1:2">
      <c r="A2570" s="3" t="str">
        <f>IFERROR(__xludf.DUMMYFUNCTION("GOOGLETRANSLATE(A2570,""en"",""pt"")"),"Bom valor, boa comida, ótimo serviço.")</f>
        <v>Bom valor, boa comida, ótimo serviço.</v>
      </c>
      <c r="B2570" s="3">
        <v>1</v>
      </c>
    </row>
    <row r="2571" ht="15.75" customHeight="1" spans="1:2">
      <c r="A2571" s="3" t="str">
        <f>IFERROR(__xludf.DUMMYFUNCTION("GOOGLETRANSLATE(A2571,""en"",""pt"")"),"não poderia pedir uma refeição mais satisfatória.")</f>
        <v>não poderia pedir uma refeição mais satisfatória.</v>
      </c>
      <c r="B2571" s="3">
        <v>1</v>
      </c>
    </row>
    <row r="2572" ht="15.75" customHeight="1" spans="1:2">
      <c r="A2572" s="3" t="str">
        <f>IFERROR(__xludf.DUMMYFUNCTION("GOOGLETRANSLATE(A2572,""en"",""pt"")"),"A comida é boa.")</f>
        <v>A comida é boa.</v>
      </c>
      <c r="B2572" s="3">
        <v>1</v>
      </c>
    </row>
    <row r="2573" ht="15.75" customHeight="1" spans="1:2">
      <c r="A2573" s="3" t="str">
        <f>IFERROR(__xludf.DUMMYFUNCTION("GOOGLETRANSLATE(A2573,""en"",""pt"")"),"Foi incrível.")</f>
        <v>Foi incrível.</v>
      </c>
      <c r="B2573" s="3">
        <v>1</v>
      </c>
    </row>
    <row r="2574" ht="15.75" customHeight="1" spans="1:2">
      <c r="A2574" s="3" t="str">
        <f>IFERROR(__xludf.DUMMYFUNCTION("GOOGLETRANSLATE(A2574,""en"",""pt"")"),"Eu só queria sair.")</f>
        <v>Eu só queria sair.</v>
      </c>
      <c r="B2574" s="3">
        <v>0</v>
      </c>
    </row>
    <row r="2575" ht="15.75" customHeight="1" spans="1:2">
      <c r="A2575" s="3" t="str">
        <f>IFERROR(__xludf.DUMMYFUNCTION("GOOGLETRANSLATE(A2575,""en"",""pt"")"),"Fizemos a unidade todo o caminho de North Scottsdale ... e eu estava nem um pouco decepcionado!")</f>
        <v>Fizemos a unidade todo o caminho de North Scottsdale ... e eu estava nem um pouco decepcionado!</v>
      </c>
      <c r="B2575" s="3">
        <v>1</v>
      </c>
    </row>
    <row r="2576" ht="15.75" customHeight="1" spans="1:2">
      <c r="A2576" s="3" t="str">
        <f>IFERROR(__xludf.DUMMYFUNCTION("GOOGLETRANSLATE(A2576,""en"",""pt"")"),"Eu não vou ser comer lá novamente.")</f>
        <v>Eu não vou ser comer lá novamente.</v>
      </c>
      <c r="B2576" s="3">
        <v>0</v>
      </c>
    </row>
    <row r="2577" ht="15.75" customHeight="1" spans="1:2">
      <c r="A2577" s="3" t="str">
        <f>IFERROR(__xludf.DUMMYFUNCTION("GOOGLETRANSLATE(A2577,""en"",""pt"")"),"I check-out este lugar um par de anos atrás e não ficou impressionado.")</f>
        <v>I check-out este lugar um par de anos atrás e não ficou impressionado.</v>
      </c>
      <c r="B2577" s="3">
        <v>0</v>
      </c>
    </row>
    <row r="2578" ht="15.75" customHeight="1" spans="1:2">
      <c r="A2578" s="3" t="str">
        <f>IFERROR(__xludf.DUMMYFUNCTION("GOOGLETRANSLATE(A2578,""en"",""pt"")"),"O frango eu tenho foi definitivamente reaquecido e foi apenas ok, as cunhas foram frios e encharcado.")</f>
        <v>O frango eu tenho foi definitivamente reaquecido e foi apenas ok, as cunhas foram frios e encharcado.</v>
      </c>
      <c r="B2578" s="3">
        <v>0</v>
      </c>
    </row>
    <row r="2579" ht="15.75" customHeight="1" spans="1:2">
      <c r="A2579" s="3" t="str">
        <f>IFERROR(__xludf.DUMMYFUNCTION("GOOGLETRANSLATE(A2579,""en"",""pt"")"),"Desculpe, eu não vai ter comida daqui tão cedo :(")</f>
        <v>Desculpe, eu não vai ter comida daqui tão cedo :(</v>
      </c>
      <c r="B2579" s="3">
        <v>0</v>
      </c>
    </row>
    <row r="2580" ht="15.75" customHeight="1" spans="1:2">
      <c r="A2580" s="3" t="str">
        <f>IFERROR(__xludf.DUMMYFUNCTION("GOOGLETRANSLATE(A2580,""en"",""pt"")"),"Uma visita necessidade absoluta!")</f>
        <v>Uma visita necessidade absoluta!</v>
      </c>
      <c r="B2580" s="3">
        <v>1</v>
      </c>
    </row>
    <row r="2581" ht="15.75" customHeight="1" spans="1:2">
      <c r="A2581" s="3" t="str">
        <f>IFERROR(__xludf.DUMMYFUNCTION("GOOGLETRANSLATE(A2581,""en"",""pt"")"),"Os tacos de língua de vaca e bochecha são surpreendentes.")</f>
        <v>Os tacos de língua de vaca e bochecha são surpreendentes.</v>
      </c>
      <c r="B2581" s="3">
        <v>1</v>
      </c>
    </row>
    <row r="2582" ht="15.75" customHeight="1" spans="1:2">
      <c r="A2582" s="3" t="str">
        <f>IFERROR(__xludf.DUMMYFUNCTION("GOOGLETRANSLATE(A2582,""en"",""pt"")"),"Meu amigo não gostava de seu Bloody Mary.")</f>
        <v>Meu amigo não gostava de seu Bloody Mary.</v>
      </c>
      <c r="B2582" s="3">
        <v>0</v>
      </c>
    </row>
    <row r="2583" ht="15.75" customHeight="1" spans="1:2">
      <c r="A2583" s="3" t="str">
        <f>IFERROR(__xludf.DUMMYFUNCTION("GOOGLETRANSLATE(A2583,""en"",""pt"")"),"Apesar empresas taxa I como rígidos, sua realmente raro para me dar um 1 estrela.")</f>
        <v>Apesar empresas taxa I como rígidos, sua realmente raro para me dar um 1 estrela.</v>
      </c>
      <c r="B2583" s="3">
        <v>0</v>
      </c>
    </row>
    <row r="2584" ht="15.75" customHeight="1" spans="1:2">
      <c r="A2584" s="3" t="str">
        <f>IFERROR(__xludf.DUMMYFUNCTION("GOOGLETRANSLATE(A2584,""en"",""pt"")"),"Eles realmente querem para tornar a sua experiência um bom.")</f>
        <v>Eles realmente querem para tornar a sua experiência um bom.</v>
      </c>
      <c r="B2584" s="3">
        <v>1</v>
      </c>
    </row>
    <row r="2585" ht="15.75" customHeight="1" spans="1:2">
      <c r="A2585" s="3" t="str">
        <f>IFERROR(__xludf.DUMMYFUNCTION("GOOGLETRANSLATE(A2585,""en"",""pt"")"),"Eu não vou voltar.")</f>
        <v>Eu não vou voltar.</v>
      </c>
      <c r="B2585" s="3">
        <v>0</v>
      </c>
    </row>
    <row r="2586" ht="15.75" customHeight="1" spans="1:2">
      <c r="A2586" s="3" t="str">
        <f>IFERROR(__xludf.DUMMYFUNCTION("GOOGLETRANSLATE(A2586,""en"",""pt"")"),"Eu tinha o Pho de frango e sabor muito branda.")</f>
        <v>Eu tinha o Pho de frango e sabor muito branda.</v>
      </c>
      <c r="B2586" s="3">
        <v>0</v>
      </c>
    </row>
    <row r="2587" ht="15.75" customHeight="1" spans="1:2">
      <c r="A2587" s="3" t="str">
        <f>IFERROR(__xludf.DUMMYFUNCTION("GOOGLETRANSLATE(A2587,""en"",""pt"")"),"Muito decepcionante !!!")</f>
        <v>Muito decepcionante !!!</v>
      </c>
      <c r="B2587" s="3">
        <v>0</v>
      </c>
    </row>
    <row r="2588" ht="15.75" customHeight="1" spans="1:2">
      <c r="A2588" s="3" t="str">
        <f>IFERROR(__xludf.DUMMYFUNCTION("GOOGLETRANSLATE(A2588,""en"",""pt"")"),"O frango grelhado foi tão suave e amarelo do tempero açafrão.")</f>
        <v>O frango grelhado foi tão suave e amarelo do tempero açafrão.</v>
      </c>
      <c r="B2588" s="3">
        <v>1</v>
      </c>
    </row>
    <row r="2589" ht="15.75" customHeight="1" spans="1:2">
      <c r="A2589" s="3" t="str">
        <f>IFERROR(__xludf.DUMMYFUNCTION("GOOGLETRANSLATE(A2589,""en"",""pt"")"),"um drive thru significa que você não quer esperar por meia hora para sua comida, mas de alguma forma quando acabam indo aqui eles nos fazem esperar e esperar.")</f>
        <v>um drive thru significa que você não quer esperar por meia hora para sua comida, mas de alguma forma quando acabam indo aqui eles nos fazem esperar e esperar.</v>
      </c>
      <c r="B2589" s="3">
        <v>0</v>
      </c>
    </row>
    <row r="2590" ht="15.75" customHeight="1" spans="1:2">
      <c r="A2590" s="3" t="str">
        <f>IFERROR(__xludf.DUMMYFUNCTION("GOOGLETRANSLATE(A2590,""en"",""pt"")"),"Bastante lugar incrível.")</f>
        <v>Bastante lugar incrível.</v>
      </c>
      <c r="B2590" s="3">
        <v>1</v>
      </c>
    </row>
    <row r="2591" ht="15.75" customHeight="1" spans="1:2">
      <c r="A2591" s="3" t="str">
        <f>IFERROR(__xludf.DUMMYFUNCTION("GOOGLETRANSLATE(A2591,""en"",""pt"")"),"Ambiente é perfeito.")</f>
        <v>Ambiente é perfeito.</v>
      </c>
      <c r="B2591" s="3">
        <v>1</v>
      </c>
    </row>
    <row r="2592" ht="15.75" customHeight="1" spans="1:2">
      <c r="A2592" s="3" t="str">
        <f>IFERROR(__xludf.DUMMYFUNCTION("GOOGLETRANSLATE(A2592,""en"",""pt"")"),"Boa sorte para o serviço rude e não focada no cliente nova gestão.")</f>
        <v>Boa sorte para o serviço rude e não focada no cliente nova gestão.</v>
      </c>
      <c r="B2592" s="3">
        <v>0</v>
      </c>
    </row>
    <row r="2593" ht="15.75" customHeight="1" spans="1:2">
      <c r="A2593" s="3" t="str">
        <f>IFERROR(__xludf.DUMMYFUNCTION("GOOGLETRANSLATE(A2593,""en"",""pt"")"),"Qualquer avó pode fazer um frango assado melhor do que este.")</f>
        <v>Qualquer avó pode fazer um frango assado melhor do que este.</v>
      </c>
      <c r="B2593" s="3">
        <v>0</v>
      </c>
    </row>
    <row r="2594" ht="15.75" customHeight="1" spans="1:2">
      <c r="A2594" s="3" t="str">
        <f>IFERROR(__xludf.DUMMYFUNCTION("GOOGLETRANSLATE(A2594,""en"",""pt"")"),"Eu pedi várias vezes para a lista de vinhos e depois de algum tempo de ser ignorado eu fui para a anfitriã e tem um eu mesmo.")</f>
        <v>Eu pedi várias vezes para a lista de vinhos e depois de algum tempo de ser ignorado eu fui para a anfitriã e tem um eu mesmo.</v>
      </c>
      <c r="B2594" s="3">
        <v>0</v>
      </c>
    </row>
    <row r="2595" ht="15.75" customHeight="1" spans="1:2">
      <c r="A2595" s="3" t="str">
        <f>IFERROR(__xludf.DUMMYFUNCTION("GOOGLETRANSLATE(A2595,""en"",""pt"")"),"A equipe é sempre super amigável e útil, que é especialmente interessante quando você traz dois meninos pequenos e um bebê!")</f>
        <v>A equipe é sempre super amigável e útil, que é especialmente interessante quando você traz dois meninos pequenos e um bebê!</v>
      </c>
      <c r="B2595" s="3">
        <v>1</v>
      </c>
    </row>
    <row r="2596" ht="15.75" customHeight="1" spans="1:2">
      <c r="A2596" s="3" t="str">
        <f>IFERROR(__xludf.DUMMYFUNCTION("GOOGLETRANSLATE(A2596,""en"",""pt"")"),"Quatro estrelas para a comida e o cara de camisa azul por seu excelente clima e ainda nos deixando entrar para comer!")</f>
        <v>Quatro estrelas para a comida e o cara de camisa azul por seu excelente clima e ainda nos deixando entrar para comer!</v>
      </c>
      <c r="B2596" s="3">
        <v>1</v>
      </c>
    </row>
    <row r="2597" ht="15.75" customHeight="1" spans="1:2">
      <c r="A2597" s="3" t="str">
        <f>IFERROR(__xludf.DUMMYFUNCTION("GOOGLETRANSLATE(A2597,""en"",""pt"")"),"O sanduíche de carne assada provei realmente bom!")</f>
        <v>O sanduíche de carne assada provei realmente bom!</v>
      </c>
      <c r="B2597" s="3">
        <v>1</v>
      </c>
    </row>
    <row r="2598" ht="15.75" customHeight="1" spans="1:2">
      <c r="A2598" s="3" t="str">
        <f>IFERROR(__xludf.DUMMYFUNCTION("GOOGLETRANSLATE(A2598,""en"",""pt"")"),"Mesma noite, ele e eu somos ambos drasticamente doente.")</f>
        <v>Mesma noite, ele e eu somos ambos drasticamente doente.</v>
      </c>
      <c r="B2598" s="3">
        <v>0</v>
      </c>
    </row>
    <row r="2599" ht="15.75" customHeight="1" spans="1:2">
      <c r="A2599" s="3" t="str">
        <f>IFERROR(__xludf.DUMMYFUNCTION("GOOGLETRANSLATE(A2599,""en"",""pt"")"),"frango de alta qualidade sobre o frango salada Caesar.")</f>
        <v>frango de alta qualidade sobre o frango salada Caesar.</v>
      </c>
      <c r="B2599" s="3">
        <v>1</v>
      </c>
    </row>
    <row r="2600" ht="15.75" customHeight="1" spans="1:2">
      <c r="A2600" s="3" t="str">
        <f>IFERROR(__xludf.DUMMYFUNCTION("GOOGLETRANSLATE(A2600,""en"",""pt"")"),"hambúrguer pedidos raras veio em nós vamos fazer.")</f>
        <v>hambúrguer pedidos raras veio em nós vamos fazer.</v>
      </c>
      <c r="B2600" s="3">
        <v>0</v>
      </c>
    </row>
    <row r="2601" ht="15.75" customHeight="1" spans="1:2">
      <c r="A2601" s="3" t="str">
        <f>IFERROR(__xludf.DUMMYFUNCTION("GOOGLETRANSLATE(A2601,""en"",""pt"")"),"Nós prontamente recebidos e sentado.")</f>
        <v>Nós prontamente recebidos e sentado.</v>
      </c>
      <c r="B2601" s="3">
        <v>1</v>
      </c>
    </row>
    <row r="2602" ht="15.75" customHeight="1" spans="1:2">
      <c r="A2602" s="3" t="str">
        <f>IFERROR(__xludf.DUMMYFUNCTION("GOOGLETRANSLATE(A2602,""en"",""pt"")"),"Fechar um pacote aqui para almoço e foi um hospício.")</f>
        <v>Fechar um pacote aqui para almoço e foi um hospício.</v>
      </c>
      <c r="B2602" s="3">
        <v>0</v>
      </c>
    </row>
    <row r="2603" ht="15.75" customHeight="1" spans="1:2">
      <c r="A2603" s="3" t="str">
        <f>IFERROR(__xludf.DUMMYFUNCTION("GOOGLETRANSLATE(A2603,""en"",""pt"")"),"Eu estava provado errado mortos por este sushi bar, não só porque a qualidade é grande, mas o serviço é rápido ea comida, impecável.")</f>
        <v>Eu estava provado errado mortos por este sushi bar, não só porque a qualidade é grande, mas o serviço é rápido ea comida, impecável.</v>
      </c>
      <c r="B2603" s="3">
        <v>1</v>
      </c>
    </row>
    <row r="2604" ht="15.75" customHeight="1" spans="1:2">
      <c r="A2604" s="3" t="str">
        <f>IFERROR(__xludf.DUMMYFUNCTION("GOOGLETRANSLATE(A2604,""en"",""pt"")"),"Depois de esperar uma hora e estar sentado, eu não estava no maior dos humores.")</f>
        <v>Depois de esperar uma hora e estar sentado, eu não estava no maior dos humores.</v>
      </c>
      <c r="B2604" s="3">
        <v>0</v>
      </c>
    </row>
    <row r="2605" ht="15.75" customHeight="1" spans="1:2">
      <c r="A2605" s="3" t="str">
        <f>IFERROR(__xludf.DUMMYFUNCTION("GOOGLETRANSLATE(A2605,""en"",""pt"")"),"Esta é uma boa articulação.")</f>
        <v>Esta é uma boa articulação.</v>
      </c>
      <c r="B2605" s="3">
        <v>1</v>
      </c>
    </row>
    <row r="2606" ht="15.75" customHeight="1" spans="1:2">
      <c r="A2606" s="3" t="str">
        <f>IFERROR(__xludf.DUMMYFUNCTION("GOOGLETRANSLATE(A2606,""en"",""pt"")"),"Os Macarons aqui são incrivelmente bom.")</f>
        <v>Os Macarons aqui são incrivelmente bom.</v>
      </c>
      <c r="B2606" s="3">
        <v>1</v>
      </c>
    </row>
    <row r="2607" ht="15.75" customHeight="1" spans="1:2">
      <c r="A2607" s="3" t="str">
        <f>IFERROR(__xludf.DUMMYFUNCTION("GOOGLETRANSLATE(A2607,""en"",""pt"")"),"Eu não estou comendo aqui!")</f>
        <v>Eu não estou comendo aqui!</v>
      </c>
      <c r="B2607" s="3">
        <v>0</v>
      </c>
    </row>
    <row r="2608" ht="15.75" customHeight="1" spans="1:2">
      <c r="A2608" s="3" t="str">
        <f>IFERROR(__xludf.DUMMYFUNCTION("GOOGLETRANSLATE(A2608,""en"",""pt"")"),"Nosso garçom foi muito atencioso, simpático e informativo.")</f>
        <v>Nosso garçom foi muito atencioso, simpático e informativo.</v>
      </c>
      <c r="B2608" s="3">
        <v>1</v>
      </c>
    </row>
    <row r="2609" ht="15.75" customHeight="1" spans="1:2">
      <c r="A2609" s="3" t="str">
        <f>IFERROR(__xludf.DUMMYFUNCTION("GOOGLETRANSLATE(A2609,""en"",""pt"")"),"Talvez se eles não eram frio que teria sido um pouco comestíveis.")</f>
        <v>Talvez se eles não eram frio que teria sido um pouco comestíveis.</v>
      </c>
      <c r="B2609" s="3">
        <v>0</v>
      </c>
    </row>
    <row r="2610" ht="15.75" customHeight="1" spans="1:2">
      <c r="A2610" s="3" t="str">
        <f>IFERROR(__xludf.DUMMYFUNCTION("GOOGLETRANSLATE(A2610,""en"",""pt"")"),"Este lugar tem um monte de promessas, mas não entregar.")</f>
        <v>Este lugar tem um monte de promessas, mas não entregar.</v>
      </c>
      <c r="B2610" s="3">
        <v>0</v>
      </c>
    </row>
    <row r="2611" ht="15.75" customHeight="1" spans="1:2">
      <c r="A2611" s="3" t="str">
        <f>IFERROR(__xludf.DUMMYFUNCTION("GOOGLETRANSLATE(A2611,""en"",""pt"")"),"Muito mau experiência!")</f>
        <v>Muito mau experiência!</v>
      </c>
      <c r="B2611" s="3">
        <v>0</v>
      </c>
    </row>
    <row r="2612" ht="15.75" customHeight="1" spans="1:2">
      <c r="A2612" s="3" t="str">
        <f>IFERROR(__xludf.DUMMYFUNCTION("GOOGLETRANSLATE(A2612,""en"",""pt"")"),"Que erro.")</f>
        <v>Que erro.</v>
      </c>
      <c r="B2612" s="3">
        <v>0</v>
      </c>
    </row>
    <row r="2613" ht="15.75" customHeight="1" spans="1:2">
      <c r="A2613" s="3" t="str">
        <f>IFERROR(__xludf.DUMMYFUNCTION("GOOGLETRANSLATE(A2613,""en"",""pt"")"),"Comida era melhor média.")</f>
        <v>Comida era melhor média.</v>
      </c>
      <c r="B2613" s="3">
        <v>0</v>
      </c>
    </row>
    <row r="2614" ht="15.75" customHeight="1" spans="1:2">
      <c r="A2614" s="3" t="str">
        <f>IFERROR(__xludf.DUMMYFUNCTION("GOOGLETRANSLATE(A2614,""en"",""pt"")"),"Ótima comida.")</f>
        <v>Ótima comida.</v>
      </c>
      <c r="B2614" s="3">
        <v>1</v>
      </c>
    </row>
    <row r="2615" ht="15.75" customHeight="1" spans="1:2">
      <c r="A2615" s="3" t="str">
        <f>IFERROR(__xludf.DUMMYFUNCTION("GOOGLETRANSLATE(A2615,""en"",""pt"")"),"Nós não vamos voltar em breve!")</f>
        <v>Nós não vamos voltar em breve!</v>
      </c>
      <c r="B2615" s="3">
        <v>0</v>
      </c>
    </row>
    <row r="2616" ht="15.75" customHeight="1" spans="1:2">
      <c r="A2616" s="3" t="str">
        <f>IFERROR(__xludf.DUMMYFUNCTION("GOOGLETRANSLATE(A2616,""en"",""pt"")"),"Muito, muito decepcionado solicitados a US $ 35 Big Bay Plater.")</f>
        <v>Muito, muito decepcionado solicitados a US $ 35 Big Bay Plater.</v>
      </c>
      <c r="B2616" s="3">
        <v>0</v>
      </c>
    </row>
    <row r="2617" ht="15.75" customHeight="1" spans="1:2">
      <c r="A2617" s="3" t="str">
        <f>IFERROR(__xludf.DUMMYFUNCTION("GOOGLETRANSLATE(A2617,""en"",""pt"")"),"Ótimo lugar para relaxar e ter um hambúrguer extraordinário e cerveja.")</f>
        <v>Ótimo lugar para relaxar e ter um hambúrguer extraordinário e cerveja.</v>
      </c>
      <c r="B2617" s="3">
        <v>1</v>
      </c>
    </row>
    <row r="2618" ht="15.75" customHeight="1" spans="1:2">
      <c r="A2618" s="3" t="str">
        <f>IFERROR(__xludf.DUMMYFUNCTION("GOOGLETRANSLATE(A2618,""en"",""pt"")"),"É perfeito para uma refeição em família sit-down ou se reunir com alguns amigos.")</f>
        <v>É perfeito para uma refeição em família sit-down ou se reunir com alguns amigos.</v>
      </c>
      <c r="B2618" s="3">
        <v>1</v>
      </c>
    </row>
    <row r="2619" ht="15.75" customHeight="1" spans="1:2">
      <c r="A2619" s="3" t="str">
        <f>IFERROR(__xludf.DUMMYFUNCTION("GOOGLETRANSLATE(A2619,""en"",""pt"")"),"Não muito sabor a eles, e muito mal construída.")</f>
        <v>Não muito sabor a eles, e muito mal construída.</v>
      </c>
      <c r="B2619" s="3">
        <v>0</v>
      </c>
    </row>
    <row r="2620" ht="15.75" customHeight="1" spans="1:2">
      <c r="A2620" s="3" t="str">
        <f>IFERROR(__xludf.DUMMYFUNCTION("GOOGLETRANSLATE(A2620,""en"",""pt"")"),"O pátio era muito confortável.")</f>
        <v>O pátio era muito confortável.</v>
      </c>
      <c r="B2620" s="3">
        <v>1</v>
      </c>
    </row>
    <row r="2621" ht="15.75" customHeight="1" spans="1:2">
      <c r="A2621" s="3" t="str">
        <f>IFERROR(__xludf.DUMMYFUNCTION("GOOGLETRANSLATE(A2621,""en"",""pt"")"),"O arroz frito foi seco bem.")</f>
        <v>O arroz frito foi seco bem.</v>
      </c>
      <c r="B2621" s="3">
        <v>0</v>
      </c>
    </row>
    <row r="2622" ht="15.75" customHeight="1" spans="1:2">
      <c r="A2622" s="3" t="str">
        <f>IFERROR(__xludf.DUMMYFUNCTION("GOOGLETRANSLATE(A2622,""en"",""pt"")"),"Mãos meu restaurante italiano favorito!")</f>
        <v>Mãos meu restaurante italiano favorito!</v>
      </c>
      <c r="B2622" s="3">
        <v>1</v>
      </c>
    </row>
    <row r="2623" ht="15.75" customHeight="1" spans="1:2">
      <c r="A2623" s="3" t="str">
        <f>IFERROR(__xludf.DUMMYFUNCTION("GOOGLETRANSLATE(A2623,""en"",""pt"")"),"Isso só grita ""LEGIT"" no meu livro ... somethat também é muito raro aqui em Vegas.")</f>
        <v>Isso só grita "LEGIT" no meu livro ... somethat também é muito raro aqui em Vegas.</v>
      </c>
      <c r="B2623" s="3">
        <v>1</v>
      </c>
    </row>
    <row r="2624" ht="15.75" customHeight="1" spans="1:2">
      <c r="A2624" s="3" t="str">
        <f>IFERROR(__xludf.DUMMYFUNCTION("GOOGLETRANSLATE(A2624,""en"",""pt"")"),"Não foi apenas uma experiência divertida.")</f>
        <v>Não foi apenas uma experiência divertida.</v>
      </c>
      <c r="B2624" s="3">
        <v>1</v>
      </c>
    </row>
    <row r="2625" ht="15.75" customHeight="1" spans="1:2">
      <c r="A2625" s="3" t="str">
        <f>IFERROR(__xludf.DUMMYFUNCTION("GOOGLETRANSLATE(A2625,""en"",""pt"")"),"A atmosfera era grande, com uma bela dupla de violinistas tocando as músicas que nós solicitados.")</f>
        <v>A atmosfera era grande, com uma bela dupla de violinistas tocando as músicas que nós solicitados.</v>
      </c>
      <c r="B2625" s="3">
        <v>1</v>
      </c>
    </row>
    <row r="2626" ht="15.75" customHeight="1" spans="1:2">
      <c r="A2626" s="3" t="str">
        <f>IFERROR(__xludf.DUMMYFUNCTION("GOOGLETRANSLATE(A2626,""en"",""pt"")"),"Eu, pessoalmente, adoro os hummus, pita, baklava, falafels e Baba Ganoush (é incrível o que eles fazem com berinjela!).")</f>
        <v>Eu, pessoalmente, adoro os hummus, pita, baklava, falafels e Baba Ganoush (é incrível o que eles fazem com berinjela!).</v>
      </c>
      <c r="B2626" s="3">
        <v>1</v>
      </c>
    </row>
    <row r="2627" ht="15.75" customHeight="1" spans="1:2">
      <c r="A2627" s="3" t="str">
        <f>IFERROR(__xludf.DUMMYFUNCTION("GOOGLETRANSLATE(A2627,""en"",""pt"")"),"Muito conveniente, desde que estávamos hospedados no MGM!")</f>
        <v>Muito conveniente, desde que estávamos hospedados no MGM!</v>
      </c>
      <c r="B2627" s="3">
        <v>1</v>
      </c>
    </row>
    <row r="2628" ht="15.75" customHeight="1" spans="1:2">
      <c r="A2628" s="3" t="str">
        <f>IFERROR(__xludf.DUMMYFUNCTION("GOOGLETRANSLATE(A2628,""en"",""pt"")"),"Os proprietários são super amigável ea equipe é cortês.")</f>
        <v>Os proprietários são super amigável ea equipe é cortês.</v>
      </c>
      <c r="B2628" s="3">
        <v>1</v>
      </c>
    </row>
    <row r="2629" ht="15.75" customHeight="1" spans="1:2">
      <c r="A2629" s="3" t="str">
        <f>IFERROR(__xludf.DUMMYFUNCTION("GOOGLETRANSLATE(A2629,""en"",""pt"")"),"Ambos ótimo!")</f>
        <v>Ambos ótimo!</v>
      </c>
      <c r="B2629" s="3">
        <v>1</v>
      </c>
    </row>
    <row r="2630" ht="15.75" customHeight="1" spans="1:2">
      <c r="A2630" s="3" t="str">
        <f>IFERROR(__xludf.DUMMYFUNCTION("GOOGLETRANSLATE(A2630,""en"",""pt"")"),"seleção eclética.")</f>
        <v>seleção eclética.</v>
      </c>
      <c r="B2630" s="3">
        <v>1</v>
      </c>
    </row>
    <row r="2631" ht="15.75" customHeight="1" spans="1:2">
      <c r="A2631" s="3" t="str">
        <f>IFERROR(__xludf.DUMMYFUNCTION("GOOGLETRANSLATE(A2631,""en"",""pt"")"),"As batata-doce tots foram bons, mas os anéis de cebola foram perfeição ou o mais perto que eu já tive.")</f>
        <v>As batata-doce tots foram bons, mas os anéis de cebola foram perfeição ou o mais perto que eu já tive.</v>
      </c>
      <c r="B2631" s="3">
        <v>1</v>
      </c>
    </row>
    <row r="2632" ht="15.75" customHeight="1" spans="1:2">
      <c r="A2632" s="3" t="str">
        <f>IFERROR(__xludf.DUMMYFUNCTION("GOOGLETRANSLATE(A2632,""en"",""pt"")"),"A equipe foi muito atenciosa.")</f>
        <v>A equipe foi muito atenciosa.</v>
      </c>
      <c r="B2632" s="3">
        <v>1</v>
      </c>
    </row>
    <row r="2633" ht="15.75" customHeight="1" spans="1:2">
      <c r="A2633" s="3" t="str">
        <f>IFERROR(__xludf.DUMMYFUNCTION("GOOGLETRANSLATE(A2633,""en"",""pt"")"),"Eo chef foi generoso com seu tempo (até mesmo veio duas vezes para que possamos tirar fotos com ele).")</f>
        <v>Eo chef foi generoso com seu tempo (até mesmo veio duas vezes para que possamos tirar fotos com ele).</v>
      </c>
      <c r="B2633" s="3">
        <v>1</v>
      </c>
    </row>
    <row r="2634" ht="15.75" customHeight="1" spans="1:2">
      <c r="A2634" s="3" t="str">
        <f>IFERROR(__xludf.DUMMYFUNCTION("GOOGLETRANSLATE(A2634,""en"",""pt"")"),"O proprietário utilizado para trabalho em Nobu, então este lugar é realmente semelhante por metade do preço.")</f>
        <v>O proprietário utilizado para trabalho em Nobu, então este lugar é realmente semelhante por metade do preço.</v>
      </c>
      <c r="B2634" s="3">
        <v>1</v>
      </c>
    </row>
    <row r="2635" ht="15.75" customHeight="1" spans="1:2">
      <c r="A2635" s="3" t="str">
        <f>IFERROR(__xludf.DUMMYFUNCTION("GOOGLETRANSLATE(A2635,""en"",""pt"")"),"Google medíocre e imagino Smashburger irá aparecer.")</f>
        <v>Google medíocre e imagino Smashburger irá aparecer.</v>
      </c>
      <c r="B2635" s="3">
        <v>0</v>
      </c>
    </row>
    <row r="2636" ht="15.75" customHeight="1" spans="1:2">
      <c r="A2636" s="3" t="str">
        <f>IFERROR(__xludf.DUMMYFUNCTION("GOOGLETRANSLATE(A2636,""en"",""pt"")"),"Não há aqui.")</f>
        <v>Não há aqui.</v>
      </c>
      <c r="B2636" s="3">
        <v>0</v>
      </c>
    </row>
    <row r="2637" ht="15.75" customHeight="1" spans="1:2">
      <c r="A2637" s="3" t="str">
        <f>IFERROR(__xludf.DUMMYFUNCTION("GOOGLETRANSLATE(A2637,""en"",""pt"")"),"Eu prometo que não vai decepcionar.")</f>
        <v>Eu prometo que não vai decepcionar.</v>
      </c>
      <c r="B2637" s="3">
        <v>1</v>
      </c>
    </row>
    <row r="2638" ht="15.75" customHeight="1" spans="1:2">
      <c r="A2638" s="3" t="str">
        <f>IFERROR(__xludf.DUMMYFUNCTION("GOOGLETRANSLATE(A2638,""en"",""pt"")"),"Como um amante de sushi evitar este lugar por todos os meios.")</f>
        <v>Como um amante de sushi evitar este lugar por todos os meios.</v>
      </c>
      <c r="B2638" s="3">
        <v>0</v>
      </c>
    </row>
    <row r="2639" ht="15.75" customHeight="1" spans="1:2">
      <c r="A2639" s="3" t="str">
        <f>IFERROR(__xludf.DUMMYFUNCTION("GOOGLETRANSLATE(A2639,""en"",""pt"")"),"Que grande duplo cheeseburger!")</f>
        <v>Que grande duplo cheeseburger!</v>
      </c>
      <c r="B2639" s="3">
        <v>1</v>
      </c>
    </row>
    <row r="2640" ht="15.75" customHeight="1" spans="1:2">
      <c r="A2640" s="3" t="s">
        <v>15</v>
      </c>
      <c r="B2640" s="3">
        <v>1</v>
      </c>
    </row>
    <row r="2641" ht="15.75" customHeight="1" spans="1:2">
      <c r="A2641" s="3" t="str">
        <f>IFERROR(__xludf.DUMMYFUNCTION("GOOGLETRANSLATE(A2641,""en"",""pt"")"),"A jóia da vizinhança fantástica !!!")</f>
        <v>A jóia da vizinhança fantástica !!!</v>
      </c>
      <c r="B2641" s="3">
        <v>1</v>
      </c>
    </row>
    <row r="2642" ht="15.75" customHeight="1" spans="1:2">
      <c r="A2642" s="3" t="str">
        <f>IFERROR(__xludf.DUMMYFUNCTION("GOOGLETRANSLATE(A2642,""en"",""pt"")"),"Mal posso esperar para voltar.")</f>
        <v>Mal posso esperar para voltar.</v>
      </c>
      <c r="B2642" s="3">
        <v>1</v>
      </c>
    </row>
    <row r="2643" ht="15.75" customHeight="1" spans="1:2">
      <c r="A2643" s="3" t="str">
        <f>IFERROR(__xludf.DUMMYFUNCTION("GOOGLETRANSLATE(A2643,""en"",""pt"")"),"As bananas foram o pior que eu já provei.")</f>
        <v>As bananas foram o pior que eu já provei.</v>
      </c>
      <c r="B2643" s="3">
        <v>0</v>
      </c>
    </row>
    <row r="2644" ht="15.75" customHeight="1" spans="1:2">
      <c r="A2644" s="3" t="str">
        <f>IFERROR(__xludf.DUMMYFUNCTION("GOOGLETRANSLATE(A2644,""en"",""pt"")"),"É um ótimo lugar e eu recomendo-lo.")</f>
        <v>É um ótimo lugar e eu recomendo-lo.</v>
      </c>
      <c r="B2644" s="3">
        <v>1</v>
      </c>
    </row>
    <row r="2645" ht="15.75" customHeight="1" spans="1:2">
      <c r="A2645" s="3" t="str">
        <f>IFERROR(__xludf.DUMMYFUNCTION("GOOGLETRANSLATE(A2645,""en"",""pt"")"),"O serviço foi lento e não atenta.")</f>
        <v>O serviço foi lento e não atenta.</v>
      </c>
      <c r="B2645" s="3">
        <v>0</v>
      </c>
    </row>
    <row r="2646" ht="15.75" customHeight="1" spans="1:2">
      <c r="A2646" s="3" t="str">
        <f>IFERROR(__xludf.DUMMYFUNCTION("GOOGLETRANSLATE(A2646,""en"",""pt"")"),"Eu dei-lhe 5 estrelas, em seguida, e eu estou dando-lhe 5 estrelas agora.")</f>
        <v>Eu dei-lhe 5 estrelas, em seguida, e eu estou dando-lhe 5 estrelas agora.</v>
      </c>
      <c r="B2646" s="3">
        <v>1</v>
      </c>
    </row>
    <row r="2647" ht="15.75" customHeight="1" spans="1:2">
      <c r="A2647" s="3" t="str">
        <f>IFERROR(__xludf.DUMMYFUNCTION("GOOGLETRANSLATE(A2647,""en"",""pt"")"),"Sua equipe passa mais tempo falando sozinhos do que eu.")</f>
        <v>Sua equipe passa mais tempo falando sozinhos do que eu.</v>
      </c>
      <c r="B2647" s="3">
        <v>0</v>
      </c>
    </row>
    <row r="2648" ht="15.75" customHeight="1" spans="1:2">
      <c r="A2648" s="3" t="str">
        <f>IFERROR(__xludf.DUMMYFUNCTION("GOOGLETRANSLATE(A2648,""en"",""pt"")"),"Sobremesa: Panna Cotta foi incrível.")</f>
        <v>Sobremesa: Panna Cotta foi incrível.</v>
      </c>
      <c r="B2648" s="3">
        <v>1</v>
      </c>
    </row>
    <row r="2649" ht="15.75" customHeight="1" spans="1:2">
      <c r="A2649" s="3" t="str">
        <f>IFERROR(__xludf.DUMMYFUNCTION("GOOGLETRANSLATE(A2649,""en"",""pt"")"),"Muito boa comida, grandes atmosphere.1")</f>
        <v>Muito boa comida, grandes atmosphere.1</v>
      </c>
      <c r="B2649" s="3">
        <v>1</v>
      </c>
    </row>
    <row r="2650" ht="15.75" customHeight="1" spans="1:2">
      <c r="A2650" s="3" t="str">
        <f>IFERROR(__xludf.DUMMYFUNCTION("GOOGLETRANSLATE(A2650,""en"",""pt"")"),"Droga bom bife.")</f>
        <v>Droga bom bife.</v>
      </c>
      <c r="B2650" s="3">
        <v>1</v>
      </c>
    </row>
    <row r="2651" ht="15.75" customHeight="1" spans="1:2">
      <c r="A2651" s="3" t="str">
        <f>IFERROR(__xludf.DUMMYFUNCTION("GOOGLETRANSLATE(A2651,""en"",""pt"")"),"Brunch total falhar.")</f>
        <v>Brunch total falhar.</v>
      </c>
      <c r="B2651" s="3">
        <v>0</v>
      </c>
    </row>
    <row r="2652" ht="15.75" customHeight="1" spans="1:2">
      <c r="A2652" s="3" t="str">
        <f>IFERROR(__xludf.DUMMYFUNCTION("GOOGLETRANSLATE(A2652,""en"",""pt"")"),"Os preços são muito razoáveis, sabores estão no local, o molho é feito em casa, eo slaw não está encharcado de mayo.")</f>
        <v>Os preços são muito razoáveis, sabores estão no local, o molho é feito em casa, eo slaw não está encharcado de mayo.</v>
      </c>
      <c r="B2652" s="3">
        <v>1</v>
      </c>
    </row>
    <row r="2653" ht="15.75" customHeight="1" spans="1:2">
      <c r="A2653" s="3" t="str">
        <f>IFERROR(__xludf.DUMMYFUNCTION("GOOGLETRANSLATE(A2653,""en"",""pt"")"),"A decoração é bom, ea trilha sonora a música do piano é agradável.")</f>
        <v>A decoração é bom, ea trilha sonora a música do piano é agradável.</v>
      </c>
      <c r="B2653" s="3">
        <v>1</v>
      </c>
    </row>
    <row r="2654" ht="15.75" customHeight="1" spans="1:2">
      <c r="A2654" s="3" t="str">
        <f>IFERROR(__xludf.DUMMYFUNCTION("GOOGLETRANSLATE(A2654,""en"",""pt"")"),"O bife era incrível ... rge relleno filé foi a melhor prato de frutos do mar que eu já tive!")</f>
        <v>O bife era incrível ... rge relleno filé foi a melhor prato de frutos do mar que eu já tive!</v>
      </c>
      <c r="B2654" s="3">
        <v>1</v>
      </c>
    </row>
    <row r="2655" ht="15.75" customHeight="1" spans="1:2">
      <c r="A2655" s="3" t="str">
        <f>IFERROR(__xludf.DUMMYFUNCTION("GOOGLETRANSLATE(A2655,""en"",""pt"")"),"Boa comida, bom serviço.")</f>
        <v>Boa comida, bom serviço.</v>
      </c>
      <c r="B2655" s="3">
        <v>1</v>
      </c>
    </row>
    <row r="2656" ht="15.75" customHeight="1" spans="1:2">
      <c r="A2656" s="3" t="str">
        <f>IFERROR(__xludf.DUMMYFUNCTION("GOOGLETRANSLATE(A2656,""en"",""pt"")"),"Ele foi absolutamente incrível.")</f>
        <v>Ele foi absolutamente incrível.</v>
      </c>
      <c r="B2656" s="3">
        <v>1</v>
      </c>
    </row>
    <row r="2657" ht="15.75" customHeight="1" spans="1:2">
      <c r="A2657" s="3" t="str">
        <f>IFERROR(__xludf.DUMMYFUNCTION("GOOGLETRANSLATE(A2657,""en"",""pt"")"),"Eu provavelmente não vai estar de volta, para ser honesto.")</f>
        <v>Eu provavelmente não vai estar de volta, para ser honesto.</v>
      </c>
      <c r="B2657" s="3">
        <v>0</v>
      </c>
    </row>
    <row r="2658" ht="15.75" customHeight="1" spans="1:2">
      <c r="A2658" s="3" t="str">
        <f>IFERROR(__xludf.DUMMYFUNCTION("GOOGLETRANSLATE(A2658,""en"",""pt"")"),"vai ser definitivamente voltar!")</f>
        <v>vai ser definitivamente voltar!</v>
      </c>
      <c r="B2658" s="3">
        <v>1</v>
      </c>
    </row>
    <row r="2659" ht="15.75" customHeight="1" spans="1:2">
      <c r="A2659" s="3" t="str">
        <f>IFERROR(__xludf.DUMMYFUNCTION("GOOGLETRANSLATE(A2659,""en"",""pt"")"),"O sanduíche de carne sargento pimenta com molho de auju é um excelente sanduíche também.")</f>
        <v>O sanduíche de carne sargento pimenta com molho de auju é um excelente sanduíche também.</v>
      </c>
      <c r="B2659" s="3">
        <v>1</v>
      </c>
    </row>
    <row r="2660" ht="15.75" customHeight="1" spans="1:2">
      <c r="A2660" s="3" t="str">
        <f>IFERROR(__xludf.DUMMYFUNCTION("GOOGLETRANSLATE(A2660,""en"",""pt"")"),"Hawaiian Breeze, Mango Mágico e abacaxi Delight são os smoothies que eu tentei até agora e todos eles são bons.")</f>
        <v>Hawaiian Breeze, Mango Mágico e abacaxi Delight são os smoothies que eu tentei até agora e todos eles são bons.</v>
      </c>
      <c r="B2660" s="3">
        <v>1</v>
      </c>
    </row>
    <row r="2661" ht="15.75" customHeight="1" spans="1:2">
      <c r="A2661" s="3" t="str">
        <f>IFERROR(__xludf.DUMMYFUNCTION("GOOGLETRANSLATE(A2661,""en"",""pt"")"),"Fui para o almoço - serviço foi lento.")</f>
        <v>Fui para o almoço - serviço foi lento.</v>
      </c>
      <c r="B2661" s="3">
        <v>0</v>
      </c>
    </row>
    <row r="2662" ht="15.75" customHeight="1" spans="1:2">
      <c r="A2662" s="3" t="s">
        <v>16</v>
      </c>
      <c r="B2662" s="3">
        <v>0</v>
      </c>
    </row>
    <row r="2663" ht="15.75" customHeight="1" spans="1:2">
      <c r="A2663" s="3" t="str">
        <f>IFERROR(__xludf.DUMMYFUNCTION("GOOGLETRANSLATE(A2663,""en"",""pt"")"),"Eu estava mortificada.")</f>
        <v>Eu estava mortificada.</v>
      </c>
      <c r="B2663" s="3">
        <v>0</v>
      </c>
    </row>
    <row r="2664" ht="15.75" customHeight="1" spans="1:2">
      <c r="A2664" s="3" t="str">
        <f>IFERROR(__xludf.DUMMYFUNCTION("GOOGLETRANSLATE(A2664,""en"",""pt"")"),"Escusado será dizer que nós nunca vamos estar de volta aqui novamente.")</f>
        <v>Escusado será dizer que nós nunca vamos estar de volta aqui novamente.</v>
      </c>
      <c r="B2664" s="3">
        <v>0</v>
      </c>
    </row>
    <row r="2665" ht="15.75" customHeight="1" spans="1:2">
      <c r="A2665" s="3" t="str">
        <f>IFERROR(__xludf.DUMMYFUNCTION("GOOGLETRANSLATE(A2665,""en"",""pt"")"),"De qualquer forma, a comida definitivamente não estava enchendo em tudo, e para o preço que você paga você deve esperar mais.")</f>
        <v>De qualquer forma, a comida definitivamente não estava enchendo em tudo, e para o preço que você paga você deve esperar mais.</v>
      </c>
      <c r="B2665" s="3">
        <v>0</v>
      </c>
    </row>
    <row r="2666" ht="15.75" customHeight="1" spans="1:2">
      <c r="A2666" s="3" t="str">
        <f>IFERROR(__xludf.DUMMYFUNCTION("GOOGLETRANSLATE(A2666,""en"",""pt"")"),"Os chips que saíram foram gotejamento com gordura, e na maior parte não comestível.")</f>
        <v>Os chips que saíram foram gotejamento com gordura, e na maior parte não comestível.</v>
      </c>
      <c r="B2666" s="3">
        <v>0</v>
      </c>
    </row>
    <row r="2667" ht="15.75" customHeight="1" spans="1:2">
      <c r="A2667" s="3" t="str">
        <f>IFERROR(__xludf.DUMMYFUNCTION("GOOGLETRANSLATE(A2667,""en"",""pt"")"),"Eu não estava realmente impressionado com o Strip Steak.")</f>
        <v>Eu não estava realmente impressionado com o Strip Steak.</v>
      </c>
      <c r="B2667" s="3">
        <v>0</v>
      </c>
    </row>
    <row r="2668" ht="15.75" customHeight="1" spans="1:2">
      <c r="A2668" s="3" t="str">
        <f>IFERROR(__xludf.DUMMYFUNCTION("GOOGLETRANSLATE(A2668,""en"",""pt"")"),"Foram indo desde 2007 e cada refeição foi incrível !!")</f>
        <v>Foram indo desde 2007 e cada refeição foi incrível !!</v>
      </c>
      <c r="B2668" s="3">
        <v>1</v>
      </c>
    </row>
    <row r="2669" ht="15.75" customHeight="1" spans="1:2">
      <c r="A2669" s="3" t="str">
        <f>IFERROR(__xludf.DUMMYFUNCTION("GOOGLETRANSLATE(A2669,""en"",""pt"")"),"O nosso servidor foi muito agradável e atencioso como as outras equipe serviço.")</f>
        <v>O nosso servidor foi muito agradável e atencioso como as outras equipe serviço.</v>
      </c>
      <c r="B2669" s="3">
        <v>1</v>
      </c>
    </row>
    <row r="2670" ht="15.75" customHeight="1" spans="1:2">
      <c r="A2670" s="3" t="str">
        <f>IFERROR(__xludf.DUMMYFUNCTION("GOOGLETRANSLATE(A2670,""en"",""pt"")"),"O caixa foi amigável e até mesmo trouxe a comida para mim.")</f>
        <v>O caixa foi amigável e até mesmo trouxe a comida para mim.</v>
      </c>
      <c r="B2670" s="3">
        <v>1</v>
      </c>
    </row>
    <row r="2671" ht="15.75" customHeight="1" spans="1:2">
      <c r="A2671" s="3" t="str">
        <f>IFERROR(__xludf.DUMMYFUNCTION("GOOGLETRANSLATE(A2671,""en"",""pt"")"),"Eu trabalho na indústria da hospitalidade em Paradise Valley e abstiveram-se de recomendar Cibo por mais tempo.")</f>
        <v>Eu trabalho na indústria da hospitalidade em Paradise Valley e abstiveram-se de recomendar Cibo por mais tempo.</v>
      </c>
      <c r="B2671" s="3">
        <v>0</v>
      </c>
    </row>
    <row r="2672" ht="15.75" customHeight="1" spans="1:2">
      <c r="A2672" s="3" t="str">
        <f>IFERROR(__xludf.DUMMYFUNCTION("GOOGLETRANSLATE(A2672,""en"",""pt"")"),"A atmosfera aqui é divertido.")</f>
        <v>A atmosfera aqui é divertido.</v>
      </c>
      <c r="B2672" s="3">
        <v>1</v>
      </c>
    </row>
    <row r="2673" ht="15.75" customHeight="1" spans="1:2">
      <c r="A2673" s="3" t="str">
        <f>IFERROR(__xludf.DUMMYFUNCTION("GOOGLETRANSLATE(A2673,""en"",""pt"")"),"Não recomendaria a outros.")</f>
        <v>Não recomendaria a outros.</v>
      </c>
      <c r="B2673" s="3">
        <v>0</v>
      </c>
    </row>
    <row r="2674" ht="15.75" customHeight="1" spans="1:2">
      <c r="A2674" s="3" t="str">
        <f>IFERROR(__xludf.DUMMYFUNCTION("GOOGLETRANSLATE(A2674,""en"",""pt"")"),"O serviço é rápido e até mesmo ""ir"" ordens são como nós gostamos!")</f>
        <v>O serviço é rápido e até mesmo "ir" ordens são como nós gostamos!</v>
      </c>
      <c r="B2674" s="3">
        <v>1</v>
      </c>
    </row>
    <row r="2675" ht="15.75" customHeight="1" spans="1:2">
      <c r="A2675" s="3" t="str">
        <f>IFERROR(__xludf.DUMMYFUNCTION("GOOGLETRANSLATE(A2675,""en"",""pt"")"),"Quero dizer realmente, como você ficar tão famoso por seus peixes e batatas fritas quando é tão terrível!?!")</f>
        <v>Quero dizer realmente, como você ficar tão famoso por seus peixes e batatas fritas quando é tão terrível!?!</v>
      </c>
      <c r="B2675" s="3">
        <v>0</v>
      </c>
    </row>
    <row r="2676" ht="15.75" customHeight="1" spans="1:2">
      <c r="A2676" s="3" t="str">
        <f>IFERROR(__xludf.DUMMYFUNCTION("GOOGLETRANSLATE(A2676,""en"",""pt"")"),"Dito isto, nossas bocas e barrigas ainda foram bastante satisfeitos.")</f>
        <v>Dito isto, nossas bocas e barrigas ainda foram bastante satisfeitos.</v>
      </c>
      <c r="B2676" s="3">
        <v>1</v>
      </c>
    </row>
    <row r="2677" ht="15.75" customHeight="1" spans="1:2">
      <c r="A2677" s="3" t="str">
        <f>IFERROR(__xludf.DUMMYFUNCTION("GOOGLETRANSLATE(A2677,""en"",""pt"")"),"Não é para mim.")</f>
        <v>Não é para mim.</v>
      </c>
      <c r="B2677" s="3">
        <v>0</v>
      </c>
    </row>
    <row r="2678" ht="15.75" customHeight="1" spans="1:2">
      <c r="A2678" s="3" t="str">
        <f>IFERROR(__xludf.DUMMYFUNCTION("GOOGLETRANSLATE(A2678,""en"",""pt"")"),"Se você está lendo isso, por favor não vá lá.")</f>
        <v>Se você está lendo isso, por favor não vá lá.</v>
      </c>
      <c r="B2678" s="3">
        <v>0</v>
      </c>
    </row>
    <row r="2679" ht="15.75" customHeight="1" spans="1:2">
      <c r="A2679" s="3" t="str">
        <f>IFERROR(__xludf.DUMMYFUNCTION("GOOGLETRANSLATE(A2679,""en"",""pt"")"),"Eu amei a pizza grelhado, me lembrou de legítimo pizza italiana.")</f>
        <v>Eu amei a pizza grelhado, me lembrou de legítimo pizza italiana.</v>
      </c>
      <c r="B2679" s="3">
        <v>1</v>
      </c>
    </row>
    <row r="2680" ht="15.75" customHeight="1" spans="1:2">
      <c r="A2680" s="3" t="str">
        <f>IFERROR(__xludf.DUMMYFUNCTION("GOOGLETRANSLATE(A2680,""en"",""pt"")"),"Somente Prós: Grande área de estar / área de bar Nice / Great menu simples bebida / A melhor pizza do forno de tijolos com caseiro massa!")</f>
        <v>Somente Prós: Grande área de estar / área de bar Nice / Great menu simples bebida / A melhor pizza do forno de tijolos com caseiro massa!</v>
      </c>
      <c r="B2680" s="3">
        <v>1</v>
      </c>
    </row>
    <row r="2681" ht="15.75" customHeight="1" spans="1:2">
      <c r="A2681" s="3" t="str">
        <f>IFERROR(__xludf.DUMMYFUNCTION("GOOGLETRANSLATE(A2681,""en"",""pt"")"),"Eles têm uma atmosfera muito agradável.")</f>
        <v>Eles têm uma atmosfera muito agradável.</v>
      </c>
      <c r="B2681" s="3">
        <v>1</v>
      </c>
    </row>
    <row r="2682" ht="15.75" customHeight="1" spans="1:2">
      <c r="A2682" s="3" t="str">
        <f>IFERROR(__xludf.DUMMYFUNCTION("GOOGLETRANSLATE(A2682,""en"",""pt"")"),"Hoje à noite eu tinha o especial Elk filé ... e chupado.")</f>
        <v>Hoje à noite eu tinha o especial Elk filé ... e chupado.</v>
      </c>
      <c r="B2682" s="3">
        <v>0</v>
      </c>
    </row>
    <row r="2683" ht="15.75" customHeight="1" spans="1:2">
      <c r="A2683" s="3" t="str">
        <f>IFERROR(__xludf.DUMMYFUNCTION("GOOGLETRANSLATE(A2683,""en"",""pt"")"),"Depois de uma refeição, eu era viciado.")</f>
        <v>Depois de uma refeição, eu era viciado.</v>
      </c>
      <c r="B2683" s="3">
        <v>1</v>
      </c>
    </row>
    <row r="2684" ht="15.75" customHeight="1" spans="1:2">
      <c r="A2684" s="3" t="str">
        <f>IFERROR(__xludf.DUMMYFUNCTION("GOOGLETRANSLATE(A2684,""en"",""pt"")"),"Nós pedimos alguns clássicos antigos e alguns novos pratos depois de ir lá algumas vezes e foram muito desapontados com tudo.")</f>
        <v>Nós pedimos alguns clássicos antigos e alguns novos pratos depois de ir lá algumas vezes e foram muito desapontados com tudo.</v>
      </c>
      <c r="B2684" s="3">
        <v>0</v>
      </c>
    </row>
    <row r="2685" ht="15.75" customHeight="1" spans="1:2">
      <c r="A2685" s="3" t="str">
        <f>IFERROR(__xludf.DUMMYFUNCTION("GOOGLETRANSLATE(A2685,""en"",""pt"")"),"Bonito, elegante, simples, honesto.")</f>
        <v>Bonito, elegante, simples, honesto.</v>
      </c>
      <c r="B2685" s="3">
        <v>1</v>
      </c>
    </row>
    <row r="2686" ht="15.75" customHeight="1" spans="1:2">
      <c r="A2686" s="3" t="str">
        <f>IFERROR(__xludf.DUMMYFUNCTION("GOOGLETRANSLATE(A2686,""en"",""pt"")"),"O frango foi deliciosamente temperada e tinha a RFJ perfeitos do lado de fora e frango úmido no interior.")</f>
        <v>O frango foi deliciosamente temperada e tinha a RFJ perfeitos do lado de fora e frango úmido no interior.</v>
      </c>
      <c r="B2686" s="3">
        <v>1</v>
      </c>
    </row>
    <row r="2687" ht="15.75" customHeight="1" spans="1:2">
      <c r="A2687" s="3" t="str">
        <f>IFERROR(__xludf.DUMMYFUNCTION("GOOGLETRANSLATE(A2687,""en"",""pt"")"),"A comida era ótima, como sempre, cortesia do chef.")</f>
        <v>A comida era ótima, como sempre, cortesia do chef.</v>
      </c>
      <c r="B2687" s="3">
        <v>1</v>
      </c>
    </row>
    <row r="2688" ht="15.75" customHeight="1" spans="1:2">
      <c r="A2688" s="3" t="str">
        <f>IFERROR(__xludf.DUMMYFUNCTION("GOOGLETRANSLATE(A2688,""en"",""pt"")"),"Um agradecimento especial a Dylan T. para a recomendação sobre o que ordem :) Tudo gostoso para minha barriga.")</f>
        <v>Um agradecimento especial a Dylan T. para a recomendação sobre o que ordem :) Tudo gostoso para minha barriga.</v>
      </c>
      <c r="B2688" s="3">
        <v>1</v>
      </c>
    </row>
    <row r="2689" ht="15.75" customHeight="1" spans="1:2">
      <c r="A2689" s="3" t="str">
        <f>IFERROR(__xludf.DUMMYFUNCTION("GOOGLETRANSLATE(A2689,""en"",""pt"")"),"Seleção impressionante de cerveja.")</f>
        <v>Seleção impressionante de cerveja.</v>
      </c>
      <c r="B2689" s="3">
        <v>1</v>
      </c>
    </row>
    <row r="2690" ht="15.75" customHeight="1" spans="1:2">
      <c r="A2690" s="3" t="str">
        <f>IFERROR(__xludf.DUMMYFUNCTION("GOOGLETRANSLATE(A2690,""en"",""pt"")"),"Great alimentos e serviço incrível!")</f>
        <v>Great alimentos e serviço incrível!</v>
      </c>
      <c r="B2690" s="3">
        <v>1</v>
      </c>
    </row>
    <row r="2691" ht="15.75" customHeight="1" spans="1:2">
      <c r="A2691" s="3" t="str">
        <f>IFERROR(__xludf.DUMMYFUNCTION("GOOGLETRANSLATE(A2691,""en"",""pt"")"),"Uma coisa boa foi que eles adicionaram gratuidade na conta desde a nossa festa foi maior do que 6 ou 8, e eles não esperavam mais dica do que isso.")</f>
        <v>Uma coisa boa foi que eles adicionaram gratuidade na conta desde a nossa festa foi maior do que 6 ou 8, e eles não esperavam mais dica do que isso.</v>
      </c>
      <c r="B2691" s="3">
        <v>1</v>
      </c>
    </row>
    <row r="2692" ht="15.75" customHeight="1" spans="1:2">
      <c r="A2692" s="3" t="str">
        <f>IFERROR(__xludf.DUMMYFUNCTION("GOOGLETRANSLATE(A2692,""en"",""pt"")"),"A FLY estava no meu suco de maçã .. UMA MOSCA !!!!!!!!")</f>
        <v>A FLY estava no meu suco de maçã .. UMA MOSCA !!!!!!!!</v>
      </c>
      <c r="B2692" s="3">
        <v>0</v>
      </c>
    </row>
    <row r="2693" ht="15.75" customHeight="1" spans="1:2">
      <c r="A2693" s="3" t="str">
        <f>IFERROR(__xludf.DUMMYFUNCTION("GOOGLETRANSLATE(A2693,""en"",""pt"")"),"O Han Nan frango também foi muito saborosa.")</f>
        <v>O Han Nan frango também foi muito saborosa.</v>
      </c>
      <c r="B2693" s="3">
        <v>1</v>
      </c>
    </row>
    <row r="2694" ht="15.75" customHeight="1" spans="1:2">
      <c r="A2694" s="3" t="str">
        <f>IFERROR(__xludf.DUMMYFUNCTION("GOOGLETRANSLATE(A2694,""en"",""pt"")"),"Como para o serviço, eu pensei que era bom.")</f>
        <v>Como para o serviço, eu pensei que era bom.</v>
      </c>
      <c r="B2694" s="3">
        <v>1</v>
      </c>
    </row>
    <row r="2695" ht="15.75" customHeight="1" spans="1:2">
      <c r="A2695" s="3" t="str">
        <f>IFERROR(__xludf.DUMMYFUNCTION("GOOGLETRANSLATE(A2695,""en"",""pt"")"),"A comida era apenas morno, por isso deve ter sido sentado esperando pelo servidor para trazê-lo para nós.")</f>
        <v>A comida era apenas morno, por isso deve ter sido sentado esperando pelo servidor para trazê-lo para nós.</v>
      </c>
      <c r="B2695" s="3">
        <v>0</v>
      </c>
    </row>
    <row r="2696" ht="15.75" customHeight="1" spans="1:2">
      <c r="A2696" s="3" t="str">
        <f>IFERROR(__xludf.DUMMYFUNCTION("GOOGLETRANSLATE(A2696,""en"",""pt"")"),"Ryan Bar é definitivamente um estabelecimento de Edimburgo eu não será revisitando.")</f>
        <v>Ryan Bar é definitivamente um estabelecimento de Edimburgo eu não será revisitando.</v>
      </c>
      <c r="B2696" s="3">
        <v>0</v>
      </c>
    </row>
    <row r="2697" ht="15.75" customHeight="1" spans="1:2">
      <c r="A2697" s="3" t="str">
        <f>IFERROR(__xludf.DUMMYFUNCTION("GOOGLETRANSLATE(A2697,""en"",""pt"")"),"delight restaurante chinês Eu estive em um tempo.")</f>
        <v>delight restaurante chinês Eu estive em um tempo.</v>
      </c>
      <c r="B2697" s="3">
        <v>1</v>
      </c>
    </row>
    <row r="2698" ht="15.75" customHeight="1" spans="1:2">
      <c r="A2698" s="3" t="str">
        <f>IFERROR(__xludf.DUMMYFUNCTION("GOOGLETRANSLATE(A2698,""en"",""pt"")"),"No geral, eu gosto a comida eo serviço.")</f>
        <v>No geral, eu gosto a comida eo serviço.</v>
      </c>
      <c r="B2698" s="3">
        <v>1</v>
      </c>
    </row>
    <row r="2699" ht="15.75" customHeight="1" spans="1:2">
      <c r="A2699" s="3" t="str">
        <f>IFERROR(__xludf.DUMMYFUNCTION("GOOGLETRANSLATE(A2699,""en"",""pt"")"),"Eles também servem agora pão naan indiano com hummus e alguns picante pine nut molho que estava fora deste mundo.")</f>
        <v>Eles também servem agora pão naan indiano com hummus e alguns picante pine nut molho que estava fora deste mundo.</v>
      </c>
      <c r="B2699" s="3">
        <v>1</v>
      </c>
    </row>
    <row r="2700" ht="15.75" customHeight="1" spans="1:2">
      <c r="A2700" s="3" t="str">
        <f>IFERROR(__xludf.DUMMYFUNCTION("GOOGLETRANSLATE(A2700,""en"",""pt"")"),"Provavelmente nunca mais voltar e não recomendo.")</f>
        <v>Provavelmente nunca mais voltar e não recomendo.</v>
      </c>
      <c r="B2700" s="3">
        <v>0</v>
      </c>
    </row>
    <row r="2701" ht="15.75" customHeight="1" spans="1:2">
      <c r="A2701" s="3" t="str">
        <f>IFERROR(__xludf.DUMMYFUNCTION("GOOGLETRANSLATE(A2701,""en"",""pt"")"),"massas do amigo - também ruim, ele mal tocou.")</f>
        <v>massas do amigo - também ruim, ele mal tocou.</v>
      </c>
      <c r="B2701" s="3">
        <v>0</v>
      </c>
    </row>
    <row r="2702" ht="15.75" customHeight="1" spans="1:2">
      <c r="A2702" s="3" t="str">
        <f>IFERROR(__xludf.DUMMYFUNCTION("GOOGLETRANSLATE(A2702,""en"",""pt"")"),"Julgá-los no aeroporto para experimentar alguma comida saborosa e rápida, serviço simpático.")</f>
        <v>Julgá-los no aeroporto para experimentar alguma comida saborosa e rápida, serviço simpático.</v>
      </c>
      <c r="B2702" s="3">
        <v>1</v>
      </c>
    </row>
    <row r="2703" ht="15.75" customHeight="1" spans="1:2">
      <c r="A2703" s="3" t="str">
        <f>IFERROR(__xludf.DUMMYFUNCTION("GOOGLETRANSLATE(A2703,""en"",""pt"")"),"Eu adoro a decoração com o papel de parede caligrafia chinesa.")</f>
        <v>Eu adoro a decoração com o papel de parede caligrafia chinesa.</v>
      </c>
      <c r="B2703" s="3">
        <v>1</v>
      </c>
    </row>
    <row r="2704" ht="15.75" customHeight="1" spans="1:2">
      <c r="A2704" s="3" t="str">
        <f>IFERROR(__xludf.DUMMYFUNCTION("GOOGLETRANSLATE(A2704,""en"",""pt"")"),"Nunca tive nada que reclamar aqui.")</f>
        <v>Nunca tive nada que reclamar aqui.</v>
      </c>
      <c r="B2704" s="3">
        <v>1</v>
      </c>
    </row>
    <row r="2705" ht="15.75" customHeight="1" spans="1:2">
      <c r="A2705" s="3" t="str">
        <f>IFERROR(__xludf.DUMMYFUNCTION("GOOGLETRANSLATE(A2705,""en"",""pt"")"),"O restaurante é muito limpo e tem um restaurante familiar sensação.")</f>
        <v>O restaurante é muito limpo e tem um restaurante familiar sensação.</v>
      </c>
      <c r="B2705" s="3">
        <v>1</v>
      </c>
    </row>
    <row r="2706" ht="15.75" customHeight="1" spans="1:2">
      <c r="A2706" s="3" t="str">
        <f>IFERROR(__xludf.DUMMYFUNCTION("GOOGLETRANSLATE(A2706,""en"",""pt"")"),"Ele foi mais frito.")</f>
        <v>Ele foi mais frito.</v>
      </c>
      <c r="B2706" s="3">
        <v>0</v>
      </c>
    </row>
    <row r="2707" ht="15.75" customHeight="1" spans="1:2">
      <c r="A2707" s="3" t="str">
        <f>IFERROR(__xludf.DUMMYFUNCTION("GOOGLETRANSLATE(A2707,""en"",""pt"")"),"Eu não tenho certeza quanto tempo ficamos lá, mas foi tempo suficiente para eu começar a sentir-se estranhamente fora do lugar.")</f>
        <v>Eu não tenho certeza quanto tempo ficamos lá, mas foi tempo suficiente para eu começar a sentir-se estranhamente fora do lugar.</v>
      </c>
      <c r="B2707" s="3">
        <v>0</v>
      </c>
    </row>
    <row r="2708" ht="15.75" customHeight="1" spans="1:2">
      <c r="A2708" s="3" t="str">
        <f>IFERROR(__xludf.DUMMYFUNCTION("GOOGLETRANSLATE(A2708,""en"",""pt"")"),"Quando abri o sanduíche, fiquei impressionado, mas não em um bom caminho.")</f>
        <v>Quando abri o sanduíche, fiquei impressionado, mas não em um bom caminho.</v>
      </c>
      <c r="B2708" s="3">
        <v>0</v>
      </c>
    </row>
    <row r="2709" ht="15.75" customHeight="1" spans="1:2">
      <c r="A2709" s="3" t="str">
        <f>IFERROR(__xludf.DUMMYFUNCTION("GOOGLETRANSLATE(A2709,""en"",""pt"")"),"não vai estar de volta!")</f>
        <v>não vai estar de volta!</v>
      </c>
      <c r="B2709" s="3">
        <v>0</v>
      </c>
    </row>
    <row r="2710" ht="15.75" customHeight="1" spans="1:2">
      <c r="A2710" s="3" t="str">
        <f>IFERROR(__xludf.DUMMYFUNCTION("GOOGLETRANSLATE(A2710,""en"",""pt"")"),"Havia uma sensação de calor com o serviço e eu me senti como seu convidado para um tratamento especial.")</f>
        <v>Havia uma sensação de calor com o serviço e eu me senti como seu convidado para um tratamento especial.</v>
      </c>
      <c r="B2710" s="3">
        <v>1</v>
      </c>
    </row>
    <row r="2711" ht="15.75" customHeight="1" spans="1:2">
      <c r="A2711" s="3" t="str">
        <f>IFERROR(__xludf.DUMMYFUNCTION("GOOGLETRANSLATE(A2711,""en"",""pt"")"),"Um extenso menu oferece muitas opções para café da manhã.")</f>
        <v>Um extenso menu oferece muitas opções para café da manhã.</v>
      </c>
      <c r="B2711" s="3">
        <v>1</v>
      </c>
    </row>
    <row r="2712" ht="15.75" customHeight="1" spans="1:2">
      <c r="A2712" s="3" t="str">
        <f>IFERROR(__xludf.DUMMYFUNCTION("GOOGLETRANSLATE(A2712,""en"",""pt"")"),"Eu sempre encomendar a partir do menu vegetariano durante o jantar, que tem uma grande variedade de opções para escolher.")</f>
        <v>Eu sempre encomendar a partir do menu vegetariano durante o jantar, que tem uma grande variedade de opções para escolher.</v>
      </c>
      <c r="B2712" s="3">
        <v>1</v>
      </c>
    </row>
    <row r="2713" ht="15.75" customHeight="1" spans="1:2">
      <c r="A2713" s="3" t="str">
        <f>IFERROR(__xludf.DUMMYFUNCTION("GOOGLETRANSLATE(A2713,""en"",""pt"")"),"Eu assisti seus preços inflar, porções ficam menores e as atitudes de gestão crescer rapidamente!")</f>
        <v>Eu assisti seus preços inflar, porções ficam menores e as atitudes de gestão crescer rapidamente!</v>
      </c>
      <c r="B2713" s="3">
        <v>0</v>
      </c>
    </row>
    <row r="2714" ht="15.75" customHeight="1" spans="1:2">
      <c r="A2714" s="3" t="str">
        <f>IFERROR(__xludf.DUMMYFUNCTION("GOOGLETRANSLATE(A2714,""en"",""pt"")"),"tapas lil maravilhosos eo ambiente me fez sentir toda quente e dentro difusa.")</f>
        <v>tapas lil maravilhosos eo ambiente me fez sentir toda quente e dentro difusa.</v>
      </c>
      <c r="B2714" s="3">
        <v>1</v>
      </c>
    </row>
    <row r="2715" ht="15.75" customHeight="1" spans="1:2">
      <c r="A2715" s="3" t="str">
        <f>IFERROR(__xludf.DUMMYFUNCTION("GOOGLETRANSLATE(A2715,""en"",""pt"")"),"I got a aproveitar a salada de frutos do mar, com uma vinegrette fabuloso.")</f>
        <v>I got a aproveitar a salada de frutos do mar, com uma vinegrette fabuloso.</v>
      </c>
      <c r="B2715" s="3">
        <v>1</v>
      </c>
    </row>
    <row r="2716" ht="15.75" customHeight="1" spans="1:2">
      <c r="A2716" s="3" t="str">
        <f>IFERROR(__xludf.DUMMYFUNCTION("GOOGLETRANSLATE(A2716,""en"",""pt"")"),"Os wontons foram fina, não espesso e mastigável, quase derreter na boca.")</f>
        <v>Os wontons foram fina, não espesso e mastigável, quase derreter na boca.</v>
      </c>
      <c r="B2716" s="3">
        <v>1</v>
      </c>
    </row>
    <row r="2717" ht="15.75" customHeight="1" spans="1:2">
      <c r="A2717" s="3" t="str">
        <f>IFERROR(__xludf.DUMMYFUNCTION("GOOGLETRANSLATE(A2717,""en"",""pt"")"),"Nível 5 picante era perfeito, onde tempero fez não over-whelm a sopa.")</f>
        <v>Nível 5 picante era perfeito, onde tempero fez não over-whelm a sopa.</v>
      </c>
      <c r="B2717" s="3">
        <v>1</v>
      </c>
    </row>
    <row r="2718" ht="15.75" customHeight="1" spans="1:2">
      <c r="A2718" s="3" t="str">
        <f>IFERROR(__xludf.DUMMYFUNCTION("GOOGLETRANSLATE(A2718,""en"",""pt"")"),"Estávamos sentados na hora certa e nosso servidor do go get foi FANTÁSTICA!")</f>
        <v>Estávamos sentados na hora certa e nosso servidor do go get foi FANTÁSTICA!</v>
      </c>
      <c r="B2718" s="3">
        <v>1</v>
      </c>
    </row>
    <row r="2719" ht="15.75" customHeight="1" spans="1:2">
      <c r="A2719" s="3" t="str">
        <f>IFERROR(__xludf.DUMMYFUNCTION("GOOGLETRANSLATE(A2719,""en"",""pt"")"),"Principal coisa que eu não desfrutar é que a multidão é de público mais velho, em meados 30 e para cima.")</f>
        <v>Principal coisa que eu não desfrutar é que a multidão é de público mais velho, em meados 30 e para cima.</v>
      </c>
      <c r="B2719" s="3">
        <v>0</v>
      </c>
    </row>
    <row r="2720" ht="15.75" customHeight="1" spans="1:2">
      <c r="A2720" s="3" t="str">
        <f>IFERROR(__xludf.DUMMYFUNCTION("GOOGLETRANSLATE(A2720,""en"",""pt"")"),"Quando estou deste lado da cidade, este será definitivamente um lugar eu vou bater de novo!")</f>
        <v>Quando estou deste lado da cidade, este será definitivamente um lugar eu vou bater de novo!</v>
      </c>
      <c r="B2720" s="3">
        <v>1</v>
      </c>
    </row>
    <row r="2721" ht="15.75" customHeight="1" spans="1:2">
      <c r="A2721" s="3" t="str">
        <f>IFERROR(__xludf.DUMMYFUNCTION("GOOGLETRANSLATE(A2721,""en"",""pt"")"),"Eu tive que esperar mais de 30 minutos para chegar a minha bebida e mais tempo para obter 2 arepas.")</f>
        <v>Eu tive que esperar mais de 30 minutos para chegar a minha bebida e mais tempo para obter 2 arepas.</v>
      </c>
      <c r="B2721" s="3">
        <v>0</v>
      </c>
    </row>
    <row r="2722" ht="15.75" customHeight="1" spans="1:2">
      <c r="A2722" s="3" t="str">
        <f>IFERROR(__xludf.DUMMYFUNCTION("GOOGLETRANSLATE(A2722,""en"",""pt"")"),"Este é um ótimo lugar para comer!")</f>
        <v>Este é um ótimo lugar para comer!</v>
      </c>
      <c r="B2722" s="3">
        <v>1</v>
      </c>
    </row>
    <row r="2723" ht="15.75" customHeight="1" spans="1:2">
      <c r="A2723" s="3" t="str">
        <f>IFERROR(__xludf.DUMMYFUNCTION("GOOGLETRANSLATE(A2723,""en"",""pt"")"),"O bacon jalapeno é soooo boa.")</f>
        <v>O bacon jalapeno é soooo boa.</v>
      </c>
      <c r="B2723" s="3">
        <v>1</v>
      </c>
    </row>
    <row r="2724" ht="15.75" customHeight="1" spans="1:2">
      <c r="A2724" s="3" t="str">
        <f>IFERROR(__xludf.DUMMYFUNCTION("GOOGLETRANSLATE(A2724,""en"",""pt"")"),"O serviço era fraco e isso é ser agradável.")</f>
        <v>O serviço era fraco e isso é ser agradável.</v>
      </c>
      <c r="B2724" s="3">
        <v>0</v>
      </c>
    </row>
    <row r="2725" ht="15.75" customHeight="1" spans="1:2">
      <c r="A2725" s="3" t="str">
        <f>IFERROR(__xludf.DUMMYFUNCTION("GOOGLETRANSLATE(A2725,""en"",""pt"")"),"Alimentos foi bom, serviço foi bom, os preços eram bons.")</f>
        <v>Alimentos foi bom, serviço foi bom, os preços eram bons.</v>
      </c>
      <c r="B2725" s="3">
        <v>1</v>
      </c>
    </row>
    <row r="2726" ht="15.75" customHeight="1" spans="1:2">
      <c r="A2726" s="3" t="str">
        <f>IFERROR(__xludf.DUMMYFUNCTION("GOOGLETRANSLATE(A2726,""en"",""pt"")"),"O local não era limpo ea comida oh tão envelhecer!")</f>
        <v>O local não era limpo ea comida oh tão envelhecer!</v>
      </c>
      <c r="B2726" s="3">
        <v>0</v>
      </c>
    </row>
    <row r="2727" ht="15.75" customHeight="1" spans="1:2">
      <c r="A2727" s="3" t="str">
        <f>IFERROR(__xludf.DUMMYFUNCTION("GOOGLETRANSLATE(A2727,""en"",""pt"")"),"Os pratos de frango são OK, a carne é como sapato de couro.")</f>
        <v>Os pratos de frango são OK, a carne é como sapato de couro.</v>
      </c>
      <c r="B2727" s="3">
        <v>0</v>
      </c>
    </row>
    <row r="2728" ht="15.75" customHeight="1" spans="1:2">
      <c r="A2728" s="3" t="str">
        <f>IFERROR(__xludf.DUMMYFUNCTION("GOOGLETRANSLATE(A2728,""en"",""pt"")"),"Mas o serviço foi além bad.")</f>
        <v>Mas o serviço foi além bad.</v>
      </c>
      <c r="B2728" s="3">
        <v>0</v>
      </c>
    </row>
    <row r="2729" ht="15.75" customHeight="1" spans="1:2">
      <c r="A2729" s="3" t="str">
        <f>IFERROR(__xludf.DUMMYFUNCTION("GOOGLETRANSLATE(A2729,""en"",""pt"")"),"Estou tão feliz por estar aqui !!!""")</f>
        <v>Estou tão feliz por estar aqui !!!"</v>
      </c>
      <c r="B2729" s="3">
        <v>1</v>
      </c>
    </row>
    <row r="2730" ht="15.75" customHeight="1" spans="1:2">
      <c r="A2730" s="3" t="str">
        <f>IFERROR(__xludf.DUMMYFUNCTION("GOOGLETRANSLATE(A2730,""en"",""pt"")"),"Provei como sujeira.")</f>
        <v>Provei como sujeira.</v>
      </c>
      <c r="B2730" s="3">
        <v>0</v>
      </c>
    </row>
    <row r="2731" ht="15.75" customHeight="1" spans="1:2">
      <c r="A2731" s="3" t="str">
        <f>IFERROR(__xludf.DUMMYFUNCTION("GOOGLETRANSLATE(A2731,""en"",""pt"")"),"Um dos poucos lugares em Phoenix que eu definitivamente voltar para novamente.")</f>
        <v>Um dos poucos lugares em Phoenix que eu definitivamente voltar para novamente.</v>
      </c>
      <c r="B2731" s="3">
        <v>1</v>
      </c>
    </row>
    <row r="2732" ht="15.75" customHeight="1" spans="1:2">
      <c r="A2732" s="3" t="str">
        <f>IFERROR(__xludf.DUMMYFUNCTION("GOOGLETRANSLATE(A2732,""en"",""pt"")"),"O bloco foi incrível.")</f>
        <v>O bloco foi incrível.</v>
      </c>
      <c r="B2732" s="3">
        <v>1</v>
      </c>
    </row>
    <row r="2733" ht="15.75" customHeight="1" spans="1:2">
      <c r="A2733" s="3" t="str">
        <f>IFERROR(__xludf.DUMMYFUNCTION("GOOGLETRANSLATE(A2733,""en"",""pt"")"),"É perto da minha casa, é discreto, não-sofisticados, preços acessíveis, boa comida.")</f>
        <v>É perto da minha casa, é discreto, não-sofisticados, preços acessíveis, boa comida.</v>
      </c>
      <c r="B2733" s="3">
        <v>1</v>
      </c>
    </row>
    <row r="2734" ht="15.75" customHeight="1" spans="1:2">
      <c r="A2734" s="3" t="str">
        <f>IFERROR(__xludf.DUMMYFUNCTION("GOOGLETRANSLATE(A2734,""en"",""pt"")"),"Meu sashimi foi má qualidade encharcado estar e insípido.")</f>
        <v>Meu sashimi foi má qualidade encharcado estar e insípido.</v>
      </c>
      <c r="B2734" s="3">
        <v>0</v>
      </c>
    </row>
    <row r="2735" ht="15.75" customHeight="1" spans="1:2">
      <c r="A2735" s="3" t="str">
        <f>IFERROR(__xludf.DUMMYFUNCTION("GOOGLETRANSLATE(A2735,""en"",""pt"")"),"Great time - jantar em família em uma noite de domingo.")</f>
        <v>Great time - jantar em família em uma noite de domingo.</v>
      </c>
      <c r="B2735" s="3">
        <v>1</v>
      </c>
    </row>
    <row r="2736" ht="15.75" customHeight="1" spans="1:2">
      <c r="A2736" s="3" t="str">
        <f>IFERROR(__xludf.DUMMYFUNCTION("GOOGLETRANSLATE(A2736,""en"",""pt"")"),"a comida não é saborosa, para não dizer seu ""estilo Hunan tradicional real"".")</f>
        <v>a comida não é saborosa, para não dizer seu "estilo Hunan tradicional real".</v>
      </c>
      <c r="B2736" s="3">
        <v>0</v>
      </c>
    </row>
    <row r="2737" ht="15.75" customHeight="1" spans="1:2">
      <c r="A2737" s="3" t="str">
        <f>IFERROR(__xludf.DUMMYFUNCTION("GOOGLETRANSLATE(A2737,""en"",""pt"")"),"O que me incomoda, foi o serviço lento.")</f>
        <v>O que me incomoda, foi o serviço lento.</v>
      </c>
      <c r="B2737" s="3">
        <v>0</v>
      </c>
    </row>
    <row r="2738" ht="15.75" customHeight="1" spans="1:2">
      <c r="A2738" s="3" t="str">
        <f>IFERROR(__xludf.DUMMYFUNCTION("GOOGLETRANSLATE(A2738,""en"",""pt"")"),"Os barmen flair são absolutamente incrível!")</f>
        <v>Os barmen flair são absolutamente incrível!</v>
      </c>
      <c r="B2738" s="3">
        <v>1</v>
      </c>
    </row>
    <row r="2739" ht="15.75" customHeight="1" spans="1:2">
      <c r="A2739" s="3" t="str">
        <f>IFERROR(__xludf.DUMMYFUNCTION("GOOGLETRANSLATE(A2739,""en"",""pt"")"),"Suas margaritas congelados são demasiado açucarado para o meu gosto.")</f>
        <v>Suas margaritas congelados são demasiado açucarado para o meu gosto.</v>
      </c>
      <c r="B2739" s="3">
        <v>0</v>
      </c>
    </row>
    <row r="2740" ht="15.75" customHeight="1" spans="1:2">
      <c r="A2740" s="3" t="str">
        <f>IFERROR(__xludf.DUMMYFUNCTION("GOOGLETRANSLATE(A2740,""en"",""pt"")"),"Estes foram tão bons que pedidos duas vezes.")</f>
        <v>Estes foram tão bons que pedidos duas vezes.</v>
      </c>
      <c r="B2740" s="3">
        <v>1</v>
      </c>
    </row>
    <row r="2741" ht="15.75" customHeight="1" spans="1:2">
      <c r="A2741" s="3" t="str">
        <f>IFERROR(__xludf.DUMMYFUNCTION("GOOGLETRANSLATE(A2741,""en"",""pt"")"),"Assim, em poucas palavras: 1) O utéis cheira a uma combinação de um mercado de peixe sujo e um esgoto.")</f>
        <v>Assim, em poucas palavras: 1) O utéis cheira a uma combinação de um mercado de peixe sujo e um esgoto.</v>
      </c>
      <c r="B2741" s="3">
        <v>0</v>
      </c>
    </row>
    <row r="2742" ht="15.75" customHeight="1" spans="1:2">
      <c r="A2742" s="3" t="str">
        <f>IFERROR(__xludf.DUMMYFUNCTION("GOOGLETRANSLATE(A2742,""en"",""pt"")"),"vitela da minha namorada estava muito ruim.")</f>
        <v>vitela da minha namorada estava muito ruim.</v>
      </c>
      <c r="B2742" s="3">
        <v>0</v>
      </c>
    </row>
    <row r="2743" ht="15.75" customHeight="1" spans="1:2">
      <c r="A2743" s="3" t="str">
        <f>IFERROR(__xludf.DUMMYFUNCTION("GOOGLETRANSLATE(A2743,""en"",""pt"")"),"Infelizmente, não foi bom.")</f>
        <v>Infelizmente, não foi bom.</v>
      </c>
      <c r="B2743" s="3">
        <v>0</v>
      </c>
    </row>
    <row r="2744" ht="15.75" customHeight="1" spans="1:2">
      <c r="A2744" s="3" t="str">
        <f>IFERROR(__xludf.DUMMYFUNCTION("GOOGLETRANSLATE(A2744,""en"",""pt"")"),"Eu tive uma experiência muito satifying.")</f>
        <v>Eu tive uma experiência muito satifying.</v>
      </c>
      <c r="B2744" s="3">
        <v>1</v>
      </c>
    </row>
    <row r="2745" ht="15.75" customHeight="1" spans="1:2">
      <c r="A2745" s="3" t="str">
        <f>IFERROR(__xludf.DUMMYFUNCTION("GOOGLETRANSLATE(A2745,""en"",""pt"")"),"Junte o clube e receber ofertas impressionantes via email.")</f>
        <v>Junte o clube e receber ofertas impressionantes via email.</v>
      </c>
      <c r="B2745" s="3">
        <v>1</v>
      </c>
    </row>
    <row r="2746" ht="15.75" customHeight="1" spans="1:2">
      <c r="A2746" s="3" t="str">
        <f>IFERROR(__xludf.DUMMYFUNCTION("GOOGLETRANSLATE(A2746,""en"",""pt"")"),"Perfeito para alguém (eu) que só gosta de cerveja gelada, ou neste caso, ainda mais frio.")</f>
        <v>Perfeito para alguém (eu) que só gosta de cerveja gelada, ou neste caso, ainda mais frio.</v>
      </c>
      <c r="B2746" s="3">
        <v>1</v>
      </c>
    </row>
    <row r="2747" ht="15.75" customHeight="1" spans="1:2">
      <c r="A2747" s="3" t="str">
        <f>IFERROR(__xludf.DUMMYFUNCTION("GOOGLETRANSLATE(A2747,""en"",""pt"")"),"Bland e insípido é uma boa maneira de descrever a carne apenas Energéticas.")</f>
        <v>Bland e insípido é uma boa maneira de descrever a carne apenas Energéticas.</v>
      </c>
      <c r="B2747" s="3">
        <v>0</v>
      </c>
    </row>
    <row r="2748" ht="15.75" customHeight="1" spans="1:2">
      <c r="A2748" s="3" t="str">
        <f>IFERROR(__xludf.DUMMYFUNCTION("GOOGLETRANSLATE(A2748,""en"",""pt"")"),"As cadeias, que eu não sou fã de, aliviar este lugar facilmente.")</f>
        <v>As cadeias, que eu não sou fã de, aliviar este lugar facilmente.</v>
      </c>
      <c r="B2748" s="3">
        <v>0</v>
      </c>
    </row>
    <row r="2749" ht="15.75" customHeight="1" spans="1:2">
      <c r="A2749" s="3" t="str">
        <f>IFERROR(__xludf.DUMMYFUNCTION("GOOGLETRANSLATE(A2749,""en"",""pt"")"),"Os nachos são um deve ter!")</f>
        <v>Os nachos são um deve ter!</v>
      </c>
      <c r="B2749" s="3">
        <v>1</v>
      </c>
    </row>
    <row r="2750" ht="15.75" customHeight="1" spans="1:2">
      <c r="A2750" s="3" t="str">
        <f>IFERROR(__xludf.DUMMYFUNCTION("GOOGLETRANSLATE(A2750,""en"",""pt"")"),"Não vamos voltar.")</f>
        <v>Não vamos voltar.</v>
      </c>
      <c r="B2750" s="3">
        <v>0</v>
      </c>
    </row>
    <row r="2751" ht="15.75" customHeight="1" spans="1:2">
      <c r="A2751" s="3" t="str">
        <f>IFERROR(__xludf.DUMMYFUNCTION("GOOGLETRANSLATE(A2751,""en"",""pt"")"),"Eu não tenho muitas palavras para dizer sobre este lugar, mas ele faz tudo muito bem.")</f>
        <v>Eu não tenho muitas palavras para dizer sobre este lugar, mas ele faz tudo muito bem.</v>
      </c>
      <c r="B2751" s="3">
        <v>1</v>
      </c>
    </row>
    <row r="2752" ht="15.75" customHeight="1" spans="1:2">
      <c r="A2752" s="3" t="str">
        <f>IFERROR(__xludf.DUMMYFUNCTION("GOOGLETRANSLATE(A2752,""en"",""pt"")"),"A equipe é super agradável e muito rápido mesmo com as multidões loucas da júris do centro, advogados e funcionários do tribunal.")</f>
        <v>A equipe é super agradável e muito rápido mesmo com as multidões loucas da júris do centro, advogados e funcionários do tribunal.</v>
      </c>
      <c r="B2752" s="3">
        <v>1</v>
      </c>
    </row>
    <row r="2753" ht="15.75" customHeight="1" spans="1:2">
      <c r="A2753" s="3" t="str">
        <f>IFERROR(__xludf.DUMMYFUNCTION("GOOGLETRANSLATE(A2753,""en"",""pt"")"),"Excelente ambiente, serviço amigável e rápido.")</f>
        <v>Excelente ambiente, serviço amigável e rápido.</v>
      </c>
      <c r="B2753" s="3">
        <v>1</v>
      </c>
    </row>
    <row r="2754" ht="15.75" customHeight="1" spans="1:2">
      <c r="A2754" s="3" t="str">
        <f>IFERROR(__xludf.DUMMYFUNCTION("GOOGLETRANSLATE(A2754,""en"",""pt"")"),"Quando eu recebi o meu Pita era enorme que tinha um monte de carne em tão polegares lá em cima.")</f>
        <v>Quando eu recebi o meu Pita era enorme que tinha um monte de carne em tão polegares lá em cima.</v>
      </c>
      <c r="B2754" s="3">
        <v>1</v>
      </c>
    </row>
    <row r="2755" ht="15.75" customHeight="1" spans="1:2">
      <c r="A2755" s="3" t="str">
        <f>IFERROR(__xludf.DUMMYFUNCTION("GOOGLETRANSLATE(A2755,""en"",""pt"")"),"Uma vez que sua comida chega é meh.")</f>
        <v>Uma vez que sua comida chega é meh.</v>
      </c>
      <c r="B2755" s="3">
        <v>0</v>
      </c>
    </row>
    <row r="2756" ht="15.75" customHeight="1" spans="1:2">
      <c r="A2756" s="3" t="str">
        <f>IFERROR(__xludf.DUMMYFUNCTION("GOOGLETRANSLATE(A2756,""en"",""pt"")"),"Pagando R $ 7,85 para um cachorro-quente e batatas fritas que parece que saiu de refeição de uma criança no Wienerschnitzel não é minha idéia de uma boa refeição.")</f>
        <v>Pagando R $ 7,85 para um cachorro-quente e batatas fritas que parece que saiu de refeição de uma criança no Wienerschnitzel não é minha idéia de uma boa refeição.</v>
      </c>
      <c r="B2756" s="3">
        <v>0</v>
      </c>
    </row>
    <row r="2757" ht="15.75" customHeight="1" spans="1:2">
      <c r="A2757" s="3" t="str">
        <f>IFERROR(__xludf.DUMMYFUNCTION("GOOGLETRANSLATE(A2757,""en"",""pt"")"),"O clássico Maine Lobster Roll foi fantástico.")</f>
        <v>O clássico Maine Lobster Roll foi fantástico.</v>
      </c>
      <c r="B2757" s="3">
        <v>1</v>
      </c>
    </row>
    <row r="2758" ht="15.75" customHeight="1" spans="1:2">
      <c r="A2758" s="3" t="str">
        <f>IFERROR(__xludf.DUMMYFUNCTION("GOOGLETRANSLATE(A2758,""en"",""pt"")"),"O meu cunhado que trabalha no shopping comi aqui mesmo dia, e acho que o que ele estava doente toda a noite também.")</f>
        <v>O meu cunhado que trabalha no shopping comi aqui mesmo dia, e acho que o que ele estava doente toda a noite também.</v>
      </c>
      <c r="B2758" s="3">
        <v>0</v>
      </c>
    </row>
    <row r="2759" ht="15.75" customHeight="1" spans="1:2">
      <c r="A2759" s="3" t="str">
        <f>IFERROR(__xludf.DUMMYFUNCTION("GOOGLETRANSLATE(A2759,""en"",""pt"")"),"Tão bom que eu vou ter de rever este lugar duas vezes - uma vez hereas uma homenagem ao lugar e uma vez como uma homenagem a um evento realizado aqui na noite passada.")</f>
        <v>Tão bom que eu vou ter de rever este lugar duas vezes - uma vez hereas uma homenagem ao lugar e uma vez como uma homenagem a um evento realizado aqui na noite passada.</v>
      </c>
      <c r="B2759" s="3">
        <v>1</v>
      </c>
    </row>
    <row r="2760" ht="15.75" customHeight="1" spans="1:2">
      <c r="A2760" s="3" t="str">
        <f>IFERROR(__xludf.DUMMYFUNCTION("GOOGLETRANSLATE(A2760,""en"",""pt"")"),"O e nachos foram realmente bom, o salsa foi muito fresco.")</f>
        <v>O e nachos foram realmente bom, o salsa foi muito fresco.</v>
      </c>
      <c r="B2760" s="3">
        <v>1</v>
      </c>
    </row>
    <row r="2761" ht="15.75" customHeight="1" spans="1:2">
      <c r="A2761" s="3" t="str">
        <f>IFERROR(__xludf.DUMMYFUNCTION("GOOGLETRANSLATE(A2761,""en"",""pt"")"),"Este lugar é ótimo !!!!!!!!!!!!!!")</f>
        <v>Este lugar é ótimo !!!!!!!!!!!!!!</v>
      </c>
      <c r="B2761" s="3">
        <v>1</v>
      </c>
    </row>
    <row r="2762" ht="15.75" customHeight="1" spans="1:2">
      <c r="A2762" s="3" t="str">
        <f>IFERROR(__xludf.DUMMYFUNCTION("GOOGLETRANSLATE(A2762,""en"",""pt"")"),"medíocre alimentos.")</f>
        <v>medíocre alimentos.</v>
      </c>
      <c r="B2762" s="3">
        <v>0</v>
      </c>
    </row>
    <row r="2763" ht="15.75" customHeight="1" spans="1:2">
      <c r="A2763" s="3" t="str">
        <f>IFERROR(__xludf.DUMMYFUNCTION("GOOGLETRANSLATE(A2763,""en"",""pt"")"),"Uma vez que você entrar você vai ficar impressionado com o lugar.")</f>
        <v>Uma vez que você entrar você vai ficar impressionado com o lugar.</v>
      </c>
      <c r="B2763" s="3">
        <v>1</v>
      </c>
    </row>
    <row r="2764" ht="15.75" customHeight="1" spans="1:2">
      <c r="A2764" s="3" t="str">
        <f>IFERROR(__xludf.DUMMYFUNCTION("GOOGLETRANSLATE(A2764,""en"",""pt"")"),"Estou super pissd.")</f>
        <v>Estou super pissd.</v>
      </c>
      <c r="B2764" s="3">
        <v>0</v>
      </c>
    </row>
    <row r="2765" ht="15.75" customHeight="1" spans="1:2">
      <c r="A2765" s="3" t="str">
        <f>IFERROR(__xludf.DUMMYFUNCTION("GOOGLETRANSLATE(A2765,""en"",""pt"")"),"E serviço foi super amigável.")</f>
        <v>E serviço foi super amigável.</v>
      </c>
      <c r="B2765" s="3">
        <v>1</v>
      </c>
    </row>
    <row r="2766" ht="15.75" customHeight="1" spans="1:2">
      <c r="A2766" s="3" t="str">
        <f>IFERROR(__xludf.DUMMYFUNCTION("GOOGLETRANSLATE(A2766,""en"",""pt"")"),"Por que esses vegetais pouco triste tão cozido?")</f>
        <v>Por que esses vegetais pouco triste tão cozido?</v>
      </c>
      <c r="B2766" s="3">
        <v>0</v>
      </c>
    </row>
    <row r="2767" ht="15.75" customHeight="1" spans="1:2">
      <c r="A2767" s="3" t="str">
        <f>IFERROR(__xludf.DUMMYFUNCTION("GOOGLETRANSLATE(A2767,""en"",""pt"")"),"Este lugar era como uma agradável surpresa!")</f>
        <v>Este lugar era como uma agradável surpresa!</v>
      </c>
      <c r="B2767" s="3">
        <v>1</v>
      </c>
    </row>
    <row r="2768" ht="15.75" customHeight="1" spans="1:2">
      <c r="A2768" s="3" t="str">
        <f>IFERROR(__xludf.DUMMYFUNCTION("GOOGLETRANSLATE(A2768,""en"",""pt"")"),"Eles foram golden-crocante e delicioso.")</f>
        <v>Eles foram golden-crocante e delicioso.</v>
      </c>
      <c r="B2768" s="3">
        <v>1</v>
      </c>
    </row>
    <row r="2769" ht="15.75" customHeight="1" spans="1:2">
      <c r="A2769" s="3" t="str">
        <f>IFERROR(__xludf.DUMMYFUNCTION("GOOGLETRANSLATE(A2769,""en"",""pt"")"),"Eu tinha grandes esperanças para este lugar desde os hambúrgueres são preparados ao longo de um grelhador a carvão, mas infelizmente o sabor caiu plana, forma plana.")</f>
        <v>Eu tinha grandes esperanças para este lugar desde os hambúrgueres são preparados ao longo de um grelhador a carvão, mas infelizmente o sabor caiu plana, forma plana.</v>
      </c>
      <c r="B2769" s="3">
        <v>0</v>
      </c>
    </row>
    <row r="2770" ht="15.75" customHeight="1" spans="1:2">
      <c r="A2770" s="3" t="str">
        <f>IFERROR(__xludf.DUMMYFUNCTION("GOOGLETRANSLATE(A2770,""en"",""pt"")"),"Eu poderia comer sua bruschetta durante todo o dia é devine.")</f>
        <v>Eu poderia comer sua bruschetta durante todo o dia é devine.</v>
      </c>
      <c r="B2770" s="3">
        <v>1</v>
      </c>
    </row>
    <row r="2771" ht="15.75" customHeight="1" spans="1:2">
      <c r="A2771" s="3" t="str">
        <f>IFERROR(__xludf.DUMMYFUNCTION("GOOGLETRANSLATE(A2771,""en"",""pt"")"),"Não um único funcionário saiu para ver se estávamos OK ou mesmo precisava de um encher de água uma vez que eles finalmente nos serviu a nossa comida.")</f>
        <v>Não um único funcionário saiu para ver se estávamos OK ou mesmo precisava de um encher de água uma vez que eles finalmente nos serviu a nossa comida.</v>
      </c>
      <c r="B2771" s="3">
        <v>0</v>
      </c>
    </row>
    <row r="2772" ht="15.75" customHeight="1" spans="1:2">
      <c r="A2772" s="3" t="str">
        <f>IFERROR(__xludf.DUMMYFUNCTION("GOOGLETRANSLATE(A2772,""en"",""pt"")"),"Por último, os manípulos de mozzarella, eles eram a melhor coisa que pedimos.")</f>
        <v>Por último, os manípulos de mozzarella, eles eram a melhor coisa que pedimos.</v>
      </c>
      <c r="B2772" s="3">
        <v>1</v>
      </c>
    </row>
    <row r="2773" ht="15.75" customHeight="1" spans="1:2">
      <c r="A2773" s="3" t="str">
        <f>IFERROR(__xludf.DUMMYFUNCTION("GOOGLETRANSLATE(A2773,""en"",""pt"")"),"A primeira vez que eu vim aqui eu tive uma experiência incrível, eu ainda dizer às pessoas o quão incrível o pato foi.")</f>
        <v>A primeira vez que eu vim aqui eu tive uma experiência incrível, eu ainda dizer às pessoas o quão incrível o pato foi.</v>
      </c>
      <c r="B2773" s="3">
        <v>1</v>
      </c>
    </row>
    <row r="2774" ht="15.75" customHeight="1" spans="1:2">
      <c r="A2774" s="3" t="str">
        <f>IFERROR(__xludf.DUMMYFUNCTION("GOOGLETRANSLATE(A2774,""en"",""pt"")"),"O servidor foi muito negligente de nossas necessidades e nos fez sentir muito indesejável ... Eu não sugeriria este lugar!")</f>
        <v>O servidor foi muito negligente de nossas necessidades e nos fez sentir muito indesejável ... Eu não sugeriria este lugar!</v>
      </c>
      <c r="B2774" s="3">
        <v>0</v>
      </c>
    </row>
    <row r="2775" ht="15.75" customHeight="1" spans="1:2">
      <c r="A2775" s="3" t="str">
        <f>IFERROR(__xludf.DUMMYFUNCTION("GOOGLETRANSLATE(A2775,""en"",""pt"")"),"O serviço foi terrible embora.")</f>
        <v>O serviço foi terrible embora.</v>
      </c>
      <c r="B2775" s="3">
        <v>0</v>
      </c>
    </row>
    <row r="2776" ht="15.75" customHeight="1" spans="1:2">
      <c r="A2776" s="3" t="str">
        <f>IFERROR(__xludf.DUMMYFUNCTION("GOOGLETRANSLATE(A2776,""en"",""pt"")"),"Este lugar é muito caro, não é consistente com a sua boba, e isso realmente é muito caro!")</f>
        <v>Este lugar é muito caro, não é consistente com a sua boba, e isso realmente é muito caro!</v>
      </c>
      <c r="B2776" s="3">
        <v>0</v>
      </c>
    </row>
    <row r="2777" ht="15.75" customHeight="1" spans="1:2">
      <c r="A2777" s="3" t="str">
        <f>IFERROR(__xludf.DUMMYFUNCTION("GOOGLETRANSLATE(A2777,""en"",""pt"")"),"Ele foi lotado !!")</f>
        <v>Ele foi lotado !!</v>
      </c>
      <c r="B2777" s="3">
        <v>0</v>
      </c>
    </row>
    <row r="2778" ht="15.75" customHeight="1" spans="1:2">
      <c r="A2778" s="3" t="str">
        <f>IFERROR(__xludf.DUMMYFUNCTION("GOOGLETRANSLATE(A2778,""en"",""pt"")"),"Eu amo esse lugar.")</f>
        <v>Eu amo esse lugar.</v>
      </c>
      <c r="B2778" s="3">
        <v>1</v>
      </c>
    </row>
    <row r="2779" ht="15.75" customHeight="1" spans="1:2">
      <c r="A2779" s="3" t="str">
        <f>IFERROR(__xludf.DUMMYFUNCTION("GOOGLETRANSLATE(A2779,""en"",""pt"")"),"Posso dizer que as sobremesas eram gostoso.")</f>
        <v>Posso dizer que as sobremesas eram gostoso.</v>
      </c>
      <c r="B2779" s="3">
        <v>1</v>
      </c>
    </row>
    <row r="2780" ht="15.75" customHeight="1" spans="1:2">
      <c r="A2780" s="3" t="str">
        <f>IFERROR(__xludf.DUMMYFUNCTION("GOOGLETRANSLATE(A2780,""en"",""pt"")"),"A comida era terrível.")</f>
        <v>A comida era terrível.</v>
      </c>
      <c r="B2780" s="3">
        <v>0</v>
      </c>
    </row>
    <row r="2781" ht="15.75" customHeight="1" spans="1:2">
      <c r="A2781" s="3" t="str">
        <f>IFERROR(__xludf.DUMMYFUNCTION("GOOGLETRANSLATE(A2781,""en"",""pt"")"),"A fruta da época era fresco purê de pêssego branco.")</f>
        <v>A fruta da época era fresco purê de pêssego branco.</v>
      </c>
      <c r="B2781" s="3">
        <v>1</v>
      </c>
    </row>
    <row r="2782" ht="15.75" customHeight="1" spans="1:2">
      <c r="A2782" s="3" t="str">
        <f>IFERROR(__xludf.DUMMYFUNCTION("GOOGLETRANSLATE(A2782,""en"",""pt"")"),"Ele foi ficando cada vez pior, então agora eu sou feito oficialmente.")</f>
        <v>Ele foi ficando cada vez pior, então agora eu sou feito oficialmente.</v>
      </c>
      <c r="B2782" s="3">
        <v>0</v>
      </c>
    </row>
    <row r="2783" ht="15.75" customHeight="1" spans="1:2">
      <c r="A2783" s="3" t="str">
        <f>IFERROR(__xludf.DUMMYFUNCTION("GOOGLETRANSLATE(A2783,""en"",""pt"")"),"Este lugar deve ser honestamente explodido.")</f>
        <v>Este lugar deve ser honestamente explodido.</v>
      </c>
      <c r="B2783" s="3">
        <v>0</v>
      </c>
    </row>
    <row r="2784" ht="15.75" customHeight="1" spans="1:2">
      <c r="A2784" s="3" t="str">
        <f>IFERROR(__xludf.DUMMYFUNCTION("GOOGLETRANSLATE(A2784,""en"",""pt"")"),"Mas eu definitivamente não iria comer aqui novamente.")</f>
        <v>Mas eu definitivamente não iria comer aqui novamente.</v>
      </c>
      <c r="B2784" s="3">
        <v>0</v>
      </c>
    </row>
    <row r="2785" ht="15.75" customHeight="1" spans="1:2">
      <c r="A2785" s="3" t="str">
        <f>IFERROR(__xludf.DUMMYFUNCTION("GOOGLETRANSLATE(A2785,""en"",""pt"")"),"Não desperdice seu dinheiro aqui!")</f>
        <v>Não desperdice seu dinheiro aqui!</v>
      </c>
      <c r="B2785" s="3">
        <v>0</v>
      </c>
    </row>
    <row r="2786" ht="15.75" customHeight="1" spans="1:2">
      <c r="A2786" s="3" t="str">
        <f>IFERROR(__xludf.DUMMYFUNCTION("GOOGLETRANSLATE(A2786,""en"",""pt"")"),"Eu amo que eles colocaram seus alimentos em recipientes de plástico agradável ao invés de cramming-lo em pequenas caixas de papel para viagem.")</f>
        <v>Eu amo que eles colocaram seus alimentos em recipientes de plástico agradável ao invés de cramming-lo em pequenas caixas de papel para viagem.</v>
      </c>
      <c r="B2786" s="3">
        <v>1</v>
      </c>
    </row>
    <row r="2787" ht="15.75" customHeight="1" spans="1:2">
      <c r="A2787" s="3" t="str">
        <f>IFERROR(__xludf.DUMMYFUNCTION("GOOGLETRANSLATE(A2787,""en"",""pt"")"),"O crÃªpe era delicada e fina e úmida.")</f>
        <v>O crÃªpe era delicada e fina e úmida.</v>
      </c>
      <c r="B2787" s="3">
        <v>1</v>
      </c>
    </row>
    <row r="2788" ht="15.75" customHeight="1" spans="1:2">
      <c r="A2788" s="3" t="str">
        <f>IFERROR(__xludf.DUMMYFUNCTION("GOOGLETRANSLATE(A2788,""en"",""pt"")"),"Serviço horrível.")</f>
        <v>Serviço horrível.</v>
      </c>
      <c r="B2788" s="3">
        <v>0</v>
      </c>
    </row>
    <row r="2789" ht="15.75" customHeight="1" spans="1:2">
      <c r="A2789" s="3" t="str">
        <f>IFERROR(__xludf.DUMMYFUNCTION("GOOGLETRANSLATE(A2789,""en"",""pt"")"),"Não sempre aqui novamente.")</f>
        <v>Não sempre aqui novamente.</v>
      </c>
      <c r="B2789" s="3">
        <v>0</v>
      </c>
    </row>
    <row r="2790" ht="15.75" customHeight="1" spans="1:2">
      <c r="A2790" s="3" t="str">
        <f>IFERROR(__xludf.DUMMYFUNCTION("GOOGLETRANSLATE(A2790,""en"",""pt"")"),"A qualidade dos alimentos tem sido horrível.")</f>
        <v>A qualidade dos alimentos tem sido horrível.</v>
      </c>
      <c r="B2790" s="3">
        <v>0</v>
      </c>
    </row>
    <row r="2791" ht="15.75" customHeight="1" spans="1:2">
      <c r="A2791" s="3" t="str">
        <f>IFERROR(__xludf.DUMMYFUNCTION("GOOGLETRANSLATE(A2791,""en"",""pt"")"),"Por esse preço eu posso pensar de alguns lugar que eu teria muito em vez foi.")</f>
        <v>Por esse preço eu posso pensar de alguns lugar que eu teria muito em vez foi.</v>
      </c>
      <c r="B2791" s="3">
        <v>0</v>
      </c>
    </row>
    <row r="2792" ht="15.75" customHeight="1" spans="1:2">
      <c r="A2792" s="3" t="str">
        <f>IFERROR(__xludf.DUMMYFUNCTION("GOOGLETRANSLATE(A2792,""en"",""pt"")"),"O serviço aqui é justo no melhor.")</f>
        <v>O serviço aqui é justo no melhor.</v>
      </c>
      <c r="B2792" s="3">
        <v>0</v>
      </c>
    </row>
    <row r="2793" ht="15.75" customHeight="1" spans="1:2">
      <c r="A2793" s="3" t="str">
        <f>IFERROR(__xludf.DUMMYFUNCTION("GOOGLETRANSLATE(A2793,""en"",""pt"")"),"Eu faço amor sushi, mas eu achei Kabuki ser, serviços sob-over-quadril e caro.")</f>
        <v>Eu faço amor sushi, mas eu achei Kabuki ser, serviços sob-over-quadril e caro.</v>
      </c>
      <c r="B2793" s="3">
        <v>0</v>
      </c>
    </row>
    <row r="2794" ht="15.75" customHeight="1" spans="1:2">
      <c r="A2794" s="3" t="str">
        <f>IFERROR(__xludf.DUMMYFUNCTION("GOOGLETRANSLATE(A2794,""en"",""pt"")"),"Faça um favor e ficar longe de este prato.")</f>
        <v>Faça um favor e ficar longe de este prato.</v>
      </c>
      <c r="B2794" s="3">
        <v>0</v>
      </c>
    </row>
    <row r="2795" ht="15.75" customHeight="1" spans="1:2">
      <c r="A2795" s="3" t="str">
        <f>IFERROR(__xludf.DUMMYFUNCTION("GOOGLETRANSLATE(A2795,""en"",""pt"")"),"Muito mau serviço.")</f>
        <v>Muito mau serviço.</v>
      </c>
      <c r="B2795" s="3">
        <v>0</v>
      </c>
    </row>
    <row r="2796" ht="15.75" customHeight="1" spans="1:2">
      <c r="A2796" s="3" t="str">
        <f>IFERROR(__xludf.DUMMYFUNCTION("GOOGLETRANSLATE(A2796,""en"",""pt"")"),"Ninguém na mesa que a comida foi acima da média ou vale a pena esperar que tínhamos para ele.")</f>
        <v>Ninguém na mesa que a comida foi acima da média ou vale a pena esperar que tínhamos para ele.</v>
      </c>
      <c r="B2796" s="3">
        <v>0</v>
      </c>
    </row>
    <row r="2797" ht="15.75" customHeight="1" spans="1:2">
      <c r="A2797" s="3" t="str">
        <f>IFERROR(__xludf.DUMMYFUNCTION("GOOGLETRANSLATE(A2797,""en"",""pt"")"),"Melhor serviço e comida nunca, Maria nosso servidor foi tão boa e amigável, ela fez o nosso dia.")</f>
        <v>Melhor serviço e comida nunca, Maria nosso servidor foi tão boa e amigável, ela fez o nosso dia.</v>
      </c>
      <c r="B2797" s="3">
        <v>1</v>
      </c>
    </row>
    <row r="2798" ht="15.75" customHeight="1" spans="1:2">
      <c r="A2798" s="3" t="str">
        <f>IFERROR(__xludf.DUMMYFUNCTION("GOOGLETRANSLATE(A2798,""en"",""pt"")"),"Eles foram excelentes.")</f>
        <v>Eles foram excelentes.</v>
      </c>
      <c r="B2798" s="3">
        <v>1</v>
      </c>
    </row>
    <row r="2799" ht="15.75" customHeight="1" spans="1:2">
      <c r="A2799" s="3" t="str">
        <f>IFERROR(__xludf.DUMMYFUNCTION("GOOGLETRANSLATE(A2799,""en"",""pt"")"),"I pagou a conta, mas não ponta porque eu senti o servidor fez um trabalho terrível.")</f>
        <v>I pagou a conta, mas não ponta porque eu senti o servidor fez um trabalho terrível.</v>
      </c>
      <c r="B2799" s="3">
        <v>0</v>
      </c>
    </row>
    <row r="2800" ht="15.75" customHeight="1" spans="1:2">
      <c r="A2800" s="3" t="str">
        <f>IFERROR(__xludf.DUMMYFUNCTION("GOOGLETRANSLATE(A2800,""en"",""pt"")"),"Apenas tivemos um almoço aqui e uma grande experiência.")</f>
        <v>Apenas tivemos um almoço aqui e uma grande experiência.</v>
      </c>
      <c r="B2800" s="3">
        <v>1</v>
      </c>
    </row>
    <row r="2801" ht="15.75" customHeight="1" spans="1:2">
      <c r="A2801" s="3" t="str">
        <f>IFERROR(__xludf.DUMMYFUNCTION("GOOGLETRANSLATE(A2801,""en"",""pt"")"),"Eu nunca tive essa comida sem graça que me surpreendeu, considerando o artigo lemos focada tanto em suas especiarias e sabor.")</f>
        <v>Eu nunca tive essa comida sem graça que me surpreendeu, considerando o artigo lemos focada tanto em suas especiarias e sabor.</v>
      </c>
      <c r="B2801" s="3">
        <v>0</v>
      </c>
    </row>
    <row r="2802" ht="15.75" customHeight="1" spans="1:2">
      <c r="A2802" s="3" t="str">
        <f>IFERROR(__xludf.DUMMYFUNCTION("GOOGLETRANSLATE(A2802,""en"",""pt"")"),"Comida é muito caro e porções são foda pequena.")</f>
        <v>Comida é muito caro e porções são foda pequena.</v>
      </c>
      <c r="B2802" s="3">
        <v>0</v>
      </c>
    </row>
    <row r="2803" ht="15.75" customHeight="1" spans="1:2">
      <c r="A2803" s="3" t="str">
        <f>IFERROR(__xludf.DUMMYFUNCTION("GOOGLETRANSLATE(A2803,""en"",""pt"")"),"Eu tentei recentemente Caballero e I foram back a cada semana desde!")</f>
        <v>Eu tentei recentemente Caballero e I foram back a cada semana desde!</v>
      </c>
      <c r="B2803" s="3">
        <v>1</v>
      </c>
    </row>
    <row r="2804" ht="15.75" customHeight="1" spans="1:2">
      <c r="A2804" s="3" t="str">
        <f>IFERROR(__xludf.DUMMYFUNCTION("GOOGLETRANSLATE(A2804,""en"",""pt"")"),"por 40 dólares por cabeça, eu realmente espera melhor comida.")</f>
        <v>por 40 dólares por cabeça, eu realmente espera melhor comida.</v>
      </c>
      <c r="B2804" s="3">
        <v>0</v>
      </c>
    </row>
    <row r="2805" ht="15.75" customHeight="1" spans="1:2">
      <c r="A2805" s="3" t="str">
        <f>IFERROR(__xludf.DUMMYFUNCTION("GOOGLETRANSLATE(A2805,""en"",""pt"")"),"A comida veio em um bom ritmo.")</f>
        <v>A comida veio em um bom ritmo.</v>
      </c>
      <c r="B2805" s="3">
        <v>1</v>
      </c>
    </row>
    <row r="2806" ht="15.75" customHeight="1" spans="1:2">
      <c r="A2806" s="3" t="str">
        <f>IFERROR(__xludf.DUMMYFUNCTION("GOOGLETRANSLATE(A2806,""en"",""pt"")"),"Eu comi lá duas vezes na minha última visita, e gostei especialmente a salada de salmão.")</f>
        <v>Eu comi lá duas vezes na minha última visita, e gostei especialmente a salada de salmão.</v>
      </c>
      <c r="B2806" s="3">
        <v>1</v>
      </c>
    </row>
    <row r="2807" ht="15.75" customHeight="1" spans="1:2">
      <c r="A2807" s="3" t="str">
        <f>IFERROR(__xludf.DUMMYFUNCTION("GOOGLETRANSLATE(A2807,""en"",""pt"")"),"Eu não vou estar de volta.")</f>
        <v>Eu não vou estar de volta.</v>
      </c>
      <c r="B2807" s="3">
        <v>0</v>
      </c>
    </row>
    <row r="2808" ht="15.75" customHeight="1" spans="1:2">
      <c r="A2808" s="3" t="str">
        <f>IFERROR(__xludf.DUMMYFUNCTION("GOOGLETRANSLATE(A2808,""en"",""pt"")"),"Nós não poderíamos acreditar o quão suja as ostras eram!")</f>
        <v>Nós não poderíamos acreditar o quão suja as ostras eram!</v>
      </c>
      <c r="B2808" s="3">
        <v>0</v>
      </c>
    </row>
    <row r="2809" ht="15.75" customHeight="1" spans="1:2">
      <c r="A2809" s="3" t="str">
        <f>IFERROR(__xludf.DUMMYFUNCTION("GOOGLETRANSLATE(A2809,""en"",""pt"")"),"Este lugar não merece estrelas.")</f>
        <v>Este lugar não merece estrelas.</v>
      </c>
      <c r="B2809" s="3">
        <v>0</v>
      </c>
    </row>
    <row r="2810" ht="15.75" customHeight="1" spans="1:2">
      <c r="A2810" s="3" t="str">
        <f>IFERROR(__xludf.DUMMYFUNCTION("GOOGLETRANSLATE(A2810,""en"",""pt"")"),"Eu não recomendaria este lugar.")</f>
        <v>Eu não recomendaria este lugar.</v>
      </c>
      <c r="B2810" s="3">
        <v>0</v>
      </c>
    </row>
    <row r="2811" ht="15.75" customHeight="1" spans="1:2">
      <c r="A2811" s="3" t="str">
        <f>IFERROR(__xludf.DUMMYFUNCTION("GOOGLETRANSLATE(A2811,""en"",""pt"")"),"Na verdade eu vou arredondar para 4 estrelas, só porque ela era tão incrível.")</f>
        <v>Na verdade eu vou arredondar para 4 estrelas, só porque ela era tão incrível.</v>
      </c>
      <c r="B2811" s="3">
        <v>1</v>
      </c>
    </row>
    <row r="2812" ht="15.75" customHeight="1" spans="1:2">
      <c r="A2812" s="3" t="str">
        <f>IFERROR(__xludf.DUMMYFUNCTION("GOOGLETRANSLATE(A2812,""en"",""pt"")"),"Para minha descrença, cada prato qualificou como a pior versão destes alimentos que eu já provei.")</f>
        <v>Para minha descrença, cada prato qualificou como a pior versão destes alimentos que eu já provei.</v>
      </c>
      <c r="B2812" s="3">
        <v>0</v>
      </c>
    </row>
    <row r="2813" ht="15.75" customHeight="1" spans="1:2">
      <c r="A2813" s="3" t="str">
        <f>IFERROR(__xludf.DUMMYFUNCTION("GOOGLETRANSLATE(A2813,""en"",""pt"")"),"Bad dia ou não, eu tenho uma tolerância muito baixa para pessoas rudes de atendimento ao cliente, é o seu trabalho para ser simpático e educado, pratos de lavagem de outra forma !!")</f>
        <v>Bad dia ou não, eu tenho uma tolerância muito baixa para pessoas rudes de atendimento ao cliente, é o seu trabalho para ser simpático e educado, pratos de lavagem de outra forma !!</v>
      </c>
      <c r="B2813" s="3">
        <v>0</v>
      </c>
    </row>
    <row r="2814" ht="15.75" customHeight="1" spans="1:2">
      <c r="A2814" s="3" t="str">
        <f>IFERROR(__xludf.DUMMYFUNCTION("GOOGLETRANSLATE(A2814,""en"",""pt"")"),"as batatas foram grande e tão foi o biscoito.")</f>
        <v>as batatas foram grande e tão foi o biscoito.</v>
      </c>
      <c r="B2814" s="3">
        <v>1</v>
      </c>
    </row>
    <row r="2815" ht="15.75" customHeight="1" spans="1:2">
      <c r="A2815" s="3" t="str">
        <f>IFERROR(__xludf.DUMMYFUNCTION("GOOGLETRANSLATE(A2815,""en"",""pt"")"),"Eu provavelmente não seria aqui novamente.")</f>
        <v>Eu provavelmente não seria aqui novamente.</v>
      </c>
      <c r="B2815" s="3">
        <v>0</v>
      </c>
    </row>
    <row r="2816" ht="15.75" customHeight="1" spans="1:2">
      <c r="A2816" s="3" t="str">
        <f>IFERROR(__xludf.DUMMYFUNCTION("GOOGLETRANSLATE(A2816,""en"",""pt"")"),"Tão saboroso e tem apenas a quantidade ideal de calor.")</f>
        <v>Tão saboroso e tem apenas a quantidade ideal de calor.</v>
      </c>
      <c r="B2816" s="3">
        <v>1</v>
      </c>
    </row>
    <row r="2817" ht="15.75" customHeight="1" spans="1:2">
      <c r="A2817" s="3" t="str">
        <f>IFERROR(__xludf.DUMMYFUNCTION("GOOGLETRANSLATE(A2817,""en"",""pt"")"),"O preço é razoável eo serviço é grande.")</f>
        <v>O preço é razoável eo serviço é grande.</v>
      </c>
      <c r="B2817" s="3">
        <v>1</v>
      </c>
    </row>
    <row r="2818" ht="15.75" customHeight="1" spans="1:2">
      <c r="A2818" s="3" t="str">
        <f>IFERROR(__xludf.DUMMYFUNCTION("GOOGLETRANSLATE(A2818,""en"",""pt"")"),"A esposa odiava refeição (camarão de coco), e nossos amigos realmente não desfrutar das suas refeições, também.")</f>
        <v>A esposa odiava refeição (camarão de coco), e nossos amigos realmente não desfrutar das suas refeições, também.</v>
      </c>
      <c r="B2818" s="3">
        <v>0</v>
      </c>
    </row>
    <row r="2819" ht="15.75" customHeight="1" spans="1:2">
      <c r="A2819" s="3" t="str">
        <f>IFERROR(__xludf.DUMMYFUNCTION("GOOGLETRANSLATE(A2819,""en"",""pt"")"),"Minha cara tenho o huevos rancheros e eles não parecia muito atraente.")</f>
        <v>Minha cara tenho o huevos rancheros e eles não parecia muito atraente.</v>
      </c>
      <c r="B2819" s="3">
        <v>0</v>
      </c>
    </row>
    <row r="2820" ht="15.75" customHeight="1" spans="1:2">
      <c r="A2820" s="3" t="str">
        <f>IFERROR(__xludf.DUMMYFUNCTION("GOOGLETRANSLATE(A2820,""en"",""pt"")"),"Fui para o happy hour, grande lista de vinhos.")</f>
        <v>Fui para o happy hour, grande lista de vinhos.</v>
      </c>
      <c r="B2820" s="3">
        <v>1</v>
      </c>
    </row>
    <row r="2821" ht="15.75" customHeight="1" spans="1:2">
      <c r="A2821" s="3" t="str">
        <f>IFERROR(__xludf.DUMMYFUNCTION("GOOGLETRANSLATE(A2821,""en"",""pt"")"),"Alguns podem dizer que este buffet é caro, mas eu acho que você começa o que você paga e este lugar que você está recebendo bastante!")</f>
        <v>Alguns podem dizer que este buffet é caro, mas eu acho que você começa o que você paga e este lugar que você está recebendo bastante!</v>
      </c>
      <c r="B2821" s="3">
        <v>1</v>
      </c>
    </row>
    <row r="2822" ht="15.75" customHeight="1" spans="1:2">
      <c r="A2822" s="3" t="str">
        <f>IFERROR(__xludf.DUMMYFUNCTION("GOOGLETRANSLATE(A2822,""en"",""pt"")"),"Eu provavelmente não vai voltar aqui.")</f>
        <v>Eu provavelmente não vai voltar aqui.</v>
      </c>
      <c r="B2822" s="3">
        <v>0</v>
      </c>
    </row>
    <row r="2823" ht="15.75" customHeight="1" spans="1:2">
      <c r="A2823" s="3" t="str">
        <f>IFERROR(__xludf.DUMMYFUNCTION("GOOGLETRANSLATE(A2823,""en"",""pt"")"),"Pior comida / serviço que tive em um tempo.")</f>
        <v>Pior comida / serviço que tive em um tempo.</v>
      </c>
      <c r="B2823" s="3">
        <v>0</v>
      </c>
    </row>
    <row r="2824" ht="15.75" customHeight="1" spans="1:2">
      <c r="A2824" s="3" t="str">
        <f>IFERROR(__xludf.DUMMYFUNCTION("GOOGLETRANSLATE(A2824,""en"",""pt"")"),"Este lugar é bom bastante, pouco vibração agradável no restaurante.")</f>
        <v>Este lugar é bom bastante, pouco vibração agradável no restaurante.</v>
      </c>
      <c r="B2824" s="3">
        <v>1</v>
      </c>
    </row>
    <row r="2825" ht="15.75" customHeight="1" spans="1:2">
      <c r="A2825" s="3" t="str">
        <f>IFERROR(__xludf.DUMMYFUNCTION("GOOGLETRANSLATE(A2825,""en"",""pt"")"),"Fale sobre grande serviço ao cliente é claro que vamos estar de volta.")</f>
        <v>Fale sobre grande serviço ao cliente é claro que vamos estar de volta.</v>
      </c>
      <c r="B2825" s="3">
        <v>1</v>
      </c>
    </row>
    <row r="2826" ht="15.75" customHeight="1" spans="1:2">
      <c r="A2826" s="3" t="str">
        <f>IFERROR(__xludf.DUMMYFUNCTION("GOOGLETRANSLATE(A2826,""en"",""pt"")"),"Pratos quentes não são quentes, pratos frios estão perto de quarto temp.I assistiu a equipe preparar alimentos COM AS MÃOS, não gloves.Everything é frito em óleo.")</f>
        <v>Pratos quentes não são quentes, pratos frios estão perto de quarto temp.I assistiu a equipe preparar alimentos COM AS MÃOS, não gloves.Everything é frito em óleo.</v>
      </c>
      <c r="B2826" s="3">
        <v>0</v>
      </c>
    </row>
    <row r="2827" ht="15.75" customHeight="1" spans="1:2">
      <c r="A2827" s="3" t="str">
        <f>IFERROR(__xludf.DUMMYFUNCTION("GOOGLETRANSLATE(A2827,""en"",""pt"")"),"Eu adoro as suas batatas fritas e seus grãos.")</f>
        <v>Eu adoro as suas batatas fritas e seus grãos.</v>
      </c>
      <c r="B2827" s="3">
        <v>1</v>
      </c>
    </row>
    <row r="2828" ht="15.75" customHeight="1" spans="1:2">
      <c r="A2828" s="3" t="str">
        <f>IFERROR(__xludf.DUMMYFUNCTION("GOOGLETRANSLATE(A2828,""en"",""pt"")"),"Sempre um prazer lidar com ele.")</f>
        <v>Sempre um prazer lidar com ele.</v>
      </c>
      <c r="B2828" s="3">
        <v>1</v>
      </c>
    </row>
    <row r="2829" ht="15.75" customHeight="1" spans="1:2">
      <c r="A2829" s="3" t="str">
        <f>IFERROR(__xludf.DUMMYFUNCTION("GOOGLETRANSLATE(A2829,""en"",""pt"")"),"Eles têm uma infinidade de saladas e sanduíches, e tudo o que eu tentei tem o meu selo de aprovação.")</f>
        <v>Eles têm uma infinidade de saladas e sanduíches, e tudo o que eu tentei tem o meu selo de aprovação.</v>
      </c>
      <c r="B2829" s="3">
        <v>1</v>
      </c>
    </row>
    <row r="2830" ht="15.75" customHeight="1" spans="1:2">
      <c r="A2830" s="3" t="str">
        <f>IFERROR(__xludf.DUMMYFUNCTION("GOOGLETRANSLATE(A2830,""en"",""pt"")"),"Este lugar é incrível se você quer algo leve e saudável durante o verão.")</f>
        <v>Este lugar é incrível se você quer algo leve e saudável durante o verão.</v>
      </c>
      <c r="B2830" s="3">
        <v>1</v>
      </c>
    </row>
    <row r="2831" ht="15.75" customHeight="1" spans="1:2">
      <c r="A2831" s="3" t="str">
        <f>IFERROR(__xludf.DUMMYFUNCTION("GOOGLETRANSLATE(A2831,""en"",""pt"")"),"Para sushi na Strip, este é o lugar para ir.")</f>
        <v>Para sushi na Strip, este é o lugar para ir.</v>
      </c>
      <c r="B2831" s="3">
        <v>1</v>
      </c>
    </row>
    <row r="2832" ht="15.75" customHeight="1" spans="1:2">
      <c r="A2832" s="3" t="str">
        <f>IFERROR(__xludf.DUMMYFUNCTION("GOOGLETRANSLATE(A2832,""en"",""pt"")"),"O serviço foi ótimo, até mesmo o gerente veio e ajudou com a nossa mesa.")</f>
        <v>O serviço foi ótimo, até mesmo o gerente veio e ajudou com a nossa mesa.</v>
      </c>
      <c r="B2832" s="3">
        <v>1</v>
      </c>
    </row>
    <row r="2833" ht="15.75" customHeight="1" spans="1:2">
      <c r="A2833" s="3" t="str">
        <f>IFERROR(__xludf.DUMMYFUNCTION("GOOGLETRANSLATE(A2833,""en"",""pt"")"),"A sensação da sala de jantar era mais faculdade curso de culinária de restaurantes de classe alta eo serviço foi lento no melhor.")</f>
        <v>A sensação da sala de jantar era mais faculdade curso de culinária de restaurantes de classe alta eo serviço foi lento no melhor.</v>
      </c>
      <c r="B2833" s="3">
        <v>0</v>
      </c>
    </row>
    <row r="2834" ht="15.75" customHeight="1" spans="1:2">
      <c r="A2834" s="3" t="str">
        <f>IFERROR(__xludf.DUMMYFUNCTION("GOOGLETRANSLATE(A2834,""en"",""pt"")"),"Eu comecei este comentário com duas estrelas, mas eu estou editando-lo para dar-lhe apenas um.")</f>
        <v>Eu comecei este comentário com duas estrelas, mas eu estou editando-lo para dar-lhe apenas um.</v>
      </c>
      <c r="B2834" s="3">
        <v>0</v>
      </c>
    </row>
    <row r="2835" ht="15.75" customHeight="1" spans="1:2">
      <c r="A2835" s="3" t="str">
        <f>IFERROR(__xludf.DUMMYFUNCTION("GOOGLETRANSLATE(A2835,""en"",""pt"")"),"este é o pior sushi que eu já comer além Costco.")</f>
        <v>este é o pior sushi que eu já comer além Costco.</v>
      </c>
      <c r="B2835" s="3">
        <v>0</v>
      </c>
    </row>
    <row r="2836" ht="15.75" customHeight="1" spans="1:2">
      <c r="A2836" s="3" t="str">
        <f>IFERROR(__xludf.DUMMYFUNCTION("GOOGLETRANSLATE(A2836,""en"",""pt"")"),"Todos em todos um excelente restaurante destacado por um excelente serviço, um menu único, e um belo cenário.")</f>
        <v>Todos em todos um excelente restaurante destacado por um excelente serviço, um menu único, e um belo cenário.</v>
      </c>
      <c r="B2836" s="3">
        <v>1</v>
      </c>
    </row>
    <row r="2837" ht="15.75" customHeight="1" spans="1:2">
      <c r="A2837" s="3" t="str">
        <f>IFERROR(__xludf.DUMMYFUNCTION("GOOGLETRANSLATE(A2837,""en"",""pt"")"),"O meu namorado e eu nos sentamos no bar e tinha uma experiência completamente delicioso.")</f>
        <v>O meu namorado e eu nos sentamos no bar e tinha uma experiência completamente delicioso.</v>
      </c>
      <c r="B2837" s="3">
        <v>1</v>
      </c>
    </row>
    <row r="2838" ht="15.75" customHeight="1" spans="1:2">
      <c r="A2838" s="3" t="str">
        <f>IFERROR(__xludf.DUMMYFUNCTION("GOOGLETRANSLATE(A2838,""en"",""pt"")"),"vibração estranha dos proprietários.")</f>
        <v>vibração estranha dos proprietários.</v>
      </c>
      <c r="B2838" s="3">
        <v>0</v>
      </c>
    </row>
    <row r="2839" ht="15.75" customHeight="1" spans="1:2">
      <c r="A2839" s="3" t="str">
        <f>IFERROR(__xludf.DUMMYFUNCTION("GOOGLETRANSLATE(A2839,""en"",""pt"")"),"Não houve praticamente nenhuma carne.")</f>
        <v>Não houve praticamente nenhuma carne.</v>
      </c>
      <c r="B2839" s="3">
        <v>0</v>
      </c>
    </row>
    <row r="2840" ht="15.75" customHeight="1" spans="1:2">
      <c r="A2840" s="3" t="str">
        <f>IFERROR(__xludf.DUMMYFUNCTION("GOOGLETRANSLATE(A2840,""en"",""pt"")"),"Eu tive melhores bagels de supermercado.")</f>
        <v>Eu tive melhores bagels de supermercado.</v>
      </c>
      <c r="B2840" s="3">
        <v>0</v>
      </c>
    </row>
    <row r="2841" ht="15.75" customHeight="1" spans="1:2">
      <c r="A2841" s="3" t="str">
        <f>IFERROR(__xludf.DUMMYFUNCTION("GOOGLETRANSLATE(A2841,""en"",""pt"")"),"Lugar para ir para giroscópios.")</f>
        <v>Lugar para ir para giroscópios.</v>
      </c>
      <c r="B2841" s="3">
        <v>1</v>
      </c>
    </row>
    <row r="2842" ht="15.75" customHeight="1" spans="1:2">
      <c r="A2842" s="3" t="str">
        <f>IFERROR(__xludf.DUMMYFUNCTION("GOOGLETRANSLATE(A2842,""en"",""pt"")"),"Eu amo o proprietário / chef, sua autêntica japonesa cool dude!")</f>
        <v>Eu amo o proprietário / chef, sua autêntica japonesa cool dude!</v>
      </c>
      <c r="B2842" s="3">
        <v>1</v>
      </c>
    </row>
    <row r="2843" ht="15.75" customHeight="1" spans="1:2">
      <c r="A2843" s="3" t="str">
        <f>IFERROR(__xludf.DUMMYFUNCTION("GOOGLETRANSLATE(A2843,""en"",""pt"")"),"Agora, os hambúrgueres não são tão bons, a pizza que costumava ser surpreendente é pastoso e insípido.")</f>
        <v>Agora, os hambúrgueres não são tão bons, a pizza que costumava ser surpreendente é pastoso e insípido.</v>
      </c>
      <c r="B2843" s="3">
        <v>0</v>
      </c>
    </row>
    <row r="2844" ht="15.75" customHeight="1" spans="1:2">
      <c r="A2844" s="3" t="str">
        <f>IFERROR(__xludf.DUMMYFUNCTION("GOOGLETRANSLATE(A2844,""en"",""pt"")"),"Eu encontrei um pedaço longo de seis polegadas de fio na minha salsa.")</f>
        <v>Eu encontrei um pedaço longo de seis polegadas de fio na minha salsa.</v>
      </c>
      <c r="B2844" s="3">
        <v>0</v>
      </c>
    </row>
    <row r="2845" ht="15.75" customHeight="1" spans="1:2">
      <c r="A2845" s="3" t="str">
        <f>IFERROR(__xludf.DUMMYFUNCTION("GOOGLETRANSLATE(A2845,""en"",""pt"")"),"O serviço era terrível, a comida era medíocre.")</f>
        <v>O serviço era terrível, a comida era medíocre.</v>
      </c>
      <c r="B2845" s="3">
        <v>0</v>
      </c>
    </row>
    <row r="2846" ht="15.75" customHeight="1" spans="1:2">
      <c r="A2846" s="3" t="str">
        <f>IFERROR(__xludf.DUMMYFUNCTION("GOOGLETRANSLATE(A2846,""en"",""pt"")"),"Nós definitivamente gostamos.")</f>
        <v>Nós definitivamente gostamos.</v>
      </c>
      <c r="B2846" s="3">
        <v>1</v>
      </c>
    </row>
    <row r="2847" ht="15.75" customHeight="1" spans="1:2">
      <c r="A2847" s="3" t="str">
        <f>IFERROR(__xludf.DUMMYFUNCTION("GOOGLETRANSLATE(A2847,""en"",""pt"")"),"Eu pedi Albondigas sopa - que foi a apenas quentes - e sabor como sopa de tomate com almôndegas congeladas.")</f>
        <v>Eu pedi Albondigas sopa - que foi a apenas quentes - e sabor como sopa de tomate com almôndegas congeladas.</v>
      </c>
      <c r="B2847" s="3">
        <v>0</v>
      </c>
    </row>
    <row r="2848" ht="15.75" customHeight="1" spans="1:2">
      <c r="A2848" s="3" t="str">
        <f>IFERROR(__xludf.DUMMYFUNCTION("GOOGLETRANSLATE(A2848,""en"",""pt"")"),"Em três ocasiões diferentes eu pedi bem feito ou médio bem, e todos os três vezes eu tenho a peça mais sangrento da carne no meu prato.")</f>
        <v>Em três ocasiões diferentes eu pedi bem feito ou médio bem, e todos os três vezes eu tenho a peça mais sangrento da carne no meu prato.</v>
      </c>
      <c r="B2848" s="3">
        <v>0</v>
      </c>
    </row>
    <row r="2849" ht="15.75" customHeight="1" spans="1:2">
      <c r="A2849" s="3" t="str">
        <f>IFERROR(__xludf.DUMMYFUNCTION("GOOGLETRANSLATE(A2849,""en"",""pt"")"),"Eu tinha cerca de duas mordidas e se recusou a comer mais.")</f>
        <v>Eu tinha cerca de duas mordidas e se recusou a comer mais.</v>
      </c>
      <c r="B2849" s="3">
        <v>0</v>
      </c>
    </row>
    <row r="2850" ht="15.75" customHeight="1" spans="1:2">
      <c r="A2850" s="3" t="str">
        <f>IFERROR(__xludf.DUMMYFUNCTION("GOOGLETRANSLATE(A2850,""en"",""pt"")"),"O serviço foi extremamente lento.")</f>
        <v>O serviço foi extremamente lento.</v>
      </c>
      <c r="B2850" s="3">
        <v>0</v>
      </c>
    </row>
    <row r="2851" ht="15.75" customHeight="1" spans="1:2">
      <c r="A2851" s="3" t="str">
        <f>IFERROR(__xludf.DUMMYFUNCTION("GOOGLETRANSLATE(A2851,""en"",""pt"")"),"Após 20 minutos esperar, eu tenho uma tabela.")</f>
        <v>Após 20 minutos esperar, eu tenho uma tabela.</v>
      </c>
      <c r="B2851" s="3">
        <v>0</v>
      </c>
    </row>
    <row r="2852" ht="15.75" customHeight="1" spans="1:2">
      <c r="A2852" s="3" t="str">
        <f>IFERROR(__xludf.DUMMYFUNCTION("GOOGLETRANSLATE(A2852,""en"",""pt"")"),"Sério assassino chai latte quente.")</f>
        <v>Sério assassino chai latte quente.</v>
      </c>
      <c r="B2852" s="3">
        <v>1</v>
      </c>
    </row>
    <row r="2853" ht="15.75" customHeight="1" spans="1:2">
      <c r="A2853" s="3" t="str">
        <f>IFERROR(__xludf.DUMMYFUNCTION("GOOGLETRANSLATE(A2853,""en"",""pt"")"),"Nenhuma advertência da alergia no menu, ea garçonete não tinha absolutamente nenhuma pista sobre o que refeições fez ou deixou de conter amendoins.")</f>
        <v>Nenhuma advertência da alergia no menu, ea garçonete não tinha absolutamente nenhuma pista sobre o que refeições fez ou deixou de conter amendoins.</v>
      </c>
      <c r="B2853" s="3">
        <v>0</v>
      </c>
    </row>
    <row r="2854" ht="15.75" customHeight="1" spans="1:2">
      <c r="A2854" s="3" t="str">
        <f>IFERROR(__xludf.DUMMYFUNCTION("GOOGLETRANSLATE(A2854,""en"",""pt"")"),"Meu namorado tentou o Mediterrâneo Salada de frango e se apaixonou.")</f>
        <v>Meu namorado tentou o Mediterrâneo Salada de frango e se apaixonou.</v>
      </c>
      <c r="B2854" s="3">
        <v>1</v>
      </c>
    </row>
    <row r="2855" ht="15.75" customHeight="1" spans="1:2">
      <c r="A2855" s="3" t="str">
        <f>IFERROR(__xludf.DUMMYFUNCTION("GOOGLETRANSLATE(A2855,""en"",""pt"")"),"As suas cervejas rotativas na torneira também é um destaque deste lugar.")</f>
        <v>As suas cervejas rotativas na torneira também é um destaque deste lugar.</v>
      </c>
      <c r="B2855" s="3">
        <v>1</v>
      </c>
    </row>
    <row r="2856" ht="15.75" customHeight="1" spans="1:2">
      <c r="A2856" s="3" t="str">
        <f>IFERROR(__xludf.DUMMYFUNCTION("GOOGLETRANSLATE(A2856,""en"",""pt"")"),"O preço é um pouco de preocupação com Mellow Mushroom.")</f>
        <v>O preço é um pouco de preocupação com Mellow Mushroom.</v>
      </c>
      <c r="B2856" s="3">
        <v>0</v>
      </c>
    </row>
    <row r="2857" ht="15.75" customHeight="1" spans="1:2">
      <c r="A2857" s="3" t="str">
        <f>IFERROR(__xludf.DUMMYFUNCTION("GOOGLETRANSLATE(A2857,""en"",""pt"")"),"Pior Thai nunca.")</f>
        <v>Pior Thai nunca.</v>
      </c>
      <c r="B2857" s="3">
        <v>0</v>
      </c>
    </row>
    <row r="2858" ht="15.75" customHeight="1" spans="1:2">
      <c r="A2858" s="3" t="str">
        <f>IFERROR(__xludf.DUMMYFUNCTION("GOOGLETRANSLATE(A2858,""en"",""pt"")"),"Se você ficar em Vegas você deve ter pequeno-almoço aqui pelo menos uma vez.")</f>
        <v>Se você ficar em Vegas você deve ter pequeno-almoço aqui pelo menos uma vez.</v>
      </c>
      <c r="B2858" s="3">
        <v>1</v>
      </c>
    </row>
    <row r="2859" ht="15.75" customHeight="1" spans="1:2">
      <c r="A2859" s="3" t="str">
        <f>IFERROR(__xludf.DUMMYFUNCTION("GOOGLETRANSLATE(A2859,""en"",""pt"")"),"Eu quero primeiro dizer o nosso servidor foi ótimo e tivemos um serviço perfeito.")</f>
        <v>Eu quero primeiro dizer o nosso servidor foi ótimo e tivemos um serviço perfeito.</v>
      </c>
      <c r="B2859" s="3">
        <v>1</v>
      </c>
    </row>
    <row r="2860" ht="15.75" customHeight="1" spans="1:2">
      <c r="A2860" s="3" t="str">
        <f>IFERROR(__xludf.DUMMYFUNCTION("GOOGLETRANSLATE(A2860,""en"",""pt"")"),"As seleções de pizza são boas.")</f>
        <v>As seleções de pizza são boas.</v>
      </c>
      <c r="B2860" s="3">
        <v>1</v>
      </c>
    </row>
    <row r="2861" ht="15.75" customHeight="1" spans="1:2">
      <c r="A2861" s="3" t="str">
        <f>IFERROR(__xludf.DUMMYFUNCTION("GOOGLETRANSLATE(A2861,""en"",""pt"")"),"Eu tive chá de morango, que era bom.")</f>
        <v>Eu tive chá de morango, que era bom.</v>
      </c>
      <c r="B2861" s="3">
        <v>1</v>
      </c>
    </row>
    <row r="2862" ht="15.75" customHeight="1" spans="1:2">
      <c r="A2862" s="3" t="str">
        <f>IFERROR(__xludf.DUMMYFUNCTION("GOOGLETRANSLATE(A2862,""en"",""pt"")"),"Altamente profissional e rude para um patrono leal!")</f>
        <v>Altamente profissional e rude para um patrono leal!</v>
      </c>
      <c r="B2862" s="3">
        <v>0</v>
      </c>
    </row>
    <row r="2863" ht="15.75" customHeight="1" spans="1:2">
      <c r="A2863" s="3" t="str">
        <f>IFERROR(__xludf.DUMMYFUNCTION("GOOGLETRANSLATE(A2863,""en"",""pt"")"),"No geral, uma grande experiência.")</f>
        <v>No geral, uma grande experiência.</v>
      </c>
      <c r="B2863" s="3">
        <v>1</v>
      </c>
    </row>
    <row r="2864" ht="15.75" customHeight="1" spans="1:2">
      <c r="A2864" s="3" t="str">
        <f>IFERROR(__xludf.DUMMYFUNCTION("GOOGLETRANSLATE(A2864,""en"",""pt"")"),"Passe o seu outro lugar dinheiro.")</f>
        <v>Passe o seu outro lugar dinheiro.</v>
      </c>
      <c r="B2864" s="3">
        <v>0</v>
      </c>
    </row>
    <row r="2865" ht="15.75" customHeight="1" spans="1:2">
      <c r="A2865" s="3" t="str">
        <f>IFERROR(__xludf.DUMMYFUNCTION("GOOGLETRANSLATE(A2865,""en"",""pt"")"),"O seu pão torrado regular foi igualmente satisfatório com os tapinhas ocasionais de manteiga ... Mmmm ...!")</f>
        <v>O seu pão torrado regular foi igualmente satisfatório com os tapinhas ocasionais de manteiga ... Mmmm ...!</v>
      </c>
      <c r="B2865" s="3">
        <v>1</v>
      </c>
    </row>
    <row r="2866" ht="15.75" customHeight="1" spans="1:2">
      <c r="A2866" s="3" t="str">
        <f>IFERROR(__xludf.DUMMYFUNCTION("GOOGLETRANSLATE(A2866,""en"",""pt"")"),"The Buffet at Bellagio foi longe do que eu esperava.")</f>
        <v>The Buffet at Bellagio foi longe do que eu esperava.</v>
      </c>
      <c r="B2866" s="3">
        <v>0</v>
      </c>
    </row>
    <row r="2867" ht="15.75" customHeight="1" spans="1:2">
      <c r="A2867" s="3" t="str">
        <f>IFERROR(__xludf.DUMMYFUNCTION("GOOGLETRANSLATE(A2867,""en"",""pt"")"),"E as bebidas são fracas, as pessoas!")</f>
        <v>E as bebidas são fracas, as pessoas!</v>
      </c>
      <c r="B2867" s="3">
        <v>0</v>
      </c>
    </row>
    <row r="2868" ht="15.75" customHeight="1" spans="1:2">
      <c r="A2868" s="3" t="str">
        <f>IFERROR(__xludf.DUMMYFUNCTION("GOOGLETRANSLATE(A2868,""en"",""pt"")"),"#ERROR!")</f>
        <v>#ERROR!</v>
      </c>
      <c r="B2868" s="3">
        <v>0</v>
      </c>
    </row>
    <row r="2869" ht="15.75" customHeight="1" spans="1:2">
      <c r="A2869" s="3" t="str">
        <f>IFERROR(__xludf.DUMMYFUNCTION("GOOGLETRANSLATE(A2869,""en"",""pt"")"),"Além disso, eu sinto que os chips são comprados, não feito em casa.")</f>
        <v>Além disso, eu sinto que os chips são comprados, não feito em casa.</v>
      </c>
      <c r="B2869" s="3">
        <v>0</v>
      </c>
    </row>
    <row r="2870" ht="15.75" customHeight="1" spans="1:2">
      <c r="A2870" s="3" t="str">
        <f>IFERROR(__xludf.DUMMYFUNCTION("GOOGLETRANSLATE(A2870,""en"",""pt"")"),"Após o decepcionante jantar fomos noutro local para a sobremesa.")</f>
        <v>Após o decepcionante jantar fomos noutro local para a sobremesa.</v>
      </c>
      <c r="B2870" s="3">
        <v>0</v>
      </c>
    </row>
    <row r="2871" ht="15.75" customHeight="1" spans="1:2">
      <c r="A2871" s="3" t="str">
        <f>IFERROR(__xludf.DUMMYFUNCTION("GOOGLETRANSLATE(A2871,""en"",""pt"")"),"O chips e sals um aqui é incrível !!!!!!!!!!!!!!!!!!!")</f>
        <v>O chips e sals um aqui é incrível !!!!!!!!!!!!!!!!!!!</v>
      </c>
      <c r="B2871" s="3">
        <v>1</v>
      </c>
    </row>
    <row r="2872" ht="15.75" customHeight="1" spans="1:2">
      <c r="A2872" s="3" t="str">
        <f>IFERROR(__xludf.DUMMYFUNCTION("GOOGLETRANSLATE(A2872,""en"",""pt"")"),"Nós não voltarei.")</f>
        <v>Nós não voltarei.</v>
      </c>
      <c r="B2872" s="3">
        <v>0</v>
      </c>
    </row>
    <row r="2873" ht="15.75" customHeight="1" spans="1:2">
      <c r="A2873" s="3" t="str">
        <f>IFERROR(__xludf.DUMMYFUNCTION("GOOGLETRANSLATE(A2873,""en"",""pt"")"),"Este é o meu novo local fav Vegas buffet.")</f>
        <v>Este é o meu novo local fav Vegas buffet.</v>
      </c>
      <c r="B2873" s="3">
        <v>1</v>
      </c>
    </row>
    <row r="2874" ht="15.75" customHeight="1" spans="1:2">
      <c r="A2874" s="3" t="str">
        <f>IFERROR(__xludf.DUMMYFUNCTION("GOOGLETRANSLATE(A2874,""en"",""pt"")"),"Eu seriamente não posso acreditar que o proprietário tem tantos funcionários inexperientes que todos estão correndo por aí como galinhas com suas cabeças cortadas.")</f>
        <v>Eu seriamente não posso acreditar que o proprietário tem tantos funcionários inexperientes que todos estão correndo por aí como galinhas com suas cabeças cortadas.</v>
      </c>
      <c r="B2874" s="3">
        <v>0</v>
      </c>
    </row>
    <row r="2875" ht="15.75" customHeight="1" spans="1:2">
      <c r="A2875" s="3" t="str">
        <f>IFERROR(__xludf.DUMMYFUNCTION("GOOGLETRANSLATE(A2875,""en"",""pt"")"),"Muito muito triste.")</f>
        <v>Muito muito triste.</v>
      </c>
      <c r="B2875" s="3">
        <v>0</v>
      </c>
    </row>
    <row r="2876" ht="15.75" customHeight="1" spans="1:2">
      <c r="A2876" s="3" t="str">
        <f>IFERROR(__xludf.DUMMYFUNCTION("GOOGLETRANSLATE(A2876,""en"",""pt"")"),"senti-me insultado e desrespeitado, como você poderia falar e julgar outro ser humano como esse?")</f>
        <v>senti-me insultado e desrespeitado, como você poderia falar e julgar outro ser humano como esse?</v>
      </c>
      <c r="B2876" s="3">
        <v>0</v>
      </c>
    </row>
    <row r="2877" ht="15.75" customHeight="1" spans="1:2">
      <c r="A2877" s="3" t="str">
        <f>IFERROR(__xludf.DUMMYFUNCTION("GOOGLETRANSLATE(A2877,""en"",""pt"")"),"Como você pode chamar-se uma churrascaria se você não pode cozinhar corretamente um bife, eu não entendo!")</f>
        <v>Como você pode chamar-se uma churrascaria se você não pode cozinhar corretamente um bife, eu não entendo!</v>
      </c>
      <c r="B2877" s="3">
        <v>0</v>
      </c>
    </row>
    <row r="2878" ht="15.75" customHeight="1" spans="1:2">
      <c r="A2878" s="3" t="str">
        <f>IFERROR(__xludf.DUMMYFUNCTION("GOOGLETRANSLATE(A2878,""en"",""pt"")"),"Não estou impressionado com o conceito ou a comida.")</f>
        <v>Não estou impressionado com o conceito ou a comida.</v>
      </c>
      <c r="B2878" s="3">
        <v>0</v>
      </c>
    </row>
    <row r="2879" ht="15.75" customHeight="1" spans="1:2">
      <c r="A2879" s="3" t="str">
        <f>IFERROR(__xludf.DUMMYFUNCTION("GOOGLETRANSLATE(A2879,""en"",""pt"")"),"A única coisa que eu não estava muito louco era o seu guacamole como eu não gosto PURA © ed.")</f>
        <v>A única coisa que eu não estava muito louco era o seu guacamole como eu não gosto PURA © ed.</v>
      </c>
      <c r="B2879" s="3">
        <v>0</v>
      </c>
    </row>
    <row r="2880" ht="15.75" customHeight="1" spans="1:2">
      <c r="A2880" s="3" t="str">
        <f>IFERROR(__xludf.DUMMYFUNCTION("GOOGLETRANSLATE(A2880,""en"",""pt"")"),"Não há realmente nada para mim no postinos, espero que sua experiência é melhor")</f>
        <v>Não há realmente nada para mim no postinos, espero que sua experiência é melhor</v>
      </c>
      <c r="B2880" s="3">
        <v>0</v>
      </c>
    </row>
    <row r="2881" ht="15.75" customHeight="1" spans="1:2">
      <c r="A2881" s="3" t="str">
        <f>IFERROR(__xludf.DUMMYFUNCTION("GOOGLETRANSLATE(A2881,""en"",""pt"")"),"I got alimentos envenenamento aqui no buffet.")</f>
        <v>I got alimentos envenenamento aqui no buffet.</v>
      </c>
      <c r="B2881" s="3">
        <v>0</v>
      </c>
    </row>
    <row r="2882" ht="15.75" customHeight="1" spans="1:2">
      <c r="A2882" s="3" t="str">
        <f>IFERROR(__xludf.DUMMYFUNCTION("GOOGLETRANSLATE(A2882,""en"",""pt"")"),"Eles trouxeram um novo lote de batatas fritas e eu estava pensando yay algo quente, mas não!")</f>
        <v>Eles trouxeram um novo lote de batatas fritas e eu estava pensando yay algo quente, mas não!</v>
      </c>
      <c r="B2882" s="3">
        <v>0</v>
      </c>
    </row>
    <row r="2883" ht="15.75" customHeight="1" spans="1:2">
      <c r="A2883" s="3" t="str">
        <f>IFERROR(__xludf.DUMMYFUNCTION("GOOGLETRANSLATE(A2883,""en"",""pt"")"),"O que deveria ter sido uma hilariante, Eve gostoso jantar de Natal para lembrar foi o maior fracasso de toda a viagem para nós.")</f>
        <v>O que deveria ter sido uma hilariante, Eve gostoso jantar de Natal para lembrar foi o maior fracasso de toda a viagem para nós.</v>
      </c>
      <c r="B2883" s="3">
        <v>0</v>
      </c>
    </row>
    <row r="2884" ht="15.75" customHeight="1" spans="1:2">
      <c r="A2884" s="3" t="str">
        <f>IFERROR(__xludf.DUMMYFUNCTION("GOOGLETRANSLATE(A2884,""en"",""pt"")"),"Escusado será dizer, eu não vou voltar em breve.")</f>
        <v>Escusado será dizer, eu não vou voltar em breve.</v>
      </c>
      <c r="B2884" s="3">
        <v>0</v>
      </c>
    </row>
    <row r="2885" ht="15.75" customHeight="1" spans="1:2">
      <c r="A2885" s="3" t="str">
        <f>IFERROR(__xludf.DUMMYFUNCTION("GOOGLETRANSLATE(A2885,""en"",""pt"")"),"Este lugar é nojento!")</f>
        <v>Este lugar é nojento!</v>
      </c>
      <c r="B2885" s="3">
        <v>0</v>
      </c>
    </row>
    <row r="2886" ht="15.75" customHeight="1" spans="1:2">
      <c r="A2886" s="3" t="str">
        <f>IFERROR(__xludf.DUMMYFUNCTION("GOOGLETRANSLATE(A2886,""en"",""pt"")"),"Toda vez que eu comer aqui, eu vejo o trabalho em equipe cuidar de um diploma profissional.")</f>
        <v>Toda vez que eu comer aqui, eu vejo o trabalho em equipe cuidar de um diploma profissional.</v>
      </c>
      <c r="B2886" s="3">
        <v>1</v>
      </c>
    </row>
    <row r="2887" ht="15.75" customHeight="1" spans="1:2">
      <c r="A2887" s="3" t="str">
        <f>IFERROR(__xludf.DUMMYFUNCTION("GOOGLETRANSLATE(A2887,""en"",""pt"")"),"A lula estilo RI era uma piada.")</f>
        <v>A lula estilo RI era uma piada.</v>
      </c>
      <c r="B2887" s="3">
        <v>0</v>
      </c>
    </row>
    <row r="2888" ht="15.75" customHeight="1" spans="1:2">
      <c r="A2888" s="3" t="str">
        <f>IFERROR(__xludf.DUMMYFUNCTION("GOOGLETRANSLATE(A2888,""en"",""pt"")"),"No entanto, havia muito alho no fondue, foi apenas Comestíveis.")</f>
        <v>No entanto, havia muito alho no fondue, foi apenas Comestíveis.</v>
      </c>
      <c r="B2888" s="3">
        <v>0</v>
      </c>
    </row>
    <row r="2889" ht="15.75" customHeight="1" spans="1:2">
      <c r="A2889" s="3" t="str">
        <f>IFERROR(__xludf.DUMMYFUNCTION("GOOGLETRANSLATE(A2889,""en"",""pt"")"),"Eu mal podia suportar a refeição, mas não pode reclamar porque era um almoço de negócios.")</f>
        <v>Eu mal podia suportar a refeição, mas não pode reclamar porque era um almoço de negócios.</v>
      </c>
      <c r="B2889" s="3">
        <v>0</v>
      </c>
    </row>
    <row r="2890" ht="15.75" customHeight="1" spans="1:2">
      <c r="A2890" s="3" t="str">
        <f>IFERROR(__xludf.DUMMYFUNCTION("GOOGLETRANSLATE(A2890,""en"",""pt"")"),"Foi tão ruim, eu tinha perdido o coração para terminá-lo.")</f>
        <v>Foi tão ruim, eu tinha perdido o coração para terminá-lo.</v>
      </c>
      <c r="B2890" s="3">
        <v>0</v>
      </c>
    </row>
    <row r="2891" ht="15.75" customHeight="1" spans="1:2">
      <c r="A2891" s="3" t="str">
        <f>IFERROR(__xludf.DUMMYFUNCTION("GOOGLETRANSLATE(A2891,""en"",""pt"")"),"Ele também levou-a para sempre, para nos conduzir a verificação quando pedimos para ele.")</f>
        <v>Ele também levou-a para sempre, para nos conduzir a verificação quando pedimos para ele.</v>
      </c>
      <c r="B2891" s="3">
        <v>0</v>
      </c>
    </row>
    <row r="2892" ht="15.75" customHeight="1" spans="1:2">
      <c r="A2892" s="3" t="str">
        <f>IFERROR(__xludf.DUMMYFUNCTION("GOOGLETRANSLATE(A2892,""en"",""pt"")"),"Nós não somos únicos a fazer uma cena em restaurantes, mas eu simplesmente não entendo ... definitivamente perdeu o amor após este!")</f>
        <v>Nós não somos únicos a fazer uma cena em restaurantes, mas eu simplesmente não entendo ... definitivamente perdeu o amor após este!</v>
      </c>
      <c r="B2892" s="3">
        <v>0</v>
      </c>
    </row>
    <row r="2893" ht="15.75" customHeight="1" spans="1:2">
      <c r="A2893" s="3" t="str">
        <f>IFERROR(__xludf.DUMMYFUNCTION("GOOGLETRANSLATE(A2893,""en"",""pt"")"),"Decepcionante experiência.")</f>
        <v>Decepcionante experiência.</v>
      </c>
      <c r="B2893" s="3">
        <v>0</v>
      </c>
    </row>
    <row r="2894" ht="15.75" customHeight="1" spans="1:2">
      <c r="A2894" s="3" t="str">
        <f>IFERROR(__xludf.DUMMYFUNCTION("GOOGLETRANSLATE(A2894,""en"",""pt"")"),"A comida é sobre a par com Denny, o que quer dizer, não é bom em tudo.")</f>
        <v>A comida é sobre a par com Denny, o que quer dizer, não é bom em tudo.</v>
      </c>
      <c r="B2894" s="3">
        <v>0</v>
      </c>
    </row>
    <row r="2895" ht="15.75" customHeight="1" spans="1:2">
      <c r="A2895" s="3" t="str">
        <f>IFERROR(__xludf.DUMMYFUNCTION("GOOGLETRANSLATE(A2895,""en"",""pt"")"),"Se você quiser esperar para comida medíocre e serviço absolutamente terrível, então este é o lugar para você.")</f>
        <v>Se você quiser esperar para comida medíocre e serviço absolutamente terrível, então este é o lugar para você.</v>
      </c>
      <c r="B2895" s="3">
        <v>0</v>
      </c>
    </row>
    <row r="2896" ht="15.75" customHeight="1" spans="1:2">
      <c r="A2896" s="3" t="str">
        <f>IFERROR(__xludf.DUMMYFUNCTION("GOOGLETRANSLATE(A2896,""en"",""pt"")"),"WAAAAAAyyyyyyyyyy mais cotados é tudo que eu estou dizendo.")</f>
        <v>WAAAAAAyyyyyyyyyy mais cotados é tudo que eu estou dizendo.</v>
      </c>
      <c r="B2896" s="3">
        <v>0</v>
      </c>
    </row>
    <row r="2897" ht="15.75" customHeight="1" spans="1:2">
      <c r="A2897" s="3" t="str">
        <f>IFERROR(__xludf.DUMMYFUNCTION("GOOGLETRANSLATE(A2897,""en"",""pt"")"),"Nós não vamos voltar.")</f>
        <v>Nós não vamos voltar.</v>
      </c>
      <c r="B2897" s="3">
        <v>0</v>
      </c>
    </row>
    <row r="2898" ht="15.75" customHeight="1" spans="1:2">
      <c r="A2898" s="3" t="str">
        <f>IFERROR(__xludf.DUMMYFUNCTION("GOOGLETRANSLATE(A2898,""en"",""pt"")"),"O lugar era bastante limpo, mas a comida simplesmente não valia a pena.")</f>
        <v>O lugar era bastante limpo, mas a comida simplesmente não valia a pena.</v>
      </c>
      <c r="B2898" s="3">
        <v>0</v>
      </c>
    </row>
    <row r="2899" ht="15.75" customHeight="1" spans="1:2">
      <c r="A2899" s="3" t="str">
        <f>IFERROR(__xludf.DUMMYFUNCTION("GOOGLETRANSLATE(A2899,""en"",""pt"")"),"Este lugar não tinha estilo !!")</f>
        <v>Este lugar não tinha estilo !!</v>
      </c>
      <c r="B2899" s="3">
        <v>0</v>
      </c>
    </row>
    <row r="2900" ht="15.75" customHeight="1" spans="1:2">
      <c r="A2900" s="3" t="str">
        <f>IFERROR(__xludf.DUMMYFUNCTION("GOOGLETRANSLATE(A2900,""en"",""pt"")"),"A sangria foi cerca de metade de um copo de vinho cheio e foi US $ 12, ridículo.")</f>
        <v>A sangria foi cerca de metade de um copo de vinho cheio e foi US $ 12, ridículo.</v>
      </c>
      <c r="B2900" s="3">
        <v>0</v>
      </c>
    </row>
    <row r="2901" ht="15.75" customHeight="1" spans="1:2">
      <c r="A2901" s="3" t="str">
        <f>IFERROR(__xludf.DUMMYFUNCTION("GOOGLETRANSLATE(A2901,""en"",""pt"")"),"Não se preocupe vir aqui.")</f>
        <v>Não se preocupe vir aqui.</v>
      </c>
      <c r="B2901" s="3">
        <v>0</v>
      </c>
    </row>
    <row r="2902" ht="15.75" customHeight="1" spans="1:2">
      <c r="A2902" s="3" t="str">
        <f>IFERROR(__xludf.DUMMYFUNCTION("GOOGLETRANSLATE(A2902,""en"",""pt"")"),"A carne foi muito seco, eu tinha o peito cortado e carne de porco.")</f>
        <v>A carne foi muito seco, eu tinha o peito cortado e carne de porco.</v>
      </c>
      <c r="B2902" s="3">
        <v>0</v>
      </c>
    </row>
    <row r="2903" ht="15.75" customHeight="1" spans="1:2">
      <c r="A2903" s="3" t="str">
        <f>IFERROR(__xludf.DUMMYFUNCTION("GOOGLETRANSLATE(A2903,""en"",""pt"")"),"O edifício em si parece muito arrumado; o banheiro é muito trippy, mas eu não iria comer aqui novamente.")</f>
        <v>O edifício em si parece muito arrumado; o banheiro é muito trippy, mas eu não iria comer aqui novamente.</v>
      </c>
      <c r="B2903" s="3">
        <v>0</v>
      </c>
    </row>
    <row r="2904" ht="15.75" customHeight="1" spans="1:2">
      <c r="A2904" s="3" t="str">
        <f>IFERROR(__xludf.DUMMYFUNCTION("GOOGLETRANSLATE(A2904,""en"",""pt"")"),"Foi igualmente terrível.")</f>
        <v>Foi igualmente terrível.</v>
      </c>
      <c r="B2904" s="3">
        <v>0</v>
      </c>
    </row>
    <row r="2905" ht="15.75" customHeight="1" spans="1:2">
      <c r="A2905" s="3" t="str">
        <f>IFERROR(__xludf.DUMMYFUNCTION("GOOGLETRANSLATE(A2905,""en"",""pt"")"),"Provavelmente não tem pressa para voltar.")</f>
        <v>Provavelmente não tem pressa para voltar.</v>
      </c>
      <c r="B2905" s="3">
        <v>0</v>
      </c>
    </row>
    <row r="2906" ht="15.75" customHeight="1" spans="1:2">
      <c r="A2906" s="3" t="str">
        <f>IFERROR(__xludf.DUMMYFUNCTION("GOOGLETRANSLATE(A2906,""en"",""pt"")"),"muito lento no assento mesmo com reserva.")</f>
        <v>muito lento no assento mesmo com reserva.</v>
      </c>
      <c r="B2906" s="3">
        <v>0</v>
      </c>
    </row>
    <row r="2907" ht="15.75" customHeight="1" spans="1:2">
      <c r="A2907" s="3" t="str">
        <f>IFERROR(__xludf.DUMMYFUNCTION("GOOGLETRANSLATE(A2907,""en"",""pt"")"),"Não é bom em qualquer trecho da imaginação.")</f>
        <v>Não é bom em qualquer trecho da imaginação.</v>
      </c>
      <c r="B2907" s="3">
        <v>0</v>
      </c>
    </row>
    <row r="2908" ht="15.75" customHeight="1" spans="1:2">
      <c r="A2908" s="3" t="str">
        <f>IFERROR(__xludf.DUMMYFUNCTION("GOOGLETRANSLATE(A2908,""en"",""pt"")"),"O molho de creme de castanha de caju foi sem graça e os produtos hortícolas foram mal cozida.")</f>
        <v>O molho de creme de castanha de caju foi sem graça e os produtos hortícolas foram mal cozida.</v>
      </c>
      <c r="B2908" s="3">
        <v>0</v>
      </c>
    </row>
    <row r="2909" ht="15.75" customHeight="1" spans="1:2">
      <c r="A2909" s="3" t="str">
        <f>IFERROR(__xludf.DUMMYFUNCTION("GOOGLETRANSLATE(A2909,""en"",""pt"")"),"O chipolte rancho mergulho sause foi sem gosto, parecia fino e aguado com nenhum calor.")</f>
        <v>O chipolte rancho mergulho sause foi sem gosto, parecia fino e aguado com nenhum calor.</v>
      </c>
      <c r="B2909" s="3">
        <v>0</v>
      </c>
    </row>
    <row r="2910" ht="15.75" customHeight="1" spans="1:2">
      <c r="A2910" s="3" t="str">
        <f>IFERROR(__xludf.DUMMYFUNCTION("GOOGLETRANSLATE(A2910,""en"",""pt"")"),"Foi um pouco demasiado doce, não é realmente suficiente picante, e faltou sabor.")</f>
        <v>Foi um pouco demasiado doce, não é realmente suficiente picante, e faltou sabor.</v>
      </c>
      <c r="B2910" s="3">
        <v>0</v>
      </c>
    </row>
    <row r="2911" ht="15.75" customHeight="1" spans="1:2">
      <c r="A2911" s="3" t="str">
        <f>IFERROR(__xludf.DUMMYFUNCTION("GOOGLETRANSLATE(A2911,""en"",""pt"")"),"Eu estava muito desapontado!!")</f>
        <v>Eu estava muito desapontado!!</v>
      </c>
      <c r="B2911" s="3">
        <v>0</v>
      </c>
    </row>
    <row r="2912" ht="15.75" customHeight="1" spans="1:2">
      <c r="A2912" s="3" t="str">
        <f>IFERROR(__xludf.DUMMYFUNCTION("GOOGLETRANSLATE(A2912,""en"",""pt"")"),"Este lugar é horrível e muito caro.")</f>
        <v>Este lugar é horrível e muito caro.</v>
      </c>
      <c r="B2912" s="3">
        <v>0</v>
      </c>
    </row>
    <row r="2913" ht="15.75" customHeight="1" spans="1:2">
      <c r="A2913" s="3" t="str">
        <f>IFERROR(__xludf.DUMMYFUNCTION("GOOGLETRANSLATE(A2913,""en"",""pt"")"),"Talvez seja apenas a sua tarifa Vegetariana, mas eu fui duas vezes e eu pensei que era melhor média.")</f>
        <v>Talvez seja apenas a sua tarifa Vegetariana, mas eu fui duas vezes e eu pensei que era melhor média.</v>
      </c>
      <c r="B2913" s="3">
        <v>0</v>
      </c>
    </row>
    <row r="2914" ht="15.75" customHeight="1" spans="1:2">
      <c r="A2914" s="3" t="str">
        <f>IFERROR(__xludf.DUMMYFUNCTION("GOOGLETRANSLATE(A2914,""en"",""pt"")"),"Não foi ocupado em tudo e agora sabemos porquê.")</f>
        <v>Não foi ocupado em tudo e agora sabemos porquê.</v>
      </c>
      <c r="B2914" s="3">
        <v>0</v>
      </c>
    </row>
    <row r="2915" ht="15.75" customHeight="1" spans="1:2">
      <c r="A2915" s="3" t="str">
        <f>IFERROR(__xludf.DUMMYFUNCTION("GOOGLETRANSLATE(A2915,""en"",""pt"")"),"As mesas do lado de fora também são muito suja do tempo e os trabalhadores não são sempre amigável e útil com o menu.")</f>
        <v>As mesas do lado de fora também são muito suja do tempo e os trabalhadores não são sempre amigável e útil com o menu.</v>
      </c>
      <c r="B2915" s="3">
        <v>0</v>
      </c>
    </row>
    <row r="2916" ht="15.75" customHeight="1" spans="1:2">
      <c r="A2916" s="3" t="str">
        <f>IFERROR(__xludf.DUMMYFUNCTION("GOOGLETRANSLATE(A2916,""en"",""pt"")"),"O ambiente aqui não se sente como um ajuste buffet, mas mais de um jardim interior douchey para chá e biscoitos.")</f>
        <v>O ambiente aqui não se sente como um ajuste buffet, mas mais de um jardim interior douchey para chá e biscoitos.</v>
      </c>
      <c r="B2916" s="3">
        <v>0</v>
      </c>
    </row>
    <row r="2917" ht="15.75" customHeight="1" spans="1:2">
      <c r="A2917" s="3" t="str">
        <f>IFERROR(__xludf.DUMMYFUNCTION("GOOGLETRANSLATE(A2917,""en"",""pt"")"),"Con: serviço irregular.")</f>
        <v>Con: serviço irregular.</v>
      </c>
      <c r="B2917" s="3">
        <v>0</v>
      </c>
    </row>
    <row r="2918" ht="15.75" customHeight="1" spans="1:2">
      <c r="A2918" s="3" t="str">
        <f>IFERROR(__xludf.DUMMYFUNCTION("GOOGLETRANSLATE(A2918,""en"",""pt"")"),"As batatas fritas não foram quente, e nem foi o meu hambúrguer.")</f>
        <v>As batatas fritas não foram quente, e nem foi o meu hambúrguer.</v>
      </c>
      <c r="B2918" s="3">
        <v>0</v>
      </c>
    </row>
    <row r="2919" ht="15.75" customHeight="1" spans="1:2">
      <c r="A2919" s="3" t="str">
        <f>IFERROR(__xludf.DUMMYFUNCTION("GOOGLETRANSLATE(A2919,""en"",""pt"")"),"Mas, em seguida, eles voltaram frio.")</f>
        <v>Mas, em seguida, eles voltaram frio.</v>
      </c>
      <c r="B2919" s="3">
        <v>0</v>
      </c>
    </row>
    <row r="2920" ht="15.75" customHeight="1" spans="1:2">
      <c r="A2920" s="3" t="str">
        <f>IFERROR(__xludf.DUMMYFUNCTION("GOOGLETRANSLATE(A2920,""en"",""pt"")"),"Então a nossa comida saiu, decepção se seguiu.")</f>
        <v>Então a nossa comida saiu, decepção se seguiu.</v>
      </c>
      <c r="B2920" s="3">
        <v>0</v>
      </c>
    </row>
    <row r="2921" ht="15.75" customHeight="1" spans="1:2">
      <c r="A2921" s="3" t="str">
        <f>IFERROR(__xludf.DUMMYFUNCTION("GOOGLETRANSLATE(A2921,""en"",""pt"")"),"A verdadeira decepção foi o nosso garçom.")</f>
        <v>A verdadeira decepção foi o nosso garçom.</v>
      </c>
      <c r="B2921" s="3">
        <v>0</v>
      </c>
    </row>
    <row r="2922" ht="15.75" customHeight="1" spans="1:2">
      <c r="A2922" s="3" t="str">
        <f>IFERROR(__xludf.DUMMYFUNCTION("GOOGLETRANSLATE(A2922,""en"",""pt"")"),"Meu marido disse que ela era muito rude ... nem sequer pediu desculpas para a má alimentação ou qualquer coisa.")</f>
        <v>Meu marido disse que ela era muito rude ... nem sequer pediu desculpas para a má alimentação ou qualquer coisa.</v>
      </c>
      <c r="B2922" s="3">
        <v>0</v>
      </c>
    </row>
    <row r="2923" ht="15.75" customHeight="1" spans="1:2">
      <c r="A2923" s="3" t="str">
        <f>IFERROR(__xludf.DUMMYFUNCTION("GOOGLETRANSLATE(A2923,""en"",""pt"")"),"A única razão para comer aqui seria a encher-se antes de uma noite de bebedeira apenas para obter alguns carboidratos em seu estômago.")</f>
        <v>A única razão para comer aqui seria a encher-se antes de uma noite de bebedeira apenas para obter alguns carboidratos em seu estômago.</v>
      </c>
      <c r="B2923" s="3">
        <v>0</v>
      </c>
    </row>
    <row r="2924" ht="15.75" customHeight="1" spans="1:2">
      <c r="A2924" s="3" t="str">
        <f>IFERROR(__xludf.DUMMYFUNCTION("GOOGLETRANSLATE(A2924,""en"",""pt"")"),"Insultos, profunda deuchebaggery, e teve que ir para fora para uma pausa para fumar enquanto servia apenas para solidificar-lo.")</f>
        <v>Insultos, profunda deuchebaggery, e teve que ir para fora para uma pausa para fumar enquanto servia apenas para solidificar-lo.</v>
      </c>
      <c r="B2924" s="3">
        <v>0</v>
      </c>
    </row>
    <row r="2925" ht="15.75" customHeight="1" spans="1:2">
      <c r="A2925" s="3" t="str">
        <f>IFERROR(__xludf.DUMMYFUNCTION("GOOGLETRANSLATE(A2925,""en"",""pt"")"),"Se alguém pede dois tacos não' você acha que pode ser parte do serviço ao cliente para perguntar se é combinação ou ala carrinho?")</f>
        <v>Se alguém pede dois tacos não' você acha que pode ser parte do serviço ao cliente para perguntar se é combinação ou ala carrinho?</v>
      </c>
      <c r="B2925" s="3">
        <v>0</v>
      </c>
    </row>
    <row r="2926" ht="15.75" customHeight="1" spans="1:2">
      <c r="A2926" s="3" t="str">
        <f>IFERROR(__xludf.DUMMYFUNCTION("GOOGLETRANSLATE(A2926,""en"",""pt"")"),"Ela era bastante desapontado embora algumas necessidades culpa para ser colocado em sua porta.")</f>
        <v>Ela era bastante desapontado embora algumas necessidades culpa para ser colocado em sua porta.</v>
      </c>
      <c r="B2926" s="3">
        <v>0</v>
      </c>
    </row>
    <row r="2927" ht="15.75" customHeight="1" spans="1:2">
      <c r="A2927" s="3" t="str">
        <f>IFERROR(__xludf.DUMMYFUNCTION("GOOGLETRANSLATE(A2927,""en"",""pt"")"),"Depois de todos os comentários elogiosos eu não podia esperar para comer aqui ...... que decepção!")</f>
        <v>Depois de todos os comentários elogiosos eu não podia esperar para comer aqui ...... que decepção!</v>
      </c>
      <c r="B2927" s="3">
        <v>0</v>
      </c>
    </row>
    <row r="2928" ht="15.75" customHeight="1" spans="1:2">
      <c r="A2928" s="3" t="str">
        <f>IFERROR(__xludf.DUMMYFUNCTION("GOOGLETRANSLATE(A2928,""en"",""pt"")"),"Del Taco é bastante desagradável e deve ser evitado, se possível.")</f>
        <v>Del Taco é bastante desagradável e deve ser evitado, se possível.</v>
      </c>
      <c r="B2928" s="3">
        <v>0</v>
      </c>
    </row>
    <row r="2929" ht="15.75" customHeight="1" spans="1:2">
      <c r="A2929" s="3" t="str">
        <f>IFERROR(__xludf.DUMMYFUNCTION("GOOGLETRANSLATE(A2929,""en"",""pt"")"),"Não é difícil para fazer um hambúrguer decente.")</f>
        <v>Não é difícil para fazer um hambúrguer decente.</v>
      </c>
      <c r="B2929" s="3">
        <v>0</v>
      </c>
    </row>
    <row r="2930" ht="15.75" customHeight="1" spans="1:2">
      <c r="A2930" s="3" t="str">
        <f>IFERROR(__xludf.DUMMYFUNCTION("GOOGLETRANSLATE(A2930,""en"",""pt"")"),"Mas eu não gosto.")</f>
        <v>Mas eu não gosto.</v>
      </c>
      <c r="B2930" s="3">
        <v>0</v>
      </c>
    </row>
    <row r="2931" ht="15.75" customHeight="1" spans="1:2">
      <c r="A2931" s="3" t="str">
        <f>IFERROR(__xludf.DUMMYFUNCTION("GOOGLETRANSLATE(A2931,""en"",""pt"")"),"Claro que não vou voltar")</f>
        <v>Claro que não vou voltar</v>
      </c>
      <c r="B2931" s="3">
        <v>0</v>
      </c>
    </row>
    <row r="2932" ht="15.75" customHeight="1" spans="1:2">
      <c r="A2932" s="3" t="str">
        <f>IFERROR(__xludf.DUMMYFUNCTION("GOOGLETRANSLATE(A2932,""en"",""pt"")"),"Nós já ter obtido um melhor serviço muito do lugar de pizza ao lado do que os serviços que recebemos do restaurante.")</f>
        <v>Nós já ter obtido um melhor serviço muito do lugar de pizza ao lado do que os serviços que recebemos do restaurante.</v>
      </c>
      <c r="B2932" s="3">
        <v>0</v>
      </c>
    </row>
    <row r="2933" ht="15.75" customHeight="1" spans="1:2">
      <c r="A2933" s="3" t="str">
        <f>IFERROR(__xludf.DUMMYFUNCTION("GOOGLETRANSLATE(A2933,""en"",""pt"")"),"Eu não sei o que o grande negócio é sobre este lugar, mas eu não vou estar de volta ""ya'all"".")</f>
        <v>Eu não sei o que o grande negócio é sobre este lugar, mas eu não vou estar de volta "ya'all".</v>
      </c>
      <c r="B2933" s="3">
        <v>0</v>
      </c>
    </row>
    <row r="2934" ht="15.75" customHeight="1" spans="1:2">
      <c r="A2934" s="3" t="str">
        <f>IFERROR(__xludf.DUMMYFUNCTION("GOOGLETRANSLATE(A2934,""en"",""pt"")"),"Eu imediatamente disse que queria falar com o gerente, mas eu não quero falar com o cara que estava fazendo tiros de bola de fogo por trás do bar.")</f>
        <v>Eu imediatamente disse que queria falar com o gerente, mas eu não quero falar com o cara que estava fazendo tiros de bola de fogo por trás do bar.</v>
      </c>
      <c r="B2934" s="3">
        <v>0</v>
      </c>
    </row>
    <row r="2935" ht="15.75" customHeight="1" spans="1:2">
      <c r="A2935" s="3" t="str">
        <f>IFERROR(__xludf.DUMMYFUNCTION("GOOGLETRANSLATE(A2935,""en"",""pt"")"),"O ambiente não é muito melhor.")</f>
        <v>O ambiente não é muito melhor.</v>
      </c>
      <c r="B2935" s="3">
        <v>0</v>
      </c>
    </row>
    <row r="2936" ht="15.75" customHeight="1" spans="1:2">
      <c r="A2936" s="3" t="str">
        <f>IFERROR(__xludf.DUMMYFUNCTION("GOOGLETRANSLATE(A2936,""en"",""pt"")"),"Infelizmente, ele só definir-nos para disapppointment com os nossos pratos.")</f>
        <v>Infelizmente, ele só definir-nos para disapppointment com os nossos pratos.</v>
      </c>
      <c r="B2936" s="3">
        <v>0</v>
      </c>
    </row>
    <row r="2937" ht="15.75" customHeight="1" spans="1:2">
      <c r="A2937" s="3" t="str">
        <f>IFERROR(__xludf.DUMMYFUNCTION("GOOGLETRANSLATE(A2937,""en"",""pt"")"),"A comida não era boa.")</f>
        <v>A comida não era boa.</v>
      </c>
      <c r="B2937" s="3">
        <v>0</v>
      </c>
    </row>
    <row r="2938" ht="15.75" customHeight="1" spans="1:2">
      <c r="A2938" s="3" t="str">
        <f>IFERROR(__xludf.DUMMYFUNCTION("GOOGLETRANSLATE(A2938,""en"",""pt"")"),"Seus servidores chupar, espera, correção, o nosso servidor Heimer sugado.")</f>
        <v>Seus servidores chupar, espera, correção, o nosso servidor Heimer sugado.</v>
      </c>
      <c r="B2938" s="3">
        <v>0</v>
      </c>
    </row>
    <row r="2939" ht="15.75" customHeight="1" spans="1:2">
      <c r="A2939" s="3" t="str">
        <f>IFERROR(__xludf.DUMMYFUNCTION("GOOGLETRANSLATE(A2939,""en"",""pt"")"),"O que aconteceu depois foi muito .... putting.")</f>
        <v>O que aconteceu depois foi muito .... putting.</v>
      </c>
      <c r="B2939" s="3">
        <v>0</v>
      </c>
    </row>
    <row r="2940" ht="15.75" customHeight="1" spans="1:2">
      <c r="A2940" s="3" t="str">
        <f>IFERROR(__xludf.DUMMYFUNCTION("GOOGLETRANSLATE(A2940,""en"",""pt"")"),"muito ruim porque eu sei que é de propriedade familiar, eu realmente queria como este lugar.")</f>
        <v>muito ruim porque eu sei que é de propriedade familiar, eu realmente queria como este lugar.</v>
      </c>
      <c r="B2940" s="3">
        <v>0</v>
      </c>
    </row>
    <row r="2941" ht="15.75" customHeight="1" spans="1:2">
      <c r="A2941" s="3" t="str">
        <f>IFERROR(__xludf.DUMMYFUNCTION("GOOGLETRANSLATE(A2941,""en"",""pt"")"),"As para o que você está recebendo.")</f>
        <v>As para o que você está recebendo.</v>
      </c>
      <c r="B2941" s="3">
        <v>0</v>
      </c>
    </row>
    <row r="2942" ht="15.75" customHeight="1" spans="1:2">
      <c r="A2942" s="3" t="str">
        <f>IFERROR(__xludf.DUMMYFUNCTION("GOOGLETRANSLATE(A2942,""en"",""pt"")"),"Vomitei no banheiro meados do almoço.")</f>
        <v>Vomitei no banheiro meados do almoço.</v>
      </c>
      <c r="B2942" s="3">
        <v>0</v>
      </c>
    </row>
    <row r="2943" ht="15.75" customHeight="1" spans="1:2">
      <c r="A2943" s="3" t="str">
        <f>IFERROR(__xludf.DUMMYFUNCTION("GOOGLETRANSLATE(A2943,""en"",""pt"")"),"Fiquei olhando para o tempo e logo tornou-se 35 minutos, mas ainda não há comida.")</f>
        <v>Fiquei olhando para o tempo e logo tornou-se 35 minutos, mas ainda não há comida.</v>
      </c>
      <c r="B2943" s="3">
        <v>0</v>
      </c>
    </row>
    <row r="2944" ht="15.75" customHeight="1" spans="1:2">
      <c r="A2944" s="3" t="str">
        <f>IFERROR(__xludf.DUMMYFUNCTION("GOOGLETRANSLATE(A2944,""en"",""pt"")"),"Estive em muito poucos lugares para comer que sob nenhuma circunstância que eu iria voltar a, e isso está no topo da lista.")</f>
        <v>Estive em muito poucos lugares para comer que sob nenhuma circunstância que eu iria voltar a, e isso está no topo da lista.</v>
      </c>
      <c r="B2944" s="3">
        <v>0</v>
      </c>
    </row>
    <row r="2945" ht="15.75" customHeight="1" spans="1:2">
      <c r="A2945" s="3" t="str">
        <f>IFERROR(__xludf.DUMMYFUNCTION("GOOGLETRANSLATE(A2945,""en"",""pt"")"),"Começamos com o sashimi de atum que era de cor acastanhada e, obviamente, não era fresca.")</f>
        <v>Começamos com o sashimi de atum que era de cor acastanhada e, obviamente, não era fresca.</v>
      </c>
      <c r="B2945" s="3">
        <v>0</v>
      </c>
    </row>
    <row r="2946" ht="15.75" customHeight="1" spans="1:2">
      <c r="A2946" s="3" t="str">
        <f>IFERROR(__xludf.DUMMYFUNCTION("GOOGLETRANSLATE(A2946,""en"",""pt"")"),"Comida era inferior à média.")</f>
        <v>Comida era inferior à média.</v>
      </c>
      <c r="B2946" s="3">
        <v>0</v>
      </c>
    </row>
    <row r="2947" ht="15.75" customHeight="1" spans="1:2">
      <c r="A2947" s="3" t="str">
        <f>IFERROR(__xludf.DUMMYFUNCTION("GOOGLETRANSLATE(A2947,""en"",""pt"")"),"Com certeza vencer os nachos no cinema, mas eu esperaria um pouco mais vindo de um restaurante.")</f>
        <v>Com certeza vencer os nachos no cinema, mas eu esperaria um pouco mais vindo de um restaurante.</v>
      </c>
      <c r="B2947" s="3">
        <v>0</v>
      </c>
    </row>
    <row r="2948" ht="15.75" customHeight="1" spans="1:2">
      <c r="A2948" s="3" t="str">
        <f>IFERROR(__xludf.DUMMYFUNCTION("GOOGLETRANSLATE(A2948,""en"",""pt"")"),"Ao todo, Ha Long Bay foi um pouco de um fiasco.")</f>
        <v>Ao todo, Ha Long Bay foi um pouco de um fiasco.</v>
      </c>
      <c r="B2948" s="3">
        <v>0</v>
      </c>
    </row>
    <row r="2949" ht="15.75" customHeight="1" spans="1:2">
      <c r="A2949" s="3" t="str">
        <f>IFERROR(__xludf.DUMMYFUNCTION("GOOGLETRANSLATE(A2949,""en"",""pt"")"),"O problema que tenho é que eles cobram US $ 11,99 para um sanduíche que não é maior do que um sub Subway (que oferece melhor e mais quantidade de legumes).")</f>
        <v>O problema que tenho é que eles cobram US $ 11,99 para um sanduíche que não é maior do que um sub Subway (que oferece melhor e mais quantidade de legumes).</v>
      </c>
      <c r="B2949" s="3">
        <v>0</v>
      </c>
    </row>
    <row r="2950" ht="15.75" customHeight="1" spans="1:2">
      <c r="A2950" s="3" t="str">
        <f>IFERROR(__xludf.DUMMYFUNCTION("GOOGLETRANSLATE(A2950,""en"",""pt"")"),"Camarão- Quando eu desembrulhou-(eu vivo apenas 1/2 milha de Brushfire) foi literalmente gelada.")</f>
        <v>Camarão- Quando eu desembrulhou-(eu vivo apenas 1/2 milha de Brushfire) foi literalmente gelada.</v>
      </c>
      <c r="B2950" s="3">
        <v>0</v>
      </c>
    </row>
    <row r="2951" ht="15.75" customHeight="1" spans="1:2">
      <c r="A2951" s="3" t="str">
        <f>IFERROR(__xludf.DUMMYFUNCTION("GOOGLETRANSLATE(A2951,""en"",""pt"")"),"Ele faltou sabor, parecia mal cozida e seco.")</f>
        <v>Ele faltou sabor, parecia mal cozida e seco.</v>
      </c>
      <c r="B2951" s="3">
        <v>0</v>
      </c>
    </row>
    <row r="2952" ht="15.75" customHeight="1" spans="1:2">
      <c r="A2952" s="3" t="str">
        <f>IFERROR(__xludf.DUMMYFUNCTION("GOOGLETRANSLATE(A2952,""en"",""pt"")"),"É realmente impressionante que o local não fechou.")</f>
        <v>É realmente impressionante que o local não fechou.</v>
      </c>
      <c r="B2952" s="3">
        <v>0</v>
      </c>
    </row>
    <row r="2953" ht="15.75" customHeight="1" spans="1:2">
      <c r="A2953" s="3" t="str">
        <f>IFERROR(__xludf.DUMMYFUNCTION("GOOGLETRANSLATE(A2953,""en"",""pt"")"),"Quero evitar este lugar se você estiver hospedado no Mirage.")</f>
        <v>Quero evitar este lugar se você estiver hospedado no Mirage.</v>
      </c>
      <c r="B2953" s="3">
        <v>0</v>
      </c>
    </row>
    <row r="2954" ht="15.75" customHeight="1" spans="1:2">
      <c r="A2954" s="3" t="str">
        <f>IFERROR(__xludf.DUMMYFUNCTION("GOOGLETRANSLATE(A2954,""en"",""pt"")"),"Os feijão frito que veio com a minha refeição foram secas e duro ea comida era sem graça.")</f>
        <v>Os feijão frito que veio com a minha refeição foram secas e duro ea comida era sem graça.</v>
      </c>
      <c r="B2954" s="3">
        <v>0</v>
      </c>
    </row>
    <row r="2955" ht="15.75" customHeight="1" spans="1:2">
      <c r="A2955" s="3" t="str">
        <f>IFERROR(__xludf.DUMMYFUNCTION("GOOGLETRANSLATE(A2955,""en"",""pt"")"),"Gastar seu tempo e dinheiro em outro lugar.")</f>
        <v>Gastar seu tempo e dinheiro em outro lugar.</v>
      </c>
      <c r="B2955" s="3">
        <v>0</v>
      </c>
    </row>
    <row r="2956" ht="15.75" customHeight="1" spans="1:2">
      <c r="A2956" s="3" t="str">
        <f>IFERROR(__xludf.DUMMYFUNCTION("GOOGLETRANSLATE(A2956,""en"",""pt"")"),"A senhora na mesa ao nosso lado encontrou uma lagarta verde viver em sua salada.")</f>
        <v>A senhora na mesa ao nosso lado encontrou uma lagarta verde viver em sua salada.</v>
      </c>
      <c r="B2956" s="3">
        <v>0</v>
      </c>
    </row>
    <row r="2957" ht="15.75" customHeight="1" spans="1:2">
      <c r="A2957" s="3" t="str">
        <f>IFERROR(__xludf.DUMMYFUNCTION("GOOGLETRANSLATE(A2957,""en"",""pt"")"),"a apresentação da comida era horrível.")</f>
        <v>a apresentação da comida era horrível.</v>
      </c>
      <c r="B2957" s="3">
        <v>0</v>
      </c>
    </row>
    <row r="2958" ht="15.75" customHeight="1" spans="1:2">
      <c r="A2958" s="3" t="str">
        <f>IFERROR(__xludf.DUMMYFUNCTION("GOOGLETRANSLATE(A2958,""en"",""pt"")"),"Eu não posso te dizer como fiquei desiludido.")</f>
        <v>Eu não posso te dizer como fiquei desiludido.</v>
      </c>
      <c r="B2958" s="3">
        <v>0</v>
      </c>
    </row>
    <row r="2959" ht="15.75" customHeight="1" spans="1:2">
      <c r="A2959" s="3" t="str">
        <f>IFERROR(__xludf.DUMMYFUNCTION("GOOGLETRANSLATE(A2959,""en"",""pt"")"),"Eu acho que o alimento deve ter sabor e textura e ambos estavam faltando.")</f>
        <v>Eu acho que o alimento deve ter sabor e textura e ambos estavam faltando.</v>
      </c>
      <c r="B2959" s="3">
        <v>0</v>
      </c>
    </row>
    <row r="2960" ht="15.75" customHeight="1" spans="1:2">
      <c r="A2960" s="3" t="str">
        <f>IFERROR(__xludf.DUMMYFUNCTION("GOOGLETRANSLATE(A2960,""en"",""pt"")"),"Appetite instantaneamente desaparecido.")</f>
        <v>Appetite instantaneamente desaparecido.</v>
      </c>
      <c r="B2960" s="3">
        <v>0</v>
      </c>
    </row>
    <row r="2961" ht="15.75" customHeight="1" spans="1:2">
      <c r="A2961" s="3" t="str">
        <f>IFERROR(__xludf.DUMMYFUNCTION("GOOGLETRANSLATE(A2961,""en"",""pt"")"),"No geral Eu não estava impressionado e não iria voltar.")</f>
        <v>No geral Eu não estava impressionado e não iria voltar.</v>
      </c>
      <c r="B2961" s="3">
        <v>0</v>
      </c>
    </row>
    <row r="2962" ht="15.75" customHeight="1" spans="1:2">
      <c r="A2962" s="3" t="str">
        <f>IFERROR(__xludf.DUMMYFUNCTION("GOOGLETRANSLATE(A2962,""en"",""pt"")"),"Toda a experiência foi nada assombroso, e eu acho que nós vamos para Ninja Sushi próxima vez.")</f>
        <v>Toda a experiência foi nada assombroso, e eu acho que nós vamos para Ninja Sushi próxima vez.</v>
      </c>
      <c r="B2962" s="3">
        <v>0</v>
      </c>
    </row>
    <row r="2963" ht="15.75" customHeight="1" spans="1:2">
      <c r="A2963" s="3" t="str">
        <f>IFERROR(__xludf.DUMMYFUNCTION("GOOGLETRANSLATE(A2963,""en"",""pt"")"),"Então, como se eu não tivesse desperdiçado o suficiente da minha vida lá, eles derramado sal na ferida, desenhando o tempo que levou para trazer o cheque.")</f>
        <v>Então, como se eu não tivesse desperdiçado o suficiente da minha vida lá, eles derramado sal na ferida, desenhando o tempo que levou para trazer o cheque.</v>
      </c>
      <c r="B2963" s="3">
        <v>0</v>
      </c>
    </row>
    <row r="2964" ht="15.75" customHeight="1" spans="1:2">
      <c r="A2964" s="3" t="str">
        <f>IFERROR(__xludf.DUMMYFUNCTION("GOOGLETRANSLATE(A2964,""en"",""pt"")"),"a +")</f>
        <v>a +</v>
      </c>
      <c r="B2964" s="3">
        <v>1</v>
      </c>
    </row>
    <row r="2965" ht="15.75" customHeight="1" spans="1:2">
      <c r="A2965" s="3" t="str">
        <f>IFERROR(__xludf.DUMMYFUNCTION("GOOGLETRANSLATE(A2965,""en"",""pt"")"),"abundam")</f>
        <v>abundam</v>
      </c>
      <c r="B2965" s="3">
        <v>1</v>
      </c>
    </row>
    <row r="2966" ht="15.75" customHeight="1" spans="1:2">
      <c r="A2966" s="3" t="str">
        <f>IFERROR(__xludf.DUMMYFUNCTION("GOOGLETRANSLATE(A2966,""en"",""pt"")"),"abunda")</f>
        <v>abunda</v>
      </c>
      <c r="B2966" s="3">
        <v>1</v>
      </c>
    </row>
    <row r="2967" ht="15.75" customHeight="1" spans="1:2">
      <c r="A2967" s="3" t="str">
        <f>IFERROR(__xludf.DUMMYFUNCTION("GOOGLETRANSLATE(A2967,""en"",""pt"")"),"abundância")</f>
        <v>abundância</v>
      </c>
      <c r="B2967" s="3">
        <v>1</v>
      </c>
    </row>
    <row r="2968" ht="15.75" customHeight="1" spans="1:2">
      <c r="A2968" s="3" t="str">
        <f>IFERROR(__xludf.DUMMYFUNCTION("GOOGLETRANSLATE(A2968,""en"",""pt"")"),"abundante")</f>
        <v>abundante</v>
      </c>
      <c r="B2968" s="3">
        <v>1</v>
      </c>
    </row>
    <row r="2969" ht="15.75" customHeight="1" spans="1:2">
      <c r="A2969" s="3" t="str">
        <f>IFERROR(__xludf.DUMMYFUNCTION("GOOGLETRANSLATE(A2969,""en"",""pt"")"),"acessível")</f>
        <v>acessível</v>
      </c>
      <c r="B2969" s="3">
        <v>1</v>
      </c>
    </row>
    <row r="2970" ht="15.75" customHeight="1" spans="1:2">
      <c r="A2970" s="3" t="str">
        <f>IFERROR(__xludf.DUMMYFUNCTION("GOOGLETRANSLATE(A2970,""en"",""pt"")"),"acessível")</f>
        <v>acessível</v>
      </c>
      <c r="B2970" s="3">
        <v>1</v>
      </c>
    </row>
    <row r="2971" ht="15.75" customHeight="1" spans="1:2">
      <c r="A2971" s="3" t="str">
        <f>IFERROR(__xludf.DUMMYFUNCTION("GOOGLETRANSLATE(A2971,""en"",""pt"")"),"aclamação")</f>
        <v>aclamação</v>
      </c>
      <c r="B2971" s="3">
        <v>1</v>
      </c>
    </row>
    <row r="2972" ht="15.75" customHeight="1" spans="1:2">
      <c r="A2972" s="3" t="str">
        <f>IFERROR(__xludf.DUMMYFUNCTION("GOOGLETRANSLATE(A2972,""en"",""pt"")"),"aclamado")</f>
        <v>aclamado</v>
      </c>
      <c r="B2972" s="3">
        <v>1</v>
      </c>
    </row>
    <row r="2973" ht="15.75" customHeight="1" spans="1:2">
      <c r="A2973" s="3" t="str">
        <f>IFERROR(__xludf.DUMMYFUNCTION("GOOGLETRANSLATE(A2973,""en"",""pt"")"),"aclamação")</f>
        <v>aclamação</v>
      </c>
      <c r="B2973" s="3">
        <v>1</v>
      </c>
    </row>
    <row r="2974" ht="15.75" customHeight="1" spans="1:2">
      <c r="A2974" s="3" t="str">
        <f>IFERROR(__xludf.DUMMYFUNCTION("GOOGLETRANSLATE(A2974,""en"",""pt"")"),"elogio")</f>
        <v>elogio</v>
      </c>
      <c r="B2974" s="3">
        <v>1</v>
      </c>
    </row>
    <row r="2975" ht="15.75" customHeight="1" spans="1:2">
      <c r="A2975" s="3" t="str">
        <f>IFERROR(__xludf.DUMMYFUNCTION("GOOGLETRANSLATE(A2975,""en"",""pt"")"),"elogios")</f>
        <v>elogios</v>
      </c>
      <c r="B2975" s="3">
        <v>1</v>
      </c>
    </row>
    <row r="2976" ht="15.75" customHeight="1" spans="1:2">
      <c r="A2976" s="3" t="str">
        <f>IFERROR(__xludf.DUMMYFUNCTION("GOOGLETRANSLATE(A2976,""en"",""pt"")"),"acomodatício")</f>
        <v>acomodatício</v>
      </c>
      <c r="B2976" s="3">
        <v>1</v>
      </c>
    </row>
    <row r="2977" ht="15.75" customHeight="1" spans="1:2">
      <c r="A2977" s="3" t="str">
        <f>IFERROR(__xludf.DUMMYFUNCTION("GOOGLETRANSLATE(A2977,""en"",""pt"")"),"accomodative")</f>
        <v>accomodative</v>
      </c>
      <c r="B2977" s="3">
        <v>1</v>
      </c>
    </row>
    <row r="2978" ht="15.75" customHeight="1" spans="1:2">
      <c r="A2978" s="3" t="str">
        <f>IFERROR(__xludf.DUMMYFUNCTION("GOOGLETRANSLATE(A2978,""en"",""pt"")"),"realizar")</f>
        <v>realizar</v>
      </c>
      <c r="B2978" s="3">
        <v>1</v>
      </c>
    </row>
    <row r="2979" ht="15.75" customHeight="1" spans="1:2">
      <c r="A2979" s="3" t="str">
        <f>IFERROR(__xludf.DUMMYFUNCTION("GOOGLETRANSLATE(A2979,""en"",""pt"")"),"realizado")</f>
        <v>realizado</v>
      </c>
      <c r="B2979" s="3">
        <v>1</v>
      </c>
    </row>
    <row r="2980" ht="15.75" customHeight="1" spans="1:2">
      <c r="A2980" s="3" t="str">
        <f>IFERROR(__xludf.DUMMYFUNCTION("GOOGLETRANSLATE(A2980,""en"",""pt"")"),"realização")</f>
        <v>realização</v>
      </c>
      <c r="B2980" s="3">
        <v>1</v>
      </c>
    </row>
    <row r="2981" ht="15.75" customHeight="1" spans="1:2">
      <c r="A2981" s="3" t="str">
        <f>IFERROR(__xludf.DUMMYFUNCTION("GOOGLETRANSLATE(A2981,""en"",""pt"")"),"realizações")</f>
        <v>realizações</v>
      </c>
      <c r="B2981" s="3">
        <v>1</v>
      </c>
    </row>
    <row r="2982" ht="15.75" customHeight="1" spans="1:2">
      <c r="A2982" s="3" t="str">
        <f>IFERROR(__xludf.DUMMYFUNCTION("GOOGLETRANSLATE(A2982,""en"",""pt"")"),"preciso")</f>
        <v>preciso</v>
      </c>
      <c r="B2982" s="3">
        <v>1</v>
      </c>
    </row>
    <row r="2983" ht="15.75" customHeight="1" spans="1:2">
      <c r="A2983" s="3" t="str">
        <f>IFERROR(__xludf.DUMMYFUNCTION("GOOGLETRANSLATE(A2983,""en"",""pt"")"),"precisamente")</f>
        <v>precisamente</v>
      </c>
      <c r="B2983" s="3">
        <v>1</v>
      </c>
    </row>
    <row r="2984" ht="15.75" customHeight="1" spans="1:2">
      <c r="A2984" s="3" t="str">
        <f>IFERROR(__xludf.DUMMYFUNCTION("GOOGLETRANSLATE(A2984,""en"",""pt"")"),"realizável")</f>
        <v>realizável</v>
      </c>
      <c r="B2984" s="3">
        <v>1</v>
      </c>
    </row>
    <row r="2985" ht="15.75" customHeight="1" spans="1:2">
      <c r="A2985" s="3" t="str">
        <f>IFERROR(__xludf.DUMMYFUNCTION("GOOGLETRANSLATE(A2985,""en"",""pt"")"),"realização")</f>
        <v>realização</v>
      </c>
      <c r="B2985" s="3">
        <v>1</v>
      </c>
    </row>
    <row r="2986" ht="15.75" customHeight="1" spans="1:2">
      <c r="A2986" s="3" t="str">
        <f>IFERROR(__xludf.DUMMYFUNCTION("GOOGLETRANSLATE(A2986,""en"",""pt"")"),"realizações")</f>
        <v>realizações</v>
      </c>
      <c r="B2986" s="3">
        <v>1</v>
      </c>
    </row>
    <row r="2987" ht="15.75" customHeight="1" spans="1:2">
      <c r="A2987" s="3" t="str">
        <f>IFERROR(__xludf.DUMMYFUNCTION("GOOGLETRANSLATE(A2987,""en"",""pt"")"),"achievible")</f>
        <v>achievible</v>
      </c>
      <c r="B2987" s="3">
        <v>1</v>
      </c>
    </row>
    <row r="2988" ht="15.75" customHeight="1" spans="1:2">
      <c r="A2988" s="3" t="str">
        <f>IFERROR(__xludf.DUMMYFUNCTION("GOOGLETRANSLATE(A2988,""en"",""pt"")"),"perspicácia")</f>
        <v>perspicácia</v>
      </c>
      <c r="B2988" s="3">
        <v>1</v>
      </c>
    </row>
    <row r="2989" ht="15.75" customHeight="1" spans="1:2">
      <c r="A2989" s="3" t="str">
        <f>IFERROR(__xludf.DUMMYFUNCTION("GOOGLETRANSLATE(A2989,""en"",""pt"")"),"adaptável")</f>
        <v>adaptável</v>
      </c>
      <c r="B2989" s="3">
        <v>1</v>
      </c>
    </row>
    <row r="2990" ht="15.75" customHeight="1" spans="1:2">
      <c r="A2990" s="3" t="str">
        <f>IFERROR(__xludf.DUMMYFUNCTION("GOOGLETRANSLATE(A2990,""en"",""pt"")"),"adaptativo")</f>
        <v>adaptativo</v>
      </c>
      <c r="B2990" s="3">
        <v>1</v>
      </c>
    </row>
    <row r="2991" ht="15.75" customHeight="1" spans="1:2">
      <c r="A2991" s="3" t="str">
        <f>IFERROR(__xludf.DUMMYFUNCTION("GOOGLETRANSLATE(A2991,""en"",""pt"")"),"adequado")</f>
        <v>adequado</v>
      </c>
      <c r="B2991" s="3">
        <v>1</v>
      </c>
    </row>
    <row r="2992" ht="15.75" customHeight="1" spans="1:2">
      <c r="A2992" s="3" t="str">
        <f>IFERROR(__xludf.DUMMYFUNCTION("GOOGLETRANSLATE(A2992,""en"",""pt"")"),"ajustável")</f>
        <v>ajustável</v>
      </c>
      <c r="B2992" s="3">
        <v>1</v>
      </c>
    </row>
    <row r="2993" ht="15.75" customHeight="1" spans="1:2">
      <c r="A2993" s="3" t="str">
        <f>IFERROR(__xludf.DUMMYFUNCTION("GOOGLETRANSLATE(A2993,""en"",""pt"")"),"admirável")</f>
        <v>admirável</v>
      </c>
      <c r="B2993" s="3">
        <v>1</v>
      </c>
    </row>
    <row r="2994" ht="15.75" customHeight="1" spans="1:2">
      <c r="A2994" s="3" t="str">
        <f>IFERROR(__xludf.DUMMYFUNCTION("GOOGLETRANSLATE(A2994,""en"",""pt"")"),"admiravelmente")</f>
        <v>admiravelmente</v>
      </c>
      <c r="B2994" s="3">
        <v>1</v>
      </c>
    </row>
    <row r="2995" ht="15.75" customHeight="1" spans="1:2">
      <c r="A2995" s="3" t="str">
        <f>IFERROR(__xludf.DUMMYFUNCTION("GOOGLETRANSLATE(A2995,""en"",""pt"")"),"admiração")</f>
        <v>admiração</v>
      </c>
      <c r="B2995" s="3">
        <v>1</v>
      </c>
    </row>
    <row r="2996" ht="15.75" customHeight="1" spans="1:2">
      <c r="A2996" s="3" t="str">
        <f>IFERROR(__xludf.DUMMYFUNCTION("GOOGLETRANSLATE(A2996,""en"",""pt"")"),"admirar")</f>
        <v>admirar</v>
      </c>
      <c r="B2996" s="3">
        <v>1</v>
      </c>
    </row>
    <row r="2997" ht="15.75" customHeight="1" spans="1:2">
      <c r="A2997" s="3" t="str">
        <f>IFERROR(__xludf.DUMMYFUNCTION("GOOGLETRANSLATE(A2997,""en"",""pt"")"),"admirador")</f>
        <v>admirador</v>
      </c>
      <c r="B2997" s="3">
        <v>1</v>
      </c>
    </row>
    <row r="2998" ht="15.75" customHeight="1" spans="1:2">
      <c r="A2998" s="3" t="str">
        <f>IFERROR(__xludf.DUMMYFUNCTION("GOOGLETRANSLATE(A2998,""en"",""pt"")"),"admirando")</f>
        <v>admirando</v>
      </c>
      <c r="B2998" s="3">
        <v>1</v>
      </c>
    </row>
    <row r="2999" ht="15.75" customHeight="1" spans="1:2">
      <c r="A2999" s="3" t="str">
        <f>IFERROR(__xludf.DUMMYFUNCTION("GOOGLETRANSLATE(A2999,""en"",""pt"")"),"admiradoramente")</f>
        <v>admiradoramente</v>
      </c>
      <c r="B2999" s="3">
        <v>1</v>
      </c>
    </row>
    <row r="3000" ht="15.75" customHeight="1" spans="1:2">
      <c r="A3000" s="3" t="str">
        <f>IFERROR(__xludf.DUMMYFUNCTION("GOOGLETRANSLATE(A3000,""en"",""pt"")"),"adorável")</f>
        <v>adorável</v>
      </c>
      <c r="B3000" s="3">
        <v>1</v>
      </c>
    </row>
    <row r="3001" ht="15.75" customHeight="1" spans="1:2">
      <c r="A3001" s="3" t="str">
        <f>IFERROR(__xludf.DUMMYFUNCTION("GOOGLETRANSLATE(A3001,""en"",""pt"")"),"adore")</f>
        <v>adore</v>
      </c>
      <c r="B3001" s="3">
        <v>1</v>
      </c>
    </row>
    <row r="3002" ht="15.75" customHeight="1" spans="1:2">
      <c r="A3002" s="3" t="str">
        <f>IFERROR(__xludf.DUMMYFUNCTION("GOOGLETRANSLATE(A3002,""en"",""pt"")"),"adorado")</f>
        <v>adorado</v>
      </c>
      <c r="B3002" s="3">
        <v>1</v>
      </c>
    </row>
    <row r="3003" ht="15.75" customHeight="1" spans="1:2">
      <c r="A3003" s="3" t="str">
        <f>IFERROR(__xludf.DUMMYFUNCTION("GOOGLETRANSLATE(A3003,""en"",""pt"")"),"adorador")</f>
        <v>adorador</v>
      </c>
      <c r="B3003" s="3">
        <v>1</v>
      </c>
    </row>
    <row r="3004" ht="15.75" customHeight="1" spans="1:2">
      <c r="A3004" s="3" t="str">
        <f>IFERROR(__xludf.DUMMYFUNCTION("GOOGLETRANSLATE(A3004,""en"",""pt"")"),"adorador")</f>
        <v>adorador</v>
      </c>
      <c r="B3004" s="3">
        <v>1</v>
      </c>
    </row>
    <row r="3005" ht="15.75" customHeight="1" spans="1:2">
      <c r="A3005" s="3" t="str">
        <f>IFERROR(__xludf.DUMMYFUNCTION("GOOGLETRANSLATE(A3005,""en"",""pt"")"),"adoração")</f>
        <v>adoração</v>
      </c>
      <c r="B3005" s="3">
        <v>1</v>
      </c>
    </row>
    <row r="3006" ht="15.75" customHeight="1" spans="1:2">
      <c r="A3006" s="3" t="str">
        <f>IFERROR(__xludf.DUMMYFUNCTION("GOOGLETRANSLATE(A3006,""en"",""pt"")"),"hábil")</f>
        <v>hábil</v>
      </c>
      <c r="B3006" s="3">
        <v>1</v>
      </c>
    </row>
    <row r="3007" ht="15.75" customHeight="1" spans="1:2">
      <c r="A3007" s="3" t="str">
        <f>IFERROR(__xludf.DUMMYFUNCTION("GOOGLETRANSLATE(A3007,""en"",""pt"")"),"adroitly")</f>
        <v>adroitly</v>
      </c>
      <c r="B3007" s="3">
        <v>1</v>
      </c>
    </row>
    <row r="3008" ht="15.75" customHeight="1" spans="1:2">
      <c r="A3008" s="3" t="str">
        <f>IFERROR(__xludf.DUMMYFUNCTION("GOOGLETRANSLATE(A3008,""en"",""pt"")"),"adular")</f>
        <v>adular</v>
      </c>
      <c r="B3008" s="3">
        <v>1</v>
      </c>
    </row>
    <row r="3009" ht="15.75" customHeight="1" spans="1:2">
      <c r="A3009" s="3" t="str">
        <f>IFERROR(__xludf.DUMMYFUNCTION("GOOGLETRANSLATE(A3009,""en"",""pt"")"),"adulação")</f>
        <v>adulação</v>
      </c>
      <c r="B3009" s="3">
        <v>1</v>
      </c>
    </row>
    <row r="3010" ht="15.75" customHeight="1" spans="1:2">
      <c r="A3010" s="3" t="str">
        <f>IFERROR(__xludf.DUMMYFUNCTION("GOOGLETRANSLATE(A3010,""en"",""pt"")"),"adulador")</f>
        <v>adulador</v>
      </c>
      <c r="B3010" s="3">
        <v>1</v>
      </c>
    </row>
    <row r="3011" ht="15.75" customHeight="1" spans="1:2">
      <c r="A3011" s="3" t="str">
        <f>IFERROR(__xludf.DUMMYFUNCTION("GOOGLETRANSLATE(A3011,""en"",""pt"")"),"avançado")</f>
        <v>avançado</v>
      </c>
      <c r="B3011" s="3">
        <v>1</v>
      </c>
    </row>
    <row r="3012" ht="15.75" customHeight="1" spans="1:2">
      <c r="A3012" s="3" t="str">
        <f>IFERROR(__xludf.DUMMYFUNCTION("GOOGLETRANSLATE(A3012,""en"",""pt"")"),"vantagem")</f>
        <v>vantagem</v>
      </c>
      <c r="B3012" s="3">
        <v>1</v>
      </c>
    </row>
    <row r="3013" ht="15.75" customHeight="1" spans="1:2">
      <c r="A3013" s="3" t="str">
        <f>IFERROR(__xludf.DUMMYFUNCTION("GOOGLETRANSLATE(A3013,""en"",""pt"")"),"vantajoso")</f>
        <v>vantajoso</v>
      </c>
      <c r="B3013" s="3">
        <v>1</v>
      </c>
    </row>
    <row r="3014" ht="15.75" customHeight="1" spans="1:2">
      <c r="A3014" s="3" t="str">
        <f>IFERROR(__xludf.DUMMYFUNCTION("GOOGLETRANSLATE(A3014,""en"",""pt"")"),"vantajosamente")</f>
        <v>vantajosamente</v>
      </c>
      <c r="B3014" s="3">
        <v>1</v>
      </c>
    </row>
    <row r="3015" ht="15.75" customHeight="1" spans="1:2">
      <c r="A3015" s="3" t="str">
        <f>IFERROR(__xludf.DUMMYFUNCTION("GOOGLETRANSLATE(A3015,""en"",""pt"")"),"vantagens")</f>
        <v>vantagens</v>
      </c>
      <c r="B3015" s="3">
        <v>1</v>
      </c>
    </row>
    <row r="3016" ht="15.75" customHeight="1" spans="1:2">
      <c r="A3016" s="3" t="str">
        <f>IFERROR(__xludf.DUMMYFUNCTION("GOOGLETRANSLATE(A3016,""en"",""pt"")"),"aventuroso")</f>
        <v>aventuroso</v>
      </c>
      <c r="B3016" s="3">
        <v>1</v>
      </c>
    </row>
    <row r="3017" ht="15.75" customHeight="1" spans="1:2">
      <c r="A3017" s="3" t="str">
        <f>IFERROR(__xludf.DUMMYFUNCTION("GOOGLETRANSLATE(A3017,""en"",""pt"")"),"aventureiro")</f>
        <v>aventureiro</v>
      </c>
      <c r="B3017" s="3">
        <v>1</v>
      </c>
    </row>
    <row r="3018" ht="15.75" customHeight="1" spans="1:2">
      <c r="A3018" s="3" t="str">
        <f>IFERROR(__xludf.DUMMYFUNCTION("GOOGLETRANSLATE(A3018,""en"",""pt"")"),"advogado")</f>
        <v>advogado</v>
      </c>
      <c r="B3018" s="3">
        <v>1</v>
      </c>
    </row>
    <row r="3019" ht="15.75" customHeight="1" spans="1:2">
      <c r="A3019" s="3" t="str">
        <f>IFERROR(__xludf.DUMMYFUNCTION("GOOGLETRANSLATE(A3019,""en"",""pt"")"),"advogou")</f>
        <v>advogou</v>
      </c>
      <c r="B3019" s="3">
        <v>1</v>
      </c>
    </row>
    <row r="3020" ht="15.75" customHeight="1" spans="1:2">
      <c r="A3020" s="3" t="str">
        <f>IFERROR(__xludf.DUMMYFUNCTION("GOOGLETRANSLATE(A3020,""en"",""pt"")"),"defensores")</f>
        <v>defensores</v>
      </c>
      <c r="B3020" s="3">
        <v>1</v>
      </c>
    </row>
    <row r="3021" ht="15.75" customHeight="1" spans="1:2">
      <c r="A3021" s="3" t="str">
        <f>IFERROR(__xludf.DUMMYFUNCTION("GOOGLETRANSLATE(A3021,""en"",""pt"")"),"afabilidade")</f>
        <v>afabilidade</v>
      </c>
      <c r="B3021" s="3">
        <v>1</v>
      </c>
    </row>
    <row r="3022" ht="15.75" customHeight="1" spans="1:2">
      <c r="A3022" s="3" t="str">
        <f>IFERROR(__xludf.DUMMYFUNCTION("GOOGLETRANSLATE(A3022,""en"",""pt"")"),"afável")</f>
        <v>afável</v>
      </c>
      <c r="B3022" s="3">
        <v>1</v>
      </c>
    </row>
    <row r="3023" ht="15.75" customHeight="1" spans="1:2">
      <c r="A3023" s="3" t="str">
        <f>IFERROR(__xludf.DUMMYFUNCTION("GOOGLETRANSLATE(A3023,""en"",""pt"")"),"afavelmente")</f>
        <v>afavelmente</v>
      </c>
      <c r="B3023" s="3">
        <v>1</v>
      </c>
    </row>
    <row r="3024" ht="15.75" customHeight="1" spans="1:2">
      <c r="A3024" s="3" t="str">
        <f>IFERROR(__xludf.DUMMYFUNCTION("GOOGLETRANSLATE(A3024,""en"",""pt"")"),"afetação")</f>
        <v>afetação</v>
      </c>
      <c r="B3024" s="3">
        <v>1</v>
      </c>
    </row>
    <row r="3025" ht="15.75" customHeight="1" spans="1:2">
      <c r="A3025" s="3" t="str">
        <f>IFERROR(__xludf.DUMMYFUNCTION("GOOGLETRANSLATE(A3025,""en"",""pt"")"),"afeição")</f>
        <v>afeição</v>
      </c>
      <c r="B3025" s="3">
        <v>1</v>
      </c>
    </row>
    <row r="3026" ht="15.75" customHeight="1" spans="1:2">
      <c r="A3026" s="3" t="str">
        <f>IFERROR(__xludf.DUMMYFUNCTION("GOOGLETRANSLATE(A3026,""en"",""pt"")"),"afetuoso")</f>
        <v>afetuoso</v>
      </c>
      <c r="B3026" s="3">
        <v>1</v>
      </c>
    </row>
    <row r="3027" ht="15.75" customHeight="1" spans="1:2">
      <c r="A3027" s="3" t="str">
        <f>IFERROR(__xludf.DUMMYFUNCTION("GOOGLETRANSLATE(A3027,""en"",""pt"")"),"afinidade")</f>
        <v>afinidade</v>
      </c>
      <c r="B3027" s="3">
        <v>1</v>
      </c>
    </row>
    <row r="3028" ht="15.75" customHeight="1" spans="1:2">
      <c r="A3028" s="3" t="str">
        <f>IFERROR(__xludf.DUMMYFUNCTION("GOOGLETRANSLATE(A3028,""en"",""pt"")"),"afirmar")</f>
        <v>afirmar</v>
      </c>
      <c r="B3028" s="3">
        <v>1</v>
      </c>
    </row>
    <row r="3029" ht="15.75" customHeight="1" spans="1:2">
      <c r="A3029" s="3" t="str">
        <f>IFERROR(__xludf.DUMMYFUNCTION("GOOGLETRANSLATE(A3029,""en"",""pt"")"),"afirmação")</f>
        <v>afirmação</v>
      </c>
      <c r="B3029" s="3">
        <v>1</v>
      </c>
    </row>
    <row r="3030" ht="15.75" customHeight="1" spans="1:2">
      <c r="A3030" s="3" t="str">
        <f>IFERROR(__xludf.DUMMYFUNCTION("GOOGLETRANSLATE(A3030,""en"",""pt"")"),"afirmativo")</f>
        <v>afirmativo</v>
      </c>
      <c r="B3030" s="3">
        <v>1</v>
      </c>
    </row>
    <row r="3031" ht="15.75" customHeight="1" spans="1:2">
      <c r="A3031" s="3" t="str">
        <f>IFERROR(__xludf.DUMMYFUNCTION("GOOGLETRANSLATE(A3031,""en"",""pt"")"),"afluência")</f>
        <v>afluência</v>
      </c>
      <c r="B3031" s="3">
        <v>1</v>
      </c>
    </row>
    <row r="3032" ht="15.75" customHeight="1" spans="1:2">
      <c r="A3032" s="3" t="str">
        <f>IFERROR(__xludf.DUMMYFUNCTION("GOOGLETRANSLATE(A3032,""en"",""pt"")"),"afluente")</f>
        <v>afluente</v>
      </c>
      <c r="B3032" s="3">
        <v>1</v>
      </c>
    </row>
    <row r="3033" ht="15.75" customHeight="1" spans="1:2">
      <c r="A3033" s="3" t="str">
        <f>IFERROR(__xludf.DUMMYFUNCTION("GOOGLETRANSLATE(A3033,""en"",""pt"")"),"proporcionar")</f>
        <v>proporcionar</v>
      </c>
      <c r="B3033" s="3">
        <v>1</v>
      </c>
    </row>
    <row r="3034" ht="15.75" customHeight="1" spans="1:2">
      <c r="A3034" s="3" t="str">
        <f>IFERROR(__xludf.DUMMYFUNCTION("GOOGLETRANSLATE(A3034,""en"",""pt"")"),"acessível")</f>
        <v>acessível</v>
      </c>
      <c r="B3034" s="3">
        <v>1</v>
      </c>
    </row>
    <row r="3035" ht="15.75" customHeight="1" spans="1:2">
      <c r="A3035" s="3" t="str">
        <f>IFERROR(__xludf.DUMMYFUNCTION("GOOGLETRANSLATE(A3035,""en"",""pt"")"),"acessível")</f>
        <v>acessível</v>
      </c>
      <c r="B3035" s="3">
        <v>1</v>
      </c>
    </row>
    <row r="3036" ht="15.75" customHeight="1" spans="1:2">
      <c r="A3036" s="3" t="str">
        <f>IFERROR(__xludf.DUMMYFUNCTION("GOOGLETRANSLATE(A3036,""en"",""pt"")"),"afordable")</f>
        <v>afordable</v>
      </c>
      <c r="B3036" s="3">
        <v>1</v>
      </c>
    </row>
    <row r="3037" ht="15.75" customHeight="1" spans="1:2">
      <c r="A3037" s="3" t="str">
        <f>IFERROR(__xludf.DUMMYFUNCTION("GOOGLETRANSLATE(A3037,""en"",""pt"")"),"ágil")</f>
        <v>ágil</v>
      </c>
      <c r="B3037" s="3">
        <v>1</v>
      </c>
    </row>
    <row r="3038" ht="15.75" customHeight="1" spans="1:2">
      <c r="A3038" s="3" t="str">
        <f>IFERROR(__xludf.DUMMYFUNCTION("GOOGLETRANSLATE(A3038,""en"",""pt"")"),"agilely")</f>
        <v>agilely</v>
      </c>
      <c r="B3038" s="3">
        <v>1</v>
      </c>
    </row>
    <row r="3039" ht="15.75" customHeight="1" spans="1:2">
      <c r="A3039" s="3" t="str">
        <f>IFERROR(__xludf.DUMMYFUNCTION("GOOGLETRANSLATE(A3039,""en"",""pt"")"),"agilidade")</f>
        <v>agilidade</v>
      </c>
      <c r="B3039" s="3">
        <v>1</v>
      </c>
    </row>
    <row r="3040" ht="15.75" customHeight="1" spans="1:2">
      <c r="A3040" s="3" t="str">
        <f>IFERROR(__xludf.DUMMYFUNCTION("GOOGLETRANSLATE(A3040,""en"",""pt"")"),"agradável")</f>
        <v>agradável</v>
      </c>
      <c r="B3040" s="3">
        <v>1</v>
      </c>
    </row>
    <row r="3041" ht="15.75" customHeight="1" spans="1:2">
      <c r="A3041" s="3" t="str">
        <f>IFERROR(__xludf.DUMMYFUNCTION("GOOGLETRANSLATE(A3041,""en"",""pt"")"),"agreeableness")</f>
        <v>agreeableness</v>
      </c>
      <c r="B3041" s="3">
        <v>1</v>
      </c>
    </row>
    <row r="3042" ht="15.75" customHeight="1" spans="1:2">
      <c r="A3042" s="3" t="str">
        <f>IFERROR(__xludf.DUMMYFUNCTION("GOOGLETRANSLATE(A3042,""en"",""pt"")"),"agradavelmente")</f>
        <v>agradavelmente</v>
      </c>
      <c r="B3042" s="3">
        <v>1</v>
      </c>
    </row>
    <row r="3043" ht="15.75" customHeight="1" spans="1:2">
      <c r="A3043" s="3" t="str">
        <f>IFERROR(__xludf.DUMMYFUNCTION("GOOGLETRANSLATE(A3043,""en"",""pt"")"),"tudo em volta")</f>
        <v>tudo em volta</v>
      </c>
      <c r="B3043" s="3">
        <v>1</v>
      </c>
    </row>
    <row r="3044" ht="15.75" customHeight="1" spans="1:2">
      <c r="A3044" s="3" t="str">
        <f>IFERROR(__xludf.DUMMYFUNCTION("GOOGLETRANSLATE(A3044,""en"",""pt"")"),"sedutor")</f>
        <v>sedutor</v>
      </c>
      <c r="B3044" s="3">
        <v>1</v>
      </c>
    </row>
    <row r="3045" ht="15.75" customHeight="1" spans="1:2">
      <c r="A3045" s="3" t="str">
        <f>IFERROR(__xludf.DUMMYFUNCTION("GOOGLETRANSLATE(A3045,""en"",""pt"")"),"alluringly")</f>
        <v>alluringly</v>
      </c>
      <c r="B3045" s="3">
        <v>1</v>
      </c>
    </row>
    <row r="3046" ht="15.75" customHeight="1" spans="1:2">
      <c r="A3046" s="3" t="str">
        <f>IFERROR(__xludf.DUMMYFUNCTION("GOOGLETRANSLATE(A3046,""en"",""pt"")"),"altruísta")</f>
        <v>altruísta</v>
      </c>
      <c r="B3046" s="3">
        <v>1</v>
      </c>
    </row>
    <row r="3047" ht="15.75" customHeight="1" spans="1:2">
      <c r="A3047" s="3" t="str">
        <f>IFERROR(__xludf.DUMMYFUNCTION("GOOGLETRANSLATE(A3047,""en"",""pt"")"),"altruisticamente")</f>
        <v>altruisticamente</v>
      </c>
      <c r="B3047" s="3">
        <v>1</v>
      </c>
    </row>
    <row r="3048" ht="15.75" customHeight="1" spans="1:2">
      <c r="A3048" s="3" t="str">
        <f>IFERROR(__xludf.DUMMYFUNCTION("GOOGLETRANSLATE(A3048,""en"",""pt"")"),"surpreender")</f>
        <v>surpreender</v>
      </c>
      <c r="B3048" s="3">
        <v>1</v>
      </c>
    </row>
    <row r="3049" ht="15.75" customHeight="1" spans="1:2">
      <c r="A3049" s="3" t="str">
        <f>IFERROR(__xludf.DUMMYFUNCTION("GOOGLETRANSLATE(A3049,""en"",""pt"")"),"maravilhado")</f>
        <v>maravilhado</v>
      </c>
      <c r="B3049" s="3">
        <v>1</v>
      </c>
    </row>
    <row r="3050" ht="15.75" customHeight="1" spans="1:2">
      <c r="A3050" s="3" t="str">
        <f>IFERROR(__xludf.DUMMYFUNCTION("GOOGLETRANSLATE(A3050,""en"",""pt"")"),"espanto")</f>
        <v>espanto</v>
      </c>
      <c r="B3050" s="3">
        <v>1</v>
      </c>
    </row>
    <row r="3051" ht="15.75" customHeight="1" spans="1:2">
      <c r="A3051" s="3" t="str">
        <f>IFERROR(__xludf.DUMMYFUNCTION("GOOGLETRANSLATE(A3051,""en"",""pt"")"),"espanta")</f>
        <v>espanta</v>
      </c>
      <c r="B3051" s="3">
        <v>1</v>
      </c>
    </row>
    <row r="3052" ht="15.75" customHeight="1" spans="1:2">
      <c r="A3052" s="3" t="str">
        <f>IFERROR(__xludf.DUMMYFUNCTION("GOOGLETRANSLATE(A3052,""en"",""pt"")"),"surpreendente")</f>
        <v>surpreendente</v>
      </c>
      <c r="B3052" s="3">
        <v>1</v>
      </c>
    </row>
    <row r="3053" ht="15.75" customHeight="1" spans="1:2">
      <c r="A3053" s="3" t="str">
        <f>IFERROR(__xludf.DUMMYFUNCTION("GOOGLETRANSLATE(A3053,""en"",""pt"")"),"Surpreendentemente")</f>
        <v>Surpreendentemente</v>
      </c>
      <c r="B3053" s="3">
        <v>1</v>
      </c>
    </row>
    <row r="3054" ht="15.75" customHeight="1" spans="1:2">
      <c r="A3054" s="3" t="str">
        <f>IFERROR(__xludf.DUMMYFUNCTION("GOOGLETRANSLATE(A3054,""en"",""pt"")"),"ambicioso")</f>
        <v>ambicioso</v>
      </c>
      <c r="B3054" s="3">
        <v>1</v>
      </c>
    </row>
    <row r="3055" ht="15.75" customHeight="1" spans="1:2">
      <c r="A3055" s="3" t="str">
        <f>IFERROR(__xludf.DUMMYFUNCTION("GOOGLETRANSLATE(A3055,""en"",""pt"")"),"ambiciosamente")</f>
        <v>ambiciosamente</v>
      </c>
      <c r="B3055" s="3">
        <v>1</v>
      </c>
    </row>
    <row r="3056" ht="15.75" customHeight="1" spans="1:2">
      <c r="A3056" s="3" t="str">
        <f>IFERROR(__xludf.DUMMYFUNCTION("GOOGLETRANSLATE(A3056,""en"",""pt"")"),"melhorar")</f>
        <v>melhorar</v>
      </c>
      <c r="B3056" s="3">
        <v>1</v>
      </c>
    </row>
    <row r="3057" ht="15.75" customHeight="1" spans="1:2">
      <c r="A3057" s="3" t="str">
        <f>IFERROR(__xludf.DUMMYFUNCTION("GOOGLETRANSLATE(A3057,""en"",""pt"")"),"dócil")</f>
        <v>dócil</v>
      </c>
      <c r="B3057" s="3">
        <v>1</v>
      </c>
    </row>
    <row r="3058" ht="15.75" customHeight="1" spans="1:2">
      <c r="A3058" s="3" t="str">
        <f>IFERROR(__xludf.DUMMYFUNCTION("GOOGLETRANSLATE(A3058,""en"",""pt"")"),"amenidade")</f>
        <v>amenidade</v>
      </c>
      <c r="B3058" s="3">
        <v>1</v>
      </c>
    </row>
    <row r="3059" ht="15.75" customHeight="1" spans="1:2">
      <c r="A3059" s="3" t="str">
        <f>IFERROR(__xludf.DUMMYFUNCTION("GOOGLETRANSLATE(A3059,""en"",""pt"")"),"amabilidade")</f>
        <v>amabilidade</v>
      </c>
      <c r="B3059" s="3">
        <v>1</v>
      </c>
    </row>
    <row r="3060" ht="15.75" customHeight="1" spans="1:2">
      <c r="A3060" s="3" t="str">
        <f>IFERROR(__xludf.DUMMYFUNCTION("GOOGLETRANSLATE(A3060,""en"",""pt"")"),"amiabily")</f>
        <v>amiabily</v>
      </c>
      <c r="B3060" s="3">
        <v>1</v>
      </c>
    </row>
    <row r="3061" ht="15.75" customHeight="1" spans="1:2">
      <c r="A3061" s="3" t="str">
        <f>IFERROR(__xludf.DUMMYFUNCTION("GOOGLETRANSLATE(A3061,""en"",""pt"")"),"amável")</f>
        <v>amável</v>
      </c>
      <c r="B3061" s="3">
        <v>1</v>
      </c>
    </row>
    <row r="3062" ht="15.75" customHeight="1" spans="1:2">
      <c r="A3062" s="3" t="str">
        <f>IFERROR(__xludf.DUMMYFUNCTION("GOOGLETRANSLATE(A3062,""en"",""pt"")"),"cordialidade")</f>
        <v>cordialidade</v>
      </c>
      <c r="B3062" s="3">
        <v>1</v>
      </c>
    </row>
    <row r="3063" ht="15.75" customHeight="1" spans="1:2">
      <c r="A3063" s="3" t="str">
        <f>IFERROR(__xludf.DUMMYFUNCTION("GOOGLETRANSLATE(A3063,""en"",""pt"")"),"amigável")</f>
        <v>amigável</v>
      </c>
      <c r="B3063" s="3">
        <v>1</v>
      </c>
    </row>
    <row r="3064" ht="15.75" customHeight="1" spans="1:2">
      <c r="A3064" s="3" t="str">
        <f>IFERROR(__xludf.DUMMYFUNCTION("GOOGLETRANSLATE(A3064,""en"",""pt"")"),"amigavelmente")</f>
        <v>amigavelmente</v>
      </c>
      <c r="B3064" s="3">
        <v>1</v>
      </c>
    </row>
    <row r="3065" ht="15.75" customHeight="1" spans="1:2">
      <c r="A3065" s="3" t="str">
        <f>IFERROR(__xludf.DUMMYFUNCTION("GOOGLETRANSLATE(A3065,""en"",""pt"")"),"amizade")</f>
        <v>amizade</v>
      </c>
      <c r="B3065" s="3">
        <v>1</v>
      </c>
    </row>
    <row r="3066" ht="15.75" customHeight="1" spans="1:2">
      <c r="A3066" s="3" t="str">
        <f>IFERROR(__xludf.DUMMYFUNCTION("GOOGLETRANSLATE(A3066,""en"",""pt"")"),"amplo")</f>
        <v>amplo</v>
      </c>
      <c r="B3066" s="3">
        <v>1</v>
      </c>
    </row>
    <row r="3067" ht="15.75" customHeight="1" spans="1:2">
      <c r="A3067" s="3" t="str">
        <f>IFERROR(__xludf.DUMMYFUNCTION("GOOGLETRANSLATE(A3067,""en"",""pt"")"),"amplamente")</f>
        <v>amplamente</v>
      </c>
      <c r="B3067" s="3">
        <v>1</v>
      </c>
    </row>
    <row r="3068" ht="15.75" customHeight="1" spans="1:2">
      <c r="A3068" s="3" t="str">
        <f>IFERROR(__xludf.DUMMYFUNCTION("GOOGLETRANSLATE(A3068,""en"",""pt"")"),"divertir")</f>
        <v>divertir</v>
      </c>
      <c r="B3068" s="3">
        <v>1</v>
      </c>
    </row>
    <row r="3069" ht="15.75" customHeight="1" spans="1:2">
      <c r="A3069" s="3" t="str">
        <f>IFERROR(__xludf.DUMMYFUNCTION("GOOGLETRANSLATE(A3069,""en"",""pt"")"),"divertido")</f>
        <v>divertido</v>
      </c>
      <c r="B3069" s="3">
        <v>1</v>
      </c>
    </row>
    <row r="3070" ht="15.75" customHeight="1" spans="1:2">
      <c r="A3070" s="3" t="str">
        <f>IFERROR(__xludf.DUMMYFUNCTION("GOOGLETRANSLATE(A3070,""en"",""pt"")"),"amusingly")</f>
        <v>amusingly</v>
      </c>
      <c r="B3070" s="3">
        <v>1</v>
      </c>
    </row>
    <row r="3071" ht="15.75" customHeight="1" spans="1:2">
      <c r="A3071" s="3" t="str">
        <f>IFERROR(__xludf.DUMMYFUNCTION("GOOGLETRANSLATE(A3071,""en"",""pt"")"),"anjo")</f>
        <v>anjo</v>
      </c>
      <c r="B3071" s="3">
        <v>1</v>
      </c>
    </row>
    <row r="3072" ht="15.75" customHeight="1" spans="1:2">
      <c r="A3072" s="3" t="str">
        <f>IFERROR(__xludf.DUMMYFUNCTION("GOOGLETRANSLATE(A3072,""en"",""pt"")"),"angélico")</f>
        <v>angélico</v>
      </c>
      <c r="B3072" s="3">
        <v>1</v>
      </c>
    </row>
    <row r="3073" ht="15.75" customHeight="1" spans="1:2">
      <c r="A3073" s="3" t="str">
        <f>IFERROR(__xludf.DUMMYFUNCTION("GOOGLETRANSLATE(A3073,""en"",""pt"")"),"apoteose")</f>
        <v>apoteose</v>
      </c>
      <c r="B3073" s="3">
        <v>1</v>
      </c>
    </row>
    <row r="3074" ht="15.75" customHeight="1" spans="1:2">
      <c r="A3074" s="3" t="str">
        <f>IFERROR(__xludf.DUMMYFUNCTION("GOOGLETRANSLATE(A3074,""en"",""pt"")"),"recurso")</f>
        <v>recurso</v>
      </c>
      <c r="B3074" s="3">
        <v>1</v>
      </c>
    </row>
    <row r="3075" ht="15.75" customHeight="1" spans="1:2">
      <c r="A3075" s="3" t="str">
        <f>IFERROR(__xludf.DUMMYFUNCTION("GOOGLETRANSLATE(A3075,""en"",""pt"")"),"atraente")</f>
        <v>atraente</v>
      </c>
      <c r="B3075" s="3">
        <v>1</v>
      </c>
    </row>
    <row r="3076" ht="15.75" customHeight="1" spans="1:2">
      <c r="A3076" s="3" t="str">
        <f>IFERROR(__xludf.DUMMYFUNCTION("GOOGLETRANSLATE(A3076,""en"",""pt"")"),"aplaudir")</f>
        <v>aplaudir</v>
      </c>
      <c r="B3076" s="3">
        <v>1</v>
      </c>
    </row>
    <row r="3077" ht="15.75" customHeight="1" spans="1:2">
      <c r="A3077" s="3" t="str">
        <f>IFERROR(__xludf.DUMMYFUNCTION("GOOGLETRANSLATE(A3077,""en"",""pt"")"),"apreciável")</f>
        <v>apreciável</v>
      </c>
      <c r="B3077" s="3">
        <v>1</v>
      </c>
    </row>
    <row r="3078" ht="15.75" customHeight="1" spans="1:2">
      <c r="A3078" s="3" t="str">
        <f>IFERROR(__xludf.DUMMYFUNCTION("GOOGLETRANSLATE(A3078,""en"",""pt"")"),"apreciar")</f>
        <v>apreciar</v>
      </c>
      <c r="B3078" s="3">
        <v>1</v>
      </c>
    </row>
    <row r="3079" ht="15.75" customHeight="1" spans="1:2">
      <c r="A3079" s="3" t="str">
        <f>IFERROR(__xludf.DUMMYFUNCTION("GOOGLETRANSLATE(A3079,""en"",""pt"")"),"estimado")</f>
        <v>estimado</v>
      </c>
      <c r="B3079" s="3">
        <v>1</v>
      </c>
    </row>
    <row r="3080" ht="15.75" customHeight="1" spans="1:2">
      <c r="A3080" s="3" t="str">
        <f>IFERROR(__xludf.DUMMYFUNCTION("GOOGLETRANSLATE(A3080,""en"",""pt"")"),"Aprecia")</f>
        <v>Aprecia</v>
      </c>
      <c r="B3080" s="3">
        <v>1</v>
      </c>
    </row>
    <row r="3081" ht="15.75" customHeight="1" spans="1:2">
      <c r="A3081" s="3" t="str">
        <f>IFERROR(__xludf.DUMMYFUNCTION("GOOGLETRANSLATE(A3081,""en"",""pt"")"),"apreciativo")</f>
        <v>apreciativo</v>
      </c>
      <c r="B3081" s="3">
        <v>1</v>
      </c>
    </row>
    <row r="3082" ht="15.75" customHeight="1" spans="1:2">
      <c r="A3082" s="3" t="str">
        <f>IFERROR(__xludf.DUMMYFUNCTION("GOOGLETRANSLATE(A3082,""en"",""pt"")"),"appreciatively")</f>
        <v>appreciatively</v>
      </c>
      <c r="B3082" s="3">
        <v>1</v>
      </c>
    </row>
    <row r="3083" ht="15.75" customHeight="1" spans="1:2">
      <c r="A3083" s="3" t="str">
        <f>IFERROR(__xludf.DUMMYFUNCTION("GOOGLETRANSLATE(A3083,""en"",""pt"")"),"apropriar")</f>
        <v>apropriar</v>
      </c>
      <c r="B3083" s="3">
        <v>1</v>
      </c>
    </row>
    <row r="3084" ht="15.75" customHeight="1" spans="1:2">
      <c r="A3084" s="3" t="str">
        <f>IFERROR(__xludf.DUMMYFUNCTION("GOOGLETRANSLATE(A3084,""en"",""pt"")"),"aprovação")</f>
        <v>aprovação</v>
      </c>
      <c r="B3084" s="3">
        <v>1</v>
      </c>
    </row>
    <row r="3085" ht="15.75" customHeight="1" spans="1:2">
      <c r="A3085" s="3" t="str">
        <f>IFERROR(__xludf.DUMMYFUNCTION("GOOGLETRANSLATE(A3085,""en"",""pt"")"),"aprovar")</f>
        <v>aprovar</v>
      </c>
      <c r="B3085" s="3">
        <v>1</v>
      </c>
    </row>
    <row r="3086" ht="15.75" customHeight="1" spans="1:2">
      <c r="A3086" s="3" t="str">
        <f>IFERROR(__xludf.DUMMYFUNCTION("GOOGLETRANSLATE(A3086,""en"",""pt"")"),"ardente")</f>
        <v>ardente</v>
      </c>
      <c r="B3086" s="3">
        <v>1</v>
      </c>
    </row>
    <row r="3087" ht="15.75" customHeight="1" spans="1:2">
      <c r="A3087" s="3" t="str">
        <f>IFERROR(__xludf.DUMMYFUNCTION("GOOGLETRANSLATE(A3087,""en"",""pt"")"),"ardentemente")</f>
        <v>ardentemente</v>
      </c>
      <c r="B3087" s="3">
        <v>1</v>
      </c>
    </row>
    <row r="3088" ht="15.75" customHeight="1" spans="1:2">
      <c r="A3088" s="3" t="str">
        <f>IFERROR(__xludf.DUMMYFUNCTION("GOOGLETRANSLATE(A3088,""en"",""pt"")"),"ardor")</f>
        <v>ardor</v>
      </c>
      <c r="B3088" s="3">
        <v>1</v>
      </c>
    </row>
    <row r="3089" ht="15.75" customHeight="1" spans="1:2">
      <c r="A3089" s="3" t="str">
        <f>IFERROR(__xludf.DUMMYFUNCTION("GOOGLETRANSLATE(A3089,""en"",""pt"")"),"articular")</f>
        <v>articular</v>
      </c>
      <c r="B3089" s="3">
        <v>1</v>
      </c>
    </row>
    <row r="3090" ht="15.75" customHeight="1" spans="1:2">
      <c r="A3090" s="3" t="str">
        <f>IFERROR(__xludf.DUMMYFUNCTION("GOOGLETRANSLATE(A3090,""en"",""pt"")"),"aspiração")</f>
        <v>aspiração</v>
      </c>
      <c r="B3090" s="3">
        <v>1</v>
      </c>
    </row>
    <row r="3091" ht="15.75" customHeight="1" spans="1:2">
      <c r="A3091" s="3" t="str">
        <f>IFERROR(__xludf.DUMMYFUNCTION("GOOGLETRANSLATE(A3091,""en"",""pt"")"),"aspirações")</f>
        <v>aspirações</v>
      </c>
      <c r="B3091" s="3">
        <v>1</v>
      </c>
    </row>
    <row r="3092" ht="15.75" customHeight="1" spans="1:2">
      <c r="A3092" s="3" t="str">
        <f>IFERROR(__xludf.DUMMYFUNCTION("GOOGLETRANSLATE(A3092,""en"",""pt"")"),"aspirar")</f>
        <v>aspirar</v>
      </c>
      <c r="B3092" s="3">
        <v>1</v>
      </c>
    </row>
    <row r="3093" ht="15.75" customHeight="1" spans="1:2">
      <c r="A3093" s="3" t="str">
        <f>IFERROR(__xludf.DUMMYFUNCTION("GOOGLETRANSLATE(A3093,""en"",""pt"")"),"garantia")</f>
        <v>garantia</v>
      </c>
      <c r="B3093" s="3">
        <v>1</v>
      </c>
    </row>
    <row r="3094" ht="15.75" customHeight="1" spans="1:2">
      <c r="A3094" s="3" t="str">
        <f>IFERROR(__xludf.DUMMYFUNCTION("GOOGLETRANSLATE(A3094,""en"",""pt"")"),"garantias")</f>
        <v>garantias</v>
      </c>
      <c r="B3094" s="3">
        <v>1</v>
      </c>
    </row>
    <row r="3095" ht="15.75" customHeight="1" spans="1:2">
      <c r="A3095" s="3" t="str">
        <f>IFERROR(__xludf.DUMMYFUNCTION("GOOGLETRANSLATE(A3095,""en"",""pt"")"),"assegurar")</f>
        <v>assegurar</v>
      </c>
      <c r="B3095" s="3">
        <v>1</v>
      </c>
    </row>
    <row r="3096" ht="15.75" customHeight="1" spans="1:2">
      <c r="A3096" s="3" t="str">
        <f>IFERROR(__xludf.DUMMYFUNCTION("GOOGLETRANSLATE(A3096,""en"",""pt"")"),"indubitavelmente")</f>
        <v>indubitavelmente</v>
      </c>
      <c r="B3096" s="3">
        <v>1</v>
      </c>
    </row>
    <row r="3097" ht="15.75" customHeight="1" spans="1:2">
      <c r="A3097" s="3" t="str">
        <f>IFERROR(__xludf.DUMMYFUNCTION("GOOGLETRANSLATE(A3097,""en"",""pt"")"),"assegurando")</f>
        <v>assegurando</v>
      </c>
      <c r="B3097" s="3">
        <v>1</v>
      </c>
    </row>
    <row r="3098" ht="15.75" customHeight="1" spans="1:2">
      <c r="A3098" s="3" t="str">
        <f>IFERROR(__xludf.DUMMYFUNCTION("GOOGLETRANSLATE(A3098,""en"",""pt"")"),"astonish")</f>
        <v>astonish</v>
      </c>
      <c r="B3098" s="3">
        <v>1</v>
      </c>
    </row>
    <row r="3099" ht="15.75" customHeight="1" spans="1:2">
      <c r="A3099" s="3" t="str">
        <f>IFERROR(__xludf.DUMMYFUNCTION("GOOGLETRANSLATE(A3099,""en"",""pt"")"),"atônito")</f>
        <v>atônito</v>
      </c>
      <c r="B3099" s="3">
        <v>1</v>
      </c>
    </row>
    <row r="3100" ht="15.75" customHeight="1" spans="1:2">
      <c r="A3100" s="3" t="str">
        <f>IFERROR(__xludf.DUMMYFUNCTION("GOOGLETRANSLATE(A3100,""en"",""pt"")"),"surpreendente")</f>
        <v>surpreendente</v>
      </c>
      <c r="B3100" s="3">
        <v>1</v>
      </c>
    </row>
    <row r="3101" ht="15.75" customHeight="1" spans="1:2">
      <c r="A3101" s="3" t="str">
        <f>IFERROR(__xludf.DUMMYFUNCTION("GOOGLETRANSLATE(A3101,""en"",""pt"")"),"espantosamente")</f>
        <v>espantosamente</v>
      </c>
      <c r="B3101" s="3">
        <v>1</v>
      </c>
    </row>
    <row r="3102" ht="15.75" customHeight="1" spans="1:2">
      <c r="A3102" s="3" t="str">
        <f>IFERROR(__xludf.DUMMYFUNCTION("GOOGLETRANSLATE(A3102,""en"",""pt"")"),"espanto")</f>
        <v>espanto</v>
      </c>
      <c r="B3102" s="3">
        <v>1</v>
      </c>
    </row>
    <row r="3103" ht="15.75" customHeight="1" spans="1:2">
      <c r="A3103" s="3" t="str">
        <f>IFERROR(__xludf.DUMMYFUNCTION("GOOGLETRANSLATE(A3103,""en"",""pt"")"),"astound")</f>
        <v>astound</v>
      </c>
      <c r="B3103" s="3">
        <v>1</v>
      </c>
    </row>
    <row r="3104" ht="15.75" customHeight="1" spans="1:2">
      <c r="A3104" s="3" t="str">
        <f>IFERROR(__xludf.DUMMYFUNCTION("GOOGLETRANSLATE(A3104,""en"",""pt"")"),"estupefacto")</f>
        <v>estupefacto</v>
      </c>
      <c r="B3104" s="3">
        <v>1</v>
      </c>
    </row>
    <row r="3105" ht="15.75" customHeight="1" spans="1:2">
      <c r="A3105" s="3" t="str">
        <f>IFERROR(__xludf.DUMMYFUNCTION("GOOGLETRANSLATE(A3105,""en"",""pt"")"),"assombroso")</f>
        <v>assombroso</v>
      </c>
      <c r="B3105" s="3">
        <v>1</v>
      </c>
    </row>
    <row r="3106" ht="15.75" customHeight="1" spans="1:2">
      <c r="A3106" s="3" t="str">
        <f>IFERROR(__xludf.DUMMYFUNCTION("GOOGLETRANSLATE(A3106,""en"",""pt"")"),"espantosamente")</f>
        <v>espantosamente</v>
      </c>
      <c r="B3106" s="3">
        <v>1</v>
      </c>
    </row>
    <row r="3107" ht="15.75" customHeight="1" spans="1:2">
      <c r="A3107" s="3" t="str">
        <f>IFERROR(__xludf.DUMMYFUNCTION("GOOGLETRANSLATE(A3107,""en"",""pt"")"),"astutamente")</f>
        <v>astutamente</v>
      </c>
      <c r="B3107" s="3">
        <v>1</v>
      </c>
    </row>
    <row r="3108" ht="15.75" customHeight="1" spans="1:2">
      <c r="A3108" s="3" t="str">
        <f>IFERROR(__xludf.DUMMYFUNCTION("GOOGLETRANSLATE(A3108,""en"",""pt"")"),"atento")</f>
        <v>atento</v>
      </c>
      <c r="B3108" s="3">
        <v>1</v>
      </c>
    </row>
    <row r="3109" ht="15.75" customHeight="1" spans="1:2">
      <c r="A3109" s="3" t="str">
        <f>IFERROR(__xludf.DUMMYFUNCTION("GOOGLETRANSLATE(A3109,""en"",""pt"")"),"atração")</f>
        <v>atração</v>
      </c>
      <c r="B3109" s="3">
        <v>1</v>
      </c>
    </row>
    <row r="3110" ht="15.75" customHeight="1" spans="1:2">
      <c r="A3110" s="3" t="str">
        <f>IFERROR(__xludf.DUMMYFUNCTION("GOOGLETRANSLATE(A3110,""en"",""pt"")"),"atraente")</f>
        <v>atraente</v>
      </c>
      <c r="B3110" s="3">
        <v>1</v>
      </c>
    </row>
    <row r="3111" ht="15.75" customHeight="1" spans="1:2">
      <c r="A3111" s="3" t="str">
        <f>IFERROR(__xludf.DUMMYFUNCTION("GOOGLETRANSLATE(A3111,""en"",""pt"")"),"atrativamente")</f>
        <v>atrativamente</v>
      </c>
      <c r="B3111" s="3">
        <v>1</v>
      </c>
    </row>
    <row r="3112" ht="15.75" customHeight="1" spans="1:2">
      <c r="A3112" s="3" t="str">
        <f>IFERROR(__xludf.DUMMYFUNCTION("GOOGLETRANSLATE(A3112,""en"",""pt"")"),"afinar")</f>
        <v>afinar</v>
      </c>
      <c r="B3112" s="3">
        <v>1</v>
      </c>
    </row>
    <row r="3113" ht="15.75" customHeight="1" spans="1:2">
      <c r="A3113" s="3" t="str">
        <f>IFERROR(__xludf.DUMMYFUNCTION("GOOGLETRANSLATE(A3113,""en"",""pt"")"),"audível")</f>
        <v>audível</v>
      </c>
      <c r="B3113" s="3">
        <v>1</v>
      </c>
    </row>
    <row r="3114" ht="15.75" customHeight="1" spans="1:2">
      <c r="A3114" s="3" t="str">
        <f>IFERROR(__xludf.DUMMYFUNCTION("GOOGLETRANSLATE(A3114,""en"",""pt"")"),"audivelmente")</f>
        <v>audivelmente</v>
      </c>
      <c r="B3114" s="3">
        <v>1</v>
      </c>
    </row>
    <row r="3115" ht="15.75" customHeight="1" spans="1:2">
      <c r="A3115" s="3" t="str">
        <f>IFERROR(__xludf.DUMMYFUNCTION("GOOGLETRANSLATE(A3115,""en"",""pt"")"),"auspicioso")</f>
        <v>auspicioso</v>
      </c>
      <c r="B3115" s="3">
        <v>1</v>
      </c>
    </row>
    <row r="3116" ht="15.75" customHeight="1" spans="1:2">
      <c r="A3116" s="3" t="str">
        <f>IFERROR(__xludf.DUMMYFUNCTION("GOOGLETRANSLATE(A3116,""en"",""pt"")"),"autêntico")</f>
        <v>autêntico</v>
      </c>
      <c r="B3116" s="3">
        <v>1</v>
      </c>
    </row>
    <row r="3117" ht="15.75" customHeight="1" spans="1:2">
      <c r="A3117" s="3" t="str">
        <f>IFERROR(__xludf.DUMMYFUNCTION("GOOGLETRANSLATE(A3117,""en"",""pt"")"),"autorizado")</f>
        <v>autorizado</v>
      </c>
      <c r="B3117" s="3">
        <v>1</v>
      </c>
    </row>
    <row r="3118" ht="15.75" customHeight="1" spans="1:2">
      <c r="A3118" s="3" t="str">
        <f>IFERROR(__xludf.DUMMYFUNCTION("GOOGLETRANSLATE(A3118,""en"",""pt"")"),"Autônomo")</f>
        <v>Autônomo</v>
      </c>
      <c r="B3118" s="3">
        <v>1</v>
      </c>
    </row>
    <row r="3119" ht="15.75" customHeight="1" spans="1:2">
      <c r="A3119" s="3" t="str">
        <f>IFERROR(__xludf.DUMMYFUNCTION("GOOGLETRANSLATE(A3119,""en"",""pt"")"),"acessível")</f>
        <v>acessível</v>
      </c>
      <c r="B3119" s="3">
        <v>1</v>
      </c>
    </row>
    <row r="3120" ht="15.75" customHeight="1" spans="1:2">
      <c r="A3120" s="3" t="str">
        <f>IFERROR(__xludf.DUMMYFUNCTION("GOOGLETRANSLATE(A3120,""en"",""pt"")"),"declarar")</f>
        <v>declarar</v>
      </c>
      <c r="B3120" s="3">
        <v>1</v>
      </c>
    </row>
    <row r="3121" ht="15.75" customHeight="1" spans="1:2">
      <c r="A3121" s="3" t="str">
        <f>IFERROR(__xludf.DUMMYFUNCTION("GOOGLETRANSLATE(A3121,""en"",""pt"")"),"ávido")</f>
        <v>ávido</v>
      </c>
      <c r="B3121" s="3">
        <v>1</v>
      </c>
    </row>
    <row r="3122" ht="15.75" customHeight="1" spans="1:2">
      <c r="A3122" s="3" t="str">
        <f>IFERROR(__xludf.DUMMYFUNCTION("GOOGLETRANSLATE(A3122,""en"",""pt"")"),"avidamente")</f>
        <v>avidamente</v>
      </c>
      <c r="B3122" s="3">
        <v>1</v>
      </c>
    </row>
    <row r="3123" ht="15.75" customHeight="1" spans="1:2">
      <c r="A3123" s="3" t="str">
        <f>IFERROR(__xludf.DUMMYFUNCTION("GOOGLETRANSLATE(A3123,""en"",""pt"")"),"prêmio")</f>
        <v>prêmio</v>
      </c>
      <c r="B3123" s="3">
        <v>1</v>
      </c>
    </row>
    <row r="3124" ht="15.75" customHeight="1" spans="1:2">
      <c r="A3124" s="3" t="str">
        <f>IFERROR(__xludf.DUMMYFUNCTION("GOOGLETRANSLATE(A3124,""en"",""pt"")"),"premiado")</f>
        <v>premiado</v>
      </c>
      <c r="B3124" s="3">
        <v>1</v>
      </c>
    </row>
    <row r="3125" ht="15.75" customHeight="1" spans="1:2">
      <c r="A3125" s="3" t="str">
        <f>IFERROR(__xludf.DUMMYFUNCTION("GOOGLETRANSLATE(A3125,""en"",""pt"")"),"prêmios")</f>
        <v>prêmios</v>
      </c>
      <c r="B3125" s="3">
        <v>1</v>
      </c>
    </row>
    <row r="3126" ht="15.75" customHeight="1" spans="1:2">
      <c r="A3126" s="3" t="str">
        <f>IFERROR(__xludf.DUMMYFUNCTION("GOOGLETRANSLATE(A3126,""en"",""pt"")"),"temor")</f>
        <v>temor</v>
      </c>
      <c r="B3126" s="3">
        <v>1</v>
      </c>
    </row>
    <row r="3127" ht="15.75" customHeight="1" spans="1:2">
      <c r="A3127" s="3" t="str">
        <f>IFERROR(__xludf.DUMMYFUNCTION("GOOGLETRANSLATE(A3127,""en"",""pt"")"),"admirados")</f>
        <v>admirados</v>
      </c>
      <c r="B3127" s="3">
        <v>1</v>
      </c>
    </row>
    <row r="3128" ht="15.75" customHeight="1" spans="1:2">
      <c r="A3128" s="3" t="str">
        <f>IFERROR(__xludf.DUMMYFUNCTION("GOOGLETRANSLATE(A3128,""en"",""pt"")"),"impressionante")</f>
        <v>impressionante</v>
      </c>
      <c r="B3128" s="3">
        <v>1</v>
      </c>
    </row>
    <row r="3129" ht="15.75" customHeight="1" spans="1:2">
      <c r="A3129" s="3" t="str">
        <f>IFERROR(__xludf.DUMMYFUNCTION("GOOGLETRANSLATE(A3129,""en"",""pt"")"),"incrivelmente")</f>
        <v>incrivelmente</v>
      </c>
      <c r="B3129" s="3">
        <v>1</v>
      </c>
    </row>
    <row r="3130" ht="15.75" customHeight="1" spans="1:2">
      <c r="A3130" s="3" t="str">
        <f>IFERROR(__xludf.DUMMYFUNCTION("GOOGLETRANSLATE(A3130,""en"",""pt"")"),"grandiosidade")</f>
        <v>grandiosidade</v>
      </c>
      <c r="B3130" s="3">
        <v>1</v>
      </c>
    </row>
    <row r="3131" ht="15.75" customHeight="1" spans="1:2">
      <c r="A3131" s="3" t="str">
        <f>IFERROR(__xludf.DUMMYFUNCTION("GOOGLETRANSLATE(A3131,""en"",""pt"")"),"aterrado")</f>
        <v>aterrado</v>
      </c>
      <c r="B3131" s="3">
        <v>1</v>
      </c>
    </row>
    <row r="3132" ht="15.75" customHeight="1" spans="1:2">
      <c r="A3132" s="3" t="str">
        <f>IFERROR(__xludf.DUMMYFUNCTION("GOOGLETRANSLATE(A3132,""en"",""pt"")"),"awsome")</f>
        <v>awsome</v>
      </c>
      <c r="B3132" s="3">
        <v>1</v>
      </c>
    </row>
    <row r="3133" ht="15.75" customHeight="1" spans="1:2">
      <c r="A3133" s="3" t="str">
        <f>IFERROR(__xludf.DUMMYFUNCTION("GOOGLETRANSLATE(A3133,""en"",""pt"")"),"espinha dorsal")</f>
        <v>espinha dorsal</v>
      </c>
      <c r="B3133" s="3">
        <v>1</v>
      </c>
    </row>
    <row r="3134" ht="15.75" customHeight="1" spans="1:2">
      <c r="A3134" s="3" t="str">
        <f>IFERROR(__xludf.DUMMYFUNCTION("GOOGLETRANSLATE(A3134,""en"",""pt"")"),"equilibrado")</f>
        <v>equilibrado</v>
      </c>
      <c r="B3134" s="3">
        <v>1</v>
      </c>
    </row>
    <row r="3135" ht="15.75" customHeight="1" spans="1:2">
      <c r="A3135" s="3" t="str">
        <f>IFERROR(__xludf.DUMMYFUNCTION("GOOGLETRANSLATE(A3135,""en"",""pt"")"),"barganha")</f>
        <v>barganha</v>
      </c>
      <c r="B3135" s="3">
        <v>1</v>
      </c>
    </row>
    <row r="3136" ht="15.75" customHeight="1" spans="1:2">
      <c r="A3136" s="3" t="str">
        <f>IFERROR(__xludf.DUMMYFUNCTION("GOOGLETRANSLATE(A3136,""en"",""pt"")"),"belo")</f>
        <v>belo</v>
      </c>
      <c r="B3136" s="3">
        <v>1</v>
      </c>
    </row>
    <row r="3137" ht="15.75" customHeight="1" spans="1:2">
      <c r="A3137" s="3" t="str">
        <f>IFERROR(__xludf.DUMMYFUNCTION("GOOGLETRANSLATE(A3137,""en"",""pt"")"),"lindo")</f>
        <v>lindo</v>
      </c>
      <c r="B3137" s="3">
        <v>1</v>
      </c>
    </row>
    <row r="3138" ht="15.75" customHeight="1" spans="1:2">
      <c r="A3138" s="3" t="str">
        <f>IFERROR(__xludf.DUMMYFUNCTION("GOOGLETRANSLATE(A3138,""en"",""pt"")"),"beautifullly")</f>
        <v>beautifullly</v>
      </c>
      <c r="B3138" s="3">
        <v>1</v>
      </c>
    </row>
    <row r="3139" ht="15.75" customHeight="1" spans="1:2">
      <c r="A3139" s="3" t="str">
        <f>IFERROR(__xludf.DUMMYFUNCTION("GOOGLETRANSLATE(A3139,""en"",""pt"")"),"belas")</f>
        <v>belas</v>
      </c>
      <c r="B3139" s="3">
        <v>1</v>
      </c>
    </row>
    <row r="3140" ht="15.75" customHeight="1" spans="1:2">
      <c r="A3140" s="3" t="str">
        <f>IFERROR(__xludf.DUMMYFUNCTION("GOOGLETRANSLATE(A3140,""en"",""pt"")"),"embelezar")</f>
        <v>embelezar</v>
      </c>
      <c r="B3140" s="3">
        <v>1</v>
      </c>
    </row>
    <row r="3141" ht="15.75" customHeight="1" spans="1:2">
      <c r="A3141" s="3" t="str">
        <f>IFERROR(__xludf.DUMMYFUNCTION("GOOGLETRANSLATE(A3141,""en"",""pt"")"),"beleza")</f>
        <v>beleza</v>
      </c>
      <c r="B3141" s="3">
        <v>1</v>
      </c>
    </row>
    <row r="3142" ht="15.75" customHeight="1" spans="1:2">
      <c r="A3142" s="3" t="str">
        <f>IFERROR(__xludf.DUMMYFUNCTION("GOOGLETRANSLATE(A3142,""en"",""pt"")"),"acenar")</f>
        <v>acenar</v>
      </c>
      <c r="B3142" s="3">
        <v>1</v>
      </c>
    </row>
    <row r="3143" ht="15.75" customHeight="1" spans="1:2">
      <c r="A3143" s="3" t="str">
        <f>IFERROR(__xludf.DUMMYFUNCTION("GOOGLETRANSLATE(A3143,""en"",""pt"")"),"acenou")</f>
        <v>acenou</v>
      </c>
      <c r="B3143" s="3">
        <v>1</v>
      </c>
    </row>
    <row r="3144" ht="15.75" customHeight="1" spans="1:2">
      <c r="A3144" s="3" t="str">
        <f>IFERROR(__xludf.DUMMYFUNCTION("GOOGLETRANSLATE(A3144,""en"",""pt"")"),"Beckoning")</f>
        <v>Beckoning</v>
      </c>
      <c r="B3144" s="3">
        <v>1</v>
      </c>
    </row>
    <row r="3145" ht="15.75" customHeight="1" spans="1:2">
      <c r="A3145" s="3" t="str">
        <f>IFERROR(__xludf.DUMMYFUNCTION("GOOGLETRANSLATE(A3145,""en"",""pt"")"),"acena")</f>
        <v>acena</v>
      </c>
      <c r="B3145" s="3">
        <v>1</v>
      </c>
    </row>
    <row r="3146" ht="15.75" customHeight="1" spans="1:2">
      <c r="A3146" s="3" t="str">
        <f>IFERROR(__xludf.DUMMYFUNCTION("GOOGLETRANSLATE(A3146,""en"",""pt"")"),"acreditável")</f>
        <v>acreditável</v>
      </c>
      <c r="B3146" s="3">
        <v>1</v>
      </c>
    </row>
    <row r="3147" ht="15.75" customHeight="1" spans="1:2">
      <c r="A3147" s="3" t="str">
        <f>IFERROR(__xludf.DUMMYFUNCTION("GOOGLETRANSLATE(A3147,""en"",""pt"")"),"believeable")</f>
        <v>believeable</v>
      </c>
      <c r="B3147" s="3">
        <v>1</v>
      </c>
    </row>
    <row r="3148" ht="15.75" customHeight="1" spans="1:2">
      <c r="A3148" s="3" t="str">
        <f>IFERROR(__xludf.DUMMYFUNCTION("GOOGLETRANSLATE(A3148,""en"",""pt"")"),"Amado")</f>
        <v>Amado</v>
      </c>
      <c r="B3148" s="3">
        <v>1</v>
      </c>
    </row>
    <row r="3149" ht="15.75" customHeight="1" spans="1:2">
      <c r="A3149" s="3" t="str">
        <f>IFERROR(__xludf.DUMMYFUNCTION("GOOGLETRANSLATE(A3149,""en"",""pt"")"),"benfeitor")</f>
        <v>benfeitor</v>
      </c>
      <c r="B3149" s="3">
        <v>1</v>
      </c>
    </row>
    <row r="3150" ht="15.75" customHeight="1" spans="1:2">
      <c r="A3150" s="3" t="str">
        <f>IFERROR(__xludf.DUMMYFUNCTION("GOOGLETRANSLATE(A3150,""en"",""pt"")"),"beneficente")</f>
        <v>beneficente</v>
      </c>
      <c r="B3150" s="3">
        <v>1</v>
      </c>
    </row>
    <row r="3151" ht="15.75" customHeight="1" spans="1:2">
      <c r="A3151" s="3" t="str">
        <f>IFERROR(__xludf.DUMMYFUNCTION("GOOGLETRANSLATE(A3151,""en"",""pt"")"),"benéfico")</f>
        <v>benéfico</v>
      </c>
      <c r="B3151" s="3">
        <v>1</v>
      </c>
    </row>
    <row r="3152" ht="15.75" customHeight="1" spans="1:2">
      <c r="A3152" s="3" t="str">
        <f>IFERROR(__xludf.DUMMYFUNCTION("GOOGLETRANSLATE(A3152,""en"",""pt"")"),"beneficamente")</f>
        <v>beneficamente</v>
      </c>
      <c r="B3152" s="3">
        <v>1</v>
      </c>
    </row>
    <row r="3153" ht="15.75" customHeight="1" spans="1:2">
      <c r="A3153" s="3" t="str">
        <f>IFERROR(__xludf.DUMMYFUNCTION("GOOGLETRANSLATE(A3153,""en"",""pt"")"),"beneficiário")</f>
        <v>beneficiário</v>
      </c>
      <c r="B3153" s="3">
        <v>1</v>
      </c>
    </row>
    <row r="3154" ht="15.75" customHeight="1" spans="1:2">
      <c r="A3154" s="3" t="str">
        <f>IFERROR(__xludf.DUMMYFUNCTION("GOOGLETRANSLATE(A3154,""en"",""pt"")"),"benefício")</f>
        <v>benefício</v>
      </c>
      <c r="B3154" s="3">
        <v>1</v>
      </c>
    </row>
    <row r="3155" ht="15.75" customHeight="1" spans="1:2">
      <c r="A3155" s="3" t="str">
        <f>IFERROR(__xludf.DUMMYFUNCTION("GOOGLETRANSLATE(A3155,""en"",""pt"")"),"benefícios")</f>
        <v>benefícios</v>
      </c>
      <c r="B3155" s="3">
        <v>1</v>
      </c>
    </row>
    <row r="3156" ht="15.75" customHeight="1" spans="1:2">
      <c r="A3156" s="3" t="str">
        <f>IFERROR(__xludf.DUMMYFUNCTION("GOOGLETRANSLATE(A3156,""en"",""pt"")"),"benevolência")</f>
        <v>benevolência</v>
      </c>
      <c r="B3156" s="3">
        <v>1</v>
      </c>
    </row>
    <row r="3157" ht="15.75" customHeight="1" spans="1:2">
      <c r="A3157" s="3" t="str">
        <f>IFERROR(__xludf.DUMMYFUNCTION("GOOGLETRANSLATE(A3157,""en"",""pt"")"),"benevolente")</f>
        <v>benevolente</v>
      </c>
      <c r="B3157" s="3">
        <v>1</v>
      </c>
    </row>
    <row r="3158" ht="15.75" customHeight="1" spans="1:2">
      <c r="A3158" s="3" t="str">
        <f>IFERROR(__xludf.DUMMYFUNCTION("GOOGLETRANSLATE(A3158,""en"",""pt"")"),"benifits")</f>
        <v>benifits</v>
      </c>
      <c r="B3158" s="3">
        <v>1</v>
      </c>
    </row>
    <row r="3159" ht="15.75" customHeight="1" spans="1:2">
      <c r="A3159" s="3" t="str">
        <f>IFERROR(__xludf.DUMMYFUNCTION("GOOGLETRANSLATE(A3159,""en"",""pt"")"),"melhor")</f>
        <v>melhor</v>
      </c>
      <c r="B3159" s="3">
        <v>1</v>
      </c>
    </row>
    <row r="3160" ht="15.75" customHeight="1" spans="1:2">
      <c r="A3160" s="3" t="str">
        <f>IFERROR(__xludf.DUMMYFUNCTION("GOOGLETRANSLATE(A3160,""en"",""pt"")"),"mais conhecido")</f>
        <v>mais conhecido</v>
      </c>
      <c r="B3160" s="3">
        <v>1</v>
      </c>
    </row>
    <row r="3161" ht="15.75" customHeight="1" spans="1:2">
      <c r="A3161" s="3" t="str">
        <f>IFERROR(__xludf.DUMMYFUNCTION("GOOGLETRANSLATE(A3161,""en"",""pt"")"),"melhor desempenho")</f>
        <v>melhor desempenho</v>
      </c>
      <c r="B3161" s="3">
        <v>1</v>
      </c>
    </row>
    <row r="3162" ht="15.75" customHeight="1" spans="1:2">
      <c r="A3162" s="3" t="str">
        <f>IFERROR(__xludf.DUMMYFUNCTION("GOOGLETRANSLATE(A3162,""en"",""pt"")"),"best-seller")</f>
        <v>best-seller</v>
      </c>
      <c r="B3162" s="3">
        <v>1</v>
      </c>
    </row>
    <row r="3163" ht="15.75" customHeight="1" spans="1:2">
      <c r="A3163" s="3" t="str">
        <f>IFERROR(__xludf.DUMMYFUNCTION("GOOGLETRANSLATE(A3163,""en"",""pt"")"),"Melhor")</f>
        <v>Melhor</v>
      </c>
      <c r="B3163" s="3">
        <v>1</v>
      </c>
    </row>
    <row r="3164" ht="15.75" customHeight="1" spans="1:2">
      <c r="A3164" s="3" t="str">
        <f>IFERROR(__xludf.DUMMYFUNCTION("GOOGLETRANSLATE(A3164,""en"",""pt"")"),"melhor saber")</f>
        <v>melhor saber</v>
      </c>
      <c r="B3164" s="3">
        <v>1</v>
      </c>
    </row>
    <row r="3165" ht="15.75" customHeight="1" spans="1:2">
      <c r="A3165" s="3" t="str">
        <f>IFERROR(__xludf.DUMMYFUNCTION("GOOGLETRANSLATE(A3165,""en"",""pt"")"),"melhor que o esperado")</f>
        <v>melhor que o esperado</v>
      </c>
      <c r="B3165" s="3">
        <v>1</v>
      </c>
    </row>
    <row r="3166" ht="15.75" customHeight="1" spans="1:2">
      <c r="A3166" s="3" t="str">
        <f>IFERROR(__xludf.DUMMYFUNCTION("GOOGLETRANSLATE(A3166,""en"",""pt"")"),"beutifully")</f>
        <v>beutifully</v>
      </c>
      <c r="B3166" s="3">
        <v>1</v>
      </c>
    </row>
    <row r="3167" ht="15.75" customHeight="1" spans="1:2">
      <c r="A3167" s="3" t="str">
        <f>IFERROR(__xludf.DUMMYFUNCTION("GOOGLETRANSLATE(A3167,""en"",""pt"")"),"sem culpa")</f>
        <v>sem culpa</v>
      </c>
      <c r="B3167" s="3">
        <v>1</v>
      </c>
    </row>
    <row r="3168" ht="15.75" customHeight="1" spans="1:2">
      <c r="A3168" s="3" t="str">
        <f>IFERROR(__xludf.DUMMYFUNCTION("GOOGLETRANSLATE(A3168,""en"",""pt"")"),"abençoar")</f>
        <v>abençoar</v>
      </c>
      <c r="B3168" s="3">
        <v>1</v>
      </c>
    </row>
    <row r="3169" ht="15.75" customHeight="1" spans="1:2">
      <c r="A3169" s="3" t="str">
        <f>IFERROR(__xludf.DUMMYFUNCTION("GOOGLETRANSLATE(A3169,""en"",""pt"")"),"bênção")</f>
        <v>bênção</v>
      </c>
      <c r="B3169" s="3">
        <v>1</v>
      </c>
    </row>
    <row r="3170" ht="15.75" customHeight="1" spans="1:2">
      <c r="A3170" s="3" t="str">
        <f>IFERROR(__xludf.DUMMYFUNCTION("GOOGLETRANSLATE(A3170,""en"",""pt"")"),"felicidade")</f>
        <v>felicidade</v>
      </c>
      <c r="B3170" s="3">
        <v>1</v>
      </c>
    </row>
    <row r="3171" ht="15.75" customHeight="1" spans="1:2">
      <c r="A3171" s="3" t="str">
        <f>IFERROR(__xludf.DUMMYFUNCTION("GOOGLETRANSLATE(A3171,""en"",""pt"")"),"feliz")</f>
        <v>feliz</v>
      </c>
      <c r="B3171" s="3">
        <v>1</v>
      </c>
    </row>
    <row r="3172" ht="15.75" customHeight="1" spans="1:2">
      <c r="A3172" s="3" t="str">
        <f>IFERROR(__xludf.DUMMYFUNCTION("GOOGLETRANSLATE(A3172,""en"",""pt"")"),"blissfully")</f>
        <v>blissfully</v>
      </c>
      <c r="B3172" s="3">
        <v>1</v>
      </c>
    </row>
    <row r="3173" ht="15.75" customHeight="1" spans="1:2">
      <c r="A3173" s="3" t="str">
        <f>IFERROR(__xludf.DUMMYFUNCTION("GOOGLETRANSLATE(A3173,""en"",""pt"")"),"alegre")</f>
        <v>alegre</v>
      </c>
      <c r="B3173" s="3">
        <v>1</v>
      </c>
    </row>
    <row r="3174" ht="15.75" customHeight="1" spans="1:2">
      <c r="A3174" s="3" t="str">
        <f>IFERROR(__xludf.DUMMYFUNCTION("GOOGLETRANSLATE(A3174,""en"",""pt"")"),"sucesso")</f>
        <v>sucesso</v>
      </c>
      <c r="B3174" s="3">
        <v>1</v>
      </c>
    </row>
    <row r="3175" ht="15.75" customHeight="1" spans="1:2">
      <c r="A3175" s="3" t="str">
        <f>IFERROR(__xludf.DUMMYFUNCTION("GOOGLETRANSLATE(A3175,""en"",""pt"")"),"flor")</f>
        <v>flor</v>
      </c>
      <c r="B3175" s="3">
        <v>1</v>
      </c>
    </row>
    <row r="3176" ht="15.75" customHeight="1" spans="1:2">
      <c r="A3176" s="3" t="str">
        <f>IFERROR(__xludf.DUMMYFUNCTION("GOOGLETRANSLATE(A3176,""en"",""pt"")"),"Flor")</f>
        <v>Flor</v>
      </c>
      <c r="B3176" s="3">
        <v>1</v>
      </c>
    </row>
    <row r="3177" ht="15.75" customHeight="1" spans="1:2">
      <c r="A3177" s="3" t="str">
        <f>IFERROR(__xludf.DUMMYFUNCTION("GOOGLETRANSLATE(A3177,""en"",""pt"")"),"apoiar")</f>
        <v>apoiar</v>
      </c>
      <c r="B3177" s="3">
        <v>1</v>
      </c>
    </row>
    <row r="3178" ht="15.75" customHeight="1" spans="1:2">
      <c r="A3178" s="3" t="str">
        <f>IFERROR(__xludf.DUMMYFUNCTION("GOOGLETRANSLATE(A3178,""en"",""pt"")"),"galante")</f>
        <v>galante</v>
      </c>
      <c r="B3178" s="3">
        <v>1</v>
      </c>
    </row>
    <row r="3179" ht="15.75" customHeight="1" spans="1:2">
      <c r="A3179" s="3" t="str">
        <f>IFERROR(__xludf.DUMMYFUNCTION("GOOGLETRANSLATE(A3179,""en"",""pt"")"),"bônus")</f>
        <v>bônus</v>
      </c>
      <c r="B3179" s="3">
        <v>1</v>
      </c>
    </row>
    <row r="3180" ht="15.75" customHeight="1" spans="1:2">
      <c r="A3180" s="3" t="str">
        <f>IFERROR(__xludf.DUMMYFUNCTION("GOOGLETRANSLATE(A3180,""en"",""pt"")"),"bônus")</f>
        <v>bônus</v>
      </c>
      <c r="B3180" s="3">
        <v>1</v>
      </c>
    </row>
    <row r="3181" ht="15.75" customHeight="1" spans="1:2">
      <c r="A3181" s="3" t="str">
        <f>IFERROR(__xludf.DUMMYFUNCTION("GOOGLETRANSLATE(A3181,""en"",""pt"")"),"estrondo")</f>
        <v>estrondo</v>
      </c>
      <c r="B3181" s="3">
        <v>1</v>
      </c>
    </row>
    <row r="3182" ht="15.75" customHeight="1" spans="1:2">
      <c r="A3182" s="3" t="str">
        <f>IFERROR(__xludf.DUMMYFUNCTION("GOOGLETRANSLATE(A3182,""en"",""pt"")"),"crescendo")</f>
        <v>crescendo</v>
      </c>
      <c r="B3182" s="3">
        <v>1</v>
      </c>
    </row>
    <row r="3183" ht="15.75" customHeight="1" spans="1:2">
      <c r="A3183" s="3" t="str">
        <f>IFERROR(__xludf.DUMMYFUNCTION("GOOGLETRANSLATE(A3183,""en"",""pt"")"),"impulso")</f>
        <v>impulso</v>
      </c>
      <c r="B3183" s="3">
        <v>1</v>
      </c>
    </row>
    <row r="3184" ht="15.75" customHeight="1" spans="1:2">
      <c r="A3184" s="3" t="str">
        <f>IFERROR(__xludf.DUMMYFUNCTION("GOOGLETRANSLATE(A3184,""en"",""pt"")"),"sem limites")</f>
        <v>sem limites</v>
      </c>
      <c r="B3184" s="3">
        <v>1</v>
      </c>
    </row>
    <row r="3185" ht="15.75" customHeight="1" spans="1:2">
      <c r="A3185" s="3" t="str">
        <f>IFERROR(__xludf.DUMMYFUNCTION("GOOGLETRANSLATE(A3185,""en"",""pt"")"),"caridoso")</f>
        <v>caridoso</v>
      </c>
      <c r="B3185" s="3">
        <v>1</v>
      </c>
    </row>
    <row r="3186" ht="15.75" customHeight="1" spans="1:2">
      <c r="A3186" s="3" t="str">
        <f>IFERROR(__xludf.DUMMYFUNCTION("GOOGLETRANSLATE(A3186,""en"",""pt"")"),"Brainiest")</f>
        <v>Brainiest</v>
      </c>
      <c r="B3186" s="3">
        <v>1</v>
      </c>
    </row>
    <row r="3187" ht="15.75" customHeight="1" spans="1:2">
      <c r="A3187" s="3" t="str">
        <f>IFERROR(__xludf.DUMMYFUNCTION("GOOGLETRANSLATE(A3187,""en"",""pt"")"),"inteligente")</f>
        <v>inteligente</v>
      </c>
      <c r="B3187" s="3">
        <v>1</v>
      </c>
    </row>
    <row r="3188" ht="15.75" customHeight="1" spans="1:2">
      <c r="A3188" s="3" t="str">
        <f>IFERROR(__xludf.DUMMYFUNCTION("GOOGLETRANSLATE(A3188,""en"",""pt"")"),"novo em folha")</f>
        <v>novo em folha</v>
      </c>
      <c r="B3188" s="3">
        <v>1</v>
      </c>
    </row>
    <row r="3189" ht="15.75" customHeight="1" spans="1:2">
      <c r="A3189" s="3" t="str">
        <f>IFERROR(__xludf.DUMMYFUNCTION("GOOGLETRANSLATE(A3189,""en"",""pt"")"),"bravo")</f>
        <v>bravo</v>
      </c>
      <c r="B3189" s="3">
        <v>1</v>
      </c>
    </row>
    <row r="3190" ht="15.75" customHeight="1" spans="1:2">
      <c r="A3190" s="3" t="str">
        <f>IFERROR(__xludf.DUMMYFUNCTION("GOOGLETRANSLATE(A3190,""en"",""pt"")"),"bravura")</f>
        <v>bravura</v>
      </c>
      <c r="B3190" s="3">
        <v>1</v>
      </c>
    </row>
    <row r="3191" ht="15.75" customHeight="1" spans="1:2">
      <c r="A3191" s="3" t="str">
        <f>IFERROR(__xludf.DUMMYFUNCTION("GOOGLETRANSLATE(A3191,""en"",""pt"")"),"bravo")</f>
        <v>bravo</v>
      </c>
      <c r="B3191" s="3">
        <v>1</v>
      </c>
    </row>
    <row r="3192" ht="15.75" customHeight="1" spans="1:2">
      <c r="A3192" s="3" t="str">
        <f>IFERROR(__xludf.DUMMYFUNCTION("GOOGLETRANSLATE(A3192,""en"",""pt"")"),"avanço")</f>
        <v>avanço</v>
      </c>
      <c r="B3192" s="3">
        <v>1</v>
      </c>
    </row>
    <row r="3193" ht="15.75" customHeight="1" spans="1:2">
      <c r="A3193" s="3" t="str">
        <f>IFERROR(__xludf.DUMMYFUNCTION("GOOGLETRANSLATE(A3193,""en"",""pt"")"),"avanços")</f>
        <v>avanços</v>
      </c>
      <c r="B3193" s="3">
        <v>1</v>
      </c>
    </row>
    <row r="3194" ht="15.75" customHeight="1" spans="1:2">
      <c r="A3194" s="3" t="str">
        <f>IFERROR(__xludf.DUMMYFUNCTION("GOOGLETRANSLATE(A3194,""en"",""pt"")"),"falta de ar")</f>
        <v>falta de ar</v>
      </c>
      <c r="B3194" s="3">
        <v>1</v>
      </c>
    </row>
    <row r="3195" ht="15.75" customHeight="1" spans="1:2">
      <c r="A3195" s="3" t="str">
        <f>IFERROR(__xludf.DUMMYFUNCTION("GOOGLETRANSLATE(A3195,""en"",""pt"")"),"tirar o fôlego")</f>
        <v>tirar o fôlego</v>
      </c>
      <c r="B3195" s="3">
        <v>1</v>
      </c>
    </row>
    <row r="3196" ht="15.75" customHeight="1" spans="1:2">
      <c r="A3196" s="3" t="str">
        <f>IFERROR(__xludf.DUMMYFUNCTION("GOOGLETRANSLATE(A3196,""en"",""pt"")"),"impressionantemente")</f>
        <v>impressionantemente</v>
      </c>
      <c r="B3196" s="3">
        <v>1</v>
      </c>
    </row>
    <row r="3197" ht="15.75" customHeight="1" spans="1:2">
      <c r="A3197" s="3" t="str">
        <f>IFERROR(__xludf.DUMMYFUNCTION("GOOGLETRANSLATE(A3197,""en"",""pt"")"),"brisa")</f>
        <v>brisa</v>
      </c>
      <c r="B3197" s="3">
        <v>1</v>
      </c>
    </row>
    <row r="3198" ht="15.75" customHeight="1" spans="1:2">
      <c r="A3198" s="3" t="str">
        <f>IFERROR(__xludf.DUMMYFUNCTION("GOOGLETRANSLATE(A3198,""en"",""pt"")"),"brilhante")</f>
        <v>brilhante</v>
      </c>
      <c r="B3198" s="3">
        <v>1</v>
      </c>
    </row>
    <row r="3199" ht="15.75" customHeight="1" spans="1:2">
      <c r="A3199" s="3" t="str">
        <f>IFERROR(__xludf.DUMMYFUNCTION("GOOGLETRANSLATE(A3199,""en"",""pt"")"),"Brighten")</f>
        <v>Brighten</v>
      </c>
      <c r="B3199" s="3">
        <v>1</v>
      </c>
    </row>
    <row r="3200" ht="15.75" customHeight="1" spans="1:2">
      <c r="A3200" s="3" t="str">
        <f>IFERROR(__xludf.DUMMYFUNCTION("GOOGLETRANSLATE(A3200,""en"",""pt"")"),"mais brilhante")</f>
        <v>mais brilhante</v>
      </c>
      <c r="B3200" s="3">
        <v>1</v>
      </c>
    </row>
    <row r="3201" ht="15.75" customHeight="1" spans="1:2">
      <c r="A3201" s="3" t="str">
        <f>IFERROR(__xludf.DUMMYFUNCTION("GOOGLETRANSLATE(A3201,""en"",""pt"")"),"mais brilhante")</f>
        <v>mais brilhante</v>
      </c>
      <c r="B3201" s="3">
        <v>1</v>
      </c>
    </row>
    <row r="3202" ht="15.75" customHeight="1" spans="1:2">
      <c r="A3202" s="3" t="str">
        <f>IFERROR(__xludf.DUMMYFUNCTION("GOOGLETRANSLATE(A3202,""en"",""pt"")"),"brilho")</f>
        <v>brilho</v>
      </c>
      <c r="B3202" s="3">
        <v>1</v>
      </c>
    </row>
    <row r="3203" ht="15.75" customHeight="1" spans="1:2">
      <c r="A3203" s="3" t="str">
        <f>IFERROR(__xludf.DUMMYFUNCTION("GOOGLETRANSLATE(A3203,""en"",""pt"")"),"brilliances")</f>
        <v>brilliances</v>
      </c>
      <c r="B3203" s="3">
        <v>1</v>
      </c>
    </row>
    <row r="3204" ht="15.75" customHeight="1" spans="1:2">
      <c r="A3204" s="3" t="str">
        <f>IFERROR(__xludf.DUMMYFUNCTION("GOOGLETRANSLATE(A3204,""en"",""pt"")"),"brilhante")</f>
        <v>brilhante</v>
      </c>
      <c r="B3204" s="3">
        <v>1</v>
      </c>
    </row>
    <row r="3205" ht="15.75" customHeight="1" spans="1:2">
      <c r="A3205" s="3" t="str">
        <f>IFERROR(__xludf.DUMMYFUNCTION("GOOGLETRANSLATE(A3205,""en"",""pt"")"),"brilhantemente")</f>
        <v>brilhantemente</v>
      </c>
      <c r="B3205" s="3">
        <v>1</v>
      </c>
    </row>
    <row r="3206" ht="15.75" customHeight="1" spans="1:2">
      <c r="A3206" s="3" t="str">
        <f>IFERROR(__xludf.DUMMYFUNCTION("GOOGLETRANSLATE(A3206,""en"",""pt"")"),"vivo")</f>
        <v>vivo</v>
      </c>
      <c r="B3206" s="3">
        <v>1</v>
      </c>
    </row>
    <row r="3207" ht="15.75" customHeight="1" spans="1:2">
      <c r="A3207" s="3" t="str">
        <f>IFERROR(__xludf.DUMMYFUNCTION("GOOGLETRANSLATE(A3207,""en"",""pt"")"),"fraternal")</f>
        <v>fraternal</v>
      </c>
      <c r="B3207" s="3">
        <v>1</v>
      </c>
    </row>
    <row r="3208" ht="15.75" customHeight="1" spans="1:2">
      <c r="A3208" s="3" t="str">
        <f>IFERROR(__xludf.DUMMYFUNCTION("GOOGLETRANSLATE(A3208,""en"",""pt"")"),"otimista")</f>
        <v>otimista</v>
      </c>
      <c r="B3208" s="3">
        <v>1</v>
      </c>
    </row>
    <row r="3209" ht="15.75" customHeight="1" spans="1:2">
      <c r="A3209" s="3" t="str">
        <f>IFERROR(__xludf.DUMMYFUNCTION("GOOGLETRANSLATE(A3209,""en"",""pt"")"),"flutuante")</f>
        <v>flutuante</v>
      </c>
      <c r="B3209" s="3">
        <v>1</v>
      </c>
    </row>
    <row r="3210" ht="15.75" customHeight="1" spans="1:2">
      <c r="A3210" s="3" t="str">
        <f>IFERROR(__xludf.DUMMYFUNCTION("GOOGLETRANSLATE(A3210,""en"",""pt"")"),"persuadir")</f>
        <v>persuadir</v>
      </c>
      <c r="B3210" s="3">
        <v>1</v>
      </c>
    </row>
    <row r="3211" ht="15.75" customHeight="1" spans="1:2">
      <c r="A3211" s="3" t="str">
        <f>IFERROR(__xludf.DUMMYFUNCTION("GOOGLETRANSLATE(A3211,""en"",""pt"")"),"calma")</f>
        <v>calma</v>
      </c>
      <c r="B3211" s="3">
        <v>1</v>
      </c>
    </row>
    <row r="3212" ht="15.75" customHeight="1" spans="1:2">
      <c r="A3212" s="3" t="str">
        <f>IFERROR(__xludf.DUMMYFUNCTION("GOOGLETRANSLATE(A3212,""en"",""pt"")"),"calmante")</f>
        <v>calmante</v>
      </c>
      <c r="B3212" s="3">
        <v>1</v>
      </c>
    </row>
    <row r="3213" ht="15.75" customHeight="1" spans="1:2">
      <c r="A3213" s="3" t="str">
        <f>IFERROR(__xludf.DUMMYFUNCTION("GOOGLETRANSLATE(A3213,""en"",""pt"")"),"calma")</f>
        <v>calma</v>
      </c>
      <c r="B3213" s="3">
        <v>1</v>
      </c>
    </row>
    <row r="3214" ht="15.75" customHeight="1" spans="1:2">
      <c r="A3214" s="3" t="str">
        <f>IFERROR(__xludf.DUMMYFUNCTION("GOOGLETRANSLATE(A3214,""en"",""pt"")"),"capacidade")</f>
        <v>capacidade</v>
      </c>
      <c r="B3214" s="3">
        <v>1</v>
      </c>
    </row>
    <row r="3215" ht="15.75" customHeight="1" spans="1:2">
      <c r="A3215" s="3" t="str">
        <f>IFERROR(__xludf.DUMMYFUNCTION("GOOGLETRANSLATE(A3215,""en"",""pt"")"),"capaz")</f>
        <v>capaz</v>
      </c>
      <c r="B3215" s="3">
        <v>1</v>
      </c>
    </row>
    <row r="3216" ht="15.75" customHeight="1" spans="1:2">
      <c r="A3216" s="3" t="str">
        <f>IFERROR(__xludf.DUMMYFUNCTION("GOOGLETRANSLATE(A3216,""en"",""pt"")"),"competentemente")</f>
        <v>competentemente</v>
      </c>
      <c r="B3216" s="3">
        <v>1</v>
      </c>
    </row>
    <row r="3217" ht="15.75" customHeight="1" spans="1:2">
      <c r="A3217" s="3" t="str">
        <f>IFERROR(__xludf.DUMMYFUNCTION("GOOGLETRANSLATE(A3217,""en"",""pt"")"),"cativar")</f>
        <v>cativar</v>
      </c>
      <c r="B3217" s="3">
        <v>1</v>
      </c>
    </row>
    <row r="3218" ht="15.75" customHeight="1" spans="1:2">
      <c r="A3218" s="3" t="str">
        <f>IFERROR(__xludf.DUMMYFUNCTION("GOOGLETRANSLATE(A3218,""en"",""pt"")"),"cativante")</f>
        <v>cativante</v>
      </c>
      <c r="B3218" s="3">
        <v>1</v>
      </c>
    </row>
    <row r="3219" ht="15.75" customHeight="1" spans="1:2">
      <c r="A3219" s="3" t="str">
        <f>IFERROR(__xludf.DUMMYFUNCTION("GOOGLETRANSLATE(A3219,""en"",""pt"")"),"despreocupado")</f>
        <v>despreocupado</v>
      </c>
      <c r="B3219" s="3">
        <v>1</v>
      </c>
    </row>
    <row r="3220" ht="15.75" customHeight="1" spans="1:2">
      <c r="A3220" s="3" t="str">
        <f>IFERROR(__xludf.DUMMYFUNCTION("GOOGLETRANSLATE(A3220,""en"",""pt"")"),"dinheiro de volta")</f>
        <v>dinheiro de volta</v>
      </c>
      <c r="B3220" s="3">
        <v>1</v>
      </c>
    </row>
    <row r="3221" ht="15.75" customHeight="1" spans="1:2">
      <c r="A3221" s="3" t="str">
        <f>IFERROR(__xludf.DUMMYFUNCTION("GOOGLETRANSLATE(A3221,""en"",""pt"")"),"cashbacks")</f>
        <v>cashbacks</v>
      </c>
      <c r="B3221" s="3">
        <v>1</v>
      </c>
    </row>
    <row r="3222" ht="15.75" customHeight="1" spans="1:2">
      <c r="A3222" s="3" t="str">
        <f>IFERROR(__xludf.DUMMYFUNCTION("GOOGLETRANSLATE(A3222,""en"",""pt"")"),"cativante")</f>
        <v>cativante</v>
      </c>
      <c r="B3222" s="3">
        <v>1</v>
      </c>
    </row>
    <row r="3223" ht="15.75" customHeight="1" spans="1:2">
      <c r="A3223" s="3" t="str">
        <f>IFERROR(__xludf.DUMMYFUNCTION("GOOGLETRANSLATE(A3223,""en"",""pt"")"),"comemoro")</f>
        <v>comemoro</v>
      </c>
      <c r="B3223" s="3">
        <v>1</v>
      </c>
    </row>
    <row r="3224" ht="15.75" customHeight="1" spans="1:2">
      <c r="A3224" s="3" t="str">
        <f>IFERROR(__xludf.DUMMYFUNCTION("GOOGLETRANSLATE(A3224,""en"",""pt"")"),"célebre")</f>
        <v>célebre</v>
      </c>
      <c r="B3224" s="3">
        <v>1</v>
      </c>
    </row>
    <row r="3225" ht="15.75" customHeight="1" spans="1:2">
      <c r="A3225" s="3" t="str">
        <f>IFERROR(__xludf.DUMMYFUNCTION("GOOGLETRANSLATE(A3225,""en"",""pt"")"),"celebração")</f>
        <v>celebração</v>
      </c>
      <c r="B3225" s="3">
        <v>1</v>
      </c>
    </row>
    <row r="3226" ht="15.75" customHeight="1" spans="1:2">
      <c r="A3226" s="3" t="str">
        <f>IFERROR(__xludf.DUMMYFUNCTION("GOOGLETRANSLATE(A3226,""en"",""pt"")"),"comemorativos")</f>
        <v>comemorativos</v>
      </c>
      <c r="B3226" s="3">
        <v>1</v>
      </c>
    </row>
    <row r="3227" ht="15.75" customHeight="1" spans="1:2">
      <c r="A3227" s="3" t="str">
        <f>IFERROR(__xludf.DUMMYFUNCTION("GOOGLETRANSLATE(A3227,""en"",""pt"")"),"campeão")</f>
        <v>campeão</v>
      </c>
      <c r="B3227" s="3">
        <v>1</v>
      </c>
    </row>
    <row r="3228" ht="15.75" customHeight="1" spans="1:2">
      <c r="A3228" s="3" t="str">
        <f>IFERROR(__xludf.DUMMYFUNCTION("GOOGLETRANSLATE(A3228,""en"",""pt"")"),"campeão")</f>
        <v>campeão</v>
      </c>
      <c r="B3228" s="3">
        <v>1</v>
      </c>
    </row>
    <row r="3229" ht="15.75" customHeight="1" spans="1:2">
      <c r="A3229" s="3" t="str">
        <f>IFERROR(__xludf.DUMMYFUNCTION("GOOGLETRANSLATE(A3229,""en"",""pt"")"),"carisma")</f>
        <v>carisma</v>
      </c>
      <c r="B3229" s="3">
        <v>1</v>
      </c>
    </row>
    <row r="3230" ht="15.75" customHeight="1" spans="1:2">
      <c r="A3230" s="3" t="str">
        <f>IFERROR(__xludf.DUMMYFUNCTION("GOOGLETRANSLATE(A3230,""en"",""pt"")"),"carismático")</f>
        <v>carismático</v>
      </c>
      <c r="B3230" s="3">
        <v>1</v>
      </c>
    </row>
    <row r="3231" ht="15.75" customHeight="1" spans="1:2">
      <c r="A3231" s="3" t="str">
        <f>IFERROR(__xludf.DUMMYFUNCTION("GOOGLETRANSLATE(A3231,""en"",""pt"")"),"caridoso")</f>
        <v>caridoso</v>
      </c>
      <c r="B3231" s="3">
        <v>1</v>
      </c>
    </row>
    <row r="3232" ht="15.75" customHeight="1" spans="1:2">
      <c r="A3232" s="3" t="str">
        <f>IFERROR(__xludf.DUMMYFUNCTION("GOOGLETRANSLATE(A3232,""en"",""pt"")"),"charme")</f>
        <v>charme</v>
      </c>
      <c r="B3232" s="3">
        <v>1</v>
      </c>
    </row>
    <row r="3233" ht="15.75" customHeight="1" spans="1:2">
      <c r="A3233" s="3" t="str">
        <f>IFERROR(__xludf.DUMMYFUNCTION("GOOGLETRANSLATE(A3233,""en"",""pt"")"),"encantador")</f>
        <v>encantador</v>
      </c>
      <c r="B3233" s="3">
        <v>1</v>
      </c>
    </row>
    <row r="3234" ht="15.75" customHeight="1" spans="1:2">
      <c r="A3234" s="3" t="str">
        <f>IFERROR(__xludf.DUMMYFUNCTION("GOOGLETRANSLATE(A3234,""en"",""pt"")"),"encantadoramente")</f>
        <v>encantadoramente</v>
      </c>
      <c r="B3234" s="3">
        <v>1</v>
      </c>
    </row>
    <row r="3235" ht="15.75" customHeight="1" spans="1:2">
      <c r="A3235" s="3" t="str">
        <f>IFERROR(__xludf.DUMMYFUNCTION("GOOGLETRANSLATE(A3235,""en"",""pt"")"),"casto")</f>
        <v>casto</v>
      </c>
      <c r="B3235" s="3">
        <v>1</v>
      </c>
    </row>
    <row r="3236" ht="15.75" customHeight="1" spans="1:2">
      <c r="A3236" s="3" t="str">
        <f>IFERROR(__xludf.DUMMYFUNCTION("GOOGLETRANSLATE(A3236,""en"",""pt"")"),"mais barato")</f>
        <v>mais barato</v>
      </c>
      <c r="B3236" s="3">
        <v>1</v>
      </c>
    </row>
    <row r="3237" ht="15.75" customHeight="1" spans="1:2">
      <c r="A3237" s="3" t="str">
        <f>IFERROR(__xludf.DUMMYFUNCTION("GOOGLETRANSLATE(A3237,""en"",""pt"")"),"mais barato")</f>
        <v>mais barato</v>
      </c>
      <c r="B3237" s="3">
        <v>1</v>
      </c>
    </row>
    <row r="3238" ht="15.75" customHeight="1" spans="1:2">
      <c r="A3238" s="3" t="str">
        <f>IFERROR(__xludf.DUMMYFUNCTION("GOOGLETRANSLATE(A3238,""en"",""pt"")"),"alegria")</f>
        <v>alegria</v>
      </c>
      <c r="B3238" s="3">
        <v>1</v>
      </c>
    </row>
    <row r="3239" ht="15.75" customHeight="1" spans="1:2">
      <c r="A3239" s="3" t="str">
        <f>IFERROR(__xludf.DUMMYFUNCTION("GOOGLETRANSLATE(A3239,""en"",""pt"")"),"alegre")</f>
        <v>alegre</v>
      </c>
      <c r="B3239" s="3">
        <v>1</v>
      </c>
    </row>
    <row r="3240" ht="15.75" customHeight="1" spans="1:2">
      <c r="A3240" s="3" t="str">
        <f>IFERROR(__xludf.DUMMYFUNCTION("GOOGLETRANSLATE(A3240,""en"",""pt"")"),"alegre")</f>
        <v>alegre</v>
      </c>
      <c r="B3240" s="3">
        <v>1</v>
      </c>
    </row>
    <row r="3241" ht="15.75" customHeight="1" spans="1:2">
      <c r="A3241" s="3" t="str">
        <f>IFERROR(__xludf.DUMMYFUNCTION("GOOGLETRANSLATE(A3241,""en"",""pt"")"),"Cherish")</f>
        <v>Cherish</v>
      </c>
      <c r="B3241" s="3">
        <v>1</v>
      </c>
    </row>
    <row r="3242" ht="15.75" customHeight="1" spans="1:2">
      <c r="A3242" s="3" t="str">
        <f>IFERROR(__xludf.DUMMYFUNCTION("GOOGLETRANSLATE(A3242,""en"",""pt"")"),"acarinhados")</f>
        <v>acarinhados</v>
      </c>
      <c r="B3242" s="3">
        <v>1</v>
      </c>
    </row>
    <row r="3243" ht="15.75" customHeight="1" spans="1:2">
      <c r="A3243" s="3" t="str">
        <f>IFERROR(__xludf.DUMMYFUNCTION("GOOGLETRANSLATE(A3243,""en"",""pt"")"),"querubim")</f>
        <v>querubim</v>
      </c>
      <c r="B3243" s="3">
        <v>1</v>
      </c>
    </row>
    <row r="3244" ht="15.75" customHeight="1" spans="1:2">
      <c r="A3244" s="3" t="str">
        <f>IFERROR(__xludf.DUMMYFUNCTION("GOOGLETRANSLATE(A3244,""en"",""pt"")"),"chique")</f>
        <v>chique</v>
      </c>
      <c r="B3244" s="3">
        <v>1</v>
      </c>
    </row>
    <row r="3245" ht="15.75" customHeight="1" spans="1:2">
      <c r="A3245" s="3" t="str">
        <f>IFERROR(__xludf.DUMMYFUNCTION("GOOGLETRANSLATE(A3245,""en"",""pt"")"),"cavalheiresco")</f>
        <v>cavalheiresco</v>
      </c>
      <c r="B3245" s="3">
        <v>1</v>
      </c>
    </row>
    <row r="3246" ht="15.75" customHeight="1" spans="1:2">
      <c r="A3246" s="3" t="str">
        <f>IFERROR(__xludf.DUMMYFUNCTION("GOOGLETRANSLATE(A3246,""en"",""pt"")"),"cavalheirismo")</f>
        <v>cavalheirismo</v>
      </c>
      <c r="B3246" s="3">
        <v>1</v>
      </c>
    </row>
    <row r="3247" ht="15.75" customHeight="1" spans="1:2">
      <c r="A3247" s="3" t="str">
        <f>IFERROR(__xludf.DUMMYFUNCTION("GOOGLETRANSLATE(A3247,""en"",""pt"")"),"civilidade")</f>
        <v>civilidade</v>
      </c>
      <c r="B3247" s="3">
        <v>1</v>
      </c>
    </row>
    <row r="3248" ht="15.75" customHeight="1" spans="1:2">
      <c r="A3248" s="3" t="str">
        <f>IFERROR(__xludf.DUMMYFUNCTION("GOOGLETRANSLATE(A3248,""en"",""pt"")"),"civilizar")</f>
        <v>civilizar</v>
      </c>
      <c r="B3248" s="3">
        <v>1</v>
      </c>
    </row>
    <row r="3249" ht="15.75" customHeight="1" spans="1:2">
      <c r="A3249" s="3" t="str">
        <f>IFERROR(__xludf.DUMMYFUNCTION("GOOGLETRANSLATE(A3249,""en"",""pt"")"),"clareza")</f>
        <v>clareza</v>
      </c>
      <c r="B3249" s="3">
        <v>1</v>
      </c>
    </row>
    <row r="3250" ht="15.75" customHeight="1" spans="1:2">
      <c r="A3250" s="3" t="str">
        <f>IFERROR(__xludf.DUMMYFUNCTION("GOOGLETRANSLATE(A3250,""en"",""pt"")"),"clássico")</f>
        <v>clássico</v>
      </c>
      <c r="B3250" s="3">
        <v>1</v>
      </c>
    </row>
    <row r="3251" ht="15.75" customHeight="1" spans="1:2">
      <c r="A3251" s="3" t="str">
        <f>IFERROR(__xludf.DUMMYFUNCTION("GOOGLETRANSLATE(A3251,""en"",""pt"")"),"classy")</f>
        <v>classy</v>
      </c>
      <c r="B3251" s="3">
        <v>1</v>
      </c>
    </row>
    <row r="3252" ht="15.75" customHeight="1" spans="1:2">
      <c r="A3252" s="3" t="str">
        <f>IFERROR(__xludf.DUMMYFUNCTION("GOOGLETRANSLATE(A3252,""en"",""pt"")"),"limpar \ limpo")</f>
        <v>limpar \ limpo</v>
      </c>
      <c r="B3252" s="3">
        <v>1</v>
      </c>
    </row>
    <row r="3253" ht="15.75" customHeight="1" spans="1:2">
      <c r="A3253" s="3" t="str">
        <f>IFERROR(__xludf.DUMMYFUNCTION("GOOGLETRANSLATE(A3253,""en"",""pt"")"),"limpador")</f>
        <v>limpador</v>
      </c>
      <c r="B3253" s="3">
        <v>1</v>
      </c>
    </row>
    <row r="3254" ht="15.75" customHeight="1" spans="1:2">
      <c r="A3254" s="3" t="str">
        <f>IFERROR(__xludf.DUMMYFUNCTION("GOOGLETRANSLATE(A3254,""en"",""pt"")"),"mais limpa")</f>
        <v>mais limpa</v>
      </c>
      <c r="B3254" s="3">
        <v>1</v>
      </c>
    </row>
    <row r="3255" ht="15.75" customHeight="1" spans="1:2">
      <c r="A3255" s="3" t="str">
        <f>IFERROR(__xludf.DUMMYFUNCTION("GOOGLETRANSLATE(A3255,""en"",""pt"")"),"limpeza")</f>
        <v>limpeza</v>
      </c>
      <c r="B3255" s="3">
        <v>1</v>
      </c>
    </row>
    <row r="3256" ht="15.75" customHeight="1" spans="1:2">
      <c r="A3256" s="3" t="str">
        <f>IFERROR(__xludf.DUMMYFUNCTION("GOOGLETRANSLATE(A3256,""en"",""pt"")"),"limpo")</f>
        <v>limpo</v>
      </c>
      <c r="B3256" s="3">
        <v>1</v>
      </c>
    </row>
    <row r="3257" ht="15.75" customHeight="1" spans="1:2">
      <c r="A3257" s="3" t="str">
        <f>IFERROR(__xludf.DUMMYFUNCTION("GOOGLETRANSLATE(A3257,""en"",""pt"")"),"Claro")</f>
        <v>Claro</v>
      </c>
      <c r="B3257" s="3">
        <v>1</v>
      </c>
    </row>
    <row r="3258" ht="15.75" customHeight="1" spans="1:2">
      <c r="A3258" s="3" t="str">
        <f>IFERROR(__xludf.DUMMYFUNCTION("GOOGLETRANSLATE(A3258,""en"",""pt"")"),"clara")</f>
        <v>clara</v>
      </c>
      <c r="B3258" s="3">
        <v>1</v>
      </c>
    </row>
    <row r="3259" ht="15.75" customHeight="1" spans="1:2">
      <c r="A3259" s="3" t="str">
        <f>IFERROR(__xludf.DUMMYFUNCTION("GOOGLETRANSLATE(A3259,""en"",""pt"")"),"apuradas")</f>
        <v>apuradas</v>
      </c>
      <c r="B3259" s="3">
        <v>1</v>
      </c>
    </row>
    <row r="3260" ht="15.75" customHeight="1" spans="1:2">
      <c r="A3260" s="3" t="str">
        <f>IFERROR(__xludf.DUMMYFUNCTION("GOOGLETRANSLATE(A3260,""en"",""pt"")"),"mais clara")</f>
        <v>mais clara</v>
      </c>
      <c r="B3260" s="3">
        <v>1</v>
      </c>
    </row>
    <row r="3261" ht="15.75" customHeight="1" spans="1:2">
      <c r="A3261" s="3" t="str">
        <f>IFERROR(__xludf.DUMMYFUNCTION("GOOGLETRANSLATE(A3261,""en"",""pt"")"),"claramente")</f>
        <v>claramente</v>
      </c>
      <c r="B3261" s="3">
        <v>1</v>
      </c>
    </row>
    <row r="3262" ht="15.75" customHeight="1" spans="1:2">
      <c r="A3262" s="3" t="str">
        <f>IFERROR(__xludf.DUMMYFUNCTION("GOOGLETRANSLATE(A3262,""en"",""pt"")"),"limpa")</f>
        <v>limpa</v>
      </c>
      <c r="B3262" s="3">
        <v>1</v>
      </c>
    </row>
    <row r="3263" ht="15.75" customHeight="1" spans="1:2">
      <c r="A3263" s="3" t="str">
        <f>IFERROR(__xludf.DUMMYFUNCTION("GOOGLETRANSLATE(A3263,""en"",""pt"")"),"inteligente")</f>
        <v>inteligente</v>
      </c>
      <c r="B3263" s="3">
        <v>1</v>
      </c>
    </row>
    <row r="3264" ht="15.75" customHeight="1" spans="1:2">
      <c r="A3264" s="3" t="str">
        <f>IFERROR(__xludf.DUMMYFUNCTION("GOOGLETRANSLATE(A3264,""en"",""pt"")"),"inteligentemente")</f>
        <v>inteligentemente</v>
      </c>
      <c r="B3264" s="3">
        <v>1</v>
      </c>
    </row>
    <row r="3265" ht="15.75" customHeight="1" spans="1:2">
      <c r="A3265" s="3" t="str">
        <f>IFERROR(__xludf.DUMMYFUNCTION("GOOGLETRANSLATE(A3265,""en"",""pt"")"),"apegar-se")</f>
        <v>apegar-se</v>
      </c>
      <c r="B3265" s="3">
        <v>1</v>
      </c>
    </row>
    <row r="3266" ht="15.75" customHeight="1" spans="1:2">
      <c r="A3266" s="3" t="str">
        <f>IFERROR(__xludf.DUMMYFUNCTION("GOOGLETRANSLATE(A3266,""en"",""pt"")"),"coerência")</f>
        <v>coerência</v>
      </c>
      <c r="B3266" s="3">
        <v>1</v>
      </c>
    </row>
    <row r="3267" ht="15.75" customHeight="1" spans="1:2">
      <c r="A3267" s="3" t="str">
        <f>IFERROR(__xludf.DUMMYFUNCTION("GOOGLETRANSLATE(A3267,""en"",""pt"")"),"coerente")</f>
        <v>coerente</v>
      </c>
      <c r="B3267" s="3">
        <v>1</v>
      </c>
    </row>
    <row r="3268" ht="15.75" customHeight="1" spans="1:2">
      <c r="A3268" s="3" t="str">
        <f>IFERROR(__xludf.DUMMYFUNCTION("GOOGLETRANSLATE(A3268,""en"",""pt"")"),"coeso")</f>
        <v>coeso</v>
      </c>
      <c r="B3268" s="3">
        <v>1</v>
      </c>
    </row>
    <row r="3269" ht="15.75" customHeight="1" spans="1:2">
      <c r="A3269" s="3" t="str">
        <f>IFERROR(__xludf.DUMMYFUNCTION("GOOGLETRANSLATE(A3269,""en"",""pt"")"),"colorida")</f>
        <v>colorida</v>
      </c>
      <c r="B3269" s="3">
        <v>1</v>
      </c>
    </row>
    <row r="3270" ht="15.75" customHeight="1" spans="1:2">
      <c r="A3270" s="3" t="str">
        <f>IFERROR(__xludf.DUMMYFUNCTION("GOOGLETRANSLATE(A3270,""en"",""pt"")"),"gracioso")</f>
        <v>gracioso</v>
      </c>
      <c r="B3270" s="3">
        <v>1</v>
      </c>
    </row>
    <row r="3271" ht="15.75" customHeight="1" spans="1:2">
      <c r="A3271" s="3" t="str">
        <f>IFERROR(__xludf.DUMMYFUNCTION("GOOGLETRANSLATE(A3271,""en"",""pt"")"),"conforto")</f>
        <v>conforto</v>
      </c>
      <c r="B3271" s="3">
        <v>1</v>
      </c>
    </row>
    <row r="3272" ht="15.75" customHeight="1" spans="1:2">
      <c r="A3272" s="3" t="str">
        <f>IFERROR(__xludf.DUMMYFUNCTION("GOOGLETRANSLATE(A3272,""en"",""pt"")"),"confortável")</f>
        <v>confortável</v>
      </c>
      <c r="B3272" s="3">
        <v>1</v>
      </c>
    </row>
    <row r="3273" ht="15.75" customHeight="1" spans="1:2">
      <c r="A3273" s="3" t="str">
        <f>IFERROR(__xludf.DUMMYFUNCTION("GOOGLETRANSLATE(A3273,""en"",""pt"")"),"confortavelmente")</f>
        <v>confortavelmente</v>
      </c>
      <c r="B3273" s="3">
        <v>1</v>
      </c>
    </row>
    <row r="3274" ht="15.75" customHeight="1" spans="1:2">
      <c r="A3274" s="3" t="str">
        <f>IFERROR(__xludf.DUMMYFUNCTION("GOOGLETRANSLATE(A3274,""en"",""pt"")"),"reconfortante")</f>
        <v>reconfortante</v>
      </c>
      <c r="B3274" s="3">
        <v>1</v>
      </c>
    </row>
    <row r="3275" ht="15.75" customHeight="1" spans="1:2">
      <c r="A3275" s="3" t="str">
        <f>IFERROR(__xludf.DUMMYFUNCTION("GOOGLETRANSLATE(A3275,""en"",""pt"")"),"confortável")</f>
        <v>confortável</v>
      </c>
      <c r="B3275" s="3">
        <v>1</v>
      </c>
    </row>
    <row r="3276" ht="15.75" customHeight="1" spans="1:2">
      <c r="A3276" s="3" t="str">
        <f>IFERROR(__xludf.DUMMYFUNCTION("GOOGLETRANSLATE(A3276,""en"",""pt"")"),"commend")</f>
        <v>commend</v>
      </c>
      <c r="B3276" s="3">
        <v>1</v>
      </c>
    </row>
    <row r="3277" ht="15.75" customHeight="1" spans="1:2">
      <c r="A3277" s="3" t="str">
        <f>IFERROR(__xludf.DUMMYFUNCTION("GOOGLETRANSLATE(A3277,""en"",""pt"")"),"louvável")</f>
        <v>louvável</v>
      </c>
      <c r="B3277" s="3">
        <v>1</v>
      </c>
    </row>
    <row r="3278" ht="15.75" customHeight="1" spans="1:2">
      <c r="A3278" s="3" t="str">
        <f>IFERROR(__xludf.DUMMYFUNCTION("GOOGLETRANSLATE(A3278,""en"",""pt"")"),"louvavelmente")</f>
        <v>louvavelmente</v>
      </c>
      <c r="B3278" s="3">
        <v>1</v>
      </c>
    </row>
    <row r="3279" ht="15.75" customHeight="1" spans="1:2">
      <c r="A3279" s="3" t="str">
        <f>IFERROR(__xludf.DUMMYFUNCTION("GOOGLETRANSLATE(A3279,""en"",""pt"")"),"comprometimento")</f>
        <v>comprometimento</v>
      </c>
      <c r="B3279" s="3">
        <v>1</v>
      </c>
    </row>
    <row r="3280" ht="15.75" customHeight="1" spans="1:2">
      <c r="A3280" s="3" t="str">
        <f>IFERROR(__xludf.DUMMYFUNCTION("GOOGLETRANSLATE(A3280,""en"",""pt"")"),"espaçoso")</f>
        <v>espaçoso</v>
      </c>
      <c r="B3280" s="3">
        <v>1</v>
      </c>
    </row>
    <row r="3281" ht="15.75" customHeight="1" spans="1:2">
      <c r="A3281" s="3" t="str">
        <f>IFERROR(__xludf.DUMMYFUNCTION("GOOGLETRANSLATE(A3281,""en"",""pt"")"),"compactar")</f>
        <v>compactar</v>
      </c>
      <c r="B3281" s="3">
        <v>1</v>
      </c>
    </row>
    <row r="3282" ht="15.75" customHeight="1" spans="1:2">
      <c r="A3282" s="3" t="str">
        <f>IFERROR(__xludf.DUMMYFUNCTION("GOOGLETRANSLATE(A3282,""en"",""pt"")"),"compacta")</f>
        <v>compacta</v>
      </c>
      <c r="B3282" s="3">
        <v>1</v>
      </c>
    </row>
    <row r="3283" ht="15.75" customHeight="1" spans="1:2">
      <c r="A3283" s="3" t="str">
        <f>IFERROR(__xludf.DUMMYFUNCTION("GOOGLETRANSLATE(A3283,""en"",""pt"")"),"compaixão")</f>
        <v>compaixão</v>
      </c>
      <c r="B3283" s="3">
        <v>1</v>
      </c>
    </row>
    <row r="3284" ht="15.75" customHeight="1" spans="1:2">
      <c r="A3284" s="3" t="str">
        <f>IFERROR(__xludf.DUMMYFUNCTION("GOOGLETRANSLATE(A3284,""en"",""pt"")"),"compassivo")</f>
        <v>compassivo</v>
      </c>
      <c r="B3284" s="3">
        <v>1</v>
      </c>
    </row>
    <row r="3285" ht="15.75" customHeight="1" spans="1:2">
      <c r="A3285" s="3" t="str">
        <f>IFERROR(__xludf.DUMMYFUNCTION("GOOGLETRANSLATE(A3285,""en"",""pt"")"),"compatível")</f>
        <v>compatível</v>
      </c>
      <c r="B3285" s="3">
        <v>1</v>
      </c>
    </row>
    <row r="3286" ht="15.75" customHeight="1" spans="1:2">
      <c r="A3286" s="3" t="str">
        <f>IFERROR(__xludf.DUMMYFUNCTION("GOOGLETRANSLATE(A3286,""en"",""pt"")"),"competitivo")</f>
        <v>competitivo</v>
      </c>
      <c r="B3286" s="3">
        <v>1</v>
      </c>
    </row>
    <row r="3287" ht="15.75" customHeight="1" spans="1:2">
      <c r="A3287" s="3" t="str">
        <f>IFERROR(__xludf.DUMMYFUNCTION("GOOGLETRANSLATE(A3287,""en"",""pt"")"),"complemento")</f>
        <v>complemento</v>
      </c>
      <c r="B3287" s="3">
        <v>1</v>
      </c>
    </row>
    <row r="3288" ht="15.75" customHeight="1" spans="1:2">
      <c r="A3288" s="3" t="str">
        <f>IFERROR(__xludf.DUMMYFUNCTION("GOOGLETRANSLATE(A3288,""en"",""pt"")"),"complementar")</f>
        <v>complementar</v>
      </c>
      <c r="B3288" s="3">
        <v>1</v>
      </c>
    </row>
    <row r="3289" ht="15.75" customHeight="1" spans="1:2">
      <c r="A3289" s="3" t="str">
        <f>IFERROR(__xludf.DUMMYFUNCTION("GOOGLETRANSLATE(A3289,""en"",""pt"")"),"complementadas")</f>
        <v>complementadas</v>
      </c>
      <c r="B3289" s="3">
        <v>1</v>
      </c>
    </row>
    <row r="3290" ht="15.75" customHeight="1" spans="1:2">
      <c r="A3290" s="3" t="str">
        <f>IFERROR(__xludf.DUMMYFUNCTION("GOOGLETRANSLATE(A3290,""en"",""pt"")"),"complementos")</f>
        <v>complementos</v>
      </c>
      <c r="B3290" s="3">
        <v>1</v>
      </c>
    </row>
    <row r="3291" ht="15.75" customHeight="1" spans="1:2">
      <c r="A3291" s="3" t="str">
        <f>IFERROR(__xludf.DUMMYFUNCTION("GOOGLETRANSLATE(A3291,""en"",""pt"")"),"complacente")</f>
        <v>complacente</v>
      </c>
      <c r="B3291" s="3">
        <v>1</v>
      </c>
    </row>
    <row r="3292" ht="15.75" customHeight="1" spans="1:2">
      <c r="A3292" s="3" t="str">
        <f>IFERROR(__xludf.DUMMYFUNCTION("GOOGLETRANSLATE(A3292,""en"",""pt"")"),"elogio")</f>
        <v>elogio</v>
      </c>
      <c r="B3292" s="3">
        <v>1</v>
      </c>
    </row>
    <row r="3293" ht="15.75" customHeight="1" spans="1:2">
      <c r="A3293" s="3" t="str">
        <f>IFERROR(__xludf.DUMMYFUNCTION("GOOGLETRANSLATE(A3293,""en"",""pt"")"),"cortesia")</f>
        <v>cortesia</v>
      </c>
      <c r="B3293" s="3">
        <v>1</v>
      </c>
    </row>
    <row r="3294" ht="15.75" customHeight="1" spans="1:2">
      <c r="A3294" s="3" t="str">
        <f>IFERROR(__xludf.DUMMYFUNCTION("GOOGLETRANSLATE(A3294,""en"",""pt"")"),"compreensivo")</f>
        <v>compreensivo</v>
      </c>
      <c r="B3294" s="3">
        <v>1</v>
      </c>
    </row>
    <row r="3295" ht="15.75" customHeight="1" spans="1:2">
      <c r="A3295" s="3" t="str">
        <f>IFERROR(__xludf.DUMMYFUNCTION("GOOGLETRANSLATE(A3295,""en"",""pt"")"),"conciliar")</f>
        <v>conciliar</v>
      </c>
      <c r="B3295" s="3">
        <v>1</v>
      </c>
    </row>
    <row r="3296" ht="15.75" customHeight="1" spans="1:2">
      <c r="A3296" s="3" t="str">
        <f>IFERROR(__xludf.DUMMYFUNCTION("GOOGLETRANSLATE(A3296,""en"",""pt"")"),"conciliador")</f>
        <v>conciliador</v>
      </c>
      <c r="B3296" s="3">
        <v>1</v>
      </c>
    </row>
    <row r="3297" ht="15.75" customHeight="1" spans="1:2">
      <c r="A3297" s="3" t="str">
        <f>IFERROR(__xludf.DUMMYFUNCTION("GOOGLETRANSLATE(A3297,""en"",""pt"")"),"conciso")</f>
        <v>conciso</v>
      </c>
      <c r="B3297" s="3">
        <v>1</v>
      </c>
    </row>
    <row r="3298" ht="15.75" customHeight="1" spans="1:2">
      <c r="A3298" s="3" t="str">
        <f>IFERROR(__xludf.DUMMYFUNCTION("GOOGLETRANSLATE(A3298,""en"",""pt"")"),"confiança")</f>
        <v>confiança</v>
      </c>
      <c r="B3298" s="3">
        <v>1</v>
      </c>
    </row>
    <row r="3299" ht="15.75" customHeight="1" spans="1:2">
      <c r="A3299" s="3" t="str">
        <f>IFERROR(__xludf.DUMMYFUNCTION("GOOGLETRANSLATE(A3299,""en"",""pt"")"),"confiante")</f>
        <v>confiante</v>
      </c>
      <c r="B3299" s="3">
        <v>1</v>
      </c>
    </row>
    <row r="3300" ht="15.75" customHeight="1" spans="1:2">
      <c r="A3300" s="3" t="str">
        <f>IFERROR(__xludf.DUMMYFUNCTION("GOOGLETRANSLATE(A3300,""en"",""pt"")"),"agradável")</f>
        <v>agradável</v>
      </c>
      <c r="B3300" s="3">
        <v>1</v>
      </c>
    </row>
    <row r="3301" ht="15.75" customHeight="1" spans="1:2">
      <c r="A3301" s="3" t="str">
        <f>IFERROR(__xludf.DUMMYFUNCTION("GOOGLETRANSLATE(A3301,""en"",""pt"")"),"felicitar")</f>
        <v>felicitar</v>
      </c>
      <c r="B3301" s="3">
        <v>1</v>
      </c>
    </row>
    <row r="3302" ht="15.75" customHeight="1" spans="1:2">
      <c r="A3302" s="3" t="str">
        <f>IFERROR(__xludf.DUMMYFUNCTION("GOOGLETRANSLATE(A3302,""en"",""pt"")"),"congratulação")</f>
        <v>congratulação</v>
      </c>
      <c r="B3302" s="3">
        <v>1</v>
      </c>
    </row>
    <row r="3303" ht="15.75" customHeight="1" spans="1:2">
      <c r="A3303" s="3" t="str">
        <f>IFERROR(__xludf.DUMMYFUNCTION("GOOGLETRANSLATE(A3303,""en"",""pt"")"),"Parabéns")</f>
        <v>Parabéns</v>
      </c>
      <c r="B3303" s="3">
        <v>1</v>
      </c>
    </row>
    <row r="3304" ht="15.75" customHeight="1" spans="1:2">
      <c r="A3304" s="3" t="str">
        <f>IFERROR(__xludf.DUMMYFUNCTION("GOOGLETRANSLATE(A3304,""en"",""pt"")"),"congratulatório")</f>
        <v>congratulatório</v>
      </c>
      <c r="B3304" s="3">
        <v>1</v>
      </c>
    </row>
    <row r="3305" ht="15.75" customHeight="1" spans="1:2">
      <c r="A3305" s="3" t="str">
        <f>IFERROR(__xludf.DUMMYFUNCTION("GOOGLETRANSLATE(A3305,""en"",""pt"")"),"consciencioso")</f>
        <v>consciencioso</v>
      </c>
      <c r="B3305" s="3">
        <v>1</v>
      </c>
    </row>
    <row r="3306" ht="15.75" customHeight="1" spans="1:2">
      <c r="A3306" s="3" t="str">
        <f>IFERROR(__xludf.DUMMYFUNCTION("GOOGLETRANSLATE(A3306,""en"",""pt"")"),"atencioso")</f>
        <v>atencioso</v>
      </c>
      <c r="B3306" s="3">
        <v>1</v>
      </c>
    </row>
    <row r="3307" ht="15.75" customHeight="1" spans="1:2">
      <c r="A3307" s="3" t="str">
        <f>IFERROR(__xludf.DUMMYFUNCTION("GOOGLETRANSLATE(A3307,""en"",""pt"")"),"consistente")</f>
        <v>consistente</v>
      </c>
      <c r="B3307" s="3">
        <v>1</v>
      </c>
    </row>
    <row r="3308" ht="15.75" customHeight="1" spans="1:2">
      <c r="A3308" s="3" t="str">
        <f>IFERROR(__xludf.DUMMYFUNCTION("GOOGLETRANSLATE(A3308,""en"",""pt"")"),"consistentemente")</f>
        <v>consistentemente</v>
      </c>
      <c r="B3308" s="3">
        <v>1</v>
      </c>
    </row>
    <row r="3309" ht="15.75" customHeight="1" spans="1:2">
      <c r="A3309" s="3" t="str">
        <f>IFERROR(__xludf.DUMMYFUNCTION("GOOGLETRANSLATE(A3309,""en"",""pt"")"),"construtivo")</f>
        <v>construtivo</v>
      </c>
      <c r="B3309" s="3">
        <v>1</v>
      </c>
    </row>
    <row r="3310" ht="15.75" customHeight="1" spans="1:2">
      <c r="A3310" s="3" t="str">
        <f>IFERROR(__xludf.DUMMYFUNCTION("GOOGLETRANSLATE(A3310,""en"",""pt"")"),"consumar")</f>
        <v>consumar</v>
      </c>
      <c r="B3310" s="3">
        <v>1</v>
      </c>
    </row>
    <row r="3311" ht="15.75" customHeight="1" spans="1:2">
      <c r="A3311" s="3" t="str">
        <f>IFERROR(__xludf.DUMMYFUNCTION("GOOGLETRANSLATE(A3311,""en"",""pt"")"),"contentamento")</f>
        <v>contentamento</v>
      </c>
      <c r="B3311" s="3">
        <v>1</v>
      </c>
    </row>
    <row r="3312" ht="15.75" customHeight="1" spans="1:2">
      <c r="A3312" s="3" t="str">
        <f>IFERROR(__xludf.DUMMYFUNCTION("GOOGLETRANSLATE(A3312,""en"",""pt"")"),"continuidade")</f>
        <v>continuidade</v>
      </c>
      <c r="B3312" s="3">
        <v>1</v>
      </c>
    </row>
    <row r="3313" ht="15.75" customHeight="1" spans="1:2">
      <c r="A3313" s="3" t="str">
        <f>IFERROR(__xludf.DUMMYFUNCTION("GOOGLETRANSLATE(A3313,""en"",""pt"")"),"contrasty")</f>
        <v>contrasty</v>
      </c>
      <c r="B3313" s="3">
        <v>1</v>
      </c>
    </row>
    <row r="3314" ht="15.75" customHeight="1" spans="1:2">
      <c r="A3314" s="3" t="str">
        <f>IFERROR(__xludf.DUMMYFUNCTION("GOOGLETRANSLATE(A3314,""en"",""pt"")"),"contribuição")</f>
        <v>contribuição</v>
      </c>
      <c r="B3314" s="3">
        <v>1</v>
      </c>
    </row>
    <row r="3315" ht="15.75" customHeight="1" spans="1:2">
      <c r="A3315" s="3" t="str">
        <f>IFERROR(__xludf.DUMMYFUNCTION("GOOGLETRANSLATE(A3315,""en"",""pt"")"),"conveniência")</f>
        <v>conveniência</v>
      </c>
      <c r="B3315" s="3">
        <v>1</v>
      </c>
    </row>
    <row r="3316" ht="15.75" customHeight="1" spans="1:2">
      <c r="A3316" s="3" t="str">
        <f>IFERROR(__xludf.DUMMYFUNCTION("GOOGLETRANSLATE(A3316,""en"",""pt"")"),"conveniente")</f>
        <v>conveniente</v>
      </c>
      <c r="B3316" s="3">
        <v>1</v>
      </c>
    </row>
    <row r="3317" ht="15.75" customHeight="1" spans="1:2">
      <c r="A3317" s="3" t="str">
        <f>IFERROR(__xludf.DUMMYFUNCTION("GOOGLETRANSLATE(A3317,""en"",""pt"")"),"convenientemente")</f>
        <v>convenientemente</v>
      </c>
      <c r="B3317" s="3">
        <v>1</v>
      </c>
    </row>
    <row r="3318" ht="15.75" customHeight="1" spans="1:2">
      <c r="A3318" s="3" t="str">
        <f>IFERROR(__xludf.DUMMYFUNCTION("GOOGLETRANSLATE(A3318,""en"",""pt"")"),"convience")</f>
        <v>convience</v>
      </c>
      <c r="B3318" s="3">
        <v>1</v>
      </c>
    </row>
    <row r="3319" ht="15.75" customHeight="1" spans="1:2">
      <c r="A3319" s="3" t="str">
        <f>IFERROR(__xludf.DUMMYFUNCTION("GOOGLETRANSLATE(A3319,""en"",""pt"")"),"convienient")</f>
        <v>convienient</v>
      </c>
      <c r="B3319" s="3">
        <v>1</v>
      </c>
    </row>
    <row r="3320" ht="15.75" customHeight="1" spans="1:2">
      <c r="A3320" s="3" t="str">
        <f>IFERROR(__xludf.DUMMYFUNCTION("GOOGLETRANSLATE(A3320,""en"",""pt"")"),"convient")</f>
        <v>convient</v>
      </c>
      <c r="B3320" s="3">
        <v>1</v>
      </c>
    </row>
    <row r="3321" ht="15.75" customHeight="1" spans="1:2">
      <c r="A3321" s="3" t="str">
        <f>IFERROR(__xludf.DUMMYFUNCTION("GOOGLETRANSLATE(A3321,""en"",""pt"")"),"convincente")</f>
        <v>convincente</v>
      </c>
      <c r="B3321" s="3">
        <v>1</v>
      </c>
    </row>
    <row r="3322" ht="15.75" customHeight="1" spans="1:2">
      <c r="A3322" s="3" t="str">
        <f>IFERROR(__xludf.DUMMYFUNCTION("GOOGLETRANSLATE(A3322,""en"",""pt"")"),"convincentemente")</f>
        <v>convincentemente</v>
      </c>
      <c r="B3322" s="3">
        <v>1</v>
      </c>
    </row>
    <row r="3323" ht="15.75" customHeight="1" spans="1:2">
      <c r="A3323" s="3" t="str">
        <f>IFERROR(__xludf.DUMMYFUNCTION("GOOGLETRANSLATE(A3323,""en"",""pt"")"),"legal")</f>
        <v>legal</v>
      </c>
      <c r="B3323" s="3">
        <v>1</v>
      </c>
    </row>
    <row r="3324" ht="15.75" customHeight="1" spans="1:2">
      <c r="A3324" s="3" t="str">
        <f>IFERROR(__xludf.DUMMYFUNCTION("GOOGLETRANSLATE(A3324,""en"",""pt"")"),"mais legal")</f>
        <v>mais legal</v>
      </c>
      <c r="B3324" s="3">
        <v>1</v>
      </c>
    </row>
    <row r="3325" ht="15.75" customHeight="1" spans="1:2">
      <c r="A3325" s="3" t="str">
        <f>IFERROR(__xludf.DUMMYFUNCTION("GOOGLETRANSLATE(A3325,""en"",""pt"")"),"cooperativo")</f>
        <v>cooperativo</v>
      </c>
      <c r="B3325" s="3">
        <v>1</v>
      </c>
    </row>
    <row r="3326" ht="15.75" customHeight="1" spans="1:2">
      <c r="A3326" s="3" t="str">
        <f>IFERROR(__xludf.DUMMYFUNCTION("GOOGLETRANSLATE(A3326,""en"",""pt"")"),"cooperativamente")</f>
        <v>cooperativamente</v>
      </c>
      <c r="B3326" s="3">
        <v>1</v>
      </c>
    </row>
    <row r="3327" ht="15.75" customHeight="1" spans="1:2">
      <c r="A3327" s="3" t="str">
        <f>IFERROR(__xludf.DUMMYFUNCTION("GOOGLETRANSLATE(A3327,""en"",""pt"")"),"Pilar")</f>
        <v>Pilar</v>
      </c>
      <c r="B3327" s="3">
        <v>1</v>
      </c>
    </row>
    <row r="3328" ht="15.75" customHeight="1" spans="1:2">
      <c r="A3328" s="3" t="str">
        <f>IFERROR(__xludf.DUMMYFUNCTION("GOOGLETRANSLATE(A3328,""en"",""pt"")"),"corrigir")</f>
        <v>corrigir</v>
      </c>
      <c r="B3328" s="3">
        <v>1</v>
      </c>
    </row>
    <row r="3329" ht="15.75" customHeight="1" spans="1:2">
      <c r="A3329" s="3" t="str">
        <f>IFERROR(__xludf.DUMMYFUNCTION("GOOGLETRANSLATE(A3329,""en"",""pt"")"),"corretamente")</f>
        <v>corretamente</v>
      </c>
      <c r="B3329" s="3">
        <v>1</v>
      </c>
    </row>
    <row r="3330" ht="15.75" customHeight="1" spans="1:2">
      <c r="A3330" s="3" t="str">
        <f>IFERROR(__xludf.DUMMYFUNCTION("GOOGLETRANSLATE(A3330,""en"",""pt"")"),"económicamente viáveis")</f>
        <v>económicamente viáveis</v>
      </c>
      <c r="B3330" s="3">
        <v>1</v>
      </c>
    </row>
    <row r="3331" ht="15.75" customHeight="1" spans="1:2">
      <c r="A3331" s="3" t="str">
        <f>IFERROR(__xludf.DUMMYFUNCTION("GOOGLETRANSLATE(A3331,""en"",""pt"")"),"economia de custo")</f>
        <v>economia de custo</v>
      </c>
      <c r="B3331" s="3">
        <v>1</v>
      </c>
    </row>
    <row r="3332" ht="15.75" customHeight="1" spans="1:2">
      <c r="A3332" s="3" t="str">
        <f>IFERROR(__xludf.DUMMYFUNCTION("GOOGLETRANSLATE(A3332,""en"",""pt"")"),"contra ataque")</f>
        <v>contra ataque</v>
      </c>
      <c r="B3332" s="3">
        <v>1</v>
      </c>
    </row>
    <row r="3333" ht="15.75" customHeight="1" spans="1:2">
      <c r="A3333" s="3" t="str">
        <f>IFERROR(__xludf.DUMMYFUNCTION("GOOGLETRANSLATE(A3333,""en"",""pt"")"),"contra-ataques")</f>
        <v>contra-ataques</v>
      </c>
      <c r="B3333" s="3">
        <v>1</v>
      </c>
    </row>
    <row r="3334" ht="15.75" customHeight="1" spans="1:2">
      <c r="A3334" s="3" t="str">
        <f>IFERROR(__xludf.DUMMYFUNCTION("GOOGLETRANSLATE(A3334,""en"",""pt"")"),"coragem")</f>
        <v>coragem</v>
      </c>
      <c r="B3334" s="3">
        <v>1</v>
      </c>
    </row>
    <row r="3335" ht="15.75" customHeight="1" spans="1:2">
      <c r="A3335" s="3" t="str">
        <f>IFERROR(__xludf.DUMMYFUNCTION("GOOGLETRANSLATE(A3335,""en"",""pt"")"),"corajoso")</f>
        <v>corajoso</v>
      </c>
      <c r="B3335" s="3">
        <v>1</v>
      </c>
    </row>
    <row r="3336" ht="15.75" customHeight="1" spans="1:2">
      <c r="A3336" s="3" t="str">
        <f>IFERROR(__xludf.DUMMYFUNCTION("GOOGLETRANSLATE(A3336,""en"",""pt"")"),"corajosamente")</f>
        <v>corajosamente</v>
      </c>
      <c r="B3336" s="3">
        <v>1</v>
      </c>
    </row>
    <row r="3337" ht="15.75" customHeight="1" spans="1:2">
      <c r="A3337" s="3" t="str">
        <f>IFERROR(__xludf.DUMMYFUNCTION("GOOGLETRANSLATE(A3337,""en"",""pt"")"),"courageousness")</f>
        <v>courageousness</v>
      </c>
      <c r="B3337" s="3">
        <v>1</v>
      </c>
    </row>
    <row r="3338" ht="15.75" customHeight="1" spans="1:2">
      <c r="A3338" s="3" t="str">
        <f>IFERROR(__xludf.DUMMYFUNCTION("GOOGLETRANSLATE(A3338,""en"",""pt"")"),"cortês")</f>
        <v>cortês</v>
      </c>
      <c r="B3338" s="3">
        <v>1</v>
      </c>
    </row>
    <row r="3339" ht="15.75" customHeight="1" spans="1:2">
      <c r="A3339" s="3" t="str">
        <f>IFERROR(__xludf.DUMMYFUNCTION("GOOGLETRANSLATE(A3339,""en"",""pt"")"),"polido")</f>
        <v>polido</v>
      </c>
      <c r="B3339" s="3">
        <v>1</v>
      </c>
    </row>
    <row r="3340" ht="15.75" customHeight="1" spans="1:2">
      <c r="A3340" s="3" t="str">
        <f>IFERROR(__xludf.DUMMYFUNCTION("GOOGLETRANSLATE(A3340,""en"",""pt"")"),"pacto")</f>
        <v>pacto</v>
      </c>
      <c r="B3340" s="3">
        <v>1</v>
      </c>
    </row>
    <row r="3341" ht="15.75" customHeight="1" spans="1:2">
      <c r="A3341" s="3" t="str">
        <f>IFERROR(__xludf.DUMMYFUNCTION("GOOGLETRANSLATE(A3341,""en"",""pt"")"),"acolhedor")</f>
        <v>acolhedor</v>
      </c>
      <c r="B3341" s="3">
        <v>1</v>
      </c>
    </row>
    <row r="3342" ht="15.75" customHeight="1" spans="1:2">
      <c r="A3342" s="3" t="str">
        <f>IFERROR(__xludf.DUMMYFUNCTION("GOOGLETRANSLATE(A3342,""en"",""pt"")"),"criativo")</f>
        <v>criativo</v>
      </c>
      <c r="B3342" s="3">
        <v>1</v>
      </c>
    </row>
    <row r="3343" ht="15.75" customHeight="1" spans="1:2">
      <c r="A3343" s="3" t="str">
        <f>IFERROR(__xludf.DUMMYFUNCTION("GOOGLETRANSLATE(A3343,""en"",""pt"")"),"crédito")</f>
        <v>crédito</v>
      </c>
      <c r="B3343" s="3">
        <v>1</v>
      </c>
    </row>
    <row r="3344" ht="15.75" customHeight="1" spans="1:2">
      <c r="A3344" s="3" t="str">
        <f>IFERROR(__xludf.DUMMYFUNCTION("GOOGLETRANSLATE(A3344,""en"",""pt"")"),"acreditável")</f>
        <v>acreditável</v>
      </c>
      <c r="B3344" s="3">
        <v>1</v>
      </c>
    </row>
    <row r="3345" ht="15.75" customHeight="1" spans="1:2">
      <c r="A3345" s="3" t="str">
        <f>IFERROR(__xludf.DUMMYFUNCTION("GOOGLETRANSLATE(A3345,""en"",""pt"")"),"batata frita")</f>
        <v>batata frita</v>
      </c>
      <c r="B3345" s="3">
        <v>1</v>
      </c>
    </row>
    <row r="3346" ht="15.75" customHeight="1" spans="1:2">
      <c r="A3346" s="3" t="str">
        <f>IFERROR(__xludf.DUMMYFUNCTION("GOOGLETRANSLATE(A3346,""en"",""pt"")"),"crisper")</f>
        <v>crisper</v>
      </c>
      <c r="B3346" s="3">
        <v>1</v>
      </c>
    </row>
    <row r="3347" ht="15.75" customHeight="1" spans="1:2">
      <c r="A3347" s="3" t="str">
        <f>IFERROR(__xludf.DUMMYFUNCTION("GOOGLETRANSLATE(A3347,""en"",""pt"")"),"cura")</f>
        <v>cura</v>
      </c>
      <c r="B3347" s="3">
        <v>1</v>
      </c>
    </row>
    <row r="3348" ht="15.75" customHeight="1" spans="1:2">
      <c r="A3348" s="3" t="str">
        <f>IFERROR(__xludf.DUMMYFUNCTION("GOOGLETRANSLATE(A3348,""en"",""pt"")"),"cura-tudo")</f>
        <v>cura-tudo</v>
      </c>
      <c r="B3348" s="3">
        <v>1</v>
      </c>
    </row>
    <row r="3349" ht="15.75" customHeight="1" spans="1:2">
      <c r="A3349" s="3" t="str">
        <f>IFERROR(__xludf.DUMMYFUNCTION("GOOGLETRANSLATE(A3349,""en"",""pt"")"),"confortável")</f>
        <v>confortável</v>
      </c>
      <c r="B3349" s="3">
        <v>1</v>
      </c>
    </row>
    <row r="3350" ht="15.75" customHeight="1" spans="1:2">
      <c r="A3350" s="3" t="str">
        <f>IFERROR(__xludf.DUMMYFUNCTION("GOOGLETRANSLATE(A3350,""en"",""pt"")"),"fofa")</f>
        <v>fofa</v>
      </c>
      <c r="B3350" s="3">
        <v>1</v>
      </c>
    </row>
    <row r="3351" ht="15.75" customHeight="1" spans="1:2">
      <c r="A3351" s="3" t="str">
        <f>IFERROR(__xludf.DUMMYFUNCTION("GOOGLETRANSLATE(A3351,""en"",""pt"")"),"fofura")</f>
        <v>fofura</v>
      </c>
      <c r="B3351" s="3">
        <v>1</v>
      </c>
    </row>
    <row r="3352" ht="15.75" customHeight="1" spans="1:2">
      <c r="A3352" s="3" t="str">
        <f>IFERROR(__xludf.DUMMYFUNCTION("GOOGLETRANSLATE(A3352,""en"",""pt"")"),"danke")</f>
        <v>danke</v>
      </c>
      <c r="B3352" s="3">
        <v>1</v>
      </c>
    </row>
    <row r="3353" ht="15.75" customHeight="1" spans="1:2">
      <c r="A3353" s="3" t="str">
        <f>IFERROR(__xludf.DUMMYFUNCTION("GOOGLETRANSLATE(A3353,""en"",""pt"")"),"danken")</f>
        <v>danken</v>
      </c>
      <c r="B3353" s="3">
        <v>1</v>
      </c>
    </row>
    <row r="3354" ht="15.75" customHeight="1" spans="1:2">
      <c r="A3354" s="3" t="str">
        <f>IFERROR(__xludf.DUMMYFUNCTION("GOOGLETRANSLATE(A3354,""en"",""pt"")"),"ousado")</f>
        <v>ousado</v>
      </c>
      <c r="B3354" s="3">
        <v>1</v>
      </c>
    </row>
    <row r="3355" ht="15.75" customHeight="1" spans="1:2">
      <c r="A3355" s="3" t="str">
        <f>IFERROR(__xludf.DUMMYFUNCTION("GOOGLETRANSLATE(A3355,""en"",""pt"")"),"ousadamente")</f>
        <v>ousadamente</v>
      </c>
      <c r="B3355" s="3">
        <v>1</v>
      </c>
    </row>
    <row r="3356" ht="15.75" customHeight="1" spans="1:2">
      <c r="A3356" s="3" t="str">
        <f>IFERROR(__xludf.DUMMYFUNCTION("GOOGLETRANSLATE(A3356,""en"",""pt"")"),"querido")</f>
        <v>querido</v>
      </c>
      <c r="B3356" s="3">
        <v>1</v>
      </c>
    </row>
    <row r="3357" ht="15.75" customHeight="1" spans="1:2">
      <c r="A3357" s="3" t="str">
        <f>IFERROR(__xludf.DUMMYFUNCTION("GOOGLETRANSLATE(A3357,""en"",""pt"")"),"arrojado")</f>
        <v>arrojado</v>
      </c>
      <c r="B3357" s="3">
        <v>1</v>
      </c>
    </row>
    <row r="3358" ht="15.75" customHeight="1" spans="1:2">
      <c r="A3358" s="3" t="str">
        <f>IFERROR(__xludf.DUMMYFUNCTION("GOOGLETRANSLATE(A3358,""en"",""pt"")"),"destemido")</f>
        <v>destemido</v>
      </c>
      <c r="B3358" s="3">
        <v>1</v>
      </c>
    </row>
    <row r="3359" ht="15.75" customHeight="1" spans="1:2">
      <c r="A3359" s="3" t="str">
        <f>IFERROR(__xludf.DUMMYFUNCTION("GOOGLETRANSLATE(A3359,""en"",""pt"")"),"alvorecer")</f>
        <v>alvorecer</v>
      </c>
      <c r="B3359" s="3">
        <v>1</v>
      </c>
    </row>
    <row r="3360" ht="15.75" customHeight="1" spans="1:2">
      <c r="A3360" s="3" t="str">
        <f>IFERROR(__xludf.DUMMYFUNCTION("GOOGLETRANSLATE(A3360,""en"",""pt"")"),"deslumbrar")</f>
        <v>deslumbrar</v>
      </c>
      <c r="B3360" s="3">
        <v>1</v>
      </c>
    </row>
    <row r="3361" ht="15.75" customHeight="1" spans="1:2">
      <c r="A3361" s="3" t="str">
        <f>IFERROR(__xludf.DUMMYFUNCTION("GOOGLETRANSLATE(A3361,""en"",""pt"")"),"deslumbrada")</f>
        <v>deslumbrada</v>
      </c>
      <c r="B3361" s="3">
        <v>1</v>
      </c>
    </row>
    <row r="3362" ht="15.75" customHeight="1" spans="1:2">
      <c r="A3362" s="3" t="str">
        <f>IFERROR(__xludf.DUMMYFUNCTION("GOOGLETRANSLATE(A3362,""en"",""pt"")"),"deslumbrante")</f>
        <v>deslumbrante</v>
      </c>
      <c r="B3362" s="3">
        <v>1</v>
      </c>
    </row>
    <row r="3363" ht="15.75" customHeight="1" spans="1:2">
      <c r="A3363" s="3" t="str">
        <f>IFERROR(__xludf.DUMMYFUNCTION("GOOGLETRANSLATE(A3363,""en"",""pt"")"),"dead-barato")</f>
        <v>dead-barato</v>
      </c>
      <c r="B3363" s="3">
        <v>1</v>
      </c>
    </row>
    <row r="3364" ht="15.75" customHeight="1" spans="1:2">
      <c r="A3364" s="3" t="str">
        <f>IFERROR(__xludf.DUMMYFUNCTION("GOOGLETRANSLATE(A3364,""en"",""pt"")"),"dead-on")</f>
        <v>dead-on</v>
      </c>
      <c r="B3364" s="3">
        <v>1</v>
      </c>
    </row>
    <row r="3365" ht="15.75" customHeight="1" spans="1:2">
      <c r="A3365" s="3" t="str">
        <f>IFERROR(__xludf.DUMMYFUNCTION("GOOGLETRANSLATE(A3365,""en"",""pt"")"),"decência")</f>
        <v>decência</v>
      </c>
      <c r="B3365" s="3">
        <v>1</v>
      </c>
    </row>
    <row r="3366" ht="15.75" customHeight="1" spans="1:2">
      <c r="A3366" s="3" t="str">
        <f>IFERROR(__xludf.DUMMYFUNCTION("GOOGLETRANSLATE(A3366,""en"",""pt"")"),"decente")</f>
        <v>decente</v>
      </c>
      <c r="B3366" s="3">
        <v>1</v>
      </c>
    </row>
    <row r="3367" ht="15.75" customHeight="1" spans="1:2">
      <c r="A3367" s="3" t="str">
        <f>IFERROR(__xludf.DUMMYFUNCTION("GOOGLETRANSLATE(A3367,""en"",""pt"")"),"decisivo")</f>
        <v>decisivo</v>
      </c>
      <c r="B3367" s="3">
        <v>1</v>
      </c>
    </row>
    <row r="3368" ht="15.75" customHeight="1" spans="1:2">
      <c r="A3368" s="3" t="str">
        <f>IFERROR(__xludf.DUMMYFUNCTION("GOOGLETRANSLATE(A3368,""en"",""pt"")"),"decisiveness")</f>
        <v>decisiveness</v>
      </c>
      <c r="B3368" s="3">
        <v>1</v>
      </c>
    </row>
    <row r="3369" ht="15.75" customHeight="1" spans="1:2">
      <c r="A3369" s="3" t="str">
        <f>IFERROR(__xludf.DUMMYFUNCTION("GOOGLETRANSLATE(A3369,""en"",""pt"")"),"dedicada")</f>
        <v>dedicada</v>
      </c>
      <c r="B3369" s="3">
        <v>1</v>
      </c>
    </row>
    <row r="3370" ht="15.75" customHeight="1" spans="1:2">
      <c r="A3370" s="3" t="str">
        <f>IFERROR(__xludf.DUMMYFUNCTION("GOOGLETRANSLATE(A3370,""en"",""pt"")"),"derrota")</f>
        <v>derrota</v>
      </c>
      <c r="B3370" s="3">
        <v>1</v>
      </c>
    </row>
    <row r="3371" ht="15.75" customHeight="1" spans="1:2">
      <c r="A3371" s="3" t="str">
        <f>IFERROR(__xludf.DUMMYFUNCTION("GOOGLETRANSLATE(A3371,""en"",""pt"")"),"derrotado")</f>
        <v>derrotado</v>
      </c>
      <c r="B3371" s="3">
        <v>1</v>
      </c>
    </row>
    <row r="3372" ht="15.75" customHeight="1" spans="1:2">
      <c r="A3372" s="3" t="str">
        <f>IFERROR(__xludf.DUMMYFUNCTION("GOOGLETRANSLATE(A3372,""en"",""pt"")"),"derrotando")</f>
        <v>derrotando</v>
      </c>
      <c r="B3372" s="3">
        <v>1</v>
      </c>
    </row>
    <row r="3373" ht="15.75" customHeight="1" spans="1:2">
      <c r="A3373" s="3" t="str">
        <f>IFERROR(__xludf.DUMMYFUNCTION("GOOGLETRANSLATE(A3373,""en"",""pt"")"),"derrotas")</f>
        <v>derrotas</v>
      </c>
      <c r="B3373" s="3">
        <v>1</v>
      </c>
    </row>
    <row r="3374" ht="15.75" customHeight="1" spans="1:2">
      <c r="A3374" s="3" t="str">
        <f>IFERROR(__xludf.DUMMYFUNCTION("GOOGLETRANSLATE(A3374,""en"",""pt"")"),"defensor")</f>
        <v>defensor</v>
      </c>
      <c r="B3374" s="3">
        <v>1</v>
      </c>
    </row>
    <row r="3375" ht="15.75" customHeight="1" spans="1:2">
      <c r="A3375" s="3" t="str">
        <f>IFERROR(__xludf.DUMMYFUNCTION("GOOGLETRANSLATE(A3375,""en"",""pt"")"),"deferência")</f>
        <v>deferência</v>
      </c>
      <c r="B3375" s="3">
        <v>1</v>
      </c>
    </row>
    <row r="3376" ht="15.75" customHeight="1" spans="1:2">
      <c r="A3376" s="3" t="str">
        <f>IFERROR(__xludf.DUMMYFUNCTION("GOOGLETRANSLATE(A3376,""en"",""pt"")"),"hábil")</f>
        <v>hábil</v>
      </c>
      <c r="B3376" s="3">
        <v>1</v>
      </c>
    </row>
    <row r="3377" ht="15.75" customHeight="1" spans="1:2">
      <c r="A3377" s="3" t="str">
        <f>IFERROR(__xludf.DUMMYFUNCTION("GOOGLETRANSLATE(A3377,""en"",""pt"")"),"deginified")</f>
        <v>deginified</v>
      </c>
      <c r="B3377" s="3">
        <v>1</v>
      </c>
    </row>
    <row r="3378" ht="15.75" customHeight="1" spans="1:2">
      <c r="A3378" s="3" t="str">
        <f>IFERROR(__xludf.DUMMYFUNCTION("GOOGLETRANSLATE(A3378,""en"",""pt"")"),"deleitável")</f>
        <v>deleitável</v>
      </c>
      <c r="B3378" s="3">
        <v>1</v>
      </c>
    </row>
    <row r="3379" ht="15.75" customHeight="1" spans="1:2">
      <c r="A3379" s="3" t="str">
        <f>IFERROR(__xludf.DUMMYFUNCTION("GOOGLETRANSLATE(A3379,""en"",""pt"")"),"delicadeza")</f>
        <v>delicadeza</v>
      </c>
      <c r="B3379" s="3">
        <v>1</v>
      </c>
    </row>
    <row r="3380" ht="15.75" customHeight="1" spans="1:2">
      <c r="A3380" s="3" t="str">
        <f>IFERROR(__xludf.DUMMYFUNCTION("GOOGLETRANSLATE(A3380,""en"",""pt"")"),"delicado")</f>
        <v>delicado</v>
      </c>
      <c r="B3380" s="3">
        <v>1</v>
      </c>
    </row>
    <row r="3381" ht="15.75" customHeight="1" spans="1:2">
      <c r="A3381" s="3" t="str">
        <f>IFERROR(__xludf.DUMMYFUNCTION("GOOGLETRANSLATE(A3381,""en"",""pt"")"),"delicioso")</f>
        <v>delicioso</v>
      </c>
      <c r="B3381" s="3">
        <v>1</v>
      </c>
    </row>
    <row r="3382" ht="15.75" customHeight="1" spans="1:2">
      <c r="A3382" s="3" t="str">
        <f>IFERROR(__xludf.DUMMYFUNCTION("GOOGLETRANSLATE(A3382,""en"",""pt"")"),"deleite")</f>
        <v>deleite</v>
      </c>
      <c r="B3382" s="3">
        <v>1</v>
      </c>
    </row>
    <row r="3383" ht="15.75" customHeight="1" spans="1:2">
      <c r="A3383" s="3" t="str">
        <f>IFERROR(__xludf.DUMMYFUNCTION("GOOGLETRANSLATE(A3383,""en"",""pt"")"),"Deleitado")</f>
        <v>Deleitado</v>
      </c>
      <c r="B3383" s="3">
        <v>1</v>
      </c>
    </row>
    <row r="3384" ht="15.75" customHeight="1" spans="1:2">
      <c r="A3384" s="3" t="str">
        <f>IFERROR(__xludf.DUMMYFUNCTION("GOOGLETRANSLATE(A3384,""en"",""pt"")"),"delicioso")</f>
        <v>delicioso</v>
      </c>
      <c r="B3384" s="3">
        <v>1</v>
      </c>
    </row>
    <row r="3385" ht="15.75" customHeight="1" spans="1:2">
      <c r="A3385" s="3" t="str">
        <f>IFERROR(__xludf.DUMMYFUNCTION("GOOGLETRANSLATE(A3385,""en"",""pt"")"),"deliciosamente")</f>
        <v>deliciosamente</v>
      </c>
      <c r="B3385" s="3">
        <v>1</v>
      </c>
    </row>
    <row r="3386" ht="15.75" customHeight="1" spans="1:2">
      <c r="A3386" s="3" t="str">
        <f>IFERROR(__xludf.DUMMYFUNCTION("GOOGLETRANSLATE(A3386,""en"",""pt"")"),"deleites")</f>
        <v>deleites</v>
      </c>
      <c r="B3386" s="3">
        <v>1</v>
      </c>
    </row>
    <row r="3387" ht="15.75" customHeight="1" spans="1:2">
      <c r="A3387" s="3" t="str">
        <f>IFERROR(__xludf.DUMMYFUNCTION("GOOGLETRANSLATE(A3387,""en"",""pt"")"),"seguro")</f>
        <v>seguro</v>
      </c>
      <c r="B3387" s="3">
        <v>1</v>
      </c>
    </row>
    <row r="3388" ht="15.75" customHeight="1" spans="1:2">
      <c r="A3388" s="3" t="str">
        <f>IFERROR(__xludf.DUMMYFUNCTION("GOOGLETRANSLATE(A3388,""en"",""pt"")"),"dependably")</f>
        <v>dependably</v>
      </c>
      <c r="B3388" s="3">
        <v>1</v>
      </c>
    </row>
    <row r="3389" ht="15.75" customHeight="1" spans="1:2">
      <c r="A3389" s="3" t="str">
        <f>IFERROR(__xludf.DUMMYFUNCTION("GOOGLETRANSLATE(A3389,""en"",""pt"")"),"merecidamente")</f>
        <v>merecidamente</v>
      </c>
      <c r="B3389" s="3">
        <v>1</v>
      </c>
    </row>
    <row r="3390" ht="15.75" customHeight="1" spans="1:2">
      <c r="A3390" s="3" t="str">
        <f>IFERROR(__xludf.DUMMYFUNCTION("GOOGLETRANSLATE(A3390,""en"",""pt"")"),"merecimento")</f>
        <v>merecimento</v>
      </c>
      <c r="B3390" s="3">
        <v>1</v>
      </c>
    </row>
    <row r="3391" ht="15.75" customHeight="1" spans="1:2">
      <c r="A3391" s="3" t="str">
        <f>IFERROR(__xludf.DUMMYFUNCTION("GOOGLETRANSLATE(A3391,""en"",""pt"")"),"desejável")</f>
        <v>desejável</v>
      </c>
      <c r="B3391" s="3">
        <v>1</v>
      </c>
    </row>
    <row r="3392" ht="15.75" customHeight="1" spans="1:2">
      <c r="A3392" s="3" t="str">
        <f>IFERROR(__xludf.DUMMYFUNCTION("GOOGLETRANSLATE(A3392,""en"",""pt"")"),"desejante")</f>
        <v>desejante</v>
      </c>
      <c r="B3392" s="3">
        <v>1</v>
      </c>
    </row>
    <row r="3393" ht="15.75" customHeight="1" spans="1:2">
      <c r="A3393" s="3" t="str">
        <f>IFERROR(__xludf.DUMMYFUNCTION("GOOGLETRANSLATE(A3393,""en"",""pt"")"),"desejoso")</f>
        <v>desejoso</v>
      </c>
      <c r="B3393" s="3">
        <v>1</v>
      </c>
    </row>
    <row r="3394" ht="15.75" customHeight="1" spans="1:2">
      <c r="A3394" s="3" t="str">
        <f>IFERROR(__xludf.DUMMYFUNCTION("GOOGLETRANSLATE(A3394,""en"",""pt"")"),"destino")</f>
        <v>destino</v>
      </c>
      <c r="B3394" s="3">
        <v>1</v>
      </c>
    </row>
    <row r="3395" ht="15.75" customHeight="1" spans="1:2">
      <c r="A3395" s="3" t="str">
        <f>IFERROR(__xludf.DUMMYFUNCTION("GOOGLETRANSLATE(A3395,""en"",""pt"")"),"destacável")</f>
        <v>destacável</v>
      </c>
      <c r="B3395" s="3">
        <v>1</v>
      </c>
    </row>
    <row r="3396" ht="15.75" customHeight="1" spans="1:2">
      <c r="A3396" s="3" t="str">
        <f>IFERROR(__xludf.DUMMYFUNCTION("GOOGLETRANSLATE(A3396,""en"",""pt"")"),"devoto")</f>
        <v>devoto</v>
      </c>
      <c r="B3396" s="3">
        <v>1</v>
      </c>
    </row>
    <row r="3397" ht="15.75" customHeight="1" spans="1:2">
      <c r="A3397" s="3" t="str">
        <f>IFERROR(__xludf.DUMMYFUNCTION("GOOGLETRANSLATE(A3397,""en"",""pt"")"),"destro")</f>
        <v>destro</v>
      </c>
      <c r="B3397" s="3">
        <v>1</v>
      </c>
    </row>
    <row r="3398" ht="15.75" customHeight="1" spans="1:2">
      <c r="A3398" s="3" t="str">
        <f>IFERROR(__xludf.DUMMYFUNCTION("GOOGLETRANSLATE(A3398,""en"",""pt"")"),"dexterously")</f>
        <v>dexterously</v>
      </c>
      <c r="B3398" s="3">
        <v>1</v>
      </c>
    </row>
    <row r="3399" ht="15.75" customHeight="1" spans="1:2">
      <c r="A3399" s="3" t="str">
        <f>IFERROR(__xludf.DUMMYFUNCTION("GOOGLETRANSLATE(A3399,""en"",""pt"")"),"destro")</f>
        <v>destro</v>
      </c>
      <c r="B3399" s="3">
        <v>1</v>
      </c>
    </row>
    <row r="3400" ht="15.75" customHeight="1" spans="1:2">
      <c r="A3400" s="3" t="str">
        <f>IFERROR(__xludf.DUMMYFUNCTION("GOOGLETRANSLATE(A3400,""en"",""pt"")"),"digno")</f>
        <v>digno</v>
      </c>
      <c r="B3400" s="3">
        <v>1</v>
      </c>
    </row>
    <row r="3401" ht="15.75" customHeight="1" spans="1:2">
      <c r="A3401" s="3" t="str">
        <f>IFERROR(__xludf.DUMMYFUNCTION("GOOGLETRANSLATE(A3401,""en"",""pt"")"),"dignificar")</f>
        <v>dignificar</v>
      </c>
      <c r="B3401" s="3">
        <v>1</v>
      </c>
    </row>
    <row r="3402" ht="15.75" customHeight="1" spans="1:2">
      <c r="A3402" s="3" t="str">
        <f>IFERROR(__xludf.DUMMYFUNCTION("GOOGLETRANSLATE(A3402,""en"",""pt"")"),"dignidade")</f>
        <v>dignidade</v>
      </c>
      <c r="B3402" s="3">
        <v>1</v>
      </c>
    </row>
    <row r="3403" ht="15.75" customHeight="1" spans="1:2">
      <c r="A3403" s="3" t="str">
        <f>IFERROR(__xludf.DUMMYFUNCTION("GOOGLETRANSLATE(A3403,""en"",""pt"")"),"diligência")</f>
        <v>diligência</v>
      </c>
      <c r="B3403" s="3">
        <v>1</v>
      </c>
    </row>
    <row r="3404" ht="15.75" customHeight="1" spans="1:2">
      <c r="A3404" s="3" t="str">
        <f>IFERROR(__xludf.DUMMYFUNCTION("GOOGLETRANSLATE(A3404,""en"",""pt"")"),"diligente")</f>
        <v>diligente</v>
      </c>
      <c r="B3404" s="3">
        <v>1</v>
      </c>
    </row>
    <row r="3405" ht="15.75" customHeight="1" spans="1:2">
      <c r="A3405" s="3" t="str">
        <f>IFERROR(__xludf.DUMMYFUNCTION("GOOGLETRANSLATE(A3405,""en"",""pt"")"),"diligentemente")</f>
        <v>diligentemente</v>
      </c>
      <c r="B3405" s="3">
        <v>1</v>
      </c>
    </row>
    <row r="3406" ht="15.75" customHeight="1" spans="1:2">
      <c r="A3406" s="3" t="str">
        <f>IFERROR(__xludf.DUMMYFUNCTION("GOOGLETRANSLATE(A3406,""en"",""pt"")"),"diplomático")</f>
        <v>diplomático</v>
      </c>
      <c r="B3406" s="3">
        <v>1</v>
      </c>
    </row>
    <row r="3407" ht="15.75" customHeight="1" spans="1:2">
      <c r="A3407" s="3" t="str">
        <f>IFERROR(__xludf.DUMMYFUNCTION("GOOGLETRANSLATE(A3407,""en"",""pt"")"),"muito barato")</f>
        <v>muito barato</v>
      </c>
      <c r="B3407" s="3">
        <v>1</v>
      </c>
    </row>
    <row r="3408" ht="15.75" customHeight="1" spans="1:2">
      <c r="A3408" s="3" t="str">
        <f>IFERROR(__xludf.DUMMYFUNCTION("GOOGLETRANSLATE(A3408,""en"",""pt"")"),"distinção")</f>
        <v>distinção</v>
      </c>
      <c r="B3408" s="3">
        <v>1</v>
      </c>
    </row>
    <row r="3409" ht="15.75" customHeight="1" spans="1:2">
      <c r="A3409" s="3" t="str">
        <f>IFERROR(__xludf.DUMMYFUNCTION("GOOGLETRANSLATE(A3409,""en"",""pt"")"),"distintivo")</f>
        <v>distintivo</v>
      </c>
      <c r="B3409" s="3">
        <v>1</v>
      </c>
    </row>
    <row r="3410" ht="15.75" customHeight="1" spans="1:2">
      <c r="A3410" s="3" t="str">
        <f>IFERROR(__xludf.DUMMYFUNCTION("GOOGLETRANSLATE(A3410,""en"",""pt"")"),"distinguidos")</f>
        <v>distinguidos</v>
      </c>
      <c r="B3410" s="3">
        <v>1</v>
      </c>
    </row>
    <row r="3411" ht="15.75" customHeight="1" spans="1:2">
      <c r="A3411" s="3" t="str">
        <f>IFERROR(__xludf.DUMMYFUNCTION("GOOGLETRANSLATE(A3411,""en"",""pt"")"),"diversificado")</f>
        <v>diversificado</v>
      </c>
      <c r="B3411" s="3">
        <v>1</v>
      </c>
    </row>
    <row r="3412" ht="15.75" customHeight="1" spans="1:2">
      <c r="A3412" s="3" t="str">
        <f>IFERROR(__xludf.DUMMYFUNCTION("GOOGLETRANSLATE(A3412,""en"",""pt"")"),"divino")</f>
        <v>divino</v>
      </c>
      <c r="B3412" s="3">
        <v>1</v>
      </c>
    </row>
    <row r="3413" ht="15.75" customHeight="1" spans="1:2">
      <c r="A3413" s="3" t="str">
        <f>IFERROR(__xludf.DUMMYFUNCTION("GOOGLETRANSLATE(A3413,""en"",""pt"")"),"divinamente")</f>
        <v>divinamente</v>
      </c>
      <c r="B3413" s="3">
        <v>1</v>
      </c>
    </row>
    <row r="3414" ht="15.75" customHeight="1" spans="1:2">
      <c r="A3414" s="3" t="str">
        <f>IFERROR(__xludf.DUMMYFUNCTION("GOOGLETRANSLATE(A3414,""en"",""pt"")"),"dominar")</f>
        <v>dominar</v>
      </c>
      <c r="B3414" s="3">
        <v>1</v>
      </c>
    </row>
    <row r="3415" ht="15.75" customHeight="1" spans="1:2">
      <c r="A3415" s="3" t="str">
        <f>IFERROR(__xludf.DUMMYFUNCTION("GOOGLETRANSLATE(A3415,""en"",""pt"")"),"dominado")</f>
        <v>dominado</v>
      </c>
      <c r="B3415" s="3">
        <v>1</v>
      </c>
    </row>
    <row r="3416" ht="15.75" customHeight="1" spans="1:2">
      <c r="A3416" s="3" t="str">
        <f>IFERROR(__xludf.DUMMYFUNCTION("GOOGLETRANSLATE(A3416,""en"",""pt"")"),"domina")</f>
        <v>domina</v>
      </c>
      <c r="B3416" s="3">
        <v>1</v>
      </c>
    </row>
    <row r="3417" ht="15.75" customHeight="1" spans="1:2">
      <c r="A3417" s="3" t="str">
        <f>IFERROR(__xludf.DUMMYFUNCTION("GOOGLETRANSLATE(A3417,""en"",""pt"")"),"dote")</f>
        <v>dote</v>
      </c>
      <c r="B3417" s="3">
        <v>1</v>
      </c>
    </row>
    <row r="3418" ht="15.75" customHeight="1" spans="1:2">
      <c r="A3418" s="3" t="str">
        <f>IFERROR(__xludf.DUMMYFUNCTION("GOOGLETRANSLATE(A3418,""en"",""pt"")"),"carinhosamente")</f>
        <v>carinhosamente</v>
      </c>
      <c r="B3418" s="3">
        <v>1</v>
      </c>
    </row>
    <row r="3419" ht="15.75" customHeight="1" spans="1:2">
      <c r="A3419" s="3" t="str">
        <f>IFERROR(__xludf.DUMMYFUNCTION("GOOGLETRANSLATE(A3419,""en"",""pt"")"),"indubitavelmente")</f>
        <v>indubitavelmente</v>
      </c>
      <c r="B3419" s="3">
        <v>1</v>
      </c>
    </row>
    <row r="3420" ht="15.75" customHeight="1" spans="1:2">
      <c r="A3420" s="3" t="str">
        <f>IFERROR(__xludf.DUMMYFUNCTION("GOOGLETRANSLATE(A3420,""en"",""pt"")"),"dreamland")</f>
        <v>dreamland</v>
      </c>
      <c r="B3420" s="3">
        <v>1</v>
      </c>
    </row>
    <row r="3421" ht="15.75" customHeight="1" spans="1:2">
      <c r="A3421" s="3" t="str">
        <f>IFERROR(__xludf.DUMMYFUNCTION("GOOGLETRANSLATE(A3421,""en"",""pt"")"),"estupefato")</f>
        <v>estupefato</v>
      </c>
      <c r="B3421" s="3">
        <v>1</v>
      </c>
    </row>
    <row r="3422" ht="15.75" customHeight="1" spans="1:2">
      <c r="A3422" s="3" t="str">
        <f>IFERROR(__xludf.DUMMYFUNCTION("GOOGLETRANSLATE(A3422,""en"",""pt"")"),"perplexidade")</f>
        <v>perplexidade</v>
      </c>
      <c r="B3422" s="3">
        <v>1</v>
      </c>
    </row>
    <row r="3423" ht="15.75" customHeight="1" spans="1:2">
      <c r="A3423" s="3" t="str">
        <f>IFERROR(__xludf.DUMMYFUNCTION("GOOGLETRANSLATE(A3423,""en"",""pt"")"),"dummy-prova")</f>
        <v>dummy-prova</v>
      </c>
      <c r="B3423" s="3">
        <v>1</v>
      </c>
    </row>
    <row r="3424" ht="15.75" customHeight="1" spans="1:2">
      <c r="A3424" s="3" t="str">
        <f>IFERROR(__xludf.DUMMYFUNCTION("GOOGLETRANSLATE(A3424,""en"",""pt"")"),"durável")</f>
        <v>durável</v>
      </c>
      <c r="B3424" s="3">
        <v>1</v>
      </c>
    </row>
    <row r="3425" ht="15.75" customHeight="1" spans="1:2">
      <c r="A3425" s="3" t="str">
        <f>IFERROR(__xludf.DUMMYFUNCTION("GOOGLETRANSLATE(A3425,""en"",""pt"")"),"dinâmico")</f>
        <v>dinâmico</v>
      </c>
      <c r="B3425" s="3">
        <v>1</v>
      </c>
    </row>
    <row r="3426" ht="15.75" customHeight="1" spans="1:2">
      <c r="A3426" s="3" t="str">
        <f>IFERROR(__xludf.DUMMYFUNCTION("GOOGLETRANSLATE(A3426,""en"",""pt"")"),"ansioso")</f>
        <v>ansioso</v>
      </c>
      <c r="B3426" s="3">
        <v>1</v>
      </c>
    </row>
    <row r="3427" ht="15.75" customHeight="1" spans="1:2">
      <c r="A3427" s="3" t="str">
        <f>IFERROR(__xludf.DUMMYFUNCTION("GOOGLETRANSLATE(A3427,""en"",""pt"")"),"avidamente")</f>
        <v>avidamente</v>
      </c>
      <c r="B3427" s="3">
        <v>1</v>
      </c>
    </row>
    <row r="3428" ht="15.75" customHeight="1" spans="1:2">
      <c r="A3428" s="3" t="str">
        <f>IFERROR(__xludf.DUMMYFUNCTION("GOOGLETRANSLATE(A3428,""en"",""pt"")"),"ânsia")</f>
        <v>ânsia</v>
      </c>
      <c r="B3428" s="3">
        <v>1</v>
      </c>
    </row>
    <row r="3429" ht="15.75" customHeight="1" spans="1:2">
      <c r="A3429" s="3" t="str">
        <f>IFERROR(__xludf.DUMMYFUNCTION("GOOGLETRANSLATE(A3429,""en"",""pt"")"),"sério")</f>
        <v>sério</v>
      </c>
      <c r="B3429" s="3">
        <v>1</v>
      </c>
    </row>
    <row r="3430" ht="15.75" customHeight="1" spans="1:2">
      <c r="A3430" s="3" t="str">
        <f>IFERROR(__xludf.DUMMYFUNCTION("GOOGLETRANSLATE(A3430,""en"",""pt"")"),"seriamente")</f>
        <v>seriamente</v>
      </c>
      <c r="B3430" s="3">
        <v>1</v>
      </c>
    </row>
    <row r="3431" ht="15.75" customHeight="1" spans="1:2">
      <c r="A3431" s="3" t="str">
        <f>IFERROR(__xludf.DUMMYFUNCTION("GOOGLETRANSLATE(A3431,""en"",""pt"")"),"seriedade")</f>
        <v>seriedade</v>
      </c>
      <c r="B3431" s="3">
        <v>1</v>
      </c>
    </row>
    <row r="3432" ht="15.75" customHeight="1" spans="1:2">
      <c r="A3432" s="3" t="str">
        <f>IFERROR(__xludf.DUMMYFUNCTION("GOOGLETRANSLATE(A3432,""en"",""pt"")"),"facilidade")</f>
        <v>facilidade</v>
      </c>
      <c r="B3432" s="3">
        <v>1</v>
      </c>
    </row>
    <row r="3433" ht="15.75" customHeight="1" spans="1:2">
      <c r="A3433" s="3" t="str">
        <f>IFERROR(__xludf.DUMMYFUNCTION("GOOGLETRANSLATE(A3433,""en"",""pt"")"),"facilitado")</f>
        <v>facilitado</v>
      </c>
      <c r="B3433" s="3">
        <v>1</v>
      </c>
    </row>
    <row r="3434" ht="15.75" customHeight="1" spans="1:2">
      <c r="A3434" s="3" t="str">
        <f>IFERROR(__xludf.DUMMYFUNCTION("GOOGLETRANSLATE(A3434,""en"",""pt"")"),"flexibiliza")</f>
        <v>flexibiliza</v>
      </c>
      <c r="B3434" s="3">
        <v>1</v>
      </c>
    </row>
    <row r="3435" ht="15.75" customHeight="1" spans="1:2">
      <c r="A3435" s="3" t="str">
        <f>IFERROR(__xludf.DUMMYFUNCTION("GOOGLETRANSLATE(A3435,""en"",""pt"")"),"Mais fácil")</f>
        <v>Mais fácil</v>
      </c>
      <c r="B3435" s="3">
        <v>1</v>
      </c>
    </row>
    <row r="3436" ht="15.75" customHeight="1" spans="1:2">
      <c r="A3436" s="3" t="str">
        <f>IFERROR(__xludf.DUMMYFUNCTION("GOOGLETRANSLATE(A3436,""en"",""pt"")"),"mais fácil")</f>
        <v>mais fácil</v>
      </c>
      <c r="B3436" s="3">
        <v>1</v>
      </c>
    </row>
    <row r="3437" ht="15.75" customHeight="1" spans="1:2">
      <c r="A3437" s="3" t="str">
        <f>IFERROR(__xludf.DUMMYFUNCTION("GOOGLETRANSLATE(A3437,""en"",""pt"")"),"facilidade")</f>
        <v>facilidade</v>
      </c>
      <c r="B3437" s="3">
        <v>1</v>
      </c>
    </row>
    <row r="3438" ht="15.75" customHeight="1" spans="1:2">
      <c r="A3438" s="3" t="str">
        <f>IFERROR(__xludf.DUMMYFUNCTION("GOOGLETRANSLATE(A3438,""en"",""pt"")"),"aliviando")</f>
        <v>aliviando</v>
      </c>
      <c r="B3438" s="3">
        <v>1</v>
      </c>
    </row>
    <row r="3439" ht="15.75" customHeight="1" spans="1:2">
      <c r="A3439" s="3" t="str">
        <f>IFERROR(__xludf.DUMMYFUNCTION("GOOGLETRANSLATE(A3439,""en"",""pt"")"),"fácil")</f>
        <v>fácil</v>
      </c>
      <c r="B3439" s="3">
        <v>1</v>
      </c>
    </row>
    <row r="3440" ht="15.75" customHeight="1" spans="1:2">
      <c r="A3440" s="3" t="str">
        <f>IFERROR(__xludf.DUMMYFUNCTION("GOOGLETRANSLATE(A3440,""en"",""pt"")"),"fácil de usar")</f>
        <v>fácil de usar</v>
      </c>
      <c r="B3440" s="3">
        <v>1</v>
      </c>
    </row>
    <row r="3441" ht="15.75" customHeight="1" spans="1:2">
      <c r="A3441" s="3" t="str">
        <f>IFERROR(__xludf.DUMMYFUNCTION("GOOGLETRANSLATE(A3441,""en"",""pt"")"),"maleável")</f>
        <v>maleável</v>
      </c>
      <c r="B3441" s="3">
        <v>1</v>
      </c>
    </row>
    <row r="3442" ht="15.75" customHeight="1" spans="1:2">
      <c r="A3442" s="3" t="str">
        <f>IFERROR(__xludf.DUMMYFUNCTION("GOOGLETRANSLATE(A3442,""en"",""pt"")"),"ebulição")</f>
        <v>ebulição</v>
      </c>
      <c r="B3442" s="3">
        <v>1</v>
      </c>
    </row>
    <row r="3443" ht="15.75" customHeight="1" spans="1:2">
      <c r="A3443" s="3" t="str">
        <f>IFERROR(__xludf.DUMMYFUNCTION("GOOGLETRANSLATE(A3443,""en"",""pt"")"),"efervescente")</f>
        <v>efervescente</v>
      </c>
      <c r="B3443" s="3">
        <v>1</v>
      </c>
    </row>
    <row r="3444" ht="15.75" customHeight="1" spans="1:2">
      <c r="A3444" s="3" t="str">
        <f>IFERROR(__xludf.DUMMYFUNCTION("GOOGLETRANSLATE(A3444,""en"",""pt"")"),"efervescente")</f>
        <v>efervescente</v>
      </c>
      <c r="B3444" s="3">
        <v>1</v>
      </c>
    </row>
    <row r="3445" ht="15.75" customHeight="1" spans="1:2">
      <c r="A3445" s="3" t="str">
        <f>IFERROR(__xludf.DUMMYFUNCTION("GOOGLETRANSLATE(A3445,""en"",""pt"")"),"ecenomical")</f>
        <v>ecenomical</v>
      </c>
      <c r="B3445" s="3">
        <v>1</v>
      </c>
    </row>
    <row r="3446" ht="15.75" customHeight="1" spans="1:2">
      <c r="A3446" s="3" t="str">
        <f>IFERROR(__xludf.DUMMYFUNCTION("GOOGLETRANSLATE(A3446,""en"",""pt"")"),"econômico")</f>
        <v>econômico</v>
      </c>
      <c r="B3446" s="3">
        <v>1</v>
      </c>
    </row>
    <row r="3447" ht="15.75" customHeight="1" spans="1:2">
      <c r="A3447" s="3" t="str">
        <f>IFERROR(__xludf.DUMMYFUNCTION("GOOGLETRANSLATE(A3447,""en"",""pt"")"),"êxtases")</f>
        <v>êxtases</v>
      </c>
      <c r="B3447" s="3">
        <v>1</v>
      </c>
    </row>
    <row r="3448" ht="15.75" customHeight="1" spans="1:2">
      <c r="A3448" s="3" t="str">
        <f>IFERROR(__xludf.DUMMYFUNCTION("GOOGLETRANSLATE(A3448,""en"",""pt"")"),"êxtase")</f>
        <v>êxtase</v>
      </c>
      <c r="B3448" s="3">
        <v>1</v>
      </c>
    </row>
    <row r="3449" ht="15.75" customHeight="1" spans="1:2">
      <c r="A3449" s="3" t="str">
        <f>IFERROR(__xludf.DUMMYFUNCTION("GOOGLETRANSLATE(A3449,""en"",""pt"")"),"extático")</f>
        <v>extático</v>
      </c>
      <c r="B3449" s="3">
        <v>1</v>
      </c>
    </row>
    <row r="3450" ht="15.75" customHeight="1" spans="1:2">
      <c r="A3450" s="3" t="str">
        <f>IFERROR(__xludf.DUMMYFUNCTION("GOOGLETRANSLATE(A3450,""en"",""pt"")"),"ecstatically")</f>
        <v>ecstatically</v>
      </c>
      <c r="B3450" s="3">
        <v>1</v>
      </c>
    </row>
    <row r="3451" ht="15.75" customHeight="1" spans="1:2">
      <c r="A3451" s="3" t="str">
        <f>IFERROR(__xludf.DUMMYFUNCTION("GOOGLETRANSLATE(A3451,""en"",""pt"")"),"edificar")</f>
        <v>edificar</v>
      </c>
      <c r="B3451" s="3">
        <v>1</v>
      </c>
    </row>
    <row r="3452" ht="15.75" customHeight="1" spans="1:2">
      <c r="A3452" s="3" t="str">
        <f>IFERROR(__xludf.DUMMYFUNCTION("GOOGLETRANSLATE(A3452,""en"",""pt"")"),"educado")</f>
        <v>educado</v>
      </c>
      <c r="B3452" s="3">
        <v>1</v>
      </c>
    </row>
    <row r="3453" ht="15.75" customHeight="1" spans="1:2">
      <c r="A3453" s="3" t="str">
        <f>IFERROR(__xludf.DUMMYFUNCTION("GOOGLETRANSLATE(A3453,""en"",""pt"")"),"eficaz")</f>
        <v>eficaz</v>
      </c>
      <c r="B3453" s="3">
        <v>1</v>
      </c>
    </row>
    <row r="3454" ht="15.75" customHeight="1" spans="1:2">
      <c r="A3454" s="3" t="str">
        <f>IFERROR(__xludf.DUMMYFUNCTION("GOOGLETRANSLATE(A3454,""en"",""pt"")"),"eficazmente")</f>
        <v>eficazmente</v>
      </c>
      <c r="B3454" s="3">
        <v>1</v>
      </c>
    </row>
    <row r="3455" ht="15.75" customHeight="1" spans="1:2">
      <c r="A3455" s="3" t="str">
        <f>IFERROR(__xludf.DUMMYFUNCTION("GOOGLETRANSLATE(A3455,""en"",""pt"")"),"eficácia")</f>
        <v>eficácia</v>
      </c>
      <c r="B3455" s="3">
        <v>1</v>
      </c>
    </row>
    <row r="3456" ht="15.75" customHeight="1" spans="1:2">
      <c r="A3456" s="3" t="str">
        <f>IFERROR(__xludf.DUMMYFUNCTION("GOOGLETRANSLATE(A3456,""en"",""pt"")"),"eficaz")</f>
        <v>eficaz</v>
      </c>
      <c r="B3456" s="3">
        <v>1</v>
      </c>
    </row>
    <row r="3457" ht="15.75" customHeight="1" spans="1:2">
      <c r="A3457" s="3" t="str">
        <f>IFERROR(__xludf.DUMMYFUNCTION("GOOGLETRANSLATE(A3457,""en"",""pt"")"),"eficaz")</f>
        <v>eficaz</v>
      </c>
      <c r="B3457" s="3">
        <v>1</v>
      </c>
    </row>
    <row r="3458" ht="15.75" customHeight="1" spans="1:2">
      <c r="A3458" s="3" t="str">
        <f>IFERROR(__xludf.DUMMYFUNCTION("GOOGLETRANSLATE(A3458,""en"",""pt"")"),"eficiente")</f>
        <v>eficiente</v>
      </c>
      <c r="B3458" s="3">
        <v>1</v>
      </c>
    </row>
    <row r="3459" ht="15.75" customHeight="1" spans="1:2">
      <c r="A3459" s="3" t="str">
        <f>IFERROR(__xludf.DUMMYFUNCTION("GOOGLETRANSLATE(A3459,""en"",""pt"")"),"eficientemente")</f>
        <v>eficientemente</v>
      </c>
      <c r="B3459" s="3">
        <v>1</v>
      </c>
    </row>
    <row r="3460" ht="15.75" customHeight="1" spans="1:2">
      <c r="A3460" s="3" t="str">
        <f>IFERROR(__xludf.DUMMYFUNCTION("GOOGLETRANSLATE(A3460,""en"",""pt"")"),"sem esforço")</f>
        <v>sem esforço</v>
      </c>
      <c r="B3460" s="3">
        <v>1</v>
      </c>
    </row>
    <row r="3461" ht="15.75" customHeight="1" spans="1:2">
      <c r="A3461" s="3" t="str">
        <f>IFERROR(__xludf.DUMMYFUNCTION("GOOGLETRANSLATE(A3461,""en"",""pt"")"),"sem esforço")</f>
        <v>sem esforço</v>
      </c>
      <c r="B3461" s="3">
        <v>1</v>
      </c>
    </row>
    <row r="3462" ht="15.75" customHeight="1" spans="1:2">
      <c r="A3462" s="3" t="str">
        <f>IFERROR(__xludf.DUMMYFUNCTION("GOOGLETRANSLATE(A3462,""en"",""pt"")"),"efusão")</f>
        <v>efusão</v>
      </c>
      <c r="B3462" s="3">
        <v>1</v>
      </c>
    </row>
    <row r="3463" ht="15.75" customHeight="1" spans="1:2">
      <c r="A3463" s="3" t="str">
        <f>IFERROR(__xludf.DUMMYFUNCTION("GOOGLETRANSLATE(A3463,""en"",""pt"")"),"efusivo")</f>
        <v>efusivo</v>
      </c>
      <c r="B3463" s="3">
        <v>1</v>
      </c>
    </row>
    <row r="3464" ht="15.75" customHeight="1" spans="1:2">
      <c r="A3464" s="3" t="str">
        <f>IFERROR(__xludf.DUMMYFUNCTION("GOOGLETRANSLATE(A3464,""en"",""pt"")"),"efusivamente")</f>
        <v>efusivamente</v>
      </c>
      <c r="B3464" s="3">
        <v>1</v>
      </c>
    </row>
    <row r="3465" ht="15.75" customHeight="1" spans="1:2">
      <c r="A3465" s="3" t="str">
        <f>IFERROR(__xludf.DUMMYFUNCTION("GOOGLETRANSLATE(A3465,""en"",""pt"")"),"effusiveness")</f>
        <v>effusiveness</v>
      </c>
      <c r="B3465" s="3">
        <v>1</v>
      </c>
    </row>
    <row r="3466" ht="15.75" customHeight="1" spans="1:2">
      <c r="A3466" s="3" t="str">
        <f>IFERROR(__xludf.DUMMYFUNCTION("GOOGLETRANSLATE(A3466,""en"",""pt"")"),"impulso")</f>
        <v>impulso</v>
      </c>
      <c r="B3466" s="3">
        <v>1</v>
      </c>
    </row>
    <row r="3467" ht="15.75" customHeight="1" spans="1:2">
      <c r="A3467" s="3" t="str">
        <f>IFERROR(__xludf.DUMMYFUNCTION("GOOGLETRANSLATE(A3467,""en"",""pt"")"),"Elate")</f>
        <v>Elate</v>
      </c>
      <c r="B3467" s="3">
        <v>1</v>
      </c>
    </row>
    <row r="3468" ht="15.75" customHeight="1" spans="1:2">
      <c r="A3468" s="3" t="str">
        <f>IFERROR(__xludf.DUMMYFUNCTION("GOOGLETRANSLATE(A3468,""en"",""pt"")"),"exaltado")</f>
        <v>exaltado</v>
      </c>
      <c r="B3468" s="3">
        <v>1</v>
      </c>
    </row>
    <row r="3469" ht="15.75" customHeight="1" spans="1:2">
      <c r="A3469" s="3" t="str">
        <f>IFERROR(__xludf.DUMMYFUNCTION("GOOGLETRANSLATE(A3469,""en"",""pt"")"),"elatedly")</f>
        <v>elatedly</v>
      </c>
      <c r="B3469" s="3">
        <v>1</v>
      </c>
    </row>
    <row r="3470" ht="15.75" customHeight="1" spans="1:2">
      <c r="A3470" s="3" t="str">
        <f>IFERROR(__xludf.DUMMYFUNCTION("GOOGLETRANSLATE(A3470,""en"",""pt"")"),"elação")</f>
        <v>elação</v>
      </c>
      <c r="B3470" s="3">
        <v>1</v>
      </c>
    </row>
    <row r="3471" ht="15.75" customHeight="1" spans="1:2">
      <c r="A3471" s="3" t="str">
        <f>IFERROR(__xludf.DUMMYFUNCTION("GOOGLETRANSLATE(A3471,""en"",""pt"")"),"eletrificar")</f>
        <v>eletrificar</v>
      </c>
      <c r="B3471" s="3">
        <v>1</v>
      </c>
    </row>
    <row r="3472" ht="15.75" customHeight="1" spans="1:2">
      <c r="A3472" s="3" t="str">
        <f>IFERROR(__xludf.DUMMYFUNCTION("GOOGLETRANSLATE(A3472,""en"",""pt"")"),"elegância")</f>
        <v>elegância</v>
      </c>
      <c r="B3472" s="3">
        <v>1</v>
      </c>
    </row>
    <row r="3473" ht="15.75" customHeight="1" spans="1:2">
      <c r="A3473" s="3" t="str">
        <f>IFERROR(__xludf.DUMMYFUNCTION("GOOGLETRANSLATE(A3473,""en"",""pt"")"),"elegante")</f>
        <v>elegante</v>
      </c>
      <c r="B3473" s="3">
        <v>1</v>
      </c>
    </row>
    <row r="3474" ht="15.75" customHeight="1" spans="1:2">
      <c r="A3474" s="3" t="str">
        <f>IFERROR(__xludf.DUMMYFUNCTION("GOOGLETRANSLATE(A3474,""en"",""pt"")"),"elegantemente")</f>
        <v>elegantemente</v>
      </c>
      <c r="B3474" s="3">
        <v>1</v>
      </c>
    </row>
    <row r="3475" ht="15.75" customHeight="1" spans="1:2">
      <c r="A3475" s="3" t="str">
        <f>IFERROR(__xludf.DUMMYFUNCTION("GOOGLETRANSLATE(A3475,""en"",""pt"")"),"elevar")</f>
        <v>elevar</v>
      </c>
      <c r="B3475" s="3">
        <v>1</v>
      </c>
    </row>
    <row r="3476" ht="15.75" customHeight="1" spans="1:2">
      <c r="A3476" s="3" t="str">
        <f>IFERROR(__xludf.DUMMYFUNCTION("GOOGLETRANSLATE(A3476,""en"",""pt"")"),"elite")</f>
        <v>elite</v>
      </c>
      <c r="B3476" s="3">
        <v>1</v>
      </c>
    </row>
    <row r="3477" ht="15.75" customHeight="1" spans="1:2">
      <c r="A3477" s="3" t="str">
        <f>IFERROR(__xludf.DUMMYFUNCTION("GOOGLETRANSLATE(A3477,""en"",""pt"")"),"eloquência")</f>
        <v>eloquência</v>
      </c>
      <c r="B3477" s="3">
        <v>1</v>
      </c>
    </row>
    <row r="3478" ht="15.75" customHeight="1" spans="1:2">
      <c r="A3478" s="3" t="str">
        <f>IFERROR(__xludf.DUMMYFUNCTION("GOOGLETRANSLATE(A3478,""en"",""pt"")"),"eloquente")</f>
        <v>eloquente</v>
      </c>
      <c r="B3478" s="3">
        <v>1</v>
      </c>
    </row>
    <row r="3479" ht="15.75" customHeight="1" spans="1:2">
      <c r="A3479" s="3" t="str">
        <f>IFERROR(__xludf.DUMMYFUNCTION("GOOGLETRANSLATE(A3479,""en"",""pt"")"),"eloqüentemente")</f>
        <v>eloqüentemente</v>
      </c>
      <c r="B3479" s="3">
        <v>1</v>
      </c>
    </row>
    <row r="3480" ht="15.75" customHeight="1" spans="1:2">
      <c r="A3480" s="3" t="str">
        <f>IFERROR(__xludf.DUMMYFUNCTION("GOOGLETRANSLATE(A3480,""en"",""pt"")"),"embolden")</f>
        <v>embolden</v>
      </c>
      <c r="B3480" s="3">
        <v>1</v>
      </c>
    </row>
    <row r="3481" ht="15.75" customHeight="1" spans="1:2">
      <c r="A3481" s="3" t="str">
        <f>IFERROR(__xludf.DUMMYFUNCTION("GOOGLETRANSLATE(A3481,""en"",""pt"")"),"eminência")</f>
        <v>eminência</v>
      </c>
      <c r="B3481" s="3">
        <v>1</v>
      </c>
    </row>
    <row r="3482" ht="15.75" customHeight="1" spans="1:2">
      <c r="A3482" s="3" t="str">
        <f>IFERROR(__xludf.DUMMYFUNCTION("GOOGLETRANSLATE(A3482,""en"",""pt"")"),"eminente")</f>
        <v>eminente</v>
      </c>
      <c r="B3482" s="3">
        <v>1</v>
      </c>
    </row>
    <row r="3483" ht="15.75" customHeight="1" spans="1:2">
      <c r="A3483" s="3" t="str">
        <f>IFERROR(__xludf.DUMMYFUNCTION("GOOGLETRANSLATE(A3483,""en"",""pt"")"),"simpatizar")</f>
        <v>simpatizar</v>
      </c>
      <c r="B3483" s="3">
        <v>1</v>
      </c>
    </row>
    <row r="3484" ht="15.75" customHeight="1" spans="1:2">
      <c r="A3484" s="3" t="str">
        <f>IFERROR(__xludf.DUMMYFUNCTION("GOOGLETRANSLATE(A3484,""en"",""pt"")"),"empatia")</f>
        <v>empatia</v>
      </c>
      <c r="B3484" s="3">
        <v>1</v>
      </c>
    </row>
    <row r="3485" ht="15.75" customHeight="1" spans="1:2">
      <c r="A3485" s="3" t="str">
        <f>IFERROR(__xludf.DUMMYFUNCTION("GOOGLETRANSLATE(A3485,""en"",""pt"")"),"Empower")</f>
        <v>Empower</v>
      </c>
      <c r="B3485" s="3">
        <v>1</v>
      </c>
    </row>
    <row r="3486" ht="15.75" customHeight="1" spans="1:2">
      <c r="A3486" s="3" t="str">
        <f>IFERROR(__xludf.DUMMYFUNCTION("GOOGLETRANSLATE(A3486,""en"",""pt"")"),"fortalecimento")</f>
        <v>fortalecimento</v>
      </c>
      <c r="B3486" s="3">
        <v>1</v>
      </c>
    </row>
    <row r="3487" ht="15.75" customHeight="1" spans="1:2">
      <c r="A3487" s="3" t="str">
        <f>IFERROR(__xludf.DUMMYFUNCTION("GOOGLETRANSLATE(A3487,""en"",""pt"")"),"encantar")</f>
        <v>encantar</v>
      </c>
      <c r="B3487" s="3">
        <v>1</v>
      </c>
    </row>
    <row r="3488" ht="15.75" customHeight="1" spans="1:2">
      <c r="A3488" s="3" t="str">
        <f>IFERROR(__xludf.DUMMYFUNCTION("GOOGLETRANSLATE(A3488,""en"",""pt"")"),"encantada")</f>
        <v>encantada</v>
      </c>
      <c r="B3488" s="3">
        <v>1</v>
      </c>
    </row>
    <row r="3489" ht="15.75" customHeight="1" spans="1:2">
      <c r="A3489" s="3" t="str">
        <f>IFERROR(__xludf.DUMMYFUNCTION("GOOGLETRANSLATE(A3489,""en"",""pt"")"),"encantador")</f>
        <v>encantador</v>
      </c>
      <c r="B3489" s="3">
        <v>1</v>
      </c>
    </row>
    <row r="3490" ht="15.75" customHeight="1" spans="1:2">
      <c r="A3490" s="3" t="str">
        <f>IFERROR(__xludf.DUMMYFUNCTION("GOOGLETRANSLATE(A3490,""en"",""pt"")"),"enchantingly")</f>
        <v>enchantingly</v>
      </c>
      <c r="B3490" s="3">
        <v>1</v>
      </c>
    </row>
    <row r="3491" ht="15.75" customHeight="1" spans="1:2">
      <c r="A3491" s="3" t="str">
        <f>IFERROR(__xludf.DUMMYFUNCTION("GOOGLETRANSLATE(A3491,""en"",""pt"")"),"encorajar")</f>
        <v>encorajar</v>
      </c>
      <c r="B3491" s="3">
        <v>1</v>
      </c>
    </row>
    <row r="3492" ht="15.75" customHeight="1" spans="1:2">
      <c r="A3492" s="3" t="str">
        <f>IFERROR(__xludf.DUMMYFUNCTION("GOOGLETRANSLATE(A3492,""en"",""pt"")"),"encorajamento")</f>
        <v>encorajamento</v>
      </c>
      <c r="B3492" s="3">
        <v>1</v>
      </c>
    </row>
    <row r="3493" ht="15.75" customHeight="1" spans="1:2">
      <c r="A3493" s="3" t="str">
        <f>IFERROR(__xludf.DUMMYFUNCTION("GOOGLETRANSLATE(A3493,""en"",""pt"")"),"encorajando")</f>
        <v>encorajando</v>
      </c>
      <c r="B3493" s="3">
        <v>1</v>
      </c>
    </row>
    <row r="3494" ht="15.75" customHeight="1" spans="1:2">
      <c r="A3494" s="3" t="str">
        <f>IFERROR(__xludf.DUMMYFUNCTION("GOOGLETRANSLATE(A3494,""en"",""pt"")"),"Encorajadoramente")</f>
        <v>Encorajadoramente</v>
      </c>
      <c r="B3494" s="3">
        <v>1</v>
      </c>
    </row>
    <row r="3495" ht="15.75" customHeight="1" spans="1:2">
      <c r="A3495" s="3" t="str">
        <f>IFERROR(__xludf.DUMMYFUNCTION("GOOGLETRANSLATE(A3495,""en"",""pt"")"),"encarecer")</f>
        <v>encarecer</v>
      </c>
      <c r="B3495" s="3">
        <v>1</v>
      </c>
    </row>
    <row r="3496" ht="15.75" customHeight="1" spans="1:2">
      <c r="A3496" s="3" t="str">
        <f>IFERROR(__xludf.DUMMYFUNCTION("GOOGLETRANSLATE(A3496,""en"",""pt"")"),"cativante")</f>
        <v>cativante</v>
      </c>
      <c r="B3496" s="3">
        <v>1</v>
      </c>
    </row>
    <row r="3497" ht="15.75" customHeight="1" spans="1:2">
      <c r="A3497" s="3" t="str">
        <f>IFERROR(__xludf.DUMMYFUNCTION("GOOGLETRANSLATE(A3497,""en"",""pt"")"),"endossar")</f>
        <v>endossar</v>
      </c>
      <c r="B3497" s="3">
        <v>1</v>
      </c>
    </row>
    <row r="3498" ht="15.75" customHeight="1" spans="1:2">
      <c r="A3498" s="3" t="str">
        <f>IFERROR(__xludf.DUMMYFUNCTION("GOOGLETRANSLATE(A3498,""en"",""pt"")"),"endossado")</f>
        <v>endossado</v>
      </c>
      <c r="B3498" s="3">
        <v>1</v>
      </c>
    </row>
    <row r="3499" ht="15.75" customHeight="1" spans="1:2">
      <c r="A3499" s="3" t="str">
        <f>IFERROR(__xludf.DUMMYFUNCTION("GOOGLETRANSLATE(A3499,""en"",""pt"")"),"endosso")</f>
        <v>endosso</v>
      </c>
      <c r="B3499" s="3">
        <v>1</v>
      </c>
    </row>
    <row r="3500" ht="15.75" customHeight="1" spans="1:2">
      <c r="A3500" s="3" t="str">
        <f>IFERROR(__xludf.DUMMYFUNCTION("GOOGLETRANSLATE(A3500,""en"",""pt"")"),"Subscreve")</f>
        <v>Subscreve</v>
      </c>
      <c r="B3500" s="3">
        <v>1</v>
      </c>
    </row>
    <row r="3501" ht="15.75" customHeight="1" spans="1:2">
      <c r="A3501" s="3" t="str">
        <f>IFERROR(__xludf.DUMMYFUNCTION("GOOGLETRANSLATE(A3501,""en"",""pt"")"),"endossando")</f>
        <v>endossando</v>
      </c>
      <c r="B3501" s="3">
        <v>1</v>
      </c>
    </row>
    <row r="3502" ht="15.75" customHeight="1" spans="1:2">
      <c r="A3502" s="3" t="str">
        <f>IFERROR(__xludf.DUMMYFUNCTION("GOOGLETRANSLATE(A3502,""en"",""pt"")"),"enérgico")</f>
        <v>enérgico</v>
      </c>
      <c r="B3502" s="3">
        <v>1</v>
      </c>
    </row>
    <row r="3503" ht="15.75" customHeight="1" spans="1:2">
      <c r="A3503" s="3" t="str">
        <f>IFERROR(__xludf.DUMMYFUNCTION("GOOGLETRANSLATE(A3503,""en"",""pt"")"),"energizar")</f>
        <v>energizar</v>
      </c>
      <c r="B3503" s="3">
        <v>1</v>
      </c>
    </row>
    <row r="3504" ht="15.75" customHeight="1" spans="1:2">
      <c r="A3504" s="3" t="str">
        <f>IFERROR(__xludf.DUMMYFUNCTION("GOOGLETRANSLATE(A3504,""en"",""pt"")"),"energia eficiente")</f>
        <v>energia eficiente</v>
      </c>
      <c r="B3504" s="3">
        <v>1</v>
      </c>
    </row>
    <row r="3505" ht="15.75" customHeight="1" spans="1:2">
      <c r="A3505" s="3" t="str">
        <f>IFERROR(__xludf.DUMMYFUNCTION("GOOGLETRANSLATE(A3505,""en"",""pt"")"),"economia de energia")</f>
        <v>economia de energia</v>
      </c>
      <c r="B3505" s="3">
        <v>1</v>
      </c>
    </row>
    <row r="3506" ht="15.75" customHeight="1" spans="1:2">
      <c r="A3506" s="3" t="str">
        <f>IFERROR(__xludf.DUMMYFUNCTION("GOOGLETRANSLATE(A3506,""en"",""pt"")"),"noivando")</f>
        <v>noivando</v>
      </c>
      <c r="B3506" s="3">
        <v>1</v>
      </c>
    </row>
    <row r="3507" ht="15.75" customHeight="1" spans="1:2">
      <c r="A3507" s="3" t="str">
        <f>IFERROR(__xludf.DUMMYFUNCTION("GOOGLETRANSLATE(A3507,""en"",""pt"")"),"cativante")</f>
        <v>cativante</v>
      </c>
      <c r="B3507" s="3">
        <v>1</v>
      </c>
    </row>
    <row r="3508" ht="15.75" customHeight="1" spans="1:2">
      <c r="A3508" s="3" t="str">
        <f>IFERROR(__xludf.DUMMYFUNCTION("GOOGLETRANSLATE(A3508,""en"",""pt"")"),"realçar")</f>
        <v>realçar</v>
      </c>
      <c r="B3508" s="3">
        <v>1</v>
      </c>
    </row>
    <row r="3509" ht="15.75" customHeight="1" spans="1:2">
      <c r="A3509" s="3" t="str">
        <f>IFERROR(__xludf.DUMMYFUNCTION("GOOGLETRANSLATE(A3509,""en"",""pt"")"),"melhorada")</f>
        <v>melhorada</v>
      </c>
      <c r="B3509" s="3">
        <v>1</v>
      </c>
    </row>
    <row r="3510" ht="15.75" customHeight="1" spans="1:2">
      <c r="A3510" s="3" t="str">
        <f>IFERROR(__xludf.DUMMYFUNCTION("GOOGLETRANSLATE(A3510,""en"",""pt"")"),"Aprimoramento")</f>
        <v>Aprimoramento</v>
      </c>
      <c r="B3510" s="3">
        <v>1</v>
      </c>
    </row>
    <row r="3511" ht="15.75" customHeight="1" spans="1:2">
      <c r="A3511" s="3" t="str">
        <f>IFERROR(__xludf.DUMMYFUNCTION("GOOGLETRANSLATE(A3511,""en"",""pt"")"),"Melhora")</f>
        <v>Melhora</v>
      </c>
      <c r="B3511" s="3">
        <v>1</v>
      </c>
    </row>
    <row r="3512" ht="15.75" customHeight="1" spans="1:2">
      <c r="A3512" s="3" t="str">
        <f>IFERROR(__xludf.DUMMYFUNCTION("GOOGLETRANSLATE(A3512,""en"",""pt"")"),"desfrutar")</f>
        <v>desfrutar</v>
      </c>
      <c r="B3512" s="3">
        <v>1</v>
      </c>
    </row>
    <row r="3513" ht="15.75" customHeight="1" spans="1:2">
      <c r="A3513" s="3" t="str">
        <f>IFERROR(__xludf.DUMMYFUNCTION("GOOGLETRANSLATE(A3513,""en"",""pt"")"),"agradável")</f>
        <v>agradável</v>
      </c>
      <c r="B3513" s="3">
        <v>1</v>
      </c>
    </row>
    <row r="3514" ht="15.75" customHeight="1" spans="1:2">
      <c r="A3514" s="3" t="str">
        <f>IFERROR(__xludf.DUMMYFUNCTION("GOOGLETRANSLATE(A3514,""en"",""pt"")"),"enjoyably")</f>
        <v>enjoyably</v>
      </c>
      <c r="B3514" s="3">
        <v>1</v>
      </c>
    </row>
    <row r="3515" ht="15.75" customHeight="1" spans="1:2">
      <c r="A3515" s="3" t="str">
        <f>IFERROR(__xludf.DUMMYFUNCTION("GOOGLETRANSLATE(A3515,""en"",""pt"")"),"desfrutado")</f>
        <v>desfrutado</v>
      </c>
      <c r="B3515" s="3">
        <v>1</v>
      </c>
    </row>
    <row r="3516" ht="15.75" customHeight="1" spans="1:2">
      <c r="A3516" s="3" t="str">
        <f>IFERROR(__xludf.DUMMYFUNCTION("GOOGLETRANSLATE(A3516,""en"",""pt"")"),"desfrutando")</f>
        <v>desfrutando</v>
      </c>
      <c r="B3516" s="3">
        <v>1</v>
      </c>
    </row>
    <row r="3517" ht="15.75" customHeight="1" spans="1:2">
      <c r="A3517" s="3" t="str">
        <f>IFERROR(__xludf.DUMMYFUNCTION("GOOGLETRANSLATE(A3517,""en"",""pt"")"),"gozo")</f>
        <v>gozo</v>
      </c>
      <c r="B3517" s="3">
        <v>1</v>
      </c>
    </row>
    <row r="3518" ht="15.75" customHeight="1" spans="1:2">
      <c r="A3518" s="3" t="str">
        <f>IFERROR(__xludf.DUMMYFUNCTION("GOOGLETRANSLATE(A3518,""en"",""pt"")"),"goza")</f>
        <v>goza</v>
      </c>
      <c r="B3518" s="3">
        <v>1</v>
      </c>
    </row>
    <row r="3519" ht="15.75" customHeight="1" spans="1:2">
      <c r="A3519" s="3" t="str">
        <f>IFERROR(__xludf.DUMMYFUNCTION("GOOGLETRANSLATE(A3519,""en"",""pt"")"),"iluminar")</f>
        <v>iluminar</v>
      </c>
      <c r="B3519" s="3">
        <v>1</v>
      </c>
    </row>
    <row r="3520" ht="15.75" customHeight="1" spans="1:2">
      <c r="A3520" s="3" t="str">
        <f>IFERROR(__xludf.DUMMYFUNCTION("GOOGLETRANSLATE(A3520,""en"",""pt"")"),"iluminação")</f>
        <v>iluminação</v>
      </c>
      <c r="B3520" s="3">
        <v>1</v>
      </c>
    </row>
    <row r="3521" ht="15.75" customHeight="1" spans="1:2">
      <c r="A3521" s="3" t="str">
        <f>IFERROR(__xludf.DUMMYFUNCTION("GOOGLETRANSLATE(A3521,""en"",""pt"")"),"animar")</f>
        <v>animar</v>
      </c>
      <c r="B3521" s="3">
        <v>1</v>
      </c>
    </row>
    <row r="3522" ht="15.75" customHeight="1" spans="1:2">
      <c r="A3522" s="3" t="str">
        <f>IFERROR(__xludf.DUMMYFUNCTION("GOOGLETRANSLATE(A3522,""en"",""pt"")"),"enobrecer")</f>
        <v>enobrecer</v>
      </c>
      <c r="B3522" s="3">
        <v>1</v>
      </c>
    </row>
    <row r="3523" ht="15.75" customHeight="1" spans="1:2">
      <c r="A3523" s="3" t="str">
        <f>IFERROR(__xludf.DUMMYFUNCTION("GOOGLETRANSLATE(A3523,""en"",""pt"")"),"suficiente")</f>
        <v>suficiente</v>
      </c>
      <c r="B3523" s="3">
        <v>1</v>
      </c>
    </row>
    <row r="3524" ht="15.75" customHeight="1" spans="1:2">
      <c r="A3524" s="3" t="str">
        <f>IFERROR(__xludf.DUMMYFUNCTION("GOOGLETRANSLATE(A3524,""en"",""pt"")"),"enrapt")</f>
        <v>enrapt</v>
      </c>
      <c r="B3524" s="3">
        <v>1</v>
      </c>
    </row>
    <row r="3525" ht="15.75" customHeight="1" spans="1:2">
      <c r="A3525" s="3" t="str">
        <f>IFERROR(__xludf.DUMMYFUNCTION("GOOGLETRANSLATE(A3525,""en"",""pt"")"),"arrebatamento")</f>
        <v>arrebatamento</v>
      </c>
      <c r="B3525" s="3">
        <v>1</v>
      </c>
    </row>
    <row r="3526" ht="15.75" customHeight="1" spans="1:2">
      <c r="A3526" s="3" t="str">
        <f>IFERROR(__xludf.DUMMYFUNCTION("GOOGLETRANSLATE(A3526,""en"",""pt"")"),"enraptured")</f>
        <v>enraptured</v>
      </c>
      <c r="B3526" s="3">
        <v>1</v>
      </c>
    </row>
    <row r="3527" ht="15.75" customHeight="1" spans="1:2">
      <c r="A3527" s="3" t="str">
        <f>IFERROR(__xludf.DUMMYFUNCTION("GOOGLETRANSLATE(A3527,""en"",""pt"")"),"enriquecer")</f>
        <v>enriquecer</v>
      </c>
      <c r="B3527" s="3">
        <v>1</v>
      </c>
    </row>
    <row r="3528" ht="15.75" customHeight="1" spans="1:2">
      <c r="A3528" s="3" t="str">
        <f>IFERROR(__xludf.DUMMYFUNCTION("GOOGLETRANSLATE(A3528,""en"",""pt"")"),"enriquecimento")</f>
        <v>enriquecimento</v>
      </c>
      <c r="B3528" s="3">
        <v>1</v>
      </c>
    </row>
    <row r="3529" ht="15.75" customHeight="1" spans="1:2">
      <c r="A3529" s="3" t="str">
        <f>IFERROR(__xludf.DUMMYFUNCTION("GOOGLETRANSLATE(A3529,""en"",""pt"")"),"empreendedor")</f>
        <v>empreendedor</v>
      </c>
      <c r="B3529" s="3">
        <v>1</v>
      </c>
    </row>
    <row r="3530" ht="15.75" customHeight="1" spans="1:2">
      <c r="A3530" s="3" t="str">
        <f>IFERROR(__xludf.DUMMYFUNCTION("GOOGLETRANSLATE(A3530,""en"",""pt"")"),"entreter")</f>
        <v>entreter</v>
      </c>
      <c r="B3530" s="3">
        <v>1</v>
      </c>
    </row>
    <row r="3531" ht="15.75" customHeight="1" spans="1:2">
      <c r="A3531" s="3" t="str">
        <f>IFERROR(__xludf.DUMMYFUNCTION("GOOGLETRANSLATE(A3531,""en"",""pt"")"),"divertido")</f>
        <v>divertido</v>
      </c>
      <c r="B3531" s="3">
        <v>1</v>
      </c>
    </row>
    <row r="3532" ht="15.75" customHeight="1" spans="1:2">
      <c r="A3532" s="3" t="str">
        <f>IFERROR(__xludf.DUMMYFUNCTION("GOOGLETRANSLATE(A3532,""en"",""pt"")"),"entretém")</f>
        <v>entretém</v>
      </c>
      <c r="B3532" s="3">
        <v>1</v>
      </c>
    </row>
    <row r="3533" ht="15.75" customHeight="1" spans="1:2">
      <c r="A3533" s="3" t="str">
        <f>IFERROR(__xludf.DUMMYFUNCTION("GOOGLETRANSLATE(A3533,""en"",""pt"")"),"encantar")</f>
        <v>encantar</v>
      </c>
      <c r="B3533" s="3">
        <v>1</v>
      </c>
    </row>
    <row r="3534" ht="15.75" customHeight="1" spans="1:2">
      <c r="A3534" s="3" t="str">
        <f>IFERROR(__xludf.DUMMYFUNCTION("GOOGLETRANSLATE(A3534,""en"",""pt"")"),"encantar")</f>
        <v>encantar</v>
      </c>
      <c r="B3534" s="3">
        <v>1</v>
      </c>
    </row>
    <row r="3535" ht="15.75" customHeight="1" spans="1:2">
      <c r="A3535" s="3" t="str">
        <f>IFERROR(__xludf.DUMMYFUNCTION("GOOGLETRANSLATE(A3535,""en"",""pt"")"),"encantado")</f>
        <v>encantado</v>
      </c>
      <c r="B3535" s="3">
        <v>1</v>
      </c>
    </row>
    <row r="3536" ht="15.75" customHeight="1" spans="1:2">
      <c r="A3536" s="3" t="str">
        <f>IFERROR(__xludf.DUMMYFUNCTION("GOOGLETRANSLATE(A3536,""en"",""pt"")"),"Enthuse")</f>
        <v>Enthuse</v>
      </c>
      <c r="B3536" s="3">
        <v>1</v>
      </c>
    </row>
    <row r="3537" ht="15.75" customHeight="1" spans="1:2">
      <c r="A3537" s="3" t="str">
        <f>IFERROR(__xludf.DUMMYFUNCTION("GOOGLETRANSLATE(A3537,""en"",""pt"")"),"entusiasmo")</f>
        <v>entusiasmo</v>
      </c>
      <c r="B3537" s="3">
        <v>1</v>
      </c>
    </row>
    <row r="3538" ht="15.75" customHeight="1" spans="1:2">
      <c r="A3538" s="3" t="str">
        <f>IFERROR(__xludf.DUMMYFUNCTION("GOOGLETRANSLATE(A3538,""en"",""pt"")"),"entusiasta")</f>
        <v>entusiasta</v>
      </c>
      <c r="B3538" s="3">
        <v>1</v>
      </c>
    </row>
    <row r="3539" ht="15.75" customHeight="1" spans="1:2">
      <c r="A3539" s="3" t="str">
        <f>IFERROR(__xludf.DUMMYFUNCTION("GOOGLETRANSLATE(A3539,""en"",""pt"")"),"entusiasmado")</f>
        <v>entusiasmado</v>
      </c>
      <c r="B3539" s="3">
        <v>1</v>
      </c>
    </row>
    <row r="3540" ht="15.75" customHeight="1" spans="1:2">
      <c r="A3540" s="3" t="str">
        <f>IFERROR(__xludf.DUMMYFUNCTION("GOOGLETRANSLATE(A3540,""en"",""pt"")"),"entusiasticamente")</f>
        <v>entusiasticamente</v>
      </c>
      <c r="B3540" s="3">
        <v>1</v>
      </c>
    </row>
    <row r="3541" ht="15.75" customHeight="1" spans="1:2">
      <c r="A3541" s="3" t="str">
        <f>IFERROR(__xludf.DUMMYFUNCTION("GOOGLETRANSLATE(A3541,""en"",""pt"")"),"seduzi")</f>
        <v>seduzi</v>
      </c>
      <c r="B3541" s="3">
        <v>1</v>
      </c>
    </row>
    <row r="3542" ht="15.75" customHeight="1" spans="1:2">
      <c r="A3542" s="3" t="str">
        <f>IFERROR(__xludf.DUMMYFUNCTION("GOOGLETRANSLATE(A3542,""en"",""pt"")"),"seduzidos")</f>
        <v>seduzidos</v>
      </c>
      <c r="B3542" s="3">
        <v>1</v>
      </c>
    </row>
    <row r="3543" ht="15.75" customHeight="1" spans="1:2">
      <c r="A3543" s="3" t="str">
        <f>IFERROR(__xludf.DUMMYFUNCTION("GOOGLETRANSLATE(A3543,""en"",""pt"")"),"sedutor")</f>
        <v>sedutor</v>
      </c>
      <c r="B3543" s="3">
        <v>1</v>
      </c>
    </row>
    <row r="3544" ht="15.75" customHeight="1" spans="1:2">
      <c r="A3544" s="3" t="str">
        <f>IFERROR(__xludf.DUMMYFUNCTION("GOOGLETRANSLATE(A3544,""en"",""pt"")"),"sedutoramente")</f>
        <v>sedutoramente</v>
      </c>
      <c r="B3544" s="3">
        <v>1</v>
      </c>
    </row>
    <row r="3545" ht="15.75" customHeight="1" spans="1:2">
      <c r="A3545" s="3" t="str">
        <f>IFERROR(__xludf.DUMMYFUNCTION("GOOGLETRANSLATE(A3545,""en"",""pt"")"),"extasiado")</f>
        <v>extasiado</v>
      </c>
      <c r="B3545" s="3">
        <v>1</v>
      </c>
    </row>
    <row r="3546" ht="15.75" customHeight="1" spans="1:2">
      <c r="A3546" s="3" t="str">
        <f>IFERROR(__xludf.DUMMYFUNCTION("GOOGLETRANSLATE(A3546,""en"",""pt"")"),"extasiante")</f>
        <v>extasiante</v>
      </c>
      <c r="B3546" s="3">
        <v>1</v>
      </c>
    </row>
    <row r="3547" ht="15.75" customHeight="1" spans="1:2">
      <c r="A3547" s="3" t="str">
        <f>IFERROR(__xludf.DUMMYFUNCTION("GOOGLETRANSLATE(A3547,""en"",""pt"")"),"confiar")</f>
        <v>confiar</v>
      </c>
      <c r="B3547" s="3">
        <v>1</v>
      </c>
    </row>
    <row r="3548" ht="15.75" customHeight="1" spans="1:2">
      <c r="A3548" s="3" t="str">
        <f>IFERROR(__xludf.DUMMYFUNCTION("GOOGLETRANSLATE(A3548,""en"",""pt"")"),"invejável")</f>
        <v>invejável</v>
      </c>
      <c r="B3548" s="3">
        <v>1</v>
      </c>
    </row>
    <row r="3549" ht="15.75" customHeight="1" spans="1:2">
      <c r="A3549" s="3" t="str">
        <f>IFERROR(__xludf.DUMMYFUNCTION("GOOGLETRANSLATE(A3549,""en"",""pt"")"),"invejavelmente")</f>
        <v>invejavelmente</v>
      </c>
      <c r="B3549" s="3">
        <v>1</v>
      </c>
    </row>
    <row r="3550" ht="15.75" customHeight="1" spans="1:2">
      <c r="A3550" s="3" t="str">
        <f>IFERROR(__xludf.DUMMYFUNCTION("GOOGLETRANSLATE(A3550,""en"",""pt"")"),"invejoso")</f>
        <v>invejoso</v>
      </c>
      <c r="B3550" s="3">
        <v>1</v>
      </c>
    </row>
    <row r="3551" ht="15.75" customHeight="1" spans="1:2">
      <c r="A3551" s="3" t="str">
        <f>IFERROR(__xludf.DUMMYFUNCTION("GOOGLETRANSLATE(A3551,""en"",""pt"")"),"enviously")</f>
        <v>enviously</v>
      </c>
      <c r="B3551" s="3">
        <v>1</v>
      </c>
    </row>
    <row r="3552" ht="15.75" customHeight="1" spans="1:2">
      <c r="A3552" s="3" t="str">
        <f>IFERROR(__xludf.DUMMYFUNCTION("GOOGLETRANSLATE(A3552,""en"",""pt"")"),"enviousness")</f>
        <v>enviousness</v>
      </c>
      <c r="B3552" s="3">
        <v>1</v>
      </c>
    </row>
    <row r="3553" ht="15.75" customHeight="1" spans="1:2">
      <c r="A3553" s="3" t="str">
        <f>IFERROR(__xludf.DUMMYFUNCTION("GOOGLETRANSLATE(A3553,""en"",""pt"")"),"inveja")</f>
        <v>inveja</v>
      </c>
      <c r="B3553" s="3">
        <v>1</v>
      </c>
    </row>
    <row r="3554" ht="15.75" customHeight="1" spans="1:2">
      <c r="A3554" s="3" t="str">
        <f>IFERROR(__xludf.DUMMYFUNCTION("GOOGLETRANSLATE(A3554,""en"",""pt"")"),"equitativo")</f>
        <v>equitativo</v>
      </c>
      <c r="B3554" s="3">
        <v>1</v>
      </c>
    </row>
    <row r="3555" ht="15.75" customHeight="1" spans="1:2">
      <c r="A3555" s="3" t="str">
        <f>IFERROR(__xludf.DUMMYFUNCTION("GOOGLETRANSLATE(A3555,""en"",""pt"")"),"ergonomical")</f>
        <v>ergonomical</v>
      </c>
      <c r="B3555" s="3">
        <v>1</v>
      </c>
    </row>
    <row r="3556" ht="15.75" customHeight="1" spans="1:2">
      <c r="A3556" s="3" t="str">
        <f>IFERROR(__xludf.DUMMYFUNCTION("GOOGLETRANSLATE(A3556,""en"",""pt"")"),"err-livre")</f>
        <v>err-livre</v>
      </c>
      <c r="B3556" s="3">
        <v>1</v>
      </c>
    </row>
    <row r="3557" ht="15.75" customHeight="1" spans="1:2">
      <c r="A3557" s="3" t="str">
        <f>IFERROR(__xludf.DUMMYFUNCTION("GOOGLETRANSLATE(A3557,""en"",""pt"")"),"erudito")</f>
        <v>erudito</v>
      </c>
      <c r="B3557" s="3">
        <v>1</v>
      </c>
    </row>
    <row r="3558" ht="15.75" customHeight="1" spans="1:2">
      <c r="A3558" s="3" t="str">
        <f>IFERROR(__xludf.DUMMYFUNCTION("GOOGLETRANSLATE(A3558,""en"",""pt"")"),"ético")</f>
        <v>ético</v>
      </c>
      <c r="B3558" s="3">
        <v>1</v>
      </c>
    </row>
    <row r="3559" ht="15.75" customHeight="1" spans="1:2">
      <c r="A3559" s="3" t="str">
        <f>IFERROR(__xludf.DUMMYFUNCTION("GOOGLETRANSLATE(A3559,""en"",""pt"")"),"elogiar")</f>
        <v>elogiar</v>
      </c>
      <c r="B3559" s="3">
        <v>1</v>
      </c>
    </row>
    <row r="3560" ht="15.75" customHeight="1" spans="1:2">
      <c r="A3560" s="3" t="str">
        <f>IFERROR(__xludf.DUMMYFUNCTION("GOOGLETRANSLATE(A3560,""en"",""pt"")"),"euforia")</f>
        <v>euforia</v>
      </c>
      <c r="B3560" s="3">
        <v>1</v>
      </c>
    </row>
    <row r="3561" ht="15.75" customHeight="1" spans="1:2">
      <c r="A3561" s="3" t="str">
        <f>IFERROR(__xludf.DUMMYFUNCTION("GOOGLETRANSLATE(A3561,""en"",""pt"")"),"eufórico")</f>
        <v>eufórico</v>
      </c>
      <c r="B3561" s="3">
        <v>1</v>
      </c>
    </row>
    <row r="3562" ht="15.75" customHeight="1" spans="1:2">
      <c r="A3562" s="3" t="str">
        <f>IFERROR(__xludf.DUMMYFUNCTION("GOOGLETRANSLATE(A3562,""en"",""pt"")"),"euforicamente")</f>
        <v>euforicamente</v>
      </c>
      <c r="B3562" s="3">
        <v>1</v>
      </c>
    </row>
    <row r="3563" ht="15.75" customHeight="1" spans="1:2">
      <c r="A3563" s="3" t="str">
        <f>IFERROR(__xludf.DUMMYFUNCTION("GOOGLETRANSLATE(A3563,""en"",""pt"")"),"avaliativo")</f>
        <v>avaliativo</v>
      </c>
      <c r="B3563" s="3">
        <v>1</v>
      </c>
    </row>
    <row r="3564" ht="15.75" customHeight="1" spans="1:2">
      <c r="A3564" s="3" t="str">
        <f>IFERROR(__xludf.DUMMYFUNCTION("GOOGLETRANSLATE(A3564,""en"",""pt"")"),"uniformemente")</f>
        <v>uniformemente</v>
      </c>
      <c r="B3564" s="3">
        <v>1</v>
      </c>
    </row>
    <row r="3565" ht="15.75" customHeight="1" spans="1:2">
      <c r="A3565" s="3" t="str">
        <f>IFERROR(__xludf.DUMMYFUNCTION("GOOGLETRANSLATE(A3565,""en"",""pt"")"),"agitado")</f>
        <v>agitado</v>
      </c>
      <c r="B3565" s="3">
        <v>1</v>
      </c>
    </row>
    <row r="3566" ht="15.75" customHeight="1" spans="1:2">
      <c r="A3566" s="3" t="str">
        <f>IFERROR(__xludf.DUMMYFUNCTION("GOOGLETRANSLATE(A3566,""en"",""pt"")"),"eterno")</f>
        <v>eterno</v>
      </c>
      <c r="B3566" s="3">
        <v>1</v>
      </c>
    </row>
    <row r="3567" ht="15.75" customHeight="1" spans="1:2">
      <c r="A3567" s="3" t="str">
        <f>IFERROR(__xludf.DUMMYFUNCTION("GOOGLETRANSLATE(A3567,""en"",""pt"")"),"evocativo")</f>
        <v>evocativo</v>
      </c>
      <c r="B3567" s="3">
        <v>1</v>
      </c>
    </row>
    <row r="3568" ht="15.75" customHeight="1" spans="1:2">
      <c r="A3568" s="3" t="str">
        <f>IFERROR(__xludf.DUMMYFUNCTION("GOOGLETRANSLATE(A3568,""en"",""pt"")"),"exaltar")</f>
        <v>exaltar</v>
      </c>
      <c r="B3568" s="3">
        <v>1</v>
      </c>
    </row>
    <row r="3569" ht="15.75" customHeight="1" spans="1:2">
      <c r="A3569" s="3" t="str">
        <f>IFERROR(__xludf.DUMMYFUNCTION("GOOGLETRANSLATE(A3569,""en"",""pt"")"),"exaltação")</f>
        <v>exaltação</v>
      </c>
      <c r="B3569" s="3">
        <v>1</v>
      </c>
    </row>
    <row r="3570" ht="15.75" customHeight="1" spans="1:2">
      <c r="A3570" s="3" t="str">
        <f>IFERROR(__xludf.DUMMYFUNCTION("GOOGLETRANSLATE(A3570,""en"",""pt"")"),"exaltado")</f>
        <v>exaltado</v>
      </c>
      <c r="B3570" s="3">
        <v>1</v>
      </c>
    </row>
    <row r="3571" ht="15.75" customHeight="1" spans="1:2">
      <c r="A3571" s="3" t="str">
        <f>IFERROR(__xludf.DUMMYFUNCTION("GOOGLETRANSLATE(A3571,""en"",""pt"")"),"exaltadamente")</f>
        <v>exaltadamente</v>
      </c>
      <c r="B3571" s="3">
        <v>1</v>
      </c>
    </row>
    <row r="3572" ht="15.75" customHeight="1" spans="1:2">
      <c r="A3572" s="3" t="str">
        <f>IFERROR(__xludf.DUMMYFUNCTION("GOOGLETRANSLATE(A3572,""en"",""pt"")"),"exaltando")</f>
        <v>exaltando</v>
      </c>
      <c r="B3572" s="3">
        <v>1</v>
      </c>
    </row>
    <row r="3573" ht="15.75" customHeight="1" spans="1:2">
      <c r="A3573" s="3" t="str">
        <f>IFERROR(__xludf.DUMMYFUNCTION("GOOGLETRANSLATE(A3573,""en"",""pt"")"),"exaltingly")</f>
        <v>exaltingly</v>
      </c>
      <c r="B3573" s="3">
        <v>1</v>
      </c>
    </row>
    <row r="3574" ht="15.75" customHeight="1" spans="1:2">
      <c r="A3574" s="3" t="str">
        <f>IFERROR(__xludf.DUMMYFUNCTION("GOOGLETRANSLATE(A3574,""en"",""pt"")"),"examplar")</f>
        <v>examplar</v>
      </c>
      <c r="B3574" s="3">
        <v>1</v>
      </c>
    </row>
    <row r="3575" ht="15.75" customHeight="1" spans="1:2">
      <c r="A3575" s="3" t="str">
        <f>IFERROR(__xludf.DUMMYFUNCTION("GOOGLETRANSLATE(A3575,""en"",""pt"")"),"examplary")</f>
        <v>examplary</v>
      </c>
      <c r="B3575" s="3">
        <v>1</v>
      </c>
    </row>
    <row r="3576" ht="15.75" customHeight="1" spans="1:2">
      <c r="A3576" s="3" t="str">
        <f>IFERROR(__xludf.DUMMYFUNCTION("GOOGLETRANSLATE(A3576,""en"",""pt"")"),"excallent")</f>
        <v>excallent</v>
      </c>
      <c r="B3576" s="3">
        <v>1</v>
      </c>
    </row>
    <row r="3577" ht="15.75" customHeight="1" spans="1:2">
      <c r="A3577" s="3" t="str">
        <f>IFERROR(__xludf.DUMMYFUNCTION("GOOGLETRANSLATE(A3577,""en"",""pt"")"),"ultrapassarem")</f>
        <v>ultrapassarem</v>
      </c>
      <c r="B3577" s="3">
        <v>1</v>
      </c>
    </row>
    <row r="3578" ht="15.75" customHeight="1" spans="1:2">
      <c r="A3578" s="3" t="str">
        <f>IFERROR(__xludf.DUMMYFUNCTION("GOOGLETRANSLATE(A3578,""en"",""pt"")"),"excedido")</f>
        <v>excedido</v>
      </c>
      <c r="B3578" s="3">
        <v>1</v>
      </c>
    </row>
    <row r="3579" ht="15.75" customHeight="1" spans="1:2">
      <c r="A3579" s="3" t="str">
        <f>IFERROR(__xludf.DUMMYFUNCTION("GOOGLETRANSLATE(A3579,""en"",""pt"")"),"superior")</f>
        <v>superior</v>
      </c>
      <c r="B3579" s="3">
        <v>1</v>
      </c>
    </row>
    <row r="3580" ht="15.75" customHeight="1" spans="1:2">
      <c r="A3580" s="3" t="str">
        <f>IFERROR(__xludf.DUMMYFUNCTION("GOOGLETRANSLATE(A3580,""en"",""pt"")"),"extremamente")</f>
        <v>extremamente</v>
      </c>
      <c r="B3580" s="3">
        <v>1</v>
      </c>
    </row>
    <row r="3581" ht="15.75" customHeight="1" spans="1:2">
      <c r="A3581" s="3" t="str">
        <f>IFERROR(__xludf.DUMMYFUNCTION("GOOGLETRANSLATE(A3581,""en"",""pt"")"),"excede")</f>
        <v>excede</v>
      </c>
      <c r="B3581" s="3">
        <v>1</v>
      </c>
    </row>
    <row r="3582" ht="15.75" customHeight="1" spans="1:2">
      <c r="A3582" s="3" t="str">
        <f>IFERROR(__xludf.DUMMYFUNCTION("GOOGLETRANSLATE(A3582,""en"",""pt"")"),"sobressair")</f>
        <v>sobressair</v>
      </c>
      <c r="B3582" s="3">
        <v>1</v>
      </c>
    </row>
    <row r="3583" ht="15.75" customHeight="1" spans="1:2">
      <c r="A3583" s="3" t="str">
        <f>IFERROR(__xludf.DUMMYFUNCTION("GOOGLETRANSLATE(A3583,""en"",""pt"")"),"exceled")</f>
        <v>exceled</v>
      </c>
      <c r="B3583" s="3">
        <v>1</v>
      </c>
    </row>
    <row r="3584" ht="15.75" customHeight="1" spans="1:2">
      <c r="A3584" s="3" t="str">
        <f>IFERROR(__xludf.DUMMYFUNCTION("GOOGLETRANSLATE(A3584,""en"",""pt"")"),"excelente")</f>
        <v>excelente</v>
      </c>
      <c r="B3584" s="3">
        <v>1</v>
      </c>
    </row>
    <row r="3585" ht="15.75" customHeight="1" spans="1:2">
      <c r="A3585" s="3" t="str">
        <f>IFERROR(__xludf.DUMMYFUNCTION("GOOGLETRANSLATE(A3585,""en"",""pt"")"),"Boa localização")</f>
        <v>Boa localização</v>
      </c>
      <c r="B3585" s="3">
        <v>1</v>
      </c>
    </row>
    <row r="3586" ht="15.75" customHeight="1" spans="1:2">
      <c r="A3586" s="3" t="str">
        <f>IFERROR(__xludf.DUMMYFUNCTION("GOOGLETRANSLATE(A3586,""en"",""pt"")"),"Excelled")</f>
        <v>Excelled</v>
      </c>
      <c r="B3586" s="3">
        <v>1</v>
      </c>
    </row>
    <row r="3587" ht="15.75" customHeight="1" spans="1:2">
      <c r="A3587" s="3" t="str">
        <f>IFERROR(__xludf.DUMMYFUNCTION("GOOGLETRANSLATE(A3587,""en"",""pt"")"),"excelência")</f>
        <v>excelência</v>
      </c>
      <c r="B3587" s="3">
        <v>1</v>
      </c>
    </row>
    <row r="3588" ht="15.75" customHeight="1" spans="1:2">
      <c r="A3588" s="3" t="str">
        <f>IFERROR(__xludf.DUMMYFUNCTION("GOOGLETRANSLATE(A3588,""en"",""pt"")"),"excelência")</f>
        <v>excelência</v>
      </c>
      <c r="B3588" s="3">
        <v>1</v>
      </c>
    </row>
    <row r="3589" ht="15.75" customHeight="1" spans="1:2">
      <c r="A3589" s="3" t="str">
        <f>IFERROR(__xludf.DUMMYFUNCTION("GOOGLETRANSLATE(A3589,""en"",""pt"")"),"excelente")</f>
        <v>excelente</v>
      </c>
      <c r="B3589" s="3">
        <v>1</v>
      </c>
    </row>
    <row r="3590" ht="15.75" customHeight="1" spans="1:2">
      <c r="A3590" s="3" t="str">
        <f>IFERROR(__xludf.DUMMYFUNCTION("GOOGLETRANSLATE(A3590,""en"",""pt"")"),"excelentemente")</f>
        <v>excelentemente</v>
      </c>
      <c r="B3590" s="3">
        <v>1</v>
      </c>
    </row>
    <row r="3591" ht="15.75" customHeight="1" spans="1:2">
      <c r="A3591" s="3" t="str">
        <f>IFERROR(__xludf.DUMMYFUNCTION("GOOGLETRANSLATE(A3591,""en"",""pt"")"),"sobressai")</f>
        <v>sobressai</v>
      </c>
      <c r="B3591" s="3">
        <v>1</v>
      </c>
    </row>
    <row r="3592" ht="15.75" customHeight="1" spans="1:2">
      <c r="A3592" s="3" t="str">
        <f>IFERROR(__xludf.DUMMYFUNCTION("GOOGLETRANSLATE(A3592,""en"",""pt"")"),"excepcional")</f>
        <v>excepcional</v>
      </c>
      <c r="B3592" s="3">
        <v>1</v>
      </c>
    </row>
    <row r="3593" ht="15.75" customHeight="1" spans="1:2">
      <c r="A3593" s="3" t="str">
        <f>IFERROR(__xludf.DUMMYFUNCTION("GOOGLETRANSLATE(A3593,""en"",""pt"")"),"excepcionalmente")</f>
        <v>excepcionalmente</v>
      </c>
      <c r="B3593" s="3">
        <v>1</v>
      </c>
    </row>
    <row r="3594" ht="15.75" customHeight="1" spans="1:2">
      <c r="A3594" s="3" t="str">
        <f>IFERROR(__xludf.DUMMYFUNCTION("GOOGLETRANSLATE(A3594,""en"",""pt"")"),"excitar")</f>
        <v>excitar</v>
      </c>
      <c r="B3594" s="3">
        <v>1</v>
      </c>
    </row>
    <row r="3595" ht="15.75" customHeight="1" spans="1:2">
      <c r="A3595" s="3" t="str">
        <f>IFERROR(__xludf.DUMMYFUNCTION("GOOGLETRANSLATE(A3595,""en"",""pt"")"),"animado")</f>
        <v>animado</v>
      </c>
      <c r="B3595" s="3">
        <v>1</v>
      </c>
    </row>
    <row r="3596" ht="15.75" customHeight="1" spans="1:2">
      <c r="A3596" s="3" t="str">
        <f>IFERROR(__xludf.DUMMYFUNCTION("GOOGLETRANSLATE(A3596,""en"",""pt"")"),"animadamente")</f>
        <v>animadamente</v>
      </c>
      <c r="B3596" s="3">
        <v>1</v>
      </c>
    </row>
    <row r="3597" ht="15.75" customHeight="1" spans="1:2">
      <c r="A3597" s="3" t="str">
        <f>IFERROR(__xludf.DUMMYFUNCTION("GOOGLETRANSLATE(A3597,""en"",""pt"")"),"excitedness")</f>
        <v>excitedness</v>
      </c>
      <c r="B3597" s="3">
        <v>1</v>
      </c>
    </row>
    <row r="3598" ht="15.75" customHeight="1" spans="1:2">
      <c r="A3598" s="3" t="str">
        <f>IFERROR(__xludf.DUMMYFUNCTION("GOOGLETRANSLATE(A3598,""en"",""pt"")"),"excitação")</f>
        <v>excitação</v>
      </c>
      <c r="B3598" s="3">
        <v>1</v>
      </c>
    </row>
    <row r="3599" ht="15.75" customHeight="1" spans="1:2">
      <c r="A3599" s="3" t="str">
        <f>IFERROR(__xludf.DUMMYFUNCTION("GOOGLETRANSLATE(A3599,""en"",""pt"")"),"excita")</f>
        <v>excita</v>
      </c>
      <c r="B3599" s="3">
        <v>1</v>
      </c>
    </row>
    <row r="3600" ht="15.75" customHeight="1" spans="1:2">
      <c r="A3600" s="3" t="str">
        <f>IFERROR(__xludf.DUMMYFUNCTION("GOOGLETRANSLATE(A3600,""en"",""pt"")"),"emocionante")</f>
        <v>emocionante</v>
      </c>
      <c r="B3600" s="3">
        <v>1</v>
      </c>
    </row>
    <row r="3601" ht="15.75" customHeight="1" spans="1:2">
      <c r="A3601" s="3" t="str">
        <f>IFERROR(__xludf.DUMMYFUNCTION("GOOGLETRANSLATE(A3601,""en"",""pt"")"),"excitingly")</f>
        <v>excitingly</v>
      </c>
      <c r="B3601" s="3">
        <v>1</v>
      </c>
    </row>
    <row r="3602" ht="15.75" customHeight="1" spans="1:2">
      <c r="A3602" s="3" t="str">
        <f>IFERROR(__xludf.DUMMYFUNCTION("GOOGLETRANSLATE(A3602,""en"",""pt"")"),"exellent")</f>
        <v>exellent</v>
      </c>
      <c r="B3602" s="3">
        <v>1</v>
      </c>
    </row>
    <row r="3603" ht="15.75" customHeight="1" spans="1:2">
      <c r="A3603" s="3" t="str">
        <f>IFERROR(__xludf.DUMMYFUNCTION("GOOGLETRANSLATE(A3603,""en"",""pt"")"),"exemplar")</f>
        <v>exemplar</v>
      </c>
      <c r="B3603" s="3">
        <v>1</v>
      </c>
    </row>
    <row r="3604" ht="15.75" customHeight="1" spans="1:2">
      <c r="A3604" s="3" t="str">
        <f>IFERROR(__xludf.DUMMYFUNCTION("GOOGLETRANSLATE(A3604,""en"",""pt"")"),"exemplar")</f>
        <v>exemplar</v>
      </c>
      <c r="B3604" s="3">
        <v>1</v>
      </c>
    </row>
    <row r="3605" ht="15.75" customHeight="1" spans="1:2">
      <c r="A3605" s="3" t="str">
        <f>IFERROR(__xludf.DUMMYFUNCTION("GOOGLETRANSLATE(A3605,""en"",""pt"")"),"exhilarate")</f>
        <v>exhilarate</v>
      </c>
      <c r="B3605" s="3">
        <v>1</v>
      </c>
    </row>
    <row r="3606" ht="15.75" customHeight="1" spans="1:2">
      <c r="A3606" s="3" t="str">
        <f>IFERROR(__xludf.DUMMYFUNCTION("GOOGLETRANSLATE(A3606,""en"",""pt"")"),"emocionante")</f>
        <v>emocionante</v>
      </c>
      <c r="B3606" s="3">
        <v>1</v>
      </c>
    </row>
    <row r="3607" ht="15.75" customHeight="1" spans="1:2">
      <c r="A3607" s="3" t="str">
        <f>IFERROR(__xludf.DUMMYFUNCTION("GOOGLETRANSLATE(A3607,""en"",""pt"")"),"exhilaratingly")</f>
        <v>exhilaratingly</v>
      </c>
      <c r="B3607" s="3">
        <v>1</v>
      </c>
    </row>
    <row r="3608" ht="15.75" customHeight="1" spans="1:2">
      <c r="A3608" s="3" t="str">
        <f>IFERROR(__xludf.DUMMYFUNCTION("GOOGLETRANSLATE(A3608,""en"",""pt"")"),"alegria")</f>
        <v>alegria</v>
      </c>
      <c r="B3608" s="3">
        <v>1</v>
      </c>
    </row>
    <row r="3609" ht="15.75" customHeight="1" spans="1:2">
      <c r="A3609" s="3" t="str">
        <f>IFERROR(__xludf.DUMMYFUNCTION("GOOGLETRANSLATE(A3609,""en"",""pt"")"),"EXONERE")</f>
        <v>EXONERE</v>
      </c>
      <c r="B3609" s="3">
        <v>1</v>
      </c>
    </row>
    <row r="3610" ht="15.75" customHeight="1" spans="1:2">
      <c r="A3610" s="3" t="str">
        <f>IFERROR(__xludf.DUMMYFUNCTION("GOOGLETRANSLATE(A3610,""en"",""pt"")"),"expansivo")</f>
        <v>expansivo</v>
      </c>
      <c r="B3610" s="3">
        <v>1</v>
      </c>
    </row>
    <row r="3611" ht="15.75" customHeight="1" spans="1:2">
      <c r="A3611" s="3" t="str">
        <f>IFERROR(__xludf.DUMMYFUNCTION("GOOGLETRANSLATE(A3611,""en"",""pt"")"),"expedita")</f>
        <v>expedita</v>
      </c>
      <c r="B3611" s="3">
        <v>1</v>
      </c>
    </row>
    <row r="3612" ht="15.75" customHeight="1" spans="1:2">
      <c r="A3612" s="3" t="str">
        <f>IFERROR(__xludf.DUMMYFUNCTION("GOOGLETRANSLATE(A3612,""en"",""pt"")"),"habilmente")</f>
        <v>habilmente</v>
      </c>
      <c r="B3612" s="3">
        <v>1</v>
      </c>
    </row>
    <row r="3613" ht="15.75" customHeight="1" spans="1:2">
      <c r="A3613" s="3" t="str">
        <f>IFERROR(__xludf.DUMMYFUNCTION("GOOGLETRANSLATE(A3613,""en"",""pt"")"),"requintado")</f>
        <v>requintado</v>
      </c>
      <c r="B3613" s="3">
        <v>1</v>
      </c>
    </row>
    <row r="3614" ht="15.75" customHeight="1" spans="1:2">
      <c r="A3614" s="3" t="str">
        <f>IFERROR(__xludf.DUMMYFUNCTION("GOOGLETRANSLATE(A3614,""en"",""pt"")"),"requintadamente")</f>
        <v>requintadamente</v>
      </c>
      <c r="B3614" s="3">
        <v>1</v>
      </c>
    </row>
    <row r="3615" ht="15.75" customHeight="1" spans="1:2">
      <c r="A3615" s="3" t="str">
        <f>IFERROR(__xludf.DUMMYFUNCTION("GOOGLETRANSLATE(A3615,""en"",""pt"")"),"extol")</f>
        <v>extol</v>
      </c>
      <c r="B3615" s="3">
        <v>1</v>
      </c>
    </row>
    <row r="3616" ht="15.75" customHeight="1" spans="1:2">
      <c r="A3616" s="3" t="str">
        <f>IFERROR(__xludf.DUMMYFUNCTION("GOOGLETRANSLATE(A3616,""en"",""pt"")"),"Extoll")</f>
        <v>Extoll</v>
      </c>
      <c r="B3616" s="3">
        <v>1</v>
      </c>
    </row>
    <row r="3617" ht="15.75" customHeight="1" spans="1:2">
      <c r="A3617" s="3" t="str">
        <f>IFERROR(__xludf.DUMMYFUNCTION("GOOGLETRANSLATE(A3617,""en"",""pt"")"),"extraordinariamente")</f>
        <v>extraordinariamente</v>
      </c>
      <c r="B3617" s="3">
        <v>1</v>
      </c>
    </row>
    <row r="3618" ht="15.75" customHeight="1" spans="1:2">
      <c r="A3618" s="3" t="str">
        <f>IFERROR(__xludf.DUMMYFUNCTION("GOOGLETRANSLATE(A3618,""en"",""pt"")"),"extraordinário")</f>
        <v>extraordinário</v>
      </c>
      <c r="B3618" s="3">
        <v>1</v>
      </c>
    </row>
    <row r="3619" ht="15.75" customHeight="1" spans="1:2">
      <c r="A3619" s="3" t="str">
        <f>IFERROR(__xludf.DUMMYFUNCTION("GOOGLETRANSLATE(A3619,""en"",""pt"")"),"exuberância")</f>
        <v>exuberância</v>
      </c>
      <c r="B3619" s="3">
        <v>1</v>
      </c>
    </row>
    <row r="3620" ht="15.75" customHeight="1" spans="1:2">
      <c r="A3620" s="3" t="str">
        <f>IFERROR(__xludf.DUMMYFUNCTION("GOOGLETRANSLATE(A3620,""en"",""pt"")"),"exuberante")</f>
        <v>exuberante</v>
      </c>
      <c r="B3620" s="3">
        <v>1</v>
      </c>
    </row>
    <row r="3621" ht="15.75" customHeight="1" spans="1:2">
      <c r="A3621" s="3" t="str">
        <f>IFERROR(__xludf.DUMMYFUNCTION("GOOGLETRANSLATE(A3621,""en"",""pt"")"),"exuberantemente")</f>
        <v>exuberantemente</v>
      </c>
      <c r="B3621" s="3">
        <v>1</v>
      </c>
    </row>
    <row r="3622" ht="15.75" customHeight="1" spans="1:2">
      <c r="A3622" s="3" t="str">
        <f>IFERROR(__xludf.DUMMYFUNCTION("GOOGLETRANSLATE(A3622,""en"",""pt"")"),"exultar")</f>
        <v>exultar</v>
      </c>
      <c r="B3622" s="3">
        <v>1</v>
      </c>
    </row>
    <row r="3623" ht="15.75" customHeight="1" spans="1:2">
      <c r="A3623" s="3" t="str">
        <f>IFERROR(__xludf.DUMMYFUNCTION("GOOGLETRANSLATE(A3623,""en"",""pt"")"),"exultante")</f>
        <v>exultante</v>
      </c>
      <c r="B3623" s="3">
        <v>1</v>
      </c>
    </row>
    <row r="3624" ht="15.75" customHeight="1" spans="1:2">
      <c r="A3624" s="3" t="str">
        <f>IFERROR(__xludf.DUMMYFUNCTION("GOOGLETRANSLATE(A3624,""en"",""pt"")"),"exultação")</f>
        <v>exultação</v>
      </c>
      <c r="B3624" s="3">
        <v>1</v>
      </c>
    </row>
    <row r="3625" ht="15.75" customHeight="1" spans="1:2">
      <c r="A3625" s="3" t="str">
        <f>IFERROR(__xludf.DUMMYFUNCTION("GOOGLETRANSLATE(A3625,""en"",""pt"")"),"exultantemente")</f>
        <v>exultantemente</v>
      </c>
      <c r="B3625" s="3">
        <v>1</v>
      </c>
    </row>
    <row r="3626" ht="15.75" customHeight="1" spans="1:2">
      <c r="A3626" s="3" t="str">
        <f>IFERROR(__xludf.DUMMYFUNCTION("GOOGLETRANSLATE(A3626,""en"",""pt"")"),"olho-de captura")</f>
        <v>olho-de captura</v>
      </c>
      <c r="B3626" s="3">
        <v>1</v>
      </c>
    </row>
    <row r="3627" ht="15.75" customHeight="1" spans="1:2">
      <c r="A3627" s="3" t="str">
        <f>IFERROR(__xludf.DUMMYFUNCTION("GOOGLETRANSLATE(A3627,""en"",""pt"")"),"atraente")</f>
        <v>atraente</v>
      </c>
      <c r="B3627" s="3">
        <v>1</v>
      </c>
    </row>
    <row r="3628" ht="15.75" customHeight="1" spans="1:2">
      <c r="A3628" s="3" t="str">
        <f>IFERROR(__xludf.DUMMYFUNCTION("GOOGLETRANSLATE(A3628,""en"",""pt"")"),"eyecatch")</f>
        <v>eyecatch</v>
      </c>
      <c r="B3628" s="3">
        <v>1</v>
      </c>
    </row>
    <row r="3629" ht="15.75" customHeight="1" spans="1:2">
      <c r="A3629" s="3" t="str">
        <f>IFERROR(__xludf.DUMMYFUNCTION("GOOGLETRANSLATE(A3629,""en"",""pt"")"),"eyecatching")</f>
        <v>eyecatching</v>
      </c>
      <c r="B3629" s="3">
        <v>1</v>
      </c>
    </row>
    <row r="3630" ht="15.75" customHeight="1" spans="1:2">
      <c r="A3630" s="3" t="str">
        <f>IFERROR(__xludf.DUMMYFUNCTION("GOOGLETRANSLATE(A3630,""en"",""pt"")"),"fabuloso")</f>
        <v>fabuloso</v>
      </c>
      <c r="B3630" s="3">
        <v>1</v>
      </c>
    </row>
    <row r="3631" ht="15.75" customHeight="1" spans="1:2">
      <c r="A3631" s="3" t="str">
        <f>IFERROR(__xludf.DUMMYFUNCTION("GOOGLETRANSLATE(A3631,""en"",""pt"")"),"fabulosamente")</f>
        <v>fabulosamente</v>
      </c>
      <c r="B3631" s="3">
        <v>1</v>
      </c>
    </row>
    <row r="3632" ht="15.75" customHeight="1" spans="1:2">
      <c r="A3632" s="3" t="str">
        <f>IFERROR(__xludf.DUMMYFUNCTION("GOOGLETRANSLATE(A3632,""en"",""pt"")"),"facilitar")</f>
        <v>facilitar</v>
      </c>
      <c r="B3632" s="3">
        <v>1</v>
      </c>
    </row>
    <row r="3633" ht="15.75" customHeight="1" spans="1:2">
      <c r="A3633" s="3" t="str">
        <f>IFERROR(__xludf.DUMMYFUNCTION("GOOGLETRANSLATE(A3633,""en"",""pt"")"),"justo")</f>
        <v>justo</v>
      </c>
      <c r="B3633" s="3">
        <v>1</v>
      </c>
    </row>
    <row r="3634" ht="15.75" customHeight="1" spans="1:2">
      <c r="A3634" s="3" t="str">
        <f>IFERROR(__xludf.DUMMYFUNCTION("GOOGLETRANSLATE(A3634,""en"",""pt"")"),"bastante")</f>
        <v>bastante</v>
      </c>
      <c r="B3634" s="3">
        <v>1</v>
      </c>
    </row>
    <row r="3635" ht="15.75" customHeight="1" spans="1:2">
      <c r="A3635" s="3" t="str">
        <f>IFERROR(__xludf.DUMMYFUNCTION("GOOGLETRANSLATE(A3635,""en"",""pt"")"),"justiça")</f>
        <v>justiça</v>
      </c>
      <c r="B3635" s="3">
        <v>1</v>
      </c>
    </row>
    <row r="3636" ht="15.75" customHeight="1" spans="1:2">
      <c r="A3636" s="3" t="str">
        <f>IFERROR(__xludf.DUMMYFUNCTION("GOOGLETRANSLATE(A3636,""en"",""pt"")"),"fé")</f>
        <v>fé</v>
      </c>
      <c r="B3636" s="3">
        <v>1</v>
      </c>
    </row>
    <row r="3637" ht="15.75" customHeight="1" spans="1:2">
      <c r="A3637" s="3" t="str">
        <f>IFERROR(__xludf.DUMMYFUNCTION("GOOGLETRANSLATE(A3637,""en"",""pt"")"),"fiel")</f>
        <v>fiel</v>
      </c>
      <c r="B3637" s="3">
        <v>1</v>
      </c>
    </row>
    <row r="3638" ht="15.75" customHeight="1" spans="1:2">
      <c r="A3638" s="3" t="str">
        <f>IFERROR(__xludf.DUMMYFUNCTION("GOOGLETRANSLATE(A3638,""en"",""pt"")"),"fielmente")</f>
        <v>fielmente</v>
      </c>
      <c r="B3638" s="3">
        <v>1</v>
      </c>
    </row>
    <row r="3639" ht="15.75" customHeight="1" spans="1:2">
      <c r="A3639" s="3" t="str">
        <f>IFERROR(__xludf.DUMMYFUNCTION("GOOGLETRANSLATE(A3639,""en"",""pt"")"),"fidelidade")</f>
        <v>fidelidade</v>
      </c>
      <c r="B3639" s="3">
        <v>1</v>
      </c>
    </row>
    <row r="3640" ht="15.75" customHeight="1" spans="1:2">
      <c r="A3640" s="3" t="str">
        <f>IFERROR(__xludf.DUMMYFUNCTION("GOOGLETRANSLATE(A3640,""en"",""pt"")"),"fama")</f>
        <v>fama</v>
      </c>
      <c r="B3640" s="3">
        <v>1</v>
      </c>
    </row>
    <row r="3641" ht="15.75" customHeight="1" spans="1:2">
      <c r="A3641" s="3" t="str">
        <f>IFERROR(__xludf.DUMMYFUNCTION("GOOGLETRANSLATE(A3641,""en"",""pt"")"),"famoso")</f>
        <v>famoso</v>
      </c>
      <c r="B3641" s="3">
        <v>1</v>
      </c>
    </row>
    <row r="3642" ht="15.75" customHeight="1" spans="1:2">
      <c r="A3642" s="3" t="str">
        <f>IFERROR(__xludf.DUMMYFUNCTION("GOOGLETRANSLATE(A3642,""en"",""pt"")"),"famoso")</f>
        <v>famoso</v>
      </c>
      <c r="B3642" s="3">
        <v>1</v>
      </c>
    </row>
    <row r="3643" ht="15.75" customHeight="1" spans="1:2">
      <c r="A3643" s="3" t="str">
        <f>IFERROR(__xludf.DUMMYFUNCTION("GOOGLETRANSLATE(A3643,""en"",""pt"")"),"famosamente")</f>
        <v>famosamente</v>
      </c>
      <c r="B3643" s="3">
        <v>1</v>
      </c>
    </row>
    <row r="3644" ht="15.75" customHeight="1" spans="1:2">
      <c r="A3644" s="3" t="str">
        <f>IFERROR(__xludf.DUMMYFUNCTION("GOOGLETRANSLATE(A3644,""en"",""pt"")"),"apreciador")</f>
        <v>apreciador</v>
      </c>
      <c r="B3644" s="3">
        <v>1</v>
      </c>
    </row>
    <row r="3645" ht="15.75" customHeight="1" spans="1:2">
      <c r="A3645" s="3" t="str">
        <f>IFERROR(__xludf.DUMMYFUNCTION("GOOGLETRANSLATE(A3645,""en"",""pt"")"),"fancinating")</f>
        <v>fancinating</v>
      </c>
      <c r="B3645" s="3">
        <v>1</v>
      </c>
    </row>
    <row r="3646" ht="15.75" customHeight="1" spans="1:2">
      <c r="A3646" s="3" t="str">
        <f>IFERROR(__xludf.DUMMYFUNCTION("GOOGLETRANSLATE(A3646,""en"",""pt"")"),"chique")</f>
        <v>chique</v>
      </c>
      <c r="B3646" s="3">
        <v>1</v>
      </c>
    </row>
    <row r="3647" ht="15.75" customHeight="1" spans="1:2">
      <c r="A3647" s="3" t="str">
        <f>IFERROR(__xludf.DUMMYFUNCTION("GOOGLETRANSLATE(A3647,""en"",""pt"")"),"fanfarra")</f>
        <v>fanfarra</v>
      </c>
      <c r="B3647" s="3">
        <v>1</v>
      </c>
    </row>
    <row r="3648" ht="15.75" customHeight="1" spans="1:2">
      <c r="A3648" s="3" t="str">
        <f>IFERROR(__xludf.DUMMYFUNCTION("GOOGLETRANSLATE(A3648,""en"",""pt"")"),"fãs")</f>
        <v>fãs</v>
      </c>
      <c r="B3648" s="3">
        <v>1</v>
      </c>
    </row>
    <row r="3649" ht="15.75" customHeight="1" spans="1:2">
      <c r="A3649" s="3" t="str">
        <f>IFERROR(__xludf.DUMMYFUNCTION("GOOGLETRANSLATE(A3649,""en"",""pt"")"),"fantástico")</f>
        <v>fantástico</v>
      </c>
      <c r="B3649" s="3">
        <v>1</v>
      </c>
    </row>
    <row r="3650" ht="15.75" customHeight="1" spans="1:2">
      <c r="A3650" s="3" t="str">
        <f>IFERROR(__xludf.DUMMYFUNCTION("GOOGLETRANSLATE(A3650,""en"",""pt"")"),"fantasticamente")</f>
        <v>fantasticamente</v>
      </c>
      <c r="B3650" s="3">
        <v>1</v>
      </c>
    </row>
    <row r="3651" ht="15.75" customHeight="1" spans="1:2">
      <c r="A3651" s="3" t="str">
        <f>IFERROR(__xludf.DUMMYFUNCTION("GOOGLETRANSLATE(A3651,""en"",""pt"")"),"fascinar")</f>
        <v>fascinar</v>
      </c>
      <c r="B3651" s="3">
        <v>1</v>
      </c>
    </row>
    <row r="3652" ht="15.75" customHeight="1" spans="1:2">
      <c r="A3652" s="3" t="str">
        <f>IFERROR(__xludf.DUMMYFUNCTION("GOOGLETRANSLATE(A3652,""en"",""pt"")"),"fascinante")</f>
        <v>fascinante</v>
      </c>
      <c r="B3652" s="3">
        <v>1</v>
      </c>
    </row>
    <row r="3653" ht="15.75" customHeight="1" spans="1:2">
      <c r="A3653" s="3" t="str">
        <f>IFERROR(__xludf.DUMMYFUNCTION("GOOGLETRANSLATE(A3653,""en"",""pt"")"),"fascinantemente")</f>
        <v>fascinantemente</v>
      </c>
      <c r="B3653" s="3">
        <v>1</v>
      </c>
    </row>
    <row r="3654" ht="15.75" customHeight="1" spans="1:2">
      <c r="A3654" s="3" t="str">
        <f>IFERROR(__xludf.DUMMYFUNCTION("GOOGLETRANSLATE(A3654,""en"",""pt"")"),"fascinação")</f>
        <v>fascinação</v>
      </c>
      <c r="B3654" s="3">
        <v>1</v>
      </c>
    </row>
    <row r="3655" ht="15.75" customHeight="1" spans="1:2">
      <c r="A3655" s="3" t="str">
        <f>IFERROR(__xludf.DUMMYFUNCTION("GOOGLETRANSLATE(A3655,""en"",""pt"")"),"elegante")</f>
        <v>elegante</v>
      </c>
      <c r="B3655" s="3">
        <v>1</v>
      </c>
    </row>
    <row r="3656" ht="15.75" customHeight="1" spans="1:2">
      <c r="A3656" s="3" t="str">
        <f>IFERROR(__xludf.DUMMYFUNCTION("GOOGLETRANSLATE(A3656,""en"",""pt"")"),"elegantemente")</f>
        <v>elegantemente</v>
      </c>
      <c r="B3656" s="3">
        <v>1</v>
      </c>
    </row>
    <row r="3657" ht="15.75" customHeight="1" spans="1:2">
      <c r="A3657" s="3" t="str">
        <f>IFERROR(__xludf.DUMMYFUNCTION("GOOGLETRANSLATE(A3657,""en"",""pt"")"),"velozes")</f>
        <v>velozes</v>
      </c>
      <c r="B3657" s="3">
        <v>1</v>
      </c>
    </row>
    <row r="3658" ht="15.75" customHeight="1" spans="1:2">
      <c r="A3658" s="3" t="str">
        <f>IFERROR(__xludf.DUMMYFUNCTION("GOOGLETRANSLATE(A3658,""en"",""pt"")"),"em rápido crescimento")</f>
        <v>em rápido crescimento</v>
      </c>
      <c r="B3658" s="3">
        <v>1</v>
      </c>
    </row>
    <row r="3659" ht="15.75" customHeight="1" spans="1:2">
      <c r="A3659" s="3" t="str">
        <f>IFERROR(__xludf.DUMMYFUNCTION("GOOGLETRANSLATE(A3659,""en"",""pt"")"),"ritmo acelerado")</f>
        <v>ritmo acelerado</v>
      </c>
      <c r="B3659" s="3">
        <v>1</v>
      </c>
    </row>
    <row r="3660" ht="15.75" customHeight="1" spans="1:2">
      <c r="A3660" s="3" t="str">
        <f>IFERROR(__xludf.DUMMYFUNCTION("GOOGLETRANSLATE(A3660,""en"",""pt"")"),"Mais rápido")</f>
        <v>Mais rápido</v>
      </c>
      <c r="B3660" s="3">
        <v>1</v>
      </c>
    </row>
    <row r="3661" ht="15.75" customHeight="1" spans="1:2">
      <c r="A3661" s="3" t="str">
        <f>IFERROR(__xludf.DUMMYFUNCTION("GOOGLETRANSLATE(A3661,""en"",""pt"")"),"o mais rápido")</f>
        <v>o mais rápido</v>
      </c>
      <c r="B3661" s="3">
        <v>1</v>
      </c>
    </row>
    <row r="3662" ht="15.75" customHeight="1" spans="1:2">
      <c r="A3662" s="3" t="str">
        <f>IFERROR(__xludf.DUMMYFUNCTION("GOOGLETRANSLATE(A3662,""en"",""pt"")"),"maior crescimento")</f>
        <v>maior crescimento</v>
      </c>
      <c r="B3662" s="3">
        <v>1</v>
      </c>
    </row>
    <row r="3663" ht="15.75" customHeight="1" spans="1:2">
      <c r="A3663" s="3" t="str">
        <f>IFERROR(__xludf.DUMMYFUNCTION("GOOGLETRANSLATE(A3663,""en"",""pt"")"),"impecável")</f>
        <v>impecável</v>
      </c>
      <c r="B3663" s="3">
        <v>1</v>
      </c>
    </row>
    <row r="3664" ht="15.75" customHeight="1" spans="1:2">
      <c r="A3664" s="3" t="str">
        <f>IFERROR(__xludf.DUMMYFUNCTION("GOOGLETRANSLATE(A3664,""en"",""pt"")"),"fav")</f>
        <v>fav</v>
      </c>
      <c r="B3664" s="3">
        <v>1</v>
      </c>
    </row>
    <row r="3665" ht="15.75" customHeight="1" spans="1:2">
      <c r="A3665" s="3" t="str">
        <f>IFERROR(__xludf.DUMMYFUNCTION("GOOGLETRANSLATE(A3665,""en"",""pt"")"),"Favorito")</f>
        <v>Favorito</v>
      </c>
      <c r="B3665" s="3">
        <v>1</v>
      </c>
    </row>
    <row r="3666" ht="15.75" customHeight="1" spans="1:2">
      <c r="A3666" s="3" t="str">
        <f>IFERROR(__xludf.DUMMYFUNCTION("GOOGLETRANSLATE(A3666,""en"",""pt"")"),"Favor")</f>
        <v>Favor</v>
      </c>
      <c r="B3666" s="3">
        <v>1</v>
      </c>
    </row>
    <row r="3667" ht="15.75" customHeight="1" spans="1:2">
      <c r="A3667" s="3" t="str">
        <f>IFERROR(__xludf.DUMMYFUNCTION("GOOGLETRANSLATE(A3667,""en"",""pt"")"),"favorável")</f>
        <v>favorável</v>
      </c>
      <c r="B3667" s="3">
        <v>1</v>
      </c>
    </row>
    <row r="3668" ht="15.75" customHeight="1" spans="1:2">
      <c r="A3668" s="3" t="str">
        <f>IFERROR(__xludf.DUMMYFUNCTION("GOOGLETRANSLATE(A3668,""en"",""pt"")"),"favorecido")</f>
        <v>favorecido</v>
      </c>
      <c r="B3668" s="3">
        <v>1</v>
      </c>
    </row>
    <row r="3669" ht="15.75" customHeight="1" spans="1:2">
      <c r="A3669" s="3" t="str">
        <f>IFERROR(__xludf.DUMMYFUNCTION("GOOGLETRANSLATE(A3669,""en"",""pt"")"),"favorito")</f>
        <v>favorito</v>
      </c>
      <c r="B3669" s="3">
        <v>1</v>
      </c>
    </row>
    <row r="3670" ht="15.75" customHeight="1" spans="1:2">
      <c r="A3670" s="3" t="str">
        <f>IFERROR(__xludf.DUMMYFUNCTION("GOOGLETRANSLATE(A3670,""en"",""pt"")"),"Favorito")</f>
        <v>Favorito</v>
      </c>
      <c r="B3670" s="3">
        <v>1</v>
      </c>
    </row>
    <row r="3671" ht="15.75" customHeight="1" spans="1:2">
      <c r="A3671" s="3" t="str">
        <f>IFERROR(__xludf.DUMMYFUNCTION("GOOGLETRANSLATE(A3671,""en"",""pt"")"),"Favor")</f>
        <v>Favor</v>
      </c>
      <c r="B3671" s="3">
        <v>1</v>
      </c>
    </row>
    <row r="3672" ht="15.75" customHeight="1" spans="1:2">
      <c r="A3672" s="3" t="str">
        <f>IFERROR(__xludf.DUMMYFUNCTION("GOOGLETRANSLATE(A3672,""en"",""pt"")"),"destemido")</f>
        <v>destemido</v>
      </c>
      <c r="B3672" s="3">
        <v>1</v>
      </c>
    </row>
    <row r="3673" ht="15.75" customHeight="1" spans="1:2">
      <c r="A3673" s="3" t="str">
        <f>IFERROR(__xludf.DUMMYFUNCTION("GOOGLETRANSLATE(A3673,""en"",""pt"")"),"destemidamente")</f>
        <v>destemidamente</v>
      </c>
      <c r="B3673" s="3">
        <v>1</v>
      </c>
    </row>
    <row r="3674" ht="15.75" customHeight="1" spans="1:2">
      <c r="A3674" s="3" t="str">
        <f>IFERROR(__xludf.DUMMYFUNCTION("GOOGLETRANSLATE(A3674,""en"",""pt"")"),"factível")</f>
        <v>factível</v>
      </c>
      <c r="B3674" s="3">
        <v>1</v>
      </c>
    </row>
    <row r="3675" ht="15.75" customHeight="1" spans="1:2">
      <c r="A3675" s="3" t="str">
        <f>IFERROR(__xludf.DUMMYFUNCTION("GOOGLETRANSLATE(A3675,""en"",""pt"")"),"viabilizar")</f>
        <v>viabilizar</v>
      </c>
      <c r="B3675" s="3">
        <v>1</v>
      </c>
    </row>
    <row r="3676" ht="15.75" customHeight="1" spans="1:2">
      <c r="A3676" s="3" t="str">
        <f>IFERROR(__xludf.DUMMYFUNCTION("GOOGLETRANSLATE(A3676,""en"",""pt"")"),"Parceria")</f>
        <v>Parceria</v>
      </c>
      <c r="B3676" s="3">
        <v>1</v>
      </c>
    </row>
    <row r="3677" ht="15.75" customHeight="1" spans="1:2">
      <c r="A3677" s="3" t="str">
        <f>IFERROR(__xludf.DUMMYFUNCTION("GOOGLETRANSLATE(A3677,""en"",""pt"")"),"rica em recursos")</f>
        <v>rica em recursos</v>
      </c>
      <c r="B3677" s="3">
        <v>1</v>
      </c>
    </row>
    <row r="3678" ht="15.75" customHeight="1" spans="1:2">
      <c r="A3678" s="3" t="str">
        <f>IFERROR(__xludf.DUMMYFUNCTION("GOOGLETRANSLATE(A3678,""en"",""pt"")"),"fecilitous")</f>
        <v>fecilitous</v>
      </c>
      <c r="B3678" s="3">
        <v>1</v>
      </c>
    </row>
    <row r="3679" ht="15.75" customHeight="1" spans="1:2">
      <c r="A3679" s="3" t="str">
        <f>IFERROR(__xludf.DUMMYFUNCTION("GOOGLETRANSLATE(A3679,""en"",""pt"")"),"mal-humorada")</f>
        <v>mal-humorada</v>
      </c>
      <c r="B3679" s="3">
        <v>1</v>
      </c>
    </row>
    <row r="3680" ht="15.75" customHeight="1" spans="1:2">
      <c r="A3680" s="3" t="str">
        <f>IFERROR(__xludf.DUMMYFUNCTION("GOOGLETRANSLATE(A3680,""en"",""pt"")"),"felicitar")</f>
        <v>felicitar</v>
      </c>
      <c r="B3680" s="3">
        <v>1</v>
      </c>
    </row>
    <row r="3681" ht="15.75" customHeight="1" spans="1:2">
      <c r="A3681" s="3" t="str">
        <f>IFERROR(__xludf.DUMMYFUNCTION("GOOGLETRANSLATE(A3681,""en"",""pt"")"),"feliz")</f>
        <v>feliz</v>
      </c>
      <c r="B3681" s="3">
        <v>1</v>
      </c>
    </row>
    <row r="3682" ht="15.75" customHeight="1" spans="1:2">
      <c r="A3682" s="3" t="str">
        <f>IFERROR(__xludf.DUMMYFUNCTION("GOOGLETRANSLATE(A3682,""en"",""pt"")"),"felicidade")</f>
        <v>felicidade</v>
      </c>
      <c r="B3682" s="3">
        <v>1</v>
      </c>
    </row>
    <row r="3683" ht="15.75" customHeight="1" spans="1:2">
      <c r="A3683" s="3" t="str">
        <f>IFERROR(__xludf.DUMMYFUNCTION("GOOGLETRANSLATE(A3683,""en"",""pt"")"),"fertil")</f>
        <v>fertil</v>
      </c>
      <c r="B3683" s="3">
        <v>1</v>
      </c>
    </row>
    <row r="3684" ht="15.75" customHeight="1" spans="1:2">
      <c r="A3684" s="3" t="str">
        <f>IFERROR(__xludf.DUMMYFUNCTION("GOOGLETRANSLATE(A3684,""en"",""pt"")"),"fervente")</f>
        <v>fervente</v>
      </c>
      <c r="B3684" s="3">
        <v>1</v>
      </c>
    </row>
    <row r="3685" ht="15.75" customHeight="1" spans="1:2">
      <c r="A3685" s="3" t="str">
        <f>IFERROR(__xludf.DUMMYFUNCTION("GOOGLETRANSLATE(A3685,""en"",""pt"")"),"ardentemente")</f>
        <v>ardentemente</v>
      </c>
      <c r="B3685" s="3">
        <v>1</v>
      </c>
    </row>
    <row r="3686" ht="15.75" customHeight="1" spans="1:2">
      <c r="A3686" s="3" t="str">
        <f>IFERROR(__xludf.DUMMYFUNCTION("GOOGLETRANSLATE(A3686,""en"",""pt"")"),"ardente")</f>
        <v>ardente</v>
      </c>
      <c r="B3686" s="3">
        <v>1</v>
      </c>
    </row>
    <row r="3687" ht="15.75" customHeight="1" spans="1:2">
      <c r="A3687" s="3" t="str">
        <f>IFERROR(__xludf.DUMMYFUNCTION("GOOGLETRANSLATE(A3687,""en"",""pt"")"),"fervidly")</f>
        <v>fervidly</v>
      </c>
      <c r="B3687" s="3">
        <v>1</v>
      </c>
    </row>
    <row r="3688" ht="15.75" customHeight="1" spans="1:2">
      <c r="A3688" s="3" t="str">
        <f>IFERROR(__xludf.DUMMYFUNCTION("GOOGLETRANSLATE(A3688,""en"",""pt"")"),"fervor")</f>
        <v>fervor</v>
      </c>
      <c r="B3688" s="3">
        <v>1</v>
      </c>
    </row>
    <row r="3689" ht="15.75" customHeight="1" spans="1:2">
      <c r="A3689" s="3" t="str">
        <f>IFERROR(__xludf.DUMMYFUNCTION("GOOGLETRANSLATE(A3689,""en"",""pt"")"),"festivo")</f>
        <v>festivo</v>
      </c>
      <c r="B3689" s="3">
        <v>1</v>
      </c>
    </row>
    <row r="3690" ht="15.75" customHeight="1" spans="1:2">
      <c r="A3690" s="3" t="str">
        <f>IFERROR(__xludf.DUMMYFUNCTION("GOOGLETRANSLATE(A3690,""en"",""pt"")"),"fidelidade")</f>
        <v>fidelidade</v>
      </c>
      <c r="B3690" s="3">
        <v>1</v>
      </c>
    </row>
    <row r="3691" ht="15.75" customHeight="1" spans="1:2">
      <c r="A3691" s="3" t="str">
        <f>IFERROR(__xludf.DUMMYFUNCTION("GOOGLETRANSLATE(A3691,""en"",""pt"")"),"fogosa")</f>
        <v>fogosa</v>
      </c>
      <c r="B3691" s="3">
        <v>1</v>
      </c>
    </row>
    <row r="3692" ht="15.75" customHeight="1" spans="1:2">
      <c r="A3692" s="3" t="str">
        <f>IFERROR(__xludf.DUMMYFUNCTION("GOOGLETRANSLATE(A3692,""en"",""pt"")"),"bem")</f>
        <v>bem</v>
      </c>
      <c r="B3692" s="3">
        <v>1</v>
      </c>
    </row>
    <row r="3693" ht="15.75" customHeight="1" spans="1:2">
      <c r="A3693" s="3" t="str">
        <f>IFERROR(__xludf.DUMMYFUNCTION("GOOGLETRANSLATE(A3693,""en"",""pt"")"),"boa aparência")</f>
        <v>boa aparência</v>
      </c>
      <c r="B3693" s="3">
        <v>1</v>
      </c>
    </row>
    <row r="3694" ht="15.75" customHeight="1" spans="1:2">
      <c r="A3694" s="3" t="str">
        <f>IFERROR(__xludf.DUMMYFUNCTION("GOOGLETRANSLATE(A3694,""en"",""pt"")"),"finamente")</f>
        <v>finamente</v>
      </c>
      <c r="B3694" s="3">
        <v>1</v>
      </c>
    </row>
    <row r="3695" ht="15.75" customHeight="1" spans="1:2">
      <c r="A3695" s="3" t="str">
        <f>IFERROR(__xludf.DUMMYFUNCTION("GOOGLETRANSLATE(A3695,""en"",""pt"")"),"mais fino")</f>
        <v>mais fino</v>
      </c>
      <c r="B3695" s="3">
        <v>1</v>
      </c>
    </row>
    <row r="3696" ht="15.75" customHeight="1" spans="1:2">
      <c r="A3696" s="3" t="str">
        <f>IFERROR(__xludf.DUMMYFUNCTION("GOOGLETRANSLATE(A3696,""en"",""pt"")"),"melhor")</f>
        <v>melhor</v>
      </c>
      <c r="B3696" s="3">
        <v>1</v>
      </c>
    </row>
    <row r="3697" ht="15.75" customHeight="1" spans="1:2">
      <c r="A3697" s="3" t="str">
        <f>IFERROR(__xludf.DUMMYFUNCTION("GOOGLETRANSLATE(A3697,""en"",""pt"")"),"mais firme")</f>
        <v>mais firme</v>
      </c>
      <c r="B3697" s="3">
        <v>1</v>
      </c>
    </row>
    <row r="3698" ht="15.75" customHeight="1" spans="1:2">
      <c r="A3698" s="3" t="str">
        <f>IFERROR(__xludf.DUMMYFUNCTION("GOOGLETRANSLATE(A3698,""en"",""pt"")"),"primeira classe")</f>
        <v>primeira classe</v>
      </c>
      <c r="B3698" s="3">
        <v>1</v>
      </c>
    </row>
    <row r="3699" ht="15.75" customHeight="1" spans="1:2">
      <c r="A3699" s="3" t="str">
        <f>IFERROR(__xludf.DUMMYFUNCTION("GOOGLETRANSLATE(A3699,""en"",""pt"")"),"primeiro-in-class")</f>
        <v>primeiro-in-class</v>
      </c>
      <c r="B3699" s="3">
        <v>1</v>
      </c>
    </row>
    <row r="3700" ht="15.75" customHeight="1" spans="1:2">
      <c r="A3700" s="3" t="str">
        <f>IFERROR(__xludf.DUMMYFUNCTION("GOOGLETRANSLATE(A3700,""en"",""pt"")"),"de primeira ordem")</f>
        <v>de primeira ordem</v>
      </c>
      <c r="B3700" s="3">
        <v>1</v>
      </c>
    </row>
    <row r="3701" ht="15.75" customHeight="1" spans="1:2">
      <c r="A3701" s="3" t="str">
        <f>IFERROR(__xludf.DUMMYFUNCTION("GOOGLETRANSLATE(A3701,""en"",""pt"")"),"chamativo")</f>
        <v>chamativo</v>
      </c>
      <c r="B3701" s="3">
        <v>1</v>
      </c>
    </row>
    <row r="3702" ht="15.75" customHeight="1" spans="1:2">
      <c r="A3702" s="3" t="str">
        <f>IFERROR(__xludf.DUMMYFUNCTION("GOOGLETRANSLATE(A3702,""en"",""pt"")"),"bajular")</f>
        <v>bajular</v>
      </c>
      <c r="B3702" s="3">
        <v>1</v>
      </c>
    </row>
    <row r="3703" ht="15.75" customHeight="1" spans="1:2">
      <c r="A3703" s="3" t="str">
        <f>IFERROR(__xludf.DUMMYFUNCTION("GOOGLETRANSLATE(A3703,""en"",""pt"")"),"lisonjeiro")</f>
        <v>lisonjeiro</v>
      </c>
      <c r="B3703" s="3">
        <v>1</v>
      </c>
    </row>
    <row r="3704" ht="15.75" customHeight="1" spans="1:2">
      <c r="A3704" s="3" t="str">
        <f>IFERROR(__xludf.DUMMYFUNCTION("GOOGLETRANSLATE(A3704,""en"",""pt"")"),"flatteringly")</f>
        <v>flatteringly</v>
      </c>
      <c r="B3704" s="3">
        <v>1</v>
      </c>
    </row>
    <row r="3705" ht="15.75" customHeight="1" spans="1:2">
      <c r="A3705" s="3" t="str">
        <f>IFERROR(__xludf.DUMMYFUNCTION("GOOGLETRANSLATE(A3705,""en"",""pt"")"),"sem falhas")</f>
        <v>sem falhas</v>
      </c>
      <c r="B3705" s="3">
        <v>1</v>
      </c>
    </row>
    <row r="3706" ht="15.75" customHeight="1" spans="1:2">
      <c r="A3706" s="3" t="str">
        <f>IFERROR(__xludf.DUMMYFUNCTION("GOOGLETRANSLATE(A3706,""en"",""pt"")"),"perfeição")</f>
        <v>perfeição</v>
      </c>
      <c r="B3706" s="3">
        <v>1</v>
      </c>
    </row>
    <row r="3707" ht="15.75" customHeight="1" spans="1:2">
      <c r="A3707" s="3" t="str">
        <f>IFERROR(__xludf.DUMMYFUNCTION("GOOGLETRANSLATE(A3707,""en"",""pt"")"),"flexibilidade")</f>
        <v>flexibilidade</v>
      </c>
      <c r="B3707" s="3">
        <v>1</v>
      </c>
    </row>
    <row r="3708" ht="15.75" customHeight="1" spans="1:2">
      <c r="A3708" s="3" t="str">
        <f>IFERROR(__xludf.DUMMYFUNCTION("GOOGLETRANSLATE(A3708,""en"",""pt"")"),"flexível")</f>
        <v>flexível</v>
      </c>
      <c r="B3708" s="3">
        <v>1</v>
      </c>
    </row>
    <row r="3709" ht="15.75" customHeight="1" spans="1:2">
      <c r="A3709" s="3" t="str">
        <f>IFERROR(__xludf.DUMMYFUNCTION("GOOGLETRANSLATE(A3709,""en"",""pt"")"),"florescer")</f>
        <v>florescer</v>
      </c>
      <c r="B3709" s="3">
        <v>1</v>
      </c>
    </row>
    <row r="3710" ht="15.75" customHeight="1" spans="1:2">
      <c r="A3710" s="3" t="str">
        <f>IFERROR(__xludf.DUMMYFUNCTION("GOOGLETRANSLATE(A3710,""en"",""pt"")"),"florescente")</f>
        <v>florescente</v>
      </c>
      <c r="B3710" s="3">
        <v>1</v>
      </c>
    </row>
    <row r="3711" ht="15.75" customHeight="1" spans="1:2">
      <c r="A3711" s="3" t="str">
        <f>IFERROR(__xludf.DUMMYFUNCTION("GOOGLETRANSLATE(A3711,""en"",""pt"")"),"fluente")</f>
        <v>fluente</v>
      </c>
      <c r="B3711" s="3">
        <v>1</v>
      </c>
    </row>
    <row r="3712" ht="15.75" customHeight="1" spans="1:2">
      <c r="A3712" s="3" t="str">
        <f>IFERROR(__xludf.DUMMYFUNCTION("GOOGLETRANSLATE(A3712,""en"",""pt"")"),"palpitação")</f>
        <v>palpitação</v>
      </c>
      <c r="B3712" s="3">
        <v>1</v>
      </c>
    </row>
    <row r="3713" ht="15.75" customHeight="1" spans="1:2">
      <c r="A3713" s="3" t="str">
        <f>IFERROR(__xludf.DUMMYFUNCTION("GOOGLETRANSLATE(A3713,""en"",""pt"")"),"afeiçoado")</f>
        <v>afeiçoado</v>
      </c>
      <c r="B3713" s="3">
        <v>1</v>
      </c>
    </row>
    <row r="3714" ht="15.75" customHeight="1" spans="1:2">
      <c r="A3714" s="3" t="str">
        <f>IFERROR(__xludf.DUMMYFUNCTION("GOOGLETRANSLATE(A3714,""en"",""pt"")"),"com carinho")</f>
        <v>com carinho</v>
      </c>
      <c r="B3714" s="3">
        <v>1</v>
      </c>
    </row>
    <row r="3715" ht="15.75" customHeight="1" spans="1:2">
      <c r="A3715" s="3" t="str">
        <f>IFERROR(__xludf.DUMMYFUNCTION("GOOGLETRANSLATE(A3715,""en"",""pt"")"),"carinho")</f>
        <v>carinho</v>
      </c>
      <c r="B3715" s="3">
        <v>1</v>
      </c>
    </row>
    <row r="3716" ht="15.75" customHeight="1" spans="1:2">
      <c r="A3716" s="3" t="str">
        <f>IFERROR(__xludf.DUMMYFUNCTION("GOOGLETRANSLATE(A3716,""en"",""pt"")"),"infalível")</f>
        <v>infalível</v>
      </c>
      <c r="B3716" s="3">
        <v>1</v>
      </c>
    </row>
    <row r="3717" ht="15.75" customHeight="1" spans="1:2">
      <c r="A3717" s="3" t="str">
        <f>IFERROR(__xludf.DUMMYFUNCTION("GOOGLETRANSLATE(A3717,""en"",""pt"")"),"principal")</f>
        <v>principal</v>
      </c>
      <c r="B3717" s="3">
        <v>1</v>
      </c>
    </row>
    <row r="3718" ht="15.75" customHeight="1" spans="1:2">
      <c r="A3718" s="3" t="str">
        <f>IFERROR(__xludf.DUMMYFUNCTION("GOOGLETRANSLATE(A3718,""en"",""pt"")"),"previdência")</f>
        <v>previdência</v>
      </c>
      <c r="B3718" s="3">
        <v>1</v>
      </c>
    </row>
    <row r="3719" ht="15.75" customHeight="1" spans="1:2">
      <c r="A3719" s="3" t="str">
        <f>IFERROR(__xludf.DUMMYFUNCTION("GOOGLETRANSLATE(A3719,""en"",""pt"")"),"formidável")</f>
        <v>formidável</v>
      </c>
      <c r="B3719" s="3">
        <v>1</v>
      </c>
    </row>
    <row r="3720" ht="15.75" customHeight="1" spans="1:2">
      <c r="A3720" s="3" t="str">
        <f>IFERROR(__xludf.DUMMYFUNCTION("GOOGLETRANSLATE(A3720,""en"",""pt"")"),"fortitude")</f>
        <v>fortitude</v>
      </c>
      <c r="B3720" s="3">
        <v>1</v>
      </c>
    </row>
    <row r="3721" ht="15.75" customHeight="1" spans="1:2">
      <c r="A3721" s="3" t="str">
        <f>IFERROR(__xludf.DUMMYFUNCTION("GOOGLETRANSLATE(A3721,""en"",""pt"")"),"fortuito")</f>
        <v>fortuito</v>
      </c>
      <c r="B3721" s="3">
        <v>1</v>
      </c>
    </row>
    <row r="3722" ht="15.75" customHeight="1" spans="1:2">
      <c r="A3722" s="3" t="str">
        <f>IFERROR(__xludf.DUMMYFUNCTION("GOOGLETRANSLATE(A3722,""en"",""pt"")"),"fortuitamente")</f>
        <v>fortuitamente</v>
      </c>
      <c r="B3722" s="3">
        <v>1</v>
      </c>
    </row>
    <row r="3723" ht="15.75" customHeight="1" spans="1:2">
      <c r="A3723" s="3" t="str">
        <f>IFERROR(__xludf.DUMMYFUNCTION("GOOGLETRANSLATE(A3723,""en"",""pt"")"),"afortunado")</f>
        <v>afortunado</v>
      </c>
      <c r="B3723" s="3">
        <v>1</v>
      </c>
    </row>
    <row r="3724" ht="15.75" customHeight="1" spans="1:2">
      <c r="A3724" s="3" t="str">
        <f>IFERROR(__xludf.DUMMYFUNCTION("GOOGLETRANSLATE(A3724,""en"",""pt"")"),"Felizmente")</f>
        <v>Felizmente</v>
      </c>
      <c r="B3724" s="3">
        <v>1</v>
      </c>
    </row>
    <row r="3725" ht="15.75" customHeight="1" spans="1:2">
      <c r="A3725" s="3" t="str">
        <f>IFERROR(__xludf.DUMMYFUNCTION("GOOGLETRANSLATE(A3725,""en"",""pt"")"),"fortuna")</f>
        <v>fortuna</v>
      </c>
      <c r="B3725" s="3">
        <v>1</v>
      </c>
    </row>
    <row r="3726" ht="15.75" customHeight="1" spans="1:2">
      <c r="A3726" s="3" t="str">
        <f>IFERROR(__xludf.DUMMYFUNCTION("GOOGLETRANSLATE(A3726,""en"",""pt"")"),"perfumado")</f>
        <v>perfumado</v>
      </c>
      <c r="B3726" s="3">
        <v>1</v>
      </c>
    </row>
    <row r="3727" ht="15.75" customHeight="1" spans="1:2">
      <c r="A3727" s="3" t="str">
        <f>IFERROR(__xludf.DUMMYFUNCTION("GOOGLETRANSLATE(A3727,""en"",""pt"")"),"livre")</f>
        <v>livre</v>
      </c>
      <c r="B3727" s="3">
        <v>1</v>
      </c>
    </row>
    <row r="3728" ht="15.75" customHeight="1" spans="1:2">
      <c r="A3728" s="3" t="str">
        <f>IFERROR(__xludf.DUMMYFUNCTION("GOOGLETRANSLATE(A3728,""en"",""pt"")"),"Freed")</f>
        <v>Freed</v>
      </c>
      <c r="B3728" s="3">
        <v>1</v>
      </c>
    </row>
    <row r="3729" ht="15.75" customHeight="1" spans="1:2">
      <c r="A3729" s="3" t="str">
        <f>IFERROR(__xludf.DUMMYFUNCTION("GOOGLETRANSLATE(A3729,""en"",""pt"")"),"liberdade")</f>
        <v>liberdade</v>
      </c>
      <c r="B3729" s="3">
        <v>1</v>
      </c>
    </row>
    <row r="3730" ht="15.75" customHeight="1" spans="1:2">
      <c r="A3730" s="3" t="str">
        <f>IFERROR(__xludf.DUMMYFUNCTION("GOOGLETRANSLATE(A3730,""en"",""pt"")"),"liberdades")</f>
        <v>liberdades</v>
      </c>
      <c r="B3730" s="3">
        <v>1</v>
      </c>
    </row>
    <row r="3731" ht="15.75" customHeight="1" spans="1:2">
      <c r="A3731" s="3" t="str">
        <f>IFERROR(__xludf.DUMMYFUNCTION("GOOGLETRANSLATE(A3731,""en"",""pt"")"),"fresco")</f>
        <v>fresco</v>
      </c>
      <c r="B3731" s="3">
        <v>1</v>
      </c>
    </row>
    <row r="3732" ht="15.75" customHeight="1" spans="1:2">
      <c r="A3732" s="3" t="str">
        <f>IFERROR(__xludf.DUMMYFUNCTION("GOOGLETRANSLATE(A3732,""en"",""pt"")"),"calouro")</f>
        <v>calouro</v>
      </c>
      <c r="B3732" s="3">
        <v>1</v>
      </c>
    </row>
    <row r="3733" ht="15.75" customHeight="1" spans="1:2">
      <c r="A3733" s="3" t="str">
        <f>IFERROR(__xludf.DUMMYFUNCTION("GOOGLETRANSLATE(A3733,""en"",""pt"")"),"frescos")</f>
        <v>frescos</v>
      </c>
      <c r="B3733" s="3">
        <v>1</v>
      </c>
    </row>
    <row r="3734" ht="15.75" customHeight="1" spans="1:2">
      <c r="A3734" s="3" t="str">
        <f>IFERROR(__xludf.DUMMYFUNCTION("GOOGLETRANSLATE(A3734,""en"",""pt"")"),"afabilidade")</f>
        <v>afabilidade</v>
      </c>
      <c r="B3734" s="3">
        <v>1</v>
      </c>
    </row>
    <row r="3735" ht="15.75" customHeight="1" spans="1:2">
      <c r="A3735" s="3" t="str">
        <f>IFERROR(__xludf.DUMMYFUNCTION("GOOGLETRANSLATE(A3735,""en"",""pt"")"),"amigáveis")</f>
        <v>amigáveis</v>
      </c>
      <c r="B3735" s="3">
        <v>1</v>
      </c>
    </row>
    <row r="3736" ht="15.75" customHeight="1" spans="1:2">
      <c r="A3736" s="3" t="str">
        <f>IFERROR(__xludf.DUMMYFUNCTION("GOOGLETRANSLATE(A3736,""en"",""pt"")"),"brincadeira")</f>
        <v>brincadeira</v>
      </c>
      <c r="B3736" s="3">
        <v>1</v>
      </c>
    </row>
    <row r="3737" ht="15.75" customHeight="1" spans="1:2">
      <c r="A3737" s="3" t="str">
        <f>IFERROR(__xludf.DUMMYFUNCTION("GOOGLETRANSLATE(A3737,""en"",""pt"")"),"frugal")</f>
        <v>frugal</v>
      </c>
      <c r="B3737" s="3">
        <v>1</v>
      </c>
    </row>
    <row r="3738" ht="15.75" customHeight="1" spans="1:2">
      <c r="A3738" s="3" t="str">
        <f>IFERROR(__xludf.DUMMYFUNCTION("GOOGLETRANSLATE(A3738,""en"",""pt"")"),"frutífero")</f>
        <v>frutífero</v>
      </c>
      <c r="B3738" s="3">
        <v>1</v>
      </c>
    </row>
    <row r="3739" ht="15.75" customHeight="1" spans="1:2">
      <c r="A3739" s="3" t="str">
        <f>IFERROR(__xludf.DUMMYFUNCTION("GOOGLETRANSLATE(A3739,""en"",""pt"")"),"ftw")</f>
        <v>ftw</v>
      </c>
      <c r="B3739" s="3">
        <v>1</v>
      </c>
    </row>
    <row r="3740" ht="15.75" customHeight="1" spans="1:2">
      <c r="A3740" s="3" t="str">
        <f>IFERROR(__xludf.DUMMYFUNCTION("GOOGLETRANSLATE(A3740,""en"",""pt"")"),"cumprimento")</f>
        <v>cumprimento</v>
      </c>
      <c r="B3740" s="3">
        <v>1</v>
      </c>
    </row>
    <row r="3741" ht="15.75" customHeight="1" spans="1:2">
      <c r="A3741" s="3" t="str">
        <f>IFERROR(__xludf.DUMMYFUNCTION("GOOGLETRANSLATE(A3741,""en"",""pt"")"),"Diversão")</f>
        <v>Diversão</v>
      </c>
      <c r="B3741" s="3">
        <v>1</v>
      </c>
    </row>
    <row r="3742" ht="15.75" customHeight="1" spans="1:2">
      <c r="A3742" s="3" t="str">
        <f>IFERROR(__xludf.DUMMYFUNCTION("GOOGLETRANSLATE(A3742,""en"",""pt"")"),"futurestic")</f>
        <v>futurestic</v>
      </c>
      <c r="B3742" s="3">
        <v>1</v>
      </c>
    </row>
    <row r="3743" ht="15.75" customHeight="1" spans="1:2">
      <c r="A3743" s="3" t="str">
        <f>IFERROR(__xludf.DUMMYFUNCTION("GOOGLETRANSLATE(A3743,""en"",""pt"")"),"futurista")</f>
        <v>futurista</v>
      </c>
      <c r="B3743" s="3">
        <v>1</v>
      </c>
    </row>
    <row r="3744" ht="15.75" customHeight="1" spans="1:2">
      <c r="A3744" s="3" t="str">
        <f>IFERROR(__xludf.DUMMYFUNCTION("GOOGLETRANSLATE(A3744,""en"",""pt"")"),"alegria")</f>
        <v>alegria</v>
      </c>
      <c r="B3744" s="3">
        <v>1</v>
      </c>
    </row>
    <row r="3745" ht="15.75" customHeight="1" spans="1:2">
      <c r="A3745" s="3" t="str">
        <f>IFERROR(__xludf.DUMMYFUNCTION("GOOGLETRANSLATE(A3745,""en"",""pt"")"),"alegremente")</f>
        <v>alegremente</v>
      </c>
      <c r="B3745" s="3">
        <v>1</v>
      </c>
    </row>
    <row r="3746" ht="15.75" customHeight="1" spans="1:2">
      <c r="A3746" s="3" t="str">
        <f>IFERROR(__xludf.DUMMYFUNCTION("GOOGLETRANSLATE(A3746,""en"",""pt"")"),"ganho")</f>
        <v>ganho</v>
      </c>
      <c r="B3746" s="3">
        <v>1</v>
      </c>
    </row>
    <row r="3747" ht="15.75" customHeight="1" spans="1:2">
      <c r="A3747" s="3" t="str">
        <f>IFERROR(__xludf.DUMMYFUNCTION("GOOGLETRANSLATE(A3747,""en"",""pt"")"),"ganhou")</f>
        <v>ganhou</v>
      </c>
      <c r="B3747" s="3">
        <v>1</v>
      </c>
    </row>
    <row r="3748" ht="15.75" customHeight="1" spans="1:2">
      <c r="A3748" s="3" t="str">
        <f>IFERROR(__xludf.DUMMYFUNCTION("GOOGLETRANSLATE(A3748,""en"",""pt"")"),"lucrativo")</f>
        <v>lucrativo</v>
      </c>
      <c r="B3748" s="3">
        <v>1</v>
      </c>
    </row>
    <row r="3749" ht="15.75" customHeight="1" spans="1:2">
      <c r="A3749" s="3" t="str">
        <f>IFERROR(__xludf.DUMMYFUNCTION("GOOGLETRANSLATE(A3749,""en"",""pt"")"),"gainfully")</f>
        <v>gainfully</v>
      </c>
      <c r="B3749" s="3">
        <v>1</v>
      </c>
    </row>
    <row r="3750" ht="15.75" customHeight="1" spans="1:2">
      <c r="A3750" s="3" t="str">
        <f>IFERROR(__xludf.DUMMYFUNCTION("GOOGLETRANSLATE(A3750,""en"",""pt"")"),"ganhando")</f>
        <v>ganhando</v>
      </c>
      <c r="B3750" s="3">
        <v>1</v>
      </c>
    </row>
    <row r="3751" ht="15.75" customHeight="1" spans="1:2">
      <c r="A3751" s="3" t="str">
        <f>IFERROR(__xludf.DUMMYFUNCTION("GOOGLETRANSLATE(A3751,""en"",""pt"")"),"ganhos")</f>
        <v>ganhos</v>
      </c>
      <c r="B3751" s="3">
        <v>1</v>
      </c>
    </row>
    <row r="3752" ht="15.75" customHeight="1" spans="1:2">
      <c r="A3752" s="3" t="str">
        <f>IFERROR(__xludf.DUMMYFUNCTION("GOOGLETRANSLATE(A3752,""en"",""pt"")"),"valente")</f>
        <v>valente</v>
      </c>
      <c r="B3752" s="3">
        <v>1</v>
      </c>
    </row>
    <row r="3753" ht="15.75" customHeight="1" spans="1:2">
      <c r="A3753" s="3" t="str">
        <f>IFERROR(__xludf.DUMMYFUNCTION("GOOGLETRANSLATE(A3753,""en"",""pt"")"),"galantemente")</f>
        <v>galantemente</v>
      </c>
      <c r="B3753" s="3">
        <v>1</v>
      </c>
    </row>
    <row r="3754" ht="15.75" customHeight="1" spans="1:2">
      <c r="A3754" s="3" t="str">
        <f>IFERROR(__xludf.DUMMYFUNCTION("GOOGLETRANSLATE(A3754,""en"",""pt"")"),"abundância")</f>
        <v>abundância</v>
      </c>
      <c r="B3754" s="3">
        <v>1</v>
      </c>
    </row>
    <row r="3755" ht="15.75" customHeight="1" spans="1:2">
      <c r="A3755" s="3" t="str">
        <f>IFERROR(__xludf.DUMMYFUNCTION("GOOGLETRANSLATE(A3755,""en"",""pt"")"),"geekier")</f>
        <v>geekier</v>
      </c>
      <c r="B3755" s="3">
        <v>1</v>
      </c>
    </row>
    <row r="3756" ht="15.75" customHeight="1" spans="1:2">
      <c r="A3756" s="3" t="str">
        <f>IFERROR(__xludf.DUMMYFUNCTION("GOOGLETRANSLATE(A3756,""en"",""pt"")"),"geeky")</f>
        <v>geeky</v>
      </c>
      <c r="B3756" s="3">
        <v>1</v>
      </c>
    </row>
    <row r="3757" ht="15.75" customHeight="1" spans="1:2">
      <c r="A3757" s="3" t="str">
        <f>IFERROR(__xludf.DUMMYFUNCTION("GOOGLETRANSLATE(A3757,""en"",""pt"")"),"gema")</f>
        <v>gema</v>
      </c>
      <c r="B3757" s="3">
        <v>1</v>
      </c>
    </row>
    <row r="3758" ht="15.75" customHeight="1" spans="1:2">
      <c r="A3758" s="3" t="str">
        <f>IFERROR(__xludf.DUMMYFUNCTION("GOOGLETRANSLATE(A3758,""en"",""pt"")"),"gemas")</f>
        <v>gemas</v>
      </c>
      <c r="B3758" s="3">
        <v>1</v>
      </c>
    </row>
    <row r="3759" ht="15.75" customHeight="1" spans="1:2">
      <c r="A3759" s="3" t="str">
        <f>IFERROR(__xludf.DUMMYFUNCTION("GOOGLETRANSLATE(A3759,""en"",""pt"")"),"generosidade")</f>
        <v>generosidade</v>
      </c>
      <c r="B3759" s="3">
        <v>1</v>
      </c>
    </row>
    <row r="3760" ht="15.75" customHeight="1" spans="1:2">
      <c r="A3760" s="3" t="str">
        <f>IFERROR(__xludf.DUMMYFUNCTION("GOOGLETRANSLATE(A3760,""en"",""pt"")"),"generoso")</f>
        <v>generoso</v>
      </c>
      <c r="B3760" s="3">
        <v>1</v>
      </c>
    </row>
    <row r="3761" ht="15.75" customHeight="1" spans="1:2">
      <c r="A3761" s="3" t="str">
        <f>IFERROR(__xludf.DUMMYFUNCTION("GOOGLETRANSLATE(A3761,""en"",""pt"")"),"generosamente")</f>
        <v>generosamente</v>
      </c>
      <c r="B3761" s="3">
        <v>1</v>
      </c>
    </row>
    <row r="3762" ht="15.75" customHeight="1" spans="1:2">
      <c r="A3762" s="3" t="str">
        <f>IFERROR(__xludf.DUMMYFUNCTION("GOOGLETRANSLATE(A3762,""en"",""pt"")"),"genial")</f>
        <v>genial</v>
      </c>
      <c r="B3762" s="3">
        <v>1</v>
      </c>
    </row>
    <row r="3763" ht="15.75" customHeight="1" spans="1:2">
      <c r="A3763" s="3" t="str">
        <f>IFERROR(__xludf.DUMMYFUNCTION("GOOGLETRANSLATE(A3763,""en"",""pt"")"),"gênio")</f>
        <v>gênio</v>
      </c>
      <c r="B3763" s="3">
        <v>1</v>
      </c>
    </row>
    <row r="3764" ht="15.75" customHeight="1" spans="1:2">
      <c r="A3764" s="3" t="str">
        <f>IFERROR(__xludf.DUMMYFUNCTION("GOOGLETRANSLATE(A3764,""en"",""pt"")"),"□ Gentil")</f>
        <v>□ Gentil</v>
      </c>
      <c r="B3764" s="3">
        <v>1</v>
      </c>
    </row>
    <row r="3765" ht="15.75" customHeight="1" spans="1:2">
      <c r="A3765" s="3" t="str">
        <f>IFERROR(__xludf.DUMMYFUNCTION("GOOGLETRANSLATE(A3765,""en"",""pt"")"),"gentlest")</f>
        <v>gentlest</v>
      </c>
      <c r="B3765" s="3">
        <v>1</v>
      </c>
    </row>
    <row r="3766" ht="15.75" customHeight="1" spans="1:2">
      <c r="A3766" s="3" t="str">
        <f>IFERROR(__xludf.DUMMYFUNCTION("GOOGLETRANSLATE(A3766,""en"",""pt"")"),"genuíno")</f>
        <v>genuíno</v>
      </c>
      <c r="B3766" s="3">
        <v>1</v>
      </c>
    </row>
    <row r="3767" ht="15.75" customHeight="1" spans="1:2">
      <c r="A3767" s="3" t="str">
        <f>IFERROR(__xludf.DUMMYFUNCTION("GOOGLETRANSLATE(A3767,""en"",""pt"")"),"dotado")</f>
        <v>dotado</v>
      </c>
      <c r="B3767" s="3">
        <v>1</v>
      </c>
    </row>
    <row r="3768" ht="15.75" customHeight="1" spans="1:2">
      <c r="A3768" s="3" t="str">
        <f>IFERROR(__xludf.DUMMYFUNCTION("GOOGLETRANSLATE(A3768,""en"",""pt"")"),"feliz")</f>
        <v>feliz</v>
      </c>
      <c r="B3768" s="3">
        <v>1</v>
      </c>
    </row>
    <row r="3769" ht="15.75" customHeight="1" spans="1:2">
      <c r="A3769" s="3" t="str">
        <f>IFERROR(__xludf.DUMMYFUNCTION("GOOGLETRANSLATE(A3769,""en"",""pt"")"),"alegrar")</f>
        <v>alegrar</v>
      </c>
      <c r="B3769" s="3">
        <v>1</v>
      </c>
    </row>
    <row r="3770" ht="15.75" customHeight="1" spans="1:2">
      <c r="A3770" s="3" t="str">
        <f>IFERROR(__xludf.DUMMYFUNCTION("GOOGLETRANSLATE(A3770,""en"",""pt"")"),"alegremente")</f>
        <v>alegremente</v>
      </c>
      <c r="B3770" s="3">
        <v>1</v>
      </c>
    </row>
    <row r="3771" ht="15.75" customHeight="1" spans="1:2">
      <c r="A3771" s="3" t="str">
        <f>IFERROR(__xludf.DUMMYFUNCTION("GOOGLETRANSLATE(A3771,""en"",""pt"")"),"alegria")</f>
        <v>alegria</v>
      </c>
      <c r="B3771" s="3">
        <v>1</v>
      </c>
    </row>
    <row r="3772" ht="15.75" customHeight="1" spans="1:2">
      <c r="A3772" s="3" t="str">
        <f>IFERROR(__xludf.DUMMYFUNCTION("GOOGLETRANSLATE(A3772,""en"",""pt"")"),"fascinante")</f>
        <v>fascinante</v>
      </c>
      <c r="B3772" s="3">
        <v>1</v>
      </c>
    </row>
    <row r="3773" ht="15.75" customHeight="1" spans="1:2">
      <c r="A3773" s="3" t="str">
        <f>IFERROR(__xludf.DUMMYFUNCTION("GOOGLETRANSLATE(A3773,""en"",""pt"")"),"alegria")</f>
        <v>alegria</v>
      </c>
      <c r="B3773" s="3">
        <v>1</v>
      </c>
    </row>
    <row r="3774" ht="15.75" customHeight="1" spans="1:2">
      <c r="A3774" s="3" t="str">
        <f>IFERROR(__xludf.DUMMYFUNCTION("GOOGLETRANSLATE(A3774,""en"",""pt"")"),"alegre")</f>
        <v>alegre</v>
      </c>
      <c r="B3774" s="3">
        <v>1</v>
      </c>
    </row>
    <row r="3775" ht="15.75" customHeight="1" spans="1:2">
      <c r="A3775" s="3" t="str">
        <f>IFERROR(__xludf.DUMMYFUNCTION("GOOGLETRANSLATE(A3775,""en"",""pt"")"),"alegremente")</f>
        <v>alegremente</v>
      </c>
      <c r="B3775" s="3">
        <v>1</v>
      </c>
    </row>
    <row r="3776" ht="15.75" customHeight="1" spans="1:2">
      <c r="A3776" s="3" t="str">
        <f>IFERROR(__xludf.DUMMYFUNCTION("GOOGLETRANSLATE(A3776,""en"",""pt"")"),"vislumbre")</f>
        <v>vislumbre</v>
      </c>
      <c r="B3776" s="3">
        <v>1</v>
      </c>
    </row>
    <row r="3777" ht="15.75" customHeight="1" spans="1:2">
      <c r="A3777" s="3" t="str">
        <f>IFERROR(__xludf.DUMMYFUNCTION("GOOGLETRANSLATE(A3777,""en"",""pt"")"),"brilhando")</f>
        <v>brilhando</v>
      </c>
      <c r="B3777" s="3">
        <v>1</v>
      </c>
    </row>
    <row r="3778" ht="15.75" customHeight="1" spans="1:2">
      <c r="A3778" s="3" t="str">
        <f>IFERROR(__xludf.DUMMYFUNCTION("GOOGLETRANSLATE(A3778,""en"",""pt"")"),"brilhar")</f>
        <v>brilhar</v>
      </c>
      <c r="B3778" s="3">
        <v>1</v>
      </c>
    </row>
    <row r="3779" ht="15.75" customHeight="1" spans="1:2">
      <c r="A3779" s="3" t="str">
        <f>IFERROR(__xludf.DUMMYFUNCTION("GOOGLETRANSLATE(A3779,""en"",""pt"")"),"brilhando")</f>
        <v>brilhando</v>
      </c>
      <c r="B3779" s="3">
        <v>1</v>
      </c>
    </row>
    <row r="3780" ht="15.75" customHeight="1" spans="1:2">
      <c r="A3780" s="3" t="str">
        <f>IFERROR(__xludf.DUMMYFUNCTION("GOOGLETRANSLATE(A3780,""en"",""pt"")"),"brilho")</f>
        <v>brilho</v>
      </c>
      <c r="B3780" s="3">
        <v>1</v>
      </c>
    </row>
    <row r="3781" ht="15.75" customHeight="1" spans="1:2">
      <c r="A3781" s="3" t="str">
        <f>IFERROR(__xludf.DUMMYFUNCTION("GOOGLETRANSLATE(A3781,""en"",""pt"")"),"glitz")</f>
        <v>glitz</v>
      </c>
      <c r="B3781" s="3">
        <v>1</v>
      </c>
    </row>
    <row r="3782" ht="15.75" customHeight="1" spans="1:2">
      <c r="A3782" s="3" t="str">
        <f>IFERROR(__xludf.DUMMYFUNCTION("GOOGLETRANSLATE(A3782,""en"",""pt"")"),"glorificar")</f>
        <v>glorificar</v>
      </c>
      <c r="B3782" s="3">
        <v>1</v>
      </c>
    </row>
    <row r="3783" ht="15.75" customHeight="1" spans="1:2">
      <c r="A3783" s="3" t="str">
        <f>IFERROR(__xludf.DUMMYFUNCTION("GOOGLETRANSLATE(A3783,""en"",""pt"")"),"glorioso")</f>
        <v>glorioso</v>
      </c>
      <c r="B3783" s="3">
        <v>1</v>
      </c>
    </row>
    <row r="3784" ht="15.75" customHeight="1" spans="1:2">
      <c r="A3784" s="3" t="str">
        <f>IFERROR(__xludf.DUMMYFUNCTION("GOOGLETRANSLATE(A3784,""en"",""pt"")"),"gloriosamente")</f>
        <v>gloriosamente</v>
      </c>
      <c r="B3784" s="3">
        <v>1</v>
      </c>
    </row>
    <row r="3785" ht="15.75" customHeight="1" spans="1:2">
      <c r="A3785" s="3" t="str">
        <f>IFERROR(__xludf.DUMMYFUNCTION("GOOGLETRANSLATE(A3785,""en"",""pt"")"),"glória")</f>
        <v>glória</v>
      </c>
      <c r="B3785" s="3">
        <v>1</v>
      </c>
    </row>
    <row r="3786" ht="15.75" customHeight="1" spans="1:2">
      <c r="A3786" s="3" t="str">
        <f>IFERROR(__xludf.DUMMYFUNCTION("GOOGLETRANSLATE(A3786,""en"",""pt"")"),"brilho")</f>
        <v>brilho</v>
      </c>
      <c r="B3786" s="3">
        <v>1</v>
      </c>
    </row>
    <row r="3787" ht="15.75" customHeight="1" spans="1:2">
      <c r="A3787" s="3" t="str">
        <f>IFERROR(__xludf.DUMMYFUNCTION("GOOGLETRANSLATE(A3787,""en"",""pt"")"),"incandescente")</f>
        <v>incandescente</v>
      </c>
      <c r="B3787" s="3">
        <v>1</v>
      </c>
    </row>
    <row r="3788" ht="15.75" customHeight="1" spans="1:2">
      <c r="A3788" s="3" t="str">
        <f>IFERROR(__xludf.DUMMYFUNCTION("GOOGLETRANSLATE(A3788,""en"",""pt"")"),"glowingly")</f>
        <v>glowingly</v>
      </c>
      <c r="B3788" s="3">
        <v>1</v>
      </c>
    </row>
    <row r="3789" ht="15.75" customHeight="1" spans="1:2">
      <c r="A3789" s="3" t="str">
        <f>IFERROR(__xludf.DUMMYFUNCTION("GOOGLETRANSLATE(A3789,""en"",""pt"")"),"Deus dado")</f>
        <v>Deus dado</v>
      </c>
      <c r="B3789" s="3">
        <v>1</v>
      </c>
    </row>
    <row r="3790" ht="15.75" customHeight="1" spans="1:2">
      <c r="A3790" s="3" t="str">
        <f>IFERROR(__xludf.DUMMYFUNCTION("GOOGLETRANSLATE(A3790,""en"",""pt"")"),"god-send")</f>
        <v>god-send</v>
      </c>
      <c r="B3790" s="3">
        <v>1</v>
      </c>
    </row>
    <row r="3791" ht="15.75" customHeight="1" spans="1:2">
      <c r="A3791" s="3" t="str">
        <f>IFERROR(__xludf.DUMMYFUNCTION("GOOGLETRANSLATE(A3791,""en"",""pt"")"),"divino")</f>
        <v>divino</v>
      </c>
      <c r="B3791" s="3">
        <v>1</v>
      </c>
    </row>
    <row r="3792" ht="15.75" customHeight="1" spans="1:2">
      <c r="A3792" s="3" t="str">
        <f>IFERROR(__xludf.DUMMYFUNCTION("GOOGLETRANSLATE(A3792,""en"",""pt"")"),"dádiva")</f>
        <v>dádiva</v>
      </c>
      <c r="B3792" s="3">
        <v>1</v>
      </c>
    </row>
    <row r="3793" ht="15.75" customHeight="1" spans="1:2">
      <c r="A3793" s="3" t="str">
        <f>IFERROR(__xludf.DUMMYFUNCTION("GOOGLETRANSLATE(A3793,""en"",""pt"")"),"ouro")</f>
        <v>ouro</v>
      </c>
      <c r="B3793" s="3">
        <v>1</v>
      </c>
    </row>
    <row r="3794" ht="15.75" customHeight="1" spans="1:2">
      <c r="A3794" s="3" t="str">
        <f>IFERROR(__xludf.DUMMYFUNCTION("GOOGLETRANSLATE(A3794,""en"",""pt"")"),"dourado")</f>
        <v>dourado</v>
      </c>
      <c r="B3794" s="3">
        <v>1</v>
      </c>
    </row>
    <row r="3795" ht="15.75" customHeight="1" spans="1:2">
      <c r="A3795" s="3" t="str">
        <f>IFERROR(__xludf.DUMMYFUNCTION("GOOGLETRANSLATE(A3795,""en"",""pt"")"),"Boa")</f>
        <v>Boa</v>
      </c>
      <c r="B3795" s="3">
        <v>1</v>
      </c>
    </row>
    <row r="3796" ht="15.75" customHeight="1" spans="1:2">
      <c r="A3796" s="3" t="str">
        <f>IFERROR(__xludf.DUMMYFUNCTION("GOOGLETRANSLATE(A3796,""en"",""pt"")"),"considerável")</f>
        <v>considerável</v>
      </c>
      <c r="B3796" s="3">
        <v>1</v>
      </c>
    </row>
    <row r="3797" ht="15.75" customHeight="1" spans="1:2">
      <c r="A3797" s="3" t="str">
        <f>IFERROR(__xludf.DUMMYFUNCTION("GOOGLETRANSLATE(A3797,""en"",""pt"")"),"bondade")</f>
        <v>bondade</v>
      </c>
      <c r="B3797" s="3">
        <v>1</v>
      </c>
    </row>
    <row r="3798" ht="15.75" customHeight="1" spans="1:2">
      <c r="A3798" s="3" t="str">
        <f>IFERROR(__xludf.DUMMYFUNCTION("GOOGLETRANSLATE(A3798,""en"",""pt"")"),"boa vontade")</f>
        <v>boa vontade</v>
      </c>
      <c r="B3798" s="3">
        <v>1</v>
      </c>
    </row>
    <row r="3799" ht="15.75" customHeight="1" spans="1:2">
      <c r="A3799" s="3" t="str">
        <f>IFERROR(__xludf.DUMMYFUNCTION("GOOGLETRANSLATE(A3799,""en"",""pt"")"),"goood")</f>
        <v>goood</v>
      </c>
      <c r="B3799" s="3">
        <v>1</v>
      </c>
    </row>
    <row r="3800" ht="15.75" customHeight="1" spans="1:2">
      <c r="A3800" s="3" t="str">
        <f>IFERROR(__xludf.DUMMYFUNCTION("GOOGLETRANSLATE(A3800,""en"",""pt"")"),"gooood")</f>
        <v>gooood</v>
      </c>
      <c r="B3800" s="3">
        <v>1</v>
      </c>
    </row>
    <row r="3801" ht="15.75" customHeight="1" spans="1:2">
      <c r="A3801" s="3" t="str">
        <f>IFERROR(__xludf.DUMMYFUNCTION("GOOGLETRANSLATE(A3801,""en"",""pt"")"),"linda")</f>
        <v>linda</v>
      </c>
      <c r="B3801" s="3">
        <v>1</v>
      </c>
    </row>
    <row r="3802" ht="15.75" customHeight="1" spans="1:2">
      <c r="A3802" s="3" t="str">
        <f>IFERROR(__xludf.DUMMYFUNCTION("GOOGLETRANSLATE(A3802,""en"",""pt"")"),"gorgeously")</f>
        <v>gorgeously</v>
      </c>
      <c r="B3802" s="3">
        <v>1</v>
      </c>
    </row>
    <row r="3803" ht="15.75" customHeight="1" spans="1:2">
      <c r="A3803" s="3" t="str">
        <f>IFERROR(__xludf.DUMMYFUNCTION("GOOGLETRANSLATE(A3803,""en"",""pt"")"),"graça")</f>
        <v>graça</v>
      </c>
      <c r="B3803" s="3">
        <v>1</v>
      </c>
    </row>
    <row r="3804" ht="15.75" customHeight="1" spans="1:2">
      <c r="A3804" s="3" t="str">
        <f>IFERROR(__xludf.DUMMYFUNCTION("GOOGLETRANSLATE(A3804,""en"",""pt"")"),"gracioso")</f>
        <v>gracioso</v>
      </c>
      <c r="B3804" s="3">
        <v>1</v>
      </c>
    </row>
    <row r="3805" ht="15.75" customHeight="1" spans="1:2">
      <c r="A3805" s="3" t="str">
        <f>IFERROR(__xludf.DUMMYFUNCTION("GOOGLETRANSLATE(A3805,""en"",""pt"")"),"graciosamente")</f>
        <v>graciosamente</v>
      </c>
      <c r="B3805" s="3">
        <v>1</v>
      </c>
    </row>
    <row r="3806" ht="15.75" customHeight="1" spans="1:2">
      <c r="A3806" s="3" t="str">
        <f>IFERROR(__xludf.DUMMYFUNCTION("GOOGLETRANSLATE(A3806,""en"",""pt"")"),"gracioso")</f>
        <v>gracioso</v>
      </c>
      <c r="B3806" s="3">
        <v>1</v>
      </c>
    </row>
    <row r="3807" ht="15.75" customHeight="1" spans="1:2">
      <c r="A3807" s="3" t="str">
        <f>IFERROR(__xludf.DUMMYFUNCTION("GOOGLETRANSLATE(A3807,""en"",""pt"")"),"graciosamente")</f>
        <v>graciosamente</v>
      </c>
      <c r="B3807" s="3">
        <v>1</v>
      </c>
    </row>
    <row r="3808" ht="15.75" customHeight="1" spans="1:2">
      <c r="A3808" s="3" t="str">
        <f>IFERROR(__xludf.DUMMYFUNCTION("GOOGLETRANSLATE(A3808,""en"",""pt"")"),"benevolência")</f>
        <v>benevolência</v>
      </c>
      <c r="B3808" s="3">
        <v>1</v>
      </c>
    </row>
    <row r="3809" ht="15.75" customHeight="1" spans="1:2">
      <c r="A3809" s="3" t="str">
        <f>IFERROR(__xludf.DUMMYFUNCTION("GOOGLETRANSLATE(A3809,""en"",""pt"")"),"grande")</f>
        <v>grande</v>
      </c>
      <c r="B3809" s="3">
        <v>1</v>
      </c>
    </row>
    <row r="3810" ht="15.75" customHeight="1" spans="1:2">
      <c r="A3810" s="3" t="str">
        <f>IFERROR(__xludf.DUMMYFUNCTION("GOOGLETRANSLATE(A3810,""en"",""pt"")"),"grandeza")</f>
        <v>grandeza</v>
      </c>
      <c r="B3810" s="3">
        <v>1</v>
      </c>
    </row>
    <row r="3811" ht="15.75" customHeight="1" spans="1:2">
      <c r="A3811" s="3" t="str">
        <f>IFERROR(__xludf.DUMMYFUNCTION("GOOGLETRANSLATE(A3811,""en"",""pt"")"),"grato")</f>
        <v>grato</v>
      </c>
      <c r="B3811" s="3">
        <v>1</v>
      </c>
    </row>
    <row r="3812" ht="15.75" customHeight="1" spans="1:2">
      <c r="A3812" s="3" t="str">
        <f>IFERROR(__xludf.DUMMYFUNCTION("GOOGLETRANSLATE(A3812,""en"",""pt"")"),"gratamente")</f>
        <v>gratamente</v>
      </c>
      <c r="B3812" s="3">
        <v>1</v>
      </c>
    </row>
    <row r="3813" ht="15.75" customHeight="1" spans="1:2">
      <c r="A3813" s="3" t="str">
        <f>IFERROR(__xludf.DUMMYFUNCTION("GOOGLETRANSLATE(A3813,""en"",""pt"")"),"gratificação")</f>
        <v>gratificação</v>
      </c>
      <c r="B3813" s="3">
        <v>1</v>
      </c>
    </row>
    <row r="3814" ht="15.75" customHeight="1" spans="1:2">
      <c r="A3814" s="3" t="str">
        <f>IFERROR(__xludf.DUMMYFUNCTION("GOOGLETRANSLATE(A3814,""en"",""pt"")"),"gratificado")</f>
        <v>gratificado</v>
      </c>
      <c r="B3814" s="3">
        <v>1</v>
      </c>
    </row>
    <row r="3815" ht="15.75" customHeight="1" spans="1:2">
      <c r="A3815" s="3" t="str">
        <f>IFERROR(__xludf.DUMMYFUNCTION("GOOGLETRANSLATE(A3815,""en"",""pt"")"),"gratifica")</f>
        <v>gratifica</v>
      </c>
      <c r="B3815" s="3">
        <v>1</v>
      </c>
    </row>
    <row r="3816" ht="15.75" customHeight="1" spans="1:2">
      <c r="A3816" s="3" t="str">
        <f>IFERROR(__xludf.DUMMYFUNCTION("GOOGLETRANSLATE(A3816,""en"",""pt"")"),"satisfazer")</f>
        <v>satisfazer</v>
      </c>
      <c r="B3816" s="3">
        <v>1</v>
      </c>
    </row>
    <row r="3817" ht="15.75" customHeight="1" spans="1:2">
      <c r="A3817" s="3" t="str">
        <f>IFERROR(__xludf.DUMMYFUNCTION("GOOGLETRANSLATE(A3817,""en"",""pt"")"),"gratificante")</f>
        <v>gratificante</v>
      </c>
      <c r="B3817" s="3">
        <v>1</v>
      </c>
    </row>
    <row r="3818" ht="15.75" customHeight="1" spans="1:2">
      <c r="A3818" s="3" t="str">
        <f>IFERROR(__xludf.DUMMYFUNCTION("GOOGLETRANSLATE(A3818,""en"",""pt"")"),"gratifyingly")</f>
        <v>gratifyingly</v>
      </c>
      <c r="B3818" s="3">
        <v>1</v>
      </c>
    </row>
    <row r="3819" ht="15.75" customHeight="1" spans="1:2">
      <c r="A3819" s="3" t="str">
        <f>IFERROR(__xludf.DUMMYFUNCTION("GOOGLETRANSLATE(A3819,""en"",""pt"")"),"gratidão")</f>
        <v>gratidão</v>
      </c>
      <c r="B3819" s="3">
        <v>1</v>
      </c>
    </row>
    <row r="3820" ht="15.75" customHeight="1" spans="1:2">
      <c r="A3820" s="3" t="str">
        <f>IFERROR(__xludf.DUMMYFUNCTION("GOOGLETRANSLATE(A3820,""en"",""pt"")"),"ótimo")</f>
        <v>ótimo</v>
      </c>
      <c r="B3820" s="3">
        <v>1</v>
      </c>
    </row>
    <row r="3821" ht="15.75" customHeight="1" spans="1:2">
      <c r="A3821" s="3" t="str">
        <f>IFERROR(__xludf.DUMMYFUNCTION("GOOGLETRANSLATE(A3821,""en"",""pt"")"),"maior")</f>
        <v>maior</v>
      </c>
      <c r="B3821" s="3">
        <v>1</v>
      </c>
    </row>
    <row r="3822" ht="15.75" customHeight="1" spans="1:2">
      <c r="A3822" s="3" t="str">
        <f>IFERROR(__xludf.DUMMYFUNCTION("GOOGLETRANSLATE(A3822,""en"",""pt"")"),"grandeza")</f>
        <v>grandeza</v>
      </c>
      <c r="B3822" s="3">
        <v>1</v>
      </c>
    </row>
    <row r="3823" ht="15.75" customHeight="1" spans="1:2">
      <c r="A3823" s="3" t="str">
        <f>IFERROR(__xludf.DUMMYFUNCTION("GOOGLETRANSLATE(A3823,""en"",""pt"")"),"sorriso largo")</f>
        <v>sorriso largo</v>
      </c>
      <c r="B3823" s="3">
        <v>1</v>
      </c>
    </row>
    <row r="3824" ht="15.75" customHeight="1" spans="1:2">
      <c r="A3824" s="3" t="str">
        <f>IFERROR(__xludf.DUMMYFUNCTION("GOOGLETRANSLATE(A3824,""en"",""pt"")"),"inovador")</f>
        <v>inovador</v>
      </c>
      <c r="B3824" s="3">
        <v>1</v>
      </c>
    </row>
    <row r="3825" ht="15.75" customHeight="1" spans="1:2">
      <c r="A3825" s="3" t="str">
        <f>IFERROR(__xludf.DUMMYFUNCTION("GOOGLETRANSLATE(A3825,""en"",""pt"")"),"garantia")</f>
        <v>garantia</v>
      </c>
      <c r="B3825" s="3">
        <v>1</v>
      </c>
    </row>
    <row r="3826" ht="15.75" customHeight="1" spans="1:2">
      <c r="A3826" s="3" t="str">
        <f>IFERROR(__xludf.DUMMYFUNCTION("GOOGLETRANSLATE(A3826,""en"",""pt"")"),"orientação")</f>
        <v>orientação</v>
      </c>
      <c r="B3826" s="3">
        <v>1</v>
      </c>
    </row>
    <row r="3827" ht="15.75" customHeight="1" spans="1:2">
      <c r="A3827" s="3" t="str">
        <f>IFERROR(__xludf.DUMMYFUNCTION("GOOGLETRANSLATE(A3827,""en"",""pt"")"),"inocente")</f>
        <v>inocente</v>
      </c>
      <c r="B3827" s="3">
        <v>1</v>
      </c>
    </row>
    <row r="3828" ht="15.75" customHeight="1" spans="1:2">
      <c r="A3828" s="3" t="str">
        <f>IFERROR(__xludf.DUMMYFUNCTION("GOOGLETRANSLATE(A3828,""en"",""pt"")"),"bom senso")</f>
        <v>bom senso</v>
      </c>
      <c r="B3828" s="3">
        <v>1</v>
      </c>
    </row>
    <row r="3829" ht="15.75" customHeight="1" spans="1:2">
      <c r="A3829" s="3" t="str">
        <f>IFERROR(__xludf.DUMMYFUNCTION("GOOGLETRANSLATE(A3829,""en"",""pt"")"),"jorro")</f>
        <v>jorro</v>
      </c>
      <c r="B3829" s="3">
        <v>1</v>
      </c>
    </row>
    <row r="3830" ht="15.75" customHeight="1" spans="1:2">
      <c r="A3830" s="3" t="str">
        <f>IFERROR(__xludf.DUMMYFUNCTION("GOOGLETRANSLATE(A3830,""en"",""pt"")"),"gosto")</f>
        <v>gosto</v>
      </c>
      <c r="B3830" s="3">
        <v>1</v>
      </c>
    </row>
    <row r="3831" ht="15.75" customHeight="1" spans="1:2">
      <c r="A3831" s="3" t="str">
        <f>IFERROR(__xludf.DUMMYFUNCTION("GOOGLETRANSLATE(A3831,""en"",""pt"")"),"gutsy")</f>
        <v>gutsy</v>
      </c>
      <c r="B3831" s="3">
        <v>1</v>
      </c>
    </row>
    <row r="3832" ht="15.75" customHeight="1" spans="1:2">
      <c r="A3832" s="3" t="str">
        <f>IFERROR(__xludf.DUMMYFUNCTION("GOOGLETRANSLATE(A3832,""en"",""pt"")"),"saudar")</f>
        <v>saudar</v>
      </c>
      <c r="B3832" s="3">
        <v>1</v>
      </c>
    </row>
    <row r="3833" ht="15.75" customHeight="1" spans="1:2">
      <c r="A3833" s="3" t="str">
        <f>IFERROR(__xludf.DUMMYFUNCTION("GOOGLETRANSLATE(A3833,""en"",""pt"")"),"martim-pescador")</f>
        <v>martim-pescador</v>
      </c>
      <c r="B3833" s="3">
        <v>1</v>
      </c>
    </row>
    <row r="3834" ht="15.75" customHeight="1" spans="1:2">
      <c r="A3834" s="3" t="str">
        <f>IFERROR(__xludf.DUMMYFUNCTION("GOOGLETRANSLATE(A3834,""en"",""pt"")"),"vigoroso")</f>
        <v>vigoroso</v>
      </c>
      <c r="B3834" s="3">
        <v>1</v>
      </c>
    </row>
    <row r="3835" ht="15.75" customHeight="1" spans="1:2">
      <c r="A3835" s="3" t="str">
        <f>IFERROR(__xludf.DUMMYFUNCTION("GOOGLETRANSLATE(A3835,""en"",""pt"")"),"marca")</f>
        <v>marca</v>
      </c>
      <c r="B3835" s="3">
        <v>1</v>
      </c>
    </row>
    <row r="3836" ht="15.75" customHeight="1" spans="1:2">
      <c r="A3836" s="3" t="str">
        <f>IFERROR(__xludf.DUMMYFUNCTION("GOOGLETRANSLATE(A3836,""en"",""pt"")"),"marcas")</f>
        <v>marcas</v>
      </c>
      <c r="B3836" s="3">
        <v>1</v>
      </c>
    </row>
    <row r="3837" ht="15.75" customHeight="1" spans="1:2">
      <c r="A3837" s="3" t="str">
        <f>IFERROR(__xludf.DUMMYFUNCTION("GOOGLETRANSLATE(A3837,""en"",""pt"")"),"santificado")</f>
        <v>santificado</v>
      </c>
      <c r="B3837" s="3">
        <v>1</v>
      </c>
    </row>
    <row r="3838" ht="15.75" customHeight="1" spans="1:2">
      <c r="A3838" s="3" t="str">
        <f>IFERROR(__xludf.DUMMYFUNCTION("GOOGLETRANSLATE(A3838,""en"",""pt"")"),"handier")</f>
        <v>handier</v>
      </c>
      <c r="B3838" s="3">
        <v>1</v>
      </c>
    </row>
    <row r="3839" ht="15.75" customHeight="1" spans="1:2">
      <c r="A3839" s="3" t="str">
        <f>IFERROR(__xludf.DUMMYFUNCTION("GOOGLETRANSLATE(A3839,""en"",""pt"")"),"com folga")</f>
        <v>com folga</v>
      </c>
      <c r="B3839" s="3">
        <v>1</v>
      </c>
    </row>
    <row r="3840" ht="15.75" customHeight="1" spans="1:2">
      <c r="A3840" s="3" t="str">
        <f>IFERROR(__xludf.DUMMYFUNCTION("GOOGLETRANSLATE(A3840,""en"",""pt"")"),"mãos para baixo")</f>
        <v>mãos para baixo</v>
      </c>
      <c r="B3840" s="3">
        <v>1</v>
      </c>
    </row>
    <row r="3841" ht="15.75" customHeight="1" spans="1:2">
      <c r="A3841" s="3" t="str">
        <f>IFERROR(__xludf.DUMMYFUNCTION("GOOGLETRANSLATE(A3841,""en"",""pt"")"),"bonito")</f>
        <v>bonito</v>
      </c>
      <c r="B3841" s="3">
        <v>1</v>
      </c>
    </row>
    <row r="3842" ht="15.75" customHeight="1" spans="1:2">
      <c r="A3842" s="3" t="str">
        <f>IFERROR(__xludf.DUMMYFUNCTION("GOOGLETRANSLATE(A3842,""en"",""pt"")"),"generosamente")</f>
        <v>generosamente</v>
      </c>
      <c r="B3842" s="3">
        <v>1</v>
      </c>
    </row>
    <row r="3843" ht="15.75" customHeight="1" spans="1:2">
      <c r="A3843" s="3" t="str">
        <f>IFERROR(__xludf.DUMMYFUNCTION("GOOGLETRANSLATE(A3843,""en"",""pt"")"),"conveniente")</f>
        <v>conveniente</v>
      </c>
      <c r="B3843" s="3">
        <v>1</v>
      </c>
    </row>
    <row r="3844" ht="15.75" customHeight="1" spans="1:2">
      <c r="A3844" s="3" t="str">
        <f>IFERROR(__xludf.DUMMYFUNCTION("GOOGLETRANSLATE(A3844,""en"",""pt"")"),"mais feliz")</f>
        <v>mais feliz</v>
      </c>
      <c r="B3844" s="3">
        <v>1</v>
      </c>
    </row>
    <row r="3845" ht="15.75" customHeight="1" spans="1:2">
      <c r="A3845" s="3" t="str">
        <f>IFERROR(__xludf.DUMMYFUNCTION("GOOGLETRANSLATE(A3845,""en"",""pt"")"),"alegremente")</f>
        <v>alegremente</v>
      </c>
      <c r="B3845" s="3">
        <v>1</v>
      </c>
    </row>
    <row r="3846" ht="15.75" customHeight="1" spans="1:2">
      <c r="A3846" s="3" t="str">
        <f>IFERROR(__xludf.DUMMYFUNCTION("GOOGLETRANSLATE(A3846,""en"",""pt"")"),"felicidade")</f>
        <v>felicidade</v>
      </c>
      <c r="B3846" s="3">
        <v>1</v>
      </c>
    </row>
    <row r="3847" ht="15.75" customHeight="1" spans="1:2">
      <c r="A3847" s="3" t="str">
        <f>IFERROR(__xludf.DUMMYFUNCTION("GOOGLETRANSLATE(A3847,""en"",""pt"")"),"feliz")</f>
        <v>feliz</v>
      </c>
      <c r="B3847" s="3">
        <v>1</v>
      </c>
    </row>
    <row r="3848" ht="15.75" customHeight="1" spans="1:2">
      <c r="A3848" s="3" t="str">
        <f>IFERROR(__xludf.DUMMYFUNCTION("GOOGLETRANSLATE(A3848,""en"",""pt"")"),"trabalha duro")</f>
        <v>trabalha duro</v>
      </c>
      <c r="B3848" s="3">
        <v>1</v>
      </c>
    </row>
    <row r="3849" ht="15.75" customHeight="1" spans="1:2">
      <c r="A3849" s="3" t="str">
        <f>IFERROR(__xludf.DUMMYFUNCTION("GOOGLETRANSLATE(A3849,""en"",""pt"")"),"hardier")</f>
        <v>hardier</v>
      </c>
      <c r="B3849" s="3">
        <v>1</v>
      </c>
    </row>
    <row r="3850" ht="15.75" customHeight="1" spans="1:2">
      <c r="A3850" s="3" t="str">
        <f>IFERROR(__xludf.DUMMYFUNCTION("GOOGLETRANSLATE(A3850,""en"",""pt"")"),"ousado")</f>
        <v>ousado</v>
      </c>
      <c r="B3850" s="3">
        <v>1</v>
      </c>
    </row>
    <row r="3851" ht="15.75" customHeight="1" spans="1:2">
      <c r="A3851" s="3" t="str">
        <f>IFERROR(__xludf.DUMMYFUNCTION("GOOGLETRANSLATE(A3851,""en"",""pt"")"),"inofensivo")</f>
        <v>inofensivo</v>
      </c>
      <c r="B3851" s="3">
        <v>1</v>
      </c>
    </row>
    <row r="3852" ht="15.75" customHeight="1" spans="1:2">
      <c r="A3852" s="3" t="str">
        <f>IFERROR(__xludf.DUMMYFUNCTION("GOOGLETRANSLATE(A3852,""en"",""pt"")"),"harmonioso")</f>
        <v>harmonioso</v>
      </c>
      <c r="B3852" s="3">
        <v>1</v>
      </c>
    </row>
    <row r="3853" ht="15.75" customHeight="1" spans="1:2">
      <c r="A3853" s="3" t="str">
        <f>IFERROR(__xludf.DUMMYFUNCTION("GOOGLETRANSLATE(A3853,""en"",""pt"")"),"harmoniosamente")</f>
        <v>harmoniosamente</v>
      </c>
      <c r="B3853" s="3">
        <v>1</v>
      </c>
    </row>
    <row r="3854" ht="15.75" customHeight="1" spans="1:2">
      <c r="A3854" s="3" t="str">
        <f>IFERROR(__xludf.DUMMYFUNCTION("GOOGLETRANSLATE(A3854,""en"",""pt"")"),"harmonizar")</f>
        <v>harmonizar</v>
      </c>
      <c r="B3854" s="3">
        <v>1</v>
      </c>
    </row>
    <row r="3855" ht="15.75" customHeight="1" spans="1:2">
      <c r="A3855" s="3" t="str">
        <f>IFERROR(__xludf.DUMMYFUNCTION("GOOGLETRANSLATE(A3855,""en"",""pt"")"),"harmonia")</f>
        <v>harmonia</v>
      </c>
      <c r="B3855" s="3">
        <v>1</v>
      </c>
    </row>
    <row r="3856" ht="15.75" customHeight="1" spans="1:2">
      <c r="A3856" s="3" t="str">
        <f>IFERROR(__xludf.DUMMYFUNCTION("GOOGLETRANSLATE(A3856,""en"",""pt"")"),"progresso")</f>
        <v>progresso</v>
      </c>
      <c r="B3856" s="3">
        <v>1</v>
      </c>
    </row>
    <row r="3857" ht="15.75" customHeight="1" spans="1:2">
      <c r="A3857" s="3" t="str">
        <f>IFERROR(__xludf.DUMMYFUNCTION("GOOGLETRANSLATE(A3857,""en"",""pt"")"),"curar")</f>
        <v>curar</v>
      </c>
      <c r="B3857" s="3">
        <v>1</v>
      </c>
    </row>
    <row r="3858" ht="15.75" customHeight="1" spans="1:2">
      <c r="A3858" s="3" t="str">
        <f>IFERROR(__xludf.DUMMYFUNCTION("GOOGLETRANSLATE(A3858,""en"",""pt"")"),"saudável")</f>
        <v>saudável</v>
      </c>
      <c r="B3858" s="3">
        <v>1</v>
      </c>
    </row>
    <row r="3859" ht="15.75" customHeight="1" spans="1:2">
      <c r="A3859" s="3" t="str">
        <f>IFERROR(__xludf.DUMMYFUNCTION("GOOGLETRANSLATE(A3859,""en"",""pt"")"),"saudável")</f>
        <v>saudável</v>
      </c>
      <c r="B3859" s="3">
        <v>1</v>
      </c>
    </row>
    <row r="3860" ht="15.75" customHeight="1" spans="1:2">
      <c r="A3860" s="3" t="str">
        <f>IFERROR(__xludf.DUMMYFUNCTION("GOOGLETRANSLATE(A3860,""en"",""pt"")"),"hearten")</f>
        <v>hearten</v>
      </c>
      <c r="B3860" s="3">
        <v>1</v>
      </c>
    </row>
    <row r="3861" ht="15.75" customHeight="1" spans="1:2">
      <c r="A3861" s="3" t="str">
        <f>IFERROR(__xludf.DUMMYFUNCTION("GOOGLETRANSLATE(A3861,""en"",""pt"")"),"animador")</f>
        <v>animador</v>
      </c>
      <c r="B3861" s="3">
        <v>1</v>
      </c>
    </row>
    <row r="3862" ht="15.75" customHeight="1" spans="1:2">
      <c r="A3862" s="3" t="str">
        <f>IFERROR(__xludf.DUMMYFUNCTION("GOOGLETRANSLATE(A3862,""en"",""pt"")"),"sincero")</f>
        <v>sincero</v>
      </c>
      <c r="B3862" s="3">
        <v>1</v>
      </c>
    </row>
    <row r="3863" ht="15.75" customHeight="1" spans="1:2">
      <c r="A3863" s="3" t="str">
        <f>IFERROR(__xludf.DUMMYFUNCTION("GOOGLETRANSLATE(A3863,""en"",""pt"")"),"cordialmente")</f>
        <v>cordialmente</v>
      </c>
      <c r="B3863" s="3">
        <v>1</v>
      </c>
    </row>
    <row r="3864" ht="15.75" customHeight="1" spans="1:2">
      <c r="A3864" s="3" t="str">
        <f>IFERROR(__xludf.DUMMYFUNCTION("GOOGLETRANSLATE(A3864,""en"",""pt"")"),"emotivo")</f>
        <v>emotivo</v>
      </c>
      <c r="B3864" s="3">
        <v>1</v>
      </c>
    </row>
    <row r="3865" ht="15.75" customHeight="1" spans="1:2">
      <c r="A3865" s="3" t="str">
        <f>IFERROR(__xludf.DUMMYFUNCTION("GOOGLETRANSLATE(A3865,""en"",""pt"")"),"céu")</f>
        <v>céu</v>
      </c>
      <c r="B3865" s="3">
        <v>1</v>
      </c>
    </row>
    <row r="3866" ht="15.75" customHeight="1" spans="1:2">
      <c r="A3866" s="3" t="str">
        <f>IFERROR(__xludf.DUMMYFUNCTION("GOOGLETRANSLATE(A3866,""en"",""pt"")"),"celestial")</f>
        <v>celestial</v>
      </c>
      <c r="B3866" s="3">
        <v>1</v>
      </c>
    </row>
    <row r="3867" ht="15.75" customHeight="1" spans="1:2">
      <c r="A3867" s="3" t="str">
        <f>IFERROR(__xludf.DUMMYFUNCTION("GOOGLETRANSLATE(A3867,""en"",""pt"")"),"ajudou")</f>
        <v>ajudou</v>
      </c>
      <c r="B3867" s="3">
        <v>1</v>
      </c>
    </row>
    <row r="3868" ht="15.75" customHeight="1" spans="1:2">
      <c r="A3868" s="3" t="str">
        <f>IFERROR(__xludf.DUMMYFUNCTION("GOOGLETRANSLATE(A3868,""en"",""pt"")"),"útil")</f>
        <v>útil</v>
      </c>
      <c r="B3868" s="3">
        <v>1</v>
      </c>
    </row>
    <row r="3869" ht="15.75" customHeight="1" spans="1:2">
      <c r="A3869" s="3" t="str">
        <f>IFERROR(__xludf.DUMMYFUNCTION("GOOGLETRANSLATE(A3869,""en"",""pt"")"),"ajuda")</f>
        <v>ajuda</v>
      </c>
      <c r="B3869" s="3">
        <v>1</v>
      </c>
    </row>
    <row r="3870" ht="15.75" customHeight="1" spans="1:2">
      <c r="A3870" s="3" t="str">
        <f>IFERROR(__xludf.DUMMYFUNCTION("GOOGLETRANSLATE(A3870,""en"",""pt"")"),"herói")</f>
        <v>herói</v>
      </c>
      <c r="B3870" s="3">
        <v>1</v>
      </c>
    </row>
    <row r="3871" ht="15.75" customHeight="1" spans="1:2">
      <c r="A3871" s="3" t="str">
        <f>IFERROR(__xludf.DUMMYFUNCTION("GOOGLETRANSLATE(A3871,""en"",""pt"")"),"heróico")</f>
        <v>heróico</v>
      </c>
      <c r="B3871" s="3">
        <v>1</v>
      </c>
    </row>
    <row r="3872" ht="15.75" customHeight="1" spans="1:2">
      <c r="A3872" s="3" t="str">
        <f>IFERROR(__xludf.DUMMYFUNCTION("GOOGLETRANSLATE(A3872,""en"",""pt"")"),"heroicamente")</f>
        <v>heroicamente</v>
      </c>
      <c r="B3872" s="3">
        <v>1</v>
      </c>
    </row>
    <row r="3873" ht="15.75" customHeight="1" spans="1:2">
      <c r="A3873" s="3" t="str">
        <f>IFERROR(__xludf.DUMMYFUNCTION("GOOGLETRANSLATE(A3873,""en"",""pt"")"),"heroína")</f>
        <v>heroína</v>
      </c>
      <c r="B3873" s="3">
        <v>1</v>
      </c>
    </row>
    <row r="3874" ht="15.75" customHeight="1" spans="1:2">
      <c r="A3874" s="3" t="str">
        <f>IFERROR(__xludf.DUMMYFUNCTION("GOOGLETRANSLATE(A3874,""en"",""pt"")"),"heroize")</f>
        <v>heroize</v>
      </c>
      <c r="B3874" s="3">
        <v>1</v>
      </c>
    </row>
    <row r="3875" ht="15.75" customHeight="1" spans="1:2">
      <c r="A3875" s="3" t="str">
        <f>IFERROR(__xludf.DUMMYFUNCTION("GOOGLETRANSLATE(A3875,""en"",""pt"")"),"heros")</f>
        <v>heros</v>
      </c>
      <c r="B3875" s="3">
        <v>1</v>
      </c>
    </row>
    <row r="3876" ht="15.75" customHeight="1" spans="1:2">
      <c r="A3876" s="3" t="str">
        <f>IFERROR(__xludf.DUMMYFUNCTION("GOOGLETRANSLATE(A3876,""en"",""pt"")"),"alta qualidade")</f>
        <v>alta qualidade</v>
      </c>
      <c r="B3876" s="3">
        <v>1</v>
      </c>
    </row>
    <row r="3877" ht="15.75" customHeight="1" spans="1:2">
      <c r="A3877" s="3" t="str">
        <f>IFERROR(__xludf.DUMMYFUNCTION("GOOGLETRANSLATE(A3877,""en"",""pt"")"),"De alta espirituoso")</f>
        <v>De alta espirituoso</v>
      </c>
      <c r="B3877" s="3">
        <v>1</v>
      </c>
    </row>
    <row r="3878" ht="15.75" customHeight="1" spans="1:2">
      <c r="A3878" s="3" t="str">
        <f>IFERROR(__xludf.DUMMYFUNCTION("GOOGLETRANSLATE(A3878,""en"",""pt"")"),"Hilário")</f>
        <v>Hilário</v>
      </c>
      <c r="B3878" s="3">
        <v>1</v>
      </c>
    </row>
    <row r="3879" ht="15.75" customHeight="1" spans="1:2">
      <c r="A3879" s="3" t="str">
        <f>IFERROR(__xludf.DUMMYFUNCTION("GOOGLETRANSLATE(A3879,""en"",""pt"")"),"piedosos")</f>
        <v>piedosos</v>
      </c>
      <c r="B3879" s="3">
        <v>1</v>
      </c>
    </row>
    <row r="3880" ht="15.75" customHeight="1" spans="1:2">
      <c r="A3880" s="3" t="str">
        <f>IFERROR(__xludf.DUMMYFUNCTION("GOOGLETRANSLATE(A3880,""en"",""pt"")"),"homenagem")</f>
        <v>homenagem</v>
      </c>
      <c r="B3880" s="3">
        <v>1</v>
      </c>
    </row>
    <row r="3881" ht="15.75" customHeight="1" spans="1:2">
      <c r="A3881" s="3" t="str">
        <f>IFERROR(__xludf.DUMMYFUNCTION("GOOGLETRANSLATE(A3881,""en"",""pt"")"),"honesto")</f>
        <v>honesto</v>
      </c>
      <c r="B3881" s="3">
        <v>1</v>
      </c>
    </row>
    <row r="3882" ht="15.75" customHeight="1" spans="1:2">
      <c r="A3882" s="3" t="str">
        <f>IFERROR(__xludf.DUMMYFUNCTION("GOOGLETRANSLATE(A3882,""en"",""pt"")"),"honestidade")</f>
        <v>honestidade</v>
      </c>
      <c r="B3882" s="3">
        <v>1</v>
      </c>
    </row>
    <row r="3883" ht="15.75" customHeight="1" spans="1:2">
      <c r="A3883" s="3" t="str">
        <f>IFERROR(__xludf.DUMMYFUNCTION("GOOGLETRANSLATE(A3883,""en"",""pt"")"),"honra")</f>
        <v>honra</v>
      </c>
      <c r="B3883" s="3">
        <v>1</v>
      </c>
    </row>
    <row r="3884" ht="15.75" customHeight="1" spans="1:2">
      <c r="A3884" s="3" t="str">
        <f>IFERROR(__xludf.DUMMYFUNCTION("GOOGLETRANSLATE(A3884,""en"",""pt"")"),"honroso")</f>
        <v>honroso</v>
      </c>
      <c r="B3884" s="3">
        <v>1</v>
      </c>
    </row>
    <row r="3885" ht="15.75" customHeight="1" spans="1:2">
      <c r="A3885" s="3" t="str">
        <f>IFERROR(__xludf.DUMMYFUNCTION("GOOGLETRANSLATE(A3885,""en"",""pt"")"),"honrado")</f>
        <v>honrado</v>
      </c>
      <c r="B3885" s="3">
        <v>1</v>
      </c>
    </row>
    <row r="3886" ht="15.75" customHeight="1" spans="1:2">
      <c r="A3886" s="3" t="str">
        <f>IFERROR(__xludf.DUMMYFUNCTION("GOOGLETRANSLATE(A3886,""en"",""pt"")"),"homenagem")</f>
        <v>homenagem</v>
      </c>
      <c r="B3886" s="3">
        <v>1</v>
      </c>
    </row>
    <row r="3887" ht="15.75" customHeight="1" spans="1:2">
      <c r="A3887" s="3" t="str">
        <f>IFERROR(__xludf.DUMMYFUNCTION("GOOGLETRANSLATE(A3887,""en"",""pt"")"),"hooray")</f>
        <v>hooray</v>
      </c>
      <c r="B3887" s="3">
        <v>1</v>
      </c>
    </row>
    <row r="3888" ht="15.75" customHeight="1" spans="1:2">
      <c r="A3888" s="3" t="str">
        <f>IFERROR(__xludf.DUMMYFUNCTION("GOOGLETRANSLATE(A3888,""en"",""pt"")"),"esperançoso")</f>
        <v>esperançoso</v>
      </c>
      <c r="B3888" s="3">
        <v>1</v>
      </c>
    </row>
    <row r="3889" ht="15.75" customHeight="1" spans="1:2">
      <c r="A3889" s="3" t="str">
        <f>IFERROR(__xludf.DUMMYFUNCTION("GOOGLETRANSLATE(A3889,""en"",""pt"")"),"hospitaleiro")</f>
        <v>hospitaleiro</v>
      </c>
      <c r="B3889" s="3">
        <v>1</v>
      </c>
    </row>
    <row r="3890" ht="15.75" customHeight="1" spans="1:2">
      <c r="A3890" s="3" t="str">
        <f>IFERROR(__xludf.DUMMYFUNCTION("GOOGLETRANSLATE(A3890,""en"",""pt"")"),"quente")</f>
        <v>quente</v>
      </c>
      <c r="B3890" s="3">
        <v>1</v>
      </c>
    </row>
    <row r="3891" ht="15.75" customHeight="1" spans="1:2">
      <c r="A3891" s="3" t="str">
        <f>IFERROR(__xludf.DUMMYFUNCTION("GOOGLETRANSLATE(A3891,""en"",""pt"")"),"bolo quente")</f>
        <v>bolo quente</v>
      </c>
      <c r="B3891" s="3">
        <v>1</v>
      </c>
    </row>
    <row r="3892" ht="15.75" customHeight="1" spans="1:2">
      <c r="A3892" s="3" t="str">
        <f>IFERROR(__xludf.DUMMYFUNCTION("GOOGLETRANSLATE(A3892,""en"",""pt"")"),"Bolos quentes")</f>
        <v>Bolos quentes</v>
      </c>
      <c r="B3892" s="3">
        <v>1</v>
      </c>
    </row>
    <row r="3893" ht="15.75" customHeight="1" spans="1:2">
      <c r="A3893" s="3" t="str">
        <f>IFERROR(__xludf.DUMMYFUNCTION("GOOGLETRANSLATE(A3893,""en"",""pt"")"),"mais quente")</f>
        <v>mais quente</v>
      </c>
      <c r="B3893" s="3">
        <v>1</v>
      </c>
    </row>
    <row r="3894" ht="15.75" customHeight="1" spans="1:2">
      <c r="A3894" s="3" t="str">
        <f>IFERROR(__xludf.DUMMYFUNCTION("GOOGLETRANSLATE(A3894,""en"",""pt"")"),"abraço")</f>
        <v>abraço</v>
      </c>
      <c r="B3894" s="3">
        <v>1</v>
      </c>
    </row>
    <row r="3895" ht="15.75" customHeight="1" spans="1:2">
      <c r="A3895" s="3" t="str">
        <f>IFERROR(__xludf.DUMMYFUNCTION("GOOGLETRANSLATE(A3895,""en"",""pt"")"),"humano")</f>
        <v>humano</v>
      </c>
      <c r="B3895" s="3">
        <v>1</v>
      </c>
    </row>
    <row r="3896" ht="15.75" customHeight="1" spans="1:2">
      <c r="A3896" s="3" t="str">
        <f>IFERROR(__xludf.DUMMYFUNCTION("GOOGLETRANSLATE(A3896,""en"",""pt"")"),"humilde")</f>
        <v>humilde</v>
      </c>
      <c r="B3896" s="3">
        <v>1</v>
      </c>
    </row>
    <row r="3897" ht="15.75" customHeight="1" spans="1:2">
      <c r="A3897" s="3" t="str">
        <f>IFERROR(__xludf.DUMMYFUNCTION("GOOGLETRANSLATE(A3897,""en"",""pt"")"),"humildade")</f>
        <v>humildade</v>
      </c>
      <c r="B3897" s="3">
        <v>1</v>
      </c>
    </row>
    <row r="3898" ht="15.75" customHeight="1" spans="1:2">
      <c r="A3898" s="3" t="str">
        <f>IFERROR(__xludf.DUMMYFUNCTION("GOOGLETRANSLATE(A3898,""en"",""pt"")"),"humor")</f>
        <v>humor</v>
      </c>
      <c r="B3898" s="3">
        <v>1</v>
      </c>
    </row>
    <row r="3899" ht="15.75" customHeight="1" spans="1:2">
      <c r="A3899" s="3" t="str">
        <f>IFERROR(__xludf.DUMMYFUNCTION("GOOGLETRANSLATE(A3899,""en"",""pt"")"),"engraçado")</f>
        <v>engraçado</v>
      </c>
      <c r="B3899" s="3">
        <v>1</v>
      </c>
    </row>
    <row r="3900" ht="15.75" customHeight="1" spans="1:2">
      <c r="A3900" s="3" t="str">
        <f>IFERROR(__xludf.DUMMYFUNCTION("GOOGLETRANSLATE(A3900,""en"",""pt"")"),"humoristicamente")</f>
        <v>humoristicamente</v>
      </c>
      <c r="B3900" s="3">
        <v>1</v>
      </c>
    </row>
    <row r="3901" ht="15.75" customHeight="1" spans="1:2">
      <c r="A3901" s="3" t="str">
        <f>IFERROR(__xludf.DUMMYFUNCTION("GOOGLETRANSLATE(A3901,""en"",""pt"")"),"humor")</f>
        <v>humor</v>
      </c>
      <c r="B3901" s="3">
        <v>1</v>
      </c>
    </row>
    <row r="3902" ht="15.75" customHeight="1" spans="1:2">
      <c r="A3902" s="3" t="str">
        <f>IFERROR(__xludf.DUMMYFUNCTION("GOOGLETRANSLATE(A3902,""en"",""pt"")"),"cómico")</f>
        <v>cómico</v>
      </c>
      <c r="B3902" s="3">
        <v>1</v>
      </c>
    </row>
    <row r="3903" ht="15.75" customHeight="1" spans="1:2">
      <c r="A3903" s="3" t="str">
        <f>IFERROR(__xludf.DUMMYFUNCTION("GOOGLETRANSLATE(A3903,""en"",""pt"")"),"ideal")</f>
        <v>ideal</v>
      </c>
      <c r="B3903" s="3">
        <v>1</v>
      </c>
    </row>
    <row r="3904" ht="15.75" customHeight="1" spans="1:2">
      <c r="A3904" s="3" t="str">
        <f>IFERROR(__xludf.DUMMYFUNCTION("GOOGLETRANSLATE(A3904,""en"",""pt"")"),"idealizar")</f>
        <v>idealizar</v>
      </c>
      <c r="B3904" s="3">
        <v>1</v>
      </c>
    </row>
    <row r="3905" ht="15.75" customHeight="1" spans="1:2">
      <c r="A3905" s="3" t="str">
        <f>IFERROR(__xludf.DUMMYFUNCTION("GOOGLETRANSLATE(A3905,""en"",""pt"")"),"idealmente")</f>
        <v>idealmente</v>
      </c>
      <c r="B3905" s="3">
        <v>1</v>
      </c>
    </row>
    <row r="3906" ht="15.75" customHeight="1" spans="1:2">
      <c r="A3906" s="3" t="str">
        <f>IFERROR(__xludf.DUMMYFUNCTION("GOOGLETRANSLATE(A3906,""en"",""pt"")"),"ídolo")</f>
        <v>ídolo</v>
      </c>
      <c r="B3906" s="3">
        <v>1</v>
      </c>
    </row>
    <row r="3907" ht="15.75" customHeight="1" spans="1:2">
      <c r="A3907" s="3" t="str">
        <f>IFERROR(__xludf.DUMMYFUNCTION("GOOGLETRANSLATE(A3907,""en"",""pt"")"),"idolatrar")</f>
        <v>idolatrar</v>
      </c>
      <c r="B3907" s="3">
        <v>1</v>
      </c>
    </row>
    <row r="3908" ht="15.75" customHeight="1" spans="1:2">
      <c r="A3908" s="3" t="str">
        <f>IFERROR(__xludf.DUMMYFUNCTION("GOOGLETRANSLATE(A3908,""en"",""pt"")"),"idolatrava")</f>
        <v>idolatrava</v>
      </c>
      <c r="B3908" s="3">
        <v>1</v>
      </c>
    </row>
    <row r="3909" ht="15.75" customHeight="1" spans="1:2">
      <c r="A3909" s="3" t="str">
        <f>IFERROR(__xludf.DUMMYFUNCTION("GOOGLETRANSLATE(A3909,""en"",""pt"")"),"idílico")</f>
        <v>idílico</v>
      </c>
      <c r="B3909" s="3">
        <v>1</v>
      </c>
    </row>
    <row r="3910" ht="15.75" customHeight="1" spans="1:2">
      <c r="A3910" s="3" t="str">
        <f>IFERROR(__xludf.DUMMYFUNCTION("GOOGLETRANSLATE(A3910,""en"",""pt"")"),"iluminar")</f>
        <v>iluminar</v>
      </c>
      <c r="B3910" s="3">
        <v>1</v>
      </c>
    </row>
    <row r="3911" ht="15.75" customHeight="1" spans="1:2">
      <c r="A3911" s="3" t="str">
        <f>IFERROR(__xludf.DUMMYFUNCTION("GOOGLETRANSLATE(A3911,""en"",""pt"")"),"illuminati")</f>
        <v>illuminati</v>
      </c>
      <c r="B3911" s="3">
        <v>1</v>
      </c>
    </row>
    <row r="3912" ht="15.75" customHeight="1" spans="1:2">
      <c r="A3912" s="3" t="str">
        <f>IFERROR(__xludf.DUMMYFUNCTION("GOOGLETRANSLATE(A3912,""en"",""pt"")"),"iluminando")</f>
        <v>iluminando</v>
      </c>
      <c r="B3912" s="3">
        <v>1</v>
      </c>
    </row>
    <row r="3913" ht="15.75" customHeight="1" spans="1:2">
      <c r="A3913" s="3" t="str">
        <f>IFERROR(__xludf.DUMMYFUNCTION("GOOGLETRANSLATE(A3913,""en"",""pt"")"),"iluminar")</f>
        <v>iluminar</v>
      </c>
      <c r="B3913" s="3">
        <v>1</v>
      </c>
    </row>
    <row r="3914" ht="15.75" customHeight="1" spans="1:2">
      <c r="A3914" s="3" t="str">
        <f>IFERROR(__xludf.DUMMYFUNCTION("GOOGLETRANSLATE(A3914,""en"",""pt"")"),"ilustre")</f>
        <v>ilustre</v>
      </c>
      <c r="B3914" s="3">
        <v>1</v>
      </c>
    </row>
    <row r="3915" ht="15.75" customHeight="1" spans="1:2">
      <c r="A3915" s="3" t="str">
        <f>IFERROR(__xludf.DUMMYFUNCTION("GOOGLETRANSLATE(A3915,""en"",""pt"")"),"ilu")</f>
        <v>ilu</v>
      </c>
      <c r="B3915" s="3">
        <v>1</v>
      </c>
    </row>
    <row r="3916" ht="15.75" customHeight="1" spans="1:2">
      <c r="A3916" s="3" t="str">
        <f>IFERROR(__xludf.DUMMYFUNCTION("GOOGLETRANSLATE(A3916,""en"",""pt"")"),"imaculate")</f>
        <v>imaculate</v>
      </c>
      <c r="B3916" s="3">
        <v>1</v>
      </c>
    </row>
    <row r="3917" ht="15.75" customHeight="1" spans="1:2">
      <c r="A3917" s="3" t="str">
        <f>IFERROR(__xludf.DUMMYFUNCTION("GOOGLETRANSLATE(A3917,""en"",""pt"")"),"imaginativo")</f>
        <v>imaginativo</v>
      </c>
      <c r="B3917" s="3">
        <v>1</v>
      </c>
    </row>
    <row r="3918" ht="15.75" customHeight="1" spans="1:2">
      <c r="A3918" s="3" t="str">
        <f>IFERROR(__xludf.DUMMYFUNCTION("GOOGLETRANSLATE(A3918,""en"",""pt"")"),"imaculado")</f>
        <v>imaculado</v>
      </c>
      <c r="B3918" s="3">
        <v>1</v>
      </c>
    </row>
    <row r="3919" ht="15.75" customHeight="1" spans="1:2">
      <c r="A3919" s="3" t="str">
        <f>IFERROR(__xludf.DUMMYFUNCTION("GOOGLETRANSLATE(A3919,""en"",""pt"")"),"imaculadamente")</f>
        <v>imaculadamente</v>
      </c>
      <c r="B3919" s="3">
        <v>1</v>
      </c>
    </row>
    <row r="3920" ht="15.75" customHeight="1" spans="1:2">
      <c r="A3920" s="3" t="str">
        <f>IFERROR(__xludf.DUMMYFUNCTION("GOOGLETRANSLATE(A3920,""en"",""pt"")"),"imenso")</f>
        <v>imenso</v>
      </c>
      <c r="B3920" s="3">
        <v>1</v>
      </c>
    </row>
    <row r="3921" ht="15.75" customHeight="1" spans="1:2">
      <c r="A3921" s="3" t="str">
        <f>IFERROR(__xludf.DUMMYFUNCTION("GOOGLETRANSLATE(A3921,""en"",""pt"")"),"imparcial")</f>
        <v>imparcial</v>
      </c>
      <c r="B3921" s="3">
        <v>1</v>
      </c>
    </row>
    <row r="3922" ht="15.75" customHeight="1" spans="1:2">
      <c r="A3922" s="3" t="str">
        <f>IFERROR(__xludf.DUMMYFUNCTION("GOOGLETRANSLATE(A3922,""en"",""pt"")"),"imparcialidade")</f>
        <v>imparcialidade</v>
      </c>
      <c r="B3922" s="3">
        <v>1</v>
      </c>
    </row>
    <row r="3923" ht="15.75" customHeight="1" spans="1:2">
      <c r="A3923" s="3" t="str">
        <f>IFERROR(__xludf.DUMMYFUNCTION("GOOGLETRANSLATE(A3923,""en"",""pt"")"),"imparcial")</f>
        <v>imparcial</v>
      </c>
      <c r="B3923" s="3">
        <v>1</v>
      </c>
    </row>
    <row r="3924" ht="15.75" customHeight="1" spans="1:2">
      <c r="A3924" s="3" t="str">
        <f>IFERROR(__xludf.DUMMYFUNCTION("GOOGLETRANSLATE(A3924,""en"",""pt"")"),"apaixonado")</f>
        <v>apaixonado</v>
      </c>
      <c r="B3924" s="3">
        <v>1</v>
      </c>
    </row>
    <row r="3925" ht="15.75" customHeight="1" spans="1:2">
      <c r="A3925" s="3" t="str">
        <f>IFERROR(__xludf.DUMMYFUNCTION("GOOGLETRANSLATE(A3925,""en"",""pt"")"),"impecável")</f>
        <v>impecável</v>
      </c>
      <c r="B3925" s="3">
        <v>1</v>
      </c>
    </row>
    <row r="3926" ht="15.75" customHeight="1" spans="1:2">
      <c r="A3926" s="3" t="str">
        <f>IFERROR(__xludf.DUMMYFUNCTION("GOOGLETRANSLATE(A3926,""en"",""pt"")"),"impecavel")</f>
        <v>impecavel</v>
      </c>
      <c r="B3926" s="3">
        <v>1</v>
      </c>
    </row>
    <row r="3927" ht="15.75" customHeight="1" spans="1:2">
      <c r="A3927" s="3" t="str">
        <f>IFERROR(__xludf.DUMMYFUNCTION("GOOGLETRANSLATE(A3927,""en"",""pt"")"),"importante")</f>
        <v>importante</v>
      </c>
      <c r="B3927" s="3">
        <v>1</v>
      </c>
    </row>
    <row r="3928" ht="15.75" customHeight="1" spans="1:2">
      <c r="A3928" s="3" t="str">
        <f>IFERROR(__xludf.DUMMYFUNCTION("GOOGLETRANSLATE(A3928,""en"",""pt"")"),"impressionar")</f>
        <v>impressionar</v>
      </c>
      <c r="B3928" s="3">
        <v>1</v>
      </c>
    </row>
    <row r="3929" ht="15.75" customHeight="1" spans="1:2">
      <c r="A3929" s="3" t="str">
        <f>IFERROR(__xludf.DUMMYFUNCTION("GOOGLETRANSLATE(A3929,""en"",""pt"")"),"impressionado")</f>
        <v>impressionado</v>
      </c>
      <c r="B3929" s="3">
        <v>1</v>
      </c>
    </row>
    <row r="3930" ht="15.75" customHeight="1" spans="1:2">
      <c r="A3930" s="3" t="str">
        <f>IFERROR(__xludf.DUMMYFUNCTION("GOOGLETRANSLATE(A3930,""en"",""pt"")"),"impressiona")</f>
        <v>impressiona</v>
      </c>
      <c r="B3930" s="3">
        <v>1</v>
      </c>
    </row>
    <row r="3931" ht="15.75" customHeight="1" spans="1:2">
      <c r="A3931" s="3" t="str">
        <f>IFERROR(__xludf.DUMMYFUNCTION("GOOGLETRANSLATE(A3931,""en"",""pt"")"),"impressionante")</f>
        <v>impressionante</v>
      </c>
      <c r="B3931" s="3">
        <v>1</v>
      </c>
    </row>
    <row r="3932" ht="15.75" customHeight="1" spans="1:2">
      <c r="A3932" s="3" t="str">
        <f>IFERROR(__xludf.DUMMYFUNCTION("GOOGLETRANSLATE(A3932,""en"",""pt"")"),"impressionantemente")</f>
        <v>impressionantemente</v>
      </c>
      <c r="B3932" s="3">
        <v>1</v>
      </c>
    </row>
    <row r="3933" ht="15.75" customHeight="1" spans="1:2">
      <c r="A3933" s="3" t="str">
        <f>IFERROR(__xludf.DUMMYFUNCTION("GOOGLETRANSLATE(A3933,""en"",""pt"")"),"impressiveness")</f>
        <v>impressiveness</v>
      </c>
      <c r="B3933" s="3">
        <v>1</v>
      </c>
    </row>
    <row r="3934" ht="15.75" customHeight="1" spans="1:2">
      <c r="A3934" s="3" t="str">
        <f>IFERROR(__xludf.DUMMYFUNCTION("GOOGLETRANSLATE(A3934,""en"",""pt"")"),"melhorar")</f>
        <v>melhorar</v>
      </c>
      <c r="B3934" s="3">
        <v>1</v>
      </c>
    </row>
    <row r="3935" ht="15.75" customHeight="1" spans="1:2">
      <c r="A3935" s="3" t="str">
        <f>IFERROR(__xludf.DUMMYFUNCTION("GOOGLETRANSLATE(A3935,""en"",""pt"")"),"melhorado")</f>
        <v>melhorado</v>
      </c>
      <c r="B3935" s="3">
        <v>1</v>
      </c>
    </row>
    <row r="3936" ht="15.75" customHeight="1" spans="1:2">
      <c r="A3936" s="3" t="str">
        <f>IFERROR(__xludf.DUMMYFUNCTION("GOOGLETRANSLATE(A3936,""en"",""pt"")"),"melhoria")</f>
        <v>melhoria</v>
      </c>
      <c r="B3936" s="3">
        <v>1</v>
      </c>
    </row>
    <row r="3937" ht="15.75" customHeight="1" spans="1:2">
      <c r="A3937" s="3" t="str">
        <f>IFERROR(__xludf.DUMMYFUNCTION("GOOGLETRANSLATE(A3937,""en"",""pt"")"),"melhorias")</f>
        <v>melhorias</v>
      </c>
      <c r="B3937" s="3">
        <v>1</v>
      </c>
    </row>
    <row r="3938" ht="15.75" customHeight="1" spans="1:2">
      <c r="A3938" s="3" t="str">
        <f>IFERROR(__xludf.DUMMYFUNCTION("GOOGLETRANSLATE(A3938,""en"",""pt"")"),"melhora")</f>
        <v>melhora</v>
      </c>
      <c r="B3938" s="3">
        <v>1</v>
      </c>
    </row>
    <row r="3939" ht="15.75" customHeight="1" spans="1:2">
      <c r="A3939" s="3" t="str">
        <f>IFERROR(__xludf.DUMMYFUNCTION("GOOGLETRANSLATE(A3939,""en"",""pt"")"),"melhorando")</f>
        <v>melhorando</v>
      </c>
      <c r="B3939" s="3">
        <v>1</v>
      </c>
    </row>
    <row r="3940" ht="15.75" customHeight="1" spans="1:2">
      <c r="A3940" s="3" t="str">
        <f>IFERROR(__xludf.DUMMYFUNCTION("GOOGLETRANSLATE(A3940,""en"",""pt"")"),"incrível")</f>
        <v>incrível</v>
      </c>
      <c r="B3940" s="3">
        <v>1</v>
      </c>
    </row>
    <row r="3941" ht="15.75" customHeight="1" spans="1:2">
      <c r="A3941" s="3" t="str">
        <f>IFERROR(__xludf.DUMMYFUNCTION("GOOGLETRANSLATE(A3941,""en"",""pt"")"),"incrivelmente")</f>
        <v>incrivelmente</v>
      </c>
      <c r="B3941" s="3">
        <v>1</v>
      </c>
    </row>
    <row r="3942" ht="15.75" customHeight="1" spans="1:2">
      <c r="A3942" s="3" t="str">
        <f>IFERROR(__xludf.DUMMYFUNCTION("GOOGLETRANSLATE(A3942,""en"",""pt"")"),"endividado")</f>
        <v>endividado</v>
      </c>
      <c r="B3942" s="3">
        <v>1</v>
      </c>
    </row>
    <row r="3943" ht="15.75" customHeight="1" spans="1:2">
      <c r="A3943" s="3" t="str">
        <f>IFERROR(__xludf.DUMMYFUNCTION("GOOGLETRANSLATE(A3943,""en"",""pt"")"),"individualizado")</f>
        <v>individualizado</v>
      </c>
      <c r="B3943" s="3">
        <v>1</v>
      </c>
    </row>
    <row r="3944" ht="15.75" customHeight="1" spans="1:2">
      <c r="A3944" s="3" t="str">
        <f>IFERROR(__xludf.DUMMYFUNCTION("GOOGLETRANSLATE(A3944,""en"",""pt"")"),"indulgência")</f>
        <v>indulgência</v>
      </c>
      <c r="B3944" s="3">
        <v>1</v>
      </c>
    </row>
    <row r="3945" ht="15.75" customHeight="1" spans="1:2">
      <c r="A3945" s="3" t="str">
        <f>IFERROR(__xludf.DUMMYFUNCTION("GOOGLETRANSLATE(A3945,""en"",""pt"")"),"indulgente")</f>
        <v>indulgente</v>
      </c>
      <c r="B3945" s="3">
        <v>1</v>
      </c>
    </row>
    <row r="3946" ht="15.75" customHeight="1" spans="1:2">
      <c r="A3946" s="3" t="str">
        <f>IFERROR(__xludf.DUMMYFUNCTION("GOOGLETRANSLATE(A3946,""en"",""pt"")"),"industrioso")</f>
        <v>industrioso</v>
      </c>
      <c r="B3946" s="3">
        <v>1</v>
      </c>
    </row>
    <row r="3947" ht="15.75" customHeight="1" spans="1:2">
      <c r="A3947" s="3" t="str">
        <f>IFERROR(__xludf.DUMMYFUNCTION("GOOGLETRANSLATE(A3947,""en"",""pt"")"),"inestimável")</f>
        <v>inestimável</v>
      </c>
      <c r="B3947" s="3">
        <v>1</v>
      </c>
    </row>
    <row r="3948" ht="15.75" customHeight="1" spans="1:2">
      <c r="A3948" s="3" t="str">
        <f>IFERROR(__xludf.DUMMYFUNCTION("GOOGLETRANSLATE(A3948,""en"",""pt"")"),"inestimavelmente")</f>
        <v>inestimavelmente</v>
      </c>
      <c r="B3948" s="3">
        <v>1</v>
      </c>
    </row>
    <row r="3949" ht="15.75" customHeight="1" spans="1:2">
      <c r="A3949" s="3" t="str">
        <f>IFERROR(__xludf.DUMMYFUNCTION("GOOGLETRANSLATE(A3949,""en"",""pt"")"),"barato")</f>
        <v>barato</v>
      </c>
      <c r="B3949" s="3">
        <v>1</v>
      </c>
    </row>
    <row r="3950" ht="15.75" customHeight="1" spans="1:2">
      <c r="A3950" s="3" t="str">
        <f>IFERROR(__xludf.DUMMYFUNCTION("GOOGLETRANSLATE(A3950,""en"",""pt"")"),"infalibilidade")</f>
        <v>infalibilidade</v>
      </c>
      <c r="B3950" s="3">
        <v>1</v>
      </c>
    </row>
    <row r="3951" ht="15.75" customHeight="1" spans="1:2">
      <c r="A3951" s="3" t="str">
        <f>IFERROR(__xludf.DUMMYFUNCTION("GOOGLETRANSLATE(A3951,""en"",""pt"")"),"infalível")</f>
        <v>infalível</v>
      </c>
      <c r="B3951" s="3">
        <v>1</v>
      </c>
    </row>
    <row r="3952" ht="15.75" customHeight="1" spans="1:2">
      <c r="A3952" s="3" t="str">
        <f>IFERROR(__xludf.DUMMYFUNCTION("GOOGLETRANSLATE(A3952,""en"",""pt"")"),"infalivelmente")</f>
        <v>infalivelmente</v>
      </c>
      <c r="B3952" s="3">
        <v>1</v>
      </c>
    </row>
    <row r="3953" ht="15.75" customHeight="1" spans="1:2">
      <c r="A3953" s="3" t="str">
        <f>IFERROR(__xludf.DUMMYFUNCTION("GOOGLETRANSLATE(A3953,""en"",""pt"")"),"influente")</f>
        <v>influente</v>
      </c>
      <c r="B3953" s="3">
        <v>1</v>
      </c>
    </row>
    <row r="3954" ht="15.75" customHeight="1" spans="1:2">
      <c r="A3954" s="3" t="str">
        <f>IFERROR(__xludf.DUMMYFUNCTION("GOOGLETRANSLATE(A3954,""en"",""pt"")"),"engenhoso")</f>
        <v>engenhoso</v>
      </c>
      <c r="B3954" s="3">
        <v>1</v>
      </c>
    </row>
    <row r="3955" ht="15.75" customHeight="1" spans="1:2">
      <c r="A3955" s="3" t="str">
        <f>IFERROR(__xludf.DUMMYFUNCTION("GOOGLETRANSLATE(A3955,""en"",""pt"")"),"Ingenuamente")</f>
        <v>Ingenuamente</v>
      </c>
      <c r="B3955" s="3">
        <v>1</v>
      </c>
    </row>
    <row r="3956" ht="15.75" customHeight="1" spans="1:2">
      <c r="A3956" s="3" t="str">
        <f>IFERROR(__xludf.DUMMYFUNCTION("GOOGLETRANSLATE(A3956,""en"",""pt"")"),"ingenuidade")</f>
        <v>ingenuidade</v>
      </c>
      <c r="B3956" s="3">
        <v>1</v>
      </c>
    </row>
    <row r="3957" ht="15.75" customHeight="1" spans="1:2">
      <c r="A3957" s="3" t="str">
        <f>IFERROR(__xludf.DUMMYFUNCTION("GOOGLETRANSLATE(A3957,""en"",""pt"")"),"ingénuo")</f>
        <v>ingénuo</v>
      </c>
      <c r="B3957" s="3">
        <v>1</v>
      </c>
    </row>
    <row r="3958" ht="15.75" customHeight="1" spans="1:2">
      <c r="A3958" s="3" t="str">
        <f>IFERROR(__xludf.DUMMYFUNCTION("GOOGLETRANSLATE(A3958,""en"",""pt"")"),"ingenuamente")</f>
        <v>ingenuamente</v>
      </c>
      <c r="B3958" s="3">
        <v>1</v>
      </c>
    </row>
    <row r="3959" ht="15.75" customHeight="1" spans="1:2">
      <c r="A3959" s="3" t="str">
        <f>IFERROR(__xludf.DUMMYFUNCTION("GOOGLETRANSLATE(A3959,""en"",""pt"")"),"inócuo")</f>
        <v>inócuo</v>
      </c>
      <c r="B3959" s="3">
        <v>1</v>
      </c>
    </row>
    <row r="3960" ht="15.75" customHeight="1" spans="1:2">
      <c r="A3960" s="3" t="str">
        <f>IFERROR(__xludf.DUMMYFUNCTION("GOOGLETRANSLATE(A3960,""en"",""pt"")"),"inovação")</f>
        <v>inovação</v>
      </c>
      <c r="B3960" s="3">
        <v>1</v>
      </c>
    </row>
    <row r="3961" ht="15.75" customHeight="1" spans="1:2">
      <c r="A3961" s="3" t="str">
        <f>IFERROR(__xludf.DUMMYFUNCTION("GOOGLETRANSLATE(A3961,""en"",""pt"")"),"Inovativa")</f>
        <v>Inovativa</v>
      </c>
      <c r="B3961" s="3">
        <v>1</v>
      </c>
    </row>
    <row r="3962" ht="15.75" customHeight="1" spans="1:2">
      <c r="A3962" s="3" t="str">
        <f>IFERROR(__xludf.DUMMYFUNCTION("GOOGLETRANSLATE(A3962,""en"",""pt"")"),"inpressed")</f>
        <v>inpressed</v>
      </c>
      <c r="B3962" s="3">
        <v>1</v>
      </c>
    </row>
    <row r="3963" ht="15.75" customHeight="1" spans="1:2">
      <c r="A3963" s="3" t="str">
        <f>IFERROR(__xludf.DUMMYFUNCTION("GOOGLETRANSLATE(A3963,""en"",""pt"")"),"perspicaz")</f>
        <v>perspicaz</v>
      </c>
      <c r="B3963" s="3">
        <v>1</v>
      </c>
    </row>
    <row r="3964" ht="15.75" customHeight="1" spans="1:2">
      <c r="A3964" s="3" t="str">
        <f>IFERROR(__xludf.DUMMYFUNCTION("GOOGLETRANSLATE(A3964,""en"",""pt"")"),"insightfully")</f>
        <v>insightfully</v>
      </c>
      <c r="B3964" s="3">
        <v>1</v>
      </c>
    </row>
    <row r="3965" ht="15.75" customHeight="1" spans="1:2">
      <c r="A3965" s="3" t="str">
        <f>IFERROR(__xludf.DUMMYFUNCTION("GOOGLETRANSLATE(A3965,""en"",""pt"")"),"inspiração")</f>
        <v>inspiração</v>
      </c>
      <c r="B3965" s="3">
        <v>1</v>
      </c>
    </row>
    <row r="3966" ht="15.75" customHeight="1" spans="1:2">
      <c r="A3966" s="3" t="str">
        <f>IFERROR(__xludf.DUMMYFUNCTION("GOOGLETRANSLATE(A3966,""en"",""pt"")"),"Inspirado")</f>
        <v>Inspirado</v>
      </c>
      <c r="B3966" s="3">
        <v>1</v>
      </c>
    </row>
    <row r="3967" ht="15.75" customHeight="1" spans="1:2">
      <c r="A3967" s="3" t="str">
        <f>IFERROR(__xludf.DUMMYFUNCTION("GOOGLETRANSLATE(A3967,""en"",""pt"")"),"inspirar")</f>
        <v>inspirar</v>
      </c>
      <c r="B3967" s="3">
        <v>1</v>
      </c>
    </row>
    <row r="3968" ht="15.75" customHeight="1" spans="1:2">
      <c r="A3968" s="3" t="str">
        <f>IFERROR(__xludf.DUMMYFUNCTION("GOOGLETRANSLATE(A3968,""en"",""pt"")"),"inspirador")</f>
        <v>inspirador</v>
      </c>
      <c r="B3968" s="3">
        <v>1</v>
      </c>
    </row>
    <row r="3969" ht="15.75" customHeight="1" spans="1:2">
      <c r="A3969" s="3" t="str">
        <f>IFERROR(__xludf.DUMMYFUNCTION("GOOGLETRANSLATE(A3969,""en"",""pt"")"),"imediatamente")</f>
        <v>imediatamente</v>
      </c>
      <c r="B3969" s="3">
        <v>1</v>
      </c>
    </row>
    <row r="3970" ht="15.75" customHeight="1" spans="1:2">
      <c r="A3970" s="3" t="str">
        <f>IFERROR(__xludf.DUMMYFUNCTION("GOOGLETRANSLATE(A3970,""en"",""pt"")"),"instrutivo")</f>
        <v>instrutivo</v>
      </c>
      <c r="B3970" s="3">
        <v>1</v>
      </c>
    </row>
    <row r="3971" ht="15.75" customHeight="1" spans="1:2">
      <c r="A3971" s="3" t="str">
        <f>IFERROR(__xludf.DUMMYFUNCTION("GOOGLETRANSLATE(A3971,""en"",""pt"")"),"instrumental")</f>
        <v>instrumental</v>
      </c>
      <c r="B3971" s="3">
        <v>1</v>
      </c>
    </row>
    <row r="3972" ht="15.75" customHeight="1" spans="1:2">
      <c r="A3972" s="3" t="str">
        <f>IFERROR(__xludf.DUMMYFUNCTION("GOOGLETRANSLATE(A3972,""en"",""pt"")"),"integrante")</f>
        <v>integrante</v>
      </c>
      <c r="B3972" s="3">
        <v>1</v>
      </c>
    </row>
    <row r="3973" ht="15.75" customHeight="1" spans="1:2">
      <c r="A3973" s="3" t="str">
        <f>IFERROR(__xludf.DUMMYFUNCTION("GOOGLETRANSLATE(A3973,""en"",""pt"")"),"integrado")</f>
        <v>integrado</v>
      </c>
      <c r="B3973" s="3">
        <v>1</v>
      </c>
    </row>
    <row r="3974" ht="15.75" customHeight="1" spans="1:2">
      <c r="A3974" s="3" t="str">
        <f>IFERROR(__xludf.DUMMYFUNCTION("GOOGLETRANSLATE(A3974,""en"",""pt"")"),"inteligência")</f>
        <v>inteligência</v>
      </c>
      <c r="B3974" s="3">
        <v>1</v>
      </c>
    </row>
    <row r="3975" ht="15.75" customHeight="1" spans="1:2">
      <c r="A3975" s="3" t="str">
        <f>IFERROR(__xludf.DUMMYFUNCTION("GOOGLETRANSLATE(A3975,""en"",""pt"")"),"inteligente")</f>
        <v>inteligente</v>
      </c>
      <c r="B3975" s="3">
        <v>1</v>
      </c>
    </row>
    <row r="3976" ht="15.75" customHeight="1" spans="1:2">
      <c r="A3976" s="3" t="str">
        <f>IFERROR(__xludf.DUMMYFUNCTION("GOOGLETRANSLATE(A3976,""en"",""pt"")"),"inteligível")</f>
        <v>inteligível</v>
      </c>
      <c r="B3976" s="3">
        <v>1</v>
      </c>
    </row>
    <row r="3977" ht="15.75" customHeight="1" spans="1:2">
      <c r="A3977" s="3" t="str">
        <f>IFERROR(__xludf.DUMMYFUNCTION("GOOGLETRANSLATE(A3977,""en"",""pt"")"),"interessante")</f>
        <v>interessante</v>
      </c>
      <c r="B3977" s="3">
        <v>1</v>
      </c>
    </row>
    <row r="3978" ht="15.75" customHeight="1" spans="1:2">
      <c r="A3978" s="3" t="str">
        <f>IFERROR(__xludf.DUMMYFUNCTION("GOOGLETRANSLATE(A3978,""en"",""pt"")"),"interesses")</f>
        <v>interesses</v>
      </c>
      <c r="B3978" s="3">
        <v>1</v>
      </c>
    </row>
    <row r="3979" ht="15.75" customHeight="1" spans="1:2">
      <c r="A3979" s="3" t="str">
        <f>IFERROR(__xludf.DUMMYFUNCTION("GOOGLETRANSLATE(A3979,""en"",""pt"")"),"intimidade")</f>
        <v>intimidade</v>
      </c>
      <c r="B3979" s="3">
        <v>1</v>
      </c>
    </row>
    <row r="3980" ht="15.75" customHeight="1" spans="1:2">
      <c r="A3980" s="3" t="str">
        <f>IFERROR(__xludf.DUMMYFUNCTION("GOOGLETRANSLATE(A3980,""en"",""pt"")"),"íntimo")</f>
        <v>íntimo</v>
      </c>
      <c r="B3980" s="3">
        <v>1</v>
      </c>
    </row>
    <row r="3981" ht="15.75" customHeight="1" spans="1:2">
      <c r="A3981" s="3" t="str">
        <f>IFERROR(__xludf.DUMMYFUNCTION("GOOGLETRANSLATE(A3981,""en"",""pt"")"),"intricado")</f>
        <v>intricado</v>
      </c>
      <c r="B3981" s="3">
        <v>1</v>
      </c>
    </row>
    <row r="3982" ht="15.75" customHeight="1" spans="1:2">
      <c r="A3982" s="3" t="str">
        <f>IFERROR(__xludf.DUMMYFUNCTION("GOOGLETRANSLATE(A3982,""en"",""pt"")"),"intriga")</f>
        <v>intriga</v>
      </c>
      <c r="B3982" s="3">
        <v>1</v>
      </c>
    </row>
    <row r="3983" ht="15.75" customHeight="1" spans="1:2">
      <c r="A3983" s="3" t="str">
        <f>IFERROR(__xludf.DUMMYFUNCTION("GOOGLETRANSLATE(A3983,""en"",""pt"")"),"intrigante")</f>
        <v>intrigante</v>
      </c>
      <c r="B3983" s="3">
        <v>1</v>
      </c>
    </row>
    <row r="3984" ht="15.75" customHeight="1" spans="1:2">
      <c r="A3984" s="3" t="str">
        <f>IFERROR(__xludf.DUMMYFUNCTION("GOOGLETRANSLATE(A3984,""en"",""pt"")"),"intrigantemente")</f>
        <v>intrigantemente</v>
      </c>
      <c r="B3984" s="3">
        <v>1</v>
      </c>
    </row>
    <row r="3985" ht="15.75" customHeight="1" spans="1:2">
      <c r="A3985" s="3" t="str">
        <f>IFERROR(__xludf.DUMMYFUNCTION("GOOGLETRANSLATE(A3985,""en"",""pt"")"),"intuitivo")</f>
        <v>intuitivo</v>
      </c>
      <c r="B3985" s="3">
        <v>1</v>
      </c>
    </row>
    <row r="3986" ht="15.75" customHeight="1" spans="1:2">
      <c r="A3986" s="3" t="str">
        <f>IFERROR(__xludf.DUMMYFUNCTION("GOOGLETRANSLATE(A3986,""en"",""pt"")"),"inestimável")</f>
        <v>inestimável</v>
      </c>
      <c r="B3986" s="3">
        <v>1</v>
      </c>
    </row>
    <row r="3987" ht="15.75" customHeight="1" spans="1:2">
      <c r="A3987" s="3" t="str">
        <f>IFERROR(__xludf.DUMMYFUNCTION("GOOGLETRANSLATE(A3987,""en"",""pt"")"),"invaluablely")</f>
        <v>invaluablely</v>
      </c>
      <c r="B3987" s="3">
        <v>1</v>
      </c>
    </row>
    <row r="3988" ht="15.75" customHeight="1" spans="1:2">
      <c r="A3988" s="3" t="str">
        <f>IFERROR(__xludf.DUMMYFUNCTION("GOOGLETRANSLATE(A3988,""en"",""pt"")"),"inventivo")</f>
        <v>inventivo</v>
      </c>
      <c r="B3988" s="3">
        <v>1</v>
      </c>
    </row>
    <row r="3989" ht="15.75" customHeight="1" spans="1:2">
      <c r="A3989" s="3" t="str">
        <f>IFERROR(__xludf.DUMMYFUNCTION("GOOGLETRANSLATE(A3989,""en"",""pt"")"),"revigorar")</f>
        <v>revigorar</v>
      </c>
      <c r="B3989" s="3">
        <v>1</v>
      </c>
    </row>
    <row r="3990" ht="15.75" customHeight="1" spans="1:2">
      <c r="A3990" s="3" t="str">
        <f>IFERROR(__xludf.DUMMYFUNCTION("GOOGLETRANSLATE(A3990,""en"",""pt"")"),"revigorante")</f>
        <v>revigorante</v>
      </c>
      <c r="B3990" s="3">
        <v>1</v>
      </c>
    </row>
    <row r="3991" ht="15.75" customHeight="1" spans="1:2">
      <c r="A3991" s="3" t="str">
        <f>IFERROR(__xludf.DUMMYFUNCTION("GOOGLETRANSLATE(A3991,""en"",""pt"")"),"invencibilidade")</f>
        <v>invencibilidade</v>
      </c>
      <c r="B3991" s="3">
        <v>1</v>
      </c>
    </row>
    <row r="3992" ht="15.75" customHeight="1" spans="1:2">
      <c r="A3992" s="3" t="str">
        <f>IFERROR(__xludf.DUMMYFUNCTION("GOOGLETRANSLATE(A3992,""en"",""pt"")"),"invencível")</f>
        <v>invencível</v>
      </c>
      <c r="B3992" s="3">
        <v>1</v>
      </c>
    </row>
    <row r="3993" ht="15.75" customHeight="1" spans="1:2">
      <c r="A3993" s="3" t="str">
        <f>IFERROR(__xludf.DUMMYFUNCTION("GOOGLETRANSLATE(A3993,""en"",""pt"")"),"inviolável")</f>
        <v>inviolável</v>
      </c>
      <c r="B3993" s="3">
        <v>1</v>
      </c>
    </row>
    <row r="3994" ht="15.75" customHeight="1" spans="1:2">
      <c r="A3994" s="3" t="str">
        <f>IFERROR(__xludf.DUMMYFUNCTION("GOOGLETRANSLATE(A3994,""en"",""pt"")"),"inviolado")</f>
        <v>inviolado</v>
      </c>
      <c r="B3994" s="3">
        <v>1</v>
      </c>
    </row>
    <row r="3995" ht="15.75" customHeight="1" spans="1:2">
      <c r="A3995" s="3" t="str">
        <f>IFERROR(__xludf.DUMMYFUNCTION("GOOGLETRANSLATE(A3995,""en"",""pt"")"),"invulnerável")</f>
        <v>invulnerável</v>
      </c>
      <c r="B3995" s="3">
        <v>1</v>
      </c>
    </row>
    <row r="3996" ht="15.75" customHeight="1" spans="1:2">
      <c r="A3996" s="3" t="str">
        <f>IFERROR(__xludf.DUMMYFUNCTION("GOOGLETRANSLATE(A3996,""en"",""pt"")"),"insubstituível")</f>
        <v>insubstituível</v>
      </c>
      <c r="B3996" s="3">
        <v>1</v>
      </c>
    </row>
    <row r="3997" ht="15.75" customHeight="1" spans="1:2">
      <c r="A3997" s="3" t="str">
        <f>IFERROR(__xludf.DUMMYFUNCTION("GOOGLETRANSLATE(A3997,""en"",""pt"")"),"irrepreensível")</f>
        <v>irrepreensível</v>
      </c>
      <c r="B3997" s="3">
        <v>1</v>
      </c>
    </row>
    <row r="3998" ht="15.75" customHeight="1" spans="1:2">
      <c r="A3998" s="3" t="str">
        <f>IFERROR(__xludf.DUMMYFUNCTION("GOOGLETRANSLATE(A3998,""en"",""pt"")"),"irresistível")</f>
        <v>irresistível</v>
      </c>
      <c r="B3998" s="3">
        <v>1</v>
      </c>
    </row>
    <row r="3999" ht="15.75" customHeight="1" spans="1:2">
      <c r="A3999" s="3" t="str">
        <f>IFERROR(__xludf.DUMMYFUNCTION("GOOGLETRANSLATE(A3999,""en"",""pt"")"),"Irresistível")</f>
        <v>Irresistível</v>
      </c>
      <c r="B3999" s="3">
        <v>1</v>
      </c>
    </row>
    <row r="4000" ht="15.75" customHeight="1" spans="1:2">
      <c r="A4000" s="3" t="str">
        <f>IFERROR(__xludf.DUMMYFUNCTION("GOOGLETRANSLATE(A4000,""en"",""pt"")"),"sem problema")</f>
        <v>sem problema</v>
      </c>
      <c r="B4000" s="3">
        <v>1</v>
      </c>
    </row>
    <row r="4001" ht="15.75" customHeight="1" spans="1:2">
      <c r="A4001" s="3" t="str">
        <f>IFERROR(__xludf.DUMMYFUNCTION("GOOGLETRANSLATE(A4001,""en"",""pt"")"),"mandíbula-droping")</f>
        <v>mandíbula-droping</v>
      </c>
      <c r="B4001" s="3">
        <v>1</v>
      </c>
    </row>
    <row r="4002" ht="15.75" customHeight="1" spans="1:2">
      <c r="A4002" s="3" t="str">
        <f>IFERROR(__xludf.DUMMYFUNCTION("GOOGLETRANSLATE(A4002,""en"",""pt"")"),"de cair o queixo")</f>
        <v>de cair o queixo</v>
      </c>
      <c r="B4002" s="3">
        <v>1</v>
      </c>
    </row>
    <row r="4003" ht="15.75" customHeight="1" spans="1:2">
      <c r="A4003" s="3" t="str">
        <f>IFERROR(__xludf.DUMMYFUNCTION("GOOGLETRANSLATE(A4003,""en"",""pt"")"),"fazer uma festança")</f>
        <v>fazer uma festança</v>
      </c>
      <c r="B4003" s="3">
        <v>1</v>
      </c>
    </row>
    <row r="4004" ht="15.75" customHeight="1" spans="1:2">
      <c r="A4004" s="3" t="str">
        <f>IFERROR(__xludf.DUMMYFUNCTION("GOOGLETRANSLATE(A4004,""en"",""pt"")"),"alegre")</f>
        <v>alegre</v>
      </c>
      <c r="B4004" s="3">
        <v>1</v>
      </c>
    </row>
    <row r="4005" ht="15.75" customHeight="1" spans="1:2">
      <c r="A4005" s="3" t="str">
        <f>IFERROR(__xludf.DUMMYFUNCTION("GOOGLETRANSLATE(A4005,""en"",""pt"")"),"jovial")</f>
        <v>jovial</v>
      </c>
      <c r="B4005" s="3">
        <v>1</v>
      </c>
    </row>
    <row r="4006" ht="15.75" customHeight="1" spans="1:2">
      <c r="A4006" s="3" t="str">
        <f>IFERROR(__xludf.DUMMYFUNCTION("GOOGLETRANSLATE(A4006,""en"",""pt"")"),"alegria")</f>
        <v>alegria</v>
      </c>
      <c r="B4006" s="3">
        <v>1</v>
      </c>
    </row>
    <row r="4007" ht="15.75" customHeight="1" spans="1:2">
      <c r="A4007" s="3" t="str">
        <f>IFERROR(__xludf.DUMMYFUNCTION("GOOGLETRANSLATE(A4007,""en"",""pt"")"),"alegre")</f>
        <v>alegre</v>
      </c>
      <c r="B4007" s="3">
        <v>1</v>
      </c>
    </row>
    <row r="4008" ht="15.75" customHeight="1" spans="1:2">
      <c r="A4008" s="3" t="str">
        <f>IFERROR(__xludf.DUMMYFUNCTION("GOOGLETRANSLATE(A4008,""en"",""pt"")"),"alegremente")</f>
        <v>alegremente</v>
      </c>
      <c r="B4008" s="3">
        <v>1</v>
      </c>
    </row>
    <row r="4009" ht="15.75" customHeight="1" spans="1:2">
      <c r="A4009" s="3" t="str">
        <f>IFERROR(__xludf.DUMMYFUNCTION("GOOGLETRANSLATE(A4009,""en"",""pt"")"),"feliz")</f>
        <v>feliz</v>
      </c>
      <c r="B4009" s="3">
        <v>1</v>
      </c>
    </row>
    <row r="4010" ht="15.75" customHeight="1" spans="1:2">
      <c r="A4010" s="3" t="str">
        <f>IFERROR(__xludf.DUMMYFUNCTION("GOOGLETRANSLATE(A4010,""en"",""pt"")"),"alegremente")</f>
        <v>alegremente</v>
      </c>
      <c r="B4010" s="3">
        <v>1</v>
      </c>
    </row>
    <row r="4011" ht="15.75" customHeight="1" spans="1:2">
      <c r="A4011" s="3" t="str">
        <f>IFERROR(__xludf.DUMMYFUNCTION("GOOGLETRANSLATE(A4011,""en"",""pt"")"),"jubilante")</f>
        <v>jubilante</v>
      </c>
      <c r="B4011" s="3">
        <v>1</v>
      </c>
    </row>
    <row r="4012" ht="15.75" customHeight="1" spans="1:2">
      <c r="A4012" s="3" t="str">
        <f>IFERROR(__xludf.DUMMYFUNCTION("GOOGLETRANSLATE(A4012,""en"",""pt"")"),"jubilantemente")</f>
        <v>jubilantemente</v>
      </c>
      <c r="B4012" s="3">
        <v>1</v>
      </c>
    </row>
    <row r="4013" ht="15.75" customHeight="1" spans="1:2">
      <c r="A4013" s="3" t="str">
        <f>IFERROR(__xludf.DUMMYFUNCTION("GOOGLETRANSLATE(A4013,""en"",""pt"")"),"exultar")</f>
        <v>exultar</v>
      </c>
      <c r="B4013" s="3">
        <v>1</v>
      </c>
    </row>
    <row r="4014" ht="15.75" customHeight="1" spans="1:2">
      <c r="A4014" s="3" t="str">
        <f>IFERROR(__xludf.DUMMYFUNCTION("GOOGLETRANSLATE(A4014,""en"",""pt"")"),"júbilo")</f>
        <v>júbilo</v>
      </c>
      <c r="B4014" s="3">
        <v>1</v>
      </c>
    </row>
    <row r="4015" ht="15.75" customHeight="1" spans="1:2">
      <c r="A4015" s="3" t="str">
        <f>IFERROR(__xludf.DUMMYFUNCTION("GOOGLETRANSLATE(A4015,""en"",""pt"")"),"jubiliant")</f>
        <v>jubiliant</v>
      </c>
      <c r="B4015" s="3">
        <v>1</v>
      </c>
    </row>
    <row r="4016" ht="15.75" customHeight="1" spans="1:2">
      <c r="A4016" s="3" t="str">
        <f>IFERROR(__xludf.DUMMYFUNCTION("GOOGLETRANSLATE(A4016,""en"",""pt"")"),"judicioso")</f>
        <v>judicioso</v>
      </c>
      <c r="B4016" s="3">
        <v>1</v>
      </c>
    </row>
    <row r="4017" ht="15.75" customHeight="1" spans="1:2">
      <c r="A4017" s="3" t="str">
        <f>IFERROR(__xludf.DUMMYFUNCTION("GOOGLETRANSLATE(A4017,""en"",""pt"")"),"justamente")</f>
        <v>justamente</v>
      </c>
      <c r="B4017" s="3">
        <v>1</v>
      </c>
    </row>
    <row r="4018" ht="15.75" customHeight="1" spans="1:2">
      <c r="A4018" s="3" t="str">
        <f>IFERROR(__xludf.DUMMYFUNCTION("GOOGLETRANSLATE(A4018,""en"",""pt"")"),"afiado")</f>
        <v>afiado</v>
      </c>
      <c r="B4018" s="3">
        <v>1</v>
      </c>
    </row>
    <row r="4019" ht="15.75" customHeight="1" spans="1:2">
      <c r="A4019" s="3" t="str">
        <f>IFERROR(__xludf.DUMMYFUNCTION("GOOGLETRANSLATE(A4019,""en"",""pt"")"),"agudamente")</f>
        <v>agudamente</v>
      </c>
      <c r="B4019" s="3">
        <v>1</v>
      </c>
    </row>
    <row r="4020" ht="15.75" customHeight="1" spans="1:2">
      <c r="A4020" s="3" t="str">
        <f>IFERROR(__xludf.DUMMYFUNCTION("GOOGLETRANSLATE(A4020,""en"",""pt"")"),"keenness")</f>
        <v>keenness</v>
      </c>
      <c r="B4020" s="3">
        <v>1</v>
      </c>
    </row>
    <row r="4021" ht="15.75" customHeight="1" spans="1:2">
      <c r="A4021" s="3" t="str">
        <f>IFERROR(__xludf.DUMMYFUNCTION("GOOGLETRANSLATE(A4021,""en"",""pt"")"),"kid-friendly")</f>
        <v>kid-friendly</v>
      </c>
      <c r="B4021" s="3">
        <v>1</v>
      </c>
    </row>
    <row r="4022" ht="15.75" customHeight="1" spans="1:2">
      <c r="A4022" s="3" t="str">
        <f>IFERROR(__xludf.DUMMYFUNCTION("GOOGLETRANSLATE(A4022,""en"",""pt"")"),"bondade")</f>
        <v>bondade</v>
      </c>
      <c r="B4022" s="3">
        <v>1</v>
      </c>
    </row>
    <row r="4023" ht="15.75" customHeight="1" spans="1:2">
      <c r="A4023" s="3" t="str">
        <f>IFERROR(__xludf.DUMMYFUNCTION("GOOGLETRANSLATE(A4023,""en"",""pt"")"),"amavelmente")</f>
        <v>amavelmente</v>
      </c>
      <c r="B4023" s="3">
        <v>1</v>
      </c>
    </row>
    <row r="4024" ht="15.75" customHeight="1" spans="1:2">
      <c r="A4024" s="3" t="str">
        <f>IFERROR(__xludf.DUMMYFUNCTION("GOOGLETRANSLATE(A4024,""en"",""pt"")"),"bondade")</f>
        <v>bondade</v>
      </c>
      <c r="B4024" s="3">
        <v>1</v>
      </c>
    </row>
    <row r="4025" ht="15.75" customHeight="1" spans="1:2">
      <c r="A4025" s="3" t="str">
        <f>IFERROR(__xludf.DUMMYFUNCTION("GOOGLETRANSLATE(A4025,""en"",""pt"")"),"bem informado")</f>
        <v>bem informado</v>
      </c>
      <c r="B4025" s="3">
        <v>1</v>
      </c>
    </row>
    <row r="4026" ht="15.75" customHeight="1" spans="1:2">
      <c r="A4026" s="3" t="str">
        <f>IFERROR(__xludf.DUMMYFUNCTION("GOOGLETRANSLATE(A4026,""en"",""pt"")"),"glória")</f>
        <v>glória</v>
      </c>
      <c r="B4026" s="3">
        <v>1</v>
      </c>
    </row>
    <row r="4027" ht="15.75" customHeight="1" spans="1:2">
      <c r="A4027" s="3" t="str">
        <f>IFERROR(__xludf.DUMMYFUNCTION("GOOGLETRANSLATE(A4027,""en"",""pt"")"),"De grande capacidade")</f>
        <v>De grande capacidade</v>
      </c>
      <c r="B4027" s="3">
        <v>1</v>
      </c>
    </row>
    <row r="4028" ht="15.75" customHeight="1" spans="1:2">
      <c r="A4028" s="3" t="str">
        <f>IFERROR(__xludf.DUMMYFUNCTION("GOOGLETRANSLATE(A4028,""en"",""pt"")"),"laud")</f>
        <v>laud</v>
      </c>
      <c r="B4028" s="3">
        <v>1</v>
      </c>
    </row>
    <row r="4029" ht="15.75" customHeight="1" spans="1:2">
      <c r="A4029" s="3" t="str">
        <f>IFERROR(__xludf.DUMMYFUNCTION("GOOGLETRANSLATE(A4029,""en"",""pt"")"),"louvável")</f>
        <v>louvável</v>
      </c>
      <c r="B4029" s="3">
        <v>1</v>
      </c>
    </row>
    <row r="4030" ht="15.75" customHeight="1" spans="1:2">
      <c r="A4030" s="3" t="str">
        <f>IFERROR(__xludf.DUMMYFUNCTION("GOOGLETRANSLATE(A4030,""en"",""pt"")"),"louvavelmente")</f>
        <v>louvavelmente</v>
      </c>
      <c r="B4030" s="3">
        <v>1</v>
      </c>
    </row>
    <row r="4031" ht="15.75" customHeight="1" spans="1:2">
      <c r="A4031" s="3" t="str">
        <f>IFERROR(__xludf.DUMMYFUNCTION("GOOGLETRANSLATE(A4031,""en"",""pt"")"),"pródigo")</f>
        <v>pródigo</v>
      </c>
      <c r="B4031" s="3">
        <v>1</v>
      </c>
    </row>
    <row r="4032" ht="15.75" customHeight="1" spans="1:2">
      <c r="A4032" s="3" t="str">
        <f>IFERROR(__xludf.DUMMYFUNCTION("GOOGLETRANSLATE(A4032,""en"",""pt"")"),"ricamente")</f>
        <v>ricamente</v>
      </c>
      <c r="B4032" s="3">
        <v>1</v>
      </c>
    </row>
    <row r="4033" ht="15.75" customHeight="1" spans="1:2">
      <c r="A4033" s="3" t="str">
        <f>IFERROR(__xludf.DUMMYFUNCTION("GOOGLETRANSLATE(A4033,""en"",""pt"")"),"obediente à lei")</f>
        <v>obediente à lei</v>
      </c>
      <c r="B4033" s="3">
        <v>1</v>
      </c>
    </row>
    <row r="4034" ht="15.75" customHeight="1" spans="1:2">
      <c r="A4034" s="3" t="str">
        <f>IFERROR(__xludf.DUMMYFUNCTION("GOOGLETRANSLATE(A4034,""en"",""pt"")"),"legal")</f>
        <v>legal</v>
      </c>
      <c r="B4034" s="3">
        <v>1</v>
      </c>
    </row>
    <row r="4035" ht="15.75" customHeight="1" spans="1:2">
      <c r="A4035" s="3" t="str">
        <f>IFERROR(__xludf.DUMMYFUNCTION("GOOGLETRANSLATE(A4035,""en"",""pt"")"),"legalmente")</f>
        <v>legalmente</v>
      </c>
      <c r="B4035" s="3">
        <v>1</v>
      </c>
    </row>
    <row r="4036" ht="15.75" customHeight="1" spans="1:2">
      <c r="A4036" s="3" t="str">
        <f>IFERROR(__xludf.DUMMYFUNCTION("GOOGLETRANSLATE(A4036,""en"",""pt"")"),"conduzir")</f>
        <v>conduzir</v>
      </c>
      <c r="B4036" s="3">
        <v>1</v>
      </c>
    </row>
    <row r="4037" ht="15.75" customHeight="1" spans="1:2">
      <c r="A4037" s="3" t="str">
        <f>IFERROR(__xludf.DUMMYFUNCTION("GOOGLETRANSLATE(A4037,""en"",""pt"")"),"conduzindo")</f>
        <v>conduzindo</v>
      </c>
      <c r="B4037" s="3">
        <v>1</v>
      </c>
    </row>
    <row r="4038" ht="15.75" customHeight="1" spans="1:2">
      <c r="A4038" s="3" t="str">
        <f>IFERROR(__xludf.DUMMYFUNCTION("GOOGLETRANSLATE(A4038,""en"",""pt"")"),"conduz")</f>
        <v>conduz</v>
      </c>
      <c r="B4038" s="3">
        <v>1</v>
      </c>
    </row>
    <row r="4039" ht="15.75" customHeight="1" spans="1:2">
      <c r="A4039" s="3" t="str">
        <f>IFERROR(__xludf.DUMMYFUNCTION("GOOGLETRANSLATE(A4039,""en"",""pt"")"),"magro")</f>
        <v>magro</v>
      </c>
      <c r="B4039" s="3">
        <v>1</v>
      </c>
    </row>
    <row r="4040" ht="15.75" customHeight="1" spans="1:2">
      <c r="A4040" s="3" t="str">
        <f>IFERROR(__xludf.DUMMYFUNCTION("GOOGLETRANSLATE(A4040,""en"",""pt"")"),"conduziu")</f>
        <v>conduziu</v>
      </c>
      <c r="B4040" s="3">
        <v>1</v>
      </c>
    </row>
    <row r="4041" ht="15.75" customHeight="1" spans="1:2">
      <c r="A4041" s="3" t="str">
        <f>IFERROR(__xludf.DUMMYFUNCTION("GOOGLETRANSLATE(A4041,""en"",""pt"")"),"lendário")</f>
        <v>lendário</v>
      </c>
      <c r="B4041" s="3">
        <v>1</v>
      </c>
    </row>
    <row r="4042" ht="15.75" customHeight="1" spans="1:2">
      <c r="A4042" s="3" t="str">
        <f>IFERROR(__xludf.DUMMYFUNCTION("GOOGLETRANSLATE(A4042,""en"",""pt"")"),"influência")</f>
        <v>influência</v>
      </c>
      <c r="B4042" s="3">
        <v>1</v>
      </c>
    </row>
    <row r="4043" ht="15.75" customHeight="1" spans="1:2">
      <c r="A4043" s="3" t="str">
        <f>IFERROR(__xludf.DUMMYFUNCTION("GOOGLETRANSLATE(A4043,""en"",""pt"")"),"leviandade")</f>
        <v>leviandade</v>
      </c>
      <c r="B4043" s="3">
        <v>1</v>
      </c>
    </row>
    <row r="4044" ht="15.75" customHeight="1" spans="1:2">
      <c r="A4044" s="3" t="str">
        <f>IFERROR(__xludf.DUMMYFUNCTION("GOOGLETRANSLATE(A4044,""en"",""pt"")"),"libertar")</f>
        <v>libertar</v>
      </c>
      <c r="B4044" s="3">
        <v>1</v>
      </c>
    </row>
    <row r="4045" ht="15.75" customHeight="1" spans="1:2">
      <c r="A4045" s="3" t="str">
        <f>IFERROR(__xludf.DUMMYFUNCTION("GOOGLETRANSLATE(A4045,""en"",""pt"")"),"libertação")</f>
        <v>libertação</v>
      </c>
      <c r="B4045" s="3">
        <v>1</v>
      </c>
    </row>
    <row r="4046" ht="15.75" customHeight="1" spans="1:2">
      <c r="A4046" s="3" t="str">
        <f>IFERROR(__xludf.DUMMYFUNCTION("GOOGLETRANSLATE(A4046,""en"",""pt"")"),"liberdade")</f>
        <v>liberdade</v>
      </c>
      <c r="B4046" s="3">
        <v>1</v>
      </c>
    </row>
    <row r="4047" ht="15.75" customHeight="1" spans="1:2">
      <c r="A4047" s="3" t="str">
        <f>IFERROR(__xludf.DUMMYFUNCTION("GOOGLETRANSLATE(A4047,""en"",""pt"")"),"salva-vidas")</f>
        <v>salva-vidas</v>
      </c>
      <c r="B4047" s="3">
        <v>1</v>
      </c>
    </row>
    <row r="4048" ht="15.75" customHeight="1" spans="1:2">
      <c r="A4048" s="3" t="str">
        <f>IFERROR(__xludf.DUMMYFUNCTION("GOOGLETRANSLATE(A4048,""en"",""pt"")"),"alegre")</f>
        <v>alegre</v>
      </c>
      <c r="B4048" s="3">
        <v>1</v>
      </c>
    </row>
    <row r="4049" ht="15.75" customHeight="1" spans="1:2">
      <c r="A4049" s="3" t="str">
        <f>IFERROR(__xludf.DUMMYFUNCTION("GOOGLETRANSLATE(A4049,""en"",""pt"")"),"mais leve")</f>
        <v>mais leve</v>
      </c>
      <c r="B4049" s="3">
        <v>1</v>
      </c>
    </row>
    <row r="4050" ht="15.75" customHeight="1" spans="1:2">
      <c r="A4050" s="3" t="str">
        <f>IFERROR(__xludf.DUMMYFUNCTION("GOOGLETRANSLATE(A4050,""en"",""pt"")"),"simpático")</f>
        <v>simpático</v>
      </c>
      <c r="B4050" s="3">
        <v>1</v>
      </c>
    </row>
    <row r="4051" ht="15.75" customHeight="1" spans="1:2">
      <c r="A4051" s="3" t="str">
        <f>IFERROR(__xludf.DUMMYFUNCTION("GOOGLETRANSLATE(A4051,""en"",""pt"")"),"gostar")</f>
        <v>gostar</v>
      </c>
      <c r="B4051" s="3">
        <v>1</v>
      </c>
    </row>
    <row r="4052" ht="15.75" customHeight="1" spans="1:2">
      <c r="A4052" s="3" t="str">
        <f>IFERROR(__xludf.DUMMYFUNCTION("GOOGLETRANSLATE(A4052,""en"",""pt"")"),"gostei")</f>
        <v>gostei</v>
      </c>
      <c r="B4052" s="3">
        <v>1</v>
      </c>
    </row>
    <row r="4053" ht="15.75" customHeight="1" spans="1:2">
      <c r="A4053" s="3" t="str">
        <f>IFERROR(__xludf.DUMMYFUNCTION("GOOGLETRANSLATE(A4053,""en"",""pt"")"),"gostos")</f>
        <v>gostos</v>
      </c>
      <c r="B4053" s="3">
        <v>1</v>
      </c>
    </row>
    <row r="4054" ht="15.75" customHeight="1" spans="1:2">
      <c r="A4054" s="3" t="str">
        <f>IFERROR(__xludf.DUMMYFUNCTION("GOOGLETRANSLATE(A4054,""en"",""pt"")"),"gosto")</f>
        <v>gosto</v>
      </c>
      <c r="B4054" s="3">
        <v>1</v>
      </c>
    </row>
    <row r="4055" ht="15.75" customHeight="1" spans="1:2">
      <c r="A4055" s="3" t="str">
        <f>IFERROR(__xludf.DUMMYFUNCTION("GOOGLETRANSLATE(A4055,""en"",""pt"")"),"Lionhearted")</f>
        <v>Lionhearted</v>
      </c>
      <c r="B4055" s="3">
        <v>1</v>
      </c>
    </row>
    <row r="4056" ht="15.75" customHeight="1" spans="1:2">
      <c r="A4056" s="3" t="str">
        <f>IFERROR(__xludf.DUMMYFUNCTION("GOOGLETRANSLATE(A4056,""en"",""pt"")"),"animado")</f>
        <v>animado</v>
      </c>
      <c r="B4056" s="3">
        <v>1</v>
      </c>
    </row>
    <row r="4057" ht="15.75" customHeight="1" spans="1:2">
      <c r="A4057" s="3" t="str">
        <f>IFERROR(__xludf.DUMMYFUNCTION("GOOGLETRANSLATE(A4057,""en"",""pt"")"),"lógico")</f>
        <v>lógico</v>
      </c>
      <c r="B4057" s="3">
        <v>1</v>
      </c>
    </row>
    <row r="4058" ht="15.75" customHeight="1" spans="1:2">
      <c r="A4058" s="3" t="str">
        <f>IFERROR(__xludf.DUMMYFUNCTION("GOOGLETRANSLATE(A4058,""en"",""pt"")"),"de longa duração")</f>
        <v>de longa duração</v>
      </c>
      <c r="B4058" s="3">
        <v>1</v>
      </c>
    </row>
    <row r="4059" ht="15.75" customHeight="1" spans="1:2">
      <c r="A4059" s="3" t="str">
        <f>IFERROR(__xludf.DUMMYFUNCTION("GOOGLETRANSLATE(A4059,""en"",""pt"")"),"adorável")</f>
        <v>adorável</v>
      </c>
      <c r="B4059" s="3">
        <v>1</v>
      </c>
    </row>
    <row r="4060" ht="15.75" customHeight="1" spans="1:2">
      <c r="A4060" s="3" t="str">
        <f>IFERROR(__xludf.DUMMYFUNCTION("GOOGLETRANSLATE(A4060,""en"",""pt"")"),"lovably")</f>
        <v>lovably</v>
      </c>
      <c r="B4060" s="3">
        <v>1</v>
      </c>
    </row>
    <row r="4061" ht="15.75" customHeight="1" spans="1:2">
      <c r="A4061" s="3" t="str">
        <f>IFERROR(__xludf.DUMMYFUNCTION("GOOGLETRANSLATE(A4061,""en"",""pt"")"),"amar")</f>
        <v>amar</v>
      </c>
      <c r="B4061" s="3">
        <v>1</v>
      </c>
    </row>
    <row r="4062" ht="15.75" customHeight="1" spans="1:2">
      <c r="A4062" s="3" t="str">
        <f>IFERROR(__xludf.DUMMYFUNCTION("GOOGLETRANSLATE(A4062,""en"",""pt"")"),"Amado")</f>
        <v>Amado</v>
      </c>
      <c r="B4062" s="3">
        <v>1</v>
      </c>
    </row>
    <row r="4063" ht="15.75" customHeight="1" spans="1:2">
      <c r="A4063" s="3" t="str">
        <f>IFERROR(__xludf.DUMMYFUNCTION("GOOGLETRANSLATE(A4063,""en"",""pt"")"),"beleza")</f>
        <v>beleza</v>
      </c>
      <c r="B4063" s="3">
        <v>1</v>
      </c>
    </row>
    <row r="4064" ht="15.75" customHeight="1" spans="1:2">
      <c r="A4064" s="3" t="str">
        <f>IFERROR(__xludf.DUMMYFUNCTION("GOOGLETRANSLATE(A4064,""en"",""pt"")"),"encantador")</f>
        <v>encantador</v>
      </c>
      <c r="B4064" s="3">
        <v>1</v>
      </c>
    </row>
    <row r="4065" ht="15.75" customHeight="1" spans="1:2">
      <c r="A4065" s="3" t="str">
        <f>IFERROR(__xludf.DUMMYFUNCTION("GOOGLETRANSLATE(A4065,""en"",""pt"")"),"amante")</f>
        <v>amante</v>
      </c>
      <c r="B4065" s="3">
        <v>1</v>
      </c>
    </row>
    <row r="4066" ht="15.75" customHeight="1" spans="1:2">
      <c r="A4066" s="3" t="str">
        <f>IFERROR(__xludf.DUMMYFUNCTION("GOOGLETRANSLATE(A4066,""en"",""pt"")"),"O amor é")</f>
        <v>O amor é</v>
      </c>
      <c r="B4066" s="3">
        <v>1</v>
      </c>
    </row>
    <row r="4067" ht="15.75" customHeight="1" spans="1:2">
      <c r="A4067" s="3" t="str">
        <f>IFERROR(__xludf.DUMMYFUNCTION("GOOGLETRANSLATE(A4067,""en"",""pt"")"),"amoroso")</f>
        <v>amoroso</v>
      </c>
      <c r="B4067" s="3">
        <v>1</v>
      </c>
    </row>
    <row r="4068" ht="15.75" customHeight="1" spans="1:2">
      <c r="A4068" s="3" t="str">
        <f>IFERROR(__xludf.DUMMYFUNCTION("GOOGLETRANSLATE(A4068,""en"",""pt"")"),"baixo custo")</f>
        <v>baixo custo</v>
      </c>
      <c r="B4068" s="3">
        <v>1</v>
      </c>
    </row>
    <row r="4069" ht="15.75" customHeight="1" spans="1:2">
      <c r="A4069" s="3" t="str">
        <f>IFERROR(__xludf.DUMMYFUNCTION("GOOGLETRANSLATE(A4069,""en"",""pt"")"),"preço baixo")</f>
        <v>preço baixo</v>
      </c>
      <c r="B4069" s="3">
        <v>1</v>
      </c>
    </row>
    <row r="4070" ht="15.75" customHeight="1" spans="1:2">
      <c r="A4070" s="3" t="str">
        <f>IFERROR(__xludf.DUMMYFUNCTION("GOOGLETRANSLATE(A4070,""en"",""pt"")"),"-Baixo preço")</f>
        <v>-Baixo preço</v>
      </c>
      <c r="B4070" s="3">
        <v>1</v>
      </c>
    </row>
    <row r="4071" ht="15.75" customHeight="1" spans="1:2">
      <c r="A4071" s="3" t="str">
        <f>IFERROR(__xludf.DUMMYFUNCTION("GOOGLETRANSLATE(A4071,""en"",""pt"")"),"baixo risco")</f>
        <v>baixo risco</v>
      </c>
      <c r="B4071" s="3">
        <v>1</v>
      </c>
    </row>
    <row r="4072" ht="15.75" customHeight="1" spans="1:2">
      <c r="A4072" s="3" t="str">
        <f>IFERROR(__xludf.DUMMYFUNCTION("GOOGLETRANSLATE(A4072,""en"",""pt"")"),"com preços mais baixos")</f>
        <v>com preços mais baixos</v>
      </c>
      <c r="B4072" s="3">
        <v>1</v>
      </c>
    </row>
    <row r="4073" ht="15.75" customHeight="1" spans="1:2">
      <c r="A4073" s="3" t="str">
        <f>IFERROR(__xludf.DUMMYFUNCTION("GOOGLETRANSLATE(A4073,""en"",""pt"")"),"fiel")</f>
        <v>fiel</v>
      </c>
      <c r="B4073" s="3">
        <v>1</v>
      </c>
    </row>
    <row r="4074" ht="15.75" customHeight="1" spans="1:2">
      <c r="A4074" s="3" t="str">
        <f>IFERROR(__xludf.DUMMYFUNCTION("GOOGLETRANSLATE(A4074,""en"",""pt"")"),"fidelidade")</f>
        <v>fidelidade</v>
      </c>
      <c r="B4074" s="3">
        <v>1</v>
      </c>
    </row>
    <row r="4075" ht="15.75" customHeight="1" spans="1:2">
      <c r="A4075" s="3" t="str">
        <f>IFERROR(__xludf.DUMMYFUNCTION("GOOGLETRANSLATE(A4075,""en"",""pt"")"),"lúcido")</f>
        <v>lúcido</v>
      </c>
      <c r="B4075" s="3">
        <v>1</v>
      </c>
    </row>
    <row r="4076" ht="15.75" customHeight="1" spans="1:2">
      <c r="A4076" s="3" t="str">
        <f>IFERROR(__xludf.DUMMYFUNCTION("GOOGLETRANSLATE(A4076,""en"",""pt"")"),"lucidamente")</f>
        <v>lucidamente</v>
      </c>
      <c r="B4076" s="3">
        <v>1</v>
      </c>
    </row>
    <row r="4077" ht="15.75" customHeight="1" spans="1:2">
      <c r="A4077" s="3" t="str">
        <f>IFERROR(__xludf.DUMMYFUNCTION("GOOGLETRANSLATE(A4077,""en"",""pt"")"),"sorte")</f>
        <v>sorte</v>
      </c>
      <c r="B4077" s="3">
        <v>1</v>
      </c>
    </row>
    <row r="4078" ht="15.75" customHeight="1" spans="1:2">
      <c r="A4078" s="3" t="str">
        <f>IFERROR(__xludf.DUMMYFUNCTION("GOOGLETRANSLATE(A4078,""en"",""pt"")"),"mais sorte")</f>
        <v>mais sorte</v>
      </c>
      <c r="B4078" s="3">
        <v>1</v>
      </c>
    </row>
    <row r="4079" ht="15.75" customHeight="1" spans="1:2">
      <c r="A4079" s="3" t="str">
        <f>IFERROR(__xludf.DUMMYFUNCTION("GOOGLETRANSLATE(A4079,""en"",""pt"")"),"mais sortudas")</f>
        <v>mais sortudas</v>
      </c>
      <c r="B4079" s="3">
        <v>1</v>
      </c>
    </row>
    <row r="4080" ht="15.75" customHeight="1" spans="1:2">
      <c r="A4080" s="3" t="str">
        <f>IFERROR(__xludf.DUMMYFUNCTION("GOOGLETRANSLATE(A4080,""en"",""pt"")"),"ventura")</f>
        <v>ventura</v>
      </c>
      <c r="B4080" s="3">
        <v>1</v>
      </c>
    </row>
    <row r="4081" ht="15.75" customHeight="1" spans="1:2">
      <c r="A4081" s="3" t="str">
        <f>IFERROR(__xludf.DUMMYFUNCTION("GOOGLETRANSLATE(A4081,""en"",""pt"")"),"por sorte")</f>
        <v>por sorte</v>
      </c>
      <c r="B4081" s="3">
        <v>1</v>
      </c>
    </row>
    <row r="4082" ht="15.75" customHeight="1" spans="1:2">
      <c r="A4082" s="3" t="str">
        <f>IFERROR(__xludf.DUMMYFUNCTION("GOOGLETRANSLATE(A4082,""en"",""pt"")"),"lucrativo")</f>
        <v>lucrativo</v>
      </c>
      <c r="B4082" s="3">
        <v>1</v>
      </c>
    </row>
    <row r="4083" ht="15.75" customHeight="1" spans="1:2">
      <c r="A4083" s="3" t="str">
        <f>IFERROR(__xludf.DUMMYFUNCTION("GOOGLETRANSLATE(A4083,""en"",""pt"")"),"luminoso")</f>
        <v>luminoso</v>
      </c>
      <c r="B4083" s="3">
        <v>1</v>
      </c>
    </row>
    <row r="4084" ht="15.75" customHeight="1" spans="1:2">
      <c r="A4084" s="3" t="str">
        <f>IFERROR(__xludf.DUMMYFUNCTION("GOOGLETRANSLATE(A4084,""en"",""pt"")"),"exuberante")</f>
        <v>exuberante</v>
      </c>
      <c r="B4084" s="3">
        <v>1</v>
      </c>
    </row>
    <row r="4085" ht="15.75" customHeight="1" spans="1:2">
      <c r="A4085" s="3" t="str">
        <f>IFERROR(__xludf.DUMMYFUNCTION("GOOGLETRANSLATE(A4085,""en"",""pt"")"),"brilho")</f>
        <v>brilho</v>
      </c>
      <c r="B4085" s="3">
        <v>1</v>
      </c>
    </row>
    <row r="4086" ht="15.75" customHeight="1" spans="1:2">
      <c r="A4086" s="3" t="str">
        <f>IFERROR(__xludf.DUMMYFUNCTION("GOOGLETRANSLATE(A4086,""en"",""pt"")"),"brilhante")</f>
        <v>brilhante</v>
      </c>
      <c r="B4086" s="3">
        <v>1</v>
      </c>
    </row>
    <row r="4087" ht="15.75" customHeight="1" spans="1:2">
      <c r="A4087" s="3" t="str">
        <f>IFERROR(__xludf.DUMMYFUNCTION("GOOGLETRANSLATE(A4087,""en"",""pt"")"),"luxuriante")</f>
        <v>luxuriante</v>
      </c>
      <c r="B4087" s="3">
        <v>1</v>
      </c>
    </row>
    <row r="4088" ht="15.75" customHeight="1" spans="1:2">
      <c r="A4088" s="3" t="str">
        <f>IFERROR(__xludf.DUMMYFUNCTION("GOOGLETRANSLATE(A4088,""en"",""pt"")"),"luxuriate")</f>
        <v>luxuriate</v>
      </c>
      <c r="B4088" s="3">
        <v>1</v>
      </c>
    </row>
    <row r="4089" ht="15.75" customHeight="1" spans="1:2">
      <c r="A4089" s="3" t="str">
        <f>IFERROR(__xludf.DUMMYFUNCTION("GOOGLETRANSLATE(A4089,""en"",""pt"")"),"luxuoso")</f>
        <v>luxuoso</v>
      </c>
      <c r="B4089" s="3">
        <v>1</v>
      </c>
    </row>
    <row r="4090" ht="15.75" customHeight="1" spans="1:2">
      <c r="A4090" s="3" t="str">
        <f>IFERROR(__xludf.DUMMYFUNCTION("GOOGLETRANSLATE(A4090,""en"",""pt"")"),"luxuosamente")</f>
        <v>luxuosamente</v>
      </c>
      <c r="B4090" s="3">
        <v>1</v>
      </c>
    </row>
    <row r="4091" ht="15.75" customHeight="1" spans="1:2">
      <c r="A4091" s="3" t="str">
        <f>IFERROR(__xludf.DUMMYFUNCTION("GOOGLETRANSLATE(A4091,""en"",""pt"")"),"luxo")</f>
        <v>luxo</v>
      </c>
      <c r="B4091" s="3">
        <v>1</v>
      </c>
    </row>
    <row r="4092" ht="15.75" customHeight="1" spans="1:2">
      <c r="A4092" s="3" t="str">
        <f>IFERROR(__xludf.DUMMYFUNCTION("GOOGLETRANSLATE(A4092,""en"",""pt"")"),"lírico")</f>
        <v>lírico</v>
      </c>
      <c r="B4092" s="3">
        <v>1</v>
      </c>
    </row>
    <row r="4093" ht="15.75" customHeight="1" spans="1:2">
      <c r="A4093" s="3" t="str">
        <f>IFERROR(__xludf.DUMMYFUNCTION("GOOGLETRANSLATE(A4093,""en"",""pt"")"),"Magia")</f>
        <v>Magia</v>
      </c>
      <c r="B4093" s="3">
        <v>1</v>
      </c>
    </row>
    <row r="4094" ht="15.75" customHeight="1" spans="1:2">
      <c r="A4094" s="3" t="str">
        <f>IFERROR(__xludf.DUMMYFUNCTION("GOOGLETRANSLATE(A4094,""en"",""pt"")"),"mágico")</f>
        <v>mágico</v>
      </c>
      <c r="B4094" s="3">
        <v>1</v>
      </c>
    </row>
    <row r="4095" ht="15.75" customHeight="1" spans="1:2">
      <c r="A4095" s="3" t="str">
        <f>IFERROR(__xludf.DUMMYFUNCTION("GOOGLETRANSLATE(A4095,""en"",""pt"")"),"magnânimo")</f>
        <v>magnânimo</v>
      </c>
      <c r="B4095" s="3">
        <v>1</v>
      </c>
    </row>
    <row r="4096" ht="15.75" customHeight="1" spans="1:2">
      <c r="A4096" s="3" t="str">
        <f>IFERROR(__xludf.DUMMYFUNCTION("GOOGLETRANSLATE(A4096,""en"",""pt"")"),"magnanimamente")</f>
        <v>magnanimamente</v>
      </c>
      <c r="B4096" s="3">
        <v>1</v>
      </c>
    </row>
    <row r="4097" ht="15.75" customHeight="1" spans="1:2">
      <c r="A4097" s="3" t="str">
        <f>IFERROR(__xludf.DUMMYFUNCTION("GOOGLETRANSLATE(A4097,""en"",""pt"")"),"magnificência")</f>
        <v>magnificência</v>
      </c>
      <c r="B4097" s="3">
        <v>1</v>
      </c>
    </row>
    <row r="4098" ht="15.75" customHeight="1" spans="1:2">
      <c r="A4098" s="3" t="str">
        <f>IFERROR(__xludf.DUMMYFUNCTION("GOOGLETRANSLATE(A4098,""en"",""pt"")"),"magnífico")</f>
        <v>magnífico</v>
      </c>
      <c r="B4098" s="3">
        <v>1</v>
      </c>
    </row>
    <row r="4099" ht="15.75" customHeight="1" spans="1:2">
      <c r="A4099" s="3" t="str">
        <f>IFERROR(__xludf.DUMMYFUNCTION("GOOGLETRANSLATE(A4099,""en"",""pt"")"),"magnificamente")</f>
        <v>magnificamente</v>
      </c>
      <c r="B4099" s="3">
        <v>1</v>
      </c>
    </row>
    <row r="4100" ht="15.75" customHeight="1" spans="1:2">
      <c r="A4100" s="3" t="str">
        <f>IFERROR(__xludf.DUMMYFUNCTION("GOOGLETRANSLATE(A4100,""en"",""pt"")"),"majestoso")</f>
        <v>majestoso</v>
      </c>
      <c r="B4100" s="3">
        <v>1</v>
      </c>
    </row>
    <row r="4101" ht="15.75" customHeight="1" spans="1:2">
      <c r="A4101" s="3" t="str">
        <f>IFERROR(__xludf.DUMMYFUNCTION("GOOGLETRANSLATE(A4101,""en"",""pt"")"),"majestade")</f>
        <v>majestade</v>
      </c>
      <c r="B4101" s="3">
        <v>1</v>
      </c>
    </row>
    <row r="4102" ht="15.75" customHeight="1" spans="1:2">
      <c r="A4102" s="3" t="str">
        <f>IFERROR(__xludf.DUMMYFUNCTION("GOOGLETRANSLATE(A4102,""en"",""pt"")"),"manejável")</f>
        <v>manejável</v>
      </c>
      <c r="B4102" s="3">
        <v>1</v>
      </c>
    </row>
    <row r="4103" ht="15.75" customHeight="1" spans="1:2">
      <c r="A4103" s="3" t="str">
        <f>IFERROR(__xludf.DUMMYFUNCTION("GOOGLETRANSLATE(A4103,""en"",""pt"")"),"manobrável")</f>
        <v>manobrável</v>
      </c>
      <c r="B4103" s="3">
        <v>1</v>
      </c>
    </row>
    <row r="4104" ht="15.75" customHeight="1" spans="1:2">
      <c r="A4104" s="3" t="str">
        <f>IFERROR(__xludf.DUMMYFUNCTION("GOOGLETRANSLATE(A4104,""en"",""pt"")"),"maravilha")</f>
        <v>maravilha</v>
      </c>
      <c r="B4104" s="3">
        <v>1</v>
      </c>
    </row>
    <row r="4105" ht="15.75" customHeight="1" spans="1:2">
      <c r="A4105" s="3" t="str">
        <f>IFERROR(__xludf.DUMMYFUNCTION("GOOGLETRANSLATE(A4105,""en"",""pt"")"),"maravilhou")</f>
        <v>maravilhou</v>
      </c>
      <c r="B4105" s="3">
        <v>1</v>
      </c>
    </row>
    <row r="4106" ht="15.75" customHeight="1" spans="1:2">
      <c r="A4106" s="3" t="str">
        <f>IFERROR(__xludf.DUMMYFUNCTION("GOOGLETRANSLATE(A4106,""en"",""pt"")"),"maravilhou")</f>
        <v>maravilhou</v>
      </c>
      <c r="B4106" s="3">
        <v>1</v>
      </c>
    </row>
    <row r="4107" ht="15.75" customHeight="1" spans="1:2">
      <c r="A4107" s="3" t="str">
        <f>IFERROR(__xludf.DUMMYFUNCTION("GOOGLETRANSLATE(A4107,""en"",""pt"")"),"maravilhoso")</f>
        <v>maravilhoso</v>
      </c>
      <c r="B4107" s="3">
        <v>1</v>
      </c>
    </row>
    <row r="4108" ht="15.75" customHeight="1" spans="1:2">
      <c r="A4108" s="3" t="str">
        <f>IFERROR(__xludf.DUMMYFUNCTION("GOOGLETRANSLATE(A4108,""en"",""pt"")"),"maravilhoso")</f>
        <v>maravilhoso</v>
      </c>
      <c r="B4108" s="3">
        <v>1</v>
      </c>
    </row>
    <row r="4109" ht="15.75" customHeight="1" spans="1:2">
      <c r="A4109" s="3" t="str">
        <f>IFERROR(__xludf.DUMMYFUNCTION("GOOGLETRANSLATE(A4109,""en"",""pt"")"),"maravilhosamente")</f>
        <v>maravilhosamente</v>
      </c>
      <c r="B4109" s="3">
        <v>1</v>
      </c>
    </row>
    <row r="4110" ht="15.75" customHeight="1" spans="1:2">
      <c r="A4110" s="3" t="str">
        <f>IFERROR(__xludf.DUMMYFUNCTION("GOOGLETRANSLATE(A4110,""en"",""pt"")"),"deslumbramento")</f>
        <v>deslumbramento</v>
      </c>
      <c r="B4110" s="3">
        <v>1</v>
      </c>
    </row>
    <row r="4111" ht="15.75" customHeight="1" spans="1:2">
      <c r="A4111" s="3" t="str">
        <f>IFERROR(__xludf.DUMMYFUNCTION("GOOGLETRANSLATE(A4111,""en"",""pt"")"),"maravilhas")</f>
        <v>maravilhas</v>
      </c>
      <c r="B4111" s="3">
        <v>1</v>
      </c>
    </row>
    <row r="4112" ht="15.75" customHeight="1" spans="1:2">
      <c r="A4112" s="3" t="str">
        <f>IFERROR(__xludf.DUMMYFUNCTION("GOOGLETRANSLATE(A4112,""en"",""pt"")"),"mestre")</f>
        <v>mestre</v>
      </c>
      <c r="B4112" s="3">
        <v>1</v>
      </c>
    </row>
    <row r="4113" ht="15.75" customHeight="1" spans="1:2">
      <c r="A4113" s="3" t="str">
        <f>IFERROR(__xludf.DUMMYFUNCTION("GOOGLETRANSLATE(A4113,""en"",""pt"")"),"magistral")</f>
        <v>magistral</v>
      </c>
      <c r="B4113" s="3">
        <v>1</v>
      </c>
    </row>
    <row r="4114" ht="15.75" customHeight="1" spans="1:2">
      <c r="A4114" s="3" t="str">
        <f>IFERROR(__xludf.DUMMYFUNCTION("GOOGLETRANSLATE(A4114,""en"",""pt"")"),"magistralmente")</f>
        <v>magistralmente</v>
      </c>
      <c r="B4114" s="3">
        <v>1</v>
      </c>
    </row>
    <row r="4115" ht="15.75" customHeight="1" spans="1:2">
      <c r="A4115" s="3" t="str">
        <f>IFERROR(__xludf.DUMMYFUNCTION("GOOGLETRANSLATE(A4115,""en"",""pt"")"),"obra-prima")</f>
        <v>obra-prima</v>
      </c>
      <c r="B4115" s="3">
        <v>1</v>
      </c>
    </row>
    <row r="4116" ht="15.75" customHeight="1" spans="1:2">
      <c r="A4116" s="3" t="str">
        <f>IFERROR(__xludf.DUMMYFUNCTION("GOOGLETRANSLATE(A4116,""en"",""pt"")"),"obras-primas")</f>
        <v>obras-primas</v>
      </c>
      <c r="B4116" s="3">
        <v>1</v>
      </c>
    </row>
    <row r="4117" ht="15.75" customHeight="1" spans="1:2">
      <c r="A4117" s="3" t="str">
        <f>IFERROR(__xludf.DUMMYFUNCTION("GOOGLETRANSLATE(A4117,""en"",""pt"")"),"mestres")</f>
        <v>mestres</v>
      </c>
      <c r="B4117" s="3">
        <v>1</v>
      </c>
    </row>
    <row r="4118" ht="15.75" customHeight="1" spans="1:2">
      <c r="A4118" s="3" t="str">
        <f>IFERROR(__xludf.DUMMYFUNCTION("GOOGLETRANSLATE(A4118,""en"",""pt"")"),"domínio")</f>
        <v>domínio</v>
      </c>
      <c r="B4118" s="3">
        <v>1</v>
      </c>
    </row>
    <row r="4119" ht="15.75" customHeight="1" spans="1:2">
      <c r="A4119" s="3" t="str">
        <f>IFERROR(__xludf.DUMMYFUNCTION("GOOGLETRANSLATE(A4119,""en"",""pt"")"),"incomparável")</f>
        <v>incomparável</v>
      </c>
      <c r="B4119" s="3">
        <v>1</v>
      </c>
    </row>
    <row r="4120" ht="15.75" customHeight="1" spans="1:2">
      <c r="A4120" s="3" t="str">
        <f>IFERROR(__xludf.DUMMYFUNCTION("GOOGLETRANSLATE(A4120,""en"",""pt"")"),"maduro")</f>
        <v>maduro</v>
      </c>
      <c r="B4120" s="3">
        <v>1</v>
      </c>
    </row>
    <row r="4121" ht="15.75" customHeight="1" spans="1:2">
      <c r="A4121" s="3" t="str">
        <f>IFERROR(__xludf.DUMMYFUNCTION("GOOGLETRANSLATE(A4121,""en"",""pt"")"),"madura")</f>
        <v>madura</v>
      </c>
      <c r="B4121" s="3">
        <v>1</v>
      </c>
    </row>
    <row r="4122" ht="15.75" customHeight="1" spans="1:2">
      <c r="A4122" s="3" t="str">
        <f>IFERROR(__xludf.DUMMYFUNCTION("GOOGLETRANSLATE(A4122,""en"",""pt"")"),"maturidade")</f>
        <v>maturidade</v>
      </c>
      <c r="B4122" s="3">
        <v>1</v>
      </c>
    </row>
    <row r="4123" ht="15.75" customHeight="1" spans="1:2">
      <c r="A4123" s="3" t="str">
        <f>IFERROR(__xludf.DUMMYFUNCTION("GOOGLETRANSLATE(A4123,""en"",""pt"")"),"significativo")</f>
        <v>significativo</v>
      </c>
      <c r="B4123" s="3">
        <v>1</v>
      </c>
    </row>
    <row r="4124" ht="15.75" customHeight="1" spans="1:2">
      <c r="A4124" s="3" t="str">
        <f>IFERROR(__xludf.DUMMYFUNCTION("GOOGLETRANSLATE(A4124,""en"",""pt"")"),"memorável")</f>
        <v>memorável</v>
      </c>
      <c r="B4124" s="3">
        <v>1</v>
      </c>
    </row>
    <row r="4125" ht="15.75" customHeight="1" spans="1:2">
      <c r="A4125" s="3" t="str">
        <f>IFERROR(__xludf.DUMMYFUNCTION("GOOGLETRANSLATE(A4125,""en"",""pt"")"),"misericordioso")</f>
        <v>misericordioso</v>
      </c>
      <c r="B4125" s="3">
        <v>1</v>
      </c>
    </row>
    <row r="4126" ht="15.75" customHeight="1" spans="1:2">
      <c r="A4126" s="3" t="str">
        <f>IFERROR(__xludf.DUMMYFUNCTION("GOOGLETRANSLATE(A4126,""en"",""pt"")"),"misericordiosamente")</f>
        <v>misericordiosamente</v>
      </c>
      <c r="B4126" s="3">
        <v>1</v>
      </c>
    </row>
    <row r="4127" ht="15.75" customHeight="1" spans="1:2">
      <c r="A4127" s="3" t="str">
        <f>IFERROR(__xludf.DUMMYFUNCTION("GOOGLETRANSLATE(A4127,""en"",""pt"")"),"misericórdia")</f>
        <v>misericórdia</v>
      </c>
      <c r="B4127" s="3">
        <v>1</v>
      </c>
    </row>
    <row r="4128" ht="15.75" customHeight="1" spans="1:2">
      <c r="A4128" s="3" t="str">
        <f>IFERROR(__xludf.DUMMYFUNCTION("GOOGLETRANSLATE(A4128,""en"",""pt"")"),"mérito")</f>
        <v>mérito</v>
      </c>
      <c r="B4128" s="3">
        <v>1</v>
      </c>
    </row>
    <row r="4129" ht="15.75" customHeight="1" spans="1:2">
      <c r="A4129" s="3" t="str">
        <f>IFERROR(__xludf.DUMMYFUNCTION("GOOGLETRANSLATE(A4129,""en"",""pt"")"),"meritório")</f>
        <v>meritório</v>
      </c>
      <c r="B4129" s="3">
        <v>1</v>
      </c>
    </row>
    <row r="4130" ht="15.75" customHeight="1" spans="1:2">
      <c r="A4130" s="3" t="str">
        <f>IFERROR(__xludf.DUMMYFUNCTION("GOOGLETRANSLATE(A4130,""en"",""pt"")"),"alegremente")</f>
        <v>alegremente</v>
      </c>
      <c r="B4130" s="3">
        <v>1</v>
      </c>
    </row>
    <row r="4131" ht="15.75" customHeight="1" spans="1:2">
      <c r="A4131" s="3" t="str">
        <f>IFERROR(__xludf.DUMMYFUNCTION("GOOGLETRANSLATE(A4131,""en"",""pt"")"),"alegria")</f>
        <v>alegria</v>
      </c>
      <c r="B4131" s="3">
        <v>1</v>
      </c>
    </row>
    <row r="4132" ht="15.75" customHeight="1" spans="1:2">
      <c r="A4132" s="3" t="str">
        <f>IFERROR(__xludf.DUMMYFUNCTION("GOOGLETRANSLATE(A4132,""en"",""pt"")"),"merriness")</f>
        <v>merriness</v>
      </c>
      <c r="B4132" s="3">
        <v>1</v>
      </c>
    </row>
    <row r="4133" ht="15.75" customHeight="1" spans="1:2">
      <c r="A4133" s="3" t="str">
        <f>IFERROR(__xludf.DUMMYFUNCTION("GOOGLETRANSLATE(A4133,""en"",""pt"")"),"alegre")</f>
        <v>alegre</v>
      </c>
      <c r="B4133" s="3">
        <v>1</v>
      </c>
    </row>
    <row r="4134" ht="15.75" customHeight="1" spans="1:2">
      <c r="A4134" s="3" t="str">
        <f>IFERROR(__xludf.DUMMYFUNCTION("GOOGLETRANSLATE(A4134,""en"",""pt"")"),"hipnotizar")</f>
        <v>hipnotizar</v>
      </c>
      <c r="B4134" s="3">
        <v>1</v>
      </c>
    </row>
    <row r="4135" ht="15.75" customHeight="1" spans="1:2">
      <c r="A4135" s="3" t="str">
        <f>IFERROR(__xludf.DUMMYFUNCTION("GOOGLETRANSLATE(A4135,""en"",""pt"")"),"hipnotizado")</f>
        <v>hipnotizado</v>
      </c>
      <c r="B4135" s="3">
        <v>1</v>
      </c>
    </row>
    <row r="4136" ht="15.75" customHeight="1" spans="1:2">
      <c r="A4136" s="3" t="str">
        <f>IFERROR(__xludf.DUMMYFUNCTION("GOOGLETRANSLATE(A4136,""en"",""pt"")"),"mesmerizes")</f>
        <v>mesmerizes</v>
      </c>
      <c r="B4136" s="3">
        <v>1</v>
      </c>
    </row>
    <row r="4137" ht="15.75" customHeight="1" spans="1:2">
      <c r="A4137" s="3" t="str">
        <f>IFERROR(__xludf.DUMMYFUNCTION("GOOGLETRANSLATE(A4137,""en"",""pt"")"),"hipnotizante")</f>
        <v>hipnotizante</v>
      </c>
      <c r="B4137" s="3">
        <v>1</v>
      </c>
    </row>
    <row r="4138" ht="15.75" customHeight="1" spans="1:2">
      <c r="A4138" s="3" t="str">
        <f>IFERROR(__xludf.DUMMYFUNCTION("GOOGLETRANSLATE(A4138,""en"",""pt"")"),"mesmerizingly")</f>
        <v>mesmerizingly</v>
      </c>
      <c r="B4138" s="3">
        <v>1</v>
      </c>
    </row>
    <row r="4139" ht="15.75" customHeight="1" spans="1:2">
      <c r="A4139" s="3" t="str">
        <f>IFERROR(__xludf.DUMMYFUNCTION("GOOGLETRANSLATE(A4139,""en"",""pt"")"),"meticuloso")</f>
        <v>meticuloso</v>
      </c>
      <c r="B4139" s="3">
        <v>1</v>
      </c>
    </row>
    <row r="4140" ht="15.75" customHeight="1" spans="1:2">
      <c r="A4140" s="3" t="str">
        <f>IFERROR(__xludf.DUMMYFUNCTION("GOOGLETRANSLATE(A4140,""en"",""pt"")"),"meticulosamente")</f>
        <v>meticulosamente</v>
      </c>
      <c r="B4140" s="3">
        <v>1</v>
      </c>
    </row>
    <row r="4141" ht="15.75" customHeight="1" spans="1:2">
      <c r="A4141" s="3" t="str">
        <f>IFERROR(__xludf.DUMMYFUNCTION("GOOGLETRANSLATE(A4141,""en"",""pt"")"),"poderosamente")</f>
        <v>poderosamente</v>
      </c>
      <c r="B4141" s="3">
        <v>1</v>
      </c>
    </row>
    <row r="4142" ht="15.75" customHeight="1" spans="1:2">
      <c r="A4142" s="3" t="str">
        <f>IFERROR(__xludf.DUMMYFUNCTION("GOOGLETRANSLATE(A4142,""en"",""pt"")"),"poderoso")</f>
        <v>poderoso</v>
      </c>
      <c r="B4142" s="3">
        <v>1</v>
      </c>
    </row>
    <row r="4143" ht="15.75" customHeight="1" spans="1:2">
      <c r="A4143" s="3" t="str">
        <f>IFERROR(__xludf.DUMMYFUNCTION("GOOGLETRANSLATE(A4143,""en"",""pt"")"),"surpreendente")</f>
        <v>surpreendente</v>
      </c>
      <c r="B4143" s="3">
        <v>1</v>
      </c>
    </row>
    <row r="4144" ht="15.75" customHeight="1" spans="1:2">
      <c r="A4144" s="3" t="str">
        <f>IFERROR(__xludf.DUMMYFUNCTION("GOOGLETRANSLATE(A4144,""en"",""pt"")"),"milagre")</f>
        <v>milagre</v>
      </c>
      <c r="B4144" s="3">
        <v>1</v>
      </c>
    </row>
    <row r="4145" ht="15.75" customHeight="1" spans="1:2">
      <c r="A4145" s="3" t="str">
        <f>IFERROR(__xludf.DUMMYFUNCTION("GOOGLETRANSLATE(A4145,""en"",""pt"")"),"milagres")</f>
        <v>milagres</v>
      </c>
      <c r="B4145" s="3">
        <v>1</v>
      </c>
    </row>
    <row r="4146" ht="15.75" customHeight="1" spans="1:2">
      <c r="A4146" s="3" t="str">
        <f>IFERROR(__xludf.DUMMYFUNCTION("GOOGLETRANSLATE(A4146,""en"",""pt"")"),"milagroso")</f>
        <v>milagroso</v>
      </c>
      <c r="B4146" s="3">
        <v>1</v>
      </c>
    </row>
    <row r="4147" ht="15.75" customHeight="1" spans="1:2">
      <c r="A4147" s="3" t="str">
        <f>IFERROR(__xludf.DUMMYFUNCTION("GOOGLETRANSLATE(A4147,""en"",""pt"")"),"milagrosamente")</f>
        <v>milagrosamente</v>
      </c>
      <c r="B4147" s="3">
        <v>1</v>
      </c>
    </row>
    <row r="4148" ht="15.75" customHeight="1" spans="1:2">
      <c r="A4148" s="3" t="str">
        <f>IFERROR(__xludf.DUMMYFUNCTION("GOOGLETRANSLATE(A4148,""en"",""pt"")"),"miraculousness")</f>
        <v>miraculousness</v>
      </c>
      <c r="B4148" s="3">
        <v>1</v>
      </c>
    </row>
    <row r="4149" ht="15.75" customHeight="1" spans="1:2">
      <c r="A4149" s="3" t="str">
        <f>IFERROR(__xludf.DUMMYFUNCTION("GOOGLETRANSLATE(A4149,""en"",""pt"")"),"moderno")</f>
        <v>moderno</v>
      </c>
      <c r="B4149" s="3">
        <v>1</v>
      </c>
    </row>
    <row r="4150" ht="15.75" customHeight="1" spans="1:2">
      <c r="A4150" s="3" t="str">
        <f>IFERROR(__xludf.DUMMYFUNCTION("GOOGLETRANSLATE(A4150,""en"",""pt"")"),"modesto")</f>
        <v>modesto</v>
      </c>
      <c r="B4150" s="3">
        <v>1</v>
      </c>
    </row>
    <row r="4151" ht="15.75" customHeight="1" spans="1:2">
      <c r="A4151" s="3" t="str">
        <f>IFERROR(__xludf.DUMMYFUNCTION("GOOGLETRANSLATE(A4151,""en"",""pt"")"),"modéstia")</f>
        <v>modéstia</v>
      </c>
      <c r="B4151" s="3">
        <v>1</v>
      </c>
    </row>
    <row r="4152" ht="15.75" customHeight="1" spans="1:2">
      <c r="A4152" s="3" t="str">
        <f>IFERROR(__xludf.DUMMYFUNCTION("GOOGLETRANSLATE(A4152,""en"",""pt"")"),"momentoso")</f>
        <v>momentoso</v>
      </c>
      <c r="B4152" s="3">
        <v>1</v>
      </c>
    </row>
    <row r="4153" ht="15.75" customHeight="1" spans="1:2">
      <c r="A4153" s="3" t="str">
        <f>IFERROR(__xludf.DUMMYFUNCTION("GOOGLETRANSLATE(A4153,""en"",""pt"")"),"monumental")</f>
        <v>monumental</v>
      </c>
      <c r="B4153" s="3">
        <v>1</v>
      </c>
    </row>
    <row r="4154" ht="15.75" customHeight="1" spans="1:2">
      <c r="A4154" s="3" t="str">
        <f>IFERROR(__xludf.DUMMYFUNCTION("GOOGLETRANSLATE(A4154,""en"",""pt"")"),"monumentalmente")</f>
        <v>monumentalmente</v>
      </c>
      <c r="B4154" s="3">
        <v>1</v>
      </c>
    </row>
    <row r="4155" ht="15.75" customHeight="1" spans="1:2">
      <c r="A4155" s="3" t="str">
        <f>IFERROR(__xludf.DUMMYFUNCTION("GOOGLETRANSLATE(A4155,""en"",""pt"")"),"moralidade")</f>
        <v>moralidade</v>
      </c>
      <c r="B4155" s="3">
        <v>1</v>
      </c>
    </row>
    <row r="4156" ht="15.75" customHeight="1" spans="1:2">
      <c r="A4156" s="3" t="str">
        <f>IFERROR(__xludf.DUMMYFUNCTION("GOOGLETRANSLATE(A4156,""en"",""pt"")"),"motivado")</f>
        <v>motivado</v>
      </c>
      <c r="B4156" s="3">
        <v>1</v>
      </c>
    </row>
    <row r="4157" ht="15.75" customHeight="1" spans="1:2">
      <c r="A4157" s="3" t="str">
        <f>IFERROR(__xludf.DUMMYFUNCTION("GOOGLETRANSLATE(A4157,""en"",""pt"")"),"multi-purpose")</f>
        <v>multi-purpose</v>
      </c>
      <c r="B4157" s="3">
        <v>1</v>
      </c>
    </row>
    <row r="4158" ht="15.75" customHeight="1" spans="1:2">
      <c r="A4158" s="3" t="str">
        <f>IFERROR(__xludf.DUMMYFUNCTION("GOOGLETRANSLATE(A4158,""en"",""pt"")"),"navegável")</f>
        <v>navegável</v>
      </c>
      <c r="B4158" s="3">
        <v>1</v>
      </c>
    </row>
    <row r="4159" ht="15.75" customHeight="1" spans="1:2">
      <c r="A4159" s="3" t="str">
        <f>IFERROR(__xludf.DUMMYFUNCTION("GOOGLETRANSLATE(A4159,""en"",""pt"")"),"arrumado")</f>
        <v>arrumado</v>
      </c>
      <c r="B4159" s="3">
        <v>1</v>
      </c>
    </row>
    <row r="4160" ht="15.75" customHeight="1" spans="1:2">
      <c r="A4160" s="3" t="str">
        <f>IFERROR(__xludf.DUMMYFUNCTION("GOOGLETRANSLATE(A4160,""en"",""pt"")"),"neatest")</f>
        <v>neatest</v>
      </c>
      <c r="B4160" s="3">
        <v>1</v>
      </c>
    </row>
    <row r="4161" ht="15.75" customHeight="1" spans="1:2">
      <c r="A4161" s="3" t="str">
        <f>IFERROR(__xludf.DUMMYFUNCTION("GOOGLETRANSLATE(A4161,""en"",""pt"")"),"ordenadamente")</f>
        <v>ordenadamente</v>
      </c>
      <c r="B4161" s="3">
        <v>1</v>
      </c>
    </row>
    <row r="4162" ht="15.75" customHeight="1" spans="1:2">
      <c r="A4162" s="3" t="str">
        <f>IFERROR(__xludf.DUMMYFUNCTION("GOOGLETRANSLATE(A4162,""en"",""pt"")"),"legais")</f>
        <v>legais</v>
      </c>
      <c r="B4162" s="3">
        <v>1</v>
      </c>
    </row>
    <row r="4163" ht="15.75" customHeight="1" spans="1:2">
      <c r="A4163" s="3" t="str">
        <f>IFERROR(__xludf.DUMMYFUNCTION("GOOGLETRANSLATE(A4163,""en"",""pt"")"),"agradável")</f>
        <v>agradável</v>
      </c>
      <c r="B4163" s="3">
        <v>1</v>
      </c>
    </row>
    <row r="4164" ht="15.75" customHeight="1" spans="1:2">
      <c r="A4164" s="3" t="str">
        <f>IFERROR(__xludf.DUMMYFUNCTION("GOOGLETRANSLATE(A4164,""en"",""pt"")"),"Agradável")</f>
        <v>Agradável</v>
      </c>
      <c r="B4164" s="3">
        <v>1</v>
      </c>
    </row>
    <row r="4165" ht="15.75" customHeight="1" spans="1:2">
      <c r="A4165" s="3" t="str">
        <f>IFERROR(__xludf.DUMMYFUNCTION("GOOGLETRANSLATE(A4165,""en"",""pt"")"),"mais agradável")</f>
        <v>mais agradável</v>
      </c>
      <c r="B4165" s="3">
        <v>1</v>
      </c>
    </row>
    <row r="4166" ht="15.75" customHeight="1" spans="1:2">
      <c r="A4166" s="3" t="str">
        <f>IFERROR(__xludf.DUMMYFUNCTION("GOOGLETRANSLATE(A4166,""en"",""pt"")"),"estiloso")</f>
        <v>estiloso</v>
      </c>
      <c r="B4166" s="3">
        <v>1</v>
      </c>
    </row>
    <row r="4167" ht="15.75" customHeight="1" spans="1:2">
      <c r="A4167" s="3" t="str">
        <f>IFERROR(__xludf.DUMMYFUNCTION("GOOGLETRANSLATE(A4167,""en"",""pt"")"),"ágil")</f>
        <v>ágil</v>
      </c>
      <c r="B4167" s="3">
        <v>1</v>
      </c>
    </row>
    <row r="4168" ht="15.75" customHeight="1" spans="1:2">
      <c r="A4168" s="3" t="str">
        <f>IFERROR(__xludf.DUMMYFUNCTION("GOOGLETRANSLATE(A4168,""en"",""pt"")"),"nobre")</f>
        <v>nobre</v>
      </c>
      <c r="B4168" s="3">
        <v>1</v>
      </c>
    </row>
    <row r="4169" ht="15.75" customHeight="1" spans="1:2">
      <c r="A4169" s="3" t="str">
        <f>IFERROR(__xludf.DUMMYFUNCTION("GOOGLETRANSLATE(A4169,""en"",""pt"")"),"nobremente")</f>
        <v>nobremente</v>
      </c>
      <c r="B4169" s="3">
        <v>1</v>
      </c>
    </row>
    <row r="4170" ht="15.75" customHeight="1" spans="1:2">
      <c r="A4170" s="3" t="str">
        <f>IFERROR(__xludf.DUMMYFUNCTION("GOOGLETRANSLATE(A4170,""en"",""pt"")"),"silencioso")</f>
        <v>silencioso</v>
      </c>
      <c r="B4170" s="3">
        <v>1</v>
      </c>
    </row>
    <row r="4171" ht="15.75" customHeight="1" spans="1:2">
      <c r="A4171" s="3" t="str">
        <f>IFERROR(__xludf.DUMMYFUNCTION("GOOGLETRANSLATE(A4171,""en"",""pt"")"),"não-violência")</f>
        <v>não-violência</v>
      </c>
      <c r="B4171" s="3">
        <v>1</v>
      </c>
    </row>
    <row r="4172" ht="15.75" customHeight="1" spans="1:2">
      <c r="A4172" s="3" t="str">
        <f>IFERROR(__xludf.DUMMYFUNCTION("GOOGLETRANSLATE(A4172,""en"",""pt"")"),"não-violento")</f>
        <v>não-violento</v>
      </c>
      <c r="B4172" s="3">
        <v>1</v>
      </c>
    </row>
    <row r="4173" ht="15.75" customHeight="1" spans="1:2">
      <c r="A4173" s="3" t="str">
        <f>IFERROR(__xludf.DUMMYFUNCTION("GOOGLETRANSLATE(A4173,""en"",""pt"")"),"notavelmente")</f>
        <v>notavelmente</v>
      </c>
      <c r="B4173" s="3">
        <v>1</v>
      </c>
    </row>
    <row r="4174" ht="15.75" customHeight="1" spans="1:2">
      <c r="A4174" s="3" t="str">
        <f>IFERROR(__xludf.DUMMYFUNCTION("GOOGLETRANSLATE(A4174,""en"",""pt"")"),"notável")</f>
        <v>notável</v>
      </c>
      <c r="B4174" s="3">
        <v>1</v>
      </c>
    </row>
    <row r="4175" ht="15.75" customHeight="1" spans="1:2">
      <c r="A4175" s="3" t="str">
        <f>IFERROR(__xludf.DUMMYFUNCTION("GOOGLETRANSLATE(A4175,""en"",""pt"")"),"nutrir")</f>
        <v>nutrir</v>
      </c>
      <c r="B4175" s="3">
        <v>1</v>
      </c>
    </row>
    <row r="4176" ht="15.75" customHeight="1" spans="1:2">
      <c r="A4176" s="3" t="str">
        <f>IFERROR(__xludf.DUMMYFUNCTION("GOOGLETRANSLATE(A4176,""en"",""pt"")"),"nutritivo")</f>
        <v>nutritivo</v>
      </c>
      <c r="B4176" s="3">
        <v>1</v>
      </c>
    </row>
    <row r="4177" ht="15.75" customHeight="1" spans="1:2">
      <c r="A4177" s="3" t="str">
        <f>IFERROR(__xludf.DUMMYFUNCTION("GOOGLETRANSLATE(A4177,""en"",""pt"")"),"nutrição")</f>
        <v>nutrição</v>
      </c>
      <c r="B4177" s="3">
        <v>1</v>
      </c>
    </row>
    <row r="4178" ht="15.75" customHeight="1" spans="1:2">
      <c r="A4178" s="3" t="str">
        <f>IFERROR(__xludf.DUMMYFUNCTION("GOOGLETRANSLATE(A4178,""en"",""pt"")"),"novidade")</f>
        <v>novidade</v>
      </c>
      <c r="B4178" s="3">
        <v>1</v>
      </c>
    </row>
    <row r="4179" ht="15.75" customHeight="1" spans="1:2">
      <c r="A4179" s="3" t="str">
        <f>IFERROR(__xludf.DUMMYFUNCTION("GOOGLETRANSLATE(A4179,""en"",""pt"")"),"carinho")</f>
        <v>carinho</v>
      </c>
      <c r="B4179" s="3">
        <v>1</v>
      </c>
    </row>
    <row r="4180" ht="15.75" customHeight="1" spans="1:2">
      <c r="A4180" s="3" t="str">
        <f>IFERROR(__xludf.DUMMYFUNCTION("GOOGLETRANSLATE(A4180,""en"",""pt"")"),"oásis")</f>
        <v>oásis</v>
      </c>
      <c r="B4180" s="3">
        <v>1</v>
      </c>
    </row>
    <row r="4181" ht="15.75" customHeight="1" spans="1:2">
      <c r="A4181" s="3" t="str">
        <f>IFERROR(__xludf.DUMMYFUNCTION("GOOGLETRANSLATE(A4181,""en"",""pt"")"),"obsessão")</f>
        <v>obsessão</v>
      </c>
      <c r="B4181" s="3">
        <v>1</v>
      </c>
    </row>
    <row r="4182" ht="15.75" customHeight="1" spans="1:2">
      <c r="A4182" s="3" t="str">
        <f>IFERROR(__xludf.DUMMYFUNCTION("GOOGLETRANSLATE(A4182,""en"",""pt"")"),"obsessões")</f>
        <v>obsessões</v>
      </c>
      <c r="B4182" s="3">
        <v>1</v>
      </c>
    </row>
    <row r="4183" ht="15.75" customHeight="1" spans="1:2">
      <c r="A4183" s="3" t="str">
        <f>IFERROR(__xludf.DUMMYFUNCTION("GOOGLETRANSLATE(A4183,""en"",""pt"")"),"alcançável")</f>
        <v>alcançável</v>
      </c>
      <c r="B4183" s="3">
        <v>1</v>
      </c>
    </row>
    <row r="4184" ht="15.75" customHeight="1" spans="1:2">
      <c r="A4184" s="3" t="str">
        <f>IFERROR(__xludf.DUMMYFUNCTION("GOOGLETRANSLATE(A4184,""en"",""pt"")"),"abertamente")</f>
        <v>abertamente</v>
      </c>
      <c r="B4184" s="3">
        <v>1</v>
      </c>
    </row>
    <row r="4185" ht="15.75" customHeight="1" spans="1:2">
      <c r="A4185" s="3" t="str">
        <f>IFERROR(__xludf.DUMMYFUNCTION("GOOGLETRANSLATE(A4185,""en"",""pt"")"),"abertura")</f>
        <v>abertura</v>
      </c>
      <c r="B4185" s="3">
        <v>1</v>
      </c>
    </row>
    <row r="4186" ht="15.75" customHeight="1" spans="1:2">
      <c r="A4186" s="3" t="str">
        <f>IFERROR(__xludf.DUMMYFUNCTION("GOOGLETRANSLATE(A4186,""en"",""pt"")"),"ótimo")</f>
        <v>ótimo</v>
      </c>
      <c r="B4186" s="3">
        <v>1</v>
      </c>
    </row>
    <row r="4187" ht="15.75" customHeight="1" spans="1:2">
      <c r="A4187" s="3" t="str">
        <f>IFERROR(__xludf.DUMMYFUNCTION("GOOGLETRANSLATE(A4187,""en"",""pt"")"),"otimismo")</f>
        <v>otimismo</v>
      </c>
      <c r="B4187" s="3">
        <v>1</v>
      </c>
    </row>
    <row r="4188" ht="15.75" customHeight="1" spans="1:2">
      <c r="A4188" s="3" t="str">
        <f>IFERROR(__xludf.DUMMYFUNCTION("GOOGLETRANSLATE(A4188,""en"",""pt"")"),"otimista")</f>
        <v>otimista</v>
      </c>
      <c r="B4188" s="3">
        <v>1</v>
      </c>
    </row>
    <row r="4189" ht="15.75" customHeight="1" spans="1:2">
      <c r="A4189" s="3" t="str">
        <f>IFERROR(__xludf.DUMMYFUNCTION("GOOGLETRANSLATE(A4189,""en"",""pt"")"),"opulento")</f>
        <v>opulento</v>
      </c>
      <c r="B4189" s="3">
        <v>1</v>
      </c>
    </row>
    <row r="4190" ht="15.75" customHeight="1" spans="1:2">
      <c r="A4190" s="3" t="str">
        <f>IFERROR(__xludf.DUMMYFUNCTION("GOOGLETRANSLATE(A4190,""en"",""pt"")"),"ordenadamente")</f>
        <v>ordenadamente</v>
      </c>
      <c r="B4190" s="3">
        <v>1</v>
      </c>
    </row>
    <row r="4191" ht="15.75" customHeight="1" spans="1:2">
      <c r="A4191" s="3" t="str">
        <f>IFERROR(__xludf.DUMMYFUNCTION("GOOGLETRANSLATE(A4191,""en"",""pt"")"),"originalidade")</f>
        <v>originalidade</v>
      </c>
      <c r="B4191" s="3">
        <v>1</v>
      </c>
    </row>
    <row r="4192" ht="15.75" customHeight="1" spans="1:2">
      <c r="A4192" s="3" t="str">
        <f>IFERROR(__xludf.DUMMYFUNCTION("GOOGLETRANSLATE(A4192,""en"",""pt"")"),"Outdo")</f>
        <v>Outdo</v>
      </c>
      <c r="B4192" s="3">
        <v>1</v>
      </c>
    </row>
    <row r="4193" ht="15.75" customHeight="1" spans="1:2">
      <c r="A4193" s="3" t="str">
        <f>IFERROR(__xludf.DUMMYFUNCTION("GOOGLETRANSLATE(A4193,""en"",""pt"")"),"superado")</f>
        <v>superado</v>
      </c>
      <c r="B4193" s="3">
        <v>1</v>
      </c>
    </row>
    <row r="4194" ht="15.75" customHeight="1" spans="1:2">
      <c r="A4194" s="3" t="str">
        <f>IFERROR(__xludf.DUMMYFUNCTION("GOOGLETRANSLATE(A4194,""en"",""pt"")"),"outperform")</f>
        <v>outperform</v>
      </c>
      <c r="B4194" s="3">
        <v>1</v>
      </c>
    </row>
    <row r="4195" ht="15.75" customHeight="1" spans="1:2">
      <c r="A4195" s="3" t="str">
        <f>IFERROR(__xludf.DUMMYFUNCTION("GOOGLETRANSLATE(A4195,""en"",""pt"")"),"superou")</f>
        <v>superou</v>
      </c>
      <c r="B4195" s="3">
        <v>1</v>
      </c>
    </row>
    <row r="4196" ht="15.75" customHeight="1" spans="1:2">
      <c r="A4196" s="3" t="str">
        <f>IFERROR(__xludf.DUMMYFUNCTION("GOOGLETRANSLATE(A4196,""en"",""pt"")"),"Outperforming")</f>
        <v>Outperforming</v>
      </c>
      <c r="B4196" s="3">
        <v>1</v>
      </c>
    </row>
    <row r="4197" ht="15.75" customHeight="1" spans="1:2">
      <c r="A4197" s="3" t="str">
        <f>IFERROR(__xludf.DUMMYFUNCTION("GOOGLETRANSLATE(A4197,""en"",""pt"")"),"Supera")</f>
        <v>Supera</v>
      </c>
      <c r="B4197" s="3">
        <v>1</v>
      </c>
    </row>
    <row r="4198" ht="15.75" customHeight="1" spans="1:2">
      <c r="A4198" s="3" t="str">
        <f>IFERROR(__xludf.DUMMYFUNCTION("GOOGLETRANSLATE(A4198,""en"",""pt"")"),"ofuscar")</f>
        <v>ofuscar</v>
      </c>
      <c r="B4198" s="3">
        <v>1</v>
      </c>
    </row>
    <row r="4199" ht="15.75" customHeight="1" spans="1:2">
      <c r="A4199" s="3" t="str">
        <f>IFERROR(__xludf.DUMMYFUNCTION("GOOGLETRANSLATE(A4199,""en"",""pt"")"),"ofuscado")</f>
        <v>ofuscado</v>
      </c>
      <c r="B4199" s="3">
        <v>1</v>
      </c>
    </row>
    <row r="4200" ht="15.75" customHeight="1" spans="1:2">
      <c r="A4200" s="3" t="str">
        <f>IFERROR(__xludf.DUMMYFUNCTION("GOOGLETRANSLATE(A4200,""en"",""pt"")"),"outsmart")</f>
        <v>outsmart</v>
      </c>
      <c r="B4200" s="3">
        <v>1</v>
      </c>
    </row>
    <row r="4201" ht="15.75" customHeight="1" spans="1:2">
      <c r="A4201" s="3" t="str">
        <f>IFERROR(__xludf.DUMMYFUNCTION("GOOGLETRANSLATE(A4201,""en"",""pt"")"),"excepcional")</f>
        <v>excepcional</v>
      </c>
      <c r="B4201" s="3">
        <v>1</v>
      </c>
    </row>
    <row r="4202" ht="15.75" customHeight="1" spans="1:2">
      <c r="A4202" s="3" t="str">
        <f>IFERROR(__xludf.DUMMYFUNCTION("GOOGLETRANSLATE(A4202,""en"",""pt"")"),"extraordinariamente")</f>
        <v>extraordinariamente</v>
      </c>
      <c r="B4202" s="3">
        <v>1</v>
      </c>
    </row>
    <row r="4203" ht="15.75" customHeight="1" spans="1:2">
      <c r="A4203" s="3" t="str">
        <f>IFERROR(__xludf.DUMMYFUNCTION("GOOGLETRANSLATE(A4203,""en"",""pt"")"),"outstrip")</f>
        <v>outstrip</v>
      </c>
      <c r="B4203" s="3">
        <v>1</v>
      </c>
    </row>
    <row r="4204" ht="15.75" customHeight="1" spans="1:2">
      <c r="A4204" s="3" t="str">
        <f>IFERROR(__xludf.DUMMYFUNCTION("GOOGLETRANSLATE(A4204,""en"",""pt"")"),"outwit")</f>
        <v>outwit</v>
      </c>
      <c r="B4204" s="3">
        <v>1</v>
      </c>
    </row>
    <row r="4205" ht="15.75" customHeight="1" spans="1:2">
      <c r="A4205" s="3" t="str">
        <f>IFERROR(__xludf.DUMMYFUNCTION("GOOGLETRANSLATE(A4205,""en"",""pt"")"),"ovação")</f>
        <v>ovação</v>
      </c>
      <c r="B4205" s="3">
        <v>1</v>
      </c>
    </row>
    <row r="4206" ht="15.75" customHeight="1" spans="1:2">
      <c r="A4206" s="3" t="str">
        <f>IFERROR(__xludf.DUMMYFUNCTION("GOOGLETRANSLATE(A4206,""en"",""pt"")"),"radiante")</f>
        <v>radiante</v>
      </c>
      <c r="B4206" s="3">
        <v>1</v>
      </c>
    </row>
    <row r="4207" ht="15.75" customHeight="1" spans="1:2">
      <c r="A4207" s="3" t="str">
        <f>IFERROR(__xludf.DUMMYFUNCTION("GOOGLETRANSLATE(A4207,""en"",""pt"")"),"ultrapassar")</f>
        <v>ultrapassar</v>
      </c>
      <c r="B4207" s="3">
        <v>1</v>
      </c>
    </row>
    <row r="4208" ht="15.75" customHeight="1" spans="1:2">
      <c r="A4208" s="3" t="str">
        <f>IFERROR(__xludf.DUMMYFUNCTION("GOOGLETRANSLATE(A4208,""en"",""pt"")"),"ultrapassado")</f>
        <v>ultrapassado</v>
      </c>
      <c r="B4208" s="3">
        <v>1</v>
      </c>
    </row>
    <row r="4209" ht="15.75" customHeight="1" spans="1:2">
      <c r="A4209" s="3" t="str">
        <f>IFERROR(__xludf.DUMMYFUNCTION("GOOGLETRANSLATE(A4209,""en"",""pt"")"),"ultrapassagens")</f>
        <v>ultrapassagens</v>
      </c>
      <c r="B4209" s="3">
        <v>1</v>
      </c>
    </row>
    <row r="4210" ht="15.75" customHeight="1" spans="1:2">
      <c r="A4210" s="3" t="str">
        <f>IFERROR(__xludf.DUMMYFUNCTION("GOOGLETRANSLATE(A4210,""en"",""pt"")"),"ultrapassando")</f>
        <v>ultrapassando</v>
      </c>
      <c r="B4210" s="3">
        <v>1</v>
      </c>
    </row>
    <row r="4211" ht="15.75" customHeight="1" spans="1:2">
      <c r="A4211" s="3" t="str">
        <f>IFERROR(__xludf.DUMMYFUNCTION("GOOGLETRANSLATE(A4211,""en"",""pt"")"),"ultrapassou")</f>
        <v>ultrapassou</v>
      </c>
      <c r="B4211" s="3">
        <v>1</v>
      </c>
    </row>
    <row r="4212" ht="15.75" customHeight="1" spans="1:2">
      <c r="A4212" s="3" t="str">
        <f>IFERROR(__xludf.DUMMYFUNCTION("GOOGLETRANSLATE(A4212,""en"",""pt"")"),"abertura")</f>
        <v>abertura</v>
      </c>
      <c r="B4212" s="3">
        <v>1</v>
      </c>
    </row>
    <row r="4213" ht="15.75" customHeight="1" spans="1:2">
      <c r="A4213" s="3" t="str">
        <f>IFERROR(__xludf.DUMMYFUNCTION("GOOGLETRANSLATE(A4213,""en"",""pt"")"),"indolor")</f>
        <v>indolor</v>
      </c>
      <c r="B4213" s="3">
        <v>1</v>
      </c>
    </row>
    <row r="4214" ht="15.75" customHeight="1" spans="1:2">
      <c r="A4214" s="3" t="str">
        <f>IFERROR(__xludf.DUMMYFUNCTION("GOOGLETRANSLATE(A4214,""en"",""pt"")"),"sem dor")</f>
        <v>sem dor</v>
      </c>
      <c r="B4214" s="3">
        <v>1</v>
      </c>
    </row>
    <row r="4215" ht="15.75" customHeight="1" spans="1:2">
      <c r="A4215" s="3" t="str">
        <f>IFERROR(__xludf.DUMMYFUNCTION("GOOGLETRANSLATE(A4215,""en"",""pt"")"),"indolor")</f>
        <v>indolor</v>
      </c>
      <c r="B4215" s="3">
        <v>1</v>
      </c>
    </row>
    <row r="4216" ht="15.75" customHeight="1" spans="1:2">
      <c r="A4216" s="3" t="str">
        <f>IFERROR(__xludf.DUMMYFUNCTION("GOOGLETRANSLATE(A4216,""en"",""pt"")"),"suntuoso")</f>
        <v>suntuoso</v>
      </c>
      <c r="B4216" s="3">
        <v>1</v>
      </c>
    </row>
    <row r="4217" ht="15.75" customHeight="1" spans="1:2">
      <c r="A4217" s="3" t="str">
        <f>IFERROR(__xludf.DUMMYFUNCTION("GOOGLETRANSLATE(A4217,""en"",""pt"")"),"mimar")</f>
        <v>mimar</v>
      </c>
      <c r="B4217" s="3">
        <v>1</v>
      </c>
    </row>
    <row r="4218" ht="15.75" customHeight="1" spans="1:2">
      <c r="A4218" s="3" t="str">
        <f>IFERROR(__xludf.DUMMYFUNCTION("GOOGLETRANSLATE(A4218,""en"",""pt"")"),"mimado")</f>
        <v>mimado</v>
      </c>
      <c r="B4218" s="3">
        <v>1</v>
      </c>
    </row>
    <row r="4219" ht="15.75" customHeight="1" spans="1:2">
      <c r="A4219" s="3" t="str">
        <f>IFERROR(__xludf.DUMMYFUNCTION("GOOGLETRANSLATE(A4219,""en"",""pt"")"),"pamperedly")</f>
        <v>pamperedly</v>
      </c>
      <c r="B4219" s="3">
        <v>1</v>
      </c>
    </row>
    <row r="4220" ht="15.75" customHeight="1" spans="1:2">
      <c r="A4220" s="3" t="str">
        <f>IFERROR(__xludf.DUMMYFUNCTION("GOOGLETRANSLATE(A4220,""en"",""pt"")"),"pamperedness")</f>
        <v>pamperedness</v>
      </c>
      <c r="B4220" s="3">
        <v>1</v>
      </c>
    </row>
    <row r="4221" ht="15.75" customHeight="1" spans="1:2">
      <c r="A4221" s="3" t="str">
        <f>IFERROR(__xludf.DUMMYFUNCTION("GOOGLETRANSLATE(A4221,""en"",""pt"")"),"Pampers")</f>
        <v>Pampers</v>
      </c>
      <c r="B4221" s="3">
        <v>1</v>
      </c>
    </row>
    <row r="4222" ht="15.75" customHeight="1" spans="1:2">
      <c r="A4222" s="3" t="str">
        <f>IFERROR(__xludf.DUMMYFUNCTION("GOOGLETRANSLATE(A4222,""en"",""pt"")"),"panorâmico")</f>
        <v>panorâmico</v>
      </c>
      <c r="B4222" s="3">
        <v>1</v>
      </c>
    </row>
    <row r="4223" ht="15.75" customHeight="1" spans="1:2">
      <c r="A4223" s="3" t="str">
        <f>IFERROR(__xludf.DUMMYFUNCTION("GOOGLETRANSLATE(A4223,""en"",""pt"")"),"paraíso")</f>
        <v>paraíso</v>
      </c>
      <c r="B4223" s="3">
        <v>1</v>
      </c>
    </row>
    <row r="4224" ht="15.75" customHeight="1" spans="1:2">
      <c r="A4224" s="3" t="str">
        <f>IFERROR(__xludf.DUMMYFUNCTION("GOOGLETRANSLATE(A4224,""en"",""pt"")"),"supremo")</f>
        <v>supremo</v>
      </c>
      <c r="B4224" s="3">
        <v>1</v>
      </c>
    </row>
    <row r="4225" ht="15.75" customHeight="1" spans="1:2">
      <c r="A4225" s="3" t="str">
        <f>IFERROR(__xludf.DUMMYFUNCTION("GOOGLETRANSLATE(A4225,""en"",""pt"")"),"perdão")</f>
        <v>perdão</v>
      </c>
      <c r="B4225" s="3">
        <v>1</v>
      </c>
    </row>
    <row r="4226" ht="15.75" customHeight="1" spans="1:2">
      <c r="A4226" s="3" t="str">
        <f>IFERROR(__xludf.DUMMYFUNCTION("GOOGLETRANSLATE(A4226,""en"",""pt"")"),"paixão")</f>
        <v>paixão</v>
      </c>
      <c r="B4226" s="3">
        <v>1</v>
      </c>
    </row>
    <row r="4227" ht="15.75" customHeight="1" spans="1:2">
      <c r="A4227" s="3" t="str">
        <f>IFERROR(__xludf.DUMMYFUNCTION("GOOGLETRANSLATE(A4227,""en"",""pt"")"),"apaixonado")</f>
        <v>apaixonado</v>
      </c>
      <c r="B4227" s="3">
        <v>1</v>
      </c>
    </row>
    <row r="4228" ht="15.75" customHeight="1" spans="1:2">
      <c r="A4228" s="3" t="str">
        <f>IFERROR(__xludf.DUMMYFUNCTION("GOOGLETRANSLATE(A4228,""en"",""pt"")"),"apaixonadamente")</f>
        <v>apaixonadamente</v>
      </c>
      <c r="B4228" s="3">
        <v>1</v>
      </c>
    </row>
    <row r="4229" ht="15.75" customHeight="1" spans="1:2">
      <c r="A4229" s="3" t="str">
        <f>IFERROR(__xludf.DUMMYFUNCTION("GOOGLETRANSLATE(A4229,""en"",""pt"")"),"paciência")</f>
        <v>paciência</v>
      </c>
      <c r="B4229" s="3">
        <v>1</v>
      </c>
    </row>
    <row r="4230" ht="15.75" customHeight="1" spans="1:2">
      <c r="A4230" s="3" t="str">
        <f>IFERROR(__xludf.DUMMYFUNCTION("GOOGLETRANSLATE(A4230,""en"",""pt"")"),"paciente")</f>
        <v>paciente</v>
      </c>
      <c r="B4230" s="3">
        <v>1</v>
      </c>
    </row>
    <row r="4231" ht="15.75" customHeight="1" spans="1:2">
      <c r="A4231" s="3" t="str">
        <f>IFERROR(__xludf.DUMMYFUNCTION("GOOGLETRANSLATE(A4231,""en"",""pt"")"),"pacientemente")</f>
        <v>pacientemente</v>
      </c>
      <c r="B4231" s="3">
        <v>1</v>
      </c>
    </row>
    <row r="4232" ht="15.75" customHeight="1" spans="1:2">
      <c r="A4232" s="3" t="str">
        <f>IFERROR(__xludf.DUMMYFUNCTION("GOOGLETRANSLATE(A4232,""en"",""pt"")"),"patriota")</f>
        <v>patriota</v>
      </c>
      <c r="B4232" s="3">
        <v>1</v>
      </c>
    </row>
    <row r="4233" ht="15.75" customHeight="1" spans="1:2">
      <c r="A4233" s="3" t="str">
        <f>IFERROR(__xludf.DUMMYFUNCTION("GOOGLETRANSLATE(A4233,""en"",""pt"")"),"patriótico")</f>
        <v>patriótico</v>
      </c>
      <c r="B4233" s="3">
        <v>1</v>
      </c>
    </row>
    <row r="4234" ht="15.75" customHeight="1" spans="1:2">
      <c r="A4234" s="3" t="str">
        <f>IFERROR(__xludf.DUMMYFUNCTION("GOOGLETRANSLATE(A4234,""en"",""pt"")"),"Paz")</f>
        <v>Paz</v>
      </c>
      <c r="B4234" s="3">
        <v>1</v>
      </c>
    </row>
    <row r="4235" ht="15.75" customHeight="1" spans="1:2">
      <c r="A4235" s="3" t="str">
        <f>IFERROR(__xludf.DUMMYFUNCTION("GOOGLETRANSLATE(A4235,""en"",""pt"")"),"pacífico")</f>
        <v>pacífico</v>
      </c>
      <c r="B4235" s="3">
        <v>1</v>
      </c>
    </row>
    <row r="4236" ht="15.75" customHeight="1" spans="1:2">
      <c r="A4236" s="3" t="str">
        <f>IFERROR(__xludf.DUMMYFUNCTION("GOOGLETRANSLATE(A4236,""en"",""pt"")"),"pacífico")</f>
        <v>pacífico</v>
      </c>
      <c r="B4236" s="3">
        <v>1</v>
      </c>
    </row>
    <row r="4237" ht="15.75" customHeight="1" spans="1:2">
      <c r="A4237" s="3" t="str">
        <f>IFERROR(__xludf.DUMMYFUNCTION("GOOGLETRANSLATE(A4237,""en"",""pt"")"),"pacificamente")</f>
        <v>pacificamente</v>
      </c>
      <c r="B4237" s="3">
        <v>1</v>
      </c>
    </row>
    <row r="4238" ht="15.75" customHeight="1" spans="1:2">
      <c r="A4238" s="3" t="str">
        <f>IFERROR(__xludf.DUMMYFUNCTION("GOOGLETRANSLATE(A4238,""en"",""pt"")"),"peacekeepers")</f>
        <v>peacekeepers</v>
      </c>
      <c r="B4238" s="3">
        <v>1</v>
      </c>
    </row>
    <row r="4239" ht="15.75" customHeight="1" spans="1:2">
      <c r="A4239" s="3" t="str">
        <f>IFERROR(__xludf.DUMMYFUNCTION("GOOGLETRANSLATE(A4239,""en"",""pt"")"),"pêssego")</f>
        <v>pêssego</v>
      </c>
      <c r="B4239" s="3">
        <v>1</v>
      </c>
    </row>
    <row r="4240" ht="15.75" customHeight="1" spans="1:2">
      <c r="A4240" s="3" t="str">
        <f>IFERROR(__xludf.DUMMYFUNCTION("GOOGLETRANSLATE(A4240,""en"",""pt"")"),"inigualável")</f>
        <v>inigualável</v>
      </c>
      <c r="B4240" s="3">
        <v>1</v>
      </c>
    </row>
    <row r="4241" ht="15.75" customHeight="1" spans="1:2">
      <c r="A4241" s="3" t="str">
        <f>IFERROR(__xludf.DUMMYFUNCTION("GOOGLETRANSLATE(A4241,""en"",""pt"")"),"animar")</f>
        <v>animar</v>
      </c>
      <c r="B4241" s="3">
        <v>1</v>
      </c>
    </row>
    <row r="4242" ht="15.75" customHeight="1" spans="1:2">
      <c r="A4242" s="3" t="str">
        <f>IFERROR(__xludf.DUMMYFUNCTION("GOOGLETRANSLATE(A4242,""en"",""pt"")"),"pepped")</f>
        <v>pepped</v>
      </c>
      <c r="B4242" s="3">
        <v>1</v>
      </c>
    </row>
    <row r="4243" ht="15.75" customHeight="1" spans="1:2">
      <c r="A4243" s="3" t="str">
        <f>IFERROR(__xludf.DUMMYFUNCTION("GOOGLETRANSLATE(A4243,""en"",""pt"")"),"Pepping")</f>
        <v>Pepping</v>
      </c>
      <c r="B4243" s="3">
        <v>1</v>
      </c>
    </row>
    <row r="4244" ht="15.75" customHeight="1" spans="1:2">
      <c r="A4244" s="3" t="str">
        <f>IFERROR(__xludf.DUMMYFUNCTION("GOOGLETRANSLATE(A4244,""en"",""pt"")"),"enérgico")</f>
        <v>enérgico</v>
      </c>
      <c r="B4244" s="3">
        <v>1</v>
      </c>
    </row>
    <row r="4245" ht="15.75" customHeight="1" spans="1:2">
      <c r="A4245" s="3" t="str">
        <f>IFERROR(__xludf.DUMMYFUNCTION("GOOGLETRANSLATE(A4245,""en"",""pt"")"),"peps")</f>
        <v>peps</v>
      </c>
      <c r="B4245" s="3">
        <v>1</v>
      </c>
    </row>
    <row r="4246" ht="15.75" customHeight="1" spans="1:2">
      <c r="A4246" s="3" t="str">
        <f>IFERROR(__xludf.DUMMYFUNCTION("GOOGLETRANSLATE(A4246,""en"",""pt"")"),"perfeito")</f>
        <v>perfeito</v>
      </c>
      <c r="B4246" s="3">
        <v>1</v>
      </c>
    </row>
    <row r="4247" ht="15.75" customHeight="1" spans="1:2">
      <c r="A4247" s="3" t="str">
        <f>IFERROR(__xludf.DUMMYFUNCTION("GOOGLETRANSLATE(A4247,""en"",""pt"")"),"perfeição")</f>
        <v>perfeição</v>
      </c>
      <c r="B4247" s="3">
        <v>1</v>
      </c>
    </row>
    <row r="4248" ht="15.75" customHeight="1" spans="1:2">
      <c r="A4248" s="3" t="str">
        <f>IFERROR(__xludf.DUMMYFUNCTION("GOOGLETRANSLATE(A4248,""en"",""pt"")"),"perfeitamente")</f>
        <v>perfeitamente</v>
      </c>
      <c r="B4248" s="3">
        <v>1</v>
      </c>
    </row>
    <row r="4249" ht="15.75" customHeight="1" spans="1:2">
      <c r="A4249" s="3" t="str">
        <f>IFERROR(__xludf.DUMMYFUNCTION("GOOGLETRANSLATE(A4249,""en"",""pt"")"),"permitida")</f>
        <v>permitida</v>
      </c>
      <c r="B4249" s="3">
        <v>1</v>
      </c>
    </row>
    <row r="4250" ht="15.75" customHeight="1" spans="1:2">
      <c r="A4250" s="3" t="str">
        <f>IFERROR(__xludf.DUMMYFUNCTION("GOOGLETRANSLATE(A4250,""en"",""pt"")"),"perseverança")</f>
        <v>perseverança</v>
      </c>
      <c r="B4250" s="3">
        <v>1</v>
      </c>
    </row>
    <row r="4251" ht="15.75" customHeight="1" spans="1:2">
      <c r="A4251" s="3" t="str">
        <f>IFERROR(__xludf.DUMMYFUNCTION("GOOGLETRANSLATE(A4251,""en"",""pt"")"),"perseverar")</f>
        <v>perseverar</v>
      </c>
      <c r="B4251" s="3">
        <v>1</v>
      </c>
    </row>
    <row r="4252" ht="15.75" customHeight="1" spans="1:2">
      <c r="A4252" s="3" t="str">
        <f>IFERROR(__xludf.DUMMYFUNCTION("GOOGLETRANSLATE(A4252,""en"",""pt"")"),"personagens")</f>
        <v>personagens</v>
      </c>
      <c r="B4252" s="3">
        <v>1</v>
      </c>
    </row>
    <row r="4253" ht="15.75" customHeight="1" spans="1:2">
      <c r="A4253" s="3" t="str">
        <f>IFERROR(__xludf.DUMMYFUNCTION("GOOGLETRANSLATE(A4253,""en"",""pt"")"),"personalizado")</f>
        <v>personalizado</v>
      </c>
      <c r="B4253" s="3">
        <v>1</v>
      </c>
    </row>
    <row r="4254" ht="15.75" customHeight="1" spans="1:2">
      <c r="A4254" s="3" t="str">
        <f>IFERROR(__xludf.DUMMYFUNCTION("GOOGLETRANSLATE(A4254,""en"",""pt"")"),"fenomenal")</f>
        <v>fenomenal</v>
      </c>
      <c r="B4254" s="3">
        <v>1</v>
      </c>
    </row>
    <row r="4255" ht="15.75" customHeight="1" spans="1:2">
      <c r="A4255" s="3" t="str">
        <f>IFERROR(__xludf.DUMMYFUNCTION("GOOGLETRANSLATE(A4255,""en"",""pt"")"),"fenomenalmente")</f>
        <v>fenomenalmente</v>
      </c>
      <c r="B4255" s="3">
        <v>1</v>
      </c>
    </row>
    <row r="4256" ht="15.75" customHeight="1" spans="1:2">
      <c r="A4256" s="3" t="str">
        <f>IFERROR(__xludf.DUMMYFUNCTION("GOOGLETRANSLATE(A4256,""en"",""pt"")"),"pitoresco")</f>
        <v>pitoresco</v>
      </c>
      <c r="B4256" s="3">
        <v>1</v>
      </c>
    </row>
    <row r="4257" ht="15.75" customHeight="1" spans="1:2">
      <c r="A4257" s="3" t="str">
        <f>IFERROR(__xludf.DUMMYFUNCTION("GOOGLETRANSLATE(A4257,""en"",""pt"")"),"piedade")</f>
        <v>piedade</v>
      </c>
      <c r="B4257" s="3">
        <v>1</v>
      </c>
    </row>
    <row r="4258" ht="15.75" customHeight="1" spans="1:2">
      <c r="A4258" s="3" t="str">
        <f>IFERROR(__xludf.DUMMYFUNCTION("GOOGLETRANSLATE(A4258,""en"",""pt"")"),"pináculo")</f>
        <v>pináculo</v>
      </c>
      <c r="B4258" s="3">
        <v>1</v>
      </c>
    </row>
    <row r="4259" ht="15.75" customHeight="1" spans="1:2">
      <c r="A4259" s="3" t="str">
        <f>IFERROR(__xludf.DUMMYFUNCTION("GOOGLETRANSLATE(A4259,""en"",""pt"")"),"brincalhão")</f>
        <v>brincalhão</v>
      </c>
      <c r="B4259" s="3">
        <v>1</v>
      </c>
    </row>
    <row r="4260" ht="15.75" customHeight="1" spans="1:2">
      <c r="A4260" s="3" t="str">
        <f>IFERROR(__xludf.DUMMYFUNCTION("GOOGLETRANSLATE(A4260,""en"",""pt"")"),"brincadeira")</f>
        <v>brincadeira</v>
      </c>
      <c r="B4260" s="3">
        <v>1</v>
      </c>
    </row>
    <row r="4261" ht="15.75" customHeight="1" spans="1:2">
      <c r="A4261" s="3" t="str">
        <f>IFERROR(__xludf.DUMMYFUNCTION("GOOGLETRANSLATE(A4261,""en"",""pt"")"),"agradável")</f>
        <v>agradável</v>
      </c>
      <c r="B4261" s="3">
        <v>1</v>
      </c>
    </row>
    <row r="4262" ht="15.75" customHeight="1" spans="1:2">
      <c r="A4262" s="3" t="str">
        <f>IFERROR(__xludf.DUMMYFUNCTION("GOOGLETRANSLATE(A4262,""en"",""pt"")"),"agradavelmente")</f>
        <v>agradavelmente</v>
      </c>
      <c r="B4262" s="3">
        <v>1</v>
      </c>
    </row>
    <row r="4263" ht="15.75" customHeight="1" spans="1:2">
      <c r="A4263" s="3" t="str">
        <f>IFERROR(__xludf.DUMMYFUNCTION("GOOGLETRANSLATE(A4263,""en"",""pt"")"),"satisfeito")</f>
        <v>satisfeito</v>
      </c>
      <c r="B4263" s="3">
        <v>1</v>
      </c>
    </row>
    <row r="4264" ht="15.75" customHeight="1" spans="1:2">
      <c r="A4264" s="3" t="str">
        <f>IFERROR(__xludf.DUMMYFUNCTION("GOOGLETRANSLATE(A4264,""en"",""pt"")"),"agrada")</f>
        <v>agrada</v>
      </c>
      <c r="B4264" s="3">
        <v>1</v>
      </c>
    </row>
    <row r="4265" ht="15.75" customHeight="1" spans="1:2">
      <c r="A4265" s="3" t="str">
        <f>IFERROR(__xludf.DUMMYFUNCTION("GOOGLETRANSLATE(A4265,""en"",""pt"")"),"agradável")</f>
        <v>agradável</v>
      </c>
      <c r="B4265" s="3">
        <v>1</v>
      </c>
    </row>
    <row r="4266" ht="15.75" customHeight="1" spans="1:2">
      <c r="A4266" s="3" t="str">
        <f>IFERROR(__xludf.DUMMYFUNCTION("GOOGLETRANSLATE(A4266,""en"",""pt"")"),"agradavelmente")</f>
        <v>agradavelmente</v>
      </c>
      <c r="B4266" s="3">
        <v>1</v>
      </c>
    </row>
    <row r="4267" ht="15.75" customHeight="1" spans="1:2">
      <c r="A4267" s="3" t="str">
        <f>IFERROR(__xludf.DUMMYFUNCTION("GOOGLETRANSLATE(A4267,""en"",""pt"")"),"agradável")</f>
        <v>agradável</v>
      </c>
      <c r="B4267" s="3">
        <v>1</v>
      </c>
    </row>
    <row r="4268" ht="15.75" customHeight="1" spans="1:2">
      <c r="A4268" s="3" t="str">
        <f>IFERROR(__xludf.DUMMYFUNCTION("GOOGLETRANSLATE(A4268,""en"",""pt"")"),"pleasurably")</f>
        <v>pleasurably</v>
      </c>
      <c r="B4268" s="3">
        <v>1</v>
      </c>
    </row>
    <row r="4269" ht="15.75" customHeight="1" spans="1:2">
      <c r="A4269" s="3" t="str">
        <f>IFERROR(__xludf.DUMMYFUNCTION("GOOGLETRANSLATE(A4269,""en"",""pt"")"),"prazer")</f>
        <v>prazer</v>
      </c>
      <c r="B4269" s="3">
        <v>1</v>
      </c>
    </row>
    <row r="4270" ht="15.75" customHeight="1" spans="1:2">
      <c r="A4270" s="3" t="str">
        <f>IFERROR(__xludf.DUMMYFUNCTION("GOOGLETRANSLATE(A4270,""en"",""pt"")"),"abundante")</f>
        <v>abundante</v>
      </c>
      <c r="B4270" s="3">
        <v>1</v>
      </c>
    </row>
    <row r="4271" ht="15.75" customHeight="1" spans="1:2">
      <c r="A4271" s="3" t="str">
        <f>IFERROR(__xludf.DUMMYFUNCTION("GOOGLETRANSLATE(A4271,""en"",""pt"")"),"vantagens")</f>
        <v>vantagens</v>
      </c>
      <c r="B4271" s="3">
        <v>1</v>
      </c>
    </row>
    <row r="4272" ht="15.75" customHeight="1" spans="1:2">
      <c r="A4272" s="3" t="str">
        <f>IFERROR(__xludf.DUMMYFUNCTION("GOOGLETRANSLATE(A4272,""en"",""pt"")"),"pelúcia")</f>
        <v>pelúcia</v>
      </c>
      <c r="B4272" s="3">
        <v>1</v>
      </c>
    </row>
    <row r="4273" ht="15.75" customHeight="1" spans="1:2">
      <c r="A4273" s="3" t="str">
        <f>IFERROR(__xludf.DUMMYFUNCTION("GOOGLETRANSLATE(A4273,""en"",""pt"")"),"plusses")</f>
        <v>plusses</v>
      </c>
      <c r="B4273" s="3">
        <v>1</v>
      </c>
    </row>
    <row r="4274" ht="15.75" customHeight="1" spans="1:2">
      <c r="A4274" s="3" t="str">
        <f>IFERROR(__xludf.DUMMYFUNCTION("GOOGLETRANSLATE(A4274,""en"",""pt"")"),"poético")</f>
        <v>poético</v>
      </c>
      <c r="B4274" s="3">
        <v>1</v>
      </c>
    </row>
    <row r="4275" ht="15.75" customHeight="1" spans="1:2">
      <c r="A4275" s="3" t="str">
        <f>IFERROR(__xludf.DUMMYFUNCTION("GOOGLETRANSLATE(A4275,""en"",""pt"")"),"poetizar")</f>
        <v>poetizar</v>
      </c>
      <c r="B4275" s="3">
        <v>1</v>
      </c>
    </row>
    <row r="4276" ht="15.75" customHeight="1" spans="1:2">
      <c r="A4276" s="3" t="str">
        <f>IFERROR(__xludf.DUMMYFUNCTION("GOOGLETRANSLATE(A4276,""en"",""pt"")"),"pungente")</f>
        <v>pungente</v>
      </c>
      <c r="B4276" s="3">
        <v>1</v>
      </c>
    </row>
    <row r="4277" ht="15.75" customHeight="1" spans="1:2">
      <c r="A4277" s="3" t="str">
        <f>IFERROR(__xludf.DUMMYFUNCTION("GOOGLETRANSLATE(A4277,""en"",""pt"")"),"equilíbrio")</f>
        <v>equilíbrio</v>
      </c>
      <c r="B4277" s="3">
        <v>1</v>
      </c>
    </row>
    <row r="4278" ht="15.75" customHeight="1" spans="1:2">
      <c r="A4278" s="3" t="str">
        <f>IFERROR(__xludf.DUMMYFUNCTION("GOOGLETRANSLATE(A4278,""en"",""pt"")"),"pronta")</f>
        <v>pronta</v>
      </c>
      <c r="B4278" s="3">
        <v>1</v>
      </c>
    </row>
    <row r="4279" ht="15.75" customHeight="1" spans="1:2">
      <c r="A4279" s="3" t="str">
        <f>IFERROR(__xludf.DUMMYFUNCTION("GOOGLETRANSLATE(A4279,""en"",""pt"")"),"polido")</f>
        <v>polido</v>
      </c>
      <c r="B4279" s="3">
        <v>1</v>
      </c>
    </row>
    <row r="4280" ht="15.75" customHeight="1" spans="1:2">
      <c r="A4280" s="3" t="str">
        <f>IFERROR(__xludf.DUMMYFUNCTION("GOOGLETRANSLATE(A4280,""en"",""pt"")"),"educado")</f>
        <v>educado</v>
      </c>
      <c r="B4280" s="3">
        <v>1</v>
      </c>
    </row>
    <row r="4281" ht="15.75" customHeight="1" spans="1:2">
      <c r="A4281" s="3" t="str">
        <f>IFERROR(__xludf.DUMMYFUNCTION("GOOGLETRANSLATE(A4281,""en"",""pt"")"),"polidez")</f>
        <v>polidez</v>
      </c>
      <c r="B4281" s="3">
        <v>1</v>
      </c>
    </row>
    <row r="4282" ht="15.75" customHeight="1" spans="1:2">
      <c r="A4282" s="3" t="str">
        <f>IFERROR(__xludf.DUMMYFUNCTION("GOOGLETRANSLATE(A4282,""en"",""pt"")"),"popular")</f>
        <v>popular</v>
      </c>
      <c r="B4282" s="3">
        <v>1</v>
      </c>
    </row>
    <row r="4283" ht="15.75" customHeight="1" spans="1:2">
      <c r="A4283" s="3" t="str">
        <f>IFERROR(__xludf.DUMMYFUNCTION("GOOGLETRANSLATE(A4283,""en"",""pt"")"),"portátil")</f>
        <v>portátil</v>
      </c>
      <c r="B4283" s="3">
        <v>1</v>
      </c>
    </row>
    <row r="4284" ht="15.75" customHeight="1" spans="1:2">
      <c r="A4284" s="3" t="str">
        <f>IFERROR(__xludf.DUMMYFUNCTION("GOOGLETRANSLATE(A4284,""en"",""pt"")"),"elegante")</f>
        <v>elegante</v>
      </c>
      <c r="B4284" s="3">
        <v>1</v>
      </c>
    </row>
    <row r="4285" ht="15.75" customHeight="1" spans="1:2">
      <c r="A4285" s="3" t="str">
        <f>IFERROR(__xludf.DUMMYFUNCTION("GOOGLETRANSLATE(A4285,""en"",""pt"")"),"positivo")</f>
        <v>positivo</v>
      </c>
      <c r="B4285" s="3">
        <v>1</v>
      </c>
    </row>
    <row r="4286" ht="15.75" customHeight="1" spans="1:2">
      <c r="A4286" s="3" t="str">
        <f>IFERROR(__xludf.DUMMYFUNCTION("GOOGLETRANSLATE(A4286,""en"",""pt"")"),"positivamente")</f>
        <v>positivamente</v>
      </c>
      <c r="B4286" s="3">
        <v>1</v>
      </c>
    </row>
    <row r="4287" ht="15.75" customHeight="1" spans="1:2">
      <c r="A4287" s="3" t="str">
        <f>IFERROR(__xludf.DUMMYFUNCTION("GOOGLETRANSLATE(A4287,""en"",""pt"")"),"positivos")</f>
        <v>positivos</v>
      </c>
      <c r="B4287" s="3">
        <v>1</v>
      </c>
    </row>
    <row r="4288" ht="15.75" customHeight="1" spans="1:2">
      <c r="A4288" s="3" t="str">
        <f>IFERROR(__xludf.DUMMYFUNCTION("GOOGLETRANSLATE(A4288,""en"",""pt"")"),"poderoso")</f>
        <v>poderoso</v>
      </c>
      <c r="B4288" s="3">
        <v>1</v>
      </c>
    </row>
    <row r="4289" ht="15.75" customHeight="1" spans="1:2">
      <c r="A4289" s="3" t="str">
        <f>IFERROR(__xludf.DUMMYFUNCTION("GOOGLETRANSLATE(A4289,""en"",""pt"")"),"poderosamente")</f>
        <v>poderosamente</v>
      </c>
      <c r="B4289" s="3">
        <v>1</v>
      </c>
    </row>
    <row r="4290" ht="15.75" customHeight="1" spans="1:2">
      <c r="A4290" s="3" t="str">
        <f>IFERROR(__xludf.DUMMYFUNCTION("GOOGLETRANSLATE(A4290,""en"",""pt"")"),"elogio")</f>
        <v>elogio</v>
      </c>
      <c r="B4290" s="3">
        <v>1</v>
      </c>
    </row>
    <row r="4291" ht="15.75" customHeight="1" spans="1:2">
      <c r="A4291" s="3" t="str">
        <f>IFERROR(__xludf.DUMMYFUNCTION("GOOGLETRANSLATE(A4291,""en"",""pt"")"),"louvável")</f>
        <v>louvável</v>
      </c>
      <c r="B4291" s="3">
        <v>1</v>
      </c>
    </row>
    <row r="4292" ht="15.75" customHeight="1" spans="1:2">
      <c r="A4292" s="3" t="str">
        <f>IFERROR(__xludf.DUMMYFUNCTION("GOOGLETRANSLATE(A4292,""en"",""pt"")"),"louvando")</f>
        <v>louvando</v>
      </c>
      <c r="B4292" s="3">
        <v>1</v>
      </c>
    </row>
    <row r="4293" ht="15.75" customHeight="1" spans="1:2">
      <c r="A4293" s="3" t="str">
        <f>IFERROR(__xludf.DUMMYFUNCTION("GOOGLETRANSLATE(A4293,""en"",""pt"")"),"preeminente")</f>
        <v>preeminente</v>
      </c>
      <c r="B4293" s="3">
        <v>1</v>
      </c>
    </row>
    <row r="4294" ht="15.75" customHeight="1" spans="1:2">
      <c r="A4294" s="3" t="str">
        <f>IFERROR(__xludf.DUMMYFUNCTION("GOOGLETRANSLATE(A4294,""en"",""pt"")"),"precioso")</f>
        <v>precioso</v>
      </c>
      <c r="B4294" s="3">
        <v>1</v>
      </c>
    </row>
    <row r="4295" ht="15.75" customHeight="1" spans="1:2">
      <c r="A4295" s="3" t="str">
        <f>IFERROR(__xludf.DUMMYFUNCTION("GOOGLETRANSLATE(A4295,""en"",""pt"")"),"preciso")</f>
        <v>preciso</v>
      </c>
      <c r="B4295" s="3">
        <v>1</v>
      </c>
    </row>
    <row r="4296" ht="15.75" customHeight="1" spans="1:2">
      <c r="A4296" s="3" t="str">
        <f>IFERROR(__xludf.DUMMYFUNCTION("GOOGLETRANSLATE(A4296,""en"",""pt"")"),"justamente")</f>
        <v>justamente</v>
      </c>
      <c r="B4296" s="3">
        <v>1</v>
      </c>
    </row>
    <row r="4297" ht="15.75" customHeight="1" spans="1:2">
      <c r="A4297" s="3" t="str">
        <f>IFERROR(__xludf.DUMMYFUNCTION("GOOGLETRANSLATE(A4297,""en"",""pt"")"),"preeminente")</f>
        <v>preeminente</v>
      </c>
      <c r="B4297" s="3">
        <v>1</v>
      </c>
    </row>
    <row r="4298" ht="15.75" customHeight="1" spans="1:2">
      <c r="A4298" s="3" t="str">
        <f>IFERROR(__xludf.DUMMYFUNCTION("GOOGLETRANSLATE(A4298,""en"",""pt"")"),"preferir")</f>
        <v>preferir</v>
      </c>
      <c r="B4298" s="3">
        <v>1</v>
      </c>
    </row>
    <row r="4299" ht="15.75" customHeight="1" spans="1:2">
      <c r="A4299" s="3" t="str">
        <f>IFERROR(__xludf.DUMMYFUNCTION("GOOGLETRANSLATE(A4299,""en"",""pt"")"),"preferível")</f>
        <v>preferível</v>
      </c>
      <c r="B4299" s="3">
        <v>1</v>
      </c>
    </row>
    <row r="4300" ht="15.75" customHeight="1" spans="1:2">
      <c r="A4300" s="3" t="str">
        <f>IFERROR(__xludf.DUMMYFUNCTION("GOOGLETRANSLATE(A4300,""en"",""pt"")"),"preferencialmente")</f>
        <v>preferencialmente</v>
      </c>
      <c r="B4300" s="3">
        <v>1</v>
      </c>
    </row>
    <row r="4301" ht="15.75" customHeight="1" spans="1:2">
      <c r="A4301" s="3" t="str">
        <f>IFERROR(__xludf.DUMMYFUNCTION("GOOGLETRANSLATE(A4301,""en"",""pt"")"),"preferido")</f>
        <v>preferido</v>
      </c>
      <c r="B4301" s="3">
        <v>1</v>
      </c>
    </row>
    <row r="4302" ht="15.75" customHeight="1" spans="1:2">
      <c r="A4302" s="3" t="str">
        <f>IFERROR(__xludf.DUMMYFUNCTION("GOOGLETRANSLATE(A4302,""en"",""pt"")"),"preferes")</f>
        <v>preferes</v>
      </c>
      <c r="B4302" s="3">
        <v>1</v>
      </c>
    </row>
    <row r="4303" ht="15.75" customHeight="1" spans="1:2">
      <c r="A4303" s="3" t="str">
        <f>IFERROR(__xludf.DUMMYFUNCTION("GOOGLETRANSLATE(A4303,""en"",""pt"")"),"preferindo")</f>
        <v>preferindo</v>
      </c>
      <c r="B4303" s="3">
        <v>1</v>
      </c>
    </row>
    <row r="4304" ht="15.75" customHeight="1" spans="1:2">
      <c r="A4304" s="3" t="str">
        <f>IFERROR(__xludf.DUMMYFUNCTION("GOOGLETRANSLATE(A4304,""en"",""pt"")"),"prefere")</f>
        <v>prefere</v>
      </c>
      <c r="B4304" s="3">
        <v>1</v>
      </c>
    </row>
    <row r="4305" ht="15.75" customHeight="1" spans="1:2">
      <c r="A4305" s="3" t="str">
        <f>IFERROR(__xludf.DUMMYFUNCTION("GOOGLETRANSLATE(A4305,""en"",""pt"")"),"Premier")</f>
        <v>Premier</v>
      </c>
      <c r="B4305" s="3">
        <v>1</v>
      </c>
    </row>
    <row r="4306" ht="15.75" customHeight="1" spans="1:2">
      <c r="A4306" s="3" t="str">
        <f>IFERROR(__xludf.DUMMYFUNCTION("GOOGLETRANSLATE(A4306,""en"",""pt"")"),"prestígio")</f>
        <v>prestígio</v>
      </c>
      <c r="B4306" s="3">
        <v>1</v>
      </c>
    </row>
    <row r="4307" ht="15.75" customHeight="1" spans="1:2">
      <c r="A4307" s="3" t="str">
        <f>IFERROR(__xludf.DUMMYFUNCTION("GOOGLETRANSLATE(A4307,""en"",""pt"")"),"prestigioso")</f>
        <v>prestigioso</v>
      </c>
      <c r="B4307" s="3">
        <v>1</v>
      </c>
    </row>
    <row r="4308" ht="15.75" customHeight="1" spans="1:2">
      <c r="A4308" s="3" t="str">
        <f>IFERROR(__xludf.DUMMYFUNCTION("GOOGLETRANSLATE(A4308,""en"",""pt"")"),"lindamente")</f>
        <v>lindamente</v>
      </c>
      <c r="B4308" s="3">
        <v>1</v>
      </c>
    </row>
    <row r="4309" ht="15.75" customHeight="1" spans="1:2">
      <c r="A4309" s="3" t="str">
        <f>IFERROR(__xludf.DUMMYFUNCTION("GOOGLETRANSLATE(A4309,""en"",""pt"")"),"bonita")</f>
        <v>bonita</v>
      </c>
      <c r="B4309" s="3">
        <v>1</v>
      </c>
    </row>
    <row r="4310" ht="15.75" customHeight="1" spans="1:2">
      <c r="A4310" s="3" t="str">
        <f>IFERROR(__xludf.DUMMYFUNCTION("GOOGLETRANSLATE(A4310,""en"",""pt"")"),"impagável")</f>
        <v>impagável</v>
      </c>
      <c r="B4310" s="3">
        <v>1</v>
      </c>
    </row>
    <row r="4311" ht="15.75" customHeight="1" spans="1:2">
      <c r="A4311" s="3" t="str">
        <f>IFERROR(__xludf.DUMMYFUNCTION("GOOGLETRANSLATE(A4311,""en"",""pt"")"),"orgulho")</f>
        <v>orgulho</v>
      </c>
      <c r="B4311" s="3">
        <v>1</v>
      </c>
    </row>
    <row r="4312" ht="15.75" customHeight="1" spans="1:2">
      <c r="A4312" s="3" t="str">
        <f>IFERROR(__xludf.DUMMYFUNCTION("GOOGLETRANSLATE(A4312,""en"",""pt"")"),"principled")</f>
        <v>principled</v>
      </c>
      <c r="B4312" s="3">
        <v>1</v>
      </c>
    </row>
    <row r="4313" ht="15.75" customHeight="1" spans="1:2">
      <c r="A4313" s="3" t="str">
        <f>IFERROR(__xludf.DUMMYFUNCTION("GOOGLETRANSLATE(A4313,""en"",""pt"")"),"privilégio")</f>
        <v>privilégio</v>
      </c>
      <c r="B4313" s="3">
        <v>1</v>
      </c>
    </row>
    <row r="4314" ht="15.75" customHeight="1" spans="1:2">
      <c r="A4314" s="3" t="str">
        <f>IFERROR(__xludf.DUMMYFUNCTION("GOOGLETRANSLATE(A4314,""en"",""pt"")"),"privilegiado")</f>
        <v>privilegiado</v>
      </c>
      <c r="B4314" s="3">
        <v>1</v>
      </c>
    </row>
    <row r="4315" ht="15.75" customHeight="1" spans="1:2">
      <c r="A4315" s="3" t="str">
        <f>IFERROR(__xludf.DUMMYFUNCTION("GOOGLETRANSLATE(A4315,""en"",""pt"")"),"prêmio")</f>
        <v>prêmio</v>
      </c>
      <c r="B4315" s="3">
        <v>1</v>
      </c>
    </row>
    <row r="4316" ht="15.75" customHeight="1" spans="1:2">
      <c r="A4316" s="3" t="str">
        <f>IFERROR(__xludf.DUMMYFUNCTION("GOOGLETRANSLATE(A4316,""en"",""pt"")"),"proativo")</f>
        <v>proativo</v>
      </c>
      <c r="B4316" s="3">
        <v>1</v>
      </c>
    </row>
    <row r="4317" ht="15.75" customHeight="1" spans="1:2">
      <c r="A4317" s="3" t="str">
        <f>IFERROR(__xludf.DUMMYFUNCTION("GOOGLETRANSLATE(A4317,""en"",""pt"")"),"sem problemas")</f>
        <v>sem problemas</v>
      </c>
      <c r="B4317" s="3">
        <v>1</v>
      </c>
    </row>
    <row r="4318" ht="15.75" customHeight="1" spans="1:2">
      <c r="A4318" s="3" t="str">
        <f>IFERROR(__xludf.DUMMYFUNCTION("GOOGLETRANSLATE(A4318,""en"",""pt"")"),"solucionador de problema")</f>
        <v>solucionador de problema</v>
      </c>
      <c r="B4318" s="3">
        <v>1</v>
      </c>
    </row>
    <row r="4319" ht="15.75" customHeight="1" spans="1:2">
      <c r="A4319" s="3" t="str">
        <f>IFERROR(__xludf.DUMMYFUNCTION("GOOGLETRANSLATE(A4319,""en"",""pt"")"),"prodigioso")</f>
        <v>prodigioso</v>
      </c>
      <c r="B4319" s="3">
        <v>1</v>
      </c>
    </row>
    <row r="4320" ht="15.75" customHeight="1" spans="1:2">
      <c r="A4320" s="3" t="str">
        <f>IFERROR(__xludf.DUMMYFUNCTION("GOOGLETRANSLATE(A4320,""en"",""pt"")"),"prodigiosamente")</f>
        <v>prodigiosamente</v>
      </c>
      <c r="B4320" s="3">
        <v>1</v>
      </c>
    </row>
    <row r="4321" ht="15.75" customHeight="1" spans="1:2">
      <c r="A4321" s="3" t="str">
        <f>IFERROR(__xludf.DUMMYFUNCTION("GOOGLETRANSLATE(A4321,""en"",""pt"")"),"prodígio")</f>
        <v>prodígio</v>
      </c>
      <c r="B4321" s="3">
        <v>1</v>
      </c>
    </row>
    <row r="4322" ht="15.75" customHeight="1" spans="1:2">
      <c r="A4322" s="3" t="str">
        <f>IFERROR(__xludf.DUMMYFUNCTION("GOOGLETRANSLATE(A4322,""en"",""pt"")"),"produtivo")</f>
        <v>produtivo</v>
      </c>
      <c r="B4322" s="3">
        <v>1</v>
      </c>
    </row>
    <row r="4323" ht="15.75" customHeight="1" spans="1:2">
      <c r="A4323" s="3" t="str">
        <f>IFERROR(__xludf.DUMMYFUNCTION("GOOGLETRANSLATE(A4323,""en"",""pt"")"),"produtivamente")</f>
        <v>produtivamente</v>
      </c>
      <c r="B4323" s="3">
        <v>1</v>
      </c>
    </row>
    <row r="4324" ht="15.75" customHeight="1" spans="1:2">
      <c r="A4324" s="3" t="str">
        <f>IFERROR(__xludf.DUMMYFUNCTION("GOOGLETRANSLATE(A4324,""en"",""pt"")"),"proficiente")</f>
        <v>proficiente</v>
      </c>
      <c r="B4324" s="3">
        <v>1</v>
      </c>
    </row>
    <row r="4325" ht="15.75" customHeight="1" spans="1:2">
      <c r="A4325" s="3" t="str">
        <f>IFERROR(__xludf.DUMMYFUNCTION("GOOGLETRANSLATE(A4325,""en"",""pt"")"),"proficientemente")</f>
        <v>proficientemente</v>
      </c>
      <c r="B4325" s="3">
        <v>1</v>
      </c>
    </row>
    <row r="4326" ht="15.75" customHeight="1" spans="1:2">
      <c r="A4326" s="3" t="str">
        <f>IFERROR(__xludf.DUMMYFUNCTION("GOOGLETRANSLATE(A4326,""en"",""pt"")"),"profundo")</f>
        <v>profundo</v>
      </c>
      <c r="B4326" s="3">
        <v>1</v>
      </c>
    </row>
    <row r="4327" ht="15.75" customHeight="1" spans="1:2">
      <c r="A4327" s="3" t="str">
        <f>IFERROR(__xludf.DUMMYFUNCTION("GOOGLETRANSLATE(A4327,""en"",""pt"")"),"profundamente")</f>
        <v>profundamente</v>
      </c>
      <c r="B4327" s="3">
        <v>1</v>
      </c>
    </row>
    <row r="4328" ht="15.75" customHeight="1" spans="1:2">
      <c r="A4328" s="3" t="str">
        <f>IFERROR(__xludf.DUMMYFUNCTION("GOOGLETRANSLATE(A4328,""en"",""pt"")"),"profuso")</f>
        <v>profuso</v>
      </c>
      <c r="B4328" s="3">
        <v>1</v>
      </c>
    </row>
    <row r="4329" ht="15.75" customHeight="1" spans="1:2">
      <c r="A4329" s="3" t="str">
        <f>IFERROR(__xludf.DUMMYFUNCTION("GOOGLETRANSLATE(A4329,""en"",""pt"")"),"profusão")</f>
        <v>profusão</v>
      </c>
      <c r="B4329" s="3">
        <v>1</v>
      </c>
    </row>
    <row r="4330" ht="15.75" customHeight="1" spans="1:2">
      <c r="A4330" s="3" t="str">
        <f>IFERROR(__xludf.DUMMYFUNCTION("GOOGLETRANSLATE(A4330,""en"",""pt"")"),"progresso")</f>
        <v>progresso</v>
      </c>
      <c r="B4330" s="3">
        <v>1</v>
      </c>
    </row>
    <row r="4331" ht="15.75" customHeight="1" spans="1:2">
      <c r="A4331" s="3" t="str">
        <f>IFERROR(__xludf.DUMMYFUNCTION("GOOGLETRANSLATE(A4331,""en"",""pt"")"),"progressivo")</f>
        <v>progressivo</v>
      </c>
      <c r="B4331" s="3">
        <v>1</v>
      </c>
    </row>
    <row r="4332" ht="15.75" customHeight="1" spans="1:2">
      <c r="A4332" s="3" t="str">
        <f>IFERROR(__xludf.DUMMYFUNCTION("GOOGLETRANSLATE(A4332,""en"",""pt"")"),"prolífico")</f>
        <v>prolífico</v>
      </c>
      <c r="B4332" s="3">
        <v>1</v>
      </c>
    </row>
    <row r="4333" ht="15.75" customHeight="1" spans="1:2">
      <c r="A4333" s="3" t="str">
        <f>IFERROR(__xludf.DUMMYFUNCTION("GOOGLETRANSLATE(A4333,""en"",""pt"")"),"proeminência")</f>
        <v>proeminência</v>
      </c>
      <c r="B4333" s="3">
        <v>1</v>
      </c>
    </row>
    <row r="4334" ht="15.75" customHeight="1" spans="1:2">
      <c r="A4334" s="3" t="str">
        <f>IFERROR(__xludf.DUMMYFUNCTION("GOOGLETRANSLATE(A4334,""en"",""pt"")"),"proeminente")</f>
        <v>proeminente</v>
      </c>
      <c r="B4334" s="3">
        <v>1</v>
      </c>
    </row>
    <row r="4335" ht="15.75" customHeight="1" spans="1:2">
      <c r="A4335" s="3" t="str">
        <f>IFERROR(__xludf.DUMMYFUNCTION("GOOGLETRANSLATE(A4335,""en"",""pt"")"),"promessa")</f>
        <v>promessa</v>
      </c>
      <c r="B4335" s="3">
        <v>1</v>
      </c>
    </row>
    <row r="4336" ht="15.75" customHeight="1" spans="1:2">
      <c r="A4336" s="3" t="str">
        <f>IFERROR(__xludf.DUMMYFUNCTION("GOOGLETRANSLATE(A4336,""en"",""pt"")"),"prometido")</f>
        <v>prometido</v>
      </c>
      <c r="B4336" s="3">
        <v>1</v>
      </c>
    </row>
    <row r="4337" ht="15.75" customHeight="1" spans="1:2">
      <c r="A4337" s="3" t="str">
        <f>IFERROR(__xludf.DUMMYFUNCTION("GOOGLETRANSLATE(A4337,""en"",""pt"")"),"promessas")</f>
        <v>promessas</v>
      </c>
      <c r="B4337" s="3">
        <v>1</v>
      </c>
    </row>
    <row r="4338" ht="15.75" customHeight="1" spans="1:2">
      <c r="A4338" s="3" t="str">
        <f>IFERROR(__xludf.DUMMYFUNCTION("GOOGLETRANSLATE(A4338,""en"",""pt"")"),"promissor")</f>
        <v>promissor</v>
      </c>
      <c r="B4338" s="3">
        <v>1</v>
      </c>
    </row>
    <row r="4339" ht="15.75" customHeight="1" spans="1:2">
      <c r="A4339" s="3" t="str">
        <f>IFERROR(__xludf.DUMMYFUNCTION("GOOGLETRANSLATE(A4339,""en"",""pt"")"),"promotor")</f>
        <v>promotor</v>
      </c>
      <c r="B4339" s="3">
        <v>1</v>
      </c>
    </row>
    <row r="4340" ht="15.75" customHeight="1" spans="1:2">
      <c r="A4340" s="3" t="str">
        <f>IFERROR(__xludf.DUMMYFUNCTION("GOOGLETRANSLATE(A4340,""en"",""pt"")"),"pronto")</f>
        <v>pronto</v>
      </c>
      <c r="B4340" s="3">
        <v>1</v>
      </c>
    </row>
    <row r="4341" ht="15.75" customHeight="1" spans="1:2">
      <c r="A4341" s="3" t="str">
        <f>IFERROR(__xludf.DUMMYFUNCTION("GOOGLETRANSLATE(A4341,""en"",""pt"")"),"prontamente")</f>
        <v>prontamente</v>
      </c>
      <c r="B4341" s="3">
        <v>1</v>
      </c>
    </row>
    <row r="4342" ht="15.75" customHeight="1" spans="1:2">
      <c r="A4342" s="3" t="str">
        <f>IFERROR(__xludf.DUMMYFUNCTION("GOOGLETRANSLATE(A4342,""en"",""pt"")"),"adequado")</f>
        <v>adequado</v>
      </c>
      <c r="B4342" s="3">
        <v>1</v>
      </c>
    </row>
    <row r="4343" ht="15.75" customHeight="1" spans="1:2">
      <c r="A4343" s="3" t="str">
        <f>IFERROR(__xludf.DUMMYFUNCTION("GOOGLETRANSLATE(A4343,""en"",""pt"")"),"devidamente")</f>
        <v>devidamente</v>
      </c>
      <c r="B4343" s="3">
        <v>1</v>
      </c>
    </row>
    <row r="4344" ht="15.75" customHeight="1" spans="1:2">
      <c r="A4344" s="3" t="str">
        <f>IFERROR(__xludf.DUMMYFUNCTION("GOOGLETRANSLATE(A4344,""en"",""pt"")"),"propício")</f>
        <v>propício</v>
      </c>
      <c r="B4344" s="3">
        <v>1</v>
      </c>
    </row>
    <row r="4345" ht="15.75" customHeight="1" spans="1:2">
      <c r="A4345" s="3" t="str">
        <f>IFERROR(__xludf.DUMMYFUNCTION("GOOGLETRANSLATE(A4345,""en"",""pt"")"),"propícia")</f>
        <v>propícia</v>
      </c>
      <c r="B4345" s="3">
        <v>1</v>
      </c>
    </row>
    <row r="4346" ht="15.75" customHeight="1" spans="1:2">
      <c r="A4346" s="3" t="str">
        <f>IFERROR(__xludf.DUMMYFUNCTION("GOOGLETRANSLATE(A4346,""en"",""pt"")"),"pros")</f>
        <v>pros</v>
      </c>
      <c r="B4346" s="3">
        <v>1</v>
      </c>
    </row>
    <row r="4347" ht="15.75" customHeight="1" spans="1:2">
      <c r="A4347" s="3" t="str">
        <f>IFERROR(__xludf.DUMMYFUNCTION("GOOGLETRANSLATE(A4347,""en"",""pt"")"),"prosperar")</f>
        <v>prosperar</v>
      </c>
      <c r="B4347" s="3">
        <v>1</v>
      </c>
    </row>
    <row r="4348" ht="15.75" customHeight="1" spans="1:2">
      <c r="A4348" s="3" t="str">
        <f>IFERROR(__xludf.DUMMYFUNCTION("GOOGLETRANSLATE(A4348,""en"",""pt"")"),"prosperidade")</f>
        <v>prosperidade</v>
      </c>
      <c r="B4348" s="3">
        <v>1</v>
      </c>
    </row>
    <row r="4349" ht="15.75" customHeight="1" spans="1:2">
      <c r="A4349" s="3" t="str">
        <f>IFERROR(__xludf.DUMMYFUNCTION("GOOGLETRANSLATE(A4349,""en"",""pt"")"),"próspero")</f>
        <v>próspero</v>
      </c>
      <c r="B4349" s="3">
        <v>1</v>
      </c>
    </row>
    <row r="4350" ht="15.75" customHeight="1" spans="1:2">
      <c r="A4350" s="3" t="str">
        <f>IFERROR(__xludf.DUMMYFUNCTION("GOOGLETRANSLATE(A4350,""en"",""pt"")"),"prospros")</f>
        <v>prospros</v>
      </c>
      <c r="B4350" s="3">
        <v>1</v>
      </c>
    </row>
    <row r="4351" ht="15.75" customHeight="1" spans="1:2">
      <c r="A4351" s="3" t="str">
        <f>IFERROR(__xludf.DUMMYFUNCTION("GOOGLETRANSLATE(A4351,""en"",""pt"")"),"proteger")</f>
        <v>proteger</v>
      </c>
      <c r="B4351" s="3">
        <v>1</v>
      </c>
    </row>
    <row r="4352" ht="15.75" customHeight="1" spans="1:2">
      <c r="A4352" s="3" t="str">
        <f>IFERROR(__xludf.DUMMYFUNCTION("GOOGLETRANSLATE(A4352,""en"",""pt"")"),"protecção")</f>
        <v>protecção</v>
      </c>
      <c r="B4352" s="3">
        <v>1</v>
      </c>
    </row>
    <row r="4353" ht="15.75" customHeight="1" spans="1:2">
      <c r="A4353" s="3" t="str">
        <f>IFERROR(__xludf.DUMMYFUNCTION("GOOGLETRANSLATE(A4353,""en"",""pt"")"),"protetor")</f>
        <v>protetor</v>
      </c>
      <c r="B4353" s="3">
        <v>1</v>
      </c>
    </row>
    <row r="4354" ht="15.75" customHeight="1" spans="1:2">
      <c r="A4354" s="3" t="str">
        <f>IFERROR(__xludf.DUMMYFUNCTION("GOOGLETRANSLATE(A4354,""en"",""pt"")"),"orgulhoso")</f>
        <v>orgulhoso</v>
      </c>
      <c r="B4354" s="3">
        <v>1</v>
      </c>
    </row>
    <row r="4355" ht="15.75" customHeight="1" spans="1:2">
      <c r="A4355" s="3" t="str">
        <f>IFERROR(__xludf.DUMMYFUNCTION("GOOGLETRANSLATE(A4355,""en"",""pt"")"),"comprovado")</f>
        <v>comprovado</v>
      </c>
      <c r="B4355" s="3">
        <v>1</v>
      </c>
    </row>
    <row r="4356" ht="15.75" customHeight="1" spans="1:2">
      <c r="A4356" s="3" t="str">
        <f>IFERROR(__xludf.DUMMYFUNCTION("GOOGLETRANSLATE(A4356,""en"",""pt"")"),"prova")</f>
        <v>prova</v>
      </c>
      <c r="B4356" s="3">
        <v>1</v>
      </c>
    </row>
    <row r="4357" ht="15.75" customHeight="1" spans="1:2">
      <c r="A4357" s="3" t="str">
        <f>IFERROR(__xludf.DUMMYFUNCTION("GOOGLETRANSLATE(A4357,""en"",""pt"")"),"providência")</f>
        <v>providência</v>
      </c>
      <c r="B4357" s="3">
        <v>1</v>
      </c>
    </row>
    <row r="4358" ht="15.75" customHeight="1" spans="1:2">
      <c r="A4358" s="3" t="str">
        <f>IFERROR(__xludf.DUMMYFUNCTION("GOOGLETRANSLATE(A4358,""en"",""pt"")"),"prova")</f>
        <v>prova</v>
      </c>
      <c r="B4358" s="3">
        <v>1</v>
      </c>
    </row>
    <row r="4359" ht="15.75" customHeight="1" spans="1:2">
      <c r="A4359" s="3" t="str">
        <f>IFERROR(__xludf.DUMMYFUNCTION("GOOGLETRANSLATE(A4359,""en"",""pt"")"),"proeza")</f>
        <v>proeza</v>
      </c>
      <c r="B4359" s="3">
        <v>1</v>
      </c>
    </row>
    <row r="4360" ht="15.75" customHeight="1" spans="1:2">
      <c r="A4360" s="3" t="str">
        <f>IFERROR(__xludf.DUMMYFUNCTION("GOOGLETRANSLATE(A4360,""en"",""pt"")"),"prudência")</f>
        <v>prudência</v>
      </c>
      <c r="B4360" s="3">
        <v>1</v>
      </c>
    </row>
    <row r="4361" ht="15.75" customHeight="1" spans="1:2">
      <c r="A4361" s="3" t="str">
        <f>IFERROR(__xludf.DUMMYFUNCTION("GOOGLETRANSLATE(A4361,""en"",""pt"")"),"Prudente")</f>
        <v>Prudente</v>
      </c>
      <c r="B4361" s="3">
        <v>1</v>
      </c>
    </row>
    <row r="4362" ht="15.75" customHeight="1" spans="1:2">
      <c r="A4362" s="3" t="str">
        <f>IFERROR(__xludf.DUMMYFUNCTION("GOOGLETRANSLATE(A4362,""en"",""pt"")"),"prudentemente")</f>
        <v>prudentemente</v>
      </c>
      <c r="B4362" s="3">
        <v>1</v>
      </c>
    </row>
    <row r="4363" ht="15.75" customHeight="1" spans="1:2">
      <c r="A4363" s="3" t="str">
        <f>IFERROR(__xludf.DUMMYFUNCTION("GOOGLETRANSLATE(A4363,""en"",""pt"")"),"pontual")</f>
        <v>pontual</v>
      </c>
      <c r="B4363" s="3">
        <v>1</v>
      </c>
    </row>
    <row r="4364" ht="15.75" customHeight="1" spans="1:2">
      <c r="A4364" s="3" t="str">
        <f>IFERROR(__xludf.DUMMYFUNCTION("GOOGLETRANSLATE(A4364,""en"",""pt"")"),"puro")</f>
        <v>puro</v>
      </c>
      <c r="B4364" s="3">
        <v>1</v>
      </c>
    </row>
    <row r="4365" ht="15.75" customHeight="1" spans="1:2">
      <c r="A4365" s="3" t="str">
        <f>IFERROR(__xludf.DUMMYFUNCTION("GOOGLETRANSLATE(A4365,""en"",""pt"")"),"purificar")</f>
        <v>purificar</v>
      </c>
      <c r="B4365" s="3">
        <v>1</v>
      </c>
    </row>
    <row r="4366" ht="15.75" customHeight="1" spans="1:2">
      <c r="A4366" s="3" t="str">
        <f>IFERROR(__xludf.DUMMYFUNCTION("GOOGLETRANSLATE(A4366,""en"",""pt"")"),"intencional")</f>
        <v>intencional</v>
      </c>
      <c r="B4366" s="3">
        <v>1</v>
      </c>
    </row>
    <row r="4367" ht="15.75" customHeight="1" spans="1:2">
      <c r="A4367" s="3" t="str">
        <f>IFERROR(__xludf.DUMMYFUNCTION("GOOGLETRANSLATE(A4367,""en"",""pt"")"),"singular")</f>
        <v>singular</v>
      </c>
      <c r="B4367" s="3">
        <v>1</v>
      </c>
    </row>
    <row r="4368" ht="15.75" customHeight="1" spans="1:2">
      <c r="A4368" s="3" t="str">
        <f>IFERROR(__xludf.DUMMYFUNCTION("GOOGLETRANSLATE(A4368,""en"",""pt"")"),"qualificado")</f>
        <v>qualificado</v>
      </c>
      <c r="B4368" s="3">
        <v>1</v>
      </c>
    </row>
    <row r="4369" ht="15.75" customHeight="1" spans="1:2">
      <c r="A4369" s="3" t="str">
        <f>IFERROR(__xludf.DUMMYFUNCTION("GOOGLETRANSLATE(A4369,""en"",""pt"")"),"qualificar")</f>
        <v>qualificar</v>
      </c>
      <c r="B4369" s="3">
        <v>1</v>
      </c>
    </row>
    <row r="4370" ht="15.75" customHeight="1" spans="1:2">
      <c r="A4370" s="3" t="str">
        <f>IFERROR(__xludf.DUMMYFUNCTION("GOOGLETRANSLATE(A4370,""en"",""pt"")"),"mais rápido")</f>
        <v>mais rápido</v>
      </c>
      <c r="B4370" s="3">
        <v>1</v>
      </c>
    </row>
    <row r="4371" ht="15.75" customHeight="1" spans="1:2">
      <c r="A4371" s="3" t="str">
        <f>IFERROR(__xludf.DUMMYFUNCTION("GOOGLETRANSLATE(A4371,""en"",""pt"")"),"quieto")</f>
        <v>quieto</v>
      </c>
      <c r="B4371" s="3">
        <v>1</v>
      </c>
    </row>
    <row r="4372" ht="15.75" customHeight="1" spans="1:2">
      <c r="A4372" s="3" t="str">
        <f>IFERROR(__xludf.DUMMYFUNCTION("GOOGLETRANSLATE(A4372,""en"",""pt"")"),"mais silencioso")</f>
        <v>mais silencioso</v>
      </c>
      <c r="B4372" s="3">
        <v>1</v>
      </c>
    </row>
    <row r="4373" ht="15.75" customHeight="1" spans="1:2">
      <c r="A4373" s="3" t="str">
        <f>IFERROR(__xludf.DUMMYFUNCTION("GOOGLETRANSLATE(A4373,""en"",""pt"")"),"brilho")</f>
        <v>brilho</v>
      </c>
      <c r="B4373" s="3">
        <v>1</v>
      </c>
    </row>
    <row r="4374" ht="15.75" customHeight="1" spans="1:2">
      <c r="A4374" s="3" t="str">
        <f>IFERROR(__xludf.DUMMYFUNCTION("GOOGLETRANSLATE(A4374,""en"",""pt"")"),"radiante")</f>
        <v>radiante</v>
      </c>
      <c r="B4374" s="3">
        <v>1</v>
      </c>
    </row>
    <row r="4375" ht="15.75" customHeight="1" spans="1:2">
      <c r="A4375" s="3" t="str">
        <f>IFERROR(__xludf.DUMMYFUNCTION("GOOGLETRANSLATE(A4375,""en"",""pt"")"),"rápido")</f>
        <v>rápido</v>
      </c>
      <c r="B4375" s="3">
        <v>1</v>
      </c>
    </row>
    <row r="4376" ht="15.75" customHeight="1" spans="1:2">
      <c r="A4376" s="3" t="str">
        <f>IFERROR(__xludf.DUMMYFUNCTION("GOOGLETRANSLATE(A4376,""en"",""pt"")"),"harmonia")</f>
        <v>harmonia</v>
      </c>
      <c r="B4376" s="3">
        <v>1</v>
      </c>
    </row>
    <row r="4377" ht="15.75" customHeight="1" spans="1:2">
      <c r="A4377" s="3" t="str">
        <f>IFERROR(__xludf.DUMMYFUNCTION("GOOGLETRANSLATE(A4377,""en"",""pt"")"),"arrebatado")</f>
        <v>arrebatado</v>
      </c>
      <c r="B4377" s="3">
        <v>1</v>
      </c>
    </row>
    <row r="4378" ht="15.75" customHeight="1" spans="1:2">
      <c r="A4378" s="3" t="str">
        <f>IFERROR(__xludf.DUMMYFUNCTION("GOOGLETRANSLATE(A4378,""en"",""pt"")"),"êxtase")</f>
        <v>êxtase</v>
      </c>
      <c r="B4378" s="3">
        <v>1</v>
      </c>
    </row>
    <row r="4379" ht="15.75" customHeight="1" spans="1:2">
      <c r="A4379" s="3" t="str">
        <f>IFERROR(__xludf.DUMMYFUNCTION("GOOGLETRANSLATE(A4379,""en"",""pt"")"),"raptureous")</f>
        <v>raptureous</v>
      </c>
      <c r="B4379" s="3">
        <v>1</v>
      </c>
    </row>
    <row r="4380" ht="15.75" customHeight="1" spans="1:2">
      <c r="A4380" s="3" t="str">
        <f>IFERROR(__xludf.DUMMYFUNCTION("GOOGLETRANSLATE(A4380,""en"",""pt"")"),"raptureously")</f>
        <v>raptureously</v>
      </c>
      <c r="B4380" s="3">
        <v>1</v>
      </c>
    </row>
    <row r="4381" ht="15.75" customHeight="1" spans="1:2">
      <c r="A4381" s="3" t="str">
        <f>IFERROR(__xludf.DUMMYFUNCTION("GOOGLETRANSLATE(A4381,""en"",""pt"")"),"arrebatador")</f>
        <v>arrebatador</v>
      </c>
      <c r="B4381" s="3">
        <v>1</v>
      </c>
    </row>
    <row r="4382" ht="15.75" customHeight="1" spans="1:2">
      <c r="A4382" s="3" t="str">
        <f>IFERROR(__xludf.DUMMYFUNCTION("GOOGLETRANSLATE(A4382,""en"",""pt"")"),"rapturously")</f>
        <v>rapturously</v>
      </c>
      <c r="B4382" s="3">
        <v>1</v>
      </c>
    </row>
    <row r="4383" ht="15.75" customHeight="1" spans="1:2">
      <c r="A4383" s="3" t="str">
        <f>IFERROR(__xludf.DUMMYFUNCTION("GOOGLETRANSLATE(A4383,""en"",""pt"")"),"racional")</f>
        <v>racional</v>
      </c>
      <c r="B4383" s="3">
        <v>1</v>
      </c>
    </row>
    <row r="4384" ht="15.75" customHeight="1" spans="1:2">
      <c r="A4384" s="3" t="str">
        <f>IFERROR(__xludf.DUMMYFUNCTION("GOOGLETRANSLATE(A4384,""en"",""pt"")"),"gilete afiada")</f>
        <v>gilete afiada</v>
      </c>
      <c r="B4384" s="3">
        <v>1</v>
      </c>
    </row>
    <row r="4385" ht="15.75" customHeight="1" spans="1:2">
      <c r="A4385" s="3" t="str">
        <f>IFERROR(__xludf.DUMMYFUNCTION("GOOGLETRANSLATE(A4385,""en"",""pt"")"),"alcançável")</f>
        <v>alcançável</v>
      </c>
      <c r="B4385" s="3">
        <v>1</v>
      </c>
    </row>
    <row r="4386" ht="15.75" customHeight="1" spans="1:2">
      <c r="A4386" s="3" t="str">
        <f>IFERROR(__xludf.DUMMYFUNCTION("GOOGLETRANSLATE(A4386,""en"",""pt"")"),"legível")</f>
        <v>legível</v>
      </c>
      <c r="B4386" s="3">
        <v>1</v>
      </c>
    </row>
    <row r="4387" ht="15.75" customHeight="1" spans="1:2">
      <c r="A4387" s="3" t="str">
        <f>IFERROR(__xludf.DUMMYFUNCTION("GOOGLETRANSLATE(A4387,""en"",""pt"")"),"facilmente")</f>
        <v>facilmente</v>
      </c>
      <c r="B4387" s="3">
        <v>1</v>
      </c>
    </row>
    <row r="4388" ht="15.75" customHeight="1" spans="1:2">
      <c r="A4388" s="3" t="str">
        <f>IFERROR(__xludf.DUMMYFUNCTION("GOOGLETRANSLATE(A4388,""en"",""pt"")"),"pronto")</f>
        <v>pronto</v>
      </c>
      <c r="B4388" s="3">
        <v>1</v>
      </c>
    </row>
    <row r="4389" ht="15.75" customHeight="1" spans="1:2">
      <c r="A4389" s="3" t="str">
        <f>IFERROR(__xludf.DUMMYFUNCTION("GOOGLETRANSLATE(A4389,""en"",""pt"")"),"reafirmar")</f>
        <v>reafirmar</v>
      </c>
      <c r="B4389" s="3">
        <v>1</v>
      </c>
    </row>
    <row r="4390" ht="15.75" customHeight="1" spans="1:2">
      <c r="A4390" s="3" t="str">
        <f>IFERROR(__xludf.DUMMYFUNCTION("GOOGLETRANSLATE(A4390,""en"",""pt"")"),"reafirmação")</f>
        <v>reafirmação</v>
      </c>
      <c r="B4390" s="3">
        <v>1</v>
      </c>
    </row>
    <row r="4391" ht="15.75" customHeight="1" spans="1:2">
      <c r="A4391" s="3" t="str">
        <f>IFERROR(__xludf.DUMMYFUNCTION("GOOGLETRANSLATE(A4391,""en"",""pt"")"),"realista")</f>
        <v>realista</v>
      </c>
      <c r="B4391" s="3">
        <v>1</v>
      </c>
    </row>
    <row r="4392" ht="15.75" customHeight="1" spans="1:2">
      <c r="A4392" s="3" t="str">
        <f>IFERROR(__xludf.DUMMYFUNCTION("GOOGLETRANSLATE(A4392,""en"",""pt"")"),"realizável")</f>
        <v>realizável</v>
      </c>
      <c r="B4392" s="3">
        <v>1</v>
      </c>
    </row>
    <row r="4393" ht="15.75" customHeight="1" spans="1:2">
      <c r="A4393" s="3" t="str">
        <f>IFERROR(__xludf.DUMMYFUNCTION("GOOGLETRANSLATE(A4393,""en"",""pt"")"),"razoável")</f>
        <v>razoável</v>
      </c>
      <c r="B4393" s="3">
        <v>1</v>
      </c>
    </row>
    <row r="4394" ht="15.75" customHeight="1" spans="1:2">
      <c r="A4394" s="3" t="str">
        <f>IFERROR(__xludf.DUMMYFUNCTION("GOOGLETRANSLATE(A4394,""en"",""pt"")"),"razoavelmente")</f>
        <v>razoavelmente</v>
      </c>
      <c r="B4394" s="3">
        <v>1</v>
      </c>
    </row>
    <row r="4395" ht="15.75" customHeight="1" spans="1:2">
      <c r="A4395" s="3" t="str">
        <f>IFERROR(__xludf.DUMMYFUNCTION("GOOGLETRANSLATE(A4395,""en"",""pt"")"),"fundamentado")</f>
        <v>fundamentado</v>
      </c>
      <c r="B4395" s="3">
        <v>1</v>
      </c>
    </row>
    <row r="4396" ht="15.75" customHeight="1" spans="1:2">
      <c r="A4396" s="3" t="str">
        <f>IFERROR(__xludf.DUMMYFUNCTION("GOOGLETRANSLATE(A4396,""en"",""pt"")"),"reafirmação")</f>
        <v>reafirmação</v>
      </c>
      <c r="B4396" s="3">
        <v>1</v>
      </c>
    </row>
    <row r="4397" ht="15.75" customHeight="1" spans="1:2">
      <c r="A4397" s="3" t="str">
        <f>IFERROR(__xludf.DUMMYFUNCTION("GOOGLETRANSLATE(A4397,""en"",""pt"")"),"tranquilizar")</f>
        <v>tranquilizar</v>
      </c>
      <c r="B4397" s="3">
        <v>1</v>
      </c>
    </row>
    <row r="4398" ht="15.75" customHeight="1" spans="1:2">
      <c r="A4398" s="3" t="str">
        <f>IFERROR(__xludf.DUMMYFUNCTION("GOOGLETRANSLATE(A4398,""en"",""pt"")"),"receptivo")</f>
        <v>receptivo</v>
      </c>
      <c r="B4398" s="3">
        <v>1</v>
      </c>
    </row>
    <row r="4399" ht="15.75" customHeight="1" spans="1:2">
      <c r="A4399" s="3" t="str">
        <f>IFERROR(__xludf.DUMMYFUNCTION("GOOGLETRANSLATE(A4399,""en"",""pt"")"),"recuperar")</f>
        <v>recuperar</v>
      </c>
      <c r="B4399" s="3">
        <v>1</v>
      </c>
    </row>
    <row r="4400" ht="15.75" customHeight="1" spans="1:2">
      <c r="A4400" s="3" t="str">
        <f>IFERROR(__xludf.DUMMYFUNCTION("GOOGLETRANSLATE(A4400,""en"",""pt"")"),"recomendo")</f>
        <v>recomendo</v>
      </c>
      <c r="B4400" s="3">
        <v>1</v>
      </c>
    </row>
    <row r="4401" ht="15.75" customHeight="1" spans="1:2">
      <c r="A4401" s="3" t="str">
        <f>IFERROR(__xludf.DUMMYFUNCTION("GOOGLETRANSLATE(A4401,""en"",""pt"")"),"recomendar")</f>
        <v>recomendar</v>
      </c>
      <c r="B4401" s="3">
        <v>1</v>
      </c>
    </row>
    <row r="4402" ht="15.75" customHeight="1" spans="1:2">
      <c r="A4402" s="3" t="str">
        <f>IFERROR(__xludf.DUMMYFUNCTION("GOOGLETRANSLATE(A4402,""en"",""pt"")"),"recomendação")</f>
        <v>recomendação</v>
      </c>
      <c r="B4402" s="3">
        <v>1</v>
      </c>
    </row>
    <row r="4403" ht="15.75" customHeight="1" spans="1:2">
      <c r="A4403" s="3" t="str">
        <f>IFERROR(__xludf.DUMMYFUNCTION("GOOGLETRANSLATE(A4403,""en"",""pt"")"),"recomendações")</f>
        <v>recomendações</v>
      </c>
      <c r="B4403" s="3">
        <v>1</v>
      </c>
    </row>
    <row r="4404" ht="15.75" customHeight="1" spans="1:2">
      <c r="A4404" s="3" t="str">
        <f>IFERROR(__xludf.DUMMYFUNCTION("GOOGLETRANSLATE(A4404,""en"",""pt"")"),"recomendado")</f>
        <v>recomendado</v>
      </c>
      <c r="B4404" s="3">
        <v>1</v>
      </c>
    </row>
    <row r="4405" ht="15.75" customHeight="1" spans="1:2">
      <c r="A4405" s="3" t="str">
        <f>IFERROR(__xludf.DUMMYFUNCTION("GOOGLETRANSLATE(A4405,""en"",""pt"")"),"conciliar")</f>
        <v>conciliar</v>
      </c>
      <c r="B4405" s="3">
        <v>1</v>
      </c>
    </row>
    <row r="4406" ht="15.75" customHeight="1" spans="1:2">
      <c r="A4406" s="3" t="str">
        <f>IFERROR(__xludf.DUMMYFUNCTION("GOOGLETRANSLATE(A4406,""en"",""pt"")"),"reconciliação")</f>
        <v>reconciliação</v>
      </c>
      <c r="B4406" s="3">
        <v>1</v>
      </c>
    </row>
    <row r="4407" ht="15.75" customHeight="1" spans="1:2">
      <c r="A4407" s="3" t="str">
        <f>IFERROR(__xludf.DUMMYFUNCTION("GOOGLETRANSLATE(A4407,""en"",""pt"")"),"recorde-setting")</f>
        <v>recorde-setting</v>
      </c>
      <c r="B4407" s="3">
        <v>1</v>
      </c>
    </row>
    <row r="4408" ht="15.75" customHeight="1" spans="1:2">
      <c r="A4408" s="3" t="str">
        <f>IFERROR(__xludf.DUMMYFUNCTION("GOOGLETRANSLATE(A4408,""en"",""pt"")"),"recuperar")</f>
        <v>recuperar</v>
      </c>
      <c r="B4408" s="3">
        <v>1</v>
      </c>
    </row>
    <row r="4409" ht="15.75" customHeight="1" spans="1:2">
      <c r="A4409" s="3" t="str">
        <f>IFERROR(__xludf.DUMMYFUNCTION("GOOGLETRANSLATE(A4409,""en"",""pt"")"),"recuperação")</f>
        <v>recuperação</v>
      </c>
      <c r="B4409" s="3">
        <v>1</v>
      </c>
    </row>
    <row r="4410" ht="15.75" customHeight="1" spans="1:2">
      <c r="A4410" s="3" t="str">
        <f>IFERROR(__xludf.DUMMYFUNCTION("GOOGLETRANSLATE(A4410,""en"",""pt"")"),"retificação")</f>
        <v>retificação</v>
      </c>
      <c r="B4410" s="3">
        <v>1</v>
      </c>
    </row>
    <row r="4411" ht="15.75" customHeight="1" spans="1:2">
      <c r="A4411" s="3" t="str">
        <f>IFERROR(__xludf.DUMMYFUNCTION("GOOGLETRANSLATE(A4411,""en"",""pt"")"),"retificar")</f>
        <v>retificar</v>
      </c>
      <c r="B4411" s="3">
        <v>1</v>
      </c>
    </row>
    <row r="4412" ht="15.75" customHeight="1" spans="1:2">
      <c r="A4412" s="3" t="str">
        <f>IFERROR(__xludf.DUMMYFUNCTION("GOOGLETRANSLATE(A4412,""en"",""pt"")"),"retificação")</f>
        <v>retificação</v>
      </c>
      <c r="B4412" s="3">
        <v>1</v>
      </c>
    </row>
    <row r="4413" ht="15.75" customHeight="1" spans="1:2">
      <c r="A4413" s="3" t="str">
        <f>IFERROR(__xludf.DUMMYFUNCTION("GOOGLETRANSLATE(A4413,""en"",""pt"")"),"resgatar")</f>
        <v>resgatar</v>
      </c>
      <c r="B4413" s="3">
        <v>1</v>
      </c>
    </row>
    <row r="4414" ht="15.75" customHeight="1" spans="1:2">
      <c r="A4414" s="3" t="str">
        <f>IFERROR(__xludf.DUMMYFUNCTION("GOOGLETRANSLATE(A4414,""en"",""pt"")"),"redentor")</f>
        <v>redentor</v>
      </c>
      <c r="B4414" s="3">
        <v>1</v>
      </c>
    </row>
    <row r="4415" ht="15.75" customHeight="1" spans="1:2">
      <c r="A4415" s="3" t="str">
        <f>IFERROR(__xludf.DUMMYFUNCTION("GOOGLETRANSLATE(A4415,""en"",""pt"")"),"redenção")</f>
        <v>redenção</v>
      </c>
      <c r="B4415" s="3">
        <v>1</v>
      </c>
    </row>
    <row r="4416" ht="15.75" customHeight="1" spans="1:2">
      <c r="A4416" s="3" t="str">
        <f>IFERROR(__xludf.DUMMYFUNCTION("GOOGLETRANSLATE(A4416,""en"",""pt"")"),"refinar")</f>
        <v>refinar</v>
      </c>
      <c r="B4416" s="3">
        <v>1</v>
      </c>
    </row>
    <row r="4417" ht="15.75" customHeight="1" spans="1:2">
      <c r="A4417" s="3" t="str">
        <f>IFERROR(__xludf.DUMMYFUNCTION("GOOGLETRANSLATE(A4417,""en"",""pt"")"),"refinado")</f>
        <v>refinado</v>
      </c>
      <c r="B4417" s="3">
        <v>1</v>
      </c>
    </row>
    <row r="4418" ht="15.75" customHeight="1" spans="1:2">
      <c r="A4418" s="3" t="str">
        <f>IFERROR(__xludf.DUMMYFUNCTION("GOOGLETRANSLATE(A4418,""en"",""pt"")"),"requinte")</f>
        <v>requinte</v>
      </c>
      <c r="B4418" s="3">
        <v>1</v>
      </c>
    </row>
    <row r="4419" ht="15.75" customHeight="1" spans="1:2">
      <c r="A4419" s="3" t="str">
        <f>IFERROR(__xludf.DUMMYFUNCTION("GOOGLETRANSLATE(A4419,""en"",""pt"")"),"reforma")</f>
        <v>reforma</v>
      </c>
      <c r="B4419" s="3">
        <v>1</v>
      </c>
    </row>
    <row r="4420" ht="15.75" customHeight="1" spans="1:2">
      <c r="A4420" s="3" t="str">
        <f>IFERROR(__xludf.DUMMYFUNCTION("GOOGLETRANSLATE(A4420,""en"",""pt"")"),"reformado")</f>
        <v>reformado</v>
      </c>
      <c r="B4420" s="3">
        <v>1</v>
      </c>
    </row>
    <row r="4421" ht="15.75" customHeight="1" spans="1:2">
      <c r="A4421" s="3" t="str">
        <f>IFERROR(__xludf.DUMMYFUNCTION("GOOGLETRANSLATE(A4421,""en"",""pt"")"),"reforma")</f>
        <v>reforma</v>
      </c>
      <c r="B4421" s="3">
        <v>1</v>
      </c>
    </row>
    <row r="4422" ht="15.75" customHeight="1" spans="1:2">
      <c r="A4422" s="3" t="str">
        <f>IFERROR(__xludf.DUMMYFUNCTION("GOOGLETRANSLATE(A4422,""en"",""pt"")"),"reformas")</f>
        <v>reformas</v>
      </c>
      <c r="B4422" s="3">
        <v>1</v>
      </c>
    </row>
    <row r="4423" ht="15.75" customHeight="1" spans="1:2">
      <c r="A4423" s="3" t="str">
        <f>IFERROR(__xludf.DUMMYFUNCTION("GOOGLETRANSLATE(A4423,""en"",""pt"")"),"refrescar")</f>
        <v>refrescar</v>
      </c>
      <c r="B4423" s="3">
        <v>1</v>
      </c>
    </row>
    <row r="4424" ht="15.75" customHeight="1" spans="1:2">
      <c r="A4424" s="3" t="str">
        <f>IFERROR(__xludf.DUMMYFUNCTION("GOOGLETRANSLATE(A4424,""en"",""pt"")"),"refrescado")</f>
        <v>refrescado</v>
      </c>
      <c r="B4424" s="3">
        <v>1</v>
      </c>
    </row>
    <row r="4425" ht="15.75" customHeight="1" spans="1:2">
      <c r="A4425" s="3" t="str">
        <f>IFERROR(__xludf.DUMMYFUNCTION("GOOGLETRANSLATE(A4425,""en"",""pt"")"),"refrescante")</f>
        <v>refrescante</v>
      </c>
      <c r="B4425" s="3">
        <v>1</v>
      </c>
    </row>
    <row r="4426" ht="15.75" customHeight="1" spans="1:2">
      <c r="A4426" s="3" t="str">
        <f>IFERROR(__xludf.DUMMYFUNCTION("GOOGLETRANSLATE(A4426,""en"",""pt"")"),"reembolso")</f>
        <v>reembolso</v>
      </c>
      <c r="B4426" s="3">
        <v>1</v>
      </c>
    </row>
    <row r="4427" ht="15.75" customHeight="1" spans="1:2">
      <c r="A4427" s="3" t="str">
        <f>IFERROR(__xludf.DUMMYFUNCTION("GOOGLETRANSLATE(A4427,""en"",""pt"")"),"devolveu")</f>
        <v>devolveu</v>
      </c>
      <c r="B4427" s="3">
        <v>1</v>
      </c>
    </row>
    <row r="4428" ht="15.75" customHeight="1" spans="1:2">
      <c r="A4428" s="3" t="str">
        <f>IFERROR(__xludf.DUMMYFUNCTION("GOOGLETRANSLATE(A4428,""en"",""pt"")"),"régio")</f>
        <v>régio</v>
      </c>
      <c r="B4428" s="3">
        <v>1</v>
      </c>
    </row>
    <row r="4429" ht="15.75" customHeight="1" spans="1:2">
      <c r="A4429" s="3" t="str">
        <f>IFERROR(__xludf.DUMMYFUNCTION("GOOGLETRANSLATE(A4429,""en"",""pt"")"),"regiamente")</f>
        <v>regiamente</v>
      </c>
      <c r="B4429" s="3">
        <v>1</v>
      </c>
    </row>
    <row r="4430" ht="15.75" customHeight="1" spans="1:2">
      <c r="A4430" s="3" t="str">
        <f>IFERROR(__xludf.DUMMYFUNCTION("GOOGLETRANSLATE(A4430,""en"",""pt"")"),"que diz respeito")</f>
        <v>que diz respeito</v>
      </c>
      <c r="B4430" s="3">
        <v>1</v>
      </c>
    </row>
    <row r="4431" ht="15.75" customHeight="1" spans="1:2">
      <c r="A4431" s="3" t="str">
        <f>IFERROR(__xludf.DUMMYFUNCTION("GOOGLETRANSLATE(A4431,""en"",""pt"")"),"alegrar")</f>
        <v>alegrar</v>
      </c>
      <c r="B4431" s="3">
        <v>1</v>
      </c>
    </row>
    <row r="4432" ht="15.75" customHeight="1" spans="1:2">
      <c r="A4432" s="3" t="str">
        <f>IFERROR(__xludf.DUMMYFUNCTION("GOOGLETRANSLATE(A4432,""en"",""pt"")"),"alegria")</f>
        <v>alegria</v>
      </c>
      <c r="B4432" s="3">
        <v>1</v>
      </c>
    </row>
    <row r="4433" ht="15.75" customHeight="1" spans="1:2">
      <c r="A4433" s="3" t="str">
        <f>IFERROR(__xludf.DUMMYFUNCTION("GOOGLETRANSLATE(A4433,""en"",""pt"")"),"alegremente")</f>
        <v>alegremente</v>
      </c>
      <c r="B4433" s="3">
        <v>1</v>
      </c>
    </row>
    <row r="4434" ht="15.75" customHeight="1" spans="1:2">
      <c r="A4434" s="3" t="str">
        <f>IFERROR(__xludf.DUMMYFUNCTION("GOOGLETRANSLATE(A4434,""en"",""pt"")"),"rejuvenescer")</f>
        <v>rejuvenescer</v>
      </c>
      <c r="B4434" s="3">
        <v>1</v>
      </c>
    </row>
    <row r="4435" ht="15.75" customHeight="1" spans="1:2">
      <c r="A4435" s="3" t="str">
        <f>IFERROR(__xludf.DUMMYFUNCTION("GOOGLETRANSLATE(A4435,""en"",""pt"")"),"rejuvenescido")</f>
        <v>rejuvenescido</v>
      </c>
      <c r="B4435" s="3">
        <v>1</v>
      </c>
    </row>
    <row r="4436" ht="15.75" customHeight="1" spans="1:2">
      <c r="A4436" s="3" t="str">
        <f>IFERROR(__xludf.DUMMYFUNCTION("GOOGLETRANSLATE(A4436,""en"",""pt"")"),"rejuvenescedor")</f>
        <v>rejuvenescedor</v>
      </c>
      <c r="B4436" s="3">
        <v>1</v>
      </c>
    </row>
    <row r="4437" ht="15.75" customHeight="1" spans="1:2">
      <c r="A4437" s="3" t="str">
        <f>IFERROR(__xludf.DUMMYFUNCTION("GOOGLETRANSLATE(A4437,""en"",""pt"")"),"relaxado")</f>
        <v>relaxado</v>
      </c>
      <c r="B4437" s="3">
        <v>1</v>
      </c>
    </row>
    <row r="4438" ht="15.75" customHeight="1" spans="1:2">
      <c r="A4438" s="3" t="str">
        <f>IFERROR(__xludf.DUMMYFUNCTION("GOOGLETRANSLATE(A4438,""en"",""pt"")"),"ceder")</f>
        <v>ceder</v>
      </c>
      <c r="B4438" s="3">
        <v>1</v>
      </c>
    </row>
    <row r="4439" ht="15.75" customHeight="1" spans="1:2">
      <c r="A4439" s="3" t="str">
        <f>IFERROR(__xludf.DUMMYFUNCTION("GOOGLETRANSLATE(A4439,""en"",""pt"")"),"confiável")</f>
        <v>confiável</v>
      </c>
      <c r="B4439" s="3">
        <v>1</v>
      </c>
    </row>
    <row r="4440" ht="15.75" customHeight="1" spans="1:2">
      <c r="A4440" s="3" t="str">
        <f>IFERROR(__xludf.DUMMYFUNCTION("GOOGLETRANSLATE(A4440,""en"",""pt"")"),"com segurança")</f>
        <v>com segurança</v>
      </c>
      <c r="B4440" s="3">
        <v>1</v>
      </c>
    </row>
    <row r="4441" ht="15.75" customHeight="1" spans="1:2">
      <c r="A4441" s="3" t="str">
        <f>IFERROR(__xludf.DUMMYFUNCTION("GOOGLETRANSLATE(A4441,""en"",""pt"")"),"alívio")</f>
        <v>alívio</v>
      </c>
      <c r="B4441" s="3">
        <v>1</v>
      </c>
    </row>
    <row r="4442" ht="15.75" customHeight="1" spans="1:2">
      <c r="A4442" s="3" t="str">
        <f>IFERROR(__xludf.DUMMYFUNCTION("GOOGLETRANSLATE(A4442,""en"",""pt"")"),"relish")</f>
        <v>relish</v>
      </c>
      <c r="B4442" s="3">
        <v>1</v>
      </c>
    </row>
    <row r="4443" ht="15.75" customHeight="1" spans="1:2">
      <c r="A4443" s="3" t="str">
        <f>IFERROR(__xludf.DUMMYFUNCTION("GOOGLETRANSLATE(A4443,""en"",""pt"")"),"notável")</f>
        <v>notável</v>
      </c>
      <c r="B4443" s="3">
        <v>1</v>
      </c>
    </row>
    <row r="4444" ht="15.75" customHeight="1" spans="1:2">
      <c r="A4444" s="3" t="str">
        <f>IFERROR(__xludf.DUMMYFUNCTION("GOOGLETRANSLATE(A4444,""en"",""pt"")"),"notavelmente")</f>
        <v>notavelmente</v>
      </c>
      <c r="B4444" s="3">
        <v>1</v>
      </c>
    </row>
    <row r="4445" ht="15.75" customHeight="1" spans="1:2">
      <c r="A4445" s="3" t="str">
        <f>IFERROR(__xludf.DUMMYFUNCTION("GOOGLETRANSLATE(A4445,""en"",""pt"")"),"remédio")</f>
        <v>remédio</v>
      </c>
      <c r="B4445" s="3">
        <v>1</v>
      </c>
    </row>
    <row r="4446" ht="15.75" customHeight="1" spans="1:2">
      <c r="A4446" s="3" t="str">
        <f>IFERROR(__xludf.DUMMYFUNCTION("GOOGLETRANSLATE(A4446,""en"",""pt"")"),"remissão")</f>
        <v>remissão</v>
      </c>
      <c r="B4446" s="3">
        <v>1</v>
      </c>
    </row>
    <row r="4447" ht="15.75" customHeight="1" spans="1:2">
      <c r="A4447" s="3" t="str">
        <f>IFERROR(__xludf.DUMMYFUNCTION("GOOGLETRANSLATE(A4447,""en"",""pt"")"),"remunerar")</f>
        <v>remunerar</v>
      </c>
      <c r="B4447" s="3">
        <v>1</v>
      </c>
    </row>
    <row r="4448" ht="15.75" customHeight="1" spans="1:2">
      <c r="A4448" s="3" t="str">
        <f>IFERROR(__xludf.DUMMYFUNCTION("GOOGLETRANSLATE(A4448,""en"",""pt"")"),"renascimento")</f>
        <v>renascimento</v>
      </c>
      <c r="B4448" s="3">
        <v>1</v>
      </c>
    </row>
    <row r="4449" ht="15.75" customHeight="1" spans="1:2">
      <c r="A4449" s="3" t="str">
        <f>IFERROR(__xludf.DUMMYFUNCTION("GOOGLETRANSLATE(A4449,""en"",""pt"")"),"renovada")</f>
        <v>renovada</v>
      </c>
      <c r="B4449" s="3">
        <v>1</v>
      </c>
    </row>
    <row r="4450" ht="15.75" customHeight="1" spans="1:2">
      <c r="A4450" s="3" t="str">
        <f>IFERROR(__xludf.DUMMYFUNCTION("GOOGLETRANSLATE(A4450,""en"",""pt"")"),"renome")</f>
        <v>renome</v>
      </c>
      <c r="B4450" s="3">
        <v>1</v>
      </c>
    </row>
    <row r="4451" ht="15.75" customHeight="1" spans="1:2">
      <c r="A4451" s="3" t="str">
        <f>IFERROR(__xludf.DUMMYFUNCTION("GOOGLETRANSLATE(A4451,""en"",""pt"")"),"famoso")</f>
        <v>famoso</v>
      </c>
      <c r="B4451" s="3">
        <v>1</v>
      </c>
    </row>
    <row r="4452" ht="15.75" customHeight="1" spans="1:2">
      <c r="A4452" s="3" t="str">
        <f>IFERROR(__xludf.DUMMYFUNCTION("GOOGLETRANSLATE(A4452,""en"",""pt"")"),"substituível")</f>
        <v>substituível</v>
      </c>
      <c r="B4452" s="3">
        <v>1</v>
      </c>
    </row>
    <row r="4453" ht="15.75" customHeight="1" spans="1:2">
      <c r="A4453" s="3" t="str">
        <f>IFERROR(__xludf.DUMMYFUNCTION("GOOGLETRANSLATE(A4453,""en"",""pt"")"),"respeitável")</f>
        <v>respeitável</v>
      </c>
      <c r="B4453" s="3">
        <v>1</v>
      </c>
    </row>
    <row r="4454" ht="15.75" customHeight="1" spans="1:2">
      <c r="A4454" s="3" t="str">
        <f>IFERROR(__xludf.DUMMYFUNCTION("GOOGLETRANSLATE(A4454,""en"",""pt"")"),"reputação")</f>
        <v>reputação</v>
      </c>
      <c r="B4454" s="3">
        <v>1</v>
      </c>
    </row>
    <row r="4455" ht="15.75" customHeight="1" spans="1:2">
      <c r="A4455" s="3" t="str">
        <f>IFERROR(__xludf.DUMMYFUNCTION("GOOGLETRANSLATE(A4455,""en"",""pt"")"),"resiliente")</f>
        <v>resiliente</v>
      </c>
      <c r="B4455" s="3">
        <v>1</v>
      </c>
    </row>
    <row r="4456" ht="15.75" customHeight="1" spans="1:2">
      <c r="A4456" s="3" t="str">
        <f>IFERROR(__xludf.DUMMYFUNCTION("GOOGLETRANSLATE(A4456,""en"",""pt"")"),"resoluto")</f>
        <v>resoluto</v>
      </c>
      <c r="B4456" s="3">
        <v>1</v>
      </c>
    </row>
    <row r="4457" ht="15.75" customHeight="1" spans="1:2">
      <c r="A4457" s="3" t="str">
        <f>IFERROR(__xludf.DUMMYFUNCTION("GOOGLETRANSLATE(A4457,""en"",""pt"")"),"ressoar")</f>
        <v>ressoar</v>
      </c>
      <c r="B4457" s="3">
        <v>1</v>
      </c>
    </row>
    <row r="4458" ht="15.75" customHeight="1" spans="1:2">
      <c r="A4458" s="3" t="str">
        <f>IFERROR(__xludf.DUMMYFUNCTION("GOOGLETRANSLATE(A4458,""en"",""pt"")"),"ressoando")</f>
        <v>ressoando</v>
      </c>
      <c r="B4458" s="3">
        <v>1</v>
      </c>
    </row>
    <row r="4459" ht="15.75" customHeight="1" spans="1:2">
      <c r="A4459" s="3" t="str">
        <f>IFERROR(__xludf.DUMMYFUNCTION("GOOGLETRANSLATE(A4459,""en"",""pt"")"),"engenhoso")</f>
        <v>engenhoso</v>
      </c>
      <c r="B4459" s="3">
        <v>1</v>
      </c>
    </row>
    <row r="4460" ht="15.75" customHeight="1" spans="1:2">
      <c r="A4460" s="3" t="str">
        <f>IFERROR(__xludf.DUMMYFUNCTION("GOOGLETRANSLATE(A4460,""en"",""pt"")"),"desenvoltura")</f>
        <v>desenvoltura</v>
      </c>
      <c r="B4460" s="3">
        <v>1</v>
      </c>
    </row>
    <row r="4461" ht="15.75" customHeight="1" spans="1:2">
      <c r="A4461" s="3" t="str">
        <f>IFERROR(__xludf.DUMMYFUNCTION("GOOGLETRANSLATE(A4461,""en"",""pt"")"),"respeito")</f>
        <v>respeito</v>
      </c>
      <c r="B4461" s="3">
        <v>1</v>
      </c>
    </row>
    <row r="4462" ht="15.75" customHeight="1" spans="1:2">
      <c r="A4462" s="3" t="str">
        <f>IFERROR(__xludf.DUMMYFUNCTION("GOOGLETRANSLATE(A4462,""en"",""pt"")"),"respeitável")</f>
        <v>respeitável</v>
      </c>
      <c r="B4462" s="3">
        <v>1</v>
      </c>
    </row>
    <row r="4463" ht="15.75" customHeight="1" spans="1:2">
      <c r="A4463" s="3" t="str">
        <f>IFERROR(__xludf.DUMMYFUNCTION("GOOGLETRANSLATE(A4463,""en"",""pt"")"),"respeitoso")</f>
        <v>respeitoso</v>
      </c>
      <c r="B4463" s="3">
        <v>1</v>
      </c>
    </row>
    <row r="4464" ht="15.75" customHeight="1" spans="1:2">
      <c r="A4464" s="3" t="str">
        <f>IFERROR(__xludf.DUMMYFUNCTION("GOOGLETRANSLATE(A4464,""en"",""pt"")"),"respeitosamente")</f>
        <v>respeitosamente</v>
      </c>
      <c r="B4464" s="3">
        <v>1</v>
      </c>
    </row>
    <row r="4465" ht="15.75" customHeight="1" spans="1:2">
      <c r="A4465" s="3" t="str">
        <f>IFERROR(__xludf.DUMMYFUNCTION("GOOGLETRANSLATE(A4465,""en"",""pt"")"),"pausa")</f>
        <v>pausa</v>
      </c>
      <c r="B4465" s="3">
        <v>1</v>
      </c>
    </row>
    <row r="4466" ht="15.75" customHeight="1" spans="1:2">
      <c r="A4466" s="3" t="str">
        <f>IFERROR(__xludf.DUMMYFUNCTION("GOOGLETRANSLATE(A4466,""en"",""pt"")"),"resplandecente")</f>
        <v>resplandecente</v>
      </c>
      <c r="B4466" s="3">
        <v>1</v>
      </c>
    </row>
    <row r="4467" ht="15.75" customHeight="1" spans="1:2">
      <c r="A4467" s="3" t="str">
        <f>IFERROR(__xludf.DUMMYFUNCTION("GOOGLETRANSLATE(A4467,""en"",""pt"")"),"responsavelmente")</f>
        <v>responsavelmente</v>
      </c>
      <c r="B4467" s="3">
        <v>1</v>
      </c>
    </row>
    <row r="4468" ht="15.75" customHeight="1" spans="1:2">
      <c r="A4468" s="3" t="str">
        <f>IFERROR(__xludf.DUMMYFUNCTION("GOOGLETRANSLATE(A4468,""en"",""pt"")"),"responsivo")</f>
        <v>responsivo</v>
      </c>
      <c r="B4468" s="3">
        <v>1</v>
      </c>
    </row>
    <row r="4469" ht="15.75" customHeight="1" spans="1:2">
      <c r="A4469" s="3" t="str">
        <f>IFERROR(__xludf.DUMMYFUNCTION("GOOGLETRANSLATE(A4469,""en"",""pt"")"),"repousante")</f>
        <v>repousante</v>
      </c>
      <c r="B4469" s="3">
        <v>1</v>
      </c>
    </row>
    <row r="4470" ht="15.75" customHeight="1" spans="1:2">
      <c r="A4470" s="3" t="str">
        <f>IFERROR(__xludf.DUMMYFUNCTION("GOOGLETRANSLATE(A4470,""en"",""pt"")"),"restaurado")</f>
        <v>restaurado</v>
      </c>
      <c r="B4470" s="3">
        <v>1</v>
      </c>
    </row>
    <row r="4471" ht="15.75" customHeight="1" spans="1:2">
      <c r="A4471" s="3" t="str">
        <f>IFERROR(__xludf.DUMMYFUNCTION("GOOGLETRANSLATE(A4471,""en"",""pt"")"),"reestruturar")</f>
        <v>reestruturar</v>
      </c>
      <c r="B4471" s="3">
        <v>1</v>
      </c>
    </row>
    <row r="4472" ht="15.75" customHeight="1" spans="1:2">
      <c r="A4472" s="3" t="str">
        <f>IFERROR(__xludf.DUMMYFUNCTION("GOOGLETRANSLATE(A4472,""en"",""pt"")"),"reestruturado")</f>
        <v>reestruturado</v>
      </c>
      <c r="B4472" s="3">
        <v>1</v>
      </c>
    </row>
    <row r="4473" ht="15.75" customHeight="1" spans="1:2">
      <c r="A4473" s="3" t="str">
        <f>IFERROR(__xludf.DUMMYFUNCTION("GOOGLETRANSLATE(A4473,""en"",""pt"")"),"reestruturação")</f>
        <v>reestruturação</v>
      </c>
      <c r="B4473" s="3">
        <v>1</v>
      </c>
    </row>
    <row r="4474" ht="15.75" customHeight="1" spans="1:2">
      <c r="A4474" s="3" t="str">
        <f>IFERROR(__xludf.DUMMYFUNCTION("GOOGLETRANSLATE(A4474,""en"",""pt"")"),"retrátil")</f>
        <v>retrátil</v>
      </c>
      <c r="B4474" s="3">
        <v>1</v>
      </c>
    </row>
    <row r="4475" ht="15.75" customHeight="1" spans="1:2">
      <c r="A4475" s="3" t="str">
        <f>IFERROR(__xludf.DUMMYFUNCTION("GOOGLETRANSLATE(A4475,""en"",""pt"")"),"revel")</f>
        <v>revel</v>
      </c>
      <c r="B4475" s="3">
        <v>1</v>
      </c>
    </row>
    <row r="4476" ht="15.75" customHeight="1" spans="1:2">
      <c r="A4476" s="3" t="str">
        <f>IFERROR(__xludf.DUMMYFUNCTION("GOOGLETRANSLATE(A4476,""en"",""pt"")"),"revelação")</f>
        <v>revelação</v>
      </c>
      <c r="B4476" s="3">
        <v>1</v>
      </c>
    </row>
    <row r="4477" ht="15.75" customHeight="1" spans="1:2">
      <c r="A4477" s="3" t="str">
        <f>IFERROR(__xludf.DUMMYFUNCTION("GOOGLETRANSLATE(A4477,""en"",""pt"")"),"reverenciar")</f>
        <v>reverenciar</v>
      </c>
      <c r="B4477" s="3">
        <v>1</v>
      </c>
    </row>
    <row r="4478" ht="15.75" customHeight="1" spans="1:2">
      <c r="A4478" s="3" t="str">
        <f>IFERROR(__xludf.DUMMYFUNCTION("GOOGLETRANSLATE(A4478,""en"",""pt"")"),"reverência")</f>
        <v>reverência</v>
      </c>
      <c r="B4478" s="3">
        <v>1</v>
      </c>
    </row>
    <row r="4479" ht="15.75" customHeight="1" spans="1:2">
      <c r="A4479" s="3" t="str">
        <f>IFERROR(__xludf.DUMMYFUNCTION("GOOGLETRANSLATE(A4479,""en"",""pt"")"),"reverente")</f>
        <v>reverente</v>
      </c>
      <c r="B4479" s="3">
        <v>1</v>
      </c>
    </row>
    <row r="4480" ht="15.75" customHeight="1" spans="1:2">
      <c r="A4480" s="3" t="str">
        <f>IFERROR(__xludf.DUMMYFUNCTION("GOOGLETRANSLATE(A4480,""en"",""pt"")"),"reverentemente")</f>
        <v>reverentemente</v>
      </c>
      <c r="B4480" s="3">
        <v>1</v>
      </c>
    </row>
    <row r="4481" ht="15.75" customHeight="1" spans="1:2">
      <c r="A4481" s="3" t="str">
        <f>IFERROR(__xludf.DUMMYFUNCTION("GOOGLETRANSLATE(A4481,""en"",""pt"")"),"revitalizar")</f>
        <v>revitalizar</v>
      </c>
      <c r="B4481" s="3">
        <v>1</v>
      </c>
    </row>
    <row r="4482" ht="15.75" customHeight="1" spans="1:2">
      <c r="A4482" s="3" t="str">
        <f>IFERROR(__xludf.DUMMYFUNCTION("GOOGLETRANSLATE(A4482,""en"",""pt"")"),"renascimento")</f>
        <v>renascimento</v>
      </c>
      <c r="B4482" s="3">
        <v>1</v>
      </c>
    </row>
    <row r="4483" ht="15.75" customHeight="1" spans="1:2">
      <c r="A4483" s="3" t="str">
        <f>IFERROR(__xludf.DUMMYFUNCTION("GOOGLETRANSLATE(A4483,""en"",""pt"")"),"reviver")</f>
        <v>reviver</v>
      </c>
      <c r="B4483" s="3">
        <v>1</v>
      </c>
    </row>
    <row r="4484" ht="15.75" customHeight="1" spans="1:2">
      <c r="A4484" s="3" t="str">
        <f>IFERROR(__xludf.DUMMYFUNCTION("GOOGLETRANSLATE(A4484,""en"",""pt"")"),"revive")</f>
        <v>revive</v>
      </c>
      <c r="B4484" s="3">
        <v>1</v>
      </c>
    </row>
    <row r="4485" ht="15.75" customHeight="1" spans="1:2">
      <c r="A4485" s="3" t="str">
        <f>IFERROR(__xludf.DUMMYFUNCTION("GOOGLETRANSLATE(A4485,""en"",""pt"")"),"revolucionário")</f>
        <v>revolucionário</v>
      </c>
      <c r="B4485" s="3">
        <v>1</v>
      </c>
    </row>
    <row r="4486" ht="15.75" customHeight="1" spans="1:2">
      <c r="A4486" s="3" t="str">
        <f>IFERROR(__xludf.DUMMYFUNCTION("GOOGLETRANSLATE(A4486,""en"",""pt"")"),"revolucionar")</f>
        <v>revolucionar</v>
      </c>
      <c r="B4486" s="3">
        <v>1</v>
      </c>
    </row>
    <row r="4487" ht="15.75" customHeight="1" spans="1:2">
      <c r="A4487" s="3" t="str">
        <f>IFERROR(__xludf.DUMMYFUNCTION("GOOGLETRANSLATE(A4487,""en"",""pt"")"),"revolucionou")</f>
        <v>revolucionou</v>
      </c>
      <c r="B4487" s="3">
        <v>1</v>
      </c>
    </row>
    <row r="4488" ht="15.75" customHeight="1" spans="1:2">
      <c r="A4488" s="3" t="str">
        <f>IFERROR(__xludf.DUMMYFUNCTION("GOOGLETRANSLATE(A4488,""en"",""pt"")"),"revoluciona")</f>
        <v>revoluciona</v>
      </c>
      <c r="B4488" s="3">
        <v>1</v>
      </c>
    </row>
    <row r="4489" ht="15.75" customHeight="1" spans="1:2">
      <c r="A4489" s="3" t="str">
        <f>IFERROR(__xludf.DUMMYFUNCTION("GOOGLETRANSLATE(A4489,""en"",""pt"")"),"recompensa")</f>
        <v>recompensa</v>
      </c>
      <c r="B4489" s="3">
        <v>1</v>
      </c>
    </row>
    <row r="4490" ht="15.75" customHeight="1" spans="1:2">
      <c r="A4490" s="3" t="str">
        <f>IFERROR(__xludf.DUMMYFUNCTION("GOOGLETRANSLATE(A4490,""en"",""pt"")"),"recompensador")</f>
        <v>recompensador</v>
      </c>
      <c r="B4490" s="3">
        <v>1</v>
      </c>
    </row>
    <row r="4491" ht="15.75" customHeight="1" spans="1:2">
      <c r="A4491" s="3" t="str">
        <f>IFERROR(__xludf.DUMMYFUNCTION("GOOGLETRANSLATE(A4491,""en"",""pt"")"),"rewardingly")</f>
        <v>rewardingly</v>
      </c>
      <c r="B4491" s="3">
        <v>1</v>
      </c>
    </row>
    <row r="4492" ht="15.75" customHeight="1" spans="1:2">
      <c r="A4492" s="3" t="str">
        <f>IFERROR(__xludf.DUMMYFUNCTION("GOOGLETRANSLATE(A4492,""en"",""pt"")"),"rico")</f>
        <v>rico</v>
      </c>
      <c r="B4492" s="3">
        <v>1</v>
      </c>
    </row>
    <row r="4493" ht="15.75" customHeight="1" spans="1:2">
      <c r="A4493" s="3" t="str">
        <f>IFERROR(__xludf.DUMMYFUNCTION("GOOGLETRANSLATE(A4493,""en"",""pt"")"),"mais rico")</f>
        <v>mais rico</v>
      </c>
      <c r="B4493" s="3">
        <v>1</v>
      </c>
    </row>
    <row r="4494" ht="15.75" customHeight="1" spans="1:2">
      <c r="A4494" s="3" t="str">
        <f>IFERROR(__xludf.DUMMYFUNCTION("GOOGLETRANSLATE(A4494,""en"",""pt"")"),"ricamente")</f>
        <v>ricamente</v>
      </c>
      <c r="B4494" s="3">
        <v>1</v>
      </c>
    </row>
    <row r="4495" ht="15.75" customHeight="1" spans="1:2">
      <c r="A4495" s="3" t="str">
        <f>IFERROR(__xludf.DUMMYFUNCTION("GOOGLETRANSLATE(A4495,""en"",""pt"")"),"riqueza")</f>
        <v>riqueza</v>
      </c>
      <c r="B4495" s="3">
        <v>1</v>
      </c>
    </row>
    <row r="4496" ht="15.75" customHeight="1" spans="1:2">
      <c r="A4496" s="3" t="str">
        <f>IFERROR(__xludf.DUMMYFUNCTION("GOOGLETRANSLATE(A4496,""en"",""pt"")"),"direita")</f>
        <v>direita</v>
      </c>
      <c r="B4496" s="3">
        <v>1</v>
      </c>
    </row>
    <row r="4497" ht="15.75" customHeight="1" spans="1:2">
      <c r="A4497" s="3" t="str">
        <f>IFERROR(__xludf.DUMMYFUNCTION("GOOGLETRANSLATE(A4497,""en"",""pt"")"),"righten")</f>
        <v>righten</v>
      </c>
      <c r="B4497" s="3">
        <v>1</v>
      </c>
    </row>
    <row r="4498" ht="15.75" customHeight="1" spans="1:2">
      <c r="A4498" s="3" t="str">
        <f>IFERROR(__xludf.DUMMYFUNCTION("GOOGLETRANSLATE(A4498,""en"",""pt"")"),"justo")</f>
        <v>justo</v>
      </c>
      <c r="B4498" s="3">
        <v>1</v>
      </c>
    </row>
    <row r="4499" ht="15.75" customHeight="1" spans="1:2">
      <c r="A4499" s="3" t="str">
        <f>IFERROR(__xludf.DUMMYFUNCTION("GOOGLETRANSLATE(A4499,""en"",""pt"")"),"retamente")</f>
        <v>retamente</v>
      </c>
      <c r="B4499" s="3">
        <v>1</v>
      </c>
    </row>
    <row r="4500" ht="15.75" customHeight="1" spans="1:2">
      <c r="A4500" s="3" t="str">
        <f>IFERROR(__xludf.DUMMYFUNCTION("GOOGLETRANSLATE(A4500,""en"",""pt"")"),"justiça")</f>
        <v>justiça</v>
      </c>
      <c r="B4500" s="3">
        <v>1</v>
      </c>
    </row>
    <row r="4501" ht="15.75" customHeight="1" spans="1:2">
      <c r="A4501" s="3" t="str">
        <f>IFERROR(__xludf.DUMMYFUNCTION("GOOGLETRANSLATE(A4501,""en"",""pt"")"),"legítimo")</f>
        <v>legítimo</v>
      </c>
      <c r="B4501" s="3">
        <v>1</v>
      </c>
    </row>
    <row r="4502" ht="15.75" customHeight="1" spans="1:2">
      <c r="A4502" s="3" t="str">
        <f>IFERROR(__xludf.DUMMYFUNCTION("GOOGLETRANSLATE(A4502,""en"",""pt"")"),"legitimamente")</f>
        <v>legitimamente</v>
      </c>
      <c r="B4502" s="3">
        <v>1</v>
      </c>
    </row>
    <row r="4503" ht="15.75" customHeight="1" spans="1:2">
      <c r="A4503" s="3" t="str">
        <f>IFERROR(__xludf.DUMMYFUNCTION("GOOGLETRANSLATE(A4503,""en"",""pt"")"),"corretamente")</f>
        <v>corretamente</v>
      </c>
      <c r="B4503" s="3">
        <v>1</v>
      </c>
    </row>
    <row r="4504" ht="15.75" customHeight="1" spans="1:2">
      <c r="A4504" s="3" t="str">
        <f>IFERROR(__xludf.DUMMYFUNCTION("GOOGLETRANSLATE(A4504,""en"",""pt"")"),"retidão")</f>
        <v>retidão</v>
      </c>
      <c r="B4504" s="3">
        <v>1</v>
      </c>
    </row>
    <row r="4505" ht="15.75" customHeight="1" spans="1:2">
      <c r="A4505" s="3" t="str">
        <f>IFERROR(__xludf.DUMMYFUNCTION("GOOGLETRANSLATE(A4505,""en"",""pt"")"),"livre de risco")</f>
        <v>livre de risco</v>
      </c>
      <c r="B4505" s="3">
        <v>1</v>
      </c>
    </row>
    <row r="4506" ht="15.75" customHeight="1" spans="1:2">
      <c r="A4506" s="3" t="str">
        <f>IFERROR(__xludf.DUMMYFUNCTION("GOOGLETRANSLATE(A4506,""en"",""pt"")"),"robusto")</f>
        <v>robusto</v>
      </c>
      <c r="B4506" s="3">
        <v>1</v>
      </c>
    </row>
    <row r="4507" ht="15.75" customHeight="1" spans="1:2">
      <c r="A4507" s="3" t="str">
        <f>IFERROR(__xludf.DUMMYFUNCTION("GOOGLETRANSLATE(A4507,""en"",""pt"")"),"estrela do rock")</f>
        <v>estrela do rock</v>
      </c>
      <c r="B4507" s="3">
        <v>1</v>
      </c>
    </row>
    <row r="4508" ht="15.75" customHeight="1" spans="1:2">
      <c r="A4508" s="3" t="str">
        <f>IFERROR(__xludf.DUMMYFUNCTION("GOOGLETRANSLATE(A4508,""en"",""pt"")"),"estrelas do rock")</f>
        <v>estrelas do rock</v>
      </c>
      <c r="B4508" s="3">
        <v>1</v>
      </c>
    </row>
    <row r="4509" ht="15.75" customHeight="1" spans="1:2">
      <c r="A4509" s="3" t="str">
        <f>IFERROR(__xludf.DUMMYFUNCTION("GOOGLETRANSLATE(A4509,""en"",""pt"")"),"estrela do rock")</f>
        <v>estrela do rock</v>
      </c>
      <c r="B4509" s="3">
        <v>1</v>
      </c>
    </row>
    <row r="4510" ht="15.75" customHeight="1" spans="1:2">
      <c r="A4510" s="3" t="str">
        <f>IFERROR(__xludf.DUMMYFUNCTION("GOOGLETRANSLATE(A4510,""en"",""pt"")"),"estrelas do rock")</f>
        <v>estrelas do rock</v>
      </c>
      <c r="B4510" s="3">
        <v>1</v>
      </c>
    </row>
    <row r="4511" ht="15.75" customHeight="1" spans="1:2">
      <c r="A4511" s="3" t="str">
        <f>IFERROR(__xludf.DUMMYFUNCTION("GOOGLETRANSLATE(A4511,""en"",""pt"")"),"romântico")</f>
        <v>romântico</v>
      </c>
      <c r="B4511" s="3">
        <v>1</v>
      </c>
    </row>
    <row r="4512" ht="15.75" customHeight="1" spans="1:2">
      <c r="A4512" s="3" t="str">
        <f>IFERROR(__xludf.DUMMYFUNCTION("GOOGLETRANSLATE(A4512,""en"",""pt"")"),"romanticamente")</f>
        <v>romanticamente</v>
      </c>
      <c r="B4512" s="3">
        <v>1</v>
      </c>
    </row>
    <row r="4513" ht="15.75" customHeight="1" spans="1:2">
      <c r="A4513" s="3" t="str">
        <f>IFERROR(__xludf.DUMMYFUNCTION("GOOGLETRANSLATE(A4513,""en"",""pt"")"),"romantizar")</f>
        <v>romantizar</v>
      </c>
      <c r="B4513" s="3">
        <v>1</v>
      </c>
    </row>
    <row r="4514" ht="15.75" customHeight="1" spans="1:2">
      <c r="A4514" s="3" t="str">
        <f>IFERROR(__xludf.DUMMYFUNCTION("GOOGLETRANSLATE(A4514,""en"",""pt"")"),"mais espaçoso")</f>
        <v>mais espaçoso</v>
      </c>
      <c r="B4514" s="3">
        <v>1</v>
      </c>
    </row>
    <row r="4515" ht="15.75" customHeight="1" spans="1:2">
      <c r="A4515" s="3" t="str">
        <f>IFERROR(__xludf.DUMMYFUNCTION("GOOGLETRANSLATE(A4515,""en"",""pt"")"),"espaçoso")</f>
        <v>espaçoso</v>
      </c>
      <c r="B4515" s="3">
        <v>1</v>
      </c>
    </row>
    <row r="4516" ht="15.75" customHeight="1" spans="1:2">
      <c r="A4516" s="3" t="str">
        <f>IFERROR(__xludf.DUMMYFUNCTION("GOOGLETRANSLATE(A4516,""en"",""pt"")"),"rosado")</f>
        <v>rosado</v>
      </c>
      <c r="B4516" s="3">
        <v>1</v>
      </c>
    </row>
    <row r="4517" ht="15.75" customHeight="1" spans="1:2">
      <c r="A4517" s="3" t="str">
        <f>IFERROR(__xludf.DUMMYFUNCTION("GOOGLETRANSLATE(A4517,""en"",""pt"")"),"seguro")</f>
        <v>seguro</v>
      </c>
      <c r="B4517" s="3">
        <v>1</v>
      </c>
    </row>
    <row r="4518" ht="15.75" customHeight="1" spans="1:2">
      <c r="A4518" s="3" t="str">
        <f>IFERROR(__xludf.DUMMYFUNCTION("GOOGLETRANSLATE(A4518,""en"",""pt"")"),"seguramente")</f>
        <v>seguramente</v>
      </c>
      <c r="B4518" s="3">
        <v>1</v>
      </c>
    </row>
    <row r="4519" ht="15.75" customHeight="1" spans="1:2">
      <c r="A4519" s="3" t="str">
        <f>IFERROR(__xludf.DUMMYFUNCTION("GOOGLETRANSLATE(A4519,""en"",""pt"")"),"sagacidade")</f>
        <v>sagacidade</v>
      </c>
      <c r="B4519" s="3">
        <v>1</v>
      </c>
    </row>
    <row r="4520" ht="15.75" customHeight="1" spans="1:2">
      <c r="A4520" s="3" t="str">
        <f>IFERROR(__xludf.DUMMYFUNCTION("GOOGLETRANSLATE(A4520,""en"",""pt"")"),"sagely")</f>
        <v>sagely</v>
      </c>
      <c r="B4520" s="3">
        <v>1</v>
      </c>
    </row>
    <row r="4521" ht="15.75" customHeight="1" spans="1:2">
      <c r="A4521" s="3" t="str">
        <f>IFERROR(__xludf.DUMMYFUNCTION("GOOGLETRANSLATE(A4521,""en"",""pt"")"),"santo")</f>
        <v>santo</v>
      </c>
      <c r="B4521" s="3">
        <v>1</v>
      </c>
    </row>
    <row r="4522" ht="15.75" customHeight="1" spans="1:2">
      <c r="A4522" s="3" t="str">
        <f>IFERROR(__xludf.DUMMYFUNCTION("GOOGLETRANSLATE(A4522,""en"",""pt"")"),"santidade")</f>
        <v>santidade</v>
      </c>
      <c r="B4522" s="3">
        <v>1</v>
      </c>
    </row>
    <row r="4523" ht="15.75" customHeight="1" spans="1:2">
      <c r="A4523" s="3" t="str">
        <f>IFERROR(__xludf.DUMMYFUNCTION("GOOGLETRANSLATE(A4523,""en"",""pt"")"),"santo")</f>
        <v>santo</v>
      </c>
      <c r="B4523" s="3">
        <v>1</v>
      </c>
    </row>
    <row r="4524" ht="15.75" customHeight="1" spans="1:2">
      <c r="A4524" s="3" t="str">
        <f>IFERROR(__xludf.DUMMYFUNCTION("GOOGLETRANSLATE(A4524,""en"",""pt"")"),"salutar")</f>
        <v>salutar</v>
      </c>
      <c r="B4524" s="3">
        <v>1</v>
      </c>
    </row>
    <row r="4525" ht="15.75" customHeight="1" spans="1:2">
      <c r="A4525" s="3" t="str">
        <f>IFERROR(__xludf.DUMMYFUNCTION("GOOGLETRANSLATE(A4525,""en"",""pt"")"),"saudação")</f>
        <v>saudação</v>
      </c>
      <c r="B4525" s="3">
        <v>1</v>
      </c>
    </row>
    <row r="4526" ht="15.75" customHeight="1" spans="1:2">
      <c r="A4526" s="3" t="str">
        <f>IFERROR(__xludf.DUMMYFUNCTION("GOOGLETRANSLATE(A4526,""en"",""pt"")"),"sensato")</f>
        <v>sensato</v>
      </c>
      <c r="B4526" s="3">
        <v>1</v>
      </c>
    </row>
    <row r="4527" ht="15.75" customHeight="1" spans="1:2">
      <c r="A4527" s="3" t="str">
        <f>IFERROR(__xludf.DUMMYFUNCTION("GOOGLETRANSLATE(A4527,""en"",""pt"")"),"satisfatoriamente")</f>
        <v>satisfatoriamente</v>
      </c>
      <c r="B4527" s="3">
        <v>1</v>
      </c>
    </row>
    <row r="4528" ht="15.75" customHeight="1" spans="1:2">
      <c r="A4528" s="3" t="str">
        <f>IFERROR(__xludf.DUMMYFUNCTION("GOOGLETRANSLATE(A4528,""en"",""pt"")"),"satisfatório")</f>
        <v>satisfatório</v>
      </c>
      <c r="B4528" s="3">
        <v>1</v>
      </c>
    </row>
    <row r="4529" ht="15.75" customHeight="1" spans="1:2">
      <c r="A4529" s="3" t="str">
        <f>IFERROR(__xludf.DUMMYFUNCTION("GOOGLETRANSLATE(A4529,""en"",""pt"")"),"satisfeito")</f>
        <v>satisfeito</v>
      </c>
      <c r="B4529" s="3">
        <v>1</v>
      </c>
    </row>
    <row r="4530" ht="15.75" customHeight="1" spans="1:2">
      <c r="A4530" s="3" t="str">
        <f>IFERROR(__xludf.DUMMYFUNCTION("GOOGLETRANSLATE(A4530,""en"",""pt"")"),"satisfaz")</f>
        <v>satisfaz</v>
      </c>
      <c r="B4530" s="3">
        <v>1</v>
      </c>
    </row>
    <row r="4531" ht="15.75" customHeight="1" spans="1:2">
      <c r="A4531" s="3" t="str">
        <f>IFERROR(__xludf.DUMMYFUNCTION("GOOGLETRANSLATE(A4531,""en"",""pt"")"),"satisfazer")</f>
        <v>satisfazer</v>
      </c>
      <c r="B4531" s="3">
        <v>1</v>
      </c>
    </row>
    <row r="4532" ht="15.75" customHeight="1" spans="1:2">
      <c r="A4532" s="3" t="str">
        <f>IFERROR(__xludf.DUMMYFUNCTION("GOOGLETRANSLATE(A4532,""en"",""pt"")"),"satisfazendo")</f>
        <v>satisfazendo</v>
      </c>
      <c r="B4532" s="3">
        <v>1</v>
      </c>
    </row>
    <row r="4533" ht="15.75" customHeight="1" spans="1:2">
      <c r="A4533" s="3" t="str">
        <f>IFERROR(__xludf.DUMMYFUNCTION("GOOGLETRANSLATE(A4533,""en"",""pt"")"),"satisified")</f>
        <v>satisified</v>
      </c>
      <c r="B4533" s="3">
        <v>1</v>
      </c>
    </row>
    <row r="4534" ht="15.75" customHeight="1" spans="1:2">
      <c r="A4534" s="3" t="str">
        <f>IFERROR(__xludf.DUMMYFUNCTION("GOOGLETRANSLATE(A4534,""en"",""pt"")"),"salvador")</f>
        <v>salvador</v>
      </c>
      <c r="B4534" s="3">
        <v>1</v>
      </c>
    </row>
    <row r="4535" ht="15.75" customHeight="1" spans="1:2">
      <c r="A4535" s="3" t="str">
        <f>IFERROR(__xludf.DUMMYFUNCTION("GOOGLETRANSLATE(A4535,""en"",""pt"")"),"poupança")</f>
        <v>poupança</v>
      </c>
      <c r="B4535" s="3">
        <v>1</v>
      </c>
    </row>
    <row r="4536" ht="15.75" customHeight="1" spans="1:2">
      <c r="A4536" s="3" t="str">
        <f>IFERROR(__xludf.DUMMYFUNCTION("GOOGLETRANSLATE(A4536,""en"",""pt"")"),"salvador")</f>
        <v>salvador</v>
      </c>
      <c r="B4536" s="3">
        <v>1</v>
      </c>
    </row>
    <row r="4537" ht="15.75" customHeight="1" spans="1:2">
      <c r="A4537" s="3" t="str">
        <f>IFERROR(__xludf.DUMMYFUNCTION("GOOGLETRANSLATE(A4537,""en"",""pt"")"),"experiente")</f>
        <v>experiente</v>
      </c>
      <c r="B4537" s="3">
        <v>1</v>
      </c>
    </row>
    <row r="4538" ht="15.75" customHeight="1" spans="1:2">
      <c r="A4538" s="3" t="str">
        <f>IFERROR(__xludf.DUMMYFUNCTION("GOOGLETRANSLATE(A4538,""en"",""pt"")"),"cênico")</f>
        <v>cênico</v>
      </c>
      <c r="B4538" s="3">
        <v>1</v>
      </c>
    </row>
    <row r="4539" ht="15.75" customHeight="1" spans="1:2">
      <c r="A4539" s="3" t="str">
        <f>IFERROR(__xludf.DUMMYFUNCTION("GOOGLETRANSLATE(A4539,""en"",""pt"")"),"desatado")</f>
        <v>desatado</v>
      </c>
      <c r="B4539" s="3">
        <v>1</v>
      </c>
    </row>
    <row r="4540" ht="15.75" customHeight="1" spans="1:2">
      <c r="A4540" s="3" t="str">
        <f>IFERROR(__xludf.DUMMYFUNCTION("GOOGLETRANSLATE(A4540,""en"",""pt"")"),"temperado")</f>
        <v>temperado</v>
      </c>
      <c r="B4540" s="3">
        <v>1</v>
      </c>
    </row>
    <row r="4541" ht="15.75" customHeight="1" spans="1:2">
      <c r="A4541" s="3" t="str">
        <f>IFERROR(__xludf.DUMMYFUNCTION("GOOGLETRANSLATE(A4541,""en"",""pt"")"),"seguro")</f>
        <v>seguro</v>
      </c>
      <c r="B4541" s="3">
        <v>1</v>
      </c>
    </row>
    <row r="4542" ht="15.75" customHeight="1" spans="1:2">
      <c r="A4542" s="3" t="str">
        <f>IFERROR(__xludf.DUMMYFUNCTION("GOOGLETRANSLATE(A4542,""en"",""pt"")"),"firmemente")</f>
        <v>firmemente</v>
      </c>
      <c r="B4542" s="3">
        <v>1</v>
      </c>
    </row>
    <row r="4543" ht="15.75" customHeight="1" spans="1:2">
      <c r="A4543" s="3" t="str">
        <f>IFERROR(__xludf.DUMMYFUNCTION("GOOGLETRANSLATE(A4543,""en"",""pt"")"),"seletivo")</f>
        <v>seletivo</v>
      </c>
      <c r="B4543" s="3">
        <v>1</v>
      </c>
    </row>
    <row r="4544" ht="15.75" customHeight="1" spans="1:2">
      <c r="A4544" s="3" t="str">
        <f>IFERROR(__xludf.DUMMYFUNCTION("GOOGLETRANSLATE(A4544,""en"",""pt"")"),"autodeterminação")</f>
        <v>autodeterminação</v>
      </c>
      <c r="B4544" s="3">
        <v>1</v>
      </c>
    </row>
    <row r="4545" ht="15.75" customHeight="1" spans="1:2">
      <c r="A4545" s="3" t="str">
        <f>IFERROR(__xludf.DUMMYFUNCTION("GOOGLETRANSLATE(A4545,""en"",""pt"")"),"respeito próprio")</f>
        <v>respeito próprio</v>
      </c>
      <c r="B4545" s="3">
        <v>1</v>
      </c>
    </row>
    <row r="4546" ht="15.75" customHeight="1" spans="1:2">
      <c r="A4546" s="3" t="str">
        <f>IFERROR(__xludf.DUMMYFUNCTION("GOOGLETRANSLATE(A4546,""en"",""pt"")"),"auto-satisfação")</f>
        <v>auto-satisfação</v>
      </c>
      <c r="B4546" s="3">
        <v>1</v>
      </c>
    </row>
    <row r="4547" ht="15.75" customHeight="1" spans="1:2">
      <c r="A4547" s="3" t="str">
        <f>IFERROR(__xludf.DUMMYFUNCTION("GOOGLETRANSLATE(A4547,""en"",""pt"")"),"auto-suficiência")</f>
        <v>auto-suficiência</v>
      </c>
      <c r="B4547" s="3">
        <v>1</v>
      </c>
    </row>
    <row r="4548" ht="15.75" customHeight="1" spans="1:2">
      <c r="A4548" s="3" t="str">
        <f>IFERROR(__xludf.DUMMYFUNCTION("GOOGLETRANSLATE(A4548,""en"",""pt"")"),"auto-suficiente")</f>
        <v>auto-suficiente</v>
      </c>
      <c r="B4548" s="3">
        <v>1</v>
      </c>
    </row>
    <row r="4549" ht="15.75" customHeight="1" spans="1:2">
      <c r="A4549" s="3" t="str">
        <f>IFERROR(__xludf.DUMMYFUNCTION("GOOGLETRANSLATE(A4549,""en"",""pt"")"),"sensação")</f>
        <v>sensação</v>
      </c>
      <c r="B4549" s="3">
        <v>1</v>
      </c>
    </row>
    <row r="4550" ht="15.75" customHeight="1" spans="1:2">
      <c r="A4550" s="3" t="str">
        <f>IFERROR(__xludf.DUMMYFUNCTION("GOOGLETRANSLATE(A4550,""en"",""pt"")"),"sensacional")</f>
        <v>sensacional</v>
      </c>
      <c r="B4550" s="3">
        <v>1</v>
      </c>
    </row>
    <row r="4551" ht="15.75" customHeight="1" spans="1:2">
      <c r="A4551" s="3" t="str">
        <f>IFERROR(__xludf.DUMMYFUNCTION("GOOGLETRANSLATE(A4551,""en"",""pt"")"),"sensacionalmente")</f>
        <v>sensacionalmente</v>
      </c>
      <c r="B4551" s="3">
        <v>1</v>
      </c>
    </row>
    <row r="4552" ht="15.75" customHeight="1" spans="1:2">
      <c r="A4552" s="3" t="str">
        <f>IFERROR(__xludf.DUMMYFUNCTION("GOOGLETRANSLATE(A4552,""en"",""pt"")"),"sensações")</f>
        <v>sensações</v>
      </c>
      <c r="B4552" s="3">
        <v>1</v>
      </c>
    </row>
    <row r="4553" ht="15.75" customHeight="1" spans="1:2">
      <c r="A4553" s="3" t="str">
        <f>IFERROR(__xludf.DUMMYFUNCTION("GOOGLETRANSLATE(A4553,""en"",""pt"")"),"sensato")</f>
        <v>sensato</v>
      </c>
      <c r="B4553" s="3">
        <v>1</v>
      </c>
    </row>
    <row r="4554" ht="15.75" customHeight="1" spans="1:2">
      <c r="A4554" s="3" t="str">
        <f>IFERROR(__xludf.DUMMYFUNCTION("GOOGLETRANSLATE(A4554,""en"",""pt"")"),"sensivel")</f>
        <v>sensivel</v>
      </c>
      <c r="B4554" s="3">
        <v>1</v>
      </c>
    </row>
    <row r="4555" ht="15.75" customHeight="1" spans="1:2">
      <c r="A4555" s="3" t="str">
        <f>IFERROR(__xludf.DUMMYFUNCTION("GOOGLETRANSLATE(A4555,""en"",""pt"")"),"sensível")</f>
        <v>sensível</v>
      </c>
      <c r="B4555" s="3">
        <v>1</v>
      </c>
    </row>
    <row r="4556" ht="15.75" customHeight="1" spans="1:2">
      <c r="A4556" s="3" t="str">
        <f>IFERROR(__xludf.DUMMYFUNCTION("GOOGLETRANSLATE(A4556,""en"",""pt"")"),"sereno")</f>
        <v>sereno</v>
      </c>
      <c r="B4556" s="3">
        <v>1</v>
      </c>
    </row>
    <row r="4557" ht="15.75" customHeight="1" spans="1:2">
      <c r="A4557" s="3" t="str">
        <f>IFERROR(__xludf.DUMMYFUNCTION("GOOGLETRANSLATE(A4557,""en"",""pt"")"),"serenidade")</f>
        <v>serenidade</v>
      </c>
      <c r="B4557" s="3">
        <v>1</v>
      </c>
    </row>
    <row r="4558" ht="15.75" customHeight="1" spans="1:2">
      <c r="A4558" s="3" t="str">
        <f>IFERROR(__xludf.DUMMYFUNCTION("GOOGLETRANSLATE(A4558,""en"",""pt"")"),"sensual")</f>
        <v>sensual</v>
      </c>
      <c r="B4558" s="3">
        <v>1</v>
      </c>
    </row>
    <row r="4559" ht="15.75" customHeight="1" spans="1:2">
      <c r="A4559" s="3" t="str">
        <f>IFERROR(__xludf.DUMMYFUNCTION("GOOGLETRANSLATE(A4559,""en"",""pt"")"),"afiado")</f>
        <v>afiado</v>
      </c>
      <c r="B4559" s="3">
        <v>1</v>
      </c>
    </row>
    <row r="4560" ht="15.75" customHeight="1" spans="1:2">
      <c r="A4560" s="3" t="str">
        <f>IFERROR(__xludf.DUMMYFUNCTION("GOOGLETRANSLATE(A4560,""en"",""pt"")"),"vigarista")</f>
        <v>vigarista</v>
      </c>
      <c r="B4560" s="3">
        <v>1</v>
      </c>
    </row>
    <row r="4561" ht="15.75" customHeight="1" spans="1:2">
      <c r="A4561" s="3" t="str">
        <f>IFERROR(__xludf.DUMMYFUNCTION("GOOGLETRANSLATE(A4561,""en"",""pt"")"),"sharpest")</f>
        <v>sharpest</v>
      </c>
      <c r="B4561" s="3">
        <v>1</v>
      </c>
    </row>
    <row r="4562" ht="15.75" customHeight="1" spans="1:2">
      <c r="A4562" s="3" t="str">
        <f>IFERROR(__xludf.DUMMYFUNCTION("GOOGLETRANSLATE(A4562,""en"",""pt"")"),"cintilante")</f>
        <v>cintilante</v>
      </c>
      <c r="B4562" s="3">
        <v>1</v>
      </c>
    </row>
    <row r="4563" ht="15.75" customHeight="1" spans="1:2">
      <c r="A4563" s="3" t="str">
        <f>IFERROR(__xludf.DUMMYFUNCTION("GOOGLETRANSLATE(A4563,""en"",""pt"")"),"shimmeringly")</f>
        <v>shimmeringly</v>
      </c>
      <c r="B4563" s="3">
        <v>1</v>
      </c>
    </row>
    <row r="4564" ht="15.75" customHeight="1" spans="1:2">
      <c r="A4564" s="3" t="str">
        <f>IFERROR(__xludf.DUMMYFUNCTION("GOOGLETRANSLATE(A4564,""en"",""pt"")"),"brilho")</f>
        <v>brilho</v>
      </c>
      <c r="B4564" s="3">
        <v>1</v>
      </c>
    </row>
    <row r="4565" ht="15.75" customHeight="1" spans="1:2">
      <c r="A4565" s="3" t="str">
        <f>IFERROR(__xludf.DUMMYFUNCTION("GOOGLETRANSLATE(A4565,""en"",""pt"")"),"brilhante")</f>
        <v>brilhante</v>
      </c>
      <c r="B4565" s="3">
        <v>1</v>
      </c>
    </row>
    <row r="4566" ht="15.75" customHeight="1" spans="1:2">
      <c r="A4566" s="3" t="str">
        <f>IFERROR(__xludf.DUMMYFUNCTION("GOOGLETRANSLATE(A4566,""en"",""pt"")"),"significativo")</f>
        <v>significativo</v>
      </c>
      <c r="B4566" s="3">
        <v>1</v>
      </c>
    </row>
    <row r="4567" ht="15.75" customHeight="1" spans="1:2">
      <c r="A4567" s="3" t="str">
        <f>IFERROR(__xludf.DUMMYFUNCTION("GOOGLETRANSLATE(A4567,""en"",""pt"")"),"silencioso")</f>
        <v>silencioso</v>
      </c>
      <c r="B4567" s="3">
        <v>1</v>
      </c>
    </row>
    <row r="4568" ht="15.75" customHeight="1" spans="1:2">
      <c r="A4568" s="3" t="str">
        <f>IFERROR(__xludf.DUMMYFUNCTION("GOOGLETRANSLATE(A4568,""en"",""pt"")"),"mais simples")</f>
        <v>mais simples</v>
      </c>
      <c r="B4568" s="3">
        <v>1</v>
      </c>
    </row>
    <row r="4569" ht="15.75" customHeight="1" spans="1:2">
      <c r="A4569" s="3" t="str">
        <f>IFERROR(__xludf.DUMMYFUNCTION("GOOGLETRANSLATE(A4569,""en"",""pt"")"),"mais simples")</f>
        <v>mais simples</v>
      </c>
      <c r="B4569" s="3">
        <v>1</v>
      </c>
    </row>
    <row r="4570" ht="15.75" customHeight="1" spans="1:2">
      <c r="A4570" s="3" t="str">
        <f>IFERROR(__xludf.DUMMYFUNCTION("GOOGLETRANSLATE(A4570,""en"",""pt"")"),"simplificada")</f>
        <v>simplificada</v>
      </c>
      <c r="B4570" s="3">
        <v>1</v>
      </c>
    </row>
    <row r="4571" ht="15.75" customHeight="1" spans="1:2">
      <c r="A4571" s="3" t="str">
        <f>IFERROR(__xludf.DUMMYFUNCTION("GOOGLETRANSLATE(A4571,""en"",""pt"")"),"simplifica")</f>
        <v>simplifica</v>
      </c>
      <c r="B4571" s="3">
        <v>1</v>
      </c>
    </row>
    <row r="4572" ht="15.75" customHeight="1" spans="1:2">
      <c r="A4572" s="3" t="str">
        <f>IFERROR(__xludf.DUMMYFUNCTION("GOOGLETRANSLATE(A4572,""en"",""pt"")"),"simplificar")</f>
        <v>simplificar</v>
      </c>
      <c r="B4572" s="3">
        <v>1</v>
      </c>
    </row>
    <row r="4573" ht="15.75" customHeight="1" spans="1:2">
      <c r="A4573" s="3" t="str">
        <f>IFERROR(__xludf.DUMMYFUNCTION("GOOGLETRANSLATE(A4573,""en"",""pt"")"),"simplificando")</f>
        <v>simplificando</v>
      </c>
      <c r="B4573" s="3">
        <v>1</v>
      </c>
    </row>
    <row r="4574" ht="15.75" customHeight="1" spans="1:2">
      <c r="A4574" s="3" t="str">
        <f>IFERROR(__xludf.DUMMYFUNCTION("GOOGLETRANSLATE(A4574,""en"",""pt"")"),"sincero")</f>
        <v>sincero</v>
      </c>
      <c r="B4574" s="3">
        <v>1</v>
      </c>
    </row>
    <row r="4575" ht="15.75" customHeight="1" spans="1:2">
      <c r="A4575" s="3" t="str">
        <f>IFERROR(__xludf.DUMMYFUNCTION("GOOGLETRANSLATE(A4575,""en"",""pt"")"),"Atenciosamente")</f>
        <v>Atenciosamente</v>
      </c>
      <c r="B4575" s="3">
        <v>1</v>
      </c>
    </row>
    <row r="4576" ht="15.75" customHeight="1" spans="1:2">
      <c r="A4576" s="3" t="str">
        <f>IFERROR(__xludf.DUMMYFUNCTION("GOOGLETRANSLATE(A4576,""en"",""pt"")"),"sinceridade")</f>
        <v>sinceridade</v>
      </c>
      <c r="B4576" s="3">
        <v>1</v>
      </c>
    </row>
    <row r="4577" ht="15.75" customHeight="1" spans="1:2">
      <c r="A4577" s="3" t="str">
        <f>IFERROR(__xludf.DUMMYFUNCTION("GOOGLETRANSLATE(A4577,""en"",""pt"")"),"habilidade")</f>
        <v>habilidade</v>
      </c>
      <c r="B4577" s="3">
        <v>1</v>
      </c>
    </row>
    <row r="4578" ht="15.75" customHeight="1" spans="1:2">
      <c r="A4578" s="3" t="str">
        <f>IFERROR(__xludf.DUMMYFUNCTION("GOOGLETRANSLATE(A4578,""en"",""pt"")"),"especializado")</f>
        <v>especializado</v>
      </c>
      <c r="B4578" s="3">
        <v>1</v>
      </c>
    </row>
    <row r="4579" ht="15.75" customHeight="1" spans="1:2">
      <c r="A4579" s="3" t="str">
        <f>IFERROR(__xludf.DUMMYFUNCTION("GOOGLETRANSLATE(A4579,""en"",""pt"")"),"hábil")</f>
        <v>hábil</v>
      </c>
      <c r="B4579" s="3">
        <v>1</v>
      </c>
    </row>
    <row r="4580" ht="15.75" customHeight="1" spans="1:2">
      <c r="A4580" s="3" t="str">
        <f>IFERROR(__xludf.DUMMYFUNCTION("GOOGLETRANSLATE(A4580,""en"",""pt"")"),"habilmente")</f>
        <v>habilmente</v>
      </c>
      <c r="B4580" s="3">
        <v>1</v>
      </c>
    </row>
    <row r="4581" ht="15.75" customHeight="1" spans="1:2">
      <c r="A4581" s="3" t="str">
        <f>IFERROR(__xludf.DUMMYFUNCTION("GOOGLETRANSLATE(A4581,""en"",""pt"")"),"slammin")</f>
        <v>slammin</v>
      </c>
      <c r="B4581" s="3">
        <v>1</v>
      </c>
    </row>
    <row r="4582" ht="15.75" customHeight="1" spans="1:2">
      <c r="A4582" s="3" t="str">
        <f>IFERROR(__xludf.DUMMYFUNCTION("GOOGLETRANSLATE(A4582,""en"",""pt"")"),"lustroso")</f>
        <v>lustroso</v>
      </c>
      <c r="B4582" s="3">
        <v>1</v>
      </c>
    </row>
    <row r="4583" ht="15.75" customHeight="1" spans="1:2">
      <c r="A4583" s="3" t="str">
        <f>IFERROR(__xludf.DUMMYFUNCTION("GOOGLETRANSLATE(A4583,""en"",""pt"")"),"liso")</f>
        <v>liso</v>
      </c>
      <c r="B4583" s="3">
        <v>1</v>
      </c>
    </row>
    <row r="4584" ht="15.75" customHeight="1" spans="1:2">
      <c r="A4584" s="3" t="str">
        <f>IFERROR(__xludf.DUMMYFUNCTION("GOOGLETRANSLATE(A4584,""en"",""pt"")"),"inteligente")</f>
        <v>inteligente</v>
      </c>
      <c r="B4584" s="3">
        <v>1</v>
      </c>
    </row>
    <row r="4585" ht="15.75" customHeight="1" spans="1:2">
      <c r="A4585" s="3" t="str">
        <f>IFERROR(__xludf.DUMMYFUNCTION("GOOGLETRANSLATE(A4585,""en"",""pt"")"),"mais esperto")</f>
        <v>mais esperto</v>
      </c>
      <c r="B4585" s="3">
        <v>1</v>
      </c>
    </row>
    <row r="4586" ht="15.75" customHeight="1" spans="1:2">
      <c r="A4586" s="3" t="str">
        <f>IFERROR(__xludf.DUMMYFUNCTION("GOOGLETRANSLATE(A4586,""en"",""pt"")"),"mais inteligente")</f>
        <v>mais inteligente</v>
      </c>
      <c r="B4586" s="3">
        <v>1</v>
      </c>
    </row>
    <row r="4587" ht="15.75" customHeight="1" spans="1:2">
      <c r="A4587" s="3" t="str">
        <f>IFERROR(__xludf.DUMMYFUNCTION("GOOGLETRANSLATE(A4587,""en"",""pt"")"),"espertamente")</f>
        <v>espertamente</v>
      </c>
      <c r="B4587" s="3">
        <v>1</v>
      </c>
    </row>
    <row r="4588" ht="15.75" customHeight="1" spans="1:2">
      <c r="A4588" s="3" t="str">
        <f>IFERROR(__xludf.DUMMYFUNCTION("GOOGLETRANSLATE(A4588,""en"",""pt"")"),"sorrir")</f>
        <v>sorrir</v>
      </c>
      <c r="B4588" s="3">
        <v>1</v>
      </c>
    </row>
    <row r="4589" ht="15.75" customHeight="1" spans="1:2">
      <c r="A4589" s="3" t="str">
        <f>IFERROR(__xludf.DUMMYFUNCTION("GOOGLETRANSLATE(A4589,""en"",""pt"")"),"sorrisos")</f>
        <v>sorrisos</v>
      </c>
      <c r="B4589" s="3">
        <v>1</v>
      </c>
    </row>
    <row r="4590" ht="15.75" customHeight="1" spans="1:2">
      <c r="A4590" s="3" t="str">
        <f>IFERROR(__xludf.DUMMYFUNCTION("GOOGLETRANSLATE(A4590,""en"",""pt"")"),"sorridente")</f>
        <v>sorridente</v>
      </c>
      <c r="B4590" s="3">
        <v>1</v>
      </c>
    </row>
    <row r="4591" ht="15.75" customHeight="1" spans="1:2">
      <c r="A4591" s="3" t="str">
        <f>IFERROR(__xludf.DUMMYFUNCTION("GOOGLETRANSLATE(A4591,""en"",""pt"")"),"com sorriso")</f>
        <v>com sorriso</v>
      </c>
      <c r="B4591" s="3">
        <v>1</v>
      </c>
    </row>
    <row r="4592" ht="15.75" customHeight="1" spans="1:2">
      <c r="A4592" s="3" t="str">
        <f>IFERROR(__xludf.DUMMYFUNCTION("GOOGLETRANSLATE(A4592,""en"",""pt"")"),"ferido")</f>
        <v>ferido</v>
      </c>
      <c r="B4592" s="3">
        <v>1</v>
      </c>
    </row>
    <row r="4593" ht="15.75" customHeight="1" spans="1:2">
      <c r="A4593" s="3" t="str">
        <f>IFERROR(__xludf.DUMMYFUNCTION("GOOGLETRANSLATE(A4593,""en"",""pt"")"),"suave")</f>
        <v>suave</v>
      </c>
      <c r="B4593" s="3">
        <v>1</v>
      </c>
    </row>
    <row r="4594" ht="15.75" customHeight="1" spans="1:2">
      <c r="A4594" s="3" t="str">
        <f>IFERROR(__xludf.DUMMYFUNCTION("GOOGLETRANSLATE(A4594,""en"",""pt"")"),"suave")</f>
        <v>suave</v>
      </c>
      <c r="B4594" s="3">
        <v>1</v>
      </c>
    </row>
    <row r="4595" ht="15.75" customHeight="1" spans="1:2">
      <c r="A4595" s="3" t="str">
        <f>IFERROR(__xludf.DUMMYFUNCTION("GOOGLETRANSLATE(A4595,""en"",""pt"")"),"suaviza")</f>
        <v>suaviza</v>
      </c>
      <c r="B4595" s="3">
        <v>1</v>
      </c>
    </row>
    <row r="4596" ht="15.75" customHeight="1" spans="1:2">
      <c r="A4596" s="3" t="str">
        <f>IFERROR(__xludf.DUMMYFUNCTION("GOOGLETRANSLATE(A4596,""en"",""pt"")"),"suave")</f>
        <v>suave</v>
      </c>
      <c r="B4596" s="3">
        <v>1</v>
      </c>
    </row>
    <row r="4597" ht="15.75" customHeight="1" spans="1:2">
      <c r="A4597" s="3" t="str">
        <f>IFERROR(__xludf.DUMMYFUNCTION("GOOGLETRANSLATE(A4597,""en"",""pt"")"),"suavemente")</f>
        <v>suavemente</v>
      </c>
      <c r="B4597" s="3">
        <v>1</v>
      </c>
    </row>
    <row r="4598" ht="15.75" customHeight="1" spans="1:2">
      <c r="A4598" s="3" t="str">
        <f>IFERROR(__xludf.DUMMYFUNCTION("GOOGLETRANSLATE(A4598,""en"",""pt"")"),"mal-humorado")</f>
        <v>mal-humorado</v>
      </c>
      <c r="B4598" s="3">
        <v>1</v>
      </c>
    </row>
    <row r="4599" ht="15.75" customHeight="1" spans="1:2">
      <c r="A4599" s="3" t="str">
        <f>IFERROR(__xludf.DUMMYFUNCTION("GOOGLETRANSLATE(A4599,""en"",""pt"")"),"snazzy")</f>
        <v>snazzy</v>
      </c>
      <c r="B4599" s="3">
        <v>1</v>
      </c>
    </row>
    <row r="4600" ht="15.75" customHeight="1" spans="1:2">
      <c r="A4600" s="3" t="str">
        <f>IFERROR(__xludf.DUMMYFUNCTION("GOOGLETRANSLATE(A4600,""en"",""pt"")"),"sociável")</f>
        <v>sociável</v>
      </c>
      <c r="B4600" s="3">
        <v>1</v>
      </c>
    </row>
    <row r="4601" ht="15.75" customHeight="1" spans="1:2">
      <c r="A4601" s="3" t="str">
        <f>IFERROR(__xludf.DUMMYFUNCTION("GOOGLETRANSLATE(A4601,""en"",""pt"")"),"suave")</f>
        <v>suave</v>
      </c>
      <c r="B4601" s="3">
        <v>1</v>
      </c>
    </row>
    <row r="4602" ht="15.75" customHeight="1" spans="1:2">
      <c r="A4602" s="3" t="str">
        <f>IFERROR(__xludf.DUMMYFUNCTION("GOOGLETRANSLATE(A4602,""en"",""pt"")"),"mais suave")</f>
        <v>mais suave</v>
      </c>
      <c r="B4602" s="3">
        <v>1</v>
      </c>
    </row>
    <row r="4603" ht="15.75" customHeight="1" spans="1:2">
      <c r="A4603" s="3" t="str">
        <f>IFERROR(__xludf.DUMMYFUNCTION("GOOGLETRANSLATE(A4603,""en"",""pt"")"),"consolo")</f>
        <v>consolo</v>
      </c>
      <c r="B4603" s="3">
        <v>1</v>
      </c>
    </row>
    <row r="4604" ht="15.75" customHeight="1" spans="1:2">
      <c r="A4604" s="3" t="str">
        <f>IFERROR(__xludf.DUMMYFUNCTION("GOOGLETRANSLATE(A4604,""en"",""pt"")"),"solícito")</f>
        <v>solícito</v>
      </c>
      <c r="B4604" s="3">
        <v>1</v>
      </c>
    </row>
    <row r="4605" ht="15.75" customHeight="1" spans="1:2">
      <c r="A4605" s="3" t="str">
        <f>IFERROR(__xludf.DUMMYFUNCTION("GOOGLETRANSLATE(A4605,""en"",""pt"")"),"solicitamente")</f>
        <v>solicitamente</v>
      </c>
      <c r="B4605" s="3">
        <v>1</v>
      </c>
    </row>
    <row r="4606" ht="15.75" customHeight="1" spans="1:2">
      <c r="A4606" s="3" t="str">
        <f>IFERROR(__xludf.DUMMYFUNCTION("GOOGLETRANSLATE(A4606,""en"",""pt"")"),"sólido")</f>
        <v>sólido</v>
      </c>
      <c r="B4606" s="3">
        <v>1</v>
      </c>
    </row>
    <row r="4607" ht="15.75" customHeight="1" spans="1:2">
      <c r="A4607" s="3" t="str">
        <f>IFERROR(__xludf.DUMMYFUNCTION("GOOGLETRANSLATE(A4607,""en"",""pt"")"),"solidariedade")</f>
        <v>solidariedade</v>
      </c>
      <c r="B4607" s="3">
        <v>1</v>
      </c>
    </row>
    <row r="4608" ht="15.75" customHeight="1" spans="1:2">
      <c r="A4608" s="3" t="str">
        <f>IFERROR(__xludf.DUMMYFUNCTION("GOOGLETRANSLATE(A4608,""en"",""pt"")"),"acalmar")</f>
        <v>acalmar</v>
      </c>
      <c r="B4608" s="3">
        <v>1</v>
      </c>
    </row>
    <row r="4609" ht="15.75" customHeight="1" spans="1:2">
      <c r="A4609" s="3" t="str">
        <f>IFERROR(__xludf.DUMMYFUNCTION("GOOGLETRANSLATE(A4609,""en"",""pt"")"),"suavemente")</f>
        <v>suavemente</v>
      </c>
      <c r="B4609" s="3">
        <v>1</v>
      </c>
    </row>
    <row r="4610" ht="15.75" customHeight="1" spans="1:2">
      <c r="A4610" s="3" t="str">
        <f>IFERROR(__xludf.DUMMYFUNCTION("GOOGLETRANSLATE(A4610,""en"",""pt"")"),"sofisticado")</f>
        <v>sofisticado</v>
      </c>
      <c r="B4610" s="3">
        <v>1</v>
      </c>
    </row>
    <row r="4611" ht="15.75" customHeight="1" spans="1:2">
      <c r="A4611" s="3" t="str">
        <f>IFERROR(__xludf.DUMMYFUNCTION("GOOGLETRANSLATE(A4611,""en"",""pt"")"),"emotivo")</f>
        <v>emotivo</v>
      </c>
      <c r="B4611" s="3">
        <v>1</v>
      </c>
    </row>
    <row r="4612" ht="15.75" customHeight="1" spans="1:2">
      <c r="A4612" s="3" t="str">
        <f>IFERROR(__xludf.DUMMYFUNCTION("GOOGLETRANSLATE(A4612,""en"",""pt"")"),"sadia")</f>
        <v>sadia</v>
      </c>
      <c r="B4612" s="3">
        <v>1</v>
      </c>
    </row>
    <row r="4613" ht="15.75" customHeight="1" spans="1:2">
      <c r="A4613" s="3" t="str">
        <f>IFERROR(__xludf.DUMMYFUNCTION("GOOGLETRANSLATE(A4613,""en"",""pt"")"),"solidez")</f>
        <v>solidez</v>
      </c>
      <c r="B4613" s="3">
        <v>1</v>
      </c>
    </row>
    <row r="4614" ht="15.75" customHeight="1" spans="1:2">
      <c r="A4614" s="3" t="str">
        <f>IFERROR(__xludf.DUMMYFUNCTION("GOOGLETRANSLATE(A4614,""en"",""pt"")"),"espaçoso")</f>
        <v>espaçoso</v>
      </c>
      <c r="B4614" s="3">
        <v>1</v>
      </c>
    </row>
    <row r="4615" ht="15.75" customHeight="1" spans="1:2">
      <c r="A4615" s="3" t="str">
        <f>IFERROR(__xludf.DUMMYFUNCTION("GOOGLETRANSLATE(A4615,""en"",""pt"")"),"brilhar")</f>
        <v>brilhar</v>
      </c>
      <c r="B4615" s="3">
        <v>1</v>
      </c>
    </row>
    <row r="4616" ht="15.75" customHeight="1" spans="1:2">
      <c r="A4616" s="3" t="str">
        <f>IFERROR(__xludf.DUMMYFUNCTION("GOOGLETRANSLATE(A4616,""en"",""pt"")"),"espumante")</f>
        <v>espumante</v>
      </c>
      <c r="B4616" s="3">
        <v>1</v>
      </c>
    </row>
    <row r="4617" ht="15.75" customHeight="1" spans="1:2">
      <c r="A4617" s="3" t="str">
        <f>IFERROR(__xludf.DUMMYFUNCTION("GOOGLETRANSLATE(A4617,""en"",""pt"")"),"espetacular")</f>
        <v>espetacular</v>
      </c>
      <c r="B4617" s="3">
        <v>1</v>
      </c>
    </row>
    <row r="4618" ht="15.75" customHeight="1" spans="1:2">
      <c r="A4618" s="3" t="str">
        <f>IFERROR(__xludf.DUMMYFUNCTION("GOOGLETRANSLATE(A4618,""en"",""pt"")"),"espetacularmente")</f>
        <v>espetacularmente</v>
      </c>
      <c r="B4618" s="3">
        <v>1</v>
      </c>
    </row>
    <row r="4619" ht="15.75" customHeight="1" spans="1:2">
      <c r="A4619" s="3" t="str">
        <f>IFERROR(__xludf.DUMMYFUNCTION("GOOGLETRANSLATE(A4619,""en"",""pt"")"),"rapidamente")</f>
        <v>rapidamente</v>
      </c>
      <c r="B4619" s="3">
        <v>1</v>
      </c>
    </row>
    <row r="4620" ht="15.75" customHeight="1" spans="1:2">
      <c r="A4620" s="3" t="str">
        <f>IFERROR(__xludf.DUMMYFUNCTION("GOOGLETRANSLATE(A4620,""en"",""pt"")"),"veloz")</f>
        <v>veloz</v>
      </c>
      <c r="B4620" s="3">
        <v>1</v>
      </c>
    </row>
    <row r="4621" ht="15.75" customHeight="1" spans="1:2">
      <c r="A4621" s="3" t="str">
        <f>IFERROR(__xludf.DUMMYFUNCTION("GOOGLETRANSLATE(A4621,""en"",""pt"")"),"Spellbind")</f>
        <v>Spellbind</v>
      </c>
      <c r="B4621" s="3">
        <v>1</v>
      </c>
    </row>
    <row r="4622" ht="15.75" customHeight="1" spans="1:2">
      <c r="A4622" s="3" t="str">
        <f>IFERROR(__xludf.DUMMYFUNCTION("GOOGLETRANSLATE(A4622,""en"",""pt"")"),"fascinante")</f>
        <v>fascinante</v>
      </c>
      <c r="B4622" s="3">
        <v>1</v>
      </c>
    </row>
    <row r="4623" ht="15.75" customHeight="1" spans="1:2">
      <c r="A4623" s="3" t="str">
        <f>IFERROR(__xludf.DUMMYFUNCTION("GOOGLETRANSLATE(A4623,""en"",""pt"")"),"spellbindingly")</f>
        <v>spellbindingly</v>
      </c>
      <c r="B4623" s="3">
        <v>1</v>
      </c>
    </row>
    <row r="4624" ht="15.75" customHeight="1" spans="1:2">
      <c r="A4624" s="3" t="str">
        <f>IFERROR(__xludf.DUMMYFUNCTION("GOOGLETRANSLATE(A4624,""en"",""pt"")"),"tonto")</f>
        <v>tonto</v>
      </c>
      <c r="B4624" s="3">
        <v>1</v>
      </c>
    </row>
    <row r="4625" ht="15.75" customHeight="1" spans="1:2">
      <c r="A4625" s="3" t="str">
        <f>IFERROR(__xludf.DUMMYFUNCTION("GOOGLETRANSLATE(A4625,""en"",""pt"")"),"animado")</f>
        <v>animado</v>
      </c>
      <c r="B4625" s="3">
        <v>1</v>
      </c>
    </row>
    <row r="4626" ht="15.75" customHeight="1" spans="1:2">
      <c r="A4626" s="3" t="str">
        <f>IFERROR(__xludf.DUMMYFUNCTION("GOOGLETRANSLATE(A4626,""en"",""pt"")"),"espiritual")</f>
        <v>espiritual</v>
      </c>
      <c r="B4626" s="3">
        <v>1</v>
      </c>
    </row>
    <row r="4627" ht="15.75" customHeight="1" spans="1:2">
      <c r="A4627" s="3" t="str">
        <f>IFERROR(__xludf.DUMMYFUNCTION("GOOGLETRANSLATE(A4627,""en"",""pt"")"),"esplêndido")</f>
        <v>esplêndido</v>
      </c>
      <c r="B4627" s="3">
        <v>1</v>
      </c>
    </row>
    <row r="4628" ht="15.75" customHeight="1" spans="1:2">
      <c r="A4628" s="3" t="str">
        <f>IFERROR(__xludf.DUMMYFUNCTION("GOOGLETRANSLATE(A4628,""en"",""pt"")"),"esplendidamente")</f>
        <v>esplendidamente</v>
      </c>
      <c r="B4628" s="3">
        <v>1</v>
      </c>
    </row>
    <row r="4629" ht="15.75" customHeight="1" spans="1:2">
      <c r="A4629" s="3" t="str">
        <f>IFERROR(__xludf.DUMMYFUNCTION("GOOGLETRANSLATE(A4629,""en"",""pt"")"),"esplendor")</f>
        <v>esplendor</v>
      </c>
      <c r="B4629" s="3">
        <v>1</v>
      </c>
    </row>
    <row r="4630" ht="15.75" customHeight="1" spans="1:2">
      <c r="A4630" s="3" t="str">
        <f>IFERROR(__xludf.DUMMYFUNCTION("GOOGLETRANSLATE(A4630,""en"",""pt"")"),"espontâneo")</f>
        <v>espontâneo</v>
      </c>
      <c r="B4630" s="3">
        <v>1</v>
      </c>
    </row>
    <row r="4631" ht="15.75" customHeight="1" spans="1:2">
      <c r="A4631" s="3" t="str">
        <f>IFERROR(__xludf.DUMMYFUNCTION("GOOGLETRANSLATE(A4631,""en"",""pt"")"),"desportivo")</f>
        <v>desportivo</v>
      </c>
      <c r="B4631" s="3">
        <v>1</v>
      </c>
    </row>
    <row r="4632" ht="15.75" customHeight="1" spans="1:2">
      <c r="A4632" s="3" t="str">
        <f>IFERROR(__xludf.DUMMYFUNCTION("GOOGLETRANSLATE(A4632,""en"",""pt"")"),"imaculado")</f>
        <v>imaculado</v>
      </c>
      <c r="B4632" s="3">
        <v>1</v>
      </c>
    </row>
    <row r="4633" ht="15.75" customHeight="1" spans="1:2">
      <c r="A4633" s="3" t="str">
        <f>IFERROR(__xludf.DUMMYFUNCTION("GOOGLETRANSLATE(A4633,""en"",""pt"")"),"alegre")</f>
        <v>alegre</v>
      </c>
      <c r="B4633" s="3">
        <v>1</v>
      </c>
    </row>
    <row r="4634" ht="15.75" customHeight="1" spans="1:2">
      <c r="A4634" s="3" t="str">
        <f>IFERROR(__xludf.DUMMYFUNCTION("GOOGLETRANSLATE(A4634,""en"",""pt"")"),"estabilidade")</f>
        <v>estabilidade</v>
      </c>
      <c r="B4634" s="3">
        <v>1</v>
      </c>
    </row>
    <row r="4635" ht="15.75" customHeight="1" spans="1:2">
      <c r="A4635" s="3" t="str">
        <f>IFERROR(__xludf.DUMMYFUNCTION("GOOGLETRANSLATE(A4635,""en"",""pt"")"),"estabilizar")</f>
        <v>estabilizar</v>
      </c>
      <c r="B4635" s="3">
        <v>1</v>
      </c>
    </row>
    <row r="4636" ht="15.75" customHeight="1" spans="1:2">
      <c r="A4636" s="3" t="str">
        <f>IFERROR(__xludf.DUMMYFUNCTION("GOOGLETRANSLATE(A4636,""en"",""pt"")"),"estável")</f>
        <v>estável</v>
      </c>
      <c r="B4636" s="3">
        <v>1</v>
      </c>
    </row>
    <row r="4637" ht="15.75" customHeight="1" spans="1:2">
      <c r="A4637" s="3" t="str">
        <f>IFERROR(__xludf.DUMMYFUNCTION("GOOGLETRANSLATE(A4637,""en"",""pt"")"),"inoxidável")</f>
        <v>inoxidável</v>
      </c>
      <c r="B4637" s="3">
        <v>1</v>
      </c>
    </row>
    <row r="4638" ht="15.75" customHeight="1" spans="1:2">
      <c r="A4638" s="3" t="str">
        <f>IFERROR(__xludf.DUMMYFUNCTION("GOOGLETRANSLATE(A4638,""en"",""pt"")"),"se destacarem")</f>
        <v>se destacarem</v>
      </c>
      <c r="B4638" s="3">
        <v>1</v>
      </c>
    </row>
    <row r="4639" ht="15.75" customHeight="1" spans="1:2">
      <c r="A4639" s="3" t="str">
        <f>IFERROR(__xludf.DUMMYFUNCTION("GOOGLETRANSLATE(A4639,""en"",""pt"")"),"Estado da arte")</f>
        <v>Estado da arte</v>
      </c>
      <c r="B4639" s="3">
        <v>1</v>
      </c>
    </row>
    <row r="4640" ht="15.75" customHeight="1" spans="1:2">
      <c r="A4640" s="3" t="str">
        <f>IFERROR(__xludf.DUMMYFUNCTION("GOOGLETRANSLATE(A4640,""en"",""pt"")"),"imponente")</f>
        <v>imponente</v>
      </c>
      <c r="B4640" s="3">
        <v>1</v>
      </c>
    </row>
    <row r="4641" ht="15.75" customHeight="1" spans="1:2">
      <c r="A4641" s="3" t="str">
        <f>IFERROR(__xludf.DUMMYFUNCTION("GOOGLETRANSLATE(A4641,""en"",""pt"")"),"escultural")</f>
        <v>escultural</v>
      </c>
      <c r="B4641" s="3">
        <v>1</v>
      </c>
    </row>
    <row r="4642" ht="15.75" customHeight="1" spans="1:2">
      <c r="A4642" s="3" t="str">
        <f>IFERROR(__xludf.DUMMYFUNCTION("GOOGLETRANSLATE(A4642,""en"",""pt"")"),"leal")</f>
        <v>leal</v>
      </c>
      <c r="B4642" s="3">
        <v>1</v>
      </c>
    </row>
    <row r="4643" ht="15.75" customHeight="1" spans="1:2">
      <c r="A4643" s="3" t="str">
        <f>IFERROR(__xludf.DUMMYFUNCTION("GOOGLETRANSLATE(A4643,""en"",""pt"")"),"firmemente")</f>
        <v>firmemente</v>
      </c>
      <c r="B4643" s="3">
        <v>1</v>
      </c>
    </row>
    <row r="4644" ht="15.75" customHeight="1" spans="1:2">
      <c r="A4644" s="3" t="str">
        <f>IFERROR(__xludf.DUMMYFUNCTION("GOOGLETRANSLATE(A4644,""en"",""pt"")"),"staunchness")</f>
        <v>staunchness</v>
      </c>
      <c r="B4644" s="3">
        <v>1</v>
      </c>
    </row>
    <row r="4645" ht="15.75" customHeight="1" spans="1:2">
      <c r="A4645" s="3" t="str">
        <f>IFERROR(__xludf.DUMMYFUNCTION("GOOGLETRANSLATE(A4645,""en"",""pt"")"),"firme")</f>
        <v>firme</v>
      </c>
      <c r="B4645" s="3">
        <v>1</v>
      </c>
    </row>
    <row r="4646" ht="15.75" customHeight="1" spans="1:2">
      <c r="A4646" s="3" t="str">
        <f>IFERROR(__xludf.DUMMYFUNCTION("GOOGLETRANSLATE(A4646,""en"",""pt"")"),"firmemente")</f>
        <v>firmemente</v>
      </c>
      <c r="B4646" s="3">
        <v>1</v>
      </c>
    </row>
    <row r="4647" ht="15.75" customHeight="1" spans="1:2">
      <c r="A4647" s="3" t="str">
        <f>IFERROR(__xludf.DUMMYFUNCTION("GOOGLETRANSLATE(A4647,""en"",""pt"")"),"firmeza")</f>
        <v>firmeza</v>
      </c>
      <c r="B4647" s="3">
        <v>1</v>
      </c>
    </row>
    <row r="4648" ht="15.75" customHeight="1" spans="1:2">
      <c r="A4648" s="3" t="str">
        <f>IFERROR(__xludf.DUMMYFUNCTION("GOOGLETRANSLATE(A4648,""en"",""pt"")"),"steadiest")</f>
        <v>steadiest</v>
      </c>
      <c r="B4648" s="3">
        <v>1</v>
      </c>
    </row>
    <row r="4649" ht="15.75" customHeight="1" spans="1:2">
      <c r="A4649" s="3" t="str">
        <f>IFERROR(__xludf.DUMMYFUNCTION("GOOGLETRANSLATE(A4649,""en"",""pt"")"),"steadiness")</f>
        <v>steadiness</v>
      </c>
      <c r="B4649" s="3">
        <v>1</v>
      </c>
    </row>
    <row r="4650" ht="15.75" customHeight="1" spans="1:2">
      <c r="A4650" s="3" t="str">
        <f>IFERROR(__xludf.DUMMYFUNCTION("GOOGLETRANSLATE(A4650,""en"",""pt"")"),"estável")</f>
        <v>estável</v>
      </c>
      <c r="B4650" s="3">
        <v>1</v>
      </c>
    </row>
    <row r="4651" ht="15.75" customHeight="1" spans="1:2">
      <c r="A4651" s="3" t="str">
        <f>IFERROR(__xludf.DUMMYFUNCTION("GOOGLETRANSLATE(A4651,""en"",""pt"")"),"estelar")</f>
        <v>estelar</v>
      </c>
      <c r="B4651" s="3">
        <v>1</v>
      </c>
    </row>
    <row r="4652" ht="15.75" customHeight="1" spans="1:2">
      <c r="A4652" s="3" t="str">
        <f>IFERROR(__xludf.DUMMYFUNCTION("GOOGLETRANSLATE(A4652,""en"",""pt"")"),"stellarly")</f>
        <v>stellarly</v>
      </c>
      <c r="B4652" s="3">
        <v>1</v>
      </c>
    </row>
    <row r="4653" ht="15.75" customHeight="1" spans="1:2">
      <c r="A4653" s="3" t="str">
        <f>IFERROR(__xludf.DUMMYFUNCTION("GOOGLETRANSLATE(A4653,""en"",""pt"")"),"estimular")</f>
        <v>estimular</v>
      </c>
      <c r="B4653" s="3">
        <v>1</v>
      </c>
    </row>
    <row r="4654" ht="15.75" customHeight="1" spans="1:2">
      <c r="A4654" s="3" t="str">
        <f>IFERROR(__xludf.DUMMYFUNCTION("GOOGLETRANSLATE(A4654,""en"",""pt"")"),"estimula")</f>
        <v>estimula</v>
      </c>
      <c r="B4654" s="3">
        <v>1</v>
      </c>
    </row>
    <row r="4655" ht="15.75" customHeight="1" spans="1:2">
      <c r="A4655" s="3" t="str">
        <f>IFERROR(__xludf.DUMMYFUNCTION("GOOGLETRANSLATE(A4655,""en"",""pt"")"),"estimulante")</f>
        <v>estimulante</v>
      </c>
      <c r="B4655" s="3">
        <v>1</v>
      </c>
    </row>
    <row r="4656" ht="15.75" customHeight="1" spans="1:2">
      <c r="A4656" s="3" t="str">
        <f>IFERROR(__xludf.DUMMYFUNCTION("GOOGLETRANSLATE(A4656,""en"",""pt"")"),"stimulative")</f>
        <v>stimulative</v>
      </c>
      <c r="B4656" s="3">
        <v>1</v>
      </c>
    </row>
    <row r="4657" ht="15.75" customHeight="1" spans="1:2">
      <c r="A4657" s="3" t="str">
        <f>IFERROR(__xludf.DUMMYFUNCTION("GOOGLETRANSLATE(A4657,""en"",""pt"")"),"convincentemente")</f>
        <v>convincentemente</v>
      </c>
      <c r="B4657" s="3">
        <v>1</v>
      </c>
    </row>
    <row r="4658" ht="15.75" customHeight="1" spans="1:2">
      <c r="A4658" s="3" t="str">
        <f>IFERROR(__xludf.DUMMYFUNCTION("GOOGLETRANSLATE(A4658,""en"",""pt"")"),"endireitar")</f>
        <v>endireitar</v>
      </c>
      <c r="B4658" s="3">
        <v>1</v>
      </c>
    </row>
    <row r="4659" ht="15.75" customHeight="1" spans="1:2">
      <c r="A4659" s="3" t="str">
        <f>IFERROR(__xludf.DUMMYFUNCTION("GOOGLETRANSLATE(A4659,""en"",""pt"")"),"direto")</f>
        <v>direto</v>
      </c>
      <c r="B4659" s="3">
        <v>1</v>
      </c>
    </row>
    <row r="4660" ht="15.75" customHeight="1" spans="1:2">
      <c r="A4660" s="3" t="str">
        <f>IFERROR(__xludf.DUMMYFUNCTION("GOOGLETRANSLATE(A4660,""en"",""pt"")"),"racionalizado")</f>
        <v>racionalizado</v>
      </c>
      <c r="B4660" s="3">
        <v>1</v>
      </c>
    </row>
    <row r="4661" ht="15.75" customHeight="1" spans="1:2">
      <c r="A4661" s="3" t="str">
        <f>IFERROR(__xludf.DUMMYFUNCTION("GOOGLETRANSLATE(A4661,""en"",""pt"")"),"impressionante")</f>
        <v>impressionante</v>
      </c>
      <c r="B4661" s="3">
        <v>1</v>
      </c>
    </row>
    <row r="4662" ht="15.75" customHeight="1" spans="1:2">
      <c r="A4662" s="3" t="str">
        <f>IFERROR(__xludf.DUMMYFUNCTION("GOOGLETRANSLATE(A4662,""en"",""pt"")"),"contundentemente")</f>
        <v>contundentemente</v>
      </c>
      <c r="B4662" s="3">
        <v>1</v>
      </c>
    </row>
    <row r="4663" ht="15.75" customHeight="1" spans="1:2">
      <c r="A4663" s="3" t="str">
        <f>IFERROR(__xludf.DUMMYFUNCTION("GOOGLETRANSLATE(A4663,""en"",""pt"")"),"esforço")</f>
        <v>esforço</v>
      </c>
      <c r="B4663" s="3">
        <v>1</v>
      </c>
    </row>
    <row r="4664" ht="15.75" customHeight="1" spans="1:2">
      <c r="A4664" s="3" t="str">
        <f>IFERROR(__xludf.DUMMYFUNCTION("GOOGLETRANSLATE(A4664,""en"",""pt"")"),"Forte")</f>
        <v>Forte</v>
      </c>
      <c r="B4664" s="3">
        <v>1</v>
      </c>
    </row>
    <row r="4665" ht="15.75" customHeight="1" spans="1:2">
      <c r="A4665" s="3" t="str">
        <f>IFERROR(__xludf.DUMMYFUNCTION("GOOGLETRANSLATE(A4665,""en"",""pt"")"),"mais forte")</f>
        <v>mais forte</v>
      </c>
      <c r="B4665" s="3">
        <v>1</v>
      </c>
    </row>
    <row r="4666" ht="15.75" customHeight="1" spans="1:2">
      <c r="A4666" s="3" t="str">
        <f>IFERROR(__xludf.DUMMYFUNCTION("GOOGLETRANSLATE(A4666,""en"",""pt"")"),"mais forte")</f>
        <v>mais forte</v>
      </c>
      <c r="B4666" s="3">
        <v>1</v>
      </c>
    </row>
    <row r="4667" ht="15.75" customHeight="1" spans="1:2">
      <c r="A4667" s="3" t="str">
        <f>IFERROR(__xludf.DUMMYFUNCTION("GOOGLETRANSLATE(A4667,""en"",""pt"")"),"atordoado")</f>
        <v>atordoado</v>
      </c>
      <c r="B4667" s="3">
        <v>1</v>
      </c>
    </row>
    <row r="4668" ht="15.75" customHeight="1" spans="1:2">
      <c r="A4668" s="3" t="str">
        <f>IFERROR(__xludf.DUMMYFUNCTION("GOOGLETRANSLATE(A4668,""en"",""pt"")"),"stunning")</f>
        <v>stunning</v>
      </c>
      <c r="B4668" s="3">
        <v>1</v>
      </c>
    </row>
    <row r="4669" ht="15.75" customHeight="1" spans="1:2">
      <c r="A4669" s="3" t="str">
        <f>IFERROR(__xludf.DUMMYFUNCTION("GOOGLETRANSLATE(A4669,""en"",""pt"")"),"incrivelmente")</f>
        <v>incrivelmente</v>
      </c>
      <c r="B4669" s="3">
        <v>1</v>
      </c>
    </row>
    <row r="4670" ht="15.75" customHeight="1" spans="1:2">
      <c r="A4670" s="3" t="str">
        <f>IFERROR(__xludf.DUMMYFUNCTION("GOOGLETRANSLATE(A4670,""en"",""pt"")"),"estupendo")</f>
        <v>estupendo</v>
      </c>
      <c r="B4670" s="3">
        <v>1</v>
      </c>
    </row>
    <row r="4671" ht="15.75" customHeight="1" spans="1:2">
      <c r="A4671" s="3" t="str">
        <f>IFERROR(__xludf.DUMMYFUNCTION("GOOGLETRANSLATE(A4671,""en"",""pt"")"),"stupendously")</f>
        <v>stupendously</v>
      </c>
      <c r="B4671" s="3">
        <v>1</v>
      </c>
    </row>
    <row r="4672" ht="15.75" customHeight="1" spans="1:2">
      <c r="A4672" s="3" t="str">
        <f>IFERROR(__xludf.DUMMYFUNCTION("GOOGLETRANSLATE(A4672,""en"",""pt"")"),"mais resistente")</f>
        <v>mais resistente</v>
      </c>
      <c r="B4672" s="3">
        <v>1</v>
      </c>
    </row>
    <row r="4673" ht="15.75" customHeight="1" spans="1:2">
      <c r="A4673" s="3" t="str">
        <f>IFERROR(__xludf.DUMMYFUNCTION("GOOGLETRANSLATE(A4673,""en"",""pt"")"),"robusto")</f>
        <v>robusto</v>
      </c>
      <c r="B4673" s="3">
        <v>1</v>
      </c>
    </row>
    <row r="4674" ht="15.75" customHeight="1" spans="1:2">
      <c r="A4674" s="3" t="str">
        <f>IFERROR(__xludf.DUMMYFUNCTION("GOOGLETRANSLATE(A4674,""en"",""pt"")"),"à moda")</f>
        <v>à moda</v>
      </c>
      <c r="B4674" s="3">
        <v>1</v>
      </c>
    </row>
    <row r="4675" ht="15.75" customHeight="1" spans="1:2">
      <c r="A4675" s="3" t="str">
        <f>IFERROR(__xludf.DUMMYFUNCTION("GOOGLETRANSLATE(A4675,""en"",""pt"")"),"elegantemente")</f>
        <v>elegantemente</v>
      </c>
      <c r="B4675" s="3">
        <v>1</v>
      </c>
    </row>
    <row r="4676" ht="15.75" customHeight="1" spans="1:2">
      <c r="A4676" s="3" t="str">
        <f>IFERROR(__xludf.DUMMYFUNCTION("GOOGLETRANSLATE(A4676,""en"",""pt"")"),"estilizado")</f>
        <v>estilizado</v>
      </c>
      <c r="B4676" s="3">
        <v>1</v>
      </c>
    </row>
    <row r="4677" ht="15.75" customHeight="1" spans="1:2">
      <c r="A4677" s="3" t="str">
        <f>IFERROR(__xludf.DUMMYFUNCTION("GOOGLETRANSLATE(A4677,""en"",""pt"")"),"suave")</f>
        <v>suave</v>
      </c>
      <c r="B4677" s="3">
        <v>1</v>
      </c>
    </row>
    <row r="4678" ht="15.75" customHeight="1" spans="1:2">
      <c r="A4678" s="3" t="str">
        <f>IFERROR(__xludf.DUMMYFUNCTION("GOOGLETRANSLATE(A4678,""en"",""pt"")"),"suavely")</f>
        <v>suavely</v>
      </c>
      <c r="B4678" s="3">
        <v>1</v>
      </c>
    </row>
    <row r="4679" ht="15.75" customHeight="1" spans="1:2">
      <c r="A4679" s="3" t="str">
        <f>IFERROR(__xludf.DUMMYFUNCTION("GOOGLETRANSLATE(A4679,""en"",""pt"")"),"sublime")</f>
        <v>sublime</v>
      </c>
      <c r="B4679" s="3">
        <v>1</v>
      </c>
    </row>
    <row r="4680" ht="15.75" customHeight="1" spans="1:2">
      <c r="A4680" s="3" t="str">
        <f>IFERROR(__xludf.DUMMYFUNCTION("GOOGLETRANSLATE(A4680,""en"",""pt"")"),"subsidiar")</f>
        <v>subsidiar</v>
      </c>
      <c r="B4680" s="3">
        <v>1</v>
      </c>
    </row>
    <row r="4681" ht="15.75" customHeight="1" spans="1:2">
      <c r="A4681" s="3" t="str">
        <f>IFERROR(__xludf.DUMMYFUNCTION("GOOGLETRANSLATE(A4681,""en"",""pt"")"),"subvencionado")</f>
        <v>subvencionado</v>
      </c>
      <c r="B4681" s="3">
        <v>1</v>
      </c>
    </row>
    <row r="4682" ht="15.75" customHeight="1" spans="1:2">
      <c r="A4682" s="3" t="str">
        <f>IFERROR(__xludf.DUMMYFUNCTION("GOOGLETRANSLATE(A4682,""en"",""pt"")"),"subsidiação")</f>
        <v>subsidiação</v>
      </c>
      <c r="B4682" s="3">
        <v>1</v>
      </c>
    </row>
    <row r="4683" ht="15.75" customHeight="1" spans="1:2">
      <c r="A4683" s="3" t="str">
        <f>IFERROR(__xludf.DUMMYFUNCTION("GOOGLETRANSLATE(A4683,""en"",""pt"")"),"subsidiação")</f>
        <v>subsidiação</v>
      </c>
      <c r="B4683" s="3">
        <v>1</v>
      </c>
    </row>
    <row r="4684" ht="15.75" customHeight="1" spans="1:2">
      <c r="A4684" s="3" t="str">
        <f>IFERROR(__xludf.DUMMYFUNCTION("GOOGLETRANSLATE(A4684,""en"",""pt"")"),"substantivo")</f>
        <v>substantivo</v>
      </c>
      <c r="B4684" s="3">
        <v>1</v>
      </c>
    </row>
    <row r="4685" ht="15.75" customHeight="1" spans="1:2">
      <c r="A4685" s="3" t="str">
        <f>IFERROR(__xludf.DUMMYFUNCTION("GOOGLETRANSLATE(A4685,""en"",""pt"")"),"suceder")</f>
        <v>suceder</v>
      </c>
      <c r="B4685" s="3">
        <v>1</v>
      </c>
    </row>
    <row r="4686" ht="15.75" customHeight="1" spans="1:2">
      <c r="A4686" s="3" t="str">
        <f>IFERROR(__xludf.DUMMYFUNCTION("GOOGLETRANSLATE(A4686,""en"",""pt"")"),"sucedeu")</f>
        <v>sucedeu</v>
      </c>
      <c r="B4686" s="3">
        <v>1</v>
      </c>
    </row>
    <row r="4687" ht="15.75" customHeight="1" spans="1:2">
      <c r="A4687" s="3" t="str">
        <f>IFERROR(__xludf.DUMMYFUNCTION("GOOGLETRANSLATE(A4687,""en"",""pt"")"),"sucedendo")</f>
        <v>sucedendo</v>
      </c>
      <c r="B4687" s="3">
        <v>1</v>
      </c>
    </row>
    <row r="4688" ht="15.75" customHeight="1" spans="1:2">
      <c r="A4688" s="3" t="str">
        <f>IFERROR(__xludf.DUMMYFUNCTION("GOOGLETRANSLATE(A4688,""en"",""pt"")"),"sucede")</f>
        <v>sucede</v>
      </c>
      <c r="B4688" s="3">
        <v>1</v>
      </c>
    </row>
    <row r="4689" ht="15.75" customHeight="1" spans="1:2">
      <c r="A4689" s="3" t="str">
        <f>IFERROR(__xludf.DUMMYFUNCTION("GOOGLETRANSLATE(A4689,""en"",""pt"")"),"succes")</f>
        <v>succes</v>
      </c>
      <c r="B4689" s="3">
        <v>1</v>
      </c>
    </row>
    <row r="4690" ht="15.75" customHeight="1" spans="1:2">
      <c r="A4690" s="3" t="str">
        <f>IFERROR(__xludf.DUMMYFUNCTION("GOOGLETRANSLATE(A4690,""en"",""pt"")"),"sucesso")</f>
        <v>sucesso</v>
      </c>
      <c r="B4690" s="3">
        <v>1</v>
      </c>
    </row>
    <row r="4691" ht="15.75" customHeight="1" spans="1:2">
      <c r="A4691" s="3" t="str">
        <f>IFERROR(__xludf.DUMMYFUNCTION("GOOGLETRANSLATE(A4691,""en"",""pt"")"),"sucessos")</f>
        <v>sucessos</v>
      </c>
      <c r="B4691" s="3">
        <v>1</v>
      </c>
    </row>
    <row r="4692" ht="15.75" customHeight="1" spans="1:2">
      <c r="A4692" s="3" t="str">
        <f>IFERROR(__xludf.DUMMYFUNCTION("GOOGLETRANSLATE(A4692,""en"",""pt"")"),"bem sucedido")</f>
        <v>bem sucedido</v>
      </c>
      <c r="B4692" s="3">
        <v>1</v>
      </c>
    </row>
    <row r="4693" ht="15.75" customHeight="1" spans="1:2">
      <c r="A4693" s="3" t="str">
        <f>IFERROR(__xludf.DUMMYFUNCTION("GOOGLETRANSLATE(A4693,""en"",""pt"")"),"com sucesso")</f>
        <v>com sucesso</v>
      </c>
      <c r="B4693" s="3">
        <v>1</v>
      </c>
    </row>
    <row r="4694" ht="15.75" customHeight="1" spans="1:2">
      <c r="A4694" s="3" t="str">
        <f>IFERROR(__xludf.DUMMYFUNCTION("GOOGLETRANSLATE(A4694,""en"",""pt"")"),"bastar")</f>
        <v>bastar</v>
      </c>
      <c r="B4694" s="3">
        <v>1</v>
      </c>
    </row>
    <row r="4695" ht="15.75" customHeight="1" spans="1:2">
      <c r="A4695" s="3" t="str">
        <f>IFERROR(__xludf.DUMMYFUNCTION("GOOGLETRANSLATE(A4695,""en"",""pt"")"),"bastado")</f>
        <v>bastado</v>
      </c>
      <c r="B4695" s="3">
        <v>1</v>
      </c>
    </row>
    <row r="4696" ht="15.75" customHeight="1" spans="1:2">
      <c r="A4696" s="3" t="str">
        <f>IFERROR(__xludf.DUMMYFUNCTION("GOOGLETRANSLATE(A4696,""en"",""pt"")"),"sufixos")</f>
        <v>sufixos</v>
      </c>
      <c r="B4696" s="3">
        <v>1</v>
      </c>
    </row>
    <row r="4697" ht="15.75" customHeight="1" spans="1:2">
      <c r="A4697" s="3" t="str">
        <f>IFERROR(__xludf.DUMMYFUNCTION("GOOGLETRANSLATE(A4697,""en"",""pt"")"),"suficiente")</f>
        <v>suficiente</v>
      </c>
      <c r="B4697" s="3">
        <v>1</v>
      </c>
    </row>
    <row r="4698" ht="15.75" customHeight="1" spans="1:2">
      <c r="A4698" s="3" t="str">
        <f>IFERROR(__xludf.DUMMYFUNCTION("GOOGLETRANSLATE(A4698,""en"",""pt"")"),"suficientemente")</f>
        <v>suficientemente</v>
      </c>
      <c r="B4698" s="3">
        <v>1</v>
      </c>
    </row>
    <row r="4699" ht="15.75" customHeight="1" spans="1:2">
      <c r="A4699" s="3" t="str">
        <f>IFERROR(__xludf.DUMMYFUNCTION("GOOGLETRANSLATE(A4699,""en"",""pt"")"),"adequado")</f>
        <v>adequado</v>
      </c>
      <c r="B4699" s="3">
        <v>1</v>
      </c>
    </row>
    <row r="4700" ht="15.75" customHeight="1" spans="1:2">
      <c r="A4700" s="3" t="str">
        <f>IFERROR(__xludf.DUMMYFUNCTION("GOOGLETRANSLATE(A4700,""en"",""pt"")"),"suntuoso")</f>
        <v>suntuoso</v>
      </c>
      <c r="B4700" s="3">
        <v>1</v>
      </c>
    </row>
    <row r="4701" ht="15.75" customHeight="1" spans="1:2">
      <c r="A4701" s="3" t="str">
        <f>IFERROR(__xludf.DUMMYFUNCTION("GOOGLETRANSLATE(A4701,""en"",""pt"")"),"suntuosamente")</f>
        <v>suntuosamente</v>
      </c>
      <c r="B4701" s="3">
        <v>1</v>
      </c>
    </row>
    <row r="4702" ht="15.75" customHeight="1" spans="1:2">
      <c r="A4702" s="3" t="str">
        <f>IFERROR(__xludf.DUMMYFUNCTION("GOOGLETRANSLATE(A4702,""en"",""pt"")"),"suntuosidade")</f>
        <v>suntuosidade</v>
      </c>
      <c r="B4702" s="3">
        <v>1</v>
      </c>
    </row>
    <row r="4703" ht="15.75" customHeight="1" spans="1:2">
      <c r="A4703" s="3" t="str">
        <f>IFERROR(__xludf.DUMMYFUNCTION("GOOGLETRANSLATE(A4703,""en"",""pt"")"),"super")</f>
        <v>super</v>
      </c>
      <c r="B4703" s="3">
        <v>1</v>
      </c>
    </row>
    <row r="4704" ht="15.75" customHeight="1" spans="1:2">
      <c r="A4704" s="3" t="str">
        <f>IFERROR(__xludf.DUMMYFUNCTION("GOOGLETRANSLATE(A4704,""en"",""pt"")"),"soberbo")</f>
        <v>soberbo</v>
      </c>
      <c r="B4704" s="3">
        <v>1</v>
      </c>
    </row>
    <row r="4705" ht="15.75" customHeight="1" spans="1:2">
      <c r="A4705" s="3" t="str">
        <f>IFERROR(__xludf.DUMMYFUNCTION("GOOGLETRANSLATE(A4705,""en"",""pt"")"),"soberbamente")</f>
        <v>soberbamente</v>
      </c>
      <c r="B4705" s="3">
        <v>1</v>
      </c>
    </row>
    <row r="4706" ht="15.75" customHeight="1" spans="1:2">
      <c r="A4706" s="3" t="str">
        <f>IFERROR(__xludf.DUMMYFUNCTION("GOOGLETRANSLATE(A4706,""en"",""pt"")"),"superior")</f>
        <v>superior</v>
      </c>
      <c r="B4706" s="3">
        <v>1</v>
      </c>
    </row>
    <row r="4707" ht="15.75" customHeight="1" spans="1:2">
      <c r="A4707" s="3" t="str">
        <f>IFERROR(__xludf.DUMMYFUNCTION("GOOGLETRANSLATE(A4707,""en"",""pt"")"),"superioridade")</f>
        <v>superioridade</v>
      </c>
      <c r="B4707" s="3">
        <v>1</v>
      </c>
    </row>
    <row r="4708" ht="15.75" customHeight="1" spans="1:2">
      <c r="A4708" s="3" t="str">
        <f>IFERROR(__xludf.DUMMYFUNCTION("GOOGLETRANSLATE(A4708,""en"",""pt"")"),"flexível")</f>
        <v>flexível</v>
      </c>
      <c r="B4708" s="3">
        <v>1</v>
      </c>
    </row>
    <row r="4709" ht="15.75" customHeight="1" spans="1:2">
      <c r="A4709" s="3" t="str">
        <f>IFERROR(__xludf.DUMMYFUNCTION("GOOGLETRANSLATE(A4709,""en"",""pt"")"),"Apoio, suporte")</f>
        <v>Apoio, suporte</v>
      </c>
      <c r="B4709" s="3">
        <v>1</v>
      </c>
    </row>
    <row r="4710" ht="15.75" customHeight="1" spans="1:2">
      <c r="A4710" s="3" t="str">
        <f>IFERROR(__xludf.DUMMYFUNCTION("GOOGLETRANSLATE(A4710,""en"",""pt"")"),"suportado")</f>
        <v>suportado</v>
      </c>
      <c r="B4710" s="3">
        <v>1</v>
      </c>
    </row>
    <row r="4711" ht="15.75" customHeight="1" spans="1:2">
      <c r="A4711" s="3" t="str">
        <f>IFERROR(__xludf.DUMMYFUNCTION("GOOGLETRANSLATE(A4711,""en"",""pt"")"),"suporte")</f>
        <v>suporte</v>
      </c>
      <c r="B4711" s="3">
        <v>1</v>
      </c>
    </row>
    <row r="4712" ht="15.75" customHeight="1" spans="1:2">
      <c r="A4712" s="3" t="str">
        <f>IFERROR(__xludf.DUMMYFUNCTION("GOOGLETRANSLATE(A4712,""en"",""pt"")"),"que apoia")</f>
        <v>que apoia</v>
      </c>
      <c r="B4712" s="3">
        <v>1</v>
      </c>
    </row>
    <row r="4713" ht="15.75" customHeight="1" spans="1:2">
      <c r="A4713" s="3" t="str">
        <f>IFERROR(__xludf.DUMMYFUNCTION("GOOGLETRANSLATE(A4713,""en"",""pt"")"),"apoio")</f>
        <v>apoio</v>
      </c>
      <c r="B4713" s="3">
        <v>1</v>
      </c>
    </row>
    <row r="4714" ht="15.75" customHeight="1" spans="1:2">
      <c r="A4714" s="3" t="str">
        <f>IFERROR(__xludf.DUMMYFUNCTION("GOOGLETRANSLATE(A4714,""en"",""pt"")"),"suportes")</f>
        <v>suportes</v>
      </c>
      <c r="B4714" s="3">
        <v>1</v>
      </c>
    </row>
    <row r="4715" ht="15.75" customHeight="1" spans="1:2">
      <c r="A4715" s="3" t="str">
        <f>IFERROR(__xludf.DUMMYFUNCTION("GOOGLETRANSLATE(A4715,""en"",""pt"")"),"supremacia")</f>
        <v>supremacia</v>
      </c>
      <c r="B4715" s="3">
        <v>1</v>
      </c>
    </row>
    <row r="4716" ht="15.75" customHeight="1" spans="1:2">
      <c r="A4716" s="3" t="str">
        <f>IFERROR(__xludf.DUMMYFUNCTION("GOOGLETRANSLATE(A4716,""en"",""pt"")"),"supremo")</f>
        <v>supremo</v>
      </c>
      <c r="B4716" s="3">
        <v>1</v>
      </c>
    </row>
    <row r="4717" ht="15.75" customHeight="1" spans="1:2">
      <c r="A4717" s="3" t="str">
        <f>IFERROR(__xludf.DUMMYFUNCTION("GOOGLETRANSLATE(A4717,""en"",""pt"")"),"supremamente")</f>
        <v>supremamente</v>
      </c>
      <c r="B4717" s="3">
        <v>1</v>
      </c>
    </row>
    <row r="4718" ht="15.75" customHeight="1" spans="1:2">
      <c r="A4718" s="3" t="str">
        <f>IFERROR(__xludf.DUMMYFUNCTION("GOOGLETRANSLATE(A4718,""en"",""pt"")"),"supurb")</f>
        <v>supurb</v>
      </c>
      <c r="B4718" s="3">
        <v>1</v>
      </c>
    </row>
    <row r="4719" ht="15.75" customHeight="1" spans="1:2">
      <c r="A4719" s="3" t="str">
        <f>IFERROR(__xludf.DUMMYFUNCTION("GOOGLETRANSLATE(A4719,""en"",""pt"")"),"supurbly")</f>
        <v>supurbly</v>
      </c>
      <c r="B4719" s="3">
        <v>1</v>
      </c>
    </row>
    <row r="4720" ht="15.75" customHeight="1" spans="1:2">
      <c r="A4720" s="3" t="str">
        <f>IFERROR(__xludf.DUMMYFUNCTION("GOOGLETRANSLATE(A4720,""en"",""pt"")"),"superar")</f>
        <v>superar</v>
      </c>
      <c r="B4720" s="3">
        <v>1</v>
      </c>
    </row>
    <row r="4721" ht="15.75" customHeight="1" spans="1:2">
      <c r="A4721" s="3" t="str">
        <f>IFERROR(__xludf.DUMMYFUNCTION("GOOGLETRANSLATE(A4721,""en"",""pt"")"),"superar")</f>
        <v>superar</v>
      </c>
      <c r="B4721" s="3">
        <v>1</v>
      </c>
    </row>
    <row r="4722" ht="15.75" customHeight="1" spans="1:2">
      <c r="A4722" s="3" t="str">
        <f>IFERROR(__xludf.DUMMYFUNCTION("GOOGLETRANSLATE(A4722,""en"",""pt"")"),"surreal")</f>
        <v>surreal</v>
      </c>
      <c r="B4722" s="3">
        <v>1</v>
      </c>
    </row>
    <row r="4723" ht="15.75" customHeight="1" spans="1:2">
      <c r="A4723" s="3" t="str">
        <f>IFERROR(__xludf.DUMMYFUNCTION("GOOGLETRANSLATE(A4723,""en"",""pt"")"),"sobrevivência")</f>
        <v>sobrevivência</v>
      </c>
      <c r="B4723" s="3">
        <v>1</v>
      </c>
    </row>
    <row r="4724" ht="15.75" customHeight="1" spans="1:2">
      <c r="A4724" s="3" t="str">
        <f>IFERROR(__xludf.DUMMYFUNCTION("GOOGLETRANSLATE(A4724,""en"",""pt"")"),"sobrevivente")</f>
        <v>sobrevivente</v>
      </c>
      <c r="B4724" s="3">
        <v>1</v>
      </c>
    </row>
    <row r="4725" ht="15.75" customHeight="1" spans="1:2">
      <c r="A4725" s="3" t="str">
        <f>IFERROR(__xludf.DUMMYFUNCTION("GOOGLETRANSLATE(A4725,""en"",""pt"")"),"sustentabilidade")</f>
        <v>sustentabilidade</v>
      </c>
      <c r="B4725" s="3">
        <v>1</v>
      </c>
    </row>
    <row r="4726" ht="15.75" customHeight="1" spans="1:2">
      <c r="A4726" s="3" t="str">
        <f>IFERROR(__xludf.DUMMYFUNCTION("GOOGLETRANSLATE(A4726,""en"",""pt"")"),"sustentável")</f>
        <v>sustentável</v>
      </c>
      <c r="B4726" s="3">
        <v>1</v>
      </c>
    </row>
    <row r="4727" ht="15.75" customHeight="1" spans="1:2">
      <c r="A4727" s="3" t="str">
        <f>IFERROR(__xludf.DUMMYFUNCTION("GOOGLETRANSLATE(A4727,""en"",""pt"")"),"ostentação")</f>
        <v>ostentação</v>
      </c>
      <c r="B4727" s="3">
        <v>1</v>
      </c>
    </row>
    <row r="4728" ht="15.75" customHeight="1" spans="1:2">
      <c r="A4728" s="3" t="str">
        <f>IFERROR(__xludf.DUMMYFUNCTION("GOOGLETRANSLATE(A4728,""en"",""pt"")"),"swankier")</f>
        <v>swankier</v>
      </c>
      <c r="B4728" s="3">
        <v>1</v>
      </c>
    </row>
    <row r="4729" ht="15.75" customHeight="1" spans="1:2">
      <c r="A4729" s="3" t="str">
        <f>IFERROR(__xludf.DUMMYFUNCTION("GOOGLETRANSLATE(A4729,""en"",""pt"")"),"swankiest")</f>
        <v>swankiest</v>
      </c>
      <c r="B4729" s="3">
        <v>1</v>
      </c>
    </row>
    <row r="4730" ht="15.75" customHeight="1" spans="1:2">
      <c r="A4730" s="3" t="str">
        <f>IFERROR(__xludf.DUMMYFUNCTION("GOOGLETRANSLATE(A4730,""en"",""pt"")"),"pretensioso")</f>
        <v>pretensioso</v>
      </c>
      <c r="B4730" s="3">
        <v>1</v>
      </c>
    </row>
    <row r="4731" ht="15.75" customHeight="1" spans="1:2">
      <c r="A4731" s="3" t="str">
        <f>IFERROR(__xludf.DUMMYFUNCTION("GOOGLETRANSLATE(A4731,""en"",""pt"")"),"varredura")</f>
        <v>varredura</v>
      </c>
      <c r="B4731" s="3">
        <v>1</v>
      </c>
    </row>
    <row r="4732" ht="15.75" customHeight="1" spans="1:2">
      <c r="A4732" s="3" t="str">
        <f>IFERROR(__xludf.DUMMYFUNCTION("GOOGLETRANSLATE(A4732,""en"",""pt"")"),"doce")</f>
        <v>doce</v>
      </c>
      <c r="B4732" s="3">
        <v>1</v>
      </c>
    </row>
    <row r="4733" ht="15.75" customHeight="1" spans="1:2">
      <c r="A4733" s="3" t="str">
        <f>IFERROR(__xludf.DUMMYFUNCTION("GOOGLETRANSLATE(A4733,""en"",""pt"")"),"adoçar")</f>
        <v>adoçar</v>
      </c>
      <c r="B4733" s="3">
        <v>1</v>
      </c>
    </row>
    <row r="4734" ht="15.75" customHeight="1" spans="1:2">
      <c r="A4734" s="3" t="str">
        <f>IFERROR(__xludf.DUMMYFUNCTION("GOOGLETRANSLATE(A4734,""en"",""pt"")"),"querido")</f>
        <v>querido</v>
      </c>
      <c r="B4734" s="3">
        <v>1</v>
      </c>
    </row>
    <row r="4735" ht="15.75" customHeight="1" spans="1:2">
      <c r="A4735" s="3" t="str">
        <f>IFERROR(__xludf.DUMMYFUNCTION("GOOGLETRANSLATE(A4735,""en"",""pt"")"),"docemente")</f>
        <v>docemente</v>
      </c>
      <c r="B4735" s="3">
        <v>1</v>
      </c>
    </row>
    <row r="4736" ht="15.75" customHeight="1" spans="1:2">
      <c r="A4736" s="3" t="str">
        <f>IFERROR(__xludf.DUMMYFUNCTION("GOOGLETRANSLATE(A4736,""en"",""pt"")"),"Doçura")</f>
        <v>Doçura</v>
      </c>
      <c r="B4736" s="3">
        <v>1</v>
      </c>
    </row>
    <row r="4737" ht="15.75" customHeight="1" spans="1:2">
      <c r="A4737" s="3" t="str">
        <f>IFERROR(__xludf.DUMMYFUNCTION("GOOGLETRANSLATE(A4737,""en"",""pt"")"),"rápido")</f>
        <v>rápido</v>
      </c>
      <c r="B4737" s="3">
        <v>1</v>
      </c>
    </row>
    <row r="4738" ht="15.75" customHeight="1" spans="1:2">
      <c r="A4738" s="3" t="str">
        <f>IFERROR(__xludf.DUMMYFUNCTION("GOOGLETRANSLATE(A4738,""en"",""pt"")"),"rapidez")</f>
        <v>rapidez</v>
      </c>
      <c r="B4738" s="3">
        <v>1</v>
      </c>
    </row>
    <row r="4739" ht="15.75" customHeight="1" spans="1:2">
      <c r="A4739" s="3" t="str">
        <f>IFERROR(__xludf.DUMMYFUNCTION("GOOGLETRANSLATE(A4739,""en"",""pt"")"),"talento")</f>
        <v>talento</v>
      </c>
      <c r="B4739" s="3">
        <v>1</v>
      </c>
    </row>
    <row r="4740" ht="15.75" customHeight="1" spans="1:2">
      <c r="A4740" s="3" t="str">
        <f>IFERROR(__xludf.DUMMYFUNCTION("GOOGLETRANSLATE(A4740,""en"",""pt"")"),"talentoso")</f>
        <v>talentoso</v>
      </c>
      <c r="B4740" s="3">
        <v>1</v>
      </c>
    </row>
    <row r="4741" ht="15.75" customHeight="1" spans="1:2">
      <c r="A4741" s="3" t="str">
        <f>IFERROR(__xludf.DUMMYFUNCTION("GOOGLETRANSLATE(A4741,""en"",""pt"")"),"talentos")</f>
        <v>talentos</v>
      </c>
      <c r="B4741" s="3">
        <v>1</v>
      </c>
    </row>
    <row r="4742" ht="15.75" customHeight="1" spans="1:2">
      <c r="A4742" s="3" t="str">
        <f>IFERROR(__xludf.DUMMYFUNCTION("GOOGLETRANSLATE(A4742,""en"",""pt"")"),"atormentar")</f>
        <v>atormentar</v>
      </c>
      <c r="B4742" s="3">
        <v>1</v>
      </c>
    </row>
    <row r="4743" ht="15.75" customHeight="1" spans="1:2">
      <c r="A4743" s="3" t="str">
        <f>IFERROR(__xludf.DUMMYFUNCTION("GOOGLETRANSLATE(A4743,""en"",""pt"")"),"tentadora")</f>
        <v>tentadora</v>
      </c>
      <c r="B4743" s="3">
        <v>1</v>
      </c>
    </row>
    <row r="4744" ht="15.75" customHeight="1" spans="1:2">
      <c r="A4744" s="3" t="str">
        <f>IFERROR(__xludf.DUMMYFUNCTION("GOOGLETRANSLATE(A4744,""en"",""pt"")"),"tentadoramente")</f>
        <v>tentadoramente</v>
      </c>
      <c r="B4744" s="3">
        <v>1</v>
      </c>
    </row>
    <row r="4745" ht="15.75" customHeight="1" spans="1:2">
      <c r="A4745" s="3" t="str">
        <f>IFERROR(__xludf.DUMMYFUNCTION("GOOGLETRANSLATE(A4745,""en"",""pt"")"),"tentado")</f>
        <v>tentado</v>
      </c>
      <c r="B4745" s="3">
        <v>1</v>
      </c>
    </row>
    <row r="4746" ht="15.75" customHeight="1" spans="1:2">
      <c r="A4746" s="3" t="str">
        <f>IFERROR(__xludf.DUMMYFUNCTION("GOOGLETRANSLATE(A4746,""en"",""pt"")"),"tentador")</f>
        <v>tentador</v>
      </c>
      <c r="B4746" s="3">
        <v>1</v>
      </c>
    </row>
    <row r="4747" ht="15.75" customHeight="1" spans="1:2">
      <c r="A4747" s="3" t="str">
        <f>IFERROR(__xludf.DUMMYFUNCTION("GOOGLETRANSLATE(A4747,""en"",""pt"")"),"tentadoramente")</f>
        <v>tentadoramente</v>
      </c>
      <c r="B4747" s="3">
        <v>1</v>
      </c>
    </row>
    <row r="4748" ht="15.75" customHeight="1" spans="1:2">
      <c r="A4748" s="3" t="str">
        <f>IFERROR(__xludf.DUMMYFUNCTION("GOOGLETRANSLATE(A4748,""en"",""pt"")"),"persistente")</f>
        <v>persistente</v>
      </c>
      <c r="B4748" s="3">
        <v>1</v>
      </c>
    </row>
    <row r="4749" ht="15.75" customHeight="1" spans="1:2">
      <c r="A4749" s="3" t="str">
        <f>IFERROR(__xludf.DUMMYFUNCTION("GOOGLETRANSLATE(A4749,""en"",""pt"")"),"tenazmente")</f>
        <v>tenazmente</v>
      </c>
      <c r="B4749" s="3">
        <v>1</v>
      </c>
    </row>
    <row r="4750" ht="15.75" customHeight="1" spans="1:2">
      <c r="A4750" s="3" t="str">
        <f>IFERROR(__xludf.DUMMYFUNCTION("GOOGLETRANSLATE(A4750,""en"",""pt"")"),"tenacidade")</f>
        <v>tenacidade</v>
      </c>
      <c r="B4750" s="3">
        <v>1</v>
      </c>
    </row>
    <row r="4751" ht="15.75" customHeight="1" spans="1:2">
      <c r="A4751" s="3" t="str">
        <f>IFERROR(__xludf.DUMMYFUNCTION("GOOGLETRANSLATE(A4751,""en"",""pt"")"),"tenro")</f>
        <v>tenro</v>
      </c>
      <c r="B4751" s="3">
        <v>1</v>
      </c>
    </row>
    <row r="4752" ht="15.75" customHeight="1" spans="1:2">
      <c r="A4752" s="3" t="str">
        <f>IFERROR(__xludf.DUMMYFUNCTION("GOOGLETRANSLATE(A4752,""en"",""pt"")"),"ternamente")</f>
        <v>ternamente</v>
      </c>
      <c r="B4752" s="3">
        <v>1</v>
      </c>
    </row>
    <row r="4753" ht="15.75" customHeight="1" spans="1:2">
      <c r="A4753" s="3" t="str">
        <f>IFERROR(__xludf.DUMMYFUNCTION("GOOGLETRANSLATE(A4753,""en"",""pt"")"),"formidável")</f>
        <v>formidável</v>
      </c>
      <c r="B4753" s="3">
        <v>1</v>
      </c>
    </row>
    <row r="4754" ht="15.75" customHeight="1" spans="1:2">
      <c r="A4754" s="3" t="str">
        <f>IFERROR(__xludf.DUMMYFUNCTION("GOOGLETRANSLATE(A4754,""en"",""pt"")"),"terrifically")</f>
        <v>terrifically</v>
      </c>
      <c r="B4754" s="3">
        <v>1</v>
      </c>
    </row>
    <row r="4755" ht="15.75" customHeight="1" spans="1:2">
      <c r="A4755" s="3" t="str">
        <f>IFERROR(__xludf.DUMMYFUNCTION("GOOGLETRANSLATE(A4755,""en"",""pt"")"),"obrigado")</f>
        <v>obrigado</v>
      </c>
      <c r="B4755" s="3">
        <v>1</v>
      </c>
    </row>
    <row r="4756" ht="15.75" customHeight="1" spans="1:2">
      <c r="A4756" s="3" t="str">
        <f>IFERROR(__xludf.DUMMYFUNCTION("GOOGLETRANSLATE(A4756,""en"",""pt"")"),"grato")</f>
        <v>grato</v>
      </c>
      <c r="B4756" s="3">
        <v>1</v>
      </c>
    </row>
    <row r="4757" ht="15.75" customHeight="1" spans="1:2">
      <c r="A4757" s="3" t="str">
        <f>IFERROR(__xludf.DUMMYFUNCTION("GOOGLETRANSLATE(A4757,""en"",""pt"")"),"mais fino")</f>
        <v>mais fino</v>
      </c>
      <c r="B4757" s="3">
        <v>1</v>
      </c>
    </row>
    <row r="4758" ht="15.75" customHeight="1" spans="1:2">
      <c r="A4758" s="3" t="str">
        <f>IFERROR(__xludf.DUMMYFUNCTION("GOOGLETRANSLATE(A4758,""en"",""pt"")"),"pensativo")</f>
        <v>pensativo</v>
      </c>
      <c r="B4758" s="3">
        <v>1</v>
      </c>
    </row>
    <row r="4759" ht="15.75" customHeight="1" spans="1:2">
      <c r="A4759" s="3" t="str">
        <f>IFERROR(__xludf.DUMMYFUNCTION("GOOGLETRANSLATE(A4759,""en"",""pt"")"),"pensativo")</f>
        <v>pensativo</v>
      </c>
      <c r="B4759" s="3">
        <v>1</v>
      </c>
    </row>
    <row r="4760" ht="15.75" customHeight="1" spans="1:2">
      <c r="A4760" s="3" t="str">
        <f>IFERROR(__xludf.DUMMYFUNCTION("GOOGLETRANSLATE(A4760,""en"",""pt"")"),"reflexão")</f>
        <v>reflexão</v>
      </c>
      <c r="B4760" s="3">
        <v>1</v>
      </c>
    </row>
    <row r="4761" ht="15.75" customHeight="1" spans="1:2">
      <c r="A4761" s="3" t="str">
        <f>IFERROR(__xludf.DUMMYFUNCTION("GOOGLETRANSLATE(A4761,""en"",""pt"")"),"parcimônia")</f>
        <v>parcimônia</v>
      </c>
      <c r="B4761" s="3">
        <v>1</v>
      </c>
    </row>
    <row r="4762" ht="15.75" customHeight="1" spans="1:2">
      <c r="A4762" s="3" t="str">
        <f>IFERROR(__xludf.DUMMYFUNCTION("GOOGLETRANSLATE(A4762,""en"",""pt"")"),"parcimonioso")</f>
        <v>parcimonioso</v>
      </c>
      <c r="B4762" s="3">
        <v>1</v>
      </c>
    </row>
    <row r="4763" ht="15.75" customHeight="1" spans="1:2">
      <c r="A4763" s="3" t="str">
        <f>IFERROR(__xludf.DUMMYFUNCTION("GOOGLETRANSLATE(A4763,""en"",""pt"")"),"emoção")</f>
        <v>emoção</v>
      </c>
      <c r="B4763" s="3">
        <v>1</v>
      </c>
    </row>
    <row r="4764" ht="15.75" customHeight="1" spans="1:2">
      <c r="A4764" s="3" t="str">
        <f>IFERROR(__xludf.DUMMYFUNCTION("GOOGLETRANSLATE(A4764,""en"",""pt"")"),"emocionados")</f>
        <v>emocionados</v>
      </c>
      <c r="B4764" s="3">
        <v>1</v>
      </c>
    </row>
    <row r="4765" ht="15.75" customHeight="1" spans="1:2">
      <c r="A4765" s="3" t="str">
        <f>IFERROR(__xludf.DUMMYFUNCTION("GOOGLETRANSLATE(A4765,""en"",""pt"")"),"emocionante")</f>
        <v>emocionante</v>
      </c>
      <c r="B4765" s="3">
        <v>1</v>
      </c>
    </row>
    <row r="4766" ht="15.75" customHeight="1" spans="1:2">
      <c r="A4766" s="3" t="str">
        <f>IFERROR(__xludf.DUMMYFUNCTION("GOOGLETRANSLATE(A4766,""en"",""pt"")"),"thrillingly")</f>
        <v>thrillingly</v>
      </c>
      <c r="B4766" s="3">
        <v>1</v>
      </c>
    </row>
    <row r="4767" ht="15.75" customHeight="1" spans="1:2">
      <c r="A4767" s="3" t="str">
        <f>IFERROR(__xludf.DUMMYFUNCTION("GOOGLETRANSLATE(A4767,""en"",""pt"")"),"emoções")</f>
        <v>emoções</v>
      </c>
      <c r="B4767" s="3">
        <v>1</v>
      </c>
    </row>
    <row r="4768" ht="15.75" customHeight="1" spans="1:2">
      <c r="A4768" s="3" t="str">
        <f>IFERROR(__xludf.DUMMYFUNCTION("GOOGLETRANSLATE(A4768,""en"",""pt"")"),"prosperar")</f>
        <v>prosperar</v>
      </c>
      <c r="B4768" s="3">
        <v>1</v>
      </c>
    </row>
    <row r="4769" ht="15.75" customHeight="1" spans="1:2">
      <c r="A4769" s="3" t="str">
        <f>IFERROR(__xludf.DUMMYFUNCTION("GOOGLETRANSLATE(A4769,""en"",""pt"")"),"prosperando")</f>
        <v>prosperando</v>
      </c>
      <c r="B4769" s="3">
        <v>1</v>
      </c>
    </row>
    <row r="4770" ht="15.75" customHeight="1" spans="1:2">
      <c r="A4770" s="3" t="str">
        <f>IFERROR(__xludf.DUMMYFUNCTION("GOOGLETRANSLATE(A4770,""en"",""pt"")"),"thumb-up")</f>
        <v>thumb-up</v>
      </c>
      <c r="B4770" s="3">
        <v>1</v>
      </c>
    </row>
    <row r="4771" ht="15.75" customHeight="1" spans="1:2">
      <c r="A4771" s="3" t="str">
        <f>IFERROR(__xludf.DUMMYFUNCTION("GOOGLETRANSLATE(A4771,""en"",""pt"")"),"afirmativo")</f>
        <v>afirmativo</v>
      </c>
      <c r="B4771" s="3">
        <v>1</v>
      </c>
    </row>
    <row r="4772" ht="15.75" customHeight="1" spans="1:2">
      <c r="A4772" s="3" t="str">
        <f>IFERROR(__xludf.DUMMYFUNCTION("GOOGLETRANSLATE(A4772,""en"",""pt"")"),"cócegas")</f>
        <v>cócegas</v>
      </c>
      <c r="B4772" s="3">
        <v>1</v>
      </c>
    </row>
    <row r="4773" ht="15.75" customHeight="1" spans="1:2">
      <c r="A4773" s="3" t="str">
        <f>IFERROR(__xludf.DUMMYFUNCTION("GOOGLETRANSLATE(A4773,""en"",""pt"")"),"arrumado")</f>
        <v>arrumado</v>
      </c>
      <c r="B4773" s="3">
        <v>1</v>
      </c>
    </row>
    <row r="4774" ht="15.75" customHeight="1" spans="1:2">
      <c r="A4774" s="3" t="str">
        <f>IFERROR(__xludf.DUMMYFUNCTION("GOOGLETRANSLATE(A4774,""en"",""pt"")"),"Honrada")</f>
        <v>Honrada</v>
      </c>
      <c r="B4774" s="3">
        <v>1</v>
      </c>
    </row>
    <row r="4775" ht="15.75" customHeight="1" spans="1:2">
      <c r="A4775" s="3" t="str">
        <f>IFERROR(__xludf.DUMMYFUNCTION("GOOGLETRANSLATE(A4775,""en"",""pt"")"),"oportuno")</f>
        <v>oportuno</v>
      </c>
      <c r="B4775" s="3">
        <v>1</v>
      </c>
    </row>
    <row r="4776" ht="15.75" customHeight="1" spans="1:2">
      <c r="A4776" s="3" t="str">
        <f>IFERROR(__xludf.DUMMYFUNCTION("GOOGLETRANSLATE(A4776,""en"",""pt"")"),"formigar")</f>
        <v>formigar</v>
      </c>
      <c r="B4776" s="3">
        <v>1</v>
      </c>
    </row>
    <row r="4777" ht="15.75" customHeight="1" spans="1:2">
      <c r="A4777" s="3" t="str">
        <f>IFERROR(__xludf.DUMMYFUNCTION("GOOGLETRANSLATE(A4777,""en"",""pt"")"),"deleitar")</f>
        <v>deleitar</v>
      </c>
      <c r="B4777" s="3">
        <v>1</v>
      </c>
    </row>
    <row r="4778" ht="15.75" customHeight="1" spans="1:2">
      <c r="A4778" s="3" t="str">
        <f>IFERROR(__xludf.DUMMYFUNCTION("GOOGLETRANSLATE(A4778,""en"",""pt"")"),"excitante")</f>
        <v>excitante</v>
      </c>
      <c r="B4778" s="3">
        <v>1</v>
      </c>
    </row>
    <row r="4779" ht="15.75" customHeight="1" spans="1:2">
      <c r="A4779" s="3" t="str">
        <f>IFERROR(__xludf.DUMMYFUNCTION("GOOGLETRANSLATE(A4779,""en"",""pt"")"),"titillatingly")</f>
        <v>titillatingly</v>
      </c>
      <c r="B4779" s="3">
        <v>1</v>
      </c>
    </row>
    <row r="4780" ht="15.75" customHeight="1" spans="1:2">
      <c r="A4780" s="3" t="str">
        <f>IFERROR(__xludf.DUMMYFUNCTION("GOOGLETRANSLATE(A4780,""en"",""pt"")"),"União")</f>
        <v>União</v>
      </c>
      <c r="B4780" s="3">
        <v>1</v>
      </c>
    </row>
    <row r="4781" ht="15.75" customHeight="1" spans="1:2">
      <c r="A4781" s="3" t="str">
        <f>IFERROR(__xludf.DUMMYFUNCTION("GOOGLETRANSLATE(A4781,""en"",""pt"")"),"tolerável")</f>
        <v>tolerável</v>
      </c>
      <c r="B4781" s="3">
        <v>1</v>
      </c>
    </row>
    <row r="4782" ht="15.75" customHeight="1" spans="1:2">
      <c r="A4782" s="3" t="str">
        <f>IFERROR(__xludf.DUMMYFUNCTION("GOOGLETRANSLATE(A4782,""en"",""pt"")"),"grátis")</f>
        <v>grátis</v>
      </c>
      <c r="B4782" s="3">
        <v>1</v>
      </c>
    </row>
    <row r="4783" ht="15.75" customHeight="1" spans="1:2">
      <c r="A4783" s="3" t="str">
        <f>IFERROR(__xludf.DUMMYFUNCTION("GOOGLETRANSLATE(A4783,""en"",""pt"")"),"topo")</f>
        <v>topo</v>
      </c>
      <c r="B4783" s="3">
        <v>1</v>
      </c>
    </row>
    <row r="4784" ht="15.75" customHeight="1" spans="1:2">
      <c r="A4784" s="3" t="str">
        <f>IFERROR(__xludf.DUMMYFUNCTION("GOOGLETRANSLATE(A4784,""en"",""pt"")"),"Top de linha")</f>
        <v>Top de linha</v>
      </c>
      <c r="B4784" s="3">
        <v>1</v>
      </c>
    </row>
    <row r="4785" ht="15.75" customHeight="1" spans="1:2">
      <c r="A4785" s="3" t="str">
        <f>IFERROR(__xludf.DUMMYFUNCTION("GOOGLETRANSLATE(A4785,""en"",""pt"")"),"qualidade máxima")</f>
        <v>qualidade máxima</v>
      </c>
      <c r="B4785" s="3">
        <v>1</v>
      </c>
    </row>
    <row r="4786" ht="15.75" customHeight="1" spans="1:2">
      <c r="A4786" s="3" t="str">
        <f>IFERROR(__xludf.DUMMYFUNCTION("GOOGLETRANSLATE(A4786,""en"",""pt"")"),"Top de linha")</f>
        <v>Top de linha</v>
      </c>
      <c r="B4786" s="3">
        <v>1</v>
      </c>
    </row>
    <row r="4787" ht="15.75" customHeight="1" spans="1:2">
      <c r="A4787" s="3" t="str">
        <f>IFERROR(__xludf.DUMMYFUNCTION("GOOGLETRANSLATE(A4787,""en"",""pt"")"),"topos")</f>
        <v>topos</v>
      </c>
      <c r="B4787" s="3">
        <v>1</v>
      </c>
    </row>
    <row r="4788" ht="15.75" customHeight="1" spans="1:2">
      <c r="A4788" s="3" t="str">
        <f>IFERROR(__xludf.DUMMYFUNCTION("GOOGLETRANSLATE(A4788,""en"",""pt"")"),"resistente")</f>
        <v>resistente</v>
      </c>
      <c r="B4788" s="3">
        <v>1</v>
      </c>
    </row>
    <row r="4789" ht="15.75" customHeight="1" spans="1:2">
      <c r="A4789" s="3" t="str">
        <f>IFERROR(__xludf.DUMMYFUNCTION("GOOGLETRANSLATE(A4789,""en"",""pt"")"),"mais resistente")</f>
        <v>mais resistente</v>
      </c>
      <c r="B4789" s="3">
        <v>1</v>
      </c>
    </row>
    <row r="4790" ht="15.75" customHeight="1" spans="1:2">
      <c r="A4790" s="3" t="str">
        <f>IFERROR(__xludf.DUMMYFUNCTION("GOOGLETRANSLATE(A4790,""en"",""pt"")"),"mais difícil")</f>
        <v>mais difícil</v>
      </c>
      <c r="B4790" s="3">
        <v>1</v>
      </c>
    </row>
    <row r="4791" ht="15.75" customHeight="1" spans="1:2">
      <c r="A4791" s="3" t="str">
        <f>IFERROR(__xludf.DUMMYFUNCTION("GOOGLETRANSLATE(A4791,""en"",""pt"")"),"tração")</f>
        <v>tração</v>
      </c>
      <c r="B4791" s="3">
        <v>1</v>
      </c>
    </row>
    <row r="4792" ht="15.75" customHeight="1" spans="1:2">
      <c r="A4792" s="3" t="str">
        <f>IFERROR(__xludf.DUMMYFUNCTION("GOOGLETRANSLATE(A4792,""en"",""pt"")"),"tranquilo")</f>
        <v>tranquilo</v>
      </c>
      <c r="B4792" s="3">
        <v>1</v>
      </c>
    </row>
    <row r="4793" ht="15.75" customHeight="1" spans="1:2">
      <c r="A4793" s="3" t="str">
        <f>IFERROR(__xludf.DUMMYFUNCTION("GOOGLETRANSLATE(A4793,""en"",""pt"")"),"tranqüilidade")</f>
        <v>tranqüilidade</v>
      </c>
      <c r="B4793" s="3">
        <v>1</v>
      </c>
    </row>
    <row r="4794" ht="15.75" customHeight="1" spans="1:2">
      <c r="A4794" s="3" t="str">
        <f>IFERROR(__xludf.DUMMYFUNCTION("GOOGLETRANSLATE(A4794,""en"",""pt"")"),"transparente")</f>
        <v>transparente</v>
      </c>
      <c r="B4794" s="3">
        <v>1</v>
      </c>
    </row>
    <row r="4795" ht="15.75" customHeight="1" spans="1:2">
      <c r="A4795" s="3" t="str">
        <f>IFERROR(__xludf.DUMMYFUNCTION("GOOGLETRANSLATE(A4795,""en"",""pt"")"),"Tesouro")</f>
        <v>Tesouro</v>
      </c>
      <c r="B4795" s="3">
        <v>1</v>
      </c>
    </row>
    <row r="4796" ht="15.75" customHeight="1" spans="1:2">
      <c r="A4796" s="3" t="str">
        <f>IFERROR(__xludf.DUMMYFUNCTION("GOOGLETRANSLATE(A4796,""en"",""pt"")"),"Tremendo")</f>
        <v>Tremendo</v>
      </c>
      <c r="B4796" s="3">
        <v>1</v>
      </c>
    </row>
    <row r="4797" ht="15.75" customHeight="1" spans="1:2">
      <c r="A4797" s="3" t="str">
        <f>IFERROR(__xludf.DUMMYFUNCTION("GOOGLETRANSLATE(A4797,""en"",""pt"")"),"na moda")</f>
        <v>na moda</v>
      </c>
      <c r="B4797" s="3">
        <v>1</v>
      </c>
    </row>
    <row r="4798" ht="15.75" customHeight="1" spans="1:2">
      <c r="A4798" s="3" t="str">
        <f>IFERROR(__xludf.DUMMYFUNCTION("GOOGLETRANSLATE(A4798,""en"",""pt"")"),"triunfo")</f>
        <v>triunfo</v>
      </c>
      <c r="B4798" s="3">
        <v>1</v>
      </c>
    </row>
    <row r="4799" ht="15.75" customHeight="1" spans="1:2">
      <c r="A4799" s="3" t="str">
        <f>IFERROR(__xludf.DUMMYFUNCTION("GOOGLETRANSLATE(A4799,""en"",""pt"")"),"triunfal")</f>
        <v>triunfal</v>
      </c>
      <c r="B4799" s="3">
        <v>1</v>
      </c>
    </row>
    <row r="4800" ht="15.75" customHeight="1" spans="1:2">
      <c r="A4800" s="3" t="str">
        <f>IFERROR(__xludf.DUMMYFUNCTION("GOOGLETRANSLATE(A4800,""en"",""pt"")"),"triunfante")</f>
        <v>triunfante</v>
      </c>
      <c r="B4800" s="3">
        <v>1</v>
      </c>
    </row>
    <row r="4801" ht="15.75" customHeight="1" spans="1:2">
      <c r="A4801" s="3" t="str">
        <f>IFERROR(__xludf.DUMMYFUNCTION("GOOGLETRANSLATE(A4801,""en"",""pt"")"),"triunfantemente")</f>
        <v>triunfantemente</v>
      </c>
      <c r="B4801" s="3">
        <v>1</v>
      </c>
    </row>
    <row r="4802" ht="15.75" customHeight="1" spans="1:2">
      <c r="A4802" s="3" t="str">
        <f>IFERROR(__xludf.DUMMYFUNCTION("GOOGLETRANSLATE(A4802,""en"",""pt"")"),"trivialmente")</f>
        <v>trivialmente</v>
      </c>
      <c r="B4802" s="3">
        <v>1</v>
      </c>
    </row>
    <row r="4803" ht="15.75" customHeight="1" spans="1:2">
      <c r="A4803" s="3" t="str">
        <f>IFERROR(__xludf.DUMMYFUNCTION("GOOGLETRANSLATE(A4803,""en"",""pt"")"),"troféu")</f>
        <v>troféu</v>
      </c>
      <c r="B4803" s="3">
        <v>1</v>
      </c>
    </row>
    <row r="4804" ht="15.75" customHeight="1" spans="1:2">
      <c r="A4804" s="3" t="str">
        <f>IFERROR(__xludf.DUMMYFUNCTION("GOOGLETRANSLATE(A4804,""en"",""pt"")"),"sem problemas")</f>
        <v>sem problemas</v>
      </c>
      <c r="B4804" s="3">
        <v>1</v>
      </c>
    </row>
    <row r="4805" ht="15.75" customHeight="1" spans="1:2">
      <c r="A4805" s="3" t="str">
        <f>IFERROR(__xludf.DUMMYFUNCTION("GOOGLETRANSLATE(A4805,""en"",""pt"")"),"trunfo")</f>
        <v>trunfo</v>
      </c>
      <c r="B4805" s="3">
        <v>1</v>
      </c>
    </row>
    <row r="4806" ht="15.75" customHeight="1" spans="1:2">
      <c r="A4806" s="3" t="str">
        <f>IFERROR(__xludf.DUMMYFUNCTION("GOOGLETRANSLATE(A4806,""en"",""pt"")"),"trombeta")</f>
        <v>trombeta</v>
      </c>
      <c r="B4806" s="3">
        <v>1</v>
      </c>
    </row>
    <row r="4807" ht="15.75" customHeight="1" spans="1:2">
      <c r="A4807" s="3" t="str">
        <f>IFERROR(__xludf.DUMMYFUNCTION("GOOGLETRANSLATE(A4807,""en"",""pt"")"),"Confiar em")</f>
        <v>Confiar em</v>
      </c>
      <c r="B4807" s="3">
        <v>1</v>
      </c>
    </row>
    <row r="4808" ht="15.75" customHeight="1" spans="1:2">
      <c r="A4808" s="3" t="str">
        <f>IFERROR(__xludf.DUMMYFUNCTION("GOOGLETRANSLATE(A4808,""en"",""pt"")"),"confiança")</f>
        <v>confiança</v>
      </c>
      <c r="B4808" s="3">
        <v>1</v>
      </c>
    </row>
    <row r="4809" ht="15.75" customHeight="1" spans="1:2">
      <c r="A4809" s="3" t="str">
        <f>IFERROR(__xludf.DUMMYFUNCTION("GOOGLETRANSLATE(A4809,""en"",""pt"")"),"confiando")</f>
        <v>confiando</v>
      </c>
      <c r="B4809" s="3">
        <v>1</v>
      </c>
    </row>
    <row r="4810" ht="15.75" customHeight="1" spans="1:2">
      <c r="A4810" s="3" t="str">
        <f>IFERROR(__xludf.DUMMYFUNCTION("GOOGLETRANSLATE(A4810,""en"",""pt"")"),"confiantemente")</f>
        <v>confiantemente</v>
      </c>
      <c r="B4810" s="3">
        <v>1</v>
      </c>
    </row>
    <row r="4811" ht="15.75" customHeight="1" spans="1:2">
      <c r="A4811" s="3" t="str">
        <f>IFERROR(__xludf.DUMMYFUNCTION("GOOGLETRANSLATE(A4811,""en"",""pt"")"),"confiabilidade")</f>
        <v>confiabilidade</v>
      </c>
      <c r="B4811" s="3">
        <v>1</v>
      </c>
    </row>
    <row r="4812" ht="15.75" customHeight="1" spans="1:2">
      <c r="A4812" s="3" t="str">
        <f>IFERROR(__xludf.DUMMYFUNCTION("GOOGLETRANSLATE(A4812,""en"",""pt"")"),"fidedigno")</f>
        <v>fidedigno</v>
      </c>
      <c r="B4812" s="3">
        <v>1</v>
      </c>
    </row>
    <row r="4813" ht="15.75" customHeight="1" spans="1:2">
      <c r="A4813" s="3" t="str">
        <f>IFERROR(__xludf.DUMMYFUNCTION("GOOGLETRANSLATE(A4813,""en"",""pt"")"),"fiel")</f>
        <v>fiel</v>
      </c>
      <c r="B4813" s="3">
        <v>1</v>
      </c>
    </row>
    <row r="4814" ht="15.75" customHeight="1" spans="1:2">
      <c r="A4814" s="3" t="str">
        <f>IFERROR(__xludf.DUMMYFUNCTION("GOOGLETRANSLATE(A4814,""en"",""pt"")"),"verdadeiro")</f>
        <v>verdadeiro</v>
      </c>
      <c r="B4814" s="3">
        <v>1</v>
      </c>
    </row>
    <row r="4815" ht="15.75" customHeight="1" spans="1:2">
      <c r="A4815" s="3" t="str">
        <f>IFERROR(__xludf.DUMMYFUNCTION("GOOGLETRANSLATE(A4815,""en"",""pt"")"),"sinceramente")</f>
        <v>sinceramente</v>
      </c>
      <c r="B4815" s="3">
        <v>1</v>
      </c>
    </row>
    <row r="4816" ht="15.75" customHeight="1" spans="1:2">
      <c r="A4816" s="3" t="str">
        <f>IFERROR(__xludf.DUMMYFUNCTION("GOOGLETRANSLATE(A4816,""en"",""pt"")"),"veracidade")</f>
        <v>veracidade</v>
      </c>
      <c r="B4816" s="3">
        <v>1</v>
      </c>
    </row>
    <row r="4817" ht="15.75" customHeight="1" spans="1:2">
      <c r="A4817" s="3" t="str">
        <f>IFERROR(__xludf.DUMMYFUNCTION("GOOGLETRANSLATE(A4817,""en"",""pt"")"),"twinkly")</f>
        <v>twinkly</v>
      </c>
      <c r="B4817" s="3">
        <v>1</v>
      </c>
    </row>
    <row r="4818" ht="15.75" customHeight="1" spans="1:2">
      <c r="A4818" s="3" t="str">
        <f>IFERROR(__xludf.DUMMYFUNCTION("GOOGLETRANSLATE(A4818,""en"",""pt"")"),"ultra-nítidas")</f>
        <v>ultra-nítidas</v>
      </c>
      <c r="B4818" s="3">
        <v>1</v>
      </c>
    </row>
    <row r="4819" ht="15.75" customHeight="1" spans="1:2">
      <c r="A4819" s="3" t="str">
        <f>IFERROR(__xludf.DUMMYFUNCTION("GOOGLETRANSLATE(A4819,""en"",""pt"")"),"ousado")</f>
        <v>ousado</v>
      </c>
      <c r="B4819" s="3">
        <v>1</v>
      </c>
    </row>
    <row r="4820" ht="15.75" customHeight="1" spans="1:2">
      <c r="A4820" s="3" t="str">
        <f>IFERROR(__xludf.DUMMYFUNCTION("GOOGLETRANSLATE(A4820,""en"",""pt"")"),"descaradamente")</f>
        <v>descaradamente</v>
      </c>
      <c r="B4820" s="3">
        <v>1</v>
      </c>
    </row>
    <row r="4821" ht="15.75" customHeight="1" spans="1:2">
      <c r="A4821" s="3" t="str">
        <f>IFERROR(__xludf.DUMMYFUNCTION("GOOGLETRANSLATE(A4821,""en"",""pt"")"),"não afetado")</f>
        <v>não afetado</v>
      </c>
      <c r="B4821" s="3">
        <v>1</v>
      </c>
    </row>
    <row r="4822" ht="15.75" customHeight="1" spans="1:2">
      <c r="A4822" s="3" t="str">
        <f>IFERROR(__xludf.DUMMYFUNCTION("GOOGLETRANSLATE(A4822,""en"",""pt"")"),"inatacável")</f>
        <v>inatacável</v>
      </c>
      <c r="B4822" s="3">
        <v>1</v>
      </c>
    </row>
    <row r="4823" ht="15.75" customHeight="1" spans="1:2">
      <c r="A4823" s="3" t="str">
        <f>IFERROR(__xludf.DUMMYFUNCTION("GOOGLETRANSLATE(A4823,""en"",""pt"")"),"invencível")</f>
        <v>invencível</v>
      </c>
      <c r="B4823" s="3">
        <v>1</v>
      </c>
    </row>
    <row r="4824" ht="15.75" customHeight="1" spans="1:2">
      <c r="A4824" s="3" t="str">
        <f>IFERROR(__xludf.DUMMYFUNCTION("GOOGLETRANSLATE(A4824,""en"",""pt"")"),"imparcial")</f>
        <v>imparcial</v>
      </c>
      <c r="B4824" s="3">
        <v>1</v>
      </c>
    </row>
    <row r="4825" ht="15.75" customHeight="1" spans="1:2">
      <c r="A4825" s="3" t="str">
        <f>IFERROR(__xludf.DUMMYFUNCTION("GOOGLETRANSLATE(A4825,""en"",""pt"")"),"desacoplado")</f>
        <v>desacoplado</v>
      </c>
      <c r="B4825" s="3">
        <v>1</v>
      </c>
    </row>
    <row r="4826" ht="15.75" customHeight="1" spans="1:2">
      <c r="A4826" s="3" t="str">
        <f>IFERROR(__xludf.DUMMYFUNCTION("GOOGLETRANSLATE(A4826,""en"",""pt"")"),"descomplicado")</f>
        <v>descomplicado</v>
      </c>
      <c r="B4826" s="3">
        <v>1</v>
      </c>
    </row>
    <row r="4827" ht="15.75" customHeight="1" spans="1:2">
      <c r="A4827" s="3" t="str">
        <f>IFERROR(__xludf.DUMMYFUNCTION("GOOGLETRANSLATE(A4827,""en"",""pt"")"),"incondicional")</f>
        <v>incondicional</v>
      </c>
      <c r="B4827" s="3">
        <v>1</v>
      </c>
    </row>
    <row r="4828" ht="15.75" customHeight="1" spans="1:2">
      <c r="A4828" s="3" t="str">
        <f>IFERROR(__xludf.DUMMYFUNCTION("GOOGLETRANSLATE(A4828,""en"",""pt"")"),"sem danos")</f>
        <v>sem danos</v>
      </c>
      <c r="B4828" s="3">
        <v>1</v>
      </c>
    </row>
    <row r="4829" ht="15.75" customHeight="1" spans="1:2">
      <c r="A4829" s="3" t="str">
        <f>IFERROR(__xludf.DUMMYFUNCTION("GOOGLETRANSLATE(A4829,""en"",""pt"")"),"destemido")</f>
        <v>destemido</v>
      </c>
      <c r="B4829" s="3">
        <v>1</v>
      </c>
    </row>
    <row r="4830" ht="15.75" customHeight="1" spans="1:2">
      <c r="A4830" s="3" t="str">
        <f>IFERROR(__xludf.DUMMYFUNCTION("GOOGLETRANSLATE(A4830,""en"",""pt"")"),"compreensível")</f>
        <v>compreensível</v>
      </c>
      <c r="B4830" s="3">
        <v>1</v>
      </c>
    </row>
    <row r="4831" ht="15.75" customHeight="1" spans="1:2">
      <c r="A4831" s="3" t="str">
        <f>IFERROR(__xludf.DUMMYFUNCTION("GOOGLETRANSLATE(A4831,""en"",""pt"")"),"incontestável")</f>
        <v>incontestável</v>
      </c>
      <c r="B4831" s="3">
        <v>1</v>
      </c>
    </row>
    <row r="4832" ht="15.75" customHeight="1" spans="1:2">
      <c r="A4832" s="3" t="str">
        <f>IFERROR(__xludf.DUMMYFUNCTION("GOOGLETRANSLATE(A4832,""en"",""pt"")"),"undisputably")</f>
        <v>undisputably</v>
      </c>
      <c r="B4832" s="3">
        <v>1</v>
      </c>
    </row>
    <row r="4833" ht="15.75" customHeight="1" spans="1:2">
      <c r="A4833" s="3" t="str">
        <f>IFERROR(__xludf.DUMMYFUNCTION("GOOGLETRANSLATE(A4833,""en"",""pt"")"),"incontestável")</f>
        <v>incontestável</v>
      </c>
      <c r="B4833" s="3">
        <v>1</v>
      </c>
    </row>
    <row r="4834" ht="15.75" customHeight="1" spans="1:2">
      <c r="A4834" s="3" t="str">
        <f>IFERROR(__xludf.DUMMYFUNCTION("GOOGLETRANSLATE(A4834,""en"",""pt"")"),"desembaraçado")</f>
        <v>desembaraçado</v>
      </c>
      <c r="B4834" s="3">
        <v>1</v>
      </c>
    </row>
    <row r="4835" ht="15.75" customHeight="1" spans="1:2">
      <c r="A4835" s="3" t="str">
        <f>IFERROR(__xludf.DUMMYFUNCTION("GOOGLETRANSLATE(A4835,""en"",""pt"")"),"inequívoco")</f>
        <v>inequívoco</v>
      </c>
      <c r="B4835" s="3">
        <v>1</v>
      </c>
    </row>
    <row r="4836" ht="15.75" customHeight="1" spans="1:2">
      <c r="A4836" s="3" t="str">
        <f>IFERROR(__xludf.DUMMYFUNCTION("GOOGLETRANSLATE(A4836,""en"",""pt"")"),"inequivocamente")</f>
        <v>inequivocamente</v>
      </c>
      <c r="B4836" s="3">
        <v>1</v>
      </c>
    </row>
    <row r="4837" ht="15.75" customHeight="1" spans="1:2">
      <c r="A4837" s="3" t="str">
        <f>IFERROR(__xludf.DUMMYFUNCTION("GOOGLETRANSLATE(A4837,""en"",""pt"")"),"imperturbável")</f>
        <v>imperturbável</v>
      </c>
      <c r="B4837" s="3">
        <v>1</v>
      </c>
    </row>
    <row r="4838" ht="15.75" customHeight="1" spans="1:2">
      <c r="A4838" s="3" t="str">
        <f>IFERROR(__xludf.DUMMYFUNCTION("GOOGLETRANSLATE(A4838,""en"",""pt"")"),"sem restrições")</f>
        <v>sem restrições</v>
      </c>
      <c r="B4838" s="3">
        <v>1</v>
      </c>
    </row>
    <row r="4839" ht="15.75" customHeight="1" spans="1:2">
      <c r="A4839" s="3" t="str">
        <f>IFERROR(__xludf.DUMMYFUNCTION("GOOGLETRANSLATE(A4839,""en"",""pt"")"),"inesquecível")</f>
        <v>inesquecível</v>
      </c>
      <c r="B4839" s="3">
        <v>1</v>
      </c>
    </row>
    <row r="4840" ht="15.75" customHeight="1" spans="1:2">
      <c r="A4840" s="3" t="str">
        <f>IFERROR(__xludf.DUMMYFUNCTION("GOOGLETRANSLATE(A4840,""en"",""pt"")"),"unidade")</f>
        <v>unidade</v>
      </c>
      <c r="B4840" s="3">
        <v>1</v>
      </c>
    </row>
    <row r="4841" ht="15.75" customHeight="1" spans="1:2">
      <c r="A4841" s="3" t="str">
        <f>IFERROR(__xludf.DUMMYFUNCTION("GOOGLETRANSLATE(A4841,""en"",""pt"")"),"ilimitado")</f>
        <v>ilimitado</v>
      </c>
      <c r="B4841" s="3">
        <v>1</v>
      </c>
    </row>
    <row r="4842" ht="15.75" customHeight="1" spans="1:2">
      <c r="A4842" s="3" t="str">
        <f>IFERROR(__xludf.DUMMYFUNCTION("GOOGLETRANSLATE(A4842,""en"",""pt"")"),"incomparável")</f>
        <v>incomparável</v>
      </c>
      <c r="B4842" s="3">
        <v>1</v>
      </c>
    </row>
    <row r="4843" ht="15.75" customHeight="1" spans="1:2">
      <c r="A4843" s="3" t="str">
        <f>IFERROR(__xludf.DUMMYFUNCTION("GOOGLETRANSLATE(A4843,""en"",""pt"")"),"inigualável")</f>
        <v>inigualável</v>
      </c>
      <c r="B4843" s="3">
        <v>1</v>
      </c>
    </row>
    <row r="4844" ht="15.75" customHeight="1" spans="1:2">
      <c r="A4844" s="3" t="str">
        <f>IFERROR(__xludf.DUMMYFUNCTION("GOOGLETRANSLATE(A4844,""en"",""pt"")"),"incontestável")</f>
        <v>incontestável</v>
      </c>
      <c r="B4844" s="3">
        <v>1</v>
      </c>
    </row>
    <row r="4845" ht="15.75" customHeight="1" spans="1:2">
      <c r="A4845" s="3" t="str">
        <f>IFERROR(__xludf.DUMMYFUNCTION("GOOGLETRANSLATE(A4845,""en"",""pt"")"),"inquestionavelmente")</f>
        <v>inquestionavelmente</v>
      </c>
      <c r="B4845" s="3">
        <v>1</v>
      </c>
    </row>
    <row r="4846" ht="15.75" customHeight="1" spans="1:2">
      <c r="A4846" s="3" t="str">
        <f>IFERROR(__xludf.DUMMYFUNCTION("GOOGLETRANSLATE(A4846,""en"",""pt"")"),"irreal")</f>
        <v>irreal</v>
      </c>
      <c r="B4846" s="3">
        <v>1</v>
      </c>
    </row>
    <row r="4847" ht="15.75" customHeight="1" spans="1:2">
      <c r="A4847" s="3" t="str">
        <f>IFERROR(__xludf.DUMMYFUNCTION("GOOGLETRANSLATE(A4847,""en"",""pt"")"),"irrestrito")</f>
        <v>irrestrito</v>
      </c>
      <c r="B4847" s="3">
        <v>1</v>
      </c>
    </row>
    <row r="4848" ht="15.75" customHeight="1" spans="1:2">
      <c r="A4848" s="3" t="str">
        <f>IFERROR(__xludf.DUMMYFUNCTION("GOOGLETRANSLATE(A4848,""en"",""pt"")"),"incomparável")</f>
        <v>incomparável</v>
      </c>
      <c r="B4848" s="3">
        <v>1</v>
      </c>
    </row>
    <row r="4849" ht="15.75" customHeight="1" spans="1:2">
      <c r="A4849" s="3" t="str">
        <f>IFERROR(__xludf.DUMMYFUNCTION("GOOGLETRANSLATE(A4849,""en"",""pt"")"),"altruísta")</f>
        <v>altruísta</v>
      </c>
      <c r="B4849" s="3">
        <v>1</v>
      </c>
    </row>
    <row r="4850" ht="15.75" customHeight="1" spans="1:2">
      <c r="A4850" s="3" t="str">
        <f>IFERROR(__xludf.DUMMYFUNCTION("GOOGLETRANSLATE(A4850,""en"",""pt"")"),"inabalável")</f>
        <v>inabalável</v>
      </c>
      <c r="B4850" s="3">
        <v>1</v>
      </c>
    </row>
    <row r="4851" ht="15.75" customHeight="1" spans="1:2">
      <c r="A4851" s="3" t="str">
        <f>IFERROR(__xludf.DUMMYFUNCTION("GOOGLETRANSLATE(A4851,""en"",""pt"")"),"otimista")</f>
        <v>otimista</v>
      </c>
      <c r="B4851" s="3">
        <v>1</v>
      </c>
    </row>
    <row r="4852" ht="15.75" customHeight="1" spans="1:2">
      <c r="A4852" s="3" t="str">
        <f>IFERROR(__xludf.DUMMYFUNCTION("GOOGLETRANSLATE(A4852,""en"",""pt"")"),"atualizável")</f>
        <v>atualizável</v>
      </c>
      <c r="B4852" s="3">
        <v>1</v>
      </c>
    </row>
    <row r="4853" ht="15.75" customHeight="1" spans="1:2">
      <c r="A4853" s="3" t="str">
        <f>IFERROR(__xludf.DUMMYFUNCTION("GOOGLETRANSLATE(A4853,""en"",""pt"")"),"atualizável")</f>
        <v>atualizável</v>
      </c>
      <c r="B4853" s="3">
        <v>1</v>
      </c>
    </row>
    <row r="4854" ht="15.75" customHeight="1" spans="1:2">
      <c r="A4854" s="3" t="str">
        <f>IFERROR(__xludf.DUMMYFUNCTION("GOOGLETRANSLATE(A4854,""en"",""pt"")"),"atualizado")</f>
        <v>atualizado</v>
      </c>
      <c r="B4854" s="3">
        <v>1</v>
      </c>
    </row>
    <row r="4855" ht="15.75" customHeight="1" spans="1:2">
      <c r="A4855" s="3" t="str">
        <f>IFERROR(__xludf.DUMMYFUNCTION("GOOGLETRANSLATE(A4855,""en"",""pt"")"),"mantida")</f>
        <v>mantida</v>
      </c>
      <c r="B4855" s="3">
        <v>1</v>
      </c>
    </row>
    <row r="4856" ht="15.75" customHeight="1" spans="1:2">
      <c r="A4856" s="3" t="str">
        <f>IFERROR(__xludf.DUMMYFUNCTION("GOOGLETRANSLATE(A4856,""en"",""pt"")"),"Uphold")</f>
        <v>Uphold</v>
      </c>
      <c r="B4856" s="3">
        <v>1</v>
      </c>
    </row>
    <row r="4857" ht="15.75" customHeight="1" spans="1:2">
      <c r="A4857" s="3" t="str">
        <f>IFERROR(__xludf.DUMMYFUNCTION("GOOGLETRANSLATE(A4857,""en"",""pt"")"),"elevar")</f>
        <v>elevar</v>
      </c>
      <c r="B4857" s="3">
        <v>1</v>
      </c>
    </row>
    <row r="4858" ht="15.75" customHeight="1" spans="1:2">
      <c r="A4858" s="3" t="str">
        <f>IFERROR(__xludf.DUMMYFUNCTION("GOOGLETRANSLATE(A4858,""en"",""pt"")"),"inspirador")</f>
        <v>inspirador</v>
      </c>
      <c r="B4858" s="3">
        <v>1</v>
      </c>
    </row>
    <row r="4859" ht="15.75" customHeight="1" spans="1:2">
      <c r="A4859" s="3" t="str">
        <f>IFERROR(__xludf.DUMMYFUNCTION("GOOGLETRANSLATE(A4859,""en"",""pt"")"),"upliftingly")</f>
        <v>upliftingly</v>
      </c>
      <c r="B4859" s="3">
        <v>1</v>
      </c>
    </row>
    <row r="4860" ht="15.75" customHeight="1" spans="1:2">
      <c r="A4860" s="3" t="str">
        <f>IFERROR(__xludf.DUMMYFUNCTION("GOOGLETRANSLATE(A4860,""en"",""pt"")"),"elevação")</f>
        <v>elevação</v>
      </c>
      <c r="B4860" s="3">
        <v>1</v>
      </c>
    </row>
    <row r="4861" ht="15.75" customHeight="1" spans="1:2">
      <c r="A4861" s="3" t="str">
        <f>IFERROR(__xludf.DUMMYFUNCTION("GOOGLETRANSLATE(A4861,""en"",""pt"")"),"de luxo")</f>
        <v>de luxo</v>
      </c>
      <c r="B4861" s="3">
        <v>1</v>
      </c>
    </row>
    <row r="4862" ht="15.75" customHeight="1" spans="1:2">
      <c r="A4862" s="3" t="str">
        <f>IFERROR(__xludf.DUMMYFUNCTION("GOOGLETRANSLATE(A4862,""en"",""pt"")"),"utilizável")</f>
        <v>utilizável</v>
      </c>
      <c r="B4862" s="3">
        <v>1</v>
      </c>
    </row>
    <row r="4863" ht="15.75" customHeight="1" spans="1:2">
      <c r="A4863" s="3" t="str">
        <f>IFERROR(__xludf.DUMMYFUNCTION("GOOGLETRANSLATE(A4863,""en"",""pt"")"),"utilizável")</f>
        <v>utilizável</v>
      </c>
      <c r="B4863" s="3">
        <v>1</v>
      </c>
    </row>
    <row r="4864" ht="15.75" customHeight="1" spans="1:2">
      <c r="A4864" s="3" t="str">
        <f>IFERROR(__xludf.DUMMYFUNCTION("GOOGLETRANSLATE(A4864,""en"",""pt"")"),"útil")</f>
        <v>útil</v>
      </c>
      <c r="B4864" s="3">
        <v>1</v>
      </c>
    </row>
    <row r="4865" ht="15.75" customHeight="1" spans="1:2">
      <c r="A4865" s="3" t="str">
        <f>IFERROR(__xludf.DUMMYFUNCTION("GOOGLETRANSLATE(A4865,""en"",""pt"")"),"amigo do usuário")</f>
        <v>amigo do usuário</v>
      </c>
      <c r="B4865" s="3">
        <v>1</v>
      </c>
    </row>
    <row r="4866" ht="15.75" customHeight="1" spans="1:2">
      <c r="A4866" s="3" t="str">
        <f>IFERROR(__xludf.DUMMYFUNCTION("GOOGLETRANSLATE(A4866,""en"",""pt"")"),"substituível pelo utilizador")</f>
        <v>substituível pelo utilizador</v>
      </c>
      <c r="B4866" s="3">
        <v>1</v>
      </c>
    </row>
    <row r="4867" ht="15.75" customHeight="1" spans="1:2">
      <c r="A4867" s="3" t="str">
        <f>IFERROR(__xludf.DUMMYFUNCTION("GOOGLETRANSLATE(A4867,""en"",""pt"")"),"valente")</f>
        <v>valente</v>
      </c>
      <c r="B4867" s="3">
        <v>1</v>
      </c>
    </row>
    <row r="4868" ht="15.75" customHeight="1" spans="1:2">
      <c r="A4868" s="3" t="str">
        <f>IFERROR(__xludf.DUMMYFUNCTION("GOOGLETRANSLATE(A4868,""en"",""pt"")"),"valentemente")</f>
        <v>valentemente</v>
      </c>
      <c r="B4868" s="3">
        <v>1</v>
      </c>
    </row>
    <row r="4869" ht="15.75" customHeight="1" spans="1:2">
      <c r="A4869" s="3" t="str">
        <f>IFERROR(__xludf.DUMMYFUNCTION("GOOGLETRANSLATE(A4869,""en"",""pt"")"),"bravura")</f>
        <v>bravura</v>
      </c>
      <c r="B4869" s="3">
        <v>1</v>
      </c>
    </row>
    <row r="4870" ht="15.75" customHeight="1" spans="1:2">
      <c r="A4870" s="3" t="str">
        <f>IFERROR(__xludf.DUMMYFUNCTION("GOOGLETRANSLATE(A4870,""en"",""pt"")"),"valioso")</f>
        <v>valioso</v>
      </c>
      <c r="B4870" s="3">
        <v>1</v>
      </c>
    </row>
    <row r="4871" ht="15.75" customHeight="1" spans="1:2">
      <c r="A4871" s="3" t="str">
        <f>IFERROR(__xludf.DUMMYFUNCTION("GOOGLETRANSLATE(A4871,""en"",""pt"")"),"variedade")</f>
        <v>variedade</v>
      </c>
      <c r="B4871" s="3">
        <v>1</v>
      </c>
    </row>
    <row r="4872" ht="15.75" customHeight="1" spans="1:2">
      <c r="A4872" s="3" t="str">
        <f>IFERROR(__xludf.DUMMYFUNCTION("GOOGLETRANSLATE(A4872,""en"",""pt"")"),"venerar")</f>
        <v>venerar</v>
      </c>
      <c r="B4872" s="3">
        <v>1</v>
      </c>
    </row>
    <row r="4873" ht="15.75" customHeight="1" spans="1:2">
      <c r="A4873" s="3" t="str">
        <f>IFERROR(__xludf.DUMMYFUNCTION("GOOGLETRANSLATE(A4873,""en"",""pt"")"),"verificável")</f>
        <v>verificável</v>
      </c>
      <c r="B4873" s="3">
        <v>1</v>
      </c>
    </row>
    <row r="4874" ht="15.75" customHeight="1" spans="1:2">
      <c r="A4874" s="3" t="str">
        <f>IFERROR(__xludf.DUMMYFUNCTION("GOOGLETRANSLATE(A4874,""en"",""pt"")"),"verdadeiro")</f>
        <v>verdadeiro</v>
      </c>
      <c r="B4874" s="3">
        <v>1</v>
      </c>
    </row>
    <row r="4875" ht="15.75" customHeight="1" spans="1:2">
      <c r="A4875" s="3" t="str">
        <f>IFERROR(__xludf.DUMMYFUNCTION("GOOGLETRANSLATE(A4875,""en"",""pt"")"),"versátil")</f>
        <v>versátil</v>
      </c>
      <c r="B4875" s="3">
        <v>1</v>
      </c>
    </row>
    <row r="4876" ht="15.75" customHeight="1" spans="1:2">
      <c r="A4876" s="3" t="str">
        <f>IFERROR(__xludf.DUMMYFUNCTION("GOOGLETRANSLATE(A4876,""en"",""pt"")"),"versatilidade")</f>
        <v>versatilidade</v>
      </c>
      <c r="B4876" s="3">
        <v>1</v>
      </c>
    </row>
    <row r="4877" ht="15.75" customHeight="1" spans="1:2">
      <c r="A4877" s="3" t="str">
        <f>IFERROR(__xludf.DUMMYFUNCTION("GOOGLETRANSLATE(A4877,""en"",""pt"")"),"vibrante")</f>
        <v>vibrante</v>
      </c>
      <c r="B4877" s="3">
        <v>1</v>
      </c>
    </row>
    <row r="4878" ht="15.75" customHeight="1" spans="1:2">
      <c r="A4878" s="3" t="str">
        <f>IFERROR(__xludf.DUMMYFUNCTION("GOOGLETRANSLATE(A4878,""en"",""pt"")"),"vibrantemente")</f>
        <v>vibrantemente</v>
      </c>
      <c r="B4878" s="3">
        <v>1</v>
      </c>
    </row>
    <row r="4879" ht="15.75" customHeight="1" spans="1:2">
      <c r="A4879" s="3" t="str">
        <f>IFERROR(__xludf.DUMMYFUNCTION("GOOGLETRANSLATE(A4879,""en"",""pt"")"),"vitorioso")</f>
        <v>vitorioso</v>
      </c>
      <c r="B4879" s="3">
        <v>1</v>
      </c>
    </row>
    <row r="4880" ht="15.75" customHeight="1" spans="1:2">
      <c r="A4880" s="3" t="str">
        <f>IFERROR(__xludf.DUMMYFUNCTION("GOOGLETRANSLATE(A4880,""en"",""pt"")"),"vitória")</f>
        <v>vitória</v>
      </c>
      <c r="B4880" s="3">
        <v>1</v>
      </c>
    </row>
    <row r="4881" ht="15.75" customHeight="1" spans="1:2">
      <c r="A4881" s="3" t="str">
        <f>IFERROR(__xludf.DUMMYFUNCTION("GOOGLETRANSLATE(A4881,""en"",""pt"")"),"visível")</f>
        <v>visível</v>
      </c>
      <c r="B4881" s="3">
        <v>1</v>
      </c>
    </row>
    <row r="4882" ht="15.75" customHeight="1" spans="1:2">
      <c r="A4882" s="3" t="str">
        <f>IFERROR(__xludf.DUMMYFUNCTION("GOOGLETRANSLATE(A4882,""en"",""pt"")"),"vigilância")</f>
        <v>vigilância</v>
      </c>
      <c r="B4882" s="3">
        <v>1</v>
      </c>
    </row>
    <row r="4883" ht="15.75" customHeight="1" spans="1:2">
      <c r="A4883" s="3" t="str">
        <f>IFERROR(__xludf.DUMMYFUNCTION("GOOGLETRANSLATE(A4883,""en"",""pt"")"),"Vigilância")</f>
        <v>Vigilância</v>
      </c>
      <c r="B4883" s="3">
        <v>1</v>
      </c>
    </row>
    <row r="4884" ht="15.75" customHeight="1" spans="1:2">
      <c r="A4884" s="3" t="str">
        <f>IFERROR(__xludf.DUMMYFUNCTION("GOOGLETRANSLATE(A4884,""en"",""pt"")"),"virtude")</f>
        <v>virtude</v>
      </c>
      <c r="B4884" s="3">
        <v>1</v>
      </c>
    </row>
    <row r="4885" ht="15.75" customHeight="1" spans="1:2">
      <c r="A4885" s="3" t="str">
        <f>IFERROR(__xludf.DUMMYFUNCTION("GOOGLETRANSLATE(A4885,""en"",""pt"")"),"virtuoso")</f>
        <v>virtuoso</v>
      </c>
      <c r="B4885" s="3">
        <v>1</v>
      </c>
    </row>
    <row r="4886" ht="15.75" customHeight="1" spans="1:2">
      <c r="A4886" s="3" t="str">
        <f>IFERROR(__xludf.DUMMYFUNCTION("GOOGLETRANSLATE(A4886,""en"",""pt"")"),"virtuosamente")</f>
        <v>virtuosamente</v>
      </c>
      <c r="B4886" s="3">
        <v>1</v>
      </c>
    </row>
    <row r="4887" ht="15.75" customHeight="1" spans="1:2">
      <c r="A4887" s="3" t="str">
        <f>IFERROR(__xludf.DUMMYFUNCTION("GOOGLETRANSLATE(A4887,""en"",""pt"")"),"visionário")</f>
        <v>visionário</v>
      </c>
      <c r="B4887" s="3">
        <v>1</v>
      </c>
    </row>
    <row r="4888" ht="15.75" customHeight="1" spans="1:2">
      <c r="A4888" s="3" t="str">
        <f>IFERROR(__xludf.DUMMYFUNCTION("GOOGLETRANSLATE(A4888,""en"",""pt"")"),"vivaz")</f>
        <v>vivaz</v>
      </c>
      <c r="B4888" s="3">
        <v>1</v>
      </c>
    </row>
    <row r="4889" ht="15.75" customHeight="1" spans="1:2">
      <c r="A4889" s="3" t="str">
        <f>IFERROR(__xludf.DUMMYFUNCTION("GOOGLETRANSLATE(A4889,""en"",""pt"")"),"vívido")</f>
        <v>vívido</v>
      </c>
      <c r="B4889" s="3">
        <v>1</v>
      </c>
    </row>
    <row r="4890" ht="15.75" customHeight="1" spans="1:2">
      <c r="A4890" s="3" t="str">
        <f>IFERROR(__xludf.DUMMYFUNCTION("GOOGLETRANSLATE(A4890,""en"",""pt"")"),"atestar")</f>
        <v>atestar</v>
      </c>
      <c r="B4890" s="3">
        <v>1</v>
      </c>
    </row>
    <row r="4891" ht="15.75" customHeight="1" spans="1:2">
      <c r="A4891" s="3" t="str">
        <f>IFERROR(__xludf.DUMMYFUNCTION("GOOGLETRANSLATE(A4891,""en"",""pt"")"),"Vouchsafe")</f>
        <v>Vouchsafe</v>
      </c>
      <c r="B4891" s="3">
        <v>1</v>
      </c>
    </row>
    <row r="4892" ht="15.75" customHeight="1" spans="1:2">
      <c r="A4892" s="3" t="str">
        <f>IFERROR(__xludf.DUMMYFUNCTION("GOOGLETRANSLATE(A4892,""en"",""pt"")"),"caloroso")</f>
        <v>caloroso</v>
      </c>
      <c r="B4892" s="3">
        <v>1</v>
      </c>
    </row>
    <row r="4893" ht="15.75" customHeight="1" spans="1:2">
      <c r="A4893" s="3" t="str">
        <f>IFERROR(__xludf.DUMMYFUNCTION("GOOGLETRANSLATE(A4893,""en"",""pt"")"),"aquecedor")</f>
        <v>aquecedor</v>
      </c>
      <c r="B4893" s="3">
        <v>1</v>
      </c>
    </row>
    <row r="4894" ht="15.75" customHeight="1" spans="1:2">
      <c r="A4894" s="3" t="str">
        <f>IFERROR(__xludf.DUMMYFUNCTION("GOOGLETRANSLATE(A4894,""en"",""pt"")"),"warmhearted")</f>
        <v>warmhearted</v>
      </c>
      <c r="B4894" s="3">
        <v>1</v>
      </c>
    </row>
    <row r="4895" ht="15.75" customHeight="1" spans="1:2">
      <c r="A4895" s="3" t="str">
        <f>IFERROR(__xludf.DUMMYFUNCTION("GOOGLETRANSLATE(A4895,""en"",""pt"")"),"calorosamente")</f>
        <v>calorosamente</v>
      </c>
      <c r="B4895" s="3">
        <v>1</v>
      </c>
    </row>
    <row r="4896" ht="15.75" customHeight="1" spans="1:2">
      <c r="A4896" s="3" t="str">
        <f>IFERROR(__xludf.DUMMYFUNCTION("GOOGLETRANSLATE(A4896,""en"",""pt"")"),"calor")</f>
        <v>calor</v>
      </c>
      <c r="B4896" s="3">
        <v>1</v>
      </c>
    </row>
    <row r="4897" ht="15.75" customHeight="1" spans="1:2">
      <c r="A4897" s="3" t="str">
        <f>IFERROR(__xludf.DUMMYFUNCTION("GOOGLETRANSLATE(A4897,""en"",""pt"")"),"rico")</f>
        <v>rico</v>
      </c>
      <c r="B4897" s="3">
        <v>1</v>
      </c>
    </row>
    <row r="4898" ht="15.75" customHeight="1" spans="1:2">
      <c r="A4898" s="3" t="str">
        <f>IFERROR(__xludf.DUMMYFUNCTION("GOOGLETRANSLATE(A4898,""en"",""pt"")"),"bem vinda")</f>
        <v>bem vinda</v>
      </c>
      <c r="B4898" s="3">
        <v>1</v>
      </c>
    </row>
    <row r="4899" ht="15.75" customHeight="1" spans="1:2">
      <c r="A4899" s="3" t="str">
        <f>IFERROR(__xludf.DUMMYFUNCTION("GOOGLETRANSLATE(A4899,""en"",""pt"")"),"bem")</f>
        <v>bem</v>
      </c>
      <c r="B4899" s="3">
        <v>1</v>
      </c>
    </row>
    <row r="4900" ht="15.75" customHeight="1" spans="1:2">
      <c r="A4900" s="3" t="str">
        <f>IFERROR(__xludf.DUMMYFUNCTION("GOOGLETRANSLATE(A4900,""en"",""pt"")"),"bem retroiluminado")</f>
        <v>bem retroiluminado</v>
      </c>
      <c r="B4900" s="3">
        <v>1</v>
      </c>
    </row>
    <row r="4901" ht="15.75" customHeight="1" spans="1:2">
      <c r="A4901" s="3" t="str">
        <f>IFERROR(__xludf.DUMMYFUNCTION("GOOGLETRANSLATE(A4901,""en"",""pt"")"),"bem equilibrada")</f>
        <v>bem equilibrada</v>
      </c>
      <c r="B4901" s="3">
        <v>1</v>
      </c>
    </row>
    <row r="4902" ht="15.75" customHeight="1" spans="1:2">
      <c r="A4902" s="3" t="str">
        <f>IFERROR(__xludf.DUMMYFUNCTION("GOOGLETRANSLATE(A4902,""en"",""pt"")"),"bem comportado")</f>
        <v>bem comportado</v>
      </c>
      <c r="B4902" s="3">
        <v>1</v>
      </c>
    </row>
    <row r="4903" ht="15.75" customHeight="1" spans="1:2">
      <c r="A4903" s="3" t="str">
        <f>IFERROR(__xludf.DUMMYFUNCTION("GOOGLETRANSLATE(A4903,""en"",""pt"")"),"bem-estar")</f>
        <v>bem-estar</v>
      </c>
      <c r="B4903" s="3">
        <v>1</v>
      </c>
    </row>
    <row r="4904" ht="15.75" customHeight="1" spans="1:2">
      <c r="A4904" s="3" t="str">
        <f>IFERROR(__xludf.DUMMYFUNCTION("GOOGLETRANSLATE(A4904,""en"",""pt"")"),"bem educado")</f>
        <v>bem educado</v>
      </c>
      <c r="B4904" s="3">
        <v>1</v>
      </c>
    </row>
    <row r="4905" ht="15.75" customHeight="1" spans="1:2">
      <c r="A4905" s="3" t="str">
        <f>IFERROR(__xludf.DUMMYFUNCTION("GOOGLETRANSLATE(A4905,""en"",""pt"")"),"bem ligado")</f>
        <v>bem ligado</v>
      </c>
      <c r="B4905" s="3">
        <v>1</v>
      </c>
    </row>
    <row r="4906" ht="15.75" customHeight="1" spans="1:2">
      <c r="A4906" s="3" t="str">
        <f>IFERROR(__xludf.DUMMYFUNCTION("GOOGLETRANSLATE(A4906,""en"",""pt"")"),"bem-educado")</f>
        <v>bem-educado</v>
      </c>
      <c r="B4906" s="3">
        <v>1</v>
      </c>
    </row>
    <row r="4907" ht="15.75" customHeight="1" spans="1:2">
      <c r="A4907" s="3" t="str">
        <f>IFERROR(__xludf.DUMMYFUNCTION("GOOGLETRANSLATE(A4907,""en"",""pt"")"),"bem estabelecido")</f>
        <v>bem estabelecido</v>
      </c>
      <c r="B4907" s="3">
        <v>1</v>
      </c>
    </row>
    <row r="4908" ht="15.75" customHeight="1" spans="1:2">
      <c r="A4908" s="3" t="str">
        <f>IFERROR(__xludf.DUMMYFUNCTION("GOOGLETRANSLATE(A4908,""en"",""pt"")"),"bem informado")</f>
        <v>bem informado</v>
      </c>
      <c r="B4908" s="3">
        <v>1</v>
      </c>
    </row>
    <row r="4909" ht="15.75" customHeight="1" spans="1:2">
      <c r="A4909" s="3" t="str">
        <f>IFERROR(__xludf.DUMMYFUNCTION("GOOGLETRANSLATE(A4909,""en"",""pt"")"),"bem-intencionado")</f>
        <v>bem-intencionado</v>
      </c>
      <c r="B4909" s="3">
        <v>1</v>
      </c>
    </row>
    <row r="4910" ht="15.75" customHeight="1" spans="1:2">
      <c r="A4910" s="3" t="str">
        <f>IFERROR(__xludf.DUMMYFUNCTION("GOOGLETRANSLATE(A4910,""en"",""pt"")"),"bem conhecido")</f>
        <v>bem conhecido</v>
      </c>
      <c r="B4910" s="3">
        <v>1</v>
      </c>
    </row>
    <row r="4911" ht="15.75" customHeight="1" spans="1:2">
      <c r="A4911" s="3" t="str">
        <f>IFERROR(__xludf.DUMMYFUNCTION("GOOGLETRANSLATE(A4911,""en"",""pt"")"),"bem feito")</f>
        <v>bem feito</v>
      </c>
      <c r="B4911" s="3">
        <v>1</v>
      </c>
    </row>
    <row r="4912" ht="15.75" customHeight="1" spans="1:2">
      <c r="A4912" s="3" t="str">
        <f>IFERROR(__xludf.DUMMYFUNCTION("GOOGLETRANSLATE(A4912,""en"",""pt"")"),"bem administrado")</f>
        <v>bem administrado</v>
      </c>
      <c r="B4912" s="3">
        <v>1</v>
      </c>
    </row>
    <row r="4913" ht="15.75" customHeight="1" spans="1:2">
      <c r="A4913" s="3" t="str">
        <f>IFERROR(__xludf.DUMMYFUNCTION("GOOGLETRANSLATE(A4913,""en"",""pt"")"),"educado")</f>
        <v>educado</v>
      </c>
      <c r="B4913" s="3">
        <v>1</v>
      </c>
    </row>
    <row r="4914" ht="15.75" customHeight="1" spans="1:2">
      <c r="A4914" s="3" t="str">
        <f>IFERROR(__xludf.DUMMYFUNCTION("GOOGLETRANSLATE(A4914,""en"",""pt"")"),"bem posicionado")</f>
        <v>bem posicionado</v>
      </c>
      <c r="B4914" s="3">
        <v>1</v>
      </c>
    </row>
    <row r="4915" ht="15.75" customHeight="1" spans="1:2">
      <c r="A4915" s="3" t="str">
        <f>IFERROR(__xludf.DUMMYFUNCTION("GOOGLETRANSLATE(A4915,""en"",""pt"")"),"bem recebido")</f>
        <v>bem recebido</v>
      </c>
      <c r="B4915" s="3">
        <v>1</v>
      </c>
    </row>
    <row r="4916" ht="15.75" customHeight="1" spans="1:2">
      <c r="A4916" s="3" t="str">
        <f>IFERROR(__xludf.DUMMYFUNCTION("GOOGLETRANSLATE(A4916,""en"",""pt"")"),"bem visto")</f>
        <v>bem visto</v>
      </c>
      <c r="B4916" s="3">
        <v>1</v>
      </c>
    </row>
    <row r="4917" ht="15.75" customHeight="1" spans="1:2">
      <c r="A4917" s="3" t="str">
        <f>IFERROR(__xludf.DUMMYFUNCTION("GOOGLETRANSLATE(A4917,""en"",""pt"")"),"bem equilibrada")</f>
        <v>bem equilibrada</v>
      </c>
      <c r="B4917" s="3">
        <v>1</v>
      </c>
    </row>
    <row r="4918" ht="15.75" customHeight="1" spans="1:2">
      <c r="A4918" s="3" t="str">
        <f>IFERROR(__xludf.DUMMYFUNCTION("GOOGLETRANSLATE(A4918,""en"",""pt"")"),"bem organizado")</f>
        <v>bem organizado</v>
      </c>
      <c r="B4918" s="3">
        <v>1</v>
      </c>
    </row>
    <row r="4919" ht="15.75" customHeight="1" spans="1:2">
      <c r="A4919" s="3" t="str">
        <f>IFERROR(__xludf.DUMMYFUNCTION("GOOGLETRANSLATE(A4919,""en"",""pt"")"),"benquerentes")</f>
        <v>benquerentes</v>
      </c>
      <c r="B4919" s="3">
        <v>1</v>
      </c>
    </row>
    <row r="4920" ht="15.75" customHeight="1" spans="1:2">
      <c r="A4920" s="3" t="str">
        <f>IFERROR(__xludf.DUMMYFUNCTION("GOOGLETRANSLATE(A4920,""en"",""pt"")"),"bem-estar")</f>
        <v>bem-estar</v>
      </c>
      <c r="B4920" s="3">
        <v>1</v>
      </c>
    </row>
    <row r="4921" ht="15.75" customHeight="1" spans="1:2">
      <c r="A4921" s="3" t="str">
        <f>IFERROR(__xludf.DUMMYFUNCTION("GOOGLETRANSLATE(A4921,""en"",""pt"")"),"Uau")</f>
        <v>Uau</v>
      </c>
      <c r="B4921" s="3">
        <v>1</v>
      </c>
    </row>
    <row r="4922" ht="15.75" customHeight="1" spans="1:2">
      <c r="A4922" s="3" t="str">
        <f>IFERROR(__xludf.DUMMYFUNCTION("GOOGLETRANSLATE(A4922,""en"",""pt"")"),"sinceramente")</f>
        <v>sinceramente</v>
      </c>
      <c r="B4922" s="3">
        <v>1</v>
      </c>
    </row>
    <row r="4923" ht="15.75" customHeight="1" spans="1:2">
      <c r="A4923" s="3" t="str">
        <f>IFERROR(__xludf.DUMMYFUNCTION("GOOGLETRANSLATE(A4923,""en"",""pt"")"),"saudável")</f>
        <v>saudável</v>
      </c>
      <c r="B4923" s="3">
        <v>1</v>
      </c>
    </row>
    <row r="4924" ht="15.75" customHeight="1" spans="1:2">
      <c r="A4924" s="3" t="str">
        <f>IFERROR(__xludf.DUMMYFUNCTION("GOOGLETRANSLATE(A4924,""en"",""pt"")"),"Whooa")</f>
        <v>Whooa</v>
      </c>
      <c r="B4924" s="3">
        <v>1</v>
      </c>
    </row>
    <row r="4925" ht="15.75" customHeight="1" spans="1:2">
      <c r="A4925" s="3" t="str">
        <f>IFERROR(__xludf.DUMMYFUNCTION("GOOGLETRANSLATE(A4925,""en"",""pt"")"),"whoooa")</f>
        <v>whoooa</v>
      </c>
      <c r="B4925" s="3">
        <v>1</v>
      </c>
    </row>
    <row r="4926" ht="15.75" customHeight="1" spans="1:2">
      <c r="A4926" s="3" t="str">
        <f>IFERROR(__xludf.DUMMYFUNCTION("GOOGLETRANSLATE(A4926,""en"",""pt"")"),"habilidoso")</f>
        <v>habilidoso</v>
      </c>
      <c r="B4926" s="3">
        <v>1</v>
      </c>
    </row>
    <row r="4927" ht="15.75" customHeight="1" spans="1:2">
      <c r="A4927" s="3" t="str">
        <f>IFERROR(__xludf.DUMMYFUNCTION("GOOGLETRANSLATE(A4927,""en"",""pt"")"),"disposto")</f>
        <v>disposto</v>
      </c>
      <c r="B4927" s="3">
        <v>1</v>
      </c>
    </row>
    <row r="4928" ht="15.75" customHeight="1" spans="1:2">
      <c r="A4928" s="3" t="str">
        <f>IFERROR(__xludf.DUMMYFUNCTION("GOOGLETRANSLATE(A4928,""en"",""pt"")"),"de bom grado")</f>
        <v>de bom grado</v>
      </c>
      <c r="B4928" s="3">
        <v>1</v>
      </c>
    </row>
    <row r="4929" ht="15.75" customHeight="1" spans="1:2">
      <c r="A4929" s="3" t="str">
        <f>IFERROR(__xludf.DUMMYFUNCTION("GOOGLETRANSLATE(A4929,""en"",""pt"")"),"boa vontade")</f>
        <v>boa vontade</v>
      </c>
      <c r="B4929" s="3">
        <v>1</v>
      </c>
    </row>
    <row r="4930" ht="15.75" customHeight="1" spans="1:2">
      <c r="A4930" s="3" t="str">
        <f>IFERROR(__xludf.DUMMYFUNCTION("GOOGLETRANSLATE(A4930,""en"",""pt"")"),"ganhar")</f>
        <v>ganhar</v>
      </c>
      <c r="B4930" s="3">
        <v>1</v>
      </c>
    </row>
    <row r="4931" ht="15.75" customHeight="1" spans="1:2">
      <c r="A4931" s="3" t="str">
        <f>IFERROR(__xludf.DUMMYFUNCTION("GOOGLETRANSLATE(A4931,""en"",""pt"")"),"windfall")</f>
        <v>windfall</v>
      </c>
      <c r="B4931" s="3">
        <v>1</v>
      </c>
    </row>
    <row r="4932" ht="15.75" customHeight="1" spans="1:2">
      <c r="A4932" s="3" t="str">
        <f>IFERROR(__xludf.DUMMYFUNCTION("GOOGLETRANSLATE(A4932,""en"",""pt"")"),"winnable")</f>
        <v>winnable</v>
      </c>
      <c r="B4932" s="3">
        <v>1</v>
      </c>
    </row>
    <row r="4933" ht="15.75" customHeight="1" spans="1:2">
      <c r="A4933" s="3" t="str">
        <f>IFERROR(__xludf.DUMMYFUNCTION("GOOGLETRANSLATE(A4933,""en"",""pt"")"),"vencedora")</f>
        <v>vencedora</v>
      </c>
      <c r="B4933" s="3">
        <v>1</v>
      </c>
    </row>
    <row r="4934" ht="15.75" customHeight="1" spans="1:2">
      <c r="A4934" s="3" t="str">
        <f>IFERROR(__xludf.DUMMYFUNCTION("GOOGLETRANSLATE(A4934,""en"",""pt"")"),"vencedores")</f>
        <v>vencedores</v>
      </c>
      <c r="B4934" s="3">
        <v>1</v>
      </c>
    </row>
    <row r="4935" ht="15.75" customHeight="1" spans="1:2">
      <c r="A4935" s="3" t="str">
        <f>IFERROR(__xludf.DUMMYFUNCTION("GOOGLETRANSLATE(A4935,""en"",""pt"")"),"ganhando")</f>
        <v>ganhando</v>
      </c>
      <c r="B4935" s="3">
        <v>1</v>
      </c>
    </row>
    <row r="4936" ht="15.75" customHeight="1" spans="1:2">
      <c r="A4936" s="3" t="str">
        <f>IFERROR(__xludf.DUMMYFUNCTION("GOOGLETRANSLATE(A4936,""en"",""pt"")"),"vitórias")</f>
        <v>vitórias</v>
      </c>
      <c r="B4936" s="3">
        <v>1</v>
      </c>
    </row>
    <row r="4937" ht="15.75" customHeight="1" spans="1:2">
      <c r="A4937" s="3" t="str">
        <f>IFERROR(__xludf.DUMMYFUNCTION("GOOGLETRANSLATE(A4937,""en"",""pt"")"),"sabedoria")</f>
        <v>sabedoria</v>
      </c>
      <c r="B4937" s="3">
        <v>1</v>
      </c>
    </row>
    <row r="4938" ht="15.75" customHeight="1" spans="1:2">
      <c r="A4938" s="3" t="str">
        <f>IFERROR(__xludf.DUMMYFUNCTION("GOOGLETRANSLATE(A4938,""en"",""pt"")"),"sensato")</f>
        <v>sensato</v>
      </c>
      <c r="B4938" s="3">
        <v>1</v>
      </c>
    </row>
    <row r="4939" ht="15.75" customHeight="1" spans="1:2">
      <c r="A4939" s="3" t="str">
        <f>IFERROR(__xludf.DUMMYFUNCTION("GOOGLETRANSLATE(A4939,""en"",""pt"")"),"sabiamente")</f>
        <v>sabiamente</v>
      </c>
      <c r="B4939" s="3">
        <v>1</v>
      </c>
    </row>
    <row r="4940" ht="15.75" customHeight="1" spans="1:2">
      <c r="A4940" s="3" t="str">
        <f>IFERROR(__xludf.DUMMYFUNCTION("GOOGLETRANSLATE(A4940,""en"",""pt"")"),"espirituoso")</f>
        <v>espirituoso</v>
      </c>
      <c r="B4940" s="3">
        <v>1</v>
      </c>
    </row>
    <row r="4941" ht="15.75" customHeight="1" spans="1:2">
      <c r="A4941" s="3" t="str">
        <f>IFERROR(__xludf.DUMMYFUNCTION("GOOGLETRANSLATE(A4941,""en"",""pt"")"),"Ganhou")</f>
        <v>Ganhou</v>
      </c>
      <c r="B4941" s="3">
        <v>1</v>
      </c>
    </row>
    <row r="4942" ht="15.75" customHeight="1" spans="1:2">
      <c r="A4942" s="3" t="str">
        <f>IFERROR(__xludf.DUMMYFUNCTION("GOOGLETRANSLATE(A4942,""en"",""pt"")"),"maravilha")</f>
        <v>maravilha</v>
      </c>
      <c r="B4942" s="3">
        <v>1</v>
      </c>
    </row>
    <row r="4943" ht="15.75" customHeight="1" spans="1:2">
      <c r="A4943" s="3" t="str">
        <f>IFERROR(__xludf.DUMMYFUNCTION("GOOGLETRANSLATE(A4943,""en"",""pt"")"),"Maravilhoso")</f>
        <v>Maravilhoso</v>
      </c>
      <c r="B4943" s="3">
        <v>1</v>
      </c>
    </row>
    <row r="4944" ht="15.75" customHeight="1" spans="1:2">
      <c r="A4944" s="3" t="str">
        <f>IFERROR(__xludf.DUMMYFUNCTION("GOOGLETRANSLATE(A4944,""en"",""pt"")"),"maravilhosamente")</f>
        <v>maravilhosamente</v>
      </c>
      <c r="B4944" s="3">
        <v>1</v>
      </c>
    </row>
    <row r="4945" ht="15.75" customHeight="1" spans="1:2">
      <c r="A4945" s="3" t="str">
        <f>IFERROR(__xludf.DUMMYFUNCTION("GOOGLETRANSLATE(A4945,""en"",""pt"")"),"wonderous")</f>
        <v>wonderous</v>
      </c>
      <c r="B4945" s="3">
        <v>1</v>
      </c>
    </row>
    <row r="4946" ht="15.75" customHeight="1" spans="1:2">
      <c r="A4946" s="3" t="str">
        <f>IFERROR(__xludf.DUMMYFUNCTION("GOOGLETRANSLATE(A4946,""en"",""pt"")"),"wonderously")</f>
        <v>wonderously</v>
      </c>
      <c r="B4946" s="3">
        <v>1</v>
      </c>
    </row>
    <row r="4947" ht="15.75" customHeight="1" spans="1:2">
      <c r="A4947" s="3" t="str">
        <f>IFERROR(__xludf.DUMMYFUNCTION("GOOGLETRANSLATE(A4947,""en"",""pt"")"),"maravilhas")</f>
        <v>maravilhas</v>
      </c>
      <c r="B4947" s="3">
        <v>1</v>
      </c>
    </row>
    <row r="4948" ht="15.75" customHeight="1" spans="1:2">
      <c r="A4948" s="3" t="str">
        <f>IFERROR(__xludf.DUMMYFUNCTION("GOOGLETRANSLATE(A4948,""en"",""pt"")"),"maravilhoso")</f>
        <v>maravilhoso</v>
      </c>
      <c r="B4948" s="3">
        <v>1</v>
      </c>
    </row>
    <row r="4949" ht="15.75" customHeight="1" spans="1:2">
      <c r="A4949" s="3" t="str">
        <f>IFERROR(__xludf.DUMMYFUNCTION("GOOGLETRANSLATE(A4949,""en"",""pt"")"),"cortejar")</f>
        <v>cortejar</v>
      </c>
      <c r="B4949" s="3">
        <v>1</v>
      </c>
    </row>
    <row r="4950" ht="15.75" customHeight="1" spans="1:2">
      <c r="A4950" s="3" t="str">
        <f>IFERROR(__xludf.DUMMYFUNCTION("GOOGLETRANSLATE(A4950,""en"",""pt"")"),"trabalhos")</f>
        <v>trabalhos</v>
      </c>
      <c r="B4950" s="3">
        <v>1</v>
      </c>
    </row>
    <row r="4951" ht="15.75" customHeight="1" spans="1:2">
      <c r="A4951" s="3" t="str">
        <f>IFERROR(__xludf.DUMMYFUNCTION("GOOGLETRANSLATE(A4951,""en"",""pt"")"),"trabalhável")</f>
        <v>trabalhável</v>
      </c>
      <c r="B4951" s="3">
        <v>1</v>
      </c>
    </row>
    <row r="4952" ht="15.75" customHeight="1" spans="1:2">
      <c r="A4952" s="3" t="str">
        <f>IFERROR(__xludf.DUMMYFUNCTION("GOOGLETRANSLATE(A4952,""en"",""pt"")"),"trabalhou")</f>
        <v>trabalhou</v>
      </c>
      <c r="B4952" s="3">
        <v>1</v>
      </c>
    </row>
    <row r="4953" ht="15.75" customHeight="1" spans="1:2">
      <c r="A4953" s="3" t="str">
        <f>IFERROR(__xludf.DUMMYFUNCTION("GOOGLETRANSLATE(A4953,""en"",""pt"")"),"trabalho")</f>
        <v>trabalho</v>
      </c>
      <c r="B4953" s="3">
        <v>1</v>
      </c>
    </row>
    <row r="4954" ht="15.75" customHeight="1" spans="1:2">
      <c r="A4954" s="3" t="str">
        <f>IFERROR(__xludf.DUMMYFUNCTION("GOOGLETRANSLATE(A4954,""en"",""pt"")"),"famoso mundialmente")</f>
        <v>famoso mundialmente</v>
      </c>
      <c r="B4954" s="3">
        <v>1</v>
      </c>
    </row>
    <row r="4955" ht="15.75" customHeight="1" spans="1:2">
      <c r="A4955" s="3" t="str">
        <f>IFERROR(__xludf.DUMMYFUNCTION("GOOGLETRANSLATE(A4955,""en"",""pt"")"),"que vale a pena")</f>
        <v>que vale a pena</v>
      </c>
      <c r="B4955" s="3">
        <v>1</v>
      </c>
    </row>
    <row r="4956" ht="15.75" customHeight="1" spans="1:2">
      <c r="A4956" s="3" t="str">
        <f>IFERROR(__xludf.DUMMYFUNCTION("GOOGLETRANSLATE(A4956,""en"",""pt"")"),"que vale a pena")</f>
        <v>que vale a pena</v>
      </c>
      <c r="B4956" s="3">
        <v>1</v>
      </c>
    </row>
    <row r="4957" ht="15.75" customHeight="1" spans="1:2">
      <c r="A4957" s="3" t="str">
        <f>IFERROR(__xludf.DUMMYFUNCTION("GOOGLETRANSLATE(A4957,""en"",""pt"")"),"valor")</f>
        <v>valor</v>
      </c>
      <c r="B4957" s="3">
        <v>1</v>
      </c>
    </row>
    <row r="4958" ht="15.75" customHeight="1" spans="1:2">
      <c r="A4958" s="3" t="str">
        <f>IFERROR(__xludf.DUMMYFUNCTION("GOOGLETRANSLATE(A4958,""en"",""pt"")"),"que vale a pena")</f>
        <v>que vale a pena</v>
      </c>
      <c r="B4958" s="3">
        <v>1</v>
      </c>
    </row>
    <row r="4959" ht="15.75" customHeight="1" spans="1:2">
      <c r="A4959" s="3" t="str">
        <f>IFERROR(__xludf.DUMMYFUNCTION("GOOGLETRANSLATE(A4959,""en"",""pt"")"),"digno")</f>
        <v>digno</v>
      </c>
      <c r="B4959" s="3">
        <v>1</v>
      </c>
    </row>
    <row r="4960" ht="15.75" customHeight="1" spans="1:2">
      <c r="A4960" s="3" t="str">
        <f>IFERROR(__xludf.DUMMYFUNCTION("GOOGLETRANSLATE(A4960,""en"",""pt"")"),"Uau")</f>
        <v>Uau</v>
      </c>
      <c r="B4960" s="3">
        <v>1</v>
      </c>
    </row>
    <row r="4961" ht="15.75" customHeight="1" spans="1:2">
      <c r="A4961" s="3" t="str">
        <f>IFERROR(__xludf.DUMMYFUNCTION("GOOGLETRANSLATE(A4961,""en"",""pt"")"),"fascinou")</f>
        <v>fascinou</v>
      </c>
      <c r="B4961" s="3">
        <v>1</v>
      </c>
    </row>
    <row r="4962" ht="15.75" customHeight="1" spans="1:2">
      <c r="A4962" s="3" t="str">
        <f>IFERROR(__xludf.DUMMYFUNCTION("GOOGLETRANSLATE(A4962,""en"",""pt"")"),"wows")</f>
        <v>wows</v>
      </c>
      <c r="B4962" s="3">
        <v>1</v>
      </c>
    </row>
    <row r="4963" ht="15.75" customHeight="1" spans="1:2">
      <c r="A4963" s="3" t="str">
        <f>IFERROR(__xludf.DUMMYFUNCTION("GOOGLETRANSLATE(A4963,""en"",""pt"")"),"UAU")</f>
        <v>UAU</v>
      </c>
      <c r="B4963" s="3">
        <v>1</v>
      </c>
    </row>
    <row r="4964" ht="15.75" customHeight="1" spans="1:2">
      <c r="A4964" s="3" t="str">
        <f>IFERROR(__xludf.DUMMYFUNCTION("GOOGLETRANSLATE(A4964,""en"",""pt"")"),"yay")</f>
        <v>yay</v>
      </c>
      <c r="B4964" s="3">
        <v>1</v>
      </c>
    </row>
    <row r="4965" ht="15.75" customHeight="1" spans="1:2">
      <c r="A4965" s="3" t="str">
        <f>IFERROR(__xludf.DUMMYFUNCTION("GOOGLETRANSLATE(A4965,""en"",""pt"")"),"jovem")</f>
        <v>jovem</v>
      </c>
      <c r="B4965" s="3">
        <v>1</v>
      </c>
    </row>
    <row r="4966" ht="15.75" customHeight="1" spans="1:2">
      <c r="A4966" s="3" t="str">
        <f>IFERROR(__xludf.DUMMYFUNCTION("GOOGLETRANSLATE(A4966,""en"",""pt"")"),"zelo")</f>
        <v>zelo</v>
      </c>
      <c r="B4966" s="3">
        <v>1</v>
      </c>
    </row>
    <row r="4967" ht="15.75" customHeight="1" spans="1:2">
      <c r="A4967" s="3" t="str">
        <f>IFERROR(__xludf.DUMMYFUNCTION("GOOGLETRANSLATE(A4967,""en"",""pt"")"),"zênite")</f>
        <v>zênite</v>
      </c>
      <c r="B4967" s="3">
        <v>1</v>
      </c>
    </row>
    <row r="4968" ht="15.75" customHeight="1" spans="1:2">
      <c r="A4968" s="3" t="str">
        <f>IFERROR(__xludf.DUMMYFUNCTION("GOOGLETRANSLATE(A4968,""en"",""pt"")"),"entusiasmo")</f>
        <v>entusiasmo</v>
      </c>
      <c r="B4968" s="3">
        <v>1</v>
      </c>
    </row>
    <row r="4969" ht="15.75" customHeight="1" spans="1:2">
      <c r="A4969" s="3" t="str">
        <f>IFERROR(__xludf.DUMMYFUNCTION("GOOGLETRANSLATE(A4969,""en"",""pt"")"),"cheio de energia")</f>
        <v>cheio de energia</v>
      </c>
      <c r="B4969" s="3">
        <v>1</v>
      </c>
    </row>
    <row r="4970" ht="15.75" customHeight="1" spans="1:2">
      <c r="A4970" s="3" t="str">
        <f>IFERROR(__xludf.DUMMYFUNCTION("GOOGLETRANSLATE(A4970,""en"",""pt"")"),"O livro Código Da Vinci é simplesmente fantástico.")</f>
        <v>O livro Código Da Vinci é simplesmente fantástico.</v>
      </c>
      <c r="B4970" s="3">
        <v>1</v>
      </c>
    </row>
    <row r="4971" ht="15.75" customHeight="1" spans="1:2">
      <c r="A4971" s="3" t="str">
        <f>IFERROR(__xludf.DUMMYFUNCTION("GOOGLETRANSLATE(A4971,""en"",""pt"")"),"esta foi a primeira Cussler Clive que eu já li, mas até mesmo livros como relíquia e código Da Vinci eram mais plausível do que isso.")</f>
        <v>esta foi a primeira Cussler Clive que eu já li, mas até mesmo livros como relíquia e código Da Vinci eram mais plausível do que isso.</v>
      </c>
      <c r="B4971" s="3">
        <v>1</v>
      </c>
    </row>
    <row r="4972" ht="15.75" customHeight="1" spans="1:2">
      <c r="A4972" s="3" t="str">
        <f>IFERROR(__xludf.DUMMYFUNCTION("GOOGLETRANSLATE(A4972,""en"",""pt"")"),"Eu gostei do Código Da Vinci muito.")</f>
        <v>Eu gostei do Código Da Vinci muito.</v>
      </c>
      <c r="B4972" s="3">
        <v>1</v>
      </c>
    </row>
    <row r="4973" ht="15.75" customHeight="1" spans="1:2">
      <c r="A4973" s="3" t="str">
        <f>IFERROR(__xludf.DUMMYFUNCTION("GOOGLETRANSLATE(A4973,""en"",""pt"")"),"Eu gostei do Código Da Vinci muito.")</f>
        <v>Eu gostei do Código Da Vinci muito.</v>
      </c>
      <c r="B4973" s="3">
        <v>1</v>
      </c>
    </row>
    <row r="4974" ht="15.75" customHeight="1" spans="1:2">
      <c r="A4974" s="3" t="str">
        <f>IFERROR(__xludf.DUMMYFUNCTION("GOOGLETRANSLATE(A4974,""en"",""pt"")"),"Eu gostei do Código Da Vinci mas ultimatly não parecia realizar seu próprio.")</f>
        <v>Eu gostei do Código Da Vinci mas ultimatly não parecia realizar seu próprio.</v>
      </c>
      <c r="B4974" s="3">
        <v>1</v>
      </c>
    </row>
    <row r="4975" ht="15.75" customHeight="1" spans="1:2">
      <c r="A4975" s="3" t="str">
        <f>IFERROR(__xludf.DUMMYFUNCTION("GOOGLETRANSLATE(A4975,""en"",""pt"")"),"isso não é nem um exagero) e à meia-noite fomos para o Wal-Mart para comprar o Código Da Vinci, que é incrível é claro.")</f>
        <v>isso não é nem um exagero) e à meia-noite fomos para o Wal-Mart para comprar o Código Da Vinci, que é incrível é claro.</v>
      </c>
      <c r="B4975" s="3">
        <v>1</v>
      </c>
    </row>
    <row r="4976" ht="15.75" customHeight="1" spans="1:2">
      <c r="A4976" s="3" t="str">
        <f>IFERROR(__xludf.DUMMYFUNCTION("GOOGLETRANSLATE(A4976,""en"",""pt"")"),"Eu amei o Código Da Vinci, mas agora eu quero algo melhor e diferente! ..")</f>
        <v>Eu amei o Código Da Vinci, mas agora eu quero algo melhor e diferente! ..</v>
      </c>
      <c r="B4976" s="3">
        <v>1</v>
      </c>
    </row>
    <row r="4977" ht="15.75" customHeight="1" spans="1:2">
      <c r="A4977" s="3" t="str">
        <f>IFERROR(__xludf.DUMMYFUNCTION("GOOGLETRANSLATE(A4977,""en"",""pt"")"),"eu pensei Código Da Vinci foi ótimo, mesmo com o corredor kite.")</f>
        <v>eu pensei Código Da Vinci foi ótimo, mesmo com o corredor kite.</v>
      </c>
      <c r="B4977" s="3">
        <v>1</v>
      </c>
    </row>
    <row r="4978" ht="15.75" customHeight="1" spans="1:2">
      <c r="A4978" s="3" t="str">
        <f>IFERROR(__xludf.DUMMYFUNCTION("GOOGLETRANSLATE(A4978,""en"",""pt"")"),"O Código Da Vinci é realmente um bom filme ...")</f>
        <v>O Código Da Vinci é realmente um bom filme ...</v>
      </c>
      <c r="B4978" s="3">
        <v>1</v>
      </c>
    </row>
    <row r="4979" ht="15.75" customHeight="1" spans="1:2">
      <c r="A4979" s="3" t="str">
        <f>IFERROR(__xludf.DUMMYFUNCTION("GOOGLETRANSLATE(A4979,""en"",""pt"")"),"Eu pensei que o Código Da Vinci era um livro muito bom.")</f>
        <v>Eu pensei que o Código Da Vinci era um livro muito bom.</v>
      </c>
      <c r="B4979" s="3">
        <v>1</v>
      </c>
    </row>
    <row r="4980" ht="15.75" customHeight="1" spans="1:2">
      <c r="A4980" s="3" t="str">
        <f>IFERROR(__xludf.DUMMYFUNCTION("GOOGLETRANSLATE(A4980,""en"",""pt"")"),"O Código Da Vinci é um dos mais belos filmes que eu já vi.")</f>
        <v>O Código Da Vinci é um dos mais belos filmes que eu já vi.</v>
      </c>
      <c r="B4980" s="3">
        <v>1</v>
      </c>
    </row>
    <row r="4981" ht="15.75" customHeight="1" spans="1:2">
      <c r="A4981" s="3" t="str">
        <f>IFERROR(__xludf.DUMMYFUNCTION("GOOGLETRANSLATE(A4981,""en"",""pt"")"),"O Código Da Vinci é um * livro surpreendente *, não me interpretem mal.")</f>
        <v>O Código Da Vinci é um * livro surpreendente *, não me interpretem mal.</v>
      </c>
      <c r="B4981" s="3">
        <v>1</v>
      </c>
    </row>
    <row r="4982" ht="15.75" customHeight="1" spans="1:2">
      <c r="A4982" s="3" t="str">
        <f>IFERROR(__xludf.DUMMYFUNCTION("GOOGLETRANSLATE(A4982,""en"",""pt"")"),"então eu ligar a luz ea rádio e aproveitar meu Código Da Vinci.")</f>
        <v>então eu ligar a luz ea rádio e aproveitar meu Código Da Vinci.</v>
      </c>
      <c r="B4982" s="3">
        <v>1</v>
      </c>
    </row>
    <row r="4983" ht="15.75" customHeight="1" spans="1:2">
      <c r="A4983" s="3" t="str">
        <f>IFERROR(__xludf.DUMMYFUNCTION("GOOGLETRANSLATE(A4983,""en"",""pt"")"),"O Código Da Vinci foi muito bom.")</f>
        <v>O Código Da Vinci foi muito bom.</v>
      </c>
      <c r="B4983" s="3">
        <v>1</v>
      </c>
    </row>
    <row r="4984" ht="15.75" customHeight="1" spans="1:2">
      <c r="A4984" s="3" t="str">
        <f>IFERROR(__xludf.DUMMYFUNCTION("GOOGLETRANSLATE(A4984,""en"",""pt"")"),"eu amo Código Da Vinci ....")</f>
        <v>eu amo Código Da Vinci ....</v>
      </c>
      <c r="B4984" s="3">
        <v>1</v>
      </c>
    </row>
    <row r="4985" ht="15.75" customHeight="1" spans="1:2">
      <c r="A4985" s="3" t="str">
        <f>IFERROR(__xludf.DUMMYFUNCTION("GOOGLETRANSLATE(A4985,""en"",""pt"")"),"eu amei Código Da Vinci ..")</f>
        <v>eu amei Código Da Vinci ..</v>
      </c>
      <c r="B4985" s="3">
        <v>1</v>
      </c>
    </row>
    <row r="4986" ht="15.75" customHeight="1" spans="1:2">
      <c r="A4986" s="3" t="str">
        <f>IFERROR(__xludf.DUMMYFUNCTION("GOOGLETRANSLATE(A4986,""en"",""pt"")"),"À noite :: O VINCI CODE Da e Uma Mente Brilhante ...")</f>
        <v>À noite :: O VINCI CODE Da e Uma Mente Brilhante ...</v>
      </c>
      <c r="B4986" s="3">
        <v>1</v>
      </c>
    </row>
    <row r="4987" ht="15.75" customHeight="1" spans="1:2">
      <c r="A4987" s="3" t="str">
        <f>IFERROR(__xludf.DUMMYFUNCTION("GOOGLETRANSLATE(A4987,""en"",""pt"")"),"O VINCI CODE DA é um livro IMPRESSIONANTE ....")</f>
        <v>O VINCI CODE DA é um livro IMPRESSIONANTE ....</v>
      </c>
      <c r="B4987" s="3">
        <v>1</v>
      </c>
    </row>
    <row r="4988" ht="15.75" customHeight="1" spans="1:2">
      <c r="A4988" s="3" t="str">
        <f>IFERROR(__xludf.DUMMYFUNCTION("GOOGLETRANSLATE(A4988,""en"",""pt"")"),"Coisa é, eu gostava de O Código Da Vinci.")</f>
        <v>Coisa é, eu gostava de O Código Da Vinci.</v>
      </c>
      <c r="B4988" s="3">
        <v>1</v>
      </c>
    </row>
    <row r="4989" ht="15.75" customHeight="1" spans="1:2">
      <c r="A4989" s="3" t="str">
        <f>IFERROR(__xludf.DUMMYFUNCTION("GOOGLETRANSLATE(A4989,""en"",""pt"")"),"muito Código Da Vinci cortar corrida incrível.")</f>
        <v>muito Código Da Vinci cortar corrida incrível.</v>
      </c>
      <c r="B4989" s="3">
        <v>1</v>
      </c>
    </row>
    <row r="4990" ht="15.75" customHeight="1" spans="1:2">
      <c r="A4990" s="3" t="str">
        <f>IFERROR(__xludf.DUMMYFUNCTION("GOOGLETRANSLATE(A4990,""en"",""pt"")"),"Hey Eu amei O Código Da Vinci! ..")</f>
        <v>Hey Eu amei O Código Da Vinci! ..</v>
      </c>
      <c r="B4990" s="3">
        <v>1</v>
      </c>
    </row>
    <row r="4991" ht="15.75" customHeight="1" spans="1:2">
      <c r="A4991" s="3" t="str">
        <f>IFERROR(__xludf.DUMMYFUNCTION("GOOGLETRANSLATE(A4991,""en"",""pt"")"),"Também amei o código da vinci ..")</f>
        <v>Também amei o código da vinci ..</v>
      </c>
      <c r="B4991" s="3">
        <v>1</v>
      </c>
    </row>
    <row r="4992" ht="15.75" customHeight="1" spans="1:2">
      <c r="A4992" s="3" t="str">
        <f>IFERROR(__xludf.DUMMYFUNCTION("GOOGLETRANSLATE(A4992,""en"",""pt"")"),"Eu realmente gostei do Código Da Vinci, mas pensei que eu iria ser decepcionado com os outros livros &amp; # 8230 ;.")</f>
        <v>Eu realmente gostei do Código Da Vinci, mas pensei que eu iria ser decepcionado com os outros livros &amp; # 8230 ;.</v>
      </c>
      <c r="B4992" s="3">
        <v>1</v>
      </c>
    </row>
    <row r="4993" ht="15.75" customHeight="1" spans="1:2">
      <c r="A4993" s="3" t="str">
        <f>IFERROR(__xludf.DUMMYFUNCTION("GOOGLETRANSLATE(A4993,""en"",""pt"")"),"Eu gosto de Anjos e Demônios mais de O Código Da Vinci.")</f>
        <v>Eu gosto de Anjos e Demônios mais de O Código Da Vinci.</v>
      </c>
      <c r="B4993" s="3">
        <v>1</v>
      </c>
    </row>
    <row r="4994" ht="15.75" customHeight="1" spans="1:2">
      <c r="A4994" s="3" t="str">
        <f>IFERROR(__xludf.DUMMYFUNCTION("GOOGLETRANSLATE(A4994,""en"",""pt"")"),"O Código Da Vinci foi um filme realmente bom.")</f>
        <v>O Código Da Vinci foi um filme realmente bom.</v>
      </c>
      <c r="B4994" s="3">
        <v>1</v>
      </c>
    </row>
    <row r="4995" ht="15.75" customHeight="1" spans="1:2">
      <c r="A4995" s="3" t="str">
        <f>IFERROR(__xludf.DUMMYFUNCTION("GOOGLETRANSLATE(A4995,""en"",""pt"")"),"sim, Código Da Vinci é um filme impressionante eu gostei muito interessante.")</f>
        <v>sim, Código Da Vinci é um filme impressionante eu gostei muito interessante.</v>
      </c>
      <c r="B4995" s="3">
        <v>1</v>
      </c>
    </row>
    <row r="4996" ht="15.75" customHeight="1" spans="1:2">
      <c r="A4996" s="3" t="str">
        <f>IFERROR(__xludf.DUMMYFUNCTION("GOOGLETRANSLATE(A4996,""en"",""pt"")"),"Eu realmente gosto de O Código Da Vinci.")</f>
        <v>Eu realmente gosto de O Código Da Vinci.</v>
      </c>
      <c r="B4996" s="3">
        <v>1</v>
      </c>
    </row>
    <row r="4997" ht="15.75" customHeight="1" spans="1:2">
      <c r="A4997" s="3" t="str">
        <f>IFERROR(__xludf.DUMMYFUNCTION("GOOGLETRANSLATE(A4997,""en"",""pt"")"),"Código Da Vinci é incrível.")</f>
        <v>Código Da Vinci é incrível.</v>
      </c>
      <c r="B4997" s="3">
        <v>1</v>
      </c>
    </row>
    <row r="4998" ht="15.75" customHeight="1" spans="1:2">
      <c r="A4998" s="3" t="str">
        <f>IFERROR(__xludf.DUMMYFUNCTION("GOOGLETRANSLATE(A4998,""en"",""pt"")"),"O Código Da Vinci foi incrível ...")</f>
        <v>O Código Da Vinci foi incrível ...</v>
      </c>
      <c r="B4998" s="3">
        <v>1</v>
      </c>
    </row>
    <row r="4999" ht="15.75" customHeight="1" spans="1:2">
      <c r="A4999" s="3" t="str">
        <f>IFERROR(__xludf.DUMMYFUNCTION("GOOGLETRANSLATE(A4999,""en"",""pt"")"),"backtory O Código Da Vinci sobre várias figuras históricas religiosas e tais eram interessantes, às vezes, mas eu sou mais menina scifi no coração.")</f>
        <v>backtory O Código Da Vinci sobre várias figuras históricas religiosas e tais eram interessantes, às vezes, mas eu sou mais menina scifi no coração.</v>
      </c>
      <c r="B4999" s="3">
        <v>1</v>
      </c>
    </row>
    <row r="5000" ht="15.75" customHeight="1" spans="1:2">
      <c r="A5000" s="3" t="str">
        <f>IFERROR(__xludf.DUMMYFUNCTION("GOOGLETRANSLATE(A5000,""en"",""pt"")"),"Livro (s): Eu amo o Código Da Vinci ..")</f>
        <v>Livro (s): Eu amo o Código Da Vinci ..</v>
      </c>
      <c r="B5000" s="3">
        <v>1</v>
      </c>
    </row>
    <row r="5001" ht="15.75" customHeight="1" spans="1:2">
      <c r="A5001" s="3" t="str">
        <f>IFERROR(__xludf.DUMMYFUNCTION("GOOGLETRANSLATE(A5001,""en"",""pt"")"),"E, em seguida, fomos ver O Código Da Vinci, que era louco incrível e Ian McKellen é o meu velho, marido gay.")</f>
        <v>E, em seguida, fomos ver O Código Da Vinci, que era louco incrível e Ian McKellen é o meu velho, marido gay.</v>
      </c>
      <c r="B5001" s="3">
        <v>1</v>
      </c>
    </row>
    <row r="5002" ht="15.75" customHeight="1" spans="1:2">
      <c r="A5002" s="3" t="str">
        <f>IFERROR(__xludf.DUMMYFUNCTION("GOOGLETRANSLATE(A5002,""en"",""pt"")")," Agora algumas pessoas vão dizer para mim, Joe, eu gostei do código de Da Vinci, que está sendo muito duro com Dan Brown.")</f>
        <v> Agora algumas pessoas vão dizer para mim, Joe, eu gostei do código de Da Vinci, que está sendo muito duro com Dan Brown.</v>
      </c>
      <c r="B5002" s="3">
        <v>1</v>
      </c>
    </row>
    <row r="5003" ht="15.75" customHeight="1" spans="1:2">
      <c r="A5003" s="3" t="str">
        <f>IFERROR(__xludf.DUMMYFUNCTION("GOOGLETRANSLATE(A5003,""en"",""pt"")"),"Eu amo o código da vinci ...")</f>
        <v>Eu amo o código da vinci ...</v>
      </c>
      <c r="B5003" s="3">
        <v>1</v>
      </c>
    </row>
    <row r="5004" ht="15.75" customHeight="1" spans="1:2">
      <c r="A5004" s="3" t="str">
        <f>IFERROR(__xludf.DUMMYFUNCTION("GOOGLETRANSLATE(A5004,""en"",""pt"")"),"Bem, eu gostava de Bridget Jones e eu amei o Código Da Vinci tão Essa idéia me atrai e leva chick lit em uma das poucas arenas que o gênero ainda tem para explorar ...")</f>
        <v>Bem, eu gostava de Bridget Jones e eu amei o Código Da Vinci tão Essa idéia me atrai e leva chick lit em uma das poucas arenas que o gênero ainda tem para explorar ...</v>
      </c>
      <c r="B5004" s="3">
        <v>1</v>
      </c>
    </row>
    <row r="5005" ht="15.75" customHeight="1" spans="1:2">
      <c r="A5005" s="3" t="str">
        <f>IFERROR(__xludf.DUMMYFUNCTION("GOOGLETRANSLATE(A5005,""en"",""pt"")"),"Acabei de ler O Código Da Vinci (que foi incrível, por sinal) Â.")</f>
        <v>Acabei de ler O Código Da Vinci (que foi incrível, por sinal) Â.</v>
      </c>
      <c r="B5005" s="3">
        <v>1</v>
      </c>
    </row>
    <row r="5006" ht="15.75" customHeight="1" spans="1:2">
      <c r="A5006" s="3" t="str">
        <f>IFERROR(__xludf.DUMMYFUNCTION("GOOGLETRANSLATE(A5006,""en"",""pt"")"),"O Código Da Vinci é excelente se você lê-lo tão normal quanto você ler outros romances ,,, ..")</f>
        <v>O Código Da Vinci é excelente se você lê-lo tão normal quanto você ler outros romances ,,, ..</v>
      </c>
      <c r="B5006" s="3">
        <v>1</v>
      </c>
    </row>
    <row r="5007" ht="15.75" customHeight="1" spans="1:2">
      <c r="A5007" s="3" t="str">
        <f>IFERROR(__xludf.DUMMYFUNCTION("GOOGLETRANSLATE(A5007,""en"",""pt"")"),"Eu amei o Código Da Vinci!")</f>
        <v>Eu amei o Código Da Vinci!</v>
      </c>
      <c r="B5007" s="3">
        <v>1</v>
      </c>
    </row>
    <row r="5008" ht="15.75" customHeight="1" spans="1:2">
      <c r="A5008" s="3" t="str">
        <f>IFERROR(__xludf.DUMMYFUNCTION("GOOGLETRANSLATE(A5008,""en"",""pt"")"),"Adoro ler O Código Da Vinci !!!!")</f>
        <v>Adoro ler O Código Da Vinci !!!!</v>
      </c>
      <c r="B5008" s="3">
        <v>1</v>
      </c>
    </row>
    <row r="5009" ht="15.75" customHeight="1" spans="1:2">
      <c r="A5009" s="3" t="str">
        <f>IFERROR(__xludf.DUMMYFUNCTION("GOOGLETRANSLATE(A5009,""en"",""pt"")"),"Eu estou lhe dizendo, o Código Da Vinci é um livro IMPRESSIONANTE!")</f>
        <v>Eu estou lhe dizendo, o Código Da Vinci é um livro IMPRESSIONANTE!</v>
      </c>
      <c r="B5009" s="3">
        <v>1</v>
      </c>
    </row>
    <row r="5010" ht="15.75" customHeight="1" spans="1:2">
      <c r="A5010" s="3" t="str">
        <f>IFERROR(__xludf.DUMMYFUNCTION("GOOGLETRANSLATE(A5010,""en"",""pt"")"),"Então, novamente, minha opinião pode ser um pouco tendenciosa porque eu amei a trilha sonora Código Da Vinci. ).")</f>
        <v>Então, novamente, minha opinião pode ser um pouco tendenciosa porque eu amei a trilha sonora Código Da Vinci. ).</v>
      </c>
      <c r="B5010" s="3">
        <v>1</v>
      </c>
    </row>
    <row r="5011" ht="15.75" customHeight="1" spans="1:2">
      <c r="A5011" s="3" t="str">
        <f>IFERROR(__xludf.DUMMYFUNCTION("GOOGLETRANSLATE(A5011,""en"",""pt"")"),"E eu estava muito satisfeito com a minha própria mente aberta, depois de ter amado O Código Da Vinci tanto, que eu era capaz de conseguir a igualdade de gozo ""ver como o outro lado lê.")</f>
        <v>E eu estava muito satisfeito com a minha própria mente aberta, depois de ter amado O Código Da Vinci tanto, que eu era capaz de conseguir a igualdade de gozo "ver como o outro lado lê.</v>
      </c>
      <c r="B5011" s="3">
        <v>1</v>
      </c>
    </row>
    <row r="5012" ht="15.75" customHeight="1" spans="1:2">
      <c r="A5012" s="3" t="str">
        <f>IFERROR(__xludf.DUMMYFUNCTION("GOOGLETRANSLATE(A5012,""en"",""pt"")"),"Eu amo o Código Da Vinci.")</f>
        <v>Eu amo o Código Da Vinci.</v>
      </c>
      <c r="B5012" s="3">
        <v>1</v>
      </c>
    </row>
    <row r="5013" ht="15.75" customHeight="1" spans="1:2">
      <c r="A5013" s="3" t="str">
        <f>IFERROR(__xludf.DUMMYFUNCTION("GOOGLETRANSLATE(A5013,""en"",""pt"")"),"Código Da Vinci é impressionante!")</f>
        <v>Código Da Vinci é impressionante!</v>
      </c>
      <c r="B5013" s="3">
        <v>1</v>
      </c>
    </row>
    <row r="5014" ht="15.75" customHeight="1" spans="1:2">
      <c r="A5014" s="3" t="str">
        <f>IFERROR(__xludf.DUMMYFUNCTION("GOOGLETRANSLATE(A5014,""en"",""pt"")"),"O Código Da Vinci é incrível.")</f>
        <v>O Código Da Vinci é incrível.</v>
      </c>
      <c r="B5014" s="3">
        <v>1</v>
      </c>
    </row>
    <row r="5015" ht="15.75" customHeight="1" spans="1:2">
      <c r="A5015" s="3" t="str">
        <f>IFERROR(__xludf.DUMMYFUNCTION("GOOGLETRANSLATE(A5015,""en"",""pt"")"),"O Código Da Vinci é um livro tão incrível!")</f>
        <v>O Código Da Vinci é um livro tão incrível!</v>
      </c>
      <c r="B5015" s="3">
        <v>1</v>
      </c>
    </row>
    <row r="5016" ht="15.75" customHeight="1" spans="1:2">
      <c r="A5016" s="3" t="str">
        <f>IFERROR(__xludf.DUMMYFUNCTION("GOOGLETRANSLATE(A5016,""en"",""pt"")"),"Eu adoro o CÓDIGO DA VINCI ...")</f>
        <v>Eu adoro o CÓDIGO DA VINCI ...</v>
      </c>
      <c r="B5016" s="3">
        <v>1</v>
      </c>
    </row>
    <row r="5017" ht="15.75" customHeight="1" spans="1:2">
      <c r="A5017" s="3" t="str">
        <f>IFERROR(__xludf.DUMMYFUNCTION("GOOGLETRANSLATE(A5017,""en"",""pt"")"),"Eu amei O Código Da Vinci.")</f>
        <v>Eu amei O Código Da Vinci.</v>
      </c>
      <c r="B5017" s="3">
        <v>1</v>
      </c>
    </row>
    <row r="5018" ht="15.75" customHeight="1" spans="1:2">
      <c r="A5018" s="3" t="str">
        <f>IFERROR(__xludf.DUMMYFUNCTION("GOOGLETRANSLATE(A5018,""en"",""pt"")"),"o código da vinci é impressionante!")</f>
        <v>o código da vinci é impressionante!</v>
      </c>
      <c r="B5018" s="3">
        <v>1</v>
      </c>
    </row>
    <row r="5019" ht="15.75" customHeight="1" spans="1:2">
      <c r="A5019" s="3" t="str">
        <f>IFERROR(__xludf.DUMMYFUNCTION("GOOGLETRANSLATE(A5019,""en"",""pt"")"),"oh tão bonito Código Da Vinci ...")</f>
        <v>oh tão bonito Código Da Vinci ...</v>
      </c>
      <c r="B5019" s="3">
        <v>1</v>
      </c>
    </row>
    <row r="5020" ht="15.75" customHeight="1" spans="1:2">
      <c r="A5020" s="3" t="str">
        <f>IFERROR(__xludf.DUMMYFUNCTION("GOOGLETRANSLATE(A5020,""en"",""pt"")"),"eu amei o código da vinci.")</f>
        <v>eu amei o código da vinci.</v>
      </c>
      <c r="B5020" s="3">
        <v>1</v>
      </c>
    </row>
    <row r="5021" ht="15.75" customHeight="1" spans="1:2">
      <c r="A5021" s="3" t="str">
        <f>IFERROR(__xludf.DUMMYFUNCTION("GOOGLETRANSLATE(A5021,""en"",""pt"")"),"O Código Da Vinci é um livro incrível.")</f>
        <v>O Código Da Vinci é um livro incrível.</v>
      </c>
      <c r="B5021" s="3">
        <v>1</v>
      </c>
    </row>
    <row r="5022" ht="15.75" customHeight="1" spans="1:2">
      <c r="A5022" s="3" t="str">
        <f>IFERROR(__xludf.DUMMYFUNCTION("GOOGLETRANSLATE(A5022,""en"",""pt"")"),"Código Da Vinci é um livro incrível.")</f>
        <v>Código Da Vinci é um livro incrível.</v>
      </c>
      <c r="B5022" s="3">
        <v>1</v>
      </c>
    </row>
    <row r="5023" ht="15.75" customHeight="1" spans="1:2">
      <c r="A5023" s="3" t="str">
        <f>IFERROR(__xludf.DUMMYFUNCTION("GOOGLETRANSLATE(A5023,""en"",""pt"")"),"Eu sinto falta de rasgar música acústica e O Código Da Vinci ...")</f>
        <v>Eu sinto falta de rasgar música acústica e O Código Da Vinci ...</v>
      </c>
      <c r="B5023" s="3">
        <v>1</v>
      </c>
    </row>
    <row r="5024" ht="15.75" customHeight="1" spans="1:2">
      <c r="A5024" s="3" t="str">
        <f>IFERROR(__xludf.DUMMYFUNCTION("GOOGLETRANSLATE(A5024,""en"",""pt"")"),"Pessoalmente, eu não odeio nem amo o Código Da Vinci.")</f>
        <v>Pessoalmente, eu não odeio nem amo o Código Da Vinci.</v>
      </c>
      <c r="B5024" s="3">
        <v>1</v>
      </c>
    </row>
    <row r="5025" ht="15.75" customHeight="1" spans="1:2">
      <c r="A5025" s="3" t="str">
        <f>IFERROR(__xludf.DUMMYFUNCTION("GOOGLETRANSLATE(A5025,""en"",""pt"")"),"aparência incrivelmente divertido e, possivelmente, um pouco frio ... [não conte a ninguém], mas Código Da Vinci é um livro incrível.")</f>
        <v>aparência incrivelmente divertido e, possivelmente, um pouco frio ... [não conte a ninguém], mas Código Da Vinci é um livro incrível.</v>
      </c>
      <c r="B5025" s="3">
        <v>1</v>
      </c>
    </row>
    <row r="5026" ht="15.75" customHeight="1" spans="1:2">
      <c r="A5026" s="3" t="str">
        <f>IFERROR(__xludf.DUMMYFUNCTION("GOOGLETRANSLATE(A5026,""en"",""pt"")"),"Código Da Vinci é, naturalmente, um livro incrível, mas você vai descobrir isso na página 286.")</f>
        <v>Código Da Vinci é, naturalmente, um livro incrível, mas você vai descobrir isso na página 286.</v>
      </c>
      <c r="B5026" s="3">
        <v>1</v>
      </c>
    </row>
    <row r="5027" ht="15.75" customHeight="1" spans="1:2">
      <c r="A5027" s="3" t="str">
        <f>IFERROR(__xludf.DUMMYFUNCTION("GOOGLETRANSLATE(A5027,""en"",""pt"")"),"Eu amo ""O Código Da Vinci!")</f>
        <v>Eu amo "O Código Da Vinci!</v>
      </c>
      <c r="B5027" s="3">
        <v>1</v>
      </c>
    </row>
    <row r="5028" ht="15.75" customHeight="1" spans="1:2">
      <c r="A5028" s="3" t="str">
        <f>IFERROR(__xludf.DUMMYFUNCTION("GOOGLETRANSLATE(A5028,""en"",""pt"")"),"Eu amei o Código Da Vinci.")</f>
        <v>Eu amei o Código Da Vinci.</v>
      </c>
      <c r="B5028" s="3">
        <v>1</v>
      </c>
    </row>
    <row r="5029" ht="15.75" customHeight="1" spans="1:2">
      <c r="A5029" s="3" t="str">
        <f>IFERROR(__xludf.DUMMYFUNCTION("GOOGLETRANSLATE(A5029,""en"",""pt"")"),"Mas, falando sério, o Código Da Vinci é um livro incrível.")</f>
        <v>Mas, falando sério, o Código Da Vinci é um livro incrível.</v>
      </c>
      <c r="B5029" s="3">
        <v>1</v>
      </c>
    </row>
    <row r="5030" ht="15.75" customHeight="1" spans="1:2">
      <c r="A5030" s="3" t="str">
        <f>IFERROR(__xludf.DUMMYFUNCTION("GOOGLETRANSLATE(A5030,""en"",""pt"")"),"Código Da Vinci é incrível.")</f>
        <v>Código Da Vinci é incrível.</v>
      </c>
      <c r="B5030" s="3">
        <v>1</v>
      </c>
    </row>
    <row r="5031" ht="15.75" customHeight="1" spans="1:2">
      <c r="A5031" s="3" t="str">
        <f>IFERROR(__xludf.DUMMYFUNCTION("GOOGLETRANSLATE(A5031,""en"",""pt"")"),"Eu amo O Código Da Vinci.")</f>
        <v>Eu amo O Código Da Vinci.</v>
      </c>
      <c r="B5031" s="3">
        <v>1</v>
      </c>
    </row>
    <row r="5032" ht="15.75" customHeight="1" spans="1:2">
      <c r="A5032" s="3" t="str">
        <f>IFERROR(__xludf.DUMMYFUNCTION("GOOGLETRANSLATE(A5032,""en"",""pt"")"),"o código da vinci é impressionante!")</f>
        <v>o código da vinci é impressionante!</v>
      </c>
      <c r="B5032" s="3">
        <v>1</v>
      </c>
    </row>
    <row r="5033" ht="15.75" customHeight="1" spans="1:2">
      <c r="A5033" s="3" t="str">
        <f>IFERROR(__xludf.DUMMYFUNCTION("GOOGLETRANSLATE(A5033,""en"",""pt"")"),"omg eu amo o Código Da Vinci, que é um livro tão impressionante!")</f>
        <v>omg eu amo o Código Da Vinci, que é um livro tão impressionante!</v>
      </c>
      <c r="B5033" s="3">
        <v>1</v>
      </c>
    </row>
    <row r="5034" ht="15.75" customHeight="1" spans="1:2">
      <c r="A5034" s="3" t="str">
        <f>IFERROR(__xludf.DUMMYFUNCTION("GOOGLETRANSLATE(A5034,""en"",""pt"")"),"O Código Da Vinci é um livro incrível ...")</f>
        <v>O Código Da Vinci é um livro incrível ...</v>
      </c>
      <c r="B5034" s="3">
        <v>1</v>
      </c>
    </row>
    <row r="5035" ht="15.75" customHeight="1" spans="1:2">
      <c r="A5035" s="3" t="str">
        <f>IFERROR(__xludf.DUMMYFUNCTION("GOOGLETRANSLATE(A5035,""en"",""pt"")"),"O Código Da Vinci ainda é um dos livros mais awesomest que eu já li ...")</f>
        <v>O Código Da Vinci ainda é um dos livros mais awesomest que eu já li ...</v>
      </c>
      <c r="B5035" s="3">
        <v>1</v>
      </c>
    </row>
    <row r="5036" ht="15.75" customHeight="1" spans="1:2">
      <c r="A5036" s="3" t="str">
        <f>IFERROR(__xludf.DUMMYFUNCTION("GOOGLETRANSLATE(A5036,""en"",""pt"")"),"Eu fiz amor O Código Da Vinci embora.")</f>
        <v>Eu fiz amor O Código Da Vinci embora.</v>
      </c>
      <c r="B5036" s="3">
        <v>1</v>
      </c>
    </row>
    <row r="5037" ht="15.75" customHeight="1" spans="1:2">
      <c r="A5037" s="3" t="str">
        <f>IFERROR(__xludf.DUMMYFUNCTION("GOOGLETRANSLATE(A5037,""en"",""pt"")"),"O Código Da Vinci é impressionante! ..")</f>
        <v>O Código Da Vinci é impressionante! ..</v>
      </c>
      <c r="B5037" s="3">
        <v>1</v>
      </c>
    </row>
    <row r="5038" ht="15.75" customHeight="1" spans="1:2">
      <c r="A5038" s="3" t="str">
        <f>IFERROR(__xludf.DUMMYFUNCTION("GOOGLETRANSLATE(A5038,""en"",""pt"")"),"Eu amo o Código Da Vinci também.")</f>
        <v>Eu amo o Código Da Vinci também.</v>
      </c>
      <c r="B5038" s="3">
        <v>1</v>
      </c>
    </row>
    <row r="5039" ht="15.75" customHeight="1" spans="1:2">
      <c r="A5039" s="3" t="str">
        <f>IFERROR(__xludf.DUMMYFUNCTION("GOOGLETRANSLATE(A5039,""en"",""pt"")"),"merda, eu amo o código da vinci.")</f>
        <v>merda, eu amo o código da vinci.</v>
      </c>
      <c r="B5039" s="3">
        <v>1</v>
      </c>
    </row>
    <row r="5040" ht="15.75" customHeight="1" spans="1:2">
      <c r="A5040" s="3" t="str">
        <f>IFERROR(__xludf.DUMMYFUNCTION("GOOGLETRANSLATE(A5040,""en"",""pt"")"),"O Código Da Vinci realmente é um livro incrível, você também tem outros dois livros de Dan Brown? ..")</f>
        <v>O Código Da Vinci realmente é um livro incrível, você também tem outros dois livros de Dan Brown? ..</v>
      </c>
      <c r="B5040" s="3">
        <v>1</v>
      </c>
    </row>
    <row r="5041" ht="15.75" customHeight="1" spans="1:2">
      <c r="A5041" s="3" t="str">
        <f>IFERROR(__xludf.DUMMYFUNCTION("GOOGLETRANSLATE(A5041,""en"",""pt"")"),"o código da vinci era um livro impressionante, eu só terminei.")</f>
        <v>o código da vinci era um livro impressionante, eu só terminei.</v>
      </c>
      <c r="B5041" s="3">
        <v>1</v>
      </c>
    </row>
    <row r="5042" ht="15.75" customHeight="1" spans="1:2">
      <c r="A5042" s="3" t="str">
        <f>IFERROR(__xludf.DUMMYFUNCTION("GOOGLETRANSLATE(A5042,""en"",""pt"")"),"Código Da Vinci é incrível ..")</f>
        <v>Código Da Vinci é incrível ..</v>
      </c>
      <c r="B5042" s="3">
        <v>1</v>
      </c>
    </row>
    <row r="5043" ht="15.75" customHeight="1" spans="1:2">
      <c r="A5043" s="3" t="str">
        <f>IFERROR(__xludf.DUMMYFUNCTION("GOOGLETRANSLATE(A5043,""en"",""pt"")"),"Eu amo O Código Da Vinci ...")</f>
        <v>Eu amo O Código Da Vinci ...</v>
      </c>
      <c r="B5043" s="3">
        <v>1</v>
      </c>
    </row>
    <row r="5044" ht="15.75" customHeight="1" spans="1:2">
      <c r="A5044" s="3" t="str">
        <f>IFERROR(__xludf.DUMMYFUNCTION("GOOGLETRANSLATE(A5044,""en"",""pt"")"),"Eu adoro o CÓDIGO DA VINCI !! ..")</f>
        <v>Eu adoro o CÓDIGO DA VINCI !! ..</v>
      </c>
      <c r="B5044" s="3">
        <v>1</v>
      </c>
    </row>
    <row r="5045" ht="15.75" customHeight="1" spans="1:2">
      <c r="A5045" s="3" t="str">
        <f>IFERROR(__xludf.DUMMYFUNCTION("GOOGLETRANSLATE(A5045,""en"",""pt"")"),"Eu adoro o CÓDIGO DA VINCI !!.")</f>
        <v>Eu adoro o CÓDIGO DA VINCI !!.</v>
      </c>
      <c r="B5045" s="3">
        <v>1</v>
      </c>
    </row>
    <row r="5046" ht="15.75" customHeight="1" spans="1:2">
      <c r="A5046" s="3" t="str">
        <f>IFERROR(__xludf.DUMMYFUNCTION("GOOGLETRANSLATE(A5046,""en"",""pt"")"),"caramba eu amo Código Da Vinci.")</f>
        <v>caramba eu amo Código Da Vinci.</v>
      </c>
      <c r="B5046" s="3">
        <v>1</v>
      </c>
    </row>
    <row r="5047" ht="15.75" customHeight="1" spans="1:2">
      <c r="A5047" s="3" t="str">
        <f>IFERROR(__xludf.DUMMYFUNCTION("GOOGLETRANSLATE(A5047,""en"",""pt"")"),"O Código Da Vinci foi foda demais! ..")</f>
        <v>O Código Da Vinci foi foda demais! ..</v>
      </c>
      <c r="B5047" s="3">
        <v>1</v>
      </c>
    </row>
    <row r="5048" ht="15.75" customHeight="1" spans="1:2">
      <c r="A5048" s="3" t="str">
        <f>IFERROR(__xludf.DUMMYFUNCTION("GOOGLETRANSLATE(A5048,""en"",""pt"")"),"O Código Da Vinci foi incrível.")</f>
        <v>O Código Da Vinci foi incrível.</v>
      </c>
      <c r="B5048" s="3">
        <v>1</v>
      </c>
    </row>
    <row r="5049" ht="15.75" customHeight="1" spans="1:2">
      <c r="A5049" s="3" t="str">
        <f>IFERROR(__xludf.DUMMYFUNCTION("GOOGLETRANSLATE(A5049,""en"",""pt"")"),"Código Da Vinci foi incrível, e parece mais provável para mim do que a metade da porcaria Fr.")</f>
        <v>Código Da Vinci foi incrível, e parece mais provável para mim do que a metade da porcaria Fr.</v>
      </c>
      <c r="B5049" s="3">
        <v>1</v>
      </c>
    </row>
    <row r="5050" ht="15.75" customHeight="1" spans="1:2">
      <c r="A5050" s="3" t="str">
        <f>IFERROR(__xludf.DUMMYFUNCTION("GOOGLETRANSLATE(A5050,""en"",""pt"")"),"Eu amei o Código Da Vinci e similares.")</f>
        <v>Eu amei o Código Da Vinci e similares.</v>
      </c>
      <c r="B5050" s="3">
        <v>1</v>
      </c>
    </row>
    <row r="5051" ht="15.75" customHeight="1" spans="1:2">
      <c r="A5051" s="3" t="str">
        <f>IFERROR(__xludf.DUMMYFUNCTION("GOOGLETRANSLATE(A5051,""en"",""pt"")"),"Da Code-que Vinci foi incrível! ..")</f>
        <v>Da Code-que Vinci foi incrível! ..</v>
      </c>
      <c r="B5051" s="3">
        <v>1</v>
      </c>
    </row>
    <row r="5052" ht="15.75" customHeight="1" spans="1:2">
      <c r="A5052" s="3" t="str">
        <f>IFERROR(__xludf.DUMMYFUNCTION("GOOGLETRANSLATE(A5052,""en"",""pt"")"),"Eu amei o código de Da Vinci, mas levanta uma série de questões teológicas a maioria dos quais são muito absurdo ...")</f>
        <v>Eu amei o código de Da Vinci, mas levanta uma série de questões teológicas a maioria dos quais são muito absurdo ...</v>
      </c>
      <c r="B5052" s="3">
        <v>1</v>
      </c>
    </row>
    <row r="5053" ht="15.75" customHeight="1" spans="1:2">
      <c r="A5053" s="3" t="str">
        <f>IFERROR(__xludf.DUMMYFUNCTION("GOOGLETRANSLATE(A5053,""en"",""pt"")"),"O Código Da Vinci é um livro incrível.")</f>
        <v>O Código Da Vinci é um livro incrível.</v>
      </c>
      <c r="B5053" s="3">
        <v>1</v>
      </c>
    </row>
    <row r="5054" ht="15.75" customHeight="1" spans="1:2">
      <c r="A5054" s="3" t="str">
        <f>IFERROR(__xludf.DUMMYFUNCTION("GOOGLETRANSLATE(A5054,""en"",""pt"")"),"Sim o código Da Vinci é incrível ....")</f>
        <v>Sim o código Da Vinci é incrível ....</v>
      </c>
      <c r="B5054" s="3">
        <v>1</v>
      </c>
    </row>
    <row r="5055" ht="15.75" customHeight="1" spans="1:2">
      <c r="A5055" s="3" t="str">
        <f>IFERROR(__xludf.DUMMYFUNCTION("GOOGLETRANSLATE(A5055,""en"",""pt"")")," O Código Da Vinci é incrível embora.")</f>
        <v> O Código Da Vinci é incrível embora.</v>
      </c>
      <c r="B5055" s="3">
        <v>1</v>
      </c>
    </row>
    <row r="5056" ht="15.75" customHeight="1" spans="1:2">
      <c r="A5056" s="3" t="str">
        <f>IFERROR(__xludf.DUMMYFUNCTION("GOOGLETRANSLATE(A5056,""en"",""pt"")"),"eu AMO O Código Da Vinci!")</f>
        <v>eu AMO O Código Da Vinci!</v>
      </c>
      <c r="B5056" s="3">
        <v>1</v>
      </c>
    </row>
    <row r="5057" ht="15.75" customHeight="1" spans="1:2">
      <c r="A5057" s="3" t="str">
        <f>IFERROR(__xludf.DUMMYFUNCTION("GOOGLETRANSLATE(A5057,""en"",""pt"")"),"O Código Da Vinci é um livro incrível !!!")</f>
        <v>O Código Da Vinci é um livro incrível !!!</v>
      </c>
      <c r="B5057" s="3">
        <v>1</v>
      </c>
    </row>
    <row r="5058" ht="15.75" customHeight="1" spans="1:2">
      <c r="A5058" s="3" t="str">
        <f>IFERROR(__xludf.DUMMYFUNCTION("GOOGLETRANSLATE(A5058,""en"",""pt"")"),"‘S mãe Aaron A e Aaron sabia o quanto eu amava o Código Da Vinci, então pegamos o interior tour.")</f>
        <v>‘S mãe Aaron A e Aaron sabia o quanto eu amava o Código Da Vinci, então pegamos o interior tour.</v>
      </c>
      <c r="B5058" s="3">
        <v>1</v>
      </c>
    </row>
    <row r="5059" ht="15.75" customHeight="1" spans="1:2">
      <c r="A5059" s="3" t="str">
        <f>IFERROR(__xludf.DUMMYFUNCTION("GOOGLETRANSLATE(A5059,""en"",""pt"")"),"Código Da Vinci é impressionante!")</f>
        <v>Código Da Vinci é impressionante!</v>
      </c>
      <c r="B5059" s="3">
        <v>1</v>
      </c>
    </row>
    <row r="5060" ht="15.75" customHeight="1" spans="1:2">
      <c r="A5060" s="3" t="str">
        <f>IFERROR(__xludf.DUMMYFUNCTION("GOOGLETRANSLATE(A5060,""en"",""pt"")"),"Eu amei o código da vinci ....")</f>
        <v>Eu amei o código da vinci ....</v>
      </c>
      <c r="B5060" s="3">
        <v>1</v>
      </c>
    </row>
    <row r="5061" ht="15.75" customHeight="1" spans="1:2">
      <c r="A5061" s="3" t="str">
        <f>IFERROR(__xludf.DUMMYFUNCTION("GOOGLETRANSLATE(A5061,""en"",""pt"")"),"O Código Da Vinci é incrível ..")</f>
        <v>O Código Da Vinci é incrível ..</v>
      </c>
      <c r="B5061" s="3">
        <v>1</v>
      </c>
    </row>
    <row r="5062" ht="15.75" customHeight="1" spans="1:2">
      <c r="A5062" s="3" t="str">
        <f>IFERROR(__xludf.DUMMYFUNCTION("GOOGLETRANSLATE(A5062,""en"",""pt"")"),"Eu adoraria ir ver Código Da Vinci, mas provavelmente não na próxima semana.")</f>
        <v>Eu adoraria ir ver Código Da Vinci, mas provavelmente não na próxima semana.</v>
      </c>
      <c r="B5062" s="3">
        <v>1</v>
      </c>
    </row>
    <row r="5063" ht="15.75" customHeight="1" spans="1:2">
      <c r="A5063" s="3" t="str">
        <f>IFERROR(__xludf.DUMMYFUNCTION("GOOGLETRANSLATE(A5063,""en"",""pt"")"),"O Código Da Vinci foi incrível.")</f>
        <v>O Código Da Vinci foi incrível.</v>
      </c>
      <c r="B5063" s="3">
        <v>1</v>
      </c>
    </row>
    <row r="5064" ht="15.75" customHeight="1" spans="1:2">
      <c r="A5064" s="3" t="str">
        <f>IFERROR(__xludf.DUMMYFUNCTION("GOOGLETRANSLATE(A5064,""en"",""pt"")"),"im doente de livros agora, mas devo dizer, Código Da Vinci foi incrível ..")</f>
        <v>im doente de livros agora, mas devo dizer, Código Da Vinci foi incrível ..</v>
      </c>
      <c r="B5064" s="3">
        <v>1</v>
      </c>
    </row>
    <row r="5065" ht="15.75" customHeight="1" spans="1:2">
      <c r="A5065" s="3" t="str">
        <f>IFERROR(__xludf.DUMMYFUNCTION("GOOGLETRANSLATE(A5065,""en"",""pt"")"),"terminei de ler o código da vinci, que é um livro incrível.")</f>
        <v>terminei de ler o código da vinci, que é um livro incrível.</v>
      </c>
      <c r="B5065" s="3">
        <v>1</v>
      </c>
    </row>
    <row r="5066" ht="15.75" customHeight="1" spans="1:2">
      <c r="A5066" s="3" t="str">
        <f>IFERROR(__xludf.DUMMYFUNCTION("GOOGLETRANSLATE(A5066,""en"",""pt"")"),"que eo código da vinci é incrível até agora.")</f>
        <v>que eo código da vinci é incrível até agora.</v>
      </c>
      <c r="B5066" s="3">
        <v>1</v>
      </c>
    </row>
    <row r="5067" ht="15.75" customHeight="1" spans="1:2">
      <c r="A5067" s="3" t="str">
        <f>IFERROR(__xludf.DUMMYFUNCTION("GOOGLETRANSLATE(A5067,""en"",""pt"")"),"Eu adoro o CÓDIGO DA VINCI !!!! ... &lt;&lt;&lt;&lt;&lt;3333 ...")</f>
        <v>Eu adoro o CÓDIGO DA VINCI !!!! ... &lt;&lt;&lt;&lt;&lt;3333 ...</v>
      </c>
      <c r="B5067" s="3">
        <v>1</v>
      </c>
    </row>
    <row r="5068" ht="15.75" customHeight="1" spans="1:2">
      <c r="A5068" s="3" t="str">
        <f>IFERROR(__xludf.DUMMYFUNCTION("GOOGLETRANSLATE(A5068,""en"",""pt"")"),"E Código Da Vinci é incrível.")</f>
        <v>E Código Da Vinci é incrível.</v>
      </c>
      <c r="B5068" s="3">
        <v>1</v>
      </c>
    </row>
    <row r="5069" ht="15.75" customHeight="1" spans="1:2">
      <c r="A5069" s="3" t="str">
        <f>IFERROR(__xludf.DUMMYFUNCTION("GOOGLETRANSLATE(A5069,""en"",""pt"")"),"Eu li ""Anjos e Demônios"" em primeiro lugar e estou agora em ""O Código Da Vinci"", que até agora é incrível.")</f>
        <v>Eu li "Anjos e Demônios" em primeiro lugar e estou agora em "O Código Da Vinci", que até agora é incrível.</v>
      </c>
      <c r="B5069" s="3">
        <v>1</v>
      </c>
    </row>
    <row r="5070" ht="15.75" customHeight="1" spans="1:2">
      <c r="A5070" s="3" t="str">
        <f>IFERROR(__xludf.DUMMYFUNCTION("GOOGLETRANSLATE(A5070,""en"",""pt"")"),"Código Da Vinci é um livro incrível ..")</f>
        <v>Código Da Vinci é um livro incrível ..</v>
      </c>
      <c r="B5070" s="3">
        <v>1</v>
      </c>
    </row>
    <row r="5071" ht="15.75" customHeight="1" spans="1:2">
      <c r="A5071" s="3" t="str">
        <f>IFERROR(__xludf.DUMMYFUNCTION("GOOGLETRANSLATE(A5071,""en"",""pt"")"),"Código Da Vinci é impressionante!")</f>
        <v>Código Da Vinci é impressionante!</v>
      </c>
      <c r="B5071" s="3">
        <v>1</v>
      </c>
    </row>
    <row r="5072" ht="15.75" customHeight="1" spans="1:2">
      <c r="A5072" s="3" t="str">
        <f>IFERROR(__xludf.DUMMYFUNCTION("GOOGLETRANSLATE(A5072,""en"",""pt"")"),"ler ""O Código Da Vinci"" é incrível ,. mas ""Angel and Demons"" é ainda melhor se você quer ler os livros de Dan Brown ..")</f>
        <v>ler "O Código Da Vinci" é incrível ,. mas "Angel and Demons" é ainda melhor se você quer ler os livros de Dan Brown ..</v>
      </c>
      <c r="B5072" s="3">
        <v>1</v>
      </c>
    </row>
    <row r="5073" ht="15.75" customHeight="1" spans="1:2">
      <c r="A5073" s="3" t="str">
        <f>IFERROR(__xludf.DUMMYFUNCTION("GOOGLETRANSLATE(A5073,""en"",""pt"")"),"O Código Da Vinci é incrível ...")</f>
        <v>O Código Da Vinci é incrível ...</v>
      </c>
      <c r="B5073" s="3">
        <v>1</v>
      </c>
    </row>
    <row r="5074" ht="15.75" customHeight="1" spans="1:2">
      <c r="A5074" s="3" t="str">
        <f>IFERROR(__xludf.DUMMYFUNCTION("GOOGLETRANSLATE(A5074,""en"",""pt"")"),"Oh oh oh e eu amei O Código Da Vinci!")</f>
        <v>Oh oh oh e eu amei O Código Da Vinci!</v>
      </c>
      <c r="B5074" s="3">
        <v>1</v>
      </c>
    </row>
    <row r="5075" ht="15.75" customHeight="1" spans="1:2">
      <c r="A5075" s="3" t="str">
        <f>IFERROR(__xludf.DUMMYFUNCTION("GOOGLETRANSLATE(A5075,""en"",""pt"")"),"Eu amo o código de Da Vinci ...")</f>
        <v>Eu amo o código de Da Vinci ...</v>
      </c>
      <c r="B5075" s="3">
        <v>1</v>
      </c>
    </row>
    <row r="5076" ht="15.75" customHeight="1" spans="1:2">
      <c r="A5076" s="3" t="str">
        <f>IFERROR(__xludf.DUMMYFUNCTION("GOOGLETRANSLATE(A5076,""en"",""pt"")"),"O Código Da Vinci é incrível.")</f>
        <v>O Código Da Vinci é incrível.</v>
      </c>
      <c r="B5076" s="3">
        <v>1</v>
      </c>
    </row>
    <row r="5077" ht="15.75" customHeight="1" spans="1:2">
      <c r="A5077" s="3" t="str">
        <f>IFERROR(__xludf.DUMMYFUNCTION("GOOGLETRANSLATE(A5077,""en"",""pt"")"),"e eu amo edição Da Vinci Code-ilustrado é a única maneira de ir! :) ..")</f>
        <v>e eu amo edição Da Vinci Code-ilustrado é a única maneira de ir! :) ..</v>
      </c>
      <c r="B5077" s="3">
        <v>1</v>
      </c>
    </row>
    <row r="5078" ht="15.75" customHeight="1" spans="1:2">
      <c r="A5078" s="3" t="str">
        <f>IFERROR(__xludf.DUMMYFUNCTION("GOOGLETRANSLATE(A5078,""en"",""pt"")"),"Eu amei o código de Da Vinci, e eu não posso esperar para o filme.")</f>
        <v>Eu amei o código de Da Vinci, e eu não posso esperar para o filme.</v>
      </c>
      <c r="B5078" s="3">
        <v>1</v>
      </c>
    </row>
    <row r="5079" ht="15.75" customHeight="1" spans="1:2">
      <c r="A5079" s="3" t="str">
        <f>IFERROR(__xludf.DUMMYFUNCTION("GOOGLETRANSLATE(A5079,""en"",""pt"")"),"eu amei Código Da Vinci recentemente ......")</f>
        <v>eu amei Código Da Vinci recentemente ......</v>
      </c>
      <c r="B5079" s="3">
        <v>1</v>
      </c>
    </row>
    <row r="5080" ht="15.75" customHeight="1" spans="1:2">
      <c r="A5080" s="3" t="str">
        <f>IFERROR(__xludf.DUMMYFUNCTION("GOOGLETRANSLATE(A5080,""en"",""pt"")"),"Amo o Código Da Vinci! (")</f>
        <v>Amo o Código Da Vinci! (</v>
      </c>
      <c r="B5080" s="3">
        <v>1</v>
      </c>
    </row>
    <row r="5081" ht="15.75" customHeight="1" spans="1:2">
      <c r="A5081" s="3" t="str">
        <f>IFERROR(__xludf.DUMMYFUNCTION("GOOGLETRANSLATE(A5081,""en"",""pt"")"),"à sua direita também ler e amei o código de Da Vinci.")</f>
        <v>à sua direita também ler e amei o código de Da Vinci.</v>
      </c>
      <c r="B5081" s="3">
        <v>1</v>
      </c>
    </row>
    <row r="5082" ht="15.75" customHeight="1" spans="1:2">
      <c r="A5082" s="3" t="str">
        <f>IFERROR(__xludf.DUMMYFUNCTION("GOOGLETRANSLATE(A5082,""en"",""pt"")"),"I * AMEI o código * Da Vinci.")</f>
        <v>I * AMEI o código * Da Vinci.</v>
      </c>
      <c r="B5082" s="3">
        <v>1</v>
      </c>
    </row>
    <row r="5083" ht="15.75" customHeight="1" spans="1:2">
      <c r="A5083" s="3" t="str">
        <f>IFERROR(__xludf.DUMMYFUNCTION("GOOGLETRANSLATE(A5083,""en"",""pt"")"),"e eu amo ler O Código Da Vinci .....")</f>
        <v>e eu amo ler O Código Da Vinci .....</v>
      </c>
      <c r="B5083" s="3">
        <v>1</v>
      </c>
    </row>
    <row r="5084" ht="15.75" customHeight="1" spans="1:2">
      <c r="A5084" s="3" t="str">
        <f>IFERROR(__xludf.DUMMYFUNCTION("GOOGLETRANSLATE(A5084,""en"",""pt"")"),"e eu amo Código Da Vinci também ..")</f>
        <v>e eu amo Código Da Vinci também ..</v>
      </c>
      <c r="B5084" s="3">
        <v>1</v>
      </c>
    </row>
    <row r="5085" ht="15.75" customHeight="1" spans="1:2">
      <c r="A5085" s="3" t="str">
        <f>IFERROR(__xludf.DUMMYFUNCTION("GOOGLETRANSLATE(A5085,""en"",""pt"")"),"e eu amo Código Da Vinci também ..")</f>
        <v>e eu amo Código Da Vinci também ..</v>
      </c>
      <c r="B5085" s="3">
        <v>1</v>
      </c>
    </row>
    <row r="5086" ht="15.75" customHeight="1" spans="1:2">
      <c r="A5086" s="3" t="str">
        <f>IFERROR(__xludf.DUMMYFUNCTION("GOOGLETRANSLATE(A5086,""en"",""pt"")"),"Código Da Vinci parece tão incrível ...")</f>
        <v>Código Da Vinci parece tão incrível ...</v>
      </c>
      <c r="B5086" s="3">
        <v>1</v>
      </c>
    </row>
    <row r="5087" ht="15.75" customHeight="1" spans="1:2">
      <c r="A5087" s="3" t="str">
        <f>IFERROR(__xludf.DUMMYFUNCTION("GOOGLETRANSLATE(A5087,""en"",""pt"")"),"Eu terminei O Código Da Vinci que era um livro incrível!")</f>
        <v>Eu terminei O Código Da Vinci que era um livro incrível!</v>
      </c>
      <c r="B5087" s="3">
        <v>1</v>
      </c>
    </row>
    <row r="5088" ht="15.75" customHeight="1" spans="1:2">
      <c r="A5088" s="3" t="str">
        <f>IFERROR(__xludf.DUMMYFUNCTION("GOOGLETRANSLATE(A5088,""en"",""pt"")"),"O Código Da Vinci foi muito legal, mas eu gostei Anjos e Demônios ...")</f>
        <v>O Código Da Vinci foi muito legal, mas eu gostei Anjos e Demônios ...</v>
      </c>
      <c r="B5088" s="3">
        <v>1</v>
      </c>
    </row>
    <row r="5089" ht="15.75" customHeight="1" spans="1:2">
      <c r="A5089" s="3" t="str">
        <f>IFERROR(__xludf.DUMMYFUNCTION("GOOGLETRANSLATE(A5089,""en"",""pt"")"),"Eu adorava ler O Código Da Vinci, não pode esperar para o filme a sair! ..")</f>
        <v>Eu adorava ler O Código Da Vinci, não pode esperar para o filme a sair! ..</v>
      </c>
      <c r="B5089" s="3">
        <v>1</v>
      </c>
    </row>
    <row r="5090" ht="15.75" customHeight="1" spans="1:2">
      <c r="A5090" s="3" t="str">
        <f>IFERROR(__xludf.DUMMYFUNCTION("GOOGLETRANSLATE(A5090,""en"",""pt"")"),"Eu amo o Código Da Vinci.")</f>
        <v>Eu amo o Código Da Vinci.</v>
      </c>
      <c r="B5090" s="3">
        <v>1</v>
      </c>
    </row>
    <row r="5091" ht="15.75" customHeight="1" spans="1:2">
      <c r="A5091" s="3" t="str">
        <f>IFERROR(__xludf.DUMMYFUNCTION("GOOGLETRANSLATE(A5091,""en"",""pt"")"),"O Código Da Vinci realmente é um livro incrível e todos vocês devem ir buscá-la.")</f>
        <v>O Código Da Vinci realmente é um livro incrível e todos vocês devem ir buscá-la.</v>
      </c>
      <c r="B5091" s="3">
        <v>1</v>
      </c>
    </row>
    <row r="5092" ht="15.75" customHeight="1" spans="1:2">
      <c r="A5092" s="3" t="str">
        <f>IFERROR(__xludf.DUMMYFUNCTION("GOOGLETRANSLATE(A5092,""en"",""pt"")"),"Eu amei O Código Da Vinci, e eu pensei Angels &amp; Demons foi muito bom até certo até o final, onde ele meio que perdeu um pouco.")</f>
        <v>Eu amei O Código Da Vinci, e eu pensei Angels &amp; Demons foi muito bom até certo até o final, onde ele meio que perdeu um pouco.</v>
      </c>
      <c r="B5092" s="3">
        <v>1</v>
      </c>
    </row>
    <row r="5093" ht="15.75" customHeight="1" spans="1:2">
      <c r="A5093" s="3" t="str">
        <f>IFERROR(__xludf.DUMMYFUNCTION("GOOGLETRANSLATE(A5093,""en"",""pt"")"),"eu amo totalmente o Código Da Vinci e eu não posso esperar até que o filme!")</f>
        <v>eu amo totalmente o Código Da Vinci e eu não posso esperar até que o filme!</v>
      </c>
      <c r="B5093" s="3">
        <v>1</v>
      </c>
    </row>
    <row r="5094" ht="15.75" customHeight="1" spans="1:2">
      <c r="A5094" s="3" t="str">
        <f>IFERROR(__xludf.DUMMYFUNCTION("GOOGLETRANSLATE(A5094,""en"",""pt"")"),"Pessoalmente eu amei O Código Da Vinci, é uma grande suspense.")</f>
        <v>Pessoalmente eu amei O Código Da Vinci, é uma grande suspense.</v>
      </c>
      <c r="B5094" s="3">
        <v>1</v>
      </c>
    </row>
    <row r="5095" ht="15.75" customHeight="1" spans="1:2">
      <c r="A5095" s="3" t="str">
        <f>IFERROR(__xludf.DUMMYFUNCTION("GOOGLETRANSLATE(A5095,""en"",""pt"")"),"Eu amo o Código Da Vinci .....")</f>
        <v>Eu amo o Código Da Vinci .....</v>
      </c>
      <c r="B5095" s="3">
        <v>1</v>
      </c>
    </row>
    <row r="5096" ht="15.75" customHeight="1" spans="1:2">
      <c r="A5096" s="3" t="str">
        <f>IFERROR(__xludf.DUMMYFUNCTION("GOOGLETRANSLATE(A5096,""en"",""pt"")"),"eo código da vinci é um livro incrível!")</f>
        <v>eo código da vinci é um livro incrível!</v>
      </c>
      <c r="B5096" s="3">
        <v>1</v>
      </c>
    </row>
    <row r="5097" ht="15.75" customHeight="1" spans="1:2">
      <c r="A5097" s="3" t="str">
        <f>IFERROR(__xludf.DUMMYFUNCTION("GOOGLETRANSLATE(A5097,""en"",""pt"")"),"Código Da Vinci é um livro incrível ..")</f>
        <v>Código Da Vinci é um livro incrível ..</v>
      </c>
      <c r="B5097" s="3">
        <v>1</v>
      </c>
    </row>
    <row r="5098" ht="15.75" customHeight="1" spans="1:2">
      <c r="A5098" s="3" t="str">
        <f>IFERROR(__xludf.DUMMYFUNCTION("GOOGLETRANSLATE(A5098,""en"",""pt"")"),"O Código Da Vinci é IMPRESSIONANTE !.")</f>
        <v>O Código Da Vinci é IMPRESSIONANTE !.</v>
      </c>
      <c r="B5098" s="3">
        <v>1</v>
      </c>
    </row>
    <row r="5099" ht="15.75" customHeight="1" spans="1:2">
      <c r="A5099" s="3" t="str">
        <f>IFERROR(__xludf.DUMMYFUNCTION("GOOGLETRANSLATE(A5099,""en"",""pt"")"),"Eu amei o código da vinci.")</f>
        <v>Eu amei o código da vinci.</v>
      </c>
      <c r="B5099" s="3">
        <v>1</v>
      </c>
    </row>
    <row r="5100" ht="15.75" customHeight="1" spans="1:2">
      <c r="A5100" s="3" t="str">
        <f>IFERROR(__xludf.DUMMYFUNCTION("GOOGLETRANSLATE(A5100,""en"",""pt"")"),"Eu amei O Código Da Vinci, muito interessante para pensar sobre as coisas de um ângulo diferente.")</f>
        <v>Eu amei O Código Da Vinci, muito interessante para pensar sobre as coisas de um ângulo diferente.</v>
      </c>
      <c r="B5100" s="3">
        <v>1</v>
      </c>
    </row>
    <row r="5101" ht="15.75" customHeight="1" spans="1:2">
      <c r="A5101" s="3" t="str">
        <f>IFERROR(__xludf.DUMMYFUNCTION("GOOGLETRANSLATE(A5101,""en"",""pt"")"),"Código Da Vinci é um livro incrível friggin.")</f>
        <v>Código Da Vinci é um livro incrível friggin.</v>
      </c>
      <c r="B5101" s="3">
        <v>1</v>
      </c>
    </row>
    <row r="5102" ht="15.75" customHeight="1" spans="1:2">
      <c r="A5102" s="3" t="str">
        <f>IFERROR(__xludf.DUMMYFUNCTION("GOOGLETRANSLATE(A5102,""en"",""pt"")"),"E o código Da Vinci é incrível, de 30 páginas que ainda pode ir.")</f>
        <v>E o código Da Vinci é incrível, de 30 páginas que ainda pode ir.</v>
      </c>
      <c r="B5102" s="3">
        <v>1</v>
      </c>
    </row>
    <row r="5103" ht="15.75" customHeight="1" spans="1:2">
      <c r="A5103" s="3" t="str">
        <f>IFERROR(__xludf.DUMMYFUNCTION("GOOGLETRANSLATE(A5103,""en"",""pt"")"),"outta todos os três i simplesmente amei o código da vinci.")</f>
        <v>outta todos os três i simplesmente amei o código da vinci.</v>
      </c>
      <c r="B5103" s="3">
        <v>1</v>
      </c>
    </row>
    <row r="5104" ht="15.75" customHeight="1" spans="1:2">
      <c r="A5104" s="3" t="str">
        <f>IFERROR(__xludf.DUMMYFUNCTION("GOOGLETRANSLATE(A5104,""en"",""pt"")"),"oh Eu amo o livro O Código Da Vinci!")</f>
        <v>oh Eu amo o livro O Código Da Vinci!</v>
      </c>
      <c r="B5104" s="3">
        <v>1</v>
      </c>
    </row>
    <row r="5105" ht="15.75" customHeight="1" spans="1:2">
      <c r="A5105" s="3" t="str">
        <f>IFERROR(__xludf.DUMMYFUNCTION("GOOGLETRANSLATE(A5105,""en"",""pt"")"),"além drowining me no Código Da Vinci - que, por sinal, foi incrível).")</f>
        <v>além drowining me no Código Da Vinci - que, por sinal, foi incrível).</v>
      </c>
      <c r="B5105" s="3">
        <v>1</v>
      </c>
    </row>
    <row r="5106" ht="15.75" customHeight="1" spans="1:2">
      <c r="A5106" s="3" t="str">
        <f>IFERROR(__xludf.DUMMYFUNCTION("GOOGLETRANSLATE(A5106,""en"",""pt"")"),"Código Da Vinci é tão incrível.")</f>
        <v>Código Da Vinci é tão incrível.</v>
      </c>
      <c r="B5106" s="3">
        <v>1</v>
      </c>
    </row>
    <row r="5107" ht="15.75" customHeight="1" spans="1:2">
      <c r="A5107" s="3" t="str">
        <f>IFERROR(__xludf.DUMMYFUNCTION("GOOGLETRANSLATE(A5107,""en"",""pt"")"),"e Código Da Vinci era tão incrível já).")</f>
        <v>e Código Da Vinci era tão incrível já).</v>
      </c>
      <c r="B5107" s="3">
        <v>1</v>
      </c>
    </row>
    <row r="5108" ht="15.75" customHeight="1" spans="1:2">
      <c r="A5108" s="3" t="str">
        <f>IFERROR(__xludf.DUMMYFUNCTION("GOOGLETRANSLATE(A5108,""en"",""pt"")"),"O Código Da Vinci foi INCRÍVEL.")</f>
        <v>O Código Da Vinci foi INCRÍVEL.</v>
      </c>
      <c r="B5108" s="3">
        <v>1</v>
      </c>
    </row>
    <row r="5109" ht="15.75" customHeight="1" spans="1:2">
      <c r="A5109" s="3" t="str">
        <f>IFERROR(__xludf.DUMMYFUNCTION("GOOGLETRANSLATE(A5109,""en"",""pt"")"),"Assim, o código de Da Vinci foi INCRÍVEL ...")</f>
        <v>Assim, o código de Da Vinci foi INCRÍVEL ...</v>
      </c>
      <c r="B5109" s="3">
        <v>1</v>
      </c>
    </row>
    <row r="5110" ht="15.75" customHeight="1" spans="1:2">
      <c r="A5110" s="3" t="str">
        <f>IFERROR(__xludf.DUMMYFUNCTION("GOOGLETRANSLATE(A5110,""en"",""pt"")"),"Eu amei o Código Da Vinci.")</f>
        <v>Eu amei o Código Da Vinci.</v>
      </c>
      <c r="B5110" s="3">
        <v>1</v>
      </c>
    </row>
    <row r="5111" ht="15.75" customHeight="1" spans="1:2">
      <c r="A5111" s="3" t="str">
        <f>IFERROR(__xludf.DUMMYFUNCTION("GOOGLETRANSLATE(A5111,""en"",""pt"")"),"Bem o Código Da Vinci, foi impressionante!")</f>
        <v>Bem o Código Da Vinci, foi impressionante!</v>
      </c>
      <c r="B5111" s="3">
        <v>1</v>
      </c>
    </row>
    <row r="5112" ht="15.75" customHeight="1" spans="1:2">
      <c r="A5112" s="3" t="str">
        <f>IFERROR(__xludf.DUMMYFUNCTION("GOOGLETRANSLATE(A5112,""en"",""pt"")"),"Eu realmente amei o código da vinci.")</f>
        <v>Eu realmente amei o código da vinci.</v>
      </c>
      <c r="B5112" s="3">
        <v>1</v>
      </c>
    </row>
    <row r="5113" ht="15.75" customHeight="1" spans="1:2">
      <c r="A5113" s="3" t="str">
        <f>IFERROR(__xludf.DUMMYFUNCTION("GOOGLETRANSLATE(A5113,""en"",""pt"")"),"O código de livro da Vinci é incrível.")</f>
        <v>O código de livro da Vinci é incrível.</v>
      </c>
      <c r="B5113" s="3">
        <v>1</v>
      </c>
    </row>
    <row r="5114" ht="15.75" customHeight="1" spans="1:2">
      <c r="A5114" s="3" t="str">
        <f>IFERROR(__xludf.DUMMYFUNCTION("GOOGLETRANSLATE(A5114,""en"",""pt"")"),"eu vi o Código Da Vinci, que foi incrível.")</f>
        <v>eu vi o Código Da Vinci, que foi incrível.</v>
      </c>
      <c r="B5114" s="3">
        <v>1</v>
      </c>
    </row>
    <row r="5115" ht="15.75" customHeight="1" spans="1:2">
      <c r="A5115" s="3" t="str">
        <f>IFERROR(__xludf.DUMMYFUNCTION("GOOGLETRANSLATE(A5115,""en"",""pt"")"),"E eu amo o Código Da Vinci (")</f>
        <v>E eu amo o Código Da Vinci (</v>
      </c>
      <c r="B5115" s="3">
        <v>1</v>
      </c>
    </row>
    <row r="5116" ht="15.75" customHeight="1" spans="1:2">
      <c r="A5116" s="3" t="str">
        <f>IFERROR(__xludf.DUMMYFUNCTION("GOOGLETRANSLATE(A5116,""en"",""pt"")"),"eu sei que eu amava o Código Da Vinci também !!!")</f>
        <v>eu sei que eu amava o Código Da Vinci também !!!</v>
      </c>
      <c r="B5116" s="3">
        <v>1</v>
      </c>
    </row>
    <row r="5117" ht="15.75" customHeight="1" spans="1:2">
      <c r="A5117" s="3" t="str">
        <f>IFERROR(__xludf.DUMMYFUNCTION("GOOGLETRANSLATE(A5117,""en"",""pt"")"),"Código Da Vinci foi incrível !!!")</f>
        <v>Código Da Vinci foi incrível !!!</v>
      </c>
      <c r="B5117" s="3">
        <v>1</v>
      </c>
    </row>
    <row r="5118" ht="15.75" customHeight="1" spans="1:2">
      <c r="A5118" s="3" t="str">
        <f>IFERROR(__xludf.DUMMYFUNCTION("GOOGLETRANSLATE(A5118,""en"",""pt"")"),"Lynn e jon nos teatros para da code-outro vinci do que isso, todos na LUAU, foi incrível ..")</f>
        <v>Lynn e jon nos teatros para da code-outro vinci do que isso, todos na LUAU, foi incrível ..</v>
      </c>
      <c r="B5118" s="3">
        <v>1</v>
      </c>
    </row>
    <row r="5119" ht="15.75" customHeight="1" spans="1:2">
      <c r="A5119" s="3" t="str">
        <f>IFERROR(__xludf.DUMMYFUNCTION("GOOGLETRANSLATE(A5119,""en"",""pt"")"),"O Código Da Vinci foi um filme incrível.")</f>
        <v>O Código Da Vinci foi um filme incrível.</v>
      </c>
      <c r="B5119" s="3">
        <v>1</v>
      </c>
    </row>
    <row r="5120" ht="15.75" customHeight="1" spans="1:2">
      <c r="A5120" s="3" t="str">
        <f>IFERROR(__xludf.DUMMYFUNCTION("GOOGLETRANSLATE(A5120,""en"",""pt"")"),"Além disso, o código da vinci é IMPRESSIONANTE.")</f>
        <v>Além disso, o código da vinci é IMPRESSIONANTE.</v>
      </c>
      <c r="B5120" s="3">
        <v>1</v>
      </c>
    </row>
    <row r="5121" ht="15.75" customHeight="1" spans="1:2">
      <c r="A5121" s="3" t="str">
        <f>IFERROR(__xludf.DUMMYFUNCTION("GOOGLETRANSLATE(A5121,""en"",""pt"")"),"Quanto aos filmes, O Código Da Vinci foi incrível e todos os protestos contra isso me deixa triste saber que tantas pessoas que partilham a minha religião são idiotas ...")</f>
        <v>Quanto aos filmes, O Código Da Vinci foi incrível e todos os protestos contra isso me deixa triste saber que tantas pessoas que partilham a minha religião são idiotas ...</v>
      </c>
      <c r="B5121" s="3">
        <v>1</v>
      </c>
    </row>
    <row r="5122" ht="15.75" customHeight="1" spans="1:2">
      <c r="A5122" s="3" t="str">
        <f>IFERROR(__xludf.DUMMYFUNCTION("GOOGLETRANSLATE(A5122,""en"",""pt"")"),"O Código Da Vinci é como um dos livros mais awesomest !!!")</f>
        <v>O Código Da Vinci é como um dos livros mais awesomest !!!</v>
      </c>
      <c r="B5122" s="3">
        <v>1</v>
      </c>
    </row>
    <row r="5123" ht="15.75" customHeight="1" spans="1:2">
      <c r="A5123" s="3" t="str">
        <f>IFERROR(__xludf.DUMMYFUNCTION("GOOGLETRANSLATE(A5123,""en"",""pt"")"),"Tão triste como pode ser que agora estou namorando minha irmã, eu desfrutamos do nosso tempo juntos e absolutamente amei O Código Da Vinci.")</f>
        <v>Tão triste como pode ser que agora estou namorando minha irmã, eu desfrutamos do nosso tempo juntos e absolutamente amei O Código Da Vinci.</v>
      </c>
      <c r="B5123" s="3">
        <v>1</v>
      </c>
    </row>
    <row r="5124" ht="15.75" customHeight="1" spans="1:2">
      <c r="A5124" s="3" t="str">
        <f>IFERROR(__xludf.DUMMYFUNCTION("GOOGLETRANSLATE(A5124,""en"",""pt"")"),"só porque o código da vinci é incrível não significa Jesus não pode ser o solteiro mais admirada !.")</f>
        <v>só porque o código da vinci é incrível não significa Jesus não pode ser o solteiro mais admirada !.</v>
      </c>
      <c r="B5124" s="3">
        <v>1</v>
      </c>
    </row>
    <row r="5125" ht="15.75" customHeight="1" spans="1:2">
      <c r="A5125" s="3" t="str">
        <f>IFERROR(__xludf.DUMMYFUNCTION("GOOGLETRANSLATE(A5125,""en"",""pt"")"),"CÓDIGO DA VINCI foi INCRÍVEIS !!!!! ..")</f>
        <v>CÓDIGO DA VINCI foi INCRÍVEIS !!!!! ..</v>
      </c>
      <c r="B5125" s="3">
        <v>1</v>
      </c>
    </row>
    <row r="5126" ht="15.75" customHeight="1" spans="1:2">
      <c r="A5126" s="3" t="str">
        <f>IFERROR(__xludf.DUMMYFUNCTION("GOOGLETRANSLATE(A5126,""en"",""pt"")"),"Código Da Vinci é um filme impressionante.")</f>
        <v>Código Da Vinci é um filme impressionante.</v>
      </c>
      <c r="B5126" s="3">
        <v>1</v>
      </c>
    </row>
    <row r="5127" ht="15.75" customHeight="1" spans="1:2">
      <c r="A5127" s="3" t="str">
        <f>IFERROR(__xludf.DUMMYFUNCTION("GOOGLETRANSLATE(A5127,""en"",""pt"")"),"O Código Da Vinci foi INCRÍVEL.")</f>
        <v>O Código Da Vinci foi INCRÍVEL.</v>
      </c>
      <c r="B5127" s="3">
        <v>1</v>
      </c>
    </row>
    <row r="5128" ht="15.75" customHeight="1" spans="1:2">
      <c r="A5128" s="3" t="str">
        <f>IFERROR(__xludf.DUMMYFUNCTION("GOOGLETRANSLATE(A5128,""en"",""pt"")"),"Código Da Vinci é um filme bonito ..")</f>
        <v>Código Da Vinci é um filme bonito ..</v>
      </c>
      <c r="B5128" s="3">
        <v>1</v>
      </c>
    </row>
    <row r="5129" ht="15.75" customHeight="1" spans="1:2">
      <c r="A5129" s="3" t="str">
        <f>IFERROR(__xludf.DUMMYFUNCTION("GOOGLETRANSLATE(A5129,""en"",""pt"")"),"Eu amo Código Da Vinci.")</f>
        <v>Eu amo Código Da Vinci.</v>
      </c>
      <c r="B5129" s="3">
        <v>1</v>
      </c>
    </row>
    <row r="5130" ht="15.75" customHeight="1" spans="1:2">
      <c r="A5130" s="3" t="str">
        <f>IFERROR(__xludf.DUMMYFUNCTION("GOOGLETRANSLATE(A5130,""en"",""pt"")"),"Além do Código Da Vinci é uma bela tomo - não autorizado, é claro - que lida com o romance eo que a inspirou.")</f>
        <v>Além do Código Da Vinci é uma bela tomo - não autorizado, é claro - que lida com o romance eo que a inspirou.</v>
      </c>
      <c r="B5130" s="3">
        <v>1</v>
      </c>
    </row>
    <row r="5131" ht="15.75" customHeight="1" spans="1:2">
      <c r="A5131" s="3" t="str">
        <f>IFERROR(__xludf.DUMMYFUNCTION("GOOGLETRANSLATE(A5131,""en"",""pt"")"),"Eu realmente amei Código Da Vinci.")</f>
        <v>Eu realmente amei Código Da Vinci.</v>
      </c>
      <c r="B5131" s="3">
        <v>1</v>
      </c>
    </row>
    <row r="5132" ht="15.75" customHeight="1" spans="1:2">
      <c r="A5132" s="3" t="str">
        <f>IFERROR(__xludf.DUMMYFUNCTION("GOOGLETRANSLATE(A5132,""en"",""pt"")"),"Eu vi tanto Código Da Vinci e X-Men 3 The Last Stand no dia em que saiu, e aquele que me levou a falar com mais foi X-Men, mas Código Da Vinci foi incrível também.")</f>
        <v>Eu vi tanto Código Da Vinci e X-Men 3 The Last Stand no dia em que saiu, e aquele que me levou a falar com mais foi X-Men, mas Código Da Vinci foi incrível também.</v>
      </c>
      <c r="B5132" s="3">
        <v>1</v>
      </c>
    </row>
    <row r="5133" ht="15.75" customHeight="1" spans="1:2">
      <c r="A5133" s="3" t="str">
        <f>IFERROR(__xludf.DUMMYFUNCTION("GOOGLETRANSLATE(A5133,""en"",""pt"")"),"eu amei o código da vinci ...")</f>
        <v>eu amei o código da vinci ...</v>
      </c>
      <c r="B5133" s="3">
        <v>1</v>
      </c>
    </row>
    <row r="5134" ht="15.75" customHeight="1" spans="1:2">
      <c r="A5134" s="3" t="str">
        <f>IFERROR(__xludf.DUMMYFUNCTION("GOOGLETRANSLATE(A5134,""en"",""pt"")"),"Concordo com você, eu amei Código Da Vinci, eu só acho que é ridículo para as pessoas a obter suas calcinhas em um monte sobre as heresias e blashpemies e seja lá o que mais ele supostamente contém.")</f>
        <v>Concordo com você, eu amei Código Da Vinci, eu só acho que é ridículo para as pessoas a obter suas calcinhas em um monte sobre as heresias e blashpemies e seja lá o que mais ele supostamente contém.</v>
      </c>
      <c r="B5134" s="3">
        <v>1</v>
      </c>
    </row>
    <row r="5135" ht="15.75" customHeight="1" spans="1:2">
      <c r="A5135" s="3" t="str">
        <f>IFERROR(__xludf.DUMMYFUNCTION("GOOGLETRANSLATE(A5135,""en"",""pt"")"),"O Código Da Vinci foi lah incrível!")</f>
        <v>O Código Da Vinci foi lah incrível!</v>
      </c>
      <c r="B5135" s="3">
        <v>1</v>
      </c>
    </row>
    <row r="5136" ht="15.75" customHeight="1" spans="1:2">
      <c r="A5136" s="3" t="str">
        <f>IFERROR(__xludf.DUMMYFUNCTION("GOOGLETRANSLATE(A5136,""en"",""pt"")"),"Código Da Vinci foi incrível ..")</f>
        <v>Código Da Vinci foi incrível ..</v>
      </c>
      <c r="B5136" s="3">
        <v>1</v>
      </c>
    </row>
    <row r="5137" ht="15.75" customHeight="1" spans="1:2">
      <c r="A5137" s="3" t="str">
        <f>IFERROR(__xludf.DUMMYFUNCTION("GOOGLETRANSLATE(A5137,""en"",""pt"")"),"Eu adoraria assistir O Código Da Vinci em breve.")</f>
        <v>Eu adoraria assistir O Código Da Vinci em breve.</v>
      </c>
      <c r="B5137" s="3">
        <v>1</v>
      </c>
    </row>
    <row r="5138" ht="15.75" customHeight="1" spans="1:2">
      <c r="A5138" s="3" t="str">
        <f>IFERROR(__xludf.DUMMYFUNCTION("GOOGLETRANSLATE(A5138,""en"",""pt"")"),"É difícil decidir sobre o que mover ti ver quando existem 2 bons jogando, eu adoraria ver o Código Da Vinci, mas por outro lado Over The Hedge aparência muito engraçado ...")</f>
        <v>É difícil decidir sobre o que mover ti ver quando existem 2 bons jogando, eu adoraria ver o Código Da Vinci, mas por outro lado Over The Hedge aparência muito engraçado ...</v>
      </c>
      <c r="B5138" s="3">
        <v>1</v>
      </c>
    </row>
    <row r="5139" ht="15.75" customHeight="1" spans="1:2">
      <c r="A5139" s="3" t="str">
        <f>IFERROR(__xludf.DUMMYFUNCTION("GOOGLETRANSLATE(A5139,""en"",""pt"")"),"Eu li que o livro ""Anjos e demônios"" e fiquei viciado assim que eu terminar em dois dias, assim como Código Da Vinci ...")</f>
        <v>Eu li que o livro "Anjos e demônios" e fiquei viciado assim que eu terminar em dois dias, assim como Código Da Vinci ...</v>
      </c>
      <c r="B5139" s="3">
        <v>1</v>
      </c>
    </row>
    <row r="5140" ht="15.75" customHeight="1" spans="1:2">
      <c r="A5140" s="3" t="str">
        <f>IFERROR(__xludf.DUMMYFUNCTION("GOOGLETRANSLATE(A5140,""en"",""pt"")"),"Ah, e eu amava o código da vinci.")</f>
        <v>Ah, e eu amava o código da vinci.</v>
      </c>
      <c r="B5140" s="3">
        <v>1</v>
      </c>
    </row>
    <row r="5141" ht="15.75" customHeight="1" spans="1:2">
      <c r="A5141" s="3" t="str">
        <f>IFERROR(__xludf.DUMMYFUNCTION("GOOGLETRANSLATE(A5141,""en"",""pt"")"),"De volta a Melbourne, mamãe e eu fui ver O Código Da Vinci, que foi totalmente incrível, mas eles deixaram as coisas!")</f>
        <v>De volta a Melbourne, mamãe e eu fui ver O Código Da Vinci, que foi totalmente incrível, mas eles deixaram as coisas!</v>
      </c>
      <c r="B5141" s="3">
        <v>1</v>
      </c>
    </row>
    <row r="5142" ht="15.75" customHeight="1" spans="1:2">
      <c r="A5142" s="3" t="str">
        <f>IFERROR(__xludf.DUMMYFUNCTION("GOOGLETRANSLATE(A5142,""en"",""pt"")"),"hahash eu amo Código Da Vinci tooo !!")</f>
        <v>hahash eu amo Código Da Vinci tooo !!</v>
      </c>
      <c r="B5142" s="3">
        <v>1</v>
      </c>
    </row>
    <row r="5143" ht="15.75" customHeight="1" spans="1:2">
      <c r="A5143" s="3" t="str">
        <f>IFERROR(__xludf.DUMMYFUNCTION("GOOGLETRANSLATE(A5143,""en"",""pt"")"),"O Código Da Vinci foi incrível.")</f>
        <v>O Código Da Vinci foi incrível.</v>
      </c>
      <c r="B5143" s="3">
        <v>1</v>
      </c>
    </row>
    <row r="5144" ht="15.75" customHeight="1" spans="1:2">
      <c r="A5144" s="3" t="str">
        <f>IFERROR(__xludf.DUMMYFUNCTION("GOOGLETRANSLATE(A5144,""en"",""pt"")"),"Código Da Vinci também foi incrível, mas isso é um dado, Tom Hanks está nele depois de tudo.")</f>
        <v>Código Da Vinci também foi incrível, mas isso é um dado, Tom Hanks está nele depois de tudo.</v>
      </c>
      <c r="B5144" s="3">
        <v>1</v>
      </c>
    </row>
    <row r="5145" ht="15.75" customHeight="1" spans="1:2">
      <c r="A5145" s="3" t="str">
        <f>IFERROR(__xludf.DUMMYFUNCTION("GOOGLETRANSLATE(A5145,""en"",""pt"")"),"Eu amei O Código Da Vinci !!")</f>
        <v>Eu amei O Código Da Vinci !!</v>
      </c>
      <c r="B5145" s="3">
        <v>1</v>
      </c>
    </row>
    <row r="5146" ht="15.75" customHeight="1" spans="1:2">
      <c r="A5146" s="3" t="str">
        <f>IFERROR(__xludf.DUMMYFUNCTION("GOOGLETRANSLATE(A5146,""en"",""pt"")"),"Eu amei O Código Da Vinci!")</f>
        <v>Eu amei O Código Da Vinci!</v>
      </c>
      <c r="B5146" s="3">
        <v>1</v>
      </c>
    </row>
    <row r="5147" ht="15.75" customHeight="1" spans="1:2">
      <c r="A5147" s="3" t="str">
        <f>IFERROR(__xludf.DUMMYFUNCTION("GOOGLETRANSLATE(A5147,""en"",""pt"")"),"eu amei o código da vinci era um filme kick ass ...")</f>
        <v>eu amei o código da vinci era um filme kick ass ...</v>
      </c>
      <c r="B5147" s="3">
        <v>1</v>
      </c>
    </row>
    <row r="5148" ht="15.75" customHeight="1" spans="1:2">
      <c r="A5148" s="3" t="str">
        <f>IFERROR(__xludf.DUMMYFUNCTION("GOOGLETRANSLATE(A5148,""en"",""pt"")"),"Depois fomos ao cinema e vi o Código Da Vinci que, honestamente, foi o filme mais impressionante que eu já vi.")</f>
        <v>Depois fomos ao cinema e vi o Código Da Vinci que, honestamente, foi o filme mais impressionante que eu já vi.</v>
      </c>
      <c r="B5148" s="3">
        <v>1</v>
      </c>
    </row>
    <row r="5149" ht="15.75" customHeight="1" spans="1:2">
      <c r="A5149" s="3" t="str">
        <f>IFERROR(__xludf.DUMMYFUNCTION("GOOGLETRANSLATE(A5149,""en"",""pt"")"),"eu amei o Código Da Vinci, apesar de ter sido o segundo livro da série.")</f>
        <v>eu amei o Código Da Vinci, apesar de ter sido o segundo livro da série.</v>
      </c>
      <c r="B5149" s="3">
        <v>1</v>
      </c>
    </row>
    <row r="5150" ht="15.75" customHeight="1" spans="1:2">
      <c r="A5150" s="3" t="str">
        <f>IFERROR(__xludf.DUMMYFUNCTION("GOOGLETRANSLATE(A5150,""en"",""pt"")"),"O Código Da Vinci foi incrível na minha opinião - o livro eo filme.")</f>
        <v>O Código Da Vinci foi incrível na minha opinião - o livro eo filme.</v>
      </c>
      <c r="B5150" s="3">
        <v>1</v>
      </c>
    </row>
    <row r="5151" ht="15.75" customHeight="1" spans="1:2">
      <c r="A5151" s="3" t="str">
        <f>IFERROR(__xludf.DUMMYFUNCTION("GOOGLETRANSLATE(A5151,""en"",""pt"")"),"Eu amei o Código Da Vinci, tanto o livro quanto o filme.")</f>
        <v>Eu amei o Código Da Vinci, tanto o livro quanto o filme.</v>
      </c>
      <c r="B5151" s="3">
        <v>1</v>
      </c>
    </row>
    <row r="5152" ht="15.75" customHeight="1" spans="1:2">
      <c r="A5152" s="3" t="str">
        <f>IFERROR(__xludf.DUMMYFUNCTION("GOOGLETRANSLATE(A5152,""en"",""pt"")"),"o código da vinci estava tão incrível de boa sorte no ur torneio de tênis ..")</f>
        <v>o código da vinci estava tão incrível de boa sorte no ur torneio de tênis ..</v>
      </c>
      <c r="B5152" s="3">
        <v>1</v>
      </c>
    </row>
    <row r="5153" ht="15.75" customHeight="1" spans="1:2">
      <c r="A5153" s="3" t="str">
        <f>IFERROR(__xludf.DUMMYFUNCTION("GOOGLETRANSLATE(A5153,""en"",""pt"")"),"O Código Da Vinci foi INCRÍVEL !!")</f>
        <v>O Código Da Vinci foi INCRÍVEL !!</v>
      </c>
      <c r="B5153" s="3">
        <v>1</v>
      </c>
    </row>
    <row r="5154" ht="15.75" customHeight="1" spans="1:2">
      <c r="A5154" s="3" t="str">
        <f>IFERROR(__xludf.DUMMYFUNCTION("GOOGLETRANSLATE(A5154,""en"",""pt"")"),"Eu adoro odiar América quase tanto quanto eu adoro apoiar o Código Da Vinci.")</f>
        <v>Eu adoro odiar América quase tanto quanto eu adoro apoiar o Código Da Vinci.</v>
      </c>
      <c r="B5154" s="3">
        <v>1</v>
      </c>
    </row>
    <row r="5155" ht="15.75" customHeight="1" spans="1:2">
      <c r="A5155" s="3" t="str">
        <f>IFERROR(__xludf.DUMMYFUNCTION("GOOGLETRANSLATE(A5155,""en"",""pt"")"),"Código Da Vinci foi incrível.")</f>
        <v>Código Da Vinci foi incrível.</v>
      </c>
      <c r="B5155" s="3">
        <v>1</v>
      </c>
    </row>
    <row r="5156" ht="15.75" customHeight="1" spans="1:2">
      <c r="A5156" s="3" t="str">
        <f>IFERROR(__xludf.DUMMYFUNCTION("GOOGLETRANSLATE(A5156,""en"",""pt"")"),"i luv o código' book'da vinci ....")</f>
        <v>i luv o código' book'da vinci ....</v>
      </c>
      <c r="B5156" s="3">
        <v>1</v>
      </c>
    </row>
    <row r="5157" ht="15.75" customHeight="1" spans="1:2">
      <c r="A5157" s="3" t="str">
        <f>IFERROR(__xludf.DUMMYFUNCTION("GOOGLETRANSLATE(A5157,""en"",""pt"")"),"Código Da Vinci foi incrível ..")</f>
        <v>Código Da Vinci foi incrível ..</v>
      </c>
      <c r="B5157" s="3">
        <v>1</v>
      </c>
    </row>
    <row r="5158" ht="15.75" customHeight="1" spans="1:2">
      <c r="A5158" s="3" t="str">
        <f>IFERROR(__xludf.DUMMYFUNCTION("GOOGLETRANSLATE(A5158,""en"",""pt"")"),"Código Da Vinci foi incrível.")</f>
        <v>Código Da Vinci foi incrível.</v>
      </c>
      <c r="B5158" s="3">
        <v>1</v>
      </c>
    </row>
    <row r="5159" ht="15.75" customHeight="1" spans="1:2">
      <c r="A5159" s="3" t="str">
        <f>IFERROR(__xludf.DUMMYFUNCTION("GOOGLETRANSLATE(A5159,""en"",""pt"")"),"eu amei o código da vinci.")</f>
        <v>eu amei o código da vinci.</v>
      </c>
      <c r="B5159" s="3">
        <v>1</v>
      </c>
    </row>
    <row r="5160" ht="15.75" customHeight="1" spans="1:2">
      <c r="A5160" s="3" t="str">
        <f>IFERROR(__xludf.DUMMYFUNCTION("GOOGLETRANSLATE(A5160,""en"",""pt"")"),"Bem, O Código Da Vinci foi incrível ....")</f>
        <v>Bem, O Código Da Vinci foi incrível ....</v>
      </c>
      <c r="B5160" s="3">
        <v>1</v>
      </c>
    </row>
    <row r="5161" ht="15.75" customHeight="1" spans="1:2">
      <c r="A5161" s="3" t="str">
        <f>IFERROR(__xludf.DUMMYFUNCTION("GOOGLETRANSLATE(A5161,""en"",""pt"")"),"O Código Da Vinci foi incrível ..")</f>
        <v>O Código Da Vinci foi incrível ..</v>
      </c>
      <c r="B5161" s="3">
        <v>1</v>
      </c>
    </row>
    <row r="5162" ht="15.75" customHeight="1" spans="1:2">
      <c r="A5162" s="3" t="str">
        <f>IFERROR(__xludf.DUMMYFUNCTION("GOOGLETRANSLATE(A5162,""en"",""pt"")"),"O Código Da Vinci é um livro incrível, eu apenas finshed lê-lo.")</f>
        <v>O Código Da Vinci é um livro incrível, eu apenas finshed lê-lo.</v>
      </c>
      <c r="B5162" s="3">
        <v>1</v>
      </c>
    </row>
    <row r="5163" ht="15.75" customHeight="1" spans="1:2">
      <c r="A5163" s="3" t="str">
        <f>IFERROR(__xludf.DUMMYFUNCTION("GOOGLETRANSLATE(A5163,""en"",""pt"")"),"O Código Da Vinci foi tão impressionante, eu não posso nem começar a compreender nem explicar a grandiosidade de seu incondicional, incrível poder de grandiosidade .....")</f>
        <v>O Código Da Vinci foi tão impressionante, eu não posso nem começar a compreender nem explicar a grandiosidade de seu incondicional, incrível poder de grandiosidade .....</v>
      </c>
      <c r="B5163" s="3">
        <v>1</v>
      </c>
    </row>
    <row r="5164" ht="15.75" customHeight="1" spans="1:2">
      <c r="A5164" s="3" t="str">
        <f>IFERROR(__xludf.DUMMYFUNCTION("GOOGLETRANSLATE(A5164,""en"",""pt"")"),"código PS da Vinci é um filme impressionante !.")</f>
        <v>código PS da Vinci é um filme impressionante !.</v>
      </c>
      <c r="B5164" s="3">
        <v>1</v>
      </c>
    </row>
    <row r="5165" ht="15.75" customHeight="1" spans="1:2">
      <c r="A5165" s="3" t="str">
        <f>IFERROR(__xludf.DUMMYFUNCTION("GOOGLETRANSLATE(A5165,""en"",""pt"")"),"Eu adoro Código Da Vinci tanto!")</f>
        <v>Eu adoro Código Da Vinci tanto!</v>
      </c>
      <c r="B5165" s="3">
        <v>1</v>
      </c>
    </row>
    <row r="5166" ht="15.75" customHeight="1" spans="1:2">
      <c r="A5166" s="3" t="str">
        <f>IFERROR(__xludf.DUMMYFUNCTION("GOOGLETRANSLATE(A5166,""en"",""pt"")"),"as pessoas que valem a pena saber o quanto eu amo o código da vinci.")</f>
        <v>as pessoas que valem a pena saber o quanto eu amo o código da vinci.</v>
      </c>
      <c r="B5166" s="3">
        <v>1</v>
      </c>
    </row>
    <row r="5167" ht="15.75" customHeight="1" spans="1:2">
      <c r="A5167" s="3" t="str">
        <f>IFERROR(__xludf.DUMMYFUNCTION("GOOGLETRANSLATE(A5167,""en"",""pt"")"),"Eu queria desesperadamente love'The Código Da Vinci como um filme.")</f>
        <v>Eu queria desesperadamente love'The Código Da Vinci como um filme.</v>
      </c>
      <c r="B5167" s="3">
        <v>1</v>
      </c>
    </row>
    <row r="5168" ht="15.75" customHeight="1" spans="1:2">
      <c r="A5168" s="3" t="str">
        <f>IFERROR(__xludf.DUMMYFUNCTION("GOOGLETRANSLATE(A5168,""en"",""pt"")"),"O Código Da Vinci foi incrível, eu não posso esperar para lê-lo ...")</f>
        <v>O Código Da Vinci foi incrível, eu não posso esperar para lê-lo ...</v>
      </c>
      <c r="B5168" s="3">
        <v>1</v>
      </c>
    </row>
    <row r="5169" ht="15.75" customHeight="1" spans="1:2">
      <c r="A5169" s="3" t="str">
        <f>IFERROR(__xludf.DUMMYFUNCTION("GOOGLETRANSLATE(A5169,""en"",""pt"")"),"O Código Da Vinci foi absolutamente incrível!")</f>
        <v>O Código Da Vinci foi absolutamente incrível!</v>
      </c>
      <c r="B5169" s="3">
        <v>1</v>
      </c>
    </row>
    <row r="5170" ht="15.75" customHeight="1" spans="1:2">
      <c r="A5170" s="3" t="str">
        <f>IFERROR(__xludf.DUMMYFUNCTION("GOOGLETRANSLATE(A5170,""en"",""pt"")"),"Código Da Vinci era um filme impressionante ...")</f>
        <v>Código Da Vinci era um filme impressionante ...</v>
      </c>
      <c r="B5170" s="3">
        <v>1</v>
      </c>
    </row>
    <row r="5171" ht="15.75" customHeight="1" spans="1:2">
      <c r="A5171" s="3" t="str">
        <f>IFERROR(__xludf.DUMMYFUNCTION("GOOGLETRANSLATE(A5171,""en"",""pt"")"),"CÓDIGO DA VINCI É IMPRESSIONANTE !!")</f>
        <v>CÓDIGO DA VINCI É IMPRESSIONANTE !!</v>
      </c>
      <c r="B5171" s="3">
        <v>1</v>
      </c>
    </row>
    <row r="5172" ht="15.75" customHeight="1" spans="1:2">
      <c r="A5172" s="3" t="str">
        <f>IFERROR(__xludf.DUMMYFUNCTION("GOOGLETRANSLATE(A5172,""en"",""pt"")"),"Eu amo O Código Da Vinci ...")</f>
        <v>Eu amo O Código Da Vinci ...</v>
      </c>
      <c r="B5172" s="3">
        <v>1</v>
      </c>
    </row>
    <row r="5173" ht="15.75" customHeight="1" spans="1:2">
      <c r="A5173" s="3" t="str">
        <f>IFERROR(__xludf.DUMMYFUNCTION("GOOGLETRANSLATE(A5173,""en"",""pt"")"),"O Código Da Vinci é incrível ..")</f>
        <v>O Código Da Vinci é incrível ..</v>
      </c>
      <c r="B5173" s="3">
        <v>1</v>
      </c>
    </row>
    <row r="5174" ht="15.75" customHeight="1" spans="1:2">
      <c r="A5174" s="3" t="str">
        <f>IFERROR(__xludf.DUMMYFUNCTION("GOOGLETRANSLATE(A5174,""en"",""pt"")"),"O Código Da Vinci é espectacular !!")</f>
        <v>O Código Da Vinci é espectacular !!</v>
      </c>
      <c r="B5174" s="3">
        <v>1</v>
      </c>
    </row>
    <row r="5175" ht="15.75" customHeight="1" spans="1:2">
      <c r="A5175" s="3" t="str">
        <f>IFERROR(__xludf.DUMMYFUNCTION("GOOGLETRANSLATE(A5175,""en"",""pt"")"),"Luv lubb o Código Da Vinci!")</f>
        <v>Luv lubb o Código Da Vinci!</v>
      </c>
      <c r="B5175" s="3">
        <v>1</v>
      </c>
    </row>
    <row r="5176" ht="15.75" customHeight="1" spans="1:2">
      <c r="A5176" s="3" t="str">
        <f>IFERROR(__xludf.DUMMYFUNCTION("GOOGLETRANSLATE(A5176,""en"",""pt"")"),"as pessoas que valem a pena saber o quanto eu amo o código da vinci.")</f>
        <v>as pessoas que valem a pena saber o quanto eu amo o código da vinci.</v>
      </c>
      <c r="B5176" s="3">
        <v>1</v>
      </c>
    </row>
    <row r="5177" ht="15.75" customHeight="1" spans="1:2">
      <c r="A5177" s="3" t="str">
        <f>IFERROR(__xludf.DUMMYFUNCTION("GOOGLETRANSLATE(A5177,""en"",""pt"")"),"Eu queria desesperadamente love'The Código Da Vinci como um filme.")</f>
        <v>Eu queria desesperadamente love'The Código Da Vinci como um filme.</v>
      </c>
      <c r="B5177" s="3">
        <v>1</v>
      </c>
    </row>
    <row r="5178" ht="15.75" customHeight="1" spans="1:2">
      <c r="A5178" s="3" t="str">
        <f>IFERROR(__xludf.DUMMYFUNCTION("GOOGLETRANSLATE(A5178,""en"",""pt"")"),"O Código Da Vinci foi incrível, eu não posso esperar para lê-lo ...")</f>
        <v>O Código Da Vinci foi incrível, eu não posso esperar para lê-lo ...</v>
      </c>
      <c r="B5178" s="3">
        <v>1</v>
      </c>
    </row>
    <row r="5179" ht="15.75" customHeight="1" spans="1:2">
      <c r="A5179" s="3" t="str">
        <f>IFERROR(__xludf.DUMMYFUNCTION("GOOGLETRANSLATE(A5179,""en"",""pt"")"),"O Código Da Vinci foi absolutamente incrível!")</f>
        <v>O Código Da Vinci foi absolutamente incrível!</v>
      </c>
      <c r="B5179" s="3">
        <v>1</v>
      </c>
    </row>
    <row r="5180" ht="15.75" customHeight="1" spans="1:2">
      <c r="A5180" s="3" t="str">
        <f>IFERROR(__xludf.DUMMYFUNCTION("GOOGLETRANSLATE(A5180,""en"",""pt"")"),"Código Da Vinci era um filme impressionante ...")</f>
        <v>Código Da Vinci era um filme impressionante ...</v>
      </c>
      <c r="B5180" s="3">
        <v>1</v>
      </c>
    </row>
    <row r="5181" ht="15.75" customHeight="1" spans="1:2">
      <c r="A5181" s="3" t="str">
        <f>IFERROR(__xludf.DUMMYFUNCTION("GOOGLETRANSLATE(A5181,""en"",""pt"")"),"CÓDIGO DA VINCI É IMPRESSIONANTE !!")</f>
        <v>CÓDIGO DA VINCI É IMPRESSIONANTE !!</v>
      </c>
      <c r="B5181" s="3">
        <v>1</v>
      </c>
    </row>
    <row r="5182" ht="15.75" customHeight="1" spans="1:2">
      <c r="A5182" s="3" t="str">
        <f>IFERROR(__xludf.DUMMYFUNCTION("GOOGLETRANSLATE(A5182,""en"",""pt"")"),"Eu amo O Código Da Vinci ...")</f>
        <v>Eu amo O Código Da Vinci ...</v>
      </c>
      <c r="B5182" s="3">
        <v>1</v>
      </c>
    </row>
    <row r="5183" ht="15.75" customHeight="1" spans="1:2">
      <c r="A5183" s="3" t="str">
        <f>IFERROR(__xludf.DUMMYFUNCTION("GOOGLETRANSLATE(A5183,""en"",""pt"")"),"O Código Da Vinci é incrível ..")</f>
        <v>O Código Da Vinci é incrível ..</v>
      </c>
      <c r="B5183" s="3">
        <v>1</v>
      </c>
    </row>
    <row r="5184" ht="15.75" customHeight="1" spans="1:2">
      <c r="A5184" s="3" t="str">
        <f>IFERROR(__xludf.DUMMYFUNCTION("GOOGLETRANSLATE(A5184,""en"",""pt"")"),"O Código Da Vinci é espectacular !!")</f>
        <v>O Código Da Vinci é espectacular !!</v>
      </c>
      <c r="B5184" s="3">
        <v>1</v>
      </c>
    </row>
    <row r="5185" ht="15.75" customHeight="1" spans="1:2">
      <c r="A5185" s="3" t="str">
        <f>IFERROR(__xludf.DUMMYFUNCTION("GOOGLETRANSLATE(A5185,""en"",""pt"")"),"Luv lubb o Código Da Vinci!")</f>
        <v>Luv lubb o Código Da Vinci!</v>
      </c>
      <c r="B5185" s="3">
        <v>1</v>
      </c>
    </row>
    <row r="5186" ht="15.75" customHeight="1" spans="1:2">
      <c r="A5186" s="3" t="str">
        <f>IFERROR(__xludf.DUMMYFUNCTION("GOOGLETRANSLATE(A5186,""en"",""pt"")"),"as pessoas que valem a pena saber o quanto eu amo o código da vinci.")</f>
        <v>as pessoas que valem a pena saber o quanto eu amo o código da vinci.</v>
      </c>
      <c r="B5186" s="3">
        <v>1</v>
      </c>
    </row>
    <row r="5187" ht="15.75" customHeight="1" spans="1:2">
      <c r="A5187" s="3" t="str">
        <f>IFERROR(__xludf.DUMMYFUNCTION("GOOGLETRANSLATE(A5187,""en"",""pt"")"),"Eu queria desesperadamente love'The Código Da Vinci como um filme.")</f>
        <v>Eu queria desesperadamente love'The Código Da Vinci como um filme.</v>
      </c>
      <c r="B5187" s="3">
        <v>1</v>
      </c>
    </row>
    <row r="5188" ht="15.75" customHeight="1" spans="1:2">
      <c r="A5188" s="3" t="str">
        <f>IFERROR(__xludf.DUMMYFUNCTION("GOOGLETRANSLATE(A5188,""en"",""pt"")"),"O Código Da Vinci foi incrível, eu não posso esperar para lê-lo ...")</f>
        <v>O Código Da Vinci foi incrível, eu não posso esperar para lê-lo ...</v>
      </c>
      <c r="B5188" s="3">
        <v>1</v>
      </c>
    </row>
    <row r="5189" ht="15.75" customHeight="1" spans="1:2">
      <c r="A5189" s="3" t="str">
        <f>IFERROR(__xludf.DUMMYFUNCTION("GOOGLETRANSLATE(A5189,""en"",""pt"")"),"O Código Da Vinci foi absolutamente incrível!")</f>
        <v>O Código Da Vinci foi absolutamente incrível!</v>
      </c>
      <c r="B5189" s="3">
        <v>1</v>
      </c>
    </row>
    <row r="5190" ht="15.75" customHeight="1" spans="1:2">
      <c r="A5190" s="3" t="str">
        <f>IFERROR(__xludf.DUMMYFUNCTION("GOOGLETRANSLATE(A5190,""en"",""pt"")"),"Código Da Vinci era um filme impressionante ...")</f>
        <v>Código Da Vinci era um filme impressionante ...</v>
      </c>
      <c r="B5190" s="3">
        <v>1</v>
      </c>
    </row>
    <row r="5191" ht="15.75" customHeight="1" spans="1:2">
      <c r="A5191" s="3" t="str">
        <f>IFERROR(__xludf.DUMMYFUNCTION("GOOGLETRANSLATE(A5191,""en"",""pt"")"),"CÓDIGO DA VINCI É IMPRESSIONANTE !!")</f>
        <v>CÓDIGO DA VINCI É IMPRESSIONANTE !!</v>
      </c>
      <c r="B5191" s="3">
        <v>1</v>
      </c>
    </row>
    <row r="5192" ht="15.75" customHeight="1" spans="1:2">
      <c r="A5192" s="3" t="str">
        <f>IFERROR(__xludf.DUMMYFUNCTION("GOOGLETRANSLATE(A5192,""en"",""pt"")"),"Eu amo O Código Da Vinci ...")</f>
        <v>Eu amo O Código Da Vinci ...</v>
      </c>
      <c r="B5192" s="3">
        <v>1</v>
      </c>
    </row>
    <row r="5193" ht="15.75" customHeight="1" spans="1:2">
      <c r="A5193" s="3" t="str">
        <f>IFERROR(__xludf.DUMMYFUNCTION("GOOGLETRANSLATE(A5193,""en"",""pt"")"),"O Código Da Vinci é incrível ..")</f>
        <v>O Código Da Vinci é incrível ..</v>
      </c>
      <c r="B5193" s="3">
        <v>1</v>
      </c>
    </row>
    <row r="5194" ht="15.75" customHeight="1" spans="1:2">
      <c r="A5194" s="3" t="str">
        <f>IFERROR(__xludf.DUMMYFUNCTION("GOOGLETRANSLATE(A5194,""en"",""pt"")"),"O Código Da Vinci é espectacular !!")</f>
        <v>O Código Da Vinci é espectacular !!</v>
      </c>
      <c r="B5194" s="3">
        <v>1</v>
      </c>
    </row>
    <row r="5195" ht="15.75" customHeight="1" spans="1:2">
      <c r="A5195" s="3" t="str">
        <f>IFERROR(__xludf.DUMMYFUNCTION("GOOGLETRANSLATE(A5195,""en"",""pt"")"),"Luv lubb o Código Da Vinci!")</f>
        <v>Luv lubb o Código Da Vinci!</v>
      </c>
      <c r="B5195" s="3">
        <v>1</v>
      </c>
    </row>
    <row r="5196" ht="15.75" customHeight="1" spans="1:2">
      <c r="A5196" s="3" t="str">
        <f>IFERROR(__xludf.DUMMYFUNCTION("GOOGLETRANSLATE(A5196,""en"",""pt"")"),"as pessoas que valem a pena saber o quanto eu amo o código da vinci.")</f>
        <v>as pessoas que valem a pena saber o quanto eu amo o código da vinci.</v>
      </c>
      <c r="B5196" s="3">
        <v>1</v>
      </c>
    </row>
    <row r="5197" ht="15.75" customHeight="1" spans="1:2">
      <c r="A5197" s="3" t="str">
        <f>IFERROR(__xludf.DUMMYFUNCTION("GOOGLETRANSLATE(A5197,""en"",""pt"")"),"Eu queria desesperadamente love'The Código Da Vinci como um filme.")</f>
        <v>Eu queria desesperadamente love'The Código Da Vinci como um filme.</v>
      </c>
      <c r="B5197" s="3">
        <v>1</v>
      </c>
    </row>
    <row r="5198" ht="15.75" customHeight="1" spans="1:2">
      <c r="A5198" s="3" t="str">
        <f>IFERROR(__xludf.DUMMYFUNCTION("GOOGLETRANSLATE(A5198,""en"",""pt"")"),"O Código Da Vinci foi incrível, eu não posso esperar para lê-lo ...")</f>
        <v>O Código Da Vinci foi incrível, eu não posso esperar para lê-lo ...</v>
      </c>
      <c r="B5198" s="3">
        <v>1</v>
      </c>
    </row>
    <row r="5199" ht="15.75" customHeight="1" spans="1:2">
      <c r="A5199" s="3" t="str">
        <f>IFERROR(__xludf.DUMMYFUNCTION("GOOGLETRANSLATE(A5199,""en"",""pt"")"),"O Código Da Vinci foi absolutamente incrível!")</f>
        <v>O Código Da Vinci foi absolutamente incrível!</v>
      </c>
      <c r="B5199" s="3">
        <v>1</v>
      </c>
    </row>
    <row r="5200" ht="15.75" customHeight="1" spans="1:2">
      <c r="A5200" s="3" t="str">
        <f>IFERROR(__xludf.DUMMYFUNCTION("GOOGLETRANSLATE(A5200,""en"",""pt"")"),"Código Da Vinci era um filme impressionante ...")</f>
        <v>Código Da Vinci era um filme impressionante ...</v>
      </c>
      <c r="B5200" s="3">
        <v>1</v>
      </c>
    </row>
    <row r="5201" ht="15.75" customHeight="1" spans="1:2">
      <c r="A5201" s="3" t="str">
        <f>IFERROR(__xludf.DUMMYFUNCTION("GOOGLETRANSLATE(A5201,""en"",""pt"")"),"CÓDIGO DA VINCI É IMPRESSIONANTE !!")</f>
        <v>CÓDIGO DA VINCI É IMPRESSIONANTE !!</v>
      </c>
      <c r="B5201" s="3">
        <v>1</v>
      </c>
    </row>
    <row r="5202" ht="15.75" customHeight="1" spans="1:2">
      <c r="A5202" s="3" t="str">
        <f>IFERROR(__xludf.DUMMYFUNCTION("GOOGLETRANSLATE(A5202,""en"",""pt"")"),"Eu amo O Código Da Vinci ...")</f>
        <v>Eu amo O Código Da Vinci ...</v>
      </c>
      <c r="B5202" s="3">
        <v>1</v>
      </c>
    </row>
    <row r="5203" ht="15.75" customHeight="1" spans="1:2">
      <c r="A5203" s="3" t="str">
        <f>IFERROR(__xludf.DUMMYFUNCTION("GOOGLETRANSLATE(A5203,""en"",""pt"")"),"O Código Da Vinci é incrível ..")</f>
        <v>O Código Da Vinci é incrível ..</v>
      </c>
      <c r="B5203" s="3">
        <v>1</v>
      </c>
    </row>
    <row r="5204" ht="15.75" customHeight="1" spans="1:2">
      <c r="A5204" s="3" t="str">
        <f>IFERROR(__xludf.DUMMYFUNCTION("GOOGLETRANSLATE(A5204,""en"",""pt"")"),"O Código Da Vinci é espectacular !!")</f>
        <v>O Código Da Vinci é espectacular !!</v>
      </c>
      <c r="B5204" s="3">
        <v>1</v>
      </c>
    </row>
    <row r="5205" ht="15.75" customHeight="1" spans="1:2">
      <c r="A5205" s="3" t="str">
        <f>IFERROR(__xludf.DUMMYFUNCTION("GOOGLETRANSLATE(A5205,""en"",""pt"")"),"Luv lubb o Código Da Vinci!")</f>
        <v>Luv lubb o Código Da Vinci!</v>
      </c>
      <c r="B5205" s="3">
        <v>1</v>
      </c>
    </row>
    <row r="5206" ht="15.75" customHeight="1" spans="1:2">
      <c r="A5206" s="3" t="str">
        <f>IFERROR(__xludf.DUMMYFUNCTION("GOOGLETRANSLATE(A5206,""en"",""pt"")"),"as pessoas que valem a pena saber o quanto eu amo o código da vinci.")</f>
        <v>as pessoas que valem a pena saber o quanto eu amo o código da vinci.</v>
      </c>
      <c r="B5206" s="3">
        <v>1</v>
      </c>
    </row>
    <row r="5207" ht="15.75" customHeight="1" spans="1:2">
      <c r="A5207" s="3" t="str">
        <f>IFERROR(__xludf.DUMMYFUNCTION("GOOGLETRANSLATE(A5207,""en"",""pt"")"),"Eu queria desesperadamente love'The Código Da Vinci como um filme.")</f>
        <v>Eu queria desesperadamente love'The Código Da Vinci como um filme.</v>
      </c>
      <c r="B5207" s="3">
        <v>1</v>
      </c>
    </row>
    <row r="5208" ht="15.75" customHeight="1" spans="1:2">
      <c r="A5208" s="3" t="str">
        <f>IFERROR(__xludf.DUMMYFUNCTION("GOOGLETRANSLATE(A5208,""en"",""pt"")"),"O Código Da Vinci foi incrível, eu não posso esperar para lê-lo ...")</f>
        <v>O Código Da Vinci foi incrível, eu não posso esperar para lê-lo ...</v>
      </c>
      <c r="B5208" s="3">
        <v>1</v>
      </c>
    </row>
    <row r="5209" ht="15.75" customHeight="1" spans="1:2">
      <c r="A5209" s="3" t="str">
        <f>IFERROR(__xludf.DUMMYFUNCTION("GOOGLETRANSLATE(A5209,""en"",""pt"")"),"O Código Da Vinci foi absolutamente incrível!")</f>
        <v>O Código Da Vinci foi absolutamente incrível!</v>
      </c>
      <c r="B5209" s="3">
        <v>1</v>
      </c>
    </row>
    <row r="5210" ht="15.75" customHeight="1" spans="1:2">
      <c r="A5210" s="3" t="str">
        <f>IFERROR(__xludf.DUMMYFUNCTION("GOOGLETRANSLATE(A5210,""en"",""pt"")"),"Código Da Vinci era um filme impressionante ...")</f>
        <v>Código Da Vinci era um filme impressionante ...</v>
      </c>
      <c r="B5210" s="3">
        <v>1</v>
      </c>
    </row>
    <row r="5211" ht="15.75" customHeight="1" spans="1:2">
      <c r="A5211" s="3" t="str">
        <f>IFERROR(__xludf.DUMMYFUNCTION("GOOGLETRANSLATE(A5211,""en"",""pt"")"),"CÓDIGO DA VINCI É IMPRESSIONANTE !!")</f>
        <v>CÓDIGO DA VINCI É IMPRESSIONANTE !!</v>
      </c>
      <c r="B5211" s="3">
        <v>1</v>
      </c>
    </row>
    <row r="5212" ht="15.75" customHeight="1" spans="1:2">
      <c r="A5212" s="3" t="s">
        <v>17</v>
      </c>
      <c r="B5212" s="3">
        <v>1</v>
      </c>
    </row>
    <row r="5213" ht="15.75" customHeight="1" spans="1:2">
      <c r="A5213" s="3" t="str">
        <f>IFERROR(__xludf.DUMMYFUNCTION("GOOGLETRANSLATE(A5213,""en"",""pt"")"),"O Código Da Vinci é incrível ..")</f>
        <v>O Código Da Vinci é incrível ..</v>
      </c>
      <c r="B5213" s="3">
        <v>1</v>
      </c>
    </row>
    <row r="5214" ht="15.75" customHeight="1" spans="1:2">
      <c r="A5214" s="3" t="str">
        <f>IFERROR(__xludf.DUMMYFUNCTION("GOOGLETRANSLATE(A5214,""en"",""pt"")"),"O Código Da Vinci é espectacular !!")</f>
        <v>O Código Da Vinci é espectacular !!</v>
      </c>
      <c r="B5214" s="3">
        <v>1</v>
      </c>
    </row>
    <row r="5215" ht="15.75" customHeight="1" spans="1:2">
      <c r="A5215" s="3" t="str">
        <f>IFERROR(__xludf.DUMMYFUNCTION("GOOGLETRANSLATE(A5215,""en"",""pt"")"),"Luv lubb o Código Da Vinci!")</f>
        <v>Luv lubb o Código Da Vinci!</v>
      </c>
      <c r="B5215" s="3">
        <v>1</v>
      </c>
    </row>
    <row r="5216" ht="15.75" customHeight="1" spans="1:2">
      <c r="A5216" s="3" t="str">
        <f>IFERROR(__xludf.DUMMYFUNCTION("GOOGLETRANSLATE(A5216,""en"",""pt"")"),"as pessoas que valem a pena saber o quanto eu amo o código da vinci.")</f>
        <v>as pessoas que valem a pena saber o quanto eu amo o código da vinci.</v>
      </c>
      <c r="B5216" s="3">
        <v>1</v>
      </c>
    </row>
    <row r="5217" ht="15.75" customHeight="1" spans="1:2">
      <c r="A5217" s="3" t="str">
        <f>IFERROR(__xludf.DUMMYFUNCTION("GOOGLETRANSLATE(A5217,""en"",""pt"")"),"Eu queria desesperadamente love'The Código Da Vinci como um filme.")</f>
        <v>Eu queria desesperadamente love'The Código Da Vinci como um filme.</v>
      </c>
      <c r="B5217" s="3">
        <v>1</v>
      </c>
    </row>
    <row r="5218" ht="15.75" customHeight="1" spans="1:2">
      <c r="A5218" s="3" t="str">
        <f>IFERROR(__xludf.DUMMYFUNCTION("GOOGLETRANSLATE(A5218,""en"",""pt"")"),"O Código Da Vinci foi incrível, eu não posso esperar para lê-lo ...")</f>
        <v>O Código Da Vinci foi incrível, eu não posso esperar para lê-lo ...</v>
      </c>
      <c r="B5218" s="3">
        <v>1</v>
      </c>
    </row>
    <row r="5219" ht="15.75" customHeight="1" spans="1:2">
      <c r="A5219" s="3" t="str">
        <f>IFERROR(__xludf.DUMMYFUNCTION("GOOGLETRANSLATE(A5219,""en"",""pt"")"),"O Código Da Vinci foi absolutamente incrível!")</f>
        <v>O Código Da Vinci foi absolutamente incrível!</v>
      </c>
      <c r="B5219" s="3">
        <v>1</v>
      </c>
    </row>
    <row r="5220" ht="15.75" customHeight="1" spans="1:2">
      <c r="A5220" s="3" t="str">
        <f>IFERROR(__xludf.DUMMYFUNCTION("GOOGLETRANSLATE(A5220,""en"",""pt"")"),"Código Da Vinci era um filme impressionante ...")</f>
        <v>Código Da Vinci era um filme impressionante ...</v>
      </c>
      <c r="B5220" s="3">
        <v>1</v>
      </c>
    </row>
    <row r="5221" ht="15.75" customHeight="1" spans="1:2">
      <c r="A5221" s="3" t="str">
        <f>IFERROR(__xludf.DUMMYFUNCTION("GOOGLETRANSLATE(A5221,""en"",""pt"")"),"CÓDIGO DA VINCI É IMPRESSIONANTE !!")</f>
        <v>CÓDIGO DA VINCI É IMPRESSIONANTE !!</v>
      </c>
      <c r="B5221" s="3">
        <v>1</v>
      </c>
    </row>
    <row r="5222" ht="15.75" customHeight="1" spans="1:2">
      <c r="A5222" s="3" t="str">
        <f>IFERROR(__xludf.DUMMYFUNCTION("GOOGLETRANSLATE(A5222,""en"",""pt"")"),"Eu amo O Código Da Vinci ...")</f>
        <v>Eu amo O Código Da Vinci ...</v>
      </c>
      <c r="B5222" s="3">
        <v>1</v>
      </c>
    </row>
    <row r="5223" ht="15.75" customHeight="1" spans="1:2">
      <c r="A5223" s="3" t="str">
        <f>IFERROR(__xludf.DUMMYFUNCTION("GOOGLETRANSLATE(A5223,""en"",""pt"")"),"O Código Da Vinci é incrível ..")</f>
        <v>O Código Da Vinci é incrível ..</v>
      </c>
      <c r="B5223" s="3">
        <v>1</v>
      </c>
    </row>
    <row r="5224" ht="15.75" customHeight="1" spans="1:2">
      <c r="A5224" s="3" t="str">
        <f>IFERROR(__xludf.DUMMYFUNCTION("GOOGLETRANSLATE(A5224,""en"",""pt"")"),"O Código Da Vinci é espectacular !!")</f>
        <v>O Código Da Vinci é espectacular !!</v>
      </c>
      <c r="B5224" s="3">
        <v>1</v>
      </c>
    </row>
    <row r="5225" ht="15.75" customHeight="1" spans="1:2">
      <c r="A5225" s="3" t="str">
        <f>IFERROR(__xludf.DUMMYFUNCTION("GOOGLETRANSLATE(A5225,""en"",""pt"")"),"Luv lubb o Código Da Vinci!")</f>
        <v>Luv lubb o Código Da Vinci!</v>
      </c>
      <c r="B5225" s="3">
        <v>1</v>
      </c>
    </row>
    <row r="5226" ht="15.75" customHeight="1" spans="1:2">
      <c r="A5226" s="3" t="str">
        <f>IFERROR(__xludf.DUMMYFUNCTION("GOOGLETRANSLATE(A5226,""en"",""pt"")"),"as pessoas que valem a pena saber o quanto eu amo o código da vinci.")</f>
        <v>as pessoas que valem a pena saber o quanto eu amo o código da vinci.</v>
      </c>
      <c r="B5226" s="3">
        <v>1</v>
      </c>
    </row>
    <row r="5227" ht="15.75" customHeight="1" spans="1:2">
      <c r="A5227" s="3" t="str">
        <f>IFERROR(__xludf.DUMMYFUNCTION("GOOGLETRANSLATE(A5227,""en"",""pt"")"),"Eu queria desesperadamente love'The Código Da Vinci como um filme.")</f>
        <v>Eu queria desesperadamente love'The Código Da Vinci como um filme.</v>
      </c>
      <c r="B5227" s="3">
        <v>1</v>
      </c>
    </row>
    <row r="5228" ht="15.75" customHeight="1" spans="1:2">
      <c r="A5228" s="3" t="str">
        <f>IFERROR(__xludf.DUMMYFUNCTION("GOOGLETRANSLATE(A5228,""en"",""pt"")"),"O Código Da Vinci foi incrível, eu não posso esperar para lê-lo ...")</f>
        <v>O Código Da Vinci foi incrível, eu não posso esperar para lê-lo ...</v>
      </c>
      <c r="B5228" s="3">
        <v>1</v>
      </c>
    </row>
    <row r="5229" ht="15.75" customHeight="1" spans="1:2">
      <c r="A5229" s="3" t="str">
        <f>IFERROR(__xludf.DUMMYFUNCTION("GOOGLETRANSLATE(A5229,""en"",""pt"")"),"O Código Da Vinci foi absolutamente incrível!")</f>
        <v>O Código Da Vinci foi absolutamente incrível!</v>
      </c>
      <c r="B5229" s="3">
        <v>1</v>
      </c>
    </row>
    <row r="5230" ht="15.75" customHeight="1" spans="1:2">
      <c r="A5230" s="3" t="str">
        <f>IFERROR(__xludf.DUMMYFUNCTION("GOOGLETRANSLATE(A5230,""en"",""pt"")"),"Código Da Vinci era um filme impressionante ...")</f>
        <v>Código Da Vinci era um filme impressionante ...</v>
      </c>
      <c r="B5230" s="3">
        <v>1</v>
      </c>
    </row>
    <row r="5231" ht="15.75" customHeight="1" spans="1:2">
      <c r="A5231" s="3" t="str">
        <f>IFERROR(__xludf.DUMMYFUNCTION("GOOGLETRANSLATE(A5231,""en"",""pt"")"),"CÓDIGO DA VINCI É IMPRESSIONANTE !!")</f>
        <v>CÓDIGO DA VINCI É IMPRESSIONANTE !!</v>
      </c>
      <c r="B5231" s="3">
        <v>1</v>
      </c>
    </row>
    <row r="5232" ht="15.75" customHeight="1" spans="1:2">
      <c r="A5232" s="3" t="str">
        <f>IFERROR(__xludf.DUMMYFUNCTION("GOOGLETRANSLATE(A5232,""en"",""pt"")"),"Eu amo O Código Da Vinci ...")</f>
        <v>Eu amo O Código Da Vinci ...</v>
      </c>
      <c r="B5232" s="3">
        <v>1</v>
      </c>
    </row>
    <row r="5233" ht="15.75" customHeight="1" spans="1:2">
      <c r="A5233" s="3" t="str">
        <f>IFERROR(__xludf.DUMMYFUNCTION("GOOGLETRANSLATE(A5233,""en"",""pt"")"),"O Código Da Vinci é incrível ..")</f>
        <v>O Código Da Vinci é incrível ..</v>
      </c>
      <c r="B5233" s="3">
        <v>1</v>
      </c>
    </row>
    <row r="5234" ht="15.75" customHeight="1" spans="1:2">
      <c r="A5234" s="3" t="str">
        <f>IFERROR(__xludf.DUMMYFUNCTION("GOOGLETRANSLATE(A5234,""en"",""pt"")"),"O Código Da Vinci é espectacular !!")</f>
        <v>O Código Da Vinci é espectacular !!</v>
      </c>
      <c r="B5234" s="3">
        <v>1</v>
      </c>
    </row>
    <row r="5235" ht="15.75" customHeight="1" spans="1:2">
      <c r="A5235" s="3" t="s">
        <v>18</v>
      </c>
      <c r="B5235" s="3">
        <v>1</v>
      </c>
    </row>
    <row r="5236" ht="15.75" customHeight="1" spans="1:2">
      <c r="A5236" s="3" t="str">
        <f>IFERROR(__xludf.DUMMYFUNCTION("GOOGLETRANSLATE(A5236,""en"",""pt"")"),"as pessoas que valem a pena saber o quanto eu amo o código da vinci.")</f>
        <v>as pessoas que valem a pena saber o quanto eu amo o código da vinci.</v>
      </c>
      <c r="B5236" s="3">
        <v>1</v>
      </c>
    </row>
    <row r="5237" ht="15.75" customHeight="1" spans="1:2">
      <c r="A5237" s="3" t="str">
        <f>IFERROR(__xludf.DUMMYFUNCTION("GOOGLETRANSLATE(A5237,""en"",""pt"")"),"Eu queria desesperadamente love'The Código Da Vinci como um filme.")</f>
        <v>Eu queria desesperadamente love'The Código Da Vinci como um filme.</v>
      </c>
      <c r="B5237" s="3">
        <v>1</v>
      </c>
    </row>
    <row r="5238" ht="15.75" customHeight="1" spans="1:2">
      <c r="A5238" s="3" t="str">
        <f>IFERROR(__xludf.DUMMYFUNCTION("GOOGLETRANSLATE(A5238,""en"",""pt"")"),"O Código Da Vinci foi incrível, eu não posso esperar para lê-lo ...")</f>
        <v>O Código Da Vinci foi incrível, eu não posso esperar para lê-lo ...</v>
      </c>
      <c r="B5238" s="3">
        <v>1</v>
      </c>
    </row>
    <row r="5239" ht="15.75" customHeight="1" spans="1:2">
      <c r="A5239" s="3" t="str">
        <f>IFERROR(__xludf.DUMMYFUNCTION("GOOGLETRANSLATE(A5239,""en"",""pt"")"),"O Código Da Vinci foi absolutamente incrível!")</f>
        <v>O Código Da Vinci foi absolutamente incrível!</v>
      </c>
      <c r="B5239" s="3">
        <v>1</v>
      </c>
    </row>
    <row r="5240" ht="15.75" customHeight="1" spans="1:2">
      <c r="A5240" s="3" t="str">
        <f>IFERROR(__xludf.DUMMYFUNCTION("GOOGLETRANSLATE(A5240,""en"",""pt"")"),"Código Da Vinci era um filme impressionante ...")</f>
        <v>Código Da Vinci era um filme impressionante ...</v>
      </c>
      <c r="B5240" s="3">
        <v>1</v>
      </c>
    </row>
    <row r="5241" ht="15.75" customHeight="1" spans="1:2">
      <c r="A5241" s="3" t="str">
        <f>IFERROR(__xludf.DUMMYFUNCTION("GOOGLETRANSLATE(A5241,""en"",""pt"")"),"CÓDIGO DA VINCI É IMPRESSIONANTE !!")</f>
        <v>CÓDIGO DA VINCI É IMPRESSIONANTE !!</v>
      </c>
      <c r="B5241" s="3">
        <v>1</v>
      </c>
    </row>
    <row r="5242" ht="15.75" customHeight="1" spans="1:2">
      <c r="A5242" s="3" t="str">
        <f>IFERROR(__xludf.DUMMYFUNCTION("GOOGLETRANSLATE(A5242,""en"",""pt"")"),"Eu amo O Código Da Vinci ...")</f>
        <v>Eu amo O Código Da Vinci ...</v>
      </c>
      <c r="B5242" s="3">
        <v>1</v>
      </c>
    </row>
    <row r="5243" ht="15.75" customHeight="1" spans="1:2">
      <c r="A5243" s="3" t="str">
        <f>IFERROR(__xludf.DUMMYFUNCTION("GOOGLETRANSLATE(A5243,""en"",""pt"")"),"O Código Da Vinci é incrível ..")</f>
        <v>O Código Da Vinci é incrível ..</v>
      </c>
      <c r="B5243" s="3">
        <v>1</v>
      </c>
    </row>
    <row r="5244" ht="15.75" customHeight="1" spans="1:2">
      <c r="A5244" s="3" t="str">
        <f>IFERROR(__xludf.DUMMYFUNCTION("GOOGLETRANSLATE(A5244,""en"",""pt"")"),"O Código Da Vinci é espectacular !!")</f>
        <v>O Código Da Vinci é espectacular !!</v>
      </c>
      <c r="B5244" s="3">
        <v>1</v>
      </c>
    </row>
    <row r="5245" ht="15.75" customHeight="1" spans="1:2">
      <c r="A5245" s="3" t="str">
        <f>IFERROR(__xludf.DUMMYFUNCTION("GOOGLETRANSLATE(A5245,""en"",""pt"")"),"Luv lubb o Código Da Vinci!")</f>
        <v>Luv lubb o Código Da Vinci!</v>
      </c>
      <c r="B5245" s="3">
        <v>1</v>
      </c>
    </row>
    <row r="5246" ht="15.75" customHeight="1" spans="1:2">
      <c r="A5246" s="3" t="str">
        <f>IFERROR(__xludf.DUMMYFUNCTION("GOOGLETRANSLATE(A5246,""en"",""pt"")"),"as pessoas que valem a pena saber o quanto eu amo o código da vinci.")</f>
        <v>as pessoas que valem a pena saber o quanto eu amo o código da vinci.</v>
      </c>
      <c r="B5246" s="3">
        <v>1</v>
      </c>
    </row>
    <row r="5247" ht="15.75" customHeight="1" spans="1:2">
      <c r="A5247" s="3" t="str">
        <f>IFERROR(__xludf.DUMMYFUNCTION("GOOGLETRANSLATE(A5247,""en"",""pt"")"),"Eu queria desesperadamente love'The Código Da Vinci como um filme.")</f>
        <v>Eu queria desesperadamente love'The Código Da Vinci como um filme.</v>
      </c>
      <c r="B5247" s="3">
        <v>1</v>
      </c>
    </row>
    <row r="5248" ht="15.75" customHeight="1" spans="1:2">
      <c r="A5248" s="3" t="str">
        <f>IFERROR(__xludf.DUMMYFUNCTION("GOOGLETRANSLATE(A5248,""en"",""pt"")"),"O Código Da Vinci foi incrível, eu não posso esperar para lê-lo ...")</f>
        <v>O Código Da Vinci foi incrível, eu não posso esperar para lê-lo ...</v>
      </c>
      <c r="B5248" s="3">
        <v>1</v>
      </c>
    </row>
    <row r="5249" ht="15.75" customHeight="1" spans="1:2">
      <c r="A5249" s="3" t="str">
        <f>IFERROR(__xludf.DUMMYFUNCTION("GOOGLETRANSLATE(A5249,""en"",""pt"")"),"O Código Da Vinci foi absolutamente incrível!")</f>
        <v>O Código Da Vinci foi absolutamente incrível!</v>
      </c>
      <c r="B5249" s="3">
        <v>1</v>
      </c>
    </row>
    <row r="5250" ht="15.75" customHeight="1" spans="1:2">
      <c r="A5250" s="3" t="str">
        <f>IFERROR(__xludf.DUMMYFUNCTION("GOOGLETRANSLATE(A5250,""en"",""pt"")"),"Código Da Vinci era um filme impressionante ...")</f>
        <v>Código Da Vinci era um filme impressionante ...</v>
      </c>
      <c r="B5250" s="3">
        <v>1</v>
      </c>
    </row>
    <row r="5251" ht="15.75" customHeight="1" spans="1:2">
      <c r="A5251" s="3" t="str">
        <f>IFERROR(__xludf.DUMMYFUNCTION("GOOGLETRANSLATE(A5251,""en"",""pt"")"),"CÓDIGO DA VINCI É IMPRESSIONANTE !!")</f>
        <v>CÓDIGO DA VINCI É IMPRESSIONANTE !!</v>
      </c>
      <c r="B5251" s="3">
        <v>1</v>
      </c>
    </row>
    <row r="5252" ht="15.75" customHeight="1" spans="1:2">
      <c r="A5252" s="3" t="str">
        <f>IFERROR(__xludf.DUMMYFUNCTION("GOOGLETRANSLATE(A5252,""en"",""pt"")"),"Eu amo O Código Da Vinci ...")</f>
        <v>Eu amo O Código Da Vinci ...</v>
      </c>
      <c r="B5252" s="3">
        <v>1</v>
      </c>
    </row>
    <row r="5253" ht="15.75" customHeight="1" spans="1:2">
      <c r="A5253" s="3" t="str">
        <f>IFERROR(__xludf.DUMMYFUNCTION("GOOGLETRANSLATE(A5253,""en"",""pt"")"),"O Código Da Vinci é incrível ..")</f>
        <v>O Código Da Vinci é incrível ..</v>
      </c>
      <c r="B5253" s="3">
        <v>1</v>
      </c>
    </row>
    <row r="5254" ht="15.75" customHeight="1" spans="1:2">
      <c r="A5254" s="3" t="str">
        <f>IFERROR(__xludf.DUMMYFUNCTION("GOOGLETRANSLATE(A5254,""en"",""pt"")"),"O Código Da Vinci é espectacular !!")</f>
        <v>O Código Da Vinci é espectacular !!</v>
      </c>
      <c r="B5254" s="3">
        <v>1</v>
      </c>
    </row>
    <row r="5255" ht="15.75" customHeight="1" spans="1:2">
      <c r="A5255" s="3" t="str">
        <f>IFERROR(__xludf.DUMMYFUNCTION("GOOGLETRANSLATE(A5255,""en"",""pt"")"),"Luv lubb o Código Da Vinci!")</f>
        <v>Luv lubb o Código Da Vinci!</v>
      </c>
      <c r="B5255" s="3">
        <v>1</v>
      </c>
    </row>
    <row r="5256" ht="15.75" customHeight="1" spans="1:2">
      <c r="A5256" s="3" t="str">
        <f>IFERROR(__xludf.DUMMYFUNCTION("GOOGLETRANSLATE(A5256,""en"",""pt"")"),"as pessoas que valem a pena saber o quanto eu amo o código da vinci.")</f>
        <v>as pessoas que valem a pena saber o quanto eu amo o código da vinci.</v>
      </c>
      <c r="B5256" s="3">
        <v>1</v>
      </c>
    </row>
    <row r="5257" ht="15.75" customHeight="1" spans="1:2">
      <c r="A5257" s="3" t="str">
        <f>IFERROR(__xludf.DUMMYFUNCTION("GOOGLETRANSLATE(A5257,""en"",""pt"")"),"Eu queria desesperadamente love'The Código Da Vinci como um filme.")</f>
        <v>Eu queria desesperadamente love'The Código Da Vinci como um filme.</v>
      </c>
      <c r="B5257" s="3">
        <v>1</v>
      </c>
    </row>
    <row r="5258" ht="15.75" customHeight="1" spans="1:2">
      <c r="A5258" s="3" t="str">
        <f>IFERROR(__xludf.DUMMYFUNCTION("GOOGLETRANSLATE(A5258,""en"",""pt"")"),"O Código Da Vinci foi incrível, eu não posso esperar para lê-lo ...")</f>
        <v>O Código Da Vinci foi incrível, eu não posso esperar para lê-lo ...</v>
      </c>
      <c r="B5258" s="3">
        <v>1</v>
      </c>
    </row>
    <row r="5259" ht="15.75" customHeight="1" spans="1:2">
      <c r="A5259" s="3" t="str">
        <f>IFERROR(__xludf.DUMMYFUNCTION("GOOGLETRANSLATE(A5259,""en"",""pt"")"),"O Código Da Vinci foi absolutamente incrível!")</f>
        <v>O Código Da Vinci foi absolutamente incrível!</v>
      </c>
      <c r="B5259" s="3">
        <v>1</v>
      </c>
    </row>
    <row r="5260" ht="15.75" customHeight="1" spans="1:2">
      <c r="A5260" s="3" t="str">
        <f>IFERROR(__xludf.DUMMYFUNCTION("GOOGLETRANSLATE(A5260,""en"",""pt"")"),"Código Da Vinci era um filme impressionante ...")</f>
        <v>Código Da Vinci era um filme impressionante ...</v>
      </c>
      <c r="B5260" s="3">
        <v>1</v>
      </c>
    </row>
    <row r="5261" ht="15.75" customHeight="1" spans="1:2">
      <c r="A5261" s="3" t="str">
        <f>IFERROR(__xludf.DUMMYFUNCTION("GOOGLETRANSLATE(A5261,""en"",""pt"")"),"CÓDIGO DA VINCI É IMPRESSIONANTE !!")</f>
        <v>CÓDIGO DA VINCI É IMPRESSIONANTE !!</v>
      </c>
      <c r="B5261" s="3">
        <v>1</v>
      </c>
    </row>
    <row r="5262" ht="15.75" customHeight="1" spans="1:2">
      <c r="A5262" s="3" t="str">
        <f>IFERROR(__xludf.DUMMYFUNCTION("GOOGLETRANSLATE(A5262,""en"",""pt"")"),"Eu amo O Código Da Vinci ...")</f>
        <v>Eu amo O Código Da Vinci ...</v>
      </c>
      <c r="B5262" s="3">
        <v>1</v>
      </c>
    </row>
    <row r="5263" ht="15.75" customHeight="1" spans="1:2">
      <c r="A5263" s="3" t="str">
        <f>IFERROR(__xludf.DUMMYFUNCTION("GOOGLETRANSLATE(A5263,""en"",""pt"")"),"O Código Da Vinci é incrível ..")</f>
        <v>O Código Da Vinci é incrível ..</v>
      </c>
      <c r="B5263" s="3">
        <v>1</v>
      </c>
    </row>
    <row r="5264" ht="15.75" customHeight="1" spans="1:2">
      <c r="A5264" s="3" t="str">
        <f>IFERROR(__xludf.DUMMYFUNCTION("GOOGLETRANSLATE(A5264,""en"",""pt"")"),"O Código Da Vinci é espectacular !!")</f>
        <v>O Código Da Vinci é espectacular !!</v>
      </c>
      <c r="B5264" s="3">
        <v>1</v>
      </c>
    </row>
    <row r="5265" ht="15.75" customHeight="1" spans="1:2">
      <c r="A5265" s="3" t="str">
        <f>IFERROR(__xludf.DUMMYFUNCTION("GOOGLETRANSLATE(A5265,""en"",""pt"")"),"Luv lubb o Código Da Vinci!")</f>
        <v>Luv lubb o Código Da Vinci!</v>
      </c>
      <c r="B5265" s="3">
        <v>1</v>
      </c>
    </row>
    <row r="5266" ht="15.75" customHeight="1" spans="1:2">
      <c r="A5266" s="3" t="str">
        <f>IFERROR(__xludf.DUMMYFUNCTION("GOOGLETRANSLATE(A5266,""en"",""pt"")"),"as pessoas que valem a pena saber o quanto eu amo o código da vinci.")</f>
        <v>as pessoas que valem a pena saber o quanto eu amo o código da vinci.</v>
      </c>
      <c r="B5266" s="3">
        <v>1</v>
      </c>
    </row>
    <row r="5267" ht="15.75" customHeight="1" spans="1:2">
      <c r="A5267" s="3" t="str">
        <f>IFERROR(__xludf.DUMMYFUNCTION("GOOGLETRANSLATE(A5267,""en"",""pt"")"),"Eu queria desesperadamente love'The Código Da Vinci como um filme.")</f>
        <v>Eu queria desesperadamente love'The Código Da Vinci como um filme.</v>
      </c>
      <c r="B5267" s="3">
        <v>1</v>
      </c>
    </row>
    <row r="5268" ht="15.75" customHeight="1" spans="1:2">
      <c r="A5268" s="3" t="str">
        <f>IFERROR(__xludf.DUMMYFUNCTION("GOOGLETRANSLATE(A5268,""en"",""pt"")"),"O Código Da Vinci foi incrível, eu não posso esperar para lê-lo ...")</f>
        <v>O Código Da Vinci foi incrível, eu não posso esperar para lê-lo ...</v>
      </c>
      <c r="B5268" s="3">
        <v>1</v>
      </c>
    </row>
    <row r="5269" ht="15.75" customHeight="1" spans="1:2">
      <c r="A5269" s="3" t="str">
        <f>IFERROR(__xludf.DUMMYFUNCTION("GOOGLETRANSLATE(A5269,""en"",""pt"")"),"O Código Da Vinci foi absolutamente incrível!")</f>
        <v>O Código Da Vinci foi absolutamente incrível!</v>
      </c>
      <c r="B5269" s="3">
        <v>1</v>
      </c>
    </row>
    <row r="5270" ht="15.75" customHeight="1" spans="1:2">
      <c r="A5270" s="3" t="str">
        <f>IFERROR(__xludf.DUMMYFUNCTION("GOOGLETRANSLATE(A5270,""en"",""pt"")"),"Código Da Vinci era um filme impressionante ...")</f>
        <v>Código Da Vinci era um filme impressionante ...</v>
      </c>
      <c r="B5270" s="3">
        <v>1</v>
      </c>
    </row>
    <row r="5271" ht="15.75" customHeight="1" spans="1:2">
      <c r="A5271" s="3" t="str">
        <f>IFERROR(__xludf.DUMMYFUNCTION("GOOGLETRANSLATE(A5271,""en"",""pt"")"),"CÓDIGO DA VINCI É IMPRESSIONANTE !!")</f>
        <v>CÓDIGO DA VINCI É IMPRESSIONANTE !!</v>
      </c>
      <c r="B5271" s="3">
        <v>1</v>
      </c>
    </row>
    <row r="5272" ht="15.75" customHeight="1" spans="1:2">
      <c r="A5272" s="3" t="str">
        <f>IFERROR(__xludf.DUMMYFUNCTION("GOOGLETRANSLATE(A5272,""en"",""pt"")"),"Eu amo O Código Da Vinci ...")</f>
        <v>Eu amo O Código Da Vinci ...</v>
      </c>
      <c r="B5272" s="3">
        <v>1</v>
      </c>
    </row>
    <row r="5273" ht="15.75" customHeight="1" spans="1:2">
      <c r="A5273" s="3" t="str">
        <f>IFERROR(__xludf.DUMMYFUNCTION("GOOGLETRANSLATE(A5273,""en"",""pt"")"),"O Código Da Vinci é incrível ..")</f>
        <v>O Código Da Vinci é incrível ..</v>
      </c>
      <c r="B5273" s="3">
        <v>1</v>
      </c>
    </row>
    <row r="5274" ht="15.75" customHeight="1" spans="1:2">
      <c r="A5274" s="3" t="str">
        <f>IFERROR(__xludf.DUMMYFUNCTION("GOOGLETRANSLATE(A5274,""en"",""pt"")"),"O Código Da Vinci é espectacular !!")</f>
        <v>O Código Da Vinci é espectacular !!</v>
      </c>
      <c r="B5274" s="3">
        <v>1</v>
      </c>
    </row>
    <row r="5275" ht="15.75" customHeight="1" spans="1:2">
      <c r="A5275" s="3" t="str">
        <f>IFERROR(__xludf.DUMMYFUNCTION("GOOGLETRANSLATE(A5275,""en"",""pt"")"),"Luv lubb o Código Da Vinci!")</f>
        <v>Luv lubb o Código Da Vinci!</v>
      </c>
      <c r="B5275" s="3">
        <v>1</v>
      </c>
    </row>
    <row r="5276" ht="15.75" customHeight="1" spans="1:2">
      <c r="A5276" s="3" t="str">
        <f>IFERROR(__xludf.DUMMYFUNCTION("GOOGLETRANSLATE(A5276,""en"",""pt"")"),"as pessoas que valem a pena saber o quanto eu amo o código da vinci.")</f>
        <v>as pessoas que valem a pena saber o quanto eu amo o código da vinci.</v>
      </c>
      <c r="B5276" s="3">
        <v>1</v>
      </c>
    </row>
    <row r="5277" ht="15.75" customHeight="1" spans="1:2">
      <c r="A5277" s="3" t="str">
        <f>IFERROR(__xludf.DUMMYFUNCTION("GOOGLETRANSLATE(A5277,""en"",""pt"")"),"Eu queria desesperadamente love'The Código Da Vinci como um filme.")</f>
        <v>Eu queria desesperadamente love'The Código Da Vinci como um filme.</v>
      </c>
      <c r="B5277" s="3">
        <v>1</v>
      </c>
    </row>
    <row r="5278" ht="15.75" customHeight="1" spans="1:2">
      <c r="A5278" s="3" t="str">
        <f>IFERROR(__xludf.DUMMYFUNCTION("GOOGLETRANSLATE(A5278,""en"",""pt"")"),"O Código Da Vinci foi incrível, eu não posso esperar para lê-lo ...")</f>
        <v>O Código Da Vinci foi incrível, eu não posso esperar para lê-lo ...</v>
      </c>
      <c r="B5278" s="3">
        <v>1</v>
      </c>
    </row>
    <row r="5279" ht="15.75" customHeight="1" spans="1:2">
      <c r="A5279" s="3" t="str">
        <f>IFERROR(__xludf.DUMMYFUNCTION("GOOGLETRANSLATE(A5279,""en"",""pt"")"),"O Código Da Vinci foi absolutamente incrível!")</f>
        <v>O Código Da Vinci foi absolutamente incrível!</v>
      </c>
      <c r="B5279" s="3">
        <v>1</v>
      </c>
    </row>
    <row r="5280" ht="15.75" customHeight="1" spans="1:2">
      <c r="A5280" s="3" t="str">
        <f>IFERROR(__xludf.DUMMYFUNCTION("GOOGLETRANSLATE(A5280,""en"",""pt"")"),"Código Da Vinci era um filme impressionante ...")</f>
        <v>Código Da Vinci era um filme impressionante ...</v>
      </c>
      <c r="B5280" s="3">
        <v>1</v>
      </c>
    </row>
    <row r="5281" ht="15.75" customHeight="1" spans="1:2">
      <c r="A5281" s="3" t="str">
        <f>IFERROR(__xludf.DUMMYFUNCTION("GOOGLETRANSLATE(A5281,""en"",""pt"")"),"CÓDIGO DA VINCI É IMPRESSIONANTE !!")</f>
        <v>CÓDIGO DA VINCI É IMPRESSIONANTE !!</v>
      </c>
      <c r="B5281" s="3">
        <v>1</v>
      </c>
    </row>
    <row r="5282" ht="15.75" customHeight="1" spans="1:2">
      <c r="A5282" s="3" t="str">
        <f>IFERROR(__xludf.DUMMYFUNCTION("GOOGLETRANSLATE(A5282,""en"",""pt"")"),"Eu amo O Código Da Vinci ...")</f>
        <v>Eu amo O Código Da Vinci ...</v>
      </c>
      <c r="B5282" s="3">
        <v>1</v>
      </c>
    </row>
    <row r="5283" ht="15.75" customHeight="1" spans="1:2">
      <c r="A5283" s="3" t="str">
        <f>IFERROR(__xludf.DUMMYFUNCTION("GOOGLETRANSLATE(A5283,""en"",""pt"")"),"O Código Da Vinci é incrível ..")</f>
        <v>O Código Da Vinci é incrível ..</v>
      </c>
      <c r="B5283" s="3">
        <v>1</v>
      </c>
    </row>
    <row r="5284" ht="15.75" customHeight="1" spans="1:2">
      <c r="A5284" s="3" t="str">
        <f>IFERROR(__xludf.DUMMYFUNCTION("GOOGLETRANSLATE(A5284,""en"",""pt"")"),"O Código Da Vinci é espectacular !!")</f>
        <v>O Código Da Vinci é espectacular !!</v>
      </c>
      <c r="B5284" s="3">
        <v>1</v>
      </c>
    </row>
    <row r="5285" ht="15.75" customHeight="1" spans="1:2">
      <c r="A5285" s="3" t="str">
        <f>IFERROR(__xludf.DUMMYFUNCTION("GOOGLETRANSLATE(A5285,""en"",""pt"")"),"Luv lubb o Código Da Vinci!")</f>
        <v>Luv lubb o Código Da Vinci!</v>
      </c>
      <c r="B5285" s="3">
        <v>1</v>
      </c>
    </row>
    <row r="5286" ht="15.75" customHeight="1" spans="1:2">
      <c r="A5286" s="3" t="str">
        <f>IFERROR(__xludf.DUMMYFUNCTION("GOOGLETRANSLATE(A5286,""en"",""pt"")"),"as pessoas que valem a pena saber o quanto eu amo o código da vinci.")</f>
        <v>as pessoas que valem a pena saber o quanto eu amo o código da vinci.</v>
      </c>
      <c r="B5286" s="3">
        <v>1</v>
      </c>
    </row>
    <row r="5287" ht="15.75" customHeight="1" spans="1:2">
      <c r="A5287" s="3" t="str">
        <f>IFERROR(__xludf.DUMMYFUNCTION("GOOGLETRANSLATE(A5287,""en"",""pt"")"),"Eu queria desesperadamente love'The Código Da Vinci como um filme.")</f>
        <v>Eu queria desesperadamente love'The Código Da Vinci como um filme.</v>
      </c>
      <c r="B5287" s="3">
        <v>1</v>
      </c>
    </row>
    <row r="5288" ht="15.75" customHeight="1" spans="1:2">
      <c r="A5288" s="3" t="str">
        <f>IFERROR(__xludf.DUMMYFUNCTION("GOOGLETRANSLATE(A5288,""en"",""pt"")"),"O Código Da Vinci foi incrível, eu não posso esperar para lê-lo ...")</f>
        <v>O Código Da Vinci foi incrível, eu não posso esperar para lê-lo ...</v>
      </c>
      <c r="B5288" s="3">
        <v>1</v>
      </c>
    </row>
    <row r="5289" ht="15.75" customHeight="1" spans="1:2">
      <c r="A5289" s="3" t="str">
        <f>IFERROR(__xludf.DUMMYFUNCTION("GOOGLETRANSLATE(A5289,""en"",""pt"")"),"O Código Da Vinci foi absolutamente incrível!")</f>
        <v>O Código Da Vinci foi absolutamente incrível!</v>
      </c>
      <c r="B5289" s="3">
        <v>1</v>
      </c>
    </row>
    <row r="5290" ht="15.75" customHeight="1" spans="1:2">
      <c r="A5290" s="3" t="str">
        <f>IFERROR(__xludf.DUMMYFUNCTION("GOOGLETRANSLATE(A5290,""en"",""pt"")"),"Código Da Vinci era um filme impressionante ...")</f>
        <v>Código Da Vinci era um filme impressionante ...</v>
      </c>
      <c r="B5290" s="3">
        <v>1</v>
      </c>
    </row>
    <row r="5291" ht="15.75" customHeight="1" spans="1:2">
      <c r="A5291" s="3" t="str">
        <f>IFERROR(__xludf.DUMMYFUNCTION("GOOGLETRANSLATE(A5291,""en"",""pt"")"),"CÓDIGO DA VINCI É IMPRESSIONANTE !!")</f>
        <v>CÓDIGO DA VINCI É IMPRESSIONANTE !!</v>
      </c>
      <c r="B5291" s="3">
        <v>1</v>
      </c>
    </row>
    <row r="5292" ht="15.75" customHeight="1" spans="1:2">
      <c r="A5292" s="3" t="str">
        <f>IFERROR(__xludf.DUMMYFUNCTION("GOOGLETRANSLATE(A5292,""en"",""pt"")"),"Eu amo O Código Da Vinci ...")</f>
        <v>Eu amo O Código Da Vinci ...</v>
      </c>
      <c r="B5292" s="3">
        <v>1</v>
      </c>
    </row>
    <row r="5293" ht="15.75" customHeight="1" spans="1:2">
      <c r="A5293" s="3" t="str">
        <f>IFERROR(__xludf.DUMMYFUNCTION("GOOGLETRANSLATE(A5293,""en"",""pt"")"),"O Código Da Vinci é incrível ..")</f>
        <v>O Código Da Vinci é incrível ..</v>
      </c>
      <c r="B5293" s="3">
        <v>1</v>
      </c>
    </row>
    <row r="5294" ht="15.75" customHeight="1" spans="1:2">
      <c r="A5294" s="3" t="str">
        <f>IFERROR(__xludf.DUMMYFUNCTION("GOOGLETRANSLATE(A5294,""en"",""pt"")"),"O Código Da Vinci é espectacular !!")</f>
        <v>O Código Da Vinci é espectacular !!</v>
      </c>
      <c r="B5294" s="3">
        <v>1</v>
      </c>
    </row>
    <row r="5295" ht="15.75" customHeight="1" spans="1:2">
      <c r="A5295" s="3" t="str">
        <f>IFERROR(__xludf.DUMMYFUNCTION("GOOGLETRANSLATE(A5295,""en"",""pt"")"),"Luv lubb o Código Da Vinci!")</f>
        <v>Luv lubb o Código Da Vinci!</v>
      </c>
      <c r="B5295" s="3">
        <v>1</v>
      </c>
    </row>
    <row r="5296" ht="15.75" customHeight="1" spans="1:2">
      <c r="A5296" s="3" t="str">
        <f>IFERROR(__xludf.DUMMYFUNCTION("GOOGLETRANSLATE(A5296,""en"",""pt"")"),"as pessoas que valem a pena saber o quanto eu amo o código da vinci.")</f>
        <v>as pessoas que valem a pena saber o quanto eu amo o código da vinci.</v>
      </c>
      <c r="B5296" s="3">
        <v>1</v>
      </c>
    </row>
    <row r="5297" ht="15.75" customHeight="1" spans="1:2">
      <c r="A5297" s="3" t="str">
        <f>IFERROR(__xludf.DUMMYFUNCTION("GOOGLETRANSLATE(A5297,""en"",""pt"")"),"Eu queria desesperadamente love'The Código Da Vinci como um filme.")</f>
        <v>Eu queria desesperadamente love'The Código Da Vinci como um filme.</v>
      </c>
      <c r="B5297" s="3">
        <v>1</v>
      </c>
    </row>
    <row r="5298" ht="15.75" customHeight="1" spans="1:2">
      <c r="A5298" s="3" t="str">
        <f>IFERROR(__xludf.DUMMYFUNCTION("GOOGLETRANSLATE(A5298,""en"",""pt"")"),"O Código Da Vinci foi incrível, eu não posso esperar para lê-lo ...")</f>
        <v>O Código Da Vinci foi incrível, eu não posso esperar para lê-lo ...</v>
      </c>
      <c r="B5298" s="3">
        <v>1</v>
      </c>
    </row>
    <row r="5299" ht="15.75" customHeight="1" spans="1:2">
      <c r="A5299" s="3" t="str">
        <f>IFERROR(__xludf.DUMMYFUNCTION("GOOGLETRANSLATE(A5299,""en"",""pt"")"),"O Código Da Vinci foi absolutamente incrível!")</f>
        <v>O Código Da Vinci foi absolutamente incrível!</v>
      </c>
      <c r="B5299" s="3">
        <v>1</v>
      </c>
    </row>
    <row r="5300" ht="15.75" customHeight="1" spans="1:2">
      <c r="A5300" s="3" t="str">
        <f>IFERROR(__xludf.DUMMYFUNCTION("GOOGLETRANSLATE(A5300,""en"",""pt"")"),"Código Da Vinci era um filme impressionante ...")</f>
        <v>Código Da Vinci era um filme impressionante ...</v>
      </c>
      <c r="B5300" s="3">
        <v>1</v>
      </c>
    </row>
    <row r="5301" ht="15.75" customHeight="1" spans="1:2">
      <c r="A5301" s="3" t="str">
        <f>IFERROR(__xludf.DUMMYFUNCTION("GOOGLETRANSLATE(A5301,""en"",""pt"")"),"CÓDIGO DA VINCI É IMPRESSIONANTE !!")</f>
        <v>CÓDIGO DA VINCI É IMPRESSIONANTE !!</v>
      </c>
      <c r="B5301" s="3">
        <v>1</v>
      </c>
    </row>
    <row r="5302" ht="15.75" customHeight="1" spans="1:2">
      <c r="A5302" s="3" t="str">
        <f>IFERROR(__xludf.DUMMYFUNCTION("GOOGLETRANSLATE(A5302,""en"",""pt"")"),"Eu amo O Código Da Vinci ...")</f>
        <v>Eu amo O Código Da Vinci ...</v>
      </c>
      <c r="B5302" s="3">
        <v>1</v>
      </c>
    </row>
    <row r="5303" ht="15.75" customHeight="1" spans="1:2">
      <c r="A5303" s="3" t="str">
        <f>IFERROR(__xludf.DUMMYFUNCTION("GOOGLETRANSLATE(A5303,""en"",""pt"")"),"O Código Da Vinci é incrível ..")</f>
        <v>O Código Da Vinci é incrível ..</v>
      </c>
      <c r="B5303" s="3">
        <v>1</v>
      </c>
    </row>
    <row r="5304" ht="15.75" customHeight="1" spans="1:2">
      <c r="A5304" s="3" t="str">
        <f>IFERROR(__xludf.DUMMYFUNCTION("GOOGLETRANSLATE(A5304,""en"",""pt"")"),"O Código Da Vinci é espectacular !!")</f>
        <v>O Código Da Vinci é espectacular !!</v>
      </c>
      <c r="B5304" s="3">
        <v>1</v>
      </c>
    </row>
    <row r="5305" ht="15.75" customHeight="1" spans="1:2">
      <c r="A5305" s="3" t="str">
        <f>IFERROR(__xludf.DUMMYFUNCTION("GOOGLETRANSLATE(A5305,""en"",""pt"")"),"Luv lubb o Código Da Vinci!")</f>
        <v>Luv lubb o Código Da Vinci!</v>
      </c>
      <c r="B5305" s="3">
        <v>1</v>
      </c>
    </row>
    <row r="5306" ht="15.75" customHeight="1" spans="1:2">
      <c r="A5306" s="3" t="str">
        <f>IFERROR(__xludf.DUMMYFUNCTION("GOOGLETRANSLATE(A5306,""en"",""pt"")"),"as pessoas que valem a pena saber o quanto eu amo o código da vinci.")</f>
        <v>as pessoas que valem a pena saber o quanto eu amo o código da vinci.</v>
      </c>
      <c r="B5306" s="3">
        <v>1</v>
      </c>
    </row>
    <row r="5307" ht="15.75" customHeight="1" spans="1:2">
      <c r="A5307" s="3" t="str">
        <f>IFERROR(__xludf.DUMMYFUNCTION("GOOGLETRANSLATE(A5307,""en"",""pt"")"),"Eu queria desesperadamente love'The Código Da Vinci como um filme.")</f>
        <v>Eu queria desesperadamente love'The Código Da Vinci como um filme.</v>
      </c>
      <c r="B5307" s="3">
        <v>1</v>
      </c>
    </row>
    <row r="5308" ht="15.75" customHeight="1" spans="1:2">
      <c r="A5308" s="3" t="str">
        <f>IFERROR(__xludf.DUMMYFUNCTION("GOOGLETRANSLATE(A5308,""en"",""pt"")"),"O Código Da Vinci foi incrível, eu não posso esperar para lê-lo ...")</f>
        <v>O Código Da Vinci foi incrível, eu não posso esperar para lê-lo ...</v>
      </c>
      <c r="B5308" s="3">
        <v>1</v>
      </c>
    </row>
    <row r="5309" ht="15.75" customHeight="1" spans="1:2">
      <c r="A5309" s="3" t="str">
        <f>IFERROR(__xludf.DUMMYFUNCTION("GOOGLETRANSLATE(A5309,""en"",""pt"")"),"O Código Da Vinci foi absolutamente incrível!")</f>
        <v>O Código Da Vinci foi absolutamente incrível!</v>
      </c>
      <c r="B5309" s="3">
        <v>1</v>
      </c>
    </row>
    <row r="5310" ht="15.75" customHeight="1" spans="1:2">
      <c r="A5310" s="3" t="str">
        <f>IFERROR(__xludf.DUMMYFUNCTION("GOOGLETRANSLATE(A5310,""en"",""pt"")"),"Código Da Vinci era um filme impressionante ...")</f>
        <v>Código Da Vinci era um filme impressionante ...</v>
      </c>
      <c r="B5310" s="3">
        <v>1</v>
      </c>
    </row>
    <row r="5311" ht="15.75" customHeight="1" spans="1:2">
      <c r="A5311" s="3" t="str">
        <f>IFERROR(__xludf.DUMMYFUNCTION("GOOGLETRANSLATE(A5311,""en"",""pt"")"),"CÓDIGO DA VINCI É IMPRESSIONANTE !!")</f>
        <v>CÓDIGO DA VINCI É IMPRESSIONANTE !!</v>
      </c>
      <c r="B5311" s="3">
        <v>1</v>
      </c>
    </row>
    <row r="5312" ht="15.75" customHeight="1" spans="1:2">
      <c r="A5312" s="3" t="str">
        <f>IFERROR(__xludf.DUMMYFUNCTION("GOOGLETRANSLATE(A5312,""en"",""pt"")"),"Eu amo O Código Da Vinci ...")</f>
        <v>Eu amo O Código Da Vinci ...</v>
      </c>
      <c r="B5312" s="3">
        <v>1</v>
      </c>
    </row>
    <row r="5313" ht="15.75" customHeight="1" spans="1:2">
      <c r="A5313" s="3" t="str">
        <f>IFERROR(__xludf.DUMMYFUNCTION("GOOGLETRANSLATE(A5313,""en"",""pt"")"),"O Código Da Vinci é incrível ..")</f>
        <v>O Código Da Vinci é incrível ..</v>
      </c>
      <c r="B5313" s="3">
        <v>1</v>
      </c>
    </row>
    <row r="5314" ht="15.75" customHeight="1" spans="1:2">
      <c r="A5314" s="3" t="str">
        <f>IFERROR(__xludf.DUMMYFUNCTION("GOOGLETRANSLATE(A5314,""en"",""pt"")"),"O Código Da Vinci é espectacular !!")</f>
        <v>O Código Da Vinci é espectacular !!</v>
      </c>
      <c r="B5314" s="3">
        <v>1</v>
      </c>
    </row>
    <row r="5315" ht="15.75" customHeight="1" spans="1:2">
      <c r="A5315" s="3" t="str">
        <f>IFERROR(__xludf.DUMMYFUNCTION("GOOGLETRANSLATE(A5315,""en"",""pt"")"),"Luv lubb o Código Da Vinci!")</f>
        <v>Luv lubb o Código Da Vinci!</v>
      </c>
      <c r="B5315" s="3">
        <v>1</v>
      </c>
    </row>
    <row r="5316" ht="15.75" customHeight="1" spans="1:2">
      <c r="A5316" s="3" t="str">
        <f>IFERROR(__xludf.DUMMYFUNCTION("GOOGLETRANSLATE(A5316,""en"",""pt"")"),"as pessoas que valem a pena saber o quanto eu amo o código da vinci.")</f>
        <v>as pessoas que valem a pena saber o quanto eu amo o código da vinci.</v>
      </c>
      <c r="B5316" s="3">
        <v>1</v>
      </c>
    </row>
    <row r="5317" ht="15.75" customHeight="1" spans="1:2">
      <c r="A5317" s="3" t="str">
        <f>IFERROR(__xludf.DUMMYFUNCTION("GOOGLETRANSLATE(A5317,""en"",""pt"")"),"Eu queria desesperadamente love'The Código Da Vinci como um filme.")</f>
        <v>Eu queria desesperadamente love'The Código Da Vinci como um filme.</v>
      </c>
      <c r="B5317" s="3">
        <v>1</v>
      </c>
    </row>
    <row r="5318" ht="15.75" customHeight="1" spans="1:2">
      <c r="A5318" s="3" t="str">
        <f>IFERROR(__xludf.DUMMYFUNCTION("GOOGLETRANSLATE(A5318,""en"",""pt"")"),"O Código Da Vinci foi incrível, eu não posso esperar para lê-lo ...")</f>
        <v>O Código Da Vinci foi incrível, eu não posso esperar para lê-lo ...</v>
      </c>
      <c r="B5318" s="3">
        <v>1</v>
      </c>
    </row>
    <row r="5319" ht="15.75" customHeight="1" spans="1:2">
      <c r="A5319" s="3" t="str">
        <f>IFERROR(__xludf.DUMMYFUNCTION("GOOGLETRANSLATE(A5319,""en"",""pt"")"),"O Código Da Vinci foi absolutamente incrível!")</f>
        <v>O Código Da Vinci foi absolutamente incrível!</v>
      </c>
      <c r="B5319" s="3">
        <v>1</v>
      </c>
    </row>
    <row r="5320" ht="15.75" customHeight="1" spans="1:2">
      <c r="A5320" s="3" t="str">
        <f>IFERROR(__xludf.DUMMYFUNCTION("GOOGLETRANSLATE(A5320,""en"",""pt"")"),"Código Da Vinci era um filme impressionante ...")</f>
        <v>Código Da Vinci era um filme impressionante ...</v>
      </c>
      <c r="B5320" s="3">
        <v>1</v>
      </c>
    </row>
    <row r="5321" ht="15.75" customHeight="1" spans="1:2">
      <c r="A5321" s="3" t="str">
        <f>IFERROR(__xludf.DUMMYFUNCTION("GOOGLETRANSLATE(A5321,""en"",""pt"")"),"CÓDIGO DA VINCI É IMPRESSIONANTE !!")</f>
        <v>CÓDIGO DA VINCI É IMPRESSIONANTE !!</v>
      </c>
      <c r="B5321" s="3">
        <v>1</v>
      </c>
    </row>
    <row r="5322" ht="15.75" customHeight="1" spans="1:2">
      <c r="A5322" s="3" t="str">
        <f>IFERROR(__xludf.DUMMYFUNCTION("GOOGLETRANSLATE(A5322,""en"",""pt"")"),"Eu amo O Código Da Vinci ...")</f>
        <v>Eu amo O Código Da Vinci ...</v>
      </c>
      <c r="B5322" s="3">
        <v>1</v>
      </c>
    </row>
    <row r="5323" ht="15.75" customHeight="1" spans="1:2">
      <c r="A5323" s="3" t="str">
        <f>IFERROR(__xludf.DUMMYFUNCTION("GOOGLETRANSLATE(A5323,""en"",""pt"")"),"O Código Da Vinci é incrível ..")</f>
        <v>O Código Da Vinci é incrível ..</v>
      </c>
      <c r="B5323" s="3">
        <v>1</v>
      </c>
    </row>
    <row r="5324" ht="15.75" customHeight="1" spans="1:2">
      <c r="A5324" s="3" t="str">
        <f>IFERROR(__xludf.DUMMYFUNCTION("GOOGLETRANSLATE(A5324,""en"",""pt"")"),"O Código Da Vinci é espectacular !!")</f>
        <v>O Código Da Vinci é espectacular !!</v>
      </c>
      <c r="B5324" s="3">
        <v>1</v>
      </c>
    </row>
    <row r="5325" ht="15.75" customHeight="1" spans="1:2">
      <c r="A5325" s="3" t="str">
        <f>IFERROR(__xludf.DUMMYFUNCTION("GOOGLETRANSLATE(A5325,""en"",""pt"")"),"Luv lubb o Código Da Vinci!")</f>
        <v>Luv lubb o Código Da Vinci!</v>
      </c>
      <c r="B5325" s="3">
        <v>1</v>
      </c>
    </row>
    <row r="5326" ht="15.75" customHeight="1" spans="1:2">
      <c r="A5326" s="3" t="str">
        <f>IFERROR(__xludf.DUMMYFUNCTION("GOOGLETRANSLATE(A5326,""en"",""pt"")"),"as pessoas que valem a pena saber o quanto eu amo o código da vinci.")</f>
        <v>as pessoas que valem a pena saber o quanto eu amo o código da vinci.</v>
      </c>
      <c r="B5326" s="3">
        <v>1</v>
      </c>
    </row>
    <row r="5327" ht="15.75" customHeight="1" spans="1:2">
      <c r="A5327" s="3" t="str">
        <f>IFERROR(__xludf.DUMMYFUNCTION("GOOGLETRANSLATE(A5327,""en"",""pt"")"),"Eu queria desesperadamente love'The Código Da Vinci como um filme.")</f>
        <v>Eu queria desesperadamente love'The Código Da Vinci como um filme.</v>
      </c>
      <c r="B5327" s="3">
        <v>1</v>
      </c>
    </row>
    <row r="5328" ht="15.75" customHeight="1" spans="1:2">
      <c r="A5328" s="3" t="str">
        <f>IFERROR(__xludf.DUMMYFUNCTION("GOOGLETRANSLATE(A5328,""en"",""pt"")"),"O Código Da Vinci foi incrível, eu não posso esperar para lê-lo ...")</f>
        <v>O Código Da Vinci foi incrível, eu não posso esperar para lê-lo ...</v>
      </c>
      <c r="B5328" s="3">
        <v>1</v>
      </c>
    </row>
    <row r="5329" ht="15.75" customHeight="1" spans="1:2">
      <c r="A5329" s="3" t="str">
        <f>IFERROR(__xludf.DUMMYFUNCTION("GOOGLETRANSLATE(A5329,""en"",""pt"")"),"O Código Da Vinci foi absolutamente incrível!")</f>
        <v>O Código Da Vinci foi absolutamente incrível!</v>
      </c>
      <c r="B5329" s="3">
        <v>1</v>
      </c>
    </row>
    <row r="5330" ht="15.75" customHeight="1" spans="1:2">
      <c r="A5330" s="3" t="str">
        <f>IFERROR(__xludf.DUMMYFUNCTION("GOOGLETRANSLATE(A5330,""en"",""pt"")"),"Código Da Vinci era um filme impressionante ...")</f>
        <v>Código Da Vinci era um filme impressionante ...</v>
      </c>
      <c r="B5330" s="3">
        <v>1</v>
      </c>
    </row>
    <row r="5331" ht="15.75" customHeight="1" spans="1:2">
      <c r="A5331" s="3" t="str">
        <f>IFERROR(__xludf.DUMMYFUNCTION("GOOGLETRANSLATE(A5331,""en"",""pt"")"),"CÓDIGO DA VINCI É IMPRESSIONANTE !!")</f>
        <v>CÓDIGO DA VINCI É IMPRESSIONANTE !!</v>
      </c>
      <c r="B5331" s="3">
        <v>1</v>
      </c>
    </row>
    <row r="5332" ht="15.75" customHeight="1" spans="1:2">
      <c r="A5332" s="3" t="str">
        <f>IFERROR(__xludf.DUMMYFUNCTION("GOOGLETRANSLATE(A5332,""en"",""pt"")"),"Eu amo O Código Da Vinci ...")</f>
        <v>Eu amo O Código Da Vinci ...</v>
      </c>
      <c r="B5332" s="3">
        <v>1</v>
      </c>
    </row>
    <row r="5333" ht="15.75" customHeight="1" spans="1:2">
      <c r="A5333" s="3" t="str">
        <f>IFERROR(__xludf.DUMMYFUNCTION("GOOGLETRANSLATE(A5333,""en"",""pt"")"),"O Código Da Vinci é incrível ..")</f>
        <v>O Código Da Vinci é incrível ..</v>
      </c>
      <c r="B5333" s="3">
        <v>1</v>
      </c>
    </row>
    <row r="5334" ht="15.75" customHeight="1" spans="1:2">
      <c r="A5334" s="3" t="str">
        <f>IFERROR(__xludf.DUMMYFUNCTION("GOOGLETRANSLATE(A5334,""en"",""pt"")"),"O Código Da Vinci é espectacular !!")</f>
        <v>O Código Da Vinci é espectacular !!</v>
      </c>
      <c r="B5334" s="3">
        <v>1</v>
      </c>
    </row>
    <row r="5335" ht="15.75" customHeight="1" spans="1:2">
      <c r="A5335" s="3" t="str">
        <f>IFERROR(__xludf.DUMMYFUNCTION("GOOGLETRANSLATE(A5335,""en"",""pt"")"),"Luv lubb o Código Da Vinci!")</f>
        <v>Luv lubb o Código Da Vinci!</v>
      </c>
      <c r="B5335" s="3">
        <v>1</v>
      </c>
    </row>
    <row r="5336" ht="15.75" customHeight="1" spans="1:2">
      <c r="A5336" s="3" t="str">
        <f>IFERROR(__xludf.DUMMYFUNCTION("GOOGLETRANSLATE(A5336,""en"",""pt"")"),"as pessoas que valem a pena saber o quanto eu amo o código da vinci.")</f>
        <v>as pessoas que valem a pena saber o quanto eu amo o código da vinci.</v>
      </c>
      <c r="B5336" s="3">
        <v>1</v>
      </c>
    </row>
    <row r="5337" ht="15.75" customHeight="1" spans="1:2">
      <c r="A5337" s="3" t="str">
        <f>IFERROR(__xludf.DUMMYFUNCTION("GOOGLETRANSLATE(A5337,""en"",""pt"")"),"Eu queria desesperadamente love'The Código Da Vinci como um filme.")</f>
        <v>Eu queria desesperadamente love'The Código Da Vinci como um filme.</v>
      </c>
      <c r="B5337" s="3">
        <v>1</v>
      </c>
    </row>
    <row r="5338" ht="15.75" customHeight="1" spans="1:2">
      <c r="A5338" s="3" t="str">
        <f>IFERROR(__xludf.DUMMYFUNCTION("GOOGLETRANSLATE(A5338,""en"",""pt"")"),"O Código Da Vinci foi incrível, eu não posso esperar para lê-lo ...")</f>
        <v>O Código Da Vinci foi incrível, eu não posso esperar para lê-lo ...</v>
      </c>
      <c r="B5338" s="3">
        <v>1</v>
      </c>
    </row>
    <row r="5339" ht="15.75" customHeight="1" spans="1:2">
      <c r="A5339" s="3" t="str">
        <f>IFERROR(__xludf.DUMMYFUNCTION("GOOGLETRANSLATE(A5339,""en"",""pt"")"),"O Código Da Vinci foi absolutamente incrível!")</f>
        <v>O Código Da Vinci foi absolutamente incrível!</v>
      </c>
      <c r="B5339" s="3">
        <v>1</v>
      </c>
    </row>
    <row r="5340" ht="15.75" customHeight="1" spans="1:2">
      <c r="A5340" s="3" t="str">
        <f>IFERROR(__xludf.DUMMYFUNCTION("GOOGLETRANSLATE(A5340,""en"",""pt"")"),"Código Da Vinci era um filme impressionante ...")</f>
        <v>Código Da Vinci era um filme impressionante ...</v>
      </c>
      <c r="B5340" s="3">
        <v>1</v>
      </c>
    </row>
    <row r="5341" ht="15.75" customHeight="1" spans="1:2">
      <c r="A5341" s="3" t="str">
        <f>IFERROR(__xludf.DUMMYFUNCTION("GOOGLETRANSLATE(A5341,""en"",""pt"")"),"CÓDIGO DA VINCI É IMPRESSIONANTE !!")</f>
        <v>CÓDIGO DA VINCI É IMPRESSIONANTE !!</v>
      </c>
      <c r="B5341" s="3">
        <v>1</v>
      </c>
    </row>
    <row r="5342" ht="15.75" customHeight="1" spans="1:2">
      <c r="A5342" s="3" t="str">
        <f>IFERROR(__xludf.DUMMYFUNCTION("GOOGLETRANSLATE(A5342,""en"",""pt"")"),"Eu amo O Código Da Vinci ...")</f>
        <v>Eu amo O Código Da Vinci ...</v>
      </c>
      <c r="B5342" s="3">
        <v>1</v>
      </c>
    </row>
    <row r="5343" ht="15.75" customHeight="1" spans="1:2">
      <c r="A5343" s="3" t="str">
        <f>IFERROR(__xludf.DUMMYFUNCTION("GOOGLETRANSLATE(A5343,""en"",""pt"")"),"O Código Da Vinci é incrível ..")</f>
        <v>O Código Da Vinci é incrível ..</v>
      </c>
      <c r="B5343" s="3">
        <v>1</v>
      </c>
    </row>
    <row r="5344" ht="15.75" customHeight="1" spans="1:2">
      <c r="A5344" s="3" t="str">
        <f>IFERROR(__xludf.DUMMYFUNCTION("GOOGLETRANSLATE(A5344,""en"",""pt"")"),"O Código Da Vinci é espectacular !!")</f>
        <v>O Código Da Vinci é espectacular !!</v>
      </c>
      <c r="B5344" s="3">
        <v>1</v>
      </c>
    </row>
    <row r="5345" ht="15.75" customHeight="1" spans="1:2">
      <c r="A5345" s="3" t="str">
        <f>IFERROR(__xludf.DUMMYFUNCTION("GOOGLETRANSLATE(A5345,""en"",""pt"")"),"Luv lubb o Código Da Vinci!")</f>
        <v>Luv lubb o Código Da Vinci!</v>
      </c>
      <c r="B5345" s="3">
        <v>1</v>
      </c>
    </row>
    <row r="5346" ht="15.75" customHeight="1" spans="1:2">
      <c r="A5346" s="3" t="str">
        <f>IFERROR(__xludf.DUMMYFUNCTION("GOOGLETRANSLATE(A5346,""en"",""pt"")"),"as pessoas que valem a pena saber o quanto eu amo o código da vinci.")</f>
        <v>as pessoas que valem a pena saber o quanto eu amo o código da vinci.</v>
      </c>
      <c r="B5346" s="3">
        <v>1</v>
      </c>
    </row>
    <row r="5347" ht="15.75" customHeight="1" spans="1:2">
      <c r="A5347" s="3" t="str">
        <f>IFERROR(__xludf.DUMMYFUNCTION("GOOGLETRANSLATE(A5347,""en"",""pt"")"),"Eu queria desesperadamente love'The Código Da Vinci como um filme.")</f>
        <v>Eu queria desesperadamente love'The Código Da Vinci como um filme.</v>
      </c>
      <c r="B5347" s="3">
        <v>1</v>
      </c>
    </row>
    <row r="5348" ht="15.75" customHeight="1" spans="1:2">
      <c r="A5348" s="3" t="str">
        <f>IFERROR(__xludf.DUMMYFUNCTION("GOOGLETRANSLATE(A5348,""en"",""pt"")"),"O Código Da Vinci foi incrível, eu não posso esperar para lê-lo ...")</f>
        <v>O Código Da Vinci foi incrível, eu não posso esperar para lê-lo ...</v>
      </c>
      <c r="B5348" s="3">
        <v>1</v>
      </c>
    </row>
    <row r="5349" ht="15.75" customHeight="1" spans="1:2">
      <c r="A5349" s="3" t="str">
        <f>IFERROR(__xludf.DUMMYFUNCTION("GOOGLETRANSLATE(A5349,""en"",""pt"")"),"O Código Da Vinci foi absolutamente incrível!")</f>
        <v>O Código Da Vinci foi absolutamente incrível!</v>
      </c>
      <c r="B5349" s="3">
        <v>1</v>
      </c>
    </row>
    <row r="5350" ht="15.75" customHeight="1" spans="1:2">
      <c r="A5350" s="3" t="s">
        <v>19</v>
      </c>
      <c r="B5350" s="3">
        <v>1</v>
      </c>
    </row>
    <row r="5351" ht="15.75" customHeight="1" spans="1:2">
      <c r="A5351" s="3" t="str">
        <f>IFERROR(__xludf.DUMMYFUNCTION("GOOGLETRANSLATE(A5351,""en"",""pt"")"),"CÓDIGO DA VINCI É IMPRESSIONANTE !!")</f>
        <v>CÓDIGO DA VINCI É IMPRESSIONANTE !!</v>
      </c>
      <c r="B5351" s="3">
        <v>1</v>
      </c>
    </row>
    <row r="5352" ht="15.75" customHeight="1" spans="1:2">
      <c r="A5352" s="3" t="str">
        <f>IFERROR(__xludf.DUMMYFUNCTION("GOOGLETRANSLATE(A5352,""en"",""pt"")"),"Eu amo O Código Da Vinci ...")</f>
        <v>Eu amo O Código Da Vinci ...</v>
      </c>
      <c r="B5352" s="3">
        <v>1</v>
      </c>
    </row>
    <row r="5353" ht="15.75" customHeight="1" spans="1:2">
      <c r="A5353" s="3" t="str">
        <f>IFERROR(__xludf.DUMMYFUNCTION("GOOGLETRANSLATE(A5353,""en"",""pt"")"),"O Código Da Vinci é incrível ..")</f>
        <v>O Código Da Vinci é incrível ..</v>
      </c>
      <c r="B5353" s="3">
        <v>1</v>
      </c>
    </row>
    <row r="5354" ht="15.75" customHeight="1" spans="1:2">
      <c r="A5354" s="3" t="str">
        <f>IFERROR(__xludf.DUMMYFUNCTION("GOOGLETRANSLATE(A5354,""en"",""pt"")"),"O Código Da Vinci é espectacular !!")</f>
        <v>O Código Da Vinci é espectacular !!</v>
      </c>
      <c r="B5354" s="3">
        <v>1</v>
      </c>
    </row>
    <row r="5355" ht="15.75" customHeight="1" spans="1:2">
      <c r="A5355" s="3" t="str">
        <f>IFERROR(__xludf.DUMMYFUNCTION("GOOGLETRANSLATE(A5355,""en"",""pt"")"),"Luv lubb o Código Da Vinci!")</f>
        <v>Luv lubb o Código Da Vinci!</v>
      </c>
      <c r="B5355" s="3">
        <v>1</v>
      </c>
    </row>
    <row r="5356" ht="15.75" customHeight="1" spans="1:2">
      <c r="A5356" s="3" t="str">
        <f>IFERROR(__xludf.DUMMYFUNCTION("GOOGLETRANSLATE(A5356,""en"",""pt"")"),"as pessoas que valem a pena saber o quanto eu amo o código da vinci.")</f>
        <v>as pessoas que valem a pena saber o quanto eu amo o código da vinci.</v>
      </c>
      <c r="B5356" s="3">
        <v>1</v>
      </c>
    </row>
    <row r="5357" ht="15.75" customHeight="1" spans="1:2">
      <c r="A5357" s="3" t="str">
        <f>IFERROR(__xludf.DUMMYFUNCTION("GOOGLETRANSLATE(A5357,""en"",""pt"")"),"Eu queria desesperadamente love'The Código Da Vinci como um filme.")</f>
        <v>Eu queria desesperadamente love'The Código Da Vinci como um filme.</v>
      </c>
      <c r="B5357" s="3">
        <v>1</v>
      </c>
    </row>
    <row r="5358" ht="15.75" customHeight="1" spans="1:2">
      <c r="A5358" s="3" t="str">
        <f>IFERROR(__xludf.DUMMYFUNCTION("GOOGLETRANSLATE(A5358,""en"",""pt"")"),"O Código Da Vinci foi incrível, eu não posso esperar para lê-lo ...")</f>
        <v>O Código Da Vinci foi incrível, eu não posso esperar para lê-lo ...</v>
      </c>
      <c r="B5358" s="3">
        <v>1</v>
      </c>
    </row>
    <row r="5359" ht="15.75" customHeight="1" spans="1:2">
      <c r="A5359" s="3" t="str">
        <f>IFERROR(__xludf.DUMMYFUNCTION("GOOGLETRANSLATE(A5359,""en"",""pt"")"),"O Código Da Vinci foi absolutamente incrível!")</f>
        <v>O Código Da Vinci foi absolutamente incrível!</v>
      </c>
      <c r="B5359" s="3">
        <v>1</v>
      </c>
    </row>
    <row r="5360" ht="15.75" customHeight="1" spans="1:2">
      <c r="A5360" s="3" t="str">
        <f>IFERROR(__xludf.DUMMYFUNCTION("GOOGLETRANSLATE(A5360,""en"",""pt"")"),"Código Da Vinci era um filme impressionante ...")</f>
        <v>Código Da Vinci era um filme impressionante ...</v>
      </c>
      <c r="B5360" s="3">
        <v>1</v>
      </c>
    </row>
    <row r="5361" ht="15.75" customHeight="1" spans="1:2">
      <c r="A5361" s="3" t="str">
        <f>IFERROR(__xludf.DUMMYFUNCTION("GOOGLETRANSLATE(A5361,""en"",""pt"")"),"CÓDIGO DA VINCI É IMPRESSIONANTE !!")</f>
        <v>CÓDIGO DA VINCI É IMPRESSIONANTE !!</v>
      </c>
      <c r="B5361" s="3">
        <v>1</v>
      </c>
    </row>
    <row r="5362" ht="15.75" customHeight="1" spans="1:2">
      <c r="A5362" s="3" t="str">
        <f>IFERROR(__xludf.DUMMYFUNCTION("GOOGLETRANSLATE(A5362,""en"",""pt"")"),"Eu amo O Código Da Vinci ...")</f>
        <v>Eu amo O Código Da Vinci ...</v>
      </c>
      <c r="B5362" s="3">
        <v>1</v>
      </c>
    </row>
    <row r="5363" ht="15.75" customHeight="1" spans="1:2">
      <c r="A5363" s="3" t="str">
        <f>IFERROR(__xludf.DUMMYFUNCTION("GOOGLETRANSLATE(A5363,""en"",""pt"")"),"O Código Da Vinci é incrível ..")</f>
        <v>O Código Da Vinci é incrível ..</v>
      </c>
      <c r="B5363" s="3">
        <v>1</v>
      </c>
    </row>
    <row r="5364" ht="15.75" customHeight="1" spans="1:2">
      <c r="A5364" s="3" t="str">
        <f>IFERROR(__xludf.DUMMYFUNCTION("GOOGLETRANSLATE(A5364,""en"",""pt"")"),"O Código Da Vinci é espectacular !!")</f>
        <v>O Código Da Vinci é espectacular !!</v>
      </c>
      <c r="B5364" s="3">
        <v>1</v>
      </c>
    </row>
    <row r="5365" ht="15.75" customHeight="1" spans="1:2">
      <c r="A5365" s="3" t="str">
        <f>IFERROR(__xludf.DUMMYFUNCTION("GOOGLETRANSLATE(A5365,""en"",""pt"")"),"Luv lubb o Código Da Vinci!")</f>
        <v>Luv lubb o Código Da Vinci!</v>
      </c>
      <c r="B5365" s="3">
        <v>1</v>
      </c>
    </row>
    <row r="5366" ht="15.75" customHeight="1" spans="1:2">
      <c r="A5366" s="3" t="str">
        <f>IFERROR(__xludf.DUMMYFUNCTION("GOOGLETRANSLATE(A5366,""en"",""pt"")"),"as pessoas que valem a pena saber o quanto eu amo o código da vinci.")</f>
        <v>as pessoas que valem a pena saber o quanto eu amo o código da vinci.</v>
      </c>
      <c r="B5366" s="3">
        <v>1</v>
      </c>
    </row>
    <row r="5367" ht="15.75" customHeight="1" spans="1:2">
      <c r="A5367" s="3" t="str">
        <f>IFERROR(__xludf.DUMMYFUNCTION("GOOGLETRANSLATE(A5367,""en"",""pt"")"),"Eu queria desesperadamente love'The Código Da Vinci como um filme.")</f>
        <v>Eu queria desesperadamente love'The Código Da Vinci como um filme.</v>
      </c>
      <c r="B5367" s="3">
        <v>1</v>
      </c>
    </row>
    <row r="5368" ht="15.75" customHeight="1" spans="1:2">
      <c r="A5368" s="3" t="str">
        <f>IFERROR(__xludf.DUMMYFUNCTION("GOOGLETRANSLATE(A5368,""en"",""pt"")"),"O Código Da Vinci foi incrível, eu não posso esperar para lê-lo ...")</f>
        <v>O Código Da Vinci foi incrível, eu não posso esperar para lê-lo ...</v>
      </c>
      <c r="B5368" s="3">
        <v>1</v>
      </c>
    </row>
    <row r="5369" ht="15.75" customHeight="1" spans="1:2">
      <c r="A5369" s="3" t="str">
        <f>IFERROR(__xludf.DUMMYFUNCTION("GOOGLETRANSLATE(A5369,""en"",""pt"")"),"O Código Da Vinci foi absolutamente incrível!")</f>
        <v>O Código Da Vinci foi absolutamente incrível!</v>
      </c>
      <c r="B5369" s="3">
        <v>1</v>
      </c>
    </row>
    <row r="5370" ht="15.75" customHeight="1" spans="1:2">
      <c r="A5370" s="3" t="str">
        <f>IFERROR(__xludf.DUMMYFUNCTION("GOOGLETRANSLATE(A5370,""en"",""pt"")"),"Código Da Vinci era um filme impressionante ...")</f>
        <v>Código Da Vinci era um filme impressionante ...</v>
      </c>
      <c r="B5370" s="3">
        <v>1</v>
      </c>
    </row>
    <row r="5371" ht="15.75" customHeight="1" spans="1:2">
      <c r="A5371" s="3" t="str">
        <f>IFERROR(__xludf.DUMMYFUNCTION("GOOGLETRANSLATE(A5371,""en"",""pt"")"),"CÓDIGO DA VINCI É IMPRESSIONANTE !!")</f>
        <v>CÓDIGO DA VINCI É IMPRESSIONANTE !!</v>
      </c>
      <c r="B5371" s="3">
        <v>1</v>
      </c>
    </row>
    <row r="5372" ht="15.75" customHeight="1" spans="1:2">
      <c r="A5372" s="3" t="str">
        <f>IFERROR(__xludf.DUMMYFUNCTION("GOOGLETRANSLATE(A5372,""en"",""pt"")"),"Eu amo O Código Da Vinci ...")</f>
        <v>Eu amo O Código Da Vinci ...</v>
      </c>
      <c r="B5372" s="3">
        <v>1</v>
      </c>
    </row>
    <row r="5373" ht="15.75" customHeight="1" spans="1:2">
      <c r="A5373" s="3" t="str">
        <f>IFERROR(__xludf.DUMMYFUNCTION("GOOGLETRANSLATE(A5373,""en"",""pt"")"),"O Código Da Vinci é incrível ..")</f>
        <v>O Código Da Vinci é incrível ..</v>
      </c>
      <c r="B5373" s="3">
        <v>1</v>
      </c>
    </row>
    <row r="5374" ht="15.75" customHeight="1" spans="1:2">
      <c r="A5374" s="3" t="str">
        <f>IFERROR(__xludf.DUMMYFUNCTION("GOOGLETRANSLATE(A5374,""en"",""pt"")"),"O Código Da Vinci é espectacular !!")</f>
        <v>O Código Da Vinci é espectacular !!</v>
      </c>
      <c r="B5374" s="3">
        <v>1</v>
      </c>
    </row>
    <row r="5375" ht="15.75" customHeight="1" spans="1:2">
      <c r="A5375" s="3" t="str">
        <f>IFERROR(__xludf.DUMMYFUNCTION("GOOGLETRANSLATE(A5375,""en"",""pt"")"),"Luv lubb o Código Da Vinci!")</f>
        <v>Luv lubb o Código Da Vinci!</v>
      </c>
      <c r="B5375" s="3">
        <v>1</v>
      </c>
    </row>
    <row r="5376" ht="15.75" customHeight="1" spans="1:2">
      <c r="A5376" s="3" t="str">
        <f>IFERROR(__xludf.DUMMYFUNCTION("GOOGLETRANSLATE(A5376,""en"",""pt"")"),"as pessoas que valem a pena saber o quanto eu amo o código da vinci.")</f>
        <v>as pessoas que valem a pena saber o quanto eu amo o código da vinci.</v>
      </c>
      <c r="B5376" s="3">
        <v>1</v>
      </c>
    </row>
    <row r="5377" ht="15.75" customHeight="1" spans="1:2">
      <c r="A5377" s="3" t="str">
        <f>IFERROR(__xludf.DUMMYFUNCTION("GOOGLETRANSLATE(A5377,""en"",""pt"")"),"Eu queria desesperadamente love'The Código Da Vinci como um filme.")</f>
        <v>Eu queria desesperadamente love'The Código Da Vinci como um filme.</v>
      </c>
      <c r="B5377" s="3">
        <v>1</v>
      </c>
    </row>
    <row r="5378" ht="15.75" customHeight="1" spans="1:2">
      <c r="A5378" s="3" t="str">
        <f>IFERROR(__xludf.DUMMYFUNCTION("GOOGLETRANSLATE(A5378,""en"",""pt"")"),"O Código Da Vinci foi incrível, eu não posso esperar para lê-lo ...")</f>
        <v>O Código Da Vinci foi incrível, eu não posso esperar para lê-lo ...</v>
      </c>
      <c r="B5378" s="3">
        <v>1</v>
      </c>
    </row>
    <row r="5379" ht="15.75" customHeight="1" spans="1:2">
      <c r="A5379" s="3" t="str">
        <f>IFERROR(__xludf.DUMMYFUNCTION("GOOGLETRANSLATE(A5379,""en"",""pt"")"),"O Código Da Vinci foi absolutamente incrível!")</f>
        <v>O Código Da Vinci foi absolutamente incrível!</v>
      </c>
      <c r="B5379" s="3">
        <v>1</v>
      </c>
    </row>
    <row r="5380" ht="15.75" customHeight="1" spans="1:2">
      <c r="A5380" s="3" t="str">
        <f>IFERROR(__xludf.DUMMYFUNCTION("GOOGLETRANSLATE(A5380,""en"",""pt"")"),"Código Da Vinci era um filme impressionante ...")</f>
        <v>Código Da Vinci era um filme impressionante ...</v>
      </c>
      <c r="B5380" s="3">
        <v>1</v>
      </c>
    </row>
    <row r="5381" ht="15.75" customHeight="1" spans="1:2">
      <c r="A5381" s="3" t="str">
        <f>IFERROR(__xludf.DUMMYFUNCTION("GOOGLETRANSLATE(A5381,""en"",""pt"")"),"CÓDIGO DA VINCI É IMPRESSIONANTE !!")</f>
        <v>CÓDIGO DA VINCI É IMPRESSIONANTE !!</v>
      </c>
      <c r="B5381" s="3">
        <v>1</v>
      </c>
    </row>
    <row r="5382" ht="15.75" customHeight="1" spans="1:2">
      <c r="A5382" s="3" t="str">
        <f>IFERROR(__xludf.DUMMYFUNCTION("GOOGLETRANSLATE(A5382,""en"",""pt"")"),"Eu amo O Código Da Vinci ...")</f>
        <v>Eu amo O Código Da Vinci ...</v>
      </c>
      <c r="B5382" s="3">
        <v>1</v>
      </c>
    </row>
    <row r="5383" ht="15.75" customHeight="1" spans="1:2">
      <c r="A5383" s="3" t="str">
        <f>IFERROR(__xludf.DUMMYFUNCTION("GOOGLETRANSLATE(A5383,""en"",""pt"")"),"O Código Da Vinci é incrível ..")</f>
        <v>O Código Da Vinci é incrível ..</v>
      </c>
      <c r="B5383" s="3">
        <v>1</v>
      </c>
    </row>
    <row r="5384" ht="15.75" customHeight="1" spans="1:2">
      <c r="A5384" s="3" t="str">
        <f>IFERROR(__xludf.DUMMYFUNCTION("GOOGLETRANSLATE(A5384,""en"",""pt"")"),"O Código Da Vinci é espectacular !!")</f>
        <v>O Código Da Vinci é espectacular !!</v>
      </c>
      <c r="B5384" s="3">
        <v>1</v>
      </c>
    </row>
    <row r="5385" ht="15.75" customHeight="1" spans="1:2">
      <c r="A5385" s="3" t="str">
        <f>IFERROR(__xludf.DUMMYFUNCTION("GOOGLETRANSLATE(A5385,""en"",""pt"")"),"Luv lubb o Código Da Vinci!")</f>
        <v>Luv lubb o Código Da Vinci!</v>
      </c>
      <c r="B5385" s="3">
        <v>1</v>
      </c>
    </row>
    <row r="5386" ht="15.75" customHeight="1" spans="1:2">
      <c r="A5386" s="3" t="str">
        <f>IFERROR(__xludf.DUMMYFUNCTION("GOOGLETRANSLATE(A5386,""en"",""pt"")"),"as pessoas que valem a pena saber o quanto eu amo o código da vinci.")</f>
        <v>as pessoas que valem a pena saber o quanto eu amo o código da vinci.</v>
      </c>
      <c r="B5386" s="3">
        <v>1</v>
      </c>
    </row>
    <row r="5387" ht="15.75" customHeight="1" spans="1:2">
      <c r="A5387" s="3" t="str">
        <f>IFERROR(__xludf.DUMMYFUNCTION("GOOGLETRANSLATE(A5387,""en"",""pt"")"),"Eu queria desesperadamente love'The Código Da Vinci como um filme.")</f>
        <v>Eu queria desesperadamente love'The Código Da Vinci como um filme.</v>
      </c>
      <c r="B5387" s="3">
        <v>1</v>
      </c>
    </row>
    <row r="5388" ht="15.75" customHeight="1" spans="1:2">
      <c r="A5388" s="3" t="str">
        <f>IFERROR(__xludf.DUMMYFUNCTION("GOOGLETRANSLATE(A5388,""en"",""pt"")"),"O Código Da Vinci foi incrível, eu não posso esperar para lê-lo ...")</f>
        <v>O Código Da Vinci foi incrível, eu não posso esperar para lê-lo ...</v>
      </c>
      <c r="B5388" s="3">
        <v>1</v>
      </c>
    </row>
    <row r="5389" ht="15.75" customHeight="1" spans="1:2">
      <c r="A5389" s="3" t="str">
        <f>IFERROR(__xludf.DUMMYFUNCTION("GOOGLETRANSLATE(A5389,""en"",""pt"")"),"O Código Da Vinci foi absolutamente incrível!")</f>
        <v>O Código Da Vinci foi absolutamente incrível!</v>
      </c>
      <c r="B5389" s="3">
        <v>1</v>
      </c>
    </row>
    <row r="5390" ht="15.75" customHeight="1" spans="1:2">
      <c r="A5390" s="3" t="str">
        <f>IFERROR(__xludf.DUMMYFUNCTION("GOOGLETRANSLATE(A5390,""en"",""pt"")"),"Código Da Vinci era um filme impressionante ...")</f>
        <v>Código Da Vinci era um filme impressionante ...</v>
      </c>
      <c r="B5390" s="3">
        <v>1</v>
      </c>
    </row>
    <row r="5391" ht="15.75" customHeight="1" spans="1:2">
      <c r="A5391" s="3" t="str">
        <f>IFERROR(__xludf.DUMMYFUNCTION("GOOGLETRANSLATE(A5391,""en"",""pt"")"),"CÓDIGO DA VINCI É IMPRESSIONANTE !!")</f>
        <v>CÓDIGO DA VINCI É IMPRESSIONANTE !!</v>
      </c>
      <c r="B5391" s="3">
        <v>1</v>
      </c>
    </row>
    <row r="5392" ht="15.75" customHeight="1" spans="1:2">
      <c r="A5392" s="3" t="str">
        <f>IFERROR(__xludf.DUMMYFUNCTION("GOOGLETRANSLATE(A5392,""en"",""pt"")"),"Eu amo O Código Da Vinci ...")</f>
        <v>Eu amo O Código Da Vinci ...</v>
      </c>
      <c r="B5392" s="3">
        <v>1</v>
      </c>
    </row>
    <row r="5393" ht="15.75" customHeight="1" spans="1:2">
      <c r="A5393" s="3" t="str">
        <f>IFERROR(__xludf.DUMMYFUNCTION("GOOGLETRANSLATE(A5393,""en"",""pt"")"),"O Código Da Vinci é incrível ..")</f>
        <v>O Código Da Vinci é incrível ..</v>
      </c>
      <c r="B5393" s="3">
        <v>1</v>
      </c>
    </row>
    <row r="5394" ht="15.75" customHeight="1" spans="1:2">
      <c r="A5394" s="3" t="str">
        <f>IFERROR(__xludf.DUMMYFUNCTION("GOOGLETRANSLATE(A5394,""en"",""pt"")"),"O Código Da Vinci é espectacular !!")</f>
        <v>O Código Da Vinci é espectacular !!</v>
      </c>
      <c r="B5394" s="3">
        <v>1</v>
      </c>
    </row>
    <row r="5395" ht="15.75" customHeight="1" spans="1:2">
      <c r="A5395" s="3" t="str">
        <f>IFERROR(__xludf.DUMMYFUNCTION("GOOGLETRANSLATE(A5395,""en"",""pt"")"),"Luv lubb o Código Da Vinci!")</f>
        <v>Luv lubb o Código Da Vinci!</v>
      </c>
      <c r="B5395" s="3">
        <v>1</v>
      </c>
    </row>
    <row r="5396" ht="15.75" customHeight="1" spans="1:2">
      <c r="A5396" s="3" t="str">
        <f>IFERROR(__xludf.DUMMYFUNCTION("GOOGLETRANSLATE(A5396,""en"",""pt"")"),"as pessoas que valem a pena saber o quanto eu amo o código da vinci.")</f>
        <v>as pessoas que valem a pena saber o quanto eu amo o código da vinci.</v>
      </c>
      <c r="B5396" s="3">
        <v>1</v>
      </c>
    </row>
    <row r="5397" ht="15.75" customHeight="1" spans="1:2">
      <c r="A5397" s="3" t="str">
        <f>IFERROR(__xludf.DUMMYFUNCTION("GOOGLETRANSLATE(A5397,""en"",""pt"")"),"Eu queria desesperadamente love'The Código Da Vinci como um filme.")</f>
        <v>Eu queria desesperadamente love'The Código Da Vinci como um filme.</v>
      </c>
      <c r="B5397" s="3">
        <v>1</v>
      </c>
    </row>
    <row r="5398" ht="15.75" customHeight="1" spans="1:2">
      <c r="A5398" s="3" t="str">
        <f>IFERROR(__xludf.DUMMYFUNCTION("GOOGLETRANSLATE(A5398,""en"",""pt"")"),"O Código Da Vinci foi incrível, eu não posso esperar para lê-lo ...")</f>
        <v>O Código Da Vinci foi incrível, eu não posso esperar para lê-lo ...</v>
      </c>
      <c r="B5398" s="3">
        <v>1</v>
      </c>
    </row>
    <row r="5399" ht="15.75" customHeight="1" spans="1:2">
      <c r="A5399" s="3" t="str">
        <f>IFERROR(__xludf.DUMMYFUNCTION("GOOGLETRANSLATE(A5399,""en"",""pt"")"),"O Código Da Vinci foi absolutamente incrível!")</f>
        <v>O Código Da Vinci foi absolutamente incrível!</v>
      </c>
      <c r="B5399" s="3">
        <v>1</v>
      </c>
    </row>
    <row r="5400" ht="15.75" customHeight="1" spans="1:2">
      <c r="A5400" s="3" t="str">
        <f>IFERROR(__xludf.DUMMYFUNCTION("GOOGLETRANSLATE(A5400,""en"",""pt"")"),"Código Da Vinci era um filme impressionante ...")</f>
        <v>Código Da Vinci era um filme impressionante ...</v>
      </c>
      <c r="B5400" s="3">
        <v>1</v>
      </c>
    </row>
    <row r="5401" ht="15.75" customHeight="1" spans="1:2">
      <c r="A5401" s="3" t="str">
        <f>IFERROR(__xludf.DUMMYFUNCTION("GOOGLETRANSLATE(A5401,""en"",""pt"")"),"CÓDIGO DA VINCI É IMPRESSIONANTE !!")</f>
        <v>CÓDIGO DA VINCI É IMPRESSIONANTE !!</v>
      </c>
      <c r="B5401" s="3">
        <v>1</v>
      </c>
    </row>
    <row r="5402" ht="15.75" customHeight="1" spans="1:2">
      <c r="A5402" s="3" t="str">
        <f>IFERROR(__xludf.DUMMYFUNCTION("GOOGLETRANSLATE(A5402,""en"",""pt"")"),"Eu amo O Código Da Vinci ...")</f>
        <v>Eu amo O Código Da Vinci ...</v>
      </c>
      <c r="B5402" s="3">
        <v>1</v>
      </c>
    </row>
    <row r="5403" ht="15.75" customHeight="1" spans="1:2">
      <c r="A5403" s="3" t="str">
        <f>IFERROR(__xludf.DUMMYFUNCTION("GOOGLETRANSLATE(A5403,""en"",""pt"")"),"O Código Da Vinci é incrível ..")</f>
        <v>O Código Da Vinci é incrível ..</v>
      </c>
      <c r="B5403" s="3">
        <v>1</v>
      </c>
    </row>
    <row r="5404" ht="15.75" customHeight="1" spans="1:2">
      <c r="A5404" s="3" t="str">
        <f>IFERROR(__xludf.DUMMYFUNCTION("GOOGLETRANSLATE(A5404,""en"",""pt"")"),"O Código Da Vinci é espectacular !!")</f>
        <v>O Código Da Vinci é espectacular !!</v>
      </c>
      <c r="B5404" s="3">
        <v>1</v>
      </c>
    </row>
    <row r="5405" ht="15.75" customHeight="1" spans="1:2">
      <c r="A5405" s="3" t="str">
        <f>IFERROR(__xludf.DUMMYFUNCTION("GOOGLETRANSLATE(A5405,""en"",""pt"")"),"Luv lubb o Código Da Vinci!")</f>
        <v>Luv lubb o Código Da Vinci!</v>
      </c>
      <c r="B5405" s="3">
        <v>1</v>
      </c>
    </row>
    <row r="5406" ht="15.75" customHeight="1" spans="1:2">
      <c r="A5406" s="3" t="str">
        <f>IFERROR(__xludf.DUMMYFUNCTION("GOOGLETRANSLATE(A5406,""en"",""pt"")"),"as pessoas que valem a pena saber o quanto eu amo o código da vinci.")</f>
        <v>as pessoas que valem a pena saber o quanto eu amo o código da vinci.</v>
      </c>
      <c r="B5406" s="3">
        <v>1</v>
      </c>
    </row>
    <row r="5407" ht="15.75" customHeight="1" spans="1:2">
      <c r="A5407" s="3" t="str">
        <f>IFERROR(__xludf.DUMMYFUNCTION("GOOGLETRANSLATE(A5407,""en"",""pt"")"),"Eu queria desesperadamente love'The Código Da Vinci como um filme.")</f>
        <v>Eu queria desesperadamente love'The Código Da Vinci como um filme.</v>
      </c>
      <c r="B5407" s="3">
        <v>1</v>
      </c>
    </row>
    <row r="5408" ht="15.75" customHeight="1" spans="1:2">
      <c r="A5408" s="3" t="str">
        <f>IFERROR(__xludf.DUMMYFUNCTION("GOOGLETRANSLATE(A5408,""en"",""pt"")"),"O Código Da Vinci foi incrível, eu não posso esperar para lê-lo ...")</f>
        <v>O Código Da Vinci foi incrível, eu não posso esperar para lê-lo ...</v>
      </c>
      <c r="B5408" s="3">
        <v>1</v>
      </c>
    </row>
    <row r="5409" ht="15.75" customHeight="1" spans="1:2">
      <c r="A5409" s="3" t="str">
        <f>IFERROR(__xludf.DUMMYFUNCTION("GOOGLETRANSLATE(A5409,""en"",""pt"")"),"O Código Da Vinci foi absolutamente incrível!")</f>
        <v>O Código Da Vinci foi absolutamente incrível!</v>
      </c>
      <c r="B5409" s="3">
        <v>1</v>
      </c>
    </row>
    <row r="5410" ht="15.75" customHeight="1" spans="1:2">
      <c r="A5410" s="3" t="str">
        <f>IFERROR(__xludf.DUMMYFUNCTION("GOOGLETRANSLATE(A5410,""en"",""pt"")"),"Código Da Vinci era um filme impressionante ...")</f>
        <v>Código Da Vinci era um filme impressionante ...</v>
      </c>
      <c r="B5410" s="3">
        <v>1</v>
      </c>
    </row>
    <row r="5411" ht="15.75" customHeight="1" spans="1:2">
      <c r="A5411" s="3" t="str">
        <f>IFERROR(__xludf.DUMMYFUNCTION("GOOGLETRANSLATE(A5411,""en"",""pt"")"),"CÓDIGO DA VINCI É IMPRESSIONANTE !!")</f>
        <v>CÓDIGO DA VINCI É IMPRESSIONANTE !!</v>
      </c>
      <c r="B5411" s="3">
        <v>1</v>
      </c>
    </row>
    <row r="5412" ht="15.75" customHeight="1" spans="1:2">
      <c r="A5412" s="3" t="str">
        <f>IFERROR(__xludf.DUMMYFUNCTION("GOOGLETRANSLATE(A5412,""en"",""pt"")"),"Eu amo O Código Da Vinci ...")</f>
        <v>Eu amo O Código Da Vinci ...</v>
      </c>
      <c r="B5412" s="3">
        <v>1</v>
      </c>
    </row>
    <row r="5413" ht="15.75" customHeight="1" spans="1:2">
      <c r="A5413" s="3" t="str">
        <f>IFERROR(__xludf.DUMMYFUNCTION("GOOGLETRANSLATE(A5413,""en"",""pt"")"),"O Código Da Vinci é incrível ..")</f>
        <v>O Código Da Vinci é incrível ..</v>
      </c>
      <c r="B5413" s="3">
        <v>1</v>
      </c>
    </row>
    <row r="5414" ht="15.75" customHeight="1" spans="1:2">
      <c r="A5414" s="3" t="str">
        <f>IFERROR(__xludf.DUMMYFUNCTION("GOOGLETRANSLATE(A5414,""en"",""pt"")"),"O Código Da Vinci é espectacular !!")</f>
        <v>O Código Da Vinci é espectacular !!</v>
      </c>
      <c r="B5414" s="3">
        <v>1</v>
      </c>
    </row>
    <row r="5415" ht="15.75" customHeight="1" spans="1:2">
      <c r="A5415" s="3" t="str">
        <f>IFERROR(__xludf.DUMMYFUNCTION("GOOGLETRANSLATE(A5415,""en"",""pt"")"),"Luv lubb o Código Da Vinci!")</f>
        <v>Luv lubb o Código Da Vinci!</v>
      </c>
      <c r="B5415" s="3">
        <v>1</v>
      </c>
    </row>
    <row r="5416" ht="15.75" customHeight="1" spans="1:2">
      <c r="A5416" s="3" t="str">
        <f>IFERROR(__xludf.DUMMYFUNCTION("GOOGLETRANSLATE(A5416,""en"",""pt"")"),"as pessoas que valem a pena saber o quanto eu amo o código da vinci.")</f>
        <v>as pessoas que valem a pena saber o quanto eu amo o código da vinci.</v>
      </c>
      <c r="B5416" s="3">
        <v>1</v>
      </c>
    </row>
    <row r="5417" ht="15.75" customHeight="1" spans="1:2">
      <c r="A5417" s="3" t="str">
        <f>IFERROR(__xludf.DUMMYFUNCTION("GOOGLETRANSLATE(A5417,""en"",""pt"")"),"Eu queria desesperadamente love'The Código Da Vinci como um filme.")</f>
        <v>Eu queria desesperadamente love'The Código Da Vinci como um filme.</v>
      </c>
      <c r="B5417" s="3">
        <v>1</v>
      </c>
    </row>
    <row r="5418" ht="15.75" customHeight="1" spans="1:2">
      <c r="A5418" s="3" t="str">
        <f>IFERROR(__xludf.DUMMYFUNCTION("GOOGLETRANSLATE(A5418,""en"",""pt"")"),"O Código Da Vinci foi incrível, eu não posso esperar para lê-lo ...")</f>
        <v>O Código Da Vinci foi incrível, eu não posso esperar para lê-lo ...</v>
      </c>
      <c r="B5418" s="3">
        <v>1</v>
      </c>
    </row>
    <row r="5419" ht="15.75" customHeight="1" spans="1:2">
      <c r="A5419" s="3" t="str">
        <f>IFERROR(__xludf.DUMMYFUNCTION("GOOGLETRANSLATE(A5419,""en"",""pt"")"),"O Código Da Vinci foi absolutamente incrível!")</f>
        <v>O Código Da Vinci foi absolutamente incrível!</v>
      </c>
      <c r="B5419" s="3">
        <v>1</v>
      </c>
    </row>
    <row r="5420" ht="15.75" customHeight="1" spans="1:2">
      <c r="A5420" s="3" t="str">
        <f>IFERROR(__xludf.DUMMYFUNCTION("GOOGLETRANSLATE(A5420,""en"",""pt"")"),"Código Da Vinci era um filme impressionante ...")</f>
        <v>Código Da Vinci era um filme impressionante ...</v>
      </c>
      <c r="B5420" s="3">
        <v>1</v>
      </c>
    </row>
    <row r="5421" ht="15.75" customHeight="1" spans="1:2">
      <c r="A5421" s="3" t="str">
        <f>IFERROR(__xludf.DUMMYFUNCTION("GOOGLETRANSLATE(A5421,""en"",""pt"")"),"CÓDIGO DA VINCI É IMPRESSIONANTE !!")</f>
        <v>CÓDIGO DA VINCI É IMPRESSIONANTE !!</v>
      </c>
      <c r="B5421" s="3">
        <v>1</v>
      </c>
    </row>
    <row r="5422" ht="15.75" customHeight="1" spans="1:2">
      <c r="A5422" s="3" t="str">
        <f>IFERROR(__xludf.DUMMYFUNCTION("GOOGLETRANSLATE(A5422,""en"",""pt"")"),"Eu amo O Código Da Vinci ...")</f>
        <v>Eu amo O Código Da Vinci ...</v>
      </c>
      <c r="B5422" s="3">
        <v>1</v>
      </c>
    </row>
    <row r="5423" ht="15.75" customHeight="1" spans="1:2">
      <c r="A5423" s="3" t="str">
        <f>IFERROR(__xludf.DUMMYFUNCTION("GOOGLETRANSLATE(A5423,""en"",""pt"")"),"O Código Da Vinci é incrível ..")</f>
        <v>O Código Da Vinci é incrível ..</v>
      </c>
      <c r="B5423" s="3">
        <v>1</v>
      </c>
    </row>
    <row r="5424" ht="15.75" customHeight="1" spans="1:2">
      <c r="A5424" s="3" t="str">
        <f>IFERROR(__xludf.DUMMYFUNCTION("GOOGLETRANSLATE(A5424,""en"",""pt"")"),"O Código Da Vinci é espectacular !!")</f>
        <v>O Código Da Vinci é espectacular !!</v>
      </c>
      <c r="B5424" s="3">
        <v>1</v>
      </c>
    </row>
    <row r="5425" ht="15.75" customHeight="1" spans="1:2">
      <c r="A5425" s="3" t="str">
        <f>IFERROR(__xludf.DUMMYFUNCTION("GOOGLETRANSLATE(A5425,""en"",""pt"")"),"Luv lubb o Código Da Vinci!")</f>
        <v>Luv lubb o Código Da Vinci!</v>
      </c>
      <c r="B5425" s="3">
        <v>1</v>
      </c>
    </row>
    <row r="5426" ht="15.75" customHeight="1" spans="1:2">
      <c r="A5426" s="3" t="str">
        <f>IFERROR(__xludf.DUMMYFUNCTION("GOOGLETRANSLATE(A5426,""en"",""pt"")"),"as pessoas que valem a pena saber o quanto eu amo o código da vinci.")</f>
        <v>as pessoas que valem a pena saber o quanto eu amo o código da vinci.</v>
      </c>
      <c r="B5426" s="3">
        <v>1</v>
      </c>
    </row>
    <row r="5427" ht="15.75" customHeight="1" spans="1:2">
      <c r="A5427" s="3" t="str">
        <f>IFERROR(__xludf.DUMMYFUNCTION("GOOGLETRANSLATE(A5427,""en"",""pt"")"),"Eu queria desesperadamente love'The Código Da Vinci como um filme.")</f>
        <v>Eu queria desesperadamente love'The Código Da Vinci como um filme.</v>
      </c>
      <c r="B5427" s="3">
        <v>1</v>
      </c>
    </row>
    <row r="5428" ht="15.75" customHeight="1" spans="1:2">
      <c r="A5428" s="3" t="str">
        <f>IFERROR(__xludf.DUMMYFUNCTION("GOOGLETRANSLATE(A5428,""en"",""pt"")"),"O Código Da Vinci foi incrível, eu não posso esperar para lê-lo ...")</f>
        <v>O Código Da Vinci foi incrível, eu não posso esperar para lê-lo ...</v>
      </c>
      <c r="B5428" s="3">
        <v>1</v>
      </c>
    </row>
    <row r="5429" ht="15.75" customHeight="1" spans="1:2">
      <c r="A5429" s="3" t="str">
        <f>IFERROR(__xludf.DUMMYFUNCTION("GOOGLETRANSLATE(A5429,""en"",""pt"")"),"O Código Da Vinci foi absolutamente incrível!")</f>
        <v>O Código Da Vinci foi absolutamente incrível!</v>
      </c>
      <c r="B5429" s="3">
        <v>1</v>
      </c>
    </row>
    <row r="5430" ht="15.75" customHeight="1" spans="1:2">
      <c r="A5430" s="3" t="str">
        <f>IFERROR(__xludf.DUMMYFUNCTION("GOOGLETRANSLATE(A5430,""en"",""pt"")"),"Código Da Vinci era um filme impressionante ...")</f>
        <v>Código Da Vinci era um filme impressionante ...</v>
      </c>
      <c r="B5430" s="3">
        <v>1</v>
      </c>
    </row>
    <row r="5431" ht="15.75" customHeight="1" spans="1:2">
      <c r="A5431" s="3" t="str">
        <f>IFERROR(__xludf.DUMMYFUNCTION("GOOGLETRANSLATE(A5431,""en"",""pt"")"),"CÓDIGO DA VINCI É IMPRESSIONANTE !!")</f>
        <v>CÓDIGO DA VINCI É IMPRESSIONANTE !!</v>
      </c>
      <c r="B5431" s="3">
        <v>1</v>
      </c>
    </row>
    <row r="5432" ht="15.75" customHeight="1" spans="1:2">
      <c r="A5432" s="3" t="str">
        <f>IFERROR(__xludf.DUMMYFUNCTION("GOOGLETRANSLATE(A5432,""en"",""pt"")"),"Eu amo O Código Da Vinci ...")</f>
        <v>Eu amo O Código Da Vinci ...</v>
      </c>
      <c r="B5432" s="3">
        <v>1</v>
      </c>
    </row>
    <row r="5433" ht="15.75" customHeight="1" spans="1:2">
      <c r="A5433" s="3" t="str">
        <f>IFERROR(__xludf.DUMMYFUNCTION("GOOGLETRANSLATE(A5433,""en"",""pt"")"),"O Código Da Vinci é incrível ..")</f>
        <v>O Código Da Vinci é incrível ..</v>
      </c>
      <c r="B5433" s="3">
        <v>1</v>
      </c>
    </row>
    <row r="5434" ht="15.75" customHeight="1" spans="1:2">
      <c r="A5434" s="3" t="str">
        <f>IFERROR(__xludf.DUMMYFUNCTION("GOOGLETRANSLATE(A5434,""en"",""pt"")"),"O Código Da Vinci é espectacular !!")</f>
        <v>O Código Da Vinci é espectacular !!</v>
      </c>
      <c r="B5434" s="3">
        <v>1</v>
      </c>
    </row>
    <row r="5435" ht="15.75" customHeight="1" spans="1:2">
      <c r="A5435" s="3" t="str">
        <f>IFERROR(__xludf.DUMMYFUNCTION("GOOGLETRANSLATE(A5435,""en"",""pt"")"),"Luv lubb o Código Da Vinci!")</f>
        <v>Luv lubb o Código Da Vinci!</v>
      </c>
      <c r="B5435" s="3">
        <v>1</v>
      </c>
    </row>
    <row r="5436" ht="15.75" customHeight="1" spans="1:2">
      <c r="A5436" s="3" t="str">
        <f>IFERROR(__xludf.DUMMYFUNCTION("GOOGLETRANSLATE(A5436,""en"",""pt"")"),"as pessoas que valem a pena saber o quanto eu amo o código da vinci.")</f>
        <v>as pessoas que valem a pena saber o quanto eu amo o código da vinci.</v>
      </c>
      <c r="B5436" s="3">
        <v>1</v>
      </c>
    </row>
    <row r="5437" ht="15.75" customHeight="1" spans="1:2">
      <c r="A5437" s="3" t="str">
        <f>IFERROR(__xludf.DUMMYFUNCTION("GOOGLETRANSLATE(A5437,""en"",""pt"")"),"Eu queria desesperadamente love'The Código Da Vinci como um filme.")</f>
        <v>Eu queria desesperadamente love'The Código Da Vinci como um filme.</v>
      </c>
      <c r="B5437" s="3">
        <v>1</v>
      </c>
    </row>
    <row r="5438" ht="15.75" customHeight="1" spans="1:2">
      <c r="A5438" s="3" t="str">
        <f>IFERROR(__xludf.DUMMYFUNCTION("GOOGLETRANSLATE(A5438,""en"",""pt"")"),"O Código Da Vinci foi incrível, eu não posso esperar para lê-lo ...")</f>
        <v>O Código Da Vinci foi incrível, eu não posso esperar para lê-lo ...</v>
      </c>
      <c r="B5438" s="3">
        <v>1</v>
      </c>
    </row>
    <row r="5439" ht="15.75" customHeight="1" spans="1:2">
      <c r="A5439" s="3" t="str">
        <f>IFERROR(__xludf.DUMMYFUNCTION("GOOGLETRANSLATE(A5439,""en"",""pt"")"),"O Código Da Vinci foi absolutamente incrível!")</f>
        <v>O Código Da Vinci foi absolutamente incrível!</v>
      </c>
      <c r="B5439" s="3">
        <v>1</v>
      </c>
    </row>
    <row r="5440" ht="15.75" customHeight="1" spans="1:2">
      <c r="A5440" s="3" t="str">
        <f>IFERROR(__xludf.DUMMYFUNCTION("GOOGLETRANSLATE(A5440,""en"",""pt"")"),"Código Da Vinci era um filme impressionante ...")</f>
        <v>Código Da Vinci era um filme impressionante ...</v>
      </c>
      <c r="B5440" s="3">
        <v>1</v>
      </c>
    </row>
    <row r="5441" ht="15.75" customHeight="1" spans="1:2">
      <c r="A5441" s="3" t="str">
        <f>IFERROR(__xludf.DUMMYFUNCTION("GOOGLETRANSLATE(A5441,""en"",""pt"")"),"CÓDIGO DA VINCI É IMPRESSIONANTE !!")</f>
        <v>CÓDIGO DA VINCI É IMPRESSIONANTE !!</v>
      </c>
      <c r="B5441" s="3">
        <v>1</v>
      </c>
    </row>
    <row r="5442" ht="15.75" customHeight="1" spans="1:2">
      <c r="A5442" s="3" t="s">
        <v>17</v>
      </c>
      <c r="B5442" s="3">
        <v>1</v>
      </c>
    </row>
    <row r="5443" ht="15.75" customHeight="1" spans="1:2">
      <c r="A5443" s="3" t="str">
        <f>IFERROR(__xludf.DUMMYFUNCTION("GOOGLETRANSLATE(A5443,""en"",""pt"")"),"O Código Da Vinci é incrível ..")</f>
        <v>O Código Da Vinci é incrível ..</v>
      </c>
      <c r="B5443" s="3">
        <v>1</v>
      </c>
    </row>
    <row r="5444" ht="15.75" customHeight="1" spans="1:2">
      <c r="A5444" s="3" t="str">
        <f>IFERROR(__xludf.DUMMYFUNCTION("GOOGLETRANSLATE(A5444,""en"",""pt"")"),"O Código Da Vinci é espectacular !!")</f>
        <v>O Código Da Vinci é espectacular !!</v>
      </c>
      <c r="B5444" s="3">
        <v>1</v>
      </c>
    </row>
    <row r="5445" ht="15.75" customHeight="1" spans="1:2">
      <c r="A5445" s="3" t="str">
        <f>IFERROR(__xludf.DUMMYFUNCTION("GOOGLETRANSLATE(A5445,""en"",""pt"")"),"Luv lubb o Código Da Vinci!")</f>
        <v>Luv lubb o Código Da Vinci!</v>
      </c>
      <c r="B5445" s="3">
        <v>1</v>
      </c>
    </row>
    <row r="5446" ht="15.75" customHeight="1" spans="1:2">
      <c r="A5446" s="3" t="str">
        <f>IFERROR(__xludf.DUMMYFUNCTION("GOOGLETRANSLATE(A5446,""en"",""pt"")"),"as pessoas que valem a pena saber o quanto eu amo o código da vinci.")</f>
        <v>as pessoas que valem a pena saber o quanto eu amo o código da vinci.</v>
      </c>
      <c r="B5446" s="3">
        <v>1</v>
      </c>
    </row>
    <row r="5447" ht="15.75" customHeight="1" spans="1:2">
      <c r="A5447" s="3" t="str">
        <f>IFERROR(__xludf.DUMMYFUNCTION("GOOGLETRANSLATE(A5447,""en"",""pt"")"),"Eu queria desesperadamente love'The Código Da Vinci como um filme.")</f>
        <v>Eu queria desesperadamente love'The Código Da Vinci como um filme.</v>
      </c>
      <c r="B5447" s="3">
        <v>1</v>
      </c>
    </row>
    <row r="5448" ht="15.75" customHeight="1" spans="1:2">
      <c r="A5448" s="3" t="str">
        <f>IFERROR(__xludf.DUMMYFUNCTION("GOOGLETRANSLATE(A5448,""en"",""pt"")"),"O Código Da Vinci foi incrível, eu não posso esperar para lê-lo ...")</f>
        <v>O Código Da Vinci foi incrível, eu não posso esperar para lê-lo ...</v>
      </c>
      <c r="B5448" s="3">
        <v>1</v>
      </c>
    </row>
    <row r="5449" ht="15.75" customHeight="1" spans="1:2">
      <c r="A5449" s="3" t="str">
        <f>IFERROR(__xludf.DUMMYFUNCTION("GOOGLETRANSLATE(A5449,""en"",""pt"")"),"O Código Da Vinci foi absolutamente incrível!")</f>
        <v>O Código Da Vinci foi absolutamente incrível!</v>
      </c>
      <c r="B5449" s="3">
        <v>1</v>
      </c>
    </row>
    <row r="5450" ht="15.75" customHeight="1" spans="1:2">
      <c r="A5450" s="3" t="str">
        <f>IFERROR(__xludf.DUMMYFUNCTION("GOOGLETRANSLATE(A5450,""en"",""pt"")"),"Código Da Vinci era um filme impressionante ...")</f>
        <v>Código Da Vinci era um filme impressionante ...</v>
      </c>
      <c r="B5450" s="3">
        <v>1</v>
      </c>
    </row>
    <row r="5451" ht="15.75" customHeight="1" spans="1:2">
      <c r="A5451" s="3" t="str">
        <f>IFERROR(__xludf.DUMMYFUNCTION("GOOGLETRANSLATE(A5451,""en"",""pt"")"),"CÓDIGO DA VINCI É IMPRESSIONANTE !!")</f>
        <v>CÓDIGO DA VINCI É IMPRESSIONANTE !!</v>
      </c>
      <c r="B5451" s="3">
        <v>1</v>
      </c>
    </row>
    <row r="5452" ht="15.75" customHeight="1" spans="1:2">
      <c r="A5452" s="3" t="str">
        <f>IFERROR(__xludf.DUMMYFUNCTION("GOOGLETRANSLATE(A5452,""en"",""pt"")"),"Eu amo O Código Da Vinci ...")</f>
        <v>Eu amo O Código Da Vinci ...</v>
      </c>
      <c r="B5452" s="3">
        <v>1</v>
      </c>
    </row>
    <row r="5453" ht="15.75" customHeight="1" spans="1:2">
      <c r="A5453" s="3" t="str">
        <f>IFERROR(__xludf.DUMMYFUNCTION("GOOGLETRANSLATE(A5453,""en"",""pt"")"),"O Código Da Vinci é incrível ..")</f>
        <v>O Código Da Vinci é incrível ..</v>
      </c>
      <c r="B5453" s="3">
        <v>1</v>
      </c>
    </row>
    <row r="5454" ht="15.75" customHeight="1" spans="1:2">
      <c r="A5454" s="3" t="str">
        <f>IFERROR(__xludf.DUMMYFUNCTION("GOOGLETRANSLATE(A5454,""en"",""pt"")"),"O Código Da Vinci é espectacular !!")</f>
        <v>O Código Da Vinci é espectacular !!</v>
      </c>
      <c r="B5454" s="3">
        <v>1</v>
      </c>
    </row>
    <row r="5455" ht="15.75" customHeight="1" spans="1:2">
      <c r="A5455" s="3" t="str">
        <f>IFERROR(__xludf.DUMMYFUNCTION("GOOGLETRANSLATE(A5455,""en"",""pt"")"),"Luv lubb o Código Da Vinci!")</f>
        <v>Luv lubb o Código Da Vinci!</v>
      </c>
      <c r="B5455" s="3">
        <v>1</v>
      </c>
    </row>
    <row r="5456" ht="15.75" customHeight="1" spans="1:2">
      <c r="A5456" s="3" t="str">
        <f>IFERROR(__xludf.DUMMYFUNCTION("GOOGLETRANSLATE(A5456,""en"",""pt"")"),"as pessoas que valem a pena saber o quanto eu amo o código da vinci.")</f>
        <v>as pessoas que valem a pena saber o quanto eu amo o código da vinci.</v>
      </c>
      <c r="B5456" s="3">
        <v>1</v>
      </c>
    </row>
    <row r="5457" ht="15.75" customHeight="1" spans="1:2">
      <c r="A5457" s="3" t="str">
        <f>IFERROR(__xludf.DUMMYFUNCTION("GOOGLETRANSLATE(A5457,""en"",""pt"")"),"Eu queria desesperadamente love'The Código Da Vinci como um filme.")</f>
        <v>Eu queria desesperadamente love'The Código Da Vinci como um filme.</v>
      </c>
      <c r="B5457" s="3">
        <v>1</v>
      </c>
    </row>
    <row r="5458" ht="15.75" customHeight="1" spans="1:2">
      <c r="A5458" s="3" t="str">
        <f>IFERROR(__xludf.DUMMYFUNCTION("GOOGLETRANSLATE(A5458,""en"",""pt"")"),"O Código Da Vinci foi incrível, eu não posso esperar para lê-lo ...")</f>
        <v>O Código Da Vinci foi incrível, eu não posso esperar para lê-lo ...</v>
      </c>
      <c r="B5458" s="3">
        <v>1</v>
      </c>
    </row>
    <row r="5459" ht="15.75" customHeight="1" spans="1:2">
      <c r="A5459" s="3" t="str">
        <f>IFERROR(__xludf.DUMMYFUNCTION("GOOGLETRANSLATE(A5459,""en"",""pt"")"),"O Código Da Vinci foi absolutamente incrível!")</f>
        <v>O Código Da Vinci foi absolutamente incrível!</v>
      </c>
      <c r="B5459" s="3">
        <v>1</v>
      </c>
    </row>
    <row r="5460" ht="15.75" customHeight="1" spans="1:2">
      <c r="A5460" s="3" t="str">
        <f>IFERROR(__xludf.DUMMYFUNCTION("GOOGLETRANSLATE(A5460,""en"",""pt"")"),"Código Da Vinci era um filme impressionante ...")</f>
        <v>Código Da Vinci era um filme impressionante ...</v>
      </c>
      <c r="B5460" s="3">
        <v>1</v>
      </c>
    </row>
    <row r="5461" ht="15.75" customHeight="1" spans="1:2">
      <c r="A5461" s="3" t="str">
        <f>IFERROR(__xludf.DUMMYFUNCTION("GOOGLETRANSLATE(A5461,""en"",""pt"")"),"CÓDIGO DA VINCI É IMPRESSIONANTE !!")</f>
        <v>CÓDIGO DA VINCI É IMPRESSIONANTE !!</v>
      </c>
      <c r="B5461" s="3">
        <v>1</v>
      </c>
    </row>
    <row r="5462" ht="15.75" customHeight="1" spans="1:2">
      <c r="A5462" s="3" t="str">
        <f>IFERROR(__xludf.DUMMYFUNCTION("GOOGLETRANSLATE(A5462,""en"",""pt"")"),"Eu amo O Código Da Vinci ...")</f>
        <v>Eu amo O Código Da Vinci ...</v>
      </c>
      <c r="B5462" s="3">
        <v>1</v>
      </c>
    </row>
    <row r="5463" ht="15.75" customHeight="1" spans="1:2">
      <c r="A5463" s="3" t="str">
        <f>IFERROR(__xludf.DUMMYFUNCTION("GOOGLETRANSLATE(A5463,""en"",""pt"")"),"O Código Da Vinci é incrível ..")</f>
        <v>O Código Da Vinci é incrível ..</v>
      </c>
      <c r="B5463" s="3">
        <v>1</v>
      </c>
    </row>
    <row r="5464" ht="15.75" customHeight="1" spans="1:2">
      <c r="A5464" s="3" t="str">
        <f>IFERROR(__xludf.DUMMYFUNCTION("GOOGLETRANSLATE(A5464,""en"",""pt"")"),"O Código Da Vinci é espectacular !!")</f>
        <v>O Código Da Vinci é espectacular !!</v>
      </c>
      <c r="B5464" s="3">
        <v>1</v>
      </c>
    </row>
    <row r="5465" ht="15.75" customHeight="1" spans="1:2">
      <c r="A5465" s="3" t="str">
        <f>IFERROR(__xludf.DUMMYFUNCTION("GOOGLETRANSLATE(A5465,""en"",""pt"")"),"Luv lubb o Código Da Vinci!")</f>
        <v>Luv lubb o Código Da Vinci!</v>
      </c>
      <c r="B5465" s="3">
        <v>1</v>
      </c>
    </row>
    <row r="5466" ht="15.75" customHeight="1" spans="1:2">
      <c r="A5466" s="3" t="str">
        <f>IFERROR(__xludf.DUMMYFUNCTION("GOOGLETRANSLATE(A5466,""en"",""pt"")"),"as pessoas que valem a pena saber o quanto eu amo o código da vinci.")</f>
        <v>as pessoas que valem a pena saber o quanto eu amo o código da vinci.</v>
      </c>
      <c r="B5466" s="3">
        <v>1</v>
      </c>
    </row>
    <row r="5467" ht="15.75" customHeight="1" spans="1:2">
      <c r="A5467" s="3" t="str">
        <f>IFERROR(__xludf.DUMMYFUNCTION("GOOGLETRANSLATE(A5467,""en"",""pt"")"),"Eu queria desesperadamente love'The Código Da Vinci como um filme.")</f>
        <v>Eu queria desesperadamente love'The Código Da Vinci como um filme.</v>
      </c>
      <c r="B5467" s="3">
        <v>1</v>
      </c>
    </row>
    <row r="5468" ht="15.75" customHeight="1" spans="1:2">
      <c r="A5468" s="3" t="str">
        <f>IFERROR(__xludf.DUMMYFUNCTION("GOOGLETRANSLATE(A5468,""en"",""pt"")"),"O Código Da Vinci foi incrível, eu não posso esperar para lê-lo ...")</f>
        <v>O Código Da Vinci foi incrível, eu não posso esperar para lê-lo ...</v>
      </c>
      <c r="B5468" s="3">
        <v>1</v>
      </c>
    </row>
    <row r="5469" ht="15.75" customHeight="1" spans="1:2">
      <c r="A5469" s="3" t="str">
        <f>IFERROR(__xludf.DUMMYFUNCTION("GOOGLETRANSLATE(A5469,""en"",""pt"")"),"O Código Da Vinci foi absolutamente incrível!")</f>
        <v>O Código Da Vinci foi absolutamente incrível!</v>
      </c>
      <c r="B5469" s="3">
        <v>1</v>
      </c>
    </row>
    <row r="5470" ht="15.75" customHeight="1" spans="1:2">
      <c r="A5470" s="3" t="str">
        <f>IFERROR(__xludf.DUMMYFUNCTION("GOOGLETRANSLATE(A5470,""en"",""pt"")"),"Código Da Vinci era um filme impressionante ...")</f>
        <v>Código Da Vinci era um filme impressionante ...</v>
      </c>
      <c r="B5470" s="3">
        <v>1</v>
      </c>
    </row>
    <row r="5471" ht="15.75" customHeight="1" spans="1:2">
      <c r="A5471" s="3" t="str">
        <f>IFERROR(__xludf.DUMMYFUNCTION("GOOGLETRANSLATE(A5471,""en"",""pt"")"),"CÓDIGO DA VINCI É IMPRESSIONANTE !!")</f>
        <v>CÓDIGO DA VINCI É IMPRESSIONANTE !!</v>
      </c>
      <c r="B5471" s="3">
        <v>1</v>
      </c>
    </row>
    <row r="5472" ht="15.75" customHeight="1" spans="1:2">
      <c r="A5472" s="3" t="str">
        <f>IFERROR(__xludf.DUMMYFUNCTION("GOOGLETRANSLATE(A5472,""en"",""pt"")"),"Eu amo O Código Da Vinci ...")</f>
        <v>Eu amo O Código Da Vinci ...</v>
      </c>
      <c r="B5472" s="3">
        <v>1</v>
      </c>
    </row>
    <row r="5473" ht="15.75" customHeight="1" spans="1:2">
      <c r="A5473" s="3" t="str">
        <f>IFERROR(__xludf.DUMMYFUNCTION("GOOGLETRANSLATE(A5473,""en"",""pt"")"),"O Código Da Vinci é incrível ..")</f>
        <v>O Código Da Vinci é incrível ..</v>
      </c>
      <c r="B5473" s="3">
        <v>1</v>
      </c>
    </row>
    <row r="5474" ht="15.75" customHeight="1" spans="1:2">
      <c r="A5474" s="3" t="str">
        <f>IFERROR(__xludf.DUMMYFUNCTION("GOOGLETRANSLATE(A5474,""en"",""pt"")"),"O Código Da Vinci é espectacular !!")</f>
        <v>O Código Da Vinci é espectacular !!</v>
      </c>
      <c r="B5474" s="3">
        <v>1</v>
      </c>
    </row>
    <row r="5475" ht="15.75" customHeight="1" spans="1:2">
      <c r="A5475" s="3" t="str">
        <f>IFERROR(__xludf.DUMMYFUNCTION("GOOGLETRANSLATE(A5475,""en"",""pt"")"),"Luv lubb o Código Da Vinci!")</f>
        <v>Luv lubb o Código Da Vinci!</v>
      </c>
      <c r="B5475" s="3">
        <v>1</v>
      </c>
    </row>
    <row r="5476" ht="15.75" customHeight="1" spans="1:2">
      <c r="A5476" s="3" t="str">
        <f>IFERROR(__xludf.DUMMYFUNCTION("GOOGLETRANSLATE(A5476,""en"",""pt"")"),"as pessoas que valem a pena saber o quanto eu amo o código da vinci.")</f>
        <v>as pessoas que valem a pena saber o quanto eu amo o código da vinci.</v>
      </c>
      <c r="B5476" s="3">
        <v>1</v>
      </c>
    </row>
    <row r="5477" ht="15.75" customHeight="1" spans="1:2">
      <c r="A5477" s="3" t="str">
        <f>IFERROR(__xludf.DUMMYFUNCTION("GOOGLETRANSLATE(A5477,""en"",""pt"")"),"Eu queria desesperadamente love'The Código Da Vinci como um filme.")</f>
        <v>Eu queria desesperadamente love'The Código Da Vinci como um filme.</v>
      </c>
      <c r="B5477" s="3">
        <v>1</v>
      </c>
    </row>
    <row r="5478" ht="15.75" customHeight="1" spans="1:2">
      <c r="A5478" s="3" t="str">
        <f>IFERROR(__xludf.DUMMYFUNCTION("GOOGLETRANSLATE(A5478,""en"",""pt"")"),"O Código Da Vinci foi incrível, eu não posso esperar para lê-lo ...")</f>
        <v>O Código Da Vinci foi incrível, eu não posso esperar para lê-lo ...</v>
      </c>
      <c r="B5478" s="3">
        <v>1</v>
      </c>
    </row>
    <row r="5479" ht="15.75" customHeight="1" spans="1:2">
      <c r="A5479" s="3" t="str">
        <f>IFERROR(__xludf.DUMMYFUNCTION("GOOGLETRANSLATE(A5479,""en"",""pt"")"),"O Código Da Vinci foi absolutamente incrível!")</f>
        <v>O Código Da Vinci foi absolutamente incrível!</v>
      </c>
      <c r="B5479" s="3">
        <v>1</v>
      </c>
    </row>
    <row r="5480" ht="15.75" customHeight="1" spans="1:2">
      <c r="A5480" s="3" t="str">
        <f>IFERROR(__xludf.DUMMYFUNCTION("GOOGLETRANSLATE(A5480,""en"",""pt"")"),"Código Da Vinci era um filme impressionante ...")</f>
        <v>Código Da Vinci era um filme impressionante ...</v>
      </c>
      <c r="B5480" s="3">
        <v>1</v>
      </c>
    </row>
    <row r="5481" ht="15.75" customHeight="1" spans="1:2">
      <c r="A5481" s="3" t="str">
        <f>IFERROR(__xludf.DUMMYFUNCTION("GOOGLETRANSLATE(A5481,""en"",""pt"")"),"CÓDIGO DA VINCI É IMPRESSIONANTE !!")</f>
        <v>CÓDIGO DA VINCI É IMPRESSIONANTE !!</v>
      </c>
      <c r="B5481" s="3">
        <v>1</v>
      </c>
    </row>
    <row r="5482" ht="15.75" customHeight="1" spans="1:2">
      <c r="A5482" s="3" t="str">
        <f>IFERROR(__xludf.DUMMYFUNCTION("GOOGLETRANSLATE(A5482,""en"",""pt"")"),"Eu amo O Código Da Vinci ...")</f>
        <v>Eu amo O Código Da Vinci ...</v>
      </c>
      <c r="B5482" s="3">
        <v>1</v>
      </c>
    </row>
    <row r="5483" ht="15.75" customHeight="1" spans="1:2">
      <c r="A5483" s="3" t="str">
        <f>IFERROR(__xludf.DUMMYFUNCTION("GOOGLETRANSLATE(A5483,""en"",""pt"")"),"O Código Da Vinci é incrível ..")</f>
        <v>O Código Da Vinci é incrível ..</v>
      </c>
      <c r="B5483" s="3">
        <v>1</v>
      </c>
    </row>
    <row r="5484" ht="15.75" customHeight="1" spans="1:2">
      <c r="A5484" s="3" t="str">
        <f>IFERROR(__xludf.DUMMYFUNCTION("GOOGLETRANSLATE(A5484,""en"",""pt"")"),"O Código Da Vinci é espectacular !!")</f>
        <v>O Código Da Vinci é espectacular !!</v>
      </c>
      <c r="B5484" s="3">
        <v>1</v>
      </c>
    </row>
    <row r="5485" ht="15.75" customHeight="1" spans="1:2">
      <c r="A5485" s="3" t="str">
        <f>IFERROR(__xludf.DUMMYFUNCTION("GOOGLETRANSLATE(A5485,""en"",""pt"")"),"Luv lubb o Código Da Vinci!")</f>
        <v>Luv lubb o Código Da Vinci!</v>
      </c>
      <c r="B5485" s="3">
        <v>1</v>
      </c>
    </row>
    <row r="5486" ht="15.75" customHeight="1" spans="1:2">
      <c r="A5486" s="3" t="str">
        <f>IFERROR(__xludf.DUMMYFUNCTION("GOOGLETRANSLATE(A5486,""en"",""pt"")"),"as pessoas que valem a pena saber o quanto eu amo o código da vinci.")</f>
        <v>as pessoas que valem a pena saber o quanto eu amo o código da vinci.</v>
      </c>
      <c r="B5486" s="3">
        <v>1</v>
      </c>
    </row>
    <row r="5487" ht="15.75" customHeight="1" spans="1:2">
      <c r="A5487" s="3" t="str">
        <f>IFERROR(__xludf.DUMMYFUNCTION("GOOGLETRANSLATE(A5487,""en"",""pt"")"),"Eu queria desesperadamente love'The Código Da Vinci como um filme.")</f>
        <v>Eu queria desesperadamente love'The Código Da Vinci como um filme.</v>
      </c>
      <c r="B5487" s="3">
        <v>1</v>
      </c>
    </row>
    <row r="5488" ht="15.75" customHeight="1" spans="1:2">
      <c r="A5488" s="3" t="str">
        <f>IFERROR(__xludf.DUMMYFUNCTION("GOOGLETRANSLATE(A5488,""en"",""pt"")"),"O Código Da Vinci foi incrível, eu não posso esperar para lê-lo ...")</f>
        <v>O Código Da Vinci foi incrível, eu não posso esperar para lê-lo ...</v>
      </c>
      <c r="B5488" s="3">
        <v>1</v>
      </c>
    </row>
    <row r="5489" ht="15.75" customHeight="1" spans="1:2">
      <c r="A5489" s="3" t="str">
        <f>IFERROR(__xludf.DUMMYFUNCTION("GOOGLETRANSLATE(A5489,""en"",""pt"")"),"O Código Da Vinci foi absolutamente incrível!")</f>
        <v>O Código Da Vinci foi absolutamente incrível!</v>
      </c>
      <c r="B5489" s="3">
        <v>1</v>
      </c>
    </row>
    <row r="5490" ht="15.75" customHeight="1" spans="1:2">
      <c r="A5490" s="3" t="str">
        <f>IFERROR(__xludf.DUMMYFUNCTION("GOOGLETRANSLATE(A5490,""en"",""pt"")"),"Código Da Vinci era um filme impressionante ...")</f>
        <v>Código Da Vinci era um filme impressionante ...</v>
      </c>
      <c r="B5490" s="3">
        <v>1</v>
      </c>
    </row>
    <row r="5491" ht="15.75" customHeight="1" spans="1:2">
      <c r="A5491" s="3" t="str">
        <f>IFERROR(__xludf.DUMMYFUNCTION("GOOGLETRANSLATE(A5491,""en"",""pt"")"),"CÓDIGO DA VINCI É IMPRESSIONANTE !!")</f>
        <v>CÓDIGO DA VINCI É IMPRESSIONANTE !!</v>
      </c>
      <c r="B5491" s="3">
        <v>1</v>
      </c>
    </row>
    <row r="5492" ht="15.75" customHeight="1" spans="1:2">
      <c r="A5492" s="3" t="str">
        <f>IFERROR(__xludf.DUMMYFUNCTION("GOOGLETRANSLATE(A5492,""en"",""pt"")"),"Eu amo O Código Da Vinci ...")</f>
        <v>Eu amo O Código Da Vinci ...</v>
      </c>
      <c r="B5492" s="3">
        <v>1</v>
      </c>
    </row>
    <row r="5493" ht="15.75" customHeight="1" spans="1:2">
      <c r="A5493" s="3" t="str">
        <f>IFERROR(__xludf.DUMMYFUNCTION("GOOGLETRANSLATE(A5493,""en"",""pt"")"),"O Código Da Vinci é incrível ..")</f>
        <v>O Código Da Vinci é incrível ..</v>
      </c>
      <c r="B5493" s="3">
        <v>1</v>
      </c>
    </row>
    <row r="5494" ht="15.75" customHeight="1" spans="1:2">
      <c r="A5494" s="3" t="str">
        <f>IFERROR(__xludf.DUMMYFUNCTION("GOOGLETRANSLATE(A5494,""en"",""pt"")"),"O Código Da Vinci é espectacular !!")</f>
        <v>O Código Da Vinci é espectacular !!</v>
      </c>
      <c r="B5494" s="3">
        <v>1</v>
      </c>
    </row>
    <row r="5495" ht="15.75" customHeight="1" spans="1:2">
      <c r="A5495" s="3" t="str">
        <f>IFERROR(__xludf.DUMMYFUNCTION("GOOGLETRANSLATE(A5495,""en"",""pt"")"),"Luv lubb o Código Da Vinci!")</f>
        <v>Luv lubb o Código Da Vinci!</v>
      </c>
      <c r="B5495" s="3">
        <v>1</v>
      </c>
    </row>
    <row r="5496" ht="15.75" customHeight="1" spans="1:2">
      <c r="A5496" s="3" t="str">
        <f>IFERROR(__xludf.DUMMYFUNCTION("GOOGLETRANSLATE(A5496,""en"",""pt"")"),"as pessoas que valem a pena saber o quanto eu amo o código da vinci.")</f>
        <v>as pessoas que valem a pena saber o quanto eu amo o código da vinci.</v>
      </c>
      <c r="B5496" s="3">
        <v>1</v>
      </c>
    </row>
    <row r="5497" ht="15.75" customHeight="1" spans="1:2">
      <c r="A5497" s="3" t="str">
        <f>IFERROR(__xludf.DUMMYFUNCTION("GOOGLETRANSLATE(A5497,""en"",""pt"")"),"Eu queria desesperadamente love'The Código Da Vinci como um filme.")</f>
        <v>Eu queria desesperadamente love'The Código Da Vinci como um filme.</v>
      </c>
      <c r="B5497" s="3">
        <v>1</v>
      </c>
    </row>
    <row r="5498" ht="15.75" customHeight="1" spans="1:2">
      <c r="A5498" s="3" t="str">
        <f>IFERROR(__xludf.DUMMYFUNCTION("GOOGLETRANSLATE(A5498,""en"",""pt"")"),"O Código Da Vinci foi incrível, eu não posso esperar para lê-lo ...")</f>
        <v>O Código Da Vinci foi incrível, eu não posso esperar para lê-lo ...</v>
      </c>
      <c r="B5498" s="3">
        <v>1</v>
      </c>
    </row>
    <row r="5499" ht="15.75" customHeight="1" spans="1:2">
      <c r="A5499" s="3" t="str">
        <f>IFERROR(__xludf.DUMMYFUNCTION("GOOGLETRANSLATE(A5499,""en"",""pt"")"),"O Código Da Vinci foi absolutamente incrível!")</f>
        <v>O Código Da Vinci foi absolutamente incrível!</v>
      </c>
      <c r="B5499" s="3">
        <v>1</v>
      </c>
    </row>
    <row r="5500" ht="15.75" customHeight="1" spans="1:2">
      <c r="A5500" s="3" t="str">
        <f>IFERROR(__xludf.DUMMYFUNCTION("GOOGLETRANSLATE(A5500,""en"",""pt"")"),"Código Da Vinci era um filme impressionante ...")</f>
        <v>Código Da Vinci era um filme impressionante ...</v>
      </c>
      <c r="B5500" s="3">
        <v>1</v>
      </c>
    </row>
    <row r="5501" ht="15.75" customHeight="1" spans="1:2">
      <c r="A5501" s="3" t="str">
        <f>IFERROR(__xludf.DUMMYFUNCTION("GOOGLETRANSLATE(A5501,""en"",""pt"")"),"CÓDIGO DA VINCI É IMPRESSIONANTE !!")</f>
        <v>CÓDIGO DA VINCI É IMPRESSIONANTE !!</v>
      </c>
      <c r="B5501" s="3">
        <v>1</v>
      </c>
    </row>
    <row r="5502" ht="15.75" customHeight="1" spans="1:2">
      <c r="A5502" s="3" t="str">
        <f>IFERROR(__xludf.DUMMYFUNCTION("GOOGLETRANSLATE(A5502,""en"",""pt"")"),"Eu amo O Código Da Vinci ...")</f>
        <v>Eu amo O Código Da Vinci ...</v>
      </c>
      <c r="B5502" s="3">
        <v>1</v>
      </c>
    </row>
    <row r="5503" ht="15.75" customHeight="1" spans="1:2">
      <c r="A5503" s="3" t="str">
        <f>IFERROR(__xludf.DUMMYFUNCTION("GOOGLETRANSLATE(A5503,""en"",""pt"")"),"O Código Da Vinci é incrível ..")</f>
        <v>O Código Da Vinci é incrível ..</v>
      </c>
      <c r="B5503" s="3">
        <v>1</v>
      </c>
    </row>
    <row r="5504" ht="15.75" customHeight="1" spans="1:2">
      <c r="A5504" s="3" t="str">
        <f>IFERROR(__xludf.DUMMYFUNCTION("GOOGLETRANSLATE(A5504,""en"",""pt"")"),"O Código Da Vinci é espectacular !!")</f>
        <v>O Código Da Vinci é espectacular !!</v>
      </c>
      <c r="B5504" s="3">
        <v>1</v>
      </c>
    </row>
    <row r="5505" ht="15.75" customHeight="1" spans="1:2">
      <c r="A5505" s="3" t="str">
        <f>IFERROR(__xludf.DUMMYFUNCTION("GOOGLETRANSLATE(A5505,""en"",""pt"")"),"Luv lubb o Código Da Vinci!")</f>
        <v>Luv lubb o Código Da Vinci!</v>
      </c>
      <c r="B5505" s="3">
        <v>1</v>
      </c>
    </row>
    <row r="5506" ht="15.75" customHeight="1" spans="1:2">
      <c r="A5506" s="3" t="str">
        <f>IFERROR(__xludf.DUMMYFUNCTION("GOOGLETRANSLATE(A5506,""en"",""pt"")"),"as pessoas que valem a pena saber o quanto eu amo o código da vinci.")</f>
        <v>as pessoas que valem a pena saber o quanto eu amo o código da vinci.</v>
      </c>
      <c r="B5506" s="3">
        <v>1</v>
      </c>
    </row>
    <row r="5507" ht="15.75" customHeight="1" spans="1:2">
      <c r="A5507" s="3" t="str">
        <f>IFERROR(__xludf.DUMMYFUNCTION("GOOGLETRANSLATE(A5507,""en"",""pt"")"),"Eu queria desesperadamente love'The Código Da Vinci como um filme.")</f>
        <v>Eu queria desesperadamente love'The Código Da Vinci como um filme.</v>
      </c>
      <c r="B5507" s="3">
        <v>1</v>
      </c>
    </row>
    <row r="5508" ht="15.75" customHeight="1" spans="1:2">
      <c r="A5508" s="3" t="str">
        <f>IFERROR(__xludf.DUMMYFUNCTION("GOOGLETRANSLATE(A5508,""en"",""pt"")"),"O Código Da Vinci foi incrível, eu não posso esperar para lê-lo ...")</f>
        <v>O Código Da Vinci foi incrível, eu não posso esperar para lê-lo ...</v>
      </c>
      <c r="B5508" s="3">
        <v>1</v>
      </c>
    </row>
    <row r="5509" ht="15.75" customHeight="1" spans="1:2">
      <c r="A5509" s="3" t="str">
        <f>IFERROR(__xludf.DUMMYFUNCTION("GOOGLETRANSLATE(A5509,""en"",""pt"")"),"O Código Da Vinci foi absolutamente incrível!")</f>
        <v>O Código Da Vinci foi absolutamente incrível!</v>
      </c>
      <c r="B5509" s="3">
        <v>1</v>
      </c>
    </row>
    <row r="5510" ht="15.75" customHeight="1" spans="1:2">
      <c r="A5510" s="3" t="str">
        <f>IFERROR(__xludf.DUMMYFUNCTION("GOOGLETRANSLATE(A5510,""en"",""pt"")"),"Código Da Vinci era um filme impressionante ...")</f>
        <v>Código Da Vinci era um filme impressionante ...</v>
      </c>
      <c r="B5510" s="3">
        <v>1</v>
      </c>
    </row>
    <row r="5511" ht="15.75" customHeight="1" spans="1:2">
      <c r="A5511" s="3" t="str">
        <f>IFERROR(__xludf.DUMMYFUNCTION("GOOGLETRANSLATE(A5511,""en"",""pt"")"),"CÓDIGO DA VINCI É IMPRESSIONANTE !!")</f>
        <v>CÓDIGO DA VINCI É IMPRESSIONANTE !!</v>
      </c>
      <c r="B5511" s="3">
        <v>1</v>
      </c>
    </row>
    <row r="5512" ht="15.75" customHeight="1" spans="1:2">
      <c r="A5512" s="3" t="str">
        <f>IFERROR(__xludf.DUMMYFUNCTION("GOOGLETRANSLATE(A5512,""en"",""pt"")"),"Eu amo O Código Da Vinci ...")</f>
        <v>Eu amo O Código Da Vinci ...</v>
      </c>
      <c r="B5512" s="3">
        <v>1</v>
      </c>
    </row>
    <row r="5513" ht="15.75" customHeight="1" spans="1:2">
      <c r="A5513" s="3" t="str">
        <f>IFERROR(__xludf.DUMMYFUNCTION("GOOGLETRANSLATE(A5513,""en"",""pt"")"),"O Código Da Vinci é incrível ..")</f>
        <v>O Código Da Vinci é incrível ..</v>
      </c>
      <c r="B5513" s="3">
        <v>1</v>
      </c>
    </row>
    <row r="5514" ht="15.75" customHeight="1" spans="1:2">
      <c r="A5514" s="3" t="str">
        <f>IFERROR(__xludf.DUMMYFUNCTION("GOOGLETRANSLATE(A5514,""en"",""pt"")"),"O Código Da Vinci é espectacular !!")</f>
        <v>O Código Da Vinci é espectacular !!</v>
      </c>
      <c r="B5514" s="3">
        <v>1</v>
      </c>
    </row>
    <row r="5515" ht="15.75" customHeight="1" spans="1:2">
      <c r="A5515" s="3" t="str">
        <f>IFERROR(__xludf.DUMMYFUNCTION("GOOGLETRANSLATE(A5515,""en"",""pt"")"),"Luv lubb o Código Da Vinci!")</f>
        <v>Luv lubb o Código Da Vinci!</v>
      </c>
      <c r="B5515" s="3">
        <v>1</v>
      </c>
    </row>
    <row r="5516" ht="15.75" customHeight="1" spans="1:2">
      <c r="A5516" s="3" t="str">
        <f>IFERROR(__xludf.DUMMYFUNCTION("GOOGLETRANSLATE(A5516,""en"",""pt"")"),"as pessoas que valem a pena saber o quanto eu amo o código da vinci.")</f>
        <v>as pessoas que valem a pena saber o quanto eu amo o código da vinci.</v>
      </c>
      <c r="B5516" s="3">
        <v>1</v>
      </c>
    </row>
    <row r="5517" ht="15.75" customHeight="1" spans="1:2">
      <c r="A5517" s="3" t="str">
        <f>IFERROR(__xludf.DUMMYFUNCTION("GOOGLETRANSLATE(A5517,""en"",""pt"")"),"Eu queria desesperadamente love'The Código Da Vinci como um filme.")</f>
        <v>Eu queria desesperadamente love'The Código Da Vinci como um filme.</v>
      </c>
      <c r="B5517" s="3">
        <v>1</v>
      </c>
    </row>
    <row r="5518" ht="15.75" customHeight="1" spans="1:2">
      <c r="A5518" s="3" t="str">
        <f>IFERROR(__xludf.DUMMYFUNCTION("GOOGLETRANSLATE(A5518,""en"",""pt"")"),"O Código Da Vinci foi incrível, eu não posso esperar para lê-lo ...")</f>
        <v>O Código Da Vinci foi incrível, eu não posso esperar para lê-lo ...</v>
      </c>
      <c r="B5518" s="3">
        <v>1</v>
      </c>
    </row>
    <row r="5519" ht="15.75" customHeight="1" spans="1:2">
      <c r="A5519" s="3" t="str">
        <f>IFERROR(__xludf.DUMMYFUNCTION("GOOGLETRANSLATE(A5519,""en"",""pt"")"),"O Código Da Vinci foi absolutamente incrível!")</f>
        <v>O Código Da Vinci foi absolutamente incrível!</v>
      </c>
      <c r="B5519" s="3">
        <v>1</v>
      </c>
    </row>
    <row r="5520" ht="15.75" customHeight="1" spans="1:2">
      <c r="A5520" s="3" t="str">
        <f>IFERROR(__xludf.DUMMYFUNCTION("GOOGLETRANSLATE(A5520,""en"",""pt"")"),"Código Da Vinci era um filme impressionante ...")</f>
        <v>Código Da Vinci era um filme impressionante ...</v>
      </c>
      <c r="B5520" s="3">
        <v>1</v>
      </c>
    </row>
    <row r="5521" ht="15.75" customHeight="1" spans="1:2">
      <c r="A5521" s="3" t="str">
        <f>IFERROR(__xludf.DUMMYFUNCTION("GOOGLETRANSLATE(A5521,""en"",""pt"")"),"CÓDIGO DA VINCI É IMPRESSIONANTE !!")</f>
        <v>CÓDIGO DA VINCI É IMPRESSIONANTE !!</v>
      </c>
      <c r="B5521" s="3">
        <v>1</v>
      </c>
    </row>
    <row r="5522" ht="15.75" customHeight="1" spans="1:2">
      <c r="A5522" s="3" t="str">
        <f>IFERROR(__xludf.DUMMYFUNCTION("GOOGLETRANSLATE(A5522,""en"",""pt"")"),"Eu amo O Código Da Vinci ...")</f>
        <v>Eu amo O Código Da Vinci ...</v>
      </c>
      <c r="B5522" s="3">
        <v>1</v>
      </c>
    </row>
    <row r="5523" ht="15.75" customHeight="1" spans="1:2">
      <c r="A5523" s="3" t="str">
        <f>IFERROR(__xludf.DUMMYFUNCTION("GOOGLETRANSLATE(A5523,""en"",""pt"")"),"O Código Da Vinci é incrível ..")</f>
        <v>O Código Da Vinci é incrível ..</v>
      </c>
      <c r="B5523" s="3">
        <v>1</v>
      </c>
    </row>
    <row r="5524" ht="15.75" customHeight="1" spans="1:2">
      <c r="A5524" s="3" t="str">
        <f>IFERROR(__xludf.DUMMYFUNCTION("GOOGLETRANSLATE(A5524,""en"",""pt"")"),"O Código Da Vinci é espectacular !!")</f>
        <v>O Código Da Vinci é espectacular !!</v>
      </c>
      <c r="B5524" s="3">
        <v>1</v>
      </c>
    </row>
    <row r="5525" ht="15.75" customHeight="1" spans="1:2">
      <c r="A5525" s="3" t="str">
        <f>IFERROR(__xludf.DUMMYFUNCTION("GOOGLETRANSLATE(A5525,""en"",""pt"")"),"Luv lubb o Código Da Vinci!")</f>
        <v>Luv lubb o Código Da Vinci!</v>
      </c>
      <c r="B5525" s="3">
        <v>1</v>
      </c>
    </row>
    <row r="5526" ht="15.75" customHeight="1" spans="1:2">
      <c r="A5526" s="3" t="str">
        <f>IFERROR(__xludf.DUMMYFUNCTION("GOOGLETRANSLATE(A5526,""en"",""pt"")"),"as pessoas que valem a pena saber o quanto eu amo o código da vinci.")</f>
        <v>as pessoas que valem a pena saber o quanto eu amo o código da vinci.</v>
      </c>
      <c r="B5526" s="3">
        <v>1</v>
      </c>
    </row>
    <row r="5527" ht="15.75" customHeight="1" spans="1:2">
      <c r="A5527" s="3" t="str">
        <f>IFERROR(__xludf.DUMMYFUNCTION("GOOGLETRANSLATE(A5527,""en"",""pt"")"),"Eu queria desesperadamente love'The Código Da Vinci como um filme.")</f>
        <v>Eu queria desesperadamente love'The Código Da Vinci como um filme.</v>
      </c>
      <c r="B5527" s="3">
        <v>1</v>
      </c>
    </row>
    <row r="5528" ht="15.75" customHeight="1" spans="1:2">
      <c r="A5528" s="3" t="str">
        <f>IFERROR(__xludf.DUMMYFUNCTION("GOOGLETRANSLATE(A5528,""en"",""pt"")"),"O Código Da Vinci foi incrível, eu não posso esperar para lê-lo ...")</f>
        <v>O Código Da Vinci foi incrível, eu não posso esperar para lê-lo ...</v>
      </c>
      <c r="B5528" s="3">
        <v>1</v>
      </c>
    </row>
    <row r="5529" ht="15.75" customHeight="1" spans="1:2">
      <c r="A5529" s="3" t="s">
        <v>20</v>
      </c>
      <c r="B5529" s="3">
        <v>1</v>
      </c>
    </row>
    <row r="5530" ht="15.75" customHeight="1" spans="1:2">
      <c r="A5530" s="3" t="str">
        <f>IFERROR(__xludf.DUMMYFUNCTION("GOOGLETRANSLATE(A5530,""en"",""pt"")"),"Código Da Vinci era um filme impressionante ...")</f>
        <v>Código Da Vinci era um filme impressionante ...</v>
      </c>
      <c r="B5530" s="3">
        <v>1</v>
      </c>
    </row>
    <row r="5531" ht="15.75" customHeight="1" spans="1:2">
      <c r="A5531" s="3" t="str">
        <f>IFERROR(__xludf.DUMMYFUNCTION("GOOGLETRANSLATE(A5531,""en"",""pt"")"),"CÓDIGO DA VINCI É IMPRESSIONANTE !!")</f>
        <v>CÓDIGO DA VINCI É IMPRESSIONANTE !!</v>
      </c>
      <c r="B5531" s="3">
        <v>1</v>
      </c>
    </row>
    <row r="5532" ht="15.75" customHeight="1" spans="1:2">
      <c r="A5532" s="3" t="str">
        <f>IFERROR(__xludf.DUMMYFUNCTION("GOOGLETRANSLATE(A5532,""en"",""pt"")"),"Eu amo O Código Da Vinci ...")</f>
        <v>Eu amo O Código Da Vinci ...</v>
      </c>
      <c r="B5532" s="3">
        <v>1</v>
      </c>
    </row>
    <row r="5533" ht="15.75" customHeight="1" spans="1:2">
      <c r="A5533" s="3" t="str">
        <f>IFERROR(__xludf.DUMMYFUNCTION("GOOGLETRANSLATE(A5533,""en"",""pt"")"),"O Código Da Vinci é incrível ..")</f>
        <v>O Código Da Vinci é incrível ..</v>
      </c>
      <c r="B5533" s="3">
        <v>1</v>
      </c>
    </row>
    <row r="5534" ht="15.75" customHeight="1" spans="1:2">
      <c r="A5534" s="3" t="str">
        <f>IFERROR(__xludf.DUMMYFUNCTION("GOOGLETRANSLATE(A5534,""en"",""pt"")"),"O Código Da Vinci é espectacular !!")</f>
        <v>O Código Da Vinci é espectacular !!</v>
      </c>
      <c r="B5534" s="3">
        <v>1</v>
      </c>
    </row>
    <row r="5535" ht="15.75" customHeight="1" spans="1:2">
      <c r="A5535" s="3" t="str">
        <f>IFERROR(__xludf.DUMMYFUNCTION("GOOGLETRANSLATE(A5535,""en"",""pt"")"),"Luv lubb o Código Da Vinci!")</f>
        <v>Luv lubb o Código Da Vinci!</v>
      </c>
      <c r="B5535" s="3">
        <v>1</v>
      </c>
    </row>
    <row r="5536" ht="15.75" customHeight="1" spans="1:2">
      <c r="A5536" s="3" t="str">
        <f>IFERROR(__xludf.DUMMYFUNCTION("GOOGLETRANSLATE(A5536,""en"",""pt"")"),"as pessoas que valem a pena saber o quanto eu amo o código da vinci.")</f>
        <v>as pessoas que valem a pena saber o quanto eu amo o código da vinci.</v>
      </c>
      <c r="B5536" s="3">
        <v>1</v>
      </c>
    </row>
    <row r="5537" ht="15.75" customHeight="1" spans="1:2">
      <c r="A5537" s="3" t="str">
        <f>IFERROR(__xludf.DUMMYFUNCTION("GOOGLETRANSLATE(A5537,""en"",""pt"")"),"Eu queria desesperadamente love'The Código Da Vinci como um filme.")</f>
        <v>Eu queria desesperadamente love'The Código Da Vinci como um filme.</v>
      </c>
      <c r="B5537" s="3">
        <v>1</v>
      </c>
    </row>
    <row r="5538" ht="15.75" customHeight="1" spans="1:2">
      <c r="A5538" s="3" t="str">
        <f>IFERROR(__xludf.DUMMYFUNCTION("GOOGLETRANSLATE(A5538,""en"",""pt"")"),"O Código Da Vinci foi incrível, eu não posso esperar para lê-lo ...")</f>
        <v>O Código Da Vinci foi incrível, eu não posso esperar para lê-lo ...</v>
      </c>
      <c r="B5538" s="3">
        <v>1</v>
      </c>
    </row>
    <row r="5539" ht="15.75" customHeight="1" spans="1:2">
      <c r="A5539" s="3" t="str">
        <f>IFERROR(__xludf.DUMMYFUNCTION("GOOGLETRANSLATE(A5539,""en"",""pt"")"),"O Código Da Vinci foi absolutamente incrível!")</f>
        <v>O Código Da Vinci foi absolutamente incrível!</v>
      </c>
      <c r="B5539" s="3">
        <v>1</v>
      </c>
    </row>
    <row r="5540" ht="15.75" customHeight="1" spans="1:2">
      <c r="A5540" s="3" t="str">
        <f>IFERROR(__xludf.DUMMYFUNCTION("GOOGLETRANSLATE(A5540,""en"",""pt"")"),"Código Da Vinci era um filme impressionante ...")</f>
        <v>Código Da Vinci era um filme impressionante ...</v>
      </c>
      <c r="B5540" s="3">
        <v>1</v>
      </c>
    </row>
    <row r="5541" ht="15.75" customHeight="1" spans="1:2">
      <c r="A5541" s="3" t="str">
        <f>IFERROR(__xludf.DUMMYFUNCTION("GOOGLETRANSLATE(A5541,""en"",""pt"")"),"CÓDIGO DA VINCI É IMPRESSIONANTE !!")</f>
        <v>CÓDIGO DA VINCI É IMPRESSIONANTE !!</v>
      </c>
      <c r="B5541" s="3">
        <v>1</v>
      </c>
    </row>
    <row r="5542" ht="15.75" customHeight="1" spans="1:2">
      <c r="A5542" s="3" t="str">
        <f>IFERROR(__xludf.DUMMYFUNCTION("GOOGLETRANSLATE(A5542,""en"",""pt"")"),"Eu amo O Código Da Vinci ...")</f>
        <v>Eu amo O Código Da Vinci ...</v>
      </c>
      <c r="B5542" s="3">
        <v>1</v>
      </c>
    </row>
    <row r="5543" ht="15.75" customHeight="1" spans="1:2">
      <c r="A5543" s="3" t="str">
        <f>IFERROR(__xludf.DUMMYFUNCTION("GOOGLETRANSLATE(A5543,""en"",""pt"")"),"O Código Da Vinci é incrível ..")</f>
        <v>O Código Da Vinci é incrível ..</v>
      </c>
      <c r="B5543" s="3">
        <v>1</v>
      </c>
    </row>
    <row r="5544" ht="15.75" customHeight="1" spans="1:2">
      <c r="A5544" s="3" t="str">
        <f>IFERROR(__xludf.DUMMYFUNCTION("GOOGLETRANSLATE(A5544,""en"",""pt"")"),"O Código Da Vinci é espectacular !!")</f>
        <v>O Código Da Vinci é espectacular !!</v>
      </c>
      <c r="B5544" s="3">
        <v>1</v>
      </c>
    </row>
    <row r="5545" ht="15.75" customHeight="1" spans="1:2">
      <c r="A5545" s="3" t="str">
        <f>IFERROR(__xludf.DUMMYFUNCTION("GOOGLETRANSLATE(A5545,""en"",""pt"")"),"Luv lubb o Código Da Vinci!")</f>
        <v>Luv lubb o Código Da Vinci!</v>
      </c>
      <c r="B5545" s="3">
        <v>1</v>
      </c>
    </row>
    <row r="5546" ht="15.75" customHeight="1" spans="1:2">
      <c r="A5546" s="3" t="str">
        <f>IFERROR(__xludf.DUMMYFUNCTION("GOOGLETRANSLATE(A5546,""en"",""pt"")"),"as pessoas que valem a pena saber o quanto eu amo o código da vinci.")</f>
        <v>as pessoas que valem a pena saber o quanto eu amo o código da vinci.</v>
      </c>
      <c r="B5546" s="3">
        <v>1</v>
      </c>
    </row>
    <row r="5547" ht="15.75" customHeight="1" spans="1:2">
      <c r="A5547" s="3" t="str">
        <f>IFERROR(__xludf.DUMMYFUNCTION("GOOGLETRANSLATE(A5547,""en"",""pt"")"),"Eu queria desesperadamente love'The Código Da Vinci como um filme.")</f>
        <v>Eu queria desesperadamente love'The Código Da Vinci como um filme.</v>
      </c>
      <c r="B5547" s="3">
        <v>1</v>
      </c>
    </row>
    <row r="5548" ht="15.75" customHeight="1" spans="1:2">
      <c r="A5548" s="3" t="str">
        <f>IFERROR(__xludf.DUMMYFUNCTION("GOOGLETRANSLATE(A5548,""en"",""pt"")"),"O Código Da Vinci foi incrível, eu não posso esperar para lê-lo ...")</f>
        <v>O Código Da Vinci foi incrível, eu não posso esperar para lê-lo ...</v>
      </c>
      <c r="B5548" s="3">
        <v>1</v>
      </c>
    </row>
    <row r="5549" ht="15.75" customHeight="1" spans="1:2">
      <c r="A5549" s="3" t="str">
        <f>IFERROR(__xludf.DUMMYFUNCTION("GOOGLETRANSLATE(A5549,""en"",""pt"")"),"O Código Da Vinci foi absolutamente incrível!")</f>
        <v>O Código Da Vinci foi absolutamente incrível!</v>
      </c>
      <c r="B5549" s="3">
        <v>1</v>
      </c>
    </row>
    <row r="5550" ht="15.75" customHeight="1" spans="1:2">
      <c r="A5550" s="3" t="str">
        <f>IFERROR(__xludf.DUMMYFUNCTION("GOOGLETRANSLATE(A5550,""en"",""pt"")"),"Código Da Vinci era um filme impressionante ...")</f>
        <v>Código Da Vinci era um filme impressionante ...</v>
      </c>
      <c r="B5550" s="3">
        <v>1</v>
      </c>
    </row>
    <row r="5551" ht="15.75" customHeight="1" spans="1:2">
      <c r="A5551" s="3" t="str">
        <f>IFERROR(__xludf.DUMMYFUNCTION("GOOGLETRANSLATE(A5551,""en"",""pt"")"),"CÓDIGO DA VINCI É IMPRESSIONANTE !!")</f>
        <v>CÓDIGO DA VINCI É IMPRESSIONANTE !!</v>
      </c>
      <c r="B5551" s="3">
        <v>1</v>
      </c>
    </row>
    <row r="5552" ht="15.75" customHeight="1" spans="1:2">
      <c r="A5552" s="3" t="str">
        <f>IFERROR(__xludf.DUMMYFUNCTION("GOOGLETRANSLATE(A5552,""en"",""pt"")"),"Eu amo O Código Da Vinci ...")</f>
        <v>Eu amo O Código Da Vinci ...</v>
      </c>
      <c r="B5552" s="3">
        <v>1</v>
      </c>
    </row>
    <row r="5553" ht="15.75" customHeight="1" spans="1:2">
      <c r="A5553" s="3" t="str">
        <f>IFERROR(__xludf.DUMMYFUNCTION("GOOGLETRANSLATE(A5553,""en"",""pt"")"),"O Código Da Vinci é incrível ..")</f>
        <v>O Código Da Vinci é incrível ..</v>
      </c>
      <c r="B5553" s="3">
        <v>1</v>
      </c>
    </row>
    <row r="5554" ht="15.75" customHeight="1" spans="1:2">
      <c r="A5554" s="3" t="str">
        <f>IFERROR(__xludf.DUMMYFUNCTION("GOOGLETRANSLATE(A5554,""en"",""pt"")"),"O Código Da Vinci é espectacular !!")</f>
        <v>O Código Da Vinci é espectacular !!</v>
      </c>
      <c r="B5554" s="3">
        <v>1</v>
      </c>
    </row>
    <row r="5555" ht="15.75" customHeight="1" spans="1:2">
      <c r="A5555" s="3" t="str">
        <f>IFERROR(__xludf.DUMMYFUNCTION("GOOGLETRANSLATE(A5555,""en"",""pt"")"),"Luv lubb o Código Da Vinci!")</f>
        <v>Luv lubb o Código Da Vinci!</v>
      </c>
      <c r="B5555" s="3">
        <v>1</v>
      </c>
    </row>
    <row r="5556" ht="15.75" customHeight="1" spans="1:2">
      <c r="A5556" s="3" t="str">
        <f>IFERROR(__xludf.DUMMYFUNCTION("GOOGLETRANSLATE(A5556,""en"",""pt"")"),"as pessoas que valem a pena saber o quanto eu amo o código da vinci.")</f>
        <v>as pessoas que valem a pena saber o quanto eu amo o código da vinci.</v>
      </c>
      <c r="B5556" s="3">
        <v>1</v>
      </c>
    </row>
    <row r="5557" ht="15.75" customHeight="1" spans="1:2">
      <c r="A5557" s="3" t="str">
        <f>IFERROR(__xludf.DUMMYFUNCTION("GOOGLETRANSLATE(A5557,""en"",""pt"")"),"Eu queria desesperadamente love'The Código Da Vinci como um filme.")</f>
        <v>Eu queria desesperadamente love'The Código Da Vinci como um filme.</v>
      </c>
      <c r="B5557" s="3">
        <v>1</v>
      </c>
    </row>
    <row r="5558" ht="15.75" customHeight="1" spans="1:2">
      <c r="A5558" s="3" t="str">
        <f>IFERROR(__xludf.DUMMYFUNCTION("GOOGLETRANSLATE(A5558,""en"",""pt"")"),"O Código Da Vinci foi incrível, eu não posso esperar para lê-lo ...")</f>
        <v>O Código Da Vinci foi incrível, eu não posso esperar para lê-lo ...</v>
      </c>
      <c r="B5558" s="3">
        <v>1</v>
      </c>
    </row>
    <row r="5559" ht="15.75" customHeight="1" spans="1:2">
      <c r="A5559" s="3" t="str">
        <f>IFERROR(__xludf.DUMMYFUNCTION("GOOGLETRANSLATE(A5559,""en"",""pt"")"),"O Código Da Vinci foi absolutamente incrível!")</f>
        <v>O Código Da Vinci foi absolutamente incrível!</v>
      </c>
      <c r="B5559" s="3">
        <v>1</v>
      </c>
    </row>
    <row r="5560" ht="15.75" customHeight="1" spans="1:2">
      <c r="A5560" s="3" t="str">
        <f>IFERROR(__xludf.DUMMYFUNCTION("GOOGLETRANSLATE(A5560,""en"",""pt"")"),"Código Da Vinci era um filme impressionante ...")</f>
        <v>Código Da Vinci era um filme impressionante ...</v>
      </c>
      <c r="B5560" s="3">
        <v>1</v>
      </c>
    </row>
    <row r="5561" ht="15.75" customHeight="1" spans="1:2">
      <c r="A5561" s="3" t="str">
        <f>IFERROR(__xludf.DUMMYFUNCTION("GOOGLETRANSLATE(A5561,""en"",""pt"")"),"CÓDIGO DA VINCI É IMPRESSIONANTE !!")</f>
        <v>CÓDIGO DA VINCI É IMPRESSIONANTE !!</v>
      </c>
      <c r="B5561" s="3">
        <v>1</v>
      </c>
    </row>
    <row r="5562" ht="15.75" customHeight="1" spans="1:2">
      <c r="A5562" s="3" t="str">
        <f>IFERROR(__xludf.DUMMYFUNCTION("GOOGLETRANSLATE(A5562,""en"",""pt"")"),"Eu amo O Código Da Vinci ...")</f>
        <v>Eu amo O Código Da Vinci ...</v>
      </c>
      <c r="B5562" s="3">
        <v>1</v>
      </c>
    </row>
    <row r="5563" ht="15.75" customHeight="1" spans="1:2">
      <c r="A5563" s="3" t="str">
        <f>IFERROR(__xludf.DUMMYFUNCTION("GOOGLETRANSLATE(A5563,""en"",""pt"")"),"O Código Da Vinci é incrível ..")</f>
        <v>O Código Da Vinci é incrível ..</v>
      </c>
      <c r="B5563" s="3">
        <v>1</v>
      </c>
    </row>
    <row r="5564" ht="15.75" customHeight="1" spans="1:2">
      <c r="A5564" s="3" t="str">
        <f>IFERROR(__xludf.DUMMYFUNCTION("GOOGLETRANSLATE(A5564,""en"",""pt"")"),"O Código Da Vinci é espectacular !!")</f>
        <v>O Código Da Vinci é espectacular !!</v>
      </c>
      <c r="B5564" s="3">
        <v>1</v>
      </c>
    </row>
    <row r="5565" ht="15.75" customHeight="1" spans="1:2">
      <c r="A5565" s="3" t="str">
        <f>IFERROR(__xludf.DUMMYFUNCTION("GOOGLETRANSLATE(A5565,""en"",""pt"")"),"Luv lubb o Código Da Vinci!")</f>
        <v>Luv lubb o Código Da Vinci!</v>
      </c>
      <c r="B5565" s="3">
        <v>1</v>
      </c>
    </row>
    <row r="5566" ht="15.75" customHeight="1" spans="1:2">
      <c r="A5566" s="3" t="str">
        <f>IFERROR(__xludf.DUMMYFUNCTION("GOOGLETRANSLATE(A5566,""en"",""pt"")"),"as pessoas que valem a pena saber o quanto eu amo o código da vinci.")</f>
        <v>as pessoas que valem a pena saber o quanto eu amo o código da vinci.</v>
      </c>
      <c r="B5566" s="3">
        <v>1</v>
      </c>
    </row>
    <row r="5567" ht="15.75" customHeight="1" spans="1:2">
      <c r="A5567" s="3" t="str">
        <f>IFERROR(__xludf.DUMMYFUNCTION("GOOGLETRANSLATE(A5567,""en"",""pt"")"),"Eu queria desesperadamente love'The Código Da Vinci como um filme.")</f>
        <v>Eu queria desesperadamente love'The Código Da Vinci como um filme.</v>
      </c>
      <c r="B5567" s="3">
        <v>1</v>
      </c>
    </row>
    <row r="5568" ht="15.75" customHeight="1" spans="1:2">
      <c r="A5568" s="3" t="str">
        <f>IFERROR(__xludf.DUMMYFUNCTION("GOOGLETRANSLATE(A5568,""en"",""pt"")"),"O Código Da Vinci foi incrível, eu não posso esperar para lê-lo ...")</f>
        <v>O Código Da Vinci foi incrível, eu não posso esperar para lê-lo ...</v>
      </c>
      <c r="B5568" s="3">
        <v>1</v>
      </c>
    </row>
    <row r="5569" ht="15.75" customHeight="1" spans="1:2">
      <c r="A5569" s="3" t="str">
        <f>IFERROR(__xludf.DUMMYFUNCTION("GOOGLETRANSLATE(A5569,""en"",""pt"")"),"O Código Da Vinci foi absolutamente incrível!")</f>
        <v>O Código Da Vinci foi absolutamente incrível!</v>
      </c>
      <c r="B5569" s="3">
        <v>1</v>
      </c>
    </row>
    <row r="5570" ht="15.75" customHeight="1" spans="1:2">
      <c r="A5570" s="3" t="str">
        <f>IFERROR(__xludf.DUMMYFUNCTION("GOOGLETRANSLATE(A5570,""en"",""pt"")"),"Código Da Vinci era um filme impressionante ...")</f>
        <v>Código Da Vinci era um filme impressionante ...</v>
      </c>
      <c r="B5570" s="3">
        <v>1</v>
      </c>
    </row>
    <row r="5571" ht="15.75" customHeight="1" spans="1:2">
      <c r="A5571" s="3" t="str">
        <f>IFERROR(__xludf.DUMMYFUNCTION("GOOGLETRANSLATE(A5571,""en"",""pt"")"),"CÓDIGO DA VINCI É IMPRESSIONANTE !!")</f>
        <v>CÓDIGO DA VINCI É IMPRESSIONANTE !!</v>
      </c>
      <c r="B5571" s="3">
        <v>1</v>
      </c>
    </row>
    <row r="5572" ht="15.75" customHeight="1" spans="1:2">
      <c r="A5572" s="3" t="str">
        <f>IFERROR(__xludf.DUMMYFUNCTION("GOOGLETRANSLATE(A5572,""en"",""pt"")"),"Eu amo O Código Da Vinci ...")</f>
        <v>Eu amo O Código Da Vinci ...</v>
      </c>
      <c r="B5572" s="3">
        <v>1</v>
      </c>
    </row>
    <row r="5573" ht="15.75" customHeight="1" spans="1:2">
      <c r="A5573" s="3" t="str">
        <f>IFERROR(__xludf.DUMMYFUNCTION("GOOGLETRANSLATE(A5573,""en"",""pt"")"),"O Código Da Vinci é incrível ..")</f>
        <v>O Código Da Vinci é incrível ..</v>
      </c>
      <c r="B5573" s="3">
        <v>1</v>
      </c>
    </row>
    <row r="5574" ht="15.75" customHeight="1" spans="1:2">
      <c r="A5574" s="3" t="str">
        <f>IFERROR(__xludf.DUMMYFUNCTION("GOOGLETRANSLATE(A5574,""en"",""pt"")"),"O Código Da Vinci é espectacular !!")</f>
        <v>O Código Da Vinci é espectacular !!</v>
      </c>
      <c r="B5574" s="3">
        <v>1</v>
      </c>
    </row>
    <row r="5575" ht="15.75" customHeight="1" spans="1:2">
      <c r="A5575" s="3" t="str">
        <f>IFERROR(__xludf.DUMMYFUNCTION("GOOGLETRANSLATE(A5575,""en"",""pt"")"),"Luv lubb o Código Da Vinci!")</f>
        <v>Luv lubb o Código Da Vinci!</v>
      </c>
      <c r="B5575" s="3">
        <v>1</v>
      </c>
    </row>
    <row r="5576" ht="15.75" customHeight="1" spans="1:2">
      <c r="A5576" s="3" t="str">
        <f>IFERROR(__xludf.DUMMYFUNCTION("GOOGLETRANSLATE(A5576,""en"",""pt"")"),"as pessoas que valem a pena saber o quanto eu amo o código da vinci.")</f>
        <v>as pessoas que valem a pena saber o quanto eu amo o código da vinci.</v>
      </c>
      <c r="B5576" s="3">
        <v>1</v>
      </c>
    </row>
    <row r="5577" ht="15.75" customHeight="1" spans="1:2">
      <c r="A5577" s="3" t="str">
        <f>IFERROR(__xludf.DUMMYFUNCTION("GOOGLETRANSLATE(A5577,""en"",""pt"")"),"Eu queria desesperadamente love'The Código Da Vinci como um filme.")</f>
        <v>Eu queria desesperadamente love'The Código Da Vinci como um filme.</v>
      </c>
      <c r="B5577" s="3">
        <v>1</v>
      </c>
    </row>
    <row r="5578" ht="15.75" customHeight="1" spans="1:2">
      <c r="A5578" s="3" t="str">
        <f>IFERROR(__xludf.DUMMYFUNCTION("GOOGLETRANSLATE(A5578,""en"",""pt"")"),"O Código Da Vinci foi incrível, eu não posso esperar para lê-lo ...")</f>
        <v>O Código Da Vinci foi incrível, eu não posso esperar para lê-lo ...</v>
      </c>
      <c r="B5578" s="3">
        <v>1</v>
      </c>
    </row>
    <row r="5579" ht="15.75" customHeight="1" spans="1:2">
      <c r="A5579" s="3" t="str">
        <f>IFERROR(__xludf.DUMMYFUNCTION("GOOGLETRANSLATE(A5579,""en"",""pt"")"),"O Código Da Vinci foi absolutamente incrível!")</f>
        <v>O Código Da Vinci foi absolutamente incrível!</v>
      </c>
      <c r="B5579" s="3">
        <v>1</v>
      </c>
    </row>
    <row r="5580" ht="15.75" customHeight="1" spans="1:2">
      <c r="A5580" s="3" t="str">
        <f>IFERROR(__xludf.DUMMYFUNCTION("GOOGLETRANSLATE(A5580,""en"",""pt"")"),"Código Da Vinci era um filme impressionante ...")</f>
        <v>Código Da Vinci era um filme impressionante ...</v>
      </c>
      <c r="B5580" s="3">
        <v>1</v>
      </c>
    </row>
    <row r="5581" ht="15.75" customHeight="1" spans="1:2">
      <c r="A5581" s="3" t="str">
        <f>IFERROR(__xludf.DUMMYFUNCTION("GOOGLETRANSLATE(A5581,""en"",""pt"")"),"CÓDIGO DA VINCI É IMPRESSIONANTE !!")</f>
        <v>CÓDIGO DA VINCI É IMPRESSIONANTE !!</v>
      </c>
      <c r="B5581" s="3">
        <v>1</v>
      </c>
    </row>
    <row r="5582" ht="15.75" customHeight="1" spans="1:2">
      <c r="A5582" s="3" t="str">
        <f>IFERROR(__xludf.DUMMYFUNCTION("GOOGLETRANSLATE(A5582,""en"",""pt"")"),"Eu amo O Código Da Vinci ...")</f>
        <v>Eu amo O Código Da Vinci ...</v>
      </c>
      <c r="B5582" s="3">
        <v>1</v>
      </c>
    </row>
    <row r="5583" ht="15.75" customHeight="1" spans="1:2">
      <c r="A5583" s="3" t="str">
        <f>IFERROR(__xludf.DUMMYFUNCTION("GOOGLETRANSLATE(A5583,""en"",""pt"")"),"O Código Da Vinci é incrível ..")</f>
        <v>O Código Da Vinci é incrível ..</v>
      </c>
      <c r="B5583" s="3">
        <v>1</v>
      </c>
    </row>
    <row r="5584" ht="15.75" customHeight="1" spans="1:2">
      <c r="A5584" s="3" t="str">
        <f>IFERROR(__xludf.DUMMYFUNCTION("GOOGLETRANSLATE(A5584,""en"",""pt"")"),"O Código Da Vinci é espectacular !!")</f>
        <v>O Código Da Vinci é espectacular !!</v>
      </c>
      <c r="B5584" s="3">
        <v>1</v>
      </c>
    </row>
    <row r="5585" ht="15.75" customHeight="1" spans="1:2">
      <c r="A5585" s="3" t="str">
        <f>IFERROR(__xludf.DUMMYFUNCTION("GOOGLETRANSLATE(A5585,""en"",""pt"")"),"Luv lubb o Código Da Vinci!")</f>
        <v>Luv lubb o Código Da Vinci!</v>
      </c>
      <c r="B5585" s="3">
        <v>1</v>
      </c>
    </row>
    <row r="5586" ht="15.75" customHeight="1" spans="1:2">
      <c r="A5586" s="3" t="str">
        <f>IFERROR(__xludf.DUMMYFUNCTION("GOOGLETRANSLATE(A5586,""en"",""pt"")"),"as pessoas que valem a pena saber o quanto eu amo o código da vinci.")</f>
        <v>as pessoas que valem a pena saber o quanto eu amo o código da vinci.</v>
      </c>
      <c r="B5586" s="3">
        <v>1</v>
      </c>
    </row>
    <row r="5587" ht="15.75" customHeight="1" spans="1:2">
      <c r="A5587" s="3" t="str">
        <f>IFERROR(__xludf.DUMMYFUNCTION("GOOGLETRANSLATE(A5587,""en"",""pt"")"),"Eu queria desesperadamente love'The Código Da Vinci como um filme.")</f>
        <v>Eu queria desesperadamente love'The Código Da Vinci como um filme.</v>
      </c>
      <c r="B5587" s="3">
        <v>1</v>
      </c>
    </row>
    <row r="5588" ht="15.75" customHeight="1" spans="1:2">
      <c r="A5588" s="3" t="str">
        <f>IFERROR(__xludf.DUMMYFUNCTION("GOOGLETRANSLATE(A5588,""en"",""pt"")"),"O Código Da Vinci foi incrível, eu não posso esperar para lê-lo ...")</f>
        <v>O Código Da Vinci foi incrível, eu não posso esperar para lê-lo ...</v>
      </c>
      <c r="B5588" s="3">
        <v>1</v>
      </c>
    </row>
    <row r="5589" ht="15.75" customHeight="1" spans="1:2">
      <c r="A5589" s="3" t="str">
        <f>IFERROR(__xludf.DUMMYFUNCTION("GOOGLETRANSLATE(A5589,""en"",""pt"")"),"O Código Da Vinci foi absolutamente incrível!")</f>
        <v>O Código Da Vinci foi absolutamente incrível!</v>
      </c>
      <c r="B5589" s="3">
        <v>1</v>
      </c>
    </row>
    <row r="5590" ht="15.75" customHeight="1" spans="1:2">
      <c r="A5590" s="3" t="str">
        <f>IFERROR(__xludf.DUMMYFUNCTION("GOOGLETRANSLATE(A5590,""en"",""pt"")"),"Código Da Vinci era um filme impressionante ...")</f>
        <v>Código Da Vinci era um filme impressionante ...</v>
      </c>
      <c r="B5590" s="3">
        <v>1</v>
      </c>
    </row>
    <row r="5591" ht="15.75" customHeight="1" spans="1:2">
      <c r="A5591" s="3" t="str">
        <f>IFERROR(__xludf.DUMMYFUNCTION("GOOGLETRANSLATE(A5591,""en"",""pt"")"),"CÓDIGO DA VINCI É IMPRESSIONANTE !!")</f>
        <v>CÓDIGO DA VINCI É IMPRESSIONANTE !!</v>
      </c>
      <c r="B5591" s="3">
        <v>1</v>
      </c>
    </row>
    <row r="5592" ht="15.75" customHeight="1" spans="1:2">
      <c r="A5592" s="3" t="str">
        <f>IFERROR(__xludf.DUMMYFUNCTION("GOOGLETRANSLATE(A5592,""en"",""pt"")"),"Eu amo O Código Da Vinci ...")</f>
        <v>Eu amo O Código Da Vinci ...</v>
      </c>
      <c r="B5592" s="3">
        <v>1</v>
      </c>
    </row>
    <row r="5593" ht="15.75" customHeight="1" spans="1:2">
      <c r="A5593" s="3" t="str">
        <f>IFERROR(__xludf.DUMMYFUNCTION("GOOGLETRANSLATE(A5593,""en"",""pt"")"),"O Código Da Vinci é incrível ..")</f>
        <v>O Código Da Vinci é incrível ..</v>
      </c>
      <c r="B5593" s="3">
        <v>1</v>
      </c>
    </row>
    <row r="5594" ht="15.75" customHeight="1" spans="1:2">
      <c r="A5594" s="3" t="str">
        <f>IFERROR(__xludf.DUMMYFUNCTION("GOOGLETRANSLATE(A5594,""en"",""pt"")"),"O Código Da Vinci é espectacular !!")</f>
        <v>O Código Da Vinci é espectacular !!</v>
      </c>
      <c r="B5594" s="3">
        <v>1</v>
      </c>
    </row>
    <row r="5595" ht="15.75" customHeight="1" spans="1:2">
      <c r="A5595" s="3" t="str">
        <f>IFERROR(__xludf.DUMMYFUNCTION("GOOGLETRANSLATE(A5595,""en"",""pt"")"),"Luv lubb o Código Da Vinci!")</f>
        <v>Luv lubb o Código Da Vinci!</v>
      </c>
      <c r="B5595" s="3">
        <v>1</v>
      </c>
    </row>
    <row r="5596" ht="15.75" customHeight="1" spans="1:2">
      <c r="A5596" s="3" t="str">
        <f>IFERROR(__xludf.DUMMYFUNCTION("GOOGLETRANSLATE(A5596,""en"",""pt"")"),"as pessoas que valem a pena saber o quanto eu amo o código da vinci.")</f>
        <v>as pessoas que valem a pena saber o quanto eu amo o código da vinci.</v>
      </c>
      <c r="B5596" s="3">
        <v>1</v>
      </c>
    </row>
    <row r="5597" ht="15.75" customHeight="1" spans="1:2">
      <c r="A5597" s="3" t="str">
        <f>IFERROR(__xludf.DUMMYFUNCTION("GOOGLETRANSLATE(A5597,""en"",""pt"")"),"Eu queria desesperadamente love'The Código Da Vinci como um filme.")</f>
        <v>Eu queria desesperadamente love'The Código Da Vinci como um filme.</v>
      </c>
      <c r="B5597" s="3">
        <v>1</v>
      </c>
    </row>
    <row r="5598" ht="15.75" customHeight="1" spans="1:2">
      <c r="A5598" s="3" t="str">
        <f>IFERROR(__xludf.DUMMYFUNCTION("GOOGLETRANSLATE(A5598,""en"",""pt"")"),"O Código Da Vinci foi incrível, eu não posso esperar para lê-lo ...")</f>
        <v>O Código Da Vinci foi incrível, eu não posso esperar para lê-lo ...</v>
      </c>
      <c r="B5598" s="3">
        <v>1</v>
      </c>
    </row>
    <row r="5599" ht="15.75" customHeight="1" spans="1:2">
      <c r="A5599" s="3" t="str">
        <f>IFERROR(__xludf.DUMMYFUNCTION("GOOGLETRANSLATE(A5599,""en"",""pt"")"),"O Código Da Vinci foi absolutamente incrível!")</f>
        <v>O Código Da Vinci foi absolutamente incrível!</v>
      </c>
      <c r="B5599" s="3">
        <v>1</v>
      </c>
    </row>
    <row r="5600" ht="15.75" customHeight="1" spans="1:2">
      <c r="A5600" s="3" t="str">
        <f>IFERROR(__xludf.DUMMYFUNCTION("GOOGLETRANSLATE(A5600,""en"",""pt"")"),"Código Da Vinci era um filme impressionante ...")</f>
        <v>Código Da Vinci era um filme impressionante ...</v>
      </c>
      <c r="B5600" s="3">
        <v>1</v>
      </c>
    </row>
    <row r="5601" ht="15.75" customHeight="1" spans="1:2">
      <c r="A5601" s="3" t="str">
        <f>IFERROR(__xludf.DUMMYFUNCTION("GOOGLETRANSLATE(A5601,""en"",""pt"")"),"CÓDIGO DA VINCI É IMPRESSIONANTE !!")</f>
        <v>CÓDIGO DA VINCI É IMPRESSIONANTE !!</v>
      </c>
      <c r="B5601" s="3">
        <v>1</v>
      </c>
    </row>
    <row r="5602" ht="15.75" customHeight="1" spans="1:2">
      <c r="A5602" s="3" t="str">
        <f>IFERROR(__xludf.DUMMYFUNCTION("GOOGLETRANSLATE(A5602,""en"",""pt"")"),"Eu amo O Código Da Vinci ...")</f>
        <v>Eu amo O Código Da Vinci ...</v>
      </c>
      <c r="B5602" s="3">
        <v>1</v>
      </c>
    </row>
    <row r="5603" ht="15.75" customHeight="1" spans="1:2">
      <c r="A5603" s="3" t="str">
        <f>IFERROR(__xludf.DUMMYFUNCTION("GOOGLETRANSLATE(A5603,""en"",""pt"")"),"O Código Da Vinci é incrível ..")</f>
        <v>O Código Da Vinci é incrível ..</v>
      </c>
      <c r="B5603" s="3">
        <v>1</v>
      </c>
    </row>
    <row r="5604" ht="15.75" customHeight="1" spans="1:2">
      <c r="A5604" s="3" t="str">
        <f>IFERROR(__xludf.DUMMYFUNCTION("GOOGLETRANSLATE(A5604,""en"",""pt"")"),"O Código Da Vinci é espectacular !!")</f>
        <v>O Código Da Vinci é espectacular !!</v>
      </c>
      <c r="B5604" s="3">
        <v>1</v>
      </c>
    </row>
    <row r="5605" ht="15.75" customHeight="1" spans="1:2">
      <c r="A5605" s="3" t="str">
        <f>IFERROR(__xludf.DUMMYFUNCTION("GOOGLETRANSLATE(A5605,""en"",""pt"")"),"Luv lubb o Código Da Vinci!")</f>
        <v>Luv lubb o Código Da Vinci!</v>
      </c>
      <c r="B5605" s="3">
        <v>1</v>
      </c>
    </row>
    <row r="5606" ht="15.75" customHeight="1" spans="1:2">
      <c r="A5606" s="3" t="str">
        <f>IFERROR(__xludf.DUMMYFUNCTION("GOOGLETRANSLATE(A5606,""en"",""pt"")"),"as pessoas que valem a pena saber o quanto eu amo o código da vinci.")</f>
        <v>as pessoas que valem a pena saber o quanto eu amo o código da vinci.</v>
      </c>
      <c r="B5606" s="3">
        <v>1</v>
      </c>
    </row>
    <row r="5607" ht="15.75" customHeight="1" spans="1:2">
      <c r="A5607" s="3" t="str">
        <f>IFERROR(__xludf.DUMMYFUNCTION("GOOGLETRANSLATE(A5607,""en"",""pt"")"),"Eu queria desesperadamente love'The Código Da Vinci como um filme.")</f>
        <v>Eu queria desesperadamente love'The Código Da Vinci como um filme.</v>
      </c>
      <c r="B5607" s="3">
        <v>1</v>
      </c>
    </row>
    <row r="5608" ht="15.75" customHeight="1" spans="1:2">
      <c r="A5608" s="3" t="str">
        <f>IFERROR(__xludf.DUMMYFUNCTION("GOOGLETRANSLATE(A5608,""en"",""pt"")"),"O Código Da Vinci foi incrível, eu não posso esperar para lê-lo ...")</f>
        <v>O Código Da Vinci foi incrível, eu não posso esperar para lê-lo ...</v>
      </c>
      <c r="B5608" s="3">
        <v>1</v>
      </c>
    </row>
    <row r="5609" ht="15.75" customHeight="1" spans="1:2">
      <c r="A5609" s="3" t="str">
        <f>IFERROR(__xludf.DUMMYFUNCTION("GOOGLETRANSLATE(A5609,""en"",""pt"")"),"O Código Da Vinci foi absolutamente incrível!")</f>
        <v>O Código Da Vinci foi absolutamente incrível!</v>
      </c>
      <c r="B5609" s="3">
        <v>1</v>
      </c>
    </row>
    <row r="5610" ht="15.75" customHeight="1" spans="1:2">
      <c r="A5610" s="3" t="str">
        <f>IFERROR(__xludf.DUMMYFUNCTION("GOOGLETRANSLATE(A5610,""en"",""pt"")"),"Código Da Vinci era um filme impressionante ...")</f>
        <v>Código Da Vinci era um filme impressionante ...</v>
      </c>
      <c r="B5610" s="3">
        <v>1</v>
      </c>
    </row>
    <row r="5611" ht="15.75" customHeight="1" spans="1:2">
      <c r="A5611" s="3" t="str">
        <f>IFERROR(__xludf.DUMMYFUNCTION("GOOGLETRANSLATE(A5611,""en"",""pt"")"),"CÓDIGO DA VINCI É IMPRESSIONANTE !!")</f>
        <v>CÓDIGO DA VINCI É IMPRESSIONANTE !!</v>
      </c>
      <c r="B5611" s="3">
        <v>1</v>
      </c>
    </row>
    <row r="5612" ht="15.75" customHeight="1" spans="1:2">
      <c r="A5612" s="3" t="str">
        <f>IFERROR(__xludf.DUMMYFUNCTION("GOOGLETRANSLATE(A5612,""en"",""pt"")"),"Eu amo O Código Da Vinci ...")</f>
        <v>Eu amo O Código Da Vinci ...</v>
      </c>
      <c r="B5612" s="3">
        <v>1</v>
      </c>
    </row>
    <row r="5613" ht="15.75" customHeight="1" spans="1:2">
      <c r="A5613" s="3" t="str">
        <f>IFERROR(__xludf.DUMMYFUNCTION("GOOGLETRANSLATE(A5613,""en"",""pt"")"),"O Código Da Vinci é incrível ..")</f>
        <v>O Código Da Vinci é incrível ..</v>
      </c>
      <c r="B5613" s="3">
        <v>1</v>
      </c>
    </row>
    <row r="5614" ht="15.75" customHeight="1" spans="1:2">
      <c r="A5614" s="3" t="str">
        <f>IFERROR(__xludf.DUMMYFUNCTION("GOOGLETRANSLATE(A5614,""en"",""pt"")"),"O Código Da Vinci é espectacular !!")</f>
        <v>O Código Da Vinci é espectacular !!</v>
      </c>
      <c r="B5614" s="3">
        <v>1</v>
      </c>
    </row>
    <row r="5615" ht="15.75" customHeight="1" spans="1:2">
      <c r="A5615" s="3" t="str">
        <f>IFERROR(__xludf.DUMMYFUNCTION("GOOGLETRANSLATE(A5615,""en"",""pt"")"),"Luv lubb o Código Da Vinci!")</f>
        <v>Luv lubb o Código Da Vinci!</v>
      </c>
      <c r="B5615" s="3">
        <v>1</v>
      </c>
    </row>
    <row r="5616" ht="15.75" customHeight="1" spans="1:2">
      <c r="A5616" s="3" t="s">
        <v>21</v>
      </c>
      <c r="B5616" s="3">
        <v>1</v>
      </c>
    </row>
    <row r="5617" ht="15.75" customHeight="1" spans="1:2">
      <c r="A5617" s="3" t="s">
        <v>22</v>
      </c>
      <c r="B5617" s="3">
        <v>1</v>
      </c>
    </row>
    <row r="5618" ht="15.75" customHeight="1" spans="1:2">
      <c r="A5618" s="3" t="str">
        <f>IFERROR(__xludf.DUMMYFUNCTION("GOOGLETRANSLATE(A5618,""en"",""pt"")"),"O Código Da Vinci foi incrível, eu não posso esperar para lê-lo ...")</f>
        <v>O Código Da Vinci foi incrível, eu não posso esperar para lê-lo ...</v>
      </c>
      <c r="B5618" s="3">
        <v>1</v>
      </c>
    </row>
    <row r="5619" ht="15.75" customHeight="1" spans="1:2">
      <c r="A5619" s="3" t="str">
        <f>IFERROR(__xludf.DUMMYFUNCTION("GOOGLETRANSLATE(A5619,""en"",""pt"")"),"O Código Da Vinci foi absolutamente incrível!")</f>
        <v>O Código Da Vinci foi absolutamente incrível!</v>
      </c>
      <c r="B5619" s="3">
        <v>1</v>
      </c>
    </row>
    <row r="5620" ht="15.75" customHeight="1" spans="1:2">
      <c r="A5620" s="3" t="str">
        <f>IFERROR(__xludf.DUMMYFUNCTION("GOOGLETRANSLATE(A5620,""en"",""pt"")"),"Código Da Vinci era um filme impressionante ...")</f>
        <v>Código Da Vinci era um filme impressionante ...</v>
      </c>
      <c r="B5620" s="3">
        <v>1</v>
      </c>
    </row>
    <row r="5621" ht="15.75" customHeight="1" spans="1:2">
      <c r="A5621" s="3" t="str">
        <f>IFERROR(__xludf.DUMMYFUNCTION("GOOGLETRANSLATE(A5621,""en"",""pt"")"),"CÓDIGO DA VINCI É IMPRESSIONANTE !!")</f>
        <v>CÓDIGO DA VINCI É IMPRESSIONANTE !!</v>
      </c>
      <c r="B5621" s="3">
        <v>1</v>
      </c>
    </row>
    <row r="5622" ht="15.75" customHeight="1" spans="1:2">
      <c r="A5622" s="3" t="str">
        <f>IFERROR(__xludf.DUMMYFUNCTION("GOOGLETRANSLATE(A5622,""en"",""pt"")"),"Eu amo O Código Da Vinci ...")</f>
        <v>Eu amo O Código Da Vinci ...</v>
      </c>
      <c r="B5622" s="3">
        <v>1</v>
      </c>
    </row>
    <row r="5623" ht="15.75" customHeight="1" spans="1:2">
      <c r="A5623" s="3" t="s">
        <v>23</v>
      </c>
      <c r="B5623" s="3">
        <v>1</v>
      </c>
    </row>
    <row r="5624" ht="15.75" customHeight="1" spans="1:2">
      <c r="A5624" s="3" t="str">
        <f>IFERROR(__xludf.DUMMYFUNCTION("GOOGLETRANSLATE(A5624,""en"",""pt"")"),"O Código Da Vinci é espectacular !!")</f>
        <v>O Código Da Vinci é espectacular !!</v>
      </c>
      <c r="B5624" s="3">
        <v>1</v>
      </c>
    </row>
    <row r="5625" ht="15.75" customHeight="1" spans="1:2">
      <c r="A5625" s="3" t="str">
        <f>IFERROR(__xludf.DUMMYFUNCTION("GOOGLETRANSLATE(A5625,""en"",""pt"")"),"Luv lubb o Código Da Vinci!")</f>
        <v>Luv lubb o Código Da Vinci!</v>
      </c>
      <c r="B5625" s="3">
        <v>1</v>
      </c>
    </row>
    <row r="5626" ht="15.75" customHeight="1" spans="1:2">
      <c r="A5626" s="3" t="str">
        <f>IFERROR(__xludf.DUMMYFUNCTION("GOOGLETRANSLATE(A5626,""en"",""pt"")"),"as pessoas que valem a pena saber o quanto eu amo o código da vinci.")</f>
        <v>as pessoas que valem a pena saber o quanto eu amo o código da vinci.</v>
      </c>
      <c r="B5626" s="3">
        <v>1</v>
      </c>
    </row>
    <row r="5627" ht="15.75" customHeight="1" spans="1:2">
      <c r="A5627" s="3" t="str">
        <f>IFERROR(__xludf.DUMMYFUNCTION("GOOGLETRANSLATE(A5627,""en"",""pt"")"),"Eu queria desesperadamente love'The Código Da Vinci como um filme.")</f>
        <v>Eu queria desesperadamente love'The Código Da Vinci como um filme.</v>
      </c>
      <c r="B5627" s="3">
        <v>1</v>
      </c>
    </row>
    <row r="5628" ht="15.75" customHeight="1" spans="1:2">
      <c r="A5628" s="3" t="str">
        <f>IFERROR(__xludf.DUMMYFUNCTION("GOOGLETRANSLATE(A5628,""en"",""pt"")"),"O Código Da Vinci foi incrível, eu não posso esperar para lê-lo ...")</f>
        <v>O Código Da Vinci foi incrível, eu não posso esperar para lê-lo ...</v>
      </c>
      <c r="B5628" s="3">
        <v>1</v>
      </c>
    </row>
    <row r="5629" ht="15.75" customHeight="1" spans="1:2">
      <c r="A5629" s="3" t="str">
        <f>IFERROR(__xludf.DUMMYFUNCTION("GOOGLETRANSLATE(A5629,""en"",""pt"")"),"O Código Da Vinci foi absolutamente incrível!")</f>
        <v>O Código Da Vinci foi absolutamente incrível!</v>
      </c>
      <c r="B5629" s="3">
        <v>1</v>
      </c>
    </row>
    <row r="5630" ht="15.75" customHeight="1" spans="1:2">
      <c r="A5630" s="3" t="str">
        <f>IFERROR(__xludf.DUMMYFUNCTION("GOOGLETRANSLATE(A5630,""en"",""pt"")"),"Código Da Vinci era um filme impressionante ...")</f>
        <v>Código Da Vinci era um filme impressionante ...</v>
      </c>
      <c r="B5630" s="3">
        <v>1</v>
      </c>
    </row>
    <row r="5631" ht="15.75" customHeight="1" spans="1:2">
      <c r="A5631" s="3" t="str">
        <f>IFERROR(__xludf.DUMMYFUNCTION("GOOGLETRANSLATE(A5631,""en"",""pt"")"),"CÓDIGO DA VINCI É IMPRESSIONANTE !!")</f>
        <v>CÓDIGO DA VINCI É IMPRESSIONANTE !!</v>
      </c>
      <c r="B5631" s="3">
        <v>1</v>
      </c>
    </row>
    <row r="5632" ht="15.75" customHeight="1" spans="1:2">
      <c r="A5632" s="3" t="str">
        <f>IFERROR(__xludf.DUMMYFUNCTION("GOOGLETRANSLATE(A5632,""en"",""pt"")"),"Eu amo O Código Da Vinci ...")</f>
        <v>Eu amo O Código Da Vinci ...</v>
      </c>
      <c r="B5632" s="3">
        <v>1</v>
      </c>
    </row>
    <row r="5633" ht="15.75" customHeight="1" spans="1:2">
      <c r="A5633" s="3" t="str">
        <f>IFERROR(__xludf.DUMMYFUNCTION("GOOGLETRANSLATE(A5633,""en"",""pt"")"),"O Código Da Vinci é incrível ..")</f>
        <v>O Código Da Vinci é incrível ..</v>
      </c>
      <c r="B5633" s="3">
        <v>1</v>
      </c>
    </row>
    <row r="5634" ht="15.75" customHeight="1" spans="1:2">
      <c r="A5634" s="3" t="str">
        <f>IFERROR(__xludf.DUMMYFUNCTION("GOOGLETRANSLATE(A5634,""en"",""pt"")"),"O Código Da Vinci é espectacular !!")</f>
        <v>O Código Da Vinci é espectacular !!</v>
      </c>
      <c r="B5634" s="3">
        <v>1</v>
      </c>
    </row>
    <row r="5635" ht="15.75" customHeight="1" spans="1:2">
      <c r="A5635" s="3" t="str">
        <f>IFERROR(__xludf.DUMMYFUNCTION("GOOGLETRANSLATE(A5635,""en"",""pt"")"),"Luv lubb o Código Da Vinci!")</f>
        <v>Luv lubb o Código Da Vinci!</v>
      </c>
      <c r="B5635" s="3">
        <v>1</v>
      </c>
    </row>
    <row r="5636" ht="15.75" customHeight="1" spans="1:2">
      <c r="A5636" s="3" t="str">
        <f>IFERROR(__xludf.DUMMYFUNCTION("GOOGLETRANSLATE(A5636,""en"",""pt"")"),"as pessoas que valem a pena saber o quanto eu amo o código da vinci.")</f>
        <v>as pessoas que valem a pena saber o quanto eu amo o código da vinci.</v>
      </c>
      <c r="B5636" s="3">
        <v>1</v>
      </c>
    </row>
    <row r="5637" ht="15.75" customHeight="1" spans="1:2">
      <c r="A5637" s="3" t="str">
        <f>IFERROR(__xludf.DUMMYFUNCTION("GOOGLETRANSLATE(A5637,""en"",""pt"")"),"Eu queria desesperadamente love'The Código Da Vinci como um filme.")</f>
        <v>Eu queria desesperadamente love'The Código Da Vinci como um filme.</v>
      </c>
      <c r="B5637" s="3">
        <v>1</v>
      </c>
    </row>
    <row r="5638" ht="15.75" customHeight="1" spans="1:2">
      <c r="A5638" s="3" t="str">
        <f>IFERROR(__xludf.DUMMYFUNCTION("GOOGLETRANSLATE(A5638,""en"",""pt"")"),"O Código Da Vinci foi incrível, eu não posso esperar para lê-lo ...")</f>
        <v>O Código Da Vinci foi incrível, eu não posso esperar para lê-lo ...</v>
      </c>
      <c r="B5638" s="3">
        <v>1</v>
      </c>
    </row>
    <row r="5639" ht="15.75" customHeight="1" spans="1:2">
      <c r="A5639" s="3" t="str">
        <f>IFERROR(__xludf.DUMMYFUNCTION("GOOGLETRANSLATE(A5639,""en"",""pt"")"),"O Código Da Vinci foi absolutamente incrível!")</f>
        <v>O Código Da Vinci foi absolutamente incrível!</v>
      </c>
      <c r="B5639" s="3">
        <v>1</v>
      </c>
    </row>
    <row r="5640" ht="15.75" customHeight="1" spans="1:2">
      <c r="A5640" s="3" t="str">
        <f>IFERROR(__xludf.DUMMYFUNCTION("GOOGLETRANSLATE(A5640,""en"",""pt"")"),"Código Da Vinci era um filme impressionante ...")</f>
        <v>Código Da Vinci era um filme impressionante ...</v>
      </c>
      <c r="B5640" s="3">
        <v>1</v>
      </c>
    </row>
    <row r="5641" ht="15.75" customHeight="1" spans="1:2">
      <c r="A5641" s="3" t="str">
        <f>IFERROR(__xludf.DUMMYFUNCTION("GOOGLETRANSLATE(A5641,""en"",""pt"")"),"CÓDIGO DA VINCI É IMPRESSIONANTE !!")</f>
        <v>CÓDIGO DA VINCI É IMPRESSIONANTE !!</v>
      </c>
      <c r="B5641" s="3">
        <v>1</v>
      </c>
    </row>
    <row r="5642" ht="15.75" customHeight="1" spans="1:2">
      <c r="A5642" s="3" t="str">
        <f>IFERROR(__xludf.DUMMYFUNCTION("GOOGLETRANSLATE(A5642,""en"",""pt"")"),"Eu amo O Código Da Vinci ...")</f>
        <v>Eu amo O Código Da Vinci ...</v>
      </c>
      <c r="B5642" s="3">
        <v>1</v>
      </c>
    </row>
    <row r="5643" ht="15.75" customHeight="1" spans="1:2">
      <c r="A5643" s="3" t="s">
        <v>23</v>
      </c>
      <c r="B5643" s="3">
        <v>1</v>
      </c>
    </row>
    <row r="5644" ht="15.75" customHeight="1" spans="1:2">
      <c r="A5644" s="3" t="str">
        <f>IFERROR(__xludf.DUMMYFUNCTION("GOOGLETRANSLATE(A5644,""en"",""pt"")"),"O Código Da Vinci é espectacular !!")</f>
        <v>O Código Da Vinci é espectacular !!</v>
      </c>
      <c r="B5644" s="3">
        <v>1</v>
      </c>
    </row>
    <row r="5645" ht="15.75" customHeight="1" spans="1:2">
      <c r="A5645" s="3" t="str">
        <f>IFERROR(__xludf.DUMMYFUNCTION("GOOGLETRANSLATE(A5645,""en"",""pt"")"),"Luv lubb o Código Da Vinci!")</f>
        <v>Luv lubb o Código Da Vinci!</v>
      </c>
      <c r="B5645" s="3">
        <v>1</v>
      </c>
    </row>
    <row r="5646" ht="15.75" customHeight="1" spans="1:2">
      <c r="A5646" s="3" t="str">
        <f>IFERROR(__xludf.DUMMYFUNCTION("GOOGLETRANSLATE(A5646,""en"",""pt"")"),"as pessoas que valem a pena saber o quanto eu amo o código da vinci.")</f>
        <v>as pessoas que valem a pena saber o quanto eu amo o código da vinci.</v>
      </c>
      <c r="B5646" s="3">
        <v>1</v>
      </c>
    </row>
    <row r="5647" ht="15.75" customHeight="1" spans="1:2">
      <c r="A5647" s="3" t="str">
        <f>IFERROR(__xludf.DUMMYFUNCTION("GOOGLETRANSLATE(A5647,""en"",""pt"")"),"Eu queria desesperadamente love'The Código Da Vinci como um filme.")</f>
        <v>Eu queria desesperadamente love'The Código Da Vinci como um filme.</v>
      </c>
      <c r="B5647" s="3">
        <v>1</v>
      </c>
    </row>
    <row r="5648" ht="15.75" customHeight="1" spans="1:2">
      <c r="A5648" s="3" t="str">
        <f>IFERROR(__xludf.DUMMYFUNCTION("GOOGLETRANSLATE(A5648,""en"",""pt"")"),"O Código Da Vinci foi incrível, eu não posso esperar para lê-lo ...")</f>
        <v>O Código Da Vinci foi incrível, eu não posso esperar para lê-lo ...</v>
      </c>
      <c r="B5648" s="3">
        <v>1</v>
      </c>
    </row>
    <row r="5649" ht="15.75" customHeight="1" spans="1:2">
      <c r="A5649" s="3" t="str">
        <f>IFERROR(__xludf.DUMMYFUNCTION("GOOGLETRANSLATE(A5649,""en"",""pt"")"),"O Código Da Vinci foi absolutamente incrível!")</f>
        <v>O Código Da Vinci foi absolutamente incrível!</v>
      </c>
      <c r="B5649" s="3">
        <v>1</v>
      </c>
    </row>
    <row r="5650" ht="15.75" customHeight="1" spans="1:2">
      <c r="A5650" s="3" t="str">
        <f>IFERROR(__xludf.DUMMYFUNCTION("GOOGLETRANSLATE(A5650,""en"",""pt"")"),"Código Da Vinci era um filme impressionante ...")</f>
        <v>Código Da Vinci era um filme impressionante ...</v>
      </c>
      <c r="B5650" s="3">
        <v>1</v>
      </c>
    </row>
    <row r="5651" ht="15.75" customHeight="1" spans="1:2">
      <c r="A5651" s="3" t="str">
        <f>IFERROR(__xludf.DUMMYFUNCTION("GOOGLETRANSLATE(A5651,""en"",""pt"")"),"CÓDIGO DA VINCI É IMPRESSIONANTE !!")</f>
        <v>CÓDIGO DA VINCI É IMPRESSIONANTE !!</v>
      </c>
      <c r="B5651" s="3">
        <v>1</v>
      </c>
    </row>
    <row r="5652" ht="15.75" customHeight="1" spans="1:2">
      <c r="A5652" s="3" t="str">
        <f>IFERROR(__xludf.DUMMYFUNCTION("GOOGLETRANSLATE(A5652,""en"",""pt"")"),"Eu amo O Código Da Vinci ...")</f>
        <v>Eu amo O Código Da Vinci ...</v>
      </c>
      <c r="B5652" s="3">
        <v>1</v>
      </c>
    </row>
    <row r="5653" ht="15.75" customHeight="1" spans="1:2">
      <c r="A5653" s="3" t="str">
        <f>IFERROR(__xludf.DUMMYFUNCTION("GOOGLETRANSLATE(A5653,""en"",""pt"")"),"O Código Da Vinci é incrível ..")</f>
        <v>O Código Da Vinci é incrível ..</v>
      </c>
      <c r="B5653" s="3">
        <v>1</v>
      </c>
    </row>
    <row r="5654" ht="15.75" customHeight="1" spans="1:2">
      <c r="A5654" s="3" t="str">
        <f>IFERROR(__xludf.DUMMYFUNCTION("GOOGLETRANSLATE(A5654,""en"",""pt"")"),"O Código Da Vinci é espectacular !!")</f>
        <v>O Código Da Vinci é espectacular !!</v>
      </c>
      <c r="B5654" s="3">
        <v>1</v>
      </c>
    </row>
    <row r="5655" ht="15.75" customHeight="1" spans="1:2">
      <c r="A5655" s="3" t="str">
        <f>IFERROR(__xludf.DUMMYFUNCTION("GOOGLETRANSLATE(A5655,""en"",""pt"")"),"Luv lubb o Código Da Vinci!")</f>
        <v>Luv lubb o Código Da Vinci!</v>
      </c>
      <c r="B5655" s="3">
        <v>1</v>
      </c>
    </row>
    <row r="5656" ht="15.75" customHeight="1" spans="1:2">
      <c r="A5656" s="3" t="str">
        <f>IFERROR(__xludf.DUMMYFUNCTION("GOOGLETRANSLATE(A5656,""en"",""pt"")"),"as pessoas que valem a pena saber o quanto eu amo o código da vinci.")</f>
        <v>as pessoas que valem a pena saber o quanto eu amo o código da vinci.</v>
      </c>
      <c r="B5656" s="3">
        <v>1</v>
      </c>
    </row>
    <row r="5657" ht="15.75" customHeight="1" spans="1:2">
      <c r="A5657" s="3" t="str">
        <f>IFERROR(__xludf.DUMMYFUNCTION("GOOGLETRANSLATE(A5657,""en"",""pt"")"),"Eu queria desesperadamente love'The Código Da Vinci como um filme.")</f>
        <v>Eu queria desesperadamente love'The Código Da Vinci como um filme.</v>
      </c>
      <c r="B5657" s="3">
        <v>1</v>
      </c>
    </row>
    <row r="5658" ht="15.75" customHeight="1" spans="1:2">
      <c r="A5658" s="3" t="str">
        <f>IFERROR(__xludf.DUMMYFUNCTION("GOOGLETRANSLATE(A5658,""en"",""pt"")"),"O Código Da Vinci foi incrível, eu não posso esperar para lê-lo ...")</f>
        <v>O Código Da Vinci foi incrível, eu não posso esperar para lê-lo ...</v>
      </c>
      <c r="B5658" s="3">
        <v>1</v>
      </c>
    </row>
    <row r="5659" ht="15.75" customHeight="1" spans="1:2">
      <c r="A5659" s="3" t="str">
        <f>IFERROR(__xludf.DUMMYFUNCTION("GOOGLETRANSLATE(A5659,""en"",""pt"")"),"O Código Da Vinci foi absolutamente incrível!")</f>
        <v>O Código Da Vinci foi absolutamente incrível!</v>
      </c>
      <c r="B5659" s="3">
        <v>1</v>
      </c>
    </row>
    <row r="5660" ht="15.75" customHeight="1" spans="1:2">
      <c r="A5660" s="3" t="str">
        <f>IFERROR(__xludf.DUMMYFUNCTION("GOOGLETRANSLATE(A5660,""en"",""pt"")"),"Código Da Vinci era um filme impressionante ...")</f>
        <v>Código Da Vinci era um filme impressionante ...</v>
      </c>
      <c r="B5660" s="3">
        <v>1</v>
      </c>
    </row>
    <row r="5661" ht="15.75" customHeight="1" spans="1:2">
      <c r="A5661" s="3" t="str">
        <f>IFERROR(__xludf.DUMMYFUNCTION("GOOGLETRANSLATE(A5661,""en"",""pt"")"),"CÓDIGO DA VINCI É IMPRESSIONANTE !!")</f>
        <v>CÓDIGO DA VINCI É IMPRESSIONANTE !!</v>
      </c>
      <c r="B5661" s="3">
        <v>1</v>
      </c>
    </row>
    <row r="5662" ht="15.75" customHeight="1" spans="1:2">
      <c r="A5662" s="3" t="str">
        <f>IFERROR(__xludf.DUMMYFUNCTION("GOOGLETRANSLATE(A5662,""en"",""pt"")"),"Eu amo O Código Da Vinci ...")</f>
        <v>Eu amo O Código Da Vinci ...</v>
      </c>
      <c r="B5662" s="3">
        <v>1</v>
      </c>
    </row>
    <row r="5663" ht="15.75" customHeight="1" spans="1:2">
      <c r="A5663" s="3" t="str">
        <f>IFERROR(__xludf.DUMMYFUNCTION("GOOGLETRANSLATE(A5663,""en"",""pt"")"),"O Código Da Vinci é incrível ..")</f>
        <v>O Código Da Vinci é incrível ..</v>
      </c>
      <c r="B5663" s="3">
        <v>1</v>
      </c>
    </row>
    <row r="5664" ht="15.75" customHeight="1" spans="1:2">
      <c r="A5664" s="3" t="str">
        <f>IFERROR(__xludf.DUMMYFUNCTION("GOOGLETRANSLATE(A5664,""en"",""pt"")"),"O Código Da Vinci é espectacular !!")</f>
        <v>O Código Da Vinci é espectacular !!</v>
      </c>
      <c r="B5664" s="3">
        <v>1</v>
      </c>
    </row>
    <row r="5665" ht="15.75" customHeight="1" spans="1:2">
      <c r="A5665" s="3" t="str">
        <f>IFERROR(__xludf.DUMMYFUNCTION("GOOGLETRANSLATE(A5665,""en"",""pt"")"),"Luv lubb o Código Da Vinci!")</f>
        <v>Luv lubb o Código Da Vinci!</v>
      </c>
      <c r="B5665" s="3">
        <v>1</v>
      </c>
    </row>
    <row r="5666" ht="15.75" customHeight="1" spans="1:2">
      <c r="A5666" s="3" t="str">
        <f>IFERROR(__xludf.DUMMYFUNCTION("GOOGLETRANSLATE(A5666,""en"",""pt"")"),"as pessoas que valem a pena saber o quanto eu amo o código da vinci.")</f>
        <v>as pessoas que valem a pena saber o quanto eu amo o código da vinci.</v>
      </c>
      <c r="B5666" s="3">
        <v>1</v>
      </c>
    </row>
    <row r="5667" ht="15.75" customHeight="1" spans="1:2">
      <c r="A5667" s="3" t="str">
        <f>IFERROR(__xludf.DUMMYFUNCTION("GOOGLETRANSLATE(A5667,""en"",""pt"")"),"Eu queria desesperadamente love'The Código Da Vinci como um filme.")</f>
        <v>Eu queria desesperadamente love'The Código Da Vinci como um filme.</v>
      </c>
      <c r="B5667" s="3">
        <v>1</v>
      </c>
    </row>
    <row r="5668" ht="15.75" customHeight="1" spans="1:2">
      <c r="A5668" s="3" t="str">
        <f>IFERROR(__xludf.DUMMYFUNCTION("GOOGLETRANSLATE(A5668,""en"",""pt"")"),"O Código Da Vinci foi incrível, eu não posso esperar para lê-lo ...")</f>
        <v>O Código Da Vinci foi incrível, eu não posso esperar para lê-lo ...</v>
      </c>
      <c r="B5668" s="3">
        <v>1</v>
      </c>
    </row>
    <row r="5669" ht="15.75" customHeight="1" spans="1:2">
      <c r="A5669" s="3" t="str">
        <f>IFERROR(__xludf.DUMMYFUNCTION("GOOGLETRANSLATE(A5669,""en"",""pt"")"),"O Código Da Vinci foi absolutamente incrível!")</f>
        <v>O Código Da Vinci foi absolutamente incrível!</v>
      </c>
      <c r="B5669" s="3">
        <v>1</v>
      </c>
    </row>
    <row r="5670" ht="15.75" customHeight="1" spans="1:2">
      <c r="A5670" s="3" t="str">
        <f>IFERROR(__xludf.DUMMYFUNCTION("GOOGLETRANSLATE(A5670,""en"",""pt"")"),"Código Da Vinci era um filme impressionante ...")</f>
        <v>Código Da Vinci era um filme impressionante ...</v>
      </c>
      <c r="B5670" s="3">
        <v>1</v>
      </c>
    </row>
    <row r="5671" ht="15.75" customHeight="1" spans="1:2">
      <c r="A5671" s="3" t="str">
        <f>IFERROR(__xludf.DUMMYFUNCTION("GOOGLETRANSLATE(A5671,""en"",""pt"")"),"CÓDIGO DA VINCI É IMPRESSIONANTE !!")</f>
        <v>CÓDIGO DA VINCI É IMPRESSIONANTE !!</v>
      </c>
      <c r="B5671" s="3">
        <v>1</v>
      </c>
    </row>
    <row r="5672" ht="15.75" customHeight="1" spans="1:2">
      <c r="A5672" s="3" t="str">
        <f>IFERROR(__xludf.DUMMYFUNCTION("GOOGLETRANSLATE(A5672,""en"",""pt"")"),"Eu amo O Código Da Vinci ...")</f>
        <v>Eu amo O Código Da Vinci ...</v>
      </c>
      <c r="B5672" s="3">
        <v>1</v>
      </c>
    </row>
    <row r="5673" ht="15.75" customHeight="1" spans="1:2">
      <c r="A5673" s="3" t="str">
        <f>IFERROR(__xludf.DUMMYFUNCTION("GOOGLETRANSLATE(A5673,""en"",""pt"")"),"O Código Da Vinci é incrível ..")</f>
        <v>O Código Da Vinci é incrível ..</v>
      </c>
      <c r="B5673" s="3">
        <v>1</v>
      </c>
    </row>
    <row r="5674" ht="15.75" customHeight="1" spans="1:2">
      <c r="A5674" s="3" t="str">
        <f>IFERROR(__xludf.DUMMYFUNCTION("GOOGLETRANSLATE(A5674,""en"",""pt"")"),"O Código Da Vinci é espectacular !!")</f>
        <v>O Código Da Vinci é espectacular !!</v>
      </c>
      <c r="B5674" s="3">
        <v>1</v>
      </c>
    </row>
    <row r="5675" ht="15.75" customHeight="1" spans="1:2">
      <c r="A5675" s="3" t="str">
        <f>IFERROR(__xludf.DUMMYFUNCTION("GOOGLETRANSLATE(A5675,""en"",""pt"")"),"Luv lubb o Código Da Vinci!")</f>
        <v>Luv lubb o Código Da Vinci!</v>
      </c>
      <c r="B5675" s="3">
        <v>1</v>
      </c>
    </row>
    <row r="5676" ht="15.75" customHeight="1" spans="1:2">
      <c r="A5676" s="3" t="str">
        <f>IFERROR(__xludf.DUMMYFUNCTION("GOOGLETRANSLATE(A5676,""en"",""pt"")"),"as pessoas que valem a pena saber o quanto eu amo o código da vinci.")</f>
        <v>as pessoas que valem a pena saber o quanto eu amo o código da vinci.</v>
      </c>
      <c r="B5676" s="3">
        <v>1</v>
      </c>
    </row>
    <row r="5677" ht="15.75" customHeight="1" spans="1:2">
      <c r="A5677" s="3" t="str">
        <f>IFERROR(__xludf.DUMMYFUNCTION("GOOGLETRANSLATE(A5677,""en"",""pt"")"),"Eu queria desesperadamente love'The Código Da Vinci como um filme.")</f>
        <v>Eu queria desesperadamente love'The Código Da Vinci como um filme.</v>
      </c>
      <c r="B5677" s="3">
        <v>1</v>
      </c>
    </row>
    <row r="5678" ht="15.75" customHeight="1" spans="1:2">
      <c r="A5678" s="3" t="str">
        <f>IFERROR(__xludf.DUMMYFUNCTION("GOOGLETRANSLATE(A5678,""en"",""pt"")"),"O Código Da Vinci foi incrível, eu não posso esperar para lê-lo ...")</f>
        <v>O Código Da Vinci foi incrível, eu não posso esperar para lê-lo ...</v>
      </c>
      <c r="B5678" s="3">
        <v>1</v>
      </c>
    </row>
    <row r="5679" ht="15.75" customHeight="1" spans="1:2">
      <c r="A5679" s="3" t="str">
        <f>IFERROR(__xludf.DUMMYFUNCTION("GOOGLETRANSLATE(A5679,""en"",""pt"")"),"O Código Da Vinci foi absolutamente incrível!")</f>
        <v>O Código Da Vinci foi absolutamente incrível!</v>
      </c>
      <c r="B5679" s="3">
        <v>1</v>
      </c>
    </row>
    <row r="5680" ht="15.75" customHeight="1" spans="1:2">
      <c r="A5680" s="3" t="str">
        <f>IFERROR(__xludf.DUMMYFUNCTION("GOOGLETRANSLATE(A5680,""en"",""pt"")"),"Código Da Vinci era um filme impressionante ...")</f>
        <v>Código Da Vinci era um filme impressionante ...</v>
      </c>
      <c r="B5680" s="3">
        <v>1</v>
      </c>
    </row>
    <row r="5681" ht="15.75" customHeight="1" spans="1:2">
      <c r="A5681" s="3" t="str">
        <f>IFERROR(__xludf.DUMMYFUNCTION("GOOGLETRANSLATE(A5681,""en"",""pt"")"),"CÓDIGO DA VINCI É IMPRESSIONANTE !!")</f>
        <v>CÓDIGO DA VINCI É IMPRESSIONANTE !!</v>
      </c>
      <c r="B5681" s="3">
        <v>1</v>
      </c>
    </row>
    <row r="5682" ht="15.75" customHeight="1" spans="1:2">
      <c r="A5682" s="3" t="str">
        <f>IFERROR(__xludf.DUMMYFUNCTION("GOOGLETRANSLATE(A5682,""en"",""pt"")"),"Eu amo O Código Da Vinci ...")</f>
        <v>Eu amo O Código Da Vinci ...</v>
      </c>
      <c r="B5682" s="3">
        <v>1</v>
      </c>
    </row>
    <row r="5683" ht="15.75" customHeight="1" spans="1:2">
      <c r="A5683" s="3" t="str">
        <f>IFERROR(__xludf.DUMMYFUNCTION("GOOGLETRANSLATE(A5683,""en"",""pt"")"),"O Código Da Vinci é incrível ..")</f>
        <v>O Código Da Vinci é incrível ..</v>
      </c>
      <c r="B5683" s="3">
        <v>1</v>
      </c>
    </row>
    <row r="5684" ht="15.75" customHeight="1" spans="1:2">
      <c r="A5684" s="3" t="str">
        <f>IFERROR(__xludf.DUMMYFUNCTION("GOOGLETRANSLATE(A5684,""en"",""pt"")"),"O Código Da Vinci é espectacular !!")</f>
        <v>O Código Da Vinci é espectacular !!</v>
      </c>
      <c r="B5684" s="3">
        <v>1</v>
      </c>
    </row>
    <row r="5685" ht="15.75" customHeight="1" spans="1:2">
      <c r="A5685" s="3" t="str">
        <f>IFERROR(__xludf.DUMMYFUNCTION("GOOGLETRANSLATE(A5685,""en"",""pt"")"),"Luv lubb o Código Da Vinci!")</f>
        <v>Luv lubb o Código Da Vinci!</v>
      </c>
      <c r="B5685" s="3">
        <v>1</v>
      </c>
    </row>
    <row r="5686" ht="15.75" customHeight="1" spans="1:2">
      <c r="A5686" s="3" t="str">
        <f>IFERROR(__xludf.DUMMYFUNCTION("GOOGLETRANSLATE(A5686,""en"",""pt"")"),"as pessoas que valem a pena saber o quanto eu amo o código da vinci.")</f>
        <v>as pessoas que valem a pena saber o quanto eu amo o código da vinci.</v>
      </c>
      <c r="B5686" s="3">
        <v>1</v>
      </c>
    </row>
    <row r="5687" ht="15.75" customHeight="1" spans="1:2">
      <c r="A5687" s="3" t="str">
        <f>IFERROR(__xludf.DUMMYFUNCTION("GOOGLETRANSLATE(A5687,""en"",""pt"")"),"Eu queria desesperadamente love'The Código Da Vinci como um filme.")</f>
        <v>Eu queria desesperadamente love'The Código Da Vinci como um filme.</v>
      </c>
      <c r="B5687" s="3">
        <v>1</v>
      </c>
    </row>
    <row r="5688" ht="15.75" customHeight="1" spans="1:2">
      <c r="A5688" s="3" t="str">
        <f>IFERROR(__xludf.DUMMYFUNCTION("GOOGLETRANSLATE(A5688,""en"",""pt"")"),"O Código Da Vinci foi incrível, eu não posso esperar para lê-lo ...")</f>
        <v>O Código Da Vinci foi incrível, eu não posso esperar para lê-lo ...</v>
      </c>
      <c r="B5688" s="3">
        <v>1</v>
      </c>
    </row>
    <row r="5689" ht="15.75" customHeight="1" spans="1:2">
      <c r="A5689" s="3" t="str">
        <f>IFERROR(__xludf.DUMMYFUNCTION("GOOGLETRANSLATE(A5689,""en"",""pt"")"),"O Código Da Vinci foi absolutamente incrível!")</f>
        <v>O Código Da Vinci foi absolutamente incrível!</v>
      </c>
      <c r="B5689" s="3">
        <v>1</v>
      </c>
    </row>
    <row r="5690" ht="15.75" customHeight="1" spans="1:2">
      <c r="A5690" s="3" t="str">
        <f>IFERROR(__xludf.DUMMYFUNCTION("GOOGLETRANSLATE(A5690,""en"",""pt"")"),"Código Da Vinci era um filme impressionante ...")</f>
        <v>Código Da Vinci era um filme impressionante ...</v>
      </c>
      <c r="B5690" s="3">
        <v>1</v>
      </c>
    </row>
    <row r="5691" ht="15.75" customHeight="1" spans="1:2">
      <c r="A5691" s="3" t="str">
        <f>IFERROR(__xludf.DUMMYFUNCTION("GOOGLETRANSLATE(A5691,""en"",""pt"")"),"CÓDIGO DA VINCI É IMPRESSIONANTE !!")</f>
        <v>CÓDIGO DA VINCI É IMPRESSIONANTE !!</v>
      </c>
      <c r="B5691" s="3">
        <v>1</v>
      </c>
    </row>
    <row r="5692" ht="15.75" customHeight="1" spans="1:2">
      <c r="A5692" s="3" t="str">
        <f>IFERROR(__xludf.DUMMYFUNCTION("GOOGLETRANSLATE(A5692,""en"",""pt"")"),"Eu amo O Código Da Vinci ...")</f>
        <v>Eu amo O Código Da Vinci ...</v>
      </c>
      <c r="B5692" s="3">
        <v>1</v>
      </c>
    </row>
    <row r="5693" ht="15.75" customHeight="1" spans="1:2">
      <c r="A5693" s="3" t="str">
        <f>IFERROR(__xludf.DUMMYFUNCTION("GOOGLETRANSLATE(A5693,""en"",""pt"")"),"O Código Da Vinci é incrível ..")</f>
        <v>O Código Da Vinci é incrível ..</v>
      </c>
      <c r="B5693" s="3">
        <v>1</v>
      </c>
    </row>
    <row r="5694" ht="15.75" customHeight="1" spans="1:2">
      <c r="A5694" s="3" t="str">
        <f>IFERROR(__xludf.DUMMYFUNCTION("GOOGLETRANSLATE(A5694,""en"",""pt"")"),"O Código Da Vinci é espectacular !!")</f>
        <v>O Código Da Vinci é espectacular !!</v>
      </c>
      <c r="B5694" s="3">
        <v>1</v>
      </c>
    </row>
    <row r="5695" ht="15.75" customHeight="1" spans="1:2">
      <c r="A5695" s="3" t="str">
        <f>IFERROR(__xludf.DUMMYFUNCTION("GOOGLETRANSLATE(A5695,""en"",""pt"")"),"Luv lubb o Código Da Vinci!")</f>
        <v>Luv lubb o Código Da Vinci!</v>
      </c>
      <c r="B5695" s="3">
        <v>1</v>
      </c>
    </row>
    <row r="5696" ht="15.75" customHeight="1" spans="1:2">
      <c r="A5696" s="3" t="str">
        <f>IFERROR(__xludf.DUMMYFUNCTION("GOOGLETRANSLATE(A5696,""en"",""pt"")"),"as pessoas que valem a pena saber o quanto eu amo o código da vinci.")</f>
        <v>as pessoas que valem a pena saber o quanto eu amo o código da vinci.</v>
      </c>
      <c r="B5696" s="3">
        <v>1</v>
      </c>
    </row>
    <row r="5697" ht="15.75" customHeight="1" spans="1:2">
      <c r="A5697" s="3" t="str">
        <f>IFERROR(__xludf.DUMMYFUNCTION("GOOGLETRANSLATE(A5697,""en"",""pt"")"),"Eu queria desesperadamente love'The Código Da Vinci como um filme.")</f>
        <v>Eu queria desesperadamente love'The Código Da Vinci como um filme.</v>
      </c>
      <c r="B5697" s="3">
        <v>1</v>
      </c>
    </row>
    <row r="5698" ht="15.75" customHeight="1" spans="1:2">
      <c r="A5698" s="3" t="str">
        <f>IFERROR(__xludf.DUMMYFUNCTION("GOOGLETRANSLATE(A5698,""en"",""pt"")"),"O Código Da Vinci foi incrível, eu não posso esperar para lê-lo ...")</f>
        <v>O Código Da Vinci foi incrível, eu não posso esperar para lê-lo ...</v>
      </c>
      <c r="B5698" s="3">
        <v>1</v>
      </c>
    </row>
    <row r="5699" ht="15.75" customHeight="1" spans="1:2">
      <c r="A5699" s="3" t="str">
        <f>IFERROR(__xludf.DUMMYFUNCTION("GOOGLETRANSLATE(A5699,""en"",""pt"")"),"O Código Da Vinci foi absolutamente incrível!")</f>
        <v>O Código Da Vinci foi absolutamente incrível!</v>
      </c>
      <c r="B5699" s="3">
        <v>1</v>
      </c>
    </row>
    <row r="5700" ht="15.75" customHeight="1" spans="1:2">
      <c r="A5700" s="3" t="str">
        <f>IFERROR(__xludf.DUMMYFUNCTION("GOOGLETRANSLATE(A5700,""en"",""pt"")"),"Código Da Vinci era um filme impressionante ...")</f>
        <v>Código Da Vinci era um filme impressionante ...</v>
      </c>
      <c r="B5700" s="3">
        <v>1</v>
      </c>
    </row>
    <row r="5701" ht="15.75" customHeight="1" spans="1:2">
      <c r="A5701" s="3" t="str">
        <f>IFERROR(__xludf.DUMMYFUNCTION("GOOGLETRANSLATE(A5701,""en"",""pt"")"),"CÓDIGO DA VINCI É IMPRESSIONANTE !!")</f>
        <v>CÓDIGO DA VINCI É IMPRESSIONANTE !!</v>
      </c>
      <c r="B5701" s="3">
        <v>1</v>
      </c>
    </row>
    <row r="5702" ht="15.75" customHeight="1" spans="1:2">
      <c r="A5702" s="3" t="str">
        <f>IFERROR(__xludf.DUMMYFUNCTION("GOOGLETRANSLATE(A5702,""en"",""pt"")"),"Eu amo O Código Da Vinci ...")</f>
        <v>Eu amo O Código Da Vinci ...</v>
      </c>
      <c r="B5702" s="3">
        <v>1</v>
      </c>
    </row>
    <row r="5703" ht="15.75" customHeight="1" spans="1:2">
      <c r="A5703" s="3" t="str">
        <f>IFERROR(__xludf.DUMMYFUNCTION("GOOGLETRANSLATE(A5703,""en"",""pt"")"),"O Código Da Vinci é incrível ..")</f>
        <v>O Código Da Vinci é incrível ..</v>
      </c>
      <c r="B5703" s="3">
        <v>1</v>
      </c>
    </row>
    <row r="5704" ht="15.75" customHeight="1" spans="1:2">
      <c r="A5704" s="3" t="str">
        <f>IFERROR(__xludf.DUMMYFUNCTION("GOOGLETRANSLATE(A5704,""en"",""pt"")"),"O Código Da Vinci é espectacular !!")</f>
        <v>O Código Da Vinci é espectacular !!</v>
      </c>
      <c r="B5704" s="3">
        <v>1</v>
      </c>
    </row>
    <row r="5705" ht="15.75" customHeight="1" spans="1:2">
      <c r="A5705" s="3" t="str">
        <f>IFERROR(__xludf.DUMMYFUNCTION("GOOGLETRANSLATE(A5705,""en"",""pt"")"),"Luv lubb o Código Da Vinci!")</f>
        <v>Luv lubb o Código Da Vinci!</v>
      </c>
      <c r="B5705" s="3">
        <v>1</v>
      </c>
    </row>
    <row r="5706" ht="15.75" customHeight="1" spans="1:2">
      <c r="A5706" s="3" t="str">
        <f>IFERROR(__xludf.DUMMYFUNCTION("GOOGLETRANSLATE(A5706,""en"",""pt"")"),"as pessoas que valem a pena saber o quanto eu amo o código da vinci.")</f>
        <v>as pessoas que valem a pena saber o quanto eu amo o código da vinci.</v>
      </c>
      <c r="B5706" s="3">
        <v>1</v>
      </c>
    </row>
    <row r="5707" ht="15.75" customHeight="1" spans="1:2">
      <c r="A5707" s="3" t="str">
        <f>IFERROR(__xludf.DUMMYFUNCTION("GOOGLETRANSLATE(A5707,""en"",""pt"")"),"Eu queria desesperadamente love'The Código Da Vinci como um filme.")</f>
        <v>Eu queria desesperadamente love'The Código Da Vinci como um filme.</v>
      </c>
      <c r="B5707" s="3">
        <v>1</v>
      </c>
    </row>
    <row r="5708" ht="15.75" customHeight="1" spans="1:2">
      <c r="A5708" s="3" t="str">
        <f>IFERROR(__xludf.DUMMYFUNCTION("GOOGLETRANSLATE(A5708,""en"",""pt"")"),"O Código Da Vinci foi incrível, eu não posso esperar para lê-lo ...")</f>
        <v>O Código Da Vinci foi incrível, eu não posso esperar para lê-lo ...</v>
      </c>
      <c r="B5708" s="3">
        <v>1</v>
      </c>
    </row>
    <row r="5709" ht="15.75" customHeight="1" spans="1:2">
      <c r="A5709" s="3" t="str">
        <f>IFERROR(__xludf.DUMMYFUNCTION("GOOGLETRANSLATE(A5709,""en"",""pt"")"),"O Código Da Vinci foi absolutamente incrível!")</f>
        <v>O Código Da Vinci foi absolutamente incrível!</v>
      </c>
      <c r="B5709" s="3">
        <v>1</v>
      </c>
    </row>
    <row r="5710" ht="15.75" customHeight="1" spans="1:2">
      <c r="A5710" s="3" t="str">
        <f>IFERROR(__xludf.DUMMYFUNCTION("GOOGLETRANSLATE(A5710,""en"",""pt"")"),"Código Da Vinci era um filme impressionante ...")</f>
        <v>Código Da Vinci era um filme impressionante ...</v>
      </c>
      <c r="B5710" s="3">
        <v>1</v>
      </c>
    </row>
    <row r="5711" ht="15.75" customHeight="1" spans="1:2">
      <c r="A5711" s="3" t="str">
        <f>IFERROR(__xludf.DUMMYFUNCTION("GOOGLETRANSLATE(A5711,""en"",""pt"")"),"CÓDIGO DA VINCI É IMPRESSIONANTE !!")</f>
        <v>CÓDIGO DA VINCI É IMPRESSIONANTE !!</v>
      </c>
      <c r="B5711" s="3">
        <v>1</v>
      </c>
    </row>
    <row r="5712" ht="15.75" customHeight="1" spans="1:2">
      <c r="A5712" s="3" t="str">
        <f>IFERROR(__xludf.DUMMYFUNCTION("GOOGLETRANSLATE(A5712,""en"",""pt"")"),"Eu amo O Código Da Vinci ...")</f>
        <v>Eu amo O Código Da Vinci ...</v>
      </c>
      <c r="B5712" s="3">
        <v>1</v>
      </c>
    </row>
    <row r="5713" ht="15.75" customHeight="1" spans="1:2">
      <c r="A5713" s="3" t="str">
        <f>IFERROR(__xludf.DUMMYFUNCTION("GOOGLETRANSLATE(A5713,""en"",""pt"")"),"O Código Da Vinci é incrível ..")</f>
        <v>O Código Da Vinci é incrível ..</v>
      </c>
      <c r="B5713" s="3">
        <v>1</v>
      </c>
    </row>
    <row r="5714" ht="15.75" customHeight="1" spans="1:2">
      <c r="A5714" s="3" t="str">
        <f>IFERROR(__xludf.DUMMYFUNCTION("GOOGLETRANSLATE(A5714,""en"",""pt"")"),"O Código Da Vinci é espectacular !!")</f>
        <v>O Código Da Vinci é espectacular !!</v>
      </c>
      <c r="B5714" s="3">
        <v>1</v>
      </c>
    </row>
    <row r="5715" ht="15.75" customHeight="1" spans="1:2">
      <c r="A5715" s="3" t="str">
        <f>IFERROR(__xludf.DUMMYFUNCTION("GOOGLETRANSLATE(A5715,""en"",""pt"")"),"Luv lubb o Código Da Vinci!")</f>
        <v>Luv lubb o Código Da Vinci!</v>
      </c>
      <c r="B5715" s="3">
        <v>1</v>
      </c>
    </row>
    <row r="5716" ht="15.75" customHeight="1" spans="1:2">
      <c r="A5716" s="3" t="str">
        <f>IFERROR(__xludf.DUMMYFUNCTION("GOOGLETRANSLATE(A5716,""en"",""pt"")"),"as pessoas que valem a pena saber o quanto eu amo o código da vinci.")</f>
        <v>as pessoas que valem a pena saber o quanto eu amo o código da vinci.</v>
      </c>
      <c r="B5716" s="3">
        <v>1</v>
      </c>
    </row>
    <row r="5717" ht="15.75" customHeight="1" spans="1:2">
      <c r="A5717" s="3" t="str">
        <f>IFERROR(__xludf.DUMMYFUNCTION("GOOGLETRANSLATE(A5717,""en"",""pt"")"),"Eu queria desesperadamente love'The Código Da Vinci como um filme.")</f>
        <v>Eu queria desesperadamente love'The Código Da Vinci como um filme.</v>
      </c>
      <c r="B5717" s="3">
        <v>1</v>
      </c>
    </row>
    <row r="5718" ht="15.75" customHeight="1" spans="1:2">
      <c r="A5718" s="3" t="str">
        <f>IFERROR(__xludf.DUMMYFUNCTION("GOOGLETRANSLATE(A5718,""en"",""pt"")"),"O Código Da Vinci foi incrível, eu não posso esperar para lê-lo ...")</f>
        <v>O Código Da Vinci foi incrível, eu não posso esperar para lê-lo ...</v>
      </c>
      <c r="B5718" s="3">
        <v>1</v>
      </c>
    </row>
    <row r="5719" ht="15.75" customHeight="1" spans="1:2">
      <c r="A5719" s="3" t="str">
        <f>IFERROR(__xludf.DUMMYFUNCTION("GOOGLETRANSLATE(A5719,""en"",""pt"")"),"O Código Da Vinci foi absolutamente incrível!")</f>
        <v>O Código Da Vinci foi absolutamente incrível!</v>
      </c>
      <c r="B5719" s="3">
        <v>1</v>
      </c>
    </row>
    <row r="5720" ht="15.75" customHeight="1" spans="1:2">
      <c r="A5720" s="3" t="str">
        <f>IFERROR(__xludf.DUMMYFUNCTION("GOOGLETRANSLATE(A5720,""en"",""pt"")"),"Código Da Vinci era um filme impressionante ...")</f>
        <v>Código Da Vinci era um filme impressionante ...</v>
      </c>
      <c r="B5720" s="3">
        <v>1</v>
      </c>
    </row>
    <row r="5721" ht="15.75" customHeight="1" spans="1:2">
      <c r="A5721" s="3" t="str">
        <f>IFERROR(__xludf.DUMMYFUNCTION("GOOGLETRANSLATE(A5721,""en"",""pt"")"),"CÓDIGO DA VINCI É IMPRESSIONANTE !!")</f>
        <v>CÓDIGO DA VINCI É IMPRESSIONANTE !!</v>
      </c>
      <c r="B5721" s="3">
        <v>1</v>
      </c>
    </row>
    <row r="5722" ht="15.75" customHeight="1" spans="1:2">
      <c r="A5722" s="3" t="str">
        <f>IFERROR(__xludf.DUMMYFUNCTION("GOOGLETRANSLATE(A5722,""en"",""pt"")"),"Eu amo O Código Da Vinci ...")</f>
        <v>Eu amo O Código Da Vinci ...</v>
      </c>
      <c r="B5722" s="3">
        <v>1</v>
      </c>
    </row>
    <row r="5723" ht="15.75" customHeight="1" spans="1:2">
      <c r="A5723" s="3" t="str">
        <f>IFERROR(__xludf.DUMMYFUNCTION("GOOGLETRANSLATE(A5723,""en"",""pt"")"),"O Código Da Vinci é incrível ..")</f>
        <v>O Código Da Vinci é incrível ..</v>
      </c>
      <c r="B5723" s="3">
        <v>1</v>
      </c>
    </row>
    <row r="5724" ht="15.75" customHeight="1" spans="1:2">
      <c r="A5724" s="3" t="str">
        <f>IFERROR(__xludf.DUMMYFUNCTION("GOOGLETRANSLATE(A5724,""en"",""pt"")"),"O Código Da Vinci é espectacular !!")</f>
        <v>O Código Da Vinci é espectacular !!</v>
      </c>
      <c r="B5724" s="3">
        <v>1</v>
      </c>
    </row>
    <row r="5725" ht="15.75" customHeight="1" spans="1:2">
      <c r="A5725" s="3" t="str">
        <f>IFERROR(__xludf.DUMMYFUNCTION("GOOGLETRANSLATE(A5725,""en"",""pt"")"),"Luv lubb o Código Da Vinci!")</f>
        <v>Luv lubb o Código Da Vinci!</v>
      </c>
      <c r="B5725" s="3">
        <v>1</v>
      </c>
    </row>
    <row r="5726" ht="15.75" customHeight="1" spans="1:2">
      <c r="A5726" s="3" t="str">
        <f>IFERROR(__xludf.DUMMYFUNCTION("GOOGLETRANSLATE(A5726,""en"",""pt"")"),"as pessoas que valem a pena saber o quanto eu amo o código da vinci.")</f>
        <v>as pessoas que valem a pena saber o quanto eu amo o código da vinci.</v>
      </c>
      <c r="B5726" s="3">
        <v>1</v>
      </c>
    </row>
    <row r="5727" ht="15.75" customHeight="1" spans="1:2">
      <c r="A5727" s="3" t="str">
        <f>IFERROR(__xludf.DUMMYFUNCTION("GOOGLETRANSLATE(A5727,""en"",""pt"")"),"Eu queria desesperadamente love'The Código Da Vinci como um filme.")</f>
        <v>Eu queria desesperadamente love'The Código Da Vinci como um filme.</v>
      </c>
      <c r="B5727" s="3">
        <v>1</v>
      </c>
    </row>
    <row r="5728" ht="15.75" customHeight="1" spans="1:2">
      <c r="A5728" s="3" t="str">
        <f>IFERROR(__xludf.DUMMYFUNCTION("GOOGLETRANSLATE(A5728,""en"",""pt"")"),"O Código Da Vinci foi incrível, eu não posso esperar para lê-lo ...")</f>
        <v>O Código Da Vinci foi incrível, eu não posso esperar para lê-lo ...</v>
      </c>
      <c r="B5728" s="3">
        <v>1</v>
      </c>
    </row>
    <row r="5729" ht="15.75" customHeight="1" spans="1:2">
      <c r="A5729" s="3" t="str">
        <f>IFERROR(__xludf.DUMMYFUNCTION("GOOGLETRANSLATE(A5729,""en"",""pt"")"),"O Código Da Vinci foi absolutamente incrível!")</f>
        <v>O Código Da Vinci foi absolutamente incrível!</v>
      </c>
      <c r="B5729" s="3">
        <v>1</v>
      </c>
    </row>
    <row r="5730" ht="15.75" customHeight="1" spans="1:2">
      <c r="A5730" s="3" t="str">
        <f>IFERROR(__xludf.DUMMYFUNCTION("GOOGLETRANSLATE(A5730,""en"",""pt"")"),"Código Da Vinci era um filme impressionante ...")</f>
        <v>Código Da Vinci era um filme impressionante ...</v>
      </c>
      <c r="B5730" s="3">
        <v>1</v>
      </c>
    </row>
    <row r="5731" ht="15.75" customHeight="1" spans="1:2">
      <c r="A5731" s="3" t="str">
        <f>IFERROR(__xludf.DUMMYFUNCTION("GOOGLETRANSLATE(A5731,""en"",""pt"")"),"CÓDIGO DA VINCI É IMPRESSIONANTE !!")</f>
        <v>CÓDIGO DA VINCI É IMPRESSIONANTE !!</v>
      </c>
      <c r="B5731" s="3">
        <v>1</v>
      </c>
    </row>
    <row r="5732" ht="15.75" customHeight="1" spans="1:2">
      <c r="A5732" s="3" t="str">
        <f>IFERROR(__xludf.DUMMYFUNCTION("GOOGLETRANSLATE(A5732,""en"",""pt"")"),"Eu amo O Código Da Vinci ...")</f>
        <v>Eu amo O Código Da Vinci ...</v>
      </c>
      <c r="B5732" s="3">
        <v>1</v>
      </c>
    </row>
    <row r="5733" ht="15.75" customHeight="1" spans="1:2">
      <c r="A5733" s="3" t="str">
        <f>IFERROR(__xludf.DUMMYFUNCTION("GOOGLETRANSLATE(A5733,""en"",""pt"")"),"O Código Da Vinci é incrível ..")</f>
        <v>O Código Da Vinci é incrível ..</v>
      </c>
      <c r="B5733" s="3">
        <v>1</v>
      </c>
    </row>
    <row r="5734" ht="15.75" customHeight="1" spans="1:2">
      <c r="A5734" s="3" t="str">
        <f>IFERROR(__xludf.DUMMYFUNCTION("GOOGLETRANSLATE(A5734,""en"",""pt"")"),"O Código Da Vinci é espectacular !!")</f>
        <v>O Código Da Vinci é espectacular !!</v>
      </c>
      <c r="B5734" s="3">
        <v>1</v>
      </c>
    </row>
    <row r="5735" ht="15.75" customHeight="1" spans="1:2">
      <c r="A5735" s="3" t="str">
        <f>IFERROR(__xludf.DUMMYFUNCTION("GOOGLETRANSLATE(A5735,""en"",""pt"")"),"Luv lubb o Código Da Vinci!")</f>
        <v>Luv lubb o Código Da Vinci!</v>
      </c>
      <c r="B5735" s="3">
        <v>1</v>
      </c>
    </row>
    <row r="5736" ht="15.75" customHeight="1" spans="1:2">
      <c r="A5736" s="3" t="str">
        <f>IFERROR(__xludf.DUMMYFUNCTION("GOOGLETRANSLATE(A5736,""en"",""pt"")"),"as pessoas que valem a pena saber o quanto eu amo o código da vinci.")</f>
        <v>as pessoas que valem a pena saber o quanto eu amo o código da vinci.</v>
      </c>
      <c r="B5736" s="3">
        <v>1</v>
      </c>
    </row>
    <row r="5737" ht="15.75" customHeight="1" spans="1:2">
      <c r="A5737" s="3" t="str">
        <f>IFERROR(__xludf.DUMMYFUNCTION("GOOGLETRANSLATE(A5737,""en"",""pt"")"),"Eu queria desesperadamente love'The Código Da Vinci como um filme.")</f>
        <v>Eu queria desesperadamente love'The Código Da Vinci como um filme.</v>
      </c>
      <c r="B5737" s="3">
        <v>1</v>
      </c>
    </row>
    <row r="5738" ht="15.75" customHeight="1" spans="1:2">
      <c r="A5738" s="3" t="str">
        <f>IFERROR(__xludf.DUMMYFUNCTION("GOOGLETRANSLATE(A5738,""en"",""pt"")"),"O Código Da Vinci foi incrível, eu não posso esperar para lê-lo ...")</f>
        <v>O Código Da Vinci foi incrível, eu não posso esperar para lê-lo ...</v>
      </c>
      <c r="B5738" s="3">
        <v>1</v>
      </c>
    </row>
    <row r="5739" ht="15.75" customHeight="1" spans="1:2">
      <c r="A5739" s="3" t="str">
        <f>IFERROR(__xludf.DUMMYFUNCTION("GOOGLETRANSLATE(A5739,""en"",""pt"")"),"O Código Da Vinci foi absolutamente incrível!")</f>
        <v>O Código Da Vinci foi absolutamente incrível!</v>
      </c>
      <c r="B5739" s="3">
        <v>1</v>
      </c>
    </row>
    <row r="5740" ht="15.75" customHeight="1" spans="1:2">
      <c r="A5740" s="3" t="str">
        <f>IFERROR(__xludf.DUMMYFUNCTION("GOOGLETRANSLATE(A5740,""en"",""pt"")"),"Código Da Vinci era um filme impressionante ...")</f>
        <v>Código Da Vinci era um filme impressionante ...</v>
      </c>
      <c r="B5740" s="3">
        <v>1</v>
      </c>
    </row>
    <row r="5741" ht="15.75" customHeight="1" spans="1:2">
      <c r="A5741" s="3" t="str">
        <f>IFERROR(__xludf.DUMMYFUNCTION("GOOGLETRANSLATE(A5741,""en"",""pt"")"),"CÓDIGO DA VINCI É IMPRESSIONANTE !!")</f>
        <v>CÓDIGO DA VINCI É IMPRESSIONANTE !!</v>
      </c>
      <c r="B5741" s="3">
        <v>1</v>
      </c>
    </row>
    <row r="5742" ht="15.75" customHeight="1" spans="1:2">
      <c r="A5742" s="3" t="str">
        <f>IFERROR(__xludf.DUMMYFUNCTION("GOOGLETRANSLATE(A5742,""en"",""pt"")"),"Eu amo O Código Da Vinci ...")</f>
        <v>Eu amo O Código Da Vinci ...</v>
      </c>
      <c r="B5742" s="3">
        <v>1</v>
      </c>
    </row>
    <row r="5743" ht="15.75" customHeight="1" spans="1:2">
      <c r="A5743" s="3" t="str">
        <f>IFERROR(__xludf.DUMMYFUNCTION("GOOGLETRANSLATE(A5743,""en"",""pt"")"),"O Código Da Vinci é incrível ..")</f>
        <v>O Código Da Vinci é incrível ..</v>
      </c>
      <c r="B5743" s="3">
        <v>1</v>
      </c>
    </row>
    <row r="5744" ht="15.75" customHeight="1" spans="1:2">
      <c r="A5744" s="3" t="str">
        <f>IFERROR(__xludf.DUMMYFUNCTION("GOOGLETRANSLATE(A5744,""en"",""pt"")"),"O Código Da Vinci é espectacular !!")</f>
        <v>O Código Da Vinci é espectacular !!</v>
      </c>
      <c r="B5744" s="3">
        <v>1</v>
      </c>
    </row>
    <row r="5745" ht="15.75" customHeight="1" spans="1:2">
      <c r="A5745" s="3" t="str">
        <f>IFERROR(__xludf.DUMMYFUNCTION("GOOGLETRANSLATE(A5745,""en"",""pt"")"),"Luv lubb o Código Da Vinci!")</f>
        <v>Luv lubb o Código Da Vinci!</v>
      </c>
      <c r="B5745" s="3">
        <v>1</v>
      </c>
    </row>
    <row r="5746" ht="15.75" customHeight="1" spans="1:2">
      <c r="A5746" s="3" t="str">
        <f>IFERROR(__xludf.DUMMYFUNCTION("GOOGLETRANSLATE(A5746,""en"",""pt"")"),"as pessoas que valem a pena saber o quanto eu amo o código da vinci.")</f>
        <v>as pessoas que valem a pena saber o quanto eu amo o código da vinci.</v>
      </c>
      <c r="B5746" s="3">
        <v>1</v>
      </c>
    </row>
    <row r="5747" ht="15.75" customHeight="1" spans="1:2">
      <c r="A5747" s="3" t="str">
        <f>IFERROR(__xludf.DUMMYFUNCTION("GOOGLETRANSLATE(A5747,""en"",""pt"")"),"Eu queria desesperadamente love'The Código Da Vinci como um filme.")</f>
        <v>Eu queria desesperadamente love'The Código Da Vinci como um filme.</v>
      </c>
      <c r="B5747" s="3">
        <v>1</v>
      </c>
    </row>
    <row r="5748" ht="15.75" customHeight="1" spans="1:2">
      <c r="A5748" s="3" t="str">
        <f>IFERROR(__xludf.DUMMYFUNCTION("GOOGLETRANSLATE(A5748,""en"",""pt"")"),"O Código Da Vinci foi incrível, eu não posso esperar para lê-lo ...")</f>
        <v>O Código Da Vinci foi incrível, eu não posso esperar para lê-lo ...</v>
      </c>
      <c r="B5748" s="3">
        <v>1</v>
      </c>
    </row>
    <row r="5749" ht="15.75" customHeight="1" spans="1:2">
      <c r="A5749" s="3" t="str">
        <f>IFERROR(__xludf.DUMMYFUNCTION("GOOGLETRANSLATE(A5749,""en"",""pt"")"),"O Código Da Vinci foi absolutamente incrível!")</f>
        <v>O Código Da Vinci foi absolutamente incrível!</v>
      </c>
      <c r="B5749" s="3">
        <v>1</v>
      </c>
    </row>
    <row r="5750" ht="15.75" customHeight="1" spans="1:2">
      <c r="A5750" s="3" t="str">
        <f>IFERROR(__xludf.DUMMYFUNCTION("GOOGLETRANSLATE(A5750,""en"",""pt"")"),"Código Da Vinci era um filme impressionante ...")</f>
        <v>Código Da Vinci era um filme impressionante ...</v>
      </c>
      <c r="B5750" s="3">
        <v>1</v>
      </c>
    </row>
    <row r="5751" ht="15.75" customHeight="1" spans="1:2">
      <c r="A5751" s="3" t="str">
        <f>IFERROR(__xludf.DUMMYFUNCTION("GOOGLETRANSLATE(A5751,""en"",""pt"")"),"CÓDIGO DA VINCI É IMPRESSIONANTE !!")</f>
        <v>CÓDIGO DA VINCI É IMPRESSIONANTE !!</v>
      </c>
      <c r="B5751" s="3">
        <v>1</v>
      </c>
    </row>
    <row r="5752" ht="15.75" customHeight="1" spans="1:2">
      <c r="A5752" s="3" t="str">
        <f>IFERROR(__xludf.DUMMYFUNCTION("GOOGLETRANSLATE(A5752,""en"",""pt"")"),"Eu amo O Código Da Vinci ...")</f>
        <v>Eu amo O Código Da Vinci ...</v>
      </c>
      <c r="B5752" s="3">
        <v>1</v>
      </c>
    </row>
    <row r="5753" ht="15.75" customHeight="1" spans="1:2">
      <c r="A5753" s="3" t="str">
        <f>IFERROR(__xludf.DUMMYFUNCTION("GOOGLETRANSLATE(A5753,""en"",""pt"")"),"O Código Da Vinci é incrível ..")</f>
        <v>O Código Da Vinci é incrível ..</v>
      </c>
      <c r="B5753" s="3">
        <v>1</v>
      </c>
    </row>
    <row r="5754" ht="15.75" customHeight="1" spans="1:2">
      <c r="A5754" s="3" t="str">
        <f>IFERROR(__xludf.DUMMYFUNCTION("GOOGLETRANSLATE(A5754,""en"",""pt"")"),"O Código Da Vinci é espectacular !!")</f>
        <v>O Código Da Vinci é espectacular !!</v>
      </c>
      <c r="B5754" s="3">
        <v>1</v>
      </c>
    </row>
    <row r="5755" ht="15.75" customHeight="1" spans="1:2">
      <c r="A5755" s="3" t="str">
        <f>IFERROR(__xludf.DUMMYFUNCTION("GOOGLETRANSLATE(A5755,""en"",""pt"")"),"Luv lubb o Código Da Vinci!")</f>
        <v>Luv lubb o Código Da Vinci!</v>
      </c>
      <c r="B5755" s="3">
        <v>1</v>
      </c>
    </row>
    <row r="5756" ht="15.75" customHeight="1" spans="1:2">
      <c r="A5756" s="3" t="str">
        <f>IFERROR(__xludf.DUMMYFUNCTION("GOOGLETRANSLATE(A5756,""en"",""pt"")"),"as pessoas que valem a pena saber o quanto eu amo o código da vinci.")</f>
        <v>as pessoas que valem a pena saber o quanto eu amo o código da vinci.</v>
      </c>
      <c r="B5756" s="3">
        <v>1</v>
      </c>
    </row>
    <row r="5757" ht="15.75" customHeight="1" spans="1:2">
      <c r="A5757" s="3" t="str">
        <f>IFERROR(__xludf.DUMMYFUNCTION("GOOGLETRANSLATE(A5757,""en"",""pt"")"),"Eu queria desesperadamente love'The Código Da Vinci como um filme.")</f>
        <v>Eu queria desesperadamente love'The Código Da Vinci como um filme.</v>
      </c>
      <c r="B5757" s="3">
        <v>1</v>
      </c>
    </row>
    <row r="5758" ht="15.75" customHeight="1" spans="1:2">
      <c r="A5758" s="3" t="str">
        <f>IFERROR(__xludf.DUMMYFUNCTION("GOOGLETRANSLATE(A5758,""en"",""pt"")"),"O Código Da Vinci foi incrível, eu não posso esperar para lê-lo ...")</f>
        <v>O Código Da Vinci foi incrível, eu não posso esperar para lê-lo ...</v>
      </c>
      <c r="B5758" s="3">
        <v>1</v>
      </c>
    </row>
    <row r="5759" ht="15.75" customHeight="1" spans="1:2">
      <c r="A5759" s="3" t="str">
        <f>IFERROR(__xludf.DUMMYFUNCTION("GOOGLETRANSLATE(A5759,""en"",""pt"")"),"O Código Da Vinci foi absolutamente incrível!")</f>
        <v>O Código Da Vinci foi absolutamente incrível!</v>
      </c>
      <c r="B5759" s="3">
        <v>1</v>
      </c>
    </row>
    <row r="5760" ht="15.75" customHeight="1" spans="1:2">
      <c r="A5760" s="3" t="str">
        <f>IFERROR(__xludf.DUMMYFUNCTION("GOOGLETRANSLATE(A5760,""en"",""pt"")"),"Código Da Vinci era um filme impressionante ...")</f>
        <v>Código Da Vinci era um filme impressionante ...</v>
      </c>
      <c r="B5760" s="3">
        <v>1</v>
      </c>
    </row>
    <row r="5761" ht="15.75" customHeight="1" spans="1:2">
      <c r="A5761" s="3" t="str">
        <f>IFERROR(__xludf.DUMMYFUNCTION("GOOGLETRANSLATE(A5761,""en"",""pt"")"),"CÓDIGO DA VINCI É IMPRESSIONANTE !!")</f>
        <v>CÓDIGO DA VINCI É IMPRESSIONANTE !!</v>
      </c>
      <c r="B5761" s="3">
        <v>1</v>
      </c>
    </row>
    <row r="5762" ht="15.75" customHeight="1" spans="1:2">
      <c r="A5762" s="3" t="str">
        <f>IFERROR(__xludf.DUMMYFUNCTION("GOOGLETRANSLATE(A5762,""en"",""pt"")"),"Eu amo O Código Da Vinci ...")</f>
        <v>Eu amo O Código Da Vinci ...</v>
      </c>
      <c r="B5762" s="3">
        <v>1</v>
      </c>
    </row>
    <row r="5763" ht="15.75" customHeight="1" spans="1:2">
      <c r="A5763" s="3" t="str">
        <f>IFERROR(__xludf.DUMMYFUNCTION("GOOGLETRANSLATE(A5763,""en"",""pt"")"),"O Código Da Vinci é incrível ..")</f>
        <v>O Código Da Vinci é incrível ..</v>
      </c>
      <c r="B5763" s="3">
        <v>1</v>
      </c>
    </row>
    <row r="5764" ht="15.75" customHeight="1" spans="1:2">
      <c r="A5764" s="3" t="str">
        <f>IFERROR(__xludf.DUMMYFUNCTION("GOOGLETRANSLATE(A5764,""en"",""pt"")"),"O Código Da Vinci é espectacular !!")</f>
        <v>O Código Da Vinci é espectacular !!</v>
      </c>
      <c r="B5764" s="3">
        <v>1</v>
      </c>
    </row>
    <row r="5765" ht="15.75" customHeight="1" spans="1:2">
      <c r="A5765" s="3" t="str">
        <f>IFERROR(__xludf.DUMMYFUNCTION("GOOGLETRANSLATE(A5765,""en"",""pt"")"),"Luv lubb o Código Da Vinci!")</f>
        <v>Luv lubb o Código Da Vinci!</v>
      </c>
      <c r="B5765" s="3">
        <v>1</v>
      </c>
    </row>
    <row r="5766" ht="15.75" customHeight="1" spans="1:2">
      <c r="A5766" s="3" t="str">
        <f>IFERROR(__xludf.DUMMYFUNCTION("GOOGLETRANSLATE(A5766,""en"",""pt"")"),"as pessoas que valem a pena saber o quanto eu amo o código da vinci.")</f>
        <v>as pessoas que valem a pena saber o quanto eu amo o código da vinci.</v>
      </c>
      <c r="B5766" s="3">
        <v>1</v>
      </c>
    </row>
    <row r="5767" ht="15.75" customHeight="1" spans="1:2">
      <c r="A5767" s="3" t="str">
        <f>IFERROR(__xludf.DUMMYFUNCTION("GOOGLETRANSLATE(A5767,""en"",""pt"")"),"Eu queria desesperadamente love'The Código Da Vinci como um filme.")</f>
        <v>Eu queria desesperadamente love'The Código Da Vinci como um filme.</v>
      </c>
      <c r="B5767" s="3">
        <v>1</v>
      </c>
    </row>
    <row r="5768" ht="15.75" customHeight="1" spans="1:2">
      <c r="A5768" s="3" t="str">
        <f>IFERROR(__xludf.DUMMYFUNCTION("GOOGLETRANSLATE(A5768,""en"",""pt"")"),"O Código Da Vinci foi incrível, eu não posso esperar para lê-lo ...")</f>
        <v>O Código Da Vinci foi incrível, eu não posso esperar para lê-lo ...</v>
      </c>
      <c r="B5768" s="3">
        <v>1</v>
      </c>
    </row>
    <row r="5769" ht="15.75" customHeight="1" spans="1:2">
      <c r="A5769" s="3" t="str">
        <f>IFERROR(__xludf.DUMMYFUNCTION("GOOGLETRANSLATE(A5769,""en"",""pt"")"),"O Código Da Vinci foi absolutamente incrível!")</f>
        <v>O Código Da Vinci foi absolutamente incrível!</v>
      </c>
      <c r="B5769" s="3">
        <v>1</v>
      </c>
    </row>
    <row r="5770" ht="15.75" customHeight="1" spans="1:2">
      <c r="A5770" s="3" t="str">
        <f>IFERROR(__xludf.DUMMYFUNCTION("GOOGLETRANSLATE(A5770,""en"",""pt"")"),"Código Da Vinci era um filme impressionante ...")</f>
        <v>Código Da Vinci era um filme impressionante ...</v>
      </c>
      <c r="B5770" s="3">
        <v>1</v>
      </c>
    </row>
    <row r="5771" ht="15.75" customHeight="1" spans="1:2">
      <c r="A5771" s="3" t="str">
        <f>IFERROR(__xludf.DUMMYFUNCTION("GOOGLETRANSLATE(A5771,""en"",""pt"")"),"CÓDIGO DA VINCI É IMPRESSIONANTE !!")</f>
        <v>CÓDIGO DA VINCI É IMPRESSIONANTE !!</v>
      </c>
      <c r="B5771" s="3">
        <v>1</v>
      </c>
    </row>
    <row r="5772" ht="15.75" customHeight="1" spans="1:2">
      <c r="A5772" s="3" t="str">
        <f>IFERROR(__xludf.DUMMYFUNCTION("GOOGLETRANSLATE(A5772,""en"",""pt"")"),"Eu amo O Código Da Vinci ...")</f>
        <v>Eu amo O Código Da Vinci ...</v>
      </c>
      <c r="B5772" s="3">
        <v>1</v>
      </c>
    </row>
    <row r="5773" ht="15.75" customHeight="1" spans="1:2">
      <c r="A5773" s="3" t="str">
        <f>IFERROR(__xludf.DUMMYFUNCTION("GOOGLETRANSLATE(A5773,""en"",""pt"")"),"O Código Da Vinci é incrível ..")</f>
        <v>O Código Da Vinci é incrível ..</v>
      </c>
      <c r="B5773" s="3">
        <v>1</v>
      </c>
    </row>
    <row r="5774" ht="15.75" customHeight="1" spans="1:2">
      <c r="A5774" s="3" t="str">
        <f>IFERROR(__xludf.DUMMYFUNCTION("GOOGLETRANSLATE(A5774,""en"",""pt"")"),"O Código Da Vinci é espectacular !!")</f>
        <v>O Código Da Vinci é espectacular !!</v>
      </c>
      <c r="B5774" s="3">
        <v>1</v>
      </c>
    </row>
    <row r="5775" ht="15.75" customHeight="1" spans="1:2">
      <c r="A5775" s="3" t="str">
        <f>IFERROR(__xludf.DUMMYFUNCTION("GOOGLETRANSLATE(A5775,""en"",""pt"")"),"Luv lubb o Código Da Vinci!")</f>
        <v>Luv lubb o Código Da Vinci!</v>
      </c>
      <c r="B5775" s="3">
        <v>1</v>
      </c>
    </row>
    <row r="5776" ht="15.75" customHeight="1" spans="1:2">
      <c r="A5776" s="3" t="str">
        <f>IFERROR(__xludf.DUMMYFUNCTION("GOOGLETRANSLATE(A5776,""en"",""pt"")"),"as pessoas que valem a pena saber o quanto eu amo o código da vinci.")</f>
        <v>as pessoas que valem a pena saber o quanto eu amo o código da vinci.</v>
      </c>
      <c r="B5776" s="3">
        <v>1</v>
      </c>
    </row>
    <row r="5777" ht="15.75" customHeight="1" spans="1:2">
      <c r="A5777" s="3" t="str">
        <f>IFERROR(__xludf.DUMMYFUNCTION("GOOGLETRANSLATE(A5777,""en"",""pt"")"),"Eu queria desesperadamente love'The Código Da Vinci como um filme.")</f>
        <v>Eu queria desesperadamente love'The Código Da Vinci como um filme.</v>
      </c>
      <c r="B5777" s="3">
        <v>1</v>
      </c>
    </row>
    <row r="5778" ht="15.75" customHeight="1" spans="1:2">
      <c r="A5778" s="3" t="str">
        <f>IFERROR(__xludf.DUMMYFUNCTION("GOOGLETRANSLATE(A5778,""en"",""pt"")"),"O Código Da Vinci foi incrível, eu não posso esperar para lê-lo ...")</f>
        <v>O Código Da Vinci foi incrível, eu não posso esperar para lê-lo ...</v>
      </c>
      <c r="B5778" s="3">
        <v>1</v>
      </c>
    </row>
    <row r="5779" ht="15.75" customHeight="1" spans="1:2">
      <c r="A5779" s="3" t="str">
        <f>IFERROR(__xludf.DUMMYFUNCTION("GOOGLETRANSLATE(A5779,""en"",""pt"")"),"O Código Da Vinci foi absolutamente incrível!")</f>
        <v>O Código Da Vinci foi absolutamente incrível!</v>
      </c>
      <c r="B5779" s="3">
        <v>1</v>
      </c>
    </row>
    <row r="5780" ht="15.75" customHeight="1" spans="1:2">
      <c r="A5780" s="3" t="str">
        <f>IFERROR(__xludf.DUMMYFUNCTION("GOOGLETRANSLATE(A5780,""en"",""pt"")"),"Código Da Vinci era um filme impressionante ...")</f>
        <v>Código Da Vinci era um filme impressionante ...</v>
      </c>
      <c r="B5780" s="3">
        <v>1</v>
      </c>
    </row>
    <row r="5781" ht="15.75" customHeight="1" spans="1:2">
      <c r="A5781" s="3" t="str">
        <f>IFERROR(__xludf.DUMMYFUNCTION("GOOGLETRANSLATE(A5781,""en"",""pt"")"),"CÓDIGO DA VINCI É IMPRESSIONANTE !!")</f>
        <v>CÓDIGO DA VINCI É IMPRESSIONANTE !!</v>
      </c>
      <c r="B5781" s="3">
        <v>1</v>
      </c>
    </row>
    <row r="5782" ht="15.75" customHeight="1" spans="1:2">
      <c r="A5782" s="3" t="str">
        <f>IFERROR(__xludf.DUMMYFUNCTION("GOOGLETRANSLATE(A5782,""en"",""pt"")"),"Eu amo O Código Da Vinci ...")</f>
        <v>Eu amo O Código Da Vinci ...</v>
      </c>
      <c r="B5782" s="3">
        <v>1</v>
      </c>
    </row>
    <row r="5783" ht="15.75" customHeight="1" spans="1:2">
      <c r="A5783" s="3" t="str">
        <f>IFERROR(__xludf.DUMMYFUNCTION("GOOGLETRANSLATE(A5783,""en"",""pt"")"),"O Código Da Vinci é incrível ..")</f>
        <v>O Código Da Vinci é incrível ..</v>
      </c>
      <c r="B5783" s="3">
        <v>1</v>
      </c>
    </row>
    <row r="5784" ht="15.75" customHeight="1" spans="1:2">
      <c r="A5784" s="3" t="str">
        <f>IFERROR(__xludf.DUMMYFUNCTION("GOOGLETRANSLATE(A5784,""en"",""pt"")"),"O Código Da Vinci é espectacular !!")</f>
        <v>O Código Da Vinci é espectacular !!</v>
      </c>
      <c r="B5784" s="3">
        <v>1</v>
      </c>
    </row>
    <row r="5785" ht="15.75" customHeight="1" spans="1:2">
      <c r="A5785" s="3" t="str">
        <f>IFERROR(__xludf.DUMMYFUNCTION("GOOGLETRANSLATE(A5785,""en"",""pt"")"),"Luv lubb o Código Da Vinci!")</f>
        <v>Luv lubb o Código Da Vinci!</v>
      </c>
      <c r="B5785" s="3">
        <v>1</v>
      </c>
    </row>
    <row r="5786" ht="15.75" customHeight="1" spans="1:2">
      <c r="A5786" s="3" t="str">
        <f>IFERROR(__xludf.DUMMYFUNCTION("GOOGLETRANSLATE(A5786,""en"",""pt"")"),"as pessoas que valem a pena saber o quanto eu amo o código da vinci.")</f>
        <v>as pessoas que valem a pena saber o quanto eu amo o código da vinci.</v>
      </c>
      <c r="B5786" s="3">
        <v>1</v>
      </c>
    </row>
    <row r="5787" ht="15.75" customHeight="1" spans="1:2">
      <c r="A5787" s="3" t="str">
        <f>IFERROR(__xludf.DUMMYFUNCTION("GOOGLETRANSLATE(A5787,""en"",""pt"")"),"Eu queria desesperadamente love'The Código Da Vinci como um filme.")</f>
        <v>Eu queria desesperadamente love'The Código Da Vinci como um filme.</v>
      </c>
      <c r="B5787" s="3">
        <v>1</v>
      </c>
    </row>
    <row r="5788" ht="15.75" customHeight="1" spans="1:2">
      <c r="A5788" s="3" t="str">
        <f>IFERROR(__xludf.DUMMYFUNCTION("GOOGLETRANSLATE(A5788,""en"",""pt"")"),"O Código Da Vinci foi incrível, eu não posso esperar para lê-lo ...")</f>
        <v>O Código Da Vinci foi incrível, eu não posso esperar para lê-lo ...</v>
      </c>
      <c r="B5788" s="3">
        <v>1</v>
      </c>
    </row>
    <row r="5789" ht="15.75" customHeight="1" spans="1:2">
      <c r="A5789" s="3" t="str">
        <f>IFERROR(__xludf.DUMMYFUNCTION("GOOGLETRANSLATE(A5789,""en"",""pt"")"),"O Código Da Vinci foi absolutamente incrível!")</f>
        <v>O Código Da Vinci foi absolutamente incrível!</v>
      </c>
      <c r="B5789" s="3">
        <v>1</v>
      </c>
    </row>
    <row r="5790" ht="15.75" customHeight="1" spans="1:2">
      <c r="A5790" s="3" t="str">
        <f>IFERROR(__xludf.DUMMYFUNCTION("GOOGLETRANSLATE(A5790,""en"",""pt"")"),"Código Da Vinci era um filme impressionante ...")</f>
        <v>Código Da Vinci era um filme impressionante ...</v>
      </c>
      <c r="B5790" s="3">
        <v>1</v>
      </c>
    </row>
    <row r="5791" ht="15.75" customHeight="1" spans="1:2">
      <c r="A5791" s="3" t="str">
        <f>IFERROR(__xludf.DUMMYFUNCTION("GOOGLETRANSLATE(A5791,""en"",""pt"")"),"CÓDIGO DA VINCI É IMPRESSIONANTE !!")</f>
        <v>CÓDIGO DA VINCI É IMPRESSIONANTE !!</v>
      </c>
      <c r="B5791" s="3">
        <v>1</v>
      </c>
    </row>
    <row r="5792" ht="15.75" customHeight="1" spans="1:2">
      <c r="A5792" s="3" t="str">
        <f>IFERROR(__xludf.DUMMYFUNCTION("GOOGLETRANSLATE(A5792,""en"",""pt"")"),"Eu amo O Código Da Vinci ...")</f>
        <v>Eu amo O Código Da Vinci ...</v>
      </c>
      <c r="B5792" s="3">
        <v>1</v>
      </c>
    </row>
    <row r="5793" ht="15.75" customHeight="1" spans="1:2">
      <c r="A5793" s="3" t="str">
        <f>IFERROR(__xludf.DUMMYFUNCTION("GOOGLETRANSLATE(A5793,""en"",""pt"")"),"O Código Da Vinci é incrível ..")</f>
        <v>O Código Da Vinci é incrível ..</v>
      </c>
      <c r="B5793" s="3">
        <v>1</v>
      </c>
    </row>
    <row r="5794" ht="15.75" customHeight="1" spans="1:2">
      <c r="A5794" s="3" t="str">
        <f>IFERROR(__xludf.DUMMYFUNCTION("GOOGLETRANSLATE(A5794,""en"",""pt"")"),"O Código Da Vinci é espectacular !!")</f>
        <v>O Código Da Vinci é espectacular !!</v>
      </c>
      <c r="B5794" s="3">
        <v>1</v>
      </c>
    </row>
    <row r="5795" ht="15.75" customHeight="1" spans="1:2">
      <c r="A5795" s="3" t="str">
        <f>IFERROR(__xludf.DUMMYFUNCTION("GOOGLETRANSLATE(A5795,""en"",""pt"")"),"Luv lubb o Código Da Vinci!")</f>
        <v>Luv lubb o Código Da Vinci!</v>
      </c>
      <c r="B5795" s="3">
        <v>1</v>
      </c>
    </row>
    <row r="5796" ht="15.75" customHeight="1" spans="1:2">
      <c r="A5796" s="3" t="str">
        <f>IFERROR(__xludf.DUMMYFUNCTION("GOOGLETRANSLATE(A5796,""en"",""pt"")"),"as pessoas que valem a pena saber o quanto eu amo o código da vinci.")</f>
        <v>as pessoas que valem a pena saber o quanto eu amo o código da vinci.</v>
      </c>
      <c r="B5796" s="3">
        <v>1</v>
      </c>
    </row>
    <row r="5797" ht="15.75" customHeight="1" spans="1:2">
      <c r="A5797" s="3" t="str">
        <f>IFERROR(__xludf.DUMMYFUNCTION("GOOGLETRANSLATE(A5797,""en"",""pt"")"),"Eu queria desesperadamente love'The Código Da Vinci como um filme.")</f>
        <v>Eu queria desesperadamente love'The Código Da Vinci como um filme.</v>
      </c>
      <c r="B5797" s="3">
        <v>1</v>
      </c>
    </row>
    <row r="5798" ht="15.75" customHeight="1" spans="1:2">
      <c r="A5798" s="3" t="str">
        <f>IFERROR(__xludf.DUMMYFUNCTION("GOOGLETRANSLATE(A5798,""en"",""pt"")"),"O Código Da Vinci foi incrível, eu não posso esperar para lê-lo ...")</f>
        <v>O Código Da Vinci foi incrível, eu não posso esperar para lê-lo ...</v>
      </c>
      <c r="B5798" s="3">
        <v>1</v>
      </c>
    </row>
    <row r="5799" ht="15.75" customHeight="1" spans="1:2">
      <c r="A5799" s="3" t="str">
        <f>IFERROR(__xludf.DUMMYFUNCTION("GOOGLETRANSLATE(A5799,""en"",""pt"")"),"O Código Da Vinci foi absolutamente incrível!")</f>
        <v>O Código Da Vinci foi absolutamente incrível!</v>
      </c>
      <c r="B5799" s="3">
        <v>1</v>
      </c>
    </row>
    <row r="5800" ht="15.75" customHeight="1" spans="1:2">
      <c r="A5800" s="3" t="str">
        <f>IFERROR(__xludf.DUMMYFUNCTION("GOOGLETRANSLATE(A5800,""en"",""pt"")"),"Código Da Vinci era um filme impressionante ...")</f>
        <v>Código Da Vinci era um filme impressionante ...</v>
      </c>
      <c r="B5800" s="3">
        <v>1</v>
      </c>
    </row>
    <row r="5801" ht="15.75" customHeight="1" spans="1:2">
      <c r="A5801" s="3" t="str">
        <f>IFERROR(__xludf.DUMMYFUNCTION("GOOGLETRANSLATE(A5801,""en"",""pt"")"),"CÓDIGO DA VINCI É IMPRESSIONANTE !!")</f>
        <v>CÓDIGO DA VINCI É IMPRESSIONANTE !!</v>
      </c>
      <c r="B5801" s="3">
        <v>1</v>
      </c>
    </row>
    <row r="5802" ht="15.75" customHeight="1" spans="1:2">
      <c r="A5802" s="3" t="str">
        <f>IFERROR(__xludf.DUMMYFUNCTION("GOOGLETRANSLATE(A5802,""en"",""pt"")"),"Eu amo O Código Da Vinci ...")</f>
        <v>Eu amo O Código Da Vinci ...</v>
      </c>
      <c r="B5802" s="3">
        <v>1</v>
      </c>
    </row>
    <row r="5803" ht="15.75" customHeight="1" spans="1:2">
      <c r="A5803" s="3" t="str">
        <f>IFERROR(__xludf.DUMMYFUNCTION("GOOGLETRANSLATE(A5803,""en"",""pt"")"),"O Código Da Vinci é incrível ..")</f>
        <v>O Código Da Vinci é incrível ..</v>
      </c>
      <c r="B5803" s="3">
        <v>1</v>
      </c>
    </row>
    <row r="5804" ht="15.75" customHeight="1" spans="1:2">
      <c r="A5804" s="3" t="str">
        <f>IFERROR(__xludf.DUMMYFUNCTION("GOOGLETRANSLATE(A5804,""en"",""pt"")"),"O Código Da Vinci é espectacular !!")</f>
        <v>O Código Da Vinci é espectacular !!</v>
      </c>
      <c r="B5804" s="3">
        <v>1</v>
      </c>
    </row>
    <row r="5805" ht="15.75" customHeight="1" spans="1:2">
      <c r="A5805" s="3" t="str">
        <f>IFERROR(__xludf.DUMMYFUNCTION("GOOGLETRANSLATE(A5805,""en"",""pt"")"),"Luv lubb o Código Da Vinci!")</f>
        <v>Luv lubb o Código Da Vinci!</v>
      </c>
      <c r="B5805" s="3">
        <v>1</v>
      </c>
    </row>
    <row r="5806" ht="15.75" customHeight="1" spans="1:2">
      <c r="A5806" s="3" t="str">
        <f>IFERROR(__xludf.DUMMYFUNCTION("GOOGLETRANSLATE(A5806,""en"",""pt"")"),"as pessoas que valem a pena saber o quanto eu amo o código da vinci.")</f>
        <v>as pessoas que valem a pena saber o quanto eu amo o código da vinci.</v>
      </c>
      <c r="B5806" s="3">
        <v>1</v>
      </c>
    </row>
    <row r="5807" ht="15.75" customHeight="1" spans="1:2">
      <c r="A5807" s="3" t="str">
        <f>IFERROR(__xludf.DUMMYFUNCTION("GOOGLETRANSLATE(A5807,""en"",""pt"")"),"Eu queria desesperadamente love'The Código Da Vinci como um filme.")</f>
        <v>Eu queria desesperadamente love'The Código Da Vinci como um filme.</v>
      </c>
      <c r="B5807" s="3">
        <v>1</v>
      </c>
    </row>
    <row r="5808" ht="15.75" customHeight="1" spans="1:2">
      <c r="A5808" s="3" t="str">
        <f>IFERROR(__xludf.DUMMYFUNCTION("GOOGLETRANSLATE(A5808,""en"",""pt"")"),"O Código Da Vinci foi incrível, eu não posso esperar para lê-lo ...")</f>
        <v>O Código Da Vinci foi incrível, eu não posso esperar para lê-lo ...</v>
      </c>
      <c r="B5808" s="3">
        <v>1</v>
      </c>
    </row>
    <row r="5809" ht="15.75" customHeight="1" spans="1:2">
      <c r="A5809" s="3" t="str">
        <f>IFERROR(__xludf.DUMMYFUNCTION("GOOGLETRANSLATE(A5809,""en"",""pt"")"),"O Código Da Vinci foi absolutamente incrível!")</f>
        <v>O Código Da Vinci foi absolutamente incrível!</v>
      </c>
      <c r="B5809" s="3">
        <v>1</v>
      </c>
    </row>
    <row r="5810" ht="15.75" customHeight="1" spans="1:2">
      <c r="A5810" s="3" t="str">
        <f>IFERROR(__xludf.DUMMYFUNCTION("GOOGLETRANSLATE(A5810,""en"",""pt"")"),"Código Da Vinci era um filme impressionante ...")</f>
        <v>Código Da Vinci era um filme impressionante ...</v>
      </c>
      <c r="B5810" s="3">
        <v>1</v>
      </c>
    </row>
    <row r="5811" ht="15.75" customHeight="1" spans="1:2">
      <c r="A5811" s="3" t="str">
        <f>IFERROR(__xludf.DUMMYFUNCTION("GOOGLETRANSLATE(A5811,""en"",""pt"")"),"CÓDIGO DA VINCI É IMPRESSIONANTE !!")</f>
        <v>CÓDIGO DA VINCI É IMPRESSIONANTE !!</v>
      </c>
      <c r="B5811" s="3">
        <v>1</v>
      </c>
    </row>
    <row r="5812" ht="15.75" customHeight="1" spans="1:2">
      <c r="A5812" s="3" t="str">
        <f>IFERROR(__xludf.DUMMYFUNCTION("GOOGLETRANSLATE(A5812,""en"",""pt"")"),"Eu amo O Código Da Vinci ...")</f>
        <v>Eu amo O Código Da Vinci ...</v>
      </c>
      <c r="B5812" s="3">
        <v>1</v>
      </c>
    </row>
    <row r="5813" ht="15.75" customHeight="1" spans="1:2">
      <c r="A5813" s="3" t="str">
        <f>IFERROR(__xludf.DUMMYFUNCTION("GOOGLETRANSLATE(A5813,""en"",""pt"")"),"O Código Da Vinci é incrível ..")</f>
        <v>O Código Da Vinci é incrível ..</v>
      </c>
      <c r="B5813" s="3">
        <v>1</v>
      </c>
    </row>
    <row r="5814" ht="15.75" customHeight="1" spans="1:2">
      <c r="A5814" s="3" t="str">
        <f>IFERROR(__xludf.DUMMYFUNCTION("GOOGLETRANSLATE(A5814,""en"",""pt"")"),"O Código Da Vinci é espectacular !!")</f>
        <v>O Código Da Vinci é espectacular !!</v>
      </c>
      <c r="B5814" s="3">
        <v>1</v>
      </c>
    </row>
    <row r="5815" ht="15.75" customHeight="1" spans="1:2">
      <c r="A5815" s="3" t="str">
        <f>IFERROR(__xludf.DUMMYFUNCTION("GOOGLETRANSLATE(A5815,""en"",""pt"")"),"Luv lubb o Código Da Vinci!")</f>
        <v>Luv lubb o Código Da Vinci!</v>
      </c>
      <c r="B5815" s="3">
        <v>1</v>
      </c>
    </row>
    <row r="5816" ht="15.75" customHeight="1" spans="1:2">
      <c r="A5816" s="3" t="str">
        <f>IFERROR(__xludf.DUMMYFUNCTION("GOOGLETRANSLATE(A5816,""en"",""pt"")"),"as pessoas que valem a pena saber o quanto eu amo o código da vinci.")</f>
        <v>as pessoas que valem a pena saber o quanto eu amo o código da vinci.</v>
      </c>
      <c r="B5816" s="3">
        <v>1</v>
      </c>
    </row>
    <row r="5817" ht="15.75" customHeight="1" spans="1:2">
      <c r="A5817" s="3" t="str">
        <f>IFERROR(__xludf.DUMMYFUNCTION("GOOGLETRANSLATE(A5817,""en"",""pt"")"),"Eu queria desesperadamente love'The Código Da Vinci como um filme.")</f>
        <v>Eu queria desesperadamente love'The Código Da Vinci como um filme.</v>
      </c>
      <c r="B5817" s="3">
        <v>1</v>
      </c>
    </row>
    <row r="5818" ht="15.75" customHeight="1" spans="1:2">
      <c r="A5818" s="3" t="str">
        <f>IFERROR(__xludf.DUMMYFUNCTION("GOOGLETRANSLATE(A5818,""en"",""pt"")"),"O Código Da Vinci foi incrível, eu não posso esperar para lê-lo ...")</f>
        <v>O Código Da Vinci foi incrível, eu não posso esperar para lê-lo ...</v>
      </c>
      <c r="B5818" s="3">
        <v>1</v>
      </c>
    </row>
    <row r="5819" ht="15.75" customHeight="1" spans="1:2">
      <c r="A5819" s="3" t="str">
        <f>IFERROR(__xludf.DUMMYFUNCTION("GOOGLETRANSLATE(A5819,""en"",""pt"")"),"O Código Da Vinci foi absolutamente incrível!")</f>
        <v>O Código Da Vinci foi absolutamente incrível!</v>
      </c>
      <c r="B5819" s="3">
        <v>1</v>
      </c>
    </row>
    <row r="5820" ht="15.75" customHeight="1" spans="1:2">
      <c r="A5820" s="3" t="str">
        <f>IFERROR(__xludf.DUMMYFUNCTION("GOOGLETRANSLATE(A5820,""en"",""pt"")"),"Código Da Vinci era um filme impressionante ...")</f>
        <v>Código Da Vinci era um filme impressionante ...</v>
      </c>
      <c r="B5820" s="3">
        <v>1</v>
      </c>
    </row>
    <row r="5821" ht="15.75" customHeight="1" spans="1:2">
      <c r="A5821" s="3" t="str">
        <f>IFERROR(__xludf.DUMMYFUNCTION("GOOGLETRANSLATE(A5821,""en"",""pt"")"),"CÓDIGO DA VINCI É IMPRESSIONANTE !!")</f>
        <v>CÓDIGO DA VINCI É IMPRESSIONANTE !!</v>
      </c>
      <c r="B5821" s="3">
        <v>1</v>
      </c>
    </row>
    <row r="5822" ht="15.75" customHeight="1" spans="1:2">
      <c r="A5822" s="3" t="str">
        <f>IFERROR(__xludf.DUMMYFUNCTION("GOOGLETRANSLATE(A5822,""en"",""pt"")"),"Eu amo O Código Da Vinci ...")</f>
        <v>Eu amo O Código Da Vinci ...</v>
      </c>
      <c r="B5822" s="3">
        <v>1</v>
      </c>
    </row>
    <row r="5823" ht="15.75" customHeight="1" spans="1:2">
      <c r="A5823" s="3" t="str">
        <f>IFERROR(__xludf.DUMMYFUNCTION("GOOGLETRANSLATE(A5823,""en"",""pt"")"),"O Código Da Vinci é incrível ..")</f>
        <v>O Código Da Vinci é incrível ..</v>
      </c>
      <c r="B5823" s="3">
        <v>1</v>
      </c>
    </row>
    <row r="5824" ht="15.75" customHeight="1" spans="1:2">
      <c r="A5824" s="3" t="str">
        <f>IFERROR(__xludf.DUMMYFUNCTION("GOOGLETRANSLATE(A5824,""en"",""pt"")"),"O Código Da Vinci é espectacular !!")</f>
        <v>O Código Da Vinci é espectacular !!</v>
      </c>
      <c r="B5824" s="3">
        <v>1</v>
      </c>
    </row>
    <row r="5825" ht="15.75" customHeight="1" spans="1:2">
      <c r="A5825" s="3" t="str">
        <f>IFERROR(__xludf.DUMMYFUNCTION("GOOGLETRANSLATE(A5825,""en"",""pt"")"),"Luv lubb o Código Da Vinci!")</f>
        <v>Luv lubb o Código Da Vinci!</v>
      </c>
      <c r="B5825" s="3">
        <v>1</v>
      </c>
    </row>
    <row r="5826" ht="15.75" customHeight="1" spans="1:2">
      <c r="A5826" s="3" t="str">
        <f>IFERROR(__xludf.DUMMYFUNCTION("GOOGLETRANSLATE(A5826,""en"",""pt"")"),"as pessoas que valem a pena saber o quanto eu amo o código da vinci.")</f>
        <v>as pessoas que valem a pena saber o quanto eu amo o código da vinci.</v>
      </c>
      <c r="B5826" s="3">
        <v>1</v>
      </c>
    </row>
    <row r="5827" ht="15.75" customHeight="1" spans="1:2">
      <c r="A5827" s="3" t="str">
        <f>IFERROR(__xludf.DUMMYFUNCTION("GOOGLETRANSLATE(A5827,""en"",""pt"")"),"Eu queria desesperadamente love'The Código Da Vinci como um filme.")</f>
        <v>Eu queria desesperadamente love'The Código Da Vinci como um filme.</v>
      </c>
      <c r="B5827" s="3">
        <v>1</v>
      </c>
    </row>
    <row r="5828" ht="15.75" customHeight="1" spans="1:2">
      <c r="A5828" s="3" t="str">
        <f>IFERROR(__xludf.DUMMYFUNCTION("GOOGLETRANSLATE(A5828,""en"",""pt"")"),"O Código Da Vinci foi incrível, eu não posso esperar para lê-lo ...")</f>
        <v>O Código Da Vinci foi incrível, eu não posso esperar para lê-lo ...</v>
      </c>
      <c r="B5828" s="3">
        <v>1</v>
      </c>
    </row>
    <row r="5829" ht="15.75" customHeight="1" spans="1:2">
      <c r="A5829" s="3" t="str">
        <f>IFERROR(__xludf.DUMMYFUNCTION("GOOGLETRANSLATE(A5829,""en"",""pt"")"),"O Código Da Vinci foi absolutamente incrível!")</f>
        <v>O Código Da Vinci foi absolutamente incrível!</v>
      </c>
      <c r="B5829" s="3">
        <v>1</v>
      </c>
    </row>
    <row r="5830" ht="15.75" customHeight="1" spans="1:2">
      <c r="A5830" s="3" t="str">
        <f>IFERROR(__xludf.DUMMYFUNCTION("GOOGLETRANSLATE(A5830,""en"",""pt"")"),"Código Da Vinci era um filme impressionante ...")</f>
        <v>Código Da Vinci era um filme impressionante ...</v>
      </c>
      <c r="B5830" s="3">
        <v>1</v>
      </c>
    </row>
    <row r="5831" ht="15.75" customHeight="1" spans="1:2">
      <c r="A5831" s="3" t="str">
        <f>IFERROR(__xludf.DUMMYFUNCTION("GOOGLETRANSLATE(A5831,""en"",""pt"")"),"CÓDIGO DA VINCI É IMPRESSIONANTE !!")</f>
        <v>CÓDIGO DA VINCI É IMPRESSIONANTE !!</v>
      </c>
      <c r="B5831" s="3">
        <v>1</v>
      </c>
    </row>
    <row r="5832" ht="15.75" customHeight="1" spans="1:2">
      <c r="A5832" s="3" t="str">
        <f>IFERROR(__xludf.DUMMYFUNCTION("GOOGLETRANSLATE(A5832,""en"",""pt"")"),"Eu amo O Código Da Vinci ...")</f>
        <v>Eu amo O Código Da Vinci ...</v>
      </c>
      <c r="B5832" s="3">
        <v>1</v>
      </c>
    </row>
    <row r="5833" ht="15.75" customHeight="1" spans="1:2">
      <c r="A5833" s="3" t="str">
        <f>IFERROR(__xludf.DUMMYFUNCTION("GOOGLETRANSLATE(A5833,""en"",""pt"")"),"O Código Da Vinci é incrível ..")</f>
        <v>O Código Da Vinci é incrível ..</v>
      </c>
      <c r="B5833" s="3">
        <v>1</v>
      </c>
    </row>
    <row r="5834" ht="15.75" customHeight="1" spans="1:2">
      <c r="A5834" s="3" t="str">
        <f>IFERROR(__xludf.DUMMYFUNCTION("GOOGLETRANSLATE(A5834,""en"",""pt"")"),"O Código Da Vinci é espectacular !!")</f>
        <v>O Código Da Vinci é espectacular !!</v>
      </c>
      <c r="B5834" s="3">
        <v>1</v>
      </c>
    </row>
    <row r="5835" ht="15.75" customHeight="1" spans="1:2">
      <c r="A5835" s="3" t="str">
        <f>IFERROR(__xludf.DUMMYFUNCTION("GOOGLETRANSLATE(A5835,""en"",""pt"")"),"Luv lubb o Código Da Vinci!")</f>
        <v>Luv lubb o Código Da Vinci!</v>
      </c>
      <c r="B5835" s="3">
        <v>1</v>
      </c>
    </row>
    <row r="5836" ht="15.75" customHeight="1" spans="1:2">
      <c r="A5836" s="3" t="str">
        <f>IFERROR(__xludf.DUMMYFUNCTION("GOOGLETRANSLATE(A5836,""en"",""pt"")"),"as pessoas que valem a pena saber o quanto eu amo o código da vinci.")</f>
        <v>as pessoas que valem a pena saber o quanto eu amo o código da vinci.</v>
      </c>
      <c r="B5836" s="3">
        <v>1</v>
      </c>
    </row>
    <row r="5837" ht="15.75" customHeight="1" spans="1:2">
      <c r="A5837" s="3" t="str">
        <f>IFERROR(__xludf.DUMMYFUNCTION("GOOGLETRANSLATE(A5837,""en"",""pt"")"),"Eu queria desesperadamente love'The Código Da Vinci como um filme.")</f>
        <v>Eu queria desesperadamente love'The Código Da Vinci como um filme.</v>
      </c>
      <c r="B5837" s="3">
        <v>1</v>
      </c>
    </row>
    <row r="5838" ht="15.75" customHeight="1" spans="1:2">
      <c r="A5838" s="3" t="str">
        <f>IFERROR(__xludf.DUMMYFUNCTION("GOOGLETRANSLATE(A5838,""en"",""pt"")"),"O Código Da Vinci foi incrível, eu não posso esperar para lê-lo ...")</f>
        <v>O Código Da Vinci foi incrível, eu não posso esperar para lê-lo ...</v>
      </c>
      <c r="B5838" s="3">
        <v>1</v>
      </c>
    </row>
    <row r="5839" ht="15.75" customHeight="1" spans="1:2">
      <c r="A5839" s="3" t="str">
        <f>IFERROR(__xludf.DUMMYFUNCTION("GOOGLETRANSLATE(A5839,""en"",""pt"")"),"O Código Da Vinci foi absolutamente incrível!")</f>
        <v>O Código Da Vinci foi absolutamente incrível!</v>
      </c>
      <c r="B5839" s="3">
        <v>1</v>
      </c>
    </row>
    <row r="5840" ht="15.75" customHeight="1" spans="1:2">
      <c r="A5840" s="3" t="str">
        <f>IFERROR(__xludf.DUMMYFUNCTION("GOOGLETRANSLATE(A5840,""en"",""pt"")"),"Código Da Vinci era um filme impressionante ...")</f>
        <v>Código Da Vinci era um filme impressionante ...</v>
      </c>
      <c r="B5840" s="3">
        <v>1</v>
      </c>
    </row>
    <row r="5841" ht="15.75" customHeight="1" spans="1:2">
      <c r="A5841" s="3" t="str">
        <f>IFERROR(__xludf.DUMMYFUNCTION("GOOGLETRANSLATE(A5841,""en"",""pt"")"),"CÓDIGO DA VINCI É IMPRESSIONANTE !!")</f>
        <v>CÓDIGO DA VINCI É IMPRESSIONANTE !!</v>
      </c>
      <c r="B5841" s="3">
        <v>1</v>
      </c>
    </row>
    <row r="5842" ht="15.75" customHeight="1" spans="1:2">
      <c r="A5842" s="3" t="str">
        <f>IFERROR(__xludf.DUMMYFUNCTION("GOOGLETRANSLATE(A5842,""en"",""pt"")"),"Eu amo O Código Da Vinci ...")</f>
        <v>Eu amo O Código Da Vinci ...</v>
      </c>
      <c r="B5842" s="3">
        <v>1</v>
      </c>
    </row>
    <row r="5843" ht="15.75" customHeight="1" spans="1:2">
      <c r="A5843" s="3" t="str">
        <f>IFERROR(__xludf.DUMMYFUNCTION("GOOGLETRANSLATE(A5843,""en"",""pt"")"),"O Código Da Vinci é incrível ..")</f>
        <v>O Código Da Vinci é incrível ..</v>
      </c>
      <c r="B5843" s="3">
        <v>1</v>
      </c>
    </row>
    <row r="5844" ht="15.75" customHeight="1" spans="1:2">
      <c r="A5844" s="3" t="str">
        <f>IFERROR(__xludf.DUMMYFUNCTION("GOOGLETRANSLATE(A5844,""en"",""pt"")"),"O Código Da Vinci é espectacular !!")</f>
        <v>O Código Da Vinci é espectacular !!</v>
      </c>
      <c r="B5844" s="3">
        <v>1</v>
      </c>
    </row>
    <row r="5845" ht="15.75" customHeight="1" spans="1:2">
      <c r="A5845" s="3" t="str">
        <f>IFERROR(__xludf.DUMMYFUNCTION("GOOGLETRANSLATE(A5845,""en"",""pt"")"),"Luv lubb o Código Da Vinci!")</f>
        <v>Luv lubb o Código Da Vinci!</v>
      </c>
      <c r="B5845" s="3">
        <v>1</v>
      </c>
    </row>
    <row r="5846" ht="15.75" customHeight="1" spans="1:2">
      <c r="A5846" s="3" t="str">
        <f>IFERROR(__xludf.DUMMYFUNCTION("GOOGLETRANSLATE(A5846,""en"",""pt"")"),"as pessoas que valem a pena saber o quanto eu amo o código da vinci.")</f>
        <v>as pessoas que valem a pena saber o quanto eu amo o código da vinci.</v>
      </c>
      <c r="B5846" s="3">
        <v>1</v>
      </c>
    </row>
    <row r="5847" ht="15.75" customHeight="1" spans="1:2">
      <c r="A5847" s="3" t="str">
        <f>IFERROR(__xludf.DUMMYFUNCTION("GOOGLETRANSLATE(A5847,""en"",""pt"")"),"Eu queria desesperadamente love'The Código Da Vinci como um filme.")</f>
        <v>Eu queria desesperadamente love'The Código Da Vinci como um filme.</v>
      </c>
      <c r="B5847" s="3">
        <v>1</v>
      </c>
    </row>
    <row r="5848" ht="15.75" customHeight="1" spans="1:2">
      <c r="A5848" s="3" t="str">
        <f>IFERROR(__xludf.DUMMYFUNCTION("GOOGLETRANSLATE(A5848,""en"",""pt"")"),"O Código Da Vinci foi incrível, eu não posso esperar para lê-lo ...")</f>
        <v>O Código Da Vinci foi incrível, eu não posso esperar para lê-lo ...</v>
      </c>
      <c r="B5848" s="3">
        <v>1</v>
      </c>
    </row>
    <row r="5849" ht="15.75" customHeight="1" spans="1:2">
      <c r="A5849" s="3" t="str">
        <f>IFERROR(__xludf.DUMMYFUNCTION("GOOGLETRANSLATE(A5849,""en"",""pt"")"),"O Código Da Vinci foi absolutamente incrível!")</f>
        <v>O Código Da Vinci foi absolutamente incrível!</v>
      </c>
      <c r="B5849" s="3">
        <v>1</v>
      </c>
    </row>
    <row r="5850" ht="15.75" customHeight="1" spans="1:2">
      <c r="A5850" s="3" t="str">
        <f>IFERROR(__xludf.DUMMYFUNCTION("GOOGLETRANSLATE(A5850,""en"",""pt"")"),"Código Da Vinci era um filme impressionante ...")</f>
        <v>Código Da Vinci era um filme impressionante ...</v>
      </c>
      <c r="B5850" s="3">
        <v>1</v>
      </c>
    </row>
    <row r="5851" ht="15.75" customHeight="1" spans="1:2">
      <c r="A5851" s="3" t="str">
        <f>IFERROR(__xludf.DUMMYFUNCTION("GOOGLETRANSLATE(A5851,""en"",""pt"")"),"CÓDIGO DA VINCI É IMPRESSIONANTE !!")</f>
        <v>CÓDIGO DA VINCI É IMPRESSIONANTE !!</v>
      </c>
      <c r="B5851" s="3">
        <v>1</v>
      </c>
    </row>
    <row r="5852" ht="15.75" customHeight="1" spans="1:2">
      <c r="A5852" s="3" t="str">
        <f>IFERROR(__xludf.DUMMYFUNCTION("GOOGLETRANSLATE(A5852,""en"",""pt"")"),"Eu amo O Código Da Vinci ...")</f>
        <v>Eu amo O Código Da Vinci ...</v>
      </c>
      <c r="B5852" s="3">
        <v>1</v>
      </c>
    </row>
    <row r="5853" ht="15.75" customHeight="1" spans="1:2">
      <c r="A5853" s="3" t="str">
        <f>IFERROR(__xludf.DUMMYFUNCTION("GOOGLETRANSLATE(A5853,""en"",""pt"")"),"O Código Da Vinci é incrível ..")</f>
        <v>O Código Da Vinci é incrível ..</v>
      </c>
      <c r="B5853" s="3">
        <v>1</v>
      </c>
    </row>
    <row r="5854" ht="15.75" customHeight="1" spans="1:2">
      <c r="A5854" s="3" t="str">
        <f>IFERROR(__xludf.DUMMYFUNCTION("GOOGLETRANSLATE(A5854,""en"",""pt"")"),"O Código Da Vinci é espectacular !!")</f>
        <v>O Código Da Vinci é espectacular !!</v>
      </c>
      <c r="B5854" s="3">
        <v>1</v>
      </c>
    </row>
    <row r="5855" ht="15.75" customHeight="1" spans="1:2">
      <c r="A5855" s="3" t="str">
        <f>IFERROR(__xludf.DUMMYFUNCTION("GOOGLETRANSLATE(A5855,""en"",""pt"")"),"Luv lubb o Código Da Vinci!")</f>
        <v>Luv lubb o Código Da Vinci!</v>
      </c>
      <c r="B5855" s="3">
        <v>1</v>
      </c>
    </row>
    <row r="5856" ht="15.75" customHeight="1" spans="1:2">
      <c r="A5856" s="3" t="str">
        <f>IFERROR(__xludf.DUMMYFUNCTION("GOOGLETRANSLATE(A5856,""en"",""pt"")"),"as pessoas que valem a pena saber o quanto eu amo o código da vinci.")</f>
        <v>as pessoas que valem a pena saber o quanto eu amo o código da vinci.</v>
      </c>
      <c r="B5856" s="3">
        <v>1</v>
      </c>
    </row>
    <row r="5857" ht="15.75" customHeight="1" spans="1:2">
      <c r="A5857" s="3" t="str">
        <f>IFERROR(__xludf.DUMMYFUNCTION("GOOGLETRANSLATE(A5857,""en"",""pt"")"),"Eu queria desesperadamente love'The Código Da Vinci como um filme.")</f>
        <v>Eu queria desesperadamente love'The Código Da Vinci como um filme.</v>
      </c>
      <c r="B5857" s="3">
        <v>1</v>
      </c>
    </row>
    <row r="5858" ht="15.75" customHeight="1" spans="1:2">
      <c r="A5858" s="3" t="str">
        <f>IFERROR(__xludf.DUMMYFUNCTION("GOOGLETRANSLATE(A5858,""en"",""pt"")"),"O Código Da Vinci foi incrível, eu não posso esperar para lê-lo ...")</f>
        <v>O Código Da Vinci foi incrível, eu não posso esperar para lê-lo ...</v>
      </c>
      <c r="B5858" s="3">
        <v>1</v>
      </c>
    </row>
    <row r="5859" ht="15.75" customHeight="1" spans="1:2">
      <c r="A5859" s="3" t="str">
        <f>IFERROR(__xludf.DUMMYFUNCTION("GOOGLETRANSLATE(A5859,""en"",""pt"")"),"O Código Da Vinci foi absolutamente incrível!")</f>
        <v>O Código Da Vinci foi absolutamente incrível!</v>
      </c>
      <c r="B5859" s="3">
        <v>1</v>
      </c>
    </row>
    <row r="5860" ht="15.75" customHeight="1" spans="1:2">
      <c r="A5860" s="3" t="str">
        <f>IFERROR(__xludf.DUMMYFUNCTION("GOOGLETRANSLATE(A5860,""en"",""pt"")"),"Código Da Vinci era um filme impressionante ...")</f>
        <v>Código Da Vinci era um filme impressionante ...</v>
      </c>
      <c r="B5860" s="3">
        <v>1</v>
      </c>
    </row>
    <row r="5861" ht="15.75" customHeight="1" spans="1:2">
      <c r="A5861" s="3" t="str">
        <f>IFERROR(__xludf.DUMMYFUNCTION("GOOGLETRANSLATE(A5861,""en"",""pt"")"),"CÓDIGO DA VINCI É IMPRESSIONANTE !!")</f>
        <v>CÓDIGO DA VINCI É IMPRESSIONANTE !!</v>
      </c>
      <c r="B5861" s="3">
        <v>1</v>
      </c>
    </row>
    <row r="5862" ht="15.75" customHeight="1" spans="1:2">
      <c r="A5862" s="3" t="str">
        <f>IFERROR(__xludf.DUMMYFUNCTION("GOOGLETRANSLATE(A5862,""en"",""pt"")"),"Eu amo O Código Da Vinci ...")</f>
        <v>Eu amo O Código Da Vinci ...</v>
      </c>
      <c r="B5862" s="3">
        <v>1</v>
      </c>
    </row>
    <row r="5863" ht="15.75" customHeight="1" spans="1:2">
      <c r="A5863" s="3" t="str">
        <f>IFERROR(__xludf.DUMMYFUNCTION("GOOGLETRANSLATE(A5863,""en"",""pt"")"),"O Código Da Vinci é incrível ..")</f>
        <v>O Código Da Vinci é incrível ..</v>
      </c>
      <c r="B5863" s="3">
        <v>1</v>
      </c>
    </row>
    <row r="5864" ht="15.75" customHeight="1" spans="1:2">
      <c r="A5864" s="3" t="str">
        <f>IFERROR(__xludf.DUMMYFUNCTION("GOOGLETRANSLATE(A5864,""en"",""pt"")"),"O Código Da Vinci é espectacular !!")</f>
        <v>O Código Da Vinci é espectacular !!</v>
      </c>
      <c r="B5864" s="3">
        <v>1</v>
      </c>
    </row>
    <row r="5865" ht="15.75" customHeight="1" spans="1:2">
      <c r="A5865" s="3" t="str">
        <f>IFERROR(__xludf.DUMMYFUNCTION("GOOGLETRANSLATE(A5865,""en"",""pt"")"),"Luv lubb o Código Da Vinci!")</f>
        <v>Luv lubb o Código Da Vinci!</v>
      </c>
      <c r="B5865" s="3">
        <v>1</v>
      </c>
    </row>
    <row r="5866" ht="15.75" customHeight="1" spans="1:2">
      <c r="A5866" s="3" t="str">
        <f>IFERROR(__xludf.DUMMYFUNCTION("GOOGLETRANSLATE(A5866,""en"",""pt"")"),"as pessoas que valem a pena saber o quanto eu amo o código da vinci.")</f>
        <v>as pessoas que valem a pena saber o quanto eu amo o código da vinci.</v>
      </c>
      <c r="B5866" s="3">
        <v>1</v>
      </c>
    </row>
    <row r="5867" ht="15.75" customHeight="1" spans="1:2">
      <c r="A5867" s="3" t="str">
        <f>IFERROR(__xludf.DUMMYFUNCTION("GOOGLETRANSLATE(A5867,""en"",""pt"")"),"Eu queria desesperadamente love'The Código Da Vinci como um filme.")</f>
        <v>Eu queria desesperadamente love'The Código Da Vinci como um filme.</v>
      </c>
      <c r="B5867" s="3">
        <v>1</v>
      </c>
    </row>
    <row r="5868" ht="15.75" customHeight="1" spans="1:2">
      <c r="A5868" s="3" t="str">
        <f>IFERROR(__xludf.DUMMYFUNCTION("GOOGLETRANSLATE(A5868,""en"",""pt"")"),"O Código Da Vinci foi incrível, eu não posso esperar para lê-lo ...")</f>
        <v>O Código Da Vinci foi incrível, eu não posso esperar para lê-lo ...</v>
      </c>
      <c r="B5868" s="3">
        <v>1</v>
      </c>
    </row>
    <row r="5869" ht="15.75" customHeight="1" spans="1:2">
      <c r="A5869" s="3" t="str">
        <f>IFERROR(__xludf.DUMMYFUNCTION("GOOGLETRANSLATE(A5869,""en"",""pt"")"),"O Código Da Vinci foi absolutamente incrível!")</f>
        <v>O Código Da Vinci foi absolutamente incrível!</v>
      </c>
      <c r="B5869" s="3">
        <v>1</v>
      </c>
    </row>
    <row r="5870" ht="15.75" customHeight="1" spans="1:2">
      <c r="A5870" s="3" t="str">
        <f>IFERROR(__xludf.DUMMYFUNCTION("GOOGLETRANSLATE(A5870,""en"",""pt"")"),"Código Da Vinci era um filme impressionante ...")</f>
        <v>Código Da Vinci era um filme impressionante ...</v>
      </c>
      <c r="B5870" s="3">
        <v>1</v>
      </c>
    </row>
    <row r="5871" ht="15.75" customHeight="1" spans="1:2">
      <c r="A5871" s="3" t="str">
        <f>IFERROR(__xludf.DUMMYFUNCTION("GOOGLETRANSLATE(A5871,""en"",""pt"")"),"CÓDIGO DA VINCI É IMPRESSIONANTE !!")</f>
        <v>CÓDIGO DA VINCI É IMPRESSIONANTE !!</v>
      </c>
      <c r="B5871" s="3">
        <v>1</v>
      </c>
    </row>
    <row r="5872" ht="15.75" customHeight="1" spans="1:2">
      <c r="A5872" s="3" t="str">
        <f>IFERROR(__xludf.DUMMYFUNCTION("GOOGLETRANSLATE(A5872,""en"",""pt"")"),"Eu amo O Código Da Vinci ...")</f>
        <v>Eu amo O Código Da Vinci ...</v>
      </c>
      <c r="B5872" s="3">
        <v>1</v>
      </c>
    </row>
    <row r="5873" ht="15.75" customHeight="1" spans="1:2">
      <c r="A5873" s="3" t="str">
        <f>IFERROR(__xludf.DUMMYFUNCTION("GOOGLETRANSLATE(A5873,""en"",""pt"")"),"O Código Da Vinci é incrível ..")</f>
        <v>O Código Da Vinci é incrível ..</v>
      </c>
      <c r="B5873" s="3">
        <v>1</v>
      </c>
    </row>
    <row r="5874" ht="15.75" customHeight="1" spans="1:2">
      <c r="A5874" s="3" t="str">
        <f>IFERROR(__xludf.DUMMYFUNCTION("GOOGLETRANSLATE(A5874,""en"",""pt"")"),"O Código Da Vinci é espectacular !!")</f>
        <v>O Código Da Vinci é espectacular !!</v>
      </c>
      <c r="B5874" s="3">
        <v>1</v>
      </c>
    </row>
    <row r="5875" ht="15.75" customHeight="1" spans="1:2">
      <c r="A5875" s="3" t="str">
        <f>IFERROR(__xludf.DUMMYFUNCTION("GOOGLETRANSLATE(A5875,""en"",""pt"")"),"Luv lubb o Código Da Vinci!")</f>
        <v>Luv lubb o Código Da Vinci!</v>
      </c>
      <c r="B5875" s="3">
        <v>1</v>
      </c>
    </row>
    <row r="5876" ht="15.75" customHeight="1" spans="1:2">
      <c r="A5876" s="3" t="str">
        <f>IFERROR(__xludf.DUMMYFUNCTION("GOOGLETRANSLATE(A5876,""en"",""pt"")"),"as pessoas que valem a pena saber o quanto eu amo o código da vinci.")</f>
        <v>as pessoas que valem a pena saber o quanto eu amo o código da vinci.</v>
      </c>
      <c r="B5876" s="3">
        <v>1</v>
      </c>
    </row>
    <row r="5877" ht="15.75" customHeight="1" spans="1:2">
      <c r="A5877" s="3" t="str">
        <f>IFERROR(__xludf.DUMMYFUNCTION("GOOGLETRANSLATE(A5877,""en"",""pt"")"),"Eu queria desesperadamente love'The Código Da Vinci como um filme.")</f>
        <v>Eu queria desesperadamente love'The Código Da Vinci como um filme.</v>
      </c>
      <c r="B5877" s="3">
        <v>1</v>
      </c>
    </row>
    <row r="5878" ht="15.75" customHeight="1" spans="1:2">
      <c r="A5878" s="3" t="str">
        <f>IFERROR(__xludf.DUMMYFUNCTION("GOOGLETRANSLATE(A5878,""en"",""pt"")"),"O Código Da Vinci foi incrível, eu não posso esperar para lê-lo ...")</f>
        <v>O Código Da Vinci foi incrível, eu não posso esperar para lê-lo ...</v>
      </c>
      <c r="B5878" s="3">
        <v>1</v>
      </c>
    </row>
    <row r="5879" ht="15.75" customHeight="1" spans="1:2">
      <c r="A5879" s="3" t="str">
        <f>IFERROR(__xludf.DUMMYFUNCTION("GOOGLETRANSLATE(A5879,""en"",""pt"")"),"O Código Da Vinci foi absolutamente incrível!")</f>
        <v>O Código Da Vinci foi absolutamente incrível!</v>
      </c>
      <c r="B5879" s="3">
        <v>1</v>
      </c>
    </row>
    <row r="5880" ht="15.75" customHeight="1" spans="1:2">
      <c r="A5880" s="3" t="str">
        <f>IFERROR(__xludf.DUMMYFUNCTION("GOOGLETRANSLATE(A5880,""en"",""pt"")"),"Código Da Vinci era um filme impressionante ...")</f>
        <v>Código Da Vinci era um filme impressionante ...</v>
      </c>
      <c r="B5880" s="3">
        <v>1</v>
      </c>
    </row>
    <row r="5881" ht="15.75" customHeight="1" spans="1:2">
      <c r="A5881" s="3" t="str">
        <f>IFERROR(__xludf.DUMMYFUNCTION("GOOGLETRANSLATE(A5881,""en"",""pt"")"),"CÓDIGO DA VINCI É IMPRESSIONANTE !!")</f>
        <v>CÓDIGO DA VINCI É IMPRESSIONANTE !!</v>
      </c>
      <c r="B5881" s="3">
        <v>1</v>
      </c>
    </row>
    <row r="5882" ht="15.75" customHeight="1" spans="1:2">
      <c r="A5882" s="3" t="str">
        <f>IFERROR(__xludf.DUMMYFUNCTION("GOOGLETRANSLATE(A5882,""en"",""pt"")"),"Eu amo O Código Da Vinci ...")</f>
        <v>Eu amo O Código Da Vinci ...</v>
      </c>
      <c r="B5882" s="3">
        <v>1</v>
      </c>
    </row>
    <row r="5883" ht="15.75" customHeight="1" spans="1:2">
      <c r="A5883" s="3" t="str">
        <f>IFERROR(__xludf.DUMMYFUNCTION("GOOGLETRANSLATE(A5883,""en"",""pt"")"),"O Código Da Vinci é incrível ..")</f>
        <v>O Código Da Vinci é incrível ..</v>
      </c>
      <c r="B5883" s="3">
        <v>1</v>
      </c>
    </row>
    <row r="5884" ht="15.75" customHeight="1" spans="1:2">
      <c r="A5884" s="3" t="str">
        <f>IFERROR(__xludf.DUMMYFUNCTION("GOOGLETRANSLATE(A5884,""en"",""pt"")"),"O Código Da Vinci é espectacular !!")</f>
        <v>O Código Da Vinci é espectacular !!</v>
      </c>
      <c r="B5884" s="3">
        <v>1</v>
      </c>
    </row>
    <row r="5885" ht="15.75" customHeight="1" spans="1:2">
      <c r="A5885" s="3" t="str">
        <f>IFERROR(__xludf.DUMMYFUNCTION("GOOGLETRANSLATE(A5885,""en"",""pt"")"),"Luv lubb o Código Da Vinci!")</f>
        <v>Luv lubb o Código Da Vinci!</v>
      </c>
      <c r="B5885" s="3">
        <v>1</v>
      </c>
    </row>
    <row r="5886" ht="15.75" customHeight="1" spans="1:2">
      <c r="A5886" s="3" t="str">
        <f>IFERROR(__xludf.DUMMYFUNCTION("GOOGLETRANSLATE(A5886,""en"",""pt"")"),"as pessoas que valem a pena saber o quanto eu amo o código da vinci.")</f>
        <v>as pessoas que valem a pena saber o quanto eu amo o código da vinci.</v>
      </c>
      <c r="B5886" s="3">
        <v>1</v>
      </c>
    </row>
    <row r="5887" ht="15.75" customHeight="1" spans="1:2">
      <c r="A5887" s="3" t="str">
        <f>IFERROR(__xludf.DUMMYFUNCTION("GOOGLETRANSLATE(A5887,""en"",""pt"")"),"Eu queria desesperadamente love'The Código Da Vinci como um filme.")</f>
        <v>Eu queria desesperadamente love'The Código Da Vinci como um filme.</v>
      </c>
      <c r="B5887" s="3">
        <v>1</v>
      </c>
    </row>
    <row r="5888" ht="15.75" customHeight="1" spans="1:2">
      <c r="A5888" s="3" t="str">
        <f>IFERROR(__xludf.DUMMYFUNCTION("GOOGLETRANSLATE(A5888,""en"",""pt"")"),"O Código Da Vinci foi incrível, eu não posso esperar para lê-lo ...")</f>
        <v>O Código Da Vinci foi incrível, eu não posso esperar para lê-lo ...</v>
      </c>
      <c r="B5888" s="3">
        <v>1</v>
      </c>
    </row>
    <row r="5889" ht="15.75" customHeight="1" spans="1:2">
      <c r="A5889" s="3" t="str">
        <f>IFERROR(__xludf.DUMMYFUNCTION("GOOGLETRANSLATE(A5889,""en"",""pt"")"),"O Código Da Vinci foi absolutamente incrível!")</f>
        <v>O Código Da Vinci foi absolutamente incrível!</v>
      </c>
      <c r="B5889" s="3">
        <v>1</v>
      </c>
    </row>
    <row r="5890" ht="15.75" customHeight="1" spans="1:2">
      <c r="A5890" s="3" t="str">
        <f>IFERROR(__xludf.DUMMYFUNCTION("GOOGLETRANSLATE(A5890,""en"",""pt"")"),"Código Da Vinci era um filme impressionante ...")</f>
        <v>Código Da Vinci era um filme impressionante ...</v>
      </c>
      <c r="B5890" s="3">
        <v>1</v>
      </c>
    </row>
    <row r="5891" ht="15.75" customHeight="1" spans="1:2">
      <c r="A5891" s="3" t="str">
        <f>IFERROR(__xludf.DUMMYFUNCTION("GOOGLETRANSLATE(A5891,""en"",""pt"")"),"CÓDIGO DA VINCI É IMPRESSIONANTE !!")</f>
        <v>CÓDIGO DA VINCI É IMPRESSIONANTE !!</v>
      </c>
      <c r="B5891" s="3">
        <v>1</v>
      </c>
    </row>
    <row r="5892" ht="15.75" customHeight="1" spans="1:2">
      <c r="A5892" s="3" t="str">
        <f>IFERROR(__xludf.DUMMYFUNCTION("GOOGLETRANSLATE(A5892,""en"",""pt"")"),"Eu amo O Código Da Vinci ...")</f>
        <v>Eu amo O Código Da Vinci ...</v>
      </c>
      <c r="B5892" s="3">
        <v>1</v>
      </c>
    </row>
    <row r="5893" ht="15.75" customHeight="1" spans="1:2">
      <c r="A5893" s="3" t="str">
        <f>IFERROR(__xludf.DUMMYFUNCTION("GOOGLETRANSLATE(A5893,""en"",""pt"")"),"O Código Da Vinci é incrível ..")</f>
        <v>O Código Da Vinci é incrível ..</v>
      </c>
      <c r="B5893" s="3">
        <v>1</v>
      </c>
    </row>
    <row r="5894" ht="15.75" customHeight="1" spans="1:2">
      <c r="A5894" s="3" t="str">
        <f>IFERROR(__xludf.DUMMYFUNCTION("GOOGLETRANSLATE(A5894,""en"",""pt"")"),"O Código Da Vinci é espectacular !!")</f>
        <v>O Código Da Vinci é espectacular !!</v>
      </c>
      <c r="B5894" s="3">
        <v>1</v>
      </c>
    </row>
    <row r="5895" ht="15.75" customHeight="1" spans="1:2">
      <c r="A5895" s="3" t="str">
        <f>IFERROR(__xludf.DUMMYFUNCTION("GOOGLETRANSLATE(A5895,""en"",""pt"")"),"Luv lubb o Código Da Vinci!")</f>
        <v>Luv lubb o Código Da Vinci!</v>
      </c>
      <c r="B5895" s="3">
        <v>1</v>
      </c>
    </row>
    <row r="5896" ht="15.75" customHeight="1" spans="1:2">
      <c r="A5896" s="3" t="str">
        <f>IFERROR(__xludf.DUMMYFUNCTION("GOOGLETRANSLATE(A5896,""en"",""pt"")"),"as pessoas que valem a pena saber o quanto eu amo o código da vinci.")</f>
        <v>as pessoas que valem a pena saber o quanto eu amo o código da vinci.</v>
      </c>
      <c r="B5896" s="3">
        <v>1</v>
      </c>
    </row>
    <row r="5897" ht="15.75" customHeight="1" spans="1:2">
      <c r="A5897" s="3" t="str">
        <f>IFERROR(__xludf.DUMMYFUNCTION("GOOGLETRANSLATE(A5897,""en"",""pt"")"),"Eu queria desesperadamente love'The Código Da Vinci como um filme.")</f>
        <v>Eu queria desesperadamente love'The Código Da Vinci como um filme.</v>
      </c>
      <c r="B5897" s="3">
        <v>1</v>
      </c>
    </row>
    <row r="5898" ht="15.75" customHeight="1" spans="1:2">
      <c r="A5898" s="3" t="str">
        <f>IFERROR(__xludf.DUMMYFUNCTION("GOOGLETRANSLATE(A5898,""en"",""pt"")"),"O Código Da Vinci foi incrível, eu não posso esperar para lê-lo ...")</f>
        <v>O Código Da Vinci foi incrível, eu não posso esperar para lê-lo ...</v>
      </c>
      <c r="B5898" s="3">
        <v>1</v>
      </c>
    </row>
    <row r="5899" ht="15.75" customHeight="1" spans="1:2">
      <c r="A5899" s="3" t="str">
        <f>IFERROR(__xludf.DUMMYFUNCTION("GOOGLETRANSLATE(A5899,""en"",""pt"")"),"O Código Da Vinci foi absolutamente incrível!")</f>
        <v>O Código Da Vinci foi absolutamente incrível!</v>
      </c>
      <c r="B5899" s="3">
        <v>1</v>
      </c>
    </row>
    <row r="5900" ht="15.75" customHeight="1" spans="1:2">
      <c r="A5900" s="3" t="str">
        <f>IFERROR(__xludf.DUMMYFUNCTION("GOOGLETRANSLATE(A5900,""en"",""pt"")"),"Código Da Vinci era um filme impressionante ...")</f>
        <v>Código Da Vinci era um filme impressionante ...</v>
      </c>
      <c r="B5900" s="3">
        <v>1</v>
      </c>
    </row>
    <row r="5901" ht="15.75" customHeight="1" spans="1:2">
      <c r="A5901" s="3" t="str">
        <f>IFERROR(__xludf.DUMMYFUNCTION("GOOGLETRANSLATE(A5901,""en"",""pt"")"),"CÓDIGO DA VINCI É IMPRESSIONANTE !!")</f>
        <v>CÓDIGO DA VINCI É IMPRESSIONANTE !!</v>
      </c>
      <c r="B5901" s="3">
        <v>1</v>
      </c>
    </row>
    <row r="5902" ht="15.75" customHeight="1" spans="1:2">
      <c r="A5902" s="3" t="str">
        <f>IFERROR(__xludf.DUMMYFUNCTION("GOOGLETRANSLATE(A5902,""en"",""pt"")"),"Eu amo O Código Da Vinci ...")</f>
        <v>Eu amo O Código Da Vinci ...</v>
      </c>
      <c r="B5902" s="3">
        <v>1</v>
      </c>
    </row>
    <row r="5903" ht="15.75" customHeight="1" spans="1:2">
      <c r="A5903" s="3" t="str">
        <f>IFERROR(__xludf.DUMMYFUNCTION("GOOGLETRANSLATE(A5903,""en"",""pt"")"),"O Código Da Vinci é incrível ..")</f>
        <v>O Código Da Vinci é incrível ..</v>
      </c>
      <c r="B5903" s="3">
        <v>1</v>
      </c>
    </row>
    <row r="5904" ht="15.75" customHeight="1" spans="1:2">
      <c r="A5904" s="3" t="str">
        <f>IFERROR(__xludf.DUMMYFUNCTION("GOOGLETRANSLATE(A5904,""en"",""pt"")"),"O Código Da Vinci é espectacular !!")</f>
        <v>O Código Da Vinci é espectacular !!</v>
      </c>
      <c r="B5904" s="3">
        <v>1</v>
      </c>
    </row>
    <row r="5905" ht="15.75" customHeight="1" spans="1:2">
      <c r="A5905" s="3" t="str">
        <f>IFERROR(__xludf.DUMMYFUNCTION("GOOGLETRANSLATE(A5905,""en"",""pt"")"),"Luv lubb o Código Da Vinci!")</f>
        <v>Luv lubb o Código Da Vinci!</v>
      </c>
      <c r="B5905" s="3">
        <v>1</v>
      </c>
    </row>
    <row r="5906" ht="15.75" customHeight="1" spans="1:2">
      <c r="A5906" s="3" t="str">
        <f>IFERROR(__xludf.DUMMYFUNCTION("GOOGLETRANSLATE(A5906,""en"",""pt"")"),"as pessoas que valem a pena saber o quanto eu amo o código da vinci.")</f>
        <v>as pessoas que valem a pena saber o quanto eu amo o código da vinci.</v>
      </c>
      <c r="B5906" s="3">
        <v>1</v>
      </c>
    </row>
    <row r="5907" ht="15.75" customHeight="1" spans="1:2">
      <c r="A5907" s="3" t="str">
        <f>IFERROR(__xludf.DUMMYFUNCTION("GOOGLETRANSLATE(A5907,""en"",""pt"")"),"Eu queria desesperadamente love'The Código Da Vinci como um filme.")</f>
        <v>Eu queria desesperadamente love'The Código Da Vinci como um filme.</v>
      </c>
      <c r="B5907" s="3">
        <v>1</v>
      </c>
    </row>
    <row r="5908" ht="15.75" customHeight="1" spans="1:2">
      <c r="A5908" s="3" t="str">
        <f>IFERROR(__xludf.DUMMYFUNCTION("GOOGLETRANSLATE(A5908,""en"",""pt"")"),"O Código Da Vinci foi incrível, eu não posso esperar para lê-lo ...")</f>
        <v>O Código Da Vinci foi incrível, eu não posso esperar para lê-lo ...</v>
      </c>
      <c r="B5908" s="3">
        <v>1</v>
      </c>
    </row>
    <row r="5909" ht="15.75" customHeight="1" spans="1:2">
      <c r="A5909" s="3" t="str">
        <f>IFERROR(__xludf.DUMMYFUNCTION("GOOGLETRANSLATE(A5909,""en"",""pt"")"),"O Código Da Vinci foi absolutamente incrível!")</f>
        <v>O Código Da Vinci foi absolutamente incrível!</v>
      </c>
      <c r="B5909" s="3">
        <v>1</v>
      </c>
    </row>
    <row r="5910" ht="15.75" customHeight="1" spans="1:2">
      <c r="A5910" s="3" t="str">
        <f>IFERROR(__xludf.DUMMYFUNCTION("GOOGLETRANSLATE(A5910,""en"",""pt"")"),"Código Da Vinci era um filme impressionante ...")</f>
        <v>Código Da Vinci era um filme impressionante ...</v>
      </c>
      <c r="B5910" s="3">
        <v>1</v>
      </c>
    </row>
    <row r="5911" ht="15.75" customHeight="1" spans="1:2">
      <c r="A5911" s="3" t="str">
        <f>IFERROR(__xludf.DUMMYFUNCTION("GOOGLETRANSLATE(A5911,""en"",""pt"")"),"CÓDIGO DA VINCI É IMPRESSIONANTE !!")</f>
        <v>CÓDIGO DA VINCI É IMPRESSIONANTE !!</v>
      </c>
      <c r="B5911" s="3">
        <v>1</v>
      </c>
    </row>
    <row r="5912" ht="15.75" customHeight="1" spans="1:2">
      <c r="A5912" s="3" t="str">
        <f>IFERROR(__xludf.DUMMYFUNCTION("GOOGLETRANSLATE(A5912,""en"",""pt"")"),"Eu amo O Código Da Vinci ...")</f>
        <v>Eu amo O Código Da Vinci ...</v>
      </c>
      <c r="B5912" s="3">
        <v>1</v>
      </c>
    </row>
    <row r="5913" ht="15.75" customHeight="1" spans="1:2">
      <c r="A5913" s="3" t="str">
        <f>IFERROR(__xludf.DUMMYFUNCTION("GOOGLETRANSLATE(A5913,""en"",""pt"")"),"O Código Da Vinci é incrível ..")</f>
        <v>O Código Da Vinci é incrível ..</v>
      </c>
      <c r="B5913" s="3">
        <v>1</v>
      </c>
    </row>
    <row r="5914" ht="15.75" customHeight="1" spans="1:2">
      <c r="A5914" s="3" t="str">
        <f>IFERROR(__xludf.DUMMYFUNCTION("GOOGLETRANSLATE(A5914,""en"",""pt"")"),"O Código Da Vinci é espectacular !!")</f>
        <v>O Código Da Vinci é espectacular !!</v>
      </c>
      <c r="B5914" s="3">
        <v>1</v>
      </c>
    </row>
    <row r="5915" ht="15.75" customHeight="1" spans="1:2">
      <c r="A5915" s="3" t="str">
        <f>IFERROR(__xludf.DUMMYFUNCTION("GOOGLETRANSLATE(A5915,""en"",""pt"")"),"Luv lubb o Código Da Vinci!")</f>
        <v>Luv lubb o Código Da Vinci!</v>
      </c>
      <c r="B5915" s="3">
        <v>1</v>
      </c>
    </row>
    <row r="5916" ht="15.75" customHeight="1" spans="1:2">
      <c r="A5916" s="3" t="str">
        <f>IFERROR(__xludf.DUMMYFUNCTION("GOOGLETRANSLATE(A5916,""en"",""pt"")"),"as pessoas que valem a pena saber o quanto eu amo o código da vinci.")</f>
        <v>as pessoas que valem a pena saber o quanto eu amo o código da vinci.</v>
      </c>
      <c r="B5916" s="3">
        <v>1</v>
      </c>
    </row>
    <row r="5917" ht="15.75" customHeight="1" spans="1:2">
      <c r="A5917" s="3" t="str">
        <f>IFERROR(__xludf.DUMMYFUNCTION("GOOGLETRANSLATE(A5917,""en"",""pt"")"),"Eu queria desesperadamente love'The Código Da Vinci como um filme.")</f>
        <v>Eu queria desesperadamente love'The Código Da Vinci como um filme.</v>
      </c>
      <c r="B5917" s="3">
        <v>1</v>
      </c>
    </row>
    <row r="5918" ht="15.75" customHeight="1" spans="1:2">
      <c r="A5918" s="3" t="str">
        <f>IFERROR(__xludf.DUMMYFUNCTION("GOOGLETRANSLATE(A5918,""en"",""pt"")"),"O Código Da Vinci foi incrível, eu não posso esperar para lê-lo ...")</f>
        <v>O Código Da Vinci foi incrível, eu não posso esperar para lê-lo ...</v>
      </c>
      <c r="B5918" s="3">
        <v>1</v>
      </c>
    </row>
    <row r="5919" ht="15.75" customHeight="1" spans="1:2">
      <c r="A5919" s="3" t="str">
        <f>IFERROR(__xludf.DUMMYFUNCTION("GOOGLETRANSLATE(A5919,""en"",""pt"")"),"O Código Da Vinci foi absolutamente incrível!")</f>
        <v>O Código Da Vinci foi absolutamente incrível!</v>
      </c>
      <c r="B5919" s="3">
        <v>1</v>
      </c>
    </row>
    <row r="5920" ht="15.75" customHeight="1" spans="1:2">
      <c r="A5920" s="3" t="str">
        <f>IFERROR(__xludf.DUMMYFUNCTION("GOOGLETRANSLATE(A5920,""en"",""pt"")"),"Código Da Vinci era um filme impressionante ...")</f>
        <v>Código Da Vinci era um filme impressionante ...</v>
      </c>
      <c r="B5920" s="3">
        <v>1</v>
      </c>
    </row>
    <row r="5921" ht="15.75" customHeight="1" spans="1:2">
      <c r="A5921" s="3" t="str">
        <f>IFERROR(__xludf.DUMMYFUNCTION("GOOGLETRANSLATE(A5921,""en"",""pt"")"),"CÓDIGO DA VINCI É IMPRESSIONANTE !!")</f>
        <v>CÓDIGO DA VINCI É IMPRESSIONANTE !!</v>
      </c>
      <c r="B5921" s="3">
        <v>1</v>
      </c>
    </row>
    <row r="5922" ht="15.75" customHeight="1" spans="1:2">
      <c r="A5922" s="3" t="str">
        <f>IFERROR(__xludf.DUMMYFUNCTION("GOOGLETRANSLATE(A5922,""en"",""pt"")"),"Eu amo O Código Da Vinci ...")</f>
        <v>Eu amo O Código Da Vinci ...</v>
      </c>
      <c r="B5922" s="3">
        <v>1</v>
      </c>
    </row>
    <row r="5923" ht="15.75" customHeight="1" spans="1:2">
      <c r="A5923" s="3" t="str">
        <f>IFERROR(__xludf.DUMMYFUNCTION("GOOGLETRANSLATE(A5923,""en"",""pt"")"),"O Código Da Vinci é incrível ..")</f>
        <v>O Código Da Vinci é incrível ..</v>
      </c>
      <c r="B5923" s="3">
        <v>1</v>
      </c>
    </row>
    <row r="5924" ht="15.75" customHeight="1" spans="1:2">
      <c r="A5924" s="3" t="str">
        <f>IFERROR(__xludf.DUMMYFUNCTION("GOOGLETRANSLATE(A5924,""en"",""pt"")"),"O Código Da Vinci é espectacular !!")</f>
        <v>O Código Da Vinci é espectacular !!</v>
      </c>
      <c r="B5924" s="3">
        <v>1</v>
      </c>
    </row>
    <row r="5925" ht="15.75" customHeight="1" spans="1:2">
      <c r="A5925" s="3" t="str">
        <f>IFERROR(__xludf.DUMMYFUNCTION("GOOGLETRANSLATE(A5925,""en"",""pt"")"),"Luv lubb o Código Da Vinci!")</f>
        <v>Luv lubb o Código Da Vinci!</v>
      </c>
      <c r="B5925" s="3">
        <v>1</v>
      </c>
    </row>
    <row r="5926" ht="15.75" customHeight="1" spans="1:2">
      <c r="A5926" s="3" t="str">
        <f>IFERROR(__xludf.DUMMYFUNCTION("GOOGLETRANSLATE(A5926,""en"",""pt"")"),"as pessoas que valem a pena saber o quanto eu amo o código da vinci.")</f>
        <v>as pessoas que valem a pena saber o quanto eu amo o código da vinci.</v>
      </c>
      <c r="B5926" s="3">
        <v>1</v>
      </c>
    </row>
    <row r="5927" ht="15.75" customHeight="1" spans="1:2">
      <c r="A5927" s="3" t="str">
        <f>IFERROR(__xludf.DUMMYFUNCTION("GOOGLETRANSLATE(A5927,""en"",""pt"")"),"Eu queria desesperadamente love'The Código Da Vinci como um filme.")</f>
        <v>Eu queria desesperadamente love'The Código Da Vinci como um filme.</v>
      </c>
      <c r="B5927" s="3">
        <v>1</v>
      </c>
    </row>
    <row r="5928" ht="15.75" customHeight="1" spans="1:2">
      <c r="A5928" s="3" t="str">
        <f>IFERROR(__xludf.DUMMYFUNCTION("GOOGLETRANSLATE(A5928,""en"",""pt"")"),"O Código Da Vinci foi incrível, eu não posso esperar para lê-lo ...")</f>
        <v>O Código Da Vinci foi incrível, eu não posso esperar para lê-lo ...</v>
      </c>
      <c r="B5928" s="3">
        <v>1</v>
      </c>
    </row>
    <row r="5929" ht="15.75" customHeight="1" spans="1:2">
      <c r="A5929" s="3" t="str">
        <f>IFERROR(__xludf.DUMMYFUNCTION("GOOGLETRANSLATE(A5929,""en"",""pt"")"),"O Código Da Vinci foi absolutamente incrível!")</f>
        <v>O Código Da Vinci foi absolutamente incrível!</v>
      </c>
      <c r="B5929" s="3">
        <v>1</v>
      </c>
    </row>
    <row r="5930" ht="15.75" customHeight="1" spans="1:2">
      <c r="A5930" s="3" t="str">
        <f>IFERROR(__xludf.DUMMYFUNCTION("GOOGLETRANSLATE(A5930,""en"",""pt"")"),"Código Da Vinci era um filme impressionante ...")</f>
        <v>Código Da Vinci era um filme impressionante ...</v>
      </c>
      <c r="B5930" s="3">
        <v>1</v>
      </c>
    </row>
    <row r="5931" ht="15.75" customHeight="1" spans="1:2">
      <c r="A5931" s="3" t="str">
        <f>IFERROR(__xludf.DUMMYFUNCTION("GOOGLETRANSLATE(A5931,""en"",""pt"")"),"CÓDIGO DA VINCI É IMPRESSIONANTE !!")</f>
        <v>CÓDIGO DA VINCI É IMPRESSIONANTE !!</v>
      </c>
      <c r="B5931" s="3">
        <v>1</v>
      </c>
    </row>
    <row r="5932" ht="15.75" customHeight="1" spans="1:2">
      <c r="A5932" s="3" t="str">
        <f>IFERROR(__xludf.DUMMYFUNCTION("GOOGLETRANSLATE(A5932,""en"",""pt"")"),"Eu amo O Código Da Vinci ...")</f>
        <v>Eu amo O Código Da Vinci ...</v>
      </c>
      <c r="B5932" s="3">
        <v>1</v>
      </c>
    </row>
    <row r="5933" ht="15.75" customHeight="1" spans="1:2">
      <c r="A5933" s="3" t="str">
        <f>IFERROR(__xludf.DUMMYFUNCTION("GOOGLETRANSLATE(A5933,""en"",""pt"")"),"O Código Da Vinci é incrível ..")</f>
        <v>O Código Da Vinci é incrível ..</v>
      </c>
      <c r="B5933" s="3">
        <v>1</v>
      </c>
    </row>
    <row r="5934" ht="15.75" customHeight="1" spans="1:2">
      <c r="A5934" s="3" t="str">
        <f>IFERROR(__xludf.DUMMYFUNCTION("GOOGLETRANSLATE(A5934,""en"",""pt"")"),"O Código Da Vinci é espectacular !!")</f>
        <v>O Código Da Vinci é espectacular !!</v>
      </c>
      <c r="B5934" s="3">
        <v>1</v>
      </c>
    </row>
    <row r="5935" ht="15.75" customHeight="1" spans="1:2">
      <c r="A5935" s="3" t="str">
        <f>IFERROR(__xludf.DUMMYFUNCTION("GOOGLETRANSLATE(A5935,""en"",""pt"")"),"Luv lubb o Código Da Vinci!")</f>
        <v>Luv lubb o Código Da Vinci!</v>
      </c>
      <c r="B5935" s="3">
        <v>1</v>
      </c>
    </row>
    <row r="5936" ht="15.75" customHeight="1" spans="1:2">
      <c r="A5936" s="3" t="str">
        <f>IFERROR(__xludf.DUMMYFUNCTION("GOOGLETRANSLATE(A5936,""en"",""pt"")"),"as pessoas que valem a pena saber o quanto eu amo o código da vinci.")</f>
        <v>as pessoas que valem a pena saber o quanto eu amo o código da vinci.</v>
      </c>
      <c r="B5936" s="3">
        <v>1</v>
      </c>
    </row>
    <row r="5937" ht="15.75" customHeight="1" spans="1:2">
      <c r="A5937" s="3" t="str">
        <f>IFERROR(__xludf.DUMMYFUNCTION("GOOGLETRANSLATE(A5937,""en"",""pt"")"),"Eu queria desesperadamente love'The Código Da Vinci como um filme.")</f>
        <v>Eu queria desesperadamente love'The Código Da Vinci como um filme.</v>
      </c>
      <c r="B5937" s="3">
        <v>1</v>
      </c>
    </row>
    <row r="5938" ht="15.75" customHeight="1" spans="1:2">
      <c r="A5938" s="3" t="str">
        <f>IFERROR(__xludf.DUMMYFUNCTION("GOOGLETRANSLATE(A5938,""en"",""pt"")"),"O Código Da Vinci foi incrível, eu não posso esperar para lê-lo ...")</f>
        <v>O Código Da Vinci foi incrível, eu não posso esperar para lê-lo ...</v>
      </c>
      <c r="B5938" s="3">
        <v>1</v>
      </c>
    </row>
    <row r="5939" ht="15.75" customHeight="1" spans="1:2">
      <c r="A5939" s="3" t="str">
        <f>IFERROR(__xludf.DUMMYFUNCTION("GOOGLETRANSLATE(A5939,""en"",""pt"")"),"O Código Da Vinci foi absolutamente incrível!")</f>
        <v>O Código Da Vinci foi absolutamente incrível!</v>
      </c>
      <c r="B5939" s="3">
        <v>1</v>
      </c>
    </row>
    <row r="5940" ht="15.75" customHeight="1" spans="1:2">
      <c r="A5940" s="3" t="str">
        <f>IFERROR(__xludf.DUMMYFUNCTION("GOOGLETRANSLATE(A5940,""en"",""pt"")"),"Código Da Vinci era um filme impressionante ...")</f>
        <v>Código Da Vinci era um filme impressionante ...</v>
      </c>
      <c r="B5940" s="3">
        <v>1</v>
      </c>
    </row>
    <row r="5941" ht="15.75" customHeight="1" spans="1:2">
      <c r="A5941" s="3" t="str">
        <f>IFERROR(__xludf.DUMMYFUNCTION("GOOGLETRANSLATE(A5941,""en"",""pt"")"),"CÓDIGO DA VINCI É IMPRESSIONANTE !!")</f>
        <v>CÓDIGO DA VINCI É IMPRESSIONANTE !!</v>
      </c>
      <c r="B5941" s="3">
        <v>1</v>
      </c>
    </row>
    <row r="5942" ht="15.75" customHeight="1" spans="1:2">
      <c r="A5942" s="3" t="str">
        <f>IFERROR(__xludf.DUMMYFUNCTION("GOOGLETRANSLATE(A5942,""en"",""pt"")"),"Eu amo O Código Da Vinci ...")</f>
        <v>Eu amo O Código Da Vinci ...</v>
      </c>
      <c r="B5942" s="3">
        <v>1</v>
      </c>
    </row>
    <row r="5943" ht="15.75" customHeight="1" spans="1:2">
      <c r="A5943" s="3" t="str">
        <f>IFERROR(__xludf.DUMMYFUNCTION("GOOGLETRANSLATE(A5943,""en"",""pt"")"),"O Código Da Vinci é incrível ..")</f>
        <v>O Código Da Vinci é incrível ..</v>
      </c>
      <c r="B5943" s="3">
        <v>1</v>
      </c>
    </row>
    <row r="5944" ht="15.75" customHeight="1" spans="1:2">
      <c r="A5944" s="3" t="str">
        <f>IFERROR(__xludf.DUMMYFUNCTION("GOOGLETRANSLATE(A5944,""en"",""pt"")"),"O Código Da Vinci é espectacular !!")</f>
        <v>O Código Da Vinci é espectacular !!</v>
      </c>
      <c r="B5944" s="3">
        <v>1</v>
      </c>
    </row>
    <row r="5945" ht="15.75" customHeight="1" spans="1:2">
      <c r="A5945" s="3" t="str">
        <f>IFERROR(__xludf.DUMMYFUNCTION("GOOGLETRANSLATE(A5945,""en"",""pt"")"),"Luv lubb o Código Da Vinci!")</f>
        <v>Luv lubb o Código Da Vinci!</v>
      </c>
      <c r="B5945" s="3">
        <v>1</v>
      </c>
    </row>
    <row r="5946" ht="15.75" customHeight="1" spans="1:2">
      <c r="A5946" s="3" t="str">
        <f>IFERROR(__xludf.DUMMYFUNCTION("GOOGLETRANSLATE(A5946,""en"",""pt"")"),"as pessoas que valem a pena saber o quanto eu amo o código da vinci.")</f>
        <v>as pessoas que valem a pena saber o quanto eu amo o código da vinci.</v>
      </c>
      <c r="B5946" s="3">
        <v>1</v>
      </c>
    </row>
    <row r="5947" ht="15.75" customHeight="1" spans="1:2">
      <c r="A5947" s="3" t="str">
        <f>IFERROR(__xludf.DUMMYFUNCTION("GOOGLETRANSLATE(A5947,""en"",""pt"")"),"Eu queria desesperadamente love'The Código Da Vinci como um filme.")</f>
        <v>Eu queria desesperadamente love'The Código Da Vinci como um filme.</v>
      </c>
      <c r="B5947" s="3">
        <v>1</v>
      </c>
    </row>
    <row r="5948" ht="15.75" customHeight="1" spans="1:2">
      <c r="A5948" s="3" t="str">
        <f>IFERROR(__xludf.DUMMYFUNCTION("GOOGLETRANSLATE(A5948,""en"",""pt"")"),"O Código Da Vinci foi incrível, eu não posso esperar para lê-lo ...")</f>
        <v>O Código Da Vinci foi incrível, eu não posso esperar para lê-lo ...</v>
      </c>
      <c r="B5948" s="3">
        <v>1</v>
      </c>
    </row>
    <row r="5949" ht="15.75" customHeight="1" spans="1:2">
      <c r="A5949" s="3" t="str">
        <f>IFERROR(__xludf.DUMMYFUNCTION("GOOGLETRANSLATE(A5949,""en"",""pt"")"),"O Código Da Vinci foi absolutamente incrível!")</f>
        <v>O Código Da Vinci foi absolutamente incrível!</v>
      </c>
      <c r="B5949" s="3">
        <v>1</v>
      </c>
    </row>
    <row r="5950" ht="15.75" customHeight="1" spans="1:2">
      <c r="A5950" s="3" t="str">
        <f>IFERROR(__xludf.DUMMYFUNCTION("GOOGLETRANSLATE(A5950,""en"",""pt"")"),"Código Da Vinci era um filme impressionante ...")</f>
        <v>Código Da Vinci era um filme impressionante ...</v>
      </c>
      <c r="B5950" s="3">
        <v>1</v>
      </c>
    </row>
    <row r="5951" ht="15.75" customHeight="1" spans="1:2">
      <c r="A5951" s="3" t="str">
        <f>IFERROR(__xludf.DUMMYFUNCTION("GOOGLETRANSLATE(A5951,""en"",""pt"")"),"CÓDIGO DA VINCI É IMPRESSIONANTE !!")</f>
        <v>CÓDIGO DA VINCI É IMPRESSIONANTE !!</v>
      </c>
      <c r="B5951" s="3">
        <v>1</v>
      </c>
    </row>
    <row r="5952" ht="15.75" customHeight="1" spans="1:2">
      <c r="A5952" s="3" t="str">
        <f>IFERROR(__xludf.DUMMYFUNCTION("GOOGLETRANSLATE(A5952,""en"",""pt"")"),"Eu amo O Código Da Vinci ...")</f>
        <v>Eu amo O Código Da Vinci ...</v>
      </c>
      <c r="B5952" s="3">
        <v>1</v>
      </c>
    </row>
    <row r="5953" ht="15.75" customHeight="1" spans="1:2">
      <c r="A5953" s="3" t="str">
        <f>IFERROR(__xludf.DUMMYFUNCTION("GOOGLETRANSLATE(A5953,""en"",""pt"")"),"O Código Da Vinci é incrível ..")</f>
        <v>O Código Da Vinci é incrível ..</v>
      </c>
      <c r="B5953" s="3">
        <v>1</v>
      </c>
    </row>
    <row r="5954" ht="15.75" customHeight="1" spans="1:2">
      <c r="A5954" s="3" t="str">
        <f>IFERROR(__xludf.DUMMYFUNCTION("GOOGLETRANSLATE(A5954,""en"",""pt"")"),"O Código Da Vinci é espectacular !!")</f>
        <v>O Código Da Vinci é espectacular !!</v>
      </c>
      <c r="B5954" s="3">
        <v>1</v>
      </c>
    </row>
    <row r="5955" ht="15.75" customHeight="1" spans="1:2">
      <c r="A5955" s="3" t="str">
        <f>IFERROR(__xludf.DUMMYFUNCTION("GOOGLETRANSLATE(A5955,""en"",""pt"")"),"Luv lubb o Código Da Vinci!")</f>
        <v>Luv lubb o Código Da Vinci!</v>
      </c>
      <c r="B5955" s="3">
        <v>1</v>
      </c>
    </row>
    <row r="5956" ht="15.75" customHeight="1" spans="1:2">
      <c r="A5956" s="3" t="str">
        <f>IFERROR(__xludf.DUMMYFUNCTION("GOOGLETRANSLATE(A5956,""en"",""pt"")"),"as pessoas que valem a pena saber o quanto eu amo o código da vinci.")</f>
        <v>as pessoas que valem a pena saber o quanto eu amo o código da vinci.</v>
      </c>
      <c r="B5956" s="3">
        <v>1</v>
      </c>
    </row>
    <row r="5957" ht="15.75" customHeight="1" spans="1:2">
      <c r="A5957" s="3" t="str">
        <f>IFERROR(__xludf.DUMMYFUNCTION("GOOGLETRANSLATE(A5957,""en"",""pt"")"),"Eu queria desesperadamente love'The Código Da Vinci como um filme.")</f>
        <v>Eu queria desesperadamente love'The Código Da Vinci como um filme.</v>
      </c>
      <c r="B5957" s="3">
        <v>1</v>
      </c>
    </row>
    <row r="5958" ht="15.75" customHeight="1" spans="1:2">
      <c r="A5958" s="3" t="str">
        <f>IFERROR(__xludf.DUMMYFUNCTION("GOOGLETRANSLATE(A5958,""en"",""pt"")"),"O Código Da Vinci foi incrível, eu não posso esperar para lê-lo ...")</f>
        <v>O Código Da Vinci foi incrível, eu não posso esperar para lê-lo ...</v>
      </c>
      <c r="B5958" s="3">
        <v>1</v>
      </c>
    </row>
    <row r="5959" ht="15.75" customHeight="1" spans="1:2">
      <c r="A5959" s="3" t="str">
        <f>IFERROR(__xludf.DUMMYFUNCTION("GOOGLETRANSLATE(A5959,""en"",""pt"")"),"O Código Da Vinci foi absolutamente incrível!")</f>
        <v>O Código Da Vinci foi absolutamente incrível!</v>
      </c>
      <c r="B5959" s="3">
        <v>1</v>
      </c>
    </row>
    <row r="5960" ht="15.75" customHeight="1" spans="1:2">
      <c r="A5960" s="3" t="str">
        <f>IFERROR(__xludf.DUMMYFUNCTION("GOOGLETRANSLATE(A5960,""en"",""pt"")"),"Código Da Vinci era um filme impressionante ...")</f>
        <v>Código Da Vinci era um filme impressionante ...</v>
      </c>
      <c r="B5960" s="3">
        <v>1</v>
      </c>
    </row>
    <row r="5961" ht="15.75" customHeight="1" spans="1:2">
      <c r="A5961" s="3" t="str">
        <f>IFERROR(__xludf.DUMMYFUNCTION("GOOGLETRANSLATE(A5961,""en"",""pt"")"),"CÓDIGO DA VINCI É IMPRESSIONANTE !!")</f>
        <v>CÓDIGO DA VINCI É IMPRESSIONANTE !!</v>
      </c>
      <c r="B5961" s="3">
        <v>1</v>
      </c>
    </row>
    <row r="5962" ht="15.75" customHeight="1" spans="1:2">
      <c r="A5962" s="3" t="str">
        <f>IFERROR(__xludf.DUMMYFUNCTION("GOOGLETRANSLATE(A5962,""en"",""pt"")"),"Eu amo O Código Da Vinci ...")</f>
        <v>Eu amo O Código Da Vinci ...</v>
      </c>
      <c r="B5962" s="3">
        <v>1</v>
      </c>
    </row>
    <row r="5963" ht="15.75" customHeight="1" spans="1:2">
      <c r="A5963" s="3" t="str">
        <f>IFERROR(__xludf.DUMMYFUNCTION("GOOGLETRANSLATE(A5963,""en"",""pt"")"),"O Código Da Vinci é incrível ..")</f>
        <v>O Código Da Vinci é incrível ..</v>
      </c>
      <c r="B5963" s="3">
        <v>1</v>
      </c>
    </row>
    <row r="5964" ht="15.75" customHeight="1" spans="1:2">
      <c r="A5964" s="3" t="str">
        <f>IFERROR(__xludf.DUMMYFUNCTION("GOOGLETRANSLATE(A5964,""en"",""pt"")"),"O Código Da Vinci é espectacular !!")</f>
        <v>O Código Da Vinci é espectacular !!</v>
      </c>
      <c r="B5964" s="3">
        <v>1</v>
      </c>
    </row>
    <row r="5965" ht="15.75" customHeight="1" spans="1:2">
      <c r="A5965" s="3" t="str">
        <f>IFERROR(__xludf.DUMMYFUNCTION("GOOGLETRANSLATE(A5965,""en"",""pt"")"),"Luv lubb o Código Da Vinci!")</f>
        <v>Luv lubb o Código Da Vinci!</v>
      </c>
      <c r="B5965" s="3">
        <v>1</v>
      </c>
    </row>
    <row r="5966" ht="15.75" customHeight="1" spans="1:2">
      <c r="A5966" s="3" t="str">
        <f>IFERROR(__xludf.DUMMYFUNCTION("GOOGLETRANSLATE(A5966,""en"",""pt"")"),"Sexta-feira eu fiquei em e assisti Missão Impossível 3, que é incrível pelo caminho.")</f>
        <v>Sexta-feira eu fiquei em e assisti Missão Impossível 3, que é incrível pelo caminho.</v>
      </c>
      <c r="B5966" s="3">
        <v>1</v>
      </c>
    </row>
    <row r="5967" ht="15.75" customHeight="1" spans="1:2">
      <c r="A5967" s="3" t="str">
        <f>IFERROR(__xludf.DUMMYFUNCTION("GOOGLETRANSLATE(A5967,""en"",""pt"")"),"EU AMEI Missão Impossível 3 ..")</f>
        <v>EU AMEI Missão Impossível 3 ..</v>
      </c>
      <c r="B5967" s="3">
        <v>1</v>
      </c>
    </row>
    <row r="5968" ht="15.75" customHeight="1" spans="1:2">
      <c r="A5968" s="3" t="str">
        <f>IFERROR(__xludf.DUMMYFUNCTION("GOOGLETRANSLATE(A5968,""en"",""pt"")"),"Missão Impossível 3 é excitante ,.")</f>
        <v>Missão Impossível 3 é excitante ,.</v>
      </c>
      <c r="B5968" s="3">
        <v>1</v>
      </c>
    </row>
    <row r="5969" ht="15.75" customHeight="1" spans="1:2">
      <c r="A5969" s="3" t="str">
        <f>IFERROR(__xludf.DUMMYFUNCTION("GOOGLETRANSLATE(A5969,""en"",""pt"")"),"Ok, é hora de atualizar wow não tiver atualizado para um ok muito tempo então sim assistiu por cima da cerca e Missão Impossível 3 impressionantes filmes hammy rochas ..")</f>
        <v>Ok, é hora de atualizar wow não tiver atualizado para um ok muito tempo então sim assistiu por cima da cerca e Missão Impossível 3 impressionantes filmes hammy rochas ..</v>
      </c>
      <c r="B5969" s="3">
        <v>1</v>
      </c>
    </row>
    <row r="5970" ht="15.75" customHeight="1" spans="1:2">
      <c r="A5970" s="3" t="str">
        <f>IFERROR(__xludf.DUMMYFUNCTION("GOOGLETRANSLATE(A5970,""en"",""pt"")"),"Missão Impossível 3 é impressionante.")</f>
        <v>Missão Impossível 3 é impressionante.</v>
      </c>
      <c r="B5970" s="3">
        <v>1</v>
      </c>
    </row>
    <row r="5971" ht="15.75" customHeight="1" spans="1:2">
      <c r="A5971" s="3" t="str">
        <f>IFERROR(__xludf.DUMMYFUNCTION("GOOGLETRANSLATE(A5971,""en"",""pt"")"),"O primeiro tema de ação para ser jogado como os fogos de artifício explodiu foi o â € Missão ~ â € ™ Impossível tema que foi um bom acompanhamento para os assobios, franja e colorida iluminou o céu.")</f>
        <v>O primeiro tema de ação para ser jogado como os fogos de artifício explodiu foi o â € Missão ~ â € ™ Impossível tema que foi um bom acompanhamento para os assobios, franja e colorida iluminou o céu.</v>
      </c>
      <c r="B5971" s="3">
        <v>1</v>
      </c>
    </row>
    <row r="5972" ht="15.75" customHeight="1" spans="1:2">
      <c r="A5972" s="3" t="str">
        <f>IFERROR(__xludf.DUMMYFUNCTION("GOOGLETRANSLATE(A5972,""en"",""pt"")"),"O primeiro tema de ação para ser jogado como os fogos de artifício explodiu foi o â € Missão ~ â € ™ Impossível tema que foi um bom acompanhamento para os assobios, franja e colorida iluminou o céu.")</f>
        <v>O primeiro tema de ação para ser jogado como os fogos de artifício explodiu foi o â € Missão ~ â € ™ Impossível tema que foi um bom acompanhamento para os assobios, franja e colorida iluminou o céu.</v>
      </c>
      <c r="B5972" s="3">
        <v>1</v>
      </c>
    </row>
    <row r="5973" ht="15.75" customHeight="1" spans="1:2">
      <c r="A5973" s="3" t="str">
        <f>IFERROR(__xludf.DUMMYFUNCTION("GOOGLETRANSLATE(A5973,""en"",""pt"")"),"Missão Impossível era um bom filme de espionagem imprevisível, se você gosta desse tipo de coisa.")</f>
        <v>Missão Impossível era um bom filme de espionagem imprevisível, se você gosta desse tipo de coisa.</v>
      </c>
      <c r="B5973" s="3">
        <v>1</v>
      </c>
    </row>
    <row r="5974" ht="15.75" customHeight="1" spans="1:2">
      <c r="A5974" s="3" t="str">
        <f>IFERROR(__xludf.DUMMYFUNCTION("GOOGLETRANSLATE(A5974,""en"",""pt"")"),"Eu amei este cenário impossível missão.")</f>
        <v>Eu amei este cenário impossível missão.</v>
      </c>
      <c r="B5974" s="3">
        <v>1</v>
      </c>
    </row>
    <row r="5975" ht="15.75" customHeight="1" spans="1:2">
      <c r="A5975" s="3" t="str">
        <f>IFERROR(__xludf.DUMMYFUNCTION("GOOGLETRANSLATE(A5975,""en"",""pt"")"),"Missão Impossível 3 é surpreendentemente bom, livre de gordura, e muito vale uma renda.")</f>
        <v>Missão Impossível 3 é surpreendentemente bom, livre de gordura, e muito vale uma renda.</v>
      </c>
      <c r="B5975" s="3">
        <v>1</v>
      </c>
    </row>
    <row r="5976" ht="15.75" customHeight="1" spans="1:2">
      <c r="A5976" s="3" t="str">
        <f>IFERROR(__xludf.DUMMYFUNCTION("GOOGLETRANSLATE(A5976,""en"",""pt"")"),"E eu amo a maneira como nosso três gerações Mission Impossible equipe pode se infiltrar esses eventos de meia hora antes de as portas oficialmente abertos ...")</f>
        <v>E eu amo a maneira como nosso três gerações Mission Impossible equipe pode se infiltrar esses eventos de meia hora antes de as portas oficialmente abertos ...</v>
      </c>
      <c r="B5976" s="3">
        <v>1</v>
      </c>
    </row>
    <row r="5977" ht="15.75" customHeight="1" spans="1:2">
      <c r="A5977" s="3" t="str">
        <f>IFERROR(__xludf.DUMMYFUNCTION("GOOGLETRANSLATE(A5977,""en"",""pt"")"),"MISSÃO IMPOSSÍVEL foi INCRÍVEIS !!!!!")</f>
        <v>MISSÃO IMPOSSÍVEL foi INCRÍVEIS !!!!!</v>
      </c>
      <c r="B5977" s="3">
        <v>1</v>
      </c>
    </row>
    <row r="5978" ht="15.75" customHeight="1" spans="1:2">
      <c r="A5978" s="3" t="str">
        <f>IFERROR(__xludf.DUMMYFUNCTION("GOOGLETRANSLATE(A5978,""en"",""pt"")"),"Finalmente sentir-se em tornar a unidade rabo longo para o Haunt esta noite ...- e Missão Impossível III foi boa ....")</f>
        <v>Finalmente sentir-se em tornar a unidade rabo longo para o Haunt esta noite ...- e Missão Impossível III foi boa ....</v>
      </c>
      <c r="B5978" s="3">
        <v>1</v>
      </c>
    </row>
    <row r="5979" ht="15.75" customHeight="1" spans="1:2">
      <c r="A5979" s="3" t="str">
        <f>IFERROR(__xludf.DUMMYFUNCTION("GOOGLETRANSLATE(A5979,""en"",""pt"")"),"Finalmente sentir-se em tornar a unidade rabo longo para o Haunt esta noite ...- e Missão Impossível III foi boa ....")</f>
        <v>Finalmente sentir-se em tornar a unidade rabo longo para o Haunt esta noite ...- e Missão Impossível III foi boa ....</v>
      </c>
      <c r="B5979" s="3">
        <v>1</v>
      </c>
    </row>
    <row r="5980" ht="15.75" customHeight="1" spans="1:2">
      <c r="A5980" s="3" t="str">
        <f>IFERROR(__xludf.DUMMYFUNCTION("GOOGLETRANSLATE(A5980,""en"",""pt"")"),"Missão Impossível vai ser tão incrível este ano!")</f>
        <v>Missão Impossível vai ser tão incrível este ano!</v>
      </c>
      <c r="B5980" s="3">
        <v>1</v>
      </c>
    </row>
    <row r="5981" ht="15.75" customHeight="1" spans="1:2">
      <c r="A5981" s="3" t="str">
        <f>IFERROR(__xludf.DUMMYFUNCTION("GOOGLETRANSLATE(A5981,""en"",""pt"")"),"eu amo a sua jogada impossível missão.")</f>
        <v>eu amo a sua jogada impossível missão.</v>
      </c>
      <c r="B5981" s="3">
        <v>1</v>
      </c>
    </row>
    <row r="5982" ht="15.75" customHeight="1" spans="1:2">
      <c r="A5982" s="3" t="str">
        <f>IFERROR(__xludf.DUMMYFUNCTION("GOOGLETRANSLATE(A5982,""en"",""pt"")"),"inferno sim eu amo a coisa impossível missão.")</f>
        <v>inferno sim eu amo a coisa impossível missão.</v>
      </c>
      <c r="B5982" s="3">
        <v>1</v>
      </c>
    </row>
    <row r="5983" ht="15.75" customHeight="1" spans="1:2">
      <c r="A5983" s="3" t="str">
        <f>IFERROR(__xludf.DUMMYFUNCTION("GOOGLETRANSLATE(A5983,""en"",""pt"")"),"i perca missão impossível.")</f>
        <v>i perca missão impossível.</v>
      </c>
      <c r="B5983" s="3">
        <v>1</v>
      </c>
    </row>
    <row r="5984" ht="15.75" customHeight="1" spans="1:2">
      <c r="A5984" s="3" t="str">
        <f>IFERROR(__xludf.DUMMYFUNCTION("GOOGLETRANSLATE(A5984,""en"",""pt"")"),"Eu tenho que dizer o ""Missão Impossível"" coisa foi INCRÍVEL!")</f>
        <v>Eu tenho que dizer o "Missão Impossível" coisa foi INCRÍVEL!</v>
      </c>
      <c r="B5984" s="3">
        <v>1</v>
      </c>
    </row>
    <row r="5985" ht="15.75" customHeight="1" spans="1:2">
      <c r="A5985" s="3" t="str">
        <f>IFERROR(__xludf.DUMMYFUNCTION("GOOGLETRANSLATE(A5985,""en"",""pt"")"),"MISSÃO IMPOSSÍVEL ERA SO impressionante mau !!!!!!!!!!!")</f>
        <v>MISSÃO IMPOSSÍVEL ERA SO impressionante mau !!!!!!!!!!!</v>
      </c>
      <c r="B5985" s="3">
        <v>1</v>
      </c>
    </row>
    <row r="5986" ht="15.75" customHeight="1" spans="1:2">
      <c r="A5986" s="3" t="str">
        <f>IFERROR(__xludf.DUMMYFUNCTION("GOOGLETRANSLATE(A5986,""en"",""pt"")"),"Eu ainda amo MISSÃO IMPOSSÍVEL mesmo que me fez cair e se 10,9 em ""aula de ginástica"" (")</f>
        <v>Eu ainda amo MISSÃO IMPOSSÍVEL mesmo que me fez cair e se 10,9 em "aula de ginástica" (</v>
      </c>
      <c r="B5986" s="3">
        <v>1</v>
      </c>
    </row>
    <row r="5987" ht="15.75" customHeight="1" spans="1:2">
      <c r="A5987" s="3" t="str">
        <f>IFERROR(__xludf.DUMMYFUNCTION("GOOGLETRANSLATE(A5987,""en"",""pt"")"),"Mission Impossible é um filme impressionante, vê-lo ...")</f>
        <v>Mission Impossible é um filme impressionante, vê-lo ...</v>
      </c>
      <c r="B5987" s="3">
        <v>1</v>
      </c>
    </row>
    <row r="5988" ht="15.75" customHeight="1" spans="1:2">
      <c r="A5988" s="3" t="str">
        <f>IFERROR(__xludf.DUMMYFUNCTION("GOOGLETRANSLATE(A5988,""en"",""pt"")"),"By the way, Mission Impossible é um filme impressionante se você está procurando um filme de suspense que é ação ALL e pequena história ...")</f>
        <v>By the way, Mission Impossible é um filme impressionante se você está procurando um filme de suspense que é ação ALL e pequena história ...</v>
      </c>
      <c r="B5988" s="3">
        <v>1</v>
      </c>
    </row>
    <row r="5989" ht="15.75" customHeight="1" spans="1:2">
      <c r="A5989" s="3" t="str">
        <f>IFERROR(__xludf.DUMMYFUNCTION("GOOGLETRANSLATE(A5989,""en"",""pt"")"),"i missão amor impossível, é como o único filme de ação que eu gosto, além de Tom Cruise está nele.")</f>
        <v>i missão amor impossível, é como o único filme de ação que eu gosto, além de Tom Cruise está nele.</v>
      </c>
      <c r="B5989" s="3">
        <v>1</v>
      </c>
    </row>
    <row r="5990" ht="15.75" customHeight="1" spans="1:2">
      <c r="A5990" s="3" t="str">
        <f>IFERROR(__xludf.DUMMYFUNCTION("GOOGLETRANSLATE(A5990,""en"",""pt"")"),"Porque eu porra amor Missão Impossível.")</f>
        <v>Porque eu porra amor Missão Impossível.</v>
      </c>
      <c r="B5990" s="3">
        <v>1</v>
      </c>
    </row>
    <row r="5991" ht="15.75" customHeight="1" spans="1:2">
      <c r="A5991" s="3" t="str">
        <f>IFERROR(__xludf.DUMMYFUNCTION("GOOGLETRANSLATE(A5991,""en"",""pt"")"),"Todos os reboques de Missão Impossível eram filmes muito impressionante que eu vou pegar eu tenho certeza que desde que eu não tenho nada melhor para fazer desde que eu vou estar em Clarksville maior parte do verão.")</f>
        <v>Todos os reboques de Missão Impossível eram filmes muito impressionante que eu vou pegar eu tenho certeza que desde que eu não tenho nada melhor para fazer desde que eu vou estar em Clarksville maior parte do verão.</v>
      </c>
      <c r="B5991" s="3">
        <v>1</v>
      </c>
    </row>
    <row r="5992" ht="15.75" customHeight="1" spans="1:2">
      <c r="A5992" s="3" t="str">
        <f>IFERROR(__xludf.DUMMYFUNCTION("GOOGLETRANSLATE(A5992,""en"",""pt"")"),"Missão Impossível foi incrível.")</f>
        <v>Missão Impossível foi incrível.</v>
      </c>
      <c r="B5992" s="3">
        <v>1</v>
      </c>
    </row>
    <row r="5993" ht="15.75" customHeight="1" spans="1:2">
      <c r="A5993" s="3" t="str">
        <f>IFERROR(__xludf.DUMMYFUNCTION("GOOGLETRANSLATE(A5993,""en"",""pt"")"),"i missão amor impossível !!!!!!!!!!! ..")</f>
        <v>i missão amor impossível !!!!!!!!!!! ..</v>
      </c>
      <c r="B5993" s="3">
        <v>1</v>
      </c>
    </row>
    <row r="5994" ht="15.75" customHeight="1" spans="1:2">
      <c r="A5994" s="3" t="str">
        <f>IFERROR(__xludf.DUMMYFUNCTION("GOOGLETRANSLATE(A5994,""en"",""pt"")"),"Mesmo que eu não sou um grande fã de Tom Cruise, eu tenho crescido ao amor Mission mesmo impossível de suas séries Teevee !.")</f>
        <v>Mesmo que eu não sou um grande fã de Tom Cruise, eu tenho crescido ao amor Mission mesmo impossível de suas séries Teevee !.</v>
      </c>
      <c r="B5994" s="3">
        <v>1</v>
      </c>
    </row>
    <row r="5995" ht="15.75" customHeight="1" spans="1:2">
      <c r="A5995" s="3" t="str">
        <f>IFERROR(__xludf.DUMMYFUNCTION("GOOGLETRANSLATE(A5995,""en"",""pt"")"),"missão impossível foi incrível!")</f>
        <v>missão impossível foi incrível!</v>
      </c>
      <c r="B5995" s="3">
        <v>1</v>
      </c>
    </row>
    <row r="5996" ht="15.75" customHeight="1" spans="1:2">
      <c r="A5996" s="3" t="str">
        <f>IFERROR(__xludf.DUMMYFUNCTION("GOOGLETRANSLATE(A5996,""en"",""pt"")"),"Missão Impossível era um filme de ação muito legal.")</f>
        <v>Missão Impossível era um filme de ação muito legal.</v>
      </c>
      <c r="B5996" s="3">
        <v>1</v>
      </c>
    </row>
    <row r="5997" ht="15.75" customHeight="1" spans="1:2">
      <c r="A5997" s="3" t="str">
        <f>IFERROR(__xludf.DUMMYFUNCTION("GOOGLETRANSLATE(A5997,""en"",""pt"")"),"Eu não posso esperar até sábado porque eu amo Missão Impossível !!!!")</f>
        <v>Eu não posso esperar até sábado porque eu amo Missão Impossível !!!!</v>
      </c>
      <c r="B5997" s="3">
        <v>1</v>
      </c>
    </row>
    <row r="5998" ht="15.75" customHeight="1" spans="1:2">
      <c r="A5998" s="3" t="str">
        <f>IFERROR(__xludf.DUMMYFUNCTION("GOOGLETRANSLATE(A5998,""en"",""pt"")"),"então eu fiz uma jogada incrível Missão Impossível [eek tom] fora das rochas e que estava indo bem até que caiu e rolou.")</f>
        <v>então eu fiz uma jogada incrível Missão Impossível [eek tom] fora das rochas e que estava indo bem até que caiu e rolou.</v>
      </c>
      <c r="B5998" s="3">
        <v>1</v>
      </c>
    </row>
    <row r="5999" ht="15.75" customHeight="1" spans="1:2">
      <c r="A5999" s="3" t="str">
        <f>IFERROR(__xludf.DUMMYFUNCTION("GOOGLETRANSLATE(A5999,""en"",""pt"")"),"Eu amo a Fallon / missão pai impossível nos deixou convo ...")</f>
        <v>Eu amo a Fallon / missão pai impossível nos deixou convo ...</v>
      </c>
      <c r="B5999" s="3">
        <v>1</v>
      </c>
    </row>
    <row r="6000" ht="15.75" customHeight="1" spans="1:2">
      <c r="A6000" s="3" t="str">
        <f>IFERROR(__xludf.DUMMYFUNCTION("GOOGLETRANSLATE(A6000,""en"",""pt"")"),"A primeira Missão Impossível foi incrível, e este parece muito bom, também ..")</f>
        <v>A primeira Missão Impossível foi incrível, e este parece muito bom, também ..</v>
      </c>
      <c r="B6000" s="3">
        <v>1</v>
      </c>
    </row>
    <row r="6001" ht="15.75" customHeight="1" spans="1:2">
      <c r="A6001" s="3" t="str">
        <f>IFERROR(__xludf.DUMMYFUNCTION("GOOGLETRANSLATE(A6001,""en"",""pt"")"),"missão impossível 3 era um filme impressionante.")</f>
        <v>missão impossível 3 era um filme impressionante.</v>
      </c>
      <c r="B6001" s="3">
        <v>1</v>
      </c>
    </row>
    <row r="6002" ht="15.75" customHeight="1" spans="1:2">
      <c r="A6002" s="3" t="str">
        <f>IFERROR(__xludf.DUMMYFUNCTION("GOOGLETRANSLATE(A6002,""en"",""pt"")"),"EU AMO A missão TEMA IMPOSSÍVEL !!")</f>
        <v>EU AMO A missão TEMA IMPOSSÍVEL !!</v>
      </c>
      <c r="B6002" s="3">
        <v>1</v>
      </c>
    </row>
    <row r="6003" ht="15.75" customHeight="1" spans="1:2">
      <c r="A6003" s="3" t="str">
        <f>IFERROR(__xludf.DUMMYFUNCTION("GOOGLETRANSLATE(A6003,""en"",""pt"")"),"Totalmente impressionante Missão Impossível 3:")</f>
        <v>Totalmente impressionante Missão Impossível 3:</v>
      </c>
      <c r="B6003" s="3">
        <v>1</v>
      </c>
    </row>
    <row r="6004" ht="15.75" customHeight="1" spans="1:2">
      <c r="A6004" s="3" t="str">
        <f>IFERROR(__xludf.DUMMYFUNCTION("GOOGLETRANSLATE(A6004,""en"",""pt"")"),"assim missão impossível foi incrível Meu pai foi o orador e ele fez um trabalho exelent comecei a trabalhar com bilhete de dez no jogo Jamie tem 2 ela tinha 8 e meu bro lil empatado em 3 com 7.")</f>
        <v>assim missão impossível foi incrível Meu pai foi o orador e ele fez um trabalho exelent comecei a trabalhar com bilhete de dez no jogo Jamie tem 2 ela tinha 8 e meu bro lil empatado em 3 com 7.</v>
      </c>
      <c r="B6004" s="3">
        <v>1</v>
      </c>
    </row>
    <row r="6005" ht="15.75" customHeight="1" spans="1:2">
      <c r="A6005" s="3" t="str">
        <f>IFERROR(__xludf.DUMMYFUNCTION("GOOGLETRANSLATE(A6005,""en"",""pt"")"),"Missão Impossível Três foi incrível!")</f>
        <v>Missão Impossível Três foi incrível!</v>
      </c>
      <c r="B6005" s="3">
        <v>1</v>
      </c>
    </row>
    <row r="6006" ht="15.75" customHeight="1" spans="1:2">
      <c r="A6006" s="3" t="str">
        <f>IFERROR(__xludf.DUMMYFUNCTION("GOOGLETRANSLATE(A6006,""en"",""pt"")"),"Sexta-feira Tom e eu fui ao shopping e fez algumas compras, em seguida, vimos Missão Impossível 3, que é um filme impressionante!")</f>
        <v>Sexta-feira Tom e eu fui ao shopping e fez algumas compras, em seguida, vimos Missão Impossível 3, que é um filme impressionante!</v>
      </c>
      <c r="B6006" s="3">
        <v>1</v>
      </c>
    </row>
    <row r="6007" ht="15.75" customHeight="1" spans="1:2">
      <c r="A6007" s="3" t="str">
        <f>IFERROR(__xludf.DUMMYFUNCTION("GOOGLETRANSLATE(A6007,""en"",""pt"")"),"Eu amo os filmes Missão Impossível, mas esse cara é realmente wacked.")</f>
        <v>Eu amo os filmes Missão Impossível, mas esse cara é realmente wacked.</v>
      </c>
      <c r="B6007" s="3">
        <v>1</v>
      </c>
    </row>
    <row r="6008" ht="15.75" customHeight="1" spans="1:2">
      <c r="A6008" s="3" t="str">
        <f>IFERROR(__xludf.DUMMYFUNCTION("GOOGLETRANSLATE(A6008,""en"",""pt"")"),"No entanto, eu amo Top Gun e Missão Impossível ...")</f>
        <v>No entanto, eu amo Top Gun e Missão Impossível ...</v>
      </c>
      <c r="B6008" s="3">
        <v>1</v>
      </c>
    </row>
    <row r="6009" ht="15.75" customHeight="1" spans="1:2">
      <c r="A6009" s="3" t="str">
        <f>IFERROR(__xludf.DUMMYFUNCTION("GOOGLETRANSLATE(A6009,""en"",""pt"")"),"Eu amo os filmes Missão Impossível !!")</f>
        <v>Eu amo os filmes Missão Impossível !!</v>
      </c>
      <c r="B6009" s="3">
        <v>1</v>
      </c>
    </row>
    <row r="6010" ht="15.75" customHeight="1" spans="1:2">
      <c r="A6010" s="3" t="str">
        <f>IFERROR(__xludf.DUMMYFUNCTION("GOOGLETRANSLATE(A6010,""en"",""pt"")"),"-se para outros assuntos, o fato de que eu amo fazer a missão prazo impossível e pressionando códigos de alarme na noite passada apenas para entrar na fortaleza ..")</f>
        <v>-se para outros assuntos, o fato de que eu amo fazer a missão prazo impossível e pressionando códigos de alarme na noite passada apenas para entrar na fortaleza ..</v>
      </c>
      <c r="B6010" s="3">
        <v>1</v>
      </c>
    </row>
    <row r="6011" ht="15.75" customHeight="1" spans="1:2">
      <c r="A6011" s="3" t="str">
        <f>IFERROR(__xludf.DUMMYFUNCTION("GOOGLETRANSLATE(A6011,""en"",""pt"")"),"Eu amei o primeiro Missão Impossível.")</f>
        <v>Eu amei o primeiro Missão Impossível.</v>
      </c>
      <c r="B6011" s="3">
        <v>1</v>
      </c>
    </row>
    <row r="6012" ht="15.75" customHeight="1" spans="1:2">
      <c r="A6012" s="3" t="str">
        <f>IFERROR(__xludf.DUMMYFUNCTION("GOOGLETRANSLATE(A6012,""en"",""pt"")"),"Eu também, gostava de Missão Impossível 3.")</f>
        <v>Eu também, gostava de Missão Impossível 3.</v>
      </c>
      <c r="B6012" s="3">
        <v>1</v>
      </c>
    </row>
    <row r="6013" ht="15.75" customHeight="1" spans="1:2">
      <c r="A6013" s="3" t="str">
        <f>IFERROR(__xludf.DUMMYFUNCTION("GOOGLETRANSLATE(A6013,""en"",""pt"")"),"lol eu amo a coisa impossível missão. (")</f>
        <v>lol eu amo a coisa impossível missão. (</v>
      </c>
      <c r="B6013" s="3">
        <v>1</v>
      </c>
    </row>
    <row r="6014" ht="15.75" customHeight="1" spans="1:2">
      <c r="A6014" s="3" t="str">
        <f>IFERROR(__xludf.DUMMYFUNCTION("GOOGLETRANSLATE(A6014,""en"",""pt"")"),"Gosto de cantar a canção impossível missão quando estou excersizing Isso torna mais divertido.")</f>
        <v>Gosto de cantar a canção impossível missão quando estou excersizing Isso torna mais divertido.</v>
      </c>
      <c r="B6014" s="3">
        <v>1</v>
      </c>
    </row>
    <row r="6015" ht="15.75" customHeight="1" spans="1:2">
      <c r="A6015" s="3" t="str">
        <f>IFERROR(__xludf.DUMMYFUNCTION("GOOGLETRANSLATE(A6015,""en"",""pt"")"),"hey missão impossível 3 foi incrível!")</f>
        <v>hey missão impossível 3 foi incrível!</v>
      </c>
      <c r="B6015" s="3">
        <v>1</v>
      </c>
    </row>
    <row r="6016" ht="15.75" customHeight="1" spans="1:2">
      <c r="A6016" s="3" t="str">
        <f>IFERROR(__xludf.DUMMYFUNCTION("GOOGLETRANSLATE(A6016,""en"",""pt"")"),"Missão Impossível 3 foi incrível ..")</f>
        <v>Missão Impossível 3 foi incrível ..</v>
      </c>
      <c r="B6016" s="3">
        <v>1</v>
      </c>
    </row>
    <row r="6017" ht="15.75" customHeight="1" spans="1:2">
      <c r="A6017" s="3" t="str">
        <f>IFERROR(__xludf.DUMMYFUNCTION("GOOGLETRANSLATE(A6017,""en"",""pt"")"),"Eu adorava ver Missão Impossível:")</f>
        <v>Eu adorava ver Missão Impossível:</v>
      </c>
      <c r="B6017" s="3">
        <v>1</v>
      </c>
    </row>
    <row r="6018" ht="15.75" customHeight="1" spans="1:2">
      <c r="A6018" s="3" t="str">
        <f>IFERROR(__xludf.DUMMYFUNCTION("GOOGLETRANSLATE(A6018,""en"",""pt"")"),"Over the Hedge é tão bonito e, em seguida, missão impossível é incrível.")</f>
        <v>Over the Hedge é tão bonito e, em seguida, missão impossível é incrível.</v>
      </c>
      <c r="B6018" s="3">
        <v>1</v>
      </c>
    </row>
    <row r="6019" ht="15.75" customHeight="1" spans="1:2">
      <c r="A6019" s="3" t="str">
        <f>IFERROR(__xludf.DUMMYFUNCTION("GOOGLETRANSLATE(A6019,""en"",""pt"")"),"Eu amei o mais recente ""Missão Impossível"" e acho que (")</f>
        <v>Eu amei o mais recente "Missão Impossível" e acho que (</v>
      </c>
      <c r="B6019" s="3">
        <v>1</v>
      </c>
    </row>
    <row r="6020" ht="15.75" customHeight="1" spans="1:2">
      <c r="A6020" s="3" t="str">
        <f>IFERROR(__xludf.DUMMYFUNCTION("GOOGLETRANSLATE(A6020,""en"",""pt"")"),"Missão Impossível porrada, Missão Impossível 2 não.")</f>
        <v>Missão Impossível porrada, Missão Impossível 2 não.</v>
      </c>
      <c r="B6020" s="3">
        <v>1</v>
      </c>
    </row>
    <row r="6021" ht="15.75" customHeight="1" spans="1:2">
      <c r="A6021" s="3" t="str">
        <f>IFERROR(__xludf.DUMMYFUNCTION("GOOGLETRANSLATE(A6021,""en"",""pt"")"),"Missão Impossível III foi um filme realmente incrível, período.")</f>
        <v>Missão Impossível III foi um filme realmente incrível, período.</v>
      </c>
      <c r="B6021" s="3">
        <v>1</v>
      </c>
    </row>
    <row r="6022" ht="15.75" customHeight="1" spans="1:2">
      <c r="A6022" s="3" t="str">
        <f>IFERROR(__xludf.DUMMYFUNCTION("GOOGLETRANSLATE(A6022,""en"",""pt"")"),"Missão Impossível 3 era um filme impressionante, a caracterização foi grande, os efeitos foram excelentes.")</f>
        <v>Missão Impossível 3 era um filme impressionante, a caracterização foi grande, os efeitos foram excelentes.</v>
      </c>
      <c r="B6022" s="3">
        <v>1</v>
      </c>
    </row>
    <row r="6023" ht="15.75" customHeight="1" spans="1:2">
      <c r="A6023" s="3" t="str">
        <f>IFERROR(__xludf.DUMMYFUNCTION("GOOGLETRANSLATE(A6023,""en"",""pt"")")," Missão Impossível 3 foi incrível e se você não vê-lo por causa de algum problema que você tem com Tom Cruise, em seguida, parar de fingir como se você realmente gosta moives.")</f>
        <v> Missão Impossível 3 foi incrível e se você não vê-lo por causa de algum problema que você tem com Tom Cruise, em seguida, parar de fingir como se você realmente gosta moives.</v>
      </c>
      <c r="B6023" s="3">
        <v>1</v>
      </c>
    </row>
    <row r="6024" ht="15.75" customHeight="1" spans="1:2">
      <c r="A6024" s="3" t="str">
        <f>IFERROR(__xludf.DUMMYFUNCTION("GOOGLETRANSLATE(A6024,""en"",""pt"")"),"bem missão impossível 3 foi incrível !!!")</f>
        <v>bem missão impossível 3 foi incrível !!!</v>
      </c>
      <c r="B6024" s="3">
        <v>1</v>
      </c>
    </row>
    <row r="6025" ht="15.75" customHeight="1" spans="1:2">
      <c r="A6025" s="3" t="str">
        <f>IFERROR(__xludf.DUMMYFUNCTION("GOOGLETRANSLATE(A6025,""en"",""pt"")"),"Missão Impossível 3 é realmente muito legal, tanto quanto filmes de ação sem sentido ir.")</f>
        <v>Missão Impossível 3 é realmente muito legal, tanto quanto filmes de ação sem sentido ir.</v>
      </c>
      <c r="B6025" s="3">
        <v>1</v>
      </c>
    </row>
    <row r="6026" ht="15.75" customHeight="1" spans="1:2">
      <c r="A6026" s="3" t="str">
        <f>IFERROR(__xludf.DUMMYFUNCTION("GOOGLETRANSLATE(A6026,""en"",""pt"")"),"missão impossível III foi incrível ...")</f>
        <v>missão impossível III foi incrível ...</v>
      </c>
      <c r="B6026" s="3">
        <v>1</v>
      </c>
    </row>
    <row r="6027" ht="15.75" customHeight="1" spans="1:2">
      <c r="A6027" s="3" t="str">
        <f>IFERROR(__xludf.DUMMYFUNCTION("GOOGLETRANSLATE(A6027,""en"",""pt"")"),"missão impossível 3 foi incrível ...")</f>
        <v>missão impossível 3 foi incrível ...</v>
      </c>
      <c r="B6027" s="3">
        <v>1</v>
      </c>
    </row>
    <row r="6028" ht="15.75" customHeight="1" spans="1:2">
      <c r="A6028" s="3" t="str">
        <f>IFERROR(__xludf.DUMMYFUNCTION("GOOGLETRANSLATE(A6028,""en"",""pt"")"),"Depois que eu saí eu fui e vi Missão Impossível 3, que foi incrível.")</f>
        <v>Depois que eu saí eu fui e vi Missão Impossível 3, que foi incrível.</v>
      </c>
      <c r="B6028" s="3">
        <v>1</v>
      </c>
    </row>
    <row r="6029" ht="15.75" customHeight="1" spans="1:2">
      <c r="A6029" s="3" t="str">
        <f>IFERROR(__xludf.DUMMYFUNCTION("GOOGLETRANSLATE(A6029,""en"",""pt"")"),"missão filmes impossíveis são tão incrível ...")</f>
        <v>missão filmes impossíveis são tão incrível ...</v>
      </c>
      <c r="B6029" s="3">
        <v>1</v>
      </c>
    </row>
    <row r="6030" ht="15.75" customHeight="1" spans="1:2">
      <c r="A6030" s="3" t="str">
        <f>IFERROR(__xludf.DUMMYFUNCTION("GOOGLETRANSLATE(A6030,""en"",""pt"")"),"tecnologia geek, música, carros pequenos, sair, etc. Vimos Missão Impossível 3, que estava pirando incrível .:")</f>
        <v>tecnologia geek, música, carros pequenos, sair, etc. Vimos Missão Impossível 3, que estava pirando incrível .:</v>
      </c>
      <c r="B6030" s="3">
        <v>1</v>
      </c>
    </row>
    <row r="6031" ht="15.75" customHeight="1" spans="1:2">
      <c r="A6031" s="3" t="str">
        <f>IFERROR(__xludf.DUMMYFUNCTION("GOOGLETRANSLATE(A6031,""en"",""pt"")"),"Eu amei o primeiro Missão Impossível.")</f>
        <v>Eu amei o primeiro Missão Impossível.</v>
      </c>
      <c r="B6031" s="3">
        <v>1</v>
      </c>
    </row>
    <row r="6032" ht="15.75" customHeight="1" spans="1:2">
      <c r="A6032" s="3" t="str">
        <f>IFERROR(__xludf.DUMMYFUNCTION("GOOGLETRANSLATE(A6032,""en"",""pt"")"),"Missão Impossível 3 foi tão incrível! ..")</f>
        <v>Missão Impossível 3 foi tão incrível! ..</v>
      </c>
      <c r="B6032" s="3">
        <v>1</v>
      </c>
    </row>
    <row r="6033" ht="15.75" customHeight="1" spans="1:2">
      <c r="A6033" s="3" t="str">
        <f>IFERROR(__xludf.DUMMYFUNCTION("GOOGLETRANSLATE(A6033,""en"",""pt"")"),"Eu acabei de voltar de cinema, minha mãe e eu assisti Missão Impossível 3, que era um filme impressionante.")</f>
        <v>Eu acabei de voltar de cinema, minha mãe e eu assisti Missão Impossível 3, que era um filme impressionante.</v>
      </c>
      <c r="B6033" s="3">
        <v>1</v>
      </c>
    </row>
    <row r="6034" ht="15.75" customHeight="1" spans="1:2">
      <c r="A6034" s="3" t="str">
        <f>IFERROR(__xludf.DUMMYFUNCTION("GOOGLETRANSLATE(A6034,""en"",""pt"")"),"assim, conseguimos ingressos para a missão impossível 3, que acabou por ser incrível.")</f>
        <v>assim, conseguimos ingressos para a missão impossível 3, que acabou por ser incrível.</v>
      </c>
      <c r="B6034" s="3">
        <v>1</v>
      </c>
    </row>
    <row r="6035" ht="15.75" customHeight="1" spans="1:2">
      <c r="A6035" s="3" t="str">
        <f>IFERROR(__xludf.DUMMYFUNCTION("GOOGLETRANSLATE(A6035,""en"",""pt"")"),"Eu ainda amava o primeiro Missão Impossível, mas este foi definitivamente melhor do que o segundo.")</f>
        <v>Eu ainda amava o primeiro Missão Impossível, mas este foi definitivamente melhor do que o segundo.</v>
      </c>
      <c r="B6035" s="3">
        <v>1</v>
      </c>
    </row>
    <row r="6036" ht="15.75" customHeight="1" spans="1:2">
      <c r="A6036" s="3" t="str">
        <f>IFERROR(__xludf.DUMMYFUNCTION("GOOGLETRANSLATE(A6036,""en"",""pt"")"),"Missão Impossível III foi incrível.")</f>
        <v>Missão Impossível III foi incrível.</v>
      </c>
      <c r="B6036" s="3">
        <v>1</v>
      </c>
    </row>
    <row r="6037" ht="15.75" customHeight="1" spans="1:2">
      <c r="A6037" s="3" t="str">
        <f>IFERROR(__xludf.DUMMYFUNCTION("GOOGLETRANSLATE(A6037,""en"",""pt"")"),"Missão Impossível 3 foi um filme surpreendentemente incrível.")</f>
        <v>Missão Impossível 3 foi um filme surpreendentemente incrível.</v>
      </c>
      <c r="B6037" s="3">
        <v>1</v>
      </c>
    </row>
    <row r="6038" ht="15.75" customHeight="1" spans="1:2">
      <c r="A6038" s="3" t="str">
        <f>IFERROR(__xludf.DUMMYFUNCTION("GOOGLETRANSLATE(A6038,""en"",""pt"")"),"Missão Impossível 3 foi incrível também concordo.")</f>
        <v>Missão Impossível 3 foi incrível também concordo.</v>
      </c>
      <c r="B6038" s="3">
        <v>1</v>
      </c>
    </row>
    <row r="6039" ht="15.75" customHeight="1" spans="1:2">
      <c r="A6039" s="3" t="str">
        <f>IFERROR(__xludf.DUMMYFUNCTION("GOOGLETRANSLATE(A6039,""en"",""pt"")"),"Saw Missão Impossível 3 foi incrível e eu odeio Tom Cruise porque ele é um idiota, mas ainda era grande.")</f>
        <v>Saw Missão Impossível 3 foi incrível e eu odeio Tom Cruise porque ele é um idiota, mas ainda era grande.</v>
      </c>
      <c r="B6039" s="3">
        <v>1</v>
      </c>
    </row>
    <row r="6040" ht="15.75" customHeight="1" spans="1:2">
      <c r="A6040" s="3" t="str">
        <f>IFERROR(__xludf.DUMMYFUNCTION("GOOGLETRANSLATE(A6040,""en"",""pt"")"),"Missão Impossível, claro, foi incrível como todos sair.")</f>
        <v>Missão Impossível, claro, foi incrível como todos sair.</v>
      </c>
      <c r="B6040" s="3">
        <v>1</v>
      </c>
    </row>
    <row r="6041" ht="15.75" customHeight="1" spans="1:2">
      <c r="A6041" s="3" t="str">
        <f>IFERROR(__xludf.DUMMYFUNCTION("GOOGLETRANSLATE(A6041,""en"",""pt"")"),"Eu já amava MISSÃO IMPOSSÍVEL FILMES :)")</f>
        <v>Eu já amava MISSÃO IMPOSSÍVEL FILMES :)</v>
      </c>
      <c r="B6041" s="3">
        <v>1</v>
      </c>
    </row>
    <row r="6042" ht="15.75" customHeight="1" spans="1:2">
      <c r="A6042" s="3" t="str">
        <f>IFERROR(__xludf.DUMMYFUNCTION("GOOGLETRANSLATE(A6042,""en"",""pt"")"),"i missão amor impossível 1:")</f>
        <v>i missão amor impossível 1:</v>
      </c>
      <c r="B6042" s="3">
        <v>1</v>
      </c>
    </row>
    <row r="6043" ht="15.75" customHeight="1" spans="1:2">
      <c r="A6043" s="3" t="str">
        <f>IFERROR(__xludf.DUMMYFUNCTION("GOOGLETRANSLATE(A6043,""en"",""pt"")"),"Missão Impossível III foi tão incrível! ..")</f>
        <v>Missão Impossível III foi tão incrível! ..</v>
      </c>
      <c r="B6043" s="3">
        <v>1</v>
      </c>
    </row>
    <row r="6044" ht="15.75" customHeight="1" spans="1:2">
      <c r="A6044" s="3" t="str">
        <f>IFERROR(__xludf.DUMMYFUNCTION("GOOGLETRANSLATE(A6044,""en"",""pt"")"),"Missão Impossível 3 parece incrível ...")</f>
        <v>Missão Impossível 3 parece incrível ...</v>
      </c>
      <c r="B6044" s="3">
        <v>1</v>
      </c>
    </row>
    <row r="6045" ht="15.75" customHeight="1" spans="1:2">
      <c r="A6045" s="3" t="str">
        <f>IFERROR(__xludf.DUMMYFUNCTION("GOOGLETRANSLATE(A6045,""en"",""pt"")"),"domingo, antes que fomos e missão serra impossível 3 para que foi incrível.")</f>
        <v>domingo, antes que fomos e missão serra impossível 3 para que foi incrível.</v>
      </c>
      <c r="B6045" s="3">
        <v>1</v>
      </c>
    </row>
    <row r="6046" ht="15.75" customHeight="1" spans="1:2">
      <c r="A6046" s="3" t="str">
        <f>IFERROR(__xludf.DUMMYFUNCTION("GOOGLETRANSLATE(A6046,""en"",""pt"")"),"de qualquer maneira Missão Impossível 3 é incrível também ....")</f>
        <v>de qualquer maneira Missão Impossível 3 é incrível também ....</v>
      </c>
      <c r="B6046" s="3">
        <v>1</v>
      </c>
    </row>
    <row r="6047" ht="15.75" customHeight="1" spans="1:2">
      <c r="A6047" s="3" t="str">
        <f>IFERROR(__xludf.DUMMYFUNCTION("GOOGLETRANSLATE(A6047,""en"",""pt"")"),"e missão impossível 3 foi incrível.")</f>
        <v>e missão impossível 3 foi incrível.</v>
      </c>
      <c r="B6047" s="3">
        <v>1</v>
      </c>
    </row>
    <row r="6048" ht="15.75" customHeight="1" spans="1:2">
      <c r="A6048" s="3" t="str">
        <f>IFERROR(__xludf.DUMMYFUNCTION("GOOGLETRANSLATE(A6048,""en"",""pt"")"),"assim, em vez fomos ver Missão Impossível 3, que estava pirando incrível!")</f>
        <v>assim, em vez fomos ver Missão Impossível 3, que estava pirando incrível!</v>
      </c>
      <c r="B6048" s="3">
        <v>1</v>
      </c>
    </row>
    <row r="6049" ht="15.75" customHeight="1" spans="1:2">
      <c r="A6049" s="3" t="str">
        <f>IFERROR(__xludf.DUMMYFUNCTION("GOOGLETRANSLATE(A6049,""en"",""pt"")"),"Missão Impossível 3 foi bastante impressionante, pelo menos eu pensava assim.")</f>
        <v>Missão Impossível 3 foi bastante impressionante, pelo menos eu pensava assim.</v>
      </c>
      <c r="B6049" s="3">
        <v>1</v>
      </c>
    </row>
    <row r="6050" ht="15.75" customHeight="1" spans="1:2">
      <c r="A6050" s="3" t="str">
        <f>IFERROR(__xludf.DUMMYFUNCTION("GOOGLETRANSLATE(A6050,""en"",""pt"")"),"Foi incrível, eu terminei meus testes, e Afterschool eu relaxei por um tempo, e então eu comi no Margaritas w / Emily, e depois fomos para assistir Missão Impossível III, que foi incrível!")</f>
        <v>Foi incrível, eu terminei meus testes, e Afterschool eu relaxei por um tempo, e então eu comi no Margaritas w / Emily, e depois fomos para assistir Missão Impossível III, que foi incrível!</v>
      </c>
      <c r="B6050" s="3">
        <v>1</v>
      </c>
    </row>
    <row r="6051" ht="15.75" customHeight="1" spans="1:2">
      <c r="A6051" s="3" t="str">
        <f>IFERROR(__xludf.DUMMYFUNCTION("GOOGLETRANSLATE(A6051,""en"",""pt"")"),"Missão Impossível 3 foi incrível ...")</f>
        <v>Missão Impossível 3 foi incrível ...</v>
      </c>
      <c r="B6051" s="3">
        <v>1</v>
      </c>
    </row>
    <row r="6052" ht="15.75" customHeight="1" spans="1:2">
      <c r="A6052" s="3" t="str">
        <f>IFERROR(__xludf.DUMMYFUNCTION("GOOGLETRANSLATE(A6052,""en"",""pt"")"),"Missão Impossível 3 é espectacular !!.")</f>
        <v>Missão Impossível 3 é espectacular !!.</v>
      </c>
      <c r="B6052" s="3">
        <v>1</v>
      </c>
    </row>
    <row r="6053" ht="15.75" customHeight="1" spans="1:2">
      <c r="A6053" s="3" t="str">
        <f>IFERROR(__xludf.DUMMYFUNCTION("GOOGLETRANSLATE(A6053,""en"",""pt"")"),"eu amo o tema de Missão Impossível!")</f>
        <v>eu amo o tema de Missão Impossível!</v>
      </c>
      <c r="B6053" s="3">
        <v>1</v>
      </c>
    </row>
    <row r="6054" ht="15.75" customHeight="1" spans="1:2">
      <c r="A6054" s="3" t="str">
        <f>IFERROR(__xludf.DUMMYFUNCTION("GOOGLETRANSLATE(A6054,""en"",""pt"")"),"e tanto quanto eu quero desprezar Tom e sua cruzada cientologia, eu ainda amo missão impossível filmes ...")</f>
        <v>e tanto quanto eu quero desprezar Tom e sua cruzada cientologia, eu ainda amo missão impossível filmes ...</v>
      </c>
      <c r="B6054" s="3">
        <v>1</v>
      </c>
    </row>
    <row r="6055" ht="15.75" customHeight="1" spans="1:2">
      <c r="A6055" s="3" t="str">
        <f>IFERROR(__xludf.DUMMYFUNCTION("GOOGLETRANSLATE(A6055,""en"",""pt"")"),"missão impossível três é incrível btw!) ..")</f>
        <v>missão impossível três é incrível btw!) ..</v>
      </c>
      <c r="B6055" s="3">
        <v>1</v>
      </c>
    </row>
    <row r="6056" ht="15.75" customHeight="1" spans="1:2">
      <c r="A6056" s="3" t="str">
        <f>IFERROR(__xludf.DUMMYFUNCTION("GOOGLETRANSLATE(A6056,""en"",""pt"")"),"missão impossível 3 é um filme impressionante bastante stinkin, se eu me dizê-lo ...- ike ..")</f>
        <v>missão impossível 3 é um filme impressionante bastante stinkin, se eu me dizê-lo ...- ike ..</v>
      </c>
      <c r="B6056" s="3">
        <v>1</v>
      </c>
    </row>
    <row r="6057" ht="15.75" customHeight="1" spans="1:2">
      <c r="A6057" s="3" t="str">
        <f>IFERROR(__xludf.DUMMYFUNCTION("GOOGLETRANSLATE(A6057,""en"",""pt"")"),"missão impossível III é impressionante!")</f>
        <v>missão impossível III é impressionante!</v>
      </c>
      <c r="B6057" s="3">
        <v>1</v>
      </c>
    </row>
    <row r="6058" ht="15.75" customHeight="1" spans="1:2">
      <c r="A6058" s="3" t="str">
        <f>IFERROR(__xludf.DUMMYFUNCTION("GOOGLETRANSLATE(A6058,""en"",""pt"")"),"porque podem lhe perguntar bem, eu amo Missão histórias impossível.")</f>
        <v>porque podem lhe perguntar bem, eu amo Missão histórias impossível.</v>
      </c>
      <c r="B6058" s="3">
        <v>1</v>
      </c>
    </row>
    <row r="6059" ht="15.75" customHeight="1" spans="1:2">
      <c r="A6059" s="3" t="str">
        <f>IFERROR(__xludf.DUMMYFUNCTION("GOOGLETRANSLATE(A6059,""en"",""pt"")"),"missão então Impossível III foi incrível ...")</f>
        <v>missão então Impossível III foi incrível ...</v>
      </c>
      <c r="B6059" s="3">
        <v>1</v>
      </c>
    </row>
    <row r="6060" ht="15.75" customHeight="1" spans="1:2">
      <c r="A6060" s="3" t="str">
        <f>IFERROR(__xludf.DUMMYFUNCTION("GOOGLETRANSLATE(A6060,""en"",""pt"")"),"Então, eu tenho que dizer que a missão impossível de três foi muito foda demais.")</f>
        <v>Então, eu tenho que dizer que a missão impossível de três foi muito foda demais.</v>
      </c>
      <c r="B6060" s="3">
        <v>1</v>
      </c>
    </row>
    <row r="6061" ht="15.75" customHeight="1" spans="1:2">
      <c r="A6061" s="3" t="str">
        <f>IFERROR(__xludf.DUMMYFUNCTION("GOOGLETRANSLATE(A6061,""en"",""pt"")"),"MISSÃO IMPOSSÍVEL 3 foi incrível x) .. &lt;3 ..")</f>
        <v>MISSÃO IMPOSSÍVEL 3 foi incrível x) .. &lt;3 ..</v>
      </c>
      <c r="B6061" s="3">
        <v>1</v>
      </c>
    </row>
    <row r="6062" ht="15.75" customHeight="1" spans="1:2">
      <c r="A6062" s="3" t="str">
        <f>IFERROR(__xludf.DUMMYFUNCTION("GOOGLETRANSLATE(A6062,""en"",""pt"")"),"Missão Impossível III era um filme impressionante !!!")</f>
        <v>Missão Impossível III era um filme impressionante !!!</v>
      </c>
      <c r="B6062" s="3">
        <v>1</v>
      </c>
    </row>
    <row r="6063" ht="15.75" customHeight="1" spans="1:2">
      <c r="A6063" s="3" t="str">
        <f>IFERROR(__xludf.DUMMYFUNCTION("GOOGLETRANSLATE(A6063,""en"",""pt"")"),"Missão Impossível 3 foi INCRÍVEL ...")</f>
        <v>Missão Impossível 3 foi INCRÍVEL ...</v>
      </c>
      <c r="B6063" s="3">
        <v>1</v>
      </c>
    </row>
    <row r="6064" ht="15.75" customHeight="1" spans="1:2">
      <c r="A6064" s="3" t="str">
        <f>IFERROR(__xludf.DUMMYFUNCTION("GOOGLETRANSLATE(A6064,""en"",""pt"")"),"caramba eu amei missão impossível 3 ..")</f>
        <v>caramba eu amei missão impossível 3 ..</v>
      </c>
      <c r="B6064" s="3">
        <v>1</v>
      </c>
    </row>
    <row r="6065" ht="15.75" customHeight="1" spans="1:2">
      <c r="A6065" s="3" t="str">
        <f>IFERROR(__xludf.DUMMYFUNCTION("GOOGLETRANSLATE(A6065,""en"",""pt"")"),"Missão Impossível 3 foi incrível ..")</f>
        <v>Missão Impossível 3 foi incrível ..</v>
      </c>
      <c r="B6065" s="3">
        <v>1</v>
      </c>
    </row>
    <row r="6066" ht="15.75" customHeight="1" spans="1:2">
      <c r="A6066" s="3" t="str">
        <f>IFERROR(__xludf.DUMMYFUNCTION("GOOGLETRANSLATE(A6066,""en"",""pt"")"),"Missão Impossível 3 é incrível !!!!")</f>
        <v>Missão Impossível 3 é incrível !!!!</v>
      </c>
      <c r="B6066" s="3">
        <v>1</v>
      </c>
    </row>
    <row r="6067" ht="15.75" customHeight="1" spans="1:2">
      <c r="A6067" s="3" t="str">
        <f>IFERROR(__xludf.DUMMYFUNCTION("GOOGLETRANSLATE(A6067,""en"",""pt"")"),"FYI-Missão Impossível 3 é incrível ..")</f>
        <v>FYI-Missão Impossível 3 é incrível ..</v>
      </c>
      <c r="B6067" s="3">
        <v>1</v>
      </c>
    </row>
    <row r="6068" ht="15.75" customHeight="1" spans="1:2">
      <c r="A6068" s="3" t="str">
        <f>IFERROR(__xludf.DUMMYFUNCTION("GOOGLETRANSLATE(A6068,""en"",""pt"")"),"fui ver Missão Impossível 3 que é impressionante.")</f>
        <v>fui ver Missão Impossível 3 que é impressionante.</v>
      </c>
      <c r="B6068" s="3">
        <v>1</v>
      </c>
    </row>
    <row r="6069" ht="15.75" customHeight="1" spans="1:2">
      <c r="A6069" s="3" t="str">
        <f>IFERROR(__xludf.DUMMYFUNCTION("GOOGLETRANSLATE(A6069,""en"",""pt"")"),"Tivemos a reunião o Brasil e, em seguida, fomos para o teatro, e viu Missão Impossível 3, que foi incrível.")</f>
        <v>Tivemos a reunião o Brasil e, em seguida, fomos para o teatro, e viu Missão Impossível 3, que foi incrível.</v>
      </c>
      <c r="B6069" s="3">
        <v>1</v>
      </c>
    </row>
    <row r="6070" ht="15.75" customHeight="1" spans="1:2">
      <c r="A6070" s="3" t="str">
        <f>IFERROR(__xludf.DUMMYFUNCTION("GOOGLETRANSLATE(A6070,""en"",""pt"")"),"Missão Impossível 3 foi incrível.")</f>
        <v>Missão Impossível 3 foi incrível.</v>
      </c>
      <c r="B6070" s="3">
        <v>1</v>
      </c>
    </row>
    <row r="6071" ht="15.75" customHeight="1" spans="1:2">
      <c r="A6071" s="3" t="str">
        <f>IFERROR(__xludf.DUMMYFUNCTION("GOOGLETRANSLATE(A6071,""en"",""pt"")"),"Eu amei totalmente Missão Impossível 3.")</f>
        <v>Eu amei totalmente Missão Impossível 3.</v>
      </c>
      <c r="B6071" s="3">
        <v>1</v>
      </c>
    </row>
    <row r="6072" ht="15.75" customHeight="1" spans="1:2">
      <c r="A6072" s="3" t="str">
        <f>IFERROR(__xludf.DUMMYFUNCTION("GOOGLETRANSLATE(A6072,""en"",""pt"")"),"Missão Impossível III era incrível.")</f>
        <v>Missão Impossível III era incrível.</v>
      </c>
      <c r="B6072" s="3">
        <v>1</v>
      </c>
    </row>
    <row r="6073" ht="15.75" customHeight="1" spans="1:2">
      <c r="A6073" s="3" t="str">
        <f>IFERROR(__xludf.DUMMYFUNCTION("GOOGLETRANSLATE(A6073,""en"",""pt"")"),"serra Missão Impossível III que foi incrível !!")</f>
        <v>serra Missão Impossível III que foi incrível !!</v>
      </c>
      <c r="B6073" s="3">
        <v>1</v>
      </c>
    </row>
    <row r="6074" ht="15.75" customHeight="1" spans="1:2">
      <c r="A6074" s="3" t="str">
        <f>IFERROR(__xludf.DUMMYFUNCTION("GOOGLETRANSLATE(A6074,""en"",""pt"")"),"Harrison disse que Missão Impossível III foi incrível ..")</f>
        <v>Harrison disse que Missão Impossível III foi incrível ..</v>
      </c>
      <c r="B6074" s="3">
        <v>1</v>
      </c>
    </row>
    <row r="6075" ht="15.75" customHeight="1" spans="1:2">
      <c r="A6075" s="3" t="str">
        <f>IFERROR(__xludf.DUMMYFUNCTION("GOOGLETRANSLATE(A6075,""en"",""pt"")"),"Depois de duas sessões Missão Impossível 3 ainda é foda demais ...")</f>
        <v>Depois de duas sessões Missão Impossível 3 ainda é foda demais ...</v>
      </c>
      <c r="B6075" s="3">
        <v>1</v>
      </c>
    </row>
    <row r="6076" ht="15.75" customHeight="1" spans="1:2">
      <c r="A6076" s="3" t="str">
        <f>IFERROR(__xludf.DUMMYFUNCTION("GOOGLETRANSLATE(A6076,""en"",""pt"")"),"Fui para partido b pouco de Vic e viu Missão Impossível 3, que foi tão incrível.")</f>
        <v>Fui para partido b pouco de Vic e viu Missão Impossível 3, que foi tão incrível.</v>
      </c>
      <c r="B6076" s="3">
        <v>1</v>
      </c>
    </row>
    <row r="6077" ht="15.75" customHeight="1" spans="1:2">
      <c r="A6077" s="3" t="str">
        <f>IFERROR(__xludf.DUMMYFUNCTION("GOOGLETRANSLATE(A6077,""en"",""pt"")"),"Missão Impossível 2 foi incríveis, portanto, 3 deve ser bom.")</f>
        <v>Missão Impossível 2 foi incríveis, portanto, 3 deve ser bom.</v>
      </c>
      <c r="B6077" s="3">
        <v>1</v>
      </c>
    </row>
    <row r="6078" ht="15.75" customHeight="1" spans="1:2">
      <c r="A6078" s="3" t="str">
        <f>IFERROR(__xludf.DUMMYFUNCTION("GOOGLETRANSLATE(A6078,""en"",""pt"")"),"missão impossível 3 é tão incrível ..")</f>
        <v>missão impossível 3 é tão incrível ..</v>
      </c>
      <c r="B6078" s="3">
        <v>1</v>
      </c>
    </row>
    <row r="6079" ht="15.75" customHeight="1" spans="1:2">
      <c r="A6079" s="3" t="str">
        <f>IFERROR(__xludf.DUMMYFUNCTION("GOOGLETRANSLATE(A6079,""en"",""pt"")"),"I amei missão impossível-3 ..")</f>
        <v>I amei missão impossível-3 ..</v>
      </c>
      <c r="B6079" s="3">
        <v>1</v>
      </c>
    </row>
    <row r="6080" ht="15.75" customHeight="1" spans="1:2">
      <c r="A6080" s="3" t="str">
        <f>IFERROR(__xludf.DUMMYFUNCTION("GOOGLETRANSLATE(A6080,""en"",""pt"")"),"Missão Impossível 3 foi espectacular !!")</f>
        <v>Missão Impossível 3 foi espectacular !!</v>
      </c>
      <c r="B6080" s="3">
        <v>1</v>
      </c>
    </row>
    <row r="6081" ht="15.75" customHeight="1" spans="1:2">
      <c r="A6081" s="3" t="str">
        <f>IFERROR(__xludf.DUMMYFUNCTION("GOOGLETRANSLATE(A6081,""en"",""pt"")"),"Missão Impossível III é um filme incrível.")</f>
        <v>Missão Impossível III é um filme incrível.</v>
      </c>
      <c r="B6081" s="3">
        <v>1</v>
      </c>
    </row>
    <row r="6082" ht="15.75" customHeight="1" spans="1:2">
      <c r="A6082" s="3" t="str">
        <f>IFERROR(__xludf.DUMMYFUNCTION("GOOGLETRANSLATE(A6082,""en"",""pt"")"),"Hey amigos ,. Eu sei que muitos de vocês estão querendo saber onde eu estive, bem na semana passada, fui a uma exibição especial de Missão Impossível III, que foi incrível.")</f>
        <v>Hey amigos ,. Eu sei que muitos de vocês estão querendo saber onde eu estive, bem na semana passada, fui a uma exibição especial de Missão Impossível III, que foi incrível.</v>
      </c>
      <c r="B6082" s="3">
        <v>1</v>
      </c>
    </row>
    <row r="6083" ht="15.75" customHeight="1" spans="1:2">
      <c r="A6083" s="3" t="str">
        <f>IFERROR(__xludf.DUMMYFUNCTION("GOOGLETRANSLATE(A6083,""en"",""pt"")"),"Missão Impossível 3 é incrível ..")</f>
        <v>Missão Impossível 3 é incrível ..</v>
      </c>
      <c r="B6083" s="3">
        <v>1</v>
      </c>
    </row>
    <row r="6084" ht="15.75" customHeight="1" spans="1:2">
      <c r="A6084" s="3" t="str">
        <f>IFERROR(__xludf.DUMMYFUNCTION("GOOGLETRANSLATE(A6084,""en"",""pt"")"),"lol ya e depois fui para a MISSÃO IMPOSSÍVEL 3 que foi impressionante impressionante!")</f>
        <v>lol ya e depois fui para a MISSÃO IMPOSSÍVEL 3 que foi impressionante impressionante!</v>
      </c>
      <c r="B6084" s="3">
        <v>1</v>
      </c>
    </row>
    <row r="6085" ht="15.75" customHeight="1" spans="1:2">
      <c r="A6085" s="3" t="str">
        <f>IFERROR(__xludf.DUMMYFUNCTION("GOOGLETRANSLATE(A6085,""en"",""pt"")"),"Hum, exceto que Missão Impossível 3 foi INCRÍVEL! :)")</f>
        <v>Hum, exceto que Missão Impossível 3 foi INCRÍVEL! :)</v>
      </c>
      <c r="B6085" s="3">
        <v>1</v>
      </c>
    </row>
    <row r="6086" ht="15.75" customHeight="1" spans="1:2">
      <c r="A6086" s="3" t="str">
        <f>IFERROR(__xludf.DUMMYFUNCTION("GOOGLETRANSLATE(A6086,""en"",""pt"")"),"Vimos Missão Impossível 3, que foi bastante incrível.")</f>
        <v>Vimos Missão Impossível 3, que foi bastante incrível.</v>
      </c>
      <c r="B6086" s="3">
        <v>1</v>
      </c>
    </row>
    <row r="6087" ht="15.75" customHeight="1" spans="1:2">
      <c r="A6087" s="3" t="str">
        <f>IFERROR(__xludf.DUMMYFUNCTION("GOOGLETRANSLATE(A6087,""en"",""pt"")"),"Mas Missão Impossível III é incrível ...")</f>
        <v>Mas Missão Impossível III é incrível ...</v>
      </c>
      <c r="B6087" s="3">
        <v>1</v>
      </c>
    </row>
    <row r="6088" ht="15.75" customHeight="1" spans="1:2">
      <c r="A6088" s="3" t="str">
        <f>IFERROR(__xludf.DUMMYFUNCTION("GOOGLETRANSLATE(A6088,""en"",""pt"")"),"MISSÃO IMPOSSÍVEL TRECE foi incríveis !!! ..")</f>
        <v>MISSÃO IMPOSSÍVEL TRECE foi incríveis !!! ..</v>
      </c>
      <c r="B6088" s="3">
        <v>1</v>
      </c>
    </row>
    <row r="6089" ht="15.75" customHeight="1" spans="1:2">
      <c r="A6089" s="3" t="str">
        <f>IFERROR(__xludf.DUMMYFUNCTION("GOOGLETRANSLATE(A6089,""en"",""pt"")"),"e eu pensei missão impossível III foi bastante incrível ..")</f>
        <v>e eu pensei missão impossível III foi bastante incrível ..</v>
      </c>
      <c r="B6089" s="3">
        <v>1</v>
      </c>
    </row>
    <row r="6090" ht="15.75" customHeight="1" spans="1:2">
      <c r="A6090" s="3" t="str">
        <f>IFERROR(__xludf.DUMMYFUNCTION("GOOGLETRANSLATE(A6090,""en"",""pt"")"),"Missão Impossível 3 é incrível, definitivamente vale a pena ver .....")</f>
        <v>Missão Impossível 3 é incrível, definitivamente vale a pena ver .....</v>
      </c>
      <c r="B6090" s="3">
        <v>1</v>
      </c>
    </row>
    <row r="6091" ht="15.75" customHeight="1" spans="1:2">
      <c r="A6091" s="3" t="str">
        <f>IFERROR(__xludf.DUMMYFUNCTION("GOOGLETRANSLATE(A6091,""en"",""pt"")"),"Sim, Missão Impossível 3 foi incrível !!! ..")</f>
        <v>Sim, Missão Impossível 3 foi incrível !!! ..</v>
      </c>
      <c r="B6091" s="3">
        <v>1</v>
      </c>
    </row>
    <row r="6092" ht="15.75" customHeight="1" spans="1:2">
      <c r="A6092" s="3" t="str">
        <f>IFERROR(__xludf.DUMMYFUNCTION("GOOGLETRANSLATE(A6092,""en"",""pt"")"),"Missão Impossível 3 foi foda demais.")</f>
        <v>Missão Impossível 3 foi foda demais.</v>
      </c>
      <c r="B6092" s="3">
        <v>1</v>
      </c>
    </row>
    <row r="6093" ht="15.75" customHeight="1" spans="1:2">
      <c r="A6093" s="3" t="str">
        <f>IFERROR(__xludf.DUMMYFUNCTION("GOOGLETRANSLATE(A6093,""en"",""pt"")"),"Missão Impossível III é um show incrível.")</f>
        <v>Missão Impossível III é um show incrível.</v>
      </c>
      <c r="B6093" s="3">
        <v>1</v>
      </c>
    </row>
    <row r="6094" ht="15.75" customHeight="1" spans="1:2">
      <c r="A6094" s="3" t="str">
        <f>IFERROR(__xludf.DUMMYFUNCTION("GOOGLETRANSLATE(A6094,""en"",""pt"")"),"Eu não tenho idéia o que o filme é sobre, mas eu amo a série Missão Impossível e eu aposto merda explode!")</f>
        <v>Eu não tenho idéia o que o filme é sobre, mas eu amo a série Missão Impossível e eu aposto merda explode!</v>
      </c>
      <c r="B6094" s="3">
        <v>1</v>
      </c>
    </row>
    <row r="6095" ht="15.75" customHeight="1" spans="1:2">
      <c r="A6095" s="3" t="str">
        <f>IFERROR(__xludf.DUMMYFUNCTION("GOOGLETRANSLATE(A6095,""en"",""pt"")"),"eu amo os filmes Missão Impossível !!")</f>
        <v>eu amo os filmes Missão Impossível !!</v>
      </c>
      <c r="B6095" s="3">
        <v>1</v>
      </c>
    </row>
    <row r="6096" ht="15.75" customHeight="1" spans="1:2">
      <c r="A6096" s="3" t="str">
        <f>IFERROR(__xludf.DUMMYFUNCTION("GOOGLETRANSLATE(A6096,""en"",""pt"")"),"Eu amo todos os filmes Missão Impossível, e este não é excepção.")</f>
        <v>Eu amo todos os filmes Missão Impossível, e este não é excepção.</v>
      </c>
      <c r="B6096" s="3">
        <v>1</v>
      </c>
    </row>
    <row r="6097" ht="15.75" customHeight="1" spans="1:2">
      <c r="A6097" s="3" t="str">
        <f>IFERROR(__xludf.DUMMYFUNCTION("GOOGLETRANSLATE(A6097,""en"",""pt"")"),"eu quero dizer Tom Cruise é eh mas eu amo os filmes Missão Impossível.")</f>
        <v>eu quero dizer Tom Cruise é eh mas eu amo os filmes Missão Impossível.</v>
      </c>
      <c r="B6097" s="3">
        <v>1</v>
      </c>
    </row>
    <row r="6098" ht="15.75" customHeight="1" spans="1:2">
      <c r="A6098" s="3" t="str">
        <f>IFERROR(__xludf.DUMMYFUNCTION("GOOGLETRANSLATE(A6098,""en"",""pt"")"),"Missão Impossível 3 foi incrível, no entanto.")</f>
        <v>Missão Impossível 3 foi incrível, no entanto.</v>
      </c>
      <c r="B6098" s="3">
        <v>1</v>
      </c>
    </row>
    <row r="6099" ht="15.75" customHeight="1" spans="1:2">
      <c r="A6099" s="3" t="str">
        <f>IFERROR(__xludf.DUMMYFUNCTION("GOOGLETRANSLATE(A6099,""en"",""pt"")"),"Missão Impossível foi muito legal, mas eu quero que todos a experimentar com uma definição de campo que é dez vezes melhor com toda a terra e lugares para se esconder.")</f>
        <v>Missão Impossível foi muito legal, mas eu quero que todos a experimentar com uma definição de campo que é dez vezes melhor com toda a terra e lugares para se esconder.</v>
      </c>
      <c r="B6099" s="3">
        <v>1</v>
      </c>
    </row>
    <row r="6100" ht="15.75" customHeight="1" spans="1:2">
      <c r="A6100" s="3" t="str">
        <f>IFERROR(__xludf.DUMMYFUNCTION("GOOGLETRANSLATE(A6100,""en"",""pt"")"),"bem de qualquer maneira um monte de nós fomos e missão serra impossível de três esta noite que foi incrível!")</f>
        <v>bem de qualquer maneira um monte de nós fomos e missão serra impossível de três esta noite que foi incrível!</v>
      </c>
      <c r="B6100" s="3">
        <v>1</v>
      </c>
    </row>
    <row r="6101" ht="15.75" customHeight="1" spans="1:2">
      <c r="A6101" s="3" t="str">
        <f>IFERROR(__xludf.DUMMYFUNCTION("GOOGLETRANSLATE(A6101,""en"",""pt"")"),"missão impossível 3 foi incrível ...")</f>
        <v>missão impossível 3 foi incrível ...</v>
      </c>
      <c r="B6101" s="3">
        <v>1</v>
      </c>
    </row>
    <row r="6102" ht="15.75" customHeight="1" spans="1:2">
      <c r="A6102" s="3" t="str">
        <f>IFERROR(__xludf.DUMMYFUNCTION("GOOGLETRANSLATE(A6102,""en"",""pt"")"),"fui ver Missão Impossível 3 era tão impressionante eu sentindo-se perdido na minha mão esquerda ..")</f>
        <v>fui ver Missão Impossível 3 era tão impressionante eu sentindo-se perdido na minha mão esquerda ..</v>
      </c>
      <c r="B6102" s="3">
        <v>1</v>
      </c>
    </row>
    <row r="6103" ht="15.75" customHeight="1" spans="1:2">
      <c r="A6103" s="3" t="str">
        <f>IFERROR(__xludf.DUMMYFUNCTION("GOOGLETRANSLATE(A6103,""en"",""pt"")"),"Eu amo o spin Impossible Mission no TAN meio.")</f>
        <v>Eu amo o spin Impossible Mission no TAN meio.</v>
      </c>
      <c r="B6103" s="3">
        <v>1</v>
      </c>
    </row>
    <row r="6104" ht="15.75" customHeight="1" spans="1:2">
      <c r="A6104" s="3" t="str">
        <f>IFERROR(__xludf.DUMMYFUNCTION("GOOGLETRANSLATE(A6104,""en"",""pt"")"),"Assisti Missão Impossível III com o bebê, foi bastante impressionante!")</f>
        <v>Assisti Missão Impossível III com o bebê, foi bastante impressionante!</v>
      </c>
      <c r="B6104" s="3">
        <v>1</v>
      </c>
    </row>
    <row r="6105" ht="15.75" customHeight="1" spans="1:2">
      <c r="A6105" s="3" t="str">
        <f>IFERROR(__xludf.DUMMYFUNCTION("GOOGLETRANSLATE(A6105,""en"",""pt"")"),"ele é incrível em missão impossível 3 - e quente.")</f>
        <v>ele é incrível em missão impossível 3 - e quente.</v>
      </c>
      <c r="B6105" s="3">
        <v>1</v>
      </c>
    </row>
    <row r="6106" ht="15.75" customHeight="1" spans="1:2">
      <c r="A6106" s="3" t="str">
        <f>IFERROR(__xludf.DUMMYFUNCTION("GOOGLETRANSLATE(A6106,""en"",""pt"")"),"sim, eu vi Missão Impossível 3 também, que foi incrível !!")</f>
        <v>sim, eu vi Missão Impossível 3 também, que foi incrível !!</v>
      </c>
      <c r="B6106" s="3">
        <v>1</v>
      </c>
    </row>
    <row r="6107" ht="15.75" customHeight="1" spans="1:2">
      <c r="A6107" s="3" t="str">
        <f>IFERROR(__xludf.DUMMYFUNCTION("GOOGLETRANSLATE(A6107,""en"",""pt"")"),"eu amei a primeira missão impossível, o segundo foi bastante uma desilusão, mas o terceiro ...")</f>
        <v>eu amei a primeira missão impossível, o segundo foi bastante uma desilusão, mas o terceiro ...</v>
      </c>
      <c r="B6107" s="3">
        <v>1</v>
      </c>
    </row>
    <row r="6108" ht="15.75" customHeight="1" spans="1:2">
      <c r="A6108" s="3" t="str">
        <f>IFERROR(__xludf.DUMMYFUNCTION("GOOGLETRANSLATE(A6108,""en"",""pt"")"),"MISSÃO IMPOSSÍVEL 3 foi impressionante.")</f>
        <v>MISSÃO IMPOSSÍVEL 3 foi impressionante.</v>
      </c>
      <c r="B6108" s="3">
        <v>1</v>
      </c>
    </row>
    <row r="6109" ht="15.75" customHeight="1" spans="1:2">
      <c r="A6109" s="3" t="str">
        <f>IFERROR(__xludf.DUMMYFUNCTION("GOOGLETRANSLATE(A6109,""en"",""pt"")"),"Hey, Missão Impossível 3 é IMPRESSIONANTE !!!!!!!!!!!!!!!!!!!!!!!!!")</f>
        <v>Hey, Missão Impossível 3 é IMPRESSIONANTE !!!!!!!!!!!!!!!!!!!!!!!!!</v>
      </c>
      <c r="B6109" s="3">
        <v>1</v>
      </c>
    </row>
    <row r="6110" ht="15.75" customHeight="1" spans="1:2">
      <c r="A6110" s="3" t="str">
        <f>IFERROR(__xludf.DUMMYFUNCTION("GOOGLETRANSLATE(A6110,""en"",""pt"")"),"Eu amei o primeiro Missão Impossível, especialmente a cena no cofre.")</f>
        <v>Eu amei o primeiro Missão Impossível, especialmente a cena no cofre.</v>
      </c>
      <c r="B6110" s="3">
        <v>1</v>
      </c>
    </row>
    <row r="6111" ht="15.75" customHeight="1" spans="1:2">
      <c r="A6111" s="3" t="str">
        <f>IFERROR(__xludf.DUMMYFUNCTION("GOOGLETRANSLATE(A6111,""en"",""pt"")"),"Sexta-feira eu saí com Chris e nós assistimos Missão Impossível 3, que era um filme impressionante.")</f>
        <v>Sexta-feira eu saí com Chris e nós assistimos Missão Impossível 3, que era um filme impressionante.</v>
      </c>
      <c r="B6111" s="3">
        <v>1</v>
      </c>
    </row>
    <row r="6112" ht="15.75" customHeight="1" spans="1:2">
      <c r="A6112" s="3" t="str">
        <f>IFERROR(__xludf.DUMMYFUNCTION("GOOGLETRANSLATE(A6112,""en"",""pt"")"),"Missão Impossível III, e foi incrível!")</f>
        <v>Missão Impossível III, e foi incrível!</v>
      </c>
      <c r="B6112" s="3">
        <v>1</v>
      </c>
    </row>
    <row r="6113" ht="15.75" customHeight="1" spans="1:2">
      <c r="A6113" s="3" t="str">
        <f>IFERROR(__xludf.DUMMYFUNCTION("GOOGLETRANSLATE(A6113,""en"",""pt"")"),"Kelse e eu espontaneamente foi para uma exibição 22:00 de MISSÃO IMPOSSÍVEL III, que foi INCRÍVEL !!")</f>
        <v>Kelse e eu espontaneamente foi para uma exibição 22:00 de MISSÃO IMPOSSÍVEL III, que foi INCRÍVEL !!</v>
      </c>
      <c r="B6113" s="3">
        <v>1</v>
      </c>
    </row>
    <row r="6114" ht="15.75" customHeight="1" spans="1:2">
      <c r="A6114" s="3" t="str">
        <f>IFERROR(__xludf.DUMMYFUNCTION("GOOGLETRANSLATE(A6114,""en"",""pt"")"),"Missão Impossível 3 é IMPRESSIONANTE ~ ..")</f>
        <v>Missão Impossível 3 é IMPRESSIONANTE ~ ..</v>
      </c>
      <c r="B6114" s="3">
        <v>1</v>
      </c>
    </row>
    <row r="6115" ht="15.75" customHeight="1" spans="1:2">
      <c r="A6115" s="3" t="str">
        <f>IFERROR(__xludf.DUMMYFUNCTION("GOOGLETRANSLATE(A6115,""en"",""pt"")"),"Missão Impossível III é impressionante! .. [Fotos de Erin] ..........")</f>
        <v>Missão Impossível III é impressionante! .. [Fotos de Erin] ..........</v>
      </c>
      <c r="B6115" s="3">
        <v>1</v>
      </c>
    </row>
    <row r="6116" ht="15.75" customHeight="1" spans="1:2">
      <c r="A6116" s="3" t="str">
        <f>IFERROR(__xludf.DUMMYFUNCTION("GOOGLETRANSLATE(A6116,""en"",""pt"")"),"Missão Impossível 3 é um caras filme impressionante, filme realmente bom.")</f>
        <v>Missão Impossível 3 é um caras filme impressionante, filme realmente bom.</v>
      </c>
      <c r="B6116" s="3">
        <v>1</v>
      </c>
    </row>
    <row r="6117" ht="15.75" customHeight="1" spans="1:2">
      <c r="A6117" s="3" t="str">
        <f>IFERROR(__xludf.DUMMYFUNCTION("GOOGLETRANSLATE(A6117,""en"",""pt"")"),"Em primeiro lugar eu vou dizer que eu realmente amei a primeira missão impossível muito ..")</f>
        <v>Em primeiro lugar eu vou dizer que eu realmente amei a primeira missão impossível muito ..</v>
      </c>
      <c r="B6117" s="3">
        <v>1</v>
      </c>
    </row>
    <row r="6118" ht="15.75" customHeight="1" spans="1:2">
      <c r="A6118" s="3" t="str">
        <f>IFERROR(__xludf.DUMMYFUNCTION("GOOGLETRANSLATE(A6118,""en"",""pt"")"),"Tivemos alguns momentos impressionantes na escola entre as aulas, de coisas Definições no fogo para fazer missão Coisas impossíveis nos corredores, para fins de semana partyin e clubbin para almoço entre as classes causando a interrupção onde quer que fôs"&amp;"semos.")</f>
        <v>Tivemos alguns momentos impressionantes na escola entre as aulas, de coisas Definições no fogo para fazer missão Coisas impossíveis nos corredores, para fins de semana partyin e clubbin para almoço entre as classes causando a interrupção onde quer que fôssemos.</v>
      </c>
      <c r="B6118" s="3">
        <v>1</v>
      </c>
    </row>
    <row r="6119" ht="15.75" customHeight="1" spans="1:2">
      <c r="A6119" s="3" t="str">
        <f>IFERROR(__xludf.DUMMYFUNCTION("GOOGLETRANSLATE(A6119,""en"",""pt"")"),"Eu odeio isso, porém, porque eu realmente gosto de seus filmes Missão Impossível, então eu me sinto mal quando eu vou vê-los no teatro, desde que eu estou colocando dinheiro no bolso fazendo isso.")</f>
        <v>Eu odeio isso, porém, porque eu realmente gosto de seus filmes Missão Impossível, então eu me sinto mal quando eu vou vê-los no teatro, desde que eu estou colocando dinheiro no bolso fazendo isso.</v>
      </c>
      <c r="B6119" s="3">
        <v>1</v>
      </c>
    </row>
    <row r="6120" ht="15.75" customHeight="1" spans="1:2">
      <c r="A6120" s="3" t="str">
        <f>IFERROR(__xludf.DUMMYFUNCTION("GOOGLETRANSLATE(A6120,""en"",""pt"")"),"e eu gostei Missão Impossível que eu vi pela primeira vez última noite ...")</f>
        <v>e eu gostei Missão Impossível que eu vi pela primeira vez última noite ...</v>
      </c>
      <c r="B6120" s="3">
        <v>1</v>
      </c>
    </row>
    <row r="6121" ht="15.75" customHeight="1" spans="1:2">
      <c r="A6121" s="3" t="str">
        <f>IFERROR(__xludf.DUMMYFUNCTION("GOOGLETRANSLATE(A6121,""en"",""pt"")"),"eu gostaria de dardo em torno com a canção impossível missão .. [Considerado ser uma prostituta? ] ...")</f>
        <v>eu gostaria de dardo em torno com a canção impossível missão .. [Considerado ser uma prostituta? ] ...</v>
      </c>
      <c r="B6121" s="3">
        <v>1</v>
      </c>
    </row>
    <row r="6122" ht="15.75" customHeight="1" spans="1:2">
      <c r="A6122" s="3" t="str">
        <f>IFERROR(__xludf.DUMMYFUNCTION("GOOGLETRANSLATE(A6122,""en"",""pt"")"),"Vamos amar o nosso herói impossível gay-cientologista de missão ...")</f>
        <v>Vamos amar o nosso herói impossível gay-cientologista de missão ...</v>
      </c>
      <c r="B6122" s="3">
        <v>1</v>
      </c>
    </row>
    <row r="6123" ht="15.75" customHeight="1" spans="1:2">
      <c r="A6123" s="3" t="str">
        <f>IFERROR(__xludf.DUMMYFUNCTION("GOOGLETRANSLATE(A6123,""en"",""pt"")"),"eu gosto de missão impossível.")</f>
        <v>eu gosto de missão impossível.</v>
      </c>
      <c r="B6123" s="3">
        <v>1</v>
      </c>
    </row>
    <row r="6124" ht="15.75" customHeight="1" spans="1:2">
      <c r="A6124" s="3" t="str">
        <f>IFERROR(__xludf.DUMMYFUNCTION("GOOGLETRANSLATE(A6124,""en"",""pt"")"),"Eu odeio isso, porém, porque eu realmente gosto de seus filmes Missão Impossível, então eu me sinto mal quando eu vou vê-los no teatro, desde que eu estou colocando dinheiro no bolso fazendo isso.")</f>
        <v>Eu odeio isso, porém, porque eu realmente gosto de seus filmes Missão Impossível, então eu me sinto mal quando eu vou vê-los no teatro, desde que eu estou colocando dinheiro no bolso fazendo isso.</v>
      </c>
      <c r="B6124" s="3">
        <v>1</v>
      </c>
    </row>
    <row r="6125" ht="15.75" customHeight="1" spans="1:2">
      <c r="A6125" s="3" t="str">
        <f>IFERROR(__xludf.DUMMYFUNCTION("GOOGLETRANSLATE(A6125,""en"",""pt"")"),"Oh e missão impossível 3 foi incrível.")</f>
        <v>Oh e missão impossível 3 foi incrível.</v>
      </c>
      <c r="B6125" s="3">
        <v>1</v>
      </c>
    </row>
    <row r="6126" ht="15.75" customHeight="1" spans="1:2">
      <c r="A6126" s="3" t="str">
        <f>IFERROR(__xludf.DUMMYFUNCTION("GOOGLETRANSLATE(A6126,""en"",""pt"")"),"pela forma como Missão Impossível 3 foi incrível.)")</f>
        <v>pela forma como Missão Impossível 3 foi incrível.)</v>
      </c>
      <c r="B6126" s="3">
        <v>1</v>
      </c>
    </row>
    <row r="6127" ht="15.75" customHeight="1" spans="1:2">
      <c r="A6127" s="3" t="str">
        <f>IFERROR(__xludf.DUMMYFUNCTION("GOOGLETRANSLATE(A6127,""en"",""pt"")"),"Missão Impossível foi incrível.")</f>
        <v>Missão Impossível foi incrível.</v>
      </c>
      <c r="B6127" s="3">
        <v>1</v>
      </c>
    </row>
    <row r="6128" ht="15.75" customHeight="1" spans="1:2">
      <c r="A6128" s="3" t="str">
        <f>IFERROR(__xludf.DUMMYFUNCTION("GOOGLETRANSLATE(A6128,""en"",""pt"")"),"Pelo jeito que eu amo o filme Missão Impossível 3!")</f>
        <v>Pelo jeito que eu amo o filme Missão Impossível 3!</v>
      </c>
      <c r="B6128" s="3">
        <v>1</v>
      </c>
    </row>
    <row r="6129" ht="15.75" customHeight="1" spans="1:2">
      <c r="A6129" s="3" t="str">
        <f>IFERROR(__xludf.DUMMYFUNCTION("GOOGLETRANSLATE(A6129,""en"",""pt"")"),"e missão orig impossível programas de TV são realmente incrível .......")</f>
        <v>e missão orig impossível programas de TV são realmente incrível .......</v>
      </c>
      <c r="B6129" s="3">
        <v>1</v>
      </c>
    </row>
    <row r="6130" ht="15.75" customHeight="1" spans="1:2">
      <c r="A6130" s="3" t="str">
        <f>IFERROR(__xludf.DUMMYFUNCTION("GOOGLETRANSLATE(A6130,""en"",""pt"")"),"oh, como eu amo a música tema de Missão Impossível .....")</f>
        <v>oh, como eu amo a música tema de Missão Impossível .....</v>
      </c>
      <c r="B6130" s="3">
        <v>1</v>
      </c>
    </row>
    <row r="6131" ht="15.75" customHeight="1" spans="1:2">
      <c r="A6131" s="3" t="str">
        <f>IFERROR(__xludf.DUMMYFUNCTION("GOOGLETRANSLATE(A6131,""en"",""pt"")"),"Eu só tenho a dizer que a nova Missão Impossível 3 é INCRÍVEIS !!")</f>
        <v>Eu só tenho a dizer que a nova Missão Impossível 3 é INCRÍVEIS !!</v>
      </c>
      <c r="B6131" s="3">
        <v>1</v>
      </c>
    </row>
    <row r="6132" ht="15.75" customHeight="1" spans="1:2">
      <c r="A6132" s="3" t="str">
        <f>IFERROR(__xludf.DUMMYFUNCTION("GOOGLETRANSLATE(A6132,""en"",""pt"")"),"depois fomos para missão impossível filme impressionante 3.")</f>
        <v>depois fomos para missão impossível filme impressionante 3.</v>
      </c>
      <c r="B6132" s="3">
        <v>1</v>
      </c>
    </row>
    <row r="6133" ht="15.75" customHeight="1" spans="1:2">
      <c r="A6133" s="3" t="str">
        <f>IFERROR(__xludf.DUMMYFUNCTION("GOOGLETRANSLATE(A6133,""en"",""pt"")"),"Tudo bem que Missão Impossível 3 é impressionante!")</f>
        <v>Tudo bem que Missão Impossível 3 é impressionante!</v>
      </c>
      <c r="B6133" s="3">
        <v>1</v>
      </c>
    </row>
    <row r="6134" ht="15.75" customHeight="1" spans="1:2">
      <c r="A6134" s="3" t="str">
        <f>IFERROR(__xludf.DUMMYFUNCTION("GOOGLETRANSLATE(A6134,""en"",""pt"")"),"Eu amei o primeiro filme de Missão Impossível.")</f>
        <v>Eu amei o primeiro filme de Missão Impossível.</v>
      </c>
      <c r="B6134" s="3">
        <v>1</v>
      </c>
    </row>
    <row r="6135" ht="15.75" customHeight="1" spans="1:2">
      <c r="A6135" s="3" t="str">
        <f>IFERROR(__xludf.DUMMYFUNCTION("GOOGLETRANSLATE(A6135,""en"",""pt"")"),"Eu adorei muito, embora eu amava os outros filmes Missão Impossível bem :)")</f>
        <v>Eu adorei muito, embora eu amava os outros filmes Missão Impossível bem :)</v>
      </c>
      <c r="B6135" s="3">
        <v>1</v>
      </c>
    </row>
    <row r="6136" ht="15.75" customHeight="1" spans="1:2">
      <c r="A6136" s="3" t="str">
        <f>IFERROR(__xludf.DUMMYFUNCTION("GOOGLETRANSLATE(A6136,""en"",""pt"")"),"Gosto de ver os filmes X-Men com Halle Berry e Hugh Jackson, assim como missão impossível com Tom Cruise.")</f>
        <v>Gosto de ver os filmes X-Men com Halle Berry e Hugh Jackson, assim como missão impossível com Tom Cruise.</v>
      </c>
      <c r="B6136" s="3">
        <v>1</v>
      </c>
    </row>
    <row r="6137" ht="15.75" customHeight="1" spans="1:2">
      <c r="A6137" s="3" t="str">
        <f>IFERROR(__xludf.DUMMYFUNCTION("GOOGLETRANSLATE(A6137,""en"",""pt"")"),"Eu não sou um grande fã TC quer, mas eu como Missão Impossível.")</f>
        <v>Eu não sou um grande fã TC quer, mas eu como Missão Impossível.</v>
      </c>
      <c r="B6137" s="3">
        <v>1</v>
      </c>
    </row>
    <row r="6138" ht="15.75" customHeight="1" spans="1:2">
      <c r="A6138" s="3" t="str">
        <f>IFERROR(__xludf.DUMMYFUNCTION("GOOGLETRANSLATE(A6138,""en"",""pt"")"),"missão impossível fez retroceder o burro e sim jessica é bastante maldito idiota ..")</f>
        <v>missão impossível fez retroceder o burro e sim jessica é bastante maldito idiota ..</v>
      </c>
      <c r="B6138" s="3">
        <v>1</v>
      </c>
    </row>
    <row r="6139" ht="15.75" customHeight="1" spans="1:2">
      <c r="A6139" s="3" t="str">
        <f>IFERROR(__xludf.DUMMYFUNCTION("GOOGLETRANSLATE(A6139,""en"",""pt"")"),"Depois de alguns telefonemas frenéticos, Laura, Chris, Garrett e eu tudo foi ver Missão Impossível, que foi excelente.")</f>
        <v>Depois de alguns telefonemas frenéticos, Laura, Chris, Garrett e eu tudo foi ver Missão Impossível, que foi excelente.</v>
      </c>
      <c r="B6139" s="3">
        <v>1</v>
      </c>
    </row>
    <row r="6140" ht="15.75" customHeight="1" spans="1:2">
      <c r="A6140" s="3" t="s">
        <v>24</v>
      </c>
      <c r="B6140" s="3">
        <v>1</v>
      </c>
    </row>
    <row r="6141" ht="15.75" customHeight="1" spans="1:2">
      <c r="A6141" s="3" t="str">
        <f>IFERROR(__xludf.DUMMYFUNCTION("GOOGLETRANSLATE(A6141,""en"",""pt"")"),"Nós gostamos Missão Impossível.")</f>
        <v>Nós gostamos Missão Impossível.</v>
      </c>
      <c r="B6141" s="3">
        <v>1</v>
      </c>
    </row>
    <row r="6142" ht="15.75" customHeight="1" spans="1:2">
      <c r="A6142" s="3" t="str">
        <f>IFERROR(__xludf.DUMMYFUNCTION("GOOGLETRANSLATE(A6142,""en"",""pt"")"),"eu gosto de jogar missão impossível ..")</f>
        <v>eu gosto de jogar missão impossível ..</v>
      </c>
      <c r="B6142" s="3">
        <v>1</v>
      </c>
    </row>
    <row r="6143" ht="15.75" customHeight="1" spans="1:2">
      <c r="A6143" s="3" t="str">
        <f>IFERROR(__xludf.DUMMYFUNCTION("GOOGLETRANSLATE(A6143,""en"",""pt"")"),"É como se Abrams sabe que a única razão pela qual nós vamos ver um filme como Missão Impossível é para que possamos assistir algumas explosões e executar Tom Cruise.")</f>
        <v>É como se Abrams sabe que a única razão pela qual nós vamos ver um filme como Missão Impossível é para que possamos assistir algumas explosões e executar Tom Cruise.</v>
      </c>
      <c r="B6143" s="3">
        <v>1</v>
      </c>
    </row>
    <row r="6144" ht="15.75" customHeight="1" spans="1:2">
      <c r="A6144" s="3" t="str">
        <f>IFERROR(__xludf.DUMMYFUNCTION("GOOGLETRANSLATE(A6144,""en"",""pt"")"),"Missão Impossível foi soo tão bom.")</f>
        <v>Missão Impossível foi soo tão bom.</v>
      </c>
      <c r="B6144" s="3">
        <v>1</v>
      </c>
    </row>
    <row r="6145" ht="15.75" customHeight="1" spans="1:2">
      <c r="A6145" s="3" t="str">
        <f>IFERROR(__xludf.DUMMYFUNCTION("GOOGLETRANSLATE(A6145,""en"",""pt"")"),"I como MISSÃO IMPOSSÍVEL mas eu odeio Tom Cruise, obter essa atualização reta I 2 dias em uma fila é como mágica e merda ...")</f>
        <v>I como MISSÃO IMPOSSÍVEL mas eu odeio Tom Cruise, obter essa atualização reta I 2 dias em uma fila é como mágica e merda ...</v>
      </c>
      <c r="B6145" s="3">
        <v>1</v>
      </c>
    </row>
    <row r="6146" ht="15.75" customHeight="1" spans="1:2">
      <c r="A6146" s="3" t="str">
        <f>IFERROR(__xludf.DUMMYFUNCTION("GOOGLETRANSLATE(A6146,""en"",""pt"")"),"Eu gostava missão impossível.")</f>
        <v>Eu gostava missão impossível.</v>
      </c>
      <c r="B6146" s="3">
        <v>1</v>
      </c>
    </row>
    <row r="6147" ht="15.75" customHeight="1" spans="1:2">
      <c r="A6147" s="3" t="str">
        <f>IFERROR(__xludf.DUMMYFUNCTION("GOOGLETRANSLATE(A6147,""en"",""pt"")"),"Mission Impossible é um filme excelente.")</f>
        <v>Mission Impossible é um filme excelente.</v>
      </c>
      <c r="B6147" s="3">
        <v>1</v>
      </c>
    </row>
    <row r="6148" ht="15.75" customHeight="1" spans="1:2">
      <c r="A6148" s="3" t="str">
        <f>IFERROR(__xludf.DUMMYFUNCTION("GOOGLETRANSLATE(A6148,""en"",""pt"")"),"hoje foi tão legal e missão impossível abalou.")</f>
        <v>hoje foi tão legal e missão impossível abalou.</v>
      </c>
      <c r="B6148" s="3">
        <v>1</v>
      </c>
    </row>
    <row r="6149" ht="15.75" customHeight="1" spans="1:2">
      <c r="A6149" s="3" t="str">
        <f>IFERROR(__xludf.DUMMYFUNCTION("GOOGLETRANSLATE(A6149,""en"",""pt"")"),"eu gosto de missão impossível.")</f>
        <v>eu gosto de missão impossível.</v>
      </c>
      <c r="B6149" s="3">
        <v>1</v>
      </c>
    </row>
    <row r="6150" ht="15.75" customHeight="1" spans="1:2">
      <c r="A6150" s="3" t="str">
        <f>IFERROR(__xludf.DUMMYFUNCTION("GOOGLETRANSLATE(A6150,""en"",""pt"")"),"i como Missão Impossível ...")</f>
        <v>i como Missão Impossível ...</v>
      </c>
      <c r="B6150" s="3">
        <v>1</v>
      </c>
    </row>
    <row r="6151" ht="15.75" customHeight="1" spans="1:2">
      <c r="A6151" s="3" t="str">
        <f>IFERROR(__xludf.DUMMYFUNCTION("GOOGLETRANSLATE(A6151,""en"",""pt"")"),"amou a pré-visualização para a missão impossível III.")</f>
        <v>amou a pré-visualização para a missão impossível III.</v>
      </c>
      <c r="B6151" s="3">
        <v>1</v>
      </c>
    </row>
    <row r="6152" ht="15.75" customHeight="1" spans="1:2">
      <c r="A6152" s="3" t="str">
        <f>IFERROR(__xludf.DUMMYFUNCTION("GOOGLETRANSLATE(A6152,""en"",""pt"")"),"Eu adorava assistir o show Missão Impossível então eu gosto da idéia do filme.")</f>
        <v>Eu adorava assistir o show Missão Impossível então eu gosto da idéia do filme.</v>
      </c>
      <c r="B6152" s="3">
        <v>1</v>
      </c>
    </row>
    <row r="6153" ht="15.75" customHeight="1" spans="1:2">
      <c r="A6153" s="3" t="str">
        <f>IFERROR(__xludf.DUMMYFUNCTION("GOOGLETRANSLATE(A6153,""en"",""pt"")"),"Em uma nota lateral Missão Impossível 3 foi INCRÍVEL!")</f>
        <v>Em uma nota lateral Missão Impossível 3 foi INCRÍVEL!</v>
      </c>
      <c r="B6153" s="3">
        <v>1</v>
      </c>
    </row>
    <row r="6154" ht="15.75" customHeight="1" spans="1:2">
      <c r="A6154" s="3" t="str">
        <f>IFERROR(__xludf.DUMMYFUNCTION("GOOGLETRANSLATE(A6154,""en"",""pt"")"),"O Código DaVinci e Missão Impossível 3 são impressionantes.")</f>
        <v>O Código DaVinci e Missão Impossível 3 são impressionantes.</v>
      </c>
      <c r="B6154" s="3">
        <v>1</v>
      </c>
    </row>
    <row r="6155" ht="15.75" customHeight="1" spans="1:2">
      <c r="A6155" s="3" t="str">
        <f>IFERROR(__xludf.DUMMYFUNCTION("GOOGLETRANSLATE(A6155,""en"",""pt"")"),"Adorei a piada Impossible Mission eo fato de que V fez a piada Tom Cruise, eles nunca ficar velho para mim, TC é tamanha aberração.")</f>
        <v>Adorei a piada Impossible Mission eo fato de que V fez a piada Tom Cruise, eles nunca ficar velho para mim, TC é tamanha aberração.</v>
      </c>
      <c r="B6155" s="3">
        <v>1</v>
      </c>
    </row>
    <row r="6156" ht="15.75" customHeight="1" spans="1:2">
      <c r="A6156" s="3" t="str">
        <f>IFERROR(__xludf.DUMMYFUNCTION("GOOGLETRANSLATE(A6156,""en"",""pt"")"),"Eu amo a música tema de missão impossível * *.")</f>
        <v>Eu amo a música tema de missão impossível * *.</v>
      </c>
      <c r="B6156" s="3">
        <v>1</v>
      </c>
    </row>
    <row r="6157" ht="15.75" customHeight="1" spans="1:2">
      <c r="A6157" s="3" t="str">
        <f>IFERROR(__xludf.DUMMYFUNCTION("GOOGLETRANSLATE(A6157,""en"",""pt"")"),"bem, se você é tão burro do pontapé de retirá-lo missão estilo impossível que seria maldito incrível !.")</f>
        <v>bem, se você é tão burro do pontapé de retirá-lo missão estilo impossível que seria maldito incrível !.</v>
      </c>
      <c r="B6157" s="3">
        <v>1</v>
      </c>
    </row>
    <row r="6158" ht="15.75" customHeight="1" spans="1:2">
      <c r="A6158" s="3" t="str">
        <f>IFERROR(__xludf.DUMMYFUNCTION("GOOGLETRANSLATE(A6158,""en"",""pt"")"),"eu gosto th uma missão impossível ...")</f>
        <v>eu gosto th uma missão impossível ...</v>
      </c>
      <c r="B6158" s="3">
        <v>1</v>
      </c>
    </row>
    <row r="6159" ht="15.75" customHeight="1" spans="1:2">
      <c r="A6159" s="3" t="str">
        <f>IFERROR(__xludf.DUMMYFUNCTION("GOOGLETRANSLATE(A6159,""en"",""pt"")"),"Eu gostei do primeiro ""Missão Impossível.")</f>
        <v>Eu gostei do primeiro "Missão Impossível.</v>
      </c>
      <c r="B6159" s="3">
        <v>1</v>
      </c>
    </row>
    <row r="6160" ht="15.75" customHeight="1" spans="1:2">
      <c r="A6160" s="3" t="str">
        <f>IFERROR(__xludf.DUMMYFUNCTION("GOOGLETRANSLATE(A6160,""en"",""pt"")"),"I como o Impossible Mission pessoalmente.")</f>
        <v>I como o Impossible Mission pessoalmente.</v>
      </c>
      <c r="B6160" s="3">
        <v>1</v>
      </c>
    </row>
    <row r="6161" ht="15.75" customHeight="1" spans="1:2">
      <c r="A6161" s="3" t="str">
        <f>IFERROR(__xludf.DUMMYFUNCTION("GOOGLETRANSLATE(A6161,""en"",""pt"")"),"Pense Missão Impossível, pense Bond Girls, acha detonando e olhando quente.")</f>
        <v>Pense Missão Impossível, pense Bond Girls, acha detonando e olhando quente.</v>
      </c>
      <c r="B6161" s="3">
        <v>1</v>
      </c>
    </row>
    <row r="6162" ht="15.75" customHeight="1" spans="1:2">
      <c r="A6162" s="3" t="str">
        <f>IFERROR(__xludf.DUMMYFUNCTION("GOOGLETRANSLATE(A6162,""en"",""pt"")"),"O que eu gostaria de ver é algum material de Missão Impossível, talvez jogue-os na prisão e tê-los sair em 3 minutos.")</f>
        <v>O que eu gostaria de ver é algum material de Missão Impossível, talvez jogue-os na prisão e tê-los sair em 3 minutos.</v>
      </c>
      <c r="B6162" s="3">
        <v>1</v>
      </c>
    </row>
    <row r="6163" ht="15.75" customHeight="1" spans="1:2">
      <c r="A6163" s="3" t="str">
        <f>IFERROR(__xludf.DUMMYFUNCTION("GOOGLETRANSLATE(A6163,""en"",""pt"")"),"Nós estamos indo como Missão Impossível relógio ou buzina. (")</f>
        <v>Nós estamos indo como Missão Impossível relógio ou buzina. (</v>
      </c>
      <c r="B6163" s="3">
        <v>1</v>
      </c>
    </row>
    <row r="6164" ht="15.75" customHeight="1" spans="1:2">
      <c r="A6164" s="3" t="str">
        <f>IFERROR(__xludf.DUMMYFUNCTION("GOOGLETRANSLATE(A6164,""en"",""pt"")"),"É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164" s="3">
        <v>1</v>
      </c>
    </row>
    <row r="6165" ht="15.75" customHeight="1" spans="1:2">
      <c r="A6165" s="3" t="str">
        <f>IFERROR(__xludf.DUMMYFUNCTION("GOOGLETRANSLATE(A6165,""en"",""pt"")"),"eu amo ser uma sentinela para a missão impossível e uma estação para bonkers.")</f>
        <v>eu amo ser uma sentinela para a missão impossível e uma estação para bonkers.</v>
      </c>
      <c r="B6165" s="3">
        <v>1</v>
      </c>
    </row>
    <row r="6166" ht="15.75" customHeight="1" spans="1:2">
      <c r="A6166" s="3" t="str">
        <f>IFERROR(__xludf.DUMMYFUNCTION("GOOGLETRANSLATE(A6166,""en"",""pt"")"),"I como Missão filmes impossível, porque você nunca sabe quem está do lado direito.")</f>
        <v>I como Missão filmes impossível, porque você nunca sabe quem está do lado direito.</v>
      </c>
      <c r="B6166" s="3">
        <v>1</v>
      </c>
    </row>
    <row r="6167" ht="15.75" customHeight="1" spans="1:2">
      <c r="A6167" s="3" t="str">
        <f>IFERROR(__xludf.DUMMYFUNCTION("GOOGLETRANSLATE(A6167,""en"",""pt"")"),"Missão Impossível 3 foi excelente.")</f>
        <v>Missão Impossível 3 foi excelente.</v>
      </c>
      <c r="B6167" s="3">
        <v>1</v>
      </c>
    </row>
    <row r="6168" ht="15.75" customHeight="1" spans="1:2">
      <c r="A6168" s="3" t="str">
        <f>IFERROR(__xludf.DUMMYFUNCTION("GOOGLETRANSLATE(A6168,""en"",""pt"")"),"Assim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168" s="3">
        <v>1</v>
      </c>
    </row>
    <row r="6169" ht="15.75" customHeight="1" spans="1:2">
      <c r="A6169" s="3" t="str">
        <f>IFERROR(__xludf.DUMMYFUNCTION("GOOGLETRANSLATE(A6169,""en"",""pt"")"),"Eu gostei do primeiro ""Missão Impossível.")</f>
        <v>Eu gostei do primeiro "Missão Impossível.</v>
      </c>
      <c r="B6169" s="3">
        <v>1</v>
      </c>
    </row>
    <row r="6170" ht="15.75" customHeight="1" spans="1:2">
      <c r="A6170" s="3" t="str">
        <f>IFERROR(__xludf.DUMMYFUNCTION("GOOGLETRANSLATE(A6170,""en"",""pt"")"),"The Last Stand e Missão Impossível 3 ambos eram filmes impressionantes.")</f>
        <v>The Last Stand e Missão Impossível 3 ambos eram filmes impressionantes.</v>
      </c>
      <c r="B6170" s="3">
        <v>1</v>
      </c>
    </row>
    <row r="6171" ht="15.75" customHeight="1" spans="1:2">
      <c r="A6171" s="3" t="str">
        <f>IFERROR(__xludf.DUMMYFUNCTION("GOOGLETRANSLATE(A6171,""en"",""pt"")"),"eu amo Kirsten / leah / escapadas Kate e missão tom impossível bem ...")</f>
        <v>eu amo Kirsten / leah / escapadas Kate e missão tom impossível bem ...</v>
      </c>
      <c r="B6171" s="3">
        <v>1</v>
      </c>
    </row>
    <row r="6172" ht="15.75" customHeight="1" spans="1:2">
      <c r="A6172" s="3" t="str">
        <f>IFERROR(__xludf.DUMMYFUNCTION("GOOGLETRANSLATE(A6172,""en"",""pt"")"),"missão impossível 2 rochas !! ....")</f>
        <v>missão impossível 2 rochas !! ....</v>
      </c>
      <c r="B6172" s="3">
        <v>1</v>
      </c>
    </row>
    <row r="6173" ht="15.75" customHeight="1" spans="1:2">
      <c r="A6173" s="3" t="str">
        <f>IFERROR(__xludf.DUMMYFUNCTION("GOOGLETRANSLATE(A6173,""en"",""pt"")"),"Nós estamos indo como Missão Impossível relógio ou buzina. (")</f>
        <v>Nós estamos indo como Missão Impossível relógio ou buzina. (</v>
      </c>
      <c r="B6173" s="3">
        <v>1</v>
      </c>
    </row>
    <row r="6174" ht="15.75" customHeight="1" spans="1:2">
      <c r="A6174" s="3" t="str">
        <f>IFERROR(__xludf.DUMMYFUNCTION("GOOGLETRANSLATE(A6174,""en"",""pt"")"),"É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174" s="3">
        <v>1</v>
      </c>
    </row>
    <row r="6175" ht="15.75" customHeight="1" spans="1:2">
      <c r="A6175" s="3" t="str">
        <f>IFERROR(__xludf.DUMMYFUNCTION("GOOGLETRANSLATE(A6175,""en"",""pt"")"),"eu amo ser uma sentinela para a missão impossível e uma estação para bonkers.")</f>
        <v>eu amo ser uma sentinela para a missão impossível e uma estação para bonkers.</v>
      </c>
      <c r="B6175" s="3">
        <v>1</v>
      </c>
    </row>
    <row r="6176" ht="15.75" customHeight="1" spans="1:2">
      <c r="A6176" s="3" t="str">
        <f>IFERROR(__xludf.DUMMYFUNCTION("GOOGLETRANSLATE(A6176,""en"",""pt"")"),"I como Missão filmes impossível, porque você nunca sabe quem está do lado direito.")</f>
        <v>I como Missão filmes impossível, porque você nunca sabe quem está do lado direito.</v>
      </c>
      <c r="B6176" s="3">
        <v>1</v>
      </c>
    </row>
    <row r="6177" ht="15.75" customHeight="1" spans="1:2">
      <c r="A6177" s="3" t="str">
        <f>IFERROR(__xludf.DUMMYFUNCTION("GOOGLETRANSLATE(A6177,""en"",""pt"")"),"Missão Impossível 3 foi excelente.")</f>
        <v>Missão Impossível 3 foi excelente.</v>
      </c>
      <c r="B6177" s="3">
        <v>1</v>
      </c>
    </row>
    <row r="6178" ht="15.75" customHeight="1" spans="1:2">
      <c r="A6178" s="3" t="str">
        <f>IFERROR(__xludf.DUMMYFUNCTION("GOOGLETRANSLATE(A6178,""en"",""pt"")"),"Assim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178" s="3">
        <v>1</v>
      </c>
    </row>
    <row r="6179" ht="15.75" customHeight="1" spans="1:2">
      <c r="A6179" s="3" t="str">
        <f>IFERROR(__xludf.DUMMYFUNCTION("GOOGLETRANSLATE(A6179,""en"",""pt"")"),"Eu gostei do primeiro ""Missão Impossível.")</f>
        <v>Eu gostei do primeiro "Missão Impossível.</v>
      </c>
      <c r="B6179" s="3">
        <v>1</v>
      </c>
    </row>
    <row r="6180" ht="15.75" customHeight="1" spans="1:2">
      <c r="A6180" s="3" t="str">
        <f>IFERROR(__xludf.DUMMYFUNCTION("GOOGLETRANSLATE(A6180,""en"",""pt"")"),"The Last Stand e Missão Impossível 3 ambos eram filmes impressionantes.")</f>
        <v>The Last Stand e Missão Impossível 3 ambos eram filmes impressionantes.</v>
      </c>
      <c r="B6180" s="3">
        <v>1</v>
      </c>
    </row>
    <row r="6181" ht="15.75" customHeight="1" spans="1:2">
      <c r="A6181" s="3" t="str">
        <f>IFERROR(__xludf.DUMMYFUNCTION("GOOGLETRANSLATE(A6181,""en"",""pt"")"),"eu amo Kirsten / leah / escapadas Kate e missão tom impossível bem ...")</f>
        <v>eu amo Kirsten / leah / escapadas Kate e missão tom impossível bem ...</v>
      </c>
      <c r="B6181" s="3">
        <v>1</v>
      </c>
    </row>
    <row r="6182" ht="15.75" customHeight="1" spans="1:2">
      <c r="A6182" s="3" t="str">
        <f>IFERROR(__xludf.DUMMYFUNCTION("GOOGLETRANSLATE(A6182,""en"",""pt"")"),"missão impossível 2 rochas !! ....")</f>
        <v>missão impossível 2 rochas !! ....</v>
      </c>
      <c r="B6182" s="3">
        <v>1</v>
      </c>
    </row>
    <row r="6183" ht="15.75" customHeight="1" spans="1:2">
      <c r="A6183" s="3" t="str">
        <f>IFERROR(__xludf.DUMMYFUNCTION("GOOGLETRANSLATE(A6183,""en"",""pt"")"),"Nós estamos indo como Missão Impossível relógio ou buzina. (")</f>
        <v>Nós estamos indo como Missão Impossível relógio ou buzina. (</v>
      </c>
      <c r="B6183" s="3">
        <v>1</v>
      </c>
    </row>
    <row r="6184" ht="15.75" customHeight="1" spans="1:2">
      <c r="A6184" s="3" t="str">
        <f>IFERROR(__xludf.DUMMYFUNCTION("GOOGLETRANSLATE(A6184,""en"",""pt"")"),"É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184" s="3">
        <v>1</v>
      </c>
    </row>
    <row r="6185" ht="15.75" customHeight="1" spans="1:2">
      <c r="A6185" s="3" t="str">
        <f>IFERROR(__xludf.DUMMYFUNCTION("GOOGLETRANSLATE(A6185,""en"",""pt"")"),"eu amo ser uma sentinela para a missão impossível e uma estação para bonkers.")</f>
        <v>eu amo ser uma sentinela para a missão impossível e uma estação para bonkers.</v>
      </c>
      <c r="B6185" s="3">
        <v>1</v>
      </c>
    </row>
    <row r="6186" ht="15.75" customHeight="1" spans="1:2">
      <c r="A6186" s="3" t="str">
        <f>IFERROR(__xludf.DUMMYFUNCTION("GOOGLETRANSLATE(A6186,""en"",""pt"")"),"I como Missão filmes impossível, porque você nunca sabe quem está do lado direito.")</f>
        <v>I como Missão filmes impossível, porque você nunca sabe quem está do lado direito.</v>
      </c>
      <c r="B6186" s="3">
        <v>1</v>
      </c>
    </row>
    <row r="6187" ht="15.75" customHeight="1" spans="1:2">
      <c r="A6187" s="3" t="str">
        <f>IFERROR(__xludf.DUMMYFUNCTION("GOOGLETRANSLATE(A6187,""en"",""pt"")"),"Missão Impossível 3 foi excelente.")</f>
        <v>Missão Impossível 3 foi excelente.</v>
      </c>
      <c r="B6187" s="3">
        <v>1</v>
      </c>
    </row>
    <row r="6188" ht="15.75" customHeight="1" spans="1:2">
      <c r="A6188" s="3" t="str">
        <f>IFERROR(__xludf.DUMMYFUNCTION("GOOGLETRANSLATE(A6188,""en"",""pt"")"),"Assim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188" s="3">
        <v>1</v>
      </c>
    </row>
    <row r="6189" ht="15.75" customHeight="1" spans="1:2">
      <c r="A6189" s="3" t="str">
        <f>IFERROR(__xludf.DUMMYFUNCTION("GOOGLETRANSLATE(A6189,""en"",""pt"")"),"Eu gostei do primeiro ""Missão Impossível.")</f>
        <v>Eu gostei do primeiro "Missão Impossível.</v>
      </c>
      <c r="B6189" s="3">
        <v>1</v>
      </c>
    </row>
    <row r="6190" ht="15.75" customHeight="1" spans="1:2">
      <c r="A6190" s="3" t="str">
        <f>IFERROR(__xludf.DUMMYFUNCTION("GOOGLETRANSLATE(A6190,""en"",""pt"")"),"The Last Stand e Missão Impossível 3 ambos eram filmes impressionantes.")</f>
        <v>The Last Stand e Missão Impossível 3 ambos eram filmes impressionantes.</v>
      </c>
      <c r="B6190" s="3">
        <v>1</v>
      </c>
    </row>
    <row r="6191" ht="15.75" customHeight="1" spans="1:2">
      <c r="A6191" s="3" t="str">
        <f>IFERROR(__xludf.DUMMYFUNCTION("GOOGLETRANSLATE(A6191,""en"",""pt"")"),"eu amo Kirsten / leah / escapadas Kate e missão tom impossível bem ...")</f>
        <v>eu amo Kirsten / leah / escapadas Kate e missão tom impossível bem ...</v>
      </c>
      <c r="B6191" s="3">
        <v>1</v>
      </c>
    </row>
    <row r="6192" ht="15.75" customHeight="1" spans="1:2">
      <c r="A6192" s="3" t="str">
        <f>IFERROR(__xludf.DUMMYFUNCTION("GOOGLETRANSLATE(A6192,""en"",""pt"")"),"missão impossível 2 rochas !! ....")</f>
        <v>missão impossível 2 rochas !! ....</v>
      </c>
      <c r="B6192" s="3">
        <v>1</v>
      </c>
    </row>
    <row r="6193" ht="15.75" customHeight="1" spans="1:2">
      <c r="A6193" s="3" t="str">
        <f>IFERROR(__xludf.DUMMYFUNCTION("GOOGLETRANSLATE(A6193,""en"",""pt"")"),"Nós estamos indo como Missão Impossível relógio ou buzina. (")</f>
        <v>Nós estamos indo como Missão Impossível relógio ou buzina. (</v>
      </c>
      <c r="B6193" s="3">
        <v>1</v>
      </c>
    </row>
    <row r="6194" ht="15.75" customHeight="1" spans="1:2">
      <c r="A6194" s="3" t="str">
        <f>IFERROR(__xludf.DUMMYFUNCTION("GOOGLETRANSLATE(A6194,""en"",""pt"")"),"É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194" s="3">
        <v>1</v>
      </c>
    </row>
    <row r="6195" ht="15.75" customHeight="1" spans="1:2">
      <c r="A6195" s="3" t="str">
        <f>IFERROR(__xludf.DUMMYFUNCTION("GOOGLETRANSLATE(A6195,""en"",""pt"")"),"eu amo ser uma sentinela para a missão impossível e uma estação para bonkers.")</f>
        <v>eu amo ser uma sentinela para a missão impossível e uma estação para bonkers.</v>
      </c>
      <c r="B6195" s="3">
        <v>1</v>
      </c>
    </row>
    <row r="6196" ht="15.75" customHeight="1" spans="1:2">
      <c r="A6196" s="3" t="str">
        <f>IFERROR(__xludf.DUMMYFUNCTION("GOOGLETRANSLATE(A6196,""en"",""pt"")"),"I como Missão filmes impossível, porque você nunca sabe quem está do lado direito.")</f>
        <v>I como Missão filmes impossível, porque você nunca sabe quem está do lado direito.</v>
      </c>
      <c r="B6196" s="3">
        <v>1</v>
      </c>
    </row>
    <row r="6197" ht="15.75" customHeight="1" spans="1:2">
      <c r="A6197" s="3" t="str">
        <f>IFERROR(__xludf.DUMMYFUNCTION("GOOGLETRANSLATE(A6197,""en"",""pt"")"),"Missão Impossível 3 foi excelente.")</f>
        <v>Missão Impossível 3 foi excelente.</v>
      </c>
      <c r="B6197" s="3">
        <v>1</v>
      </c>
    </row>
    <row r="6198" ht="15.75" customHeight="1" spans="1:2">
      <c r="A6198" s="3" t="str">
        <f>IFERROR(__xludf.DUMMYFUNCTION("GOOGLETRANSLATE(A6198,""en"",""pt"")"),"Assim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198" s="3">
        <v>1</v>
      </c>
    </row>
    <row r="6199" ht="15.75" customHeight="1" spans="1:2">
      <c r="A6199" s="3" t="str">
        <f>IFERROR(__xludf.DUMMYFUNCTION("GOOGLETRANSLATE(A6199,""en"",""pt"")"),"Eu gostei do primeiro ""Missão Impossível.")</f>
        <v>Eu gostei do primeiro "Missão Impossível.</v>
      </c>
      <c r="B6199" s="3">
        <v>1</v>
      </c>
    </row>
    <row r="6200" ht="15.75" customHeight="1" spans="1:2">
      <c r="A6200" s="3" t="str">
        <f>IFERROR(__xludf.DUMMYFUNCTION("GOOGLETRANSLATE(A6200,""en"",""pt"")"),"The Last Stand e Missão Impossível 3 ambos eram filmes impressionantes.")</f>
        <v>The Last Stand e Missão Impossível 3 ambos eram filmes impressionantes.</v>
      </c>
      <c r="B6200" s="3">
        <v>1</v>
      </c>
    </row>
    <row r="6201" ht="15.75" customHeight="1" spans="1:2">
      <c r="A6201" s="3" t="str">
        <f>IFERROR(__xludf.DUMMYFUNCTION("GOOGLETRANSLATE(A6201,""en"",""pt"")"),"eu amo Kirsten / leah / escapadas Kate e missão tom impossível bem ...")</f>
        <v>eu amo Kirsten / leah / escapadas Kate e missão tom impossível bem ...</v>
      </c>
      <c r="B6201" s="3">
        <v>1</v>
      </c>
    </row>
    <row r="6202" ht="15.75" customHeight="1" spans="1:2">
      <c r="A6202" s="3" t="str">
        <f>IFERROR(__xludf.DUMMYFUNCTION("GOOGLETRANSLATE(A6202,""en"",""pt"")"),"missão impossível 2 rochas !! ....")</f>
        <v>missão impossível 2 rochas !! ....</v>
      </c>
      <c r="B6202" s="3">
        <v>1</v>
      </c>
    </row>
    <row r="6203" ht="15.75" customHeight="1" spans="1:2">
      <c r="A6203" s="3" t="str">
        <f>IFERROR(__xludf.DUMMYFUNCTION("GOOGLETRANSLATE(A6203,""en"",""pt"")"),"Nós estamos indo como Missão Impossível relógio ou buzina. (")</f>
        <v>Nós estamos indo como Missão Impossível relógio ou buzina. (</v>
      </c>
      <c r="B6203" s="3">
        <v>1</v>
      </c>
    </row>
    <row r="6204" ht="15.75" customHeight="1" spans="1:2">
      <c r="A6204" s="3" t="str">
        <f>IFERROR(__xludf.DUMMYFUNCTION("GOOGLETRANSLATE(A6204,""en"",""pt"")"),"É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04" s="3">
        <v>1</v>
      </c>
    </row>
    <row r="6205" ht="15.75" customHeight="1" spans="1:2">
      <c r="A6205" s="3" t="str">
        <f>IFERROR(__xludf.DUMMYFUNCTION("GOOGLETRANSLATE(A6205,""en"",""pt"")"),"eu amo ser uma sentinela para a missão impossível e uma estação para bonkers.")</f>
        <v>eu amo ser uma sentinela para a missão impossível e uma estação para bonkers.</v>
      </c>
      <c r="B6205" s="3">
        <v>1</v>
      </c>
    </row>
    <row r="6206" ht="15.75" customHeight="1" spans="1:2">
      <c r="A6206" s="3" t="str">
        <f>IFERROR(__xludf.DUMMYFUNCTION("GOOGLETRANSLATE(A6206,""en"",""pt"")"),"I como Missão filmes impossível, porque você nunca sabe quem está do lado direito.")</f>
        <v>I como Missão filmes impossível, porque você nunca sabe quem está do lado direito.</v>
      </c>
      <c r="B6206" s="3">
        <v>1</v>
      </c>
    </row>
    <row r="6207" ht="15.75" customHeight="1" spans="1:2">
      <c r="A6207" s="3" t="str">
        <f>IFERROR(__xludf.DUMMYFUNCTION("GOOGLETRANSLATE(A6207,""en"",""pt"")"),"Missão Impossível 3 foi excelente.")</f>
        <v>Missão Impossível 3 foi excelente.</v>
      </c>
      <c r="B6207" s="3">
        <v>1</v>
      </c>
    </row>
    <row r="6208" ht="15.75" customHeight="1" spans="1:2">
      <c r="A6208" s="3" t="str">
        <f>IFERROR(__xludf.DUMMYFUNCTION("GOOGLETRANSLATE(A6208,""en"",""pt"")"),"Assim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08" s="3">
        <v>1</v>
      </c>
    </row>
    <row r="6209" ht="15.75" customHeight="1" spans="1:2">
      <c r="A6209" s="3" t="str">
        <f>IFERROR(__xludf.DUMMYFUNCTION("GOOGLETRANSLATE(A6209,""en"",""pt"")"),"Eu gostei do primeiro ""Missão Impossível.")</f>
        <v>Eu gostei do primeiro "Missão Impossível.</v>
      </c>
      <c r="B6209" s="3">
        <v>1</v>
      </c>
    </row>
    <row r="6210" ht="15.75" customHeight="1" spans="1:2">
      <c r="A6210" s="3" t="str">
        <f>IFERROR(__xludf.DUMMYFUNCTION("GOOGLETRANSLATE(A6210,""en"",""pt"")"),"The Last Stand e Missão Impossível 3 ambos eram filmes impressionantes.")</f>
        <v>The Last Stand e Missão Impossível 3 ambos eram filmes impressionantes.</v>
      </c>
      <c r="B6210" s="3">
        <v>1</v>
      </c>
    </row>
    <row r="6211" ht="15.75" customHeight="1" spans="1:2">
      <c r="A6211" s="3" t="str">
        <f>IFERROR(__xludf.DUMMYFUNCTION("GOOGLETRANSLATE(A6211,""en"",""pt"")"),"eu amo Kirsten / leah / escapadas Kate e missão tom impossível bem ...")</f>
        <v>eu amo Kirsten / leah / escapadas Kate e missão tom impossível bem ...</v>
      </c>
      <c r="B6211" s="3">
        <v>1</v>
      </c>
    </row>
    <row r="6212" ht="15.75" customHeight="1" spans="1:2">
      <c r="A6212" s="3" t="str">
        <f>IFERROR(__xludf.DUMMYFUNCTION("GOOGLETRANSLATE(A6212,""en"",""pt"")"),"missão impossível 2 rochas !! ....")</f>
        <v>missão impossível 2 rochas !! ....</v>
      </c>
      <c r="B6212" s="3">
        <v>1</v>
      </c>
    </row>
    <row r="6213" ht="15.75" customHeight="1" spans="1:2">
      <c r="A6213" s="3" t="str">
        <f>IFERROR(__xludf.DUMMYFUNCTION("GOOGLETRANSLATE(A6213,""en"",""pt"")"),"Nós estamos indo como Missão Impossível relógio ou buzina. (")</f>
        <v>Nós estamos indo como Missão Impossível relógio ou buzina. (</v>
      </c>
      <c r="B6213" s="3">
        <v>1</v>
      </c>
    </row>
    <row r="6214" ht="15.75" customHeight="1" spans="1:2">
      <c r="A6214" s="3" t="str">
        <f>IFERROR(__xludf.DUMMYFUNCTION("GOOGLETRANSLATE(A6214,""en"",""pt"")"),"É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14" s="3">
        <v>1</v>
      </c>
    </row>
    <row r="6215" ht="15.75" customHeight="1" spans="1:2">
      <c r="A6215" s="3" t="str">
        <f>IFERROR(__xludf.DUMMYFUNCTION("GOOGLETRANSLATE(A6215,""en"",""pt"")"),"eu amo ser uma sentinela para a missão impossível e uma estação para bonkers.")</f>
        <v>eu amo ser uma sentinela para a missão impossível e uma estação para bonkers.</v>
      </c>
      <c r="B6215" s="3">
        <v>1</v>
      </c>
    </row>
    <row r="6216" ht="15.75" customHeight="1" spans="1:2">
      <c r="A6216" s="3" t="str">
        <f>IFERROR(__xludf.DUMMYFUNCTION("GOOGLETRANSLATE(A6216,""en"",""pt"")"),"I como Missão filmes impossível, porque você nunca sabe quem está do lado direito.")</f>
        <v>I como Missão filmes impossível, porque você nunca sabe quem está do lado direito.</v>
      </c>
      <c r="B6216" s="3">
        <v>1</v>
      </c>
    </row>
    <row r="6217" ht="15.75" customHeight="1" spans="1:2">
      <c r="A6217" s="3" t="str">
        <f>IFERROR(__xludf.DUMMYFUNCTION("GOOGLETRANSLATE(A6217,""en"",""pt"")"),"Missão Impossível 3 foi excelente.")</f>
        <v>Missão Impossível 3 foi excelente.</v>
      </c>
      <c r="B6217" s="3">
        <v>1</v>
      </c>
    </row>
    <row r="6218" ht="15.75" customHeight="1" spans="1:2">
      <c r="A6218" s="3" t="str">
        <f>IFERROR(__xludf.DUMMYFUNCTION("GOOGLETRANSLATE(A6218,""en"",""pt"")"),"Assim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18" s="3">
        <v>1</v>
      </c>
    </row>
    <row r="6219" ht="15.75" customHeight="1" spans="1:2">
      <c r="A6219" s="3" t="str">
        <f>IFERROR(__xludf.DUMMYFUNCTION("GOOGLETRANSLATE(A6219,""en"",""pt"")"),"Eu gostei do primeiro ""Missão Impossível.")</f>
        <v>Eu gostei do primeiro "Missão Impossível.</v>
      </c>
      <c r="B6219" s="3">
        <v>1</v>
      </c>
    </row>
    <row r="6220" ht="15.75" customHeight="1" spans="1:2">
      <c r="A6220" s="3" t="str">
        <f>IFERROR(__xludf.DUMMYFUNCTION("GOOGLETRANSLATE(A6220,""en"",""pt"")"),"The Last Stand e Missão Impossível 3 ambos eram filmes impressionantes.")</f>
        <v>The Last Stand e Missão Impossível 3 ambos eram filmes impressionantes.</v>
      </c>
      <c r="B6220" s="3">
        <v>1</v>
      </c>
    </row>
    <row r="6221" ht="15.75" customHeight="1" spans="1:2">
      <c r="A6221" s="3" t="str">
        <f>IFERROR(__xludf.DUMMYFUNCTION("GOOGLETRANSLATE(A6221,""en"",""pt"")"),"eu amo Kirsten / leah / escapadas Kate e missão tom impossível bem ...")</f>
        <v>eu amo Kirsten / leah / escapadas Kate e missão tom impossível bem ...</v>
      </c>
      <c r="B6221" s="3">
        <v>1</v>
      </c>
    </row>
    <row r="6222" ht="15.75" customHeight="1" spans="1:2">
      <c r="A6222" s="3" t="str">
        <f>IFERROR(__xludf.DUMMYFUNCTION("GOOGLETRANSLATE(A6222,""en"",""pt"")"),"missão impossível 2 rochas !! ....")</f>
        <v>missão impossível 2 rochas !! ....</v>
      </c>
      <c r="B6222" s="3">
        <v>1</v>
      </c>
    </row>
    <row r="6223" ht="15.75" customHeight="1" spans="1:2">
      <c r="A6223" s="3" t="str">
        <f>IFERROR(__xludf.DUMMYFUNCTION("GOOGLETRANSLATE(A6223,""en"",""pt"")"),"Nós estamos indo como Missão Impossível relógio ou buzina. (")</f>
        <v>Nós estamos indo como Missão Impossível relógio ou buzina. (</v>
      </c>
      <c r="B6223" s="3">
        <v>1</v>
      </c>
    </row>
    <row r="6224" ht="15.75" customHeight="1" spans="1:2">
      <c r="A6224" s="3" t="str">
        <f>IFERROR(__xludf.DUMMYFUNCTION("GOOGLETRANSLATE(A6224,""en"",""pt"")"),"É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24" s="3">
        <v>1</v>
      </c>
    </row>
    <row r="6225" ht="15.75" customHeight="1" spans="1:2">
      <c r="A6225" s="3" t="str">
        <f>IFERROR(__xludf.DUMMYFUNCTION("GOOGLETRANSLATE(A6225,""en"",""pt"")"),"eu amo ser uma sentinela para a missão impossível e uma estação para bonkers.")</f>
        <v>eu amo ser uma sentinela para a missão impossível e uma estação para bonkers.</v>
      </c>
      <c r="B6225" s="3">
        <v>1</v>
      </c>
    </row>
    <row r="6226" ht="15.75" customHeight="1" spans="1:2">
      <c r="A6226" s="3" t="str">
        <f>IFERROR(__xludf.DUMMYFUNCTION("GOOGLETRANSLATE(A6226,""en"",""pt"")"),"I como Missão filmes impossível, porque você nunca sabe quem está do lado direito.")</f>
        <v>I como Missão filmes impossível, porque você nunca sabe quem está do lado direito.</v>
      </c>
      <c r="B6226" s="3">
        <v>1</v>
      </c>
    </row>
    <row r="6227" ht="15.75" customHeight="1" spans="1:2">
      <c r="A6227" s="3" t="str">
        <f>IFERROR(__xludf.DUMMYFUNCTION("GOOGLETRANSLATE(A6227,""en"",""pt"")"),"Missão Impossível 3 foi excelente.")</f>
        <v>Missão Impossível 3 foi excelente.</v>
      </c>
      <c r="B6227" s="3">
        <v>1</v>
      </c>
    </row>
    <row r="6228" ht="15.75" customHeight="1" spans="1:2">
      <c r="A6228" s="3" t="str">
        <f>IFERROR(__xludf.DUMMYFUNCTION("GOOGLETRANSLATE(A6228,""en"",""pt"")"),"Assim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28" s="3">
        <v>1</v>
      </c>
    </row>
    <row r="6229" ht="15.75" customHeight="1" spans="1:2">
      <c r="A6229" s="3" t="str">
        <f>IFERROR(__xludf.DUMMYFUNCTION("GOOGLETRANSLATE(A6229,""en"",""pt"")"),"Eu gostei do primeiro ""Missão Impossível.")</f>
        <v>Eu gostei do primeiro "Missão Impossível.</v>
      </c>
      <c r="B6229" s="3">
        <v>1</v>
      </c>
    </row>
    <row r="6230" ht="15.75" customHeight="1" spans="1:2">
      <c r="A6230" s="3" t="str">
        <f>IFERROR(__xludf.DUMMYFUNCTION("GOOGLETRANSLATE(A6230,""en"",""pt"")"),"The Last Stand e Missão Impossível 3 ambos eram filmes impressionantes.")</f>
        <v>The Last Stand e Missão Impossível 3 ambos eram filmes impressionantes.</v>
      </c>
      <c r="B6230" s="3">
        <v>1</v>
      </c>
    </row>
    <row r="6231" ht="15.75" customHeight="1" spans="1:2">
      <c r="A6231" s="3" t="str">
        <f>IFERROR(__xludf.DUMMYFUNCTION("GOOGLETRANSLATE(A6231,""en"",""pt"")"),"eu amo Kirsten / leah / escapadas Kate e missão tom impossível bem ...")</f>
        <v>eu amo Kirsten / leah / escapadas Kate e missão tom impossível bem ...</v>
      </c>
      <c r="B6231" s="3">
        <v>1</v>
      </c>
    </row>
    <row r="6232" ht="15.75" customHeight="1" spans="1:2">
      <c r="A6232" s="3" t="str">
        <f>IFERROR(__xludf.DUMMYFUNCTION("GOOGLETRANSLATE(A6232,""en"",""pt"")"),"missão impossível 2 rochas !! ....")</f>
        <v>missão impossível 2 rochas !! ....</v>
      </c>
      <c r="B6232" s="3">
        <v>1</v>
      </c>
    </row>
    <row r="6233" ht="15.75" customHeight="1" spans="1:2">
      <c r="A6233" s="3" t="str">
        <f>IFERROR(__xludf.DUMMYFUNCTION("GOOGLETRANSLATE(A6233,""en"",""pt"")"),"Nós estamos indo como Missão Impossível relógio ou buzina. (")</f>
        <v>Nós estamos indo como Missão Impossível relógio ou buzina. (</v>
      </c>
      <c r="B6233" s="3">
        <v>1</v>
      </c>
    </row>
    <row r="6234" ht="15.75" customHeight="1" spans="1:2">
      <c r="A6234" s="3" t="str">
        <f>IFERROR(__xludf.DUMMYFUNCTION("GOOGLETRANSLATE(A6234,""en"",""pt"")"),"É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34" s="3">
        <v>1</v>
      </c>
    </row>
    <row r="6235" ht="15.75" customHeight="1" spans="1:2">
      <c r="A6235" s="3" t="str">
        <f>IFERROR(__xludf.DUMMYFUNCTION("GOOGLETRANSLATE(A6235,""en"",""pt"")"),"eu amo ser uma sentinela para a missão impossível e uma estação para bonkers.")</f>
        <v>eu amo ser uma sentinela para a missão impossível e uma estação para bonkers.</v>
      </c>
      <c r="B6235" s="3">
        <v>1</v>
      </c>
    </row>
    <row r="6236" ht="15.75" customHeight="1" spans="1:2">
      <c r="A6236" s="3" t="str">
        <f>IFERROR(__xludf.DUMMYFUNCTION("GOOGLETRANSLATE(A6236,""en"",""pt"")"),"I como Missão filmes impossível, porque você nunca sabe quem está do lado direito.")</f>
        <v>I como Missão filmes impossível, porque você nunca sabe quem está do lado direito.</v>
      </c>
      <c r="B6236" s="3">
        <v>1</v>
      </c>
    </row>
    <row r="6237" ht="15.75" customHeight="1" spans="1:2">
      <c r="A6237" s="3" t="str">
        <f>IFERROR(__xludf.DUMMYFUNCTION("GOOGLETRANSLATE(A6237,""en"",""pt"")"),"Missão Impossível 3 foi excelente.")</f>
        <v>Missão Impossível 3 foi excelente.</v>
      </c>
      <c r="B6237" s="3">
        <v>1</v>
      </c>
    </row>
    <row r="6238" ht="15.75" customHeight="1" spans="1:2">
      <c r="A6238" s="3" t="str">
        <f>IFERROR(__xludf.DUMMYFUNCTION("GOOGLETRANSLATE(A6238,""en"",""pt"")"),"Assim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38" s="3">
        <v>1</v>
      </c>
    </row>
    <row r="6239" ht="15.75" customHeight="1" spans="1:2">
      <c r="A6239" s="3" t="str">
        <f>IFERROR(__xludf.DUMMYFUNCTION("GOOGLETRANSLATE(A6239,""en"",""pt"")"),"Eu gostei do primeiro ""Missão Impossível.")</f>
        <v>Eu gostei do primeiro "Missão Impossível.</v>
      </c>
      <c r="B6239" s="3">
        <v>1</v>
      </c>
    </row>
    <row r="6240" ht="15.75" customHeight="1" spans="1:2">
      <c r="A6240" s="3" t="str">
        <f>IFERROR(__xludf.DUMMYFUNCTION("GOOGLETRANSLATE(A6240,""en"",""pt"")"),"The Last Stand e Missão Impossível 3 ambos eram filmes impressionantes.")</f>
        <v>The Last Stand e Missão Impossível 3 ambos eram filmes impressionantes.</v>
      </c>
      <c r="B6240" s="3">
        <v>1</v>
      </c>
    </row>
    <row r="6241" ht="15.75" customHeight="1" spans="1:2">
      <c r="A6241" s="3" t="str">
        <f>IFERROR(__xludf.DUMMYFUNCTION("GOOGLETRANSLATE(A6241,""en"",""pt"")"),"eu amo Kirsten / leah / escapadas Kate e missão tom impossível bem ...")</f>
        <v>eu amo Kirsten / leah / escapadas Kate e missão tom impossível bem ...</v>
      </c>
      <c r="B6241" s="3">
        <v>1</v>
      </c>
    </row>
    <row r="6242" ht="15.75" customHeight="1" spans="1:2">
      <c r="A6242" s="3" t="str">
        <f>IFERROR(__xludf.DUMMYFUNCTION("GOOGLETRANSLATE(A6242,""en"",""pt"")"),"missão impossível 2 rochas !! ....")</f>
        <v>missão impossível 2 rochas !! ....</v>
      </c>
      <c r="B6242" s="3">
        <v>1</v>
      </c>
    </row>
    <row r="6243" ht="15.75" customHeight="1" spans="1:2">
      <c r="A6243" s="3" t="str">
        <f>IFERROR(__xludf.DUMMYFUNCTION("GOOGLETRANSLATE(A6243,""en"",""pt"")"),"Nós estamos indo como Missão Impossível relógio ou buzina. (")</f>
        <v>Nós estamos indo como Missão Impossível relógio ou buzina. (</v>
      </c>
      <c r="B6243" s="3">
        <v>1</v>
      </c>
    </row>
    <row r="6244" ht="15.75" customHeight="1" spans="1:2">
      <c r="A6244" s="3" t="str">
        <f>IFERROR(__xludf.DUMMYFUNCTION("GOOGLETRANSLATE(A6244,""en"",""pt"")"),"É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44" s="3">
        <v>1</v>
      </c>
    </row>
    <row r="6245" ht="15.75" customHeight="1" spans="1:2">
      <c r="A6245" s="3" t="str">
        <f>IFERROR(__xludf.DUMMYFUNCTION("GOOGLETRANSLATE(A6245,""en"",""pt"")"),"eu amo ser uma sentinela para a missão impossível e uma estação para bonkers.")</f>
        <v>eu amo ser uma sentinela para a missão impossível e uma estação para bonkers.</v>
      </c>
      <c r="B6245" s="3">
        <v>1</v>
      </c>
    </row>
    <row r="6246" ht="15.75" customHeight="1" spans="1:2">
      <c r="A6246" s="3" t="str">
        <f>IFERROR(__xludf.DUMMYFUNCTION("GOOGLETRANSLATE(A6246,""en"",""pt"")"),"I como Missão filmes impossível, porque você nunca sabe quem está do lado direito.")</f>
        <v>I como Missão filmes impossível, porque você nunca sabe quem está do lado direito.</v>
      </c>
      <c r="B6246" s="3">
        <v>1</v>
      </c>
    </row>
    <row r="6247" ht="15.75" customHeight="1" spans="1:2">
      <c r="A6247" s="3" t="str">
        <f>IFERROR(__xludf.DUMMYFUNCTION("GOOGLETRANSLATE(A6247,""en"",""pt"")"),"Missão Impossível 3 foi excelente.")</f>
        <v>Missão Impossível 3 foi excelente.</v>
      </c>
      <c r="B6247" s="3">
        <v>1</v>
      </c>
    </row>
    <row r="6248" ht="15.75" customHeight="1" spans="1:2">
      <c r="A6248" s="3" t="str">
        <f>IFERROR(__xludf.DUMMYFUNCTION("GOOGLETRANSLATE(A6248,""en"",""pt"")"),"Assim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48" s="3">
        <v>1</v>
      </c>
    </row>
    <row r="6249" ht="15.75" customHeight="1" spans="1:2">
      <c r="A6249" s="3" t="str">
        <f>IFERROR(__xludf.DUMMYFUNCTION("GOOGLETRANSLATE(A6249,""en"",""pt"")"),"Eu gostei do primeiro ""Missão Impossível.")</f>
        <v>Eu gostei do primeiro "Missão Impossível.</v>
      </c>
      <c r="B6249" s="3">
        <v>1</v>
      </c>
    </row>
    <row r="6250" ht="15.75" customHeight="1" spans="1:2">
      <c r="A6250" s="3" t="str">
        <f>IFERROR(__xludf.DUMMYFUNCTION("GOOGLETRANSLATE(A6250,""en"",""pt"")"),"The Last Stand e Missão Impossível 3 ambos eram filmes impressionantes.")</f>
        <v>The Last Stand e Missão Impossível 3 ambos eram filmes impressionantes.</v>
      </c>
      <c r="B6250" s="3">
        <v>1</v>
      </c>
    </row>
    <row r="6251" ht="15.75" customHeight="1" spans="1:2">
      <c r="A6251" s="3" t="str">
        <f>IFERROR(__xludf.DUMMYFUNCTION("GOOGLETRANSLATE(A6251,""en"",""pt"")"),"eu amo Kirsten / leah / escapadas Kate e missão tom impossível bem ...")</f>
        <v>eu amo Kirsten / leah / escapadas Kate e missão tom impossível bem ...</v>
      </c>
      <c r="B6251" s="3">
        <v>1</v>
      </c>
    </row>
    <row r="6252" ht="15.75" customHeight="1" spans="1:2">
      <c r="A6252" s="3" t="str">
        <f>IFERROR(__xludf.DUMMYFUNCTION("GOOGLETRANSLATE(A6252,""en"",""pt"")"),"missão impossível 2 rochas !! ....")</f>
        <v>missão impossível 2 rochas !! ....</v>
      </c>
      <c r="B6252" s="3">
        <v>1</v>
      </c>
    </row>
    <row r="6253" ht="15.75" customHeight="1" spans="1:2">
      <c r="A6253" s="3" t="str">
        <f>IFERROR(__xludf.DUMMYFUNCTION("GOOGLETRANSLATE(A6253,""en"",""pt"")"),"Nós estamos indo como Missão Impossível relógio ou buzina. (")</f>
        <v>Nós estamos indo como Missão Impossível relógio ou buzina. (</v>
      </c>
      <c r="B6253" s="3">
        <v>1</v>
      </c>
    </row>
    <row r="6254" ht="15.75" customHeight="1" spans="1:2">
      <c r="A6254" s="3" t="str">
        <f>IFERROR(__xludf.DUMMYFUNCTION("GOOGLETRANSLATE(A6254,""en"",""pt"")"),"É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54" s="3">
        <v>1</v>
      </c>
    </row>
    <row r="6255" ht="15.75" customHeight="1" spans="1:2">
      <c r="A6255" s="3" t="str">
        <f>IFERROR(__xludf.DUMMYFUNCTION("GOOGLETRANSLATE(A6255,""en"",""pt"")"),"eu amo ser uma sentinela para a missão impossível e uma estação para bonkers.")</f>
        <v>eu amo ser uma sentinela para a missão impossível e uma estação para bonkers.</v>
      </c>
      <c r="B6255" s="3">
        <v>1</v>
      </c>
    </row>
    <row r="6256" ht="15.75" customHeight="1" spans="1:2">
      <c r="A6256" s="3" t="str">
        <f>IFERROR(__xludf.DUMMYFUNCTION("GOOGLETRANSLATE(A6256,""en"",""pt"")"),"I como Missão filmes impossível, porque você nunca sabe quem está do lado direito.")</f>
        <v>I como Missão filmes impossível, porque você nunca sabe quem está do lado direito.</v>
      </c>
      <c r="B6256" s="3">
        <v>1</v>
      </c>
    </row>
    <row r="6257" ht="15.75" customHeight="1" spans="1:2">
      <c r="A6257" s="3" t="str">
        <f>IFERROR(__xludf.DUMMYFUNCTION("GOOGLETRANSLATE(A6257,""en"",""pt"")"),"Missão Impossível 3 foi excelente.")</f>
        <v>Missão Impossível 3 foi excelente.</v>
      </c>
      <c r="B6257" s="3">
        <v>1</v>
      </c>
    </row>
    <row r="6258" ht="15.75" customHeight="1" spans="1:2">
      <c r="A6258" s="3" t="str">
        <f>IFERROR(__xludf.DUMMYFUNCTION("GOOGLETRANSLATE(A6258,""en"",""pt"")"),"Assim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58" s="3">
        <v>1</v>
      </c>
    </row>
    <row r="6259" ht="15.75" customHeight="1" spans="1:2">
      <c r="A6259" s="3" t="str">
        <f>IFERROR(__xludf.DUMMYFUNCTION("GOOGLETRANSLATE(A6259,""en"",""pt"")"),"Eu gostei do primeiro ""Missão Impossível.")</f>
        <v>Eu gostei do primeiro "Missão Impossível.</v>
      </c>
      <c r="B6259" s="3">
        <v>1</v>
      </c>
    </row>
    <row r="6260" ht="15.75" customHeight="1" spans="1:2">
      <c r="A6260" s="3" t="str">
        <f>IFERROR(__xludf.DUMMYFUNCTION("GOOGLETRANSLATE(A6260,""en"",""pt"")"),"The Last Stand e Missão Impossível 3 ambos eram filmes impressionantes.")</f>
        <v>The Last Stand e Missão Impossível 3 ambos eram filmes impressionantes.</v>
      </c>
      <c r="B6260" s="3">
        <v>1</v>
      </c>
    </row>
    <row r="6261" ht="15.75" customHeight="1" spans="1:2">
      <c r="A6261" s="3" t="str">
        <f>IFERROR(__xludf.DUMMYFUNCTION("GOOGLETRANSLATE(A6261,""en"",""pt"")"),"eu amo Kirsten / leah / escapadas Kate e missão tom impossível bem ...")</f>
        <v>eu amo Kirsten / leah / escapadas Kate e missão tom impossível bem ...</v>
      </c>
      <c r="B6261" s="3">
        <v>1</v>
      </c>
    </row>
    <row r="6262" ht="15.75" customHeight="1" spans="1:2">
      <c r="A6262" s="3" t="str">
        <f>IFERROR(__xludf.DUMMYFUNCTION("GOOGLETRANSLATE(A6262,""en"",""pt"")"),"missão impossível 2 rochas !! ....")</f>
        <v>missão impossível 2 rochas !! ....</v>
      </c>
      <c r="B6262" s="3">
        <v>1</v>
      </c>
    </row>
    <row r="6263" ht="15.75" customHeight="1" spans="1:2">
      <c r="A6263" s="3" t="str">
        <f>IFERROR(__xludf.DUMMYFUNCTION("GOOGLETRANSLATE(A6263,""en"",""pt"")"),"Nós estamos indo como Missão Impossível relógio ou buzina. (")</f>
        <v>Nós estamos indo como Missão Impossível relógio ou buzina. (</v>
      </c>
      <c r="B6263" s="3">
        <v>1</v>
      </c>
    </row>
    <row r="6264" ht="15.75" customHeight="1" spans="1:2">
      <c r="A6264" s="3" t="str">
        <f>IFERROR(__xludf.DUMMYFUNCTION("GOOGLETRANSLATE(A6264,""en"",""pt"")"),"É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64" s="3">
        <v>1</v>
      </c>
    </row>
    <row r="6265" ht="15.75" customHeight="1" spans="1:2">
      <c r="A6265" s="3" t="str">
        <f>IFERROR(__xludf.DUMMYFUNCTION("GOOGLETRANSLATE(A6265,""en"",""pt"")"),"eu amo ser uma sentinela para a missão impossível e uma estação para bonkers.")</f>
        <v>eu amo ser uma sentinela para a missão impossível e uma estação para bonkers.</v>
      </c>
      <c r="B6265" s="3">
        <v>1</v>
      </c>
    </row>
    <row r="6266" ht="15.75" customHeight="1" spans="1:2">
      <c r="A6266" s="3" t="str">
        <f>IFERROR(__xludf.DUMMYFUNCTION("GOOGLETRANSLATE(A6266,""en"",""pt"")"),"I como Missão filmes impossível, porque você nunca sabe quem está do lado direito.")</f>
        <v>I como Missão filmes impossível, porque você nunca sabe quem está do lado direito.</v>
      </c>
      <c r="B6266" s="3">
        <v>1</v>
      </c>
    </row>
    <row r="6267" ht="15.75" customHeight="1" spans="1:2">
      <c r="A6267" s="3" t="str">
        <f>IFERROR(__xludf.DUMMYFUNCTION("GOOGLETRANSLATE(A6267,""en"",""pt"")"),"Missão Impossível 3 foi excelente.")</f>
        <v>Missão Impossível 3 foi excelente.</v>
      </c>
      <c r="B6267" s="3">
        <v>1</v>
      </c>
    </row>
    <row r="6268" ht="15.75" customHeight="1" spans="1:2">
      <c r="A6268" s="3" t="str">
        <f>IFERROR(__xludf.DUMMYFUNCTION("GOOGLETRANSLATE(A6268,""en"",""pt"")"),"Assim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68" s="3">
        <v>1</v>
      </c>
    </row>
    <row r="6269" ht="15.75" customHeight="1" spans="1:2">
      <c r="A6269" s="3" t="str">
        <f>IFERROR(__xludf.DUMMYFUNCTION("GOOGLETRANSLATE(A6269,""en"",""pt"")"),"Eu gostei do primeiro ""Missão Impossível.")</f>
        <v>Eu gostei do primeiro "Missão Impossível.</v>
      </c>
      <c r="B6269" s="3">
        <v>1</v>
      </c>
    </row>
    <row r="6270" ht="15.75" customHeight="1" spans="1:2">
      <c r="A6270" s="3" t="str">
        <f>IFERROR(__xludf.DUMMYFUNCTION("GOOGLETRANSLATE(A6270,""en"",""pt"")"),"The Last Stand e Missão Impossível 3 ambos eram filmes impressionantes.")</f>
        <v>The Last Stand e Missão Impossível 3 ambos eram filmes impressionantes.</v>
      </c>
      <c r="B6270" s="3">
        <v>1</v>
      </c>
    </row>
    <row r="6271" ht="15.75" customHeight="1" spans="1:2">
      <c r="A6271" s="3" t="str">
        <f>IFERROR(__xludf.DUMMYFUNCTION("GOOGLETRANSLATE(A6271,""en"",""pt"")"),"eu amo Kirsten / leah / escapadas Kate e missão tom impossível bem ...")</f>
        <v>eu amo Kirsten / leah / escapadas Kate e missão tom impossível bem ...</v>
      </c>
      <c r="B6271" s="3">
        <v>1</v>
      </c>
    </row>
    <row r="6272" ht="15.75" customHeight="1" spans="1:2">
      <c r="A6272" s="3" t="str">
        <f>IFERROR(__xludf.DUMMYFUNCTION("GOOGLETRANSLATE(A6272,""en"",""pt"")"),"missão impossível 2 rochas !! ....")</f>
        <v>missão impossível 2 rochas !! ....</v>
      </c>
      <c r="B6272" s="3">
        <v>1</v>
      </c>
    </row>
    <row r="6273" ht="15.75" customHeight="1" spans="1:2">
      <c r="A6273" s="3" t="str">
        <f>IFERROR(__xludf.DUMMYFUNCTION("GOOGLETRANSLATE(A6273,""en"",""pt"")"),"Nós estamos indo como Missão Impossível relógio ou buzina. (")</f>
        <v>Nós estamos indo como Missão Impossível relógio ou buzina. (</v>
      </c>
      <c r="B6273" s="3">
        <v>1</v>
      </c>
    </row>
    <row r="6274" ht="15.75" customHeight="1" spans="1:2">
      <c r="A6274" s="3" t="str">
        <f>IFERROR(__xludf.DUMMYFUNCTION("GOOGLETRANSLATE(A6274,""en"",""pt"")"),"É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74" s="3">
        <v>1</v>
      </c>
    </row>
    <row r="6275" ht="15.75" customHeight="1" spans="1:2">
      <c r="A6275" s="3" t="str">
        <f>IFERROR(__xludf.DUMMYFUNCTION("GOOGLETRANSLATE(A6275,""en"",""pt"")"),"eu amo ser uma sentinela para a missão impossível e uma estação para bonkers.")</f>
        <v>eu amo ser uma sentinela para a missão impossível e uma estação para bonkers.</v>
      </c>
      <c r="B6275" s="3">
        <v>1</v>
      </c>
    </row>
    <row r="6276" ht="15.75" customHeight="1" spans="1:2">
      <c r="A6276" s="3" t="str">
        <f>IFERROR(__xludf.DUMMYFUNCTION("GOOGLETRANSLATE(A6276,""en"",""pt"")"),"I como Missão filmes impossível, porque você nunca sabe quem está do lado direito.")</f>
        <v>I como Missão filmes impossível, porque você nunca sabe quem está do lado direito.</v>
      </c>
      <c r="B6276" s="3">
        <v>1</v>
      </c>
    </row>
    <row r="6277" ht="15.75" customHeight="1" spans="1:2">
      <c r="A6277" s="3" t="str">
        <f>IFERROR(__xludf.DUMMYFUNCTION("GOOGLETRANSLATE(A6277,""en"",""pt"")"),"Missão Impossível 3 foi excelente.")</f>
        <v>Missão Impossível 3 foi excelente.</v>
      </c>
      <c r="B6277" s="3">
        <v>1</v>
      </c>
    </row>
    <row r="6278" ht="15.75" customHeight="1" spans="1:2">
      <c r="A6278" s="3" t="str">
        <f>IFERROR(__xludf.DUMMYFUNCTION("GOOGLETRANSLATE(A6278,""en"",""pt"")"),"Assim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78" s="3">
        <v>1</v>
      </c>
    </row>
    <row r="6279" ht="15.75" customHeight="1" spans="1:2">
      <c r="A6279" s="3" t="str">
        <f>IFERROR(__xludf.DUMMYFUNCTION("GOOGLETRANSLATE(A6279,""en"",""pt"")"),"Eu gostei do primeiro ""Missão Impossível.")</f>
        <v>Eu gostei do primeiro "Missão Impossível.</v>
      </c>
      <c r="B6279" s="3">
        <v>1</v>
      </c>
    </row>
    <row r="6280" ht="15.75" customHeight="1" spans="1:2">
      <c r="A6280" s="3" t="str">
        <f>IFERROR(__xludf.DUMMYFUNCTION("GOOGLETRANSLATE(A6280,""en"",""pt"")"),"The Last Stand e Missão Impossível 3 ambos eram filmes impressionantes.")</f>
        <v>The Last Stand e Missão Impossível 3 ambos eram filmes impressionantes.</v>
      </c>
      <c r="B6280" s="3">
        <v>1</v>
      </c>
    </row>
    <row r="6281" ht="15.75" customHeight="1" spans="1:2">
      <c r="A6281" s="3" t="str">
        <f>IFERROR(__xludf.DUMMYFUNCTION("GOOGLETRANSLATE(A6281,""en"",""pt"")"),"eu amo Kirsten / leah / escapadas Kate e missão tom impossível bem ...")</f>
        <v>eu amo Kirsten / leah / escapadas Kate e missão tom impossível bem ...</v>
      </c>
      <c r="B6281" s="3">
        <v>1</v>
      </c>
    </row>
    <row r="6282" ht="15.75" customHeight="1" spans="1:2">
      <c r="A6282" s="3" t="str">
        <f>IFERROR(__xludf.DUMMYFUNCTION("GOOGLETRANSLATE(A6282,""en"",""pt"")"),"missão impossível 2 rochas !! ....")</f>
        <v>missão impossível 2 rochas !! ....</v>
      </c>
      <c r="B6282" s="3">
        <v>1</v>
      </c>
    </row>
    <row r="6283" ht="15.75" customHeight="1" spans="1:2">
      <c r="A6283" s="3" t="str">
        <f>IFERROR(__xludf.DUMMYFUNCTION("GOOGLETRANSLATE(A6283,""en"",""pt"")"),"Nós estamos indo como Missão Impossível relógio ou buzina. (")</f>
        <v>Nós estamos indo como Missão Impossível relógio ou buzina. (</v>
      </c>
      <c r="B6283" s="3">
        <v>1</v>
      </c>
    </row>
    <row r="6284" ht="15.75" customHeight="1" spans="1:2">
      <c r="A6284" s="3" t="str">
        <f>IFERROR(__xludf.DUMMYFUNCTION("GOOGLETRANSLATE(A6284,""en"",""pt"")"),"É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84" s="3">
        <v>1</v>
      </c>
    </row>
    <row r="6285" ht="15.75" customHeight="1" spans="1:2">
      <c r="A6285" s="3" t="str">
        <f>IFERROR(__xludf.DUMMYFUNCTION("GOOGLETRANSLATE(A6285,""en"",""pt"")"),"eu amo ser uma sentinela para a missão impossível e uma estação para bonkers.")</f>
        <v>eu amo ser uma sentinela para a missão impossível e uma estação para bonkers.</v>
      </c>
      <c r="B6285" s="3">
        <v>1</v>
      </c>
    </row>
    <row r="6286" ht="15.75" customHeight="1" spans="1:2">
      <c r="A6286" s="3" t="str">
        <f>IFERROR(__xludf.DUMMYFUNCTION("GOOGLETRANSLATE(A6286,""en"",""pt"")"),"I como Missão filmes impossível, porque você nunca sabe quem está do lado direito.")</f>
        <v>I como Missão filmes impossível, porque você nunca sabe quem está do lado direito.</v>
      </c>
      <c r="B6286" s="3">
        <v>1</v>
      </c>
    </row>
    <row r="6287" ht="15.75" customHeight="1" spans="1:2">
      <c r="A6287" s="3" t="str">
        <f>IFERROR(__xludf.DUMMYFUNCTION("GOOGLETRANSLATE(A6287,""en"",""pt"")"),"Missão Impossível 3 foi excelente.")</f>
        <v>Missão Impossível 3 foi excelente.</v>
      </c>
      <c r="B6287" s="3">
        <v>1</v>
      </c>
    </row>
    <row r="6288" ht="15.75" customHeight="1" spans="1:2">
      <c r="A6288" s="3" t="str">
        <f>IFERROR(__xludf.DUMMYFUNCTION("GOOGLETRANSLATE(A6288,""en"",""pt"")"),"Assim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88" s="3">
        <v>1</v>
      </c>
    </row>
    <row r="6289" ht="15.75" customHeight="1" spans="1:2">
      <c r="A6289" s="3" t="str">
        <f>IFERROR(__xludf.DUMMYFUNCTION("GOOGLETRANSLATE(A6289,""en"",""pt"")"),"Eu gostei do primeiro ""Missão Impossível.")</f>
        <v>Eu gostei do primeiro "Missão Impossível.</v>
      </c>
      <c r="B6289" s="3">
        <v>1</v>
      </c>
    </row>
    <row r="6290" ht="15.75" customHeight="1" spans="1:2">
      <c r="A6290" s="3" t="str">
        <f>IFERROR(__xludf.DUMMYFUNCTION("GOOGLETRANSLATE(A6290,""en"",""pt"")"),"The Last Stand e Missão Impossível 3 ambos eram filmes impressionantes.")</f>
        <v>The Last Stand e Missão Impossível 3 ambos eram filmes impressionantes.</v>
      </c>
      <c r="B6290" s="3">
        <v>1</v>
      </c>
    </row>
    <row r="6291" ht="15.75" customHeight="1" spans="1:2">
      <c r="A6291" s="3" t="str">
        <f>IFERROR(__xludf.DUMMYFUNCTION("GOOGLETRANSLATE(A6291,""en"",""pt"")"),"eu amo Kirsten / leah / escapadas Kate e missão tom impossível bem ...")</f>
        <v>eu amo Kirsten / leah / escapadas Kate e missão tom impossível bem ...</v>
      </c>
      <c r="B6291" s="3">
        <v>1</v>
      </c>
    </row>
    <row r="6292" ht="15.75" customHeight="1" spans="1:2">
      <c r="A6292" s="3" t="str">
        <f>IFERROR(__xludf.DUMMYFUNCTION("GOOGLETRANSLATE(A6292,""en"",""pt"")"),"missão impossível 2 rochas !! ....")</f>
        <v>missão impossível 2 rochas !! ....</v>
      </c>
      <c r="B6292" s="3">
        <v>1</v>
      </c>
    </row>
    <row r="6293" ht="15.75" customHeight="1" spans="1:2">
      <c r="A6293" s="3" t="str">
        <f>IFERROR(__xludf.DUMMYFUNCTION("GOOGLETRANSLATE(A6293,""en"",""pt"")"),"Nós estamos indo como Missão Impossível relógio ou buzina. (")</f>
        <v>Nós estamos indo como Missão Impossível relógio ou buzina. (</v>
      </c>
      <c r="B6293" s="3">
        <v>1</v>
      </c>
    </row>
    <row r="6294" ht="15.75" customHeight="1" spans="1:2">
      <c r="A6294" s="3" t="str">
        <f>IFERROR(__xludf.DUMMYFUNCTION("GOOGLETRANSLATE(A6294,""en"",""pt"")"),"É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294" s="3">
        <v>1</v>
      </c>
    </row>
    <row r="6295" ht="15.75" customHeight="1" spans="1:2">
      <c r="A6295" s="3" t="str">
        <f>IFERROR(__xludf.DUMMYFUNCTION("GOOGLETRANSLATE(A6295,""en"",""pt"")"),"eu amo ser uma sentinela para a missão impossível e uma estação para bonkers.")</f>
        <v>eu amo ser uma sentinela para a missão impossível e uma estação para bonkers.</v>
      </c>
      <c r="B6295" s="3">
        <v>1</v>
      </c>
    </row>
    <row r="6296" ht="15.75" customHeight="1" spans="1:2">
      <c r="A6296" s="3" t="str">
        <f>IFERROR(__xludf.DUMMYFUNCTION("GOOGLETRANSLATE(A6296,""en"",""pt"")"),"I como Missão filmes impossível, porque você nunca sabe quem está do lado direito.")</f>
        <v>I como Missão filmes impossível, porque você nunca sabe quem está do lado direito.</v>
      </c>
      <c r="B6296" s="3">
        <v>1</v>
      </c>
    </row>
    <row r="6297" ht="15.75" customHeight="1" spans="1:2">
      <c r="A6297" s="3" t="str">
        <f>IFERROR(__xludf.DUMMYFUNCTION("GOOGLETRANSLATE(A6297,""en"",""pt"")"),"Missão Impossível 3 foi excelente.")</f>
        <v>Missão Impossível 3 foi excelente.</v>
      </c>
      <c r="B6297" s="3">
        <v>1</v>
      </c>
    </row>
    <row r="6298" ht="15.75" customHeight="1" spans="1:2">
      <c r="A6298" s="3" t="str">
        <f>IFERROR(__xludf.DUMMYFUNCTION("GOOGLETRANSLATE(A6298,""en"",""pt"")"),"Assim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298" s="3">
        <v>1</v>
      </c>
    </row>
    <row r="6299" ht="15.75" customHeight="1" spans="1:2">
      <c r="A6299" s="3" t="str">
        <f>IFERROR(__xludf.DUMMYFUNCTION("GOOGLETRANSLATE(A6299,""en"",""pt"")"),"Eu gostei do primeiro ""Missão Impossível.")</f>
        <v>Eu gostei do primeiro "Missão Impossível.</v>
      </c>
      <c r="B6299" s="3">
        <v>1</v>
      </c>
    </row>
    <row r="6300" ht="15.75" customHeight="1" spans="1:2">
      <c r="A6300" s="3" t="str">
        <f>IFERROR(__xludf.DUMMYFUNCTION("GOOGLETRANSLATE(A6300,""en"",""pt"")"),"The Last Stand e Missão Impossível 3 ambos eram filmes impressionantes.")</f>
        <v>The Last Stand e Missão Impossível 3 ambos eram filmes impressionantes.</v>
      </c>
      <c r="B6300" s="3">
        <v>1</v>
      </c>
    </row>
    <row r="6301" ht="15.75" customHeight="1" spans="1:2">
      <c r="A6301" s="3" t="str">
        <f>IFERROR(__xludf.DUMMYFUNCTION("GOOGLETRANSLATE(A6301,""en"",""pt"")"),"eu amo Kirsten / leah / escapadas Kate e missão tom impossível bem ...")</f>
        <v>eu amo Kirsten / leah / escapadas Kate e missão tom impossível bem ...</v>
      </c>
      <c r="B6301" s="3">
        <v>1</v>
      </c>
    </row>
    <row r="6302" ht="15.75" customHeight="1" spans="1:2">
      <c r="A6302" s="3" t="str">
        <f>IFERROR(__xludf.DUMMYFUNCTION("GOOGLETRANSLATE(A6302,""en"",""pt"")"),"missão impossível 2 rochas !! ....")</f>
        <v>missão impossível 2 rochas !! ....</v>
      </c>
      <c r="B6302" s="3">
        <v>1</v>
      </c>
    </row>
    <row r="6303" ht="15.75" customHeight="1" spans="1:2">
      <c r="A6303" s="3" t="str">
        <f>IFERROR(__xludf.DUMMYFUNCTION("GOOGLETRANSLATE(A6303,""en"",""pt"")"),"Nós estamos indo como Missão Impossível relógio ou buzina. (")</f>
        <v>Nós estamos indo como Missão Impossível relógio ou buzina. (</v>
      </c>
      <c r="B6303" s="3">
        <v>1</v>
      </c>
    </row>
    <row r="6304" ht="15.75" customHeight="1" spans="1:2">
      <c r="A6304" s="3" t="str">
        <f>IFERROR(__xludf.DUMMYFUNCTION("GOOGLETRANSLATE(A6304,""en"",""pt"")"),"É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04" s="3">
        <v>1</v>
      </c>
    </row>
    <row r="6305" ht="15.75" customHeight="1" spans="1:2">
      <c r="A6305" s="3" t="str">
        <f>IFERROR(__xludf.DUMMYFUNCTION("GOOGLETRANSLATE(A6305,""en"",""pt"")"),"eu amo ser uma sentinela para a missão impossível e uma estação para bonkers.")</f>
        <v>eu amo ser uma sentinela para a missão impossível e uma estação para bonkers.</v>
      </c>
      <c r="B6305" s="3">
        <v>1</v>
      </c>
    </row>
    <row r="6306" ht="15.75" customHeight="1" spans="1:2">
      <c r="A6306" s="3" t="str">
        <f>IFERROR(__xludf.DUMMYFUNCTION("GOOGLETRANSLATE(A6306,""en"",""pt"")"),"I como Missão filmes impossível, porque você nunca sabe quem está do lado direito.")</f>
        <v>I como Missão filmes impossível, porque você nunca sabe quem está do lado direito.</v>
      </c>
      <c r="B6306" s="3">
        <v>1</v>
      </c>
    </row>
    <row r="6307" ht="15.75" customHeight="1" spans="1:2">
      <c r="A6307" s="3" t="str">
        <f>IFERROR(__xludf.DUMMYFUNCTION("GOOGLETRANSLATE(A6307,""en"",""pt"")"),"Missão Impossível 3 foi excelente.")</f>
        <v>Missão Impossível 3 foi excelente.</v>
      </c>
      <c r="B6307" s="3">
        <v>1</v>
      </c>
    </row>
    <row r="6308" ht="15.75" customHeight="1" spans="1:2">
      <c r="A6308" s="3" t="str">
        <f>IFERROR(__xludf.DUMMYFUNCTION("GOOGLETRANSLATE(A6308,""en"",""pt"")"),"Assim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08" s="3">
        <v>1</v>
      </c>
    </row>
    <row r="6309" ht="15.75" customHeight="1" spans="1:2">
      <c r="A6309" s="3" t="str">
        <f>IFERROR(__xludf.DUMMYFUNCTION("GOOGLETRANSLATE(A6309,""en"",""pt"")"),"Eu gostei do primeiro ""Missão Impossível.")</f>
        <v>Eu gostei do primeiro "Missão Impossível.</v>
      </c>
      <c r="B6309" s="3">
        <v>1</v>
      </c>
    </row>
    <row r="6310" ht="15.75" customHeight="1" spans="1:2">
      <c r="A6310" s="3" t="str">
        <f>IFERROR(__xludf.DUMMYFUNCTION("GOOGLETRANSLATE(A6310,""en"",""pt"")"),"The Last Stand e Missão Impossível 3 ambos eram filmes impressionantes.")</f>
        <v>The Last Stand e Missão Impossível 3 ambos eram filmes impressionantes.</v>
      </c>
      <c r="B6310" s="3">
        <v>1</v>
      </c>
    </row>
    <row r="6311" ht="15.75" customHeight="1" spans="1:2">
      <c r="A6311" s="3" t="str">
        <f>IFERROR(__xludf.DUMMYFUNCTION("GOOGLETRANSLATE(A6311,""en"",""pt"")"),"eu amo Kirsten / leah / escapadas Kate e missão tom impossível bem ...")</f>
        <v>eu amo Kirsten / leah / escapadas Kate e missão tom impossível bem ...</v>
      </c>
      <c r="B6311" s="3">
        <v>1</v>
      </c>
    </row>
    <row r="6312" ht="15.75" customHeight="1" spans="1:2">
      <c r="A6312" s="3" t="str">
        <f>IFERROR(__xludf.DUMMYFUNCTION("GOOGLETRANSLATE(A6312,""en"",""pt"")"),"missão impossível 2 rochas !! ....")</f>
        <v>missão impossível 2 rochas !! ....</v>
      </c>
      <c r="B6312" s="3">
        <v>1</v>
      </c>
    </row>
    <row r="6313" ht="15.75" customHeight="1" spans="1:2">
      <c r="A6313" s="3" t="str">
        <f>IFERROR(__xludf.DUMMYFUNCTION("GOOGLETRANSLATE(A6313,""en"",""pt"")"),"Nós estamos indo como Missão Impossível relógio ou buzina. (")</f>
        <v>Nós estamos indo como Missão Impossível relógio ou buzina. (</v>
      </c>
      <c r="B6313" s="3">
        <v>1</v>
      </c>
    </row>
    <row r="6314" ht="15.75" customHeight="1" spans="1:2">
      <c r="A6314" s="3" t="str">
        <f>IFERROR(__xludf.DUMMYFUNCTION("GOOGLETRANSLATE(A6314,""en"",""pt"")"),"É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14" s="3">
        <v>1</v>
      </c>
    </row>
    <row r="6315" ht="15.75" customHeight="1" spans="1:2">
      <c r="A6315" s="3" t="str">
        <f>IFERROR(__xludf.DUMMYFUNCTION("GOOGLETRANSLATE(A6315,""en"",""pt"")"),"eu amo ser uma sentinela para a missão impossível e uma estação para bonkers.")</f>
        <v>eu amo ser uma sentinela para a missão impossível e uma estação para bonkers.</v>
      </c>
      <c r="B6315" s="3">
        <v>1</v>
      </c>
    </row>
    <row r="6316" ht="15.75" customHeight="1" spans="1:2">
      <c r="A6316" s="3" t="str">
        <f>IFERROR(__xludf.DUMMYFUNCTION("GOOGLETRANSLATE(A6316,""en"",""pt"")"),"I como Missão filmes impossível, porque você nunca sabe quem está do lado direito.")</f>
        <v>I como Missão filmes impossível, porque você nunca sabe quem está do lado direito.</v>
      </c>
      <c r="B6316" s="3">
        <v>1</v>
      </c>
    </row>
    <row r="6317" ht="15.75" customHeight="1" spans="1:2">
      <c r="A6317" s="3" t="str">
        <f>IFERROR(__xludf.DUMMYFUNCTION("GOOGLETRANSLATE(A6317,""en"",""pt"")"),"Missão Impossível 3 foi excelente.")</f>
        <v>Missão Impossível 3 foi excelente.</v>
      </c>
      <c r="B6317" s="3">
        <v>1</v>
      </c>
    </row>
    <row r="6318" ht="15.75" customHeight="1" spans="1:2">
      <c r="A6318" s="3" t="str">
        <f>IFERROR(__xludf.DUMMYFUNCTION("GOOGLETRANSLATE(A6318,""en"",""pt"")"),"Assim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18" s="3">
        <v>1</v>
      </c>
    </row>
    <row r="6319" ht="15.75" customHeight="1" spans="1:2">
      <c r="A6319" s="3" t="str">
        <f>IFERROR(__xludf.DUMMYFUNCTION("GOOGLETRANSLATE(A6319,""en"",""pt"")"),"Eu gostei do primeiro ""Missão Impossível.")</f>
        <v>Eu gostei do primeiro "Missão Impossível.</v>
      </c>
      <c r="B6319" s="3">
        <v>1</v>
      </c>
    </row>
    <row r="6320" ht="15.75" customHeight="1" spans="1:2">
      <c r="A6320" s="3" t="str">
        <f>IFERROR(__xludf.DUMMYFUNCTION("GOOGLETRANSLATE(A6320,""en"",""pt"")"),"The Last Stand e Missão Impossível 3 ambos eram filmes impressionantes.")</f>
        <v>The Last Stand e Missão Impossível 3 ambos eram filmes impressionantes.</v>
      </c>
      <c r="B6320" s="3">
        <v>1</v>
      </c>
    </row>
    <row r="6321" ht="15.75" customHeight="1" spans="1:2">
      <c r="A6321" s="3" t="str">
        <f>IFERROR(__xludf.DUMMYFUNCTION("GOOGLETRANSLATE(A6321,""en"",""pt"")"),"eu amo Kirsten / leah / escapadas Kate e missão tom impossível bem ...")</f>
        <v>eu amo Kirsten / leah / escapadas Kate e missão tom impossível bem ...</v>
      </c>
      <c r="B6321" s="3">
        <v>1</v>
      </c>
    </row>
    <row r="6322" ht="15.75" customHeight="1" spans="1:2">
      <c r="A6322" s="3" t="str">
        <f>IFERROR(__xludf.DUMMYFUNCTION("GOOGLETRANSLATE(A6322,""en"",""pt"")"),"missão impossível 2 rochas !! ....")</f>
        <v>missão impossível 2 rochas !! ....</v>
      </c>
      <c r="B6322" s="3">
        <v>1</v>
      </c>
    </row>
    <row r="6323" ht="15.75" customHeight="1" spans="1:2">
      <c r="A6323" s="3" t="str">
        <f>IFERROR(__xludf.DUMMYFUNCTION("GOOGLETRANSLATE(A6323,""en"",""pt"")"),"Nós estamos indo como Missão Impossível relógio ou buzina. (")</f>
        <v>Nós estamos indo como Missão Impossível relógio ou buzina. (</v>
      </c>
      <c r="B6323" s="3">
        <v>1</v>
      </c>
    </row>
    <row r="6324" ht="15.75" customHeight="1" spans="1:2">
      <c r="A6324" s="3" t="str">
        <f>IFERROR(__xludf.DUMMYFUNCTION("GOOGLETRANSLATE(A6324,""en"",""pt"")"),"É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24" s="3">
        <v>1</v>
      </c>
    </row>
    <row r="6325" ht="15.75" customHeight="1" spans="1:2">
      <c r="A6325" s="3" t="str">
        <f>IFERROR(__xludf.DUMMYFUNCTION("GOOGLETRANSLATE(A6325,""en"",""pt"")"),"eu amo ser uma sentinela para a missão impossível e uma estação para bonkers.")</f>
        <v>eu amo ser uma sentinela para a missão impossível e uma estação para bonkers.</v>
      </c>
      <c r="B6325" s="3">
        <v>1</v>
      </c>
    </row>
    <row r="6326" ht="15.75" customHeight="1" spans="1:2">
      <c r="A6326" s="3" t="str">
        <f>IFERROR(__xludf.DUMMYFUNCTION("GOOGLETRANSLATE(A6326,""en"",""pt"")"),"I como Missão filmes impossível, porque você nunca sabe quem está do lado direito.")</f>
        <v>I como Missão filmes impossível, porque você nunca sabe quem está do lado direito.</v>
      </c>
      <c r="B6326" s="3">
        <v>1</v>
      </c>
    </row>
    <row r="6327" ht="15.75" customHeight="1" spans="1:2">
      <c r="A6327" s="3" t="str">
        <f>IFERROR(__xludf.DUMMYFUNCTION("GOOGLETRANSLATE(A6327,""en"",""pt"")"),"Missão Impossível 3 foi excelente.")</f>
        <v>Missão Impossível 3 foi excelente.</v>
      </c>
      <c r="B6327" s="3">
        <v>1</v>
      </c>
    </row>
    <row r="6328" ht="15.75" customHeight="1" spans="1:2">
      <c r="A6328" s="3" t="str">
        <f>IFERROR(__xludf.DUMMYFUNCTION("GOOGLETRANSLATE(A6328,""en"",""pt"")"),"Assim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28" s="3">
        <v>1</v>
      </c>
    </row>
    <row r="6329" ht="15.75" customHeight="1" spans="1:2">
      <c r="A6329" s="3" t="str">
        <f>IFERROR(__xludf.DUMMYFUNCTION("GOOGLETRANSLATE(A6329,""en"",""pt"")"),"Eu gostei do primeiro ""Missão Impossível.")</f>
        <v>Eu gostei do primeiro "Missão Impossível.</v>
      </c>
      <c r="B6329" s="3">
        <v>1</v>
      </c>
    </row>
    <row r="6330" ht="15.75" customHeight="1" spans="1:2">
      <c r="A6330" s="3" t="str">
        <f>IFERROR(__xludf.DUMMYFUNCTION("GOOGLETRANSLATE(A6330,""en"",""pt"")"),"The Last Stand e Missão Impossível 3 ambos eram filmes impressionantes.")</f>
        <v>The Last Stand e Missão Impossível 3 ambos eram filmes impressionantes.</v>
      </c>
      <c r="B6330" s="3">
        <v>1</v>
      </c>
    </row>
    <row r="6331" ht="15.75" customHeight="1" spans="1:2">
      <c r="A6331" s="3" t="str">
        <f>IFERROR(__xludf.DUMMYFUNCTION("GOOGLETRANSLATE(A6331,""en"",""pt"")"),"eu amo Kirsten / leah / escapadas Kate e missão tom impossível bem ...")</f>
        <v>eu amo Kirsten / leah / escapadas Kate e missão tom impossível bem ...</v>
      </c>
      <c r="B6331" s="3">
        <v>1</v>
      </c>
    </row>
    <row r="6332" ht="15.75" customHeight="1" spans="1:2">
      <c r="A6332" s="3" t="str">
        <f>IFERROR(__xludf.DUMMYFUNCTION("GOOGLETRANSLATE(A6332,""en"",""pt"")"),"missão impossível 2 rochas !! ....")</f>
        <v>missão impossível 2 rochas !! ....</v>
      </c>
      <c r="B6332" s="3">
        <v>1</v>
      </c>
    </row>
    <row r="6333" ht="15.75" customHeight="1" spans="1:2">
      <c r="A6333" s="3" t="str">
        <f>IFERROR(__xludf.DUMMYFUNCTION("GOOGLETRANSLATE(A6333,""en"",""pt"")"),"Nós estamos indo como Missão Impossível relógio ou buzina. (")</f>
        <v>Nós estamos indo como Missão Impossível relógio ou buzina. (</v>
      </c>
      <c r="B6333" s="3">
        <v>1</v>
      </c>
    </row>
    <row r="6334" ht="15.75" customHeight="1" spans="1:2">
      <c r="A6334" s="3" t="str">
        <f>IFERROR(__xludf.DUMMYFUNCTION("GOOGLETRANSLATE(A6334,""en"",""pt"")"),"É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34" s="3">
        <v>1</v>
      </c>
    </row>
    <row r="6335" ht="15.75" customHeight="1" spans="1:2">
      <c r="A6335" s="3" t="str">
        <f>IFERROR(__xludf.DUMMYFUNCTION("GOOGLETRANSLATE(A6335,""en"",""pt"")"),"eu amo ser uma sentinela para a missão impossível e uma estação para bonkers.")</f>
        <v>eu amo ser uma sentinela para a missão impossível e uma estação para bonkers.</v>
      </c>
      <c r="B6335" s="3">
        <v>1</v>
      </c>
    </row>
    <row r="6336" ht="15.75" customHeight="1" spans="1:2">
      <c r="A6336" s="3" t="str">
        <f>IFERROR(__xludf.DUMMYFUNCTION("GOOGLETRANSLATE(A6336,""en"",""pt"")"),"I como Missão filmes impossível, porque você nunca sabe quem está do lado direito.")</f>
        <v>I como Missão filmes impossível, porque você nunca sabe quem está do lado direito.</v>
      </c>
      <c r="B6336" s="3">
        <v>1</v>
      </c>
    </row>
    <row r="6337" ht="15.75" customHeight="1" spans="1:2">
      <c r="A6337" s="3" t="str">
        <f>IFERROR(__xludf.DUMMYFUNCTION("GOOGLETRANSLATE(A6337,""en"",""pt"")"),"Missão Impossível 3 foi excelente.")</f>
        <v>Missão Impossível 3 foi excelente.</v>
      </c>
      <c r="B6337" s="3">
        <v>1</v>
      </c>
    </row>
    <row r="6338" ht="15.75" customHeight="1" spans="1:2">
      <c r="A6338" s="3" t="str">
        <f>IFERROR(__xludf.DUMMYFUNCTION("GOOGLETRANSLATE(A6338,""en"",""pt"")"),"Assim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38" s="3">
        <v>1</v>
      </c>
    </row>
    <row r="6339" ht="15.75" customHeight="1" spans="1:2">
      <c r="A6339" s="3" t="str">
        <f>IFERROR(__xludf.DUMMYFUNCTION("GOOGLETRANSLATE(A6339,""en"",""pt"")"),"Eu gostei do primeiro ""Missão Impossível.")</f>
        <v>Eu gostei do primeiro "Missão Impossível.</v>
      </c>
      <c r="B6339" s="3">
        <v>1</v>
      </c>
    </row>
    <row r="6340" ht="15.75" customHeight="1" spans="1:2">
      <c r="A6340" s="3" t="str">
        <f>IFERROR(__xludf.DUMMYFUNCTION("GOOGLETRANSLATE(A6340,""en"",""pt"")"),"The Last Stand e Missão Impossível 3 ambos eram filmes impressionantes.")</f>
        <v>The Last Stand e Missão Impossível 3 ambos eram filmes impressionantes.</v>
      </c>
      <c r="B6340" s="3">
        <v>1</v>
      </c>
    </row>
    <row r="6341" ht="15.75" customHeight="1" spans="1:2">
      <c r="A6341" s="3" t="str">
        <f>IFERROR(__xludf.DUMMYFUNCTION("GOOGLETRANSLATE(A6341,""en"",""pt"")"),"eu amo Kirsten / leah / escapadas Kate e missão tom impossível bem ...")</f>
        <v>eu amo Kirsten / leah / escapadas Kate e missão tom impossível bem ...</v>
      </c>
      <c r="B6341" s="3">
        <v>1</v>
      </c>
    </row>
    <row r="6342" ht="15.75" customHeight="1" spans="1:2">
      <c r="A6342" s="3" t="str">
        <f>IFERROR(__xludf.DUMMYFUNCTION("GOOGLETRANSLATE(A6342,""en"",""pt"")"),"missão impossível 2 rochas !! ....")</f>
        <v>missão impossível 2 rochas !! ....</v>
      </c>
      <c r="B6342" s="3">
        <v>1</v>
      </c>
    </row>
    <row r="6343" ht="15.75" customHeight="1" spans="1:2">
      <c r="A6343" s="3" t="str">
        <f>IFERROR(__xludf.DUMMYFUNCTION("GOOGLETRANSLATE(A6343,""en"",""pt"")"),"Nós estamos indo como Missão Impossível relógio ou buzina. (")</f>
        <v>Nós estamos indo como Missão Impossível relógio ou buzina. (</v>
      </c>
      <c r="B6343" s="3">
        <v>1</v>
      </c>
    </row>
    <row r="6344" ht="15.75" customHeight="1" spans="1:2">
      <c r="A6344" s="3" t="str">
        <f>IFERROR(__xludf.DUMMYFUNCTION("GOOGLETRANSLATE(A6344,""en"",""pt"")"),"É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44" s="3">
        <v>1</v>
      </c>
    </row>
    <row r="6345" ht="15.75" customHeight="1" spans="1:2">
      <c r="A6345" s="3" t="str">
        <f>IFERROR(__xludf.DUMMYFUNCTION("GOOGLETRANSLATE(A6345,""en"",""pt"")"),"eu amo ser uma sentinela para a missão impossível e uma estação para bonkers.")</f>
        <v>eu amo ser uma sentinela para a missão impossível e uma estação para bonkers.</v>
      </c>
      <c r="B6345" s="3">
        <v>1</v>
      </c>
    </row>
    <row r="6346" ht="15.75" customHeight="1" spans="1:2">
      <c r="A6346" s="3" t="str">
        <f>IFERROR(__xludf.DUMMYFUNCTION("GOOGLETRANSLATE(A6346,""en"",""pt"")"),"I como Missão filmes impossível, porque você nunca sabe quem está do lado direito.")</f>
        <v>I como Missão filmes impossível, porque você nunca sabe quem está do lado direito.</v>
      </c>
      <c r="B6346" s="3">
        <v>1</v>
      </c>
    </row>
    <row r="6347" ht="15.75" customHeight="1" spans="1:2">
      <c r="A6347" s="3" t="str">
        <f>IFERROR(__xludf.DUMMYFUNCTION("GOOGLETRANSLATE(A6347,""en"",""pt"")"),"Missão Impossível 3 foi excelente.")</f>
        <v>Missão Impossível 3 foi excelente.</v>
      </c>
      <c r="B6347" s="3">
        <v>1</v>
      </c>
    </row>
    <row r="6348" ht="15.75" customHeight="1" spans="1:2">
      <c r="A6348" s="3" t="str">
        <f>IFERROR(__xludf.DUMMYFUNCTION("GOOGLETRANSLATE(A6348,""en"",""pt"")"),"Assim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48" s="3">
        <v>1</v>
      </c>
    </row>
    <row r="6349" ht="15.75" customHeight="1" spans="1:2">
      <c r="A6349" s="3" t="str">
        <f>IFERROR(__xludf.DUMMYFUNCTION("GOOGLETRANSLATE(A6349,""en"",""pt"")"),"Eu gostei do primeiro ""Missão Impossível.")</f>
        <v>Eu gostei do primeiro "Missão Impossível.</v>
      </c>
      <c r="B6349" s="3">
        <v>1</v>
      </c>
    </row>
    <row r="6350" ht="15.75" customHeight="1" spans="1:2">
      <c r="A6350" s="3" t="str">
        <f>IFERROR(__xludf.DUMMYFUNCTION("GOOGLETRANSLATE(A6350,""en"",""pt"")"),"The Last Stand e Missão Impossível 3 ambos eram filmes impressionantes.")</f>
        <v>The Last Stand e Missão Impossível 3 ambos eram filmes impressionantes.</v>
      </c>
      <c r="B6350" s="3">
        <v>1</v>
      </c>
    </row>
    <row r="6351" ht="15.75" customHeight="1" spans="1:2">
      <c r="A6351" s="3" t="str">
        <f>IFERROR(__xludf.DUMMYFUNCTION("GOOGLETRANSLATE(A6351,""en"",""pt"")"),"eu amo Kirsten / leah / escapadas Kate e missão tom impossível bem ...")</f>
        <v>eu amo Kirsten / leah / escapadas Kate e missão tom impossível bem ...</v>
      </c>
      <c r="B6351" s="3">
        <v>1</v>
      </c>
    </row>
    <row r="6352" ht="15.75" customHeight="1" spans="1:2">
      <c r="A6352" s="3" t="str">
        <f>IFERROR(__xludf.DUMMYFUNCTION("GOOGLETRANSLATE(A6352,""en"",""pt"")"),"missão impossível 2 rochas !! ....")</f>
        <v>missão impossível 2 rochas !! ....</v>
      </c>
      <c r="B6352" s="3">
        <v>1</v>
      </c>
    </row>
    <row r="6353" ht="15.75" customHeight="1" spans="1:2">
      <c r="A6353" s="3" t="str">
        <f>IFERROR(__xludf.DUMMYFUNCTION("GOOGLETRANSLATE(A6353,""en"",""pt"")"),"Nós estamos indo como Missão Impossível relógio ou buzina. (")</f>
        <v>Nós estamos indo como Missão Impossível relógio ou buzina. (</v>
      </c>
      <c r="B6353" s="3">
        <v>1</v>
      </c>
    </row>
    <row r="6354" ht="15.75" customHeight="1" spans="1:2">
      <c r="A6354" s="3" t="str">
        <f>IFERROR(__xludf.DUMMYFUNCTION("GOOGLETRANSLATE(A6354,""en"",""pt"")"),"É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54" s="3">
        <v>1</v>
      </c>
    </row>
    <row r="6355" ht="15.75" customHeight="1" spans="1:2">
      <c r="A6355" s="3" t="str">
        <f>IFERROR(__xludf.DUMMYFUNCTION("GOOGLETRANSLATE(A6355,""en"",""pt"")"),"eu amo ser uma sentinela para a missão impossível e uma estação para bonkers.")</f>
        <v>eu amo ser uma sentinela para a missão impossível e uma estação para bonkers.</v>
      </c>
      <c r="B6355" s="3">
        <v>1</v>
      </c>
    </row>
    <row r="6356" ht="15.75" customHeight="1" spans="1:2">
      <c r="A6356" s="3" t="str">
        <f>IFERROR(__xludf.DUMMYFUNCTION("GOOGLETRANSLATE(A6356,""en"",""pt"")"),"I como Missão filmes impossível, porque você nunca sabe quem está do lado direito.")</f>
        <v>I como Missão filmes impossível, porque você nunca sabe quem está do lado direito.</v>
      </c>
      <c r="B6356" s="3">
        <v>1</v>
      </c>
    </row>
    <row r="6357" ht="15.75" customHeight="1" spans="1:2">
      <c r="A6357" s="3" t="str">
        <f>IFERROR(__xludf.DUMMYFUNCTION("GOOGLETRANSLATE(A6357,""en"",""pt"")"),"Missão Impossível 3 foi excelente.")</f>
        <v>Missão Impossível 3 foi excelente.</v>
      </c>
      <c r="B6357" s="3">
        <v>1</v>
      </c>
    </row>
    <row r="6358" ht="15.75" customHeight="1" spans="1:2">
      <c r="A6358" s="3" t="str">
        <f>IFERROR(__xludf.DUMMYFUNCTION("GOOGLETRANSLATE(A6358,""en"",""pt"")"),"Assim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58" s="3">
        <v>1</v>
      </c>
    </row>
    <row r="6359" ht="15.75" customHeight="1" spans="1:2">
      <c r="A6359" s="3" t="str">
        <f>IFERROR(__xludf.DUMMYFUNCTION("GOOGLETRANSLATE(A6359,""en"",""pt"")"),"Eu gostei do primeiro ""Missão Impossível.")</f>
        <v>Eu gostei do primeiro "Missão Impossível.</v>
      </c>
      <c r="B6359" s="3">
        <v>1</v>
      </c>
    </row>
    <row r="6360" ht="15.75" customHeight="1" spans="1:2">
      <c r="A6360" s="3" t="str">
        <f>IFERROR(__xludf.DUMMYFUNCTION("GOOGLETRANSLATE(A6360,""en"",""pt"")"),"The Last Stand e Missão Impossível 3 ambos eram filmes impressionantes.")</f>
        <v>The Last Stand e Missão Impossível 3 ambos eram filmes impressionantes.</v>
      </c>
      <c r="B6360" s="3">
        <v>1</v>
      </c>
    </row>
    <row r="6361" ht="15.75" customHeight="1" spans="1:2">
      <c r="A6361" s="3" t="str">
        <f>IFERROR(__xludf.DUMMYFUNCTION("GOOGLETRANSLATE(A6361,""en"",""pt"")"),"eu amo Kirsten / leah / escapadas Kate e missão tom impossível bem ...")</f>
        <v>eu amo Kirsten / leah / escapadas Kate e missão tom impossível bem ...</v>
      </c>
      <c r="B6361" s="3">
        <v>1</v>
      </c>
    </row>
    <row r="6362" ht="15.75" customHeight="1" spans="1:2">
      <c r="A6362" s="3" t="str">
        <f>IFERROR(__xludf.DUMMYFUNCTION("GOOGLETRANSLATE(A6362,""en"",""pt"")"),"missão impossível 2 rochas !! ....")</f>
        <v>missão impossível 2 rochas !! ....</v>
      </c>
      <c r="B6362" s="3">
        <v>1</v>
      </c>
    </row>
    <row r="6363" ht="15.75" customHeight="1" spans="1:2">
      <c r="A6363" s="3" t="str">
        <f>IFERROR(__xludf.DUMMYFUNCTION("GOOGLETRANSLATE(A6363,""en"",""pt"")"),"Nós estamos indo como Missão Impossível relógio ou buzina. (")</f>
        <v>Nós estamos indo como Missão Impossível relógio ou buzina. (</v>
      </c>
      <c r="B6363" s="3">
        <v>1</v>
      </c>
    </row>
    <row r="6364" ht="15.75" customHeight="1" spans="1:2">
      <c r="A6364" s="3" t="str">
        <f>IFERROR(__xludf.DUMMYFUNCTION("GOOGLETRANSLATE(A6364,""en"",""pt"")"),"É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64" s="3">
        <v>1</v>
      </c>
    </row>
    <row r="6365" ht="15.75" customHeight="1" spans="1:2">
      <c r="A6365" s="3" t="str">
        <f>IFERROR(__xludf.DUMMYFUNCTION("GOOGLETRANSLATE(A6365,""en"",""pt"")"),"eu amo ser uma sentinela para a missão impossível e uma estação para bonkers.")</f>
        <v>eu amo ser uma sentinela para a missão impossível e uma estação para bonkers.</v>
      </c>
      <c r="B6365" s="3">
        <v>1</v>
      </c>
    </row>
    <row r="6366" ht="15.75" customHeight="1" spans="1:2">
      <c r="A6366" s="3" t="str">
        <f>IFERROR(__xludf.DUMMYFUNCTION("GOOGLETRANSLATE(A6366,""en"",""pt"")"),"I como Missão filmes impossível, porque você nunca sabe quem está do lado direito.")</f>
        <v>I como Missão filmes impossível, porque você nunca sabe quem está do lado direito.</v>
      </c>
      <c r="B6366" s="3">
        <v>1</v>
      </c>
    </row>
    <row r="6367" ht="15.75" customHeight="1" spans="1:2">
      <c r="A6367" s="3" t="str">
        <f>IFERROR(__xludf.DUMMYFUNCTION("GOOGLETRANSLATE(A6367,""en"",""pt"")"),"Missão Impossível 3 foi excelente.")</f>
        <v>Missão Impossível 3 foi excelente.</v>
      </c>
      <c r="B6367" s="3">
        <v>1</v>
      </c>
    </row>
    <row r="6368" ht="15.75" customHeight="1" spans="1:2">
      <c r="A6368" s="3" t="str">
        <f>IFERROR(__xludf.DUMMYFUNCTION("GOOGLETRANSLATE(A6368,""en"",""pt"")"),"Assim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68" s="3">
        <v>1</v>
      </c>
    </row>
    <row r="6369" ht="15.75" customHeight="1" spans="1:2">
      <c r="A6369" s="3" t="str">
        <f>IFERROR(__xludf.DUMMYFUNCTION("GOOGLETRANSLATE(A6369,""en"",""pt"")"),"Eu gostei do primeiro ""Missão Impossível.")</f>
        <v>Eu gostei do primeiro "Missão Impossível.</v>
      </c>
      <c r="B6369" s="3">
        <v>1</v>
      </c>
    </row>
    <row r="6370" ht="15.75" customHeight="1" spans="1:2">
      <c r="A6370" s="3" t="str">
        <f>IFERROR(__xludf.DUMMYFUNCTION("GOOGLETRANSLATE(A6370,""en"",""pt"")"),"The Last Stand e Missão Impossível 3 ambos eram filmes impressionantes.")</f>
        <v>The Last Stand e Missão Impossível 3 ambos eram filmes impressionantes.</v>
      </c>
      <c r="B6370" s="3">
        <v>1</v>
      </c>
    </row>
    <row r="6371" ht="15.75" customHeight="1" spans="1:2">
      <c r="A6371" s="3" t="str">
        <f>IFERROR(__xludf.DUMMYFUNCTION("GOOGLETRANSLATE(A6371,""en"",""pt"")"),"eu amo Kirsten / leah / escapadas Kate e missão tom impossível bem ...")</f>
        <v>eu amo Kirsten / leah / escapadas Kate e missão tom impossível bem ...</v>
      </c>
      <c r="B6371" s="3">
        <v>1</v>
      </c>
    </row>
    <row r="6372" ht="15.75" customHeight="1" spans="1:2">
      <c r="A6372" s="3" t="str">
        <f>IFERROR(__xludf.DUMMYFUNCTION("GOOGLETRANSLATE(A6372,""en"",""pt"")"),"missão impossível 2 rochas !! ....")</f>
        <v>missão impossível 2 rochas !! ....</v>
      </c>
      <c r="B6372" s="3">
        <v>1</v>
      </c>
    </row>
    <row r="6373" ht="15.75" customHeight="1" spans="1:2">
      <c r="A6373" s="3" t="str">
        <f>IFERROR(__xludf.DUMMYFUNCTION("GOOGLETRANSLATE(A6373,""en"",""pt"")"),"Nós estamos indo como Missão Impossível relógio ou buzina. (")</f>
        <v>Nós estamos indo como Missão Impossível relógio ou buzina. (</v>
      </c>
      <c r="B6373" s="3">
        <v>1</v>
      </c>
    </row>
    <row r="6374" ht="15.75" customHeight="1" spans="1:2">
      <c r="A6374" s="3" t="str">
        <f>IFERROR(__xludf.DUMMYFUNCTION("GOOGLETRANSLATE(A6374,""en"",""pt"")"),"É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74" s="3">
        <v>1</v>
      </c>
    </row>
    <row r="6375" ht="15.75" customHeight="1" spans="1:2">
      <c r="A6375" s="3" t="str">
        <f>IFERROR(__xludf.DUMMYFUNCTION("GOOGLETRANSLATE(A6375,""en"",""pt"")"),"eu amo ser uma sentinela para a missão impossível e uma estação para bonkers.")</f>
        <v>eu amo ser uma sentinela para a missão impossível e uma estação para bonkers.</v>
      </c>
      <c r="B6375" s="3">
        <v>1</v>
      </c>
    </row>
    <row r="6376" ht="15.75" customHeight="1" spans="1:2">
      <c r="A6376" s="3" t="str">
        <f>IFERROR(__xludf.DUMMYFUNCTION("GOOGLETRANSLATE(A6376,""en"",""pt"")"),"I como Missão filmes impossível, porque você nunca sabe quem está do lado direito.")</f>
        <v>I como Missão filmes impossível, porque você nunca sabe quem está do lado direito.</v>
      </c>
      <c r="B6376" s="3">
        <v>1</v>
      </c>
    </row>
    <row r="6377" ht="15.75" customHeight="1" spans="1:2">
      <c r="A6377" s="3" t="str">
        <f>IFERROR(__xludf.DUMMYFUNCTION("GOOGLETRANSLATE(A6377,""en"",""pt"")"),"Missão Impossível 3 foi excelente.")</f>
        <v>Missão Impossível 3 foi excelente.</v>
      </c>
      <c r="B6377" s="3">
        <v>1</v>
      </c>
    </row>
    <row r="6378" ht="15.75" customHeight="1" spans="1:2">
      <c r="A6378" s="3" t="str">
        <f>IFERROR(__xludf.DUMMYFUNCTION("GOOGLETRANSLATE(A6378,""en"",""pt"")"),"Assim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78" s="3">
        <v>1</v>
      </c>
    </row>
    <row r="6379" ht="15.75" customHeight="1" spans="1:2">
      <c r="A6379" s="3" t="str">
        <f>IFERROR(__xludf.DUMMYFUNCTION("GOOGLETRANSLATE(A6379,""en"",""pt"")"),"Eu gostei do primeiro ""Missão Impossível.")</f>
        <v>Eu gostei do primeiro "Missão Impossível.</v>
      </c>
      <c r="B6379" s="3">
        <v>1</v>
      </c>
    </row>
    <row r="6380" ht="15.75" customHeight="1" spans="1:2">
      <c r="A6380" s="3" t="str">
        <f>IFERROR(__xludf.DUMMYFUNCTION("GOOGLETRANSLATE(A6380,""en"",""pt"")"),"The Last Stand e Missão Impossível 3 ambos eram filmes impressionantes.")</f>
        <v>The Last Stand e Missão Impossível 3 ambos eram filmes impressionantes.</v>
      </c>
      <c r="B6380" s="3">
        <v>1</v>
      </c>
    </row>
    <row r="6381" ht="15.75" customHeight="1" spans="1:2">
      <c r="A6381" s="3" t="str">
        <f>IFERROR(__xludf.DUMMYFUNCTION("GOOGLETRANSLATE(A6381,""en"",""pt"")"),"eu amo Kirsten / leah / escapadas Kate e missão tom impossível bem ...")</f>
        <v>eu amo Kirsten / leah / escapadas Kate e missão tom impossível bem ...</v>
      </c>
      <c r="B6381" s="3">
        <v>1</v>
      </c>
    </row>
    <row r="6382" ht="15.75" customHeight="1" spans="1:2">
      <c r="A6382" s="3" t="str">
        <f>IFERROR(__xludf.DUMMYFUNCTION("GOOGLETRANSLATE(A6382,""en"",""pt"")"),"missão impossível 2 rochas !! ....")</f>
        <v>missão impossível 2 rochas !! ....</v>
      </c>
      <c r="B6382" s="3">
        <v>1</v>
      </c>
    </row>
    <row r="6383" ht="15.75" customHeight="1" spans="1:2">
      <c r="A6383" s="3" t="str">
        <f>IFERROR(__xludf.DUMMYFUNCTION("GOOGLETRANSLATE(A6383,""en"",""pt"")"),"Nós estamos indo como Missão Impossível relógio ou buzina. (")</f>
        <v>Nós estamos indo como Missão Impossível relógio ou buzina. (</v>
      </c>
      <c r="B6383" s="3">
        <v>1</v>
      </c>
    </row>
    <row r="6384" ht="15.75" customHeight="1" spans="1:2">
      <c r="A6384" s="3" t="str">
        <f>IFERROR(__xludf.DUMMYFUNCTION("GOOGLETRANSLATE(A6384,""en"",""pt"")"),"É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84" s="3">
        <v>1</v>
      </c>
    </row>
    <row r="6385" ht="15.75" customHeight="1" spans="1:2">
      <c r="A6385" s="3" t="str">
        <f>IFERROR(__xludf.DUMMYFUNCTION("GOOGLETRANSLATE(A6385,""en"",""pt"")"),"eu amo ser uma sentinela para a missão impossível e uma estação para bonkers.")</f>
        <v>eu amo ser uma sentinela para a missão impossível e uma estação para bonkers.</v>
      </c>
      <c r="B6385" s="3">
        <v>1</v>
      </c>
    </row>
    <row r="6386" ht="15.75" customHeight="1" spans="1:2">
      <c r="A6386" s="3" t="str">
        <f>IFERROR(__xludf.DUMMYFUNCTION("GOOGLETRANSLATE(A6386,""en"",""pt"")"),"I como Missão filmes impossível, porque você nunca sabe quem está do lado direito.")</f>
        <v>I como Missão filmes impossível, porque você nunca sabe quem está do lado direito.</v>
      </c>
      <c r="B6386" s="3">
        <v>1</v>
      </c>
    </row>
    <row r="6387" ht="15.75" customHeight="1" spans="1:2">
      <c r="A6387" s="3" t="str">
        <f>IFERROR(__xludf.DUMMYFUNCTION("GOOGLETRANSLATE(A6387,""en"",""pt"")"),"Missão Impossível 3 foi excelente.")</f>
        <v>Missão Impossível 3 foi excelente.</v>
      </c>
      <c r="B6387" s="3">
        <v>1</v>
      </c>
    </row>
    <row r="6388" ht="15.75" customHeight="1" spans="1:2">
      <c r="A6388" s="3" t="str">
        <f>IFERROR(__xludf.DUMMYFUNCTION("GOOGLETRANSLATE(A6388,""en"",""pt"")"),"Assim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88" s="3">
        <v>1</v>
      </c>
    </row>
    <row r="6389" ht="15.75" customHeight="1" spans="1:2">
      <c r="A6389" s="3" t="str">
        <f>IFERROR(__xludf.DUMMYFUNCTION("GOOGLETRANSLATE(A6389,""en"",""pt"")"),"Eu gostei do primeiro ""Missão Impossível.")</f>
        <v>Eu gostei do primeiro "Missão Impossível.</v>
      </c>
      <c r="B6389" s="3">
        <v>1</v>
      </c>
    </row>
    <row r="6390" ht="15.75" customHeight="1" spans="1:2">
      <c r="A6390" s="3" t="str">
        <f>IFERROR(__xludf.DUMMYFUNCTION("GOOGLETRANSLATE(A6390,""en"",""pt"")"),"The Last Stand e Missão Impossível 3 ambos eram filmes impressionantes.")</f>
        <v>The Last Stand e Missão Impossível 3 ambos eram filmes impressionantes.</v>
      </c>
      <c r="B6390" s="3">
        <v>1</v>
      </c>
    </row>
    <row r="6391" ht="15.75" customHeight="1" spans="1:2">
      <c r="A6391" s="3" t="str">
        <f>IFERROR(__xludf.DUMMYFUNCTION("GOOGLETRANSLATE(A6391,""en"",""pt"")"),"eu amo Kirsten / leah / escapadas Kate e missão tom impossível bem ...")</f>
        <v>eu amo Kirsten / leah / escapadas Kate e missão tom impossível bem ...</v>
      </c>
      <c r="B6391" s="3">
        <v>1</v>
      </c>
    </row>
    <row r="6392" ht="15.75" customHeight="1" spans="1:2">
      <c r="A6392" s="3" t="str">
        <f>IFERROR(__xludf.DUMMYFUNCTION("GOOGLETRANSLATE(A6392,""en"",""pt"")"),"missão impossível 2 rochas !! ....")</f>
        <v>missão impossível 2 rochas !! ....</v>
      </c>
      <c r="B6392" s="3">
        <v>1</v>
      </c>
    </row>
    <row r="6393" ht="15.75" customHeight="1" spans="1:2">
      <c r="A6393" s="3" t="str">
        <f>IFERROR(__xludf.DUMMYFUNCTION("GOOGLETRANSLATE(A6393,""en"",""pt"")"),"Nós estamos indo como Missão Impossível relógio ou buzina. (")</f>
        <v>Nós estamos indo como Missão Impossível relógio ou buzina. (</v>
      </c>
      <c r="B6393" s="3">
        <v>1</v>
      </c>
    </row>
    <row r="6394" ht="15.75" customHeight="1" spans="1:2">
      <c r="A6394" s="3" t="str">
        <f>IFERROR(__xludf.DUMMYFUNCTION("GOOGLETRANSLATE(A6394,""en"",""pt"")"),"É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394" s="3">
        <v>1</v>
      </c>
    </row>
    <row r="6395" ht="15.75" customHeight="1" spans="1:2">
      <c r="A6395" s="3" t="str">
        <f>IFERROR(__xludf.DUMMYFUNCTION("GOOGLETRANSLATE(A6395,""en"",""pt"")"),"eu amo ser uma sentinela para a missão impossível e uma estação para bonkers.")</f>
        <v>eu amo ser uma sentinela para a missão impossível e uma estação para bonkers.</v>
      </c>
      <c r="B6395" s="3">
        <v>1</v>
      </c>
    </row>
    <row r="6396" ht="15.75" customHeight="1" spans="1:2">
      <c r="A6396" s="3" t="str">
        <f>IFERROR(__xludf.DUMMYFUNCTION("GOOGLETRANSLATE(A6396,""en"",""pt"")"),"I como Missão filmes impossível, porque você nunca sabe quem está do lado direito.")</f>
        <v>I como Missão filmes impossível, porque você nunca sabe quem está do lado direito.</v>
      </c>
      <c r="B6396" s="3">
        <v>1</v>
      </c>
    </row>
    <row r="6397" ht="15.75" customHeight="1" spans="1:2">
      <c r="A6397" s="3" t="str">
        <f>IFERROR(__xludf.DUMMYFUNCTION("GOOGLETRANSLATE(A6397,""en"",""pt"")"),"Missão Impossível 3 foi excelente.")</f>
        <v>Missão Impossível 3 foi excelente.</v>
      </c>
      <c r="B6397" s="3">
        <v>1</v>
      </c>
    </row>
    <row r="6398" ht="15.75" customHeight="1" spans="1:2">
      <c r="A6398" s="3" t="str">
        <f>IFERROR(__xludf.DUMMYFUNCTION("GOOGLETRANSLATE(A6398,""en"",""pt"")"),"Assim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398" s="3">
        <v>1</v>
      </c>
    </row>
    <row r="6399" ht="15.75" customHeight="1" spans="1:2">
      <c r="A6399" s="3" t="str">
        <f>IFERROR(__xludf.DUMMYFUNCTION("GOOGLETRANSLATE(A6399,""en"",""pt"")"),"Eu gostei do primeiro ""Missão Impossível.")</f>
        <v>Eu gostei do primeiro "Missão Impossível.</v>
      </c>
      <c r="B6399" s="3">
        <v>1</v>
      </c>
    </row>
    <row r="6400" ht="15.75" customHeight="1" spans="1:2">
      <c r="A6400" s="3" t="str">
        <f>IFERROR(__xludf.DUMMYFUNCTION("GOOGLETRANSLATE(A6400,""en"",""pt"")"),"The Last Stand e Missão Impossível 3 ambos eram filmes impressionantes.")</f>
        <v>The Last Stand e Missão Impossível 3 ambos eram filmes impressionantes.</v>
      </c>
      <c r="B6400" s="3">
        <v>1</v>
      </c>
    </row>
    <row r="6401" ht="15.75" customHeight="1" spans="1:2">
      <c r="A6401" s="3" t="str">
        <f>IFERROR(__xludf.DUMMYFUNCTION("GOOGLETRANSLATE(A6401,""en"",""pt"")"),"eu amo Kirsten / leah / escapadas Kate e missão tom impossível bem ...")</f>
        <v>eu amo Kirsten / leah / escapadas Kate e missão tom impossível bem ...</v>
      </c>
      <c r="B6401" s="3">
        <v>1</v>
      </c>
    </row>
    <row r="6402" ht="15.75" customHeight="1" spans="1:2">
      <c r="A6402" s="3" t="str">
        <f>IFERROR(__xludf.DUMMYFUNCTION("GOOGLETRANSLATE(A6402,""en"",""pt"")"),"missão impossível 2 rochas !! ....")</f>
        <v>missão impossível 2 rochas !! ....</v>
      </c>
      <c r="B6402" s="3">
        <v>1</v>
      </c>
    </row>
    <row r="6403" ht="15.75" customHeight="1" spans="1:2">
      <c r="A6403" s="3" t="str">
        <f>IFERROR(__xludf.DUMMYFUNCTION("GOOGLETRANSLATE(A6403,""en"",""pt"")"),"Nós estamos indo como Missão Impossível relógio ou buzina. (")</f>
        <v>Nós estamos indo como Missão Impossível relógio ou buzina. (</v>
      </c>
      <c r="B6403" s="3">
        <v>1</v>
      </c>
    </row>
    <row r="6404" ht="15.75" customHeight="1" spans="1:2">
      <c r="A6404" s="3" t="str">
        <f>IFERROR(__xludf.DUMMYFUNCTION("GOOGLETRANSLATE(A6404,""en"",""pt"")"),"É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04" s="3">
        <v>1</v>
      </c>
    </row>
    <row r="6405" ht="15.75" customHeight="1" spans="1:2">
      <c r="A6405" s="3" t="str">
        <f>IFERROR(__xludf.DUMMYFUNCTION("GOOGLETRANSLATE(A6405,""en"",""pt"")"),"eu amo ser uma sentinela para a missão impossível e uma estação para bonkers.")</f>
        <v>eu amo ser uma sentinela para a missão impossível e uma estação para bonkers.</v>
      </c>
      <c r="B6405" s="3">
        <v>1</v>
      </c>
    </row>
    <row r="6406" ht="15.75" customHeight="1" spans="1:2">
      <c r="A6406" s="3" t="str">
        <f>IFERROR(__xludf.DUMMYFUNCTION("GOOGLETRANSLATE(A6406,""en"",""pt"")"),"I como Missão filmes impossível, porque você nunca sabe quem está do lado direito.")</f>
        <v>I como Missão filmes impossível, porque você nunca sabe quem está do lado direito.</v>
      </c>
      <c r="B6406" s="3">
        <v>1</v>
      </c>
    </row>
    <row r="6407" ht="15.75" customHeight="1" spans="1:2">
      <c r="A6407" s="3" t="str">
        <f>IFERROR(__xludf.DUMMYFUNCTION("GOOGLETRANSLATE(A6407,""en"",""pt"")"),"Missão Impossível 3 foi excelente.")</f>
        <v>Missão Impossível 3 foi excelente.</v>
      </c>
      <c r="B6407" s="3">
        <v>1</v>
      </c>
    </row>
    <row r="6408" ht="15.75" customHeight="1" spans="1:2">
      <c r="A6408" s="3" t="str">
        <f>IFERROR(__xludf.DUMMYFUNCTION("GOOGLETRANSLATE(A6408,""en"",""pt"")"),"Assim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08" s="3">
        <v>1</v>
      </c>
    </row>
    <row r="6409" ht="15.75" customHeight="1" spans="1:2">
      <c r="A6409" s="3" t="str">
        <f>IFERROR(__xludf.DUMMYFUNCTION("GOOGLETRANSLATE(A6409,""en"",""pt"")"),"Eu gostei do primeiro ""Missão Impossível.")</f>
        <v>Eu gostei do primeiro "Missão Impossível.</v>
      </c>
      <c r="B6409" s="3">
        <v>1</v>
      </c>
    </row>
    <row r="6410" ht="15.75" customHeight="1" spans="1:2">
      <c r="A6410" s="3" t="str">
        <f>IFERROR(__xludf.DUMMYFUNCTION("GOOGLETRANSLATE(A6410,""en"",""pt"")"),"The Last Stand e Missão Impossível 3 ambos eram filmes impressionantes.")</f>
        <v>The Last Stand e Missão Impossível 3 ambos eram filmes impressionantes.</v>
      </c>
      <c r="B6410" s="3">
        <v>1</v>
      </c>
    </row>
    <row r="6411" ht="15.75" customHeight="1" spans="1:2">
      <c r="A6411" s="3" t="str">
        <f>IFERROR(__xludf.DUMMYFUNCTION("GOOGLETRANSLATE(A6411,""en"",""pt"")"),"eu amo Kirsten / leah / escapadas Kate e missão tom impossível bem ...")</f>
        <v>eu amo Kirsten / leah / escapadas Kate e missão tom impossível bem ...</v>
      </c>
      <c r="B6411" s="3">
        <v>1</v>
      </c>
    </row>
    <row r="6412" ht="15.75" customHeight="1" spans="1:2">
      <c r="A6412" s="3" t="str">
        <f>IFERROR(__xludf.DUMMYFUNCTION("GOOGLETRANSLATE(A6412,""en"",""pt"")"),"missão impossível 2 rochas !! ....")</f>
        <v>missão impossível 2 rochas !! ....</v>
      </c>
      <c r="B6412" s="3">
        <v>1</v>
      </c>
    </row>
    <row r="6413" ht="15.75" customHeight="1" spans="1:2">
      <c r="A6413" s="3" t="str">
        <f>IFERROR(__xludf.DUMMYFUNCTION("GOOGLETRANSLATE(A6413,""en"",""pt"")"),"Nós estamos indo como Missão Impossível relógio ou buzina. (")</f>
        <v>Nós estamos indo como Missão Impossível relógio ou buzina. (</v>
      </c>
      <c r="B6413" s="3">
        <v>1</v>
      </c>
    </row>
    <row r="6414" ht="15.75" customHeight="1" spans="1:2">
      <c r="A6414" s="3" t="str">
        <f>IFERROR(__xludf.DUMMYFUNCTION("GOOGLETRANSLATE(A6414,""en"",""pt"")"),"É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14" s="3">
        <v>1</v>
      </c>
    </row>
    <row r="6415" ht="15.75" customHeight="1" spans="1:2">
      <c r="A6415" s="3" t="str">
        <f>IFERROR(__xludf.DUMMYFUNCTION("GOOGLETRANSLATE(A6415,""en"",""pt"")"),"eu amo ser uma sentinela para a missão impossível e uma estação para bonkers.")</f>
        <v>eu amo ser uma sentinela para a missão impossível e uma estação para bonkers.</v>
      </c>
      <c r="B6415" s="3">
        <v>1</v>
      </c>
    </row>
    <row r="6416" ht="15.75" customHeight="1" spans="1:2">
      <c r="A6416" s="3" t="str">
        <f>IFERROR(__xludf.DUMMYFUNCTION("GOOGLETRANSLATE(A6416,""en"",""pt"")"),"I como Missão filmes impossível, porque você nunca sabe quem está do lado direito.")</f>
        <v>I como Missão filmes impossível, porque você nunca sabe quem está do lado direito.</v>
      </c>
      <c r="B6416" s="3">
        <v>1</v>
      </c>
    </row>
    <row r="6417" ht="15.75" customHeight="1" spans="1:2">
      <c r="A6417" s="3" t="str">
        <f>IFERROR(__xludf.DUMMYFUNCTION("GOOGLETRANSLATE(A6417,""en"",""pt"")"),"Missão Impossível 3 foi excelente.")</f>
        <v>Missão Impossível 3 foi excelente.</v>
      </c>
      <c r="B6417" s="3">
        <v>1</v>
      </c>
    </row>
    <row r="6418" ht="15.75" customHeight="1" spans="1:2">
      <c r="A6418" s="3" t="str">
        <f>IFERROR(__xludf.DUMMYFUNCTION("GOOGLETRANSLATE(A6418,""en"",""pt"")"),"Assim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18" s="3">
        <v>1</v>
      </c>
    </row>
    <row r="6419" ht="15.75" customHeight="1" spans="1:2">
      <c r="A6419" s="3" t="str">
        <f>IFERROR(__xludf.DUMMYFUNCTION("GOOGLETRANSLATE(A6419,""en"",""pt"")"),"Eu gostei do primeiro ""Missão Impossível.")</f>
        <v>Eu gostei do primeiro "Missão Impossível.</v>
      </c>
      <c r="B6419" s="3">
        <v>1</v>
      </c>
    </row>
    <row r="6420" ht="15.75" customHeight="1" spans="1:2">
      <c r="A6420" s="3" t="str">
        <f>IFERROR(__xludf.DUMMYFUNCTION("GOOGLETRANSLATE(A6420,""en"",""pt"")"),"The Last Stand e Missão Impossível 3 ambos eram filmes impressionantes.")</f>
        <v>The Last Stand e Missão Impossível 3 ambos eram filmes impressionantes.</v>
      </c>
      <c r="B6420" s="3">
        <v>1</v>
      </c>
    </row>
    <row r="6421" ht="15.75" customHeight="1" spans="1:2">
      <c r="A6421" s="3" t="str">
        <f>IFERROR(__xludf.DUMMYFUNCTION("GOOGLETRANSLATE(A6421,""en"",""pt"")"),"eu amo Kirsten / leah / escapadas Kate e missão tom impossível bem ...")</f>
        <v>eu amo Kirsten / leah / escapadas Kate e missão tom impossível bem ...</v>
      </c>
      <c r="B6421" s="3">
        <v>1</v>
      </c>
    </row>
    <row r="6422" ht="15.75" customHeight="1" spans="1:2">
      <c r="A6422" s="3" t="str">
        <f>IFERROR(__xludf.DUMMYFUNCTION("GOOGLETRANSLATE(A6422,""en"",""pt"")"),"missão impossível 2 rochas !! ....")</f>
        <v>missão impossível 2 rochas !! ....</v>
      </c>
      <c r="B6422" s="3">
        <v>1</v>
      </c>
    </row>
    <row r="6423" ht="15.75" customHeight="1" spans="1:2">
      <c r="A6423" s="3" t="str">
        <f>IFERROR(__xludf.DUMMYFUNCTION("GOOGLETRANSLATE(A6423,""en"",""pt"")"),"Nós estamos indo como Missão Impossível relógio ou buzina. (")</f>
        <v>Nós estamos indo como Missão Impossível relógio ou buzina. (</v>
      </c>
      <c r="B6423" s="3">
        <v>1</v>
      </c>
    </row>
    <row r="6424" ht="15.75" customHeight="1" spans="1:2">
      <c r="A6424" s="3" t="str">
        <f>IFERROR(__xludf.DUMMYFUNCTION("GOOGLETRANSLATE(A6424,""en"",""pt"")"),"É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24" s="3">
        <v>1</v>
      </c>
    </row>
    <row r="6425" ht="15.75" customHeight="1" spans="1:2">
      <c r="A6425" s="3" t="str">
        <f>IFERROR(__xludf.DUMMYFUNCTION("GOOGLETRANSLATE(A6425,""en"",""pt"")"),"eu amo ser uma sentinela para a missão impossível e uma estação para bonkers.")</f>
        <v>eu amo ser uma sentinela para a missão impossível e uma estação para bonkers.</v>
      </c>
      <c r="B6425" s="3">
        <v>1</v>
      </c>
    </row>
    <row r="6426" ht="15.75" customHeight="1" spans="1:2">
      <c r="A6426" s="3" t="str">
        <f>IFERROR(__xludf.DUMMYFUNCTION("GOOGLETRANSLATE(A6426,""en"",""pt"")"),"I como Missão filmes impossível, porque você nunca sabe quem está do lado direito.")</f>
        <v>I como Missão filmes impossível, porque você nunca sabe quem está do lado direito.</v>
      </c>
      <c r="B6426" s="3">
        <v>1</v>
      </c>
    </row>
    <row r="6427" ht="15.75" customHeight="1" spans="1:2">
      <c r="A6427" s="3" t="str">
        <f>IFERROR(__xludf.DUMMYFUNCTION("GOOGLETRANSLATE(A6427,""en"",""pt"")"),"Missão Impossível 3 foi excelente.")</f>
        <v>Missão Impossível 3 foi excelente.</v>
      </c>
      <c r="B6427" s="3">
        <v>1</v>
      </c>
    </row>
    <row r="6428" ht="15.75" customHeight="1" spans="1:2">
      <c r="A6428" s="3" t="str">
        <f>IFERROR(__xludf.DUMMYFUNCTION("GOOGLETRANSLATE(A6428,""en"",""pt"")"),"Assim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28" s="3">
        <v>1</v>
      </c>
    </row>
    <row r="6429" ht="15.75" customHeight="1" spans="1:2">
      <c r="A6429" s="3" t="str">
        <f>IFERROR(__xludf.DUMMYFUNCTION("GOOGLETRANSLATE(A6429,""en"",""pt"")"),"Eu gostei do primeiro ""Missão Impossível.")</f>
        <v>Eu gostei do primeiro "Missão Impossível.</v>
      </c>
      <c r="B6429" s="3">
        <v>1</v>
      </c>
    </row>
    <row r="6430" ht="15.75" customHeight="1" spans="1:2">
      <c r="A6430" s="3" t="str">
        <f>IFERROR(__xludf.DUMMYFUNCTION("GOOGLETRANSLATE(A6430,""en"",""pt"")"),"The Last Stand e Missão Impossível 3 ambos eram filmes impressionantes.")</f>
        <v>The Last Stand e Missão Impossível 3 ambos eram filmes impressionantes.</v>
      </c>
      <c r="B6430" s="3">
        <v>1</v>
      </c>
    </row>
    <row r="6431" ht="15.75" customHeight="1" spans="1:2">
      <c r="A6431" s="3" t="str">
        <f>IFERROR(__xludf.DUMMYFUNCTION("GOOGLETRANSLATE(A6431,""en"",""pt"")"),"eu amo Kirsten / leah / escapadas Kate e missão tom impossível bem ...")</f>
        <v>eu amo Kirsten / leah / escapadas Kate e missão tom impossível bem ...</v>
      </c>
      <c r="B6431" s="3">
        <v>1</v>
      </c>
    </row>
    <row r="6432" ht="15.75" customHeight="1" spans="1:2">
      <c r="A6432" s="3" t="str">
        <f>IFERROR(__xludf.DUMMYFUNCTION("GOOGLETRANSLATE(A6432,""en"",""pt"")"),"missão impossível 2 rochas !! ....")</f>
        <v>missão impossível 2 rochas !! ....</v>
      </c>
      <c r="B6432" s="3">
        <v>1</v>
      </c>
    </row>
    <row r="6433" ht="15.75" customHeight="1" spans="1:2">
      <c r="A6433" s="3" t="str">
        <f>IFERROR(__xludf.DUMMYFUNCTION("GOOGLETRANSLATE(A6433,""en"",""pt"")"),"Nós estamos indo como Missão Impossível relógio ou buzina. (")</f>
        <v>Nós estamos indo como Missão Impossível relógio ou buzina. (</v>
      </c>
      <c r="B6433" s="3">
        <v>1</v>
      </c>
    </row>
    <row r="6434" ht="15.75" customHeight="1" spans="1:2">
      <c r="A6434" s="3" t="str">
        <f>IFERROR(__xludf.DUMMYFUNCTION("GOOGLETRANSLATE(A6434,""en"",""pt"")"),"É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34" s="3">
        <v>1</v>
      </c>
    </row>
    <row r="6435" ht="15.75" customHeight="1" spans="1:2">
      <c r="A6435" s="3" t="str">
        <f>IFERROR(__xludf.DUMMYFUNCTION("GOOGLETRANSLATE(A6435,""en"",""pt"")"),"eu amo ser uma sentinela para a missão impossível e uma estação para bonkers.")</f>
        <v>eu amo ser uma sentinela para a missão impossível e uma estação para bonkers.</v>
      </c>
      <c r="B6435" s="3">
        <v>1</v>
      </c>
    </row>
    <row r="6436" ht="15.75" customHeight="1" spans="1:2">
      <c r="A6436" s="3" t="str">
        <f>IFERROR(__xludf.DUMMYFUNCTION("GOOGLETRANSLATE(A6436,""en"",""pt"")"),"I como Missão filmes impossível, porque você nunca sabe quem está do lado direito.")</f>
        <v>I como Missão filmes impossível, porque você nunca sabe quem está do lado direito.</v>
      </c>
      <c r="B6436" s="3">
        <v>1</v>
      </c>
    </row>
    <row r="6437" ht="15.75" customHeight="1" spans="1:2">
      <c r="A6437" s="3" t="str">
        <f>IFERROR(__xludf.DUMMYFUNCTION("GOOGLETRANSLATE(A6437,""en"",""pt"")"),"Missão Impossível 3 foi excelente.")</f>
        <v>Missão Impossível 3 foi excelente.</v>
      </c>
      <c r="B6437" s="3">
        <v>1</v>
      </c>
    </row>
    <row r="6438" ht="15.75" customHeight="1" spans="1:2">
      <c r="A6438" s="3" t="str">
        <f>IFERROR(__xludf.DUMMYFUNCTION("GOOGLETRANSLATE(A6438,""en"",""pt"")"),"Assim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38" s="3">
        <v>1</v>
      </c>
    </row>
    <row r="6439" ht="15.75" customHeight="1" spans="1:2">
      <c r="A6439" s="3" t="str">
        <f>IFERROR(__xludf.DUMMYFUNCTION("GOOGLETRANSLATE(A6439,""en"",""pt"")"),"Eu gostei do primeiro ""Missão Impossível.")</f>
        <v>Eu gostei do primeiro "Missão Impossível.</v>
      </c>
      <c r="B6439" s="3">
        <v>1</v>
      </c>
    </row>
    <row r="6440" ht="15.75" customHeight="1" spans="1:2">
      <c r="A6440" s="3" t="str">
        <f>IFERROR(__xludf.DUMMYFUNCTION("GOOGLETRANSLATE(A6440,""en"",""pt"")"),"The Last Stand e Missão Impossível 3 ambos eram filmes impressionantes.")</f>
        <v>The Last Stand e Missão Impossível 3 ambos eram filmes impressionantes.</v>
      </c>
      <c r="B6440" s="3">
        <v>1</v>
      </c>
    </row>
    <row r="6441" ht="15.75" customHeight="1" spans="1:2">
      <c r="A6441" s="3" t="str">
        <f>IFERROR(__xludf.DUMMYFUNCTION("GOOGLETRANSLATE(A6441,""en"",""pt"")"),"eu amo Kirsten / leah / escapadas Kate e missão tom impossível bem ...")</f>
        <v>eu amo Kirsten / leah / escapadas Kate e missão tom impossível bem ...</v>
      </c>
      <c r="B6441" s="3">
        <v>1</v>
      </c>
    </row>
    <row r="6442" ht="15.75" customHeight="1" spans="1:2">
      <c r="A6442" s="3" t="str">
        <f>IFERROR(__xludf.DUMMYFUNCTION("GOOGLETRANSLATE(A6442,""en"",""pt"")"),"missão impossível 2 rochas !! ....")</f>
        <v>missão impossível 2 rochas !! ....</v>
      </c>
      <c r="B6442" s="3">
        <v>1</v>
      </c>
    </row>
    <row r="6443" ht="15.75" customHeight="1" spans="1:2">
      <c r="A6443" s="3" t="str">
        <f>IFERROR(__xludf.DUMMYFUNCTION("GOOGLETRANSLATE(A6443,""en"",""pt"")"),"Nós estamos indo como Missão Impossível relógio ou buzina. (")</f>
        <v>Nós estamos indo como Missão Impossível relógio ou buzina. (</v>
      </c>
      <c r="B6443" s="3">
        <v>1</v>
      </c>
    </row>
    <row r="6444" ht="15.75" customHeight="1" spans="1:2">
      <c r="A6444" s="3" t="str">
        <f>IFERROR(__xludf.DUMMYFUNCTION("GOOGLETRANSLATE(A6444,""en"",""pt"")"),"É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44" s="3">
        <v>1</v>
      </c>
    </row>
    <row r="6445" ht="15.75" customHeight="1" spans="1:2">
      <c r="A6445" s="3" t="str">
        <f>IFERROR(__xludf.DUMMYFUNCTION("GOOGLETRANSLATE(A6445,""en"",""pt"")"),"eu amo ser uma sentinela para a missão impossível e uma estação para bonkers.")</f>
        <v>eu amo ser uma sentinela para a missão impossível e uma estação para bonkers.</v>
      </c>
      <c r="B6445" s="3">
        <v>1</v>
      </c>
    </row>
    <row r="6446" ht="15.75" customHeight="1" spans="1:2">
      <c r="A6446" s="3" t="str">
        <f>IFERROR(__xludf.DUMMYFUNCTION("GOOGLETRANSLATE(A6446,""en"",""pt"")"),"I como Missão filmes impossível, porque você nunca sabe quem está do lado direito.")</f>
        <v>I como Missão filmes impossível, porque você nunca sabe quem está do lado direito.</v>
      </c>
      <c r="B6446" s="3">
        <v>1</v>
      </c>
    </row>
    <row r="6447" ht="15.75" customHeight="1" spans="1:2">
      <c r="A6447" s="3" t="str">
        <f>IFERROR(__xludf.DUMMYFUNCTION("GOOGLETRANSLATE(A6447,""en"",""pt"")"),"Missão Impossível 3 foi excelente.")</f>
        <v>Missão Impossível 3 foi excelente.</v>
      </c>
      <c r="B6447" s="3">
        <v>1</v>
      </c>
    </row>
    <row r="6448" ht="15.75" customHeight="1" spans="1:2">
      <c r="A6448" s="3" t="str">
        <f>IFERROR(__xludf.DUMMYFUNCTION("GOOGLETRANSLATE(A6448,""en"",""pt"")"),"Assim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48" s="3">
        <v>1</v>
      </c>
    </row>
    <row r="6449" ht="15.75" customHeight="1" spans="1:2">
      <c r="A6449" s="3" t="str">
        <f>IFERROR(__xludf.DUMMYFUNCTION("GOOGLETRANSLATE(A6449,""en"",""pt"")"),"Eu gostei do primeiro ""Missão Impossível.")</f>
        <v>Eu gostei do primeiro "Missão Impossível.</v>
      </c>
      <c r="B6449" s="3">
        <v>1</v>
      </c>
    </row>
    <row r="6450" ht="15.75" customHeight="1" spans="1:2">
      <c r="A6450" s="3" t="str">
        <f>IFERROR(__xludf.DUMMYFUNCTION("GOOGLETRANSLATE(A6450,""en"",""pt"")"),"The Last Stand e Missão Impossível 3 ambos eram filmes impressionantes.")</f>
        <v>The Last Stand e Missão Impossível 3 ambos eram filmes impressionantes.</v>
      </c>
      <c r="B6450" s="3">
        <v>1</v>
      </c>
    </row>
    <row r="6451" ht="15.75" customHeight="1" spans="1:2">
      <c r="A6451" s="3" t="str">
        <f>IFERROR(__xludf.DUMMYFUNCTION("GOOGLETRANSLATE(A6451,""en"",""pt"")"),"eu amo Kirsten / leah / escapadas Kate e missão tom impossível bem ...")</f>
        <v>eu amo Kirsten / leah / escapadas Kate e missão tom impossível bem ...</v>
      </c>
      <c r="B6451" s="3">
        <v>1</v>
      </c>
    </row>
    <row r="6452" ht="15.75" customHeight="1" spans="1:2">
      <c r="A6452" s="3" t="str">
        <f>IFERROR(__xludf.DUMMYFUNCTION("GOOGLETRANSLATE(A6452,""en"",""pt"")"),"missão impossível 2 rochas !! ....")</f>
        <v>missão impossível 2 rochas !! ....</v>
      </c>
      <c r="B6452" s="3">
        <v>1</v>
      </c>
    </row>
    <row r="6453" ht="15.75" customHeight="1" spans="1:2">
      <c r="A6453" s="3" t="str">
        <f>IFERROR(__xludf.DUMMYFUNCTION("GOOGLETRANSLATE(A6453,""en"",""pt"")"),"Nós estamos indo como Missão Impossível relógio ou buzina. (")</f>
        <v>Nós estamos indo como Missão Impossível relógio ou buzina. (</v>
      </c>
      <c r="B6453" s="3">
        <v>1</v>
      </c>
    </row>
    <row r="6454" ht="15.75" customHeight="1" spans="1:2">
      <c r="A6454" s="3" t="str">
        <f>IFERROR(__xludf.DUMMYFUNCTION("GOOGLETRANSLATE(A6454,""en"",""pt"")"),"É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54" s="3">
        <v>1</v>
      </c>
    </row>
    <row r="6455" ht="15.75" customHeight="1" spans="1:2">
      <c r="A6455" s="3" t="str">
        <f>IFERROR(__xludf.DUMMYFUNCTION("GOOGLETRANSLATE(A6455,""en"",""pt"")"),"eu amo ser uma sentinela para a missão impossível e uma estação para bonkers.")</f>
        <v>eu amo ser uma sentinela para a missão impossível e uma estação para bonkers.</v>
      </c>
      <c r="B6455" s="3">
        <v>1</v>
      </c>
    </row>
    <row r="6456" ht="15.75" customHeight="1" spans="1:2">
      <c r="A6456" s="3" t="str">
        <f>IFERROR(__xludf.DUMMYFUNCTION("GOOGLETRANSLATE(A6456,""en"",""pt"")"),"I como Missão filmes impossível, porque você nunca sabe quem está do lado direito.")</f>
        <v>I como Missão filmes impossível, porque você nunca sabe quem está do lado direito.</v>
      </c>
      <c r="B6456" s="3">
        <v>1</v>
      </c>
    </row>
    <row r="6457" ht="15.75" customHeight="1" spans="1:2">
      <c r="A6457" s="3" t="str">
        <f>IFERROR(__xludf.DUMMYFUNCTION("GOOGLETRANSLATE(A6457,""en"",""pt"")"),"Missão Impossível 3 foi excelente.")</f>
        <v>Missão Impossível 3 foi excelente.</v>
      </c>
      <c r="B6457" s="3">
        <v>1</v>
      </c>
    </row>
    <row r="6458" ht="15.75" customHeight="1" spans="1:2">
      <c r="A6458" s="3" t="str">
        <f>IFERROR(__xludf.DUMMYFUNCTION("GOOGLETRANSLATE(A6458,""en"",""pt"")"),"Assim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58" s="3">
        <v>1</v>
      </c>
    </row>
    <row r="6459" ht="15.75" customHeight="1" spans="1:2">
      <c r="A6459" s="3" t="str">
        <f>IFERROR(__xludf.DUMMYFUNCTION("GOOGLETRANSLATE(A6459,""en"",""pt"")"),"Eu gostei do primeiro ""Missão Impossível.")</f>
        <v>Eu gostei do primeiro "Missão Impossível.</v>
      </c>
      <c r="B6459" s="3">
        <v>1</v>
      </c>
    </row>
    <row r="6460" ht="15.75" customHeight="1" spans="1:2">
      <c r="A6460" s="3" t="str">
        <f>IFERROR(__xludf.DUMMYFUNCTION("GOOGLETRANSLATE(A6460,""en"",""pt"")"),"The Last Stand e Missão Impossível 3 ambos eram filmes impressionantes.")</f>
        <v>The Last Stand e Missão Impossível 3 ambos eram filmes impressionantes.</v>
      </c>
      <c r="B6460" s="3">
        <v>1</v>
      </c>
    </row>
    <row r="6461" ht="15.75" customHeight="1" spans="1:2">
      <c r="A6461" s="3" t="str">
        <f>IFERROR(__xludf.DUMMYFUNCTION("GOOGLETRANSLATE(A6461,""en"",""pt"")"),"eu amo Kirsten / leah / escapadas Kate e missão tom impossível bem ...")</f>
        <v>eu amo Kirsten / leah / escapadas Kate e missão tom impossível bem ...</v>
      </c>
      <c r="B6461" s="3">
        <v>1</v>
      </c>
    </row>
    <row r="6462" ht="15.75" customHeight="1" spans="1:2">
      <c r="A6462" s="3" t="str">
        <f>IFERROR(__xludf.DUMMYFUNCTION("GOOGLETRANSLATE(A6462,""en"",""pt"")"),"missão impossível 2 rochas !! ....")</f>
        <v>missão impossível 2 rochas !! ....</v>
      </c>
      <c r="B6462" s="3">
        <v>1</v>
      </c>
    </row>
    <row r="6463" ht="15.75" customHeight="1" spans="1:2">
      <c r="A6463" s="3" t="str">
        <f>IFERROR(__xludf.DUMMYFUNCTION("GOOGLETRANSLATE(A6463,""en"",""pt"")"),"Nós estamos indo como Missão Impossível relógio ou buzina. (")</f>
        <v>Nós estamos indo como Missão Impossível relógio ou buzina. (</v>
      </c>
      <c r="B6463" s="3">
        <v>1</v>
      </c>
    </row>
    <row r="6464" ht="15.75" customHeight="1" spans="1:2">
      <c r="A6464" s="3" t="str">
        <f>IFERROR(__xludf.DUMMYFUNCTION("GOOGLETRANSLATE(A6464,""en"",""pt"")"),"É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64" s="3">
        <v>1</v>
      </c>
    </row>
    <row r="6465" ht="15.75" customHeight="1" spans="1:2">
      <c r="A6465" s="3" t="str">
        <f>IFERROR(__xludf.DUMMYFUNCTION("GOOGLETRANSLATE(A6465,""en"",""pt"")"),"eu amo ser uma sentinela para a missão impossível e uma estação para bonkers.")</f>
        <v>eu amo ser uma sentinela para a missão impossível e uma estação para bonkers.</v>
      </c>
      <c r="B6465" s="3">
        <v>1</v>
      </c>
    </row>
    <row r="6466" ht="15.75" customHeight="1" spans="1:2">
      <c r="A6466" s="3" t="str">
        <f>IFERROR(__xludf.DUMMYFUNCTION("GOOGLETRANSLATE(A6466,""en"",""pt"")"),"I como Missão filmes impossível, porque você nunca sabe quem está do lado direito.")</f>
        <v>I como Missão filmes impossível, porque você nunca sabe quem está do lado direito.</v>
      </c>
      <c r="B6466" s="3">
        <v>1</v>
      </c>
    </row>
    <row r="6467" ht="15.75" customHeight="1" spans="1:2">
      <c r="A6467" s="3" t="str">
        <f>IFERROR(__xludf.DUMMYFUNCTION("GOOGLETRANSLATE(A6467,""en"",""pt"")"),"Missão Impossível 3 foi excelente.")</f>
        <v>Missão Impossível 3 foi excelente.</v>
      </c>
      <c r="B6467" s="3">
        <v>1</v>
      </c>
    </row>
    <row r="6468" ht="15.75" customHeight="1" spans="1:2">
      <c r="A6468" s="3" t="str">
        <f>IFERROR(__xludf.DUMMYFUNCTION("GOOGLETRANSLATE(A6468,""en"",""pt"")"),"Assim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68" s="3">
        <v>1</v>
      </c>
    </row>
    <row r="6469" ht="15.75" customHeight="1" spans="1:2">
      <c r="A6469" s="3" t="str">
        <f>IFERROR(__xludf.DUMMYFUNCTION("GOOGLETRANSLATE(A6469,""en"",""pt"")"),"Eu gostei do primeiro ""Missão Impossível.")</f>
        <v>Eu gostei do primeiro "Missão Impossível.</v>
      </c>
      <c r="B6469" s="3">
        <v>1</v>
      </c>
    </row>
    <row r="6470" ht="15.75" customHeight="1" spans="1:2">
      <c r="A6470" s="3" t="str">
        <f>IFERROR(__xludf.DUMMYFUNCTION("GOOGLETRANSLATE(A6470,""en"",""pt"")"),"The Last Stand e Missão Impossível 3 ambos eram filmes impressionantes.")</f>
        <v>The Last Stand e Missão Impossível 3 ambos eram filmes impressionantes.</v>
      </c>
      <c r="B6470" s="3">
        <v>1</v>
      </c>
    </row>
    <row r="6471" ht="15.75" customHeight="1" spans="1:2">
      <c r="A6471" s="3" t="str">
        <f>IFERROR(__xludf.DUMMYFUNCTION("GOOGLETRANSLATE(A6471,""en"",""pt"")"),"eu amo Kirsten / leah / escapadas Kate e missão tom impossível bem ...")</f>
        <v>eu amo Kirsten / leah / escapadas Kate e missão tom impossível bem ...</v>
      </c>
      <c r="B6471" s="3">
        <v>1</v>
      </c>
    </row>
    <row r="6472" ht="15.75" customHeight="1" spans="1:2">
      <c r="A6472" s="3" t="str">
        <f>IFERROR(__xludf.DUMMYFUNCTION("GOOGLETRANSLATE(A6472,""en"",""pt"")"),"missão impossível 2 rochas !! ....")</f>
        <v>missão impossível 2 rochas !! ....</v>
      </c>
      <c r="B6472" s="3">
        <v>1</v>
      </c>
    </row>
    <row r="6473" ht="15.75" customHeight="1" spans="1:2">
      <c r="A6473" s="3" t="str">
        <f>IFERROR(__xludf.DUMMYFUNCTION("GOOGLETRANSLATE(A6473,""en"",""pt"")"),"Nós estamos indo como Missão Impossível relógio ou buzina. (")</f>
        <v>Nós estamos indo como Missão Impossível relógio ou buzina. (</v>
      </c>
      <c r="B6473" s="3">
        <v>1</v>
      </c>
    </row>
    <row r="6474" ht="15.75" customHeight="1" spans="1:2">
      <c r="A6474" s="3" t="str">
        <f>IFERROR(__xludf.DUMMYFUNCTION("GOOGLETRANSLATE(A6474,""en"",""pt"")"),"É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74" s="3">
        <v>1</v>
      </c>
    </row>
    <row r="6475" ht="15.75" customHeight="1" spans="1:2">
      <c r="A6475" s="3" t="str">
        <f>IFERROR(__xludf.DUMMYFUNCTION("GOOGLETRANSLATE(A6475,""en"",""pt"")"),"eu amo ser uma sentinela para a missão impossível e uma estação para bonkers.")</f>
        <v>eu amo ser uma sentinela para a missão impossível e uma estação para bonkers.</v>
      </c>
      <c r="B6475" s="3">
        <v>1</v>
      </c>
    </row>
    <row r="6476" ht="15.75" customHeight="1" spans="1:2">
      <c r="A6476" s="3" t="str">
        <f>IFERROR(__xludf.DUMMYFUNCTION("GOOGLETRANSLATE(A6476,""en"",""pt"")"),"I como Missão filmes impossível, porque você nunca sabe quem está do lado direito.")</f>
        <v>I como Missão filmes impossível, porque você nunca sabe quem está do lado direito.</v>
      </c>
      <c r="B6476" s="3">
        <v>1</v>
      </c>
    </row>
    <row r="6477" ht="15.75" customHeight="1" spans="1:2">
      <c r="A6477" s="3" t="str">
        <f>IFERROR(__xludf.DUMMYFUNCTION("GOOGLETRANSLATE(A6477,""en"",""pt"")"),"Missão Impossível 3 foi excelente.")</f>
        <v>Missão Impossível 3 foi excelente.</v>
      </c>
      <c r="B6477" s="3">
        <v>1</v>
      </c>
    </row>
    <row r="6478" ht="15.75" customHeight="1" spans="1:2">
      <c r="A6478" s="3" t="str">
        <f>IFERROR(__xludf.DUMMYFUNCTION("GOOGLETRANSLATE(A6478,""en"",""pt"")"),"Assim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78" s="3">
        <v>1</v>
      </c>
    </row>
    <row r="6479" ht="15.75" customHeight="1" spans="1:2">
      <c r="A6479" s="3" t="str">
        <f>IFERROR(__xludf.DUMMYFUNCTION("GOOGLETRANSLATE(A6479,""en"",""pt"")"),"Eu gostei do primeiro ""Missão Impossível.")</f>
        <v>Eu gostei do primeiro "Missão Impossível.</v>
      </c>
      <c r="B6479" s="3">
        <v>1</v>
      </c>
    </row>
    <row r="6480" ht="15.75" customHeight="1" spans="1:2">
      <c r="A6480" s="3" t="str">
        <f>IFERROR(__xludf.DUMMYFUNCTION("GOOGLETRANSLATE(A6480,""en"",""pt"")"),"The Last Stand e Missão Impossível 3 ambos eram filmes impressionantes.")</f>
        <v>The Last Stand e Missão Impossível 3 ambos eram filmes impressionantes.</v>
      </c>
      <c r="B6480" s="3">
        <v>1</v>
      </c>
    </row>
    <row r="6481" ht="15.75" customHeight="1" spans="1:2">
      <c r="A6481" s="3" t="str">
        <f>IFERROR(__xludf.DUMMYFUNCTION("GOOGLETRANSLATE(A6481,""en"",""pt"")"),"eu amo Kirsten / leah / escapadas Kate e missão tom impossível bem ...")</f>
        <v>eu amo Kirsten / leah / escapadas Kate e missão tom impossível bem ...</v>
      </c>
      <c r="B6481" s="3">
        <v>1</v>
      </c>
    </row>
    <row r="6482" ht="15.75" customHeight="1" spans="1:2">
      <c r="A6482" s="3" t="str">
        <f>IFERROR(__xludf.DUMMYFUNCTION("GOOGLETRANSLATE(A6482,""en"",""pt"")"),"missão impossível 2 rochas !! ....")</f>
        <v>missão impossível 2 rochas !! ....</v>
      </c>
      <c r="B6482" s="3">
        <v>1</v>
      </c>
    </row>
    <row r="6483" ht="15.75" customHeight="1" spans="1:2">
      <c r="A6483" s="3" t="str">
        <f>IFERROR(__xludf.DUMMYFUNCTION("GOOGLETRANSLATE(A6483,""en"",""pt"")"),"Nós estamos indo como Missão Impossível relógio ou buzina. (")</f>
        <v>Nós estamos indo como Missão Impossível relógio ou buzina. (</v>
      </c>
      <c r="B6483" s="3">
        <v>1</v>
      </c>
    </row>
    <row r="6484" ht="15.75" customHeight="1" spans="1:2">
      <c r="A6484" s="3" t="str">
        <f>IFERROR(__xludf.DUMMYFUNCTION("GOOGLETRANSLATE(A6484,""en"",""pt"")"),"É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84" s="3">
        <v>1</v>
      </c>
    </row>
    <row r="6485" ht="15.75" customHeight="1" spans="1:2">
      <c r="A6485" s="3" t="str">
        <f>IFERROR(__xludf.DUMMYFUNCTION("GOOGLETRANSLATE(A6485,""en"",""pt"")"),"eu amo ser uma sentinela para a missão impossível e uma estação para bonkers.")</f>
        <v>eu amo ser uma sentinela para a missão impossível e uma estação para bonkers.</v>
      </c>
      <c r="B6485" s="3">
        <v>1</v>
      </c>
    </row>
    <row r="6486" ht="15.75" customHeight="1" spans="1:2">
      <c r="A6486" s="3" t="str">
        <f>IFERROR(__xludf.DUMMYFUNCTION("GOOGLETRANSLATE(A6486,""en"",""pt"")"),"I como Missão filmes impossível, porque você nunca sabe quem está do lado direito.")</f>
        <v>I como Missão filmes impossível, porque você nunca sabe quem está do lado direito.</v>
      </c>
      <c r="B6486" s="3">
        <v>1</v>
      </c>
    </row>
    <row r="6487" ht="15.75" customHeight="1" spans="1:2">
      <c r="A6487" s="3" t="str">
        <f>IFERROR(__xludf.DUMMYFUNCTION("GOOGLETRANSLATE(A6487,""en"",""pt"")"),"Missão Impossível 3 foi excelente.")</f>
        <v>Missão Impossível 3 foi excelente.</v>
      </c>
      <c r="B6487" s="3">
        <v>1</v>
      </c>
    </row>
    <row r="6488" ht="15.75" customHeight="1" spans="1:2">
      <c r="A6488" s="3" t="str">
        <f>IFERROR(__xludf.DUMMYFUNCTION("GOOGLETRANSLATE(A6488,""en"",""pt"")"),"Assim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88" s="3">
        <v>1</v>
      </c>
    </row>
    <row r="6489" ht="15.75" customHeight="1" spans="1:2">
      <c r="A6489" s="3" t="str">
        <f>IFERROR(__xludf.DUMMYFUNCTION("GOOGLETRANSLATE(A6489,""en"",""pt"")"),"Eu gostei do primeiro ""Missão Impossível.")</f>
        <v>Eu gostei do primeiro "Missão Impossível.</v>
      </c>
      <c r="B6489" s="3">
        <v>1</v>
      </c>
    </row>
    <row r="6490" ht="15.75" customHeight="1" spans="1:2">
      <c r="A6490" s="3" t="str">
        <f>IFERROR(__xludf.DUMMYFUNCTION("GOOGLETRANSLATE(A6490,""en"",""pt"")"),"The Last Stand e Missão Impossível 3 ambos eram filmes impressionantes.")</f>
        <v>The Last Stand e Missão Impossível 3 ambos eram filmes impressionantes.</v>
      </c>
      <c r="B6490" s="3">
        <v>1</v>
      </c>
    </row>
    <row r="6491" ht="15.75" customHeight="1" spans="1:2">
      <c r="A6491" s="3" t="str">
        <f>IFERROR(__xludf.DUMMYFUNCTION("GOOGLETRANSLATE(A6491,""en"",""pt"")"),"eu amo Kirsten / leah / escapadas Kate e missão tom impossível bem ...")</f>
        <v>eu amo Kirsten / leah / escapadas Kate e missão tom impossível bem ...</v>
      </c>
      <c r="B6491" s="3">
        <v>1</v>
      </c>
    </row>
    <row r="6492" ht="15.75" customHeight="1" spans="1:2">
      <c r="A6492" s="3" t="str">
        <f>IFERROR(__xludf.DUMMYFUNCTION("GOOGLETRANSLATE(A6492,""en"",""pt"")"),"missão impossível 2 rochas !! ....")</f>
        <v>missão impossível 2 rochas !! ....</v>
      </c>
      <c r="B6492" s="3">
        <v>1</v>
      </c>
    </row>
    <row r="6493" ht="15.75" customHeight="1" spans="1:2">
      <c r="A6493" s="3" t="str">
        <f>IFERROR(__xludf.DUMMYFUNCTION("GOOGLETRANSLATE(A6493,""en"",""pt"")"),"Nós estamos indo como Missão Impossível relógio ou buzina. (")</f>
        <v>Nós estamos indo como Missão Impossível relógio ou buzina. (</v>
      </c>
      <c r="B6493" s="3">
        <v>1</v>
      </c>
    </row>
    <row r="6494" ht="15.75" customHeight="1" spans="1:2">
      <c r="A6494" s="3" t="str">
        <f>IFERROR(__xludf.DUMMYFUNCTION("GOOGLETRANSLATE(A6494,""en"",""pt"")"),"É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494" s="3">
        <v>1</v>
      </c>
    </row>
    <row r="6495" ht="15.75" customHeight="1" spans="1:2">
      <c r="A6495" s="3" t="str">
        <f>IFERROR(__xludf.DUMMYFUNCTION("GOOGLETRANSLATE(A6495,""en"",""pt"")"),"eu amo ser uma sentinela para a missão impossível e uma estação para bonkers.")</f>
        <v>eu amo ser uma sentinela para a missão impossível e uma estação para bonkers.</v>
      </c>
      <c r="B6495" s="3">
        <v>1</v>
      </c>
    </row>
    <row r="6496" ht="15.75" customHeight="1" spans="1:2">
      <c r="A6496" s="3" t="str">
        <f>IFERROR(__xludf.DUMMYFUNCTION("GOOGLETRANSLATE(A6496,""en"",""pt"")"),"I como Missão filmes impossível, porque você nunca sabe quem está do lado direito.")</f>
        <v>I como Missão filmes impossível, porque você nunca sabe quem está do lado direito.</v>
      </c>
      <c r="B6496" s="3">
        <v>1</v>
      </c>
    </row>
    <row r="6497" ht="15.75" customHeight="1" spans="1:2">
      <c r="A6497" s="3" t="str">
        <f>IFERROR(__xludf.DUMMYFUNCTION("GOOGLETRANSLATE(A6497,""en"",""pt"")"),"Missão Impossível 3 foi excelente.")</f>
        <v>Missão Impossível 3 foi excelente.</v>
      </c>
      <c r="B6497" s="3">
        <v>1</v>
      </c>
    </row>
    <row r="6498" ht="15.75" customHeight="1" spans="1:2">
      <c r="A6498" s="3" t="str">
        <f>IFERROR(__xludf.DUMMYFUNCTION("GOOGLETRANSLATE(A6498,""en"",""pt"")"),"Assim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498" s="3">
        <v>1</v>
      </c>
    </row>
    <row r="6499" ht="15.75" customHeight="1" spans="1:2">
      <c r="A6499" s="3" t="str">
        <f>IFERROR(__xludf.DUMMYFUNCTION("GOOGLETRANSLATE(A6499,""en"",""pt"")"),"Eu gostei do primeiro ""Missão Impossível.")</f>
        <v>Eu gostei do primeiro "Missão Impossível.</v>
      </c>
      <c r="B6499" s="3">
        <v>1</v>
      </c>
    </row>
    <row r="6500" ht="15.75" customHeight="1" spans="1:2">
      <c r="A6500" s="3" t="str">
        <f>IFERROR(__xludf.DUMMYFUNCTION("GOOGLETRANSLATE(A6500,""en"",""pt"")"),"The Last Stand e Missão Impossível 3 ambos eram filmes impressionantes.")</f>
        <v>The Last Stand e Missão Impossível 3 ambos eram filmes impressionantes.</v>
      </c>
      <c r="B6500" s="3">
        <v>1</v>
      </c>
    </row>
    <row r="6501" ht="15.75" customHeight="1" spans="1:2">
      <c r="A6501" s="3" t="str">
        <f>IFERROR(__xludf.DUMMYFUNCTION("GOOGLETRANSLATE(A6501,""en"",""pt"")"),"eu amo Kirsten / leah / escapadas Kate e missão tom impossível bem ...")</f>
        <v>eu amo Kirsten / leah / escapadas Kate e missão tom impossível bem ...</v>
      </c>
      <c r="B6501" s="3">
        <v>1</v>
      </c>
    </row>
    <row r="6502" ht="15.75" customHeight="1" spans="1:2">
      <c r="A6502" s="3" t="str">
        <f>IFERROR(__xludf.DUMMYFUNCTION("GOOGLETRANSLATE(A6502,""en"",""pt"")"),"missão impossível 2 rochas !! ....")</f>
        <v>missão impossível 2 rochas !! ....</v>
      </c>
      <c r="B6502" s="3">
        <v>1</v>
      </c>
    </row>
    <row r="6503" ht="15.75" customHeight="1" spans="1:2">
      <c r="A6503" s="3" t="str">
        <f>IFERROR(__xludf.DUMMYFUNCTION("GOOGLETRANSLATE(A6503,""en"",""pt"")"),"Nós estamos indo como Missão Impossível relógio ou buzina. (")</f>
        <v>Nós estamos indo como Missão Impossível relógio ou buzina. (</v>
      </c>
      <c r="B6503" s="3">
        <v>1</v>
      </c>
    </row>
    <row r="6504" ht="15.75" customHeight="1" spans="1:2">
      <c r="A6504" s="3" t="str">
        <f>IFERROR(__xludf.DUMMYFUNCTION("GOOGLETRANSLATE(A6504,""en"",""pt"")"),"É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04" s="3">
        <v>1</v>
      </c>
    </row>
    <row r="6505" ht="15.75" customHeight="1" spans="1:2">
      <c r="A6505" s="3" t="str">
        <f>IFERROR(__xludf.DUMMYFUNCTION("GOOGLETRANSLATE(A6505,""en"",""pt"")"),"eu amo ser uma sentinela para a missão impossível e uma estação para bonkers.")</f>
        <v>eu amo ser uma sentinela para a missão impossível e uma estação para bonkers.</v>
      </c>
      <c r="B6505" s="3">
        <v>1</v>
      </c>
    </row>
    <row r="6506" ht="15.75" customHeight="1" spans="1:2">
      <c r="A6506" s="3" t="str">
        <f>IFERROR(__xludf.DUMMYFUNCTION("GOOGLETRANSLATE(A6506,""en"",""pt"")"),"I como Missão filmes impossível, porque você nunca sabe quem está do lado direito.")</f>
        <v>I como Missão filmes impossível, porque você nunca sabe quem está do lado direito.</v>
      </c>
      <c r="B6506" s="3">
        <v>1</v>
      </c>
    </row>
    <row r="6507" ht="15.75" customHeight="1" spans="1:2">
      <c r="A6507" s="3" t="str">
        <f>IFERROR(__xludf.DUMMYFUNCTION("GOOGLETRANSLATE(A6507,""en"",""pt"")"),"Missão Impossível 3 foi excelente.")</f>
        <v>Missão Impossível 3 foi excelente.</v>
      </c>
      <c r="B6507" s="3">
        <v>1</v>
      </c>
    </row>
    <row r="6508" ht="15.75" customHeight="1" spans="1:2">
      <c r="A6508" s="3" t="str">
        <f>IFERROR(__xludf.DUMMYFUNCTION("GOOGLETRANSLATE(A6508,""en"",""pt"")"),"Assim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08" s="3">
        <v>1</v>
      </c>
    </row>
    <row r="6509" ht="15.75" customHeight="1" spans="1:2">
      <c r="A6509" s="3" t="str">
        <f>IFERROR(__xludf.DUMMYFUNCTION("GOOGLETRANSLATE(A6509,""en"",""pt"")"),"Eu gostei do primeiro ""Missão Impossível.")</f>
        <v>Eu gostei do primeiro "Missão Impossível.</v>
      </c>
      <c r="B6509" s="3">
        <v>1</v>
      </c>
    </row>
    <row r="6510" ht="15.75" customHeight="1" spans="1:2">
      <c r="A6510" s="3" t="str">
        <f>IFERROR(__xludf.DUMMYFUNCTION("GOOGLETRANSLATE(A6510,""en"",""pt"")"),"The Last Stand e Missão Impossível 3 ambos eram filmes impressionantes.")</f>
        <v>The Last Stand e Missão Impossível 3 ambos eram filmes impressionantes.</v>
      </c>
      <c r="B6510" s="3">
        <v>1</v>
      </c>
    </row>
    <row r="6511" ht="15.75" customHeight="1" spans="1:2">
      <c r="A6511" s="3" t="str">
        <f>IFERROR(__xludf.DUMMYFUNCTION("GOOGLETRANSLATE(A6511,""en"",""pt"")"),"eu amo Kirsten / leah / escapadas Kate e missão tom impossível bem ...")</f>
        <v>eu amo Kirsten / leah / escapadas Kate e missão tom impossível bem ...</v>
      </c>
      <c r="B6511" s="3">
        <v>1</v>
      </c>
    </row>
    <row r="6512" ht="15.75" customHeight="1" spans="1:2">
      <c r="A6512" s="3" t="str">
        <f>IFERROR(__xludf.DUMMYFUNCTION("GOOGLETRANSLATE(A6512,""en"",""pt"")"),"missão impossível 2 rochas !! ....")</f>
        <v>missão impossível 2 rochas !! ....</v>
      </c>
      <c r="B6512" s="3">
        <v>1</v>
      </c>
    </row>
    <row r="6513" ht="15.75" customHeight="1" spans="1:2">
      <c r="A6513" s="3" t="str">
        <f>IFERROR(__xludf.DUMMYFUNCTION("GOOGLETRANSLATE(A6513,""en"",""pt"")"),"Nós estamos indo como Missão Impossível relógio ou buzina. (")</f>
        <v>Nós estamos indo como Missão Impossível relógio ou buzina. (</v>
      </c>
      <c r="B6513" s="3">
        <v>1</v>
      </c>
    </row>
    <row r="6514" ht="15.75" customHeight="1" spans="1:2">
      <c r="A6514" s="3" t="str">
        <f>IFERROR(__xludf.DUMMYFUNCTION("GOOGLETRANSLATE(A6514,""en"",""pt"")"),"É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14" s="3">
        <v>1</v>
      </c>
    </row>
    <row r="6515" ht="15.75" customHeight="1" spans="1:2">
      <c r="A6515" s="3" t="str">
        <f>IFERROR(__xludf.DUMMYFUNCTION("GOOGLETRANSLATE(A6515,""en"",""pt"")"),"eu amo ser uma sentinela para a missão impossível e uma estação para bonkers.")</f>
        <v>eu amo ser uma sentinela para a missão impossível e uma estação para bonkers.</v>
      </c>
      <c r="B6515" s="3">
        <v>1</v>
      </c>
    </row>
    <row r="6516" ht="15.75" customHeight="1" spans="1:2">
      <c r="A6516" s="3" t="str">
        <f>IFERROR(__xludf.DUMMYFUNCTION("GOOGLETRANSLATE(A6516,""en"",""pt"")"),"I como Missão filmes impossível, porque você nunca sabe quem está do lado direito.")</f>
        <v>I como Missão filmes impossível, porque você nunca sabe quem está do lado direito.</v>
      </c>
      <c r="B6516" s="3">
        <v>1</v>
      </c>
    </row>
    <row r="6517" ht="15.75" customHeight="1" spans="1:2">
      <c r="A6517" s="3" t="str">
        <f>IFERROR(__xludf.DUMMYFUNCTION("GOOGLETRANSLATE(A6517,""en"",""pt"")"),"Missão Impossível 3 foi excelente.")</f>
        <v>Missão Impossível 3 foi excelente.</v>
      </c>
      <c r="B6517" s="3">
        <v>1</v>
      </c>
    </row>
    <row r="6518" ht="15.75" customHeight="1" spans="1:2">
      <c r="A6518" s="3" t="str">
        <f>IFERROR(__xludf.DUMMYFUNCTION("GOOGLETRANSLATE(A6518,""en"",""pt"")"),"Assim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18" s="3">
        <v>1</v>
      </c>
    </row>
    <row r="6519" ht="15.75" customHeight="1" spans="1:2">
      <c r="A6519" s="3" t="str">
        <f>IFERROR(__xludf.DUMMYFUNCTION("GOOGLETRANSLATE(A6519,""en"",""pt"")"),"Eu gostei do primeiro ""Missão Impossível.")</f>
        <v>Eu gostei do primeiro "Missão Impossível.</v>
      </c>
      <c r="B6519" s="3">
        <v>1</v>
      </c>
    </row>
    <row r="6520" ht="15.75" customHeight="1" spans="1:2">
      <c r="A6520" s="3" t="str">
        <f>IFERROR(__xludf.DUMMYFUNCTION("GOOGLETRANSLATE(A6520,""en"",""pt"")"),"The Last Stand e Missão Impossível 3 ambos eram filmes impressionantes.")</f>
        <v>The Last Stand e Missão Impossível 3 ambos eram filmes impressionantes.</v>
      </c>
      <c r="B6520" s="3">
        <v>1</v>
      </c>
    </row>
    <row r="6521" ht="15.75" customHeight="1" spans="1:2">
      <c r="A6521" s="3" t="str">
        <f>IFERROR(__xludf.DUMMYFUNCTION("GOOGLETRANSLATE(A6521,""en"",""pt"")"),"eu amo Kirsten / leah / escapadas Kate e missão tom impossível bem ...")</f>
        <v>eu amo Kirsten / leah / escapadas Kate e missão tom impossível bem ...</v>
      </c>
      <c r="B6521" s="3">
        <v>1</v>
      </c>
    </row>
    <row r="6522" ht="15.75" customHeight="1" spans="1:2">
      <c r="A6522" s="3" t="str">
        <f>IFERROR(__xludf.DUMMYFUNCTION("GOOGLETRANSLATE(A6522,""en"",""pt"")"),"missão impossível 2 rochas !! ....")</f>
        <v>missão impossível 2 rochas !! ....</v>
      </c>
      <c r="B6522" s="3">
        <v>1</v>
      </c>
    </row>
    <row r="6523" ht="15.75" customHeight="1" spans="1:2">
      <c r="A6523" s="3" t="str">
        <f>IFERROR(__xludf.DUMMYFUNCTION("GOOGLETRANSLATE(A6523,""en"",""pt"")"),"Nós estamos indo como Missão Impossível relógio ou buzina. (")</f>
        <v>Nós estamos indo como Missão Impossível relógio ou buzina. (</v>
      </c>
      <c r="B6523" s="3">
        <v>1</v>
      </c>
    </row>
    <row r="6524" ht="15.75" customHeight="1" spans="1:2">
      <c r="A6524" s="3" t="str">
        <f>IFERROR(__xludf.DUMMYFUNCTION("GOOGLETRANSLATE(A6524,""en"",""pt"")"),"É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24" s="3">
        <v>1</v>
      </c>
    </row>
    <row r="6525" ht="15.75" customHeight="1" spans="1:2">
      <c r="A6525" s="3" t="str">
        <f>IFERROR(__xludf.DUMMYFUNCTION("GOOGLETRANSLATE(A6525,""en"",""pt"")"),"eu amo ser uma sentinela para a missão impossível e uma estação para bonkers.")</f>
        <v>eu amo ser uma sentinela para a missão impossível e uma estação para bonkers.</v>
      </c>
      <c r="B6525" s="3">
        <v>1</v>
      </c>
    </row>
    <row r="6526" ht="15.75" customHeight="1" spans="1:2">
      <c r="A6526" s="3" t="str">
        <f>IFERROR(__xludf.DUMMYFUNCTION("GOOGLETRANSLATE(A6526,""en"",""pt"")"),"I como Missão filmes impossível, porque você nunca sabe quem está do lado direito.")</f>
        <v>I como Missão filmes impossível, porque você nunca sabe quem está do lado direito.</v>
      </c>
      <c r="B6526" s="3">
        <v>1</v>
      </c>
    </row>
    <row r="6527" ht="15.75" customHeight="1" spans="1:2">
      <c r="A6527" s="3" t="str">
        <f>IFERROR(__xludf.DUMMYFUNCTION("GOOGLETRANSLATE(A6527,""en"",""pt"")"),"Missão Impossível 3 foi excelente.")</f>
        <v>Missão Impossível 3 foi excelente.</v>
      </c>
      <c r="B6527" s="3">
        <v>1</v>
      </c>
    </row>
    <row r="6528" ht="15.75" customHeight="1" spans="1:2">
      <c r="A6528" s="3" t="str">
        <f>IFERROR(__xludf.DUMMYFUNCTION("GOOGLETRANSLATE(A6528,""en"",""pt"")"),"Assim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28" s="3">
        <v>1</v>
      </c>
    </row>
    <row r="6529" ht="15.75" customHeight="1" spans="1:2">
      <c r="A6529" s="3" t="str">
        <f>IFERROR(__xludf.DUMMYFUNCTION("GOOGLETRANSLATE(A6529,""en"",""pt"")"),"Eu gostei do primeiro ""Missão Impossível.")</f>
        <v>Eu gostei do primeiro "Missão Impossível.</v>
      </c>
      <c r="B6529" s="3">
        <v>1</v>
      </c>
    </row>
    <row r="6530" ht="15.75" customHeight="1" spans="1:2">
      <c r="A6530" s="3" t="str">
        <f>IFERROR(__xludf.DUMMYFUNCTION("GOOGLETRANSLATE(A6530,""en"",""pt"")"),"The Last Stand e Missão Impossível 3 ambos eram filmes impressionantes.")</f>
        <v>The Last Stand e Missão Impossível 3 ambos eram filmes impressionantes.</v>
      </c>
      <c r="B6530" s="3">
        <v>1</v>
      </c>
    </row>
    <row r="6531" ht="15.75" customHeight="1" spans="1:2">
      <c r="A6531" s="3" t="str">
        <f>IFERROR(__xludf.DUMMYFUNCTION("GOOGLETRANSLATE(A6531,""en"",""pt"")"),"eu amo Kirsten / leah / escapadas Kate e missão tom impossível bem ...")</f>
        <v>eu amo Kirsten / leah / escapadas Kate e missão tom impossível bem ...</v>
      </c>
      <c r="B6531" s="3">
        <v>1</v>
      </c>
    </row>
    <row r="6532" ht="15.75" customHeight="1" spans="1:2">
      <c r="A6532" s="3" t="str">
        <f>IFERROR(__xludf.DUMMYFUNCTION("GOOGLETRANSLATE(A6532,""en"",""pt"")"),"missão impossível 2 rochas !! ....")</f>
        <v>missão impossível 2 rochas !! ....</v>
      </c>
      <c r="B6532" s="3">
        <v>1</v>
      </c>
    </row>
    <row r="6533" ht="15.75" customHeight="1" spans="1:2">
      <c r="A6533" s="3" t="str">
        <f>IFERROR(__xludf.DUMMYFUNCTION("GOOGLETRANSLATE(A6533,""en"",""pt"")"),"Nós estamos indo como Missão Impossível relógio ou buzina. (")</f>
        <v>Nós estamos indo como Missão Impossível relógio ou buzina. (</v>
      </c>
      <c r="B6533" s="3">
        <v>1</v>
      </c>
    </row>
    <row r="6534" ht="15.75" customHeight="1" spans="1:2">
      <c r="A6534" s="3" t="str">
        <f>IFERROR(__xludf.DUMMYFUNCTION("GOOGLETRANSLATE(A6534,""en"",""pt"")"),"É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34" s="3">
        <v>1</v>
      </c>
    </row>
    <row r="6535" ht="15.75" customHeight="1" spans="1:2">
      <c r="A6535" s="3" t="str">
        <f>IFERROR(__xludf.DUMMYFUNCTION("GOOGLETRANSLATE(A6535,""en"",""pt"")"),"eu amo ser uma sentinela para a missão impossível e uma estação para bonkers.")</f>
        <v>eu amo ser uma sentinela para a missão impossível e uma estação para bonkers.</v>
      </c>
      <c r="B6535" s="3">
        <v>1</v>
      </c>
    </row>
    <row r="6536" ht="15.75" customHeight="1" spans="1:2">
      <c r="A6536" s="3" t="str">
        <f>IFERROR(__xludf.DUMMYFUNCTION("GOOGLETRANSLATE(A6536,""en"",""pt"")"),"I como Missão filmes impossível, porque você nunca sabe quem está do lado direito.")</f>
        <v>I como Missão filmes impossível, porque você nunca sabe quem está do lado direito.</v>
      </c>
      <c r="B6536" s="3">
        <v>1</v>
      </c>
    </row>
    <row r="6537" ht="15.75" customHeight="1" spans="1:2">
      <c r="A6537" s="3" t="str">
        <f>IFERROR(__xludf.DUMMYFUNCTION("GOOGLETRANSLATE(A6537,""en"",""pt"")"),"Missão Impossível 3 foi excelente.")</f>
        <v>Missão Impossível 3 foi excelente.</v>
      </c>
      <c r="B6537" s="3">
        <v>1</v>
      </c>
    </row>
    <row r="6538" ht="15.75" customHeight="1" spans="1:2">
      <c r="A6538" s="3" t="str">
        <f>IFERROR(__xludf.DUMMYFUNCTION("GOOGLETRANSLATE(A6538,""en"",""pt"")"),"Assim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38" s="3">
        <v>1</v>
      </c>
    </row>
    <row r="6539" ht="15.75" customHeight="1" spans="1:2">
      <c r="A6539" s="3" t="str">
        <f>IFERROR(__xludf.DUMMYFUNCTION("GOOGLETRANSLATE(A6539,""en"",""pt"")"),"Eu gostei do primeiro ""Missão Impossível.")</f>
        <v>Eu gostei do primeiro "Missão Impossível.</v>
      </c>
      <c r="B6539" s="3">
        <v>1</v>
      </c>
    </row>
    <row r="6540" ht="15.75" customHeight="1" spans="1:2">
      <c r="A6540" s="3" t="str">
        <f>IFERROR(__xludf.DUMMYFUNCTION("GOOGLETRANSLATE(A6540,""en"",""pt"")"),"The Last Stand e Missão Impossível 3 ambos eram filmes impressionantes.")</f>
        <v>The Last Stand e Missão Impossível 3 ambos eram filmes impressionantes.</v>
      </c>
      <c r="B6540" s="3">
        <v>1</v>
      </c>
    </row>
    <row r="6541" ht="15.75" customHeight="1" spans="1:2">
      <c r="A6541" s="3" t="str">
        <f>IFERROR(__xludf.DUMMYFUNCTION("GOOGLETRANSLATE(A6541,""en"",""pt"")"),"eu amo Kirsten / leah / escapadas Kate e missão tom impossível bem ...")</f>
        <v>eu amo Kirsten / leah / escapadas Kate e missão tom impossível bem ...</v>
      </c>
      <c r="B6541" s="3">
        <v>1</v>
      </c>
    </row>
    <row r="6542" ht="15.75" customHeight="1" spans="1:2">
      <c r="A6542" s="3" t="str">
        <f>IFERROR(__xludf.DUMMYFUNCTION("GOOGLETRANSLATE(A6542,""en"",""pt"")"),"missão impossível 2 rochas !! ....")</f>
        <v>missão impossível 2 rochas !! ....</v>
      </c>
      <c r="B6542" s="3">
        <v>1</v>
      </c>
    </row>
    <row r="6543" ht="15.75" customHeight="1" spans="1:2">
      <c r="A6543" s="3" t="str">
        <f>IFERROR(__xludf.DUMMYFUNCTION("GOOGLETRANSLATE(A6543,""en"",""pt"")"),"Nós estamos indo como Missão Impossível relógio ou buzina. (")</f>
        <v>Nós estamos indo como Missão Impossível relógio ou buzina. (</v>
      </c>
      <c r="B6543" s="3">
        <v>1</v>
      </c>
    </row>
    <row r="6544" ht="15.75" customHeight="1" spans="1:2">
      <c r="A6544" s="3" t="str">
        <f>IFERROR(__xludf.DUMMYFUNCTION("GOOGLETRANSLATE(A6544,""en"",""pt"")"),"É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44" s="3">
        <v>1</v>
      </c>
    </row>
    <row r="6545" ht="15.75" customHeight="1" spans="1:2">
      <c r="A6545" s="3" t="str">
        <f>IFERROR(__xludf.DUMMYFUNCTION("GOOGLETRANSLATE(A6545,""en"",""pt"")"),"eu amo ser uma sentinela para a missão impossível e uma estação para bonkers.")</f>
        <v>eu amo ser uma sentinela para a missão impossível e uma estação para bonkers.</v>
      </c>
      <c r="B6545" s="3">
        <v>1</v>
      </c>
    </row>
    <row r="6546" ht="15.75" customHeight="1" spans="1:2">
      <c r="A6546" s="3" t="str">
        <f>IFERROR(__xludf.DUMMYFUNCTION("GOOGLETRANSLATE(A6546,""en"",""pt"")"),"I como Missão filmes impossível, porque você nunca sabe quem está do lado direito.")</f>
        <v>I como Missão filmes impossível, porque você nunca sabe quem está do lado direito.</v>
      </c>
      <c r="B6546" s="3">
        <v>1</v>
      </c>
    </row>
    <row r="6547" ht="15.75" customHeight="1" spans="1:2">
      <c r="A6547" s="3" t="str">
        <f>IFERROR(__xludf.DUMMYFUNCTION("GOOGLETRANSLATE(A6547,""en"",""pt"")"),"Missão Impossível 3 foi excelente.")</f>
        <v>Missão Impossível 3 foi excelente.</v>
      </c>
      <c r="B6547" s="3">
        <v>1</v>
      </c>
    </row>
    <row r="6548" ht="15.75" customHeight="1" spans="1:2">
      <c r="A6548" s="3" t="str">
        <f>IFERROR(__xludf.DUMMYFUNCTION("GOOGLETRANSLATE(A6548,""en"",""pt"")"),"Assim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48" s="3">
        <v>1</v>
      </c>
    </row>
    <row r="6549" ht="15.75" customHeight="1" spans="1:2">
      <c r="A6549" s="3" t="str">
        <f>IFERROR(__xludf.DUMMYFUNCTION("GOOGLETRANSLATE(A6549,""en"",""pt"")"),"Eu gostei do primeiro ""Missão Impossível.")</f>
        <v>Eu gostei do primeiro "Missão Impossível.</v>
      </c>
      <c r="B6549" s="3">
        <v>1</v>
      </c>
    </row>
    <row r="6550" ht="15.75" customHeight="1" spans="1:2">
      <c r="A6550" s="3" t="str">
        <f>IFERROR(__xludf.DUMMYFUNCTION("GOOGLETRANSLATE(A6550,""en"",""pt"")"),"The Last Stand e Missão Impossível 3 ambos eram filmes impressionantes.")</f>
        <v>The Last Stand e Missão Impossível 3 ambos eram filmes impressionantes.</v>
      </c>
      <c r="B6550" s="3">
        <v>1</v>
      </c>
    </row>
    <row r="6551" ht="15.75" customHeight="1" spans="1:2">
      <c r="A6551" s="3" t="str">
        <f>IFERROR(__xludf.DUMMYFUNCTION("GOOGLETRANSLATE(A6551,""en"",""pt"")"),"eu amo Kirsten / leah / escapadas Kate e missão tom impossível bem ...")</f>
        <v>eu amo Kirsten / leah / escapadas Kate e missão tom impossível bem ...</v>
      </c>
      <c r="B6551" s="3">
        <v>1</v>
      </c>
    </row>
    <row r="6552" ht="15.75" customHeight="1" spans="1:2">
      <c r="A6552" s="3" t="str">
        <f>IFERROR(__xludf.DUMMYFUNCTION("GOOGLETRANSLATE(A6552,""en"",""pt"")"),"missão impossível 2 rochas !! ....")</f>
        <v>missão impossível 2 rochas !! ....</v>
      </c>
      <c r="B6552" s="3">
        <v>1</v>
      </c>
    </row>
    <row r="6553" ht="15.75" customHeight="1" spans="1:2">
      <c r="A6553" s="3" t="str">
        <f>IFERROR(__xludf.DUMMYFUNCTION("GOOGLETRANSLATE(A6553,""en"",""pt"")"),"Nós estamos indo como Missão Impossível relógio ou buzina. (")</f>
        <v>Nós estamos indo como Missão Impossível relógio ou buzina. (</v>
      </c>
      <c r="B6553" s="3">
        <v>1</v>
      </c>
    </row>
    <row r="6554" ht="15.75" customHeight="1" spans="1:2">
      <c r="A6554" s="3" t="str">
        <f>IFERROR(__xludf.DUMMYFUNCTION("GOOGLETRANSLATE(A6554,""en"",""pt"")"),"É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54" s="3">
        <v>1</v>
      </c>
    </row>
    <row r="6555" ht="15.75" customHeight="1" spans="1:2">
      <c r="A6555" s="3" t="str">
        <f>IFERROR(__xludf.DUMMYFUNCTION("GOOGLETRANSLATE(A6555,""en"",""pt"")"),"eu amo ser uma sentinela para a missão impossível e uma estação para bonkers.")</f>
        <v>eu amo ser uma sentinela para a missão impossível e uma estação para bonkers.</v>
      </c>
      <c r="B6555" s="3">
        <v>1</v>
      </c>
    </row>
    <row r="6556" ht="15.75" customHeight="1" spans="1:2">
      <c r="A6556" s="3" t="str">
        <f>IFERROR(__xludf.DUMMYFUNCTION("GOOGLETRANSLATE(A6556,""en"",""pt"")"),"I como Missão filmes impossível, porque você nunca sabe quem está do lado direito.")</f>
        <v>I como Missão filmes impossível, porque você nunca sabe quem está do lado direito.</v>
      </c>
      <c r="B6556" s="3">
        <v>1</v>
      </c>
    </row>
    <row r="6557" ht="15.75" customHeight="1" spans="1:2">
      <c r="A6557" s="3" t="str">
        <f>IFERROR(__xludf.DUMMYFUNCTION("GOOGLETRANSLATE(A6557,""en"",""pt"")"),"Missão Impossível 3 foi excelente.")</f>
        <v>Missão Impossível 3 foi excelente.</v>
      </c>
      <c r="B6557" s="3">
        <v>1</v>
      </c>
    </row>
    <row r="6558" ht="15.75" customHeight="1" spans="1:2">
      <c r="A6558" s="3" t="str">
        <f>IFERROR(__xludf.DUMMYFUNCTION("GOOGLETRANSLATE(A6558,""en"",""pt"")"),"Assim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58" s="3">
        <v>1</v>
      </c>
    </row>
    <row r="6559" ht="15.75" customHeight="1" spans="1:2">
      <c r="A6559" s="3" t="str">
        <f>IFERROR(__xludf.DUMMYFUNCTION("GOOGLETRANSLATE(A6559,""en"",""pt"")"),"Eu gostei do primeiro ""Missão Impossível.")</f>
        <v>Eu gostei do primeiro "Missão Impossível.</v>
      </c>
      <c r="B6559" s="3">
        <v>1</v>
      </c>
    </row>
    <row r="6560" ht="15.75" customHeight="1" spans="1:2">
      <c r="A6560" s="3" t="str">
        <f>IFERROR(__xludf.DUMMYFUNCTION("GOOGLETRANSLATE(A6560,""en"",""pt"")"),"The Last Stand e Missão Impossível 3 ambos eram filmes impressionantes.")</f>
        <v>The Last Stand e Missão Impossível 3 ambos eram filmes impressionantes.</v>
      </c>
      <c r="B6560" s="3">
        <v>1</v>
      </c>
    </row>
    <row r="6561" ht="15.75" customHeight="1" spans="1:2">
      <c r="A6561" s="3" t="str">
        <f>IFERROR(__xludf.DUMMYFUNCTION("GOOGLETRANSLATE(A6561,""en"",""pt"")"),"eu amo Kirsten / leah / escapadas Kate e missão tom impossível bem ...")</f>
        <v>eu amo Kirsten / leah / escapadas Kate e missão tom impossível bem ...</v>
      </c>
      <c r="B6561" s="3">
        <v>1</v>
      </c>
    </row>
    <row r="6562" ht="15.75" customHeight="1" spans="1:2">
      <c r="A6562" s="3" t="str">
        <f>IFERROR(__xludf.DUMMYFUNCTION("GOOGLETRANSLATE(A6562,""en"",""pt"")"),"missão impossível 2 rochas !! ....")</f>
        <v>missão impossível 2 rochas !! ....</v>
      </c>
      <c r="B6562" s="3">
        <v>1</v>
      </c>
    </row>
    <row r="6563" ht="15.75" customHeight="1" spans="1:2">
      <c r="A6563" s="3" t="str">
        <f>IFERROR(__xludf.DUMMYFUNCTION("GOOGLETRANSLATE(A6563,""en"",""pt"")"),"Nós estamos indo como Missão Impossível relógio ou buzina. (")</f>
        <v>Nós estamos indo como Missão Impossível relógio ou buzina. (</v>
      </c>
      <c r="B6563" s="3">
        <v>1</v>
      </c>
    </row>
    <row r="6564" ht="15.75" customHeight="1" spans="1:2">
      <c r="A6564" s="3" t="str">
        <f>IFERROR(__xludf.DUMMYFUNCTION("GOOGLETRANSLATE(A6564,""en"",""pt"")"),"É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64" s="3">
        <v>1</v>
      </c>
    </row>
    <row r="6565" ht="15.75" customHeight="1" spans="1:2">
      <c r="A6565" s="3" t="str">
        <f>IFERROR(__xludf.DUMMYFUNCTION("GOOGLETRANSLATE(A6565,""en"",""pt"")"),"eu amo ser uma sentinela para a missão impossível e uma estação para bonkers.")</f>
        <v>eu amo ser uma sentinela para a missão impossível e uma estação para bonkers.</v>
      </c>
      <c r="B6565" s="3">
        <v>1</v>
      </c>
    </row>
    <row r="6566" ht="15.75" customHeight="1" spans="1:2">
      <c r="A6566" s="3" t="str">
        <f>IFERROR(__xludf.DUMMYFUNCTION("GOOGLETRANSLATE(A6566,""en"",""pt"")"),"I como Missão filmes impossível, porque você nunca sabe quem está do lado direito.")</f>
        <v>I como Missão filmes impossível, porque você nunca sabe quem está do lado direito.</v>
      </c>
      <c r="B6566" s="3">
        <v>1</v>
      </c>
    </row>
    <row r="6567" ht="15.75" customHeight="1" spans="1:2">
      <c r="A6567" s="3" t="str">
        <f>IFERROR(__xludf.DUMMYFUNCTION("GOOGLETRANSLATE(A6567,""en"",""pt"")"),"Missão Impossível 3 foi excelente.")</f>
        <v>Missão Impossível 3 foi excelente.</v>
      </c>
      <c r="B6567" s="3">
        <v>1</v>
      </c>
    </row>
    <row r="6568" ht="15.75" customHeight="1" spans="1:2">
      <c r="A6568" s="3" t="str">
        <f>IFERROR(__xludf.DUMMYFUNCTION("GOOGLETRANSLATE(A6568,""en"",""pt"")"),"Assim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68" s="3">
        <v>1</v>
      </c>
    </row>
    <row r="6569" ht="15.75" customHeight="1" spans="1:2">
      <c r="A6569" s="3" t="str">
        <f>IFERROR(__xludf.DUMMYFUNCTION("GOOGLETRANSLATE(A6569,""en"",""pt"")"),"Eu gostei do primeiro ""Missão Impossível.")</f>
        <v>Eu gostei do primeiro "Missão Impossível.</v>
      </c>
      <c r="B6569" s="3">
        <v>1</v>
      </c>
    </row>
    <row r="6570" ht="15.75" customHeight="1" spans="1:2">
      <c r="A6570" s="3" t="str">
        <f>IFERROR(__xludf.DUMMYFUNCTION("GOOGLETRANSLATE(A6570,""en"",""pt"")"),"The Last Stand e Missão Impossível 3 ambos eram filmes impressionantes.")</f>
        <v>The Last Stand e Missão Impossível 3 ambos eram filmes impressionantes.</v>
      </c>
      <c r="B6570" s="3">
        <v>1</v>
      </c>
    </row>
    <row r="6571" ht="15.75" customHeight="1" spans="1:2">
      <c r="A6571" s="3" t="str">
        <f>IFERROR(__xludf.DUMMYFUNCTION("GOOGLETRANSLATE(A6571,""en"",""pt"")"),"eu amo Kirsten / leah / escapadas Kate e missão tom impossível bem ...")</f>
        <v>eu amo Kirsten / leah / escapadas Kate e missão tom impossível bem ...</v>
      </c>
      <c r="B6571" s="3">
        <v>1</v>
      </c>
    </row>
    <row r="6572" ht="15.75" customHeight="1" spans="1:2">
      <c r="A6572" s="3" t="str">
        <f>IFERROR(__xludf.DUMMYFUNCTION("GOOGLETRANSLATE(A6572,""en"",""pt"")"),"missão impossível 2 rochas !! ....")</f>
        <v>missão impossível 2 rochas !! ....</v>
      </c>
      <c r="B6572" s="3">
        <v>1</v>
      </c>
    </row>
    <row r="6573" ht="15.75" customHeight="1" spans="1:2">
      <c r="A6573" s="3" t="str">
        <f>IFERROR(__xludf.DUMMYFUNCTION("GOOGLETRANSLATE(A6573,""en"",""pt"")"),"Nós estamos indo como Missão Impossível relógio ou buzina. (")</f>
        <v>Nós estamos indo como Missão Impossível relógio ou buzina. (</v>
      </c>
      <c r="B6573" s="3">
        <v>1</v>
      </c>
    </row>
    <row r="6574" ht="15.75" customHeight="1" spans="1:2">
      <c r="A6574" s="3" t="str">
        <f>IFERROR(__xludf.DUMMYFUNCTION("GOOGLETRANSLATE(A6574,""en"",""pt"")"),"É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74" s="3">
        <v>1</v>
      </c>
    </row>
    <row r="6575" ht="15.75" customHeight="1" spans="1:2">
      <c r="A6575" s="3" t="str">
        <f>IFERROR(__xludf.DUMMYFUNCTION("GOOGLETRANSLATE(A6575,""en"",""pt"")"),"eu amo ser uma sentinela para a missão impossível e uma estação para bonkers.")</f>
        <v>eu amo ser uma sentinela para a missão impossível e uma estação para bonkers.</v>
      </c>
      <c r="B6575" s="3">
        <v>1</v>
      </c>
    </row>
    <row r="6576" ht="15.75" customHeight="1" spans="1:2">
      <c r="A6576" s="3" t="str">
        <f>IFERROR(__xludf.DUMMYFUNCTION("GOOGLETRANSLATE(A6576,""en"",""pt"")"),"I como Missão filmes impossível, porque você nunca sabe quem está do lado direito.")</f>
        <v>I como Missão filmes impossível, porque você nunca sabe quem está do lado direito.</v>
      </c>
      <c r="B6576" s="3">
        <v>1</v>
      </c>
    </row>
    <row r="6577" ht="15.75" customHeight="1" spans="1:2">
      <c r="A6577" s="3" t="str">
        <f>IFERROR(__xludf.DUMMYFUNCTION("GOOGLETRANSLATE(A6577,""en"",""pt"")"),"Missão Impossível 3 foi excelente.")</f>
        <v>Missão Impossível 3 foi excelente.</v>
      </c>
      <c r="B6577" s="3">
        <v>1</v>
      </c>
    </row>
    <row r="6578" ht="15.75" customHeight="1" spans="1:2">
      <c r="A6578" s="3" t="str">
        <f>IFERROR(__xludf.DUMMYFUNCTION("GOOGLETRANSLATE(A6578,""en"",""pt"")"),"Assim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78" s="3">
        <v>1</v>
      </c>
    </row>
    <row r="6579" ht="15.75" customHeight="1" spans="1:2">
      <c r="A6579" s="3" t="str">
        <f>IFERROR(__xludf.DUMMYFUNCTION("GOOGLETRANSLATE(A6579,""en"",""pt"")"),"Eu gostei do primeiro ""Missão Impossível.")</f>
        <v>Eu gostei do primeiro "Missão Impossível.</v>
      </c>
      <c r="B6579" s="3">
        <v>1</v>
      </c>
    </row>
    <row r="6580" ht="15.75" customHeight="1" spans="1:2">
      <c r="A6580" s="3" t="str">
        <f>IFERROR(__xludf.DUMMYFUNCTION("GOOGLETRANSLATE(A6580,""en"",""pt"")"),"The Last Stand e Missão Impossível 3 ambos eram filmes impressionantes.")</f>
        <v>The Last Stand e Missão Impossível 3 ambos eram filmes impressionantes.</v>
      </c>
      <c r="B6580" s="3">
        <v>1</v>
      </c>
    </row>
    <row r="6581" ht="15.75" customHeight="1" spans="1:2">
      <c r="A6581" s="3" t="str">
        <f>IFERROR(__xludf.DUMMYFUNCTION("GOOGLETRANSLATE(A6581,""en"",""pt"")"),"eu amo Kirsten / leah / escapadas Kate e missão tom impossível bem ...")</f>
        <v>eu amo Kirsten / leah / escapadas Kate e missão tom impossível bem ...</v>
      </c>
      <c r="B6581" s="3">
        <v>1</v>
      </c>
    </row>
    <row r="6582" ht="15.75" customHeight="1" spans="1:2">
      <c r="A6582" s="3" t="str">
        <f>IFERROR(__xludf.DUMMYFUNCTION("GOOGLETRANSLATE(A6582,""en"",""pt"")"),"missão impossível 2 rochas !! ....")</f>
        <v>missão impossível 2 rochas !! ....</v>
      </c>
      <c r="B6582" s="3">
        <v>1</v>
      </c>
    </row>
    <row r="6583" ht="15.75" customHeight="1" spans="1:2">
      <c r="A6583" s="3" t="str">
        <f>IFERROR(__xludf.DUMMYFUNCTION("GOOGLETRANSLATE(A6583,""en"",""pt"")"),"Nós estamos indo como Missão Impossível relógio ou buzina. (")</f>
        <v>Nós estamos indo como Missão Impossível relógio ou buzina. (</v>
      </c>
      <c r="B6583" s="3">
        <v>1</v>
      </c>
    </row>
    <row r="6584" ht="15.75" customHeight="1" spans="1:2">
      <c r="A6584" s="3" t="str">
        <f>IFERROR(__xludf.DUMMYFUNCTION("GOOGLETRANSLATE(A6584,""en"",""pt"")"),"É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84" s="3">
        <v>1</v>
      </c>
    </row>
    <row r="6585" ht="15.75" customHeight="1" spans="1:2">
      <c r="A6585" s="3" t="str">
        <f>IFERROR(__xludf.DUMMYFUNCTION("GOOGLETRANSLATE(A6585,""en"",""pt"")"),"eu amo ser uma sentinela para a missão impossível e uma estação para bonkers.")</f>
        <v>eu amo ser uma sentinela para a missão impossível e uma estação para bonkers.</v>
      </c>
      <c r="B6585" s="3">
        <v>1</v>
      </c>
    </row>
    <row r="6586" ht="15.75" customHeight="1" spans="1:2">
      <c r="A6586" s="3" t="str">
        <f>IFERROR(__xludf.DUMMYFUNCTION("GOOGLETRANSLATE(A6586,""en"",""pt"")"),"I como Missão filmes impossível, porque você nunca sabe quem está do lado direito.")</f>
        <v>I como Missão filmes impossível, porque você nunca sabe quem está do lado direito.</v>
      </c>
      <c r="B6586" s="3">
        <v>1</v>
      </c>
    </row>
    <row r="6587" ht="15.75" customHeight="1" spans="1:2">
      <c r="A6587" s="3" t="str">
        <f>IFERROR(__xludf.DUMMYFUNCTION("GOOGLETRANSLATE(A6587,""en"",""pt"")"),"Missão Impossível 3 foi excelente.")</f>
        <v>Missão Impossível 3 foi excelente.</v>
      </c>
      <c r="B6587" s="3">
        <v>1</v>
      </c>
    </row>
    <row r="6588" ht="15.75" customHeight="1" spans="1:2">
      <c r="A6588" s="3" t="str">
        <f>IFERROR(__xludf.DUMMYFUNCTION("GOOGLETRANSLATE(A6588,""en"",""pt"")"),"Assim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88" s="3">
        <v>1</v>
      </c>
    </row>
    <row r="6589" ht="15.75" customHeight="1" spans="1:2">
      <c r="A6589" s="3" t="str">
        <f>IFERROR(__xludf.DUMMYFUNCTION("GOOGLETRANSLATE(A6589,""en"",""pt"")"),"Eu gostei do primeiro ""Missão Impossível.")</f>
        <v>Eu gostei do primeiro "Missão Impossível.</v>
      </c>
      <c r="B6589" s="3">
        <v>1</v>
      </c>
    </row>
    <row r="6590" ht="15.75" customHeight="1" spans="1:2">
      <c r="A6590" s="3" t="str">
        <f>IFERROR(__xludf.DUMMYFUNCTION("GOOGLETRANSLATE(A6590,""en"",""pt"")"),"The Last Stand e Missão Impossível 3 ambos eram filmes impressionantes.")</f>
        <v>The Last Stand e Missão Impossível 3 ambos eram filmes impressionantes.</v>
      </c>
      <c r="B6590" s="3">
        <v>1</v>
      </c>
    </row>
    <row r="6591" ht="15.75" customHeight="1" spans="1:2">
      <c r="A6591" s="3" t="str">
        <f>IFERROR(__xludf.DUMMYFUNCTION("GOOGLETRANSLATE(A6591,""en"",""pt"")"),"eu amo Kirsten / leah / escapadas Kate e missão tom impossível bem ...")</f>
        <v>eu amo Kirsten / leah / escapadas Kate e missão tom impossível bem ...</v>
      </c>
      <c r="B6591" s="3">
        <v>1</v>
      </c>
    </row>
    <row r="6592" ht="15.75" customHeight="1" spans="1:2">
      <c r="A6592" s="3" t="str">
        <f>IFERROR(__xludf.DUMMYFUNCTION("GOOGLETRANSLATE(A6592,""en"",""pt"")"),"missão impossível 2 rochas !! ....")</f>
        <v>missão impossível 2 rochas !! ....</v>
      </c>
      <c r="B6592" s="3">
        <v>1</v>
      </c>
    </row>
    <row r="6593" ht="15.75" customHeight="1" spans="1:2">
      <c r="A6593" s="3" t="str">
        <f>IFERROR(__xludf.DUMMYFUNCTION("GOOGLETRANSLATE(A6593,""en"",""pt"")"),"Nós estamos indo como Missão Impossível relógio ou buzina. (")</f>
        <v>Nós estamos indo como Missão Impossível relógio ou buzina. (</v>
      </c>
      <c r="B6593" s="3">
        <v>1</v>
      </c>
    </row>
    <row r="6594" ht="15.75" customHeight="1" spans="1:2">
      <c r="A6594" s="3" t="str">
        <f>IFERROR(__xludf.DUMMYFUNCTION("GOOGLETRANSLATE(A6594,""en"",""pt"")"),"É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594" s="3">
        <v>1</v>
      </c>
    </row>
    <row r="6595" ht="15.75" customHeight="1" spans="1:2">
      <c r="A6595" s="3" t="str">
        <f>IFERROR(__xludf.DUMMYFUNCTION("GOOGLETRANSLATE(A6595,""en"",""pt"")"),"eu amo ser uma sentinela para a missão impossível e uma estação para bonkers.")</f>
        <v>eu amo ser uma sentinela para a missão impossível e uma estação para bonkers.</v>
      </c>
      <c r="B6595" s="3">
        <v>1</v>
      </c>
    </row>
    <row r="6596" ht="15.75" customHeight="1" spans="1:2">
      <c r="A6596" s="3" t="str">
        <f>IFERROR(__xludf.DUMMYFUNCTION("GOOGLETRANSLATE(A6596,""en"",""pt"")"),"I como Missão filmes impossível, porque você nunca sabe quem está do lado direito.")</f>
        <v>I como Missão filmes impossível, porque você nunca sabe quem está do lado direito.</v>
      </c>
      <c r="B6596" s="3">
        <v>1</v>
      </c>
    </row>
    <row r="6597" ht="15.75" customHeight="1" spans="1:2">
      <c r="A6597" s="3" t="str">
        <f>IFERROR(__xludf.DUMMYFUNCTION("GOOGLETRANSLATE(A6597,""en"",""pt"")"),"Missão Impossível 3 foi excelente.")</f>
        <v>Missão Impossível 3 foi excelente.</v>
      </c>
      <c r="B6597" s="3">
        <v>1</v>
      </c>
    </row>
    <row r="6598" ht="15.75" customHeight="1" spans="1:2">
      <c r="A6598" s="3" t="str">
        <f>IFERROR(__xludf.DUMMYFUNCTION("GOOGLETRANSLATE(A6598,""en"",""pt"")"),"Assim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598" s="3">
        <v>1</v>
      </c>
    </row>
    <row r="6599" ht="15.75" customHeight="1" spans="1:2">
      <c r="A6599" s="3" t="str">
        <f>IFERROR(__xludf.DUMMYFUNCTION("GOOGLETRANSLATE(A6599,""en"",""pt"")"),"Eu gostei do primeiro ""Missão Impossível.")</f>
        <v>Eu gostei do primeiro "Missão Impossível.</v>
      </c>
      <c r="B6599" s="3">
        <v>1</v>
      </c>
    </row>
    <row r="6600" ht="15.75" customHeight="1" spans="1:2">
      <c r="A6600" s="3" t="str">
        <f>IFERROR(__xludf.DUMMYFUNCTION("GOOGLETRANSLATE(A6600,""en"",""pt"")"),"The Last Stand e Missão Impossível 3 ambos eram filmes impressionantes.")</f>
        <v>The Last Stand e Missão Impossível 3 ambos eram filmes impressionantes.</v>
      </c>
      <c r="B6600" s="3">
        <v>1</v>
      </c>
    </row>
    <row r="6601" ht="15.75" customHeight="1" spans="1:2">
      <c r="A6601" s="3" t="str">
        <f>IFERROR(__xludf.DUMMYFUNCTION("GOOGLETRANSLATE(A6601,""en"",""pt"")"),"eu amo Kirsten / leah / escapadas Kate e missão tom impossível bem ...")</f>
        <v>eu amo Kirsten / leah / escapadas Kate e missão tom impossível bem ...</v>
      </c>
      <c r="B6601" s="3">
        <v>1</v>
      </c>
    </row>
    <row r="6602" ht="15.75" customHeight="1" spans="1:2">
      <c r="A6602" s="3" t="str">
        <f>IFERROR(__xludf.DUMMYFUNCTION("GOOGLETRANSLATE(A6602,""en"",""pt"")"),"missão impossível 2 rochas !! ....")</f>
        <v>missão impossível 2 rochas !! ....</v>
      </c>
      <c r="B6602" s="3">
        <v>1</v>
      </c>
    </row>
    <row r="6603" ht="15.75" customHeight="1" spans="1:2">
      <c r="A6603" s="3" t="str">
        <f>IFERROR(__xludf.DUMMYFUNCTION("GOOGLETRANSLATE(A6603,""en"",""pt"")"),"Nós estamos indo como Missão Impossível relógio ou buzina. (")</f>
        <v>Nós estamos indo como Missão Impossível relógio ou buzina. (</v>
      </c>
      <c r="B6603" s="3">
        <v>1</v>
      </c>
    </row>
    <row r="6604" ht="15.75" customHeight="1" spans="1:2">
      <c r="A6604" s="3" t="str">
        <f>IFERROR(__xludf.DUMMYFUNCTION("GOOGLETRANSLATE(A6604,""en"",""pt"")"),"É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04" s="3">
        <v>1</v>
      </c>
    </row>
    <row r="6605" ht="15.75" customHeight="1" spans="1:2">
      <c r="A6605" s="3" t="str">
        <f>IFERROR(__xludf.DUMMYFUNCTION("GOOGLETRANSLATE(A6605,""en"",""pt"")"),"eu amo ser uma sentinela para a missão impossível e uma estação para bonkers.")</f>
        <v>eu amo ser uma sentinela para a missão impossível e uma estação para bonkers.</v>
      </c>
      <c r="B6605" s="3">
        <v>1</v>
      </c>
    </row>
    <row r="6606" ht="15.75" customHeight="1" spans="1:2">
      <c r="A6606" s="3" t="str">
        <f>IFERROR(__xludf.DUMMYFUNCTION("GOOGLETRANSLATE(A6606,""en"",""pt"")"),"I como Missão filmes impossível, porque você nunca sabe quem está do lado direito.")</f>
        <v>I como Missão filmes impossível, porque você nunca sabe quem está do lado direito.</v>
      </c>
      <c r="B6606" s="3">
        <v>1</v>
      </c>
    </row>
    <row r="6607" ht="15.75" customHeight="1" spans="1:2">
      <c r="A6607" s="3" t="str">
        <f>IFERROR(__xludf.DUMMYFUNCTION("GOOGLETRANSLATE(A6607,""en"",""pt"")"),"Missão Impossível 3 foi excelente.")</f>
        <v>Missão Impossível 3 foi excelente.</v>
      </c>
      <c r="B6607" s="3">
        <v>1</v>
      </c>
    </row>
    <row r="6608" ht="15.75" customHeight="1" spans="1:2">
      <c r="A6608" s="3" t="str">
        <f>IFERROR(__xludf.DUMMYFUNCTION("GOOGLETRANSLATE(A6608,""en"",""pt"")"),"Assim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08" s="3">
        <v>1</v>
      </c>
    </row>
    <row r="6609" ht="15.75" customHeight="1" spans="1:2">
      <c r="A6609" s="3" t="str">
        <f>IFERROR(__xludf.DUMMYFUNCTION("GOOGLETRANSLATE(A6609,""en"",""pt"")"),"Eu gostei do primeiro ""Missão Impossível.")</f>
        <v>Eu gostei do primeiro "Missão Impossível.</v>
      </c>
      <c r="B6609" s="3">
        <v>1</v>
      </c>
    </row>
    <row r="6610" ht="15.75" customHeight="1" spans="1:2">
      <c r="A6610" s="3" t="str">
        <f>IFERROR(__xludf.DUMMYFUNCTION("GOOGLETRANSLATE(A6610,""en"",""pt"")"),"The Last Stand e Missão Impossível 3 ambos eram filmes impressionantes.")</f>
        <v>The Last Stand e Missão Impossível 3 ambos eram filmes impressionantes.</v>
      </c>
      <c r="B6610" s="3">
        <v>1</v>
      </c>
    </row>
    <row r="6611" ht="15.75" customHeight="1" spans="1:2">
      <c r="A6611" s="3" t="str">
        <f>IFERROR(__xludf.DUMMYFUNCTION("GOOGLETRANSLATE(A6611,""en"",""pt"")"),"eu amo Kirsten / leah / escapadas Kate e missão tom impossível bem ...")</f>
        <v>eu amo Kirsten / leah / escapadas Kate e missão tom impossível bem ...</v>
      </c>
      <c r="B6611" s="3">
        <v>1</v>
      </c>
    </row>
    <row r="6612" ht="15.75" customHeight="1" spans="1:2">
      <c r="A6612" s="3" t="str">
        <f>IFERROR(__xludf.DUMMYFUNCTION("GOOGLETRANSLATE(A6612,""en"",""pt"")"),"missão impossível 2 rochas !! ....")</f>
        <v>missão impossível 2 rochas !! ....</v>
      </c>
      <c r="B6612" s="3">
        <v>1</v>
      </c>
    </row>
    <row r="6613" ht="15.75" customHeight="1" spans="1:2">
      <c r="A6613" s="3" t="str">
        <f>IFERROR(__xludf.DUMMYFUNCTION("GOOGLETRANSLATE(A6613,""en"",""pt"")"),"Nós estamos indo como Missão Impossível relógio ou buzina. (")</f>
        <v>Nós estamos indo como Missão Impossível relógio ou buzina. (</v>
      </c>
      <c r="B6613" s="3">
        <v>1</v>
      </c>
    </row>
    <row r="6614" ht="15.75" customHeight="1" spans="1:2">
      <c r="A6614" s="3" t="str">
        <f>IFERROR(__xludf.DUMMYFUNCTION("GOOGLETRANSLATE(A6614,""en"",""pt"")"),"É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14" s="3">
        <v>1</v>
      </c>
    </row>
    <row r="6615" ht="15.75" customHeight="1" spans="1:2">
      <c r="A6615" s="3" t="str">
        <f>IFERROR(__xludf.DUMMYFUNCTION("GOOGLETRANSLATE(A6615,""en"",""pt"")"),"eu amo ser uma sentinela para a missão impossível e uma estação para bonkers.")</f>
        <v>eu amo ser uma sentinela para a missão impossível e uma estação para bonkers.</v>
      </c>
      <c r="B6615" s="3">
        <v>1</v>
      </c>
    </row>
    <row r="6616" ht="15.75" customHeight="1" spans="1:2">
      <c r="A6616" s="3" t="str">
        <f>IFERROR(__xludf.DUMMYFUNCTION("GOOGLETRANSLATE(A6616,""en"",""pt"")"),"I como Missão filmes impossível, porque você nunca sabe quem está do lado direito.")</f>
        <v>I como Missão filmes impossível, porque você nunca sabe quem está do lado direito.</v>
      </c>
      <c r="B6616" s="3">
        <v>1</v>
      </c>
    </row>
    <row r="6617" ht="15.75" customHeight="1" spans="1:2">
      <c r="A6617" s="3" t="str">
        <f>IFERROR(__xludf.DUMMYFUNCTION("GOOGLETRANSLATE(A6617,""en"",""pt"")"),"Missão Impossível 3 foi excelente.")</f>
        <v>Missão Impossível 3 foi excelente.</v>
      </c>
      <c r="B6617" s="3">
        <v>1</v>
      </c>
    </row>
    <row r="6618" ht="15.75" customHeight="1" spans="1:2">
      <c r="A6618" s="3" t="str">
        <f>IFERROR(__xludf.DUMMYFUNCTION("GOOGLETRANSLATE(A6618,""en"",""pt"")"),"Assim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18" s="3">
        <v>1</v>
      </c>
    </row>
    <row r="6619" ht="15.75" customHeight="1" spans="1:2">
      <c r="A6619" s="3" t="str">
        <f>IFERROR(__xludf.DUMMYFUNCTION("GOOGLETRANSLATE(A6619,""en"",""pt"")"),"Eu gostei do primeiro ""Missão Impossível.")</f>
        <v>Eu gostei do primeiro "Missão Impossível.</v>
      </c>
      <c r="B6619" s="3">
        <v>1</v>
      </c>
    </row>
    <row r="6620" ht="15.75" customHeight="1" spans="1:2">
      <c r="A6620" s="3" t="str">
        <f>IFERROR(__xludf.DUMMYFUNCTION("GOOGLETRANSLATE(A6620,""en"",""pt"")"),"The Last Stand e Missão Impossível 3 ambos eram filmes impressionantes.")</f>
        <v>The Last Stand e Missão Impossível 3 ambos eram filmes impressionantes.</v>
      </c>
      <c r="B6620" s="3">
        <v>1</v>
      </c>
    </row>
    <row r="6621" ht="15.75" customHeight="1" spans="1:2">
      <c r="A6621" s="3" t="str">
        <f>IFERROR(__xludf.DUMMYFUNCTION("GOOGLETRANSLATE(A6621,""en"",""pt"")"),"eu amo Kirsten / leah / escapadas Kate e missão tom impossível bem ...")</f>
        <v>eu amo Kirsten / leah / escapadas Kate e missão tom impossível bem ...</v>
      </c>
      <c r="B6621" s="3">
        <v>1</v>
      </c>
    </row>
    <row r="6622" ht="15.75" customHeight="1" spans="1:2">
      <c r="A6622" s="3" t="str">
        <f>IFERROR(__xludf.DUMMYFUNCTION("GOOGLETRANSLATE(A6622,""en"",""pt"")"),"missão impossível 2 rochas !! ....")</f>
        <v>missão impossível 2 rochas !! ....</v>
      </c>
      <c r="B6622" s="3">
        <v>1</v>
      </c>
    </row>
    <row r="6623" ht="15.75" customHeight="1" spans="1:2">
      <c r="A6623" s="3" t="str">
        <f>IFERROR(__xludf.DUMMYFUNCTION("GOOGLETRANSLATE(A6623,""en"",""pt"")"),"Nós estamos indo como Missão Impossível relógio ou buzina. (")</f>
        <v>Nós estamos indo como Missão Impossível relógio ou buzina. (</v>
      </c>
      <c r="B6623" s="3">
        <v>1</v>
      </c>
    </row>
    <row r="6624" ht="15.75" customHeight="1" spans="1:2">
      <c r="A6624" s="3" t="str">
        <f>IFERROR(__xludf.DUMMYFUNCTION("GOOGLETRANSLATE(A6624,""en"",""pt"")"),"É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24" s="3">
        <v>1</v>
      </c>
    </row>
    <row r="6625" ht="15.75" customHeight="1" spans="1:2">
      <c r="A6625" s="3" t="str">
        <f>IFERROR(__xludf.DUMMYFUNCTION("GOOGLETRANSLATE(A6625,""en"",""pt"")"),"eu amo ser uma sentinela para a missão impossível e uma estação para bonkers.")</f>
        <v>eu amo ser uma sentinela para a missão impossível e uma estação para bonkers.</v>
      </c>
      <c r="B6625" s="3">
        <v>1</v>
      </c>
    </row>
    <row r="6626" ht="15.75" customHeight="1" spans="1:2">
      <c r="A6626" s="3" t="str">
        <f>IFERROR(__xludf.DUMMYFUNCTION("GOOGLETRANSLATE(A6626,""en"",""pt"")"),"I como Missão filmes impossível, porque você nunca sabe quem está do lado direito.")</f>
        <v>I como Missão filmes impossível, porque você nunca sabe quem está do lado direito.</v>
      </c>
      <c r="B6626" s="3">
        <v>1</v>
      </c>
    </row>
    <row r="6627" ht="15.75" customHeight="1" spans="1:2">
      <c r="A6627" s="3" t="str">
        <f>IFERROR(__xludf.DUMMYFUNCTION("GOOGLETRANSLATE(A6627,""en"",""pt"")"),"Missão Impossível 3 foi excelente.")</f>
        <v>Missão Impossível 3 foi excelente.</v>
      </c>
      <c r="B6627" s="3">
        <v>1</v>
      </c>
    </row>
    <row r="6628" ht="15.75" customHeight="1" spans="1:2">
      <c r="A6628" s="3" t="str">
        <f>IFERROR(__xludf.DUMMYFUNCTION("GOOGLETRANSLATE(A6628,""en"",""pt"")"),"Assim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28" s="3">
        <v>1</v>
      </c>
    </row>
    <row r="6629" ht="15.75" customHeight="1" spans="1:2">
      <c r="A6629" s="3" t="str">
        <f>IFERROR(__xludf.DUMMYFUNCTION("GOOGLETRANSLATE(A6629,""en"",""pt"")"),"Eu gostei do primeiro ""Missão Impossível.")</f>
        <v>Eu gostei do primeiro "Missão Impossível.</v>
      </c>
      <c r="B6629" s="3">
        <v>1</v>
      </c>
    </row>
    <row r="6630" ht="15.75" customHeight="1" spans="1:2">
      <c r="A6630" s="3" t="str">
        <f>IFERROR(__xludf.DUMMYFUNCTION("GOOGLETRANSLATE(A6630,""en"",""pt"")"),"The Last Stand e Missão Impossível 3 ambos eram filmes impressionantes.")</f>
        <v>The Last Stand e Missão Impossível 3 ambos eram filmes impressionantes.</v>
      </c>
      <c r="B6630" s="3">
        <v>1</v>
      </c>
    </row>
    <row r="6631" ht="15.75" customHeight="1" spans="1:2">
      <c r="A6631" s="3" t="str">
        <f>IFERROR(__xludf.DUMMYFUNCTION("GOOGLETRANSLATE(A6631,""en"",""pt"")"),"eu amo Kirsten / leah / escapadas Kate e missão tom impossível bem ...")</f>
        <v>eu amo Kirsten / leah / escapadas Kate e missão tom impossível bem ...</v>
      </c>
      <c r="B6631" s="3">
        <v>1</v>
      </c>
    </row>
    <row r="6632" ht="15.75" customHeight="1" spans="1:2">
      <c r="A6632" s="3" t="str">
        <f>IFERROR(__xludf.DUMMYFUNCTION("GOOGLETRANSLATE(A6632,""en"",""pt"")"),"missão impossível 2 rochas !! ....")</f>
        <v>missão impossível 2 rochas !! ....</v>
      </c>
      <c r="B6632" s="3">
        <v>1</v>
      </c>
    </row>
    <row r="6633" ht="15.75" customHeight="1" spans="1:2">
      <c r="A6633" s="3" t="str">
        <f>IFERROR(__xludf.DUMMYFUNCTION("GOOGLETRANSLATE(A6633,""en"",""pt"")"),"Nós estamos indo como Missão Impossível relógio ou buzina. (")</f>
        <v>Nós estamos indo como Missão Impossível relógio ou buzina. (</v>
      </c>
      <c r="B6633" s="3">
        <v>1</v>
      </c>
    </row>
    <row r="6634" ht="15.75" customHeight="1" spans="1:2">
      <c r="A6634" s="3" t="str">
        <f>IFERROR(__xludf.DUMMYFUNCTION("GOOGLETRANSLATE(A6634,""en"",""pt"")"),"É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34" s="3">
        <v>1</v>
      </c>
    </row>
    <row r="6635" ht="15.75" customHeight="1" spans="1:2">
      <c r="A6635" s="3" t="str">
        <f>IFERROR(__xludf.DUMMYFUNCTION("GOOGLETRANSLATE(A6635,""en"",""pt"")"),"eu amo ser uma sentinela para a missão impossível e uma estação para bonkers.")</f>
        <v>eu amo ser uma sentinela para a missão impossível e uma estação para bonkers.</v>
      </c>
      <c r="B6635" s="3">
        <v>1</v>
      </c>
    </row>
    <row r="6636" ht="15.75" customHeight="1" spans="1:2">
      <c r="A6636" s="3" t="str">
        <f>IFERROR(__xludf.DUMMYFUNCTION("GOOGLETRANSLATE(A6636,""en"",""pt"")"),"I como Missão filmes impossível, porque você nunca sabe quem está do lado direito.")</f>
        <v>I como Missão filmes impossível, porque você nunca sabe quem está do lado direito.</v>
      </c>
      <c r="B6636" s="3">
        <v>1</v>
      </c>
    </row>
    <row r="6637" ht="15.75" customHeight="1" spans="1:2">
      <c r="A6637" s="3" t="str">
        <f>IFERROR(__xludf.DUMMYFUNCTION("GOOGLETRANSLATE(A6637,""en"",""pt"")"),"Missão Impossível 3 foi excelente.")</f>
        <v>Missão Impossível 3 foi excelente.</v>
      </c>
      <c r="B6637" s="3">
        <v>1</v>
      </c>
    </row>
    <row r="6638" ht="15.75" customHeight="1" spans="1:2">
      <c r="A6638" s="3" t="str">
        <f>IFERROR(__xludf.DUMMYFUNCTION("GOOGLETRANSLATE(A6638,""en"",""pt"")"),"Assim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38" s="3">
        <v>1</v>
      </c>
    </row>
    <row r="6639" ht="15.75" customHeight="1" spans="1:2">
      <c r="A6639" s="3" t="str">
        <f>IFERROR(__xludf.DUMMYFUNCTION("GOOGLETRANSLATE(A6639,""en"",""pt"")"),"Eu gostei do primeiro ""Missão Impossível.")</f>
        <v>Eu gostei do primeiro "Missão Impossível.</v>
      </c>
      <c r="B6639" s="3">
        <v>1</v>
      </c>
    </row>
    <row r="6640" ht="15.75" customHeight="1" spans="1:2">
      <c r="A6640" s="3" t="str">
        <f>IFERROR(__xludf.DUMMYFUNCTION("GOOGLETRANSLATE(A6640,""en"",""pt"")"),"The Last Stand e Missão Impossível 3 ambos eram filmes impressionantes.")</f>
        <v>The Last Stand e Missão Impossível 3 ambos eram filmes impressionantes.</v>
      </c>
      <c r="B6640" s="3">
        <v>1</v>
      </c>
    </row>
    <row r="6641" ht="15.75" customHeight="1" spans="1:2">
      <c r="A6641" s="3" t="str">
        <f>IFERROR(__xludf.DUMMYFUNCTION("GOOGLETRANSLATE(A6641,""en"",""pt"")"),"eu amo Kirsten / leah / escapadas Kate e missão tom impossível bem ...")</f>
        <v>eu amo Kirsten / leah / escapadas Kate e missão tom impossível bem ...</v>
      </c>
      <c r="B6641" s="3">
        <v>1</v>
      </c>
    </row>
    <row r="6642" ht="15.75" customHeight="1" spans="1:2">
      <c r="A6642" s="3" t="str">
        <f>IFERROR(__xludf.DUMMYFUNCTION("GOOGLETRANSLATE(A6642,""en"",""pt"")"),"missão impossível 2 rochas !! ....")</f>
        <v>missão impossível 2 rochas !! ....</v>
      </c>
      <c r="B6642" s="3">
        <v>1</v>
      </c>
    </row>
    <row r="6643" ht="15.75" customHeight="1" spans="1:2">
      <c r="A6643" s="3" t="str">
        <f>IFERROR(__xludf.DUMMYFUNCTION("GOOGLETRANSLATE(A6643,""en"",""pt"")"),"Nós estamos indo como Missão Impossível relógio ou buzina. (")</f>
        <v>Nós estamos indo como Missão Impossível relógio ou buzina. (</v>
      </c>
      <c r="B6643" s="3">
        <v>1</v>
      </c>
    </row>
    <row r="6644" ht="15.75" customHeight="1" spans="1:2">
      <c r="A6644" s="3" t="str">
        <f>IFERROR(__xludf.DUMMYFUNCTION("GOOGLETRANSLATE(A6644,""en"",""pt"")"),"É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44" s="3">
        <v>1</v>
      </c>
    </row>
    <row r="6645" ht="15.75" customHeight="1" spans="1:2">
      <c r="A6645" s="3" t="str">
        <f>IFERROR(__xludf.DUMMYFUNCTION("GOOGLETRANSLATE(A6645,""en"",""pt"")"),"eu amo ser uma sentinela para a missão impossível e uma estação para bonkers.")</f>
        <v>eu amo ser uma sentinela para a missão impossível e uma estação para bonkers.</v>
      </c>
      <c r="B6645" s="3">
        <v>1</v>
      </c>
    </row>
    <row r="6646" ht="15.75" customHeight="1" spans="1:2">
      <c r="A6646" s="3" t="str">
        <f>IFERROR(__xludf.DUMMYFUNCTION("GOOGLETRANSLATE(A6646,""en"",""pt"")"),"I como Missão filmes impossível, porque você nunca sabe quem está do lado direito.")</f>
        <v>I como Missão filmes impossível, porque você nunca sabe quem está do lado direito.</v>
      </c>
      <c r="B6646" s="3">
        <v>1</v>
      </c>
    </row>
    <row r="6647" ht="15.75" customHeight="1" spans="1:2">
      <c r="A6647" s="3" t="str">
        <f>IFERROR(__xludf.DUMMYFUNCTION("GOOGLETRANSLATE(A6647,""en"",""pt"")"),"Missão Impossível 3 foi excelente.")</f>
        <v>Missão Impossível 3 foi excelente.</v>
      </c>
      <c r="B6647" s="3">
        <v>1</v>
      </c>
    </row>
    <row r="6648" ht="15.75" customHeight="1" spans="1:2">
      <c r="A6648" s="3" t="str">
        <f>IFERROR(__xludf.DUMMYFUNCTION("GOOGLETRANSLATE(A6648,""en"",""pt"")"),"Assim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48" s="3">
        <v>1</v>
      </c>
    </row>
    <row r="6649" ht="15.75" customHeight="1" spans="1:2">
      <c r="A6649" s="3" t="str">
        <f>IFERROR(__xludf.DUMMYFUNCTION("GOOGLETRANSLATE(A6649,""en"",""pt"")"),"Eu gostei do primeiro ""Missão Impossível.")</f>
        <v>Eu gostei do primeiro "Missão Impossível.</v>
      </c>
      <c r="B6649" s="3">
        <v>1</v>
      </c>
    </row>
    <row r="6650" ht="15.75" customHeight="1" spans="1:2">
      <c r="A6650" s="3" t="str">
        <f>IFERROR(__xludf.DUMMYFUNCTION("GOOGLETRANSLATE(A6650,""en"",""pt"")"),"The Last Stand e Missão Impossível 3 ambos eram filmes impressionantes.")</f>
        <v>The Last Stand e Missão Impossível 3 ambos eram filmes impressionantes.</v>
      </c>
      <c r="B6650" s="3">
        <v>1</v>
      </c>
    </row>
    <row r="6651" ht="15.75" customHeight="1" spans="1:2">
      <c r="A6651" s="3" t="str">
        <f>IFERROR(__xludf.DUMMYFUNCTION("GOOGLETRANSLATE(A6651,""en"",""pt"")"),"eu amo Kirsten / leah / escapadas Kate e missão tom impossível bem ...")</f>
        <v>eu amo Kirsten / leah / escapadas Kate e missão tom impossível bem ...</v>
      </c>
      <c r="B6651" s="3">
        <v>1</v>
      </c>
    </row>
    <row r="6652" ht="15.75" customHeight="1" spans="1:2">
      <c r="A6652" s="3" t="str">
        <f>IFERROR(__xludf.DUMMYFUNCTION("GOOGLETRANSLATE(A6652,""en"",""pt"")"),"missão impossível 2 rochas !! ....")</f>
        <v>missão impossível 2 rochas !! ....</v>
      </c>
      <c r="B6652" s="3">
        <v>1</v>
      </c>
    </row>
    <row r="6653" ht="15.75" customHeight="1" spans="1:2">
      <c r="A6653" s="3" t="str">
        <f>IFERROR(__xludf.DUMMYFUNCTION("GOOGLETRANSLATE(A6653,""en"",""pt"")"),"Nós estamos indo como Missão Impossível relógio ou buzina. (")</f>
        <v>Nós estamos indo como Missão Impossível relógio ou buzina. (</v>
      </c>
      <c r="B6653" s="3">
        <v>1</v>
      </c>
    </row>
    <row r="6654" ht="15.75" customHeight="1" spans="1:2">
      <c r="A6654" s="3" t="str">
        <f>IFERROR(__xludf.DUMMYFUNCTION("GOOGLETRANSLATE(A6654,""en"",""pt"")"),"É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54" s="3">
        <v>1</v>
      </c>
    </row>
    <row r="6655" ht="15.75" customHeight="1" spans="1:2">
      <c r="A6655" s="3" t="str">
        <f>IFERROR(__xludf.DUMMYFUNCTION("GOOGLETRANSLATE(A6655,""en"",""pt"")"),"eu amo ser uma sentinela para a missão impossível e uma estação para bonkers.")</f>
        <v>eu amo ser uma sentinela para a missão impossível e uma estação para bonkers.</v>
      </c>
      <c r="B6655" s="3">
        <v>1</v>
      </c>
    </row>
    <row r="6656" ht="15.75" customHeight="1" spans="1:2">
      <c r="A6656" s="3" t="str">
        <f>IFERROR(__xludf.DUMMYFUNCTION("GOOGLETRANSLATE(A6656,""en"",""pt"")"),"I como Missão filmes impossível, porque você nunca sabe quem está do lado direito.")</f>
        <v>I como Missão filmes impossível, porque você nunca sabe quem está do lado direito.</v>
      </c>
      <c r="B6656" s="3">
        <v>1</v>
      </c>
    </row>
    <row r="6657" ht="15.75" customHeight="1" spans="1:2">
      <c r="A6657" s="3" t="str">
        <f>IFERROR(__xludf.DUMMYFUNCTION("GOOGLETRANSLATE(A6657,""en"",""pt"")"),"Missão Impossível 3 foi excelente.")</f>
        <v>Missão Impossível 3 foi excelente.</v>
      </c>
      <c r="B6657" s="3">
        <v>1</v>
      </c>
    </row>
    <row r="6658" ht="15.75" customHeight="1" spans="1:2">
      <c r="A6658" s="3" t="str">
        <f>IFERROR(__xludf.DUMMYFUNCTION("GOOGLETRANSLATE(A6658,""en"",""pt"")"),"Assim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58" s="3">
        <v>1</v>
      </c>
    </row>
    <row r="6659" ht="15.75" customHeight="1" spans="1:2">
      <c r="A6659" s="3" t="str">
        <f>IFERROR(__xludf.DUMMYFUNCTION("GOOGLETRANSLATE(A6659,""en"",""pt"")"),"Eu gostei do primeiro ""Missão Impossível.")</f>
        <v>Eu gostei do primeiro "Missão Impossível.</v>
      </c>
      <c r="B6659" s="3">
        <v>1</v>
      </c>
    </row>
    <row r="6660" ht="15.75" customHeight="1" spans="1:2">
      <c r="A6660" s="3" t="str">
        <f>IFERROR(__xludf.DUMMYFUNCTION("GOOGLETRANSLATE(A6660,""en"",""pt"")"),"The Last Stand e Missão Impossível 3 ambos eram filmes impressionantes.")</f>
        <v>The Last Stand e Missão Impossível 3 ambos eram filmes impressionantes.</v>
      </c>
      <c r="B6660" s="3">
        <v>1</v>
      </c>
    </row>
    <row r="6661" ht="15.75" customHeight="1" spans="1:2">
      <c r="A6661" s="3" t="str">
        <f>IFERROR(__xludf.DUMMYFUNCTION("GOOGLETRANSLATE(A6661,""en"",""pt"")"),"eu amo Kirsten / leah / escapadas Kate e missão tom impossível bem ...")</f>
        <v>eu amo Kirsten / leah / escapadas Kate e missão tom impossível bem ...</v>
      </c>
      <c r="B6661" s="3">
        <v>1</v>
      </c>
    </row>
    <row r="6662" ht="15.75" customHeight="1" spans="1:2">
      <c r="A6662" s="3" t="str">
        <f>IFERROR(__xludf.DUMMYFUNCTION("GOOGLETRANSLATE(A6662,""en"",""pt"")"),"missão impossível 2 rochas !! ....")</f>
        <v>missão impossível 2 rochas !! ....</v>
      </c>
      <c r="B6662" s="3">
        <v>1</v>
      </c>
    </row>
    <row r="6663" ht="15.75" customHeight="1" spans="1:2">
      <c r="A6663" s="3" t="str">
        <f>IFERROR(__xludf.DUMMYFUNCTION("GOOGLETRANSLATE(A6663,""en"",""pt"")"),"Nós estamos indo como Missão Impossível relógio ou buzina. (")</f>
        <v>Nós estamos indo como Missão Impossível relógio ou buzina. (</v>
      </c>
      <c r="B6663" s="3">
        <v>1</v>
      </c>
    </row>
    <row r="6664" ht="15.75" customHeight="1" spans="1:2">
      <c r="A6664" s="3" t="str">
        <f>IFERROR(__xludf.DUMMYFUNCTION("GOOGLETRANSLATE(A6664,""en"",""pt"")"),"É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64" s="3">
        <v>1</v>
      </c>
    </row>
    <row r="6665" ht="15.75" customHeight="1" spans="1:2">
      <c r="A6665" s="3" t="str">
        <f>IFERROR(__xludf.DUMMYFUNCTION("GOOGLETRANSLATE(A6665,""en"",""pt"")"),"eu amo ser uma sentinela para a missão impossível e uma estação para bonkers.")</f>
        <v>eu amo ser uma sentinela para a missão impossível e uma estação para bonkers.</v>
      </c>
      <c r="B6665" s="3">
        <v>1</v>
      </c>
    </row>
    <row r="6666" ht="15.75" customHeight="1" spans="1:2">
      <c r="A6666" s="3" t="str">
        <f>IFERROR(__xludf.DUMMYFUNCTION("GOOGLETRANSLATE(A6666,""en"",""pt"")"),"I como Missão filmes impossível, porque você nunca sabe quem está do lado direito.")</f>
        <v>I como Missão filmes impossível, porque você nunca sabe quem está do lado direito.</v>
      </c>
      <c r="B6666" s="3">
        <v>1</v>
      </c>
    </row>
    <row r="6667" ht="15.75" customHeight="1" spans="1:2">
      <c r="A6667" s="3" t="str">
        <f>IFERROR(__xludf.DUMMYFUNCTION("GOOGLETRANSLATE(A6667,""en"",""pt"")"),"Missão Impossível 3 foi excelente.")</f>
        <v>Missão Impossível 3 foi excelente.</v>
      </c>
      <c r="B6667" s="3">
        <v>1</v>
      </c>
    </row>
    <row r="6668" ht="15.75" customHeight="1" spans="1:2">
      <c r="A6668" s="3" t="str">
        <f>IFERROR(__xludf.DUMMYFUNCTION("GOOGLETRANSLATE(A6668,""en"",""pt"")"),"Assim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68" s="3">
        <v>1</v>
      </c>
    </row>
    <row r="6669" ht="15.75" customHeight="1" spans="1:2">
      <c r="A6669" s="3" t="str">
        <f>IFERROR(__xludf.DUMMYFUNCTION("GOOGLETRANSLATE(A6669,""en"",""pt"")"),"Eu gostei do primeiro ""Missão Impossível.")</f>
        <v>Eu gostei do primeiro "Missão Impossível.</v>
      </c>
      <c r="B6669" s="3">
        <v>1</v>
      </c>
    </row>
    <row r="6670" ht="15.75" customHeight="1" spans="1:2">
      <c r="A6670" s="3" t="str">
        <f>IFERROR(__xludf.DUMMYFUNCTION("GOOGLETRANSLATE(A6670,""en"",""pt"")"),"The Last Stand e Missão Impossível 3 ambos eram filmes impressionantes.")</f>
        <v>The Last Stand e Missão Impossível 3 ambos eram filmes impressionantes.</v>
      </c>
      <c r="B6670" s="3">
        <v>1</v>
      </c>
    </row>
    <row r="6671" ht="15.75" customHeight="1" spans="1:2">
      <c r="A6671" s="3" t="str">
        <f>IFERROR(__xludf.DUMMYFUNCTION("GOOGLETRANSLATE(A6671,""en"",""pt"")"),"eu amo Kirsten / leah / escapadas Kate e missão tom impossível bem ...")</f>
        <v>eu amo Kirsten / leah / escapadas Kate e missão tom impossível bem ...</v>
      </c>
      <c r="B6671" s="3">
        <v>1</v>
      </c>
    </row>
    <row r="6672" ht="15.75" customHeight="1" spans="1:2">
      <c r="A6672" s="3" t="str">
        <f>IFERROR(__xludf.DUMMYFUNCTION("GOOGLETRANSLATE(A6672,""en"",""pt"")"),"missão impossível 2 rochas !! ....")</f>
        <v>missão impossível 2 rochas !! ....</v>
      </c>
      <c r="B6672" s="3">
        <v>1</v>
      </c>
    </row>
    <row r="6673" ht="15.75" customHeight="1" spans="1:2">
      <c r="A6673" s="3" t="str">
        <f>IFERROR(__xludf.DUMMYFUNCTION("GOOGLETRANSLATE(A6673,""en"",""pt"")"),"Nós estamos indo como Missão Impossível relógio ou buzina. (")</f>
        <v>Nós estamos indo como Missão Impossível relógio ou buzina. (</v>
      </c>
      <c r="B6673" s="3">
        <v>1</v>
      </c>
    </row>
    <row r="6674" ht="15.75" customHeight="1" spans="1:2">
      <c r="A6674" s="3" t="str">
        <f>IFERROR(__xludf.DUMMYFUNCTION("GOOGLETRANSLATE(A6674,""en"",""pt"")"),"É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74" s="3">
        <v>1</v>
      </c>
    </row>
    <row r="6675" ht="15.75" customHeight="1" spans="1:2">
      <c r="A6675" s="3" t="str">
        <f>IFERROR(__xludf.DUMMYFUNCTION("GOOGLETRANSLATE(A6675,""en"",""pt"")"),"eu amo ser uma sentinela para a missão impossível e uma estação para bonkers.")</f>
        <v>eu amo ser uma sentinela para a missão impossível e uma estação para bonkers.</v>
      </c>
      <c r="B6675" s="3">
        <v>1</v>
      </c>
    </row>
    <row r="6676" ht="15.75" customHeight="1" spans="1:2">
      <c r="A6676" s="3" t="str">
        <f>IFERROR(__xludf.DUMMYFUNCTION("GOOGLETRANSLATE(A6676,""en"",""pt"")"),"I como Missão filmes impossível, porque você nunca sabe quem está do lado direito.")</f>
        <v>I como Missão filmes impossível, porque você nunca sabe quem está do lado direito.</v>
      </c>
      <c r="B6676" s="3">
        <v>1</v>
      </c>
    </row>
    <row r="6677" ht="15.75" customHeight="1" spans="1:2">
      <c r="A6677" s="3" t="str">
        <f>IFERROR(__xludf.DUMMYFUNCTION("GOOGLETRANSLATE(A6677,""en"",""pt"")"),"Missão Impossível 3 foi excelente.")</f>
        <v>Missão Impossível 3 foi excelente.</v>
      </c>
      <c r="B6677" s="3">
        <v>1</v>
      </c>
    </row>
    <row r="6678" ht="15.75" customHeight="1" spans="1:2">
      <c r="A6678" s="3" t="str">
        <f>IFERROR(__xludf.DUMMYFUNCTION("GOOGLETRANSLATE(A6678,""en"",""pt"")"),"Assim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78" s="3">
        <v>1</v>
      </c>
    </row>
    <row r="6679" ht="15.75" customHeight="1" spans="1:2">
      <c r="A6679" s="3" t="str">
        <f>IFERROR(__xludf.DUMMYFUNCTION("GOOGLETRANSLATE(A6679,""en"",""pt"")"),"Eu gostei do primeiro ""Missão Impossível.")</f>
        <v>Eu gostei do primeiro "Missão Impossível.</v>
      </c>
      <c r="B6679" s="3">
        <v>1</v>
      </c>
    </row>
    <row r="6680" ht="15.75" customHeight="1" spans="1:2">
      <c r="A6680" s="3" t="str">
        <f>IFERROR(__xludf.DUMMYFUNCTION("GOOGLETRANSLATE(A6680,""en"",""pt"")"),"The Last Stand e Missão Impossível 3 ambos eram filmes impressionantes.")</f>
        <v>The Last Stand e Missão Impossível 3 ambos eram filmes impressionantes.</v>
      </c>
      <c r="B6680" s="3">
        <v>1</v>
      </c>
    </row>
    <row r="6681" ht="15.75" customHeight="1" spans="1:2">
      <c r="A6681" s="3" t="str">
        <f>IFERROR(__xludf.DUMMYFUNCTION("GOOGLETRANSLATE(A6681,""en"",""pt"")"),"eu amo Kirsten / leah / escapadas Kate e missão tom impossível bem ...")</f>
        <v>eu amo Kirsten / leah / escapadas Kate e missão tom impossível bem ...</v>
      </c>
      <c r="B6681" s="3">
        <v>1</v>
      </c>
    </row>
    <row r="6682" ht="15.75" customHeight="1" spans="1:2">
      <c r="A6682" s="3" t="str">
        <f>IFERROR(__xludf.DUMMYFUNCTION("GOOGLETRANSLATE(A6682,""en"",""pt"")"),"missão impossível 2 rochas !! ....")</f>
        <v>missão impossível 2 rochas !! ....</v>
      </c>
      <c r="B6682" s="3">
        <v>1</v>
      </c>
    </row>
    <row r="6683" ht="15.75" customHeight="1" spans="1:2">
      <c r="A6683" s="3" t="str">
        <f>IFERROR(__xludf.DUMMYFUNCTION("GOOGLETRANSLATE(A6683,""en"",""pt"")"),"Nós estamos indo como Missão Impossível relógio ou buzina. (")</f>
        <v>Nós estamos indo como Missão Impossível relógio ou buzina. (</v>
      </c>
      <c r="B6683" s="3">
        <v>1</v>
      </c>
    </row>
    <row r="6684" ht="15.75" customHeight="1" spans="1:2">
      <c r="A6684" s="3" t="str">
        <f>IFERROR(__xludf.DUMMYFUNCTION("GOOGLETRANSLATE(A6684,""en"",""pt"")"),"É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84" s="3">
        <v>1</v>
      </c>
    </row>
    <row r="6685" ht="15.75" customHeight="1" spans="1:2">
      <c r="A6685" s="3" t="str">
        <f>IFERROR(__xludf.DUMMYFUNCTION("GOOGLETRANSLATE(A6685,""en"",""pt"")"),"eu amo ser uma sentinela para a missão impossível e uma estação para bonkers.")</f>
        <v>eu amo ser uma sentinela para a missão impossível e uma estação para bonkers.</v>
      </c>
      <c r="B6685" s="3">
        <v>1</v>
      </c>
    </row>
    <row r="6686" ht="15.75" customHeight="1" spans="1:2">
      <c r="A6686" s="3" t="str">
        <f>IFERROR(__xludf.DUMMYFUNCTION("GOOGLETRANSLATE(A6686,""en"",""pt"")"),"I como Missão filmes impossível, porque você nunca sabe quem está do lado direito.")</f>
        <v>I como Missão filmes impossível, porque você nunca sabe quem está do lado direito.</v>
      </c>
      <c r="B6686" s="3">
        <v>1</v>
      </c>
    </row>
    <row r="6687" ht="15.75" customHeight="1" spans="1:2">
      <c r="A6687" s="3" t="str">
        <f>IFERROR(__xludf.DUMMYFUNCTION("GOOGLETRANSLATE(A6687,""en"",""pt"")"),"Missão Impossível 3 foi excelente.")</f>
        <v>Missão Impossível 3 foi excelente.</v>
      </c>
      <c r="B6687" s="3">
        <v>1</v>
      </c>
    </row>
    <row r="6688" ht="15.75" customHeight="1" spans="1:2">
      <c r="A6688" s="3" t="str">
        <f>IFERROR(__xludf.DUMMYFUNCTION("GOOGLETRANSLATE(A6688,""en"",""pt"")"),"Assim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88" s="3">
        <v>1</v>
      </c>
    </row>
    <row r="6689" ht="15.75" customHeight="1" spans="1:2">
      <c r="A6689" s="3" t="str">
        <f>IFERROR(__xludf.DUMMYFUNCTION("GOOGLETRANSLATE(A6689,""en"",""pt"")"),"Eu gostei do primeiro ""Missão Impossível.")</f>
        <v>Eu gostei do primeiro "Missão Impossível.</v>
      </c>
      <c r="B6689" s="3">
        <v>1</v>
      </c>
    </row>
    <row r="6690" ht="15.75" customHeight="1" spans="1:2">
      <c r="A6690" s="3" t="str">
        <f>IFERROR(__xludf.DUMMYFUNCTION("GOOGLETRANSLATE(A6690,""en"",""pt"")"),"The Last Stand e Missão Impossível 3 ambos eram filmes impressionantes.")</f>
        <v>The Last Stand e Missão Impossível 3 ambos eram filmes impressionantes.</v>
      </c>
      <c r="B6690" s="3">
        <v>1</v>
      </c>
    </row>
    <row r="6691" ht="15.75" customHeight="1" spans="1:2">
      <c r="A6691" s="3" t="str">
        <f>IFERROR(__xludf.DUMMYFUNCTION("GOOGLETRANSLATE(A6691,""en"",""pt"")"),"eu amo Kirsten / leah / escapadas Kate e missão tom impossível bem ...")</f>
        <v>eu amo Kirsten / leah / escapadas Kate e missão tom impossível bem ...</v>
      </c>
      <c r="B6691" s="3">
        <v>1</v>
      </c>
    </row>
    <row r="6692" ht="15.75" customHeight="1" spans="1:2">
      <c r="A6692" s="3" t="str">
        <f>IFERROR(__xludf.DUMMYFUNCTION("GOOGLETRANSLATE(A6692,""en"",""pt"")"),"missão impossível 2 rochas !! ....")</f>
        <v>missão impossível 2 rochas !! ....</v>
      </c>
      <c r="B6692" s="3">
        <v>1</v>
      </c>
    </row>
    <row r="6693" ht="15.75" customHeight="1" spans="1:2">
      <c r="A6693" s="3" t="str">
        <f>IFERROR(__xludf.DUMMYFUNCTION("GOOGLETRANSLATE(A6693,""en"",""pt"")"),"Nós estamos indo como Missão Impossível relógio ou buzina. (")</f>
        <v>Nós estamos indo como Missão Impossível relógio ou buzina. (</v>
      </c>
      <c r="B6693" s="3">
        <v>1</v>
      </c>
    </row>
    <row r="6694" ht="15.75" customHeight="1" spans="1:2">
      <c r="A6694" s="3" t="str">
        <f>IFERROR(__xludf.DUMMYFUNCTION("GOOGLETRANSLATE(A6694,""en"",""pt"")"),"É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694" s="3">
        <v>1</v>
      </c>
    </row>
    <row r="6695" ht="15.75" customHeight="1" spans="1:2">
      <c r="A6695" s="3" t="str">
        <f>IFERROR(__xludf.DUMMYFUNCTION("GOOGLETRANSLATE(A6695,""en"",""pt"")"),"eu amo ser uma sentinela para a missão impossível e uma estação para bonkers.")</f>
        <v>eu amo ser uma sentinela para a missão impossível e uma estação para bonkers.</v>
      </c>
      <c r="B6695" s="3">
        <v>1</v>
      </c>
    </row>
    <row r="6696" ht="15.75" customHeight="1" spans="1:2">
      <c r="A6696" s="3" t="str">
        <f>IFERROR(__xludf.DUMMYFUNCTION("GOOGLETRANSLATE(A6696,""en"",""pt"")"),"I como Missão filmes impossível, porque você nunca sabe quem está do lado direito.")</f>
        <v>I como Missão filmes impossível, porque você nunca sabe quem está do lado direito.</v>
      </c>
      <c r="B6696" s="3">
        <v>1</v>
      </c>
    </row>
    <row r="6697" ht="15.75" customHeight="1" spans="1:2">
      <c r="A6697" s="3" t="str">
        <f>IFERROR(__xludf.DUMMYFUNCTION("GOOGLETRANSLATE(A6697,""en"",""pt"")"),"Missão Impossível 3 foi excelente.")</f>
        <v>Missão Impossível 3 foi excelente.</v>
      </c>
      <c r="B6697" s="3">
        <v>1</v>
      </c>
    </row>
    <row r="6698" ht="15.75" customHeight="1" spans="1:2">
      <c r="A6698" s="3" t="str">
        <f>IFERROR(__xludf.DUMMYFUNCTION("GOOGLETRANSLATE(A6698,""en"",""pt"")"),"Assim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698" s="3">
        <v>1</v>
      </c>
    </row>
    <row r="6699" ht="15.75" customHeight="1" spans="1:2">
      <c r="A6699" s="3" t="str">
        <f>IFERROR(__xludf.DUMMYFUNCTION("GOOGLETRANSLATE(A6699,""en"",""pt"")"),"Eu gostei do primeiro ""Missão Impossível.")</f>
        <v>Eu gostei do primeiro "Missão Impossível.</v>
      </c>
      <c r="B6699" s="3">
        <v>1</v>
      </c>
    </row>
    <row r="6700" ht="15.75" customHeight="1" spans="1:2">
      <c r="A6700" s="3" t="str">
        <f>IFERROR(__xludf.DUMMYFUNCTION("GOOGLETRANSLATE(A6700,""en"",""pt"")"),"The Last Stand e Missão Impossível 3 ambos eram filmes impressionantes.")</f>
        <v>The Last Stand e Missão Impossível 3 ambos eram filmes impressionantes.</v>
      </c>
      <c r="B6700" s="3">
        <v>1</v>
      </c>
    </row>
    <row r="6701" ht="15.75" customHeight="1" spans="1:2">
      <c r="A6701" s="3" t="str">
        <f>IFERROR(__xludf.DUMMYFUNCTION("GOOGLETRANSLATE(A6701,""en"",""pt"")"),"eu amo Kirsten / leah / escapadas Kate e missão tom impossível bem ...")</f>
        <v>eu amo Kirsten / leah / escapadas Kate e missão tom impossível bem ...</v>
      </c>
      <c r="B6701" s="3">
        <v>1</v>
      </c>
    </row>
    <row r="6702" ht="15.75" customHeight="1" spans="1:2">
      <c r="A6702" s="3" t="str">
        <f>IFERROR(__xludf.DUMMYFUNCTION("GOOGLETRANSLATE(A6702,""en"",""pt"")"),"missão impossível 2 rochas !! ....")</f>
        <v>missão impossível 2 rochas !! ....</v>
      </c>
      <c r="B6702" s="3">
        <v>1</v>
      </c>
    </row>
    <row r="6703" ht="15.75" customHeight="1" spans="1:2">
      <c r="A6703" s="3" t="str">
        <f>IFERROR(__xludf.DUMMYFUNCTION("GOOGLETRANSLATE(A6703,""en"",""pt"")"),"Nós estamos indo como Missão Impossível relógio ou buzina. (")</f>
        <v>Nós estamos indo como Missão Impossível relógio ou buzina. (</v>
      </c>
      <c r="B6703" s="3">
        <v>1</v>
      </c>
    </row>
    <row r="6704" ht="15.75" customHeight="1" spans="1:2">
      <c r="A6704" s="3" t="str">
        <f>IFERROR(__xludf.DUMMYFUNCTION("GOOGLETRANSLATE(A6704,""en"",""pt"")"),"É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04" s="3">
        <v>1</v>
      </c>
    </row>
    <row r="6705" ht="15.75" customHeight="1" spans="1:2">
      <c r="A6705" s="3" t="str">
        <f>IFERROR(__xludf.DUMMYFUNCTION("GOOGLETRANSLATE(A6705,""en"",""pt"")"),"eu amo ser uma sentinela para a missão impossível e uma estação para bonkers.")</f>
        <v>eu amo ser uma sentinela para a missão impossível e uma estação para bonkers.</v>
      </c>
      <c r="B6705" s="3">
        <v>1</v>
      </c>
    </row>
    <row r="6706" ht="15.75" customHeight="1" spans="1:2">
      <c r="A6706" s="3" t="str">
        <f>IFERROR(__xludf.DUMMYFUNCTION("GOOGLETRANSLATE(A6706,""en"",""pt"")"),"I como Missão filmes impossível, porque você nunca sabe quem está do lado direito.")</f>
        <v>I como Missão filmes impossível, porque você nunca sabe quem está do lado direito.</v>
      </c>
      <c r="B6706" s="3">
        <v>1</v>
      </c>
    </row>
    <row r="6707" ht="15.75" customHeight="1" spans="1:2">
      <c r="A6707" s="3" t="str">
        <f>IFERROR(__xludf.DUMMYFUNCTION("GOOGLETRANSLATE(A6707,""en"",""pt"")"),"Missão Impossível 3 foi excelente.")</f>
        <v>Missão Impossível 3 foi excelente.</v>
      </c>
      <c r="B6707" s="3">
        <v>1</v>
      </c>
    </row>
    <row r="6708" ht="15.75" customHeight="1" spans="1:2">
      <c r="A6708" s="3" t="str">
        <f>IFERROR(__xludf.DUMMYFUNCTION("GOOGLETRANSLATE(A6708,""en"",""pt"")"),"Assim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08" s="3">
        <v>1</v>
      </c>
    </row>
    <row r="6709" ht="15.75" customHeight="1" spans="1:2">
      <c r="A6709" s="3" t="str">
        <f>IFERROR(__xludf.DUMMYFUNCTION("GOOGLETRANSLATE(A6709,""en"",""pt"")"),"Eu gostei do primeiro ""Missão Impossível.")</f>
        <v>Eu gostei do primeiro "Missão Impossível.</v>
      </c>
      <c r="B6709" s="3">
        <v>1</v>
      </c>
    </row>
    <row r="6710" ht="15.75" customHeight="1" spans="1:2">
      <c r="A6710" s="3" t="str">
        <f>IFERROR(__xludf.DUMMYFUNCTION("GOOGLETRANSLATE(A6710,""en"",""pt"")"),"The Last Stand e Missão Impossível 3 ambos eram filmes impressionantes.")</f>
        <v>The Last Stand e Missão Impossível 3 ambos eram filmes impressionantes.</v>
      </c>
      <c r="B6710" s="3">
        <v>1</v>
      </c>
    </row>
    <row r="6711" ht="15.75" customHeight="1" spans="1:2">
      <c r="A6711" s="3" t="str">
        <f>IFERROR(__xludf.DUMMYFUNCTION("GOOGLETRANSLATE(A6711,""en"",""pt"")"),"eu amo Kirsten / leah / escapadas Kate e missão tom impossível bem ...")</f>
        <v>eu amo Kirsten / leah / escapadas Kate e missão tom impossível bem ...</v>
      </c>
      <c r="B6711" s="3">
        <v>1</v>
      </c>
    </row>
    <row r="6712" ht="15.75" customHeight="1" spans="1:2">
      <c r="A6712" s="3" t="str">
        <f>IFERROR(__xludf.DUMMYFUNCTION("GOOGLETRANSLATE(A6712,""en"",""pt"")"),"missão impossível 2 rochas !! ....")</f>
        <v>missão impossível 2 rochas !! ....</v>
      </c>
      <c r="B6712" s="3">
        <v>1</v>
      </c>
    </row>
    <row r="6713" ht="15.75" customHeight="1" spans="1:2">
      <c r="A6713" s="3" t="str">
        <f>IFERROR(__xludf.DUMMYFUNCTION("GOOGLETRANSLATE(A6713,""en"",""pt"")"),"Nós estamos indo como Missão Impossível relógio ou buzina. (")</f>
        <v>Nós estamos indo como Missão Impossível relógio ou buzina. (</v>
      </c>
      <c r="B6713" s="3">
        <v>1</v>
      </c>
    </row>
    <row r="6714" ht="15.75" customHeight="1" spans="1:2">
      <c r="A6714" s="3" t="str">
        <f>IFERROR(__xludf.DUMMYFUNCTION("GOOGLETRANSLATE(A6714,""en"",""pt"")"),"É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14" s="3">
        <v>1</v>
      </c>
    </row>
    <row r="6715" ht="15.75" customHeight="1" spans="1:2">
      <c r="A6715" s="3" t="str">
        <f>IFERROR(__xludf.DUMMYFUNCTION("GOOGLETRANSLATE(A6715,""en"",""pt"")"),"eu amo ser uma sentinela para a missão impossível e uma estação para bonkers.")</f>
        <v>eu amo ser uma sentinela para a missão impossível e uma estação para bonkers.</v>
      </c>
      <c r="B6715" s="3">
        <v>1</v>
      </c>
    </row>
    <row r="6716" ht="15.75" customHeight="1" spans="1:2">
      <c r="A6716" s="3" t="str">
        <f>IFERROR(__xludf.DUMMYFUNCTION("GOOGLETRANSLATE(A6716,""en"",""pt"")"),"I como Missão filmes impossível, porque você nunca sabe quem está do lado direito.")</f>
        <v>I como Missão filmes impossível, porque você nunca sabe quem está do lado direito.</v>
      </c>
      <c r="B6716" s="3">
        <v>1</v>
      </c>
    </row>
    <row r="6717" ht="15.75" customHeight="1" spans="1:2">
      <c r="A6717" s="3" t="str">
        <f>IFERROR(__xludf.DUMMYFUNCTION("GOOGLETRANSLATE(A6717,""en"",""pt"")"),"Missão Impossível 3 foi excelente.")</f>
        <v>Missão Impossível 3 foi excelente.</v>
      </c>
      <c r="B6717" s="3">
        <v>1</v>
      </c>
    </row>
    <row r="6718" ht="15.75" customHeight="1" spans="1:2">
      <c r="A6718" s="3" t="str">
        <f>IFERROR(__xludf.DUMMYFUNCTION("GOOGLETRANSLATE(A6718,""en"",""pt"")"),"Assim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18" s="3">
        <v>1</v>
      </c>
    </row>
    <row r="6719" ht="15.75" customHeight="1" spans="1:2">
      <c r="A6719" s="3" t="str">
        <f>IFERROR(__xludf.DUMMYFUNCTION("GOOGLETRANSLATE(A6719,""en"",""pt"")"),"Eu gostei do primeiro ""Missão Impossível.")</f>
        <v>Eu gostei do primeiro "Missão Impossível.</v>
      </c>
      <c r="B6719" s="3">
        <v>1</v>
      </c>
    </row>
    <row r="6720" ht="15.75" customHeight="1" spans="1:2">
      <c r="A6720" s="3" t="str">
        <f>IFERROR(__xludf.DUMMYFUNCTION("GOOGLETRANSLATE(A6720,""en"",""pt"")"),"The Last Stand e Missão Impossível 3 ambos eram filmes impressionantes.")</f>
        <v>The Last Stand e Missão Impossível 3 ambos eram filmes impressionantes.</v>
      </c>
      <c r="B6720" s="3">
        <v>1</v>
      </c>
    </row>
    <row r="6721" ht="15.75" customHeight="1" spans="1:2">
      <c r="A6721" s="3" t="str">
        <f>IFERROR(__xludf.DUMMYFUNCTION("GOOGLETRANSLATE(A6721,""en"",""pt"")"),"eu amo Kirsten / leah / escapadas Kate e missão tom impossível bem ...")</f>
        <v>eu amo Kirsten / leah / escapadas Kate e missão tom impossível bem ...</v>
      </c>
      <c r="B6721" s="3">
        <v>1</v>
      </c>
    </row>
    <row r="6722" ht="15.75" customHeight="1" spans="1:2">
      <c r="A6722" s="3" t="str">
        <f>IFERROR(__xludf.DUMMYFUNCTION("GOOGLETRANSLATE(A6722,""en"",""pt"")"),"missão impossível 2 rochas !! ....")</f>
        <v>missão impossível 2 rochas !! ....</v>
      </c>
      <c r="B6722" s="3">
        <v>1</v>
      </c>
    </row>
    <row r="6723" ht="15.75" customHeight="1" spans="1:2">
      <c r="A6723" s="3" t="str">
        <f>IFERROR(__xludf.DUMMYFUNCTION("GOOGLETRANSLATE(A6723,""en"",""pt"")"),"Nós estamos indo como Missão Impossível relógio ou buzina. (")</f>
        <v>Nós estamos indo como Missão Impossível relógio ou buzina. (</v>
      </c>
      <c r="B6723" s="3">
        <v>1</v>
      </c>
    </row>
    <row r="6724" ht="15.75" customHeight="1" spans="1:2">
      <c r="A6724" s="3" t="str">
        <f>IFERROR(__xludf.DUMMYFUNCTION("GOOGLETRANSLATE(A6724,""en"",""pt"")"),"É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24" s="3">
        <v>1</v>
      </c>
    </row>
    <row r="6725" ht="15.75" customHeight="1" spans="1:2">
      <c r="A6725" s="3" t="str">
        <f>IFERROR(__xludf.DUMMYFUNCTION("GOOGLETRANSLATE(A6725,""en"",""pt"")"),"eu amo ser uma sentinela para a missão impossível e uma estação para bonkers.")</f>
        <v>eu amo ser uma sentinela para a missão impossível e uma estação para bonkers.</v>
      </c>
      <c r="B6725" s="3">
        <v>1</v>
      </c>
    </row>
    <row r="6726" ht="15.75" customHeight="1" spans="1:2">
      <c r="A6726" s="3" t="str">
        <f>IFERROR(__xludf.DUMMYFUNCTION("GOOGLETRANSLATE(A6726,""en"",""pt"")"),"I como Missão filmes impossível, porque você nunca sabe quem está do lado direito.")</f>
        <v>I como Missão filmes impossível, porque você nunca sabe quem está do lado direito.</v>
      </c>
      <c r="B6726" s="3">
        <v>1</v>
      </c>
    </row>
    <row r="6727" ht="15.75" customHeight="1" spans="1:2">
      <c r="A6727" s="3" t="str">
        <f>IFERROR(__xludf.DUMMYFUNCTION("GOOGLETRANSLATE(A6727,""en"",""pt"")"),"Missão Impossível 3 foi excelente.")</f>
        <v>Missão Impossível 3 foi excelente.</v>
      </c>
      <c r="B6727" s="3">
        <v>1</v>
      </c>
    </row>
    <row r="6728" ht="15.75" customHeight="1" spans="1:2">
      <c r="A6728" s="3" t="str">
        <f>IFERROR(__xludf.DUMMYFUNCTION("GOOGLETRANSLATE(A6728,""en"",""pt"")"),"Assim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28" s="3">
        <v>1</v>
      </c>
    </row>
    <row r="6729" ht="15.75" customHeight="1" spans="1:2">
      <c r="A6729" s="3" t="str">
        <f>IFERROR(__xludf.DUMMYFUNCTION("GOOGLETRANSLATE(A6729,""en"",""pt"")"),"Eu gostei do primeiro ""Missão Impossível.")</f>
        <v>Eu gostei do primeiro "Missão Impossível.</v>
      </c>
      <c r="B6729" s="3">
        <v>1</v>
      </c>
    </row>
    <row r="6730" ht="15.75" customHeight="1" spans="1:2">
      <c r="A6730" s="3" t="str">
        <f>IFERROR(__xludf.DUMMYFUNCTION("GOOGLETRANSLATE(A6730,""en"",""pt"")"),"The Last Stand e Missão Impossível 3 ambos eram filmes impressionantes.")</f>
        <v>The Last Stand e Missão Impossível 3 ambos eram filmes impressionantes.</v>
      </c>
      <c r="B6730" s="3">
        <v>1</v>
      </c>
    </row>
    <row r="6731" ht="15.75" customHeight="1" spans="1:2">
      <c r="A6731" s="3" t="str">
        <f>IFERROR(__xludf.DUMMYFUNCTION("GOOGLETRANSLATE(A6731,""en"",""pt"")"),"eu amo Kirsten / leah / escapadas Kate e missão tom impossível bem ...")</f>
        <v>eu amo Kirsten / leah / escapadas Kate e missão tom impossível bem ...</v>
      </c>
      <c r="B6731" s="3">
        <v>1</v>
      </c>
    </row>
    <row r="6732" ht="15.75" customHeight="1" spans="1:2">
      <c r="A6732" s="3" t="str">
        <f>IFERROR(__xludf.DUMMYFUNCTION("GOOGLETRANSLATE(A6732,""en"",""pt"")"),"missão impossível 2 rochas !! ....")</f>
        <v>missão impossível 2 rochas !! ....</v>
      </c>
      <c r="B6732" s="3">
        <v>1</v>
      </c>
    </row>
    <row r="6733" ht="15.75" customHeight="1" spans="1:2">
      <c r="A6733" s="3" t="str">
        <f>IFERROR(__xludf.DUMMYFUNCTION("GOOGLETRANSLATE(A6733,""en"",""pt"")"),"Nós estamos indo como Missão Impossível relógio ou buzina. (")</f>
        <v>Nós estamos indo como Missão Impossível relógio ou buzina. (</v>
      </c>
      <c r="B6733" s="3">
        <v>1</v>
      </c>
    </row>
    <row r="6734" ht="15.75" customHeight="1" spans="1:2">
      <c r="A6734" s="3" t="str">
        <f>IFERROR(__xludf.DUMMYFUNCTION("GOOGLETRANSLATE(A6734,""en"",""pt"")"),"É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34" s="3">
        <v>1</v>
      </c>
    </row>
    <row r="6735" ht="15.75" customHeight="1" spans="1:2">
      <c r="A6735" s="3" t="str">
        <f>IFERROR(__xludf.DUMMYFUNCTION("GOOGLETRANSLATE(A6735,""en"",""pt"")"),"eu amo ser uma sentinela para a missão impossível e uma estação para bonkers.")</f>
        <v>eu amo ser uma sentinela para a missão impossível e uma estação para bonkers.</v>
      </c>
      <c r="B6735" s="3">
        <v>1</v>
      </c>
    </row>
    <row r="6736" ht="15.75" customHeight="1" spans="1:2">
      <c r="A6736" s="3" t="str">
        <f>IFERROR(__xludf.DUMMYFUNCTION("GOOGLETRANSLATE(A6736,""en"",""pt"")"),"I como Missão filmes impossível, porque você nunca sabe quem está do lado direito.")</f>
        <v>I como Missão filmes impossível, porque você nunca sabe quem está do lado direito.</v>
      </c>
      <c r="B6736" s="3">
        <v>1</v>
      </c>
    </row>
    <row r="6737" ht="15.75" customHeight="1" spans="1:2">
      <c r="A6737" s="3" t="str">
        <f>IFERROR(__xludf.DUMMYFUNCTION("GOOGLETRANSLATE(A6737,""en"",""pt"")"),"Missão Impossível 3 foi excelente.")</f>
        <v>Missão Impossível 3 foi excelente.</v>
      </c>
      <c r="B6737" s="3">
        <v>1</v>
      </c>
    </row>
    <row r="6738" ht="15.75" customHeight="1" spans="1:2">
      <c r="A6738" s="3" t="str">
        <f>IFERROR(__xludf.DUMMYFUNCTION("GOOGLETRANSLATE(A6738,""en"",""pt"")"),"Assim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38" s="3">
        <v>1</v>
      </c>
    </row>
    <row r="6739" ht="15.75" customHeight="1" spans="1:2">
      <c r="A6739" s="3" t="str">
        <f>IFERROR(__xludf.DUMMYFUNCTION("GOOGLETRANSLATE(A6739,""en"",""pt"")"),"Eu gostei do primeiro ""Missão Impossível.")</f>
        <v>Eu gostei do primeiro "Missão Impossível.</v>
      </c>
      <c r="B6739" s="3">
        <v>1</v>
      </c>
    </row>
    <row r="6740" ht="15.75" customHeight="1" spans="1:2">
      <c r="A6740" s="3" t="str">
        <f>IFERROR(__xludf.DUMMYFUNCTION("GOOGLETRANSLATE(A6740,""en"",""pt"")"),"The Last Stand e Missão Impossível 3 ambos eram filmes impressionantes.")</f>
        <v>The Last Stand e Missão Impossível 3 ambos eram filmes impressionantes.</v>
      </c>
      <c r="B6740" s="3">
        <v>1</v>
      </c>
    </row>
    <row r="6741" ht="15.75" customHeight="1" spans="1:2">
      <c r="A6741" s="3" t="str">
        <f>IFERROR(__xludf.DUMMYFUNCTION("GOOGLETRANSLATE(A6741,""en"",""pt"")"),"eu amo Kirsten / leah / escapadas Kate e missão tom impossível bem ...")</f>
        <v>eu amo Kirsten / leah / escapadas Kate e missão tom impossível bem ...</v>
      </c>
      <c r="B6741" s="3">
        <v>1</v>
      </c>
    </row>
    <row r="6742" ht="15.75" customHeight="1" spans="1:2">
      <c r="A6742" s="3" t="str">
        <f>IFERROR(__xludf.DUMMYFUNCTION("GOOGLETRANSLATE(A6742,""en"",""pt"")"),"missão impossível 2 rochas !! ....")</f>
        <v>missão impossível 2 rochas !! ....</v>
      </c>
      <c r="B6742" s="3">
        <v>1</v>
      </c>
    </row>
    <row r="6743" ht="15.75" customHeight="1" spans="1:2">
      <c r="A6743" s="3" t="str">
        <f>IFERROR(__xludf.DUMMYFUNCTION("GOOGLETRANSLATE(A6743,""en"",""pt"")"),"Nós estamos indo como Missão Impossível relógio ou buzina. (")</f>
        <v>Nós estamos indo como Missão Impossível relógio ou buzina. (</v>
      </c>
      <c r="B6743" s="3">
        <v>1</v>
      </c>
    </row>
    <row r="6744" ht="15.75" customHeight="1" spans="1:2">
      <c r="A6744" s="3" t="str">
        <f>IFERROR(__xludf.DUMMYFUNCTION("GOOGLETRANSLATE(A6744,""en"",""pt"")"),"É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44" s="3">
        <v>1</v>
      </c>
    </row>
    <row r="6745" ht="15.75" customHeight="1" spans="1:2">
      <c r="A6745" s="3" t="str">
        <f>IFERROR(__xludf.DUMMYFUNCTION("GOOGLETRANSLATE(A6745,""en"",""pt"")"),"eu amo ser uma sentinela para a missão impossível e uma estação para bonkers.")</f>
        <v>eu amo ser uma sentinela para a missão impossível e uma estação para bonkers.</v>
      </c>
      <c r="B6745" s="3">
        <v>1</v>
      </c>
    </row>
    <row r="6746" ht="15.75" customHeight="1" spans="1:2">
      <c r="A6746" s="3" t="str">
        <f>IFERROR(__xludf.DUMMYFUNCTION("GOOGLETRANSLATE(A6746,""en"",""pt"")"),"I como Missão filmes impossível, porque você nunca sabe quem está do lado direito.")</f>
        <v>I como Missão filmes impossível, porque você nunca sabe quem está do lado direito.</v>
      </c>
      <c r="B6746" s="3">
        <v>1</v>
      </c>
    </row>
    <row r="6747" ht="15.75" customHeight="1" spans="1:2">
      <c r="A6747" s="3" t="str">
        <f>IFERROR(__xludf.DUMMYFUNCTION("GOOGLETRANSLATE(A6747,""en"",""pt"")"),"Missão Impossível 3 foi excelente.")</f>
        <v>Missão Impossível 3 foi excelente.</v>
      </c>
      <c r="B6747" s="3">
        <v>1</v>
      </c>
    </row>
    <row r="6748" ht="15.75" customHeight="1" spans="1:2">
      <c r="A6748" s="3" t="str">
        <f>IFERROR(__xludf.DUMMYFUNCTION("GOOGLETRANSLATE(A6748,""en"",""pt"")"),"Assim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48" s="3">
        <v>1</v>
      </c>
    </row>
    <row r="6749" ht="15.75" customHeight="1" spans="1:2">
      <c r="A6749" s="3" t="str">
        <f>IFERROR(__xludf.DUMMYFUNCTION("GOOGLETRANSLATE(A6749,""en"",""pt"")"),"Eu gostei do primeiro ""Missão Impossível.")</f>
        <v>Eu gostei do primeiro "Missão Impossível.</v>
      </c>
      <c r="B6749" s="3">
        <v>1</v>
      </c>
    </row>
    <row r="6750" ht="15.75" customHeight="1" spans="1:2">
      <c r="A6750" s="3" t="str">
        <f>IFERROR(__xludf.DUMMYFUNCTION("GOOGLETRANSLATE(A6750,""en"",""pt"")"),"The Last Stand e Missão Impossível 3 ambos eram filmes impressionantes.")</f>
        <v>The Last Stand e Missão Impossível 3 ambos eram filmes impressionantes.</v>
      </c>
      <c r="B6750" s="3">
        <v>1</v>
      </c>
    </row>
    <row r="6751" ht="15.75" customHeight="1" spans="1:2">
      <c r="A6751" s="3" t="str">
        <f>IFERROR(__xludf.DUMMYFUNCTION("GOOGLETRANSLATE(A6751,""en"",""pt"")"),"eu amo Kirsten / leah / escapadas Kate e missão tom impossível bem ...")</f>
        <v>eu amo Kirsten / leah / escapadas Kate e missão tom impossível bem ...</v>
      </c>
      <c r="B6751" s="3">
        <v>1</v>
      </c>
    </row>
    <row r="6752" ht="15.75" customHeight="1" spans="1:2">
      <c r="A6752" s="3" t="str">
        <f>IFERROR(__xludf.DUMMYFUNCTION("GOOGLETRANSLATE(A6752,""en"",""pt"")"),"missão impossível 2 rochas !! ....")</f>
        <v>missão impossível 2 rochas !! ....</v>
      </c>
      <c r="B6752" s="3">
        <v>1</v>
      </c>
    </row>
    <row r="6753" ht="15.75" customHeight="1" spans="1:2">
      <c r="A6753" s="3" t="str">
        <f>IFERROR(__xludf.DUMMYFUNCTION("GOOGLETRANSLATE(A6753,""en"",""pt"")"),"Nós estamos indo como Missão Impossível relógio ou buzina. (")</f>
        <v>Nós estamos indo como Missão Impossível relógio ou buzina. (</v>
      </c>
      <c r="B6753" s="3">
        <v>1</v>
      </c>
    </row>
    <row r="6754" ht="15.75" customHeight="1" spans="1:2">
      <c r="A6754" s="3" t="str">
        <f>IFERROR(__xludf.DUMMYFUNCTION("GOOGLETRANSLATE(A6754,""en"",""pt"")"),"É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54" s="3">
        <v>1</v>
      </c>
    </row>
    <row r="6755" ht="15.75" customHeight="1" spans="1:2">
      <c r="A6755" s="3" t="str">
        <f>IFERROR(__xludf.DUMMYFUNCTION("GOOGLETRANSLATE(A6755,""en"",""pt"")"),"eu amo ser uma sentinela para a missão impossível e uma estação para bonkers.")</f>
        <v>eu amo ser uma sentinela para a missão impossível e uma estação para bonkers.</v>
      </c>
      <c r="B6755" s="3">
        <v>1</v>
      </c>
    </row>
    <row r="6756" ht="15.75" customHeight="1" spans="1:2">
      <c r="A6756" s="3" t="str">
        <f>IFERROR(__xludf.DUMMYFUNCTION("GOOGLETRANSLATE(A6756,""en"",""pt"")"),"I como Missão filmes impossível, porque você nunca sabe quem está do lado direito.")</f>
        <v>I como Missão filmes impossível, porque você nunca sabe quem está do lado direito.</v>
      </c>
      <c r="B6756" s="3">
        <v>1</v>
      </c>
    </row>
    <row r="6757" ht="15.75" customHeight="1" spans="1:2">
      <c r="A6757" s="3" t="str">
        <f>IFERROR(__xludf.DUMMYFUNCTION("GOOGLETRANSLATE(A6757,""en"",""pt"")"),"Missão Impossível 3 foi excelente.")</f>
        <v>Missão Impossível 3 foi excelente.</v>
      </c>
      <c r="B6757" s="3">
        <v>1</v>
      </c>
    </row>
    <row r="6758" ht="15.75" customHeight="1" spans="1:2">
      <c r="A6758" s="3" t="str">
        <f>IFERROR(__xludf.DUMMYFUNCTION("GOOGLETRANSLATE(A6758,""en"",""pt"")"),"Assim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58" s="3">
        <v>1</v>
      </c>
    </row>
    <row r="6759" ht="15.75" customHeight="1" spans="1:2">
      <c r="A6759" s="3" t="str">
        <f>IFERROR(__xludf.DUMMYFUNCTION("GOOGLETRANSLATE(A6759,""en"",""pt"")"),"Eu gostei do primeiro ""Missão Impossível.")</f>
        <v>Eu gostei do primeiro "Missão Impossível.</v>
      </c>
      <c r="B6759" s="3">
        <v>1</v>
      </c>
    </row>
    <row r="6760" ht="15.75" customHeight="1" spans="1:2">
      <c r="A6760" s="3" t="str">
        <f>IFERROR(__xludf.DUMMYFUNCTION("GOOGLETRANSLATE(A6760,""en"",""pt"")"),"The Last Stand e Missão Impossível 3 ambos eram filmes impressionantes.")</f>
        <v>The Last Stand e Missão Impossível 3 ambos eram filmes impressionantes.</v>
      </c>
      <c r="B6760" s="3">
        <v>1</v>
      </c>
    </row>
    <row r="6761" ht="15.75" customHeight="1" spans="1:2">
      <c r="A6761" s="3" t="str">
        <f>IFERROR(__xludf.DUMMYFUNCTION("GOOGLETRANSLATE(A6761,""en"",""pt"")"),"eu amo Kirsten / leah / escapadas Kate e missão tom impossível bem ...")</f>
        <v>eu amo Kirsten / leah / escapadas Kate e missão tom impossível bem ...</v>
      </c>
      <c r="B6761" s="3">
        <v>1</v>
      </c>
    </row>
    <row r="6762" ht="15.75" customHeight="1" spans="1:2">
      <c r="A6762" s="3" t="str">
        <f>IFERROR(__xludf.DUMMYFUNCTION("GOOGLETRANSLATE(A6762,""en"",""pt"")"),"missão impossível 2 rochas !! ....")</f>
        <v>missão impossível 2 rochas !! ....</v>
      </c>
      <c r="B6762" s="3">
        <v>1</v>
      </c>
    </row>
    <row r="6763" ht="15.75" customHeight="1" spans="1:2">
      <c r="A6763" s="3" t="str">
        <f>IFERROR(__xludf.DUMMYFUNCTION("GOOGLETRANSLATE(A6763,""en"",""pt"")"),"Nós estamos indo como Missão Impossível relógio ou buzina. (")</f>
        <v>Nós estamos indo como Missão Impossível relógio ou buzina. (</v>
      </c>
      <c r="B6763" s="3">
        <v>1</v>
      </c>
    </row>
    <row r="6764" ht="15.75" customHeight="1" spans="1:2">
      <c r="A6764" s="3" t="str">
        <f>IFERROR(__xludf.DUMMYFUNCTION("GOOGLETRANSLATE(A6764,""en"",""pt"")"),"É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64" s="3">
        <v>1</v>
      </c>
    </row>
    <row r="6765" ht="15.75" customHeight="1" spans="1:2">
      <c r="A6765" s="3" t="str">
        <f>IFERROR(__xludf.DUMMYFUNCTION("GOOGLETRANSLATE(A6765,""en"",""pt"")"),"eu amo ser uma sentinela para a missão impossível e uma estação para bonkers.")</f>
        <v>eu amo ser uma sentinela para a missão impossível e uma estação para bonkers.</v>
      </c>
      <c r="B6765" s="3">
        <v>1</v>
      </c>
    </row>
    <row r="6766" ht="15.75" customHeight="1" spans="1:2">
      <c r="A6766" s="3" t="str">
        <f>IFERROR(__xludf.DUMMYFUNCTION("GOOGLETRANSLATE(A6766,""en"",""pt"")"),"I como Missão filmes impossível, porque você nunca sabe quem está do lado direito.")</f>
        <v>I como Missão filmes impossível, porque você nunca sabe quem está do lado direito.</v>
      </c>
      <c r="B6766" s="3">
        <v>1</v>
      </c>
    </row>
    <row r="6767" ht="15.75" customHeight="1" spans="1:2">
      <c r="A6767" s="3" t="str">
        <f>IFERROR(__xludf.DUMMYFUNCTION("GOOGLETRANSLATE(A6767,""en"",""pt"")"),"Missão Impossível 3 foi excelente.")</f>
        <v>Missão Impossível 3 foi excelente.</v>
      </c>
      <c r="B6767" s="3">
        <v>1</v>
      </c>
    </row>
    <row r="6768" ht="15.75" customHeight="1" spans="1:2">
      <c r="A6768" s="3" t="str">
        <f>IFERROR(__xludf.DUMMYFUNCTION("GOOGLETRANSLATE(A6768,""en"",""pt"")"),"Assim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68" s="3">
        <v>1</v>
      </c>
    </row>
    <row r="6769" ht="15.75" customHeight="1" spans="1:2">
      <c r="A6769" s="3" t="str">
        <f>IFERROR(__xludf.DUMMYFUNCTION("GOOGLETRANSLATE(A6769,""en"",""pt"")"),"Eu gostei do primeiro ""Missão Impossível.")</f>
        <v>Eu gostei do primeiro "Missão Impossível.</v>
      </c>
      <c r="B6769" s="3">
        <v>1</v>
      </c>
    </row>
    <row r="6770" ht="15.75" customHeight="1" spans="1:2">
      <c r="A6770" s="3" t="str">
        <f>IFERROR(__xludf.DUMMYFUNCTION("GOOGLETRANSLATE(A6770,""en"",""pt"")"),"The Last Stand e Missão Impossível 3 ambos eram filmes impressionantes.")</f>
        <v>The Last Stand e Missão Impossível 3 ambos eram filmes impressionantes.</v>
      </c>
      <c r="B6770" s="3">
        <v>1</v>
      </c>
    </row>
    <row r="6771" ht="15.75" customHeight="1" spans="1:2">
      <c r="A6771" s="3" t="str">
        <f>IFERROR(__xludf.DUMMYFUNCTION("GOOGLETRANSLATE(A6771,""en"",""pt"")"),"eu amo Kirsten / leah / escapadas Kate e missão tom impossível bem ...")</f>
        <v>eu amo Kirsten / leah / escapadas Kate e missão tom impossível bem ...</v>
      </c>
      <c r="B6771" s="3">
        <v>1</v>
      </c>
    </row>
    <row r="6772" ht="15.75" customHeight="1" spans="1:2">
      <c r="A6772" s="3" t="str">
        <f>IFERROR(__xludf.DUMMYFUNCTION("GOOGLETRANSLATE(A6772,""en"",""pt"")"),"missão impossível 2 rochas !! ....")</f>
        <v>missão impossível 2 rochas !! ....</v>
      </c>
      <c r="B6772" s="3">
        <v>1</v>
      </c>
    </row>
    <row r="6773" ht="15.75" customHeight="1" spans="1:2">
      <c r="A6773" s="3" t="str">
        <f>IFERROR(__xludf.DUMMYFUNCTION("GOOGLETRANSLATE(A6773,""en"",""pt"")"),"Nós estamos indo como Missão Impossível relógio ou buzina. (")</f>
        <v>Nós estamos indo como Missão Impossível relógio ou buzina. (</v>
      </c>
      <c r="B6773" s="3">
        <v>1</v>
      </c>
    </row>
    <row r="6774" ht="15.75" customHeight="1" spans="1:2">
      <c r="A6774" s="3" t="str">
        <f>IFERROR(__xludf.DUMMYFUNCTION("GOOGLETRANSLATE(A6774,""en"",""pt"")"),"É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74" s="3">
        <v>1</v>
      </c>
    </row>
    <row r="6775" ht="15.75" customHeight="1" spans="1:2">
      <c r="A6775" s="3" t="str">
        <f>IFERROR(__xludf.DUMMYFUNCTION("GOOGLETRANSLATE(A6775,""en"",""pt"")"),"eu amo ser uma sentinela para a missão impossível e uma estação para bonkers.")</f>
        <v>eu amo ser uma sentinela para a missão impossível e uma estação para bonkers.</v>
      </c>
      <c r="B6775" s="3">
        <v>1</v>
      </c>
    </row>
    <row r="6776" ht="15.75" customHeight="1" spans="1:2">
      <c r="A6776" s="3" t="str">
        <f>IFERROR(__xludf.DUMMYFUNCTION("GOOGLETRANSLATE(A6776,""en"",""pt"")"),"I como Missão filmes impossível, porque você nunca sabe quem está do lado direito.")</f>
        <v>I como Missão filmes impossível, porque você nunca sabe quem está do lado direito.</v>
      </c>
      <c r="B6776" s="3">
        <v>1</v>
      </c>
    </row>
    <row r="6777" ht="15.75" customHeight="1" spans="1:2">
      <c r="A6777" s="3" t="str">
        <f>IFERROR(__xludf.DUMMYFUNCTION("GOOGLETRANSLATE(A6777,""en"",""pt"")"),"Missão Impossível 3 foi excelente.")</f>
        <v>Missão Impossível 3 foi excelente.</v>
      </c>
      <c r="B6777" s="3">
        <v>1</v>
      </c>
    </row>
    <row r="6778" ht="15.75" customHeight="1" spans="1:2">
      <c r="A6778" s="3" t="str">
        <f>IFERROR(__xludf.DUMMYFUNCTION("GOOGLETRANSLATE(A6778,""en"",""pt"")"),"Assim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78" s="3">
        <v>1</v>
      </c>
    </row>
    <row r="6779" ht="15.75" customHeight="1" spans="1:2">
      <c r="A6779" s="3" t="str">
        <f>IFERROR(__xludf.DUMMYFUNCTION("GOOGLETRANSLATE(A6779,""en"",""pt"")"),"Eu gostei do primeiro ""Missão Impossível.")</f>
        <v>Eu gostei do primeiro "Missão Impossível.</v>
      </c>
      <c r="B6779" s="3">
        <v>1</v>
      </c>
    </row>
    <row r="6780" ht="15.75" customHeight="1" spans="1:2">
      <c r="A6780" s="3" t="str">
        <f>IFERROR(__xludf.DUMMYFUNCTION("GOOGLETRANSLATE(A6780,""en"",""pt"")"),"The Last Stand e Missão Impossível 3 ambos eram filmes impressionantes.")</f>
        <v>The Last Stand e Missão Impossível 3 ambos eram filmes impressionantes.</v>
      </c>
      <c r="B6780" s="3">
        <v>1</v>
      </c>
    </row>
    <row r="6781" ht="15.75" customHeight="1" spans="1:2">
      <c r="A6781" s="3" t="str">
        <f>IFERROR(__xludf.DUMMYFUNCTION("GOOGLETRANSLATE(A6781,""en"",""pt"")"),"eu amo Kirsten / leah / escapadas Kate e missão tom impossível bem ...")</f>
        <v>eu amo Kirsten / leah / escapadas Kate e missão tom impossível bem ...</v>
      </c>
      <c r="B6781" s="3">
        <v>1</v>
      </c>
    </row>
    <row r="6782" ht="15.75" customHeight="1" spans="1:2">
      <c r="A6782" s="3" t="str">
        <f>IFERROR(__xludf.DUMMYFUNCTION("GOOGLETRANSLATE(A6782,""en"",""pt"")"),"missão impossível 2 rochas !! ....")</f>
        <v>missão impossível 2 rochas !! ....</v>
      </c>
      <c r="B6782" s="3">
        <v>1</v>
      </c>
    </row>
    <row r="6783" ht="15.75" customHeight="1" spans="1:2">
      <c r="A6783" s="3" t="str">
        <f>IFERROR(__xludf.DUMMYFUNCTION("GOOGLETRANSLATE(A6783,""en"",""pt"")"),"Nós estamos indo como Missão Impossível relógio ou buzina. (")</f>
        <v>Nós estamos indo como Missão Impossível relógio ou buzina. (</v>
      </c>
      <c r="B6783" s="3">
        <v>1</v>
      </c>
    </row>
    <row r="6784" ht="15.75" customHeight="1" spans="1:2">
      <c r="A6784" s="3" t="str">
        <f>IFERROR(__xludf.DUMMYFUNCTION("GOOGLETRANSLATE(A6784,""en"",""pt"")"),"É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84" s="3">
        <v>1</v>
      </c>
    </row>
    <row r="6785" ht="15.75" customHeight="1" spans="1:2">
      <c r="A6785" s="3" t="str">
        <f>IFERROR(__xludf.DUMMYFUNCTION("GOOGLETRANSLATE(A6785,""en"",""pt"")"),"eu amo ser uma sentinela para a missão impossível e uma estação para bonkers.")</f>
        <v>eu amo ser uma sentinela para a missão impossível e uma estação para bonkers.</v>
      </c>
      <c r="B6785" s="3">
        <v>1</v>
      </c>
    </row>
    <row r="6786" ht="15.75" customHeight="1" spans="1:2">
      <c r="A6786" s="3" t="str">
        <f>IFERROR(__xludf.DUMMYFUNCTION("GOOGLETRANSLATE(A6786,""en"",""pt"")"),"I como Missão filmes impossível, porque você nunca sabe quem está do lado direito.")</f>
        <v>I como Missão filmes impossível, porque você nunca sabe quem está do lado direito.</v>
      </c>
      <c r="B6786" s="3">
        <v>1</v>
      </c>
    </row>
    <row r="6787" ht="15.75" customHeight="1" spans="1:2">
      <c r="A6787" s="3" t="str">
        <f>IFERROR(__xludf.DUMMYFUNCTION("GOOGLETRANSLATE(A6787,""en"",""pt"")"),"Missão Impossível 3 foi excelente.")</f>
        <v>Missão Impossível 3 foi excelente.</v>
      </c>
      <c r="B6787" s="3">
        <v>1</v>
      </c>
    </row>
    <row r="6788" ht="15.75" customHeight="1" spans="1:2">
      <c r="A6788" s="3" t="str">
        <f>IFERROR(__xludf.DUMMYFUNCTION("GOOGLETRANSLATE(A6788,""en"",""pt"")"),"Assim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88" s="3">
        <v>1</v>
      </c>
    </row>
    <row r="6789" ht="15.75" customHeight="1" spans="1:2">
      <c r="A6789" s="3" t="str">
        <f>IFERROR(__xludf.DUMMYFUNCTION("GOOGLETRANSLATE(A6789,""en"",""pt"")"),"Eu gostei do primeiro ""Missão Impossível.")</f>
        <v>Eu gostei do primeiro "Missão Impossível.</v>
      </c>
      <c r="B6789" s="3">
        <v>1</v>
      </c>
    </row>
    <row r="6790" ht="15.75" customHeight="1" spans="1:2">
      <c r="A6790" s="3" t="str">
        <f>IFERROR(__xludf.DUMMYFUNCTION("GOOGLETRANSLATE(A6790,""en"",""pt"")"),"The Last Stand e Missão Impossível 3 ambos eram filmes impressionantes.")</f>
        <v>The Last Stand e Missão Impossível 3 ambos eram filmes impressionantes.</v>
      </c>
      <c r="B6790" s="3">
        <v>1</v>
      </c>
    </row>
    <row r="6791" ht="15.75" customHeight="1" spans="1:2">
      <c r="A6791" s="3" t="str">
        <f>IFERROR(__xludf.DUMMYFUNCTION("GOOGLETRANSLATE(A6791,""en"",""pt"")"),"eu amo Kirsten / leah / escapadas Kate e missão tom impossível bem ...")</f>
        <v>eu amo Kirsten / leah / escapadas Kate e missão tom impossível bem ...</v>
      </c>
      <c r="B6791" s="3">
        <v>1</v>
      </c>
    </row>
    <row r="6792" ht="15.75" customHeight="1" spans="1:2">
      <c r="A6792" s="3" t="str">
        <f>IFERROR(__xludf.DUMMYFUNCTION("GOOGLETRANSLATE(A6792,""en"",""pt"")"),"missão impossível 2 rochas !! ....")</f>
        <v>missão impossível 2 rochas !! ....</v>
      </c>
      <c r="B6792" s="3">
        <v>1</v>
      </c>
    </row>
    <row r="6793" ht="15.75" customHeight="1" spans="1:2">
      <c r="A6793" s="3" t="str">
        <f>IFERROR(__xludf.DUMMYFUNCTION("GOOGLETRANSLATE(A6793,""en"",""pt"")"),"Nós estamos indo como Missão Impossível relógio ou buzina. (")</f>
        <v>Nós estamos indo como Missão Impossível relógio ou buzina. (</v>
      </c>
      <c r="B6793" s="3">
        <v>1</v>
      </c>
    </row>
    <row r="6794" ht="15.75" customHeight="1" spans="1:2">
      <c r="A6794" s="3" t="str">
        <f>IFERROR(__xludf.DUMMYFUNCTION("GOOGLETRANSLATE(A6794,""en"",""pt"")"),"É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794" s="3">
        <v>1</v>
      </c>
    </row>
    <row r="6795" ht="15.75" customHeight="1" spans="1:2">
      <c r="A6795" s="3" t="str">
        <f>IFERROR(__xludf.DUMMYFUNCTION("GOOGLETRANSLATE(A6795,""en"",""pt"")"),"eu amo ser uma sentinela para a missão impossível e uma estação para bonkers.")</f>
        <v>eu amo ser uma sentinela para a missão impossível e uma estação para bonkers.</v>
      </c>
      <c r="B6795" s="3">
        <v>1</v>
      </c>
    </row>
    <row r="6796" ht="15.75" customHeight="1" spans="1:2">
      <c r="A6796" s="3" t="str">
        <f>IFERROR(__xludf.DUMMYFUNCTION("GOOGLETRANSLATE(A6796,""en"",""pt"")"),"I como Missão filmes impossível, porque você nunca sabe quem está do lado direito.")</f>
        <v>I como Missão filmes impossível, porque você nunca sabe quem está do lado direito.</v>
      </c>
      <c r="B6796" s="3">
        <v>1</v>
      </c>
    </row>
    <row r="6797" ht="15.75" customHeight="1" spans="1:2">
      <c r="A6797" s="3" t="str">
        <f>IFERROR(__xludf.DUMMYFUNCTION("GOOGLETRANSLATE(A6797,""en"",""pt"")"),"Missão Impossível 3 foi excelente.")</f>
        <v>Missão Impossível 3 foi excelente.</v>
      </c>
      <c r="B6797" s="3">
        <v>1</v>
      </c>
    </row>
    <row r="6798" ht="15.75" customHeight="1" spans="1:2">
      <c r="A6798" s="3" t="str">
        <f>IFERROR(__xludf.DUMMYFUNCTION("GOOGLETRANSLATE(A6798,""en"",""pt"")"),"Assim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798" s="3">
        <v>1</v>
      </c>
    </row>
    <row r="6799" ht="15.75" customHeight="1" spans="1:2">
      <c r="A6799" s="3" t="str">
        <f>IFERROR(__xludf.DUMMYFUNCTION("GOOGLETRANSLATE(A6799,""en"",""pt"")"),"Eu gostei do primeiro ""Missão Impossível.")</f>
        <v>Eu gostei do primeiro "Missão Impossível.</v>
      </c>
      <c r="B6799" s="3">
        <v>1</v>
      </c>
    </row>
    <row r="6800" ht="15.75" customHeight="1" spans="1:2">
      <c r="A6800" s="3" t="str">
        <f>IFERROR(__xludf.DUMMYFUNCTION("GOOGLETRANSLATE(A6800,""en"",""pt"")"),"The Last Stand e Missão Impossível 3 ambos eram filmes impressionantes.")</f>
        <v>The Last Stand e Missão Impossível 3 ambos eram filmes impressionantes.</v>
      </c>
      <c r="B6800" s="3">
        <v>1</v>
      </c>
    </row>
    <row r="6801" ht="15.75" customHeight="1" spans="1:2">
      <c r="A6801" s="3" t="s">
        <v>25</v>
      </c>
      <c r="B6801" s="3">
        <v>1</v>
      </c>
    </row>
    <row r="6802" ht="15.75" customHeight="1" spans="1:2">
      <c r="A6802" s="3" t="str">
        <f>IFERROR(__xludf.DUMMYFUNCTION("GOOGLETRANSLATE(A6802,""en"",""pt"")"),"missão impossível 2 rochas !! ....")</f>
        <v>missão impossível 2 rochas !! ....</v>
      </c>
      <c r="B6802" s="3">
        <v>1</v>
      </c>
    </row>
    <row r="6803" ht="15.75" customHeight="1" spans="1:2">
      <c r="A6803" s="3" t="str">
        <f>IFERROR(__xludf.DUMMYFUNCTION("GOOGLETRANSLATE(A6803,""en"",""pt"")"),"Nós estamos indo como Missão Impossível relógio ou buzina. (")</f>
        <v>Nós estamos indo como Missão Impossível relógio ou buzina. (</v>
      </c>
      <c r="B6803" s="3">
        <v>1</v>
      </c>
    </row>
    <row r="6804" ht="15.75" customHeight="1" spans="1:2">
      <c r="A6804" s="3" t="str">
        <f>IFERROR(__xludf.DUMMYFUNCTION("GOOGLETRANSLATE(A6804,""en"",""pt"")"),"É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04" s="3">
        <v>1</v>
      </c>
    </row>
    <row r="6805" ht="15.75" customHeight="1" spans="1:2">
      <c r="A6805" s="3" t="str">
        <f>IFERROR(__xludf.DUMMYFUNCTION("GOOGLETRANSLATE(A6805,""en"",""pt"")"),"eu amo ser uma sentinela para a missão impossível e uma estação para bonkers.")</f>
        <v>eu amo ser uma sentinela para a missão impossível e uma estação para bonkers.</v>
      </c>
      <c r="B6805" s="3">
        <v>1</v>
      </c>
    </row>
    <row r="6806" ht="15.75" customHeight="1" spans="1:2">
      <c r="A6806" s="3" t="str">
        <f>IFERROR(__xludf.DUMMYFUNCTION("GOOGLETRANSLATE(A6806,""en"",""pt"")"),"I como Missão filmes impossível, porque você nunca sabe quem está do lado direito.")</f>
        <v>I como Missão filmes impossível, porque você nunca sabe quem está do lado direito.</v>
      </c>
      <c r="B6806" s="3">
        <v>1</v>
      </c>
    </row>
    <row r="6807" ht="15.75" customHeight="1" spans="1:2">
      <c r="A6807" s="3" t="str">
        <f>IFERROR(__xludf.DUMMYFUNCTION("GOOGLETRANSLATE(A6807,""en"",""pt"")"),"Missão Impossível 3 foi excelente.")</f>
        <v>Missão Impossível 3 foi excelente.</v>
      </c>
      <c r="B6807" s="3">
        <v>1</v>
      </c>
    </row>
    <row r="6808" ht="15.75" customHeight="1" spans="1:2">
      <c r="A6808" s="3" t="s">
        <v>26</v>
      </c>
      <c r="B6808" s="3">
        <v>1</v>
      </c>
    </row>
    <row r="6809" ht="15.75" customHeight="1" spans="1:2">
      <c r="A6809" s="3" t="str">
        <f>IFERROR(__xludf.DUMMYFUNCTION("GOOGLETRANSLATE(A6809,""en"",""pt"")"),"Eu gostei do primeiro ""Missão Impossível.")</f>
        <v>Eu gostei do primeiro "Missão Impossível.</v>
      </c>
      <c r="B6809" s="3">
        <v>1</v>
      </c>
    </row>
    <row r="6810" ht="15.75" customHeight="1" spans="1:2">
      <c r="A6810" s="3" t="str">
        <f>IFERROR(__xludf.DUMMYFUNCTION("GOOGLETRANSLATE(A6810,""en"",""pt"")"),"The Last Stand e Missão Impossível 3 ambos eram filmes impressionantes.")</f>
        <v>The Last Stand e Missão Impossível 3 ambos eram filmes impressionantes.</v>
      </c>
      <c r="B6810" s="3">
        <v>1</v>
      </c>
    </row>
    <row r="6811" ht="15.75" customHeight="1" spans="1:2">
      <c r="A6811" s="3" t="str">
        <f>IFERROR(__xludf.DUMMYFUNCTION("GOOGLETRANSLATE(A6811,""en"",""pt"")"),"eu amo Kirsten / leah / escapadas Kate e missão tom impossível bem ...")</f>
        <v>eu amo Kirsten / leah / escapadas Kate e missão tom impossível bem ...</v>
      </c>
      <c r="B6811" s="3">
        <v>1</v>
      </c>
    </row>
    <row r="6812" ht="15.75" customHeight="1" spans="1:2">
      <c r="A6812" s="3" t="str">
        <f>IFERROR(__xludf.DUMMYFUNCTION("GOOGLETRANSLATE(A6812,""en"",""pt"")"),"missão impossível 2 rochas !! ....")</f>
        <v>missão impossível 2 rochas !! ....</v>
      </c>
      <c r="B6812" s="3">
        <v>1</v>
      </c>
    </row>
    <row r="6813" ht="15.75" customHeight="1" spans="1:2">
      <c r="A6813" s="3" t="str">
        <f>IFERROR(__xludf.DUMMYFUNCTION("GOOGLETRANSLATE(A6813,""en"",""pt"")"),"Nós estamos indo como Missão Impossível relógio ou buzina. (")</f>
        <v>Nós estamos indo como Missão Impossível relógio ou buzina. (</v>
      </c>
      <c r="B6813" s="3">
        <v>1</v>
      </c>
    </row>
    <row r="6814" ht="15.75" customHeight="1" spans="1:2">
      <c r="A6814" s="3" t="str">
        <f>IFERROR(__xludf.DUMMYFUNCTION("GOOGLETRANSLATE(A6814,""en"",""pt"")"),"É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14" s="3">
        <v>1</v>
      </c>
    </row>
    <row r="6815" ht="15.75" customHeight="1" spans="1:2">
      <c r="A6815" s="3" t="str">
        <f>IFERROR(__xludf.DUMMYFUNCTION("GOOGLETRANSLATE(A6815,""en"",""pt"")"),"eu amo ser uma sentinela para a missão impossível e uma estação para bonkers.")</f>
        <v>eu amo ser uma sentinela para a missão impossível e uma estação para bonkers.</v>
      </c>
      <c r="B6815" s="3">
        <v>1</v>
      </c>
    </row>
    <row r="6816" ht="15.75" customHeight="1" spans="1:2">
      <c r="A6816" s="3" t="str">
        <f>IFERROR(__xludf.DUMMYFUNCTION("GOOGLETRANSLATE(A6816,""en"",""pt"")"),"I como Missão filmes impossível, porque você nunca sabe quem está do lado direito.")</f>
        <v>I como Missão filmes impossível, porque você nunca sabe quem está do lado direito.</v>
      </c>
      <c r="B6816" s="3">
        <v>1</v>
      </c>
    </row>
    <row r="6817" ht="15.75" customHeight="1" spans="1:2">
      <c r="A6817" s="3" t="str">
        <f>IFERROR(__xludf.DUMMYFUNCTION("GOOGLETRANSLATE(A6817,""en"",""pt"")"),"Missão Impossível 3 foi excelente.")</f>
        <v>Missão Impossível 3 foi excelente.</v>
      </c>
      <c r="B6817" s="3">
        <v>1</v>
      </c>
    </row>
    <row r="6818" ht="15.75" customHeight="1" spans="1:2">
      <c r="A6818" s="3" t="str">
        <f>IFERROR(__xludf.DUMMYFUNCTION("GOOGLETRANSLATE(A6818,""en"",""pt"")"),"Assim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18" s="3">
        <v>1</v>
      </c>
    </row>
    <row r="6819" ht="15.75" customHeight="1" spans="1:2">
      <c r="A6819" s="3" t="str">
        <f>IFERROR(__xludf.DUMMYFUNCTION("GOOGLETRANSLATE(A6819,""en"",""pt"")"),"Eu gostei do primeiro ""Missão Impossível.")</f>
        <v>Eu gostei do primeiro "Missão Impossível.</v>
      </c>
      <c r="B6819" s="3">
        <v>1</v>
      </c>
    </row>
    <row r="6820" ht="15.75" customHeight="1" spans="1:2">
      <c r="A6820" s="3" t="str">
        <f>IFERROR(__xludf.DUMMYFUNCTION("GOOGLETRANSLATE(A6820,""en"",""pt"")"),"The Last Stand e Missão Impossível 3 ambos eram filmes impressionantes.")</f>
        <v>The Last Stand e Missão Impossível 3 ambos eram filmes impressionantes.</v>
      </c>
      <c r="B6820" s="3">
        <v>1</v>
      </c>
    </row>
    <row r="6821" ht="15.75" customHeight="1" spans="1:2">
      <c r="A6821" s="3" t="str">
        <f>IFERROR(__xludf.DUMMYFUNCTION("GOOGLETRANSLATE(A6821,""en"",""pt"")"),"eu amo Kirsten / leah / escapadas Kate e missão tom impossível bem ...")</f>
        <v>eu amo Kirsten / leah / escapadas Kate e missão tom impossível bem ...</v>
      </c>
      <c r="B6821" s="3">
        <v>1</v>
      </c>
    </row>
    <row r="6822" ht="15.75" customHeight="1" spans="1:2">
      <c r="A6822" s="3" t="str">
        <f>IFERROR(__xludf.DUMMYFUNCTION("GOOGLETRANSLATE(A6822,""en"",""pt"")"),"missão impossível 2 rochas !! ....")</f>
        <v>missão impossível 2 rochas !! ....</v>
      </c>
      <c r="B6822" s="3">
        <v>1</v>
      </c>
    </row>
    <row r="6823" ht="15.75" customHeight="1" spans="1:2">
      <c r="A6823" s="3" t="str">
        <f>IFERROR(__xludf.DUMMYFUNCTION("GOOGLETRANSLATE(A6823,""en"",""pt"")"),"Nós estamos indo como Missão Impossível relógio ou buzina. (")</f>
        <v>Nós estamos indo como Missão Impossível relógio ou buzina. (</v>
      </c>
      <c r="B6823" s="3">
        <v>1</v>
      </c>
    </row>
    <row r="6824" ht="15.75" customHeight="1" spans="1:2">
      <c r="A6824" s="3" t="str">
        <f>IFERROR(__xludf.DUMMYFUNCTION("GOOGLETRANSLATE(A6824,""en"",""pt"")"),"É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24" s="3">
        <v>1</v>
      </c>
    </row>
    <row r="6825" ht="15.75" customHeight="1" spans="1:2">
      <c r="A6825" s="3" t="str">
        <f>IFERROR(__xludf.DUMMYFUNCTION("GOOGLETRANSLATE(A6825,""en"",""pt"")"),"eu amo ser uma sentinela para a missão impossível e uma estação para bonkers.")</f>
        <v>eu amo ser uma sentinela para a missão impossível e uma estação para bonkers.</v>
      </c>
      <c r="B6825" s="3">
        <v>1</v>
      </c>
    </row>
    <row r="6826" ht="15.75" customHeight="1" spans="1:2">
      <c r="A6826" s="3" t="str">
        <f>IFERROR(__xludf.DUMMYFUNCTION("GOOGLETRANSLATE(A6826,""en"",""pt"")"),"I como Missão filmes impossível, porque você nunca sabe quem está do lado direito.")</f>
        <v>I como Missão filmes impossível, porque você nunca sabe quem está do lado direito.</v>
      </c>
      <c r="B6826" s="3">
        <v>1</v>
      </c>
    </row>
    <row r="6827" ht="15.75" customHeight="1" spans="1:2">
      <c r="A6827" s="3" t="str">
        <f>IFERROR(__xludf.DUMMYFUNCTION("GOOGLETRANSLATE(A6827,""en"",""pt"")"),"Missão Impossível 3 foi excelente.")</f>
        <v>Missão Impossível 3 foi excelente.</v>
      </c>
      <c r="B6827" s="3">
        <v>1</v>
      </c>
    </row>
    <row r="6828" ht="15.75" customHeight="1" spans="1:2">
      <c r="A6828" s="3" t="str">
        <f>IFERROR(__xludf.DUMMYFUNCTION("GOOGLETRANSLATE(A6828,""en"",""pt"")"),"Assim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28" s="3">
        <v>1</v>
      </c>
    </row>
    <row r="6829" ht="15.75" customHeight="1" spans="1:2">
      <c r="A6829" s="3" t="str">
        <f>IFERROR(__xludf.DUMMYFUNCTION("GOOGLETRANSLATE(A6829,""en"",""pt"")"),"Eu gostei do primeiro ""Missão Impossível.")</f>
        <v>Eu gostei do primeiro "Missão Impossível.</v>
      </c>
      <c r="B6829" s="3">
        <v>1</v>
      </c>
    </row>
    <row r="6830" ht="15.75" customHeight="1" spans="1:2">
      <c r="A6830" s="3" t="str">
        <f>IFERROR(__xludf.DUMMYFUNCTION("GOOGLETRANSLATE(A6830,""en"",""pt"")"),"The Last Stand e Missão Impossível 3 ambos eram filmes impressionantes.")</f>
        <v>The Last Stand e Missão Impossível 3 ambos eram filmes impressionantes.</v>
      </c>
      <c r="B6830" s="3">
        <v>1</v>
      </c>
    </row>
    <row r="6831" ht="15.75" customHeight="1" spans="1:2">
      <c r="A6831" s="3" t="str">
        <f>IFERROR(__xludf.DUMMYFUNCTION("GOOGLETRANSLATE(A6831,""en"",""pt"")"),"eu amo Kirsten / leah / escapadas Kate e missão tom impossível bem ...")</f>
        <v>eu amo Kirsten / leah / escapadas Kate e missão tom impossível bem ...</v>
      </c>
      <c r="B6831" s="3">
        <v>1</v>
      </c>
    </row>
    <row r="6832" ht="15.75" customHeight="1" spans="1:2">
      <c r="A6832" s="3" t="str">
        <f>IFERROR(__xludf.DUMMYFUNCTION("GOOGLETRANSLATE(A6832,""en"",""pt"")"),"missão impossível 2 rochas !! ....")</f>
        <v>missão impossível 2 rochas !! ....</v>
      </c>
      <c r="B6832" s="3">
        <v>1</v>
      </c>
    </row>
    <row r="6833" ht="15.75" customHeight="1" spans="1:2">
      <c r="A6833" s="3" t="str">
        <f>IFERROR(__xludf.DUMMYFUNCTION("GOOGLETRANSLATE(A6833,""en"",""pt"")"),"Nós estamos indo como Missão Impossível relógio ou buzina. (")</f>
        <v>Nós estamos indo como Missão Impossível relógio ou buzina. (</v>
      </c>
      <c r="B6833" s="3">
        <v>1</v>
      </c>
    </row>
    <row r="6834" ht="15.75" customHeight="1" spans="1:2">
      <c r="A6834" s="3" t="str">
        <f>IFERROR(__xludf.DUMMYFUNCTION("GOOGLETRANSLATE(A6834,""en"",""pt"")"),"É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34" s="3">
        <v>1</v>
      </c>
    </row>
    <row r="6835" ht="15.75" customHeight="1" spans="1:2">
      <c r="A6835" s="3" t="str">
        <f>IFERROR(__xludf.DUMMYFUNCTION("GOOGLETRANSLATE(A6835,""en"",""pt"")"),"eu amo ser uma sentinela para a missão impossível e uma estação para bonkers.")</f>
        <v>eu amo ser uma sentinela para a missão impossível e uma estação para bonkers.</v>
      </c>
      <c r="B6835" s="3">
        <v>1</v>
      </c>
    </row>
    <row r="6836" ht="15.75" customHeight="1" spans="1:2">
      <c r="A6836" s="3" t="str">
        <f>IFERROR(__xludf.DUMMYFUNCTION("GOOGLETRANSLATE(A6836,""en"",""pt"")"),"I como Missão filmes impossível, porque você nunca sabe quem está do lado direito.")</f>
        <v>I como Missão filmes impossível, porque você nunca sabe quem está do lado direito.</v>
      </c>
      <c r="B6836" s="3">
        <v>1</v>
      </c>
    </row>
    <row r="6837" ht="15.75" customHeight="1" spans="1:2">
      <c r="A6837" s="3" t="str">
        <f>IFERROR(__xludf.DUMMYFUNCTION("GOOGLETRANSLATE(A6837,""en"",""pt"")"),"Missão Impossível 3 foi excelente.")</f>
        <v>Missão Impossível 3 foi excelente.</v>
      </c>
      <c r="B6837" s="3">
        <v>1</v>
      </c>
    </row>
    <row r="6838" ht="15.75" customHeight="1" spans="1:2">
      <c r="A6838" s="3" t="str">
        <f>IFERROR(__xludf.DUMMYFUNCTION("GOOGLETRANSLATE(A6838,""en"",""pt"")"),"Assim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38" s="3">
        <v>1</v>
      </c>
    </row>
    <row r="6839" ht="15.75" customHeight="1" spans="1:2">
      <c r="A6839" s="3" t="str">
        <f>IFERROR(__xludf.DUMMYFUNCTION("GOOGLETRANSLATE(A6839,""en"",""pt"")"),"Eu gostei do primeiro ""Missão Impossível.")</f>
        <v>Eu gostei do primeiro "Missão Impossível.</v>
      </c>
      <c r="B6839" s="3">
        <v>1</v>
      </c>
    </row>
    <row r="6840" ht="15.75" customHeight="1" spans="1:2">
      <c r="A6840" s="3" t="str">
        <f>IFERROR(__xludf.DUMMYFUNCTION("GOOGLETRANSLATE(A6840,""en"",""pt"")"),"The Last Stand e Missão Impossível 3 ambos eram filmes impressionantes.")</f>
        <v>The Last Stand e Missão Impossível 3 ambos eram filmes impressionantes.</v>
      </c>
      <c r="B6840" s="3">
        <v>1</v>
      </c>
    </row>
    <row r="6841" ht="15.75" customHeight="1" spans="1:2">
      <c r="A6841" s="3" t="str">
        <f>IFERROR(__xludf.DUMMYFUNCTION("GOOGLETRANSLATE(A6841,""en"",""pt"")"),"eu amo Kirsten / leah / escapadas Kate e missão tom impossível bem ...")</f>
        <v>eu amo Kirsten / leah / escapadas Kate e missão tom impossível bem ...</v>
      </c>
      <c r="B6841" s="3">
        <v>1</v>
      </c>
    </row>
    <row r="6842" ht="15.75" customHeight="1" spans="1:2">
      <c r="A6842" s="3" t="str">
        <f>IFERROR(__xludf.DUMMYFUNCTION("GOOGLETRANSLATE(A6842,""en"",""pt"")"),"missão impossível 2 rochas !! ....")</f>
        <v>missão impossível 2 rochas !! ....</v>
      </c>
      <c r="B6842" s="3">
        <v>1</v>
      </c>
    </row>
    <row r="6843" ht="15.75" customHeight="1" spans="1:2">
      <c r="A6843" s="3" t="str">
        <f>IFERROR(__xludf.DUMMYFUNCTION("GOOGLETRANSLATE(A6843,""en"",""pt"")"),"Nós estamos indo como Missão Impossível relógio ou buzina. (")</f>
        <v>Nós estamos indo como Missão Impossível relógio ou buzina. (</v>
      </c>
      <c r="B6843" s="3">
        <v>1</v>
      </c>
    </row>
    <row r="6844" ht="15.75" customHeight="1" spans="1:2">
      <c r="A6844" s="3" t="str">
        <f>IFERROR(__xludf.DUMMYFUNCTION("GOOGLETRANSLATE(A6844,""en"",""pt"")"),"É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44" s="3">
        <v>1</v>
      </c>
    </row>
    <row r="6845" ht="15.75" customHeight="1" spans="1:2">
      <c r="A6845" s="3" t="str">
        <f>IFERROR(__xludf.DUMMYFUNCTION("GOOGLETRANSLATE(A6845,""en"",""pt"")"),"eu amo ser uma sentinela para a missão impossível e uma estação para bonkers.")</f>
        <v>eu amo ser uma sentinela para a missão impossível e uma estação para bonkers.</v>
      </c>
      <c r="B6845" s="3">
        <v>1</v>
      </c>
    </row>
    <row r="6846" ht="15.75" customHeight="1" spans="1:2">
      <c r="A6846" s="3" t="str">
        <f>IFERROR(__xludf.DUMMYFUNCTION("GOOGLETRANSLATE(A6846,""en"",""pt"")"),"I como Missão filmes impossível, porque você nunca sabe quem está do lado direito.")</f>
        <v>I como Missão filmes impossível, porque você nunca sabe quem está do lado direito.</v>
      </c>
      <c r="B6846" s="3">
        <v>1</v>
      </c>
    </row>
    <row r="6847" ht="15.75" customHeight="1" spans="1:2">
      <c r="A6847" s="3" t="str">
        <f>IFERROR(__xludf.DUMMYFUNCTION("GOOGLETRANSLATE(A6847,""en"",""pt"")"),"Missão Impossível 3 foi excelente.")</f>
        <v>Missão Impossível 3 foi excelente.</v>
      </c>
      <c r="B6847" s="3">
        <v>1</v>
      </c>
    </row>
    <row r="6848" ht="15.75" customHeight="1" spans="1:2">
      <c r="A6848" s="3" t="str">
        <f>IFERROR(__xludf.DUMMYFUNCTION("GOOGLETRANSLATE(A6848,""en"",""pt"")"),"Assim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48" s="3">
        <v>1</v>
      </c>
    </row>
    <row r="6849" ht="15.75" customHeight="1" spans="1:2">
      <c r="A6849" s="3" t="str">
        <f>IFERROR(__xludf.DUMMYFUNCTION("GOOGLETRANSLATE(A6849,""en"",""pt"")"),"Eu gostei do primeiro ""Missão Impossível.")</f>
        <v>Eu gostei do primeiro "Missão Impossível.</v>
      </c>
      <c r="B6849" s="3">
        <v>1</v>
      </c>
    </row>
    <row r="6850" ht="15.75" customHeight="1" spans="1:2">
      <c r="A6850" s="3" t="str">
        <f>IFERROR(__xludf.DUMMYFUNCTION("GOOGLETRANSLATE(A6850,""en"",""pt"")"),"The Last Stand e Missão Impossível 3 ambos eram filmes impressionantes.")</f>
        <v>The Last Stand e Missão Impossível 3 ambos eram filmes impressionantes.</v>
      </c>
      <c r="B6850" s="3">
        <v>1</v>
      </c>
    </row>
    <row r="6851" ht="15.75" customHeight="1" spans="1:2">
      <c r="A6851" s="3" t="str">
        <f>IFERROR(__xludf.DUMMYFUNCTION("GOOGLETRANSLATE(A6851,""en"",""pt"")"),"eu amo Kirsten / leah / escapadas Kate e missão tom impossível bem ...")</f>
        <v>eu amo Kirsten / leah / escapadas Kate e missão tom impossível bem ...</v>
      </c>
      <c r="B6851" s="3">
        <v>1</v>
      </c>
    </row>
    <row r="6852" ht="15.75" customHeight="1" spans="1:2">
      <c r="A6852" s="3" t="str">
        <f>IFERROR(__xludf.DUMMYFUNCTION("GOOGLETRANSLATE(A6852,""en"",""pt"")"),"missão impossível 2 rochas !! ....")</f>
        <v>missão impossível 2 rochas !! ....</v>
      </c>
      <c r="B6852" s="3">
        <v>1</v>
      </c>
    </row>
    <row r="6853" ht="15.75" customHeight="1" spans="1:2">
      <c r="A6853" s="3" t="str">
        <f>IFERROR(__xludf.DUMMYFUNCTION("GOOGLETRANSLATE(A6853,""en"",""pt"")"),"Nós estamos indo como Missão Impossível relógio ou buzina. (")</f>
        <v>Nós estamos indo como Missão Impossível relógio ou buzina. (</v>
      </c>
      <c r="B6853" s="3">
        <v>1</v>
      </c>
    </row>
    <row r="6854" ht="15.75" customHeight="1" spans="1:2">
      <c r="A6854" s="3" t="str">
        <f>IFERROR(__xludf.DUMMYFUNCTION("GOOGLETRANSLATE(A6854,""en"",""pt"")"),"É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54" s="3">
        <v>1</v>
      </c>
    </row>
    <row r="6855" ht="15.75" customHeight="1" spans="1:2">
      <c r="A6855" s="3" t="str">
        <f>IFERROR(__xludf.DUMMYFUNCTION("GOOGLETRANSLATE(A6855,""en"",""pt"")"),"eu amo ser uma sentinela para a missão impossível e uma estação para bonkers.")</f>
        <v>eu amo ser uma sentinela para a missão impossível e uma estação para bonkers.</v>
      </c>
      <c r="B6855" s="3">
        <v>1</v>
      </c>
    </row>
    <row r="6856" ht="15.75" customHeight="1" spans="1:2">
      <c r="A6856" s="3" t="str">
        <f>IFERROR(__xludf.DUMMYFUNCTION("GOOGLETRANSLATE(A6856,""en"",""pt"")"),"I como Missão filmes impossível, porque você nunca sabe quem está do lado direito.")</f>
        <v>I como Missão filmes impossível, porque você nunca sabe quem está do lado direito.</v>
      </c>
      <c r="B6856" s="3">
        <v>1</v>
      </c>
    </row>
    <row r="6857" ht="15.75" customHeight="1" spans="1:2">
      <c r="A6857" s="3" t="str">
        <f>IFERROR(__xludf.DUMMYFUNCTION("GOOGLETRANSLATE(A6857,""en"",""pt"")"),"Missão Impossível 3 foi excelente.")</f>
        <v>Missão Impossível 3 foi excelente.</v>
      </c>
      <c r="B6857" s="3">
        <v>1</v>
      </c>
    </row>
    <row r="6858" ht="15.75" customHeight="1" spans="1:2">
      <c r="A6858" s="3" t="str">
        <f>IFERROR(__xludf.DUMMYFUNCTION("GOOGLETRANSLATE(A6858,""en"",""pt"")"),"Assim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58" s="3">
        <v>1</v>
      </c>
    </row>
    <row r="6859" ht="15.75" customHeight="1" spans="1:2">
      <c r="A6859" s="3" t="str">
        <f>IFERROR(__xludf.DUMMYFUNCTION("GOOGLETRANSLATE(A6859,""en"",""pt"")"),"Eu gostei do primeiro ""Missão Impossível.")</f>
        <v>Eu gostei do primeiro "Missão Impossível.</v>
      </c>
      <c r="B6859" s="3">
        <v>1</v>
      </c>
    </row>
    <row r="6860" ht="15.75" customHeight="1" spans="1:2">
      <c r="A6860" s="3" t="str">
        <f>IFERROR(__xludf.DUMMYFUNCTION("GOOGLETRANSLATE(A6860,""en"",""pt"")"),"The Last Stand e Missão Impossível 3 ambos eram filmes impressionantes.")</f>
        <v>The Last Stand e Missão Impossível 3 ambos eram filmes impressionantes.</v>
      </c>
      <c r="B6860" s="3">
        <v>1</v>
      </c>
    </row>
    <row r="6861" ht="15.75" customHeight="1" spans="1:2">
      <c r="A6861" s="3" t="str">
        <f>IFERROR(__xludf.DUMMYFUNCTION("GOOGLETRANSLATE(A6861,""en"",""pt"")"),"eu amo Kirsten / leah / escapadas Kate e missão tom impossível bem ...")</f>
        <v>eu amo Kirsten / leah / escapadas Kate e missão tom impossível bem ...</v>
      </c>
      <c r="B6861" s="3">
        <v>1</v>
      </c>
    </row>
    <row r="6862" ht="15.75" customHeight="1" spans="1:2">
      <c r="A6862" s="3" t="str">
        <f>IFERROR(__xludf.DUMMYFUNCTION("GOOGLETRANSLATE(A6862,""en"",""pt"")"),"missão impossível 2 rochas !! ....")</f>
        <v>missão impossível 2 rochas !! ....</v>
      </c>
      <c r="B6862" s="3">
        <v>1</v>
      </c>
    </row>
    <row r="6863" ht="15.75" customHeight="1" spans="1:2">
      <c r="A6863" s="3" t="str">
        <f>IFERROR(__xludf.DUMMYFUNCTION("GOOGLETRANSLATE(A6863,""en"",""pt"")"),"Nós estamos indo como Missão Impossível relógio ou buzina. (")</f>
        <v>Nós estamos indo como Missão Impossível relógio ou buzina. (</v>
      </c>
      <c r="B6863" s="3">
        <v>1</v>
      </c>
    </row>
    <row r="6864" ht="15.75" customHeight="1" spans="1:2">
      <c r="A6864" s="3" t="str">
        <f>IFERROR(__xludf.DUMMYFUNCTION("GOOGLETRANSLATE(A6864,""en"",""pt"")"),"É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64" s="3">
        <v>1</v>
      </c>
    </row>
    <row r="6865" ht="15.75" customHeight="1" spans="1:2">
      <c r="A6865" s="3" t="str">
        <f>IFERROR(__xludf.DUMMYFUNCTION("GOOGLETRANSLATE(A6865,""en"",""pt"")"),"eu amo ser uma sentinela para a missão impossível e uma estação para bonkers.")</f>
        <v>eu amo ser uma sentinela para a missão impossível e uma estação para bonkers.</v>
      </c>
      <c r="B6865" s="3">
        <v>1</v>
      </c>
    </row>
    <row r="6866" ht="15.75" customHeight="1" spans="1:2">
      <c r="A6866" s="3" t="str">
        <f>IFERROR(__xludf.DUMMYFUNCTION("GOOGLETRANSLATE(A6866,""en"",""pt"")"),"I como Missão filmes impossível, porque você nunca sabe quem está do lado direito.")</f>
        <v>I como Missão filmes impossível, porque você nunca sabe quem está do lado direito.</v>
      </c>
      <c r="B6866" s="3">
        <v>1</v>
      </c>
    </row>
    <row r="6867" ht="15.75" customHeight="1" spans="1:2">
      <c r="A6867" s="3" t="str">
        <f>IFERROR(__xludf.DUMMYFUNCTION("GOOGLETRANSLATE(A6867,""en"",""pt"")"),"Missão Impossível 3 foi excelente.")</f>
        <v>Missão Impossível 3 foi excelente.</v>
      </c>
      <c r="B6867" s="3">
        <v>1</v>
      </c>
    </row>
    <row r="6868" ht="15.75" customHeight="1" spans="1:2">
      <c r="A6868" s="3" t="str">
        <f>IFERROR(__xludf.DUMMYFUNCTION("GOOGLETRANSLATE(A6868,""en"",""pt"")"),"Assim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68" s="3">
        <v>1</v>
      </c>
    </row>
    <row r="6869" ht="15.75" customHeight="1" spans="1:2">
      <c r="A6869" s="3" t="str">
        <f>IFERROR(__xludf.DUMMYFUNCTION("GOOGLETRANSLATE(A6869,""en"",""pt"")"),"Eu gostei do primeiro ""Missão Impossível.")</f>
        <v>Eu gostei do primeiro "Missão Impossível.</v>
      </c>
      <c r="B6869" s="3">
        <v>1</v>
      </c>
    </row>
    <row r="6870" ht="15.75" customHeight="1" spans="1:2">
      <c r="A6870" s="3" t="str">
        <f>IFERROR(__xludf.DUMMYFUNCTION("GOOGLETRANSLATE(A6870,""en"",""pt"")"),"The Last Stand e Missão Impossível 3 ambos eram filmes impressionantes.")</f>
        <v>The Last Stand e Missão Impossível 3 ambos eram filmes impressionantes.</v>
      </c>
      <c r="B6870" s="3">
        <v>1</v>
      </c>
    </row>
    <row r="6871" ht="15.75" customHeight="1" spans="1:2">
      <c r="A6871" s="3" t="str">
        <f>IFERROR(__xludf.DUMMYFUNCTION("GOOGLETRANSLATE(A6871,""en"",""pt"")"),"eu amo Kirsten / leah / escapadas Kate e missão tom impossível bem ...")</f>
        <v>eu amo Kirsten / leah / escapadas Kate e missão tom impossível bem ...</v>
      </c>
      <c r="B6871" s="3">
        <v>1</v>
      </c>
    </row>
    <row r="6872" ht="15.75" customHeight="1" spans="1:2">
      <c r="A6872" s="3" t="s">
        <v>27</v>
      </c>
      <c r="B6872" s="3">
        <v>1</v>
      </c>
    </row>
    <row r="6873" ht="15.75" customHeight="1" spans="1:2">
      <c r="A6873" s="3" t="str">
        <f>IFERROR(__xludf.DUMMYFUNCTION("GOOGLETRANSLATE(A6873,""en"",""pt"")"),"Nós estamos indo como Missão Impossível relógio ou buzina. (")</f>
        <v>Nós estamos indo como Missão Impossível relógio ou buzina. (</v>
      </c>
      <c r="B6873" s="3">
        <v>1</v>
      </c>
    </row>
    <row r="6874" ht="15.75" customHeight="1" spans="1:2">
      <c r="A6874" s="3" t="str">
        <f>IFERROR(__xludf.DUMMYFUNCTION("GOOGLETRANSLATE(A6874,""en"",""pt"")"),"É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74" s="3">
        <v>1</v>
      </c>
    </row>
    <row r="6875" ht="15.75" customHeight="1" spans="1:2">
      <c r="A6875" s="3" t="str">
        <f>IFERROR(__xludf.DUMMYFUNCTION("GOOGLETRANSLATE(A6875,""en"",""pt"")"),"eu amo ser uma sentinela para a missão impossível e uma estação para bonkers.")</f>
        <v>eu amo ser uma sentinela para a missão impossível e uma estação para bonkers.</v>
      </c>
      <c r="B6875" s="3">
        <v>1</v>
      </c>
    </row>
    <row r="6876" ht="15.75" customHeight="1" spans="1:2">
      <c r="A6876" s="3" t="str">
        <f>IFERROR(__xludf.DUMMYFUNCTION("GOOGLETRANSLATE(A6876,""en"",""pt"")"),"I como Missão filmes impossível, porque você nunca sabe quem está do lado direito.")</f>
        <v>I como Missão filmes impossível, porque você nunca sabe quem está do lado direito.</v>
      </c>
      <c r="B6876" s="3">
        <v>1</v>
      </c>
    </row>
    <row r="6877" ht="15.75" customHeight="1" spans="1:2">
      <c r="A6877" s="3" t="str">
        <f>IFERROR(__xludf.DUMMYFUNCTION("GOOGLETRANSLATE(A6877,""en"",""pt"")"),"Missão Impossível 3 foi excelente.")</f>
        <v>Missão Impossível 3 foi excelente.</v>
      </c>
      <c r="B6877" s="3">
        <v>1</v>
      </c>
    </row>
    <row r="6878" ht="15.75" customHeight="1" spans="1:2">
      <c r="A6878" s="3" t="str">
        <f>IFERROR(__xludf.DUMMYFUNCTION("GOOGLETRANSLATE(A6878,""en"",""pt"")"),"Assim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78" s="3">
        <v>1</v>
      </c>
    </row>
    <row r="6879" ht="15.75" customHeight="1" spans="1:2">
      <c r="A6879" s="3" t="str">
        <f>IFERROR(__xludf.DUMMYFUNCTION("GOOGLETRANSLATE(A6879,""en"",""pt"")"),"Eu gostei do primeiro ""Missão Impossível.")</f>
        <v>Eu gostei do primeiro "Missão Impossível.</v>
      </c>
      <c r="B6879" s="3">
        <v>1</v>
      </c>
    </row>
    <row r="6880" ht="15.75" customHeight="1" spans="1:2">
      <c r="A6880" s="3" t="s">
        <v>28</v>
      </c>
      <c r="B6880" s="3">
        <v>1</v>
      </c>
    </row>
    <row r="6881" ht="15.75" customHeight="1" spans="1:2">
      <c r="A6881" s="3" t="str">
        <f>IFERROR(__xludf.DUMMYFUNCTION("GOOGLETRANSLATE(A6881,""en"",""pt"")"),"eu amo Kirsten / leah / escapadas Kate e missão tom impossível bem ...")</f>
        <v>eu amo Kirsten / leah / escapadas Kate e missão tom impossível bem ...</v>
      </c>
      <c r="B6881" s="3">
        <v>1</v>
      </c>
    </row>
    <row r="6882" ht="15.75" customHeight="1" spans="1:2">
      <c r="A6882" s="3" t="str">
        <f>IFERROR(__xludf.DUMMYFUNCTION("GOOGLETRANSLATE(A6882,""en"",""pt"")"),"missão impossível 2 rochas !! ....")</f>
        <v>missão impossível 2 rochas !! ....</v>
      </c>
      <c r="B6882" s="3">
        <v>1</v>
      </c>
    </row>
    <row r="6883" ht="15.75" customHeight="1" spans="1:2">
      <c r="A6883" s="3" t="str">
        <f>IFERROR(__xludf.DUMMYFUNCTION("GOOGLETRANSLATE(A6883,""en"",""pt"")"),"Nós estamos indo como Missão Impossível relógio ou buzina. (")</f>
        <v>Nós estamos indo como Missão Impossível relógio ou buzina. (</v>
      </c>
      <c r="B6883" s="3">
        <v>1</v>
      </c>
    </row>
    <row r="6884" ht="15.75" customHeight="1" spans="1:2">
      <c r="A6884" s="3" t="str">
        <f>IFERROR(__xludf.DUMMYFUNCTION("GOOGLETRANSLATE(A6884,""en"",""pt"")"),"É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84" s="3">
        <v>1</v>
      </c>
    </row>
    <row r="6885" ht="15.75" customHeight="1" spans="1:2">
      <c r="A6885" s="3" t="str">
        <f>IFERROR(__xludf.DUMMYFUNCTION("GOOGLETRANSLATE(A6885,""en"",""pt"")"),"eu amo ser uma sentinela para a missão impossível e uma estação para bonkers.")</f>
        <v>eu amo ser uma sentinela para a missão impossível e uma estação para bonkers.</v>
      </c>
      <c r="B6885" s="3">
        <v>1</v>
      </c>
    </row>
    <row r="6886" ht="15.75" customHeight="1" spans="1:2">
      <c r="A6886" s="3" t="str">
        <f>IFERROR(__xludf.DUMMYFUNCTION("GOOGLETRANSLATE(A6886,""en"",""pt"")"),"I como Missão filmes impossível, porque você nunca sabe quem está do lado direito.")</f>
        <v>I como Missão filmes impossível, porque você nunca sabe quem está do lado direito.</v>
      </c>
      <c r="B6886" s="3">
        <v>1</v>
      </c>
    </row>
    <row r="6887" ht="15.75" customHeight="1" spans="1:2">
      <c r="A6887" s="3" t="str">
        <f>IFERROR(__xludf.DUMMYFUNCTION("GOOGLETRANSLATE(A6887,""en"",""pt"")"),"Missão Impossível 3 foi excelente.")</f>
        <v>Missão Impossível 3 foi excelente.</v>
      </c>
      <c r="B6887" s="3">
        <v>1</v>
      </c>
    </row>
    <row r="6888" ht="15.75" customHeight="1" spans="1:2">
      <c r="A6888" s="3" t="str">
        <f>IFERROR(__xludf.DUMMYFUNCTION("GOOGLETRANSLATE(A6888,""en"",""pt"")"),"Assim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88" s="3">
        <v>1</v>
      </c>
    </row>
    <row r="6889" ht="15.75" customHeight="1" spans="1:2">
      <c r="A6889" s="3" t="str">
        <f>IFERROR(__xludf.DUMMYFUNCTION("GOOGLETRANSLATE(A6889,""en"",""pt"")"),"Eu gostei do primeiro ""Missão Impossível.")</f>
        <v>Eu gostei do primeiro "Missão Impossível.</v>
      </c>
      <c r="B6889" s="3">
        <v>1</v>
      </c>
    </row>
    <row r="6890" ht="15.75" customHeight="1" spans="1:2">
      <c r="A6890" s="3" t="str">
        <f>IFERROR(__xludf.DUMMYFUNCTION("GOOGLETRANSLATE(A6890,""en"",""pt"")"),"The Last Stand e Missão Impossível 3 ambos eram filmes impressionantes.")</f>
        <v>The Last Stand e Missão Impossível 3 ambos eram filmes impressionantes.</v>
      </c>
      <c r="B6890" s="3">
        <v>1</v>
      </c>
    </row>
    <row r="6891" ht="15.75" customHeight="1" spans="1:2">
      <c r="A6891" s="3" t="str">
        <f>IFERROR(__xludf.DUMMYFUNCTION("GOOGLETRANSLATE(A6891,""en"",""pt"")"),"eu amo Kirsten / leah / escapadas Kate e missão tom impossível bem ...")</f>
        <v>eu amo Kirsten / leah / escapadas Kate e missão tom impossível bem ...</v>
      </c>
      <c r="B6891" s="3">
        <v>1</v>
      </c>
    </row>
    <row r="6892" ht="15.75" customHeight="1" spans="1:2">
      <c r="A6892" s="3" t="str">
        <f>IFERROR(__xludf.DUMMYFUNCTION("GOOGLETRANSLATE(A6892,""en"",""pt"")"),"missão impossível 2 rochas !! ....")</f>
        <v>missão impossível 2 rochas !! ....</v>
      </c>
      <c r="B6892" s="3">
        <v>1</v>
      </c>
    </row>
    <row r="6893" ht="15.75" customHeight="1" spans="1:2">
      <c r="A6893" s="3" t="str">
        <f>IFERROR(__xludf.DUMMYFUNCTION("GOOGLETRANSLATE(A6893,""en"",""pt"")"),"Nós estamos indo como Missão Impossível relógio ou buzina. (")</f>
        <v>Nós estamos indo como Missão Impossível relógio ou buzina. (</v>
      </c>
      <c r="B6893" s="3">
        <v>1</v>
      </c>
    </row>
    <row r="6894" ht="15.75" customHeight="1" spans="1:2">
      <c r="A6894" s="3" t="str">
        <f>IFERROR(__xludf.DUMMYFUNCTION("GOOGLETRANSLATE(A6894,""en"",""pt"")"),"É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894" s="3">
        <v>1</v>
      </c>
    </row>
    <row r="6895" ht="15.75" customHeight="1" spans="1:2">
      <c r="A6895" s="3" t="str">
        <f>IFERROR(__xludf.DUMMYFUNCTION("GOOGLETRANSLATE(A6895,""en"",""pt"")"),"eu amo ser uma sentinela para a missão impossível e uma estação para bonkers.")</f>
        <v>eu amo ser uma sentinela para a missão impossível e uma estação para bonkers.</v>
      </c>
      <c r="B6895" s="3">
        <v>1</v>
      </c>
    </row>
    <row r="6896" ht="15.75" customHeight="1" spans="1:2">
      <c r="A6896" s="3" t="str">
        <f>IFERROR(__xludf.DUMMYFUNCTION("GOOGLETRANSLATE(A6896,""en"",""pt"")"),"I como Missão filmes impossível, porque você nunca sabe quem está do lado direito.")</f>
        <v>I como Missão filmes impossível, porque você nunca sabe quem está do lado direito.</v>
      </c>
      <c r="B6896" s="3">
        <v>1</v>
      </c>
    </row>
    <row r="6897" ht="15.75" customHeight="1" spans="1:2">
      <c r="A6897" s="3" t="str">
        <f>IFERROR(__xludf.DUMMYFUNCTION("GOOGLETRANSLATE(A6897,""en"",""pt"")"),"Missão Impossível 3 foi excelente.")</f>
        <v>Missão Impossível 3 foi excelente.</v>
      </c>
      <c r="B6897" s="3">
        <v>1</v>
      </c>
    </row>
    <row r="6898" ht="15.75" customHeight="1" spans="1:2">
      <c r="A6898" s="3" t="str">
        <f>IFERROR(__xludf.DUMMYFUNCTION("GOOGLETRANSLATE(A6898,""en"",""pt"")"),"Assim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898" s="3">
        <v>1</v>
      </c>
    </row>
    <row r="6899" ht="15.75" customHeight="1" spans="1:2">
      <c r="A6899" s="3" t="str">
        <f>IFERROR(__xludf.DUMMYFUNCTION("GOOGLETRANSLATE(A6899,""en"",""pt"")"),"Eu gostei do primeiro ""Missão Impossível.")</f>
        <v>Eu gostei do primeiro "Missão Impossível.</v>
      </c>
      <c r="B6899" s="3">
        <v>1</v>
      </c>
    </row>
    <row r="6900" ht="15.75" customHeight="1" spans="1:2">
      <c r="A6900" s="3" t="str">
        <f>IFERROR(__xludf.DUMMYFUNCTION("GOOGLETRANSLATE(A6900,""en"",""pt"")"),"The Last Stand e Missão Impossível 3 ambos eram filmes impressionantes.")</f>
        <v>The Last Stand e Missão Impossível 3 ambos eram filmes impressionantes.</v>
      </c>
      <c r="B6900" s="3">
        <v>1</v>
      </c>
    </row>
    <row r="6901" ht="15.75" customHeight="1" spans="1:2">
      <c r="A6901" s="3" t="str">
        <f>IFERROR(__xludf.DUMMYFUNCTION("GOOGLETRANSLATE(A6901,""en"",""pt"")"),"eu amo Kirsten / leah / escapadas Kate e missão tom impossível bem ...")</f>
        <v>eu amo Kirsten / leah / escapadas Kate e missão tom impossível bem ...</v>
      </c>
      <c r="B6901" s="3">
        <v>1</v>
      </c>
    </row>
    <row r="6902" ht="15.75" customHeight="1" spans="1:2">
      <c r="A6902" s="3" t="str">
        <f>IFERROR(__xludf.DUMMYFUNCTION("GOOGLETRANSLATE(A6902,""en"",""pt"")"),"missão impossível 2 rochas !! ....")</f>
        <v>missão impossível 2 rochas !! ....</v>
      </c>
      <c r="B6902" s="3">
        <v>1</v>
      </c>
    </row>
    <row r="6903" ht="15.75" customHeight="1" spans="1:2">
      <c r="A6903" s="3" t="str">
        <f>IFERROR(__xludf.DUMMYFUNCTION("GOOGLETRANSLATE(A6903,""en"",""pt"")"),"Nós estamos indo como Missão Impossível relógio ou buzina. (")</f>
        <v>Nós estamos indo como Missão Impossível relógio ou buzina. (</v>
      </c>
      <c r="B6903" s="3">
        <v>1</v>
      </c>
    </row>
    <row r="6904" ht="15.75" customHeight="1" spans="1:2">
      <c r="A6904" s="3" t="str">
        <f>IFERROR(__xludf.DUMMYFUNCTION("GOOGLETRANSLATE(A6904,""en"",""pt"")"),"É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04" s="3">
        <v>1</v>
      </c>
    </row>
    <row r="6905" ht="15.75" customHeight="1" spans="1:2">
      <c r="A6905" s="3" t="str">
        <f>IFERROR(__xludf.DUMMYFUNCTION("GOOGLETRANSLATE(A6905,""en"",""pt"")"),"eu amo ser uma sentinela para a missão impossível e uma estação para bonkers.")</f>
        <v>eu amo ser uma sentinela para a missão impossível e uma estação para bonkers.</v>
      </c>
      <c r="B6905" s="3">
        <v>1</v>
      </c>
    </row>
    <row r="6906" ht="15.75" customHeight="1" spans="1:2">
      <c r="A6906" s="3" t="str">
        <f>IFERROR(__xludf.DUMMYFUNCTION("GOOGLETRANSLATE(A6906,""en"",""pt"")"),"I como Missão filmes impossível, porque você nunca sabe quem está do lado direito.")</f>
        <v>I como Missão filmes impossível, porque você nunca sabe quem está do lado direito.</v>
      </c>
      <c r="B6906" s="3">
        <v>1</v>
      </c>
    </row>
    <row r="6907" ht="15.75" customHeight="1" spans="1:2">
      <c r="A6907" s="3" t="str">
        <f>IFERROR(__xludf.DUMMYFUNCTION("GOOGLETRANSLATE(A6907,""en"",""pt"")"),"Missão Impossível 3 foi excelente.")</f>
        <v>Missão Impossível 3 foi excelente.</v>
      </c>
      <c r="B6907" s="3">
        <v>1</v>
      </c>
    </row>
    <row r="6908" ht="15.75" customHeight="1" spans="1:2">
      <c r="A6908" s="3" t="str">
        <f>IFERROR(__xludf.DUMMYFUNCTION("GOOGLETRANSLATE(A6908,""en"",""pt"")"),"Assim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08" s="3">
        <v>1</v>
      </c>
    </row>
    <row r="6909" ht="15.75" customHeight="1" spans="1:2">
      <c r="A6909" s="3" t="str">
        <f>IFERROR(__xludf.DUMMYFUNCTION("GOOGLETRANSLATE(A6909,""en"",""pt"")"),"Eu gostei do primeiro ""Missão Impossível.")</f>
        <v>Eu gostei do primeiro "Missão Impossível.</v>
      </c>
      <c r="B6909" s="3">
        <v>1</v>
      </c>
    </row>
    <row r="6910" ht="15.75" customHeight="1" spans="1:2">
      <c r="A6910" s="3" t="str">
        <f>IFERROR(__xludf.DUMMYFUNCTION("GOOGLETRANSLATE(A6910,""en"",""pt"")"),"The Last Stand e Missão Impossível 3 ambos eram filmes impressionantes.")</f>
        <v>The Last Stand e Missão Impossível 3 ambos eram filmes impressionantes.</v>
      </c>
      <c r="B6910" s="3">
        <v>1</v>
      </c>
    </row>
    <row r="6911" ht="15.75" customHeight="1" spans="1:2">
      <c r="A6911" s="3" t="str">
        <f>IFERROR(__xludf.DUMMYFUNCTION("GOOGLETRANSLATE(A6911,""en"",""pt"")"),"eu amo Kirsten / leah / escapadas Kate e missão tom impossível bem ...")</f>
        <v>eu amo Kirsten / leah / escapadas Kate e missão tom impossível bem ...</v>
      </c>
      <c r="B6911" s="3">
        <v>1</v>
      </c>
    </row>
    <row r="6912" ht="15.75" customHeight="1" spans="1:2">
      <c r="A6912" s="3" t="str">
        <f>IFERROR(__xludf.DUMMYFUNCTION("GOOGLETRANSLATE(A6912,""en"",""pt"")"),"missão impossível 2 rochas !! ....")</f>
        <v>missão impossível 2 rochas !! ....</v>
      </c>
      <c r="B6912" s="3">
        <v>1</v>
      </c>
    </row>
    <row r="6913" ht="15.75" customHeight="1" spans="1:2">
      <c r="A6913" s="3" t="str">
        <f>IFERROR(__xludf.DUMMYFUNCTION("GOOGLETRANSLATE(A6913,""en"",""pt"")"),"Nós estamos indo como Missão Impossível relógio ou buzina. (")</f>
        <v>Nós estamos indo como Missão Impossível relógio ou buzina. (</v>
      </c>
      <c r="B6913" s="3">
        <v>1</v>
      </c>
    </row>
    <row r="6914" ht="15.75" customHeight="1" spans="1:2">
      <c r="A6914" s="3" t="str">
        <f>IFERROR(__xludf.DUMMYFUNCTION("GOOGLETRANSLATE(A6914,""en"",""pt"")"),"É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14" s="3">
        <v>1</v>
      </c>
    </row>
    <row r="6915" ht="15.75" customHeight="1" spans="1:2">
      <c r="A6915" s="3" t="str">
        <f>IFERROR(__xludf.DUMMYFUNCTION("GOOGLETRANSLATE(A6915,""en"",""pt"")"),"eu amo ser uma sentinela para a missão impossível e uma estação para bonkers.")</f>
        <v>eu amo ser uma sentinela para a missão impossível e uma estação para bonkers.</v>
      </c>
      <c r="B6915" s="3">
        <v>1</v>
      </c>
    </row>
    <row r="6916" ht="15.75" customHeight="1" spans="1:2">
      <c r="A6916" s="3" t="str">
        <f>IFERROR(__xludf.DUMMYFUNCTION("GOOGLETRANSLATE(A6916,""en"",""pt"")"),"I como Missão filmes impossível, porque você nunca sabe quem está do lado direito.")</f>
        <v>I como Missão filmes impossível, porque você nunca sabe quem está do lado direito.</v>
      </c>
      <c r="B6916" s="3">
        <v>1</v>
      </c>
    </row>
    <row r="6917" ht="15.75" customHeight="1" spans="1:2">
      <c r="A6917" s="3" t="str">
        <f>IFERROR(__xludf.DUMMYFUNCTION("GOOGLETRANSLATE(A6917,""en"",""pt"")"),"Missão Impossível 3 foi excelente.")</f>
        <v>Missão Impossível 3 foi excelente.</v>
      </c>
      <c r="B6917" s="3">
        <v>1</v>
      </c>
    </row>
    <row r="6918" ht="15.75" customHeight="1" spans="1:2">
      <c r="A6918" s="3" t="str">
        <f>IFERROR(__xludf.DUMMYFUNCTION("GOOGLETRANSLATE(A6918,""en"",""pt"")"),"Assim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18" s="3">
        <v>1</v>
      </c>
    </row>
    <row r="6919" ht="15.75" customHeight="1" spans="1:2">
      <c r="A6919" s="3" t="str">
        <f>IFERROR(__xludf.DUMMYFUNCTION("GOOGLETRANSLATE(A6919,""en"",""pt"")"),"Eu gostei do primeiro ""Missão Impossível.")</f>
        <v>Eu gostei do primeiro "Missão Impossível.</v>
      </c>
      <c r="B6919" s="3">
        <v>1</v>
      </c>
    </row>
    <row r="6920" ht="15.75" customHeight="1" spans="1:2">
      <c r="A6920" s="3" t="str">
        <f>IFERROR(__xludf.DUMMYFUNCTION("GOOGLETRANSLATE(A6920,""en"",""pt"")"),"The Last Stand e Missão Impossível 3 ambos eram filmes impressionantes.")</f>
        <v>The Last Stand e Missão Impossível 3 ambos eram filmes impressionantes.</v>
      </c>
      <c r="B6920" s="3">
        <v>1</v>
      </c>
    </row>
    <row r="6921" ht="15.75" customHeight="1" spans="1:2">
      <c r="A6921" s="3" t="str">
        <f>IFERROR(__xludf.DUMMYFUNCTION("GOOGLETRANSLATE(A6921,""en"",""pt"")"),"eu amo Kirsten / leah / escapadas Kate e missão tom impossível bem ...")</f>
        <v>eu amo Kirsten / leah / escapadas Kate e missão tom impossível bem ...</v>
      </c>
      <c r="B6921" s="3">
        <v>1</v>
      </c>
    </row>
    <row r="6922" ht="15.75" customHeight="1" spans="1:2">
      <c r="A6922" s="3" t="str">
        <f>IFERROR(__xludf.DUMMYFUNCTION("GOOGLETRANSLATE(A6922,""en"",""pt"")"),"missão impossível 2 rochas !! ....")</f>
        <v>missão impossível 2 rochas !! ....</v>
      </c>
      <c r="B6922" s="3">
        <v>1</v>
      </c>
    </row>
    <row r="6923" ht="15.75" customHeight="1" spans="1:2">
      <c r="A6923" s="3" t="str">
        <f>IFERROR(__xludf.DUMMYFUNCTION("GOOGLETRANSLATE(A6923,""en"",""pt"")"),"Nós estamos indo como Missão Impossível relógio ou buzina. (")</f>
        <v>Nós estamos indo como Missão Impossível relógio ou buzina. (</v>
      </c>
      <c r="B6923" s="3">
        <v>1</v>
      </c>
    </row>
    <row r="6924" ht="15.75" customHeight="1" spans="1:2">
      <c r="A6924" s="3" t="str">
        <f>IFERROR(__xludf.DUMMYFUNCTION("GOOGLETRANSLATE(A6924,""en"",""pt"")"),"É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24" s="3">
        <v>1</v>
      </c>
    </row>
    <row r="6925" ht="15.75" customHeight="1" spans="1:2">
      <c r="A6925" s="3" t="str">
        <f>IFERROR(__xludf.DUMMYFUNCTION("GOOGLETRANSLATE(A6925,""en"",""pt"")"),"eu amo ser uma sentinela para a missão impossível e uma estação para bonkers.")</f>
        <v>eu amo ser uma sentinela para a missão impossível e uma estação para bonkers.</v>
      </c>
      <c r="B6925" s="3">
        <v>1</v>
      </c>
    </row>
    <row r="6926" ht="15.75" customHeight="1" spans="1:2">
      <c r="A6926" s="3" t="str">
        <f>IFERROR(__xludf.DUMMYFUNCTION("GOOGLETRANSLATE(A6926,""en"",""pt"")"),"I como Missão filmes impossível, porque você nunca sabe quem está do lado direito.")</f>
        <v>I como Missão filmes impossível, porque você nunca sabe quem está do lado direito.</v>
      </c>
      <c r="B6926" s="3">
        <v>1</v>
      </c>
    </row>
    <row r="6927" ht="15.75" customHeight="1" spans="1:2">
      <c r="A6927" s="3" t="str">
        <f>IFERROR(__xludf.DUMMYFUNCTION("GOOGLETRANSLATE(A6927,""en"",""pt"")"),"Missão Impossível 3 foi excelente.")</f>
        <v>Missão Impossível 3 foi excelente.</v>
      </c>
      <c r="B6927" s="3">
        <v>1</v>
      </c>
    </row>
    <row r="6928" ht="15.75" customHeight="1" spans="1:2">
      <c r="A6928" s="3" t="str">
        <f>IFERROR(__xludf.DUMMYFUNCTION("GOOGLETRANSLATE(A6928,""en"",""pt"")"),"Assim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28" s="3">
        <v>1</v>
      </c>
    </row>
    <row r="6929" ht="15.75" customHeight="1" spans="1:2">
      <c r="A6929" s="3" t="str">
        <f>IFERROR(__xludf.DUMMYFUNCTION("GOOGLETRANSLATE(A6929,""en"",""pt"")"),"Eu gostei do primeiro ""Missão Impossível.")</f>
        <v>Eu gostei do primeiro "Missão Impossível.</v>
      </c>
      <c r="B6929" s="3">
        <v>1</v>
      </c>
    </row>
    <row r="6930" ht="15.75" customHeight="1" spans="1:2">
      <c r="A6930" s="3" t="str">
        <f>IFERROR(__xludf.DUMMYFUNCTION("GOOGLETRANSLATE(A6930,""en"",""pt"")"),"The Last Stand e Missão Impossível 3 ambos eram filmes impressionantes.")</f>
        <v>The Last Stand e Missão Impossível 3 ambos eram filmes impressionantes.</v>
      </c>
      <c r="B6930" s="3">
        <v>1</v>
      </c>
    </row>
    <row r="6931" ht="15.75" customHeight="1" spans="1:2">
      <c r="A6931" s="3" t="str">
        <f>IFERROR(__xludf.DUMMYFUNCTION("GOOGLETRANSLATE(A6931,""en"",""pt"")"),"eu amo Kirsten / leah / escapadas Kate e missão tom impossível bem ...")</f>
        <v>eu amo Kirsten / leah / escapadas Kate e missão tom impossível bem ...</v>
      </c>
      <c r="B6931" s="3">
        <v>1</v>
      </c>
    </row>
    <row r="6932" ht="15.75" customHeight="1" spans="1:2">
      <c r="A6932" s="3" t="str">
        <f>IFERROR(__xludf.DUMMYFUNCTION("GOOGLETRANSLATE(A6932,""en"",""pt"")"),"missão impossível 2 rochas !! ....")</f>
        <v>missão impossível 2 rochas !! ....</v>
      </c>
      <c r="B6932" s="3">
        <v>1</v>
      </c>
    </row>
    <row r="6933" ht="15.75" customHeight="1" spans="1:2">
      <c r="A6933" s="3" t="str">
        <f>IFERROR(__xludf.DUMMYFUNCTION("GOOGLETRANSLATE(A6933,""en"",""pt"")"),"Nós estamos indo como Missão Impossível relógio ou buzina. (")</f>
        <v>Nós estamos indo como Missão Impossível relógio ou buzina. (</v>
      </c>
      <c r="B6933" s="3">
        <v>1</v>
      </c>
    </row>
    <row r="6934" ht="15.75" customHeight="1" spans="1:2">
      <c r="A6934" s="3" t="str">
        <f>IFERROR(__xludf.DUMMYFUNCTION("GOOGLETRANSLATE(A6934,""en"",""pt"")"),"É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34" s="3">
        <v>1</v>
      </c>
    </row>
    <row r="6935" ht="15.75" customHeight="1" spans="1:2">
      <c r="A6935" s="3" t="str">
        <f>IFERROR(__xludf.DUMMYFUNCTION("GOOGLETRANSLATE(A6935,""en"",""pt"")"),"eu amo ser uma sentinela para a missão impossível e uma estação para bonkers.")</f>
        <v>eu amo ser uma sentinela para a missão impossível e uma estação para bonkers.</v>
      </c>
      <c r="B6935" s="3">
        <v>1</v>
      </c>
    </row>
    <row r="6936" ht="15.75" customHeight="1" spans="1:2">
      <c r="A6936" s="3" t="str">
        <f>IFERROR(__xludf.DUMMYFUNCTION("GOOGLETRANSLATE(A6936,""en"",""pt"")"),"I como Missão filmes impossível, porque você nunca sabe quem está do lado direito.")</f>
        <v>I como Missão filmes impossível, porque você nunca sabe quem está do lado direito.</v>
      </c>
      <c r="B6936" s="3">
        <v>1</v>
      </c>
    </row>
    <row r="6937" ht="15.75" customHeight="1" spans="1:2">
      <c r="A6937" s="3" t="str">
        <f>IFERROR(__xludf.DUMMYFUNCTION("GOOGLETRANSLATE(A6937,""en"",""pt"")"),"Missão Impossível 3 foi excelente.")</f>
        <v>Missão Impossível 3 foi excelente.</v>
      </c>
      <c r="B6937" s="3">
        <v>1</v>
      </c>
    </row>
    <row r="6938" ht="15.75" customHeight="1" spans="1:2">
      <c r="A6938" s="3" t="str">
        <f>IFERROR(__xludf.DUMMYFUNCTION("GOOGLETRANSLATE(A6938,""en"",""pt"")"),"Assim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38" s="3">
        <v>1</v>
      </c>
    </row>
    <row r="6939" ht="15.75" customHeight="1" spans="1:2">
      <c r="A6939" s="3" t="str">
        <f>IFERROR(__xludf.DUMMYFUNCTION("GOOGLETRANSLATE(A6939,""en"",""pt"")"),"Eu gostei do primeiro ""Missão Impossível.")</f>
        <v>Eu gostei do primeiro "Missão Impossível.</v>
      </c>
      <c r="B6939" s="3">
        <v>1</v>
      </c>
    </row>
    <row r="6940" ht="15.75" customHeight="1" spans="1:2">
      <c r="A6940" s="3" t="str">
        <f>IFERROR(__xludf.DUMMYFUNCTION("GOOGLETRANSLATE(A6940,""en"",""pt"")"),"The Last Stand e Missão Impossível 3 ambos eram filmes impressionantes.")</f>
        <v>The Last Stand e Missão Impossível 3 ambos eram filmes impressionantes.</v>
      </c>
      <c r="B6940" s="3">
        <v>1</v>
      </c>
    </row>
    <row r="6941" ht="15.75" customHeight="1" spans="1:2">
      <c r="A6941" s="3" t="str">
        <f>IFERROR(__xludf.DUMMYFUNCTION("GOOGLETRANSLATE(A6941,""en"",""pt"")"),"eu amo Kirsten / leah / escapadas Kate e missão tom impossível bem ...")</f>
        <v>eu amo Kirsten / leah / escapadas Kate e missão tom impossível bem ...</v>
      </c>
      <c r="B6941" s="3">
        <v>1</v>
      </c>
    </row>
    <row r="6942" ht="15.75" customHeight="1" spans="1:2">
      <c r="A6942" s="3" t="str">
        <f>IFERROR(__xludf.DUMMYFUNCTION("GOOGLETRANSLATE(A6942,""en"",""pt"")"),"missão impossível 2 rochas !! ....")</f>
        <v>missão impossível 2 rochas !! ....</v>
      </c>
      <c r="B6942" s="3">
        <v>1</v>
      </c>
    </row>
    <row r="6943" ht="15.75" customHeight="1" spans="1:2">
      <c r="A6943" s="3" t="str">
        <f>IFERROR(__xludf.DUMMYFUNCTION("GOOGLETRANSLATE(A6943,""en"",""pt"")"),"Nós estamos indo como Missão Impossível relógio ou buzina. (")</f>
        <v>Nós estamos indo como Missão Impossível relógio ou buzina. (</v>
      </c>
      <c r="B6943" s="3">
        <v>1</v>
      </c>
    </row>
    <row r="6944" ht="15.75" customHeight="1" spans="1:2">
      <c r="A6944" s="3" t="str">
        <f>IFERROR(__xludf.DUMMYFUNCTION("GOOGLETRANSLATE(A6944,""en"",""pt"")"),"É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44" s="3">
        <v>1</v>
      </c>
    </row>
    <row r="6945" ht="15.75" customHeight="1" spans="1:2">
      <c r="A6945" s="3" t="str">
        <f>IFERROR(__xludf.DUMMYFUNCTION("GOOGLETRANSLATE(A6945,""en"",""pt"")"),"eu amo ser uma sentinela para a missão impossível e uma estação para bonkers.")</f>
        <v>eu amo ser uma sentinela para a missão impossível e uma estação para bonkers.</v>
      </c>
      <c r="B6945" s="3">
        <v>1</v>
      </c>
    </row>
    <row r="6946" ht="15.75" customHeight="1" spans="1:2">
      <c r="A6946" s="3" t="str">
        <f>IFERROR(__xludf.DUMMYFUNCTION("GOOGLETRANSLATE(A6946,""en"",""pt"")"),"I como Missão filmes impossível, porque você nunca sabe quem está do lado direito.")</f>
        <v>I como Missão filmes impossível, porque você nunca sabe quem está do lado direito.</v>
      </c>
      <c r="B6946" s="3">
        <v>1</v>
      </c>
    </row>
    <row r="6947" ht="15.75" customHeight="1" spans="1:2">
      <c r="A6947" s="3" t="str">
        <f>IFERROR(__xludf.DUMMYFUNCTION("GOOGLETRANSLATE(A6947,""en"",""pt"")"),"Missão Impossível 3 foi excelente.")</f>
        <v>Missão Impossível 3 foi excelente.</v>
      </c>
      <c r="B6947" s="3">
        <v>1</v>
      </c>
    </row>
    <row r="6948" ht="15.75" customHeight="1" spans="1:2">
      <c r="A6948" s="3" t="str">
        <f>IFERROR(__xludf.DUMMYFUNCTION("GOOGLETRANSLATE(A6948,""en"",""pt"")"),"Assim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48" s="3">
        <v>1</v>
      </c>
    </row>
    <row r="6949" ht="15.75" customHeight="1" spans="1:2">
      <c r="A6949" s="3" t="str">
        <f>IFERROR(__xludf.DUMMYFUNCTION("GOOGLETRANSLATE(A6949,""en"",""pt"")"),"Eu gostei do primeiro ""Missão Impossível.")</f>
        <v>Eu gostei do primeiro "Missão Impossível.</v>
      </c>
      <c r="B6949" s="3">
        <v>1</v>
      </c>
    </row>
    <row r="6950" ht="15.75" customHeight="1" spans="1:2">
      <c r="A6950" s="3" t="str">
        <f>IFERROR(__xludf.DUMMYFUNCTION("GOOGLETRANSLATE(A6950,""en"",""pt"")"),"The Last Stand e Missão Impossível 3 ambos eram filmes impressionantes.")</f>
        <v>The Last Stand e Missão Impossível 3 ambos eram filmes impressionantes.</v>
      </c>
      <c r="B6950" s="3">
        <v>1</v>
      </c>
    </row>
    <row r="6951" ht="15.75" customHeight="1" spans="1:2">
      <c r="A6951" s="3" t="str">
        <f>IFERROR(__xludf.DUMMYFUNCTION("GOOGLETRANSLATE(A6951,""en"",""pt"")"),"eu amo Kirsten / leah / escapadas Kate e missão tom impossível bem ...")</f>
        <v>eu amo Kirsten / leah / escapadas Kate e missão tom impossível bem ...</v>
      </c>
      <c r="B6951" s="3">
        <v>1</v>
      </c>
    </row>
    <row r="6952" ht="15.75" customHeight="1" spans="1:2">
      <c r="A6952" s="3" t="str">
        <f>IFERROR(__xludf.DUMMYFUNCTION("GOOGLETRANSLATE(A6952,""en"",""pt"")"),"missão impossível 2 rochas !! ....")</f>
        <v>missão impossível 2 rochas !! ....</v>
      </c>
      <c r="B6952" s="3">
        <v>1</v>
      </c>
    </row>
    <row r="6953" ht="15.75" customHeight="1" spans="1:2">
      <c r="A6953" s="3" t="str">
        <f>IFERROR(__xludf.DUMMYFUNCTION("GOOGLETRANSLATE(A6953,""en"",""pt"")"),"Nós estamos indo como Missão Impossível relógio ou buzina. (")</f>
        <v>Nós estamos indo como Missão Impossível relógio ou buzina. (</v>
      </c>
      <c r="B6953" s="3">
        <v>1</v>
      </c>
    </row>
    <row r="6954" ht="15.75" customHeight="1" spans="1:2">
      <c r="A6954" s="3" t="str">
        <f>IFERROR(__xludf.DUMMYFUNCTION("GOOGLETRANSLATE(A6954,""en"",""pt"")"),"É por isso que eu disse Silent Hill se transformou em realidade coz i foi hella como indo missão para baixo impossível que a cadela.")</f>
        <v>É por isso que eu disse Silent Hill se transformou em realidade coz i foi hella como indo missão para baixo impossível que a cadela.</v>
      </c>
      <c r="B6954" s="3">
        <v>1</v>
      </c>
    </row>
    <row r="6955" ht="15.75" customHeight="1" spans="1:2">
      <c r="A6955" s="3" t="str">
        <f>IFERROR(__xludf.DUMMYFUNCTION("GOOGLETRANSLATE(A6955,""en"",""pt"")"),"eu amo ser uma sentinela para a missão impossível e uma estação para bonkers.")</f>
        <v>eu amo ser uma sentinela para a missão impossível e uma estação para bonkers.</v>
      </c>
      <c r="B6955" s="3">
        <v>1</v>
      </c>
    </row>
    <row r="6956" ht="15.75" customHeight="1" spans="1:2">
      <c r="A6956" s="3" t="str">
        <f>IFERROR(__xludf.DUMMYFUNCTION("GOOGLETRANSLATE(A6956,""en"",""pt"")"),"I como Missão filmes impossível, porque você nunca sabe quem está do lado direito.")</f>
        <v>I como Missão filmes impossível, porque você nunca sabe quem está do lado direito.</v>
      </c>
      <c r="B6956" s="3">
        <v>1</v>
      </c>
    </row>
    <row r="6957" ht="15.75" customHeight="1" spans="1:2">
      <c r="A6957" s="3" t="str">
        <f>IFERROR(__xludf.DUMMYFUNCTION("GOOGLETRANSLATE(A6957,""en"",""pt"")"),"Missão Impossível 3 foi excelente.")</f>
        <v>Missão Impossível 3 foi excelente.</v>
      </c>
      <c r="B6957" s="3">
        <v>1</v>
      </c>
    </row>
    <row r="6958" ht="15.75" customHeight="1" spans="1:2">
      <c r="A6958" s="3" t="str">
        <f>IFERROR(__xludf.DUMMYFUNCTION("GOOGLETRANSLATE(A6958,""en"",""pt"")"),"Assim como a mãe de Felicia está limpando a mesa, felicia pega as chaves e nós correr para fora como enlouquecendo missão impossível.")</f>
        <v>Assim como a mãe de Felicia está limpando a mesa, felicia pega as chaves e nós correr para fora como enlouquecendo missão impossível.</v>
      </c>
      <c r="B6958" s="3">
        <v>1</v>
      </c>
    </row>
    <row r="6959" ht="15.75" customHeight="1" spans="1:2">
      <c r="A6959" s="3" t="str">
        <f>IFERROR(__xludf.DUMMYFUNCTION("GOOGLETRANSLATE(A6959,""en"",""pt"")"),"Eu gostei do primeiro ""Missão Impossível.")</f>
        <v>Eu gostei do primeiro "Missão Impossível.</v>
      </c>
      <c r="B6959" s="3">
        <v>1</v>
      </c>
    </row>
    <row r="6960" ht="15.75" customHeight="1" spans="1:2">
      <c r="A6960" s="3" t="str">
        <f>IFERROR(__xludf.DUMMYFUNCTION("GOOGLETRANSLATE(A6960,""en"",""pt"")"),"The Last Stand e Missão Impossível 3 ambos eram filmes impressionantes.")</f>
        <v>The Last Stand e Missão Impossível 3 ambos eram filmes impressionantes.</v>
      </c>
      <c r="B6960" s="3">
        <v>1</v>
      </c>
    </row>
    <row r="6961" ht="15.75" customHeight="1" spans="1:2">
      <c r="A6961" s="3" t="str">
        <f>IFERROR(__xludf.DUMMYFUNCTION("GOOGLETRANSLATE(A6961,""en"",""pt"")"),"eu amo Kirsten / leah / escapadas Kate e missão tom impossível bem ...")</f>
        <v>eu amo Kirsten / leah / escapadas Kate e missão tom impossível bem ...</v>
      </c>
      <c r="B6961" s="3">
        <v>1</v>
      </c>
    </row>
    <row r="6962" ht="15.75" customHeight="1" spans="1:2">
      <c r="A6962" s="3" t="str">
        <f>IFERROR(__xludf.DUMMYFUNCTION("GOOGLETRANSLATE(A6962,""en"",""pt"")"),"missão impossível 2 rochas !! ....")</f>
        <v>missão impossível 2 rochas !! ....</v>
      </c>
      <c r="B6962" s="3">
        <v>1</v>
      </c>
    </row>
    <row r="6963" ht="15.75" customHeight="1" spans="1:2">
      <c r="A6963" s="3" t="str">
        <f>IFERROR(__xludf.DUMMYFUNCTION("GOOGLETRANSLATE(A6963,""en"",""pt"")"),"Eu amo a política e Harry Potter ...")</f>
        <v>Eu amo a política e Harry Potter ...</v>
      </c>
      <c r="B6963" s="3">
        <v>1</v>
      </c>
    </row>
    <row r="6964" ht="15.75" customHeight="1" spans="1:2">
      <c r="A6964" s="3" t="str">
        <f>IFERROR(__xludf.DUMMYFUNCTION("GOOGLETRANSLATE(A6964,""en"",""pt"")"),"Por exemplo, eu amo os livros de Harry Potter como um leitor.")</f>
        <v>Por exemplo, eu amo os livros de Harry Potter como um leitor.</v>
      </c>
      <c r="B6964" s="3">
        <v>1</v>
      </c>
    </row>
    <row r="6965" ht="15.75" customHeight="1" spans="1:2">
      <c r="A6965" s="3" t="str">
        <f>IFERROR(__xludf.DUMMYFUNCTION("GOOGLETRANSLATE(A6965,""en"",""pt"")"),"Eu realmente amo Harry Potter e eu quero ter uma casa a ser animado sobre e sentir-se orgulhoso.")</f>
        <v>Eu realmente amo Harry Potter e eu quero ter uma casa a ser animado sobre e sentir-se orgulhoso.</v>
      </c>
      <c r="B6965" s="3">
        <v>1</v>
      </c>
    </row>
    <row r="6966" ht="15.75" customHeight="1" spans="1:2">
      <c r="A6966" s="3" t="str">
        <f>IFERROR(__xludf.DUMMYFUNCTION("GOOGLETRANSLATE(A6966,""en"",""pt"")"),"Harry Potter e o Cálice de Fogo foi incrível! ..")</f>
        <v>Harry Potter e o Cálice de Fogo foi incrível! ..</v>
      </c>
      <c r="B6966" s="3">
        <v>1</v>
      </c>
    </row>
    <row r="6967" ht="15.75" customHeight="1" spans="1:2">
      <c r="A6967" s="3" t="str">
        <f>IFERROR(__xludf.DUMMYFUNCTION("GOOGLETRANSLATE(A6967,""en"",""pt"")"),"Eu gostei das linhas de Harry Potter, mas Ron é meu personagem favorito ...")</f>
        <v>Eu gostei das linhas de Harry Potter, mas Ron é meu personagem favorito ...</v>
      </c>
      <c r="B6967" s="3">
        <v>1</v>
      </c>
    </row>
    <row r="6968" ht="15.75" customHeight="1" spans="1:2">
      <c r="A6968" s="3" t="str">
        <f>IFERROR(__xludf.DUMMYFUNCTION("GOOGLETRANSLATE(A6968,""en"",""pt"")"),"Eu sei que todos vocês estão pensando agora sobre quem eu amo mais ï¿½ Harry Potter ou Eragon Matador ï¿½ a verdade é e sempre será Harry Potter.")</f>
        <v>Eu sei que todos vocês estão pensando agora sobre quem eu amo mais ï¿½ Harry Potter ou Eragon Matador ï¿½ a verdade é e sempre será Harry Potter.</v>
      </c>
      <c r="B6968" s="3">
        <v>1</v>
      </c>
    </row>
    <row r="6969" ht="15.75" customHeight="1" spans="1:2">
      <c r="A6969" s="3" t="str">
        <f>IFERROR(__xludf.DUMMYFUNCTION("GOOGLETRANSLATE(A6969,""en"",""pt"")"),"Eu gosto de Harry Potter.")</f>
        <v>Eu gosto de Harry Potter.</v>
      </c>
      <c r="B6969" s="3">
        <v>1</v>
      </c>
    </row>
    <row r="6970" ht="15.75" customHeight="1" spans="1:2">
      <c r="A6970" s="3" t="str">
        <f>IFERROR(__xludf.DUMMYFUNCTION("GOOGLETRANSLATE(A6970,""en"",""pt"")"),"Eu estava pensando em re-leitura do 6º livro de Harry Potter (Half-Blood Prince), que é um livro incrível e eu não posso esperar para ler o final quando ele sai.")</f>
        <v>Eu estava pensando em re-leitura do 6º livro de Harry Potter (Half-Blood Prince), que é um livro incrível e eu não posso esperar para ler o final quando ele sai.</v>
      </c>
      <c r="B6970" s="3">
        <v>1</v>
      </c>
    </row>
    <row r="6971" ht="15.75" customHeight="1" spans="1:2">
      <c r="A6971" s="3" t="str">
        <f>IFERROR(__xludf.DUMMYFUNCTION("GOOGLETRANSLATE(A6971,""en"",""pt"")"),"Eu estava pensando em re-leitura do 6º livro de Harry Potter (Half-Blood Prince), que é um livro incrível e eu não posso esperar para ler o final quando ele sai.")</f>
        <v>Eu estava pensando em re-leitura do 6º livro de Harry Potter (Half-Blood Prince), que é um livro incrível e eu não posso esperar para ler o final quando ele sai.</v>
      </c>
      <c r="B6971" s="3">
        <v>1</v>
      </c>
    </row>
    <row r="6972" ht="15.75" customHeight="1" spans="1:2">
      <c r="A6972" s="3" t="str">
        <f>IFERROR(__xludf.DUMMYFUNCTION("GOOGLETRANSLATE(A6972,""en"",""pt"")"),"Eu amo Harry Potter.")</f>
        <v>Eu amo Harry Potter.</v>
      </c>
      <c r="B6972" s="3">
        <v>1</v>
      </c>
    </row>
    <row r="6973" ht="15.75" customHeight="1" spans="1:2">
      <c r="A6973" s="3" t="str">
        <f>IFERROR(__xludf.DUMMYFUNCTION("GOOGLETRANSLATE(A6973,""en"",""pt"")"),"Eu amo os sapatos e a imagem Harry Potter.")</f>
        <v>Eu amo os sapatos e a imagem Harry Potter.</v>
      </c>
      <c r="B6973" s="3">
        <v>1</v>
      </c>
    </row>
    <row r="6974" ht="15.75" customHeight="1" spans="1:2">
      <c r="A6974" s="3" t="str">
        <f>IFERROR(__xludf.DUMMYFUNCTION("GOOGLETRANSLATE(A6974,""en"",""pt"")"),"Eu amo que Harry Potter.")</f>
        <v>Eu amo que Harry Potter.</v>
      </c>
      <c r="B6974" s="3">
        <v>1</v>
      </c>
    </row>
    <row r="6975" ht="15.75" customHeight="1" spans="1:2">
      <c r="A6975" s="3" t="str">
        <f>IFERROR(__xludf.DUMMYFUNCTION("GOOGLETRANSLATE(A6975,""en"",""pt"")"),"Harry Potter e a Pedra Filosofal, J. K. Rowling (Estranhamente, eu sou um fã de HP fanfic, mas não do livro.).")</f>
        <v>Harry Potter e a Pedra Filosofal, J. K. Rowling (Estranhamente, eu sou um fã de HP fanfic, mas não do livro.).</v>
      </c>
      <c r="B6975" s="3">
        <v>1</v>
      </c>
    </row>
    <row r="6976" ht="15.75" customHeight="1" spans="1:2">
      <c r="A6976" s="3" t="str">
        <f>IFERROR(__xludf.DUMMYFUNCTION("GOOGLETRANSLATE(A6976,""en"",""pt"")"),"Eu gostaria de poder escrever um artigo intitulado ""Por que Harry Potter é impressionante.")</f>
        <v>Eu gostaria de poder escrever um artigo intitulado "Por que Harry Potter é impressionante.</v>
      </c>
      <c r="B6976" s="3">
        <v>1</v>
      </c>
    </row>
    <row r="6977" ht="15.75" customHeight="1" spans="1:2">
      <c r="A6977" s="3" t="str">
        <f>IFERROR(__xludf.DUMMYFUNCTION("GOOGLETRANSLATE(A6977,""en"",""pt"")"),"Eu amo Harry Potter ...")</f>
        <v>Eu amo Harry Potter ...</v>
      </c>
      <c r="B6977" s="3">
        <v>1</v>
      </c>
    </row>
    <row r="6978" ht="15.75" customHeight="1" spans="1:2">
      <c r="A6978" s="3" t="str">
        <f>IFERROR(__xludf.DUMMYFUNCTION("GOOGLETRANSLATE(A6978,""en"",""pt"")"),"Eu amo Harry Potter, Crepúsculo, série de eventos infelizes, e toneladas mais!")</f>
        <v>Eu amo Harry Potter, Crepúsculo, série de eventos infelizes, e toneladas mais!</v>
      </c>
      <c r="B6978" s="3">
        <v>1</v>
      </c>
    </row>
    <row r="6979" ht="15.75" customHeight="1" spans="1:2">
      <c r="A6979" s="3" t="str">
        <f>IFERROR(__xludf.DUMMYFUNCTION("GOOGLETRANSLATE(A6979,""en"",""pt"")"),"i odeio clickfive tanto quanto eu amo Harry Potter.")</f>
        <v>i odeio clickfive tanto quanto eu amo Harry Potter.</v>
      </c>
      <c r="B6979" s="3">
        <v>1</v>
      </c>
    </row>
    <row r="6980" ht="15.75" customHeight="1" spans="1:2">
      <c r="A6980" s="3" t="str">
        <f>IFERROR(__xludf.DUMMYFUNCTION("GOOGLETRANSLATE(A6980,""en"",""pt"")"),"Harry Potter é impressionante!")</f>
        <v>Harry Potter é impressionante!</v>
      </c>
      <c r="B6980" s="3">
        <v>1</v>
      </c>
    </row>
    <row r="6981" ht="15.75" customHeight="1" spans="1:2">
      <c r="A6981" s="3" t="str">
        <f>IFERROR(__xludf.DUMMYFUNCTION("GOOGLETRANSLATE(A6981,""en"",""pt"")"),"lol Eu amo Harry Potter como uma gordura bolo amores miúdo.")</f>
        <v>lol Eu amo Harry Potter como uma gordura bolo amores miúdo.</v>
      </c>
      <c r="B6981" s="3">
        <v>1</v>
      </c>
    </row>
    <row r="6982" ht="15.75" customHeight="1" spans="1:2">
      <c r="A6982" s="3" t="str">
        <f>IFERROR(__xludf.DUMMYFUNCTION("GOOGLETRANSLATE(A6982,""en"",""pt"")"),"Eu adoro a série Harry Potter.")</f>
        <v>Eu adoro a série Harry Potter.</v>
      </c>
      <c r="B6982" s="3">
        <v>1</v>
      </c>
    </row>
    <row r="6983" ht="15.75" customHeight="1" spans="1:2">
      <c r="A6983" s="3" t="str">
        <f>IFERROR(__xludf.DUMMYFUNCTION("GOOGLETRANSLATE(A6983,""en"",""pt"")"),"Eu absolutamente amo Harry Potter, como você já pode contar.")</f>
        <v>Eu absolutamente amo Harry Potter, como você já pode contar.</v>
      </c>
      <c r="B6983" s="3">
        <v>1</v>
      </c>
    </row>
    <row r="6984" ht="15.75" customHeight="1" spans="1:2">
      <c r="A6984" s="3" t="str">
        <f>IFERROR(__xludf.DUMMYFUNCTION("GOOGLETRANSLATE(A6984,""en"",""pt"")"),"Eu absolutamente amo Harry Potter, como você já pode contar.")</f>
        <v>Eu absolutamente amo Harry Potter, como você já pode contar.</v>
      </c>
      <c r="B6984" s="3">
        <v>1</v>
      </c>
    </row>
    <row r="6985" ht="15.75" customHeight="1" spans="1:2">
      <c r="A6985" s="3" t="str">
        <f>IFERROR(__xludf.DUMMYFUNCTION("GOOGLETRANSLATE(A6985,""en"",""pt"")"),"Eu absolutamente amo Harry Potter, como você já pode contar.")</f>
        <v>Eu absolutamente amo Harry Potter, como você já pode contar.</v>
      </c>
      <c r="B6985" s="3">
        <v>1</v>
      </c>
    </row>
    <row r="6986" ht="15.75" customHeight="1" spans="1:2">
      <c r="A6986" s="3" t="str">
        <f>IFERROR(__xludf.DUMMYFUNCTION("GOOGLETRANSLATE(A6986,""en"",""pt"")"),"textos-fantasia infantil, talvez a maioria, obviamente, é muitas vezes criticado por simplificar a luta do bem, mal vs. (Harry Potter pode ser um bom exemplo disso).")</f>
        <v>textos-fantasia infantil, talvez a maioria, obviamente, é muitas vezes criticado por simplificar a luta do bem, mal vs. (Harry Potter pode ser um bom exemplo disso).</v>
      </c>
      <c r="B6986" s="3">
        <v>1</v>
      </c>
    </row>
    <row r="6987" ht="15.75" customHeight="1" spans="1:2">
      <c r="A6987" s="3" t="str">
        <f>IFERROR(__xludf.DUMMYFUNCTION("GOOGLETRANSLATE(A6987,""en"",""pt"")"),"Você sabe, os livros de Harry Potter são suficientes decente, e eu â € ™ m feliz que eles â € ™ ve crianças tem ler, e ler livros grossos grandes para isso.")</f>
        <v>Você sabe, os livros de Harry Potter são suficientes decente, e eu â € ™ m feliz que eles â € ™ ve crianças tem ler, e ler livros grossos grandes para isso.</v>
      </c>
      <c r="B6987" s="3">
        <v>1</v>
      </c>
    </row>
    <row r="6988" ht="15.75" customHeight="1" spans="1:2">
      <c r="A6988" s="3" t="str">
        <f>IFERROR(__xludf.DUMMYFUNCTION("GOOGLETRANSLATE(A6988,""en"",""pt"")"),"I como Harry Potter muito também.")</f>
        <v>I como Harry Potter muito também.</v>
      </c>
      <c r="B6988" s="3">
        <v>1</v>
      </c>
    </row>
    <row r="6989" ht="15.75" customHeight="1" spans="1:2">
      <c r="A6989" s="3" t="str">
        <f>IFERROR(__xludf.DUMMYFUNCTION("GOOGLETRANSLATE(A6989,""en"",""pt"")"),"Eu fui queimada na leitura pesada e foram desfrutar da série Harry Potter.")</f>
        <v>Eu fui queimada na leitura pesada e foram desfrutar da série Harry Potter.</v>
      </c>
      <c r="B6989" s="3">
        <v>1</v>
      </c>
    </row>
    <row r="6990" ht="15.75" customHeight="1" spans="1:2">
      <c r="A6990" s="3" t="str">
        <f>IFERROR(__xludf.DUMMYFUNCTION("GOOGLETRANSLATE(A6990,""en"",""pt"")"),"Acho que eu gostava de Harry Potter, Tom Sawyer foi muito bom ..")</f>
        <v>Acho que eu gostava de Harry Potter, Tom Sawyer foi muito bom ..</v>
      </c>
      <c r="B6990" s="3">
        <v>1</v>
      </c>
    </row>
    <row r="6991" ht="15.75" customHeight="1" spans="1:2">
      <c r="A6991" s="3" t="str">
        <f>IFERROR(__xludf.DUMMYFUNCTION("GOOGLETRANSLATE(A6991,""en"",""pt"")"),"Sinto falta do Harry Potter Conexão.")</f>
        <v>Sinto falta do Harry Potter Conexão.</v>
      </c>
      <c r="B6991" s="3">
        <v>1</v>
      </c>
    </row>
    <row r="6992" ht="15.75" customHeight="1" spans="1:2">
      <c r="A6992" s="3" t="str">
        <f>IFERROR(__xludf.DUMMYFUNCTION("GOOGLETRANSLATE(A6992,""en"",""pt"")"),"Eu também gosto de reler o direito série Harry Potter antes de um filme e novo livro sair.")</f>
        <v>Eu também gosto de reler o direito série Harry Potter antes de um filme e novo livro sair.</v>
      </c>
      <c r="B6992" s="3">
        <v>1</v>
      </c>
    </row>
    <row r="6993" ht="15.75" customHeight="1" spans="1:2">
      <c r="A6993" s="3" t="str">
        <f>IFERROR(__xludf.DUMMYFUNCTION("GOOGLETRANSLATE(A6993,""en"",""pt"")"),"I como o seu Harry Potter e outras coisas cultura pop, mas eu não sou muito exigente !.")</f>
        <v>I como o seu Harry Potter e outras coisas cultura pop, mas eu não sou muito exigente !.</v>
      </c>
      <c r="B6993" s="3">
        <v>1</v>
      </c>
    </row>
    <row r="6994" ht="15.75" customHeight="1" spans="1:2">
      <c r="A6994" s="3" t="str">
        <f>IFERROR(__xludf.DUMMYFUNCTION("GOOGLETRANSLATE(A6994,""en"",""pt"")"),"Eu absolutamente amo Harry Potter, como você já pode contar.")</f>
        <v>Eu absolutamente amo Harry Potter, como você já pode contar.</v>
      </c>
      <c r="B6994" s="3">
        <v>1</v>
      </c>
    </row>
    <row r="6995" ht="15.75" customHeight="1" spans="1:2">
      <c r="A6995" s="3" t="str">
        <f>IFERROR(__xludf.DUMMYFUNCTION("GOOGLETRANSLATE(A6995,""en"",""pt"")"),"Ele foi planejado para nada demais, eu estava admirando suas irmãs coleção Harry Potter enquanto eu esperava.")</f>
        <v>Ele foi planejado para nada demais, eu estava admirando suas irmãs coleção Harry Potter enquanto eu esperava.</v>
      </c>
      <c r="B6995" s="3">
        <v>1</v>
      </c>
    </row>
    <row r="6996" ht="15.75" customHeight="1" spans="1:2">
      <c r="A6996" s="3" t="str">
        <f>IFERROR(__xludf.DUMMYFUNCTION("GOOGLETRANSLATE(A6996,""en"",""pt"")"),"Eu absolutamente amo Harry Potter, como você já pode contar.")</f>
        <v>Eu absolutamente amo Harry Potter, como você já pode contar.</v>
      </c>
      <c r="B6996" s="3">
        <v>1</v>
      </c>
    </row>
    <row r="6997" ht="15.75" customHeight="1" spans="1:2">
      <c r="A6997" s="3" t="str">
        <f>IFERROR(__xludf.DUMMYFUNCTION("GOOGLETRANSLATE(A6997,""en"",""pt"")"),"Eu absolutamente amo Harry Potter, como você já pode contar.")</f>
        <v>Eu absolutamente amo Harry Potter, como você já pode contar.</v>
      </c>
      <c r="B6997" s="3">
        <v>1</v>
      </c>
    </row>
    <row r="6998" ht="15.75" customHeight="1" spans="1:2">
      <c r="A6998" s="3" t="str">
        <f>IFERROR(__xludf.DUMMYFUNCTION("GOOGLETRANSLATE(A6998,""en"",""pt"")"),"Eu tenho dois impressionantes trajes de Harry Potter eu estou planejando para 2007, mas ainda não está acabado, infelizmente!")</f>
        <v>Eu tenho dois impressionantes trajes de Harry Potter eu estou planejando para 2007, mas ainda não está acabado, infelizmente!</v>
      </c>
      <c r="B6998" s="3">
        <v>1</v>
      </c>
    </row>
    <row r="6999" ht="15.75" customHeight="1" spans="1:2">
      <c r="A6999" s="3" t="str">
        <f>IFERROR(__xludf.DUMMYFUNCTION("GOOGLETRANSLATE(A6999,""en"",""pt"")"),"Eu sinto falta de Harry Potter e comida Japenese ..")</f>
        <v>Eu sinto falta de Harry Potter e comida Japenese ..</v>
      </c>
      <c r="B6999" s="3">
        <v>1</v>
      </c>
    </row>
    <row r="7000" ht="15.75" customHeight="1" spans="1:2">
      <c r="A7000" s="3" t="str">
        <f>IFERROR(__xludf.DUMMYFUNCTION("GOOGLETRANSLATE(A7000,""en"",""pt"")"),"Este é sem dúvida um grande negócio como eu não comprar filmes a la DVD. Os únicos que possuo são séries como Harry Potter, Nárnia e filmes da Disney.")</f>
        <v>Este é sem dúvida um grande negócio como eu não comprar filmes a la DVD. Os únicos que possuo são séries como Harry Potter, Nárnia e filmes da Disney.</v>
      </c>
      <c r="B7000" s="3">
        <v>1</v>
      </c>
    </row>
    <row r="7001" ht="15.75" customHeight="1" spans="1:2">
      <c r="A7001" s="3" t="str">
        <f>IFERROR(__xludf.DUMMYFUNCTION("GOOGLETRANSLATE(A7001,""en"",""pt"")"),"Eu amo Harry Potter.")</f>
        <v>Eu amo Harry Potter.</v>
      </c>
      <c r="B7001" s="3">
        <v>1</v>
      </c>
    </row>
    <row r="7002" ht="15.75" customHeight="1" spans="1:2">
      <c r="A7002" s="3" t="str">
        <f>IFERROR(__xludf.DUMMYFUNCTION("GOOGLETRANSLATE(A7002,""en"",""pt"")"),"e eu amo Harry Potter e eu gosto de falar caminhadas, ir à praia, e comer Oreos! ..")</f>
        <v>e eu amo Harry Potter e eu gosto de falar caminhadas, ir à praia, e comer Oreos! ..</v>
      </c>
      <c r="B7002" s="3">
        <v>1</v>
      </c>
    </row>
    <row r="7003" ht="15.75" customHeight="1" spans="1:2">
      <c r="A7003" s="3" t="str">
        <f>IFERROR(__xludf.DUMMYFUNCTION("GOOGLETRANSLATE(A7003,""en"",""pt"")"),"Eu absolutamente amo Harry Potter, como você já pode contar.")</f>
        <v>Eu absolutamente amo Harry Potter, como você já pode contar.</v>
      </c>
      <c r="B7003" s="3">
        <v>1</v>
      </c>
    </row>
    <row r="7004" ht="15.75" customHeight="1" spans="1:2">
      <c r="A7004" s="3" t="str">
        <f>IFERROR(__xludf.DUMMYFUNCTION("GOOGLETRANSLATE(A7004,""en"",""pt"")"),"Eu absolutamente amo Harry Potter, como você já pode contar.")</f>
        <v>Eu absolutamente amo Harry Potter, como você já pode contar.</v>
      </c>
      <c r="B7004" s="3">
        <v>1</v>
      </c>
    </row>
    <row r="7005" ht="15.75" customHeight="1" spans="1:2">
      <c r="A7005" s="3" t="str">
        <f>IFERROR(__xludf.DUMMYFUNCTION("GOOGLETRANSLATE(A7005,""en"",""pt"")"),"Depois que eu tinha lido OdF, pela sexta vez, eu estava desesperado para algum novo Harry Potter.")</f>
        <v>Depois que eu tinha lido OdF, pela sexta vez, eu estava desesperado para algum novo Harry Potter.</v>
      </c>
      <c r="B7005" s="3">
        <v>1</v>
      </c>
    </row>
    <row r="7006" ht="15.75" customHeight="1" spans="1:2">
      <c r="A7006" s="3" t="str">
        <f>IFERROR(__xludf.DUMMYFUNCTION("GOOGLETRANSLATE(A7006,""en"",""pt"")"),"Eu amei os livros de Harry Potter antes que eu descobri fanfiction mas fanfiction me fez amá-los ainda mais.")</f>
        <v>Eu amei os livros de Harry Potter antes que eu descobri fanfiction mas fanfiction me fez amá-los ainda mais.</v>
      </c>
      <c r="B7006" s="3">
        <v>1</v>
      </c>
    </row>
    <row r="7007" ht="15.75" customHeight="1" spans="1:2">
      <c r="A7007" s="3" t="str">
        <f>IFERROR(__xludf.DUMMYFUNCTION("GOOGLETRANSLATE(A7007,""en"",""pt"")"),"para que (mas desde que foi minha culpa ela está em Harry Potter ...")</f>
        <v>para que (mas desde que foi minha culpa ela está em Harry Potter ...</v>
      </c>
      <c r="B7007" s="3">
        <v>1</v>
      </c>
    </row>
    <row r="7008" ht="15.75" customHeight="1" spans="1:2">
      <c r="A7008" s="3" t="str">
        <f>IFERROR(__xludf.DUMMYFUNCTION("GOOGLETRANSLATE(A7008,""en"",""pt"")"),"para que (mas desde que foi minha culpa ela está em Harry Potter ...")</f>
        <v>para que (mas desde que foi minha culpa ela está em Harry Potter ...</v>
      </c>
      <c r="B7008" s="3">
        <v>1</v>
      </c>
    </row>
    <row r="7009" ht="15.75" customHeight="1" spans="1:2">
      <c r="A7009" s="3" t="str">
        <f>IFERROR(__xludf.DUMMYFUNCTION("GOOGLETRANSLATE(A7009,""en"",""pt"")"),"Eu amo livros de Harry Potter &lt;3 tão bom Im um grande idiota.")</f>
        <v>Eu amo livros de Harry Potter &lt;3 tão bom Im um grande idiota.</v>
      </c>
      <c r="B7009" s="3">
        <v>1</v>
      </c>
    </row>
    <row r="7010" ht="15.75" customHeight="1" spans="1:2">
      <c r="A7010" s="3" t="str">
        <f>IFERROR(__xludf.DUMMYFUNCTION("GOOGLETRANSLATE(A7010,""en"",""pt"")"),"Descobri que Harry Potter é uma ótima leitura em alemão ..")</f>
        <v>Descobri que Harry Potter é uma ótima leitura em alemão ..</v>
      </c>
      <c r="B7010" s="3">
        <v>1</v>
      </c>
    </row>
    <row r="7011" ht="15.75" customHeight="1" spans="1:2">
      <c r="A7011" s="3" t="str">
        <f>IFERROR(__xludf.DUMMYFUNCTION("GOOGLETRANSLATE(A7011,""en"",""pt"")"),"Quando eu estava na escola primária, eu amei Harry Potter em pedaços.")</f>
        <v>Quando eu estava na escola primária, eu amei Harry Potter em pedaços.</v>
      </c>
      <c r="B7011" s="3">
        <v>1</v>
      </c>
    </row>
    <row r="7012" ht="15.75" customHeight="1" spans="1:2">
      <c r="A7012" s="3" t="str">
        <f>IFERROR(__xludf.DUMMYFUNCTION("GOOGLETRANSLATE(A7012,""en"",""pt"")"),"Felicidade vem geralmente na forma de minhas storytimes incríveis e meu clube Harry Potter e os meus ocasionais poucos e distantes entre si negociações com Julia e Marisa.")</f>
        <v>Felicidade vem geralmente na forma de minhas storytimes incríveis e meu clube Harry Potter e os meus ocasionais poucos e distantes entre si negociações com Julia e Marisa.</v>
      </c>
      <c r="B7012" s="3">
        <v>1</v>
      </c>
    </row>
    <row r="7013" ht="15.75" customHeight="1" spans="1:2">
      <c r="A7013" s="3" t="str">
        <f>IFERROR(__xludf.DUMMYFUNCTION("GOOGLETRANSLATE(A7013,""en"",""pt"")"),"Eu amo as séries vazio grande especificação do segundo livro, e eu amo doces, e Harry Potter, e Requim for a Dream, eo corpo de Christopher Creed ...")</f>
        <v>Eu amo as séries vazio grande especificação do segundo livro, e eu amo doces, e Harry Potter, e Requim for a Dream, eo corpo de Christopher Creed ...</v>
      </c>
      <c r="B7013" s="3">
        <v>1</v>
      </c>
    </row>
    <row r="7014" ht="15.75" customHeight="1" spans="1:2">
      <c r="A7014" s="3" t="str">
        <f>IFERROR(__xludf.DUMMYFUNCTION("GOOGLETRANSLATE(A7014,""en"",""pt"")"),"Eu amo Harry Potter, X-Men, O Senhor dos Anéis, Superman e qualquer outro filme grande lerdo orçamento.")</f>
        <v>Eu amo Harry Potter, X-Men, O Senhor dos Anéis, Superman e qualquer outro filme grande lerdo orçamento.</v>
      </c>
      <c r="B7014" s="3">
        <v>1</v>
      </c>
    </row>
    <row r="7015" ht="15.75" customHeight="1" spans="1:2">
      <c r="A7015" s="3" t="str">
        <f>IFERROR(__xludf.DUMMYFUNCTION("GOOGLETRANSLATE(A7015,""en"",""pt"")"),"É muito raro ter me entrar em um livro que eu gosto tanto como Harry Potter.")</f>
        <v>É muito raro ter me entrar em um livro que eu gosto tanto como Harry Potter.</v>
      </c>
      <c r="B7015" s="3">
        <v>1</v>
      </c>
    </row>
    <row r="7016" ht="15.75" customHeight="1" spans="1:2">
      <c r="A7016" s="3" t="str">
        <f>IFERROR(__xludf.DUMMYFUNCTION("GOOGLETRANSLATE(A7016,""en"",""pt"")"),"Eu amo Harry Potter !.")</f>
        <v>Eu amo Harry Potter !.</v>
      </c>
      <c r="B7016" s="3">
        <v>1</v>
      </c>
    </row>
    <row r="7017" ht="15.75" customHeight="1" spans="1:2">
      <c r="A7017" s="3" t="str">
        <f>IFERROR(__xludf.DUMMYFUNCTION("GOOGLETRANSLATE(A7017,""en"",""pt"")"),"i perca Harry Potter.")</f>
        <v>i perca Harry Potter.</v>
      </c>
      <c r="B7017" s="3">
        <v>1</v>
      </c>
    </row>
    <row r="7018" ht="15.75" customHeight="1" spans="1:2">
      <c r="A7018" s="3" t="str">
        <f>IFERROR(__xludf.DUMMYFUNCTION("GOOGLETRANSLATE(A7018,""en"",""pt"")"),"Eu amo Harry Potter livros-não os filmes contrabandeados, que Daniel Radcliffe em ruínas ...")</f>
        <v>Eu amo Harry Potter livros-não os filmes contrabandeados, que Daniel Radcliffe em ruínas ...</v>
      </c>
      <c r="B7018" s="3">
        <v>1</v>
      </c>
    </row>
    <row r="7019" ht="15.75" customHeight="1" spans="1:2">
      <c r="A7019" s="3" t="str">
        <f>IFERROR(__xludf.DUMMYFUNCTION("GOOGLETRANSLATE(A7019,""en"",""pt"")"),"Gosto de ler Harry Potter.")</f>
        <v>Gosto de ler Harry Potter.</v>
      </c>
      <c r="B7019" s="3">
        <v>1</v>
      </c>
    </row>
    <row r="7020" ht="15.75" customHeight="1" spans="1:2">
      <c r="A7020" s="3" t="str">
        <f>IFERROR(__xludf.DUMMYFUNCTION("GOOGLETRANSLATE(A7020,""en"",""pt"")"),"Harry Potter é ótimo se você leu o livro!")</f>
        <v>Harry Potter é ótimo se você leu o livro!</v>
      </c>
      <c r="B7020" s="3">
        <v>1</v>
      </c>
    </row>
    <row r="7021" ht="15.75" customHeight="1" spans="1:2">
      <c r="A7021" s="3" t="str">
        <f>IFERROR(__xludf.DUMMYFUNCTION("GOOGLETRANSLATE(A7021,""en"",""pt"")"),"amor Harry Potter.")</f>
        <v>amor Harry Potter.</v>
      </c>
      <c r="B7021" s="3">
        <v>1</v>
      </c>
    </row>
    <row r="7022" ht="15.75" customHeight="1" spans="1:2">
      <c r="A7022" s="3" t="str">
        <f>IFERROR(__xludf.DUMMYFUNCTION("GOOGLETRANSLATE(A7022,""en"",""pt"")"),"Harry Potter é bom, mas há apenas 4 daqueles ..")</f>
        <v>Harry Potter é bom, mas há apenas 4 daqueles ..</v>
      </c>
      <c r="B7022" s="3">
        <v>1</v>
      </c>
    </row>
    <row r="7023" ht="15.75" customHeight="1" spans="1:2">
      <c r="A7023" s="3" t="str">
        <f>IFERROR(__xludf.DUMMYFUNCTION("GOOGLETRANSLATE(A7023,""en"",""pt"")"),"Eu amo Harry Potter! ..")</f>
        <v>Eu amo Harry Potter! ..</v>
      </c>
      <c r="B7023" s="3">
        <v>1</v>
      </c>
    </row>
    <row r="7024" ht="15.75" customHeight="1" spans="1:2">
      <c r="A7024" s="3" t="str">
        <f>IFERROR(__xludf.DUMMYFUNCTION("GOOGLETRANSLATE(A7024,""en"",""pt"")"),"Os livros de Harry Potter são completamente incrível.")</f>
        <v>Os livros de Harry Potter são completamente incrível.</v>
      </c>
      <c r="B7024" s="3">
        <v>1</v>
      </c>
    </row>
    <row r="7025" ht="15.75" customHeight="1" spans="1:2">
      <c r="A7025" s="3" t="str">
        <f>IFERROR(__xludf.DUMMYFUNCTION("GOOGLETRANSLATE(A7025,""en"",""pt"")"),"Escreva-nos um poema Harry Potter para uma chance de ganhar um fabuloso prémio Harry Potter !! ..")</f>
        <v>Escreva-nos um poema Harry Potter para uma chance de ganhar um fabuloso prémio Harry Potter !! ..</v>
      </c>
      <c r="B7025" s="3">
        <v>1</v>
      </c>
    </row>
    <row r="7026" ht="15.75" customHeight="1" spans="1:2">
      <c r="A7026" s="3" t="str">
        <f>IFERROR(__xludf.DUMMYFUNCTION("GOOGLETRANSLATE(A7026,""en"",""pt"")"),"Harry Potter tudo é incrível.")</f>
        <v>Harry Potter tudo é incrível.</v>
      </c>
      <c r="B7026" s="3">
        <v>1</v>
      </c>
    </row>
    <row r="7027" ht="15.75" customHeight="1" spans="1:2">
      <c r="A7027" s="3" t="str">
        <f>IFERROR(__xludf.DUMMYFUNCTION("GOOGLETRANSLATE(A7027,""en"",""pt"")"),"Eu amo Harry Potter!")</f>
        <v>Eu amo Harry Potter!</v>
      </c>
      <c r="B7027" s="3">
        <v>1</v>
      </c>
    </row>
    <row r="7028" ht="15.75" customHeight="1" spans="1:2">
      <c r="A7028" s="3" t="str">
        <f>IFERROR(__xludf.DUMMYFUNCTION("GOOGLETRANSLATE(A7028,""en"",""pt"")"),"A cicatriz de Harry Potter seria legal ...")</f>
        <v>A cicatriz de Harry Potter seria legal ...</v>
      </c>
      <c r="B7028" s="3">
        <v>1</v>
      </c>
    </row>
    <row r="7029" ht="15.75" customHeight="1" spans="1:2">
      <c r="A7029" s="3" t="str">
        <f>IFERROR(__xludf.DUMMYFUNCTION("GOOGLETRANSLATE(A7029,""en"",""pt"")"),"Eu amo Harry Potter ...")</f>
        <v>Eu amo Harry Potter ...</v>
      </c>
      <c r="B7029" s="3">
        <v>1</v>
      </c>
    </row>
    <row r="7030" ht="15.75" customHeight="1" spans="1:2">
      <c r="A7030" s="3" t="str">
        <f>IFERROR(__xludf.DUMMYFUNCTION("GOOGLETRANSLATE(A7030,""en"",""pt"")"),"E assim esta menina (ok, é totalmente me), que amou Equus e Harry Potter, em igual medida, comprou 31 UM BILHETE PARA O SHOW EM MARÇO! ..")</f>
        <v>E assim esta menina (ok, é totalmente me), que amou Equus e Harry Potter, em igual medida, comprou 31 UM BILHETE PARA O SHOW EM MARÇO! ..</v>
      </c>
      <c r="B7030" s="3">
        <v>1</v>
      </c>
    </row>
    <row r="7031" ht="15.75" customHeight="1" spans="1:2">
      <c r="A7031" s="3" t="str">
        <f>IFERROR(__xludf.DUMMYFUNCTION("GOOGLETRANSLATE(A7031,""en"",""pt"")"),"Artemis Fowl: The Lost Colony por Eoin Colfer â € “385 páginas por €“Eu amo essa série de livros Jovem Adulto damn perto tanto quanto eu amo Harry Potter.")</f>
        <v>Artemis Fowl: The Lost Colony por Eoin Colfer â € “385 páginas por €“Eu amo essa série de livros Jovem Adulto damn perto tanto quanto eu amo Harry Potter.</v>
      </c>
      <c r="B7031" s="3">
        <v>1</v>
      </c>
    </row>
    <row r="7032" ht="15.75" customHeight="1" spans="1:2">
      <c r="A7032" s="3" t="str">
        <f>IFERROR(__xludf.DUMMYFUNCTION("GOOGLETRANSLATE(A7032,""en"",""pt"")"),"que me fez perceber o quanto eu amo Harry Potter ..")</f>
        <v>que me fez perceber o quanto eu amo Harry Potter ..</v>
      </c>
      <c r="B7032" s="3">
        <v>1</v>
      </c>
    </row>
    <row r="7033" ht="15.75" customHeight="1" spans="1:2">
      <c r="A7033" s="3" t="str">
        <f>IFERROR(__xludf.DUMMYFUNCTION("GOOGLETRANSLATE(A7033,""en"",""pt"")"),"Harry Potter = lindo !.")</f>
        <v>Harry Potter = lindo !.</v>
      </c>
      <c r="B7033" s="3">
        <v>1</v>
      </c>
    </row>
    <row r="7034" ht="15.75" customHeight="1" spans="1:2">
      <c r="A7034" s="3" t="str">
        <f>IFERROR(__xludf.DUMMYFUNCTION("GOOGLETRANSLATE(A7034,""en"",""pt"")"),"E eu amei Harry Potter.")</f>
        <v>E eu amei Harry Potter.</v>
      </c>
      <c r="B7034" s="3">
        <v>1</v>
      </c>
    </row>
    <row r="7035" ht="15.75" customHeight="1" spans="1:2">
      <c r="A7035" s="3" t="str">
        <f>IFERROR(__xludf.DUMMYFUNCTION("GOOGLETRANSLATE(A7035,""en"",""pt"")"),"Harry Potter era tão adorável, ele tinha uma cicatriz e tudo .:) Eu amo Harry Potter.")</f>
        <v>Harry Potter era tão adorável, ele tinha uma cicatriz e tudo .:) Eu amo Harry Potter.</v>
      </c>
      <c r="B7035" s="3">
        <v>1</v>
      </c>
    </row>
    <row r="7036" ht="15.75" customHeight="1" spans="1:2">
      <c r="A7036" s="3" t="str">
        <f>IFERROR(__xludf.DUMMYFUNCTION("GOOGLETRANSLATE(A7036,""en"",""pt"")"),"Os filmes de Harry Potter são fantásticos para zombar ..")</f>
        <v>Os filmes de Harry Potter são fantásticos para zombar ..</v>
      </c>
      <c r="B7036" s="3">
        <v>1</v>
      </c>
    </row>
    <row r="7037" ht="15.75" customHeight="1" spans="1:2">
      <c r="A7037" s="3" t="str">
        <f>IFERROR(__xludf.DUMMYFUNCTION("GOOGLETRANSLATE(A7037,""en"",""pt"")"),"Harry Potter é incrível ...")</f>
        <v>Harry Potter é incrível ...</v>
      </c>
      <c r="B7037" s="3">
        <v>1</v>
      </c>
    </row>
    <row r="7038" ht="15.75" customHeight="1" spans="1:2">
      <c r="A7038" s="3" t="str">
        <f>IFERROR(__xludf.DUMMYFUNCTION("GOOGLETRANSLATE(A7038,""en"",""pt"")"),"Eu amo Harry Potter e eu amo fazer amigos.")</f>
        <v>Eu amo Harry Potter e eu amo fazer amigos.</v>
      </c>
      <c r="B7038" s="3">
        <v>1</v>
      </c>
    </row>
    <row r="7039" ht="15.75" customHeight="1" spans="1:2">
      <c r="A7039" s="3" t="str">
        <f>IFERROR(__xludf.DUMMYFUNCTION("GOOGLETRANSLATE(A7039,""en"",""pt"")"),"I freagin'love Harry Potter e tudo isso é conhecimento mágico ...")</f>
        <v>I freagin'love Harry Potter e tudo isso é conhecimento mágico ...</v>
      </c>
      <c r="B7039" s="3">
        <v>1</v>
      </c>
    </row>
    <row r="7040" ht="15.75" customHeight="1" spans="1:2">
      <c r="A7040" s="3" t="str">
        <f>IFERROR(__xludf.DUMMYFUNCTION("GOOGLETRANSLATE(A7040,""en"",""pt"")"),"EU AMO Harry Potter.")</f>
        <v>EU AMO Harry Potter.</v>
      </c>
      <c r="B7040" s="3">
        <v>1</v>
      </c>
    </row>
    <row r="7041" ht="15.75" customHeight="1" spans="1:2">
      <c r="A7041" s="3" t="str">
        <f>IFERROR(__xludf.DUMMYFUNCTION("GOOGLETRANSLATE(A7041,""en"",""pt"")"),"Ok, então vocês me conhece, e você sabe que eu amo Harry Potter.")</f>
        <v>Ok, então vocês me conhece, e você sabe que eu amo Harry Potter.</v>
      </c>
      <c r="B7041" s="3">
        <v>1</v>
      </c>
    </row>
    <row r="7042" ht="15.75" customHeight="1" spans="1:2">
      <c r="A7042" s="3" t="str">
        <f>IFERROR(__xludf.DUMMYFUNCTION("GOOGLETRANSLATE(A7042,""en"",""pt"")"),"Eu amo Harry Potter, mas eu não acho que J. K. Rowling é o melhor autor do mundo ...")</f>
        <v>Eu amo Harry Potter, mas eu não acho que J. K. Rowling é o melhor autor do mundo ...</v>
      </c>
      <c r="B7042" s="3">
        <v>1</v>
      </c>
    </row>
    <row r="7043" ht="15.75" customHeight="1" spans="1:2">
      <c r="A7043" s="3" t="str">
        <f>IFERROR(__xludf.DUMMYFUNCTION("GOOGLETRANSLATE(A7043,""en"",""pt"")"),"EU AMO Harry Potter !!!")</f>
        <v>EU AMO Harry Potter !!!</v>
      </c>
      <c r="B7043" s="3">
        <v>1</v>
      </c>
    </row>
    <row r="7044" ht="15.75" customHeight="1" spans="1:2">
      <c r="A7044" s="3" t="str">
        <f>IFERROR(__xludf.DUMMYFUNCTION("GOOGLETRANSLATE(A7044,""en"",""pt"")"),"I pessoalmente como Harry Potter, e eu incentivar as crianças a ler o livro, é saudável para FODA causas ....")</f>
        <v>I pessoalmente como Harry Potter, e eu incentivar as crianças a ler o livro, é saudável para FODA causas ....</v>
      </c>
      <c r="B7044" s="3">
        <v>1</v>
      </c>
    </row>
    <row r="7045" ht="15.75" customHeight="1" spans="1:2">
      <c r="A7045" s="3" t="str">
        <f>IFERROR(__xludf.DUMMYFUNCTION("GOOGLETRANSLATE(A7045,""en"",""pt"")"),"Eu gostaria de um tipo de lenço Harry Potter para o Natal ..")</f>
        <v>Eu gostaria de um tipo de lenço Harry Potter para o Natal ..</v>
      </c>
      <c r="B7045" s="3">
        <v>1</v>
      </c>
    </row>
    <row r="7046" ht="15.75" customHeight="1" spans="1:2">
      <c r="A7046" s="3" t="str">
        <f>IFERROR(__xludf.DUMMYFUNCTION("GOOGLETRANSLATE(A7046,""en"",""pt"")"),"E eu gostei da piada Harry Potter (o meu amigo estava me dizendo quase a mesma coisa ao mesmo tempo).")</f>
        <v>E eu gostei da piada Harry Potter (o meu amigo estava me dizendo quase a mesma coisa ao mesmo tempo).</v>
      </c>
      <c r="B7046" s="3">
        <v>1</v>
      </c>
    </row>
    <row r="7047" ht="15.75" customHeight="1" spans="1:2">
      <c r="A7047" s="3" t="str">
        <f>IFERROR(__xludf.DUMMYFUNCTION("GOOGLETRANSLATE(A7047,""en"",""pt"")"),"Ela é meu aluno no ano passado que eu li Harry Potter com, e ela não parava de dizer ""Harry Potter é bonito!")</f>
        <v>Ela é meu aluno no ano passado que eu li Harry Potter com, e ela não parava de dizer "Harry Potter é bonito!</v>
      </c>
      <c r="B7047" s="3">
        <v>1</v>
      </c>
    </row>
    <row r="7048" ht="15.75" customHeight="1" spans="1:2">
      <c r="A7048" s="3" t="str">
        <f>IFERROR(__xludf.DUMMYFUNCTION("GOOGLETRANSLATE(A7048,""en"",""pt"")"),"Eu amo Harry Potter, Lilo e Stitch, Barnyard foi incrível.")</f>
        <v>Eu amo Harry Potter, Lilo e Stitch, Barnyard foi incrível.</v>
      </c>
      <c r="B7048" s="3">
        <v>1</v>
      </c>
    </row>
    <row r="7049" ht="15.75" customHeight="1" spans="1:2">
      <c r="A7049" s="3" t="str">
        <f>IFERROR(__xludf.DUMMYFUNCTION("GOOGLETRANSLATE(A7049,""en"",""pt"")"),"Também: ""Sexy Harry Potter.")</f>
        <v>Também: "Sexy Harry Potter.</v>
      </c>
      <c r="B7049" s="3">
        <v>1</v>
      </c>
    </row>
    <row r="7050" ht="15.75" customHeight="1" spans="1:2">
      <c r="A7050" s="3" t="str">
        <f>IFERROR(__xludf.DUMMYFUNCTION("GOOGLETRANSLATE(A7050,""en"",""pt"")"),"Eu quero ser uma parte desta comunidade, porque eu amo Harry Potter e quer discuti-lo e teorias sobre o livro 7 com outras pessoas que gostam de Harry Potter.")</f>
        <v>Eu quero ser uma parte desta comunidade, porque eu amo Harry Potter e quer discuti-lo e teorias sobre o livro 7 com outras pessoas que gostam de Harry Potter.</v>
      </c>
      <c r="B7050" s="3">
        <v>1</v>
      </c>
    </row>
    <row r="7051" ht="15.75" customHeight="1" spans="1:2">
      <c r="A7051" s="3" t="str">
        <f>IFERROR(__xludf.DUMMYFUNCTION("GOOGLETRANSLATE(A7051,""en"",""pt"")"),"Também: ""Sexy Harry Potter.")</f>
        <v>Também: "Sexy Harry Potter.</v>
      </c>
      <c r="B7051" s="3">
        <v>1</v>
      </c>
    </row>
    <row r="7052" ht="15.75" customHeight="1" spans="1:2">
      <c r="A7052" s="3" t="str">
        <f>IFERROR(__xludf.DUMMYFUNCTION("GOOGLETRANSLATE(A7052,""en"",""pt"")"),"Harry Potter e a Pedra Filosofal é grande, mas eu tinha esquecido o que um baixo nível de leitura é. &gt; _ &lt;..")</f>
        <v>Harry Potter e a Pedra Filosofal é grande, mas eu tinha esquecido o que um baixo nível de leitura é. &gt; _ &lt;..</v>
      </c>
      <c r="B7052" s="3">
        <v>1</v>
      </c>
    </row>
    <row r="7053" ht="15.75" customHeight="1" spans="1:2">
      <c r="A7053" s="3" t="str">
        <f>IFERROR(__xludf.DUMMYFUNCTION("GOOGLETRANSLATE(A7053,""en"",""pt"")"),"Gosto de discutir Harry Potter, e eu sei que ainda há muito por mim para aprender sobre ele.")</f>
        <v>Gosto de discutir Harry Potter, e eu sei que ainda há muito por mim para aprender sobre ele.</v>
      </c>
      <c r="B7053" s="3">
        <v>1</v>
      </c>
    </row>
    <row r="7054" ht="15.75" customHeight="1" spans="1:2">
      <c r="A7054" s="3" t="str">
        <f>IFERROR(__xludf.DUMMYFUNCTION("GOOGLETRANSLATE(A7054,""en"",""pt"")"),"Mim, eu gosto dos filmes de Harry Potter, mas os livros não têm nenhum apelo real para mim.")</f>
        <v>Mim, eu gosto dos filmes de Harry Potter, mas os livros não têm nenhum apelo real para mim.</v>
      </c>
      <c r="B7054" s="3">
        <v>1</v>
      </c>
    </row>
    <row r="7055" ht="15.75" customHeight="1" spans="1:2">
      <c r="A7055" s="3" t="str">
        <f>IFERROR(__xludf.DUMMYFUNCTION("GOOGLETRANSLATE(A7055,""en"",""pt"")"),"Porque eu gosto de Harry Potter e eu no caso de Eragon, eu como dragões ...")</f>
        <v>Porque eu gosto de Harry Potter e eu no caso de Eragon, eu como dragões ...</v>
      </c>
      <c r="B7055" s="3">
        <v>1</v>
      </c>
    </row>
    <row r="7056" ht="15.75" customHeight="1" spans="1:2">
      <c r="A7056" s="3" t="str">
        <f>IFERROR(__xludf.DUMMYFUNCTION("GOOGLETRANSLATE(A7056,""en"",""pt"")"),"Eu amo Harry Potter e se há alguém como ele, eu quero sair com ele ... - Jamaica, Queens ..")</f>
        <v>Eu amo Harry Potter e se há alguém como ele, eu quero sair com ele ... - Jamaica, Queens ..</v>
      </c>
      <c r="B7056" s="3">
        <v>1</v>
      </c>
    </row>
    <row r="7057" ht="15.75" customHeight="1" spans="1:2">
      <c r="A7057" s="3" t="str">
        <f>IFERROR(__xludf.DUMMYFUNCTION("GOOGLETRANSLATE(A7057,""en"",""pt"")"),"O Harry Potter brincos menina foi incrível ...")</f>
        <v>O Harry Potter brincos menina foi incrível ...</v>
      </c>
      <c r="B7057" s="3">
        <v>1</v>
      </c>
    </row>
    <row r="7058" ht="15.75" customHeight="1" spans="1:2">
      <c r="A7058" s="3" t="str">
        <f>IFERROR(__xludf.DUMMYFUNCTION("GOOGLETRANSLATE(A7058,""en"",""pt"")"),"Que só serve para mostrar o quanto eu amo Harry Potter. [Muito muito muito muito. ] ..")</f>
        <v>Que só serve para mostrar o quanto eu amo Harry Potter. [Muito muito muito muito. ] ..</v>
      </c>
      <c r="B7058" s="3">
        <v>1</v>
      </c>
    </row>
    <row r="7059" ht="15.75" customHeight="1" spans="1:2">
      <c r="A7059" s="3" t="str">
        <f>IFERROR(__xludf.DUMMYFUNCTION("GOOGLETRANSLATE(A7059,""en"",""pt"")"),"Eu também adoro Harry Potter e Hogwarts ...")</f>
        <v>Eu também adoro Harry Potter e Hogwarts ...</v>
      </c>
      <c r="B7059" s="3">
        <v>1</v>
      </c>
    </row>
    <row r="7060" ht="15.75" customHeight="1" spans="1:2">
      <c r="A7060" s="3" t="str">
        <f>IFERROR(__xludf.DUMMYFUNCTION("GOOGLETRANSLATE(A7060,""en"",""pt"")"),"Ei, obrigado pelo comentário &lt;/ 33 Emma Watson é muito bonita, e eu absolutamente amo os filmes de Harry Potter.")</f>
        <v>Ei, obrigado pelo comentário &lt;/ 33 Emma Watson é muito bonita, e eu absolutamente amo os filmes de Harry Potter.</v>
      </c>
      <c r="B7060" s="3">
        <v>1</v>
      </c>
    </row>
    <row r="7061" ht="15.75" customHeight="1" spans="1:2">
      <c r="A7061" s="3" t="str">
        <f>IFERROR(__xludf.DUMMYFUNCTION("GOOGLETRANSLATE(A7061,""en"",""pt"")"),"Eu estava tão orgulhoso de mim mesmo que me foi dada a tarefa de fazer Harry Potter sexy, e alcançou-o ...")</f>
        <v>Eu estava tão orgulhoso de mim mesmo que me foi dada a tarefa de fazer Harry Potter sexy, e alcançou-o ...</v>
      </c>
      <c r="B7061" s="3">
        <v>1</v>
      </c>
    </row>
    <row r="7062" ht="15.75" customHeight="1" spans="1:2">
      <c r="A7062" s="3" t="str">
        <f>IFERROR(__xludf.DUMMYFUNCTION("GOOGLETRANSLATE(A7062,""en"",""pt"")"),"Não ... mas eu amo Harry Potter ...")</f>
        <v>Não ... mas eu amo Harry Potter ...</v>
      </c>
      <c r="B7062" s="3">
        <v>1</v>
      </c>
    </row>
    <row r="7063" ht="15.75" customHeight="1" spans="1:2">
      <c r="A7063" s="3" t="str">
        <f>IFERROR(__xludf.DUMMYFUNCTION("GOOGLETRANSLATE(A7063,""en"",""pt"")"),"Ícones Gotta Love Harry Potter ..")</f>
        <v>Ícones Gotta Love Harry Potter ..</v>
      </c>
      <c r="B7063" s="3">
        <v>1</v>
      </c>
    </row>
    <row r="7064" ht="15.75" customHeight="1" spans="1:2">
      <c r="A7064" s="3" t="str">
        <f>IFERROR(__xludf.DUMMYFUNCTION("GOOGLETRANSLATE(A7064,""en"",""pt"")"),"Uma das principais razões que eu sempre amei o fandom de Harry Potter é porque eu senti que era um lugar onde todos poderiam pertencer.")</f>
        <v>Uma das principais razões que eu sempre amei o fandom de Harry Potter é porque eu senti que era um lugar onde todos poderiam pertencer.</v>
      </c>
      <c r="B7064" s="3">
        <v>1</v>
      </c>
    </row>
    <row r="7065" ht="15.75" customHeight="1" spans="1:2">
      <c r="A7065" s="3" t="str">
        <f>IFERROR(__xludf.DUMMYFUNCTION("GOOGLETRANSLATE(A7065,""en"",""pt"")"),"Nós dois amamos Harry Potter e Anatomia de Gray.")</f>
        <v>Nós dois amamos Harry Potter e Anatomia de Gray.</v>
      </c>
      <c r="B7065" s="3">
        <v>1</v>
      </c>
    </row>
    <row r="7066" ht="15.75" customHeight="1" spans="1:2">
      <c r="A7066" s="3" t="str">
        <f>IFERROR(__xludf.DUMMYFUNCTION("GOOGLETRANSLATE(A7066,""en"",""pt"")"),"Eu amo Harry Potter, você deve experimentá-lo também.")</f>
        <v>Eu amo Harry Potter, você deve experimentá-lo também.</v>
      </c>
      <c r="B7066" s="3">
        <v>1</v>
      </c>
    </row>
    <row r="7067" ht="15.75" customHeight="1" spans="1:2">
      <c r="A7067" s="3" t="str">
        <f>IFERROR(__xludf.DUMMYFUNCTION("GOOGLETRANSLATE(A7067,""en"",""pt"")"),"I como Harry Potter, eu como Eragon, eu como O Senhor dos Anéis ...")</f>
        <v>I como Harry Potter, eu como Eragon, eu como O Senhor dos Anéis ...</v>
      </c>
      <c r="B7067" s="3">
        <v>1</v>
      </c>
    </row>
    <row r="7068" ht="15.75" customHeight="1" spans="1:2">
      <c r="A7068" s="3" t="str">
        <f>IFERROR(__xludf.DUMMYFUNCTION("GOOGLETRANSLATE(A7068,""en"",""pt"")"),"A imagem Harry Potter é incrível.")</f>
        <v>A imagem Harry Potter é incrível.</v>
      </c>
      <c r="B7068" s="3">
        <v>1</v>
      </c>
    </row>
    <row r="7069" ht="15.75" customHeight="1" spans="1:2">
      <c r="A7069" s="3" t="str">
        <f>IFERROR(__xludf.DUMMYFUNCTION("GOOGLETRANSLATE(A7069,""en"",""pt"")"),"Eu amo Harry Potter.")</f>
        <v>Eu amo Harry Potter.</v>
      </c>
      <c r="B7069" s="3">
        <v>1</v>
      </c>
    </row>
    <row r="7070" ht="15.75" customHeight="1" spans="1:2">
      <c r="A7070" s="3" t="str">
        <f>IFERROR(__xludf.DUMMYFUNCTION("GOOGLETRANSLATE(A7070,""en"",""pt"")"),"Nenhum dos amigos estão em Harry Potter, então eu adoraria ser parte de uma comunidade que se dedica ao amor algo que eu.")</f>
        <v>Nenhum dos amigos estão em Harry Potter, então eu adoraria ser parte de uma comunidade que se dedica ao amor algo que eu.</v>
      </c>
      <c r="B7070" s="3">
        <v>1</v>
      </c>
    </row>
    <row r="7071" ht="15.75" customHeight="1" spans="1:2">
      <c r="A7071" s="3" t="str">
        <f>IFERROR(__xludf.DUMMYFUNCTION("GOOGLETRANSLATE(A7071,""en"",""pt"")"),"Eu amo Harry Potter =))) ..")</f>
        <v>Eu amo Harry Potter =))) ..</v>
      </c>
      <c r="B7071" s="3">
        <v>1</v>
      </c>
    </row>
    <row r="7072" ht="15.75" customHeight="1" spans="1:2">
      <c r="A7072" s="3" t="str">
        <f>IFERROR(__xludf.DUMMYFUNCTION("GOOGLETRANSLATE(A7072,""en"",""pt"")"),"Sexta-feira a Harry Potter Festa = AMAZING!")</f>
        <v>Sexta-feira a Harry Potter Festa = AMAZING!</v>
      </c>
      <c r="B7072" s="3">
        <v>1</v>
      </c>
    </row>
    <row r="7073" ht="15.75" customHeight="1" spans="1:2">
      <c r="A7073" s="3" t="str">
        <f>IFERROR(__xludf.DUMMYFUNCTION("GOOGLETRANSLATE(A7073,""en"",""pt"")"),"Falou com a Sra Cowan brevemente sobre um estudo independente Harry Potter, o que seria incrivelmente impressionante, mas que eu também sou muito, muito preguiçoso para tomar o meu último semestre na faculdade ...")</f>
        <v>Falou com a Sra Cowan brevemente sobre um estudo independente Harry Potter, o que seria incrivelmente impressionante, mas que eu também sou muito, muito preguiçoso para tomar o meu último semestre na faculdade ...</v>
      </c>
      <c r="B7073" s="3">
        <v>1</v>
      </c>
    </row>
    <row r="7074" ht="15.75" customHeight="1" spans="1:2">
      <c r="A7074" s="3" t="str">
        <f>IFERROR(__xludf.DUMMYFUNCTION("GOOGLETRANSLATE(A7074,""en"",""pt"")")," Eu te amo Harry Potter!")</f>
        <v> Eu te amo Harry Potter!</v>
      </c>
      <c r="B7074" s="3">
        <v>1</v>
      </c>
    </row>
    <row r="7075" ht="15.75" customHeight="1" spans="1:2">
      <c r="A7075" s="3" t="str">
        <f>IFERROR(__xludf.DUMMYFUNCTION("GOOGLETRANSLATE(A7075,""en"",""pt"")"),"Dorks são os melhores e Harry Potter é muito legal ...")</f>
        <v>Dorks são os melhores e Harry Potter é muito legal ...</v>
      </c>
      <c r="B7075" s="3">
        <v>1</v>
      </c>
    </row>
    <row r="7076" ht="15.75" customHeight="1" spans="1:2">
      <c r="A7076" s="3" t="str">
        <f>IFERROR(__xludf.DUMMYFUNCTION("GOOGLETRANSLATE(A7076,""en"",""pt"")"),"Eu amo Harry Potter e Senhor dos Anéis.")</f>
        <v>Eu amo Harry Potter e Senhor dos Anéis.</v>
      </c>
      <c r="B7076" s="3">
        <v>1</v>
      </c>
    </row>
    <row r="7077" ht="15.75" customHeight="1" spans="1:2">
      <c r="A7077" s="3" t="str">
        <f>IFERROR(__xludf.DUMMYFUNCTION("GOOGLETRANSLATE(A7077,""en"",""pt"")")," série Harry Potter (por causa da maneira deliciosa minha vida é sugado para fora quando eu lê-lo) ..")</f>
        <v> série Harry Potter (por causa da maneira deliciosa minha vida é sugado para fora quando eu lê-lo) ..</v>
      </c>
      <c r="B7077" s="3">
        <v>1</v>
      </c>
    </row>
    <row r="7078" ht="15.75" customHeight="1" spans="1:2">
      <c r="A7078" s="3" t="str">
        <f>IFERROR(__xludf.DUMMYFUNCTION("GOOGLETRANSLATE(A7078,""en"",""pt"")"),"Bem, pelo menos Harry Potter é muito bom até agora.")</f>
        <v>Bem, pelo menos Harry Potter é muito bom até agora.</v>
      </c>
      <c r="B7078" s="3">
        <v>1</v>
      </c>
    </row>
    <row r="7079" ht="15.75" customHeight="1" spans="1:2">
      <c r="A7079" s="3" t="str">
        <f>IFERROR(__xludf.DUMMYFUNCTION("GOOGLETRANSLATE(A7079,""en"",""pt"")"),"Eu amo Harry Potter ...")</f>
        <v>Eu amo Harry Potter ...</v>
      </c>
      <c r="B7079" s="3">
        <v>1</v>
      </c>
    </row>
    <row r="7080" ht="15.75" customHeight="1" spans="1:2">
      <c r="A7080" s="3" t="str">
        <f>IFERROR(__xludf.DUMMYFUNCTION("GOOGLETRANSLATE(A7080,""en"",""pt"")"),"Harry Potter rochas!")</f>
        <v>Harry Potter rochas!</v>
      </c>
      <c r="B7080" s="3">
        <v>1</v>
      </c>
    </row>
    <row r="7081" ht="15.75" customHeight="1" spans="1:2">
      <c r="A7081" s="3" t="str">
        <f>IFERROR(__xludf.DUMMYFUNCTION("GOOGLETRANSLATE(A7081,""en"",""pt"")"),"Eu quase tinha esquecido o quanto eu amo Harry Potter.")</f>
        <v>Eu quase tinha esquecido o quanto eu amo Harry Potter.</v>
      </c>
      <c r="B7081" s="3">
        <v>1</v>
      </c>
    </row>
    <row r="7082" ht="15.75" customHeight="1" spans="1:2">
      <c r="A7082" s="3" t="str">
        <f>IFERROR(__xludf.DUMMYFUNCTION("GOOGLETRANSLATE(A7082,""en"",""pt"")"),"Eu amo Harry Potter.")</f>
        <v>Eu amo Harry Potter.</v>
      </c>
      <c r="B7082" s="3">
        <v>1</v>
      </c>
    </row>
    <row r="7083" ht="15.75" customHeight="1" spans="1:2">
      <c r="A7083" s="3" t="str">
        <f>IFERROR(__xludf.DUMMYFUNCTION("GOOGLETRANSLATE(A7083,""en"",""pt"")"),"Eu amo Harry Potter ......")</f>
        <v>Eu amo Harry Potter ......</v>
      </c>
      <c r="B7083" s="3">
        <v>1</v>
      </c>
    </row>
    <row r="7084" ht="15.75" customHeight="1" spans="1:2">
      <c r="A7084" s="3" t="str">
        <f>IFERROR(__xludf.DUMMYFUNCTION("GOOGLETRANSLATE(A7084,""en"",""pt"")"),"I â € ™ m também uma pessoa que muito aprecia conversas em profundidade, especialmente sobre assuntos Estou interessado e intrigado com, como Harry Potter.")</f>
        <v>I â € ™ m também uma pessoa que muito aprecia conversas em profundidade, especialmente sobre assuntos Estou interessado e intrigado com, como Harry Potter.</v>
      </c>
      <c r="B7084" s="3">
        <v>1</v>
      </c>
    </row>
    <row r="7085" ht="15.75" customHeight="1" spans="1:2">
      <c r="A7085" s="3" t="str">
        <f>IFERROR(__xludf.DUMMYFUNCTION("GOOGLETRANSLATE(A7085,""en"",""pt"")"),"sim, eu amo Harry Potter até a morte, lol! ..")</f>
        <v>sim, eu amo Harry Potter até a morte, lol! ..</v>
      </c>
      <c r="B7085" s="3">
        <v>1</v>
      </c>
    </row>
    <row r="7086" ht="15.75" customHeight="1" spans="1:2">
      <c r="A7086" s="3" t="str">
        <f>IFERROR(__xludf.DUMMYFUNCTION("GOOGLETRANSLATE(A7086,""en"",""pt"")"),"Eu também tenho a minha kick-ass Harry Potter robe que se presta muito bem para o Dia das Bruxas.")</f>
        <v>Eu também tenho a minha kick-ass Harry Potter robe que se presta muito bem para o Dia das Bruxas.</v>
      </c>
      <c r="B7086" s="3">
        <v>1</v>
      </c>
    </row>
    <row r="7087" ht="15.75" customHeight="1" spans="1:2">
      <c r="A7087" s="3" t="str">
        <f>IFERROR(__xludf.DUMMYFUNCTION("GOOGLETRANSLATE(A7087,""en"",""pt"")"),"e eu gosto de ler a série Harry Potter ...")</f>
        <v>e eu gosto de ler a série Harry Potter ...</v>
      </c>
      <c r="B7087" s="3">
        <v>1</v>
      </c>
    </row>
    <row r="7088" ht="15.75" customHeight="1" spans="1:2">
      <c r="A7088" s="3" t="str">
        <f>IFERROR(__xludf.DUMMYFUNCTION("GOOGLETRANSLATE(A7088,""en"",""pt"")"),"Harry Potter é brilhante.")</f>
        <v>Harry Potter é brilhante.</v>
      </c>
      <c r="B7088" s="3">
        <v>1</v>
      </c>
    </row>
    <row r="7089" ht="15.75" customHeight="1" spans="1:2">
      <c r="A7089" s="3" t="str">
        <f>IFERROR(__xludf.DUMMYFUNCTION("GOOGLETRANSLATE(A7089,""en"",""pt"")"),"Não me interpretem mal, eu gosto de Harry Potter, mas eu preciso de um filme de fantasia de um tipo diferente de vez em quando.")</f>
        <v>Não me interpretem mal, eu gosto de Harry Potter, mas eu preciso de um filme de fantasia de um tipo diferente de vez em quando.</v>
      </c>
      <c r="B7089" s="3">
        <v>1</v>
      </c>
    </row>
    <row r="7090" ht="15.75" customHeight="1" spans="1:2">
      <c r="A7090" s="3" t="str">
        <f>IFERROR(__xludf.DUMMYFUNCTION("GOOGLETRANSLATE(A7090,""en"",""pt"")"),"Eu amo a sua Harry Potter Salão ~ kaka ..")</f>
        <v>Eu amo a sua Harry Potter Salão ~ kaka ..</v>
      </c>
      <c r="B7090" s="3">
        <v>1</v>
      </c>
    </row>
    <row r="7091" ht="15.75" customHeight="1" spans="1:2">
      <c r="A7091" s="3" t="str">
        <f>IFERROR(__xludf.DUMMYFUNCTION("GOOGLETRANSLATE(A7091,""en"",""pt"")"),"Ele pode ser visto em todo o telas de cinema e televisão ou na novela popular, a mania Harry Potter é um exemplo perfeito de adaptação de uma versão literária de ambos.")</f>
        <v>Ele pode ser visto em todo o telas de cinema e televisão ou na novela popular, a mania Harry Potter é um exemplo perfeito de adaptação de uma versão literária de ambos.</v>
      </c>
      <c r="B7091" s="3">
        <v>1</v>
      </c>
    </row>
    <row r="7092" ht="15.75" customHeight="1" spans="1:2">
      <c r="A7092" s="3" t="str">
        <f>IFERROR(__xludf.DUMMYFUNCTION("GOOGLETRANSLATE(A7092,""en"",""pt"")"),"Amo a série Harry Potter que eu não tente falar muito sobre isso ..")</f>
        <v>Amo a série Harry Potter que eu não tente falar muito sobre isso ..</v>
      </c>
      <c r="B7092" s="3">
        <v>1</v>
      </c>
    </row>
    <row r="7093" ht="15.75" customHeight="1" spans="1:2">
      <c r="A7093" s="3" t="str">
        <f>IFERROR(__xludf.DUMMYFUNCTION("GOOGLETRANSLATE(A7093,""en"",""pt"")"),"Eu amo Harry Potter.")</f>
        <v>Eu amo Harry Potter.</v>
      </c>
      <c r="B7093" s="3">
        <v>1</v>
      </c>
    </row>
    <row r="7094" ht="15.75" customHeight="1" spans="1:2">
      <c r="A7094" s="3" t="str">
        <f>IFERROR(__xludf.DUMMYFUNCTION("GOOGLETRANSLATE(A7094,""en"",""pt"")"),"Amo a série Harry Potter que eu não tente falar muito sobre isso ..")</f>
        <v>Amo a série Harry Potter que eu não tente falar muito sobre isso ..</v>
      </c>
      <c r="B7094" s="3">
        <v>1</v>
      </c>
    </row>
    <row r="7095" ht="15.75" customHeight="1" spans="1:2">
      <c r="A7095" s="3" t="str">
        <f>IFERROR(__xludf.DUMMYFUNCTION("GOOGLETRANSLATE(A7095,""en"",""pt"")"),"Amo a série Harry Potter que eu não tente falar muito sobre isso ..")</f>
        <v>Amo a série Harry Potter que eu não tente falar muito sobre isso ..</v>
      </c>
      <c r="B7095" s="3">
        <v>1</v>
      </c>
    </row>
    <row r="7096" ht="15.75" customHeight="1" spans="1:2">
      <c r="A7096" s="3" t="str">
        <f>IFERROR(__xludf.DUMMYFUNCTION("GOOGLETRANSLATE(A7096,""en"",""pt"")"),"Amo a série Harry Potter que eu não tente falar muito sobre isso ..")</f>
        <v>Amo a série Harry Potter que eu não tente falar muito sobre isso ..</v>
      </c>
      <c r="B7096" s="3">
        <v>1</v>
      </c>
    </row>
    <row r="7097" ht="15.75" customHeight="1" spans="1:2">
      <c r="A7097" s="3" t="str">
        <f>IFERROR(__xludf.DUMMYFUNCTION("GOOGLETRANSLATE(A7097,""en"",""pt"")"),"Amo a série Harry Potter que eu não tente falar muito sobre isso ..")</f>
        <v>Amo a série Harry Potter que eu não tente falar muito sobre isso ..</v>
      </c>
      <c r="B7097" s="3">
        <v>1</v>
      </c>
    </row>
    <row r="7098" ht="15.75" customHeight="1" spans="1:2">
      <c r="A7098" s="3" t="str">
        <f>IFERROR(__xludf.DUMMYFUNCTION("GOOGLETRANSLATE(A7098,""en"",""pt"")"),"O que me faz amar Harry Potter é a maneira que apenas agarra-lo.")</f>
        <v>O que me faz amar Harry Potter é a maneira que apenas agarra-lo.</v>
      </c>
      <c r="B7098" s="3">
        <v>1</v>
      </c>
    </row>
    <row r="7099" ht="15.75" customHeight="1" spans="1:2">
      <c r="A7099" s="3" t="str">
        <f>IFERROR(__xludf.DUMMYFUNCTION("GOOGLETRANSLATE(A7099,""en"",""pt"")"),"Porque eu amo Harry Potter.")</f>
        <v>Porque eu amo Harry Potter.</v>
      </c>
      <c r="B7099" s="3">
        <v>1</v>
      </c>
    </row>
    <row r="7100" ht="15.75" customHeight="1" spans="1:2">
      <c r="A7100" s="3" t="str">
        <f>IFERROR(__xludf.DUMMYFUNCTION("GOOGLETRANSLATE(A7100,""en"",""pt"")"),"Eu tenho um trabalho e faculdade, mas eu amo Harry Potter e eu vou tentar resolver o mais rápido que eu puder.")</f>
        <v>Eu tenho um trabalho e faculdade, mas eu amo Harry Potter e eu vou tentar resolver o mais rápido que eu puder.</v>
      </c>
      <c r="B7100" s="3">
        <v>1</v>
      </c>
    </row>
    <row r="7101" ht="15.75" customHeight="1" spans="1:2">
      <c r="A7101" s="3" t="str">
        <f>IFERROR(__xludf.DUMMYFUNCTION("GOOGLETRANSLATE(A7101,""en"",""pt"")"),"Harry Potter e por que rochas.")</f>
        <v>Harry Potter e por que rochas.</v>
      </c>
      <c r="B7101" s="3">
        <v>1</v>
      </c>
    </row>
    <row r="7102" ht="15.75" customHeight="1" spans="1:2">
      <c r="A7102" s="3" t="str">
        <f>IFERROR(__xludf.DUMMYFUNCTION("GOOGLETRANSLATE(A7102,""en"",""pt"")"),"Em primeiro lugar, devo dizer que eu apreciei cada filme de Harry Potter muito.")</f>
        <v>Em primeiro lugar, devo dizer que eu apreciei cada filme de Harry Potter muito.</v>
      </c>
      <c r="B7102" s="3">
        <v>1</v>
      </c>
    </row>
    <row r="7103" ht="15.75" customHeight="1" spans="1:2">
      <c r="A7103" s="3" t="str">
        <f>IFERROR(__xludf.DUMMYFUNCTION("GOOGLETRANSLATE(A7103,""en"",""pt"")"),"Eu amo todos os fãs de Harry Potter.")</f>
        <v>Eu amo todos os fãs de Harry Potter.</v>
      </c>
      <c r="B7103" s="3">
        <v>1</v>
      </c>
    </row>
    <row r="7104" ht="15.75" customHeight="1" spans="1:2">
      <c r="A7104" s="3" t="str">
        <f>IFERROR(__xludf.DUMMYFUNCTION("GOOGLETRANSLATE(A7104,""en"",""pt"")"),"Harry Potter = lindo !.")</f>
        <v>Harry Potter = lindo !.</v>
      </c>
      <c r="B7104" s="3">
        <v>1</v>
      </c>
    </row>
    <row r="7105" ht="15.75" customHeight="1" spans="1:2">
      <c r="A7105" s="3" t="str">
        <f>IFERROR(__xludf.DUMMYFUNCTION("GOOGLETRANSLATE(A7105,""en"",""pt"")"),"O que eu quero fazer é vestir-se como Harry Potter, mas eu realmente não tenho um monte de dinheiro e eu não tenho sido capaz de encontrar qualquer lugar da cidade que teve adultos Harry Potter fantasias.")</f>
        <v>O que eu quero fazer é vestir-se como Harry Potter, mas eu realmente não tenho um monte de dinheiro e eu não tenho sido capaz de encontrar qualquer lugar da cidade que teve adultos Harry Potter fantasias.</v>
      </c>
      <c r="B7105" s="3">
        <v>1</v>
      </c>
    </row>
    <row r="7106" ht="15.75" customHeight="1" spans="1:2">
      <c r="A7106" s="3" t="str">
        <f>IFERROR(__xludf.DUMMYFUNCTION("GOOGLETRANSLATE(A7106,""en"",""pt"")"),"Harry Potter é incrível ..")</f>
        <v>Harry Potter é incrível ..</v>
      </c>
      <c r="B7106" s="3">
        <v>1</v>
      </c>
    </row>
    <row r="7107" ht="15.75" customHeight="1" spans="1:2">
      <c r="A7107" s="3" t="str">
        <f>IFERROR(__xludf.DUMMYFUNCTION("GOOGLETRANSLATE(A7107,""en"",""pt"")"),"Harry Potter e o véu da escuridão por Oceanos Phoenix Palavra totalizam 517.648 e contagem. (6º ano fic, na verdade, parece bastante interessante.")</f>
        <v>Harry Potter e o véu da escuridão por Oceanos Phoenix Palavra totalizam 517.648 e contagem. (6º ano fic, na verdade, parece bastante interessante.</v>
      </c>
      <c r="B7107" s="3">
        <v>1</v>
      </c>
    </row>
    <row r="7108" ht="15.75" customHeight="1" spans="1:2">
      <c r="A7108" s="3" t="str">
        <f>IFERROR(__xludf.DUMMYFUNCTION("GOOGLETRANSLATE(A7108,""en"",""pt"")"),"Eu também amo Harry Potter ,, e eu estou estranhamente atraída por livros de vampiros (não me pergunte o porquê).")</f>
        <v>Eu também amo Harry Potter ,, e eu estou estranhamente atraída por livros de vampiros (não me pergunte o porquê).</v>
      </c>
      <c r="B7108" s="3">
        <v>1</v>
      </c>
    </row>
    <row r="7109" ht="15.75" customHeight="1" spans="1:2">
      <c r="A7109" s="3" t="str">
        <f>IFERROR(__xludf.DUMMYFUNCTION("GOOGLETRANSLATE(A7109,""en"",""pt"")"),"Harry Potter = lindo !.")</f>
        <v>Harry Potter = lindo !.</v>
      </c>
      <c r="B7109" s="3">
        <v>1</v>
      </c>
    </row>
    <row r="7110" ht="15.75" customHeight="1" spans="1:2">
      <c r="A7110" s="3" t="str">
        <f>IFERROR(__xludf.DUMMYFUNCTION("GOOGLETRANSLATE(A7110,""en"",""pt"")"),"Quero Harry Potter volta! ..")</f>
        <v>Quero Harry Potter volta! ..</v>
      </c>
      <c r="B7110" s="3">
        <v>1</v>
      </c>
    </row>
    <row r="7111" ht="15.75" customHeight="1" spans="1:2">
      <c r="A7111" s="3" t="str">
        <f>IFERROR(__xludf.DUMMYFUNCTION("GOOGLETRANSLATE(A7111,""en"",""pt"")"),"A / N: Este é um presente para sivullinen que pediu: â € Eu adoraria algum NC-17 het em Harry Potter fãs.")</f>
        <v>A / N: Este é um presente para sivullinen que pediu: â € Eu adoraria algum NC-17 het em Harry Potter fãs.</v>
      </c>
      <c r="B7111" s="3">
        <v>1</v>
      </c>
    </row>
    <row r="7112" ht="15.75" customHeight="1" spans="1:2">
      <c r="A7112" s="3" t="str">
        <f>IFERROR(__xludf.DUMMYFUNCTION("GOOGLETRANSLATE(A7112,""en"",""pt"")"),"Gosto de tirar Harry Potter quizzes.")</f>
        <v>Gosto de tirar Harry Potter quizzes.</v>
      </c>
      <c r="B7112" s="3">
        <v>1</v>
      </c>
    </row>
    <row r="7113" ht="15.75" customHeight="1" spans="1:2">
      <c r="A7113" s="3" t="str">
        <f>IFERROR(__xludf.DUMMYFUNCTION("GOOGLETRANSLATE(A7113,""en"",""pt"")"),"Decidir como eu quero o 7º Harry Potter para ir - ..")</f>
        <v>Decidir como eu quero o 7º Harry Potter para ir - ..</v>
      </c>
      <c r="B7113" s="3">
        <v>1</v>
      </c>
    </row>
    <row r="7114" ht="15.75" customHeight="1" spans="1:2">
      <c r="A7114" s="3" t="str">
        <f>IFERROR(__xludf.DUMMYFUNCTION("GOOGLETRANSLATE(A7114,""en"",""pt"")"),"A / N: Este é um presente para sivullinen que pediu: â € Eu adoraria algum NC-17 het em Harry Potter fãs.")</f>
        <v>A / N: Este é um presente para sivullinen que pediu: â € Eu adoraria algum NC-17 het em Harry Potter fãs.</v>
      </c>
      <c r="B7114" s="3">
        <v>1</v>
      </c>
    </row>
    <row r="7115" ht="15.75" customHeight="1" spans="1:2">
      <c r="A7115" s="3" t="str">
        <f>IFERROR(__xludf.DUMMYFUNCTION("GOOGLETRANSLATE(A7115,""en"",""pt"")"),"XD Eu também gosto de Harry Potter, anime, manga, leitura, comida, filmes, música, amigos ...")</f>
        <v>XD Eu também gosto de Harry Potter, anime, manga, leitura, comida, filmes, música, amigos ...</v>
      </c>
      <c r="B7115" s="3">
        <v>1</v>
      </c>
    </row>
    <row r="7116" ht="15.75" customHeight="1" spans="1:2">
      <c r="A7116" s="3" t="str">
        <f>IFERROR(__xludf.DUMMYFUNCTION("GOOGLETRANSLATE(A7116,""en"",""pt"")"),"Â eu gostei Harry Potter e eu vou ser desculpa para vê-lo crescer.")</f>
        <v>Â eu gostei Harry Potter e eu vou ser desculpa para vê-lo crescer.</v>
      </c>
      <c r="B7116" s="3">
        <v>1</v>
      </c>
    </row>
    <row r="7117" ht="15.75" customHeight="1" spans="1:2">
      <c r="A7117" s="3" t="str">
        <f>IFERROR(__xludf.DUMMYFUNCTION("GOOGLETRANSLATE(A7117,""en"",""pt"")"),"Pessoalmente, eu amo ler livros de Harry Potter.")</f>
        <v>Pessoalmente, eu amo ler livros de Harry Potter.</v>
      </c>
      <c r="B7117" s="3">
        <v>1</v>
      </c>
    </row>
    <row r="7118" ht="15.75" customHeight="1" spans="1:2">
      <c r="A7118" s="3" t="str">
        <f>IFERROR(__xludf.DUMMYFUNCTION("GOOGLETRANSLATE(A7118,""en"",""pt"")"),"Harry Potter ensaio foi muito bom também.")</f>
        <v>Harry Potter ensaio foi muito bom também.</v>
      </c>
      <c r="B7118" s="3">
        <v>1</v>
      </c>
    </row>
    <row r="7119" ht="15.75" customHeight="1" spans="1:2">
      <c r="A7119" s="3" t="str">
        <f>IFERROR(__xludf.DUMMYFUNCTION("GOOGLETRANSLATE(A7119,""en"",""pt"")"),"Então eu decidi que ter uma capa de invisibilidade como Harry Potter seria excelente.")</f>
        <v>Então eu decidi que ter uma capa de invisibilidade como Harry Potter seria excelente.</v>
      </c>
      <c r="B7119" s="3">
        <v>1</v>
      </c>
    </row>
    <row r="7120" ht="15.75" customHeight="1" spans="1:2">
      <c r="A7120" s="3" t="str">
        <f>IFERROR(__xludf.DUMMYFUNCTION("GOOGLETRANSLATE(A7120,""en"",""pt"")"),"Harry Potter e o Cálice de Fogo: ""é bom que folows na dos outros filmes"" ..")</f>
        <v>Harry Potter e o Cálice de Fogo: "é bom que folows na dos outros filmes" ..</v>
      </c>
      <c r="B7120" s="3">
        <v>1</v>
      </c>
    </row>
    <row r="7121" ht="15.75" customHeight="1" spans="1:2">
      <c r="A7121" s="3" t="str">
        <f>IFERROR(__xludf.DUMMYFUNCTION("GOOGLETRANSLATE(A7121,""en"",""pt"")"),"Eu sinto falta de Harry Potter e outras coisas, o homem ........")</f>
        <v>Eu sinto falta de Harry Potter e outras coisas, o homem ........</v>
      </c>
      <c r="B7121" s="3">
        <v>1</v>
      </c>
    </row>
    <row r="7122" ht="15.75" customHeight="1" spans="1:2">
      <c r="A7122" s="3" t="str">
        <f>IFERROR(__xludf.DUMMYFUNCTION("GOOGLETRANSLATE(A7122,""en"",""pt"")"),"Se eu tivesse uma máquina que me permite ver o futuro, como Harry Potter ï¿½ ...")</f>
        <v>Se eu tivesse uma máquina que me permite ver o futuro, como Harry Potter ï¿½ ...</v>
      </c>
      <c r="B7122" s="3">
        <v>1</v>
      </c>
    </row>
    <row r="7123" ht="15.75" customHeight="1" spans="1:2">
      <c r="A7123" s="3" t="str">
        <f>IFERROR(__xludf.DUMMYFUNCTION("GOOGLETRANSLATE(A7123,""en"",""pt"")"),"Desde que eu nunca tinha lido um livro que não estava em Português ou Espanhol, ela me disse para ler um livro infantil como Harry Potter em primeiro lugar.")</f>
        <v>Desde que eu nunca tinha lido um livro que não estava em Português ou Espanhol, ela me disse para ler um livro infantil como Harry Potter em primeiro lugar.</v>
      </c>
      <c r="B7123" s="3">
        <v>1</v>
      </c>
    </row>
    <row r="7124" ht="15.75" customHeight="1" spans="1:2">
      <c r="A7124" s="3" t="str">
        <f>IFERROR(__xludf.DUMMYFUNCTION("GOOGLETRANSLATE(A7124,""en"",""pt"")"),"E eu gosto de Harry Potter.")</f>
        <v>E eu gosto de Harry Potter.</v>
      </c>
      <c r="B7124" s="3">
        <v>1</v>
      </c>
    </row>
    <row r="7125" ht="15.75" customHeight="1" spans="1:2">
      <c r="A7125" s="3" t="str">
        <f>IFERROR(__xludf.DUMMYFUNCTION("GOOGLETRANSLATE(A7125,""en"",""pt"")"),"I pânico amor Harry Potter !.")</f>
        <v>I pânico amor Harry Potter !.</v>
      </c>
      <c r="B7125" s="3">
        <v>1</v>
      </c>
    </row>
    <row r="7126" ht="15.75" customHeight="1" spans="1:2">
      <c r="A7126" s="3" t="str">
        <f>IFERROR(__xludf.DUMMYFUNCTION("GOOGLETRANSLATE(A7126,""en"",""pt"")"),"Eu sinto falta de ver Harry Potter como 200 vezes com você ..")</f>
        <v>Eu sinto falta de ver Harry Potter como 200 vezes com você ..</v>
      </c>
      <c r="B7126" s="3">
        <v>1</v>
      </c>
    </row>
    <row r="7127" ht="15.75" customHeight="1" spans="1:2">
      <c r="A7127" s="3" t="str">
        <f>IFERROR(__xludf.DUMMYFUNCTION("GOOGLETRANSLATE(A7127,""en"",""pt"")"),"I como a explicação Harry Potter embora que as meninas sempre viajam em grupos.")</f>
        <v>I como a explicação Harry Potter embora que as meninas sempre viajam em grupos.</v>
      </c>
      <c r="B7127" s="3">
        <v>1</v>
      </c>
    </row>
    <row r="7128" ht="15.75" customHeight="1" spans="1:2">
      <c r="A7128" s="3" t="str">
        <f>IFERROR(__xludf.DUMMYFUNCTION("GOOGLETRANSLATE(A7128,""en"",""pt"")"),"feita em pânico impressionantes emoticons animados de Harry Potter.")</f>
        <v>feita em pânico impressionantes emoticons animados de Harry Potter.</v>
      </c>
      <c r="B7128" s="3">
        <v>1</v>
      </c>
    </row>
    <row r="7129" ht="15.75" customHeight="1" spans="1:2">
      <c r="A7129" s="3" t="str">
        <f>IFERROR(__xludf.DUMMYFUNCTION("GOOGLETRANSLATE(A7129,""en"",""pt"")"),"I manter gettting em pouco Eu quero que meus ataques de Harry Potter e ter que assistir 4, que eu também não posso esperar até 5 de fora nos filmes.")</f>
        <v>I manter gettting em pouco Eu quero que meus ataques de Harry Potter e ter que assistir 4, que eu também não posso esperar até 5 de fora nos filmes.</v>
      </c>
      <c r="B7129" s="3">
        <v>1</v>
      </c>
    </row>
    <row r="7130" ht="15.75" customHeight="1" spans="1:2">
      <c r="A7130" s="3" t="str">
        <f>IFERROR(__xludf.DUMMYFUNCTION("GOOGLETRANSLATE(A7130,""en"",""pt"")"),"Aparentemente eu vai querer lançar feitiços sobre as pessoas, porque eu como Harry Potter.")</f>
        <v>Aparentemente eu vai querer lançar feitiços sobre as pessoas, porque eu como Harry Potter.</v>
      </c>
      <c r="B7130" s="3">
        <v>1</v>
      </c>
    </row>
    <row r="7131" ht="15.75" customHeight="1" spans="1:2">
      <c r="A7131" s="3" t="str">
        <f>IFERROR(__xludf.DUMMYFUNCTION("GOOGLETRANSLATE(A7131,""en"",""pt"")"),"Para ser justo, Harry Potter eo Cálice de Fogo (o romance) é simplesmente uma sombra inferior brilhante do que os outros, mas eu tive problemas com ele.")</f>
        <v>Para ser justo, Harry Potter eo Cálice de Fogo (o romance) é simplesmente uma sombra inferior brilhante do que os outros, mas eu tive problemas com ele.</v>
      </c>
      <c r="B7131" s="3">
        <v>1</v>
      </c>
    </row>
    <row r="7132" ht="15.75" customHeight="1" spans="1:2">
      <c r="A7132" s="3" t="str">
        <f>IFERROR(__xludf.DUMMYFUNCTION("GOOGLETRANSLATE(A7132,""en"",""pt"")"),"Livro-Eu amo os livros de Harry Potter.")</f>
        <v>Livro-Eu amo os livros de Harry Potter.</v>
      </c>
      <c r="B7132" s="3">
        <v>1</v>
      </c>
    </row>
    <row r="7133" ht="15.75" customHeight="1" spans="1:2">
      <c r="A7133" s="3" t="str">
        <f>IFERROR(__xludf.DUMMYFUNCTION("GOOGLETRANSLATE(A7133,""en"",""pt"")"),"Se você não sabe que eu amo ler Harry Potter, você provavelmente nunca leu meus outros posts antes.")</f>
        <v>Se você não sabe que eu amo ler Harry Potter, você provavelmente nunca leu meus outros posts antes.</v>
      </c>
      <c r="B7133" s="3">
        <v>1</v>
      </c>
    </row>
    <row r="7134" ht="15.75" customHeight="1" spans="1:2">
      <c r="A7134" s="3" t="str">
        <f>IFERROR(__xludf.DUMMYFUNCTION("GOOGLETRANSLATE(A7134,""en"",""pt"")"),"De qualquer forma, nós dois amamos Harry Potter, livros, Piratas do Caribe, tirar fotos, e escrita e temos o mesmo senso sarcástico e de humor subtil.")</f>
        <v>De qualquer forma, nós dois amamos Harry Potter, livros, Piratas do Caribe, tirar fotos, e escrita e temos o mesmo senso sarcástico e de humor subtil.</v>
      </c>
      <c r="B7134" s="3">
        <v>1</v>
      </c>
    </row>
    <row r="7135" ht="15.75" customHeight="1" spans="1:2">
      <c r="A7135" s="3" t="str">
        <f>IFERROR(__xludf.DUMMYFUNCTION("GOOGLETRANSLATE(A7135,""en"",""pt"")"),"Eu também amo Harry Potter, mas eu â € ™ m não muito grande no lado do OTP e envio do mesmo ....")</f>
        <v>Eu também amo Harry Potter, mas eu â € ™ m não muito grande no lado do OTP e envio do mesmo ....</v>
      </c>
      <c r="B7135" s="3">
        <v>1</v>
      </c>
    </row>
    <row r="7136" ht="15.75" customHeight="1" spans="1:2">
      <c r="A7136" s="3" t="str">
        <f>IFERROR(__xludf.DUMMYFUNCTION("GOOGLETRANSLATE(A7136,""en"",""pt"")"),"Harry Potter é uma história de boa conquista o mal e as amizades que se formam ao longo do caminho ...")</f>
        <v>Harry Potter é uma história de boa conquista o mal e as amizades que se formam ao longo do caminho ...</v>
      </c>
      <c r="B7136" s="3">
        <v>1</v>
      </c>
    </row>
    <row r="7137" ht="15.75" customHeight="1" spans="1:2">
      <c r="A7137" s="3" t="str">
        <f>IFERROR(__xludf.DUMMYFUNCTION("GOOGLETRANSLATE(A7137,""en"",""pt"")"),"Harry Potter Rochas !!!!!!!!!")</f>
        <v>Harry Potter Rochas !!!!!!!!!</v>
      </c>
      <c r="B7137" s="3">
        <v>1</v>
      </c>
    </row>
    <row r="7138" ht="15.75" customHeight="1" spans="1:2">
      <c r="A7138" s="3" t="str">
        <f>IFERROR(__xludf.DUMMYFUNCTION("GOOGLETRANSLATE(A7138,""en"",""pt"")"),"Eu amo Harry Potter.")</f>
        <v>Eu amo Harry Potter.</v>
      </c>
      <c r="B7138" s="3">
        <v>1</v>
      </c>
    </row>
    <row r="7139" ht="15.75" customHeight="1" spans="1:2">
      <c r="A7139" s="3" t="str">
        <f>IFERROR(__xludf.DUMMYFUNCTION("GOOGLETRANSLATE(A7139,""en"",""pt"")"),"Eu amo Harry Potter (os livros são muito melhores do que os filmes).")</f>
        <v>Eu amo Harry Potter (os livros são muito melhores do que os filmes).</v>
      </c>
      <c r="B7139" s="3">
        <v>1</v>
      </c>
    </row>
    <row r="7140" ht="15.75" customHeight="1" spans="1:2">
      <c r="A7140" s="3" t="str">
        <f>IFERROR(__xludf.DUMMYFUNCTION("GOOGLETRANSLATE(A7140,""en"",""pt"")"),"mas eu também adoro os livros de Harry Potter !! ...")</f>
        <v>mas eu também adoro os livros de Harry Potter !! ...</v>
      </c>
      <c r="B7140" s="3">
        <v>1</v>
      </c>
    </row>
    <row r="7141" ht="15.75" customHeight="1" spans="1:2">
      <c r="A7141" s="3" t="str">
        <f>IFERROR(__xludf.DUMMYFUNCTION("GOOGLETRANSLATE(A7141,""en"",""pt"")"),"Eu amo Harry Potter.")</f>
        <v>Eu amo Harry Potter.</v>
      </c>
      <c r="B7141" s="3">
        <v>1</v>
      </c>
    </row>
    <row r="7142" ht="15.75" customHeight="1" spans="1:2">
      <c r="A7142" s="3" t="str">
        <f>IFERROR(__xludf.DUMMYFUNCTION("GOOGLETRANSLATE(A7142,""en"",""pt"")"),"mas você sabe o que eu desfrutar da leitura mais ou assistindo qualquer coisa Harry Potter relacionado durante o inverno, mais especificamente, quando a árvore de Natal é para cima e está nevando lá fora.")</f>
        <v>mas você sabe o que eu desfrutar da leitura mais ou assistindo qualquer coisa Harry Potter relacionado durante o inverno, mais especificamente, quando a árvore de Natal é para cima e está nevando lá fora.</v>
      </c>
      <c r="B7142" s="3">
        <v>1</v>
      </c>
    </row>
    <row r="7143" ht="15.75" customHeight="1" spans="1:2">
      <c r="A7143" s="3" t="str">
        <f>IFERROR(__xludf.DUMMYFUNCTION("GOOGLETRANSLATE(A7143,""en"",""pt"")"),"E eu amo Harry Potter, e ele iria me devastar não ser incluído.")</f>
        <v>E eu amo Harry Potter, e ele iria me devastar não ser incluído.</v>
      </c>
      <c r="B7143" s="3">
        <v>1</v>
      </c>
    </row>
    <row r="7144" ht="15.75" customHeight="1" spans="1:2">
      <c r="A7144" s="3" t="str">
        <f>IFERROR(__xludf.DUMMYFUNCTION("GOOGLETRANSLATE(A7144,""en"",""pt"")"),"Eu amo o seu colorido Harry Potter também:).")</f>
        <v>Eu amo o seu colorido Harry Potter também:).</v>
      </c>
      <c r="B7144" s="3">
        <v>1</v>
      </c>
    </row>
    <row r="7145" ht="15.75" customHeight="1" spans="1:2">
      <c r="A7145" s="3" t="str">
        <f>IFERROR(__xludf.DUMMYFUNCTION("GOOGLETRANSLATE(A7145,""en"",""pt"")"),"Eu amo debates Harry Potter intelectuais ..")</f>
        <v>Eu amo debates Harry Potter intelectuais ..</v>
      </c>
      <c r="B7145" s="3">
        <v>1</v>
      </c>
    </row>
    <row r="7146" ht="15.75" customHeight="1" spans="1:2">
      <c r="A7146" s="3" t="str">
        <f>IFERROR(__xludf.DUMMYFUNCTION("GOOGLETRANSLATE(A7146,""en"",""pt"")"),"Independentemente de saber se ela escreve-los ou não, eu tenho certeza que o legado Harry Potter está em boas mãos e eu espero que o grand finale faz jus ao hype .....")</f>
        <v>Independentemente de saber se ela escreve-los ou não, eu tenho certeza que o legado Harry Potter está em boas mãos e eu espero que o grand finale faz jus ao hype .....</v>
      </c>
      <c r="B7146" s="3">
        <v>1</v>
      </c>
    </row>
    <row r="7147" ht="15.75" customHeight="1" spans="1:2">
      <c r="A7147" s="3" t="str">
        <f>IFERROR(__xludf.DUMMYFUNCTION("GOOGLETRANSLATE(A7147,""en"",""pt"")"),"EU AMO Harry Potter.")</f>
        <v>EU AMO Harry Potter.</v>
      </c>
      <c r="B7147" s="3">
        <v>1</v>
      </c>
    </row>
    <row r="7148" ht="15.75" customHeight="1" spans="1:2">
      <c r="A7148" s="3" t="str">
        <f>IFERROR(__xludf.DUMMYFUNCTION("GOOGLETRANSLATE(A7148,""en"",""pt"")"),"Eu amo Harry Potter, mas agora eu odeio isso (me mais jovem sis de vê-lo).")</f>
        <v>Eu amo Harry Potter, mas agora eu odeio isso (me mais jovem sis de vê-lo).</v>
      </c>
      <c r="B7148" s="3">
        <v>1</v>
      </c>
    </row>
    <row r="7149" ht="15.75" customHeight="1" spans="1:2">
      <c r="A7149" s="3" t="str">
        <f>IFERROR(__xludf.DUMMYFUNCTION("GOOGLETRANSLATE(A7149,""en"",""pt"")"),"Que ama Harry Potter ...")</f>
        <v>Que ama Harry Potter ...</v>
      </c>
      <c r="B7149" s="3">
        <v>1</v>
      </c>
    </row>
    <row r="7150" ht="15.75" customHeight="1" spans="1:2">
      <c r="A7150" s="3" t="str">
        <f>IFERROR(__xludf.DUMMYFUNCTION("GOOGLETRANSLATE(A7150,""en"",""pt"")"),"Se há uma coisa amor que eu tanto como Harry Potter, o seu Avatar !!! ..")</f>
        <v>Se há uma coisa amor que eu tanto como Harry Potter, o seu Avatar !!! ..</v>
      </c>
      <c r="B7150" s="3">
        <v>1</v>
      </c>
    </row>
    <row r="7151" ht="15.75" customHeight="1" spans="1:2">
      <c r="A7151" s="3" t="str">
        <f>IFERROR(__xludf.DUMMYFUNCTION("GOOGLETRANSLATE(A7151,""en"",""pt"")"),"Eu realmente gosto de Harry Potter, Dia Sports, The Messiah Complex e parou por histórias policiais também, como você pode ver eu como os mais queridos ..")</f>
        <v>Eu realmente gosto de Harry Potter, Dia Sports, The Messiah Complex e parou por histórias policiais também, como você pode ver eu como os mais queridos ..</v>
      </c>
      <c r="B7151" s="3">
        <v>1</v>
      </c>
    </row>
    <row r="7152" ht="15.75" customHeight="1" spans="1:2">
      <c r="A7152" s="3" t="str">
        <f>IFERROR(__xludf.DUMMYFUNCTION("GOOGLETRANSLATE(A7152,""en"",""pt"")"),"Eu amo Harry Potter, mas a cada poucos meses ou então eu vou passar por uma fase de intensa Harry Potter.")</f>
        <v>Eu amo Harry Potter, mas a cada poucos meses ou então eu vou passar por uma fase de intensa Harry Potter.</v>
      </c>
      <c r="B7152" s="3">
        <v>1</v>
      </c>
    </row>
    <row r="7153" ht="15.75" customHeight="1" spans="1:2">
      <c r="A7153" s="3" t="str">
        <f>IFERROR(__xludf.DUMMYFUNCTION("GOOGLETRANSLATE(A7153,""en"",""pt"")"),"Idk porquê, mas ícones Harry Potter são sempre os mais divertidos .......")</f>
        <v>Idk porquê, mas ícones Harry Potter são sempre os mais divertidos .......</v>
      </c>
      <c r="B7153" s="3">
        <v>1</v>
      </c>
    </row>
    <row r="7154" ht="15.75" customHeight="1" spans="1:2">
      <c r="A7154" s="3" t="str">
        <f>IFERROR(__xludf.DUMMYFUNCTION("GOOGLETRANSLATE(A7154,""en"",""pt"")"),"Eu gosto de Harry Potter ..")</f>
        <v>Eu gosto de Harry Potter ..</v>
      </c>
      <c r="B7154" s="3">
        <v>1</v>
      </c>
    </row>
    <row r="7155" ht="15.75" customHeight="1" spans="1:2">
      <c r="A7155" s="3" t="str">
        <f>IFERROR(__xludf.DUMMYFUNCTION("GOOGLETRANSLATE(A7155,""en"",""pt"")"),"Fico feliz que você tenha gostado e sim, eu sou um grande fã de Harry Potter e um fã de literatura infantil.")</f>
        <v>Fico feliz que você tenha gostado e sim, eu sou um grande fã de Harry Potter e um fã de literatura infantil.</v>
      </c>
      <c r="B7155" s="3">
        <v>1</v>
      </c>
    </row>
    <row r="7156" ht="15.75" customHeight="1" spans="1:2">
      <c r="A7156" s="3" t="str">
        <f>IFERROR(__xludf.DUMMYFUNCTION("GOOGLETRANSLATE(A7156,""en"",""pt"")"),"Porque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156" s="3">
        <v>1</v>
      </c>
    </row>
    <row r="7157" ht="15.75" customHeight="1" spans="1:2">
      <c r="A7157" s="3" t="str">
        <f>IFERROR(__xludf.DUMMYFUNCTION("GOOGLETRANSLATE(A7157,""en"",""pt"")"),"a história de Harry Potter é um forte e profundo, e eu amo Harry Potter.")</f>
        <v>a história de Harry Potter é um forte e profundo, e eu amo Harry Potter.</v>
      </c>
      <c r="B7157" s="3">
        <v>1</v>
      </c>
    </row>
    <row r="7158" ht="15.75" customHeight="1" spans="1:2">
      <c r="A7158" s="3" t="str">
        <f>IFERROR(__xludf.DUMMYFUNCTION("GOOGLETRANSLATE(A7158,""en"",""pt"")"),"Harry Potter é IMPRESSIONANTE Eu não me importo se alguém disser diferente! ..")</f>
        <v>Harry Potter é IMPRESSIONANTE Eu não me importo se alguém disser diferente! ..</v>
      </c>
      <c r="B7158" s="3">
        <v>1</v>
      </c>
    </row>
    <row r="7159" ht="15.75" customHeight="1" spans="1:2">
      <c r="A7159" s="3" t="str">
        <f>IFERROR(__xludf.DUMMYFUNCTION("GOOGLETRANSLATE(A7159,""en"",""pt"")"),"Eu amo Harry Potter ..")</f>
        <v>Eu amo Harry Potter ..</v>
      </c>
      <c r="B7159" s="3">
        <v>1</v>
      </c>
    </row>
    <row r="7160" ht="15.75" customHeight="1" spans="1:2">
      <c r="A7160" s="3" t="str">
        <f>IFERROR(__xludf.DUMMYFUNCTION("GOOGLETRANSLATE(A7160,""en"",""pt"")"),"Eu amo Harry Potter.")</f>
        <v>Eu amo Harry Potter.</v>
      </c>
      <c r="B7160" s="3">
        <v>1</v>
      </c>
    </row>
    <row r="7161" ht="15.75" customHeight="1" spans="1:2">
      <c r="A7161" s="3" t="str">
        <f>IFERROR(__xludf.DUMMYFUNCTION("GOOGLETRANSLATE(A7161,""en"",""pt"")"),"Eu amo Harry Potter.")</f>
        <v>Eu amo Harry Potter.</v>
      </c>
      <c r="B7161" s="3">
        <v>1</v>
      </c>
    </row>
    <row r="7162" ht="15.75" customHeight="1" spans="1:2">
      <c r="A7162" s="3" t="str">
        <f>IFERROR(__xludf.DUMMYFUNCTION("GOOGLETRANSLATE(A7162,""en"",""pt"")"),"Vou começar a ler a série Harry Potter novamente, porque essa é uma história incrível.")</f>
        <v>Vou começar a ler a série Harry Potter novamente, porque essa é uma história incrível.</v>
      </c>
      <c r="B7162" s="3">
        <v>1</v>
      </c>
    </row>
    <row r="7163" ht="15.75" customHeight="1" spans="1:2">
      <c r="A7163" s="3" t="str">
        <f>IFERROR(__xludf.DUMMYFUNCTION("GOOGLETRANSLATE(A7163,""en"",""pt"")"),"I, também, como Harry Potter ..")</f>
        <v>I, também, como Harry Potter ..</v>
      </c>
      <c r="B7163" s="3">
        <v>1</v>
      </c>
    </row>
    <row r="7164" ht="15.75" customHeight="1" spans="1:2">
      <c r="A7164" s="3" t="str">
        <f>IFERROR(__xludf.DUMMYFUNCTION("GOOGLETRANSLATE(A7164,""en"",""pt"")"),"Quero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164" s="3">
        <v>1</v>
      </c>
    </row>
    <row r="7165" ht="15.75" customHeight="1" spans="1:2">
      <c r="A7165" s="3" t="str">
        <f>IFERROR(__xludf.DUMMYFUNCTION("GOOGLETRANSLATE(A7165,""en"",""pt"")"),"Eu amo a série Harry Potter, se você pode contar isso como ""um"" livro, também Catcher Na Tye, Jane Eyre, The Virgin Suicides, sim ...")</f>
        <v>Eu amo a série Harry Potter, se você pode contar isso como "um" livro, também Catcher Na Tye, Jane Eyre, The Virgin Suicides, sim ...</v>
      </c>
      <c r="B7165" s="3">
        <v>1</v>
      </c>
    </row>
    <row r="7166" ht="15.75" customHeight="1" spans="1:2">
      <c r="A7166" s="3" t="str">
        <f>IFERROR(__xludf.DUMMYFUNCTION("GOOGLETRANSLATE(A7166,""en"",""pt"")"),"Porque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166" s="3">
        <v>1</v>
      </c>
    </row>
    <row r="7167" ht="15.75" customHeight="1" spans="1:2">
      <c r="A7167" s="3" t="str">
        <f>IFERROR(__xludf.DUMMYFUNCTION("GOOGLETRANSLATE(A7167,""en"",""pt"")"),"a história de Harry Potter é um forte e profundo, e eu amo Harry Potter.")</f>
        <v>a história de Harry Potter é um forte e profundo, e eu amo Harry Potter.</v>
      </c>
      <c r="B7167" s="3">
        <v>1</v>
      </c>
    </row>
    <row r="7168" ht="15.75" customHeight="1" spans="1:2">
      <c r="A7168" s="3" t="str">
        <f>IFERROR(__xludf.DUMMYFUNCTION("GOOGLETRANSLATE(A7168,""en"",""pt"")"),"Harry Potter é IMPRESSIONANTE Eu não me importo se alguém disser diferente! ..")</f>
        <v>Harry Potter é IMPRESSIONANTE Eu não me importo se alguém disser diferente! ..</v>
      </c>
      <c r="B7168" s="3">
        <v>1</v>
      </c>
    </row>
    <row r="7169" ht="15.75" customHeight="1" spans="1:2">
      <c r="A7169" s="3" t="str">
        <f>IFERROR(__xludf.DUMMYFUNCTION("GOOGLETRANSLATE(A7169,""en"",""pt"")"),"Eu amo Harry Potter ..")</f>
        <v>Eu amo Harry Potter ..</v>
      </c>
      <c r="B7169" s="3">
        <v>1</v>
      </c>
    </row>
    <row r="7170" ht="15.75" customHeight="1" spans="1:2">
      <c r="A7170" s="3" t="str">
        <f>IFERROR(__xludf.DUMMYFUNCTION("GOOGLETRANSLATE(A7170,""en"",""pt"")"),"Eu amo Harry Potter.")</f>
        <v>Eu amo Harry Potter.</v>
      </c>
      <c r="B7170" s="3">
        <v>1</v>
      </c>
    </row>
    <row r="7171" ht="15.75" customHeight="1" spans="1:2">
      <c r="A7171" s="3" t="str">
        <f>IFERROR(__xludf.DUMMYFUNCTION("GOOGLETRANSLATE(A7171,""en"",""pt"")"),"Eu amo Harry Potter.")</f>
        <v>Eu amo Harry Potter.</v>
      </c>
      <c r="B7171" s="3">
        <v>1</v>
      </c>
    </row>
    <row r="7172" ht="15.75" customHeight="1" spans="1:2">
      <c r="A7172" s="3" t="str">
        <f>IFERROR(__xludf.DUMMYFUNCTION("GOOGLETRANSLATE(A7172,""en"",""pt"")"),"Vou começar a ler a série Harry Potter novamente, porque essa é uma história incrível.")</f>
        <v>Vou começar a ler a série Harry Potter novamente, porque essa é uma história incrível.</v>
      </c>
      <c r="B7172" s="3">
        <v>1</v>
      </c>
    </row>
    <row r="7173" ht="15.75" customHeight="1" spans="1:2">
      <c r="A7173" s="3" t="str">
        <f>IFERROR(__xludf.DUMMYFUNCTION("GOOGLETRANSLATE(A7173,""en"",""pt"")"),"I, também, como Harry Potter ..")</f>
        <v>I, também, como Harry Potter ..</v>
      </c>
      <c r="B7173" s="3">
        <v>1</v>
      </c>
    </row>
    <row r="7174" ht="15.75" customHeight="1" spans="1:2">
      <c r="A7174" s="3" t="str">
        <f>IFERROR(__xludf.DUMMYFUNCTION("GOOGLETRANSLATE(A7174,""en"",""pt"")"),"Quero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174" s="3">
        <v>1</v>
      </c>
    </row>
    <row r="7175" ht="15.75" customHeight="1" spans="1:2">
      <c r="A7175" s="3" t="str">
        <f>IFERROR(__xludf.DUMMYFUNCTION("GOOGLETRANSLATE(A7175,""en"",""pt"")"),"Eu amo a série Harry Potter, se você pode contar isso como ""um"" livro, também Catcher Na Tye, Jane Eyre, The Virgin Suicides, sim ...")</f>
        <v>Eu amo a série Harry Potter, se você pode contar isso como "um" livro, também Catcher Na Tye, Jane Eyre, The Virgin Suicides, sim ...</v>
      </c>
      <c r="B7175" s="3">
        <v>1</v>
      </c>
    </row>
    <row r="7176" ht="15.75" customHeight="1" spans="1:2">
      <c r="A7176" s="3" t="str">
        <f>IFERROR(__xludf.DUMMYFUNCTION("GOOGLETRANSLATE(A7176,""en"",""pt"")"),"Porque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176" s="3">
        <v>1</v>
      </c>
    </row>
    <row r="7177" ht="15.75" customHeight="1" spans="1:2">
      <c r="A7177" s="3" t="str">
        <f>IFERROR(__xludf.DUMMYFUNCTION("GOOGLETRANSLATE(A7177,""en"",""pt"")"),"a história de Harry Potter é um forte e profundo, e eu amo Harry Potter.")</f>
        <v>a história de Harry Potter é um forte e profundo, e eu amo Harry Potter.</v>
      </c>
      <c r="B7177" s="3">
        <v>1</v>
      </c>
    </row>
    <row r="7178" ht="15.75" customHeight="1" spans="1:2">
      <c r="A7178" s="3" t="str">
        <f>IFERROR(__xludf.DUMMYFUNCTION("GOOGLETRANSLATE(A7178,""en"",""pt"")"),"Harry Potter é IMPRESSIONANTE Eu não me importo se alguém disser diferente! ..")</f>
        <v>Harry Potter é IMPRESSIONANTE Eu não me importo se alguém disser diferente! ..</v>
      </c>
      <c r="B7178" s="3">
        <v>1</v>
      </c>
    </row>
    <row r="7179" ht="15.75" customHeight="1" spans="1:2">
      <c r="A7179" s="3" t="str">
        <f>IFERROR(__xludf.DUMMYFUNCTION("GOOGLETRANSLATE(A7179,""en"",""pt"")"),"Eu amo Harry Potter ..")</f>
        <v>Eu amo Harry Potter ..</v>
      </c>
      <c r="B7179" s="3">
        <v>1</v>
      </c>
    </row>
    <row r="7180" ht="15.75" customHeight="1" spans="1:2">
      <c r="A7180" s="3" t="str">
        <f>IFERROR(__xludf.DUMMYFUNCTION("GOOGLETRANSLATE(A7180,""en"",""pt"")"),"Eu amo Harry Potter.")</f>
        <v>Eu amo Harry Potter.</v>
      </c>
      <c r="B7180" s="3">
        <v>1</v>
      </c>
    </row>
    <row r="7181" ht="15.75" customHeight="1" spans="1:2">
      <c r="A7181" s="3" t="str">
        <f>IFERROR(__xludf.DUMMYFUNCTION("GOOGLETRANSLATE(A7181,""en"",""pt"")"),"Eu amo Harry Potter.")</f>
        <v>Eu amo Harry Potter.</v>
      </c>
      <c r="B7181" s="3">
        <v>1</v>
      </c>
    </row>
    <row r="7182" ht="15.75" customHeight="1" spans="1:2">
      <c r="A7182" s="3" t="str">
        <f>IFERROR(__xludf.DUMMYFUNCTION("GOOGLETRANSLATE(A7182,""en"",""pt"")"),"Vou começar a ler a série Harry Potter novamente, porque essa é uma história incrível.")</f>
        <v>Vou começar a ler a série Harry Potter novamente, porque essa é uma história incrível.</v>
      </c>
      <c r="B7182" s="3">
        <v>1</v>
      </c>
    </row>
    <row r="7183" ht="15.75" customHeight="1" spans="1:2">
      <c r="A7183" s="3" t="str">
        <f>IFERROR(__xludf.DUMMYFUNCTION("GOOGLETRANSLATE(A7183,""en"",""pt"")"),"I, também, como Harry Potter ..")</f>
        <v>I, também, como Harry Potter ..</v>
      </c>
      <c r="B7183" s="3">
        <v>1</v>
      </c>
    </row>
    <row r="7184" ht="15.75" customHeight="1" spans="1:2">
      <c r="A7184" s="3" t="str">
        <f>IFERROR(__xludf.DUMMYFUNCTION("GOOGLETRANSLATE(A7184,""en"",""pt"")"),"Quero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184" s="3">
        <v>1</v>
      </c>
    </row>
    <row r="7185" ht="15.75" customHeight="1" spans="1:2">
      <c r="A7185" s="3" t="str">
        <f>IFERROR(__xludf.DUMMYFUNCTION("GOOGLETRANSLATE(A7185,""en"",""pt"")"),"Eu amo a série Harry Potter, se você pode contar isso como ""um"" livro, também Catcher Na Tye, Jane Eyre, The Virgin Suicides, sim ...")</f>
        <v>Eu amo a série Harry Potter, se você pode contar isso como "um" livro, também Catcher Na Tye, Jane Eyre, The Virgin Suicides, sim ...</v>
      </c>
      <c r="B7185" s="3">
        <v>1</v>
      </c>
    </row>
    <row r="7186" ht="15.75" customHeight="1" spans="1:2">
      <c r="A7186" s="3" t="str">
        <f>IFERROR(__xludf.DUMMYFUNCTION("GOOGLETRANSLATE(A7186,""en"",""pt"")"),"Porque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186" s="3">
        <v>1</v>
      </c>
    </row>
    <row r="7187" ht="15.75" customHeight="1" spans="1:2">
      <c r="A7187" s="3" t="str">
        <f>IFERROR(__xludf.DUMMYFUNCTION("GOOGLETRANSLATE(A7187,""en"",""pt"")"),"a história de Harry Potter é um forte e profundo, e eu amo Harry Potter.")</f>
        <v>a história de Harry Potter é um forte e profundo, e eu amo Harry Potter.</v>
      </c>
      <c r="B7187" s="3">
        <v>1</v>
      </c>
    </row>
    <row r="7188" ht="15.75" customHeight="1" spans="1:2">
      <c r="A7188" s="3" t="str">
        <f>IFERROR(__xludf.DUMMYFUNCTION("GOOGLETRANSLATE(A7188,""en"",""pt"")"),"Harry Potter é IMPRESSIONANTE Eu não me importo se alguém disser diferente! ..")</f>
        <v>Harry Potter é IMPRESSIONANTE Eu não me importo se alguém disser diferente! ..</v>
      </c>
      <c r="B7188" s="3">
        <v>1</v>
      </c>
    </row>
    <row r="7189" ht="15.75" customHeight="1" spans="1:2">
      <c r="A7189" s="3" t="str">
        <f>IFERROR(__xludf.DUMMYFUNCTION("GOOGLETRANSLATE(A7189,""en"",""pt"")"),"Eu amo Harry Potter ..")</f>
        <v>Eu amo Harry Potter ..</v>
      </c>
      <c r="B7189" s="3">
        <v>1</v>
      </c>
    </row>
    <row r="7190" ht="15.75" customHeight="1" spans="1:2">
      <c r="A7190" s="3" t="str">
        <f>IFERROR(__xludf.DUMMYFUNCTION("GOOGLETRANSLATE(A7190,""en"",""pt"")"),"Eu amo Harry Potter.")</f>
        <v>Eu amo Harry Potter.</v>
      </c>
      <c r="B7190" s="3">
        <v>1</v>
      </c>
    </row>
    <row r="7191" ht="15.75" customHeight="1" spans="1:2">
      <c r="A7191" s="3" t="str">
        <f>IFERROR(__xludf.DUMMYFUNCTION("GOOGLETRANSLATE(A7191,""en"",""pt"")"),"Eu amo Harry Potter.")</f>
        <v>Eu amo Harry Potter.</v>
      </c>
      <c r="B7191" s="3">
        <v>1</v>
      </c>
    </row>
    <row r="7192" ht="15.75" customHeight="1" spans="1:2">
      <c r="A7192" s="3" t="str">
        <f>IFERROR(__xludf.DUMMYFUNCTION("GOOGLETRANSLATE(A7192,""en"",""pt"")"),"Vou começar a ler a série Harry Potter novamente, porque essa é uma história incrível.")</f>
        <v>Vou começar a ler a série Harry Potter novamente, porque essa é uma história incrível.</v>
      </c>
      <c r="B7192" s="3">
        <v>1</v>
      </c>
    </row>
    <row r="7193" ht="15.75" customHeight="1" spans="1:2">
      <c r="A7193" s="3" t="str">
        <f>IFERROR(__xludf.DUMMYFUNCTION("GOOGLETRANSLATE(A7193,""en"",""pt"")"),"I, também, como Harry Potter ..")</f>
        <v>I, também, como Harry Potter ..</v>
      </c>
      <c r="B7193" s="3">
        <v>1</v>
      </c>
    </row>
    <row r="7194" ht="15.75" customHeight="1" spans="1:2">
      <c r="A7194" s="3" t="str">
        <f>IFERROR(__xludf.DUMMYFUNCTION("GOOGLETRANSLATE(A7194,""en"",""pt"")"),"Quero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194" s="3">
        <v>1</v>
      </c>
    </row>
    <row r="7195" ht="15.75" customHeight="1" spans="1:2">
      <c r="A7195" s="3" t="str">
        <f>IFERROR(__xludf.DUMMYFUNCTION("GOOGLETRANSLATE(A7195,""en"",""pt"")"),"Eu amo a série Harry Potter, se você pode contar isso como ""um"" livro, também Catcher Na Tye, Jane Eyre, The Virgin Suicides, sim ...")</f>
        <v>Eu amo a série Harry Potter, se você pode contar isso como "um" livro, também Catcher Na Tye, Jane Eyre, The Virgin Suicides, sim ...</v>
      </c>
      <c r="B7195" s="3">
        <v>1</v>
      </c>
    </row>
    <row r="7196" ht="15.75" customHeight="1" spans="1:2">
      <c r="A7196" s="3" t="str">
        <f>IFERROR(__xludf.DUMMYFUNCTION("GOOGLETRANSLATE(A7196,""en"",""pt"")"),"Porque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196" s="3">
        <v>1</v>
      </c>
    </row>
    <row r="7197" ht="15.75" customHeight="1" spans="1:2">
      <c r="A7197" s="3" t="str">
        <f>IFERROR(__xludf.DUMMYFUNCTION("GOOGLETRANSLATE(A7197,""en"",""pt"")"),"a história de Harry Potter é um forte e profundo, e eu amo Harry Potter.")</f>
        <v>a história de Harry Potter é um forte e profundo, e eu amo Harry Potter.</v>
      </c>
      <c r="B7197" s="3">
        <v>1</v>
      </c>
    </row>
    <row r="7198" ht="15.75" customHeight="1" spans="1:2">
      <c r="A7198" s="3" t="str">
        <f>IFERROR(__xludf.DUMMYFUNCTION("GOOGLETRANSLATE(A7198,""en"",""pt"")"),"Harry Potter é IMPRESSIONANTE Eu não me importo se alguém disser diferente! ..")</f>
        <v>Harry Potter é IMPRESSIONANTE Eu não me importo se alguém disser diferente! ..</v>
      </c>
      <c r="B7198" s="3">
        <v>1</v>
      </c>
    </row>
    <row r="7199" ht="15.75" customHeight="1" spans="1:2">
      <c r="A7199" s="3" t="str">
        <f>IFERROR(__xludf.DUMMYFUNCTION("GOOGLETRANSLATE(A7199,""en"",""pt"")"),"Eu amo Harry Potter ..")</f>
        <v>Eu amo Harry Potter ..</v>
      </c>
      <c r="B7199" s="3">
        <v>1</v>
      </c>
    </row>
    <row r="7200" ht="15.75" customHeight="1" spans="1:2">
      <c r="A7200" s="3" t="str">
        <f>IFERROR(__xludf.DUMMYFUNCTION("GOOGLETRANSLATE(A7200,""en"",""pt"")"),"Eu amo Harry Potter.")</f>
        <v>Eu amo Harry Potter.</v>
      </c>
      <c r="B7200" s="3">
        <v>1</v>
      </c>
    </row>
    <row r="7201" ht="15.75" customHeight="1" spans="1:2">
      <c r="A7201" s="3" t="str">
        <f>IFERROR(__xludf.DUMMYFUNCTION("GOOGLETRANSLATE(A7201,""en"",""pt"")"),"Eu amo Harry Potter.")</f>
        <v>Eu amo Harry Potter.</v>
      </c>
      <c r="B7201" s="3">
        <v>1</v>
      </c>
    </row>
    <row r="7202" ht="15.75" customHeight="1" spans="1:2">
      <c r="A7202" s="3" t="str">
        <f>IFERROR(__xludf.DUMMYFUNCTION("GOOGLETRANSLATE(A7202,""en"",""pt"")"),"Vou começar a ler a série Harry Potter novamente, porque essa é uma história incrível.")</f>
        <v>Vou começar a ler a série Harry Potter novamente, porque essa é uma história incrível.</v>
      </c>
      <c r="B7202" s="3">
        <v>1</v>
      </c>
    </row>
    <row r="7203" ht="15.75" customHeight="1" spans="1:2">
      <c r="A7203" s="3" t="str">
        <f>IFERROR(__xludf.DUMMYFUNCTION("GOOGLETRANSLATE(A7203,""en"",""pt"")"),"I, também, como Harry Potter ..")</f>
        <v>I, também, como Harry Potter ..</v>
      </c>
      <c r="B7203" s="3">
        <v>1</v>
      </c>
    </row>
    <row r="7204" ht="15.75" customHeight="1" spans="1:2">
      <c r="A7204" s="3" t="str">
        <f>IFERROR(__xludf.DUMMYFUNCTION("GOOGLETRANSLATE(A7204,""en"",""pt"")"),"Quero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04" s="3">
        <v>1</v>
      </c>
    </row>
    <row r="7205" ht="15.75" customHeight="1" spans="1:2">
      <c r="A7205" s="3" t="str">
        <f>IFERROR(__xludf.DUMMYFUNCTION("GOOGLETRANSLATE(A7205,""en"",""pt"")"),"Eu amo a série Harry Potter, se você pode contar isso como ""um"" livro, também Catcher Na Tye, Jane Eyre, The Virgin Suicides, sim ...")</f>
        <v>Eu amo a série Harry Potter, se você pode contar isso como "um" livro, também Catcher Na Tye, Jane Eyre, The Virgin Suicides, sim ...</v>
      </c>
      <c r="B7205" s="3">
        <v>1</v>
      </c>
    </row>
    <row r="7206" ht="15.75" customHeight="1" spans="1:2">
      <c r="A7206" s="3" t="str">
        <f>IFERROR(__xludf.DUMMYFUNCTION("GOOGLETRANSLATE(A7206,""en"",""pt"")"),"Porque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06" s="3">
        <v>1</v>
      </c>
    </row>
    <row r="7207" ht="15.75" customHeight="1" spans="1:2">
      <c r="A7207" s="3" t="str">
        <f>IFERROR(__xludf.DUMMYFUNCTION("GOOGLETRANSLATE(A7207,""en"",""pt"")"),"a história de Harry Potter é um forte e profundo, e eu amo Harry Potter.")</f>
        <v>a história de Harry Potter é um forte e profundo, e eu amo Harry Potter.</v>
      </c>
      <c r="B7207" s="3">
        <v>1</v>
      </c>
    </row>
    <row r="7208" ht="15.75" customHeight="1" spans="1:2">
      <c r="A7208" s="3" t="str">
        <f>IFERROR(__xludf.DUMMYFUNCTION("GOOGLETRANSLATE(A7208,""en"",""pt"")"),"Harry Potter é IMPRESSIONANTE Eu não me importo se alguém disser diferente! ..")</f>
        <v>Harry Potter é IMPRESSIONANTE Eu não me importo se alguém disser diferente! ..</v>
      </c>
      <c r="B7208" s="3">
        <v>1</v>
      </c>
    </row>
    <row r="7209" ht="15.75" customHeight="1" spans="1:2">
      <c r="A7209" s="3" t="str">
        <f>IFERROR(__xludf.DUMMYFUNCTION("GOOGLETRANSLATE(A7209,""en"",""pt"")"),"Eu amo Harry Potter ..")</f>
        <v>Eu amo Harry Potter ..</v>
      </c>
      <c r="B7209" s="3">
        <v>1</v>
      </c>
    </row>
    <row r="7210" ht="15.75" customHeight="1" spans="1:2">
      <c r="A7210" s="3" t="str">
        <f>IFERROR(__xludf.DUMMYFUNCTION("GOOGLETRANSLATE(A7210,""en"",""pt"")"),"Eu amo Harry Potter.")</f>
        <v>Eu amo Harry Potter.</v>
      </c>
      <c r="B7210" s="3">
        <v>1</v>
      </c>
    </row>
    <row r="7211" ht="15.75" customHeight="1" spans="1:2">
      <c r="A7211" s="3" t="str">
        <f>IFERROR(__xludf.DUMMYFUNCTION("GOOGLETRANSLATE(A7211,""en"",""pt"")"),"Eu amo Harry Potter.")</f>
        <v>Eu amo Harry Potter.</v>
      </c>
      <c r="B7211" s="3">
        <v>1</v>
      </c>
    </row>
    <row r="7212" ht="15.75" customHeight="1" spans="1:2">
      <c r="A7212" s="3" t="str">
        <f>IFERROR(__xludf.DUMMYFUNCTION("GOOGLETRANSLATE(A7212,""en"",""pt"")"),"Vou começar a ler a série Harry Potter novamente, porque essa é uma história incrível.")</f>
        <v>Vou começar a ler a série Harry Potter novamente, porque essa é uma história incrível.</v>
      </c>
      <c r="B7212" s="3">
        <v>1</v>
      </c>
    </row>
    <row r="7213" ht="15.75" customHeight="1" spans="1:2">
      <c r="A7213" s="3" t="str">
        <f>IFERROR(__xludf.DUMMYFUNCTION("GOOGLETRANSLATE(A7213,""en"",""pt"")"),"I, também, como Harry Potter ..")</f>
        <v>I, também, como Harry Potter ..</v>
      </c>
      <c r="B7213" s="3">
        <v>1</v>
      </c>
    </row>
    <row r="7214" ht="15.75" customHeight="1" spans="1:2">
      <c r="A7214" s="3" t="str">
        <f>IFERROR(__xludf.DUMMYFUNCTION("GOOGLETRANSLATE(A7214,""en"",""pt"")"),"Quero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14" s="3">
        <v>1</v>
      </c>
    </row>
    <row r="7215" ht="15.75" customHeight="1" spans="1:2">
      <c r="A7215" s="3" t="str">
        <f>IFERROR(__xludf.DUMMYFUNCTION("GOOGLETRANSLATE(A7215,""en"",""pt"")"),"Eu amo a série Harry Potter, se você pode contar isso como ""um"" livro, também Catcher Na Tye, Jane Eyre, The Virgin Suicides, sim ...")</f>
        <v>Eu amo a série Harry Potter, se você pode contar isso como "um" livro, também Catcher Na Tye, Jane Eyre, The Virgin Suicides, sim ...</v>
      </c>
      <c r="B7215" s="3">
        <v>1</v>
      </c>
    </row>
    <row r="7216" ht="15.75" customHeight="1" spans="1:2">
      <c r="A7216" s="3" t="str">
        <f>IFERROR(__xludf.DUMMYFUNCTION("GOOGLETRANSLATE(A7216,""en"",""pt"")"),"Porque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16" s="3">
        <v>1</v>
      </c>
    </row>
    <row r="7217" ht="15.75" customHeight="1" spans="1:2">
      <c r="A7217" s="3" t="str">
        <f>IFERROR(__xludf.DUMMYFUNCTION("GOOGLETRANSLATE(A7217,""en"",""pt"")"),"a história de Harry Potter é um forte e profundo, e eu amo Harry Potter.")</f>
        <v>a história de Harry Potter é um forte e profundo, e eu amo Harry Potter.</v>
      </c>
      <c r="B7217" s="3">
        <v>1</v>
      </c>
    </row>
    <row r="7218" ht="15.75" customHeight="1" spans="1:2">
      <c r="A7218" s="3" t="str">
        <f>IFERROR(__xludf.DUMMYFUNCTION("GOOGLETRANSLATE(A7218,""en"",""pt"")"),"Harry Potter é IMPRESSIONANTE Eu não me importo se alguém disser diferente! ..")</f>
        <v>Harry Potter é IMPRESSIONANTE Eu não me importo se alguém disser diferente! ..</v>
      </c>
      <c r="B7218" s="3">
        <v>1</v>
      </c>
    </row>
    <row r="7219" ht="15.75" customHeight="1" spans="1:2">
      <c r="A7219" s="3" t="str">
        <f>IFERROR(__xludf.DUMMYFUNCTION("GOOGLETRANSLATE(A7219,""en"",""pt"")"),"Eu amo Harry Potter ..")</f>
        <v>Eu amo Harry Potter ..</v>
      </c>
      <c r="B7219" s="3">
        <v>1</v>
      </c>
    </row>
    <row r="7220" ht="15.75" customHeight="1" spans="1:2">
      <c r="A7220" s="3" t="str">
        <f>IFERROR(__xludf.DUMMYFUNCTION("GOOGLETRANSLATE(A7220,""en"",""pt"")"),"Eu amo Harry Potter.")</f>
        <v>Eu amo Harry Potter.</v>
      </c>
      <c r="B7220" s="3">
        <v>1</v>
      </c>
    </row>
    <row r="7221" ht="15.75" customHeight="1" spans="1:2">
      <c r="A7221" s="3" t="str">
        <f>IFERROR(__xludf.DUMMYFUNCTION("GOOGLETRANSLATE(A7221,""en"",""pt"")"),"Eu amo Harry Potter.")</f>
        <v>Eu amo Harry Potter.</v>
      </c>
      <c r="B7221" s="3">
        <v>1</v>
      </c>
    </row>
    <row r="7222" ht="15.75" customHeight="1" spans="1:2">
      <c r="A7222" s="3" t="str">
        <f>IFERROR(__xludf.DUMMYFUNCTION("GOOGLETRANSLATE(A7222,""en"",""pt"")"),"Vou começar a ler a série Harry Potter novamente, porque essa é uma história incrível.")</f>
        <v>Vou começar a ler a série Harry Potter novamente, porque essa é uma história incrível.</v>
      </c>
      <c r="B7222" s="3">
        <v>1</v>
      </c>
    </row>
    <row r="7223" ht="15.75" customHeight="1" spans="1:2">
      <c r="A7223" s="3" t="str">
        <f>IFERROR(__xludf.DUMMYFUNCTION("GOOGLETRANSLATE(A7223,""en"",""pt"")"),"I, também, como Harry Potter ..")</f>
        <v>I, também, como Harry Potter ..</v>
      </c>
      <c r="B7223" s="3">
        <v>1</v>
      </c>
    </row>
    <row r="7224" ht="15.75" customHeight="1" spans="1:2">
      <c r="A7224" s="3" t="str">
        <f>IFERROR(__xludf.DUMMYFUNCTION("GOOGLETRANSLATE(A7224,""en"",""pt"")"),"Quero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24" s="3">
        <v>1</v>
      </c>
    </row>
    <row r="7225" ht="15.75" customHeight="1" spans="1:2">
      <c r="A7225" s="3" t="str">
        <f>IFERROR(__xludf.DUMMYFUNCTION("GOOGLETRANSLATE(A7225,""en"",""pt"")"),"Eu amo a série Harry Potter, se você pode contar isso como ""um"" livro, também Catcher Na Tye, Jane Eyre, The Virgin Suicides, sim ...")</f>
        <v>Eu amo a série Harry Potter, se você pode contar isso como "um" livro, também Catcher Na Tye, Jane Eyre, The Virgin Suicides, sim ...</v>
      </c>
      <c r="B7225" s="3">
        <v>1</v>
      </c>
    </row>
    <row r="7226" ht="15.75" customHeight="1" spans="1:2">
      <c r="A7226" s="3" t="str">
        <f>IFERROR(__xludf.DUMMYFUNCTION("GOOGLETRANSLATE(A7226,""en"",""pt"")"),"Porque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26" s="3">
        <v>1</v>
      </c>
    </row>
    <row r="7227" ht="15.75" customHeight="1" spans="1:2">
      <c r="A7227" s="3" t="str">
        <f>IFERROR(__xludf.DUMMYFUNCTION("GOOGLETRANSLATE(A7227,""en"",""pt"")"),"a história de Harry Potter é um forte e profundo, e eu amo Harry Potter.")</f>
        <v>a história de Harry Potter é um forte e profundo, e eu amo Harry Potter.</v>
      </c>
      <c r="B7227" s="3">
        <v>1</v>
      </c>
    </row>
    <row r="7228" ht="15.75" customHeight="1" spans="1:2">
      <c r="A7228" s="3" t="str">
        <f>IFERROR(__xludf.DUMMYFUNCTION("GOOGLETRANSLATE(A7228,""en"",""pt"")"),"Harry Potter é IMPRESSIONANTE Eu não me importo se alguém disser diferente! ..")</f>
        <v>Harry Potter é IMPRESSIONANTE Eu não me importo se alguém disser diferente! ..</v>
      </c>
      <c r="B7228" s="3">
        <v>1</v>
      </c>
    </row>
    <row r="7229" ht="15.75" customHeight="1" spans="1:2">
      <c r="A7229" s="3" t="str">
        <f>IFERROR(__xludf.DUMMYFUNCTION("GOOGLETRANSLATE(A7229,""en"",""pt"")"),"Eu amo Harry Potter ..")</f>
        <v>Eu amo Harry Potter ..</v>
      </c>
      <c r="B7229" s="3">
        <v>1</v>
      </c>
    </row>
    <row r="7230" ht="15.75" customHeight="1" spans="1:2">
      <c r="A7230" s="3" t="str">
        <f>IFERROR(__xludf.DUMMYFUNCTION("GOOGLETRANSLATE(A7230,""en"",""pt"")"),"Eu amo Harry Potter.")</f>
        <v>Eu amo Harry Potter.</v>
      </c>
      <c r="B7230" s="3">
        <v>1</v>
      </c>
    </row>
    <row r="7231" ht="15.75" customHeight="1" spans="1:2">
      <c r="A7231" s="3" t="str">
        <f>IFERROR(__xludf.DUMMYFUNCTION("GOOGLETRANSLATE(A7231,""en"",""pt"")"),"Eu amo Harry Potter.")</f>
        <v>Eu amo Harry Potter.</v>
      </c>
      <c r="B7231" s="3">
        <v>1</v>
      </c>
    </row>
    <row r="7232" ht="15.75" customHeight="1" spans="1:2">
      <c r="A7232" s="3" t="str">
        <f>IFERROR(__xludf.DUMMYFUNCTION("GOOGLETRANSLATE(A7232,""en"",""pt"")"),"Vou começar a ler a série Harry Potter novamente, porque essa é uma história incrível.")</f>
        <v>Vou começar a ler a série Harry Potter novamente, porque essa é uma história incrível.</v>
      </c>
      <c r="B7232" s="3">
        <v>1</v>
      </c>
    </row>
    <row r="7233" ht="15.75" customHeight="1" spans="1:2">
      <c r="A7233" s="3" t="str">
        <f>IFERROR(__xludf.DUMMYFUNCTION("GOOGLETRANSLATE(A7233,""en"",""pt"")"),"I, também, como Harry Potter ..")</f>
        <v>I, também, como Harry Potter ..</v>
      </c>
      <c r="B7233" s="3">
        <v>1</v>
      </c>
    </row>
    <row r="7234" ht="15.75" customHeight="1" spans="1:2">
      <c r="A7234" s="3" t="str">
        <f>IFERROR(__xludf.DUMMYFUNCTION("GOOGLETRANSLATE(A7234,""en"",""pt"")"),"Quero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34" s="3">
        <v>1</v>
      </c>
    </row>
    <row r="7235" ht="15.75" customHeight="1" spans="1:2">
      <c r="A7235" s="3" t="str">
        <f>IFERROR(__xludf.DUMMYFUNCTION("GOOGLETRANSLATE(A7235,""en"",""pt"")"),"Eu amo a série Harry Potter, se você pode contar isso como ""um"" livro, também Catcher Na Tye, Jane Eyre, The Virgin Suicides, sim ...")</f>
        <v>Eu amo a série Harry Potter, se você pode contar isso como "um" livro, também Catcher Na Tye, Jane Eyre, The Virgin Suicides, sim ...</v>
      </c>
      <c r="B7235" s="3">
        <v>1</v>
      </c>
    </row>
    <row r="7236" ht="15.75" customHeight="1" spans="1:2">
      <c r="A7236" s="3" t="str">
        <f>IFERROR(__xludf.DUMMYFUNCTION("GOOGLETRANSLATE(A7236,""en"",""pt"")"),"Porque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36" s="3">
        <v>1</v>
      </c>
    </row>
    <row r="7237" ht="15.75" customHeight="1" spans="1:2">
      <c r="A7237" s="3" t="str">
        <f>IFERROR(__xludf.DUMMYFUNCTION("GOOGLETRANSLATE(A7237,""en"",""pt"")"),"a história de Harry Potter é um forte e profundo, e eu amo Harry Potter.")</f>
        <v>a história de Harry Potter é um forte e profundo, e eu amo Harry Potter.</v>
      </c>
      <c r="B7237" s="3">
        <v>1</v>
      </c>
    </row>
    <row r="7238" ht="15.75" customHeight="1" spans="1:2">
      <c r="A7238" s="3" t="str">
        <f>IFERROR(__xludf.DUMMYFUNCTION("GOOGLETRANSLATE(A7238,""en"",""pt"")"),"Harry Potter é IMPRESSIONANTE Eu não me importo se alguém disser diferente! ..")</f>
        <v>Harry Potter é IMPRESSIONANTE Eu não me importo se alguém disser diferente! ..</v>
      </c>
      <c r="B7238" s="3">
        <v>1</v>
      </c>
    </row>
    <row r="7239" ht="15.75" customHeight="1" spans="1:2">
      <c r="A7239" s="3" t="str">
        <f>IFERROR(__xludf.DUMMYFUNCTION("GOOGLETRANSLATE(A7239,""en"",""pt"")"),"Eu amo Harry Potter ..")</f>
        <v>Eu amo Harry Potter ..</v>
      </c>
      <c r="B7239" s="3">
        <v>1</v>
      </c>
    </row>
    <row r="7240" ht="15.75" customHeight="1" spans="1:2">
      <c r="A7240" s="3" t="str">
        <f>IFERROR(__xludf.DUMMYFUNCTION("GOOGLETRANSLATE(A7240,""en"",""pt"")"),"Eu amo Harry Potter.")</f>
        <v>Eu amo Harry Potter.</v>
      </c>
      <c r="B7240" s="3">
        <v>1</v>
      </c>
    </row>
    <row r="7241" ht="15.75" customHeight="1" spans="1:2">
      <c r="A7241" s="3" t="str">
        <f>IFERROR(__xludf.DUMMYFUNCTION("GOOGLETRANSLATE(A7241,""en"",""pt"")"),"Eu amo Harry Potter.")</f>
        <v>Eu amo Harry Potter.</v>
      </c>
      <c r="B7241" s="3">
        <v>1</v>
      </c>
    </row>
    <row r="7242" ht="15.75" customHeight="1" spans="1:2">
      <c r="A7242" s="3" t="str">
        <f>IFERROR(__xludf.DUMMYFUNCTION("GOOGLETRANSLATE(A7242,""en"",""pt"")"),"Vou começar a ler a série Harry Potter novamente, porque essa é uma história incrível.")</f>
        <v>Vou começar a ler a série Harry Potter novamente, porque essa é uma história incrível.</v>
      </c>
      <c r="B7242" s="3">
        <v>1</v>
      </c>
    </row>
    <row r="7243" ht="15.75" customHeight="1" spans="1:2">
      <c r="A7243" s="3" t="str">
        <f>IFERROR(__xludf.DUMMYFUNCTION("GOOGLETRANSLATE(A7243,""en"",""pt"")"),"I, também, como Harry Potter ..")</f>
        <v>I, também, como Harry Potter ..</v>
      </c>
      <c r="B7243" s="3">
        <v>1</v>
      </c>
    </row>
    <row r="7244" ht="15.75" customHeight="1" spans="1:2">
      <c r="A7244" s="3" t="str">
        <f>IFERROR(__xludf.DUMMYFUNCTION("GOOGLETRANSLATE(A7244,""en"",""pt"")"),"Quero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44" s="3">
        <v>1</v>
      </c>
    </row>
    <row r="7245" ht="15.75" customHeight="1" spans="1:2">
      <c r="A7245" s="3" t="str">
        <f>IFERROR(__xludf.DUMMYFUNCTION("GOOGLETRANSLATE(A7245,""en"",""pt"")"),"Eu amo a série Harry Potter, se você pode contar isso como ""um"" livro, também Catcher Na Tye, Jane Eyre, The Virgin Suicides, sim ...")</f>
        <v>Eu amo a série Harry Potter, se você pode contar isso como "um" livro, também Catcher Na Tye, Jane Eyre, The Virgin Suicides, sim ...</v>
      </c>
      <c r="B7245" s="3">
        <v>1</v>
      </c>
    </row>
    <row r="7246" ht="15.75" customHeight="1" spans="1:2">
      <c r="A7246" s="3" t="str">
        <f>IFERROR(__xludf.DUMMYFUNCTION("GOOGLETRANSLATE(A7246,""en"",""pt"")"),"Porque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46" s="3">
        <v>1</v>
      </c>
    </row>
    <row r="7247" ht="15.75" customHeight="1" spans="1:2">
      <c r="A7247" s="3" t="str">
        <f>IFERROR(__xludf.DUMMYFUNCTION("GOOGLETRANSLATE(A7247,""en"",""pt"")"),"a história de Harry Potter é um forte e profundo, e eu amo Harry Potter.")</f>
        <v>a história de Harry Potter é um forte e profundo, e eu amo Harry Potter.</v>
      </c>
      <c r="B7247" s="3">
        <v>1</v>
      </c>
    </row>
    <row r="7248" ht="15.75" customHeight="1" spans="1:2">
      <c r="A7248" s="3" t="s">
        <v>29</v>
      </c>
      <c r="B7248" s="3">
        <v>1</v>
      </c>
    </row>
    <row r="7249" ht="15.75" customHeight="1" spans="1:2">
      <c r="A7249" s="3" t="str">
        <f>IFERROR(__xludf.DUMMYFUNCTION("GOOGLETRANSLATE(A7249,""en"",""pt"")"),"Eu amo Harry Potter ..")</f>
        <v>Eu amo Harry Potter ..</v>
      </c>
      <c r="B7249" s="3">
        <v>1</v>
      </c>
    </row>
    <row r="7250" ht="15.75" customHeight="1" spans="1:2">
      <c r="A7250" s="3" t="str">
        <f>IFERROR(__xludf.DUMMYFUNCTION("GOOGLETRANSLATE(A7250,""en"",""pt"")"),"Eu amo Harry Potter.")</f>
        <v>Eu amo Harry Potter.</v>
      </c>
      <c r="B7250" s="3">
        <v>1</v>
      </c>
    </row>
    <row r="7251" ht="15.75" customHeight="1" spans="1:2">
      <c r="A7251" s="3" t="str">
        <f>IFERROR(__xludf.DUMMYFUNCTION("GOOGLETRANSLATE(A7251,""en"",""pt"")"),"Eu amo Harry Potter.")</f>
        <v>Eu amo Harry Potter.</v>
      </c>
      <c r="B7251" s="3">
        <v>1</v>
      </c>
    </row>
    <row r="7252" ht="15.75" customHeight="1" spans="1:2">
      <c r="A7252" s="3" t="str">
        <f>IFERROR(__xludf.DUMMYFUNCTION("GOOGLETRANSLATE(A7252,""en"",""pt"")"),"Vou começar a ler a série Harry Potter novamente, porque essa é uma história incrível.")</f>
        <v>Vou começar a ler a série Harry Potter novamente, porque essa é uma história incrível.</v>
      </c>
      <c r="B7252" s="3">
        <v>1</v>
      </c>
    </row>
    <row r="7253" ht="15.75" customHeight="1" spans="1:2">
      <c r="A7253" s="3" t="str">
        <f>IFERROR(__xludf.DUMMYFUNCTION("GOOGLETRANSLATE(A7253,""en"",""pt"")"),"I, também, como Harry Potter ..")</f>
        <v>I, também, como Harry Potter ..</v>
      </c>
      <c r="B7253" s="3">
        <v>1</v>
      </c>
    </row>
    <row r="7254" ht="15.75" customHeight="1" spans="1:2">
      <c r="A7254" s="3" t="str">
        <f>IFERROR(__xludf.DUMMYFUNCTION("GOOGLETRANSLATE(A7254,""en"",""pt"")"),"Quero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54" s="3">
        <v>1</v>
      </c>
    </row>
    <row r="7255" ht="15.75" customHeight="1" spans="1:2">
      <c r="A7255" s="3" t="str">
        <f>IFERROR(__xludf.DUMMYFUNCTION("GOOGLETRANSLATE(A7255,""en"",""pt"")"),"Eu amo a série Harry Potter, se você pode contar isso como ""um"" livro, também Catcher Na Tye, Jane Eyre, The Virgin Suicides, sim ...")</f>
        <v>Eu amo a série Harry Potter, se você pode contar isso como "um" livro, também Catcher Na Tye, Jane Eyre, The Virgin Suicides, sim ...</v>
      </c>
      <c r="B7255" s="3">
        <v>1</v>
      </c>
    </row>
    <row r="7256" ht="15.75" customHeight="1" spans="1:2">
      <c r="A7256" s="3" t="str">
        <f>IFERROR(__xludf.DUMMYFUNCTION("GOOGLETRANSLATE(A7256,""en"",""pt"")"),"Porque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56" s="3">
        <v>1</v>
      </c>
    </row>
    <row r="7257" ht="15.75" customHeight="1" spans="1:2">
      <c r="A7257" s="3" t="str">
        <f>IFERROR(__xludf.DUMMYFUNCTION("GOOGLETRANSLATE(A7257,""en"",""pt"")"),"a história de Harry Potter é um forte e profundo, e eu amo Harry Potter.")</f>
        <v>a história de Harry Potter é um forte e profundo, e eu amo Harry Potter.</v>
      </c>
      <c r="B7257" s="3">
        <v>1</v>
      </c>
    </row>
    <row r="7258" ht="15.75" customHeight="1" spans="1:2">
      <c r="A7258" s="3" t="str">
        <f>IFERROR(__xludf.DUMMYFUNCTION("GOOGLETRANSLATE(A7258,""en"",""pt"")"),"Harry Potter é IMPRESSIONANTE Eu não me importo se alguém disser diferente! ..")</f>
        <v>Harry Potter é IMPRESSIONANTE Eu não me importo se alguém disser diferente! ..</v>
      </c>
      <c r="B7258" s="3">
        <v>1</v>
      </c>
    </row>
    <row r="7259" ht="15.75" customHeight="1" spans="1:2">
      <c r="A7259" s="3" t="str">
        <f>IFERROR(__xludf.DUMMYFUNCTION("GOOGLETRANSLATE(A7259,""en"",""pt"")"),"Eu amo Harry Potter ..")</f>
        <v>Eu amo Harry Potter ..</v>
      </c>
      <c r="B7259" s="3">
        <v>1</v>
      </c>
    </row>
    <row r="7260" ht="15.75" customHeight="1" spans="1:2">
      <c r="A7260" s="3" t="str">
        <f>IFERROR(__xludf.DUMMYFUNCTION("GOOGLETRANSLATE(A7260,""en"",""pt"")"),"Eu amo Harry Potter.")</f>
        <v>Eu amo Harry Potter.</v>
      </c>
      <c r="B7260" s="3">
        <v>1</v>
      </c>
    </row>
    <row r="7261" ht="15.75" customHeight="1" spans="1:2">
      <c r="A7261" s="3" t="str">
        <f>IFERROR(__xludf.DUMMYFUNCTION("GOOGLETRANSLATE(A7261,""en"",""pt"")"),"Eu amo Harry Potter.")</f>
        <v>Eu amo Harry Potter.</v>
      </c>
      <c r="B7261" s="3">
        <v>1</v>
      </c>
    </row>
    <row r="7262" ht="15.75" customHeight="1" spans="1:2">
      <c r="A7262" s="3" t="str">
        <f>IFERROR(__xludf.DUMMYFUNCTION("GOOGLETRANSLATE(A7262,""en"",""pt"")"),"Vou começar a ler a série Harry Potter novamente, porque essa é uma história incrível.")</f>
        <v>Vou começar a ler a série Harry Potter novamente, porque essa é uma história incrível.</v>
      </c>
      <c r="B7262" s="3">
        <v>1</v>
      </c>
    </row>
    <row r="7263" ht="15.75" customHeight="1" spans="1:2">
      <c r="A7263" s="3" t="str">
        <f>IFERROR(__xludf.DUMMYFUNCTION("GOOGLETRANSLATE(A7263,""en"",""pt"")"),"I, também, como Harry Potter ..")</f>
        <v>I, também, como Harry Potter ..</v>
      </c>
      <c r="B7263" s="3">
        <v>1</v>
      </c>
    </row>
    <row r="7264" ht="15.75" customHeight="1" spans="1:2">
      <c r="A7264" s="3" t="str">
        <f>IFERROR(__xludf.DUMMYFUNCTION("GOOGLETRANSLATE(A7264,""en"",""pt"")"),"Quero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64" s="3">
        <v>1</v>
      </c>
    </row>
    <row r="7265" ht="15.75" customHeight="1" spans="1:2">
      <c r="A7265" s="3" t="str">
        <f>IFERROR(__xludf.DUMMYFUNCTION("GOOGLETRANSLATE(A7265,""en"",""pt"")"),"Eu amo a série Harry Potter, se você pode contar isso como ""um"" livro, também Catcher Na Tye, Jane Eyre, The Virgin Suicides, sim ...")</f>
        <v>Eu amo a série Harry Potter, se você pode contar isso como "um" livro, também Catcher Na Tye, Jane Eyre, The Virgin Suicides, sim ...</v>
      </c>
      <c r="B7265" s="3">
        <v>1</v>
      </c>
    </row>
    <row r="7266" ht="15.75" customHeight="1" spans="1:2">
      <c r="A7266" s="3" t="str">
        <f>IFERROR(__xludf.DUMMYFUNCTION("GOOGLETRANSLATE(A7266,""en"",""pt"")"),"Porque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66" s="3">
        <v>1</v>
      </c>
    </row>
    <row r="7267" ht="15.75" customHeight="1" spans="1:2">
      <c r="A7267" s="3" t="str">
        <f>IFERROR(__xludf.DUMMYFUNCTION("GOOGLETRANSLATE(A7267,""en"",""pt"")"),"a história de Harry Potter é um forte e profundo, e eu amo Harry Potter.")</f>
        <v>a história de Harry Potter é um forte e profundo, e eu amo Harry Potter.</v>
      </c>
      <c r="B7267" s="3">
        <v>1</v>
      </c>
    </row>
    <row r="7268" ht="15.75" customHeight="1" spans="1:2">
      <c r="A7268" s="3" t="str">
        <f>IFERROR(__xludf.DUMMYFUNCTION("GOOGLETRANSLATE(A7268,""en"",""pt"")"),"Harry Potter é IMPRESSIONANTE Eu não me importo se alguém disser diferente! ..")</f>
        <v>Harry Potter é IMPRESSIONANTE Eu não me importo se alguém disser diferente! ..</v>
      </c>
      <c r="B7268" s="3">
        <v>1</v>
      </c>
    </row>
    <row r="7269" ht="15.75" customHeight="1" spans="1:2">
      <c r="A7269" s="3" t="str">
        <f>IFERROR(__xludf.DUMMYFUNCTION("GOOGLETRANSLATE(A7269,""en"",""pt"")"),"Eu amo Harry Potter ..")</f>
        <v>Eu amo Harry Potter ..</v>
      </c>
      <c r="B7269" s="3">
        <v>1</v>
      </c>
    </row>
    <row r="7270" ht="15.75" customHeight="1" spans="1:2">
      <c r="A7270" s="3" t="str">
        <f>IFERROR(__xludf.DUMMYFUNCTION("GOOGLETRANSLATE(A7270,""en"",""pt"")"),"Eu amo Harry Potter.")</f>
        <v>Eu amo Harry Potter.</v>
      </c>
      <c r="B7270" s="3">
        <v>1</v>
      </c>
    </row>
    <row r="7271" ht="15.75" customHeight="1" spans="1:2">
      <c r="A7271" s="3" t="str">
        <f>IFERROR(__xludf.DUMMYFUNCTION("GOOGLETRANSLATE(A7271,""en"",""pt"")"),"Eu amo Harry Potter.")</f>
        <v>Eu amo Harry Potter.</v>
      </c>
      <c r="B7271" s="3">
        <v>1</v>
      </c>
    </row>
    <row r="7272" ht="15.75" customHeight="1" spans="1:2">
      <c r="A7272" s="3" t="str">
        <f>IFERROR(__xludf.DUMMYFUNCTION("GOOGLETRANSLATE(A7272,""en"",""pt"")"),"Vou começar a ler a série Harry Potter novamente, porque essa é uma história incrível.")</f>
        <v>Vou começar a ler a série Harry Potter novamente, porque essa é uma história incrível.</v>
      </c>
      <c r="B7272" s="3">
        <v>1</v>
      </c>
    </row>
    <row r="7273" ht="15.75" customHeight="1" spans="1:2">
      <c r="A7273" s="3" t="str">
        <f>IFERROR(__xludf.DUMMYFUNCTION("GOOGLETRANSLATE(A7273,""en"",""pt"")"),"I, também, como Harry Potter ..")</f>
        <v>I, também, como Harry Potter ..</v>
      </c>
      <c r="B7273" s="3">
        <v>1</v>
      </c>
    </row>
    <row r="7274" ht="15.75" customHeight="1" spans="1:2">
      <c r="A7274" s="3" t="str">
        <f>IFERROR(__xludf.DUMMYFUNCTION("GOOGLETRANSLATE(A7274,""en"",""pt"")"),"Quero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74" s="3">
        <v>1</v>
      </c>
    </row>
    <row r="7275" ht="15.75" customHeight="1" spans="1:2">
      <c r="A7275" s="3" t="str">
        <f>IFERROR(__xludf.DUMMYFUNCTION("GOOGLETRANSLATE(A7275,""en"",""pt"")"),"Eu amo a série Harry Potter, se você pode contar isso como ""um"" livro, também Catcher Na Tye, Jane Eyre, The Virgin Suicides, sim ...")</f>
        <v>Eu amo a série Harry Potter, se você pode contar isso como "um" livro, também Catcher Na Tye, Jane Eyre, The Virgin Suicides, sim ...</v>
      </c>
      <c r="B7275" s="3">
        <v>1</v>
      </c>
    </row>
    <row r="7276" ht="15.75" customHeight="1" spans="1:2">
      <c r="A7276" s="3" t="str">
        <f>IFERROR(__xludf.DUMMYFUNCTION("GOOGLETRANSLATE(A7276,""en"",""pt"")"),"Porque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76" s="3">
        <v>1</v>
      </c>
    </row>
    <row r="7277" ht="15.75" customHeight="1" spans="1:2">
      <c r="A7277" s="3" t="str">
        <f>IFERROR(__xludf.DUMMYFUNCTION("GOOGLETRANSLATE(A7277,""en"",""pt"")"),"a história de Harry Potter é um forte e profundo, e eu amo Harry Potter.")</f>
        <v>a história de Harry Potter é um forte e profundo, e eu amo Harry Potter.</v>
      </c>
      <c r="B7277" s="3">
        <v>1</v>
      </c>
    </row>
    <row r="7278" ht="15.75" customHeight="1" spans="1:2">
      <c r="A7278" s="3" t="str">
        <f>IFERROR(__xludf.DUMMYFUNCTION("GOOGLETRANSLATE(A7278,""en"",""pt"")"),"Harry Potter é IMPRESSIONANTE Eu não me importo se alguém disser diferente! ..")</f>
        <v>Harry Potter é IMPRESSIONANTE Eu não me importo se alguém disser diferente! ..</v>
      </c>
      <c r="B7278" s="3">
        <v>1</v>
      </c>
    </row>
    <row r="7279" ht="15.75" customHeight="1" spans="1:2">
      <c r="A7279" s="3" t="str">
        <f>IFERROR(__xludf.DUMMYFUNCTION("GOOGLETRANSLATE(A7279,""en"",""pt"")"),"Eu amo Harry Potter ..")</f>
        <v>Eu amo Harry Potter ..</v>
      </c>
      <c r="B7279" s="3">
        <v>1</v>
      </c>
    </row>
    <row r="7280" ht="15.75" customHeight="1" spans="1:2">
      <c r="A7280" s="3" t="str">
        <f>IFERROR(__xludf.DUMMYFUNCTION("GOOGLETRANSLATE(A7280,""en"",""pt"")"),"Eu amo Harry Potter.")</f>
        <v>Eu amo Harry Potter.</v>
      </c>
      <c r="B7280" s="3">
        <v>1</v>
      </c>
    </row>
    <row r="7281" ht="15.75" customHeight="1" spans="1:2">
      <c r="A7281" s="3" t="str">
        <f>IFERROR(__xludf.DUMMYFUNCTION("GOOGLETRANSLATE(A7281,""en"",""pt"")"),"Eu amo Harry Potter.")</f>
        <v>Eu amo Harry Potter.</v>
      </c>
      <c r="B7281" s="3">
        <v>1</v>
      </c>
    </row>
    <row r="7282" ht="15.75" customHeight="1" spans="1:2">
      <c r="A7282" s="3" t="str">
        <f>IFERROR(__xludf.DUMMYFUNCTION("GOOGLETRANSLATE(A7282,""en"",""pt"")"),"Vou começar a ler a série Harry Potter novamente, porque essa é uma história incrível.")</f>
        <v>Vou começar a ler a série Harry Potter novamente, porque essa é uma história incrível.</v>
      </c>
      <c r="B7282" s="3">
        <v>1</v>
      </c>
    </row>
    <row r="7283" ht="15.75" customHeight="1" spans="1:2">
      <c r="A7283" s="3" t="str">
        <f>IFERROR(__xludf.DUMMYFUNCTION("GOOGLETRANSLATE(A7283,""en"",""pt"")"),"I, também, como Harry Potter ..")</f>
        <v>I, também, como Harry Potter ..</v>
      </c>
      <c r="B7283" s="3">
        <v>1</v>
      </c>
    </row>
    <row r="7284" ht="15.75" customHeight="1" spans="1:2">
      <c r="A7284" s="3" t="str">
        <f>IFERROR(__xludf.DUMMYFUNCTION("GOOGLETRANSLATE(A7284,""en"",""pt"")"),"Quero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84" s="3">
        <v>1</v>
      </c>
    </row>
    <row r="7285" ht="15.75" customHeight="1" spans="1:2">
      <c r="A7285" s="3" t="str">
        <f>IFERROR(__xludf.DUMMYFUNCTION("GOOGLETRANSLATE(A7285,""en"",""pt"")"),"Eu amo a série Harry Potter, se você pode contar isso como ""um"" livro, também Catcher Na Tye, Jane Eyre, The Virgin Suicides, sim ...")</f>
        <v>Eu amo a série Harry Potter, se você pode contar isso como "um" livro, também Catcher Na Tye, Jane Eyre, The Virgin Suicides, sim ...</v>
      </c>
      <c r="B7285" s="3">
        <v>1</v>
      </c>
    </row>
    <row r="7286" ht="15.75" customHeight="1" spans="1:2">
      <c r="A7286" s="3" t="str">
        <f>IFERROR(__xludf.DUMMYFUNCTION("GOOGLETRANSLATE(A7286,""en"",""pt"")"),"Porque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86" s="3">
        <v>1</v>
      </c>
    </row>
    <row r="7287" ht="15.75" customHeight="1" spans="1:2">
      <c r="A7287" s="3" t="str">
        <f>IFERROR(__xludf.DUMMYFUNCTION("GOOGLETRANSLATE(A7287,""en"",""pt"")"),"a história de Harry Potter é um forte e profundo, e eu amo Harry Potter.")</f>
        <v>a história de Harry Potter é um forte e profundo, e eu amo Harry Potter.</v>
      </c>
      <c r="B7287" s="3">
        <v>1</v>
      </c>
    </row>
    <row r="7288" ht="15.75" customHeight="1" spans="1:2">
      <c r="A7288" s="3" t="str">
        <f>IFERROR(__xludf.DUMMYFUNCTION("GOOGLETRANSLATE(A7288,""en"",""pt"")"),"Harry Potter é IMPRESSIONANTE Eu não me importo se alguém disser diferente! ..")</f>
        <v>Harry Potter é IMPRESSIONANTE Eu não me importo se alguém disser diferente! ..</v>
      </c>
      <c r="B7288" s="3">
        <v>1</v>
      </c>
    </row>
    <row r="7289" ht="15.75" customHeight="1" spans="1:2">
      <c r="A7289" s="3" t="str">
        <f>IFERROR(__xludf.DUMMYFUNCTION("GOOGLETRANSLATE(A7289,""en"",""pt"")"),"Eu amo Harry Potter ..")</f>
        <v>Eu amo Harry Potter ..</v>
      </c>
      <c r="B7289" s="3">
        <v>1</v>
      </c>
    </row>
    <row r="7290" ht="15.75" customHeight="1" spans="1:2">
      <c r="A7290" s="3" t="str">
        <f>IFERROR(__xludf.DUMMYFUNCTION("GOOGLETRANSLATE(A7290,""en"",""pt"")"),"Eu amo Harry Potter.")</f>
        <v>Eu amo Harry Potter.</v>
      </c>
      <c r="B7290" s="3">
        <v>1</v>
      </c>
    </row>
    <row r="7291" ht="15.75" customHeight="1" spans="1:2">
      <c r="A7291" s="3" t="str">
        <f>IFERROR(__xludf.DUMMYFUNCTION("GOOGLETRANSLATE(A7291,""en"",""pt"")"),"Eu amo Harry Potter.")</f>
        <v>Eu amo Harry Potter.</v>
      </c>
      <c r="B7291" s="3">
        <v>1</v>
      </c>
    </row>
    <row r="7292" ht="15.75" customHeight="1" spans="1:2">
      <c r="A7292" s="3" t="str">
        <f>IFERROR(__xludf.DUMMYFUNCTION("GOOGLETRANSLATE(A7292,""en"",""pt"")"),"Vou começar a ler a série Harry Potter novamente, porque essa é uma história incrível.")</f>
        <v>Vou começar a ler a série Harry Potter novamente, porque essa é uma história incrível.</v>
      </c>
      <c r="B7292" s="3">
        <v>1</v>
      </c>
    </row>
    <row r="7293" ht="15.75" customHeight="1" spans="1:2">
      <c r="A7293" s="3" t="str">
        <f>IFERROR(__xludf.DUMMYFUNCTION("GOOGLETRANSLATE(A7293,""en"",""pt"")"),"I, também, como Harry Potter ..")</f>
        <v>I, também, como Harry Potter ..</v>
      </c>
      <c r="B7293" s="3">
        <v>1</v>
      </c>
    </row>
    <row r="7294" ht="15.75" customHeight="1" spans="1:2">
      <c r="A7294" s="3" t="str">
        <f>IFERROR(__xludf.DUMMYFUNCTION("GOOGLETRANSLATE(A7294,""en"",""pt"")"),"Quero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294" s="3">
        <v>1</v>
      </c>
    </row>
    <row r="7295" ht="15.75" customHeight="1" spans="1:2">
      <c r="A7295" s="3" t="str">
        <f>IFERROR(__xludf.DUMMYFUNCTION("GOOGLETRANSLATE(A7295,""en"",""pt"")"),"Eu amo a série Harry Potter, se você pode contar isso como ""um"" livro, também Catcher Na Tye, Jane Eyre, The Virgin Suicides, sim ...")</f>
        <v>Eu amo a série Harry Potter, se você pode contar isso como "um" livro, também Catcher Na Tye, Jane Eyre, The Virgin Suicides, sim ...</v>
      </c>
      <c r="B7295" s="3">
        <v>1</v>
      </c>
    </row>
    <row r="7296" ht="15.75" customHeight="1" spans="1:2">
      <c r="A7296" s="3" t="str">
        <f>IFERROR(__xludf.DUMMYFUNCTION("GOOGLETRANSLATE(A7296,""en"",""pt"")"),"Porque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296" s="3">
        <v>1</v>
      </c>
    </row>
    <row r="7297" ht="15.75" customHeight="1" spans="1:2">
      <c r="A7297" s="3" t="str">
        <f>IFERROR(__xludf.DUMMYFUNCTION("GOOGLETRANSLATE(A7297,""en"",""pt"")"),"a história de Harry Potter é um forte e profundo, e eu amo Harry Potter.")</f>
        <v>a história de Harry Potter é um forte e profundo, e eu amo Harry Potter.</v>
      </c>
      <c r="B7297" s="3">
        <v>1</v>
      </c>
    </row>
    <row r="7298" ht="15.75" customHeight="1" spans="1:2">
      <c r="A7298" s="3" t="str">
        <f>IFERROR(__xludf.DUMMYFUNCTION("GOOGLETRANSLATE(A7298,""en"",""pt"")"),"Harry Potter é IMPRESSIONANTE Eu não me importo se alguém disser diferente! ..")</f>
        <v>Harry Potter é IMPRESSIONANTE Eu não me importo se alguém disser diferente! ..</v>
      </c>
      <c r="B7298" s="3">
        <v>1</v>
      </c>
    </row>
    <row r="7299" ht="15.75" customHeight="1" spans="1:2">
      <c r="A7299" s="3" t="str">
        <f>IFERROR(__xludf.DUMMYFUNCTION("GOOGLETRANSLATE(A7299,""en"",""pt"")"),"Eu amo Harry Potter ..")</f>
        <v>Eu amo Harry Potter ..</v>
      </c>
      <c r="B7299" s="3">
        <v>1</v>
      </c>
    </row>
    <row r="7300" ht="15.75" customHeight="1" spans="1:2">
      <c r="A7300" s="3" t="str">
        <f>IFERROR(__xludf.DUMMYFUNCTION("GOOGLETRANSLATE(A7300,""en"",""pt"")"),"Eu amo Harry Potter.")</f>
        <v>Eu amo Harry Potter.</v>
      </c>
      <c r="B7300" s="3">
        <v>1</v>
      </c>
    </row>
    <row r="7301" ht="15.75" customHeight="1" spans="1:2">
      <c r="A7301" s="3" t="str">
        <f>IFERROR(__xludf.DUMMYFUNCTION("GOOGLETRANSLATE(A7301,""en"",""pt"")"),"Eu amo Harry Potter.")</f>
        <v>Eu amo Harry Potter.</v>
      </c>
      <c r="B7301" s="3">
        <v>1</v>
      </c>
    </row>
    <row r="7302" ht="15.75" customHeight="1" spans="1:2">
      <c r="A7302" s="3" t="str">
        <f>IFERROR(__xludf.DUMMYFUNCTION("GOOGLETRANSLATE(A7302,""en"",""pt"")"),"Vou começar a ler a série Harry Potter novamente, porque essa é uma história incrível.")</f>
        <v>Vou começar a ler a série Harry Potter novamente, porque essa é uma história incrível.</v>
      </c>
      <c r="B7302" s="3">
        <v>1</v>
      </c>
    </row>
    <row r="7303" ht="15.75" customHeight="1" spans="1:2">
      <c r="A7303" s="3" t="str">
        <f>IFERROR(__xludf.DUMMYFUNCTION("GOOGLETRANSLATE(A7303,""en"",""pt"")"),"I, também, como Harry Potter ..")</f>
        <v>I, também, como Harry Potter ..</v>
      </c>
      <c r="B7303" s="3">
        <v>1</v>
      </c>
    </row>
    <row r="7304" ht="15.75" customHeight="1" spans="1:2">
      <c r="A7304" s="3" t="str">
        <f>IFERROR(__xludf.DUMMYFUNCTION("GOOGLETRANSLATE(A7304,""en"",""pt"")"),"Quero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04" s="3">
        <v>1</v>
      </c>
    </row>
    <row r="7305" ht="15.75" customHeight="1" spans="1:2">
      <c r="A7305" s="3" t="str">
        <f>IFERROR(__xludf.DUMMYFUNCTION("GOOGLETRANSLATE(A7305,""en"",""pt"")"),"Eu amo a série Harry Potter, se você pode contar isso como ""um"" livro, também Catcher Na Tye, Jane Eyre, The Virgin Suicides, sim ...")</f>
        <v>Eu amo a série Harry Potter, se você pode contar isso como "um" livro, também Catcher Na Tye, Jane Eyre, The Virgin Suicides, sim ...</v>
      </c>
      <c r="B7305" s="3">
        <v>1</v>
      </c>
    </row>
    <row r="7306" ht="15.75" customHeight="1" spans="1:2">
      <c r="A7306" s="3" t="str">
        <f>IFERROR(__xludf.DUMMYFUNCTION("GOOGLETRANSLATE(A7306,""en"",""pt"")"),"Porque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06" s="3">
        <v>1</v>
      </c>
    </row>
    <row r="7307" ht="15.75" customHeight="1" spans="1:2">
      <c r="A7307" s="3" t="str">
        <f>IFERROR(__xludf.DUMMYFUNCTION("GOOGLETRANSLATE(A7307,""en"",""pt"")"),"a história de Harry Potter é um forte e profundo, e eu amo Harry Potter.")</f>
        <v>a história de Harry Potter é um forte e profundo, e eu amo Harry Potter.</v>
      </c>
      <c r="B7307" s="3">
        <v>1</v>
      </c>
    </row>
    <row r="7308" ht="15.75" customHeight="1" spans="1:2">
      <c r="A7308" s="3" t="str">
        <f>IFERROR(__xludf.DUMMYFUNCTION("GOOGLETRANSLATE(A7308,""en"",""pt"")"),"Harry Potter é IMPRESSIONANTE Eu não me importo se alguém disser diferente! ..")</f>
        <v>Harry Potter é IMPRESSIONANTE Eu não me importo se alguém disser diferente! ..</v>
      </c>
      <c r="B7308" s="3">
        <v>1</v>
      </c>
    </row>
    <row r="7309" ht="15.75" customHeight="1" spans="1:2">
      <c r="A7309" s="3" t="str">
        <f>IFERROR(__xludf.DUMMYFUNCTION("GOOGLETRANSLATE(A7309,""en"",""pt"")"),"Eu amo Harry Potter ..")</f>
        <v>Eu amo Harry Potter ..</v>
      </c>
      <c r="B7309" s="3">
        <v>1</v>
      </c>
    </row>
    <row r="7310" ht="15.75" customHeight="1" spans="1:2">
      <c r="A7310" s="3" t="str">
        <f>IFERROR(__xludf.DUMMYFUNCTION("GOOGLETRANSLATE(A7310,""en"",""pt"")"),"Eu amo Harry Potter.")</f>
        <v>Eu amo Harry Potter.</v>
      </c>
      <c r="B7310" s="3">
        <v>1</v>
      </c>
    </row>
    <row r="7311" ht="15.75" customHeight="1" spans="1:2">
      <c r="A7311" s="3" t="str">
        <f>IFERROR(__xludf.DUMMYFUNCTION("GOOGLETRANSLATE(A7311,""en"",""pt"")"),"Eu amo Harry Potter.")</f>
        <v>Eu amo Harry Potter.</v>
      </c>
      <c r="B7311" s="3">
        <v>1</v>
      </c>
    </row>
    <row r="7312" ht="15.75" customHeight="1" spans="1:2">
      <c r="A7312" s="3" t="str">
        <f>IFERROR(__xludf.DUMMYFUNCTION("GOOGLETRANSLATE(A7312,""en"",""pt"")"),"Vou começar a ler a série Harry Potter novamente, porque essa é uma história incrível.")</f>
        <v>Vou começar a ler a série Harry Potter novamente, porque essa é uma história incrível.</v>
      </c>
      <c r="B7312" s="3">
        <v>1</v>
      </c>
    </row>
    <row r="7313" ht="15.75" customHeight="1" spans="1:2">
      <c r="A7313" s="3" t="str">
        <f>IFERROR(__xludf.DUMMYFUNCTION("GOOGLETRANSLATE(A7313,""en"",""pt"")"),"I, também, como Harry Potter ..")</f>
        <v>I, também, como Harry Potter ..</v>
      </c>
      <c r="B7313" s="3">
        <v>1</v>
      </c>
    </row>
    <row r="7314" ht="15.75" customHeight="1" spans="1:2">
      <c r="A7314" s="3" t="str">
        <f>IFERROR(__xludf.DUMMYFUNCTION("GOOGLETRANSLATE(A7314,""en"",""pt"")"),"Quero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14" s="3">
        <v>1</v>
      </c>
    </row>
    <row r="7315" ht="15.75" customHeight="1" spans="1:2">
      <c r="A7315" s="3" t="str">
        <f>IFERROR(__xludf.DUMMYFUNCTION("GOOGLETRANSLATE(A7315,""en"",""pt"")"),"Eu amo a série Harry Potter, se você pode contar isso como ""um"" livro, também Catcher Na Tye, Jane Eyre, The Virgin Suicides, sim ...")</f>
        <v>Eu amo a série Harry Potter, se você pode contar isso como "um" livro, também Catcher Na Tye, Jane Eyre, The Virgin Suicides, sim ...</v>
      </c>
      <c r="B7315" s="3">
        <v>1</v>
      </c>
    </row>
    <row r="7316" ht="15.75" customHeight="1" spans="1:2">
      <c r="A7316" s="3" t="str">
        <f>IFERROR(__xludf.DUMMYFUNCTION("GOOGLETRANSLATE(A7316,""en"",""pt"")"),"Porque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16" s="3">
        <v>1</v>
      </c>
    </row>
    <row r="7317" ht="15.75" customHeight="1" spans="1:2">
      <c r="A7317" s="3" t="str">
        <f>IFERROR(__xludf.DUMMYFUNCTION("GOOGLETRANSLATE(A7317,""en"",""pt"")"),"a história de Harry Potter é um forte e profundo, e eu amo Harry Potter.")</f>
        <v>a história de Harry Potter é um forte e profundo, e eu amo Harry Potter.</v>
      </c>
      <c r="B7317" s="3">
        <v>1</v>
      </c>
    </row>
    <row r="7318" ht="15.75" customHeight="1" spans="1:2">
      <c r="A7318" s="3" t="str">
        <f>IFERROR(__xludf.DUMMYFUNCTION("GOOGLETRANSLATE(A7318,""en"",""pt"")"),"Harry Potter é IMPRESSIONANTE Eu não me importo se alguém disser diferente! ..")</f>
        <v>Harry Potter é IMPRESSIONANTE Eu não me importo se alguém disser diferente! ..</v>
      </c>
      <c r="B7318" s="3">
        <v>1</v>
      </c>
    </row>
    <row r="7319" ht="15.75" customHeight="1" spans="1:2">
      <c r="A7319" s="3" t="str">
        <f>IFERROR(__xludf.DUMMYFUNCTION("GOOGLETRANSLATE(A7319,""en"",""pt"")"),"Eu amo Harry Potter ..")</f>
        <v>Eu amo Harry Potter ..</v>
      </c>
      <c r="B7319" s="3">
        <v>1</v>
      </c>
    </row>
    <row r="7320" ht="15.75" customHeight="1" spans="1:2">
      <c r="A7320" s="3" t="str">
        <f>IFERROR(__xludf.DUMMYFUNCTION("GOOGLETRANSLATE(A7320,""en"",""pt"")"),"Eu amo Harry Potter.")</f>
        <v>Eu amo Harry Potter.</v>
      </c>
      <c r="B7320" s="3">
        <v>1</v>
      </c>
    </row>
    <row r="7321" ht="15.75" customHeight="1" spans="1:2">
      <c r="A7321" s="3" t="str">
        <f>IFERROR(__xludf.DUMMYFUNCTION("GOOGLETRANSLATE(A7321,""en"",""pt"")"),"Eu amo Harry Potter.")</f>
        <v>Eu amo Harry Potter.</v>
      </c>
      <c r="B7321" s="3">
        <v>1</v>
      </c>
    </row>
    <row r="7322" ht="15.75" customHeight="1" spans="1:2">
      <c r="A7322" s="3" t="str">
        <f>IFERROR(__xludf.DUMMYFUNCTION("GOOGLETRANSLATE(A7322,""en"",""pt"")"),"Vou começar a ler a série Harry Potter novamente, porque essa é uma história incrível.")</f>
        <v>Vou começar a ler a série Harry Potter novamente, porque essa é uma história incrível.</v>
      </c>
      <c r="B7322" s="3">
        <v>1</v>
      </c>
    </row>
    <row r="7323" ht="15.75" customHeight="1" spans="1:2">
      <c r="A7323" s="3" t="str">
        <f>IFERROR(__xludf.DUMMYFUNCTION("GOOGLETRANSLATE(A7323,""en"",""pt"")"),"I, também, como Harry Potter ..")</f>
        <v>I, também, como Harry Potter ..</v>
      </c>
      <c r="B7323" s="3">
        <v>1</v>
      </c>
    </row>
    <row r="7324" ht="15.75" customHeight="1" spans="1:2">
      <c r="A7324" s="3" t="str">
        <f>IFERROR(__xludf.DUMMYFUNCTION("GOOGLETRANSLATE(A7324,""en"",""pt"")"),"Quero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24" s="3">
        <v>1</v>
      </c>
    </row>
    <row r="7325" ht="15.75" customHeight="1" spans="1:2">
      <c r="A7325" s="3" t="str">
        <f>IFERROR(__xludf.DUMMYFUNCTION("GOOGLETRANSLATE(A7325,""en"",""pt"")"),"Eu amo a série Harry Potter, se você pode contar isso como ""um"" livro, também Catcher Na Tye, Jane Eyre, The Virgin Suicides, sim ...")</f>
        <v>Eu amo a série Harry Potter, se você pode contar isso como "um" livro, também Catcher Na Tye, Jane Eyre, The Virgin Suicides, sim ...</v>
      </c>
      <c r="B7325" s="3">
        <v>1</v>
      </c>
    </row>
    <row r="7326" ht="15.75" customHeight="1" spans="1:2">
      <c r="A7326" s="3" t="str">
        <f>IFERROR(__xludf.DUMMYFUNCTION("GOOGLETRANSLATE(A7326,""en"",""pt"")"),"Porque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26" s="3">
        <v>1</v>
      </c>
    </row>
    <row r="7327" ht="15.75" customHeight="1" spans="1:2">
      <c r="A7327" s="3" t="str">
        <f>IFERROR(__xludf.DUMMYFUNCTION("GOOGLETRANSLATE(A7327,""en"",""pt"")"),"a história de Harry Potter é um forte e profundo, e eu amo Harry Potter.")</f>
        <v>a história de Harry Potter é um forte e profundo, e eu amo Harry Potter.</v>
      </c>
      <c r="B7327" s="3">
        <v>1</v>
      </c>
    </row>
    <row r="7328" ht="15.75" customHeight="1" spans="1:2">
      <c r="A7328" s="3" t="str">
        <f>IFERROR(__xludf.DUMMYFUNCTION("GOOGLETRANSLATE(A7328,""en"",""pt"")"),"Harry Potter é IMPRESSIONANTE Eu não me importo se alguém disser diferente! ..")</f>
        <v>Harry Potter é IMPRESSIONANTE Eu não me importo se alguém disser diferente! ..</v>
      </c>
      <c r="B7328" s="3">
        <v>1</v>
      </c>
    </row>
    <row r="7329" ht="15.75" customHeight="1" spans="1:2">
      <c r="A7329" s="3" t="str">
        <f>IFERROR(__xludf.DUMMYFUNCTION("GOOGLETRANSLATE(A7329,""en"",""pt"")"),"Eu amo Harry Potter ..")</f>
        <v>Eu amo Harry Potter ..</v>
      </c>
      <c r="B7329" s="3">
        <v>1</v>
      </c>
    </row>
    <row r="7330" ht="15.75" customHeight="1" spans="1:2">
      <c r="A7330" s="3" t="str">
        <f>IFERROR(__xludf.DUMMYFUNCTION("GOOGLETRANSLATE(A7330,""en"",""pt"")"),"Eu amo Harry Potter.")</f>
        <v>Eu amo Harry Potter.</v>
      </c>
      <c r="B7330" s="3">
        <v>1</v>
      </c>
    </row>
    <row r="7331" ht="15.75" customHeight="1" spans="1:2">
      <c r="A7331" s="3" t="str">
        <f>IFERROR(__xludf.DUMMYFUNCTION("GOOGLETRANSLATE(A7331,""en"",""pt"")"),"Eu amo Harry Potter.")</f>
        <v>Eu amo Harry Potter.</v>
      </c>
      <c r="B7331" s="3">
        <v>1</v>
      </c>
    </row>
    <row r="7332" ht="15.75" customHeight="1" spans="1:2">
      <c r="A7332" s="3" t="str">
        <f>IFERROR(__xludf.DUMMYFUNCTION("GOOGLETRANSLATE(A7332,""en"",""pt"")"),"Vou começar a ler a série Harry Potter novamente, porque essa é uma história incrível.")</f>
        <v>Vou começar a ler a série Harry Potter novamente, porque essa é uma história incrível.</v>
      </c>
      <c r="B7332" s="3">
        <v>1</v>
      </c>
    </row>
    <row r="7333" ht="15.75" customHeight="1" spans="1:2">
      <c r="A7333" s="3" t="str">
        <f>IFERROR(__xludf.DUMMYFUNCTION("GOOGLETRANSLATE(A7333,""en"",""pt"")"),"I, também, como Harry Potter ..")</f>
        <v>I, também, como Harry Potter ..</v>
      </c>
      <c r="B7333" s="3">
        <v>1</v>
      </c>
    </row>
    <row r="7334" ht="15.75" customHeight="1" spans="1:2">
      <c r="A7334" s="3" t="str">
        <f>IFERROR(__xludf.DUMMYFUNCTION("GOOGLETRANSLATE(A7334,""en"",""pt"")"),"Quero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34" s="3">
        <v>1</v>
      </c>
    </row>
    <row r="7335" ht="15.75" customHeight="1" spans="1:2">
      <c r="A7335" s="3" t="str">
        <f>IFERROR(__xludf.DUMMYFUNCTION("GOOGLETRANSLATE(A7335,""en"",""pt"")"),"Eu amo a série Harry Potter, se você pode contar isso como ""um"" livro, também Catcher Na Tye, Jane Eyre, The Virgin Suicides, sim ...")</f>
        <v>Eu amo a série Harry Potter, se você pode contar isso como "um" livro, também Catcher Na Tye, Jane Eyre, The Virgin Suicides, sim ...</v>
      </c>
      <c r="B7335" s="3">
        <v>1</v>
      </c>
    </row>
    <row r="7336" ht="15.75" customHeight="1" spans="1:2">
      <c r="A7336" s="3" t="str">
        <f>IFERROR(__xludf.DUMMYFUNCTION("GOOGLETRANSLATE(A7336,""en"",""pt"")"),"Porque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36" s="3">
        <v>1</v>
      </c>
    </row>
    <row r="7337" ht="15.75" customHeight="1" spans="1:2">
      <c r="A7337" s="3" t="str">
        <f>IFERROR(__xludf.DUMMYFUNCTION("GOOGLETRANSLATE(A7337,""en"",""pt"")"),"a história de Harry Potter é um forte e profundo, e eu amo Harry Potter.")</f>
        <v>a história de Harry Potter é um forte e profundo, e eu amo Harry Potter.</v>
      </c>
      <c r="B7337" s="3">
        <v>1</v>
      </c>
    </row>
    <row r="7338" ht="15.75" customHeight="1" spans="1:2">
      <c r="A7338" s="3" t="str">
        <f>IFERROR(__xludf.DUMMYFUNCTION("GOOGLETRANSLATE(A7338,""en"",""pt"")"),"Harry Potter é IMPRESSIONANTE Eu não me importo se alguém disser diferente! ..")</f>
        <v>Harry Potter é IMPRESSIONANTE Eu não me importo se alguém disser diferente! ..</v>
      </c>
      <c r="B7338" s="3">
        <v>1</v>
      </c>
    </row>
    <row r="7339" ht="15.75" customHeight="1" spans="1:2">
      <c r="A7339" s="3" t="str">
        <f>IFERROR(__xludf.DUMMYFUNCTION("GOOGLETRANSLATE(A7339,""en"",""pt"")"),"Eu amo Harry Potter ..")</f>
        <v>Eu amo Harry Potter ..</v>
      </c>
      <c r="B7339" s="3">
        <v>1</v>
      </c>
    </row>
    <row r="7340" ht="15.75" customHeight="1" spans="1:2">
      <c r="A7340" s="3" t="str">
        <f>IFERROR(__xludf.DUMMYFUNCTION("GOOGLETRANSLATE(A7340,""en"",""pt"")"),"Eu amo Harry Potter.")</f>
        <v>Eu amo Harry Potter.</v>
      </c>
      <c r="B7340" s="3">
        <v>1</v>
      </c>
    </row>
    <row r="7341" ht="15.75" customHeight="1" spans="1:2">
      <c r="A7341" s="3" t="str">
        <f>IFERROR(__xludf.DUMMYFUNCTION("GOOGLETRANSLATE(A7341,""en"",""pt"")"),"Eu amo Harry Potter.")</f>
        <v>Eu amo Harry Potter.</v>
      </c>
      <c r="B7341" s="3">
        <v>1</v>
      </c>
    </row>
    <row r="7342" ht="15.75" customHeight="1" spans="1:2">
      <c r="A7342" s="3" t="str">
        <f>IFERROR(__xludf.DUMMYFUNCTION("GOOGLETRANSLATE(A7342,""en"",""pt"")"),"Vou começar a ler a série Harry Potter novamente, porque essa é uma história incrível.")</f>
        <v>Vou começar a ler a série Harry Potter novamente, porque essa é uma história incrível.</v>
      </c>
      <c r="B7342" s="3">
        <v>1</v>
      </c>
    </row>
    <row r="7343" ht="15.75" customHeight="1" spans="1:2">
      <c r="A7343" s="3" t="str">
        <f>IFERROR(__xludf.DUMMYFUNCTION("GOOGLETRANSLATE(A7343,""en"",""pt"")"),"I, também, como Harry Potter ..")</f>
        <v>I, também, como Harry Potter ..</v>
      </c>
      <c r="B7343" s="3">
        <v>1</v>
      </c>
    </row>
    <row r="7344" ht="15.75" customHeight="1" spans="1:2">
      <c r="A7344" s="3" t="str">
        <f>IFERROR(__xludf.DUMMYFUNCTION("GOOGLETRANSLATE(A7344,""en"",""pt"")"),"Quero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44" s="3">
        <v>1</v>
      </c>
    </row>
    <row r="7345" ht="15.75" customHeight="1" spans="1:2">
      <c r="A7345" s="3" t="str">
        <f>IFERROR(__xludf.DUMMYFUNCTION("GOOGLETRANSLATE(A7345,""en"",""pt"")"),"Eu amo a série Harry Potter, se você pode contar isso como ""um"" livro, também Catcher Na Tye, Jane Eyre, The Virgin Suicides, sim ...")</f>
        <v>Eu amo a série Harry Potter, se você pode contar isso como "um" livro, também Catcher Na Tye, Jane Eyre, The Virgin Suicides, sim ...</v>
      </c>
      <c r="B7345" s="3">
        <v>1</v>
      </c>
    </row>
    <row r="7346" ht="15.75" customHeight="1" spans="1:2">
      <c r="A7346" s="3" t="str">
        <f>IFERROR(__xludf.DUMMYFUNCTION("GOOGLETRANSLATE(A7346,""en"",""pt"")"),"Porque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46" s="3">
        <v>1</v>
      </c>
    </row>
    <row r="7347" ht="15.75" customHeight="1" spans="1:2">
      <c r="A7347" s="3" t="str">
        <f>IFERROR(__xludf.DUMMYFUNCTION("GOOGLETRANSLATE(A7347,""en"",""pt"")"),"a história de Harry Potter é um forte e profundo, e eu amo Harry Potter.")</f>
        <v>a história de Harry Potter é um forte e profundo, e eu amo Harry Potter.</v>
      </c>
      <c r="B7347" s="3">
        <v>1</v>
      </c>
    </row>
    <row r="7348" ht="15.75" customHeight="1" spans="1:2">
      <c r="A7348" s="3" t="str">
        <f>IFERROR(__xludf.DUMMYFUNCTION("GOOGLETRANSLATE(A7348,""en"",""pt"")"),"Harry Potter é IMPRESSIONANTE Eu não me importo se alguém disser diferente! ..")</f>
        <v>Harry Potter é IMPRESSIONANTE Eu não me importo se alguém disser diferente! ..</v>
      </c>
      <c r="B7348" s="3">
        <v>1</v>
      </c>
    </row>
    <row r="7349" ht="15.75" customHeight="1" spans="1:2">
      <c r="A7349" s="3" t="str">
        <f>IFERROR(__xludf.DUMMYFUNCTION("GOOGLETRANSLATE(A7349,""en"",""pt"")"),"Eu amo Harry Potter ..")</f>
        <v>Eu amo Harry Potter ..</v>
      </c>
      <c r="B7349" s="3">
        <v>1</v>
      </c>
    </row>
    <row r="7350" ht="15.75" customHeight="1" spans="1:2">
      <c r="A7350" s="3" t="str">
        <f>IFERROR(__xludf.DUMMYFUNCTION("GOOGLETRANSLATE(A7350,""en"",""pt"")"),"Eu amo Harry Potter.")</f>
        <v>Eu amo Harry Potter.</v>
      </c>
      <c r="B7350" s="3">
        <v>1</v>
      </c>
    </row>
    <row r="7351" ht="15.75" customHeight="1" spans="1:2">
      <c r="A7351" s="3" t="str">
        <f>IFERROR(__xludf.DUMMYFUNCTION("GOOGLETRANSLATE(A7351,""en"",""pt"")"),"Eu amo Harry Potter.")</f>
        <v>Eu amo Harry Potter.</v>
      </c>
      <c r="B7351" s="3">
        <v>1</v>
      </c>
    </row>
    <row r="7352" ht="15.75" customHeight="1" spans="1:2">
      <c r="A7352" s="3" t="str">
        <f>IFERROR(__xludf.DUMMYFUNCTION("GOOGLETRANSLATE(A7352,""en"",""pt"")"),"Vou começar a ler a série Harry Potter novamente, porque essa é uma história incrível.")</f>
        <v>Vou começar a ler a série Harry Potter novamente, porque essa é uma história incrível.</v>
      </c>
      <c r="B7352" s="3">
        <v>1</v>
      </c>
    </row>
    <row r="7353" ht="15.75" customHeight="1" spans="1:2">
      <c r="A7353" s="3" t="str">
        <f>IFERROR(__xludf.DUMMYFUNCTION("GOOGLETRANSLATE(A7353,""en"",""pt"")"),"I, também, como Harry Potter ..")</f>
        <v>I, também, como Harry Potter ..</v>
      </c>
      <c r="B7353" s="3">
        <v>1</v>
      </c>
    </row>
    <row r="7354" ht="15.75" customHeight="1" spans="1:2">
      <c r="A7354" s="3" t="str">
        <f>IFERROR(__xludf.DUMMYFUNCTION("GOOGLETRANSLATE(A7354,""en"",""pt"")"),"Quero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54" s="3">
        <v>1</v>
      </c>
    </row>
    <row r="7355" ht="15.75" customHeight="1" spans="1:2">
      <c r="A7355" s="3" t="str">
        <f>IFERROR(__xludf.DUMMYFUNCTION("GOOGLETRANSLATE(A7355,""en"",""pt"")"),"Eu amo a série Harry Potter, se você pode contar isso como ""um"" livro, também Catcher Na Tye, Jane Eyre, The Virgin Suicides, sim ...")</f>
        <v>Eu amo a série Harry Potter, se você pode contar isso como "um" livro, também Catcher Na Tye, Jane Eyre, The Virgin Suicides, sim ...</v>
      </c>
      <c r="B7355" s="3">
        <v>1</v>
      </c>
    </row>
    <row r="7356" ht="15.75" customHeight="1" spans="1:2">
      <c r="A7356" s="3" t="str">
        <f>IFERROR(__xludf.DUMMYFUNCTION("GOOGLETRANSLATE(A7356,""en"",""pt"")"),"Porque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56" s="3">
        <v>1</v>
      </c>
    </row>
    <row r="7357" ht="15.75" customHeight="1" spans="1:2">
      <c r="A7357" s="3" t="str">
        <f>IFERROR(__xludf.DUMMYFUNCTION("GOOGLETRANSLATE(A7357,""en"",""pt"")"),"a história de Harry Potter é um forte e profundo, e eu amo Harry Potter.")</f>
        <v>a história de Harry Potter é um forte e profundo, e eu amo Harry Potter.</v>
      </c>
      <c r="B7357" s="3">
        <v>1</v>
      </c>
    </row>
    <row r="7358" ht="15.75" customHeight="1" spans="1:2">
      <c r="A7358" s="3" t="str">
        <f>IFERROR(__xludf.DUMMYFUNCTION("GOOGLETRANSLATE(A7358,""en"",""pt"")"),"Harry Potter é IMPRESSIONANTE Eu não me importo se alguém disser diferente! ..")</f>
        <v>Harry Potter é IMPRESSIONANTE Eu não me importo se alguém disser diferente! ..</v>
      </c>
      <c r="B7358" s="3">
        <v>1</v>
      </c>
    </row>
    <row r="7359" ht="15.75" customHeight="1" spans="1:2">
      <c r="A7359" s="3" t="str">
        <f>IFERROR(__xludf.DUMMYFUNCTION("GOOGLETRANSLATE(A7359,""en"",""pt"")"),"Eu amo Harry Potter ..")</f>
        <v>Eu amo Harry Potter ..</v>
      </c>
      <c r="B7359" s="3">
        <v>1</v>
      </c>
    </row>
    <row r="7360" ht="15.75" customHeight="1" spans="1:2">
      <c r="A7360" s="3" t="str">
        <f>IFERROR(__xludf.DUMMYFUNCTION("GOOGLETRANSLATE(A7360,""en"",""pt"")"),"Eu amo Harry Potter.")</f>
        <v>Eu amo Harry Potter.</v>
      </c>
      <c r="B7360" s="3">
        <v>1</v>
      </c>
    </row>
    <row r="7361" ht="15.75" customHeight="1" spans="1:2">
      <c r="A7361" s="3" t="str">
        <f>IFERROR(__xludf.DUMMYFUNCTION("GOOGLETRANSLATE(A7361,""en"",""pt"")"),"Eu amo Harry Potter.")</f>
        <v>Eu amo Harry Potter.</v>
      </c>
      <c r="B7361" s="3">
        <v>1</v>
      </c>
    </row>
    <row r="7362" ht="15.75" customHeight="1" spans="1:2">
      <c r="A7362" s="3" t="s">
        <v>30</v>
      </c>
      <c r="B7362" s="3">
        <v>1</v>
      </c>
    </row>
    <row r="7363" ht="15.75" customHeight="1" spans="1:2">
      <c r="A7363" s="3" t="str">
        <f>IFERROR(__xludf.DUMMYFUNCTION("GOOGLETRANSLATE(A7363,""en"",""pt"")"),"I, também, como Harry Potter ..")</f>
        <v>I, também, como Harry Potter ..</v>
      </c>
      <c r="B7363" s="3">
        <v>1</v>
      </c>
    </row>
    <row r="7364" ht="15.75" customHeight="1" spans="1:2">
      <c r="A7364" s="3" t="str">
        <f>IFERROR(__xludf.DUMMYFUNCTION("GOOGLETRANSLATE(A7364,""en"",""pt"")"),"Quero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64" s="3">
        <v>1</v>
      </c>
    </row>
    <row r="7365" ht="15.75" customHeight="1" spans="1:2">
      <c r="A7365" s="3" t="str">
        <f>IFERROR(__xludf.DUMMYFUNCTION("GOOGLETRANSLATE(A7365,""en"",""pt"")"),"Eu amo a série Harry Potter, se você pode contar isso como ""um"" livro, também Catcher Na Tye, Jane Eyre, The Virgin Suicides, sim ...")</f>
        <v>Eu amo a série Harry Potter, se você pode contar isso como "um" livro, também Catcher Na Tye, Jane Eyre, The Virgin Suicides, sim ...</v>
      </c>
      <c r="B7365" s="3">
        <v>1</v>
      </c>
    </row>
    <row r="7366" ht="15.75" customHeight="1" spans="1:2">
      <c r="A7366" s="3" t="str">
        <f>IFERROR(__xludf.DUMMYFUNCTION("GOOGLETRANSLATE(A7366,""en"",""pt"")"),"Porque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66" s="3">
        <v>1</v>
      </c>
    </row>
    <row r="7367" ht="15.75" customHeight="1" spans="1:2">
      <c r="A7367" s="3" t="str">
        <f>IFERROR(__xludf.DUMMYFUNCTION("GOOGLETRANSLATE(A7367,""en"",""pt"")"),"a história de Harry Potter é um forte e profundo, e eu amo Harry Potter.")</f>
        <v>a história de Harry Potter é um forte e profundo, e eu amo Harry Potter.</v>
      </c>
      <c r="B7367" s="3">
        <v>1</v>
      </c>
    </row>
    <row r="7368" ht="15.75" customHeight="1" spans="1:2">
      <c r="A7368" s="3" t="str">
        <f>IFERROR(__xludf.DUMMYFUNCTION("GOOGLETRANSLATE(A7368,""en"",""pt"")"),"Harry Potter é IMPRESSIONANTE Eu não me importo se alguém disser diferente! ..")</f>
        <v>Harry Potter é IMPRESSIONANTE Eu não me importo se alguém disser diferente! ..</v>
      </c>
      <c r="B7368" s="3">
        <v>1</v>
      </c>
    </row>
    <row r="7369" ht="15.75" customHeight="1" spans="1:2">
      <c r="A7369" s="3" t="str">
        <f>IFERROR(__xludf.DUMMYFUNCTION("GOOGLETRANSLATE(A7369,""en"",""pt"")"),"Eu amo Harry Potter ..")</f>
        <v>Eu amo Harry Potter ..</v>
      </c>
      <c r="B7369" s="3">
        <v>1</v>
      </c>
    </row>
    <row r="7370" ht="15.75" customHeight="1" spans="1:2">
      <c r="A7370" s="3" t="str">
        <f>IFERROR(__xludf.DUMMYFUNCTION("GOOGLETRANSLATE(A7370,""en"",""pt"")"),"Eu amo Harry Potter.")</f>
        <v>Eu amo Harry Potter.</v>
      </c>
      <c r="B7370" s="3">
        <v>1</v>
      </c>
    </row>
    <row r="7371" ht="15.75" customHeight="1" spans="1:2">
      <c r="A7371" s="3" t="str">
        <f>IFERROR(__xludf.DUMMYFUNCTION("GOOGLETRANSLATE(A7371,""en"",""pt"")"),"Eu amo Harry Potter.")</f>
        <v>Eu amo Harry Potter.</v>
      </c>
      <c r="B7371" s="3">
        <v>1</v>
      </c>
    </row>
    <row r="7372" ht="15.75" customHeight="1" spans="1:2">
      <c r="A7372" s="3" t="str">
        <f>IFERROR(__xludf.DUMMYFUNCTION("GOOGLETRANSLATE(A7372,""en"",""pt"")"),"Vou começar a ler a série Harry Potter novamente, porque essa é uma história incrível.")</f>
        <v>Vou começar a ler a série Harry Potter novamente, porque essa é uma história incrível.</v>
      </c>
      <c r="B7372" s="3">
        <v>1</v>
      </c>
    </row>
    <row r="7373" ht="15.75" customHeight="1" spans="1:2">
      <c r="A7373" s="3" t="str">
        <f>IFERROR(__xludf.DUMMYFUNCTION("GOOGLETRANSLATE(A7373,""en"",""pt"")"),"I, também, como Harry Potter ..")</f>
        <v>I, também, como Harry Potter ..</v>
      </c>
      <c r="B7373" s="3">
        <v>1</v>
      </c>
    </row>
    <row r="7374" ht="15.75" customHeight="1" spans="1:2">
      <c r="A7374" s="3" t="str">
        <f>IFERROR(__xludf.DUMMYFUNCTION("GOOGLETRANSLATE(A7374,""en"",""pt"")"),"Quero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74" s="3">
        <v>1</v>
      </c>
    </row>
    <row r="7375" ht="15.75" customHeight="1" spans="1:2">
      <c r="A7375" s="3" t="str">
        <f>IFERROR(__xludf.DUMMYFUNCTION("GOOGLETRANSLATE(A7375,""en"",""pt"")"),"Eu amo a série Harry Potter, se você pode contar isso como ""um"" livro, também Catcher Na Tye, Jane Eyre, The Virgin Suicides, sim ...")</f>
        <v>Eu amo a série Harry Potter, se você pode contar isso como "um" livro, também Catcher Na Tye, Jane Eyre, The Virgin Suicides, sim ...</v>
      </c>
      <c r="B7375" s="3">
        <v>1</v>
      </c>
    </row>
    <row r="7376" ht="15.75" customHeight="1" spans="1:2">
      <c r="A7376" s="3" t="str">
        <f>IFERROR(__xludf.DUMMYFUNCTION("GOOGLETRANSLATE(A7376,""en"",""pt"")"),"Porque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76" s="3">
        <v>1</v>
      </c>
    </row>
    <row r="7377" ht="15.75" customHeight="1" spans="1:2">
      <c r="A7377" s="3" t="str">
        <f>IFERROR(__xludf.DUMMYFUNCTION("GOOGLETRANSLATE(A7377,""en"",""pt"")"),"a história de Harry Potter é um forte e profundo, e eu amo Harry Potter.")</f>
        <v>a história de Harry Potter é um forte e profundo, e eu amo Harry Potter.</v>
      </c>
      <c r="B7377" s="3">
        <v>1</v>
      </c>
    </row>
    <row r="7378" ht="15.75" customHeight="1" spans="1:2">
      <c r="A7378" s="3" t="str">
        <f>IFERROR(__xludf.DUMMYFUNCTION("GOOGLETRANSLATE(A7378,""en"",""pt"")"),"Harry Potter é IMPRESSIONANTE Eu não me importo se alguém disser diferente! ..")</f>
        <v>Harry Potter é IMPRESSIONANTE Eu não me importo se alguém disser diferente! ..</v>
      </c>
      <c r="B7378" s="3">
        <v>1</v>
      </c>
    </row>
    <row r="7379" ht="15.75" customHeight="1" spans="1:2">
      <c r="A7379" s="3" t="str">
        <f>IFERROR(__xludf.DUMMYFUNCTION("GOOGLETRANSLATE(A7379,""en"",""pt"")"),"Eu amo Harry Potter ..")</f>
        <v>Eu amo Harry Potter ..</v>
      </c>
      <c r="B7379" s="3">
        <v>1</v>
      </c>
    </row>
    <row r="7380" ht="15.75" customHeight="1" spans="1:2">
      <c r="A7380" s="3" t="str">
        <f>IFERROR(__xludf.DUMMYFUNCTION("GOOGLETRANSLATE(A7380,""en"",""pt"")"),"Eu amo Harry Potter.")</f>
        <v>Eu amo Harry Potter.</v>
      </c>
      <c r="B7380" s="3">
        <v>1</v>
      </c>
    </row>
    <row r="7381" ht="15.75" customHeight="1" spans="1:2">
      <c r="A7381" s="3" t="str">
        <f>IFERROR(__xludf.DUMMYFUNCTION("GOOGLETRANSLATE(A7381,""en"",""pt"")"),"Eu amo Harry Potter.")</f>
        <v>Eu amo Harry Potter.</v>
      </c>
      <c r="B7381" s="3">
        <v>1</v>
      </c>
    </row>
    <row r="7382" ht="15.75" customHeight="1" spans="1:2">
      <c r="A7382" s="3" t="str">
        <f>IFERROR(__xludf.DUMMYFUNCTION("GOOGLETRANSLATE(A7382,""en"",""pt"")"),"Vou começar a ler a série Harry Potter novamente, porque essa é uma história incrível.")</f>
        <v>Vou começar a ler a série Harry Potter novamente, porque essa é uma história incrível.</v>
      </c>
      <c r="B7382" s="3">
        <v>1</v>
      </c>
    </row>
    <row r="7383" ht="15.75" customHeight="1" spans="1:2">
      <c r="A7383" s="3" t="str">
        <f>IFERROR(__xludf.DUMMYFUNCTION("GOOGLETRANSLATE(A7383,""en"",""pt"")"),"I, também, como Harry Potter ..")</f>
        <v>I, também, como Harry Potter ..</v>
      </c>
      <c r="B7383" s="3">
        <v>1</v>
      </c>
    </row>
    <row r="7384" ht="15.75" customHeight="1" spans="1:2">
      <c r="A7384" s="3" t="str">
        <f>IFERROR(__xludf.DUMMYFUNCTION("GOOGLETRANSLATE(A7384,""en"",""pt"")"),"Quero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84" s="3">
        <v>1</v>
      </c>
    </row>
    <row r="7385" ht="15.75" customHeight="1" spans="1:2">
      <c r="A7385" s="3" t="str">
        <f>IFERROR(__xludf.DUMMYFUNCTION("GOOGLETRANSLATE(A7385,""en"",""pt"")"),"Eu amo a série Harry Potter, se você pode contar isso como ""um"" livro, também Catcher Na Tye, Jane Eyre, The Virgin Suicides, sim ...")</f>
        <v>Eu amo a série Harry Potter, se você pode contar isso como "um" livro, também Catcher Na Tye, Jane Eyre, The Virgin Suicides, sim ...</v>
      </c>
      <c r="B7385" s="3">
        <v>1</v>
      </c>
    </row>
    <row r="7386" ht="15.75" customHeight="1" spans="1:2">
      <c r="A7386" s="3" t="str">
        <f>IFERROR(__xludf.DUMMYFUNCTION("GOOGLETRANSLATE(A7386,""en"",""pt"")"),"Porque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86" s="3">
        <v>1</v>
      </c>
    </row>
    <row r="7387" ht="15.75" customHeight="1" spans="1:2">
      <c r="A7387" s="3" t="str">
        <f>IFERROR(__xludf.DUMMYFUNCTION("GOOGLETRANSLATE(A7387,""en"",""pt"")"),"a história de Harry Potter é um forte e profundo, e eu amo Harry Potter.")</f>
        <v>a história de Harry Potter é um forte e profundo, e eu amo Harry Potter.</v>
      </c>
      <c r="B7387" s="3">
        <v>1</v>
      </c>
    </row>
    <row r="7388" ht="15.75" customHeight="1" spans="1:2">
      <c r="A7388" s="3" t="str">
        <f>IFERROR(__xludf.DUMMYFUNCTION("GOOGLETRANSLATE(A7388,""en"",""pt"")"),"Harry Potter é IMPRESSIONANTE Eu não me importo se alguém disser diferente! ..")</f>
        <v>Harry Potter é IMPRESSIONANTE Eu não me importo se alguém disser diferente! ..</v>
      </c>
      <c r="B7388" s="3">
        <v>1</v>
      </c>
    </row>
    <row r="7389" ht="15.75" customHeight="1" spans="1:2">
      <c r="A7389" s="3" t="str">
        <f>IFERROR(__xludf.DUMMYFUNCTION("GOOGLETRANSLATE(A7389,""en"",""pt"")"),"Eu amo Harry Potter ..")</f>
        <v>Eu amo Harry Potter ..</v>
      </c>
      <c r="B7389" s="3">
        <v>1</v>
      </c>
    </row>
    <row r="7390" ht="15.75" customHeight="1" spans="1:2">
      <c r="A7390" s="3" t="str">
        <f>IFERROR(__xludf.DUMMYFUNCTION("GOOGLETRANSLATE(A7390,""en"",""pt"")"),"Eu amo Harry Potter.")</f>
        <v>Eu amo Harry Potter.</v>
      </c>
      <c r="B7390" s="3">
        <v>1</v>
      </c>
    </row>
    <row r="7391" ht="15.75" customHeight="1" spans="1:2">
      <c r="A7391" s="3" t="str">
        <f>IFERROR(__xludf.DUMMYFUNCTION("GOOGLETRANSLATE(A7391,""en"",""pt"")"),"Eu amo Harry Potter.")</f>
        <v>Eu amo Harry Potter.</v>
      </c>
      <c r="B7391" s="3">
        <v>1</v>
      </c>
    </row>
    <row r="7392" ht="15.75" customHeight="1" spans="1:2">
      <c r="A7392" s="3" t="str">
        <f>IFERROR(__xludf.DUMMYFUNCTION("GOOGLETRANSLATE(A7392,""en"",""pt"")"),"Vou começar a ler a série Harry Potter novamente, porque essa é uma história incrível.")</f>
        <v>Vou começar a ler a série Harry Potter novamente, porque essa é uma história incrível.</v>
      </c>
      <c r="B7392" s="3">
        <v>1</v>
      </c>
    </row>
    <row r="7393" ht="15.75" customHeight="1" spans="1:2">
      <c r="A7393" s="3" t="str">
        <f>IFERROR(__xludf.DUMMYFUNCTION("GOOGLETRANSLATE(A7393,""en"",""pt"")"),"I, também, como Harry Potter ..")</f>
        <v>I, também, como Harry Potter ..</v>
      </c>
      <c r="B7393" s="3">
        <v>1</v>
      </c>
    </row>
    <row r="7394" ht="15.75" customHeight="1" spans="1:2">
      <c r="A7394" s="3" t="str">
        <f>IFERROR(__xludf.DUMMYFUNCTION("GOOGLETRANSLATE(A7394,""en"",""pt"")"),"Quero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394" s="3">
        <v>1</v>
      </c>
    </row>
    <row r="7395" ht="15.75" customHeight="1" spans="1:2">
      <c r="A7395" s="3" t="str">
        <f>IFERROR(__xludf.DUMMYFUNCTION("GOOGLETRANSLATE(A7395,""en"",""pt"")"),"Eu amo a série Harry Potter, se você pode contar isso como ""um"" livro, também Catcher Na Tye, Jane Eyre, The Virgin Suicides, sim ...")</f>
        <v>Eu amo a série Harry Potter, se você pode contar isso como "um" livro, também Catcher Na Tye, Jane Eyre, The Virgin Suicides, sim ...</v>
      </c>
      <c r="B7395" s="3">
        <v>1</v>
      </c>
    </row>
    <row r="7396" ht="15.75" customHeight="1" spans="1:2">
      <c r="A7396" s="3" t="str">
        <f>IFERROR(__xludf.DUMMYFUNCTION("GOOGLETRANSLATE(A7396,""en"",""pt"")"),"Porque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396" s="3">
        <v>1</v>
      </c>
    </row>
    <row r="7397" ht="15.75" customHeight="1" spans="1:2">
      <c r="A7397" s="3" t="str">
        <f>IFERROR(__xludf.DUMMYFUNCTION("GOOGLETRANSLATE(A7397,""en"",""pt"")"),"a história de Harry Potter é um forte e profundo, e eu amo Harry Potter.")</f>
        <v>a história de Harry Potter é um forte e profundo, e eu amo Harry Potter.</v>
      </c>
      <c r="B7397" s="3">
        <v>1</v>
      </c>
    </row>
    <row r="7398" ht="15.75" customHeight="1" spans="1:2">
      <c r="A7398" s="3" t="str">
        <f>IFERROR(__xludf.DUMMYFUNCTION("GOOGLETRANSLATE(A7398,""en"",""pt"")"),"Harry Potter é IMPRESSIONANTE Eu não me importo se alguém disser diferente! ..")</f>
        <v>Harry Potter é IMPRESSIONANTE Eu não me importo se alguém disser diferente! ..</v>
      </c>
      <c r="B7398" s="3">
        <v>1</v>
      </c>
    </row>
    <row r="7399" ht="15.75" customHeight="1" spans="1:2">
      <c r="A7399" s="3" t="str">
        <f>IFERROR(__xludf.DUMMYFUNCTION("GOOGLETRANSLATE(A7399,""en"",""pt"")"),"Eu amo Harry Potter ..")</f>
        <v>Eu amo Harry Potter ..</v>
      </c>
      <c r="B7399" s="3">
        <v>1</v>
      </c>
    </row>
    <row r="7400" ht="15.75" customHeight="1" spans="1:2">
      <c r="A7400" s="3" t="str">
        <f>IFERROR(__xludf.DUMMYFUNCTION("GOOGLETRANSLATE(A7400,""en"",""pt"")"),"Eu amo Harry Potter.")</f>
        <v>Eu amo Harry Potter.</v>
      </c>
      <c r="B7400" s="3">
        <v>1</v>
      </c>
    </row>
    <row r="7401" ht="15.75" customHeight="1" spans="1:2">
      <c r="A7401" s="3" t="str">
        <f>IFERROR(__xludf.DUMMYFUNCTION("GOOGLETRANSLATE(A7401,""en"",""pt"")"),"Eu amo Harry Potter.")</f>
        <v>Eu amo Harry Potter.</v>
      </c>
      <c r="B7401" s="3">
        <v>1</v>
      </c>
    </row>
    <row r="7402" ht="15.75" customHeight="1" spans="1:2">
      <c r="A7402" s="3" t="str">
        <f>IFERROR(__xludf.DUMMYFUNCTION("GOOGLETRANSLATE(A7402,""en"",""pt"")"),"Vou começar a ler a série Harry Potter novamente, porque essa é uma história incrível.")</f>
        <v>Vou começar a ler a série Harry Potter novamente, porque essa é uma história incrível.</v>
      </c>
      <c r="B7402" s="3">
        <v>1</v>
      </c>
    </row>
    <row r="7403" ht="15.75" customHeight="1" spans="1:2">
      <c r="A7403" s="3" t="str">
        <f>IFERROR(__xludf.DUMMYFUNCTION("GOOGLETRANSLATE(A7403,""en"",""pt"")"),"I, também, como Harry Potter ..")</f>
        <v>I, também, como Harry Potter ..</v>
      </c>
      <c r="B7403" s="3">
        <v>1</v>
      </c>
    </row>
    <row r="7404" ht="15.75" customHeight="1" spans="1:2">
      <c r="A7404" s="3" t="str">
        <f>IFERROR(__xludf.DUMMYFUNCTION("GOOGLETRANSLATE(A7404,""en"",""pt"")"),"Quero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04" s="3">
        <v>1</v>
      </c>
    </row>
    <row r="7405" ht="15.75" customHeight="1" spans="1:2">
      <c r="A7405" s="3" t="str">
        <f>IFERROR(__xludf.DUMMYFUNCTION("GOOGLETRANSLATE(A7405,""en"",""pt"")"),"Eu amo a série Harry Potter, se você pode contar isso como ""um"" livro, também Catcher Na Tye, Jane Eyre, The Virgin Suicides, sim ...")</f>
        <v>Eu amo a série Harry Potter, se você pode contar isso como "um" livro, também Catcher Na Tye, Jane Eyre, The Virgin Suicides, sim ...</v>
      </c>
      <c r="B7405" s="3">
        <v>1</v>
      </c>
    </row>
    <row r="7406" ht="15.75" customHeight="1" spans="1:2">
      <c r="A7406" s="3" t="str">
        <f>IFERROR(__xludf.DUMMYFUNCTION("GOOGLETRANSLATE(A7406,""en"",""pt"")"),"Porque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06" s="3">
        <v>1</v>
      </c>
    </row>
    <row r="7407" ht="15.75" customHeight="1" spans="1:2">
      <c r="A7407" s="3" t="str">
        <f>IFERROR(__xludf.DUMMYFUNCTION("GOOGLETRANSLATE(A7407,""en"",""pt"")"),"a história de Harry Potter é um forte e profundo, e eu amo Harry Potter.")</f>
        <v>a história de Harry Potter é um forte e profundo, e eu amo Harry Potter.</v>
      </c>
      <c r="B7407" s="3">
        <v>1</v>
      </c>
    </row>
    <row r="7408" ht="15.75" customHeight="1" spans="1:2">
      <c r="A7408" s="3" t="str">
        <f>IFERROR(__xludf.DUMMYFUNCTION("GOOGLETRANSLATE(A7408,""en"",""pt"")"),"Harry Potter é IMPRESSIONANTE Eu não me importo se alguém disser diferente! ..")</f>
        <v>Harry Potter é IMPRESSIONANTE Eu não me importo se alguém disser diferente! ..</v>
      </c>
      <c r="B7408" s="3">
        <v>1</v>
      </c>
    </row>
    <row r="7409" ht="15.75" customHeight="1" spans="1:2">
      <c r="A7409" s="3" t="str">
        <f>IFERROR(__xludf.DUMMYFUNCTION("GOOGLETRANSLATE(A7409,""en"",""pt"")"),"Eu amo Harry Potter ..")</f>
        <v>Eu amo Harry Potter ..</v>
      </c>
      <c r="B7409" s="3">
        <v>1</v>
      </c>
    </row>
    <row r="7410" ht="15.75" customHeight="1" spans="1:2">
      <c r="A7410" s="3" t="str">
        <f>IFERROR(__xludf.DUMMYFUNCTION("GOOGLETRANSLATE(A7410,""en"",""pt"")"),"Eu amo Harry Potter.")</f>
        <v>Eu amo Harry Potter.</v>
      </c>
      <c r="B7410" s="3">
        <v>1</v>
      </c>
    </row>
    <row r="7411" ht="15.75" customHeight="1" spans="1:2">
      <c r="A7411" s="3" t="str">
        <f>IFERROR(__xludf.DUMMYFUNCTION("GOOGLETRANSLATE(A7411,""en"",""pt"")"),"Eu amo Harry Potter.")</f>
        <v>Eu amo Harry Potter.</v>
      </c>
      <c r="B7411" s="3">
        <v>1</v>
      </c>
    </row>
    <row r="7412" ht="15.75" customHeight="1" spans="1:2">
      <c r="A7412" s="3" t="str">
        <f>IFERROR(__xludf.DUMMYFUNCTION("GOOGLETRANSLATE(A7412,""en"",""pt"")"),"Vou começar a ler a série Harry Potter novamente, porque essa é uma história incrível.")</f>
        <v>Vou começar a ler a série Harry Potter novamente, porque essa é uma história incrível.</v>
      </c>
      <c r="B7412" s="3">
        <v>1</v>
      </c>
    </row>
    <row r="7413" ht="15.75" customHeight="1" spans="1:2">
      <c r="A7413" s="3" t="str">
        <f>IFERROR(__xludf.DUMMYFUNCTION("GOOGLETRANSLATE(A7413,""en"",""pt"")"),"I, também, como Harry Potter ..")</f>
        <v>I, também, como Harry Potter ..</v>
      </c>
      <c r="B7413" s="3">
        <v>1</v>
      </c>
    </row>
    <row r="7414" ht="15.75" customHeight="1" spans="1:2">
      <c r="A7414" s="3" t="str">
        <f>IFERROR(__xludf.DUMMYFUNCTION("GOOGLETRANSLATE(A7414,""en"",""pt"")"),"Quero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14" s="3">
        <v>1</v>
      </c>
    </row>
    <row r="7415" ht="15.75" customHeight="1" spans="1:2">
      <c r="A7415" s="3" t="str">
        <f>IFERROR(__xludf.DUMMYFUNCTION("GOOGLETRANSLATE(A7415,""en"",""pt"")"),"Eu amo a série Harry Potter, se você pode contar isso como ""um"" livro, também Catcher Na Tye, Jane Eyre, The Virgin Suicides, sim ...")</f>
        <v>Eu amo a série Harry Potter, se você pode contar isso como "um" livro, também Catcher Na Tye, Jane Eyre, The Virgin Suicides, sim ...</v>
      </c>
      <c r="B7415" s="3">
        <v>1</v>
      </c>
    </row>
    <row r="7416" ht="15.75" customHeight="1" spans="1:2">
      <c r="A7416" s="3" t="str">
        <f>IFERROR(__xludf.DUMMYFUNCTION("GOOGLETRANSLATE(A7416,""en"",""pt"")"),"Porque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16" s="3">
        <v>1</v>
      </c>
    </row>
    <row r="7417" ht="15.75" customHeight="1" spans="1:2">
      <c r="A7417" s="3" t="str">
        <f>IFERROR(__xludf.DUMMYFUNCTION("GOOGLETRANSLATE(A7417,""en"",""pt"")"),"a história de Harry Potter é um forte e profundo, e eu amo Harry Potter.")</f>
        <v>a história de Harry Potter é um forte e profundo, e eu amo Harry Potter.</v>
      </c>
      <c r="B7417" s="3">
        <v>1</v>
      </c>
    </row>
    <row r="7418" ht="15.75" customHeight="1" spans="1:2">
      <c r="A7418" s="3" t="str">
        <f>IFERROR(__xludf.DUMMYFUNCTION("GOOGLETRANSLATE(A7418,""en"",""pt"")"),"Harry Potter é IMPRESSIONANTE Eu não me importo se alguém disser diferente! ..")</f>
        <v>Harry Potter é IMPRESSIONANTE Eu não me importo se alguém disser diferente! ..</v>
      </c>
      <c r="B7418" s="3">
        <v>1</v>
      </c>
    </row>
    <row r="7419" ht="15.75" customHeight="1" spans="1:2">
      <c r="A7419" s="3" t="str">
        <f>IFERROR(__xludf.DUMMYFUNCTION("GOOGLETRANSLATE(A7419,""en"",""pt"")"),"Eu amo Harry Potter ..")</f>
        <v>Eu amo Harry Potter ..</v>
      </c>
      <c r="B7419" s="3">
        <v>1</v>
      </c>
    </row>
    <row r="7420" ht="15.75" customHeight="1" spans="1:2">
      <c r="A7420" s="3" t="str">
        <f>IFERROR(__xludf.DUMMYFUNCTION("GOOGLETRANSLATE(A7420,""en"",""pt"")"),"Eu amo Harry Potter.")</f>
        <v>Eu amo Harry Potter.</v>
      </c>
      <c r="B7420" s="3">
        <v>1</v>
      </c>
    </row>
    <row r="7421" ht="15.75" customHeight="1" spans="1:2">
      <c r="A7421" s="3" t="str">
        <f>IFERROR(__xludf.DUMMYFUNCTION("GOOGLETRANSLATE(A7421,""en"",""pt"")"),"Eu amo Harry Potter.")</f>
        <v>Eu amo Harry Potter.</v>
      </c>
      <c r="B7421" s="3">
        <v>1</v>
      </c>
    </row>
    <row r="7422" ht="15.75" customHeight="1" spans="1:2">
      <c r="A7422" s="3" t="str">
        <f>IFERROR(__xludf.DUMMYFUNCTION("GOOGLETRANSLATE(A7422,""en"",""pt"")"),"Vou começar a ler a série Harry Potter novamente, porque essa é uma história incrível.")</f>
        <v>Vou começar a ler a série Harry Potter novamente, porque essa é uma história incrível.</v>
      </c>
      <c r="B7422" s="3">
        <v>1</v>
      </c>
    </row>
    <row r="7423" ht="15.75" customHeight="1" spans="1:2">
      <c r="A7423" s="3" t="str">
        <f>IFERROR(__xludf.DUMMYFUNCTION("GOOGLETRANSLATE(A7423,""en"",""pt"")"),"I, também, como Harry Potter ..")</f>
        <v>I, também, como Harry Potter ..</v>
      </c>
      <c r="B7423" s="3">
        <v>1</v>
      </c>
    </row>
    <row r="7424" ht="15.75" customHeight="1" spans="1:2">
      <c r="A7424" s="3" t="str">
        <f>IFERROR(__xludf.DUMMYFUNCTION("GOOGLETRANSLATE(A7424,""en"",""pt"")"),"Quero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24" s="3">
        <v>1</v>
      </c>
    </row>
    <row r="7425" ht="15.75" customHeight="1" spans="1:2">
      <c r="A7425" s="3" t="str">
        <f>IFERROR(__xludf.DUMMYFUNCTION("GOOGLETRANSLATE(A7425,""en"",""pt"")"),"Eu amo a série Harry Potter, se você pode contar isso como ""um"" livro, também Catcher Na Tye, Jane Eyre, The Virgin Suicides, sim ...")</f>
        <v>Eu amo a série Harry Potter, se você pode contar isso como "um" livro, também Catcher Na Tye, Jane Eyre, The Virgin Suicides, sim ...</v>
      </c>
      <c r="B7425" s="3">
        <v>1</v>
      </c>
    </row>
    <row r="7426" ht="15.75" customHeight="1" spans="1:2">
      <c r="A7426" s="3" t="str">
        <f>IFERROR(__xludf.DUMMYFUNCTION("GOOGLETRANSLATE(A7426,""en"",""pt"")"),"Porque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26" s="3">
        <v>1</v>
      </c>
    </row>
    <row r="7427" ht="15.75" customHeight="1" spans="1:2">
      <c r="A7427" s="3" t="str">
        <f>IFERROR(__xludf.DUMMYFUNCTION("GOOGLETRANSLATE(A7427,""en"",""pt"")"),"a história de Harry Potter é um forte e profundo, e eu amo Harry Potter.")</f>
        <v>a história de Harry Potter é um forte e profundo, e eu amo Harry Potter.</v>
      </c>
      <c r="B7427" s="3">
        <v>1</v>
      </c>
    </row>
    <row r="7428" ht="15.75" customHeight="1" spans="1:2">
      <c r="A7428" s="3" t="str">
        <f>IFERROR(__xludf.DUMMYFUNCTION("GOOGLETRANSLATE(A7428,""en"",""pt"")"),"Harry Potter é IMPRESSIONANTE Eu não me importo se alguém disser diferente! ..")</f>
        <v>Harry Potter é IMPRESSIONANTE Eu não me importo se alguém disser diferente! ..</v>
      </c>
      <c r="B7428" s="3">
        <v>1</v>
      </c>
    </row>
    <row r="7429" ht="15.75" customHeight="1" spans="1:2">
      <c r="A7429" s="3" t="str">
        <f>IFERROR(__xludf.DUMMYFUNCTION("GOOGLETRANSLATE(A7429,""en"",""pt"")"),"Eu amo Harry Potter ..")</f>
        <v>Eu amo Harry Potter ..</v>
      </c>
      <c r="B7429" s="3">
        <v>1</v>
      </c>
    </row>
    <row r="7430" ht="15.75" customHeight="1" spans="1:2">
      <c r="A7430" s="3" t="str">
        <f>IFERROR(__xludf.DUMMYFUNCTION("GOOGLETRANSLATE(A7430,""en"",""pt"")"),"Eu amo Harry Potter.")</f>
        <v>Eu amo Harry Potter.</v>
      </c>
      <c r="B7430" s="3">
        <v>1</v>
      </c>
    </row>
    <row r="7431" ht="15.75" customHeight="1" spans="1:2">
      <c r="A7431" s="3" t="str">
        <f>IFERROR(__xludf.DUMMYFUNCTION("GOOGLETRANSLATE(A7431,""en"",""pt"")"),"Eu amo Harry Potter.")</f>
        <v>Eu amo Harry Potter.</v>
      </c>
      <c r="B7431" s="3">
        <v>1</v>
      </c>
    </row>
    <row r="7432" ht="15.75" customHeight="1" spans="1:2">
      <c r="A7432" s="3" t="str">
        <f>IFERROR(__xludf.DUMMYFUNCTION("GOOGLETRANSLATE(A7432,""en"",""pt"")"),"Vou começar a ler a série Harry Potter novamente, porque essa é uma história incrível.")</f>
        <v>Vou começar a ler a série Harry Potter novamente, porque essa é uma história incrível.</v>
      </c>
      <c r="B7432" s="3">
        <v>1</v>
      </c>
    </row>
    <row r="7433" ht="15.75" customHeight="1" spans="1:2">
      <c r="A7433" s="3" t="str">
        <f>IFERROR(__xludf.DUMMYFUNCTION("GOOGLETRANSLATE(A7433,""en"",""pt"")"),"I, também, como Harry Potter ..")</f>
        <v>I, também, como Harry Potter ..</v>
      </c>
      <c r="B7433" s="3">
        <v>1</v>
      </c>
    </row>
    <row r="7434" ht="15.75" customHeight="1" spans="1:2">
      <c r="A7434" s="3" t="str">
        <f>IFERROR(__xludf.DUMMYFUNCTION("GOOGLETRANSLATE(A7434,""en"",""pt"")"),"Quero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34" s="3">
        <v>1</v>
      </c>
    </row>
    <row r="7435" ht="15.75" customHeight="1" spans="1:2">
      <c r="A7435" s="3" t="str">
        <f>IFERROR(__xludf.DUMMYFUNCTION("GOOGLETRANSLATE(A7435,""en"",""pt"")"),"Eu amo a série Harry Potter, se você pode contar isso como ""um"" livro, também Catcher Na Tye, Jane Eyre, The Virgin Suicides, sim ...")</f>
        <v>Eu amo a série Harry Potter, se você pode contar isso como "um" livro, também Catcher Na Tye, Jane Eyre, The Virgin Suicides, sim ...</v>
      </c>
      <c r="B7435" s="3">
        <v>1</v>
      </c>
    </row>
    <row r="7436" ht="15.75" customHeight="1" spans="1:2">
      <c r="A7436" s="3" t="str">
        <f>IFERROR(__xludf.DUMMYFUNCTION("GOOGLETRANSLATE(A7436,""en"",""pt"")"),"Porque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36" s="3">
        <v>1</v>
      </c>
    </row>
    <row r="7437" ht="15.75" customHeight="1" spans="1:2">
      <c r="A7437" s="3" t="str">
        <f>IFERROR(__xludf.DUMMYFUNCTION("GOOGLETRANSLATE(A7437,""en"",""pt"")"),"a história de Harry Potter é um forte e profundo, e eu amo Harry Potter.")</f>
        <v>a história de Harry Potter é um forte e profundo, e eu amo Harry Potter.</v>
      </c>
      <c r="B7437" s="3">
        <v>1</v>
      </c>
    </row>
    <row r="7438" ht="15.75" customHeight="1" spans="1:2">
      <c r="A7438" s="3" t="str">
        <f>IFERROR(__xludf.DUMMYFUNCTION("GOOGLETRANSLATE(A7438,""en"",""pt"")"),"Harry Potter é IMPRESSIONANTE Eu não me importo se alguém disser diferente! ..")</f>
        <v>Harry Potter é IMPRESSIONANTE Eu não me importo se alguém disser diferente! ..</v>
      </c>
      <c r="B7438" s="3">
        <v>1</v>
      </c>
    </row>
    <row r="7439" ht="15.75" customHeight="1" spans="1:2">
      <c r="A7439" s="3" t="str">
        <f>IFERROR(__xludf.DUMMYFUNCTION("GOOGLETRANSLATE(A7439,""en"",""pt"")"),"Eu amo Harry Potter ..")</f>
        <v>Eu amo Harry Potter ..</v>
      </c>
      <c r="B7439" s="3">
        <v>1</v>
      </c>
    </row>
    <row r="7440" ht="15.75" customHeight="1" spans="1:2">
      <c r="A7440" s="3" t="str">
        <f>IFERROR(__xludf.DUMMYFUNCTION("GOOGLETRANSLATE(A7440,""en"",""pt"")"),"Eu amo Harry Potter.")</f>
        <v>Eu amo Harry Potter.</v>
      </c>
      <c r="B7440" s="3">
        <v>1</v>
      </c>
    </row>
    <row r="7441" ht="15.75" customHeight="1" spans="1:2">
      <c r="A7441" s="3" t="str">
        <f>IFERROR(__xludf.DUMMYFUNCTION("GOOGLETRANSLATE(A7441,""en"",""pt"")"),"Eu amo Harry Potter.")</f>
        <v>Eu amo Harry Potter.</v>
      </c>
      <c r="B7441" s="3">
        <v>1</v>
      </c>
    </row>
    <row r="7442" ht="15.75" customHeight="1" spans="1:2">
      <c r="A7442" s="3" t="str">
        <f>IFERROR(__xludf.DUMMYFUNCTION("GOOGLETRANSLATE(A7442,""en"",""pt"")"),"Vou começar a ler a série Harry Potter novamente, porque essa é uma história incrível.")</f>
        <v>Vou começar a ler a série Harry Potter novamente, porque essa é uma história incrível.</v>
      </c>
      <c r="B7442" s="3">
        <v>1</v>
      </c>
    </row>
    <row r="7443" ht="15.75" customHeight="1" spans="1:2">
      <c r="A7443" s="3" t="str">
        <f>IFERROR(__xludf.DUMMYFUNCTION("GOOGLETRANSLATE(A7443,""en"",""pt"")"),"I, também, como Harry Potter ..")</f>
        <v>I, também, como Harry Potter ..</v>
      </c>
      <c r="B7443" s="3">
        <v>1</v>
      </c>
    </row>
    <row r="7444" ht="15.75" customHeight="1" spans="1:2">
      <c r="A7444" s="3" t="str">
        <f>IFERROR(__xludf.DUMMYFUNCTION("GOOGLETRANSLATE(A7444,""en"",""pt"")"),"Quero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44" s="3">
        <v>1</v>
      </c>
    </row>
    <row r="7445" ht="15.75" customHeight="1" spans="1:2">
      <c r="A7445" s="3" t="str">
        <f>IFERROR(__xludf.DUMMYFUNCTION("GOOGLETRANSLATE(A7445,""en"",""pt"")"),"Eu amo a série Harry Potter, se você pode contar isso como ""um"" livro, também Catcher Na Tye, Jane Eyre, The Virgin Suicides, sim ...")</f>
        <v>Eu amo a série Harry Potter, se você pode contar isso como "um" livro, também Catcher Na Tye, Jane Eyre, The Virgin Suicides, sim ...</v>
      </c>
      <c r="B7445" s="3">
        <v>1</v>
      </c>
    </row>
    <row r="7446" ht="15.75" customHeight="1" spans="1:2">
      <c r="A7446" s="3" t="str">
        <f>IFERROR(__xludf.DUMMYFUNCTION("GOOGLETRANSLATE(A7446,""en"",""pt"")"),"Porque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46" s="3">
        <v>1</v>
      </c>
    </row>
    <row r="7447" ht="15.75" customHeight="1" spans="1:2">
      <c r="A7447" s="3" t="str">
        <f>IFERROR(__xludf.DUMMYFUNCTION("GOOGLETRANSLATE(A7447,""en"",""pt"")"),"a história de Harry Potter é um forte e profundo, e eu amo Harry Potter.")</f>
        <v>a história de Harry Potter é um forte e profundo, e eu amo Harry Potter.</v>
      </c>
      <c r="B7447" s="3">
        <v>1</v>
      </c>
    </row>
    <row r="7448" ht="15.75" customHeight="1" spans="1:2">
      <c r="A7448" s="3" t="str">
        <f>IFERROR(__xludf.DUMMYFUNCTION("GOOGLETRANSLATE(A7448,""en"",""pt"")"),"Harry Potter é IMPRESSIONANTE Eu não me importo se alguém disser diferente! ..")</f>
        <v>Harry Potter é IMPRESSIONANTE Eu não me importo se alguém disser diferente! ..</v>
      </c>
      <c r="B7448" s="3">
        <v>1</v>
      </c>
    </row>
    <row r="7449" ht="15.75" customHeight="1" spans="1:2">
      <c r="A7449" s="3" t="str">
        <f>IFERROR(__xludf.DUMMYFUNCTION("GOOGLETRANSLATE(A7449,""en"",""pt"")"),"Eu amo Harry Potter ..")</f>
        <v>Eu amo Harry Potter ..</v>
      </c>
      <c r="B7449" s="3">
        <v>1</v>
      </c>
    </row>
    <row r="7450" ht="15.75" customHeight="1" spans="1:2">
      <c r="A7450" s="3" t="str">
        <f>IFERROR(__xludf.DUMMYFUNCTION("GOOGLETRANSLATE(A7450,""en"",""pt"")"),"Eu amo Harry Potter.")</f>
        <v>Eu amo Harry Potter.</v>
      </c>
      <c r="B7450" s="3">
        <v>1</v>
      </c>
    </row>
    <row r="7451" ht="15.75" customHeight="1" spans="1:2">
      <c r="A7451" s="3" t="str">
        <f>IFERROR(__xludf.DUMMYFUNCTION("GOOGLETRANSLATE(A7451,""en"",""pt"")"),"Eu amo Harry Potter.")</f>
        <v>Eu amo Harry Potter.</v>
      </c>
      <c r="B7451" s="3">
        <v>1</v>
      </c>
    </row>
    <row r="7452" ht="15.75" customHeight="1" spans="1:2">
      <c r="A7452" s="3" t="str">
        <f>IFERROR(__xludf.DUMMYFUNCTION("GOOGLETRANSLATE(A7452,""en"",""pt"")"),"Vou começar a ler a série Harry Potter novamente, porque essa é uma história incrível.")</f>
        <v>Vou começar a ler a série Harry Potter novamente, porque essa é uma história incrível.</v>
      </c>
      <c r="B7452" s="3">
        <v>1</v>
      </c>
    </row>
    <row r="7453" ht="15.75" customHeight="1" spans="1:2">
      <c r="A7453" s="3" t="str">
        <f>IFERROR(__xludf.DUMMYFUNCTION("GOOGLETRANSLATE(A7453,""en"",""pt"")"),"I, também, como Harry Potter ..")</f>
        <v>I, também, como Harry Potter ..</v>
      </c>
      <c r="B7453" s="3">
        <v>1</v>
      </c>
    </row>
    <row r="7454" ht="15.75" customHeight="1" spans="1:2">
      <c r="A7454" s="3" t="str">
        <f>IFERROR(__xludf.DUMMYFUNCTION("GOOGLETRANSLATE(A7454,""en"",""pt"")"),"Quero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54" s="3">
        <v>1</v>
      </c>
    </row>
    <row r="7455" ht="15.75" customHeight="1" spans="1:2">
      <c r="A7455" s="3" t="str">
        <f>IFERROR(__xludf.DUMMYFUNCTION("GOOGLETRANSLATE(A7455,""en"",""pt"")"),"Eu amo a série Harry Potter, se você pode contar isso como ""um"" livro, também Catcher Na Tye, Jane Eyre, The Virgin Suicides, sim ...")</f>
        <v>Eu amo a série Harry Potter, se você pode contar isso como "um" livro, também Catcher Na Tye, Jane Eyre, The Virgin Suicides, sim ...</v>
      </c>
      <c r="B7455" s="3">
        <v>1</v>
      </c>
    </row>
    <row r="7456" ht="15.75" customHeight="1" spans="1:2">
      <c r="A7456" s="3" t="str">
        <f>IFERROR(__xludf.DUMMYFUNCTION("GOOGLETRANSLATE(A7456,""en"",""pt"")"),"Porque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56" s="3">
        <v>1</v>
      </c>
    </row>
    <row r="7457" ht="15.75" customHeight="1" spans="1:2">
      <c r="A7457" s="3" t="str">
        <f>IFERROR(__xludf.DUMMYFUNCTION("GOOGLETRANSLATE(A7457,""en"",""pt"")"),"a história de Harry Potter é um forte e profundo, e eu amo Harry Potter.")</f>
        <v>a história de Harry Potter é um forte e profundo, e eu amo Harry Potter.</v>
      </c>
      <c r="B7457" s="3">
        <v>1</v>
      </c>
    </row>
    <row r="7458" ht="15.75" customHeight="1" spans="1:2">
      <c r="A7458" s="3" t="str">
        <f>IFERROR(__xludf.DUMMYFUNCTION("GOOGLETRANSLATE(A7458,""en"",""pt"")"),"Harry Potter é IMPRESSIONANTE Eu não me importo se alguém disser diferente! ..")</f>
        <v>Harry Potter é IMPRESSIONANTE Eu não me importo se alguém disser diferente! ..</v>
      </c>
      <c r="B7458" s="3">
        <v>1</v>
      </c>
    </row>
    <row r="7459" ht="15.75" customHeight="1" spans="1:2">
      <c r="A7459" s="3" t="str">
        <f>IFERROR(__xludf.DUMMYFUNCTION("GOOGLETRANSLATE(A7459,""en"",""pt"")"),"Eu amo Harry Potter ..")</f>
        <v>Eu amo Harry Potter ..</v>
      </c>
      <c r="B7459" s="3">
        <v>1</v>
      </c>
    </row>
    <row r="7460" ht="15.75" customHeight="1" spans="1:2">
      <c r="A7460" s="3" t="str">
        <f>IFERROR(__xludf.DUMMYFUNCTION("GOOGLETRANSLATE(A7460,""en"",""pt"")"),"Eu amo Harry Potter.")</f>
        <v>Eu amo Harry Potter.</v>
      </c>
      <c r="B7460" s="3">
        <v>1</v>
      </c>
    </row>
    <row r="7461" ht="15.75" customHeight="1" spans="1:2">
      <c r="A7461" s="3" t="str">
        <f>IFERROR(__xludf.DUMMYFUNCTION("GOOGLETRANSLATE(A7461,""en"",""pt"")"),"Eu amo Harry Potter.")</f>
        <v>Eu amo Harry Potter.</v>
      </c>
      <c r="B7461" s="3">
        <v>1</v>
      </c>
    </row>
    <row r="7462" ht="15.75" customHeight="1" spans="1:2">
      <c r="A7462" s="3" t="str">
        <f>IFERROR(__xludf.DUMMYFUNCTION("GOOGLETRANSLATE(A7462,""en"",""pt"")"),"Vou começar a ler a série Harry Potter novamente, porque essa é uma história incrível.")</f>
        <v>Vou começar a ler a série Harry Potter novamente, porque essa é uma história incrível.</v>
      </c>
      <c r="B7462" s="3">
        <v>1</v>
      </c>
    </row>
    <row r="7463" ht="15.75" customHeight="1" spans="1:2">
      <c r="A7463" s="3" t="str">
        <f>IFERROR(__xludf.DUMMYFUNCTION("GOOGLETRANSLATE(A7463,""en"",""pt"")"),"I, também, como Harry Potter ..")</f>
        <v>I, também, como Harry Potter ..</v>
      </c>
      <c r="B7463" s="3">
        <v>1</v>
      </c>
    </row>
    <row r="7464" ht="15.75" customHeight="1" spans="1:2">
      <c r="A7464" s="3" t="s">
        <v>31</v>
      </c>
      <c r="B7464" s="3">
        <v>1</v>
      </c>
    </row>
    <row r="7465" ht="15.75" customHeight="1" spans="1:2">
      <c r="A7465" s="3" t="str">
        <f>IFERROR(__xludf.DUMMYFUNCTION("GOOGLETRANSLATE(A7465,""en"",""pt"")"),"Eu amo a série Harry Potter, se você pode contar isso como ""um"" livro, também Catcher Na Tye, Jane Eyre, The Virgin Suicides, sim ...")</f>
        <v>Eu amo a série Harry Potter, se você pode contar isso como "um" livro, também Catcher Na Tye, Jane Eyre, The Virgin Suicides, sim ...</v>
      </c>
      <c r="B7465" s="3">
        <v>1</v>
      </c>
    </row>
    <row r="7466" ht="15.75" customHeight="1" spans="1:2">
      <c r="A7466" s="3" t="str">
        <f>IFERROR(__xludf.DUMMYFUNCTION("GOOGLETRANSLATE(A7466,""en"",""pt"")"),"Porque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66" s="3">
        <v>1</v>
      </c>
    </row>
    <row r="7467" ht="15.75" customHeight="1" spans="1:2">
      <c r="A7467" s="3" t="str">
        <f>IFERROR(__xludf.DUMMYFUNCTION("GOOGLETRANSLATE(A7467,""en"",""pt"")"),"a história de Harry Potter é um forte e profundo, e eu amo Harry Potter.")</f>
        <v>a história de Harry Potter é um forte e profundo, e eu amo Harry Potter.</v>
      </c>
      <c r="B7467" s="3">
        <v>1</v>
      </c>
    </row>
    <row r="7468" ht="15.75" customHeight="1" spans="1:2">
      <c r="A7468" s="3" t="str">
        <f>IFERROR(__xludf.DUMMYFUNCTION("GOOGLETRANSLATE(A7468,""en"",""pt"")"),"Harry Potter é IMPRESSIONANTE Eu não me importo se alguém disser diferente! ..")</f>
        <v>Harry Potter é IMPRESSIONANTE Eu não me importo se alguém disser diferente! ..</v>
      </c>
      <c r="B7468" s="3">
        <v>1</v>
      </c>
    </row>
    <row r="7469" ht="15.75" customHeight="1" spans="1:2">
      <c r="A7469" s="3" t="str">
        <f>IFERROR(__xludf.DUMMYFUNCTION("GOOGLETRANSLATE(A7469,""en"",""pt"")"),"Eu amo Harry Potter ..")</f>
        <v>Eu amo Harry Potter ..</v>
      </c>
      <c r="B7469" s="3">
        <v>1</v>
      </c>
    </row>
    <row r="7470" ht="15.75" customHeight="1" spans="1:2">
      <c r="A7470" s="3" t="str">
        <f>IFERROR(__xludf.DUMMYFUNCTION("GOOGLETRANSLATE(A7470,""en"",""pt"")"),"Eu amo Harry Potter.")</f>
        <v>Eu amo Harry Potter.</v>
      </c>
      <c r="B7470" s="3">
        <v>1</v>
      </c>
    </row>
    <row r="7471" ht="15.75" customHeight="1" spans="1:2">
      <c r="A7471" s="3" t="str">
        <f>IFERROR(__xludf.DUMMYFUNCTION("GOOGLETRANSLATE(A7471,""en"",""pt"")"),"Eu amo Harry Potter.")</f>
        <v>Eu amo Harry Potter.</v>
      </c>
      <c r="B7471" s="3">
        <v>1</v>
      </c>
    </row>
    <row r="7472" ht="15.75" customHeight="1" spans="1:2">
      <c r="A7472" s="3" t="str">
        <f>IFERROR(__xludf.DUMMYFUNCTION("GOOGLETRANSLATE(A7472,""en"",""pt"")"),"Vou começar a ler a série Harry Potter novamente, porque essa é uma história incrível.")</f>
        <v>Vou começar a ler a série Harry Potter novamente, porque essa é uma história incrível.</v>
      </c>
      <c r="B7472" s="3">
        <v>1</v>
      </c>
    </row>
    <row r="7473" ht="15.75" customHeight="1" spans="1:2">
      <c r="A7473" s="3" t="str">
        <f>IFERROR(__xludf.DUMMYFUNCTION("GOOGLETRANSLATE(A7473,""en"",""pt"")"),"I, também, como Harry Potter ..")</f>
        <v>I, também, como Harry Potter ..</v>
      </c>
      <c r="B7473" s="3">
        <v>1</v>
      </c>
    </row>
    <row r="7474" ht="15.75" customHeight="1" spans="1:2">
      <c r="A7474" s="3" t="str">
        <f>IFERROR(__xludf.DUMMYFUNCTION("GOOGLETRANSLATE(A7474,""en"",""pt"")"),"Quero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74" s="3">
        <v>1</v>
      </c>
    </row>
    <row r="7475" ht="15.75" customHeight="1" spans="1:2">
      <c r="A7475" s="3" t="str">
        <f>IFERROR(__xludf.DUMMYFUNCTION("GOOGLETRANSLATE(A7475,""en"",""pt"")"),"Eu amo a série Harry Potter, se você pode contar isso como ""um"" livro, também Catcher Na Tye, Jane Eyre, The Virgin Suicides, sim ...")</f>
        <v>Eu amo a série Harry Potter, se você pode contar isso como "um" livro, também Catcher Na Tye, Jane Eyre, The Virgin Suicides, sim ...</v>
      </c>
      <c r="B7475" s="3">
        <v>1</v>
      </c>
    </row>
    <row r="7476" ht="15.75" customHeight="1" spans="1:2">
      <c r="A7476" s="3" t="str">
        <f>IFERROR(__xludf.DUMMYFUNCTION("GOOGLETRANSLATE(A7476,""en"",""pt"")"),"Porque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76" s="3">
        <v>1</v>
      </c>
    </row>
    <row r="7477" ht="15.75" customHeight="1" spans="1:2">
      <c r="A7477" s="3" t="str">
        <f>IFERROR(__xludf.DUMMYFUNCTION("GOOGLETRANSLATE(A7477,""en"",""pt"")"),"a história de Harry Potter é um forte e profundo, e eu amo Harry Potter.")</f>
        <v>a história de Harry Potter é um forte e profundo, e eu amo Harry Potter.</v>
      </c>
      <c r="B7477" s="3">
        <v>1</v>
      </c>
    </row>
    <row r="7478" ht="15.75" customHeight="1" spans="1:2">
      <c r="A7478" s="3" t="str">
        <f>IFERROR(__xludf.DUMMYFUNCTION("GOOGLETRANSLATE(A7478,""en"",""pt"")"),"Harry Potter é IMPRESSIONANTE Eu não me importo se alguém disser diferente! ..")</f>
        <v>Harry Potter é IMPRESSIONANTE Eu não me importo se alguém disser diferente! ..</v>
      </c>
      <c r="B7478" s="3">
        <v>1</v>
      </c>
    </row>
    <row r="7479" ht="15.75" customHeight="1" spans="1:2">
      <c r="A7479" s="3" t="str">
        <f>IFERROR(__xludf.DUMMYFUNCTION("GOOGLETRANSLATE(A7479,""en"",""pt"")"),"Eu amo Harry Potter ..")</f>
        <v>Eu amo Harry Potter ..</v>
      </c>
      <c r="B7479" s="3">
        <v>1</v>
      </c>
    </row>
    <row r="7480" ht="15.75" customHeight="1" spans="1:2">
      <c r="A7480" s="3" t="str">
        <f>IFERROR(__xludf.DUMMYFUNCTION("GOOGLETRANSLATE(A7480,""en"",""pt"")"),"Eu amo Harry Potter.")</f>
        <v>Eu amo Harry Potter.</v>
      </c>
      <c r="B7480" s="3">
        <v>1</v>
      </c>
    </row>
    <row r="7481" ht="15.75" customHeight="1" spans="1:2">
      <c r="A7481" s="3" t="str">
        <f>IFERROR(__xludf.DUMMYFUNCTION("GOOGLETRANSLATE(A7481,""en"",""pt"")"),"Eu amo Harry Potter.")</f>
        <v>Eu amo Harry Potter.</v>
      </c>
      <c r="B7481" s="3">
        <v>1</v>
      </c>
    </row>
    <row r="7482" ht="15.75" customHeight="1" spans="1:2">
      <c r="A7482" s="3" t="str">
        <f>IFERROR(__xludf.DUMMYFUNCTION("GOOGLETRANSLATE(A7482,""en"",""pt"")"),"Vou começar a ler a série Harry Potter novamente, porque essa é uma história incrível.")</f>
        <v>Vou começar a ler a série Harry Potter novamente, porque essa é uma história incrível.</v>
      </c>
      <c r="B7482" s="3">
        <v>1</v>
      </c>
    </row>
    <row r="7483" ht="15.75" customHeight="1" spans="1:2">
      <c r="A7483" s="3" t="str">
        <f>IFERROR(__xludf.DUMMYFUNCTION("GOOGLETRANSLATE(A7483,""en"",""pt"")"),"I, também, como Harry Potter ..")</f>
        <v>I, também, como Harry Potter ..</v>
      </c>
      <c r="B7483" s="3">
        <v>1</v>
      </c>
    </row>
    <row r="7484" ht="15.75" customHeight="1" spans="1:2">
      <c r="A7484" s="3" t="str">
        <f>IFERROR(__xludf.DUMMYFUNCTION("GOOGLETRANSLATE(A7484,""en"",""pt"")"),"Quero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84" s="3">
        <v>1</v>
      </c>
    </row>
    <row r="7485" ht="15.75" customHeight="1" spans="1:2">
      <c r="A7485" s="3" t="str">
        <f>IFERROR(__xludf.DUMMYFUNCTION("GOOGLETRANSLATE(A7485,""en"",""pt"")"),"Eu amo a série Harry Potter, se você pode contar isso como ""um"" livro, também Catcher Na Tye, Jane Eyre, The Virgin Suicides, sim ...")</f>
        <v>Eu amo a série Harry Potter, se você pode contar isso como "um" livro, também Catcher Na Tye, Jane Eyre, The Virgin Suicides, sim ...</v>
      </c>
      <c r="B7485" s="3">
        <v>1</v>
      </c>
    </row>
    <row r="7486" ht="15.75" customHeight="1" spans="1:2">
      <c r="A7486" s="3" t="str">
        <f>IFERROR(__xludf.DUMMYFUNCTION("GOOGLETRANSLATE(A7486,""en"",""pt"")"),"Porque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86" s="3">
        <v>1</v>
      </c>
    </row>
    <row r="7487" ht="15.75" customHeight="1" spans="1:2">
      <c r="A7487" s="3" t="str">
        <f>IFERROR(__xludf.DUMMYFUNCTION("GOOGLETRANSLATE(A7487,""en"",""pt"")"),"a história de Harry Potter é um forte e profundo, e eu amo Harry Potter.")</f>
        <v>a história de Harry Potter é um forte e profundo, e eu amo Harry Potter.</v>
      </c>
      <c r="B7487" s="3">
        <v>1</v>
      </c>
    </row>
    <row r="7488" ht="15.75" customHeight="1" spans="1:2">
      <c r="A7488" s="3" t="str">
        <f>IFERROR(__xludf.DUMMYFUNCTION("GOOGLETRANSLATE(A7488,""en"",""pt"")"),"Harry Potter é IMPRESSIONANTE Eu não me importo se alguém disser diferente! ..")</f>
        <v>Harry Potter é IMPRESSIONANTE Eu não me importo se alguém disser diferente! ..</v>
      </c>
      <c r="B7488" s="3">
        <v>1</v>
      </c>
    </row>
    <row r="7489" ht="15.75" customHeight="1" spans="1:2">
      <c r="A7489" s="3" t="str">
        <f>IFERROR(__xludf.DUMMYFUNCTION("GOOGLETRANSLATE(A7489,""en"",""pt"")"),"Eu amo Harry Potter ..")</f>
        <v>Eu amo Harry Potter ..</v>
      </c>
      <c r="B7489" s="3">
        <v>1</v>
      </c>
    </row>
    <row r="7490" ht="15.75" customHeight="1" spans="1:2">
      <c r="A7490" s="3" t="str">
        <f>IFERROR(__xludf.DUMMYFUNCTION("GOOGLETRANSLATE(A7490,""en"",""pt"")"),"Eu amo Harry Potter.")</f>
        <v>Eu amo Harry Potter.</v>
      </c>
      <c r="B7490" s="3">
        <v>1</v>
      </c>
    </row>
    <row r="7491" ht="15.75" customHeight="1" spans="1:2">
      <c r="A7491" s="3" t="str">
        <f>IFERROR(__xludf.DUMMYFUNCTION("GOOGLETRANSLATE(A7491,""en"",""pt"")"),"Eu amo Harry Potter.")</f>
        <v>Eu amo Harry Potter.</v>
      </c>
      <c r="B7491" s="3">
        <v>1</v>
      </c>
    </row>
    <row r="7492" ht="15.75" customHeight="1" spans="1:2">
      <c r="A7492" s="3" t="str">
        <f>IFERROR(__xludf.DUMMYFUNCTION("GOOGLETRANSLATE(A7492,""en"",""pt"")"),"Vou começar a ler a série Harry Potter novamente, porque essa é uma história incrível.")</f>
        <v>Vou começar a ler a série Harry Potter novamente, porque essa é uma história incrível.</v>
      </c>
      <c r="B7492" s="3">
        <v>1</v>
      </c>
    </row>
    <row r="7493" ht="15.75" customHeight="1" spans="1:2">
      <c r="A7493" s="3" t="str">
        <f>IFERROR(__xludf.DUMMYFUNCTION("GOOGLETRANSLATE(A7493,""en"",""pt"")"),"I, também, como Harry Potter ..")</f>
        <v>I, também, como Harry Potter ..</v>
      </c>
      <c r="B7493" s="3">
        <v>1</v>
      </c>
    </row>
    <row r="7494" ht="15.75" customHeight="1" spans="1:2">
      <c r="A7494" s="3" t="str">
        <f>IFERROR(__xludf.DUMMYFUNCTION("GOOGLETRANSLATE(A7494,""en"",""pt"")"),"Quero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494" s="3">
        <v>1</v>
      </c>
    </row>
    <row r="7495" ht="15.75" customHeight="1" spans="1:2">
      <c r="A7495" s="3" t="str">
        <f>IFERROR(__xludf.DUMMYFUNCTION("GOOGLETRANSLATE(A7495,""en"",""pt"")"),"Eu amo a série Harry Potter, se você pode contar isso como ""um"" livro, também Catcher Na Tye, Jane Eyre, The Virgin Suicides, sim ...")</f>
        <v>Eu amo a série Harry Potter, se você pode contar isso como "um" livro, também Catcher Na Tye, Jane Eyre, The Virgin Suicides, sim ...</v>
      </c>
      <c r="B7495" s="3">
        <v>1</v>
      </c>
    </row>
    <row r="7496" ht="15.75" customHeight="1" spans="1:2">
      <c r="A7496" s="3" t="str">
        <f>IFERROR(__xludf.DUMMYFUNCTION("GOOGLETRANSLATE(A7496,""en"",""pt"")"),"Porque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496" s="3">
        <v>1</v>
      </c>
    </row>
    <row r="7497" ht="15.75" customHeight="1" spans="1:2">
      <c r="A7497" s="3" t="str">
        <f>IFERROR(__xludf.DUMMYFUNCTION("GOOGLETRANSLATE(A7497,""en"",""pt"")"),"a história de Harry Potter é um forte e profundo, e eu amo Harry Potter.")</f>
        <v>a história de Harry Potter é um forte e profundo, e eu amo Harry Potter.</v>
      </c>
      <c r="B7497" s="3">
        <v>1</v>
      </c>
    </row>
    <row r="7498" ht="15.75" customHeight="1" spans="1:2">
      <c r="A7498" s="3" t="str">
        <f>IFERROR(__xludf.DUMMYFUNCTION("GOOGLETRANSLATE(A7498,""en"",""pt"")"),"Harry Potter é IMPRESSIONANTE Eu não me importo se alguém disser diferente! ..")</f>
        <v>Harry Potter é IMPRESSIONANTE Eu não me importo se alguém disser diferente! ..</v>
      </c>
      <c r="B7498" s="3">
        <v>1</v>
      </c>
    </row>
    <row r="7499" ht="15.75" customHeight="1" spans="1:2">
      <c r="A7499" s="3" t="str">
        <f>IFERROR(__xludf.DUMMYFUNCTION("GOOGLETRANSLATE(A7499,""en"",""pt"")"),"Eu amo Harry Potter ..")</f>
        <v>Eu amo Harry Potter ..</v>
      </c>
      <c r="B7499" s="3">
        <v>1</v>
      </c>
    </row>
    <row r="7500" ht="15.75" customHeight="1" spans="1:2">
      <c r="A7500" s="3" t="str">
        <f>IFERROR(__xludf.DUMMYFUNCTION("GOOGLETRANSLATE(A7500,""en"",""pt"")"),"Eu amo Harry Potter.")</f>
        <v>Eu amo Harry Potter.</v>
      </c>
      <c r="B7500" s="3">
        <v>1</v>
      </c>
    </row>
    <row r="7501" ht="15.75" customHeight="1" spans="1:2">
      <c r="A7501" s="3" t="str">
        <f>IFERROR(__xludf.DUMMYFUNCTION("GOOGLETRANSLATE(A7501,""en"",""pt"")"),"Eu amo Harry Potter.")</f>
        <v>Eu amo Harry Potter.</v>
      </c>
      <c r="B7501" s="3">
        <v>1</v>
      </c>
    </row>
    <row r="7502" ht="15.75" customHeight="1" spans="1:2">
      <c r="A7502" s="3" t="str">
        <f>IFERROR(__xludf.DUMMYFUNCTION("GOOGLETRANSLATE(A7502,""en"",""pt"")"),"Vou começar a ler a série Harry Potter novamente, porque essa é uma história incrível.")</f>
        <v>Vou começar a ler a série Harry Potter novamente, porque essa é uma história incrível.</v>
      </c>
      <c r="B7502" s="3">
        <v>1</v>
      </c>
    </row>
    <row r="7503" ht="15.75" customHeight="1" spans="1:2">
      <c r="A7503" s="3" t="str">
        <f>IFERROR(__xludf.DUMMYFUNCTION("GOOGLETRANSLATE(A7503,""en"",""pt"")"),"I, também, como Harry Potter ..")</f>
        <v>I, também, como Harry Potter ..</v>
      </c>
      <c r="B7503" s="3">
        <v>1</v>
      </c>
    </row>
    <row r="7504" ht="15.75" customHeight="1" spans="1:2">
      <c r="A7504" s="3" t="str">
        <f>IFERROR(__xludf.DUMMYFUNCTION("GOOGLETRANSLATE(A7504,""en"",""pt"")"),"Quero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04" s="3">
        <v>1</v>
      </c>
    </row>
    <row r="7505" ht="15.75" customHeight="1" spans="1:2">
      <c r="A7505" s="3" t="str">
        <f>IFERROR(__xludf.DUMMYFUNCTION("GOOGLETRANSLATE(A7505,""en"",""pt"")"),"Eu amo a série Harry Potter, se você pode contar isso como ""um"" livro, também Catcher Na Tye, Jane Eyre, The Virgin Suicides, sim ...")</f>
        <v>Eu amo a série Harry Potter, se você pode contar isso como "um" livro, também Catcher Na Tye, Jane Eyre, The Virgin Suicides, sim ...</v>
      </c>
      <c r="B7505" s="3">
        <v>1</v>
      </c>
    </row>
    <row r="7506" ht="15.75" customHeight="1" spans="1:2">
      <c r="A7506" s="3" t="str">
        <f>IFERROR(__xludf.DUMMYFUNCTION("GOOGLETRANSLATE(A7506,""en"",""pt"")"),"Porque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06" s="3">
        <v>1</v>
      </c>
    </row>
    <row r="7507" ht="15.75" customHeight="1" spans="1:2">
      <c r="A7507" s="3" t="str">
        <f>IFERROR(__xludf.DUMMYFUNCTION("GOOGLETRANSLATE(A7507,""en"",""pt"")"),"a história de Harry Potter é um forte e profundo, e eu amo Harry Potter.")</f>
        <v>a história de Harry Potter é um forte e profundo, e eu amo Harry Potter.</v>
      </c>
      <c r="B7507" s="3">
        <v>1</v>
      </c>
    </row>
    <row r="7508" ht="15.75" customHeight="1" spans="1:2">
      <c r="A7508" s="3" t="s">
        <v>29</v>
      </c>
      <c r="B7508" s="3">
        <v>1</v>
      </c>
    </row>
    <row r="7509" ht="15.75" customHeight="1" spans="1:2">
      <c r="A7509" s="3" t="str">
        <f>IFERROR(__xludf.DUMMYFUNCTION("GOOGLETRANSLATE(A7509,""en"",""pt"")"),"Eu amo Harry Potter ..")</f>
        <v>Eu amo Harry Potter ..</v>
      </c>
      <c r="B7509" s="3">
        <v>1</v>
      </c>
    </row>
    <row r="7510" ht="15.75" customHeight="1" spans="1:2">
      <c r="A7510" s="3" t="s">
        <v>32</v>
      </c>
      <c r="B7510" s="3">
        <v>1</v>
      </c>
    </row>
    <row r="7511" ht="15.75" customHeight="1" spans="1:2">
      <c r="A7511" s="3" t="str">
        <f>IFERROR(__xludf.DUMMYFUNCTION("GOOGLETRANSLATE(A7511,""en"",""pt"")"),"Eu amo Harry Potter.")</f>
        <v>Eu amo Harry Potter.</v>
      </c>
      <c r="B7511" s="3">
        <v>1</v>
      </c>
    </row>
    <row r="7512" ht="15.75" customHeight="1" spans="1:2">
      <c r="A7512" s="3" t="str">
        <f>IFERROR(__xludf.DUMMYFUNCTION("GOOGLETRANSLATE(A7512,""en"",""pt"")"),"Vou começar a ler a série Harry Potter novamente, porque essa é uma história incrível.")</f>
        <v>Vou começar a ler a série Harry Potter novamente, porque essa é uma história incrível.</v>
      </c>
      <c r="B7512" s="3">
        <v>1</v>
      </c>
    </row>
    <row r="7513" ht="15.75" customHeight="1" spans="1:2">
      <c r="A7513" s="3" t="str">
        <f>IFERROR(__xludf.DUMMYFUNCTION("GOOGLETRANSLATE(A7513,""en"",""pt"")"),"I, também, como Harry Potter ..")</f>
        <v>I, também, como Harry Potter ..</v>
      </c>
      <c r="B7513" s="3">
        <v>1</v>
      </c>
    </row>
    <row r="7514" ht="15.75" customHeight="1" spans="1:2">
      <c r="A7514" s="3" t="s">
        <v>31</v>
      </c>
      <c r="B7514" s="3">
        <v>1</v>
      </c>
    </row>
    <row r="7515" ht="15.75" customHeight="1" spans="1:2">
      <c r="A7515" s="3" t="str">
        <f>IFERROR(__xludf.DUMMYFUNCTION("GOOGLETRANSLATE(A7515,""en"",""pt"")"),"Eu amo a série Harry Potter, se você pode contar isso como ""um"" livro, também Catcher Na Tye, Jane Eyre, The Virgin Suicides, sim ...")</f>
        <v>Eu amo a série Harry Potter, se você pode contar isso como "um" livro, também Catcher Na Tye, Jane Eyre, The Virgin Suicides, sim ...</v>
      </c>
      <c r="B7515" s="3">
        <v>1</v>
      </c>
    </row>
    <row r="7516" ht="15.75" customHeight="1" spans="1:2">
      <c r="A7516" s="3" t="str">
        <f>IFERROR(__xludf.DUMMYFUNCTION("GOOGLETRANSLATE(A7516,""en"",""pt"")"),"Porque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16" s="3">
        <v>1</v>
      </c>
    </row>
    <row r="7517" ht="15.75" customHeight="1" spans="1:2">
      <c r="A7517" s="3" t="str">
        <f>IFERROR(__xludf.DUMMYFUNCTION("GOOGLETRANSLATE(A7517,""en"",""pt"")"),"a história de Harry Potter é um forte e profundo, e eu amo Harry Potter.")</f>
        <v>a história de Harry Potter é um forte e profundo, e eu amo Harry Potter.</v>
      </c>
      <c r="B7517" s="3">
        <v>1</v>
      </c>
    </row>
    <row r="7518" ht="15.75" customHeight="1" spans="1:2">
      <c r="A7518" s="3" t="str">
        <f>IFERROR(__xludf.DUMMYFUNCTION("GOOGLETRANSLATE(A7518,""en"",""pt"")"),"Harry Potter é IMPRESSIONANTE Eu não me importo se alguém disser diferente! ..")</f>
        <v>Harry Potter é IMPRESSIONANTE Eu não me importo se alguém disser diferente! ..</v>
      </c>
      <c r="B7518" s="3">
        <v>1</v>
      </c>
    </row>
    <row r="7519" ht="15.75" customHeight="1" spans="1:2">
      <c r="A7519" s="3" t="str">
        <f>IFERROR(__xludf.DUMMYFUNCTION("GOOGLETRANSLATE(A7519,""en"",""pt"")"),"Eu amo Harry Potter ..")</f>
        <v>Eu amo Harry Potter ..</v>
      </c>
      <c r="B7519" s="3">
        <v>1</v>
      </c>
    </row>
    <row r="7520" ht="15.75" customHeight="1" spans="1:2">
      <c r="A7520" s="3" t="str">
        <f>IFERROR(__xludf.DUMMYFUNCTION("GOOGLETRANSLATE(A7520,""en"",""pt"")"),"Eu amo Harry Potter.")</f>
        <v>Eu amo Harry Potter.</v>
      </c>
      <c r="B7520" s="3">
        <v>1</v>
      </c>
    </row>
    <row r="7521" ht="15.75" customHeight="1" spans="1:2">
      <c r="A7521" s="3" t="str">
        <f>IFERROR(__xludf.DUMMYFUNCTION("GOOGLETRANSLATE(A7521,""en"",""pt"")"),"Eu amo Harry Potter.")</f>
        <v>Eu amo Harry Potter.</v>
      </c>
      <c r="B7521" s="3">
        <v>1</v>
      </c>
    </row>
    <row r="7522" ht="15.75" customHeight="1" spans="1:2">
      <c r="A7522" s="3" t="str">
        <f>IFERROR(__xludf.DUMMYFUNCTION("GOOGLETRANSLATE(A7522,""en"",""pt"")"),"Vou começar a ler a série Harry Potter novamente, porque essa é uma história incrível.")</f>
        <v>Vou começar a ler a série Harry Potter novamente, porque essa é uma história incrível.</v>
      </c>
      <c r="B7522" s="3">
        <v>1</v>
      </c>
    </row>
    <row r="7523" ht="15.75" customHeight="1" spans="1:2">
      <c r="A7523" s="3" t="str">
        <f>IFERROR(__xludf.DUMMYFUNCTION("GOOGLETRANSLATE(A7523,""en"",""pt"")"),"I, também, como Harry Potter ..")</f>
        <v>I, também, como Harry Potter ..</v>
      </c>
      <c r="B7523" s="3">
        <v>1</v>
      </c>
    </row>
    <row r="7524" ht="15.75" customHeight="1" spans="1:2">
      <c r="A7524" s="3" t="str">
        <f>IFERROR(__xludf.DUMMYFUNCTION("GOOGLETRANSLATE(A7524,""en"",""pt"")"),"Quero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24" s="3">
        <v>1</v>
      </c>
    </row>
    <row r="7525" ht="15.75" customHeight="1" spans="1:2">
      <c r="A7525" s="3" t="str">
        <f>IFERROR(__xludf.DUMMYFUNCTION("GOOGLETRANSLATE(A7525,""en"",""pt"")"),"Eu amo a série Harry Potter, se você pode contar isso como ""um"" livro, também Catcher Na Tye, Jane Eyre, The Virgin Suicides, sim ...")</f>
        <v>Eu amo a série Harry Potter, se você pode contar isso como "um" livro, também Catcher Na Tye, Jane Eyre, The Virgin Suicides, sim ...</v>
      </c>
      <c r="B7525" s="3">
        <v>1</v>
      </c>
    </row>
    <row r="7526" ht="15.75" customHeight="1" spans="1:2">
      <c r="A7526" s="3" t="str">
        <f>IFERROR(__xludf.DUMMYFUNCTION("GOOGLETRANSLATE(A7526,""en"",""pt"")"),"Porque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26" s="3">
        <v>1</v>
      </c>
    </row>
    <row r="7527" ht="15.75" customHeight="1" spans="1:2">
      <c r="A7527" s="3" t="str">
        <f>IFERROR(__xludf.DUMMYFUNCTION("GOOGLETRANSLATE(A7527,""en"",""pt"")"),"a história de Harry Potter é um forte e profundo, e eu amo Harry Potter.")</f>
        <v>a história de Harry Potter é um forte e profundo, e eu amo Harry Potter.</v>
      </c>
      <c r="B7527" s="3">
        <v>1</v>
      </c>
    </row>
    <row r="7528" ht="15.75" customHeight="1" spans="1:2">
      <c r="A7528" s="3" t="str">
        <f>IFERROR(__xludf.DUMMYFUNCTION("GOOGLETRANSLATE(A7528,""en"",""pt"")"),"Harry Potter é IMPRESSIONANTE Eu não me importo se alguém disser diferente! ..")</f>
        <v>Harry Potter é IMPRESSIONANTE Eu não me importo se alguém disser diferente! ..</v>
      </c>
      <c r="B7528" s="3">
        <v>1</v>
      </c>
    </row>
    <row r="7529" ht="15.75" customHeight="1" spans="1:2">
      <c r="A7529" s="3" t="str">
        <f>IFERROR(__xludf.DUMMYFUNCTION("GOOGLETRANSLATE(A7529,""en"",""pt"")"),"Eu amo Harry Potter ..")</f>
        <v>Eu amo Harry Potter ..</v>
      </c>
      <c r="B7529" s="3">
        <v>1</v>
      </c>
    </row>
    <row r="7530" ht="15.75" customHeight="1" spans="1:2">
      <c r="A7530" s="3" t="str">
        <f>IFERROR(__xludf.DUMMYFUNCTION("GOOGLETRANSLATE(A7530,""en"",""pt"")"),"Eu amo Harry Potter.")</f>
        <v>Eu amo Harry Potter.</v>
      </c>
      <c r="B7530" s="3">
        <v>1</v>
      </c>
    </row>
    <row r="7531" ht="15.75" customHeight="1" spans="1:2">
      <c r="A7531" s="3" t="str">
        <f>IFERROR(__xludf.DUMMYFUNCTION("GOOGLETRANSLATE(A7531,""en"",""pt"")"),"Eu amo Harry Potter.")</f>
        <v>Eu amo Harry Potter.</v>
      </c>
      <c r="B7531" s="3">
        <v>1</v>
      </c>
    </row>
    <row r="7532" ht="15.75" customHeight="1" spans="1:2">
      <c r="A7532" s="3" t="str">
        <f>IFERROR(__xludf.DUMMYFUNCTION("GOOGLETRANSLATE(A7532,""en"",""pt"")"),"Vou começar a ler a série Harry Potter novamente, porque essa é uma história incrível.")</f>
        <v>Vou começar a ler a série Harry Potter novamente, porque essa é uma história incrível.</v>
      </c>
      <c r="B7532" s="3">
        <v>1</v>
      </c>
    </row>
    <row r="7533" ht="15.75" customHeight="1" spans="1:2">
      <c r="A7533" s="3" t="str">
        <f>IFERROR(__xludf.DUMMYFUNCTION("GOOGLETRANSLATE(A7533,""en"",""pt"")"),"I, também, como Harry Potter ..")</f>
        <v>I, também, como Harry Potter ..</v>
      </c>
      <c r="B7533" s="3">
        <v>1</v>
      </c>
    </row>
    <row r="7534" ht="15.75" customHeight="1" spans="1:2">
      <c r="A7534" s="3" t="str">
        <f>IFERROR(__xludf.DUMMYFUNCTION("GOOGLETRANSLATE(A7534,""en"",""pt"")"),"Quero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34" s="3">
        <v>1</v>
      </c>
    </row>
    <row r="7535" ht="15.75" customHeight="1" spans="1:2">
      <c r="A7535" s="3" t="str">
        <f>IFERROR(__xludf.DUMMYFUNCTION("GOOGLETRANSLATE(A7535,""en"",""pt"")"),"Eu amo a série Harry Potter, se você pode contar isso como ""um"" livro, também Catcher Na Tye, Jane Eyre, The Virgin Suicides, sim ...")</f>
        <v>Eu amo a série Harry Potter, se você pode contar isso como "um" livro, também Catcher Na Tye, Jane Eyre, The Virgin Suicides, sim ...</v>
      </c>
      <c r="B7535" s="3">
        <v>1</v>
      </c>
    </row>
    <row r="7536" ht="15.75" customHeight="1" spans="1:2">
      <c r="A7536" s="3" t="str">
        <f>IFERROR(__xludf.DUMMYFUNCTION("GOOGLETRANSLATE(A7536,""en"",""pt"")"),"Porque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36" s="3">
        <v>1</v>
      </c>
    </row>
    <row r="7537" ht="15.75" customHeight="1" spans="1:2">
      <c r="A7537" s="3" t="str">
        <f>IFERROR(__xludf.DUMMYFUNCTION("GOOGLETRANSLATE(A7537,""en"",""pt"")"),"a história de Harry Potter é um forte e profundo, e eu amo Harry Potter.")</f>
        <v>a história de Harry Potter é um forte e profundo, e eu amo Harry Potter.</v>
      </c>
      <c r="B7537" s="3">
        <v>1</v>
      </c>
    </row>
    <row r="7538" ht="15.75" customHeight="1" spans="1:2">
      <c r="A7538" s="3" t="str">
        <f>IFERROR(__xludf.DUMMYFUNCTION("GOOGLETRANSLATE(A7538,""en"",""pt"")"),"Harry Potter é IMPRESSIONANTE Eu não me importo se alguém disser diferente! ..")</f>
        <v>Harry Potter é IMPRESSIONANTE Eu não me importo se alguém disser diferente! ..</v>
      </c>
      <c r="B7538" s="3">
        <v>1</v>
      </c>
    </row>
    <row r="7539" ht="15.75" customHeight="1" spans="1:2">
      <c r="A7539" s="3" t="str">
        <f>IFERROR(__xludf.DUMMYFUNCTION("GOOGLETRANSLATE(A7539,""en"",""pt"")"),"Eu amo Harry Potter ..")</f>
        <v>Eu amo Harry Potter ..</v>
      </c>
      <c r="B7539" s="3">
        <v>1</v>
      </c>
    </row>
    <row r="7540" ht="15.75" customHeight="1" spans="1:2">
      <c r="A7540" s="3" t="str">
        <f>IFERROR(__xludf.DUMMYFUNCTION("GOOGLETRANSLATE(A7540,""en"",""pt"")"),"Eu amo Harry Potter.")</f>
        <v>Eu amo Harry Potter.</v>
      </c>
      <c r="B7540" s="3">
        <v>1</v>
      </c>
    </row>
    <row r="7541" ht="15.75" customHeight="1" spans="1:2">
      <c r="A7541" s="3" t="str">
        <f>IFERROR(__xludf.DUMMYFUNCTION("GOOGLETRANSLATE(A7541,""en"",""pt"")"),"Eu amo Harry Potter.")</f>
        <v>Eu amo Harry Potter.</v>
      </c>
      <c r="B7541" s="3">
        <v>1</v>
      </c>
    </row>
    <row r="7542" ht="15.75" customHeight="1" spans="1:2">
      <c r="A7542" s="3" t="str">
        <f>IFERROR(__xludf.DUMMYFUNCTION("GOOGLETRANSLATE(A7542,""en"",""pt"")"),"Vou começar a ler a série Harry Potter novamente, porque essa é uma história incrível.")</f>
        <v>Vou começar a ler a série Harry Potter novamente, porque essa é uma história incrível.</v>
      </c>
      <c r="B7542" s="3">
        <v>1</v>
      </c>
    </row>
    <row r="7543" ht="15.75" customHeight="1" spans="1:2">
      <c r="A7543" s="3" t="str">
        <f>IFERROR(__xludf.DUMMYFUNCTION("GOOGLETRANSLATE(A7543,""en"",""pt"")"),"I, também, como Harry Potter ..")</f>
        <v>I, também, como Harry Potter ..</v>
      </c>
      <c r="B7543" s="3">
        <v>1</v>
      </c>
    </row>
    <row r="7544" ht="15.75" customHeight="1" spans="1:2">
      <c r="A7544" s="3" t="str">
        <f>IFERROR(__xludf.DUMMYFUNCTION("GOOGLETRANSLATE(A7544,""en"",""pt"")"),"Quero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44" s="3">
        <v>1</v>
      </c>
    </row>
    <row r="7545" ht="15.75" customHeight="1" spans="1:2">
      <c r="A7545" s="3" t="str">
        <f>IFERROR(__xludf.DUMMYFUNCTION("GOOGLETRANSLATE(A7545,""en"",""pt"")"),"Eu amo a série Harry Potter, se você pode contar isso como ""um"" livro, também Catcher Na Tye, Jane Eyre, The Virgin Suicides, sim ...")</f>
        <v>Eu amo a série Harry Potter, se você pode contar isso como "um" livro, também Catcher Na Tye, Jane Eyre, The Virgin Suicides, sim ...</v>
      </c>
      <c r="B7545" s="3">
        <v>1</v>
      </c>
    </row>
    <row r="7546" ht="15.75" customHeight="1" spans="1:2">
      <c r="A7546" s="3" t="str">
        <f>IFERROR(__xludf.DUMMYFUNCTION("GOOGLETRANSLATE(A7546,""en"",""pt"")"),"Porque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46" s="3">
        <v>1</v>
      </c>
    </row>
    <row r="7547" ht="15.75" customHeight="1" spans="1:2">
      <c r="A7547" s="3" t="str">
        <f>IFERROR(__xludf.DUMMYFUNCTION("GOOGLETRANSLATE(A7547,""en"",""pt"")"),"a história de Harry Potter é um forte e profundo, e eu amo Harry Potter.")</f>
        <v>a história de Harry Potter é um forte e profundo, e eu amo Harry Potter.</v>
      </c>
      <c r="B7547" s="3">
        <v>1</v>
      </c>
    </row>
    <row r="7548" ht="15.75" customHeight="1" spans="1:2">
      <c r="A7548" s="3" t="str">
        <f>IFERROR(__xludf.DUMMYFUNCTION("GOOGLETRANSLATE(A7548,""en"",""pt"")"),"Harry Potter é IMPRESSIONANTE Eu não me importo se alguém disser diferente! ..")</f>
        <v>Harry Potter é IMPRESSIONANTE Eu não me importo se alguém disser diferente! ..</v>
      </c>
      <c r="B7548" s="3">
        <v>1</v>
      </c>
    </row>
    <row r="7549" ht="15.75" customHeight="1" spans="1:2">
      <c r="A7549" s="3" t="str">
        <f>IFERROR(__xludf.DUMMYFUNCTION("GOOGLETRANSLATE(A7549,""en"",""pt"")"),"Eu amo Harry Potter ..")</f>
        <v>Eu amo Harry Potter ..</v>
      </c>
      <c r="B7549" s="3">
        <v>1</v>
      </c>
    </row>
    <row r="7550" ht="15.75" customHeight="1" spans="1:2">
      <c r="A7550" s="3" t="str">
        <f>IFERROR(__xludf.DUMMYFUNCTION("GOOGLETRANSLATE(A7550,""en"",""pt"")"),"Eu amo Harry Potter.")</f>
        <v>Eu amo Harry Potter.</v>
      </c>
      <c r="B7550" s="3">
        <v>1</v>
      </c>
    </row>
    <row r="7551" ht="15.75" customHeight="1" spans="1:2">
      <c r="A7551" s="3" t="str">
        <f>IFERROR(__xludf.DUMMYFUNCTION("GOOGLETRANSLATE(A7551,""en"",""pt"")"),"Eu amo Harry Potter.")</f>
        <v>Eu amo Harry Potter.</v>
      </c>
      <c r="B7551" s="3">
        <v>1</v>
      </c>
    </row>
    <row r="7552" ht="15.75" customHeight="1" spans="1:2">
      <c r="A7552" s="3" t="str">
        <f>IFERROR(__xludf.DUMMYFUNCTION("GOOGLETRANSLATE(A7552,""en"",""pt"")"),"Vou começar a ler a série Harry Potter novamente, porque essa é uma história incrível.")</f>
        <v>Vou começar a ler a série Harry Potter novamente, porque essa é uma história incrível.</v>
      </c>
      <c r="B7552" s="3">
        <v>1</v>
      </c>
    </row>
    <row r="7553" ht="15.75" customHeight="1" spans="1:2">
      <c r="A7553" s="3" t="str">
        <f>IFERROR(__xludf.DUMMYFUNCTION("GOOGLETRANSLATE(A7553,""en"",""pt"")"),"I, também, como Harry Potter ..")</f>
        <v>I, também, como Harry Potter ..</v>
      </c>
      <c r="B7553" s="3">
        <v>1</v>
      </c>
    </row>
    <row r="7554" ht="15.75" customHeight="1" spans="1:2">
      <c r="A7554" s="3" t="str">
        <f>IFERROR(__xludf.DUMMYFUNCTION("GOOGLETRANSLATE(A7554,""en"",""pt"")"),"Quero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54" s="3">
        <v>1</v>
      </c>
    </row>
    <row r="7555" ht="15.75" customHeight="1" spans="1:2">
      <c r="A7555" s="3" t="str">
        <f>IFERROR(__xludf.DUMMYFUNCTION("GOOGLETRANSLATE(A7555,""en"",""pt"")"),"Eu amo a série Harry Potter, se você pode contar isso como ""um"" livro, também Catcher Na Tye, Jane Eyre, The Virgin Suicides, sim ...")</f>
        <v>Eu amo a série Harry Potter, se você pode contar isso como "um" livro, também Catcher Na Tye, Jane Eyre, The Virgin Suicides, sim ...</v>
      </c>
      <c r="B7555" s="3">
        <v>1</v>
      </c>
    </row>
    <row r="7556" ht="15.75" customHeight="1" spans="1:2">
      <c r="A7556" s="3" t="str">
        <f>IFERROR(__xludf.DUMMYFUNCTION("GOOGLETRANSLATE(A7556,""en"",""pt"")"),"Porque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56" s="3">
        <v>1</v>
      </c>
    </row>
    <row r="7557" ht="15.75" customHeight="1" spans="1:2">
      <c r="A7557" s="3" t="str">
        <f>IFERROR(__xludf.DUMMYFUNCTION("GOOGLETRANSLATE(A7557,""en"",""pt"")"),"a história de Harry Potter é um forte e profundo, e eu amo Harry Potter.")</f>
        <v>a história de Harry Potter é um forte e profundo, e eu amo Harry Potter.</v>
      </c>
      <c r="B7557" s="3">
        <v>1</v>
      </c>
    </row>
    <row r="7558" ht="15.75" customHeight="1" spans="1:2">
      <c r="A7558" s="3" t="str">
        <f>IFERROR(__xludf.DUMMYFUNCTION("GOOGLETRANSLATE(A7558,""en"",""pt"")"),"Harry Potter é IMPRESSIONANTE Eu não me importo se alguém disser diferente! ..")</f>
        <v>Harry Potter é IMPRESSIONANTE Eu não me importo se alguém disser diferente! ..</v>
      </c>
      <c r="B7558" s="3">
        <v>1</v>
      </c>
    </row>
    <row r="7559" ht="15.75" customHeight="1" spans="1:2">
      <c r="A7559" s="3" t="str">
        <f>IFERROR(__xludf.DUMMYFUNCTION("GOOGLETRANSLATE(A7559,""en"",""pt"")"),"Eu amo Harry Potter ..")</f>
        <v>Eu amo Harry Potter ..</v>
      </c>
      <c r="B7559" s="3">
        <v>1</v>
      </c>
    </row>
    <row r="7560" ht="15.75" customHeight="1" spans="1:2">
      <c r="A7560" s="3" t="str">
        <f>IFERROR(__xludf.DUMMYFUNCTION("GOOGLETRANSLATE(A7560,""en"",""pt"")"),"Eu amo Harry Potter.")</f>
        <v>Eu amo Harry Potter.</v>
      </c>
      <c r="B7560" s="3">
        <v>1</v>
      </c>
    </row>
    <row r="7561" ht="15.75" customHeight="1" spans="1:2">
      <c r="A7561" s="3" t="str">
        <f>IFERROR(__xludf.DUMMYFUNCTION("GOOGLETRANSLATE(A7561,""en"",""pt"")"),"Eu amo Harry Potter.")</f>
        <v>Eu amo Harry Potter.</v>
      </c>
      <c r="B7561" s="3">
        <v>1</v>
      </c>
    </row>
    <row r="7562" ht="15.75" customHeight="1" spans="1:2">
      <c r="A7562" s="3" t="str">
        <f>IFERROR(__xludf.DUMMYFUNCTION("GOOGLETRANSLATE(A7562,""en"",""pt"")"),"Vou começar a ler a série Harry Potter novamente, porque essa é uma história incrível.")</f>
        <v>Vou começar a ler a série Harry Potter novamente, porque essa é uma história incrível.</v>
      </c>
      <c r="B7562" s="3">
        <v>1</v>
      </c>
    </row>
    <row r="7563" ht="15.75" customHeight="1" spans="1:2">
      <c r="A7563" s="3" t="str">
        <f>IFERROR(__xludf.DUMMYFUNCTION("GOOGLETRANSLATE(A7563,""en"",""pt"")"),"I, também, como Harry Potter ..")</f>
        <v>I, também, como Harry Potter ..</v>
      </c>
      <c r="B7563" s="3">
        <v>1</v>
      </c>
    </row>
    <row r="7564" ht="15.75" customHeight="1" spans="1:2">
      <c r="A7564" s="3" t="str">
        <f>IFERROR(__xludf.DUMMYFUNCTION("GOOGLETRANSLATE(A7564,""en"",""pt"")"),"Quero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64" s="3">
        <v>1</v>
      </c>
    </row>
    <row r="7565" ht="15.75" customHeight="1" spans="1:2">
      <c r="A7565" s="3" t="str">
        <f>IFERROR(__xludf.DUMMYFUNCTION("GOOGLETRANSLATE(A7565,""en"",""pt"")"),"Eu amo a série Harry Potter, se você pode contar isso como ""um"" livro, também Catcher Na Tye, Jane Eyre, The Virgin Suicides, sim ...")</f>
        <v>Eu amo a série Harry Potter, se você pode contar isso como "um" livro, também Catcher Na Tye, Jane Eyre, The Virgin Suicides, sim ...</v>
      </c>
      <c r="B7565" s="3">
        <v>1</v>
      </c>
    </row>
    <row r="7566" ht="15.75" customHeight="1" spans="1:2">
      <c r="A7566" s="3" t="str">
        <f>IFERROR(__xludf.DUMMYFUNCTION("GOOGLETRANSLATE(A7566,""en"",""pt"")"),"Porque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66" s="3">
        <v>1</v>
      </c>
    </row>
    <row r="7567" ht="15.75" customHeight="1" spans="1:2">
      <c r="A7567" s="3" t="str">
        <f>IFERROR(__xludf.DUMMYFUNCTION("GOOGLETRANSLATE(A7567,""en"",""pt"")"),"a história de Harry Potter é um forte e profundo, e eu amo Harry Potter.")</f>
        <v>a história de Harry Potter é um forte e profundo, e eu amo Harry Potter.</v>
      </c>
      <c r="B7567" s="3">
        <v>1</v>
      </c>
    </row>
    <row r="7568" ht="15.75" customHeight="1" spans="1:2">
      <c r="A7568" s="3" t="str">
        <f>IFERROR(__xludf.DUMMYFUNCTION("GOOGLETRANSLATE(A7568,""en"",""pt"")"),"Harry Potter é IMPRESSIONANTE Eu não me importo se alguém disser diferente! ..")</f>
        <v>Harry Potter é IMPRESSIONANTE Eu não me importo se alguém disser diferente! ..</v>
      </c>
      <c r="B7568" s="3">
        <v>1</v>
      </c>
    </row>
    <row r="7569" ht="15.75" customHeight="1" spans="1:2">
      <c r="A7569" s="3" t="str">
        <f>IFERROR(__xludf.DUMMYFUNCTION("GOOGLETRANSLATE(A7569,""en"",""pt"")"),"Eu amo Harry Potter ..")</f>
        <v>Eu amo Harry Potter ..</v>
      </c>
      <c r="B7569" s="3">
        <v>1</v>
      </c>
    </row>
    <row r="7570" ht="15.75" customHeight="1" spans="1:2">
      <c r="A7570" s="3" t="str">
        <f>IFERROR(__xludf.DUMMYFUNCTION("GOOGLETRANSLATE(A7570,""en"",""pt"")"),"Eu amo Harry Potter.")</f>
        <v>Eu amo Harry Potter.</v>
      </c>
      <c r="B7570" s="3">
        <v>1</v>
      </c>
    </row>
    <row r="7571" ht="15.75" customHeight="1" spans="1:2">
      <c r="A7571" s="3" t="str">
        <f>IFERROR(__xludf.DUMMYFUNCTION("GOOGLETRANSLATE(A7571,""en"",""pt"")"),"Eu amo Harry Potter.")</f>
        <v>Eu amo Harry Potter.</v>
      </c>
      <c r="B7571" s="3">
        <v>1</v>
      </c>
    </row>
    <row r="7572" ht="15.75" customHeight="1" spans="1:2">
      <c r="A7572" s="3" t="str">
        <f>IFERROR(__xludf.DUMMYFUNCTION("GOOGLETRANSLATE(A7572,""en"",""pt"")"),"Vou começar a ler a série Harry Potter novamente, porque essa é uma história incrível.")</f>
        <v>Vou começar a ler a série Harry Potter novamente, porque essa é uma história incrível.</v>
      </c>
      <c r="B7572" s="3">
        <v>1</v>
      </c>
    </row>
    <row r="7573" ht="15.75" customHeight="1" spans="1:2">
      <c r="A7573" s="3" t="str">
        <f>IFERROR(__xludf.DUMMYFUNCTION("GOOGLETRANSLATE(A7573,""en"",""pt"")"),"I, também, como Harry Potter ..")</f>
        <v>I, também, como Harry Potter ..</v>
      </c>
      <c r="B7573" s="3">
        <v>1</v>
      </c>
    </row>
    <row r="7574" ht="15.75" customHeight="1" spans="1:2">
      <c r="A7574" s="3" t="str">
        <f>IFERROR(__xludf.DUMMYFUNCTION("GOOGLETRANSLATE(A7574,""en"",""pt"")"),"Quero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74" s="3">
        <v>1</v>
      </c>
    </row>
    <row r="7575" ht="15.75" customHeight="1" spans="1:2">
      <c r="A7575" s="3" t="str">
        <f>IFERROR(__xludf.DUMMYFUNCTION("GOOGLETRANSLATE(A7575,""en"",""pt"")"),"Eu amo a série Harry Potter, se você pode contar isso como ""um"" livro, também Catcher Na Tye, Jane Eyre, The Virgin Suicides, sim ...")</f>
        <v>Eu amo a série Harry Potter, se você pode contar isso como "um" livro, também Catcher Na Tye, Jane Eyre, The Virgin Suicides, sim ...</v>
      </c>
      <c r="B7575" s="3">
        <v>1</v>
      </c>
    </row>
    <row r="7576" ht="15.75" customHeight="1" spans="1:2">
      <c r="A7576" s="3" t="str">
        <f>IFERROR(__xludf.DUMMYFUNCTION("GOOGLETRANSLATE(A7576,""en"",""pt"")"),"Porque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76" s="3">
        <v>1</v>
      </c>
    </row>
    <row r="7577" ht="15.75" customHeight="1" spans="1:2">
      <c r="A7577" s="3" t="str">
        <f>IFERROR(__xludf.DUMMYFUNCTION("GOOGLETRANSLATE(A7577,""en"",""pt"")"),"a história de Harry Potter é um forte e profundo, e eu amo Harry Potter.")</f>
        <v>a história de Harry Potter é um forte e profundo, e eu amo Harry Potter.</v>
      </c>
      <c r="B7577" s="3">
        <v>1</v>
      </c>
    </row>
    <row r="7578" ht="15.75" customHeight="1" spans="1:2">
      <c r="A7578" s="3" t="str">
        <f>IFERROR(__xludf.DUMMYFUNCTION("GOOGLETRANSLATE(A7578,""en"",""pt"")"),"Harry Potter é IMPRESSIONANTE Eu não me importo se alguém disser diferente! ..")</f>
        <v>Harry Potter é IMPRESSIONANTE Eu não me importo se alguém disser diferente! ..</v>
      </c>
      <c r="B7578" s="3">
        <v>1</v>
      </c>
    </row>
    <row r="7579" ht="15.75" customHeight="1" spans="1:2">
      <c r="A7579" s="3" t="str">
        <f>IFERROR(__xludf.DUMMYFUNCTION("GOOGLETRANSLATE(A7579,""en"",""pt"")"),"Eu amo Harry Potter ..")</f>
        <v>Eu amo Harry Potter ..</v>
      </c>
      <c r="B7579" s="3">
        <v>1</v>
      </c>
    </row>
    <row r="7580" ht="15.75" customHeight="1" spans="1:2">
      <c r="A7580" s="3" t="str">
        <f>IFERROR(__xludf.DUMMYFUNCTION("GOOGLETRANSLATE(A7580,""en"",""pt"")"),"Eu amo Harry Potter.")</f>
        <v>Eu amo Harry Potter.</v>
      </c>
      <c r="B7580" s="3">
        <v>1</v>
      </c>
    </row>
    <row r="7581" ht="15.75" customHeight="1" spans="1:2">
      <c r="A7581" s="3" t="str">
        <f>IFERROR(__xludf.DUMMYFUNCTION("GOOGLETRANSLATE(A7581,""en"",""pt"")"),"Eu amo Harry Potter.")</f>
        <v>Eu amo Harry Potter.</v>
      </c>
      <c r="B7581" s="3">
        <v>1</v>
      </c>
    </row>
    <row r="7582" ht="15.75" customHeight="1" spans="1:2">
      <c r="A7582" s="3" t="str">
        <f>IFERROR(__xludf.DUMMYFUNCTION("GOOGLETRANSLATE(A7582,""en"",""pt"")"),"Vou começar a ler a série Harry Potter novamente, porque essa é uma história incrível.")</f>
        <v>Vou começar a ler a série Harry Potter novamente, porque essa é uma história incrível.</v>
      </c>
      <c r="B7582" s="3">
        <v>1</v>
      </c>
    </row>
    <row r="7583" ht="15.75" customHeight="1" spans="1:2">
      <c r="A7583" s="3" t="str">
        <f>IFERROR(__xludf.DUMMYFUNCTION("GOOGLETRANSLATE(A7583,""en"",""pt"")"),"I, também, como Harry Potter ..")</f>
        <v>I, também, como Harry Potter ..</v>
      </c>
      <c r="B7583" s="3">
        <v>1</v>
      </c>
    </row>
    <row r="7584" ht="15.75" customHeight="1" spans="1:2">
      <c r="A7584" s="3" t="str">
        <f>IFERROR(__xludf.DUMMYFUNCTION("GOOGLETRANSLATE(A7584,""en"",""pt"")"),"Quero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84" s="3">
        <v>1</v>
      </c>
    </row>
    <row r="7585" ht="15.75" customHeight="1" spans="1:2">
      <c r="A7585" s="3" t="str">
        <f>IFERROR(__xludf.DUMMYFUNCTION("GOOGLETRANSLATE(A7585,""en"",""pt"")"),"Eu amo a série Harry Potter, se você pode contar isso como ""um"" livro, também Catcher Na Tye, Jane Eyre, The Virgin Suicides, sim ...")</f>
        <v>Eu amo a série Harry Potter, se você pode contar isso como "um" livro, também Catcher Na Tye, Jane Eyre, The Virgin Suicides, sim ...</v>
      </c>
      <c r="B7585" s="3">
        <v>1</v>
      </c>
    </row>
    <row r="7586" ht="15.75" customHeight="1" spans="1:2">
      <c r="A7586" s="3" t="str">
        <f>IFERROR(__xludf.DUMMYFUNCTION("GOOGLETRANSLATE(A7586,""en"",""pt"")"),"Porque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86" s="3">
        <v>1</v>
      </c>
    </row>
    <row r="7587" ht="15.75" customHeight="1" spans="1:2">
      <c r="A7587" s="3" t="str">
        <f>IFERROR(__xludf.DUMMYFUNCTION("GOOGLETRANSLATE(A7587,""en"",""pt"")"),"a história de Harry Potter é um forte e profundo, e eu amo Harry Potter.")</f>
        <v>a história de Harry Potter é um forte e profundo, e eu amo Harry Potter.</v>
      </c>
      <c r="B7587" s="3">
        <v>1</v>
      </c>
    </row>
    <row r="7588" ht="15.75" customHeight="1" spans="1:2">
      <c r="A7588" s="3" t="str">
        <f>IFERROR(__xludf.DUMMYFUNCTION("GOOGLETRANSLATE(A7588,""en"",""pt"")"),"Harry Potter é IMPRESSIONANTE Eu não me importo se alguém disser diferente! ..")</f>
        <v>Harry Potter é IMPRESSIONANTE Eu não me importo se alguém disser diferente! ..</v>
      </c>
      <c r="B7588" s="3">
        <v>1</v>
      </c>
    </row>
    <row r="7589" ht="15.75" customHeight="1" spans="1:2">
      <c r="A7589" s="3" t="str">
        <f>IFERROR(__xludf.DUMMYFUNCTION("GOOGLETRANSLATE(A7589,""en"",""pt"")"),"Eu amo Harry Potter ..")</f>
        <v>Eu amo Harry Potter ..</v>
      </c>
      <c r="B7589" s="3">
        <v>1</v>
      </c>
    </row>
    <row r="7590" ht="15.75" customHeight="1" spans="1:2">
      <c r="A7590" s="3" t="str">
        <f>IFERROR(__xludf.DUMMYFUNCTION("GOOGLETRANSLATE(A7590,""en"",""pt"")"),"Eu amo Harry Potter.")</f>
        <v>Eu amo Harry Potter.</v>
      </c>
      <c r="B7590" s="3">
        <v>1</v>
      </c>
    </row>
    <row r="7591" ht="15.75" customHeight="1" spans="1:2">
      <c r="A7591" s="3" t="str">
        <f>IFERROR(__xludf.DUMMYFUNCTION("GOOGLETRANSLATE(A7591,""en"",""pt"")"),"Eu amo Harry Potter.")</f>
        <v>Eu amo Harry Potter.</v>
      </c>
      <c r="B7591" s="3">
        <v>1</v>
      </c>
    </row>
    <row r="7592" ht="15.75" customHeight="1" spans="1:2">
      <c r="A7592" s="3" t="str">
        <f>IFERROR(__xludf.DUMMYFUNCTION("GOOGLETRANSLATE(A7592,""en"",""pt"")"),"Vou começar a ler a série Harry Potter novamente, porque essa é uma história incrível.")</f>
        <v>Vou começar a ler a série Harry Potter novamente, porque essa é uma história incrível.</v>
      </c>
      <c r="B7592" s="3">
        <v>1</v>
      </c>
    </row>
    <row r="7593" ht="15.75" customHeight="1" spans="1:2">
      <c r="A7593" s="3" t="str">
        <f>IFERROR(__xludf.DUMMYFUNCTION("GOOGLETRANSLATE(A7593,""en"",""pt"")"),"I, também, como Harry Potter ..")</f>
        <v>I, também, como Harry Potter ..</v>
      </c>
      <c r="B7593" s="3">
        <v>1</v>
      </c>
    </row>
    <row r="7594" ht="15.75" customHeight="1" spans="1:2">
      <c r="A7594" s="3" t="str">
        <f>IFERROR(__xludf.DUMMYFUNCTION("GOOGLETRANSLATE(A7594,""en"",""pt"")"),"Quero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594" s="3">
        <v>1</v>
      </c>
    </row>
    <row r="7595" ht="15.75" customHeight="1" spans="1:2">
      <c r="A7595" s="3" t="str">
        <f>IFERROR(__xludf.DUMMYFUNCTION("GOOGLETRANSLATE(A7595,""en"",""pt"")"),"Eu amo a série Harry Potter, se você pode contar isso como ""um"" livro, também Catcher Na Tye, Jane Eyre, The Virgin Suicides, sim ...")</f>
        <v>Eu amo a série Harry Potter, se você pode contar isso como "um" livro, também Catcher Na Tye, Jane Eyre, The Virgin Suicides, sim ...</v>
      </c>
      <c r="B7595" s="3">
        <v>1</v>
      </c>
    </row>
    <row r="7596" ht="15.75" customHeight="1" spans="1:2">
      <c r="A7596" s="3" t="str">
        <f>IFERROR(__xludf.DUMMYFUNCTION("GOOGLETRANSLATE(A7596,""en"",""pt"")"),"Porque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596" s="3">
        <v>1</v>
      </c>
    </row>
    <row r="7597" ht="15.75" customHeight="1" spans="1:2">
      <c r="A7597" s="3" t="str">
        <f>IFERROR(__xludf.DUMMYFUNCTION("GOOGLETRANSLATE(A7597,""en"",""pt"")"),"a história de Harry Potter é um forte e profundo, e eu amo Harry Potter.")</f>
        <v>a história de Harry Potter é um forte e profundo, e eu amo Harry Potter.</v>
      </c>
      <c r="B7597" s="3">
        <v>1</v>
      </c>
    </row>
    <row r="7598" ht="15.75" customHeight="1" spans="1:2">
      <c r="A7598" s="3" t="str">
        <f>IFERROR(__xludf.DUMMYFUNCTION("GOOGLETRANSLATE(A7598,""en"",""pt"")"),"Harry Potter é IMPRESSIONANTE Eu não me importo se alguém disser diferente! ..")</f>
        <v>Harry Potter é IMPRESSIONANTE Eu não me importo se alguém disser diferente! ..</v>
      </c>
      <c r="B7598" s="3">
        <v>1</v>
      </c>
    </row>
    <row r="7599" ht="15.75" customHeight="1" spans="1:2">
      <c r="A7599" s="3" t="str">
        <f>IFERROR(__xludf.DUMMYFUNCTION("GOOGLETRANSLATE(A7599,""en"",""pt"")"),"Eu amo Harry Potter ..")</f>
        <v>Eu amo Harry Potter ..</v>
      </c>
      <c r="B7599" s="3">
        <v>1</v>
      </c>
    </row>
    <row r="7600" ht="15.75" customHeight="1" spans="1:2">
      <c r="A7600" s="3" t="str">
        <f>IFERROR(__xludf.DUMMYFUNCTION("GOOGLETRANSLATE(A7600,""en"",""pt"")"),"Eu amo Harry Potter.")</f>
        <v>Eu amo Harry Potter.</v>
      </c>
      <c r="B7600" s="3">
        <v>1</v>
      </c>
    </row>
    <row r="7601" ht="15.75" customHeight="1" spans="1:2">
      <c r="A7601" s="3" t="str">
        <f>IFERROR(__xludf.DUMMYFUNCTION("GOOGLETRANSLATE(A7601,""en"",""pt"")"),"Eu amo Harry Potter.")</f>
        <v>Eu amo Harry Potter.</v>
      </c>
      <c r="B7601" s="3">
        <v>1</v>
      </c>
    </row>
    <row r="7602" ht="15.75" customHeight="1" spans="1:2">
      <c r="A7602" s="3" t="str">
        <f>IFERROR(__xludf.DUMMYFUNCTION("GOOGLETRANSLATE(A7602,""en"",""pt"")"),"Vou começar a ler a série Harry Potter novamente, porque essa é uma história incrível.")</f>
        <v>Vou começar a ler a série Harry Potter novamente, porque essa é uma história incrível.</v>
      </c>
      <c r="B7602" s="3">
        <v>1</v>
      </c>
    </row>
    <row r="7603" ht="15.75" customHeight="1" spans="1:2">
      <c r="A7603" s="3" t="str">
        <f>IFERROR(__xludf.DUMMYFUNCTION("GOOGLETRANSLATE(A7603,""en"",""pt"")"),"I, também, como Harry Potter ..")</f>
        <v>I, também, como Harry Potter ..</v>
      </c>
      <c r="B7603" s="3">
        <v>1</v>
      </c>
    </row>
    <row r="7604" ht="15.75" customHeight="1" spans="1:2">
      <c r="A7604" s="3" t="str">
        <f>IFERROR(__xludf.DUMMYFUNCTION("GOOGLETRANSLATE(A7604,""en"",""pt"")"),"Quero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04" s="3">
        <v>1</v>
      </c>
    </row>
    <row r="7605" ht="15.75" customHeight="1" spans="1:2">
      <c r="A7605" s="3" t="str">
        <f>IFERROR(__xludf.DUMMYFUNCTION("GOOGLETRANSLATE(A7605,""en"",""pt"")"),"Eu amo a série Harry Potter, se você pode contar isso como ""um"" livro, também Catcher Na Tye, Jane Eyre, The Virgin Suicides, sim ...")</f>
        <v>Eu amo a série Harry Potter, se você pode contar isso como "um" livro, também Catcher Na Tye, Jane Eyre, The Virgin Suicides, sim ...</v>
      </c>
      <c r="B7605" s="3">
        <v>1</v>
      </c>
    </row>
    <row r="7606" ht="15.75" customHeight="1" spans="1:2">
      <c r="A7606" s="3" t="str">
        <f>IFERROR(__xludf.DUMMYFUNCTION("GOOGLETRANSLATE(A7606,""en"",""pt"")"),"Porque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06" s="3">
        <v>1</v>
      </c>
    </row>
    <row r="7607" ht="15.75" customHeight="1" spans="1:2">
      <c r="A7607" s="3" t="str">
        <f>IFERROR(__xludf.DUMMYFUNCTION("GOOGLETRANSLATE(A7607,""en"",""pt"")"),"a história de Harry Potter é um forte e profundo, e eu amo Harry Potter.")</f>
        <v>a história de Harry Potter é um forte e profundo, e eu amo Harry Potter.</v>
      </c>
      <c r="B7607" s="3">
        <v>1</v>
      </c>
    </row>
    <row r="7608" ht="15.75" customHeight="1" spans="1:2">
      <c r="A7608" s="3" t="str">
        <f>IFERROR(__xludf.DUMMYFUNCTION("GOOGLETRANSLATE(A7608,""en"",""pt"")"),"Harry Potter é IMPRESSIONANTE Eu não me importo se alguém disser diferente! ..")</f>
        <v>Harry Potter é IMPRESSIONANTE Eu não me importo se alguém disser diferente! ..</v>
      </c>
      <c r="B7608" s="3">
        <v>1</v>
      </c>
    </row>
    <row r="7609" ht="15.75" customHeight="1" spans="1:2">
      <c r="A7609" s="3" t="str">
        <f>IFERROR(__xludf.DUMMYFUNCTION("GOOGLETRANSLATE(A7609,""en"",""pt"")"),"Eu amo Harry Potter ..")</f>
        <v>Eu amo Harry Potter ..</v>
      </c>
      <c r="B7609" s="3">
        <v>1</v>
      </c>
    </row>
    <row r="7610" ht="15.75" customHeight="1" spans="1:2">
      <c r="A7610" s="3" t="str">
        <f>IFERROR(__xludf.DUMMYFUNCTION("GOOGLETRANSLATE(A7610,""en"",""pt"")"),"Eu amo Harry Potter.")</f>
        <v>Eu amo Harry Potter.</v>
      </c>
      <c r="B7610" s="3">
        <v>1</v>
      </c>
    </row>
    <row r="7611" ht="15.75" customHeight="1" spans="1:2">
      <c r="A7611" s="3" t="str">
        <f>IFERROR(__xludf.DUMMYFUNCTION("GOOGLETRANSLATE(A7611,""en"",""pt"")"),"Eu amo Harry Potter.")</f>
        <v>Eu amo Harry Potter.</v>
      </c>
      <c r="B7611" s="3">
        <v>1</v>
      </c>
    </row>
    <row r="7612" ht="15.75" customHeight="1" spans="1:2">
      <c r="A7612" s="3" t="str">
        <f>IFERROR(__xludf.DUMMYFUNCTION("GOOGLETRANSLATE(A7612,""en"",""pt"")"),"Vou começar a ler a série Harry Potter novamente, porque essa é uma história incrível.")</f>
        <v>Vou começar a ler a série Harry Potter novamente, porque essa é uma história incrível.</v>
      </c>
      <c r="B7612" s="3">
        <v>1</v>
      </c>
    </row>
    <row r="7613" ht="15.75" customHeight="1" spans="1:2">
      <c r="A7613" s="3" t="str">
        <f>IFERROR(__xludf.DUMMYFUNCTION("GOOGLETRANSLATE(A7613,""en"",""pt"")"),"I, também, como Harry Potter ..")</f>
        <v>I, também, como Harry Potter ..</v>
      </c>
      <c r="B7613" s="3">
        <v>1</v>
      </c>
    </row>
    <row r="7614" ht="15.75" customHeight="1" spans="1:2">
      <c r="A7614" s="3" t="str">
        <f>IFERROR(__xludf.DUMMYFUNCTION("GOOGLETRANSLATE(A7614,""en"",""pt"")"),"Quero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14" s="3">
        <v>1</v>
      </c>
    </row>
    <row r="7615" ht="15.75" customHeight="1" spans="1:2">
      <c r="A7615" s="3" t="str">
        <f>IFERROR(__xludf.DUMMYFUNCTION("GOOGLETRANSLATE(A7615,""en"",""pt"")"),"Eu amo a série Harry Potter, se você pode contar isso como ""um"" livro, também Catcher Na Tye, Jane Eyre, The Virgin Suicides, sim ...")</f>
        <v>Eu amo a série Harry Potter, se você pode contar isso como "um" livro, também Catcher Na Tye, Jane Eyre, The Virgin Suicides, sim ...</v>
      </c>
      <c r="B7615" s="3">
        <v>1</v>
      </c>
    </row>
    <row r="7616" ht="15.75" customHeight="1" spans="1:2">
      <c r="A7616" s="3" t="str">
        <f>IFERROR(__xludf.DUMMYFUNCTION("GOOGLETRANSLATE(A7616,""en"",""pt"")"),"Porque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16" s="3">
        <v>1</v>
      </c>
    </row>
    <row r="7617" ht="15.75" customHeight="1" spans="1:2">
      <c r="A7617" s="3" t="str">
        <f>IFERROR(__xludf.DUMMYFUNCTION("GOOGLETRANSLATE(A7617,""en"",""pt"")"),"a história de Harry Potter é um forte e profundo, e eu amo Harry Potter.")</f>
        <v>a história de Harry Potter é um forte e profundo, e eu amo Harry Potter.</v>
      </c>
      <c r="B7617" s="3">
        <v>1</v>
      </c>
    </row>
    <row r="7618" ht="15.75" customHeight="1" spans="1:2">
      <c r="A7618" s="3" t="str">
        <f>IFERROR(__xludf.DUMMYFUNCTION("GOOGLETRANSLATE(A7618,""en"",""pt"")"),"Harry Potter é IMPRESSIONANTE Eu não me importo se alguém disser diferente! ..")</f>
        <v>Harry Potter é IMPRESSIONANTE Eu não me importo se alguém disser diferente! ..</v>
      </c>
      <c r="B7618" s="3">
        <v>1</v>
      </c>
    </row>
    <row r="7619" ht="15.75" customHeight="1" spans="1:2">
      <c r="A7619" s="3" t="str">
        <f>IFERROR(__xludf.DUMMYFUNCTION("GOOGLETRANSLATE(A7619,""en"",""pt"")"),"Eu amo Harry Potter ..")</f>
        <v>Eu amo Harry Potter ..</v>
      </c>
      <c r="B7619" s="3">
        <v>1</v>
      </c>
    </row>
    <row r="7620" ht="15.75" customHeight="1" spans="1:2">
      <c r="A7620" s="3" t="str">
        <f>IFERROR(__xludf.DUMMYFUNCTION("GOOGLETRANSLATE(A7620,""en"",""pt"")"),"Eu amo Harry Potter.")</f>
        <v>Eu amo Harry Potter.</v>
      </c>
      <c r="B7620" s="3">
        <v>1</v>
      </c>
    </row>
    <row r="7621" ht="15.75" customHeight="1" spans="1:2">
      <c r="A7621" s="3" t="str">
        <f>IFERROR(__xludf.DUMMYFUNCTION("GOOGLETRANSLATE(A7621,""en"",""pt"")"),"Eu amo Harry Potter.")</f>
        <v>Eu amo Harry Potter.</v>
      </c>
      <c r="B7621" s="3">
        <v>1</v>
      </c>
    </row>
    <row r="7622" ht="15.75" customHeight="1" spans="1:2">
      <c r="A7622" s="3" t="str">
        <f>IFERROR(__xludf.DUMMYFUNCTION("GOOGLETRANSLATE(A7622,""en"",""pt"")"),"Vou começar a ler a série Harry Potter novamente, porque essa é uma história incrível.")</f>
        <v>Vou começar a ler a série Harry Potter novamente, porque essa é uma história incrível.</v>
      </c>
      <c r="B7622" s="3">
        <v>1</v>
      </c>
    </row>
    <row r="7623" ht="15.75" customHeight="1" spans="1:2">
      <c r="A7623" s="3" t="str">
        <f>IFERROR(__xludf.DUMMYFUNCTION("GOOGLETRANSLATE(A7623,""en"",""pt"")"),"I, também, como Harry Potter ..")</f>
        <v>I, também, como Harry Potter ..</v>
      </c>
      <c r="B7623" s="3">
        <v>1</v>
      </c>
    </row>
    <row r="7624" ht="15.75" customHeight="1" spans="1:2">
      <c r="A7624" s="3" t="str">
        <f>IFERROR(__xludf.DUMMYFUNCTION("GOOGLETRANSLATE(A7624,""en"",""pt"")"),"Quero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24" s="3">
        <v>1</v>
      </c>
    </row>
    <row r="7625" ht="15.75" customHeight="1" spans="1:2">
      <c r="A7625" s="3" t="str">
        <f>IFERROR(__xludf.DUMMYFUNCTION("GOOGLETRANSLATE(A7625,""en"",""pt"")"),"Eu amo a série Harry Potter, se você pode contar isso como ""um"" livro, também Catcher Na Tye, Jane Eyre, The Virgin Suicides, sim ...")</f>
        <v>Eu amo a série Harry Potter, se você pode contar isso como "um" livro, também Catcher Na Tye, Jane Eyre, The Virgin Suicides, sim ...</v>
      </c>
      <c r="B7625" s="3">
        <v>1</v>
      </c>
    </row>
    <row r="7626" ht="15.75" customHeight="1" spans="1:2">
      <c r="A7626" s="3" t="str">
        <f>IFERROR(__xludf.DUMMYFUNCTION("GOOGLETRANSLATE(A7626,""en"",""pt"")"),"Porque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26" s="3">
        <v>1</v>
      </c>
    </row>
    <row r="7627" ht="15.75" customHeight="1" spans="1:2">
      <c r="A7627" s="3" t="str">
        <f>IFERROR(__xludf.DUMMYFUNCTION("GOOGLETRANSLATE(A7627,""en"",""pt"")"),"a história de Harry Potter é um forte e profundo, e eu amo Harry Potter.")</f>
        <v>a história de Harry Potter é um forte e profundo, e eu amo Harry Potter.</v>
      </c>
      <c r="B7627" s="3">
        <v>1</v>
      </c>
    </row>
    <row r="7628" ht="15.75" customHeight="1" spans="1:2">
      <c r="A7628" s="3" t="str">
        <f>IFERROR(__xludf.DUMMYFUNCTION("GOOGLETRANSLATE(A7628,""en"",""pt"")"),"Harry Potter é IMPRESSIONANTE Eu não me importo se alguém disser diferente! ..")</f>
        <v>Harry Potter é IMPRESSIONANTE Eu não me importo se alguém disser diferente! ..</v>
      </c>
      <c r="B7628" s="3">
        <v>1</v>
      </c>
    </row>
    <row r="7629" ht="15.75" customHeight="1" spans="1:2">
      <c r="A7629" s="3" t="str">
        <f>IFERROR(__xludf.DUMMYFUNCTION("GOOGLETRANSLATE(A7629,""en"",""pt"")"),"Eu amo Harry Potter ..")</f>
        <v>Eu amo Harry Potter ..</v>
      </c>
      <c r="B7629" s="3">
        <v>1</v>
      </c>
    </row>
    <row r="7630" ht="15.75" customHeight="1" spans="1:2">
      <c r="A7630" s="3" t="str">
        <f>IFERROR(__xludf.DUMMYFUNCTION("GOOGLETRANSLATE(A7630,""en"",""pt"")"),"Eu amo Harry Potter.")</f>
        <v>Eu amo Harry Potter.</v>
      </c>
      <c r="B7630" s="3">
        <v>1</v>
      </c>
    </row>
    <row r="7631" ht="15.75" customHeight="1" spans="1:2">
      <c r="A7631" s="3" t="str">
        <f>IFERROR(__xludf.DUMMYFUNCTION("GOOGLETRANSLATE(A7631,""en"",""pt"")"),"Eu amo Harry Potter.")</f>
        <v>Eu amo Harry Potter.</v>
      </c>
      <c r="B7631" s="3">
        <v>1</v>
      </c>
    </row>
    <row r="7632" ht="15.75" customHeight="1" spans="1:2">
      <c r="A7632" s="3" t="str">
        <f>IFERROR(__xludf.DUMMYFUNCTION("GOOGLETRANSLATE(A7632,""en"",""pt"")"),"Vou começar a ler a série Harry Potter novamente, porque essa é uma história incrível.")</f>
        <v>Vou começar a ler a série Harry Potter novamente, porque essa é uma história incrível.</v>
      </c>
      <c r="B7632" s="3">
        <v>1</v>
      </c>
    </row>
    <row r="7633" ht="15.75" customHeight="1" spans="1:2">
      <c r="A7633" s="3" t="str">
        <f>IFERROR(__xludf.DUMMYFUNCTION("GOOGLETRANSLATE(A7633,""en"",""pt"")"),"I, também, como Harry Potter ..")</f>
        <v>I, também, como Harry Potter ..</v>
      </c>
      <c r="B7633" s="3">
        <v>1</v>
      </c>
    </row>
    <row r="7634" ht="15.75" customHeight="1" spans="1:2">
      <c r="A7634" s="3" t="str">
        <f>IFERROR(__xludf.DUMMYFUNCTION("GOOGLETRANSLATE(A7634,""en"",""pt"")"),"Quero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34" s="3">
        <v>1</v>
      </c>
    </row>
    <row r="7635" ht="15.75" customHeight="1" spans="1:2">
      <c r="A7635" s="3" t="str">
        <f>IFERROR(__xludf.DUMMYFUNCTION("GOOGLETRANSLATE(A7635,""en"",""pt"")"),"Eu amo a série Harry Potter, se você pode contar isso como ""um"" livro, também Catcher Na Tye, Jane Eyre, The Virgin Suicides, sim ...")</f>
        <v>Eu amo a série Harry Potter, se você pode contar isso como "um" livro, também Catcher Na Tye, Jane Eyre, The Virgin Suicides, sim ...</v>
      </c>
      <c r="B7635" s="3">
        <v>1</v>
      </c>
    </row>
    <row r="7636" ht="15.75" customHeight="1" spans="1:2">
      <c r="A7636" s="3" t="str">
        <f>IFERROR(__xludf.DUMMYFUNCTION("GOOGLETRANSLATE(A7636,""en"",""pt"")"),"Porque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36" s="3">
        <v>1</v>
      </c>
    </row>
    <row r="7637" ht="15.75" customHeight="1" spans="1:2">
      <c r="A7637" s="3" t="str">
        <f>IFERROR(__xludf.DUMMYFUNCTION("GOOGLETRANSLATE(A7637,""en"",""pt"")"),"a história de Harry Potter é um forte e profundo, e eu amo Harry Potter.")</f>
        <v>a história de Harry Potter é um forte e profundo, e eu amo Harry Potter.</v>
      </c>
      <c r="B7637" s="3">
        <v>1</v>
      </c>
    </row>
    <row r="7638" ht="15.75" customHeight="1" spans="1:2">
      <c r="A7638" s="3" t="str">
        <f>IFERROR(__xludf.DUMMYFUNCTION("GOOGLETRANSLATE(A7638,""en"",""pt"")"),"Harry Potter é IMPRESSIONANTE Eu não me importo se alguém disser diferente! ..")</f>
        <v>Harry Potter é IMPRESSIONANTE Eu não me importo se alguém disser diferente! ..</v>
      </c>
      <c r="B7638" s="3">
        <v>1</v>
      </c>
    </row>
    <row r="7639" ht="15.75" customHeight="1" spans="1:2">
      <c r="A7639" s="3" t="str">
        <f>IFERROR(__xludf.DUMMYFUNCTION("GOOGLETRANSLATE(A7639,""en"",""pt"")"),"Eu amo Harry Potter ..")</f>
        <v>Eu amo Harry Potter ..</v>
      </c>
      <c r="B7639" s="3">
        <v>1</v>
      </c>
    </row>
    <row r="7640" ht="15.75" customHeight="1" spans="1:2">
      <c r="A7640" s="3" t="str">
        <f>IFERROR(__xludf.DUMMYFUNCTION("GOOGLETRANSLATE(A7640,""en"",""pt"")"),"Eu amo Harry Potter.")</f>
        <v>Eu amo Harry Potter.</v>
      </c>
      <c r="B7640" s="3">
        <v>1</v>
      </c>
    </row>
    <row r="7641" ht="15.75" customHeight="1" spans="1:2">
      <c r="A7641" s="3" t="str">
        <f>IFERROR(__xludf.DUMMYFUNCTION("GOOGLETRANSLATE(A7641,""en"",""pt"")"),"Eu amo Harry Potter.")</f>
        <v>Eu amo Harry Potter.</v>
      </c>
      <c r="B7641" s="3">
        <v>1</v>
      </c>
    </row>
    <row r="7642" ht="15.75" customHeight="1" spans="1:2">
      <c r="A7642" s="3" t="str">
        <f>IFERROR(__xludf.DUMMYFUNCTION("GOOGLETRANSLATE(A7642,""en"",""pt"")"),"Vou começar a ler a série Harry Potter novamente, porque essa é uma história incrível.")</f>
        <v>Vou começar a ler a série Harry Potter novamente, porque essa é uma história incrível.</v>
      </c>
      <c r="B7642" s="3">
        <v>1</v>
      </c>
    </row>
    <row r="7643" ht="15.75" customHeight="1" spans="1:2">
      <c r="A7643" s="3" t="str">
        <f>IFERROR(__xludf.DUMMYFUNCTION("GOOGLETRANSLATE(A7643,""en"",""pt"")"),"I, também, como Harry Potter ..")</f>
        <v>I, também, como Harry Potter ..</v>
      </c>
      <c r="B7643" s="3">
        <v>1</v>
      </c>
    </row>
    <row r="7644" ht="15.75" customHeight="1" spans="1:2">
      <c r="A7644" s="3" t="str">
        <f>IFERROR(__xludf.DUMMYFUNCTION("GOOGLETRANSLATE(A7644,""en"",""pt"")"),"Quero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44" s="3">
        <v>1</v>
      </c>
    </row>
    <row r="7645" ht="15.75" customHeight="1" spans="1:2">
      <c r="A7645" s="3" t="str">
        <f>IFERROR(__xludf.DUMMYFUNCTION("GOOGLETRANSLATE(A7645,""en"",""pt"")"),"Eu amo a série Harry Potter, se você pode contar isso como ""um"" livro, também Catcher Na Tye, Jane Eyre, The Virgin Suicides, sim ...")</f>
        <v>Eu amo a série Harry Potter, se você pode contar isso como "um" livro, também Catcher Na Tye, Jane Eyre, The Virgin Suicides, sim ...</v>
      </c>
      <c r="B7645" s="3">
        <v>1</v>
      </c>
    </row>
    <row r="7646" ht="15.75" customHeight="1" spans="1:2">
      <c r="A7646" s="3" t="str">
        <f>IFERROR(__xludf.DUMMYFUNCTION("GOOGLETRANSLATE(A7646,""en"",""pt"")"),"Porque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46" s="3">
        <v>1</v>
      </c>
    </row>
    <row r="7647" ht="15.75" customHeight="1" spans="1:2">
      <c r="A7647" s="3" t="str">
        <f>IFERROR(__xludf.DUMMYFUNCTION("GOOGLETRANSLATE(A7647,""en"",""pt"")"),"a história de Harry Potter é um forte e profundo, e eu amo Harry Potter.")</f>
        <v>a história de Harry Potter é um forte e profundo, e eu amo Harry Potter.</v>
      </c>
      <c r="B7647" s="3">
        <v>1</v>
      </c>
    </row>
    <row r="7648" ht="15.75" customHeight="1" spans="1:2">
      <c r="A7648" s="3" t="str">
        <f>IFERROR(__xludf.DUMMYFUNCTION("GOOGLETRANSLATE(A7648,""en"",""pt"")"),"Harry Potter é IMPRESSIONANTE Eu não me importo se alguém disser diferente! ..")</f>
        <v>Harry Potter é IMPRESSIONANTE Eu não me importo se alguém disser diferente! ..</v>
      </c>
      <c r="B7648" s="3">
        <v>1</v>
      </c>
    </row>
    <row r="7649" ht="15.75" customHeight="1" spans="1:2">
      <c r="A7649" s="3" t="str">
        <f>IFERROR(__xludf.DUMMYFUNCTION("GOOGLETRANSLATE(A7649,""en"",""pt"")"),"Eu amo Harry Potter ..")</f>
        <v>Eu amo Harry Potter ..</v>
      </c>
      <c r="B7649" s="3">
        <v>1</v>
      </c>
    </row>
    <row r="7650" ht="15.75" customHeight="1" spans="1:2">
      <c r="A7650" s="3" t="str">
        <f>IFERROR(__xludf.DUMMYFUNCTION("GOOGLETRANSLATE(A7650,""en"",""pt"")"),"Eu amo Harry Potter.")</f>
        <v>Eu amo Harry Potter.</v>
      </c>
      <c r="B7650" s="3">
        <v>1</v>
      </c>
    </row>
    <row r="7651" ht="15.75" customHeight="1" spans="1:2">
      <c r="A7651" s="3" t="str">
        <f>IFERROR(__xludf.DUMMYFUNCTION("GOOGLETRANSLATE(A7651,""en"",""pt"")"),"Eu amo Harry Potter.")</f>
        <v>Eu amo Harry Potter.</v>
      </c>
      <c r="B7651" s="3">
        <v>1</v>
      </c>
    </row>
    <row r="7652" ht="15.75" customHeight="1" spans="1:2">
      <c r="A7652" s="3" t="str">
        <f>IFERROR(__xludf.DUMMYFUNCTION("GOOGLETRANSLATE(A7652,""en"",""pt"")"),"Vou começar a ler a série Harry Potter novamente, porque essa é uma história incrível.")</f>
        <v>Vou começar a ler a série Harry Potter novamente, porque essa é uma história incrível.</v>
      </c>
      <c r="B7652" s="3">
        <v>1</v>
      </c>
    </row>
    <row r="7653" ht="15.75" customHeight="1" spans="1:2">
      <c r="A7653" s="3" t="str">
        <f>IFERROR(__xludf.DUMMYFUNCTION("GOOGLETRANSLATE(A7653,""en"",""pt"")"),"I, também, como Harry Potter ..")</f>
        <v>I, também, como Harry Potter ..</v>
      </c>
      <c r="B7653" s="3">
        <v>1</v>
      </c>
    </row>
    <row r="7654" ht="15.75" customHeight="1" spans="1:2">
      <c r="A7654" s="3" t="str">
        <f>IFERROR(__xludf.DUMMYFUNCTION("GOOGLETRANSLATE(A7654,""en"",""pt"")"),"Quero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54" s="3">
        <v>1</v>
      </c>
    </row>
    <row r="7655" ht="15.75" customHeight="1" spans="1:2">
      <c r="A7655" s="3" t="str">
        <f>IFERROR(__xludf.DUMMYFUNCTION("GOOGLETRANSLATE(A7655,""en"",""pt"")"),"Eu amo a série Harry Potter, se você pode contar isso como ""um"" livro, também Catcher Na Tye, Jane Eyre, The Virgin Suicides, sim ...")</f>
        <v>Eu amo a série Harry Potter, se você pode contar isso como "um" livro, também Catcher Na Tye, Jane Eyre, The Virgin Suicides, sim ...</v>
      </c>
      <c r="B7655" s="3">
        <v>1</v>
      </c>
    </row>
    <row r="7656" ht="15.75" customHeight="1" spans="1:2">
      <c r="A7656" s="3" t="str">
        <f>IFERROR(__xludf.DUMMYFUNCTION("GOOGLETRANSLATE(A7656,""en"",""pt"")"),"Porque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56" s="3">
        <v>1</v>
      </c>
    </row>
    <row r="7657" ht="15.75" customHeight="1" spans="1:2">
      <c r="A7657" s="3" t="str">
        <f>IFERROR(__xludf.DUMMYFUNCTION("GOOGLETRANSLATE(A7657,""en"",""pt"")"),"a história de Harry Potter é um forte e profundo, e eu amo Harry Potter.")</f>
        <v>a história de Harry Potter é um forte e profundo, e eu amo Harry Potter.</v>
      </c>
      <c r="B7657" s="3">
        <v>1</v>
      </c>
    </row>
    <row r="7658" ht="15.75" customHeight="1" spans="1:2">
      <c r="A7658" s="3" t="str">
        <f>IFERROR(__xludf.DUMMYFUNCTION("GOOGLETRANSLATE(A7658,""en"",""pt"")"),"Harry Potter é IMPRESSIONANTE Eu não me importo se alguém disser diferente! ..")</f>
        <v>Harry Potter é IMPRESSIONANTE Eu não me importo se alguém disser diferente! ..</v>
      </c>
      <c r="B7658" s="3">
        <v>1</v>
      </c>
    </row>
    <row r="7659" ht="15.75" customHeight="1" spans="1:2">
      <c r="A7659" s="3" t="str">
        <f>IFERROR(__xludf.DUMMYFUNCTION("GOOGLETRANSLATE(A7659,""en"",""pt"")"),"Eu amo Harry Potter ..")</f>
        <v>Eu amo Harry Potter ..</v>
      </c>
      <c r="B7659" s="3">
        <v>1</v>
      </c>
    </row>
    <row r="7660" ht="15.75" customHeight="1" spans="1:2">
      <c r="A7660" s="3" t="str">
        <f>IFERROR(__xludf.DUMMYFUNCTION("GOOGLETRANSLATE(A7660,""en"",""pt"")"),"Eu amo Harry Potter.")</f>
        <v>Eu amo Harry Potter.</v>
      </c>
      <c r="B7660" s="3">
        <v>1</v>
      </c>
    </row>
    <row r="7661" ht="15.75" customHeight="1" spans="1:2">
      <c r="A7661" s="3" t="str">
        <f>IFERROR(__xludf.DUMMYFUNCTION("GOOGLETRANSLATE(A7661,""en"",""pt"")"),"Eu amo Harry Potter.")</f>
        <v>Eu amo Harry Potter.</v>
      </c>
      <c r="B7661" s="3">
        <v>1</v>
      </c>
    </row>
    <row r="7662" ht="15.75" customHeight="1" spans="1:2">
      <c r="A7662" s="3" t="str">
        <f>IFERROR(__xludf.DUMMYFUNCTION("GOOGLETRANSLATE(A7662,""en"",""pt"")"),"Vou começar a ler a série Harry Potter novamente, porque essa é uma história incrível.")</f>
        <v>Vou começar a ler a série Harry Potter novamente, porque essa é uma história incrível.</v>
      </c>
      <c r="B7662" s="3">
        <v>1</v>
      </c>
    </row>
    <row r="7663" ht="15.75" customHeight="1" spans="1:2">
      <c r="A7663" s="3" t="str">
        <f>IFERROR(__xludf.DUMMYFUNCTION("GOOGLETRANSLATE(A7663,""en"",""pt"")"),"I, também, como Harry Potter ..")</f>
        <v>I, também, como Harry Potter ..</v>
      </c>
      <c r="B7663" s="3">
        <v>1</v>
      </c>
    </row>
    <row r="7664" ht="15.75" customHeight="1" spans="1:2">
      <c r="A7664" s="3" t="str">
        <f>IFERROR(__xludf.DUMMYFUNCTION("GOOGLETRANSLATE(A7664,""en"",""pt"")"),"Quero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64" s="3">
        <v>1</v>
      </c>
    </row>
    <row r="7665" ht="15.75" customHeight="1" spans="1:2">
      <c r="A7665" s="3" t="str">
        <f>IFERROR(__xludf.DUMMYFUNCTION("GOOGLETRANSLATE(A7665,""en"",""pt"")"),"Eu amo a série Harry Potter, se você pode contar isso como ""um"" livro, também Catcher Na Tye, Jane Eyre, The Virgin Suicides, sim ...")</f>
        <v>Eu amo a série Harry Potter, se você pode contar isso como "um" livro, também Catcher Na Tye, Jane Eyre, The Virgin Suicides, sim ...</v>
      </c>
      <c r="B7665" s="3">
        <v>1</v>
      </c>
    </row>
    <row r="7666" ht="15.75" customHeight="1" spans="1:2">
      <c r="A7666" s="3" t="str">
        <f>IFERROR(__xludf.DUMMYFUNCTION("GOOGLETRANSLATE(A7666,""en"",""pt"")"),"Porque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66" s="3">
        <v>1</v>
      </c>
    </row>
    <row r="7667" ht="15.75" customHeight="1" spans="1:2">
      <c r="A7667" s="3" t="str">
        <f>IFERROR(__xludf.DUMMYFUNCTION("GOOGLETRANSLATE(A7667,""en"",""pt"")"),"a história de Harry Potter é um forte e profundo, e eu amo Harry Potter.")</f>
        <v>a história de Harry Potter é um forte e profundo, e eu amo Harry Potter.</v>
      </c>
      <c r="B7667" s="3">
        <v>1</v>
      </c>
    </row>
    <row r="7668" ht="15.75" customHeight="1" spans="1:2">
      <c r="A7668" s="3" t="str">
        <f>IFERROR(__xludf.DUMMYFUNCTION("GOOGLETRANSLATE(A7668,""en"",""pt"")"),"Harry Potter é IMPRESSIONANTE Eu não me importo se alguém disser diferente! ..")</f>
        <v>Harry Potter é IMPRESSIONANTE Eu não me importo se alguém disser diferente! ..</v>
      </c>
      <c r="B7668" s="3">
        <v>1</v>
      </c>
    </row>
    <row r="7669" ht="15.75" customHeight="1" spans="1:2">
      <c r="A7669" s="3" t="str">
        <f>IFERROR(__xludf.DUMMYFUNCTION("GOOGLETRANSLATE(A7669,""en"",""pt"")"),"Eu amo Harry Potter ..")</f>
        <v>Eu amo Harry Potter ..</v>
      </c>
      <c r="B7669" s="3">
        <v>1</v>
      </c>
    </row>
    <row r="7670" ht="15.75" customHeight="1" spans="1:2">
      <c r="A7670" s="3" t="str">
        <f>IFERROR(__xludf.DUMMYFUNCTION("GOOGLETRANSLATE(A7670,""en"",""pt"")"),"Eu amo Harry Potter.")</f>
        <v>Eu amo Harry Potter.</v>
      </c>
      <c r="B7670" s="3">
        <v>1</v>
      </c>
    </row>
    <row r="7671" ht="15.75" customHeight="1" spans="1:2">
      <c r="A7671" s="3" t="str">
        <f>IFERROR(__xludf.DUMMYFUNCTION("GOOGLETRANSLATE(A7671,""en"",""pt"")"),"Eu amo Harry Potter.")</f>
        <v>Eu amo Harry Potter.</v>
      </c>
      <c r="B7671" s="3">
        <v>1</v>
      </c>
    </row>
    <row r="7672" ht="15.75" customHeight="1" spans="1:2">
      <c r="A7672" s="3" t="str">
        <f>IFERROR(__xludf.DUMMYFUNCTION("GOOGLETRANSLATE(A7672,""en"",""pt"")"),"Vou começar a ler a série Harry Potter novamente, porque essa é uma história incrível.")</f>
        <v>Vou começar a ler a série Harry Potter novamente, porque essa é uma história incrível.</v>
      </c>
      <c r="B7672" s="3">
        <v>1</v>
      </c>
    </row>
    <row r="7673" ht="15.75" customHeight="1" spans="1:2">
      <c r="A7673" s="3" t="str">
        <f>IFERROR(__xludf.DUMMYFUNCTION("GOOGLETRANSLATE(A7673,""en"",""pt"")"),"I, também, como Harry Potter ..")</f>
        <v>I, também, como Harry Potter ..</v>
      </c>
      <c r="B7673" s="3">
        <v>1</v>
      </c>
    </row>
    <row r="7674" ht="15.75" customHeight="1" spans="1:2">
      <c r="A7674" s="3" t="str">
        <f>IFERROR(__xludf.DUMMYFUNCTION("GOOGLETRANSLATE(A7674,""en"",""pt"")"),"Quero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74" s="3">
        <v>1</v>
      </c>
    </row>
    <row r="7675" ht="15.75" customHeight="1" spans="1:2">
      <c r="A7675" s="3" t="str">
        <f>IFERROR(__xludf.DUMMYFUNCTION("GOOGLETRANSLATE(A7675,""en"",""pt"")"),"Eu amo a série Harry Potter, se você pode contar isso como ""um"" livro, também Catcher Na Tye, Jane Eyre, The Virgin Suicides, sim ...")</f>
        <v>Eu amo a série Harry Potter, se você pode contar isso como "um" livro, também Catcher Na Tye, Jane Eyre, The Virgin Suicides, sim ...</v>
      </c>
      <c r="B7675" s="3">
        <v>1</v>
      </c>
    </row>
    <row r="7676" ht="15.75" customHeight="1" spans="1:2">
      <c r="A7676" s="3" t="str">
        <f>IFERROR(__xludf.DUMMYFUNCTION("GOOGLETRANSLATE(A7676,""en"",""pt"")"),"Porque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76" s="3">
        <v>1</v>
      </c>
    </row>
    <row r="7677" ht="15.75" customHeight="1" spans="1:2">
      <c r="A7677" s="3" t="str">
        <f>IFERROR(__xludf.DUMMYFUNCTION("GOOGLETRANSLATE(A7677,""en"",""pt"")"),"a história de Harry Potter é um forte e profundo, e eu amo Harry Potter.")</f>
        <v>a história de Harry Potter é um forte e profundo, e eu amo Harry Potter.</v>
      </c>
      <c r="B7677" s="3">
        <v>1</v>
      </c>
    </row>
    <row r="7678" ht="15.75" customHeight="1" spans="1:2">
      <c r="A7678" s="3" t="str">
        <f>IFERROR(__xludf.DUMMYFUNCTION("GOOGLETRANSLATE(A7678,""en"",""pt"")"),"Harry Potter é IMPRESSIONANTE Eu não me importo se alguém disser diferente! ..")</f>
        <v>Harry Potter é IMPRESSIONANTE Eu não me importo se alguém disser diferente! ..</v>
      </c>
      <c r="B7678" s="3">
        <v>1</v>
      </c>
    </row>
    <row r="7679" ht="15.75" customHeight="1" spans="1:2">
      <c r="A7679" s="3" t="str">
        <f>IFERROR(__xludf.DUMMYFUNCTION("GOOGLETRANSLATE(A7679,""en"",""pt"")"),"Eu amo Harry Potter ..")</f>
        <v>Eu amo Harry Potter ..</v>
      </c>
      <c r="B7679" s="3">
        <v>1</v>
      </c>
    </row>
    <row r="7680" ht="15.75" customHeight="1" spans="1:2">
      <c r="A7680" s="3" t="str">
        <f>IFERROR(__xludf.DUMMYFUNCTION("GOOGLETRANSLATE(A7680,""en"",""pt"")"),"Eu amo Harry Potter.")</f>
        <v>Eu amo Harry Potter.</v>
      </c>
      <c r="B7680" s="3">
        <v>1</v>
      </c>
    </row>
    <row r="7681" ht="15.75" customHeight="1" spans="1:2">
      <c r="A7681" s="3" t="str">
        <f>IFERROR(__xludf.DUMMYFUNCTION("GOOGLETRANSLATE(A7681,""en"",""pt"")"),"Eu amo Harry Potter.")</f>
        <v>Eu amo Harry Potter.</v>
      </c>
      <c r="B7681" s="3">
        <v>1</v>
      </c>
    </row>
    <row r="7682" ht="15.75" customHeight="1" spans="1:2">
      <c r="A7682" s="3" t="str">
        <f>IFERROR(__xludf.DUMMYFUNCTION("GOOGLETRANSLATE(A7682,""en"",""pt"")"),"Vou começar a ler a série Harry Potter novamente, porque essa é uma história incrível.")</f>
        <v>Vou começar a ler a série Harry Potter novamente, porque essa é uma história incrível.</v>
      </c>
      <c r="B7682" s="3">
        <v>1</v>
      </c>
    </row>
    <row r="7683" ht="15.75" customHeight="1" spans="1:2">
      <c r="A7683" s="3" t="str">
        <f>IFERROR(__xludf.DUMMYFUNCTION("GOOGLETRANSLATE(A7683,""en"",""pt"")"),"I, também, como Harry Potter ..")</f>
        <v>I, também, como Harry Potter ..</v>
      </c>
      <c r="B7683" s="3">
        <v>1</v>
      </c>
    </row>
    <row r="7684" ht="15.75" customHeight="1" spans="1:2">
      <c r="A7684" s="3" t="str">
        <f>IFERROR(__xludf.DUMMYFUNCTION("GOOGLETRANSLATE(A7684,""en"",""pt"")"),"Quero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84" s="3">
        <v>1</v>
      </c>
    </row>
    <row r="7685" ht="15.75" customHeight="1" spans="1:2">
      <c r="A7685" s="3" t="str">
        <f>IFERROR(__xludf.DUMMYFUNCTION("GOOGLETRANSLATE(A7685,""en"",""pt"")"),"Eu amo a série Harry Potter, se você pode contar isso como ""um"" livro, também Catcher Na Tye, Jane Eyre, The Virgin Suicides, sim ...")</f>
        <v>Eu amo a série Harry Potter, se você pode contar isso como "um" livro, também Catcher Na Tye, Jane Eyre, The Virgin Suicides, sim ...</v>
      </c>
      <c r="B7685" s="3">
        <v>1</v>
      </c>
    </row>
    <row r="7686" ht="15.75" customHeight="1" spans="1:2">
      <c r="A7686" s="3" t="str">
        <f>IFERROR(__xludf.DUMMYFUNCTION("GOOGLETRANSLATE(A7686,""en"",""pt"")"),"Porque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86" s="3">
        <v>1</v>
      </c>
    </row>
    <row r="7687" ht="15.75" customHeight="1" spans="1:2">
      <c r="A7687" s="3" t="str">
        <f>IFERROR(__xludf.DUMMYFUNCTION("GOOGLETRANSLATE(A7687,""en"",""pt"")"),"a história de Harry Potter é um forte e profundo, e eu amo Harry Potter.")</f>
        <v>a história de Harry Potter é um forte e profundo, e eu amo Harry Potter.</v>
      </c>
      <c r="B7687" s="3">
        <v>1</v>
      </c>
    </row>
    <row r="7688" ht="15.75" customHeight="1" spans="1:2">
      <c r="A7688" s="3" t="str">
        <f>IFERROR(__xludf.DUMMYFUNCTION("GOOGLETRANSLATE(A7688,""en"",""pt"")"),"Harry Potter é IMPRESSIONANTE Eu não me importo se alguém disser diferente! ..")</f>
        <v>Harry Potter é IMPRESSIONANTE Eu não me importo se alguém disser diferente! ..</v>
      </c>
      <c r="B7688" s="3">
        <v>1</v>
      </c>
    </row>
    <row r="7689" ht="15.75" customHeight="1" spans="1:2">
      <c r="A7689" s="3" t="str">
        <f>IFERROR(__xludf.DUMMYFUNCTION("GOOGLETRANSLATE(A7689,""en"",""pt"")"),"Eu amo Harry Potter ..")</f>
        <v>Eu amo Harry Potter ..</v>
      </c>
      <c r="B7689" s="3">
        <v>1</v>
      </c>
    </row>
    <row r="7690" ht="15.75" customHeight="1" spans="1:2">
      <c r="A7690" s="3" t="str">
        <f>IFERROR(__xludf.DUMMYFUNCTION("GOOGLETRANSLATE(A7690,""en"",""pt"")"),"Eu amo Harry Potter.")</f>
        <v>Eu amo Harry Potter.</v>
      </c>
      <c r="B7690" s="3">
        <v>1</v>
      </c>
    </row>
    <row r="7691" ht="15.75" customHeight="1" spans="1:2">
      <c r="A7691" s="3" t="str">
        <f>IFERROR(__xludf.DUMMYFUNCTION("GOOGLETRANSLATE(A7691,""en"",""pt"")"),"Eu amo Harry Potter.")</f>
        <v>Eu amo Harry Potter.</v>
      </c>
      <c r="B7691" s="3">
        <v>1</v>
      </c>
    </row>
    <row r="7692" ht="15.75" customHeight="1" spans="1:2">
      <c r="A7692" s="3" t="str">
        <f>IFERROR(__xludf.DUMMYFUNCTION("GOOGLETRANSLATE(A7692,""en"",""pt"")"),"Vou começar a ler a série Harry Potter novamente, porque essa é uma história incrível.")</f>
        <v>Vou começar a ler a série Harry Potter novamente, porque essa é uma história incrível.</v>
      </c>
      <c r="B7692" s="3">
        <v>1</v>
      </c>
    </row>
    <row r="7693" ht="15.75" customHeight="1" spans="1:2">
      <c r="A7693" s="3" t="str">
        <f>IFERROR(__xludf.DUMMYFUNCTION("GOOGLETRANSLATE(A7693,""en"",""pt"")"),"I, também, como Harry Potter ..")</f>
        <v>I, também, como Harry Potter ..</v>
      </c>
      <c r="B7693" s="3">
        <v>1</v>
      </c>
    </row>
    <row r="7694" ht="15.75" customHeight="1" spans="1:2">
      <c r="A7694" s="3" t="str">
        <f>IFERROR(__xludf.DUMMYFUNCTION("GOOGLETRANSLATE(A7694,""en"",""pt"")"),"Quero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694" s="3">
        <v>1</v>
      </c>
    </row>
    <row r="7695" ht="15.75" customHeight="1" spans="1:2">
      <c r="A7695" s="3" t="str">
        <f>IFERROR(__xludf.DUMMYFUNCTION("GOOGLETRANSLATE(A7695,""en"",""pt"")"),"Eu amo a série Harry Potter, se você pode contar isso como ""um"" livro, também Catcher Na Tye, Jane Eyre, The Virgin Suicides, sim ...")</f>
        <v>Eu amo a série Harry Potter, se você pode contar isso como "um" livro, também Catcher Na Tye, Jane Eyre, The Virgin Suicides, sim ...</v>
      </c>
      <c r="B7695" s="3">
        <v>1</v>
      </c>
    </row>
    <row r="7696" ht="15.75" customHeight="1" spans="1:2">
      <c r="A7696" s="3" t="str">
        <f>IFERROR(__xludf.DUMMYFUNCTION("GOOGLETRANSLATE(A7696,""en"",""pt"")"),"Porque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696" s="3">
        <v>1</v>
      </c>
    </row>
    <row r="7697" ht="15.75" customHeight="1" spans="1:2">
      <c r="A7697" s="3" t="str">
        <f>IFERROR(__xludf.DUMMYFUNCTION("GOOGLETRANSLATE(A7697,""en"",""pt"")"),"a história de Harry Potter é um forte e profundo, e eu amo Harry Potter.")</f>
        <v>a história de Harry Potter é um forte e profundo, e eu amo Harry Potter.</v>
      </c>
      <c r="B7697" s="3">
        <v>1</v>
      </c>
    </row>
    <row r="7698" ht="15.75" customHeight="1" spans="1:2">
      <c r="A7698" s="3" t="str">
        <f>IFERROR(__xludf.DUMMYFUNCTION("GOOGLETRANSLATE(A7698,""en"",""pt"")"),"Harry Potter é IMPRESSIONANTE Eu não me importo se alguém disser diferente! ..")</f>
        <v>Harry Potter é IMPRESSIONANTE Eu não me importo se alguém disser diferente! ..</v>
      </c>
      <c r="B7698" s="3">
        <v>1</v>
      </c>
    </row>
    <row r="7699" ht="15.75" customHeight="1" spans="1:2">
      <c r="A7699" s="3" t="str">
        <f>IFERROR(__xludf.DUMMYFUNCTION("GOOGLETRANSLATE(A7699,""en"",""pt"")"),"Eu amo Harry Potter ..")</f>
        <v>Eu amo Harry Potter ..</v>
      </c>
      <c r="B7699" s="3">
        <v>1</v>
      </c>
    </row>
    <row r="7700" ht="15.75" customHeight="1" spans="1:2">
      <c r="A7700" s="3" t="str">
        <f>IFERROR(__xludf.DUMMYFUNCTION("GOOGLETRANSLATE(A7700,""en"",""pt"")"),"Eu amo Harry Potter.")</f>
        <v>Eu amo Harry Potter.</v>
      </c>
      <c r="B7700" s="3">
        <v>1</v>
      </c>
    </row>
    <row r="7701" ht="15.75" customHeight="1" spans="1:2">
      <c r="A7701" s="3" t="str">
        <f>IFERROR(__xludf.DUMMYFUNCTION("GOOGLETRANSLATE(A7701,""en"",""pt"")"),"Eu amo Harry Potter.")</f>
        <v>Eu amo Harry Potter.</v>
      </c>
      <c r="B7701" s="3">
        <v>1</v>
      </c>
    </row>
    <row r="7702" ht="15.75" customHeight="1" spans="1:2">
      <c r="A7702" s="3" t="str">
        <f>IFERROR(__xludf.DUMMYFUNCTION("GOOGLETRANSLATE(A7702,""en"",""pt"")"),"Vou começar a ler a série Harry Potter novamente, porque essa é uma história incrível.")</f>
        <v>Vou começar a ler a série Harry Potter novamente, porque essa é uma história incrível.</v>
      </c>
      <c r="B7702" s="3">
        <v>1</v>
      </c>
    </row>
    <row r="7703" ht="15.75" customHeight="1" spans="1:2">
      <c r="A7703" s="3" t="str">
        <f>IFERROR(__xludf.DUMMYFUNCTION("GOOGLETRANSLATE(A7703,""en"",""pt"")"),"I, também, como Harry Potter ..")</f>
        <v>I, também, como Harry Potter ..</v>
      </c>
      <c r="B7703" s="3">
        <v>1</v>
      </c>
    </row>
    <row r="7704" ht="15.75" customHeight="1" spans="1:2">
      <c r="A7704" s="3" t="str">
        <f>IFERROR(__xludf.DUMMYFUNCTION("GOOGLETRANSLATE(A7704,""en"",""pt"")"),"Quero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04" s="3">
        <v>1</v>
      </c>
    </row>
    <row r="7705" ht="15.75" customHeight="1" spans="1:2">
      <c r="A7705" s="3" t="str">
        <f>IFERROR(__xludf.DUMMYFUNCTION("GOOGLETRANSLATE(A7705,""en"",""pt"")"),"Eu amo a série Harry Potter, se você pode contar isso como ""um"" livro, também Catcher Na Tye, Jane Eyre, The Virgin Suicides, sim ...")</f>
        <v>Eu amo a série Harry Potter, se você pode contar isso como "um" livro, também Catcher Na Tye, Jane Eyre, The Virgin Suicides, sim ...</v>
      </c>
      <c r="B7705" s="3">
        <v>1</v>
      </c>
    </row>
    <row r="7706" ht="15.75" customHeight="1" spans="1:2">
      <c r="A7706" s="3" t="str">
        <f>IFERROR(__xludf.DUMMYFUNCTION("GOOGLETRANSLATE(A7706,""en"",""pt"")"),"Porque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06" s="3">
        <v>1</v>
      </c>
    </row>
    <row r="7707" ht="15.75" customHeight="1" spans="1:2">
      <c r="A7707" s="3" t="str">
        <f>IFERROR(__xludf.DUMMYFUNCTION("GOOGLETRANSLATE(A7707,""en"",""pt"")"),"a história de Harry Potter é um forte e profundo, e eu amo Harry Potter.")</f>
        <v>a história de Harry Potter é um forte e profundo, e eu amo Harry Potter.</v>
      </c>
      <c r="B7707" s="3">
        <v>1</v>
      </c>
    </row>
    <row r="7708" ht="15.75" customHeight="1" spans="1:2">
      <c r="A7708" s="3" t="str">
        <f>IFERROR(__xludf.DUMMYFUNCTION("GOOGLETRANSLATE(A7708,""en"",""pt"")"),"Harry Potter é IMPRESSIONANTE Eu não me importo se alguém disser diferente! ..")</f>
        <v>Harry Potter é IMPRESSIONANTE Eu não me importo se alguém disser diferente! ..</v>
      </c>
      <c r="B7708" s="3">
        <v>1</v>
      </c>
    </row>
    <row r="7709" ht="15.75" customHeight="1" spans="1:2">
      <c r="A7709" s="3" t="str">
        <f>IFERROR(__xludf.DUMMYFUNCTION("GOOGLETRANSLATE(A7709,""en"",""pt"")"),"Eu amo Harry Potter ..")</f>
        <v>Eu amo Harry Potter ..</v>
      </c>
      <c r="B7709" s="3">
        <v>1</v>
      </c>
    </row>
    <row r="7710" ht="15.75" customHeight="1" spans="1:2">
      <c r="A7710" s="3" t="str">
        <f>IFERROR(__xludf.DUMMYFUNCTION("GOOGLETRANSLATE(A7710,""en"",""pt"")"),"Eu amo Harry Potter.")</f>
        <v>Eu amo Harry Potter.</v>
      </c>
      <c r="B7710" s="3">
        <v>1</v>
      </c>
    </row>
    <row r="7711" ht="15.75" customHeight="1" spans="1:2">
      <c r="A7711" s="3" t="str">
        <f>IFERROR(__xludf.DUMMYFUNCTION("GOOGLETRANSLATE(A7711,""en"",""pt"")"),"Eu amo Harry Potter.")</f>
        <v>Eu amo Harry Potter.</v>
      </c>
      <c r="B7711" s="3">
        <v>1</v>
      </c>
    </row>
    <row r="7712" ht="15.75" customHeight="1" spans="1:2">
      <c r="A7712" s="3" t="str">
        <f>IFERROR(__xludf.DUMMYFUNCTION("GOOGLETRANSLATE(A7712,""en"",""pt"")"),"Vou começar a ler a série Harry Potter novamente, porque essa é uma história incrível.")</f>
        <v>Vou começar a ler a série Harry Potter novamente, porque essa é uma história incrível.</v>
      </c>
      <c r="B7712" s="3">
        <v>1</v>
      </c>
    </row>
    <row r="7713" ht="15.75" customHeight="1" spans="1:2">
      <c r="A7713" s="3" t="str">
        <f>IFERROR(__xludf.DUMMYFUNCTION("GOOGLETRANSLATE(A7713,""en"",""pt"")"),"I, também, como Harry Potter ..")</f>
        <v>I, também, como Harry Potter ..</v>
      </c>
      <c r="B7713" s="3">
        <v>1</v>
      </c>
    </row>
    <row r="7714" ht="15.75" customHeight="1" spans="1:2">
      <c r="A7714" s="3" t="str">
        <f>IFERROR(__xludf.DUMMYFUNCTION("GOOGLETRANSLATE(A7714,""en"",""pt"")"),"Quero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14" s="3">
        <v>1</v>
      </c>
    </row>
    <row r="7715" ht="15.75" customHeight="1" spans="1:2">
      <c r="A7715" s="3" t="str">
        <f>IFERROR(__xludf.DUMMYFUNCTION("GOOGLETRANSLATE(A7715,""en"",""pt"")"),"Eu amo a série Harry Potter, se você pode contar isso como ""um"" livro, também Catcher Na Tye, Jane Eyre, The Virgin Suicides, sim ...")</f>
        <v>Eu amo a série Harry Potter, se você pode contar isso como "um" livro, também Catcher Na Tye, Jane Eyre, The Virgin Suicides, sim ...</v>
      </c>
      <c r="B7715" s="3">
        <v>1</v>
      </c>
    </row>
    <row r="7716" ht="15.75" customHeight="1" spans="1:2">
      <c r="A7716" s="3" t="str">
        <f>IFERROR(__xludf.DUMMYFUNCTION("GOOGLETRANSLATE(A7716,""en"",""pt"")"),"Porque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16" s="3">
        <v>1</v>
      </c>
    </row>
    <row r="7717" ht="15.75" customHeight="1" spans="1:2">
      <c r="A7717" s="3" t="str">
        <f>IFERROR(__xludf.DUMMYFUNCTION("GOOGLETRANSLATE(A7717,""en"",""pt"")"),"a história de Harry Potter é um forte e profundo, e eu amo Harry Potter.")</f>
        <v>a história de Harry Potter é um forte e profundo, e eu amo Harry Potter.</v>
      </c>
      <c r="B7717" s="3">
        <v>1</v>
      </c>
    </row>
    <row r="7718" ht="15.75" customHeight="1" spans="1:2">
      <c r="A7718" s="3" t="str">
        <f>IFERROR(__xludf.DUMMYFUNCTION("GOOGLETRANSLATE(A7718,""en"",""pt"")"),"Harry Potter é IMPRESSIONANTE Eu não me importo se alguém disser diferente! ..")</f>
        <v>Harry Potter é IMPRESSIONANTE Eu não me importo se alguém disser diferente! ..</v>
      </c>
      <c r="B7718" s="3">
        <v>1</v>
      </c>
    </row>
    <row r="7719" ht="15.75" customHeight="1" spans="1:2">
      <c r="A7719" s="3" t="str">
        <f>IFERROR(__xludf.DUMMYFUNCTION("GOOGLETRANSLATE(A7719,""en"",""pt"")"),"Eu amo Harry Potter ..")</f>
        <v>Eu amo Harry Potter ..</v>
      </c>
      <c r="B7719" s="3">
        <v>1</v>
      </c>
    </row>
    <row r="7720" ht="15.75" customHeight="1" spans="1:2">
      <c r="A7720" s="3" t="str">
        <f>IFERROR(__xludf.DUMMYFUNCTION("GOOGLETRANSLATE(A7720,""en"",""pt"")"),"Eu amo Harry Potter.")</f>
        <v>Eu amo Harry Potter.</v>
      </c>
      <c r="B7720" s="3">
        <v>1</v>
      </c>
    </row>
    <row r="7721" ht="15.75" customHeight="1" spans="1:2">
      <c r="A7721" s="3" t="str">
        <f>IFERROR(__xludf.DUMMYFUNCTION("GOOGLETRANSLATE(A7721,""en"",""pt"")"),"Eu amo Harry Potter.")</f>
        <v>Eu amo Harry Potter.</v>
      </c>
      <c r="B7721" s="3">
        <v>1</v>
      </c>
    </row>
    <row r="7722" ht="15.75" customHeight="1" spans="1:2">
      <c r="A7722" s="3" t="str">
        <f>IFERROR(__xludf.DUMMYFUNCTION("GOOGLETRANSLATE(A7722,""en"",""pt"")"),"Vou começar a ler a série Harry Potter novamente, porque essa é uma história incrível.")</f>
        <v>Vou começar a ler a série Harry Potter novamente, porque essa é uma história incrível.</v>
      </c>
      <c r="B7722" s="3">
        <v>1</v>
      </c>
    </row>
    <row r="7723" ht="15.75" customHeight="1" spans="1:2">
      <c r="A7723" s="3" t="str">
        <f>IFERROR(__xludf.DUMMYFUNCTION("GOOGLETRANSLATE(A7723,""en"",""pt"")"),"I, também, como Harry Potter ..")</f>
        <v>I, também, como Harry Potter ..</v>
      </c>
      <c r="B7723" s="3">
        <v>1</v>
      </c>
    </row>
    <row r="7724" ht="15.75" customHeight="1" spans="1:2">
      <c r="A7724" s="3" t="str">
        <f>IFERROR(__xludf.DUMMYFUNCTION("GOOGLETRANSLATE(A7724,""en"",""pt"")"),"Quero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24" s="3">
        <v>1</v>
      </c>
    </row>
    <row r="7725" ht="15.75" customHeight="1" spans="1:2">
      <c r="A7725" s="3" t="str">
        <f>IFERROR(__xludf.DUMMYFUNCTION("GOOGLETRANSLATE(A7725,""en"",""pt"")"),"Eu amo a série Harry Potter, se você pode contar isso como ""um"" livro, também Catcher Na Tye, Jane Eyre, The Virgin Suicides, sim ...")</f>
        <v>Eu amo a série Harry Potter, se você pode contar isso como "um" livro, também Catcher Na Tye, Jane Eyre, The Virgin Suicides, sim ...</v>
      </c>
      <c r="B7725" s="3">
        <v>1</v>
      </c>
    </row>
    <row r="7726" ht="15.75" customHeight="1" spans="1:2">
      <c r="A7726" s="3" t="str">
        <f>IFERROR(__xludf.DUMMYFUNCTION("GOOGLETRANSLATE(A7726,""en"",""pt"")"),"Porque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26" s="3">
        <v>1</v>
      </c>
    </row>
    <row r="7727" ht="15.75" customHeight="1" spans="1:2">
      <c r="A7727" s="3" t="str">
        <f>IFERROR(__xludf.DUMMYFUNCTION("GOOGLETRANSLATE(A7727,""en"",""pt"")"),"a história de Harry Potter é um forte e profundo, e eu amo Harry Potter.")</f>
        <v>a história de Harry Potter é um forte e profundo, e eu amo Harry Potter.</v>
      </c>
      <c r="B7727" s="3">
        <v>1</v>
      </c>
    </row>
    <row r="7728" ht="15.75" customHeight="1" spans="1:2">
      <c r="A7728" s="3" t="str">
        <f>IFERROR(__xludf.DUMMYFUNCTION("GOOGLETRANSLATE(A7728,""en"",""pt"")"),"Harry Potter é IMPRESSIONANTE Eu não me importo se alguém disser diferente! ..")</f>
        <v>Harry Potter é IMPRESSIONANTE Eu não me importo se alguém disser diferente! ..</v>
      </c>
      <c r="B7728" s="3">
        <v>1</v>
      </c>
    </row>
    <row r="7729" ht="15.75" customHeight="1" spans="1:2">
      <c r="A7729" s="3" t="str">
        <f>IFERROR(__xludf.DUMMYFUNCTION("GOOGLETRANSLATE(A7729,""en"",""pt"")"),"Eu amo Harry Potter ..")</f>
        <v>Eu amo Harry Potter ..</v>
      </c>
      <c r="B7729" s="3">
        <v>1</v>
      </c>
    </row>
    <row r="7730" ht="15.75" customHeight="1" spans="1:2">
      <c r="A7730" s="3" t="str">
        <f>IFERROR(__xludf.DUMMYFUNCTION("GOOGLETRANSLATE(A7730,""en"",""pt"")"),"Eu amo Harry Potter.")</f>
        <v>Eu amo Harry Potter.</v>
      </c>
      <c r="B7730" s="3">
        <v>1</v>
      </c>
    </row>
    <row r="7731" ht="15.75" customHeight="1" spans="1:2">
      <c r="A7731" s="3" t="str">
        <f>IFERROR(__xludf.DUMMYFUNCTION("GOOGLETRANSLATE(A7731,""en"",""pt"")"),"Eu amo Harry Potter.")</f>
        <v>Eu amo Harry Potter.</v>
      </c>
      <c r="B7731" s="3">
        <v>1</v>
      </c>
    </row>
    <row r="7732" ht="15.75" customHeight="1" spans="1:2">
      <c r="A7732" s="3" t="str">
        <f>IFERROR(__xludf.DUMMYFUNCTION("GOOGLETRANSLATE(A7732,""en"",""pt"")"),"Vou começar a ler a série Harry Potter novamente, porque essa é uma história incrível.")</f>
        <v>Vou começar a ler a série Harry Potter novamente, porque essa é uma história incrível.</v>
      </c>
      <c r="B7732" s="3">
        <v>1</v>
      </c>
    </row>
    <row r="7733" ht="15.75" customHeight="1" spans="1:2">
      <c r="A7733" s="3" t="str">
        <f>IFERROR(__xludf.DUMMYFUNCTION("GOOGLETRANSLATE(A7733,""en"",""pt"")"),"I, também, como Harry Potter ..")</f>
        <v>I, também, como Harry Potter ..</v>
      </c>
      <c r="B7733" s="3">
        <v>1</v>
      </c>
    </row>
    <row r="7734" ht="15.75" customHeight="1" spans="1:2">
      <c r="A7734" s="3" t="str">
        <f>IFERROR(__xludf.DUMMYFUNCTION("GOOGLETRANSLATE(A7734,""en"",""pt"")"),"Quero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34" s="3">
        <v>1</v>
      </c>
    </row>
    <row r="7735" ht="15.75" customHeight="1" spans="1:2">
      <c r="A7735" s="3" t="str">
        <f>IFERROR(__xludf.DUMMYFUNCTION("GOOGLETRANSLATE(A7735,""en"",""pt"")"),"Eu amo a série Harry Potter, se você pode contar isso como ""um"" livro, também Catcher Na Tye, Jane Eyre, The Virgin Suicides, sim ...")</f>
        <v>Eu amo a série Harry Potter, se você pode contar isso como "um" livro, também Catcher Na Tye, Jane Eyre, The Virgin Suicides, sim ...</v>
      </c>
      <c r="B7735" s="3">
        <v>1</v>
      </c>
    </row>
    <row r="7736" ht="15.75" customHeight="1" spans="1:2">
      <c r="A7736" s="3" t="str">
        <f>IFERROR(__xludf.DUMMYFUNCTION("GOOGLETRANSLATE(A7736,""en"",""pt"")"),"Porque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36" s="3">
        <v>1</v>
      </c>
    </row>
    <row r="7737" ht="15.75" customHeight="1" spans="1:2">
      <c r="A7737" s="3" t="str">
        <f>IFERROR(__xludf.DUMMYFUNCTION("GOOGLETRANSLATE(A7737,""en"",""pt"")"),"a história de Harry Potter é um forte e profundo, e eu amo Harry Potter.")</f>
        <v>a história de Harry Potter é um forte e profundo, e eu amo Harry Potter.</v>
      </c>
      <c r="B7737" s="3">
        <v>1</v>
      </c>
    </row>
    <row r="7738" ht="15.75" customHeight="1" spans="1:2">
      <c r="A7738" s="3" t="str">
        <f>IFERROR(__xludf.DUMMYFUNCTION("GOOGLETRANSLATE(A7738,""en"",""pt"")"),"Harry Potter é IMPRESSIONANTE Eu não me importo se alguém disser diferente! ..")</f>
        <v>Harry Potter é IMPRESSIONANTE Eu não me importo se alguém disser diferente! ..</v>
      </c>
      <c r="B7738" s="3">
        <v>1</v>
      </c>
    </row>
    <row r="7739" ht="15.75" customHeight="1" spans="1:2">
      <c r="A7739" s="3" t="str">
        <f>IFERROR(__xludf.DUMMYFUNCTION("GOOGLETRANSLATE(A7739,""en"",""pt"")"),"Eu amo Harry Potter ..")</f>
        <v>Eu amo Harry Potter ..</v>
      </c>
      <c r="B7739" s="3">
        <v>1</v>
      </c>
    </row>
    <row r="7740" ht="15.75" customHeight="1" spans="1:2">
      <c r="A7740" s="3" t="str">
        <f>IFERROR(__xludf.DUMMYFUNCTION("GOOGLETRANSLATE(A7740,""en"",""pt"")"),"Eu amo Harry Potter.")</f>
        <v>Eu amo Harry Potter.</v>
      </c>
      <c r="B7740" s="3">
        <v>1</v>
      </c>
    </row>
    <row r="7741" ht="15.75" customHeight="1" spans="1:2">
      <c r="A7741" s="3" t="str">
        <f>IFERROR(__xludf.DUMMYFUNCTION("GOOGLETRANSLATE(A7741,""en"",""pt"")"),"Eu amo Harry Potter.")</f>
        <v>Eu amo Harry Potter.</v>
      </c>
      <c r="B7741" s="3">
        <v>1</v>
      </c>
    </row>
    <row r="7742" ht="15.75" customHeight="1" spans="1:2">
      <c r="A7742" s="3" t="str">
        <f>IFERROR(__xludf.DUMMYFUNCTION("GOOGLETRANSLATE(A7742,""en"",""pt"")"),"Vou começar a ler a série Harry Potter novamente, porque essa é uma história incrível.")</f>
        <v>Vou começar a ler a série Harry Potter novamente, porque essa é uma história incrível.</v>
      </c>
      <c r="B7742" s="3">
        <v>1</v>
      </c>
    </row>
    <row r="7743" ht="15.75" customHeight="1" spans="1:2">
      <c r="A7743" s="3" t="str">
        <f>IFERROR(__xludf.DUMMYFUNCTION("GOOGLETRANSLATE(A7743,""en"",""pt"")"),"I, também, como Harry Potter ..")</f>
        <v>I, também, como Harry Potter ..</v>
      </c>
      <c r="B7743" s="3">
        <v>1</v>
      </c>
    </row>
    <row r="7744" ht="15.75" customHeight="1" spans="1:2">
      <c r="A7744" s="3" t="str">
        <f>IFERROR(__xludf.DUMMYFUNCTION("GOOGLETRANSLATE(A7744,""en"",""pt"")"),"Quero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44" s="3">
        <v>1</v>
      </c>
    </row>
    <row r="7745" ht="15.75" customHeight="1" spans="1:2">
      <c r="A7745" s="3" t="str">
        <f>IFERROR(__xludf.DUMMYFUNCTION("GOOGLETRANSLATE(A7745,""en"",""pt"")"),"Eu amo a série Harry Potter, se você pode contar isso como ""um"" livro, também Catcher Na Tye, Jane Eyre, The Virgin Suicides, sim ...")</f>
        <v>Eu amo a série Harry Potter, se você pode contar isso como "um" livro, também Catcher Na Tye, Jane Eyre, The Virgin Suicides, sim ...</v>
      </c>
      <c r="B7745" s="3">
        <v>1</v>
      </c>
    </row>
    <row r="7746" ht="15.75" customHeight="1" spans="1:2">
      <c r="A7746" s="3" t="str">
        <f>IFERROR(__xludf.DUMMYFUNCTION("GOOGLETRANSLATE(A7746,""en"",""pt"")"),"Porque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46" s="3">
        <v>1</v>
      </c>
    </row>
    <row r="7747" ht="15.75" customHeight="1" spans="1:2">
      <c r="A7747" s="3" t="str">
        <f>IFERROR(__xludf.DUMMYFUNCTION("GOOGLETRANSLATE(A7747,""en"",""pt"")"),"a história de Harry Potter é um forte e profundo, e eu amo Harry Potter.")</f>
        <v>a história de Harry Potter é um forte e profundo, e eu amo Harry Potter.</v>
      </c>
      <c r="B7747" s="3">
        <v>1</v>
      </c>
    </row>
    <row r="7748" ht="15.75" customHeight="1" spans="1:2">
      <c r="A7748" s="3" t="str">
        <f>IFERROR(__xludf.DUMMYFUNCTION("GOOGLETRANSLATE(A7748,""en"",""pt"")"),"Harry Potter é IMPRESSIONANTE Eu não me importo se alguém disser diferente! ..")</f>
        <v>Harry Potter é IMPRESSIONANTE Eu não me importo se alguém disser diferente! ..</v>
      </c>
      <c r="B7748" s="3">
        <v>1</v>
      </c>
    </row>
    <row r="7749" ht="15.75" customHeight="1" spans="1:2">
      <c r="A7749" s="3" t="str">
        <f>IFERROR(__xludf.DUMMYFUNCTION("GOOGLETRANSLATE(A7749,""en"",""pt"")"),"Eu amo Harry Potter ..")</f>
        <v>Eu amo Harry Potter ..</v>
      </c>
      <c r="B7749" s="3">
        <v>1</v>
      </c>
    </row>
    <row r="7750" ht="15.75" customHeight="1" spans="1:2">
      <c r="A7750" s="3" t="str">
        <f>IFERROR(__xludf.DUMMYFUNCTION("GOOGLETRANSLATE(A7750,""en"",""pt"")"),"Eu amo Harry Potter.")</f>
        <v>Eu amo Harry Potter.</v>
      </c>
      <c r="B7750" s="3">
        <v>1</v>
      </c>
    </row>
    <row r="7751" ht="15.75" customHeight="1" spans="1:2">
      <c r="A7751" s="3" t="str">
        <f>IFERROR(__xludf.DUMMYFUNCTION("GOOGLETRANSLATE(A7751,""en"",""pt"")"),"Eu amo Harry Potter.")</f>
        <v>Eu amo Harry Potter.</v>
      </c>
      <c r="B7751" s="3">
        <v>1</v>
      </c>
    </row>
    <row r="7752" ht="15.75" customHeight="1" spans="1:2">
      <c r="A7752" s="3" t="str">
        <f>IFERROR(__xludf.DUMMYFUNCTION("GOOGLETRANSLATE(A7752,""en"",""pt"")"),"Vou começar a ler a série Harry Potter novamente, porque essa é uma história incrível.")</f>
        <v>Vou começar a ler a série Harry Potter novamente, porque essa é uma história incrível.</v>
      </c>
      <c r="B7752" s="3">
        <v>1</v>
      </c>
    </row>
    <row r="7753" ht="15.75" customHeight="1" spans="1:2">
      <c r="A7753" s="3" t="str">
        <f>IFERROR(__xludf.DUMMYFUNCTION("GOOGLETRANSLATE(A7753,""en"",""pt"")"),"I, também, como Harry Potter ..")</f>
        <v>I, também, como Harry Potter ..</v>
      </c>
      <c r="B7753" s="3">
        <v>1</v>
      </c>
    </row>
    <row r="7754" ht="15.75" customHeight="1" spans="1:2">
      <c r="A7754" s="3" t="str">
        <f>IFERROR(__xludf.DUMMYFUNCTION("GOOGLETRANSLATE(A7754,""en"",""pt"")"),"Quero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54" s="3">
        <v>1</v>
      </c>
    </row>
    <row r="7755" ht="15.75" customHeight="1" spans="1:2">
      <c r="A7755" s="3" t="str">
        <f>IFERROR(__xludf.DUMMYFUNCTION("GOOGLETRANSLATE(A7755,""en"",""pt"")"),"Eu amo a série Harry Potter, se você pode contar isso como ""um"" livro, também Catcher Na Tye, Jane Eyre, The Virgin Suicides, sim ...")</f>
        <v>Eu amo a série Harry Potter, se você pode contar isso como "um" livro, também Catcher Na Tye, Jane Eyre, The Virgin Suicides, sim ...</v>
      </c>
      <c r="B7755" s="3">
        <v>1</v>
      </c>
    </row>
    <row r="7756" ht="15.75" customHeight="1" spans="1:2">
      <c r="A7756" s="3" t="str">
        <f>IFERROR(__xludf.DUMMYFUNCTION("GOOGLETRANSLATE(A7756,""en"",""pt"")"),"Porque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56" s="3">
        <v>1</v>
      </c>
    </row>
    <row r="7757" ht="15.75" customHeight="1" spans="1:2">
      <c r="A7757" s="3" t="str">
        <f>IFERROR(__xludf.DUMMYFUNCTION("GOOGLETRANSLATE(A7757,""en"",""pt"")"),"a história de Harry Potter é um forte e profundo, e eu amo Harry Potter.")</f>
        <v>a história de Harry Potter é um forte e profundo, e eu amo Harry Potter.</v>
      </c>
      <c r="B7757" s="3">
        <v>1</v>
      </c>
    </row>
    <row r="7758" ht="15.75" customHeight="1" spans="1:2">
      <c r="A7758" s="3" t="str">
        <f>IFERROR(__xludf.DUMMYFUNCTION("GOOGLETRANSLATE(A7758,""en"",""pt"")"),"Harry Potter é IMPRESSIONANTE Eu não me importo se alguém disser diferente! ..")</f>
        <v>Harry Potter é IMPRESSIONANTE Eu não me importo se alguém disser diferente! ..</v>
      </c>
      <c r="B7758" s="3">
        <v>1</v>
      </c>
    </row>
    <row r="7759" ht="15.75" customHeight="1" spans="1:2">
      <c r="A7759" s="3" t="str">
        <f>IFERROR(__xludf.DUMMYFUNCTION("GOOGLETRANSLATE(A7759,""en"",""pt"")"),"Eu amo Harry Potter ..")</f>
        <v>Eu amo Harry Potter ..</v>
      </c>
      <c r="B7759" s="3">
        <v>1</v>
      </c>
    </row>
    <row r="7760" ht="15.75" customHeight="1" spans="1:2">
      <c r="A7760" s="3" t="str">
        <f>IFERROR(__xludf.DUMMYFUNCTION("GOOGLETRANSLATE(A7760,""en"",""pt"")"),"Eu amo Harry Potter.")</f>
        <v>Eu amo Harry Potter.</v>
      </c>
      <c r="B7760" s="3">
        <v>1</v>
      </c>
    </row>
    <row r="7761" ht="15.75" customHeight="1" spans="1:2">
      <c r="A7761" s="3" t="str">
        <f>IFERROR(__xludf.DUMMYFUNCTION("GOOGLETRANSLATE(A7761,""en"",""pt"")"),"Eu amo Harry Potter.")</f>
        <v>Eu amo Harry Potter.</v>
      </c>
      <c r="B7761" s="3">
        <v>1</v>
      </c>
    </row>
    <row r="7762" ht="15.75" customHeight="1" spans="1:2">
      <c r="A7762" s="3" t="str">
        <f>IFERROR(__xludf.DUMMYFUNCTION("GOOGLETRANSLATE(A7762,""en"",""pt"")"),"Vou começar a ler a série Harry Potter novamente, porque essa é uma história incrível.")</f>
        <v>Vou começar a ler a série Harry Potter novamente, porque essa é uma história incrível.</v>
      </c>
      <c r="B7762" s="3">
        <v>1</v>
      </c>
    </row>
    <row r="7763" ht="15.75" customHeight="1" spans="1:2">
      <c r="A7763" s="3" t="str">
        <f>IFERROR(__xludf.DUMMYFUNCTION("GOOGLETRANSLATE(A7763,""en"",""pt"")"),"I, também, como Harry Potter ..")</f>
        <v>I, também, como Harry Potter ..</v>
      </c>
      <c r="B7763" s="3">
        <v>1</v>
      </c>
    </row>
    <row r="7764" ht="15.75" customHeight="1" spans="1:2">
      <c r="A7764" s="3" t="str">
        <f>IFERROR(__xludf.DUMMYFUNCTION("GOOGLETRANSLATE(A7764,""en"",""pt"")"),"Quero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64" s="3">
        <v>1</v>
      </c>
    </row>
    <row r="7765" ht="15.75" customHeight="1" spans="1:2">
      <c r="A7765" s="3" t="str">
        <f>IFERROR(__xludf.DUMMYFUNCTION("GOOGLETRANSLATE(A7765,""en"",""pt"")"),"Eu amo a série Harry Potter, se você pode contar isso como ""um"" livro, também Catcher Na Tye, Jane Eyre, The Virgin Suicides, sim ...")</f>
        <v>Eu amo a série Harry Potter, se você pode contar isso como "um" livro, também Catcher Na Tye, Jane Eyre, The Virgin Suicides, sim ...</v>
      </c>
      <c r="B7765" s="3">
        <v>1</v>
      </c>
    </row>
    <row r="7766" ht="15.75" customHeight="1" spans="1:2">
      <c r="A7766" s="3" t="str">
        <f>IFERROR(__xludf.DUMMYFUNCTION("GOOGLETRANSLATE(A7766,""en"",""pt"")"),"Porque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66" s="3">
        <v>1</v>
      </c>
    </row>
    <row r="7767" ht="15.75" customHeight="1" spans="1:2">
      <c r="A7767" s="3" t="str">
        <f>IFERROR(__xludf.DUMMYFUNCTION("GOOGLETRANSLATE(A7767,""en"",""pt"")"),"a história de Harry Potter é um forte e profundo, e eu amo Harry Potter.")</f>
        <v>a história de Harry Potter é um forte e profundo, e eu amo Harry Potter.</v>
      </c>
      <c r="B7767" s="3">
        <v>1</v>
      </c>
    </row>
    <row r="7768" ht="15.75" customHeight="1" spans="1:2">
      <c r="A7768" s="3" t="str">
        <f>IFERROR(__xludf.DUMMYFUNCTION("GOOGLETRANSLATE(A7768,""en"",""pt"")"),"Harry Potter é IMPRESSIONANTE Eu não me importo se alguém disser diferente! ..")</f>
        <v>Harry Potter é IMPRESSIONANTE Eu não me importo se alguém disser diferente! ..</v>
      </c>
      <c r="B7768" s="3">
        <v>1</v>
      </c>
    </row>
    <row r="7769" ht="15.75" customHeight="1" spans="1:2">
      <c r="A7769" s="3" t="str">
        <f>IFERROR(__xludf.DUMMYFUNCTION("GOOGLETRANSLATE(A7769,""en"",""pt"")"),"Eu amo Harry Potter ..")</f>
        <v>Eu amo Harry Potter ..</v>
      </c>
      <c r="B7769" s="3">
        <v>1</v>
      </c>
    </row>
    <row r="7770" ht="15.75" customHeight="1" spans="1:2">
      <c r="A7770" s="3" t="str">
        <f>IFERROR(__xludf.DUMMYFUNCTION("GOOGLETRANSLATE(A7770,""en"",""pt"")"),"Eu amo Harry Potter.")</f>
        <v>Eu amo Harry Potter.</v>
      </c>
      <c r="B7770" s="3">
        <v>1</v>
      </c>
    </row>
    <row r="7771" ht="15.75" customHeight="1" spans="1:2">
      <c r="A7771" s="3" t="str">
        <f>IFERROR(__xludf.DUMMYFUNCTION("GOOGLETRANSLATE(A7771,""en"",""pt"")"),"Eu amo Harry Potter.")</f>
        <v>Eu amo Harry Potter.</v>
      </c>
      <c r="B7771" s="3">
        <v>1</v>
      </c>
    </row>
    <row r="7772" ht="15.75" customHeight="1" spans="1:2">
      <c r="A7772" s="3" t="str">
        <f>IFERROR(__xludf.DUMMYFUNCTION("GOOGLETRANSLATE(A7772,""en"",""pt"")"),"Vou começar a ler a série Harry Potter novamente, porque essa é uma história incrível.")</f>
        <v>Vou começar a ler a série Harry Potter novamente, porque essa é uma história incrível.</v>
      </c>
      <c r="B7772" s="3">
        <v>1</v>
      </c>
    </row>
    <row r="7773" ht="15.75" customHeight="1" spans="1:2">
      <c r="A7773" s="3" t="str">
        <f>IFERROR(__xludf.DUMMYFUNCTION("GOOGLETRANSLATE(A7773,""en"",""pt"")"),"I, também, como Harry Potter ..")</f>
        <v>I, também, como Harry Potter ..</v>
      </c>
      <c r="B7773" s="3">
        <v>1</v>
      </c>
    </row>
    <row r="7774" ht="15.75" customHeight="1" spans="1:2">
      <c r="A7774" s="3" t="str">
        <f>IFERROR(__xludf.DUMMYFUNCTION("GOOGLETRANSLATE(A7774,""en"",""pt"")"),"Quero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74" s="3">
        <v>1</v>
      </c>
    </row>
    <row r="7775" ht="15.75" customHeight="1" spans="1:2">
      <c r="A7775" s="3" t="str">
        <f>IFERROR(__xludf.DUMMYFUNCTION("GOOGLETRANSLATE(A7775,""en"",""pt"")"),"Eu amo a série Harry Potter, se você pode contar isso como ""um"" livro, também Catcher Na Tye, Jane Eyre, The Virgin Suicides, sim ...")</f>
        <v>Eu amo a série Harry Potter, se você pode contar isso como "um" livro, também Catcher Na Tye, Jane Eyre, The Virgin Suicides, sim ...</v>
      </c>
      <c r="B7775" s="3">
        <v>1</v>
      </c>
    </row>
    <row r="7776" ht="15.75" customHeight="1" spans="1:2">
      <c r="A7776" s="3" t="str">
        <f>IFERROR(__xludf.DUMMYFUNCTION("GOOGLETRANSLATE(A7776,""en"",""pt"")"),"Porque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76" s="3">
        <v>1</v>
      </c>
    </row>
    <row r="7777" ht="15.75" customHeight="1" spans="1:2">
      <c r="A7777" s="3" t="str">
        <f>IFERROR(__xludf.DUMMYFUNCTION("GOOGLETRANSLATE(A7777,""en"",""pt"")"),"a história de Harry Potter é um forte e profundo, e eu amo Harry Potter.")</f>
        <v>a história de Harry Potter é um forte e profundo, e eu amo Harry Potter.</v>
      </c>
      <c r="B7777" s="3">
        <v>1</v>
      </c>
    </row>
    <row r="7778" ht="15.75" customHeight="1" spans="1:2">
      <c r="A7778" s="3" t="str">
        <f>IFERROR(__xludf.DUMMYFUNCTION("GOOGLETRANSLATE(A7778,""en"",""pt"")"),"Harry Potter é IMPRESSIONANTE Eu não me importo se alguém disser diferente! ..")</f>
        <v>Harry Potter é IMPRESSIONANTE Eu não me importo se alguém disser diferente! ..</v>
      </c>
      <c r="B7778" s="3">
        <v>1</v>
      </c>
    </row>
    <row r="7779" ht="15.75" customHeight="1" spans="1:2">
      <c r="A7779" s="3" t="str">
        <f>IFERROR(__xludf.DUMMYFUNCTION("GOOGLETRANSLATE(A7779,""en"",""pt"")"),"Eu amo Harry Potter ..")</f>
        <v>Eu amo Harry Potter ..</v>
      </c>
      <c r="B7779" s="3">
        <v>1</v>
      </c>
    </row>
    <row r="7780" ht="15.75" customHeight="1" spans="1:2">
      <c r="A7780" s="3" t="str">
        <f>IFERROR(__xludf.DUMMYFUNCTION("GOOGLETRANSLATE(A7780,""en"",""pt"")"),"Eu amo Harry Potter.")</f>
        <v>Eu amo Harry Potter.</v>
      </c>
      <c r="B7780" s="3">
        <v>1</v>
      </c>
    </row>
    <row r="7781" ht="15.75" customHeight="1" spans="1:2">
      <c r="A7781" s="3" t="str">
        <f>IFERROR(__xludf.DUMMYFUNCTION("GOOGLETRANSLATE(A7781,""en"",""pt"")"),"Eu amo Harry Potter.")</f>
        <v>Eu amo Harry Potter.</v>
      </c>
      <c r="B7781" s="3">
        <v>1</v>
      </c>
    </row>
    <row r="7782" ht="15.75" customHeight="1" spans="1:2">
      <c r="A7782" s="3" t="str">
        <f>IFERROR(__xludf.DUMMYFUNCTION("GOOGLETRANSLATE(A7782,""en"",""pt"")"),"Vou começar a ler a série Harry Potter novamente, porque essa é uma história incrível.")</f>
        <v>Vou começar a ler a série Harry Potter novamente, porque essa é uma história incrível.</v>
      </c>
      <c r="B7782" s="3">
        <v>1</v>
      </c>
    </row>
    <row r="7783" ht="15.75" customHeight="1" spans="1:2">
      <c r="A7783" s="3" t="str">
        <f>IFERROR(__xludf.DUMMYFUNCTION("GOOGLETRANSLATE(A7783,""en"",""pt"")"),"I, também, como Harry Potter ..")</f>
        <v>I, também, como Harry Potter ..</v>
      </c>
      <c r="B7783" s="3">
        <v>1</v>
      </c>
    </row>
    <row r="7784" ht="15.75" customHeight="1" spans="1:2">
      <c r="A7784" s="3" t="str">
        <f>IFERROR(__xludf.DUMMYFUNCTION("GOOGLETRANSLATE(A7784,""en"",""pt"")"),"Quero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84" s="3">
        <v>1</v>
      </c>
    </row>
    <row r="7785" ht="15.75" customHeight="1" spans="1:2">
      <c r="A7785" s="3" t="str">
        <f>IFERROR(__xludf.DUMMYFUNCTION("GOOGLETRANSLATE(A7785,""en"",""pt"")"),"Eu amo a série Harry Potter, se você pode contar isso como ""um"" livro, também Catcher Na Tye, Jane Eyre, The Virgin Suicides, sim ...")</f>
        <v>Eu amo a série Harry Potter, se você pode contar isso como "um" livro, também Catcher Na Tye, Jane Eyre, The Virgin Suicides, sim ...</v>
      </c>
      <c r="B7785" s="3">
        <v>1</v>
      </c>
    </row>
    <row r="7786" ht="15.75" customHeight="1" spans="1:2">
      <c r="A7786" s="3" t="str">
        <f>IFERROR(__xludf.DUMMYFUNCTION("GOOGLETRANSLATE(A7786,""en"",""pt"")"),"Porque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86" s="3">
        <v>1</v>
      </c>
    </row>
    <row r="7787" ht="15.75" customHeight="1" spans="1:2">
      <c r="A7787" s="3" t="str">
        <f>IFERROR(__xludf.DUMMYFUNCTION("GOOGLETRANSLATE(A7787,""en"",""pt"")"),"a história de Harry Potter é um forte e profundo, e eu amo Harry Potter.")</f>
        <v>a história de Harry Potter é um forte e profundo, e eu amo Harry Potter.</v>
      </c>
      <c r="B7787" s="3">
        <v>1</v>
      </c>
    </row>
    <row r="7788" ht="15.75" customHeight="1" spans="1:2">
      <c r="A7788" s="3" t="str">
        <f>IFERROR(__xludf.DUMMYFUNCTION("GOOGLETRANSLATE(A7788,""en"",""pt"")"),"Harry Potter é IMPRESSIONANTE Eu não me importo se alguém disser diferente! ..")</f>
        <v>Harry Potter é IMPRESSIONANTE Eu não me importo se alguém disser diferente! ..</v>
      </c>
      <c r="B7788" s="3">
        <v>1</v>
      </c>
    </row>
    <row r="7789" ht="15.75" customHeight="1" spans="1:2">
      <c r="A7789" s="3" t="str">
        <f>IFERROR(__xludf.DUMMYFUNCTION("GOOGLETRANSLATE(A7789,""en"",""pt"")"),"Eu amo Harry Potter ..")</f>
        <v>Eu amo Harry Potter ..</v>
      </c>
      <c r="B7789" s="3">
        <v>1</v>
      </c>
    </row>
    <row r="7790" ht="15.75" customHeight="1" spans="1:2">
      <c r="A7790" s="3" t="str">
        <f>IFERROR(__xludf.DUMMYFUNCTION("GOOGLETRANSLATE(A7790,""en"",""pt"")"),"Eu amo Harry Potter.")</f>
        <v>Eu amo Harry Potter.</v>
      </c>
      <c r="B7790" s="3">
        <v>1</v>
      </c>
    </row>
    <row r="7791" ht="15.75" customHeight="1" spans="1:2">
      <c r="A7791" s="3" t="str">
        <f>IFERROR(__xludf.DUMMYFUNCTION("GOOGLETRANSLATE(A7791,""en"",""pt"")"),"Eu amo Harry Potter.")</f>
        <v>Eu amo Harry Potter.</v>
      </c>
      <c r="B7791" s="3">
        <v>1</v>
      </c>
    </row>
    <row r="7792" ht="15.75" customHeight="1" spans="1:2">
      <c r="A7792" s="3" t="str">
        <f>IFERROR(__xludf.DUMMYFUNCTION("GOOGLETRANSLATE(A7792,""en"",""pt"")"),"Vou começar a ler a série Harry Potter novamente, porque essa é uma história incrível.")</f>
        <v>Vou começar a ler a série Harry Potter novamente, porque essa é uma história incrível.</v>
      </c>
      <c r="B7792" s="3">
        <v>1</v>
      </c>
    </row>
    <row r="7793" ht="15.75" customHeight="1" spans="1:2">
      <c r="A7793" s="3" t="str">
        <f>IFERROR(__xludf.DUMMYFUNCTION("GOOGLETRANSLATE(A7793,""en"",""pt"")"),"I, também, como Harry Potter ..")</f>
        <v>I, também, como Harry Potter ..</v>
      </c>
      <c r="B7793" s="3">
        <v>1</v>
      </c>
    </row>
    <row r="7794" ht="15.75" customHeight="1" spans="1:2">
      <c r="A7794" s="3" t="str">
        <f>IFERROR(__xludf.DUMMYFUNCTION("GOOGLETRANSLATE(A7794,""en"",""pt"")"),"Quero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794" s="3">
        <v>1</v>
      </c>
    </row>
    <row r="7795" ht="15.75" customHeight="1" spans="1:2">
      <c r="A7795" s="3" t="str">
        <f>IFERROR(__xludf.DUMMYFUNCTION("GOOGLETRANSLATE(A7795,""en"",""pt"")"),"Eu amo a série Harry Potter, se você pode contar isso como ""um"" livro, também Catcher Na Tye, Jane Eyre, The Virgin Suicides, sim ...")</f>
        <v>Eu amo a série Harry Potter, se você pode contar isso como "um" livro, também Catcher Na Tye, Jane Eyre, The Virgin Suicides, sim ...</v>
      </c>
      <c r="B7795" s="3">
        <v>1</v>
      </c>
    </row>
    <row r="7796" ht="15.75" customHeight="1" spans="1:2">
      <c r="A7796" s="3" t="str">
        <f>IFERROR(__xludf.DUMMYFUNCTION("GOOGLETRANSLATE(A7796,""en"",""pt"")"),"Porque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796" s="3">
        <v>1</v>
      </c>
    </row>
    <row r="7797" ht="15.75" customHeight="1" spans="1:2">
      <c r="A7797" s="3" t="str">
        <f>IFERROR(__xludf.DUMMYFUNCTION("GOOGLETRANSLATE(A7797,""en"",""pt"")"),"a história de Harry Potter é um forte e profundo, e eu amo Harry Potter.")</f>
        <v>a história de Harry Potter é um forte e profundo, e eu amo Harry Potter.</v>
      </c>
      <c r="B7797" s="3">
        <v>1</v>
      </c>
    </row>
    <row r="7798" ht="15.75" customHeight="1" spans="1:2">
      <c r="A7798" s="3" t="str">
        <f>IFERROR(__xludf.DUMMYFUNCTION("GOOGLETRANSLATE(A7798,""en"",""pt"")"),"Harry Potter é IMPRESSIONANTE Eu não me importo se alguém disser diferente! ..")</f>
        <v>Harry Potter é IMPRESSIONANTE Eu não me importo se alguém disser diferente! ..</v>
      </c>
      <c r="B7798" s="3">
        <v>1</v>
      </c>
    </row>
    <row r="7799" ht="15.75" customHeight="1" spans="1:2">
      <c r="A7799" s="3" t="str">
        <f>IFERROR(__xludf.DUMMYFUNCTION("GOOGLETRANSLATE(A7799,""en"",""pt"")"),"Eu amo Harry Potter ..")</f>
        <v>Eu amo Harry Potter ..</v>
      </c>
      <c r="B7799" s="3">
        <v>1</v>
      </c>
    </row>
    <row r="7800" ht="15.75" customHeight="1" spans="1:2">
      <c r="A7800" s="3" t="str">
        <f>IFERROR(__xludf.DUMMYFUNCTION("GOOGLETRANSLATE(A7800,""en"",""pt"")"),"Eu amo Harry Potter.")</f>
        <v>Eu amo Harry Potter.</v>
      </c>
      <c r="B7800" s="3">
        <v>1</v>
      </c>
    </row>
    <row r="7801" ht="15.75" customHeight="1" spans="1:2">
      <c r="A7801" s="3" t="str">
        <f>IFERROR(__xludf.DUMMYFUNCTION("GOOGLETRANSLATE(A7801,""en"",""pt"")"),"Eu amo Harry Potter.")</f>
        <v>Eu amo Harry Potter.</v>
      </c>
      <c r="B7801" s="3">
        <v>1</v>
      </c>
    </row>
    <row r="7802" ht="15.75" customHeight="1" spans="1:2">
      <c r="A7802" s="3" t="str">
        <f>IFERROR(__xludf.DUMMYFUNCTION("GOOGLETRANSLATE(A7802,""en"",""pt"")"),"Vou começar a ler a série Harry Potter novamente, porque essa é uma história incrível.")</f>
        <v>Vou começar a ler a série Harry Potter novamente, porque essa é uma história incrível.</v>
      </c>
      <c r="B7802" s="3">
        <v>1</v>
      </c>
    </row>
    <row r="7803" ht="15.75" customHeight="1" spans="1:2">
      <c r="A7803" s="3" t="str">
        <f>IFERROR(__xludf.DUMMYFUNCTION("GOOGLETRANSLATE(A7803,""en"",""pt"")"),"I, também, como Harry Potter ..")</f>
        <v>I, também, como Harry Potter ..</v>
      </c>
      <c r="B7803" s="3">
        <v>1</v>
      </c>
    </row>
    <row r="7804" ht="15.75" customHeight="1" spans="1:2">
      <c r="A7804" s="3" t="str">
        <f>IFERROR(__xludf.DUMMYFUNCTION("GOOGLETRANSLATE(A7804,""en"",""pt"")"),"Quero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04" s="3">
        <v>1</v>
      </c>
    </row>
    <row r="7805" ht="15.75" customHeight="1" spans="1:2">
      <c r="A7805" s="3" t="str">
        <f>IFERROR(__xludf.DUMMYFUNCTION("GOOGLETRANSLATE(A7805,""en"",""pt"")"),"Eu amo a série Harry Potter, se você pode contar isso como ""um"" livro, também Catcher Na Tye, Jane Eyre, The Virgin Suicides, sim ...")</f>
        <v>Eu amo a série Harry Potter, se você pode contar isso como "um" livro, também Catcher Na Tye, Jane Eyre, The Virgin Suicides, sim ...</v>
      </c>
      <c r="B7805" s="3">
        <v>1</v>
      </c>
    </row>
    <row r="7806" ht="15.75" customHeight="1" spans="1:2">
      <c r="A7806" s="3" t="str">
        <f>IFERROR(__xludf.DUMMYFUNCTION("GOOGLETRANSLATE(A7806,""en"",""pt"")"),"Porque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06" s="3">
        <v>1</v>
      </c>
    </row>
    <row r="7807" ht="15.75" customHeight="1" spans="1:2">
      <c r="A7807" s="3" t="str">
        <f>IFERROR(__xludf.DUMMYFUNCTION("GOOGLETRANSLATE(A7807,""en"",""pt"")"),"a história de Harry Potter é um forte e profundo, e eu amo Harry Potter.")</f>
        <v>a história de Harry Potter é um forte e profundo, e eu amo Harry Potter.</v>
      </c>
      <c r="B7807" s="3">
        <v>1</v>
      </c>
    </row>
    <row r="7808" ht="15.75" customHeight="1" spans="1:2">
      <c r="A7808" s="3" t="str">
        <f>IFERROR(__xludf.DUMMYFUNCTION("GOOGLETRANSLATE(A7808,""en"",""pt"")"),"Harry Potter é IMPRESSIONANTE Eu não me importo se alguém disser diferente! ..")</f>
        <v>Harry Potter é IMPRESSIONANTE Eu não me importo se alguém disser diferente! ..</v>
      </c>
      <c r="B7808" s="3">
        <v>1</v>
      </c>
    </row>
    <row r="7809" ht="15.75" customHeight="1" spans="1:2">
      <c r="A7809" s="3" t="str">
        <f>IFERROR(__xludf.DUMMYFUNCTION("GOOGLETRANSLATE(A7809,""en"",""pt"")"),"Eu amo Harry Potter ..")</f>
        <v>Eu amo Harry Potter ..</v>
      </c>
      <c r="B7809" s="3">
        <v>1</v>
      </c>
    </row>
    <row r="7810" ht="15.75" customHeight="1" spans="1:2">
      <c r="A7810" s="3" t="str">
        <f>IFERROR(__xludf.DUMMYFUNCTION("GOOGLETRANSLATE(A7810,""en"",""pt"")"),"Eu amo Harry Potter.")</f>
        <v>Eu amo Harry Potter.</v>
      </c>
      <c r="B7810" s="3">
        <v>1</v>
      </c>
    </row>
    <row r="7811" ht="15.75" customHeight="1" spans="1:2">
      <c r="A7811" s="3" t="str">
        <f>IFERROR(__xludf.DUMMYFUNCTION("GOOGLETRANSLATE(A7811,""en"",""pt"")"),"Eu amo Harry Potter.")</f>
        <v>Eu amo Harry Potter.</v>
      </c>
      <c r="B7811" s="3">
        <v>1</v>
      </c>
    </row>
    <row r="7812" ht="15.75" customHeight="1" spans="1:2">
      <c r="A7812" s="3" t="str">
        <f>IFERROR(__xludf.DUMMYFUNCTION("GOOGLETRANSLATE(A7812,""en"",""pt"")"),"Vou começar a ler a série Harry Potter novamente, porque essa é uma história incrível.")</f>
        <v>Vou começar a ler a série Harry Potter novamente, porque essa é uma história incrível.</v>
      </c>
      <c r="B7812" s="3">
        <v>1</v>
      </c>
    </row>
    <row r="7813" ht="15.75" customHeight="1" spans="1:2">
      <c r="A7813" s="3" t="str">
        <f>IFERROR(__xludf.DUMMYFUNCTION("GOOGLETRANSLATE(A7813,""en"",""pt"")"),"I, também, como Harry Potter ..")</f>
        <v>I, também, como Harry Potter ..</v>
      </c>
      <c r="B7813" s="3">
        <v>1</v>
      </c>
    </row>
    <row r="7814" ht="15.75" customHeight="1" spans="1:2">
      <c r="A7814" s="3" t="str">
        <f>IFERROR(__xludf.DUMMYFUNCTION("GOOGLETRANSLATE(A7814,""en"",""pt"")"),"Quero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14" s="3">
        <v>1</v>
      </c>
    </row>
    <row r="7815" ht="15.75" customHeight="1" spans="1:2">
      <c r="A7815" s="3" t="str">
        <f>IFERROR(__xludf.DUMMYFUNCTION("GOOGLETRANSLATE(A7815,""en"",""pt"")"),"Eu amo a série Harry Potter, se você pode contar isso como ""um"" livro, também Catcher Na Tye, Jane Eyre, The Virgin Suicides, sim ...")</f>
        <v>Eu amo a série Harry Potter, se você pode contar isso como "um" livro, também Catcher Na Tye, Jane Eyre, The Virgin Suicides, sim ...</v>
      </c>
      <c r="B7815" s="3">
        <v>1</v>
      </c>
    </row>
    <row r="7816" ht="15.75" customHeight="1" spans="1:2">
      <c r="A7816" s="3" t="str">
        <f>IFERROR(__xludf.DUMMYFUNCTION("GOOGLETRANSLATE(A7816,""en"",""pt"")"),"Porque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16" s="3">
        <v>1</v>
      </c>
    </row>
    <row r="7817" ht="15.75" customHeight="1" spans="1:2">
      <c r="A7817" s="3" t="str">
        <f>IFERROR(__xludf.DUMMYFUNCTION("GOOGLETRANSLATE(A7817,""en"",""pt"")"),"a história de Harry Potter é um forte e profundo, e eu amo Harry Potter.")</f>
        <v>a história de Harry Potter é um forte e profundo, e eu amo Harry Potter.</v>
      </c>
      <c r="B7817" s="3">
        <v>1</v>
      </c>
    </row>
    <row r="7818" ht="15.75" customHeight="1" spans="1:2">
      <c r="A7818" s="3" t="str">
        <f>IFERROR(__xludf.DUMMYFUNCTION("GOOGLETRANSLATE(A7818,""en"",""pt"")"),"Harry Potter é IMPRESSIONANTE Eu não me importo se alguém disser diferente! ..")</f>
        <v>Harry Potter é IMPRESSIONANTE Eu não me importo se alguém disser diferente! ..</v>
      </c>
      <c r="B7818" s="3">
        <v>1</v>
      </c>
    </row>
    <row r="7819" ht="15.75" customHeight="1" spans="1:2">
      <c r="A7819" s="3" t="str">
        <f>IFERROR(__xludf.DUMMYFUNCTION("GOOGLETRANSLATE(A7819,""en"",""pt"")"),"Eu amo Harry Potter ..")</f>
        <v>Eu amo Harry Potter ..</v>
      </c>
      <c r="B7819" s="3">
        <v>1</v>
      </c>
    </row>
    <row r="7820" ht="15.75" customHeight="1" spans="1:2">
      <c r="A7820" s="3" t="str">
        <f>IFERROR(__xludf.DUMMYFUNCTION("GOOGLETRANSLATE(A7820,""en"",""pt"")"),"Eu amo Harry Potter.")</f>
        <v>Eu amo Harry Potter.</v>
      </c>
      <c r="B7820" s="3">
        <v>1</v>
      </c>
    </row>
    <row r="7821" ht="15.75" customHeight="1" spans="1:2">
      <c r="A7821" s="3" t="str">
        <f>IFERROR(__xludf.DUMMYFUNCTION("GOOGLETRANSLATE(A7821,""en"",""pt"")"),"Eu amo Harry Potter.")</f>
        <v>Eu amo Harry Potter.</v>
      </c>
      <c r="B7821" s="3">
        <v>1</v>
      </c>
    </row>
    <row r="7822" ht="15.75" customHeight="1" spans="1:2">
      <c r="A7822" s="3" t="str">
        <f>IFERROR(__xludf.DUMMYFUNCTION("GOOGLETRANSLATE(A7822,""en"",""pt"")"),"Vou começar a ler a série Harry Potter novamente, porque essa é uma história incrível.")</f>
        <v>Vou começar a ler a série Harry Potter novamente, porque essa é uma história incrível.</v>
      </c>
      <c r="B7822" s="3">
        <v>1</v>
      </c>
    </row>
    <row r="7823" ht="15.75" customHeight="1" spans="1:2">
      <c r="A7823" s="3" t="str">
        <f>IFERROR(__xludf.DUMMYFUNCTION("GOOGLETRANSLATE(A7823,""en"",""pt"")"),"I, também, como Harry Potter ..")</f>
        <v>I, também, como Harry Potter ..</v>
      </c>
      <c r="B7823" s="3">
        <v>1</v>
      </c>
    </row>
    <row r="7824" ht="15.75" customHeight="1" spans="1:2">
      <c r="A7824" s="3" t="str">
        <f>IFERROR(__xludf.DUMMYFUNCTION("GOOGLETRANSLATE(A7824,""en"",""pt"")"),"Quero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24" s="3">
        <v>1</v>
      </c>
    </row>
    <row r="7825" ht="15.75" customHeight="1" spans="1:2">
      <c r="A7825" s="3" t="str">
        <f>IFERROR(__xludf.DUMMYFUNCTION("GOOGLETRANSLATE(A7825,""en"",""pt"")"),"Eu amo a série Harry Potter, se você pode contar isso como ""um"" livro, também Catcher Na Tye, Jane Eyre, The Virgin Suicides, sim ...")</f>
        <v>Eu amo a série Harry Potter, se você pode contar isso como "um" livro, também Catcher Na Tye, Jane Eyre, The Virgin Suicides, sim ...</v>
      </c>
      <c r="B7825" s="3">
        <v>1</v>
      </c>
    </row>
    <row r="7826" ht="15.75" customHeight="1" spans="1:2">
      <c r="A7826" s="3" t="str">
        <f>IFERROR(__xludf.DUMMYFUNCTION("GOOGLETRANSLATE(A7826,""en"",""pt"")"),"Porque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26" s="3">
        <v>1</v>
      </c>
    </row>
    <row r="7827" ht="15.75" customHeight="1" spans="1:2">
      <c r="A7827" s="3" t="str">
        <f>IFERROR(__xludf.DUMMYFUNCTION("GOOGLETRANSLATE(A7827,""en"",""pt"")"),"a história de Harry Potter é um forte e profundo, e eu amo Harry Potter.")</f>
        <v>a história de Harry Potter é um forte e profundo, e eu amo Harry Potter.</v>
      </c>
      <c r="B7827" s="3">
        <v>1</v>
      </c>
    </row>
    <row r="7828" ht="15.75" customHeight="1" spans="1:2">
      <c r="A7828" s="3" t="str">
        <f>IFERROR(__xludf.DUMMYFUNCTION("GOOGLETRANSLATE(A7828,""en"",""pt"")"),"Harry Potter é IMPRESSIONANTE Eu não me importo se alguém disser diferente! ..")</f>
        <v>Harry Potter é IMPRESSIONANTE Eu não me importo se alguém disser diferente! ..</v>
      </c>
      <c r="B7828" s="3">
        <v>1</v>
      </c>
    </row>
    <row r="7829" ht="15.75" customHeight="1" spans="1:2">
      <c r="A7829" s="3" t="str">
        <f>IFERROR(__xludf.DUMMYFUNCTION("GOOGLETRANSLATE(A7829,""en"",""pt"")"),"Eu amo Harry Potter ..")</f>
        <v>Eu amo Harry Potter ..</v>
      </c>
      <c r="B7829" s="3">
        <v>1</v>
      </c>
    </row>
    <row r="7830" ht="15.75" customHeight="1" spans="1:2">
      <c r="A7830" s="3" t="str">
        <f>IFERROR(__xludf.DUMMYFUNCTION("GOOGLETRANSLATE(A7830,""en"",""pt"")"),"Eu amo Harry Potter.")</f>
        <v>Eu amo Harry Potter.</v>
      </c>
      <c r="B7830" s="3">
        <v>1</v>
      </c>
    </row>
    <row r="7831" ht="15.75" customHeight="1" spans="1:2">
      <c r="A7831" s="3" t="str">
        <f>IFERROR(__xludf.DUMMYFUNCTION("GOOGLETRANSLATE(A7831,""en"",""pt"")"),"Eu amo Harry Potter.")</f>
        <v>Eu amo Harry Potter.</v>
      </c>
      <c r="B7831" s="3">
        <v>1</v>
      </c>
    </row>
    <row r="7832" ht="15.75" customHeight="1" spans="1:2">
      <c r="A7832" s="3" t="str">
        <f>IFERROR(__xludf.DUMMYFUNCTION("GOOGLETRANSLATE(A7832,""en"",""pt"")"),"Vou começar a ler a série Harry Potter novamente, porque essa é uma história incrível.")</f>
        <v>Vou começar a ler a série Harry Potter novamente, porque essa é uma história incrível.</v>
      </c>
      <c r="B7832" s="3">
        <v>1</v>
      </c>
    </row>
    <row r="7833" ht="15.75" customHeight="1" spans="1:2">
      <c r="A7833" s="3" t="str">
        <f>IFERROR(__xludf.DUMMYFUNCTION("GOOGLETRANSLATE(A7833,""en"",""pt"")"),"I, também, como Harry Potter ..")</f>
        <v>I, também, como Harry Potter ..</v>
      </c>
      <c r="B7833" s="3">
        <v>1</v>
      </c>
    </row>
    <row r="7834" ht="15.75" customHeight="1" spans="1:2">
      <c r="A7834" s="3" t="str">
        <f>IFERROR(__xludf.DUMMYFUNCTION("GOOGLETRANSLATE(A7834,""en"",""pt"")"),"Quero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34" s="3">
        <v>1</v>
      </c>
    </row>
    <row r="7835" ht="15.75" customHeight="1" spans="1:2">
      <c r="A7835" s="3" t="str">
        <f>IFERROR(__xludf.DUMMYFUNCTION("GOOGLETRANSLATE(A7835,""en"",""pt"")"),"Eu amo a série Harry Potter, se você pode contar isso como ""um"" livro, também Catcher Na Tye, Jane Eyre, The Virgin Suicides, sim ...")</f>
        <v>Eu amo a série Harry Potter, se você pode contar isso como "um" livro, também Catcher Na Tye, Jane Eyre, The Virgin Suicides, sim ...</v>
      </c>
      <c r="B7835" s="3">
        <v>1</v>
      </c>
    </row>
    <row r="7836" ht="15.75" customHeight="1" spans="1:2">
      <c r="A7836" s="3" t="str">
        <f>IFERROR(__xludf.DUMMYFUNCTION("GOOGLETRANSLATE(A7836,""en"",""pt"")"),"Porque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36" s="3">
        <v>1</v>
      </c>
    </row>
    <row r="7837" ht="15.75" customHeight="1" spans="1:2">
      <c r="A7837" s="3" t="str">
        <f>IFERROR(__xludf.DUMMYFUNCTION("GOOGLETRANSLATE(A7837,""en"",""pt"")"),"a história de Harry Potter é um forte e profundo, e eu amo Harry Potter.")</f>
        <v>a história de Harry Potter é um forte e profundo, e eu amo Harry Potter.</v>
      </c>
      <c r="B7837" s="3">
        <v>1</v>
      </c>
    </row>
    <row r="7838" ht="15.75" customHeight="1" spans="1:2">
      <c r="A7838" s="3" t="str">
        <f>IFERROR(__xludf.DUMMYFUNCTION("GOOGLETRANSLATE(A7838,""en"",""pt"")"),"Harry Potter é IMPRESSIONANTE Eu não me importo se alguém disser diferente! ..")</f>
        <v>Harry Potter é IMPRESSIONANTE Eu não me importo se alguém disser diferente! ..</v>
      </c>
      <c r="B7838" s="3">
        <v>1</v>
      </c>
    </row>
    <row r="7839" ht="15.75" customHeight="1" spans="1:2">
      <c r="A7839" s="3" t="str">
        <f>IFERROR(__xludf.DUMMYFUNCTION("GOOGLETRANSLATE(A7839,""en"",""pt"")"),"Eu amo Harry Potter ..")</f>
        <v>Eu amo Harry Potter ..</v>
      </c>
      <c r="B7839" s="3">
        <v>1</v>
      </c>
    </row>
    <row r="7840" ht="15.75" customHeight="1" spans="1:2">
      <c r="A7840" s="3" t="str">
        <f>IFERROR(__xludf.DUMMYFUNCTION("GOOGLETRANSLATE(A7840,""en"",""pt"")"),"Eu amo Harry Potter.")</f>
        <v>Eu amo Harry Potter.</v>
      </c>
      <c r="B7840" s="3">
        <v>1</v>
      </c>
    </row>
    <row r="7841" ht="15.75" customHeight="1" spans="1:2">
      <c r="A7841" s="3" t="str">
        <f>IFERROR(__xludf.DUMMYFUNCTION("GOOGLETRANSLATE(A7841,""en"",""pt"")"),"Eu amo Harry Potter.")</f>
        <v>Eu amo Harry Potter.</v>
      </c>
      <c r="B7841" s="3">
        <v>1</v>
      </c>
    </row>
    <row r="7842" ht="15.75" customHeight="1" spans="1:2">
      <c r="A7842" s="3" t="str">
        <f>IFERROR(__xludf.DUMMYFUNCTION("GOOGLETRANSLATE(A7842,""en"",""pt"")"),"Vou começar a ler a série Harry Potter novamente, porque essa é uma história incrível.")</f>
        <v>Vou começar a ler a série Harry Potter novamente, porque essa é uma história incrível.</v>
      </c>
      <c r="B7842" s="3">
        <v>1</v>
      </c>
    </row>
    <row r="7843" ht="15.75" customHeight="1" spans="1:2">
      <c r="A7843" s="3" t="str">
        <f>IFERROR(__xludf.DUMMYFUNCTION("GOOGLETRANSLATE(A7843,""en"",""pt"")"),"I, também, como Harry Potter ..")</f>
        <v>I, também, como Harry Potter ..</v>
      </c>
      <c r="B7843" s="3">
        <v>1</v>
      </c>
    </row>
    <row r="7844" ht="15.75" customHeight="1" spans="1:2">
      <c r="A7844" s="3" t="str">
        <f>IFERROR(__xludf.DUMMYFUNCTION("GOOGLETRANSLATE(A7844,""en"",""pt"")"),"Quero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44" s="3">
        <v>1</v>
      </c>
    </row>
    <row r="7845" ht="15.75" customHeight="1" spans="1:2">
      <c r="A7845" s="3" t="str">
        <f>IFERROR(__xludf.DUMMYFUNCTION("GOOGLETRANSLATE(A7845,""en"",""pt"")"),"Eu amo a série Harry Potter, se você pode contar isso como ""um"" livro, também Catcher Na Tye, Jane Eyre, The Virgin Suicides, sim ...")</f>
        <v>Eu amo a série Harry Potter, se você pode contar isso como "um" livro, também Catcher Na Tye, Jane Eyre, The Virgin Suicides, sim ...</v>
      </c>
      <c r="B7845" s="3">
        <v>1</v>
      </c>
    </row>
    <row r="7846" ht="15.75" customHeight="1" spans="1:2">
      <c r="A7846" s="3" t="str">
        <f>IFERROR(__xludf.DUMMYFUNCTION("GOOGLETRANSLATE(A7846,""en"",""pt"")"),"Porque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46" s="3">
        <v>1</v>
      </c>
    </row>
    <row r="7847" ht="15.75" customHeight="1" spans="1:2">
      <c r="A7847" s="3" t="str">
        <f>IFERROR(__xludf.DUMMYFUNCTION("GOOGLETRANSLATE(A7847,""en"",""pt"")"),"a história de Harry Potter é um forte e profundo, e eu amo Harry Potter.")</f>
        <v>a história de Harry Potter é um forte e profundo, e eu amo Harry Potter.</v>
      </c>
      <c r="B7847" s="3">
        <v>1</v>
      </c>
    </row>
    <row r="7848" ht="15.75" customHeight="1" spans="1:2">
      <c r="A7848" s="3" t="str">
        <f>IFERROR(__xludf.DUMMYFUNCTION("GOOGLETRANSLATE(A7848,""en"",""pt"")"),"Harry Potter é IMPRESSIONANTE Eu não me importo se alguém disser diferente! ..")</f>
        <v>Harry Potter é IMPRESSIONANTE Eu não me importo se alguém disser diferente! ..</v>
      </c>
      <c r="B7848" s="3">
        <v>1</v>
      </c>
    </row>
    <row r="7849" ht="15.75" customHeight="1" spans="1:2">
      <c r="A7849" s="3" t="str">
        <f>IFERROR(__xludf.DUMMYFUNCTION("GOOGLETRANSLATE(A7849,""en"",""pt"")"),"Eu amo Harry Potter ..")</f>
        <v>Eu amo Harry Potter ..</v>
      </c>
      <c r="B7849" s="3">
        <v>1</v>
      </c>
    </row>
    <row r="7850" ht="15.75" customHeight="1" spans="1:2">
      <c r="A7850" s="3" t="str">
        <f>IFERROR(__xludf.DUMMYFUNCTION("GOOGLETRANSLATE(A7850,""en"",""pt"")"),"Eu amo Harry Potter.")</f>
        <v>Eu amo Harry Potter.</v>
      </c>
      <c r="B7850" s="3">
        <v>1</v>
      </c>
    </row>
    <row r="7851" ht="15.75" customHeight="1" spans="1:2">
      <c r="A7851" s="3" t="str">
        <f>IFERROR(__xludf.DUMMYFUNCTION("GOOGLETRANSLATE(A7851,""en"",""pt"")"),"Eu amo Harry Potter.")</f>
        <v>Eu amo Harry Potter.</v>
      </c>
      <c r="B7851" s="3">
        <v>1</v>
      </c>
    </row>
    <row r="7852" ht="15.75" customHeight="1" spans="1:2">
      <c r="A7852" s="3" t="str">
        <f>IFERROR(__xludf.DUMMYFUNCTION("GOOGLETRANSLATE(A7852,""en"",""pt"")"),"Vou começar a ler a série Harry Potter novamente, porque essa é uma história incrível.")</f>
        <v>Vou começar a ler a série Harry Potter novamente, porque essa é uma história incrível.</v>
      </c>
      <c r="B7852" s="3">
        <v>1</v>
      </c>
    </row>
    <row r="7853" ht="15.75" customHeight="1" spans="1:2">
      <c r="A7853" s="3" t="str">
        <f>IFERROR(__xludf.DUMMYFUNCTION("GOOGLETRANSLATE(A7853,""en"",""pt"")"),"I, também, como Harry Potter ..")</f>
        <v>I, também, como Harry Potter ..</v>
      </c>
      <c r="B7853" s="3">
        <v>1</v>
      </c>
    </row>
    <row r="7854" ht="15.75" customHeight="1" spans="1:2">
      <c r="A7854" s="3" t="str">
        <f>IFERROR(__xludf.DUMMYFUNCTION("GOOGLETRANSLATE(A7854,""en"",""pt"")"),"Quero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54" s="3">
        <v>1</v>
      </c>
    </row>
    <row r="7855" ht="15.75" customHeight="1" spans="1:2">
      <c r="A7855" s="3" t="str">
        <f>IFERROR(__xludf.DUMMYFUNCTION("GOOGLETRANSLATE(A7855,""en"",""pt"")"),"Eu amo a série Harry Potter, se você pode contar isso como ""um"" livro, também Catcher Na Tye, Jane Eyre, The Virgin Suicides, sim ...")</f>
        <v>Eu amo a série Harry Potter, se você pode contar isso como "um" livro, também Catcher Na Tye, Jane Eyre, The Virgin Suicides, sim ...</v>
      </c>
      <c r="B7855" s="3">
        <v>1</v>
      </c>
    </row>
    <row r="7856" ht="15.75" customHeight="1" spans="1:2">
      <c r="A7856" s="3" t="str">
        <f>IFERROR(__xludf.DUMMYFUNCTION("GOOGLETRANSLATE(A7856,""en"",""pt"")"),"Porque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56" s="3">
        <v>1</v>
      </c>
    </row>
    <row r="7857" ht="15.75" customHeight="1" spans="1:2">
      <c r="A7857" s="3" t="str">
        <f>IFERROR(__xludf.DUMMYFUNCTION("GOOGLETRANSLATE(A7857,""en"",""pt"")"),"a história de Harry Potter é um forte e profundo, e eu amo Harry Potter.")</f>
        <v>a história de Harry Potter é um forte e profundo, e eu amo Harry Potter.</v>
      </c>
      <c r="B7857" s="3">
        <v>1</v>
      </c>
    </row>
    <row r="7858" ht="15.75" customHeight="1" spans="1:2">
      <c r="A7858" s="3" t="str">
        <f>IFERROR(__xludf.DUMMYFUNCTION("GOOGLETRANSLATE(A7858,""en"",""pt"")"),"Harry Potter é IMPRESSIONANTE Eu não me importo se alguém disser diferente! ..")</f>
        <v>Harry Potter é IMPRESSIONANTE Eu não me importo se alguém disser diferente! ..</v>
      </c>
      <c r="B7858" s="3">
        <v>1</v>
      </c>
    </row>
    <row r="7859" ht="15.75" customHeight="1" spans="1:2">
      <c r="A7859" s="3" t="str">
        <f>IFERROR(__xludf.DUMMYFUNCTION("GOOGLETRANSLATE(A7859,""en"",""pt"")"),"Eu amo Harry Potter ..")</f>
        <v>Eu amo Harry Potter ..</v>
      </c>
      <c r="B7859" s="3">
        <v>1</v>
      </c>
    </row>
    <row r="7860" ht="15.75" customHeight="1" spans="1:2">
      <c r="A7860" s="3" t="str">
        <f>IFERROR(__xludf.DUMMYFUNCTION("GOOGLETRANSLATE(A7860,""en"",""pt"")"),"Eu amo Harry Potter.")</f>
        <v>Eu amo Harry Potter.</v>
      </c>
      <c r="B7860" s="3">
        <v>1</v>
      </c>
    </row>
    <row r="7861" ht="15.75" customHeight="1" spans="1:2">
      <c r="A7861" s="3" t="str">
        <f>IFERROR(__xludf.DUMMYFUNCTION("GOOGLETRANSLATE(A7861,""en"",""pt"")"),"Eu amo Harry Potter.")</f>
        <v>Eu amo Harry Potter.</v>
      </c>
      <c r="B7861" s="3">
        <v>1</v>
      </c>
    </row>
    <row r="7862" ht="15.75" customHeight="1" spans="1:2">
      <c r="A7862" s="3" t="str">
        <f>IFERROR(__xludf.DUMMYFUNCTION("GOOGLETRANSLATE(A7862,""en"",""pt"")"),"Vou começar a ler a série Harry Potter novamente, porque essa é uma história incrível.")</f>
        <v>Vou começar a ler a série Harry Potter novamente, porque essa é uma história incrível.</v>
      </c>
      <c r="B7862" s="3">
        <v>1</v>
      </c>
    </row>
    <row r="7863" ht="15.75" customHeight="1" spans="1:2">
      <c r="A7863" s="3" t="str">
        <f>IFERROR(__xludf.DUMMYFUNCTION("GOOGLETRANSLATE(A7863,""en"",""pt"")"),"I, também, como Harry Potter ..")</f>
        <v>I, também, como Harry Potter ..</v>
      </c>
      <c r="B7863" s="3">
        <v>1</v>
      </c>
    </row>
    <row r="7864" ht="15.75" customHeight="1" spans="1:2">
      <c r="A7864" s="3" t="str">
        <f>IFERROR(__xludf.DUMMYFUNCTION("GOOGLETRANSLATE(A7864,""en"",""pt"")"),"Quero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64" s="3">
        <v>1</v>
      </c>
    </row>
    <row r="7865" ht="15.75" customHeight="1" spans="1:2">
      <c r="A7865" s="3" t="str">
        <f>IFERROR(__xludf.DUMMYFUNCTION("GOOGLETRANSLATE(A7865,""en"",""pt"")"),"Eu amo a série Harry Potter, se você pode contar isso como ""um"" livro, também Catcher Na Tye, Jane Eyre, The Virgin Suicides, sim ...")</f>
        <v>Eu amo a série Harry Potter, se você pode contar isso como "um" livro, também Catcher Na Tye, Jane Eyre, The Virgin Suicides, sim ...</v>
      </c>
      <c r="B7865" s="3">
        <v>1</v>
      </c>
    </row>
    <row r="7866" ht="15.75" customHeight="1" spans="1:2">
      <c r="A7866" s="3" t="str">
        <f>IFERROR(__xludf.DUMMYFUNCTION("GOOGLETRANSLATE(A7866,""en"",""pt"")"),"Porque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66" s="3">
        <v>1</v>
      </c>
    </row>
    <row r="7867" ht="15.75" customHeight="1" spans="1:2">
      <c r="A7867" s="3" t="str">
        <f>IFERROR(__xludf.DUMMYFUNCTION("GOOGLETRANSLATE(A7867,""en"",""pt"")"),"a história de Harry Potter é um forte e profundo, e eu amo Harry Potter.")</f>
        <v>a história de Harry Potter é um forte e profundo, e eu amo Harry Potter.</v>
      </c>
      <c r="B7867" s="3">
        <v>1</v>
      </c>
    </row>
    <row r="7868" ht="15.75" customHeight="1" spans="1:2">
      <c r="A7868" s="3" t="str">
        <f>IFERROR(__xludf.DUMMYFUNCTION("GOOGLETRANSLATE(A7868,""en"",""pt"")"),"Harry Potter é IMPRESSIONANTE Eu não me importo se alguém disser diferente! ..")</f>
        <v>Harry Potter é IMPRESSIONANTE Eu não me importo se alguém disser diferente! ..</v>
      </c>
      <c r="B7868" s="3">
        <v>1</v>
      </c>
    </row>
    <row r="7869" ht="15.75" customHeight="1" spans="1:2">
      <c r="A7869" s="3" t="str">
        <f>IFERROR(__xludf.DUMMYFUNCTION("GOOGLETRANSLATE(A7869,""en"",""pt"")"),"Eu amo Harry Potter ..")</f>
        <v>Eu amo Harry Potter ..</v>
      </c>
      <c r="B7869" s="3">
        <v>1</v>
      </c>
    </row>
    <row r="7870" ht="15.75" customHeight="1" spans="1:2">
      <c r="A7870" s="3" t="str">
        <f>IFERROR(__xludf.DUMMYFUNCTION("GOOGLETRANSLATE(A7870,""en"",""pt"")"),"Eu amo Harry Potter.")</f>
        <v>Eu amo Harry Potter.</v>
      </c>
      <c r="B7870" s="3">
        <v>1</v>
      </c>
    </row>
    <row r="7871" ht="15.75" customHeight="1" spans="1:2">
      <c r="A7871" s="3" t="str">
        <f>IFERROR(__xludf.DUMMYFUNCTION("GOOGLETRANSLATE(A7871,""en"",""pt"")"),"Eu amo Harry Potter.")</f>
        <v>Eu amo Harry Potter.</v>
      </c>
      <c r="B7871" s="3">
        <v>1</v>
      </c>
    </row>
    <row r="7872" ht="15.75" customHeight="1" spans="1:2">
      <c r="A7872" s="3" t="str">
        <f>IFERROR(__xludf.DUMMYFUNCTION("GOOGLETRANSLATE(A7872,""en"",""pt"")"),"Vou começar a ler a série Harry Potter novamente, porque essa é uma história incrível.")</f>
        <v>Vou começar a ler a série Harry Potter novamente, porque essa é uma história incrível.</v>
      </c>
      <c r="B7872" s="3">
        <v>1</v>
      </c>
    </row>
    <row r="7873" ht="15.75" customHeight="1" spans="1:2">
      <c r="A7873" s="3" t="str">
        <f>IFERROR(__xludf.DUMMYFUNCTION("GOOGLETRANSLATE(A7873,""en"",""pt"")"),"I, também, como Harry Potter ..")</f>
        <v>I, também, como Harry Potter ..</v>
      </c>
      <c r="B7873" s="3">
        <v>1</v>
      </c>
    </row>
    <row r="7874" ht="15.75" customHeight="1" spans="1:2">
      <c r="A7874" s="3" t="str">
        <f>IFERROR(__xludf.DUMMYFUNCTION("GOOGLETRANSLATE(A7874,""en"",""pt"")"),"Quero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74" s="3">
        <v>1</v>
      </c>
    </row>
    <row r="7875" ht="15.75" customHeight="1" spans="1:2">
      <c r="A7875" s="3" t="str">
        <f>IFERROR(__xludf.DUMMYFUNCTION("GOOGLETRANSLATE(A7875,""en"",""pt"")"),"Eu amo a série Harry Potter, se você pode contar isso como ""um"" livro, também Catcher Na Tye, Jane Eyre, The Virgin Suicides, sim ...")</f>
        <v>Eu amo a série Harry Potter, se você pode contar isso como "um" livro, também Catcher Na Tye, Jane Eyre, The Virgin Suicides, sim ...</v>
      </c>
      <c r="B7875" s="3">
        <v>1</v>
      </c>
    </row>
    <row r="7876" ht="15.75" customHeight="1" spans="1:2">
      <c r="A7876" s="3" t="str">
        <f>IFERROR(__xludf.DUMMYFUNCTION("GOOGLETRANSLATE(A7876,""en"",""pt"")"),"Porque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76" s="3">
        <v>1</v>
      </c>
    </row>
    <row r="7877" ht="15.75" customHeight="1" spans="1:2">
      <c r="A7877" s="3" t="str">
        <f>IFERROR(__xludf.DUMMYFUNCTION("GOOGLETRANSLATE(A7877,""en"",""pt"")"),"a história de Harry Potter é um forte e profundo, e eu amo Harry Potter.")</f>
        <v>a história de Harry Potter é um forte e profundo, e eu amo Harry Potter.</v>
      </c>
      <c r="B7877" s="3">
        <v>1</v>
      </c>
    </row>
    <row r="7878" ht="15.75" customHeight="1" spans="1:2">
      <c r="A7878" s="3" t="str">
        <f>IFERROR(__xludf.DUMMYFUNCTION("GOOGLETRANSLATE(A7878,""en"",""pt"")"),"Harry Potter é IMPRESSIONANTE Eu não me importo se alguém disser diferente! ..")</f>
        <v>Harry Potter é IMPRESSIONANTE Eu não me importo se alguém disser diferente! ..</v>
      </c>
      <c r="B7878" s="3">
        <v>1</v>
      </c>
    </row>
    <row r="7879" ht="15.75" customHeight="1" spans="1:2">
      <c r="A7879" s="3" t="str">
        <f>IFERROR(__xludf.DUMMYFUNCTION("GOOGLETRANSLATE(A7879,""en"",""pt"")"),"Eu amo Harry Potter ..")</f>
        <v>Eu amo Harry Potter ..</v>
      </c>
      <c r="B7879" s="3">
        <v>1</v>
      </c>
    </row>
    <row r="7880" ht="15.75" customHeight="1" spans="1:2">
      <c r="A7880" s="3" t="str">
        <f>IFERROR(__xludf.DUMMYFUNCTION("GOOGLETRANSLATE(A7880,""en"",""pt"")"),"Eu amo Harry Potter.")</f>
        <v>Eu amo Harry Potter.</v>
      </c>
      <c r="B7880" s="3">
        <v>1</v>
      </c>
    </row>
    <row r="7881" ht="15.75" customHeight="1" spans="1:2">
      <c r="A7881" s="3" t="str">
        <f>IFERROR(__xludf.DUMMYFUNCTION("GOOGLETRANSLATE(A7881,""en"",""pt"")"),"Eu amo Harry Potter.")</f>
        <v>Eu amo Harry Potter.</v>
      </c>
      <c r="B7881" s="3">
        <v>1</v>
      </c>
    </row>
    <row r="7882" ht="15.75" customHeight="1" spans="1:2">
      <c r="A7882" s="3" t="str">
        <f>IFERROR(__xludf.DUMMYFUNCTION("GOOGLETRANSLATE(A7882,""en"",""pt"")"),"Vou começar a ler a série Harry Potter novamente, porque essa é uma história incrível.")</f>
        <v>Vou começar a ler a série Harry Potter novamente, porque essa é uma história incrível.</v>
      </c>
      <c r="B7882" s="3">
        <v>1</v>
      </c>
    </row>
    <row r="7883" ht="15.75" customHeight="1" spans="1:2">
      <c r="A7883" s="3" t="str">
        <f>IFERROR(__xludf.DUMMYFUNCTION("GOOGLETRANSLATE(A7883,""en"",""pt"")"),"I, também, como Harry Potter ..")</f>
        <v>I, também, como Harry Potter ..</v>
      </c>
      <c r="B7883" s="3">
        <v>1</v>
      </c>
    </row>
    <row r="7884" ht="15.75" customHeight="1" spans="1:2">
      <c r="A7884" s="3" t="str">
        <f>IFERROR(__xludf.DUMMYFUNCTION("GOOGLETRANSLATE(A7884,""en"",""pt"")"),"Quero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84" s="3">
        <v>1</v>
      </c>
    </row>
    <row r="7885" ht="15.75" customHeight="1" spans="1:2">
      <c r="A7885" s="3" t="str">
        <f>IFERROR(__xludf.DUMMYFUNCTION("GOOGLETRANSLATE(A7885,""en"",""pt"")"),"Eu amo a série Harry Potter, se você pode contar isso como ""um"" livro, também Catcher Na Tye, Jane Eyre, The Virgin Suicides, sim ...")</f>
        <v>Eu amo a série Harry Potter, se você pode contar isso como "um" livro, também Catcher Na Tye, Jane Eyre, The Virgin Suicides, sim ...</v>
      </c>
      <c r="B7885" s="3">
        <v>1</v>
      </c>
    </row>
    <row r="7886" ht="15.75" customHeight="1" spans="1:2">
      <c r="A7886" s="3" t="str">
        <f>IFERROR(__xludf.DUMMYFUNCTION("GOOGLETRANSLATE(A7886,""en"",""pt"")"),"Porque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86" s="3">
        <v>1</v>
      </c>
    </row>
    <row r="7887" ht="15.75" customHeight="1" spans="1:2">
      <c r="A7887" s="3" t="str">
        <f>IFERROR(__xludf.DUMMYFUNCTION("GOOGLETRANSLATE(A7887,""en"",""pt"")"),"a história de Harry Potter é um forte e profundo, e eu amo Harry Potter.")</f>
        <v>a história de Harry Potter é um forte e profundo, e eu amo Harry Potter.</v>
      </c>
      <c r="B7887" s="3">
        <v>1</v>
      </c>
    </row>
    <row r="7888" ht="15.75" customHeight="1" spans="1:2">
      <c r="A7888" s="3" t="str">
        <f>IFERROR(__xludf.DUMMYFUNCTION("GOOGLETRANSLATE(A7888,""en"",""pt"")"),"Harry Potter é IMPRESSIONANTE Eu não me importo se alguém disser diferente! ..")</f>
        <v>Harry Potter é IMPRESSIONANTE Eu não me importo se alguém disser diferente! ..</v>
      </c>
      <c r="B7888" s="3">
        <v>1</v>
      </c>
    </row>
    <row r="7889" ht="15.75" customHeight="1" spans="1:2">
      <c r="A7889" s="3" t="str">
        <f>IFERROR(__xludf.DUMMYFUNCTION("GOOGLETRANSLATE(A7889,""en"",""pt"")"),"Eu amo Harry Potter ..")</f>
        <v>Eu amo Harry Potter ..</v>
      </c>
      <c r="B7889" s="3">
        <v>1</v>
      </c>
    </row>
    <row r="7890" ht="15.75" customHeight="1" spans="1:2">
      <c r="A7890" s="3" t="str">
        <f>IFERROR(__xludf.DUMMYFUNCTION("GOOGLETRANSLATE(A7890,""en"",""pt"")"),"Eu amo Harry Potter.")</f>
        <v>Eu amo Harry Potter.</v>
      </c>
      <c r="B7890" s="3">
        <v>1</v>
      </c>
    </row>
    <row r="7891" ht="15.75" customHeight="1" spans="1:2">
      <c r="A7891" s="3" t="str">
        <f>IFERROR(__xludf.DUMMYFUNCTION("GOOGLETRANSLATE(A7891,""en"",""pt"")"),"Eu amo Harry Potter.")</f>
        <v>Eu amo Harry Potter.</v>
      </c>
      <c r="B7891" s="3">
        <v>1</v>
      </c>
    </row>
    <row r="7892" ht="15.75" customHeight="1" spans="1:2">
      <c r="A7892" s="3" t="str">
        <f>IFERROR(__xludf.DUMMYFUNCTION("GOOGLETRANSLATE(A7892,""en"",""pt"")"),"Vou começar a ler a série Harry Potter novamente, porque essa é uma história incrível.")</f>
        <v>Vou começar a ler a série Harry Potter novamente, porque essa é uma história incrível.</v>
      </c>
      <c r="B7892" s="3">
        <v>1</v>
      </c>
    </row>
    <row r="7893" ht="15.75" customHeight="1" spans="1:2">
      <c r="A7893" s="3" t="str">
        <f>IFERROR(__xludf.DUMMYFUNCTION("GOOGLETRANSLATE(A7893,""en"",""pt"")"),"I, também, como Harry Potter ..")</f>
        <v>I, também, como Harry Potter ..</v>
      </c>
      <c r="B7893" s="3">
        <v>1</v>
      </c>
    </row>
    <row r="7894" ht="15.75" customHeight="1" spans="1:2">
      <c r="A7894" s="3" t="str">
        <f>IFERROR(__xludf.DUMMYFUNCTION("GOOGLETRANSLATE(A7894,""en"",""pt"")"),"Quero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894" s="3">
        <v>1</v>
      </c>
    </row>
    <row r="7895" ht="15.75" customHeight="1" spans="1:2">
      <c r="A7895" s="3" t="str">
        <f>IFERROR(__xludf.DUMMYFUNCTION("GOOGLETRANSLATE(A7895,""en"",""pt"")"),"Eu amo a série Harry Potter, se você pode contar isso como ""um"" livro, também Catcher Na Tye, Jane Eyre, The Virgin Suicides, sim ...")</f>
        <v>Eu amo a série Harry Potter, se você pode contar isso como "um" livro, também Catcher Na Tye, Jane Eyre, The Virgin Suicides, sim ...</v>
      </c>
      <c r="B7895" s="3">
        <v>1</v>
      </c>
    </row>
    <row r="7896" ht="15.75" customHeight="1" spans="1:2">
      <c r="A7896" s="3" t="str">
        <f>IFERROR(__xludf.DUMMYFUNCTION("GOOGLETRANSLATE(A7896,""en"",""pt"")"),"Porque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896" s="3">
        <v>1</v>
      </c>
    </row>
    <row r="7897" ht="15.75" customHeight="1" spans="1:2">
      <c r="A7897" s="3" t="str">
        <f>IFERROR(__xludf.DUMMYFUNCTION("GOOGLETRANSLATE(A7897,""en"",""pt"")"),"a história de Harry Potter é um forte e profundo, e eu amo Harry Potter.")</f>
        <v>a história de Harry Potter é um forte e profundo, e eu amo Harry Potter.</v>
      </c>
      <c r="B7897" s="3">
        <v>1</v>
      </c>
    </row>
    <row r="7898" ht="15.75" customHeight="1" spans="1:2">
      <c r="A7898" s="3" t="str">
        <f>IFERROR(__xludf.DUMMYFUNCTION("GOOGLETRANSLATE(A7898,""en"",""pt"")"),"Harry Potter é IMPRESSIONANTE Eu não me importo se alguém disser diferente! ..")</f>
        <v>Harry Potter é IMPRESSIONANTE Eu não me importo se alguém disser diferente! ..</v>
      </c>
      <c r="B7898" s="3">
        <v>1</v>
      </c>
    </row>
    <row r="7899" ht="15.75" customHeight="1" spans="1:2">
      <c r="A7899" s="3" t="str">
        <f>IFERROR(__xludf.DUMMYFUNCTION("GOOGLETRANSLATE(A7899,""en"",""pt"")"),"Eu amo Harry Potter ..")</f>
        <v>Eu amo Harry Potter ..</v>
      </c>
      <c r="B7899" s="3">
        <v>1</v>
      </c>
    </row>
    <row r="7900" ht="15.75" customHeight="1" spans="1:2">
      <c r="A7900" s="3" t="str">
        <f>IFERROR(__xludf.DUMMYFUNCTION("GOOGLETRANSLATE(A7900,""en"",""pt"")"),"Eu amo Harry Potter.")</f>
        <v>Eu amo Harry Potter.</v>
      </c>
      <c r="B7900" s="3">
        <v>1</v>
      </c>
    </row>
    <row r="7901" ht="15.75" customHeight="1" spans="1:2">
      <c r="A7901" s="3" t="str">
        <f>IFERROR(__xludf.DUMMYFUNCTION("GOOGLETRANSLATE(A7901,""en"",""pt"")"),"Eu amo Harry Potter.")</f>
        <v>Eu amo Harry Potter.</v>
      </c>
      <c r="B7901" s="3">
        <v>1</v>
      </c>
    </row>
    <row r="7902" ht="15.75" customHeight="1" spans="1:2">
      <c r="A7902" s="3" t="str">
        <f>IFERROR(__xludf.DUMMYFUNCTION("GOOGLETRANSLATE(A7902,""en"",""pt"")"),"Vou começar a ler a série Harry Potter novamente, porque essa é uma história incrível.")</f>
        <v>Vou começar a ler a série Harry Potter novamente, porque essa é uma história incrível.</v>
      </c>
      <c r="B7902" s="3">
        <v>1</v>
      </c>
    </row>
    <row r="7903" ht="15.75" customHeight="1" spans="1:2">
      <c r="A7903" s="3" t="str">
        <f>IFERROR(__xludf.DUMMYFUNCTION("GOOGLETRANSLATE(A7903,""en"",""pt"")"),"I, também, como Harry Potter ..")</f>
        <v>I, também, como Harry Potter ..</v>
      </c>
      <c r="B7903" s="3">
        <v>1</v>
      </c>
    </row>
    <row r="7904" ht="15.75" customHeight="1" spans="1:2">
      <c r="A7904" s="3" t="str">
        <f>IFERROR(__xludf.DUMMYFUNCTION("GOOGLETRANSLATE(A7904,""en"",""pt"")"),"Quero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04" s="3">
        <v>1</v>
      </c>
    </row>
    <row r="7905" ht="15.75" customHeight="1" spans="1:2">
      <c r="A7905" s="3" t="str">
        <f>IFERROR(__xludf.DUMMYFUNCTION("GOOGLETRANSLATE(A7905,""en"",""pt"")"),"Eu amo a série Harry Potter, se você pode contar isso como ""um"" livro, também Catcher Na Tye, Jane Eyre, The Virgin Suicides, sim ...")</f>
        <v>Eu amo a série Harry Potter, se você pode contar isso como "um" livro, também Catcher Na Tye, Jane Eyre, The Virgin Suicides, sim ...</v>
      </c>
      <c r="B7905" s="3">
        <v>1</v>
      </c>
    </row>
    <row r="7906" ht="15.75" customHeight="1" spans="1:2">
      <c r="A7906" s="3" t="str">
        <f>IFERROR(__xludf.DUMMYFUNCTION("GOOGLETRANSLATE(A7906,""en"",""pt"")"),"Porque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906" s="3">
        <v>1</v>
      </c>
    </row>
    <row r="7907" ht="15.75" customHeight="1" spans="1:2">
      <c r="A7907" s="3" t="str">
        <f>IFERROR(__xludf.DUMMYFUNCTION("GOOGLETRANSLATE(A7907,""en"",""pt"")"),"a história de Harry Potter é um forte e profundo, e eu amo Harry Potter.")</f>
        <v>a história de Harry Potter é um forte e profundo, e eu amo Harry Potter.</v>
      </c>
      <c r="B7907" s="3">
        <v>1</v>
      </c>
    </row>
    <row r="7908" ht="15.75" customHeight="1" spans="1:2">
      <c r="A7908" s="3" t="str">
        <f>IFERROR(__xludf.DUMMYFUNCTION("GOOGLETRANSLATE(A7908,""en"",""pt"")"),"Harry Potter é IMPRESSIONANTE Eu não me importo se alguém disser diferente! ..")</f>
        <v>Harry Potter é IMPRESSIONANTE Eu não me importo se alguém disser diferente! ..</v>
      </c>
      <c r="B7908" s="3">
        <v>1</v>
      </c>
    </row>
    <row r="7909" ht="15.75" customHeight="1" spans="1:2">
      <c r="A7909" s="3" t="str">
        <f>IFERROR(__xludf.DUMMYFUNCTION("GOOGLETRANSLATE(A7909,""en"",""pt"")"),"Eu amo Harry Potter ..")</f>
        <v>Eu amo Harry Potter ..</v>
      </c>
      <c r="B7909" s="3">
        <v>1</v>
      </c>
    </row>
    <row r="7910" ht="15.75" customHeight="1" spans="1:2">
      <c r="A7910" s="3" t="str">
        <f>IFERROR(__xludf.DUMMYFUNCTION("GOOGLETRANSLATE(A7910,""en"",""pt"")"),"Eu amo Harry Potter.")</f>
        <v>Eu amo Harry Potter.</v>
      </c>
      <c r="B7910" s="3">
        <v>1</v>
      </c>
    </row>
    <row r="7911" ht="15.75" customHeight="1" spans="1:2">
      <c r="A7911" s="3" t="str">
        <f>IFERROR(__xludf.DUMMYFUNCTION("GOOGLETRANSLATE(A7911,""en"",""pt"")"),"Eu amo Harry Potter.")</f>
        <v>Eu amo Harry Potter.</v>
      </c>
      <c r="B7911" s="3">
        <v>1</v>
      </c>
    </row>
    <row r="7912" ht="15.75" customHeight="1" spans="1:2">
      <c r="A7912" s="3" t="str">
        <f>IFERROR(__xludf.DUMMYFUNCTION("GOOGLETRANSLATE(A7912,""en"",""pt"")"),"Vou começar a ler a série Harry Potter novamente, porque essa é uma história incrível.")</f>
        <v>Vou começar a ler a série Harry Potter novamente, porque essa é uma história incrível.</v>
      </c>
      <c r="B7912" s="3">
        <v>1</v>
      </c>
    </row>
    <row r="7913" ht="15.75" customHeight="1" spans="1:2">
      <c r="A7913" s="3" t="str">
        <f>IFERROR(__xludf.DUMMYFUNCTION("GOOGLETRANSLATE(A7913,""en"",""pt"")"),"I, também, como Harry Potter ..")</f>
        <v>I, também, como Harry Potter ..</v>
      </c>
      <c r="B7913" s="3">
        <v>1</v>
      </c>
    </row>
    <row r="7914" ht="15.75" customHeight="1" spans="1:2">
      <c r="A7914" s="3" t="str">
        <f>IFERROR(__xludf.DUMMYFUNCTION("GOOGLETRANSLATE(A7914,""en"",""pt"")"),"Quero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14" s="3">
        <v>1</v>
      </c>
    </row>
    <row r="7915" ht="15.75" customHeight="1" spans="1:2">
      <c r="A7915" s="3" t="str">
        <f>IFERROR(__xludf.DUMMYFUNCTION("GOOGLETRANSLATE(A7915,""en"",""pt"")"),"Eu amo a série Harry Potter, se você pode contar isso como ""um"" livro, também Catcher Na Tye, Jane Eyre, The Virgin Suicides, sim ...")</f>
        <v>Eu amo a série Harry Potter, se você pode contar isso como "um" livro, também Catcher Na Tye, Jane Eyre, The Virgin Suicides, sim ...</v>
      </c>
      <c r="B7915" s="3">
        <v>1</v>
      </c>
    </row>
    <row r="7916" ht="15.75" customHeight="1" spans="1:2">
      <c r="A7916" s="3" t="str">
        <f>IFERROR(__xludf.DUMMYFUNCTION("GOOGLETRANSLATE(A7916,""en"",""pt"")"),"Porque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916" s="3">
        <v>1</v>
      </c>
    </row>
    <row r="7917" ht="15.75" customHeight="1" spans="1:2">
      <c r="A7917" s="3" t="str">
        <f>IFERROR(__xludf.DUMMYFUNCTION("GOOGLETRANSLATE(A7917,""en"",""pt"")"),"a história de Harry Potter é um forte e profundo, e eu amo Harry Potter.")</f>
        <v>a história de Harry Potter é um forte e profundo, e eu amo Harry Potter.</v>
      </c>
      <c r="B7917" s="3">
        <v>1</v>
      </c>
    </row>
    <row r="7918" ht="15.75" customHeight="1" spans="1:2">
      <c r="A7918" s="3" t="str">
        <f>IFERROR(__xludf.DUMMYFUNCTION("GOOGLETRANSLATE(A7918,""en"",""pt"")"),"Harry Potter é IMPRESSIONANTE Eu não me importo se alguém disser diferente! ..")</f>
        <v>Harry Potter é IMPRESSIONANTE Eu não me importo se alguém disser diferente! ..</v>
      </c>
      <c r="B7918" s="3">
        <v>1</v>
      </c>
    </row>
    <row r="7919" ht="15.75" customHeight="1" spans="1:2">
      <c r="A7919" s="3" t="str">
        <f>IFERROR(__xludf.DUMMYFUNCTION("GOOGLETRANSLATE(A7919,""en"",""pt"")"),"Eu amo Harry Potter ..")</f>
        <v>Eu amo Harry Potter ..</v>
      </c>
      <c r="B7919" s="3">
        <v>1</v>
      </c>
    </row>
    <row r="7920" ht="15.75" customHeight="1" spans="1:2">
      <c r="A7920" s="3" t="str">
        <f>IFERROR(__xludf.DUMMYFUNCTION("GOOGLETRANSLATE(A7920,""en"",""pt"")"),"Eu amo Harry Potter.")</f>
        <v>Eu amo Harry Potter.</v>
      </c>
      <c r="B7920" s="3">
        <v>1</v>
      </c>
    </row>
    <row r="7921" ht="15.75" customHeight="1" spans="1:2">
      <c r="A7921" s="3" t="str">
        <f>IFERROR(__xludf.DUMMYFUNCTION("GOOGLETRANSLATE(A7921,""en"",""pt"")"),"Eu amo Harry Potter.")</f>
        <v>Eu amo Harry Potter.</v>
      </c>
      <c r="B7921" s="3">
        <v>1</v>
      </c>
    </row>
    <row r="7922" ht="15.75" customHeight="1" spans="1:2">
      <c r="A7922" s="3" t="str">
        <f>IFERROR(__xludf.DUMMYFUNCTION("GOOGLETRANSLATE(A7922,""en"",""pt"")"),"Vou começar a ler a série Harry Potter novamente, porque essa é uma história incrível.")</f>
        <v>Vou começar a ler a série Harry Potter novamente, porque essa é uma história incrível.</v>
      </c>
      <c r="B7922" s="3">
        <v>1</v>
      </c>
    </row>
    <row r="7923" ht="15.75" customHeight="1" spans="1:2">
      <c r="A7923" s="3" t="str">
        <f>IFERROR(__xludf.DUMMYFUNCTION("GOOGLETRANSLATE(A7923,""en"",""pt"")"),"I, também, como Harry Potter ..")</f>
        <v>I, também, como Harry Potter ..</v>
      </c>
      <c r="B7923" s="3">
        <v>1</v>
      </c>
    </row>
    <row r="7924" ht="15.75" customHeight="1" spans="1:2">
      <c r="A7924" s="3" t="str">
        <f>IFERROR(__xludf.DUMMYFUNCTION("GOOGLETRANSLATE(A7924,""en"",""pt"")"),"Quero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24" s="3">
        <v>1</v>
      </c>
    </row>
    <row r="7925" ht="15.75" customHeight="1" spans="1:2">
      <c r="A7925" s="3" t="str">
        <f>IFERROR(__xludf.DUMMYFUNCTION("GOOGLETRANSLATE(A7925,""en"",""pt"")"),"Eu amo a série Harry Potter, se você pode contar isso como ""um"" livro, também Catcher Na Tye, Jane Eyre, The Virgin Suicides, sim ...")</f>
        <v>Eu amo a série Harry Potter, se você pode contar isso como "um" livro, também Catcher Na Tye, Jane Eyre, The Virgin Suicides, sim ...</v>
      </c>
      <c r="B7925" s="3">
        <v>1</v>
      </c>
    </row>
    <row r="7926" ht="15.75" customHeight="1" spans="1:2">
      <c r="A7926" s="3" t="str">
        <f>IFERROR(__xludf.DUMMYFUNCTION("GOOGLETRANSLATE(A7926,""en"",""pt"")"),"Porque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926" s="3">
        <v>1</v>
      </c>
    </row>
    <row r="7927" ht="15.75" customHeight="1" spans="1:2">
      <c r="A7927" s="3" t="str">
        <f>IFERROR(__xludf.DUMMYFUNCTION("GOOGLETRANSLATE(A7927,""en"",""pt"")"),"a história de Harry Potter é um forte e profundo, e eu amo Harry Potter.")</f>
        <v>a história de Harry Potter é um forte e profundo, e eu amo Harry Potter.</v>
      </c>
      <c r="B7927" s="3">
        <v>1</v>
      </c>
    </row>
    <row r="7928" ht="15.75" customHeight="1" spans="1:2">
      <c r="A7928" s="3" t="str">
        <f>IFERROR(__xludf.DUMMYFUNCTION("GOOGLETRANSLATE(A7928,""en"",""pt"")"),"Harry Potter é IMPRESSIONANTE Eu não me importo se alguém disser diferente! ..")</f>
        <v>Harry Potter é IMPRESSIONANTE Eu não me importo se alguém disser diferente! ..</v>
      </c>
      <c r="B7928" s="3">
        <v>1</v>
      </c>
    </row>
    <row r="7929" ht="15.75" customHeight="1" spans="1:2">
      <c r="A7929" s="3" t="str">
        <f>IFERROR(__xludf.DUMMYFUNCTION("GOOGLETRANSLATE(A7929,""en"",""pt"")"),"Eu amo Harry Potter ..")</f>
        <v>Eu amo Harry Potter ..</v>
      </c>
      <c r="B7929" s="3">
        <v>1</v>
      </c>
    </row>
    <row r="7930" ht="15.75" customHeight="1" spans="1:2">
      <c r="A7930" s="3" t="str">
        <f>IFERROR(__xludf.DUMMYFUNCTION("GOOGLETRANSLATE(A7930,""en"",""pt"")"),"Eu amo Harry Potter.")</f>
        <v>Eu amo Harry Potter.</v>
      </c>
      <c r="B7930" s="3">
        <v>1</v>
      </c>
    </row>
    <row r="7931" ht="15.75" customHeight="1" spans="1:2">
      <c r="A7931" s="3" t="str">
        <f>IFERROR(__xludf.DUMMYFUNCTION("GOOGLETRANSLATE(A7931,""en"",""pt"")"),"Eu amo Harry Potter.")</f>
        <v>Eu amo Harry Potter.</v>
      </c>
      <c r="B7931" s="3">
        <v>1</v>
      </c>
    </row>
    <row r="7932" ht="15.75" customHeight="1" spans="1:2">
      <c r="A7932" s="3" t="str">
        <f>IFERROR(__xludf.DUMMYFUNCTION("GOOGLETRANSLATE(A7932,""en"",""pt"")"),"Vou começar a ler a série Harry Potter novamente, porque essa é uma história incrível.")</f>
        <v>Vou começar a ler a série Harry Potter novamente, porque essa é uma história incrível.</v>
      </c>
      <c r="B7932" s="3">
        <v>1</v>
      </c>
    </row>
    <row r="7933" ht="15.75" customHeight="1" spans="1:2">
      <c r="A7933" s="3" t="str">
        <f>IFERROR(__xludf.DUMMYFUNCTION("GOOGLETRANSLATE(A7933,""en"",""pt"")"),"I, também, como Harry Potter ..")</f>
        <v>I, também, como Harry Potter ..</v>
      </c>
      <c r="B7933" s="3">
        <v>1</v>
      </c>
    </row>
    <row r="7934" ht="15.75" customHeight="1" spans="1:2">
      <c r="A7934" s="3" t="str">
        <f>IFERROR(__xludf.DUMMYFUNCTION("GOOGLETRANSLATE(A7934,""en"",""pt"")"),"Quero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34" s="3">
        <v>1</v>
      </c>
    </row>
    <row r="7935" ht="15.75" customHeight="1" spans="1:2">
      <c r="A7935" s="3" t="str">
        <f>IFERROR(__xludf.DUMMYFUNCTION("GOOGLETRANSLATE(A7935,""en"",""pt"")"),"Eu amo a série Harry Potter, se você pode contar isso como ""um"" livro, também Catcher Na Tye, Jane Eyre, The Virgin Suicides, sim ...")</f>
        <v>Eu amo a série Harry Potter, se você pode contar isso como "um" livro, também Catcher Na Tye, Jane Eyre, The Virgin Suicides, sim ...</v>
      </c>
      <c r="B7935" s="3">
        <v>1</v>
      </c>
    </row>
    <row r="7936" ht="15.75" customHeight="1" spans="1:2">
      <c r="A7936" s="3" t="str">
        <f>IFERROR(__xludf.DUMMYFUNCTION("GOOGLETRANSLATE(A7936,""en"",""pt"")"),"Porque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936" s="3">
        <v>1</v>
      </c>
    </row>
    <row r="7937" ht="15.75" customHeight="1" spans="1:2">
      <c r="A7937" s="3" t="str">
        <f>IFERROR(__xludf.DUMMYFUNCTION("GOOGLETRANSLATE(A7937,""en"",""pt"")"),"a história de Harry Potter é um forte e profundo, e eu amo Harry Potter.")</f>
        <v>a história de Harry Potter é um forte e profundo, e eu amo Harry Potter.</v>
      </c>
      <c r="B7937" s="3">
        <v>1</v>
      </c>
    </row>
    <row r="7938" ht="15.75" customHeight="1" spans="1:2">
      <c r="A7938" s="3" t="str">
        <f>IFERROR(__xludf.DUMMYFUNCTION("GOOGLETRANSLATE(A7938,""en"",""pt"")"),"Harry Potter é IMPRESSIONANTE Eu não me importo se alguém disser diferente! ..")</f>
        <v>Harry Potter é IMPRESSIONANTE Eu não me importo se alguém disser diferente! ..</v>
      </c>
      <c r="B7938" s="3">
        <v>1</v>
      </c>
    </row>
    <row r="7939" ht="15.75" customHeight="1" spans="1:2">
      <c r="A7939" s="3" t="str">
        <f>IFERROR(__xludf.DUMMYFUNCTION("GOOGLETRANSLATE(A7939,""en"",""pt"")"),"Eu amo Harry Potter ..")</f>
        <v>Eu amo Harry Potter ..</v>
      </c>
      <c r="B7939" s="3">
        <v>1</v>
      </c>
    </row>
    <row r="7940" ht="15.75" customHeight="1" spans="1:2">
      <c r="A7940" s="3" t="str">
        <f>IFERROR(__xludf.DUMMYFUNCTION("GOOGLETRANSLATE(A7940,""en"",""pt"")"),"Eu amo Harry Potter.")</f>
        <v>Eu amo Harry Potter.</v>
      </c>
      <c r="B7940" s="3">
        <v>1</v>
      </c>
    </row>
    <row r="7941" ht="15.75" customHeight="1" spans="1:2">
      <c r="A7941" s="3" t="str">
        <f>IFERROR(__xludf.DUMMYFUNCTION("GOOGLETRANSLATE(A7941,""en"",""pt"")"),"Eu amo Harry Potter.")</f>
        <v>Eu amo Harry Potter.</v>
      </c>
      <c r="B7941" s="3">
        <v>1</v>
      </c>
    </row>
    <row r="7942" ht="15.75" customHeight="1" spans="1:2">
      <c r="A7942" s="3" t="str">
        <f>IFERROR(__xludf.DUMMYFUNCTION("GOOGLETRANSLATE(A7942,""en"",""pt"")"),"Vou começar a ler a série Harry Potter novamente, porque essa é uma história incrível.")</f>
        <v>Vou começar a ler a série Harry Potter novamente, porque essa é uma história incrível.</v>
      </c>
      <c r="B7942" s="3">
        <v>1</v>
      </c>
    </row>
    <row r="7943" ht="15.75" customHeight="1" spans="1:2">
      <c r="A7943" s="3" t="str">
        <f>IFERROR(__xludf.DUMMYFUNCTION("GOOGLETRANSLATE(A7943,""en"",""pt"")"),"I, também, como Harry Potter ..")</f>
        <v>I, também, como Harry Potter ..</v>
      </c>
      <c r="B7943" s="3">
        <v>1</v>
      </c>
    </row>
    <row r="7944" ht="15.75" customHeight="1" spans="1:2">
      <c r="A7944" s="3" t="str">
        <f>IFERROR(__xludf.DUMMYFUNCTION("GOOGLETRANSLATE(A7944,""en"",""pt"")"),"Quero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44" s="3">
        <v>1</v>
      </c>
    </row>
    <row r="7945" ht="15.75" customHeight="1" spans="1:2">
      <c r="A7945" s="3" t="str">
        <f>IFERROR(__xludf.DUMMYFUNCTION("GOOGLETRANSLATE(A7945,""en"",""pt"")"),"Eu amo a série Harry Potter, se você pode contar isso como ""um"" livro, também Catcher Na Tye, Jane Eyre, The Virgin Suicides, sim ...")</f>
        <v>Eu amo a série Harry Potter, se você pode contar isso como "um" livro, também Catcher Na Tye, Jane Eyre, The Virgin Suicides, sim ...</v>
      </c>
      <c r="B7945" s="3">
        <v>1</v>
      </c>
    </row>
    <row r="7946" ht="15.75" customHeight="1" spans="1:2">
      <c r="A7946" s="3" t="str">
        <f>IFERROR(__xludf.DUMMYFUNCTION("GOOGLETRANSLATE(A7946,""en"",""pt"")"),"Porque eu gostaria de fazer amigos que gostam das mesmas coisas que eu gosto, e eu realmente gosto de Harry Potter, então eu pensei que aderir a uma comunidade como esta seria um bom começo.")</f>
        <v>Porque eu gostaria de fazer amigos que gostam das mesmas coisas que eu gosto, e eu realmente gosto de Harry Potter, então eu pensei que aderir a uma comunidade como esta seria um bom começo.</v>
      </c>
      <c r="B7946" s="3">
        <v>1</v>
      </c>
    </row>
    <row r="7947" ht="15.75" customHeight="1" spans="1:2">
      <c r="A7947" s="3" t="str">
        <f>IFERROR(__xludf.DUMMYFUNCTION("GOOGLETRANSLATE(A7947,""en"",""pt"")"),"a história de Harry Potter é um forte e profundo, e eu amo Harry Potter.")</f>
        <v>a história de Harry Potter é um forte e profundo, e eu amo Harry Potter.</v>
      </c>
      <c r="B7947" s="3">
        <v>1</v>
      </c>
    </row>
    <row r="7948" ht="15.75" customHeight="1" spans="1:2">
      <c r="A7948" s="3" t="str">
        <f>IFERROR(__xludf.DUMMYFUNCTION("GOOGLETRANSLATE(A7948,""en"",""pt"")"),"Harry Potter é IMPRESSIONANTE Eu não me importo se alguém disser diferente! ..")</f>
        <v>Harry Potter é IMPRESSIONANTE Eu não me importo se alguém disser diferente! ..</v>
      </c>
      <c r="B7948" s="3">
        <v>1</v>
      </c>
    </row>
    <row r="7949" ht="15.75" customHeight="1" spans="1:2">
      <c r="A7949" s="3" t="str">
        <f>IFERROR(__xludf.DUMMYFUNCTION("GOOGLETRANSLATE(A7949,""en"",""pt"")"),"Eu amo Harry Potter ..")</f>
        <v>Eu amo Harry Potter ..</v>
      </c>
      <c r="B7949" s="3">
        <v>1</v>
      </c>
    </row>
    <row r="7950" ht="15.75" customHeight="1" spans="1:2">
      <c r="A7950" s="3" t="str">
        <f>IFERROR(__xludf.DUMMYFUNCTION("GOOGLETRANSLATE(A7950,""en"",""pt"")"),"Eu amo Harry Potter.")</f>
        <v>Eu amo Harry Potter.</v>
      </c>
      <c r="B7950" s="3">
        <v>1</v>
      </c>
    </row>
    <row r="7951" ht="15.75" customHeight="1" spans="1:2">
      <c r="A7951" s="3" t="str">
        <f>IFERROR(__xludf.DUMMYFUNCTION("GOOGLETRANSLATE(A7951,""en"",""pt"")"),"Eu amo Harry Potter.")</f>
        <v>Eu amo Harry Potter.</v>
      </c>
      <c r="B7951" s="3">
        <v>1</v>
      </c>
    </row>
    <row r="7952" ht="15.75" customHeight="1" spans="1:2">
      <c r="A7952" s="3" t="str">
        <f>IFERROR(__xludf.DUMMYFUNCTION("GOOGLETRANSLATE(A7952,""en"",""pt"")"),"Vou começar a ler a série Harry Potter novamente, porque essa é uma história incrível.")</f>
        <v>Vou começar a ler a série Harry Potter novamente, porque essa é uma história incrível.</v>
      </c>
      <c r="B7952" s="3">
        <v>1</v>
      </c>
    </row>
    <row r="7953" ht="15.75" customHeight="1" spans="1:2">
      <c r="A7953" s="3" t="str">
        <f>IFERROR(__xludf.DUMMYFUNCTION("GOOGLETRANSLATE(A7953,""en"",""pt"")"),"I, também, como Harry Potter ..")</f>
        <v>I, também, como Harry Potter ..</v>
      </c>
      <c r="B7953" s="3">
        <v>1</v>
      </c>
    </row>
    <row r="7954" ht="15.75" customHeight="1" spans="1:2">
      <c r="A7954" s="3" t="str">
        <f>IFERROR(__xludf.DUMMYFUNCTION("GOOGLETRANSLATE(A7954,""en"",""pt"")"),"Quero estar aqui porque eu amo Harry Potter, e eu realmente quero um lugar onde as pessoas levam a sério, mas ainda é muito divertido.")</f>
        <v>Quero estar aqui porque eu amo Harry Potter, e eu realmente quero um lugar onde as pessoas levam a sério, mas ainda é muito divertido.</v>
      </c>
      <c r="B7954" s="3">
        <v>1</v>
      </c>
    </row>
    <row r="7955" ht="15.75" customHeight="1" spans="1:2">
      <c r="A7955" s="3" t="str">
        <f>IFERROR(__xludf.DUMMYFUNCTION("GOOGLETRANSLATE(A7955,""en"",""pt"")"),"Eu amo a série Harry Potter, se você pode contar isso como ""um"" livro, também Catcher Na Tye, Jane Eyre, The Virgin Suicides, sim ...")</f>
        <v>Eu amo a série Harry Potter, se você pode contar isso como "um" livro, também Catcher Na Tye, Jane Eyre, The Virgin Suicides, sim ...</v>
      </c>
      <c r="B7955" s="3">
        <v>1</v>
      </c>
    </row>
    <row r="7956" ht="15.75" customHeight="1" spans="1:2">
      <c r="A7956" s="3" t="str">
        <f>IFERROR(__xludf.DUMMYFUNCTION("GOOGLETRANSLATE(A7956,""en"",""pt"")"),"Eu estava pensando que deveríamos ter uma festa cowboy gay em homenagem ao desempenho estrelado por Val em Tito .:) E porque eu amo Brokeback Mountain ..")</f>
        <v>Eu estava pensando que deveríamos ter uma festa cowboy gay em homenagem ao desempenho estrelado por Val em Tito .:) E porque eu amo Brokeback Mountain ..</v>
      </c>
      <c r="B7956" s="3">
        <v>1</v>
      </c>
    </row>
    <row r="7957" ht="15.75" customHeight="1" spans="1:2">
      <c r="A7957" s="3" t="str">
        <f>IFERROR(__xludf.DUMMYFUNCTION("GOOGLETRANSLATE(A7957,""en"",""pt"")"),"Brokeback Mountain foi incrível, e me fez chorar como uma cadela.")</f>
        <v>Brokeback Mountain foi incrível, e me fez chorar como uma cadela.</v>
      </c>
      <c r="B7957" s="3">
        <v>1</v>
      </c>
    </row>
    <row r="7958" ht="15.75" customHeight="1" spans="1:2">
      <c r="A7958" s="3" t="str">
        <f>IFERROR(__xludf.DUMMYFUNCTION("GOOGLETRANSLATE(A7958,""en"",""pt"")"),"Brokeback Mountain é um filme excelente, eu adoro isso depois de vê-lo!")</f>
        <v>Brokeback Mountain é um filme excelente, eu adoro isso depois de vê-lo!</v>
      </c>
      <c r="B7958" s="3">
        <v>1</v>
      </c>
    </row>
    <row r="7959" ht="15.75" customHeight="1" spans="1:2">
      <c r="A7959" s="3" t="str">
        <f>IFERROR(__xludf.DUMMYFUNCTION("GOOGLETRANSLATE(A7959,""en"",""pt"")"),"Isso é como perguntar se ""montanha Brokeback"" é um bom representante de cowboys ...")</f>
        <v>Isso é como perguntar se "montanha Brokeback" é um bom representante de cowboys ...</v>
      </c>
      <c r="B7959" s="3">
        <v>1</v>
      </c>
    </row>
    <row r="7960" ht="15.75" customHeight="1" spans="1:2">
      <c r="A7960" s="3" t="str">
        <f>IFERROR(__xludf.DUMMYFUNCTION("GOOGLETRANSLATE(A7960,""en"",""pt"")")," Brokeback Mountain é uma grande história curta e explica mais, curiosamente, que o filme faz, mesmo que ambos cobertura o mesmo terreno cronológica.")</f>
        <v> Brokeback Mountain é uma grande história curta e explica mais, curiosamente, que o filme faz, mesmo que ambos cobertura o mesmo terreno cronológica.</v>
      </c>
      <c r="B7960" s="3">
        <v>1</v>
      </c>
    </row>
    <row r="7961" ht="15.75" customHeight="1" spans="1:2">
      <c r="A7961" s="3" t="str">
        <f>IFERROR(__xludf.DUMMYFUNCTION("GOOGLETRANSLATE(A7961,""en"",""pt"")"),"Brokeback Mountain é um bom filme.")</f>
        <v>Brokeback Mountain é um bom filme.</v>
      </c>
      <c r="B7961" s="3">
        <v>1</v>
      </c>
    </row>
    <row r="7962" ht="15.75" customHeight="1" spans="1:2">
      <c r="A7962" s="3" t="str">
        <f>IFERROR(__xludf.DUMMYFUNCTION("GOOGLETRANSLATE(A7962,""en"",""pt"")"),"Eu gostei do filme Brokeback Mountain.")</f>
        <v>Eu gostei do filme Brokeback Mountain.</v>
      </c>
      <c r="B7962" s="3">
        <v>1</v>
      </c>
    </row>
    <row r="7963" ht="15.75" customHeight="1" spans="1:2">
      <c r="A7963" s="3" t="str">
        <f>IFERROR(__xludf.DUMMYFUNCTION("GOOGLETRANSLATE(A7963,""en"",""pt"")"),"Eu quero fazer algo inesperado eu não vou fazer algo como Brokeback Mountain ou Alugar ou Bater ou qualquer coisa assim porque esses filmes são basicamente sobre diversidade.")</f>
        <v>Eu quero fazer algo inesperado eu não vou fazer algo como Brokeback Mountain ou Alugar ou Bater ou qualquer coisa assim porque esses filmes são basicamente sobre diversidade.</v>
      </c>
      <c r="B7963" s="3">
        <v>1</v>
      </c>
    </row>
    <row r="7964" ht="15.75" customHeight="1" spans="1:2">
      <c r="A7964" s="3" t="str">
        <f>IFERROR(__xludf.DUMMYFUNCTION("GOOGLETRANSLATE(A7964,""en"",""pt"")"),"E eu quero gritar um grande e gordo obrigado a esther por me chamar e perguntar se eu queria o roteiro montanha Brokeback da venda mph na expo ...")</f>
        <v>E eu quero gritar um grande e gordo obrigado a esther por me chamar e perguntar se eu queria o roteiro montanha Brokeback da venda mph na expo ...</v>
      </c>
      <c r="B7964" s="3">
        <v>1</v>
      </c>
    </row>
    <row r="7965" ht="15.75" customHeight="1" spans="1:2">
      <c r="A7965" s="3" t="str">
        <f>IFERROR(__xludf.DUMMYFUNCTION("GOOGLETRANSLATE(A7965,""en"",""pt"")"),"não, eu espero que isso não acabe como Brokeback Mountain.")</f>
        <v>não, eu espero que isso não acabe como Brokeback Mountain.</v>
      </c>
      <c r="B7965" s="3">
        <v>1</v>
      </c>
    </row>
    <row r="7966" ht="15.75" customHeight="1" spans="1:2">
      <c r="A7966" s="3" t="str">
        <f>IFERROR(__xludf.DUMMYFUNCTION("GOOGLETRANSLATE(A7966,""en"",""pt"")"),"caramba eu sinto falta contando notícias Brokeback Mountain !.")</f>
        <v>caramba eu sinto falta contando notícias Brokeback Mountain !.</v>
      </c>
      <c r="B7966" s="3">
        <v>1</v>
      </c>
    </row>
    <row r="7967" ht="15.75" customHeight="1" spans="1:2">
      <c r="A7967" s="3" t="str">
        <f>IFERROR(__xludf.DUMMYFUNCTION("GOOGLETRANSLATE(A7967,""en"",""pt"")"),"gotta montanha luv brokeback, lol ..")</f>
        <v>gotta montanha luv brokeback, lol ..</v>
      </c>
      <c r="B7967" s="3">
        <v>1</v>
      </c>
    </row>
    <row r="7968" ht="15.75" customHeight="1" spans="1:2">
      <c r="A7968" s="3" t="str">
        <f>IFERROR(__xludf.DUMMYFUNCTION("GOOGLETRANSLATE(A7968,""en"",""pt"")"),"chegou a cada um de nós assistindo, enquanto Brokeback Mountain foi apenas bonita para nós crianças (meu irmão e dois primos e eu assisti-lo com os meus pais).")</f>
        <v>chegou a cada um de nós assistindo, enquanto Brokeback Mountain foi apenas bonita para nós crianças (meu irmão e dois primos e eu assisti-lo com os meus pais).</v>
      </c>
      <c r="B7968" s="3">
        <v>1</v>
      </c>
    </row>
    <row r="7969" ht="15.75" customHeight="1" spans="1:2">
      <c r="A7969" s="3" t="str">
        <f>IFERROR(__xludf.DUMMYFUNCTION("GOOGLETRANSLATE(A7969,""en"",""pt"")"),"montanha Brokeback é incrível ..")</f>
        <v>montanha Brokeback é incrível ..</v>
      </c>
      <c r="B7969" s="3">
        <v>1</v>
      </c>
    </row>
    <row r="7970" ht="15.75" customHeight="1" spans="1:2">
      <c r="A7970" s="3" t="str">
        <f>IFERROR(__xludf.DUMMYFUNCTION("GOOGLETRANSLATE(A7970,""en"",""pt"")"),"Eu gostava de Brokeback Mountain-assisti-lo duas vezes.")</f>
        <v>Eu gostava de Brokeback Mountain-assisti-lo duas vezes.</v>
      </c>
      <c r="B7970" s="3">
        <v>1</v>
      </c>
    </row>
    <row r="7971" ht="15.75" customHeight="1" spans="1:2">
      <c r="A7971" s="3" t="str">
        <f>IFERROR(__xludf.DUMMYFUNCTION("GOOGLETRANSLATE(A7971,""en"",""pt"")"),"Eu fiz um bocado como Brokeback Mountain embora ...")</f>
        <v>Eu fiz um bocado como Brokeback Mountain embora ...</v>
      </c>
      <c r="B7971" s="3">
        <v>1</v>
      </c>
    </row>
    <row r="7972" ht="15.75" customHeight="1" spans="1:2">
      <c r="A7972" s="3" t="str">
        <f>IFERROR(__xludf.DUMMYFUNCTION("GOOGLETRANSLATE(A7972,""en"",""pt"")"),"E, quero dizer, eu amo Brokeback Mountain.")</f>
        <v>E, quero dizer, eu amo Brokeback Mountain.</v>
      </c>
      <c r="B7972" s="3">
        <v>1</v>
      </c>
    </row>
    <row r="7973" ht="15.75" customHeight="1" spans="1:2">
      <c r="A7973" s="3" t="str">
        <f>IFERROR(__xludf.DUMMYFUNCTION("GOOGLETRANSLATE(A7973,""en"",""pt"")")," Brokeback Mountain também foi muito excelente.")</f>
        <v> Brokeback Mountain também foi muito excelente.</v>
      </c>
      <c r="B7973" s="3">
        <v>1</v>
      </c>
    </row>
    <row r="7974" ht="15.75" customHeight="1" spans="1:2">
      <c r="A7974" s="3" t="str">
        <f>IFERROR(__xludf.DUMMYFUNCTION("GOOGLETRANSLATE(A7974,""en"",""pt"")"),"sim eu sei os dois filmes são de diferentes gêneros, mas pessoalmente eu gosto brokeback mountain melhor ...")</f>
        <v>sim eu sei os dois filmes são de diferentes gêneros, mas pessoalmente eu gosto brokeback mountain melhor ...</v>
      </c>
      <c r="B7974" s="3">
        <v>1</v>
      </c>
    </row>
    <row r="7975" ht="15.75" customHeight="1" spans="1:2">
      <c r="A7975" s="3" t="str">
        <f>IFERROR(__xludf.DUMMYFUNCTION("GOOGLETRANSLATE(A7975,""en"",""pt"")"),"Eu ainda amo Brokeback Mountain e Queer olho.")</f>
        <v>Eu ainda amo Brokeback Mountain e Queer olho.</v>
      </c>
      <c r="B7975" s="3">
        <v>1</v>
      </c>
    </row>
    <row r="7976" ht="15.75" customHeight="1" spans="1:2">
      <c r="A7976" s="3" t="str">
        <f>IFERROR(__xludf.DUMMYFUNCTION("GOOGLETRANSLATE(A7976,""en"",""pt"")"),"Eu gostava Bater um monte, eu gostava de Brokeback Mountain, mas GN &amp; GL foi o filme importante que os outros dois foram até sensacionalistas como sendo ...")</f>
        <v>Eu gostava Bater um monte, eu gostava de Brokeback Mountain, mas GN &amp; GL foi o filme importante que os outros dois foram até sensacionalistas como sendo ...</v>
      </c>
      <c r="B7976" s="3">
        <v>1</v>
      </c>
    </row>
    <row r="7977" ht="15.75" customHeight="1" spans="1:2">
      <c r="A7977" s="3" t="str">
        <f>IFERROR(__xludf.DUMMYFUNCTION("GOOGLETRANSLATE(A7977,""en"",""pt"")"),"i perca Brokeback Mountain.")</f>
        <v>i perca Brokeback Mountain.</v>
      </c>
      <c r="B7977" s="3">
        <v>1</v>
      </c>
    </row>
    <row r="7978" ht="15.75" customHeight="1" spans="1:2">
      <c r="A7978" s="3" t="str">
        <f>IFERROR(__xludf.DUMMYFUNCTION("GOOGLETRANSLATE(A7978,""en"",""pt"")"),"Brokeback Mountain foi bastante impressionante.")</f>
        <v>Brokeback Mountain foi bastante impressionante.</v>
      </c>
      <c r="B7978" s="3">
        <v>1</v>
      </c>
    </row>
    <row r="7979" ht="15.75" customHeight="1" spans="1:2">
      <c r="A7979" s="3" t="str">
        <f>IFERROR(__xludf.DUMMYFUNCTION("GOOGLETRANSLATE(A7979,""en"",""pt"")"),"Eu amo Brokeback Mountain.")</f>
        <v>Eu amo Brokeback Mountain.</v>
      </c>
      <c r="B7979" s="3">
        <v>1</v>
      </c>
    </row>
    <row r="7980" ht="15.75" customHeight="1" spans="1:2">
      <c r="A7980" s="3" t="str">
        <f>IFERROR(__xludf.DUMMYFUNCTION("GOOGLETRANSLATE(A7980,""en"",""pt"")"),"Eu amo Brokeback Mountain.")</f>
        <v>Eu amo Brokeback Mountain.</v>
      </c>
      <c r="B7980" s="3">
        <v>1</v>
      </c>
    </row>
    <row r="7981" ht="15.75" customHeight="1" spans="1:2">
      <c r="A7981" s="3" t="str">
        <f>IFERROR(__xludf.DUMMYFUNCTION("GOOGLETRANSLATE(A7981,""en"",""pt"")"),"Brokeback Mountain-Bonito, varrendo, movendo-se ...")</f>
        <v>Brokeback Mountain-Bonito, varrendo, movendo-se ...</v>
      </c>
      <c r="B7981" s="3">
        <v>1</v>
      </c>
    </row>
    <row r="7982" ht="15.75" customHeight="1" spans="1:2">
      <c r="A7982" s="3" t="str">
        <f>IFERROR(__xludf.DUMMYFUNCTION("GOOGLETRANSLATE(A7982,""en"",""pt"")"),"É BBM, uma história de Jake / Heath RPS, então imaginei que haveria interesse aqui desde que muitos de vocês, eu sei, viu e amou Brokeback Mountain.")</f>
        <v>É BBM, uma história de Jake / Heath RPS, então imaginei que haveria interesse aqui desde que muitos de vocês, eu sei, viu e amou Brokeback Mountain.</v>
      </c>
      <c r="B7982" s="3">
        <v>1</v>
      </c>
    </row>
    <row r="7983" ht="15.75" customHeight="1" spans="1:2">
      <c r="A7983" s="3" t="str">
        <f>IFERROR(__xludf.DUMMYFUNCTION("GOOGLETRANSLATE(A7983,""en"",""pt"")"),"E eu gosto de Brokeback Mountain.")</f>
        <v>E eu gosto de Brokeback Mountain.</v>
      </c>
      <c r="B7983" s="3">
        <v>1</v>
      </c>
    </row>
    <row r="7984" ht="15.75" customHeight="1" spans="1:2">
      <c r="A7984" s="3" t="str">
        <f>IFERROR(__xludf.DUMMYFUNCTION("GOOGLETRANSLATE(A7984,""en"",""pt"")"),"eu amo montanha Brokeback ..")</f>
        <v>eu amo montanha Brokeback ..</v>
      </c>
      <c r="B7984" s="3">
        <v>1</v>
      </c>
    </row>
    <row r="7985" ht="15.75" customHeight="1" spans="1:2">
      <c r="A7985" s="3" t="str">
        <f>IFERROR(__xludf.DUMMYFUNCTION("GOOGLETRANSLATE(A7985,""en"",""pt"")"),"Eu amo montanha Brokeback.")</f>
        <v>Eu amo montanha Brokeback.</v>
      </c>
      <c r="B7985" s="3">
        <v>1</v>
      </c>
    </row>
    <row r="7986" ht="15.75" customHeight="1" spans="1:2">
      <c r="A7986" s="3" t="str">
        <f>IFERROR(__xludf.DUMMYFUNCTION("GOOGLETRANSLATE(A7986,""en"",""pt"")"),"Então, eu realmente gostei de Brokeback Mountain.")</f>
        <v>Então, eu realmente gostei de Brokeback Mountain.</v>
      </c>
      <c r="B7986" s="3">
        <v>1</v>
      </c>
    </row>
    <row r="7987" ht="15.75" customHeight="1" spans="1:2">
      <c r="A7987" s="3" t="str">
        <f>IFERROR(__xludf.DUMMYFUNCTION("GOOGLETRANSLATE(A7987,""en"",""pt"")"),"Estávamos no Dick e sim, chapéu de Daniel realmente diz ""Eu amo Brokeback Mountain"" !!!")</f>
        <v>Estávamos no Dick e sim, chapéu de Daniel realmente diz "Eu amo Brokeback Mountain" !!!</v>
      </c>
      <c r="B7987" s="3">
        <v>1</v>
      </c>
    </row>
    <row r="7988" ht="15.75" customHeight="1" spans="1:2">
      <c r="A7988" s="3" t="str">
        <f>IFERROR(__xludf.DUMMYFUNCTION("GOOGLETRANSLATE(A7988,""en"",""pt"")"),"Brokeback Mountain é um lugar bonito, pitoresco, curiosamente atraente, impressionante.")</f>
        <v>Brokeback Mountain é um lugar bonito, pitoresco, curiosamente atraente, impressionante.</v>
      </c>
      <c r="B7988" s="3">
        <v>1</v>
      </c>
    </row>
    <row r="7989" ht="15.75" customHeight="1" spans="1:2">
      <c r="A7989" s="3" t="str">
        <f>IFERROR(__xludf.DUMMYFUNCTION("GOOGLETRANSLATE(A7989,""en"",""pt"")"),"vimos Brokeback Mountain, que foi incrível.")</f>
        <v>vimos Brokeback Mountain, que foi incrível.</v>
      </c>
      <c r="B7989" s="3">
        <v>1</v>
      </c>
    </row>
    <row r="7990" ht="15.75" customHeight="1" spans="1:2">
      <c r="A7990" s="3" t="str">
        <f>IFERROR(__xludf.DUMMYFUNCTION("GOOGLETRANSLATE(A7990,""en"",""pt"")"),"Em seguida, volta para a minha casa para assistir ""Brokeback Mountain"", que é um belo filme ainda triste.")</f>
        <v>Em seguida, volta para a minha casa para assistir "Brokeback Mountain", que é um belo filme ainda triste.</v>
      </c>
      <c r="B7990" s="3">
        <v>1</v>
      </c>
    </row>
    <row r="7991" ht="15.75" customHeight="1" spans="1:2">
      <c r="A7991" s="3" t="str">
        <f>IFERROR(__xludf.DUMMYFUNCTION("GOOGLETRANSLATE(A7991,""en"",""pt"")"),"Brokeback Mountain é incrível !.")</f>
        <v>Brokeback Mountain é incrível !.</v>
      </c>
      <c r="B7991" s="3">
        <v>1</v>
      </c>
    </row>
    <row r="7992" ht="15.75" customHeight="1" spans="1:2">
      <c r="A7992" s="3" t="str">
        <f>IFERROR(__xludf.DUMMYFUNCTION("GOOGLETRANSLATE(A7992,""en"",""pt"")"),"Ontem um turista asiático teve um dos nossos cavalos e abraçou um dos Wranglers e disse him'I amou Brokeback Mountain'.")</f>
        <v>Ontem um turista asiático teve um dos nossos cavalos e abraçou um dos Wranglers e disse him'I amou Brokeback Mountain'.</v>
      </c>
      <c r="B7992" s="3">
        <v>1</v>
      </c>
    </row>
    <row r="7993" ht="15.75" customHeight="1" spans="1:2">
      <c r="A7993" s="3" t="str">
        <f>IFERROR(__xludf.DUMMYFUNCTION("GOOGLETRANSLATE(A7993,""en"",""pt"")"),"Brokeback Mountain era um filme impressionante.")</f>
        <v>Brokeback Mountain era um filme impressionante.</v>
      </c>
      <c r="B7993" s="3">
        <v>1</v>
      </c>
    </row>
    <row r="7994" ht="15.75" customHeight="1" spans="1:2">
      <c r="A7994" s="3" t="str">
        <f>IFERROR(__xludf.DUMMYFUNCTION("GOOGLETRANSLATE(A7994,""en"",""pt"")"),"Brokeback Mountain foi bonito ..")</f>
        <v>Brokeback Mountain foi bonito ..</v>
      </c>
      <c r="B7994" s="3">
        <v>1</v>
      </c>
    </row>
    <row r="7995" ht="15.75" customHeight="1" spans="1:2">
      <c r="A7995" s="3" t="str">
        <f>IFERROR(__xludf.DUMMYFUNCTION("GOOGLETRANSLATE(A7995,""en"",""pt"")"),"então eu ouvi montanha Brokeback era um movimento IMPRESSIONANTE !!")</f>
        <v>então eu ouvi montanha Brokeback era um movimento IMPRESSIONANTE !!</v>
      </c>
      <c r="B7995" s="3">
        <v>1</v>
      </c>
    </row>
    <row r="7996" ht="15.75" customHeight="1" spans="1:2">
      <c r="A7996" s="3" t="str">
        <f>IFERROR(__xludf.DUMMYFUNCTION("GOOGLETRANSLATE(A7996,""en"",""pt"")"),"montanha Brokeback é um filme tão bonito.")</f>
        <v>montanha Brokeback é um filme tão bonito.</v>
      </c>
      <c r="B7996" s="3">
        <v>1</v>
      </c>
    </row>
    <row r="7997" ht="15.75" customHeight="1" spans="1:2">
      <c r="A7997" s="3" t="str">
        <f>IFERROR(__xludf.DUMMYFUNCTION("GOOGLETRANSLATE(A7997,""en"",""pt"")"),"Brokeback Mountain é uma bela história, eu espero que você chegar em suas mãos uma cópia.")</f>
        <v>Brokeback Mountain é uma bela história, eu espero que você chegar em suas mãos uma cópia.</v>
      </c>
      <c r="B7997" s="3">
        <v>1</v>
      </c>
    </row>
    <row r="7998" ht="15.75" customHeight="1" spans="1:2">
      <c r="A7998" s="3" t="str">
        <f>IFERROR(__xludf.DUMMYFUNCTION("GOOGLETRANSLATE(A7998,""en"",""pt"")"),"Brokeback Mountain é linda.")</f>
        <v>Brokeback Mountain é linda.</v>
      </c>
      <c r="B7998" s="3">
        <v>1</v>
      </c>
    </row>
    <row r="7999" ht="15.75" customHeight="1" spans="1:2">
      <c r="A7999" s="3" t="str">
        <f>IFERROR(__xludf.DUMMYFUNCTION("GOOGLETRANSLATE(A7999,""en"",""pt"")"),"Cara, eu amo Brokeback Mountain.")</f>
        <v>Cara, eu amo Brokeback Mountain.</v>
      </c>
      <c r="B7999" s="3">
        <v>1</v>
      </c>
    </row>
    <row r="8000" ht="15.75" customHeight="1" spans="1:2">
      <c r="A8000" s="3" t="str">
        <f>IFERROR(__xludf.DUMMYFUNCTION("GOOGLETRANSLATE(A8000,""en"",""pt"")"),"Brokeback Mountain é uma história incrível amor, foi muito triste ...")</f>
        <v>Brokeback Mountain é uma história incrível amor, foi muito triste ...</v>
      </c>
      <c r="B8000" s="3">
        <v>1</v>
      </c>
    </row>
    <row r="8001" ht="15.75" customHeight="1" spans="1:2">
      <c r="A8001" s="3" t="str">
        <f>IFERROR(__xludf.DUMMYFUNCTION("GOOGLETRANSLATE(A8001,""en"",""pt"")"),"Eu amei Brokeback Mountain, Good Night and Good Luck and Riding Giants a mais, e Napoleon Dynamite a menos ...")</f>
        <v>Eu amei Brokeback Mountain, Good Night and Good Luck and Riding Giants a mais, e Napoleon Dynamite a menos ...</v>
      </c>
      <c r="B8001" s="3">
        <v>1</v>
      </c>
    </row>
    <row r="8002" ht="15.75" customHeight="1" spans="1:2">
      <c r="A8002" s="3" t="str">
        <f>IFERROR(__xludf.DUMMYFUNCTION("GOOGLETRANSLATE(A8002,""en"",""pt"")"),"EU AMO O Segredo de Brokeback Mountain, mas isso é uma escolha PC tolo para melhor beijo.")</f>
        <v>EU AMO O Segredo de Brokeback Mountain, mas isso é uma escolha PC tolo para melhor beijo.</v>
      </c>
      <c r="B8002" s="3">
        <v>1</v>
      </c>
    </row>
    <row r="8003" ht="15.75" customHeight="1" spans="1:2">
      <c r="A8003" s="3" t="str">
        <f>IFERROR(__xludf.DUMMYFUNCTION("GOOGLETRANSLATE(A8003,""en"",""pt"")"),"De qualquer forma, eu AMEI Brokeback Mountain ...")</f>
        <v>De qualquer forma, eu AMEI Brokeback Mountain ...</v>
      </c>
      <c r="B8003" s="3">
        <v>1</v>
      </c>
    </row>
    <row r="8004" ht="15.75" customHeight="1" spans="1:2">
      <c r="A8004" s="3" t="str">
        <f>IFERROR(__xludf.DUMMYFUNCTION("GOOGLETRANSLATE(A8004,""en"",""pt"")"),"eu pensei que aquela montanha Brokeback era incrivelmente bonita!")</f>
        <v>eu pensei que aquela montanha Brokeback era incrivelmente bonita!</v>
      </c>
      <c r="B8004" s="3">
        <v>1</v>
      </c>
    </row>
    <row r="8005" ht="15.75" customHeight="1" spans="1:2">
      <c r="A8005" s="3" t="str">
        <f>IFERROR(__xludf.DUMMYFUNCTION("GOOGLETRANSLATE(A8005,""en"",""pt"")"),"Eu amei Brokeback Mountain e vai verificar o contos um destes dias ..")</f>
        <v>Eu amei Brokeback Mountain e vai verificar o contos um destes dias ..</v>
      </c>
      <c r="B8005" s="3">
        <v>1</v>
      </c>
    </row>
    <row r="8006" ht="15.75" customHeight="1" spans="1:2">
      <c r="A8006" s="3" t="str">
        <f>IFERROR(__xludf.DUMMYFUNCTION("GOOGLETRANSLATE(A8006,""en"",""pt"")"),"EU AMO Brokeback Mountain !!!")</f>
        <v>EU AMO Brokeback Mountain !!!</v>
      </c>
      <c r="B8006" s="3">
        <v>1</v>
      </c>
    </row>
    <row r="8007" ht="15.75" customHeight="1" spans="1:2">
      <c r="A8007" s="3" t="str">
        <f>IFERROR(__xludf.DUMMYFUNCTION("GOOGLETRANSLATE(A8007,""en"",""pt"")"),"EU AMEI Brokeback Mountain ..")</f>
        <v>EU AMEI Brokeback Mountain ..</v>
      </c>
      <c r="B8007" s="3">
        <v>1</v>
      </c>
    </row>
    <row r="8008" ht="15.75" customHeight="1" spans="1:2">
      <c r="A8008" s="3" t="str">
        <f>IFERROR(__xludf.DUMMYFUNCTION("GOOGLETRANSLATE(A8008,""en"",""pt"")"),"Eu amo montanha Brokeback tanto !!!!.")</f>
        <v>Eu amo montanha Brokeback tanto !!!!.</v>
      </c>
      <c r="B8008" s="3">
        <v>1</v>
      </c>
    </row>
    <row r="8009" ht="15.75" customHeight="1" spans="1:2">
      <c r="A8009" s="3" t="str">
        <f>IFERROR(__xludf.DUMMYFUNCTION("GOOGLETRANSLATE(A8009,""en"",""pt"")"),"Brokeback Mountain é um filme espetacularmente bela.")</f>
        <v>Brokeback Mountain é um filme espetacularmente bela.</v>
      </c>
      <c r="B8009" s="3">
        <v>1</v>
      </c>
    </row>
    <row r="8010" ht="15.75" customHeight="1" spans="1:2">
      <c r="A8010" s="3" t="str">
        <f>IFERROR(__xludf.DUMMYFUNCTION("GOOGLETRANSLATE(A8010,""en"",""pt"")"),"Quero dizer, é claro, você sabe que eu amo Brokeback Mountain, que, confesso, pode fazer o meu julgamento tendencioso.")</f>
        <v>Quero dizer, é claro, você sabe que eu amo Brokeback Mountain, que, confesso, pode fazer o meu julgamento tendencioso.</v>
      </c>
      <c r="B8010" s="3">
        <v>1</v>
      </c>
    </row>
    <row r="8011" ht="15.75" customHeight="1" spans="1:2">
      <c r="A8011" s="3" t="str">
        <f>IFERROR(__xludf.DUMMYFUNCTION("GOOGLETRANSLATE(A8011,""en"",""pt"")"),"Eu amo Brokeback Mountain.")</f>
        <v>Eu amo Brokeback Mountain.</v>
      </c>
      <c r="B8011" s="3">
        <v>1</v>
      </c>
    </row>
    <row r="8012" ht="15.75" customHeight="1" spans="1:2">
      <c r="A8012" s="3" t="str">
        <f>IFERROR(__xludf.DUMMYFUNCTION("GOOGLETRANSLATE(A8012,""en"",""pt"")"),"Eu também adorava Brokeback Mountain.")</f>
        <v>Eu também adorava Brokeback Mountain.</v>
      </c>
      <c r="B8012" s="3">
        <v>1</v>
      </c>
    </row>
    <row r="8013" ht="15.75" customHeight="1" spans="1:2">
      <c r="A8013" s="3" t="str">
        <f>IFERROR(__xludf.DUMMYFUNCTION("GOOGLETRANSLATE(A8013,""en"",""pt"")"),"Eu amo Brokeback Mountain ...")</f>
        <v>Eu amo Brokeback Mountain ...</v>
      </c>
      <c r="B8013" s="3">
        <v>1</v>
      </c>
    </row>
    <row r="8014" ht="15.75" customHeight="1" spans="1:2">
      <c r="A8014" s="3" t="str">
        <f>IFERROR(__xludf.DUMMYFUNCTION("GOOGLETRANSLATE(A8014,""en"",""pt"")"),"Brokeback Mountain é um filme bonito ..")</f>
        <v>Brokeback Mountain é um filme bonito ..</v>
      </c>
      <c r="B8014" s="3">
        <v>1</v>
      </c>
    </row>
    <row r="8015" ht="15.75" customHeight="1" spans="1:2">
      <c r="A8015" s="3" t="str">
        <f>IFERROR(__xludf.DUMMYFUNCTION("GOOGLETRANSLATE(A8015,""en"",""pt"")"),"Porque eu amo Brokeback Mountain.")</f>
        <v>Porque eu amo Brokeback Mountain.</v>
      </c>
      <c r="B8015" s="3">
        <v>1</v>
      </c>
    </row>
    <row r="8016" ht="15.75" customHeight="1" spans="1:2">
      <c r="A8016" s="3" t="str">
        <f>IFERROR(__xludf.DUMMYFUNCTION("GOOGLETRANSLATE(A8016,""en"",""pt"")"),"montanha Brokeback é um filme tão incrível.")</f>
        <v>montanha Brokeback é um filme tão incrível.</v>
      </c>
      <c r="B8016" s="3">
        <v>1</v>
      </c>
    </row>
    <row r="8017" ht="15.75" customHeight="1" spans="1:2">
      <c r="A8017" s="3" t="str">
        <f>IFERROR(__xludf.DUMMYFUNCTION("GOOGLETRANSLATE(A8017,""en"",""pt"")"),"mesmo que eu realmente amei montanha Brokeback ...")</f>
        <v>mesmo que eu realmente amei montanha Brokeback ...</v>
      </c>
      <c r="B8017" s="3">
        <v>1</v>
      </c>
    </row>
    <row r="8018" ht="15.75" customHeight="1" spans="1:2">
      <c r="A8018" s="3" t="str">
        <f>IFERROR(__xludf.DUMMYFUNCTION("GOOGLETRANSLATE(A8018,""en"",""pt"")"),"e nós snuck] e vai Springer de. [Brokeback Mountain É IMPRESSIONANTE !!! - Sim, eu finalmente vi.")</f>
        <v>e nós snuck] e vai Springer de. [Brokeback Mountain É IMPRESSIONANTE !!! - Sim, eu finalmente vi.</v>
      </c>
      <c r="B8018" s="3">
        <v>1</v>
      </c>
    </row>
    <row r="8019" ht="15.75" customHeight="1" spans="1:2">
      <c r="A8019" s="3" t="str">
        <f>IFERROR(__xludf.DUMMYFUNCTION("GOOGLETRANSLATE(A8019,""en"",""pt"")"),"EU AMO A MONTANHA brokeback ..")</f>
        <v>EU AMO A MONTANHA brokeback ..</v>
      </c>
      <c r="B8019" s="3">
        <v>1</v>
      </c>
    </row>
    <row r="8020" ht="15.75" customHeight="1" spans="1:2">
      <c r="A8020" s="3" t="str">
        <f>IFERROR(__xludf.DUMMYFUNCTION("GOOGLETRANSLATE(A8020,""en"",""pt"")"),"eu amo montanha Brokeback.")</f>
        <v>eu amo montanha Brokeback.</v>
      </c>
      <c r="B8020" s="3">
        <v>1</v>
      </c>
    </row>
    <row r="8021" ht="15.75" customHeight="1" spans="1:2">
      <c r="A8021" s="3" t="str">
        <f>IFERROR(__xludf.DUMMYFUNCTION("GOOGLETRANSLATE(A8021,""en"",""pt"")"),"que amou montanha Brokeback :.")</f>
        <v>que amou montanha Brokeback :.</v>
      </c>
      <c r="B8021" s="3">
        <v>1</v>
      </c>
    </row>
    <row r="8022" ht="15.75" customHeight="1" spans="1:2">
      <c r="A8022" s="3" t="str">
        <f>IFERROR(__xludf.DUMMYFUNCTION("GOOGLETRANSLATE(A8022,""en"",""pt"")"),"depois do jantar, vimos montanha Brokeback, que é um filme impressionante!")</f>
        <v>depois do jantar, vimos montanha Brokeback, que é um filme impressionante!</v>
      </c>
      <c r="B8022" s="3">
        <v>1</v>
      </c>
    </row>
    <row r="8023" ht="15.75" customHeight="1" spans="1:2">
      <c r="A8023" s="3" t="str">
        <f>IFERROR(__xludf.DUMMYFUNCTION("GOOGLETRANSLATE(A8023,""en"",""pt"")"),"EU AMO Brokeback Mountain ..")</f>
        <v>EU AMO Brokeback Mountain ..</v>
      </c>
      <c r="B8023" s="3">
        <v>1</v>
      </c>
    </row>
    <row r="8024" ht="15.75" customHeight="1" spans="1:2">
      <c r="A8024" s="3" t="str">
        <f>IFERROR(__xludf.DUMMYFUNCTION("GOOGLETRANSLATE(A8024,""en"",""pt"")"),"Assisti ""O Segredo de Brokeback Mountain"", que foi muito bonito e triste.")</f>
        <v>Assisti "O Segredo de Brokeback Mountain", que foi muito bonito e triste.</v>
      </c>
      <c r="B8024" s="3">
        <v>1</v>
      </c>
    </row>
    <row r="8025" ht="15.75" customHeight="1" spans="1:2">
      <c r="A8025" s="3" t="str">
        <f>IFERROR(__xludf.DUMMYFUNCTION("GOOGLETRANSLATE(A8025,""en"",""pt"")"),"adormeceu durante o último um, mas eu amei ""montanha Brokeback.")</f>
        <v>adormeceu durante o último um, mas eu amei "montanha Brokeback.</v>
      </c>
      <c r="B8025" s="3">
        <v>1</v>
      </c>
    </row>
    <row r="8026" ht="15.75" customHeight="1" spans="1:2">
      <c r="A8026" s="3" t="str">
        <f>IFERROR(__xludf.DUMMYFUNCTION("GOOGLETRANSLATE(A8026,""en"",""pt"")"),"Eu amo montanha Brokeback com todo o meu pequeno coração rosa ...")</f>
        <v>Eu amo montanha Brokeback com todo o meu pequeno coração rosa ...</v>
      </c>
      <c r="B8026" s="3">
        <v>1</v>
      </c>
    </row>
    <row r="8027" ht="15.75" customHeight="1" spans="1:2">
      <c r="A8027" s="3" t="str">
        <f>IFERROR(__xludf.DUMMYFUNCTION("GOOGLETRANSLATE(A8027,""en"",""pt"")"),"Assim eu mencionei o quanto eu amo Brokeback Mountain ainda ?!")</f>
        <v>Assim eu mencionei o quanto eu amo Brokeback Mountain ainda ?!</v>
      </c>
      <c r="B8027" s="3">
        <v>1</v>
      </c>
    </row>
    <row r="8028" ht="15.75" customHeight="1" spans="1:2">
      <c r="A8028" s="3" t="str">
        <f>IFERROR(__xludf.DUMMYFUNCTION("GOOGLETRANSLATE(A8028,""en"",""pt"")"),"Tanto quanto eu amo Brokeback Mountain, é uma vergonha que Capote e Transamerica (")</f>
        <v>Tanto quanto eu amo Brokeback Mountain, é uma vergonha que Capote e Transamerica (</v>
      </c>
      <c r="B8028" s="3">
        <v>1</v>
      </c>
    </row>
    <row r="8029" ht="15.75" customHeight="1" spans="1:2">
      <c r="A8029" s="3" t="str">
        <f>IFERROR(__xludf.DUMMYFUNCTION("GOOGLETRANSLATE(A8029,""en"",""pt"")"),"Eu amo ""Brokeback Mountain"" ..")</f>
        <v>Eu amo "Brokeback Mountain" ..</v>
      </c>
      <c r="B8029" s="3">
        <v>1</v>
      </c>
    </row>
    <row r="8030" ht="15.75" customHeight="1" spans="1:2">
      <c r="A8030" s="3" t="str">
        <f>IFERROR(__xludf.DUMMYFUNCTION("GOOGLETRANSLATE(A8030,""en"",""pt"")"),"Eu mencionei que eu AMOR Brokeback Mountain.")</f>
        <v>Eu mencionei que eu AMOR Brokeback Mountain.</v>
      </c>
      <c r="B8030" s="3">
        <v>1</v>
      </c>
    </row>
    <row r="8031" ht="15.75" customHeight="1" spans="1:2">
      <c r="A8031" s="3" t="str">
        <f>IFERROR(__xludf.DUMMYFUNCTION("GOOGLETRANSLATE(A8031,""en"",""pt"")"),"EU AMO Brokeback Mountain !!")</f>
        <v>EU AMO Brokeback Mountain !!</v>
      </c>
      <c r="B8031" s="3">
        <v>1</v>
      </c>
    </row>
    <row r="8032" ht="15.75" customHeight="1" spans="1:2">
      <c r="A8032" s="3" t="str">
        <f>IFERROR(__xludf.DUMMYFUNCTION("GOOGLETRANSLATE(A8032,""en"",""pt"")"),"Eu amo Brokeback Mountain, mas é realmente triste. :( ..")</f>
        <v>Eu amo Brokeback Mountain, mas é realmente triste. :( ..</v>
      </c>
      <c r="B8032" s="3">
        <v>1</v>
      </c>
    </row>
    <row r="8033" ht="15.75" customHeight="1" spans="1:2">
      <c r="A8033" s="3" t="str">
        <f>IFERROR(__xludf.DUMMYFUNCTION("GOOGLETRANSLATE(A8033,""en"",""pt"")"),"Eu amo montanha Brokeback.")</f>
        <v>Eu amo montanha Brokeback.</v>
      </c>
      <c r="B8033" s="3">
        <v>1</v>
      </c>
    </row>
    <row r="8034" ht="15.75" customHeight="1" spans="1:2">
      <c r="A8034" s="3" t="str">
        <f>IFERROR(__xludf.DUMMYFUNCTION("GOOGLETRANSLATE(A8034,""en"",""pt"")"),"É por isso que eu amo montanha Brokeback, além de Ang Lee ..")</f>
        <v>É por isso que eu amo montanha Brokeback, além de Ang Lee ..</v>
      </c>
      <c r="B8034" s="3">
        <v>1</v>
      </c>
    </row>
    <row r="8035" ht="15.75" customHeight="1" spans="1:2">
      <c r="A8035" s="3" t="str">
        <f>IFERROR(__xludf.DUMMYFUNCTION("GOOGLETRANSLATE(A8035,""en"",""pt"")"),"eu amei montanha Brokeback!")</f>
        <v>eu amei montanha Brokeback!</v>
      </c>
      <c r="B8035" s="3">
        <v>1</v>
      </c>
    </row>
    <row r="8036" ht="15.75" customHeight="1" spans="1:2">
      <c r="A8036" s="3" t="str">
        <f>IFERROR(__xludf.DUMMYFUNCTION("GOOGLETRANSLATE(A8036,""en"",""pt"")"),"Brokeback Mountain é um belo filme ..")</f>
        <v>Brokeback Mountain é um belo filme ..</v>
      </c>
      <c r="B8036" s="3">
        <v>1</v>
      </c>
    </row>
    <row r="8037" ht="15.75" customHeight="1" spans="1:2">
      <c r="A8037" s="3" t="str">
        <f>IFERROR(__xludf.DUMMYFUNCTION("GOOGLETRANSLATE(A8037,""en"",""pt"")"),"Eu adoro montanha Brokeback ....")</f>
        <v>Eu adoro montanha Brokeback ....</v>
      </c>
      <c r="B8037" s="3">
        <v>1</v>
      </c>
    </row>
    <row r="8038" ht="15.75" customHeight="1" spans="1:2">
      <c r="A8038" s="3" t="str">
        <f>IFERROR(__xludf.DUMMYFUNCTION("GOOGLETRANSLATE(A8038,""en"",""pt"")"),"Brokeback Mountain foi incrível ..")</f>
        <v>Brokeback Mountain foi incrível ..</v>
      </c>
      <c r="B8038" s="3">
        <v>1</v>
      </c>
    </row>
    <row r="8039" ht="15.75" customHeight="1" spans="1:2">
      <c r="A8039" s="3" t="str">
        <f>IFERROR(__xludf.DUMMYFUNCTION("GOOGLETRANSLATE(A8039,""en"",""pt"")"),"em qualquer caso, eu amei montanha Brokeback.")</f>
        <v>em qualquer caso, eu amei montanha Brokeback.</v>
      </c>
      <c r="B8039" s="3">
        <v>1</v>
      </c>
    </row>
    <row r="8040" ht="15.75" customHeight="1" spans="1:2">
      <c r="A8040" s="3" t="str">
        <f>IFERROR(__xludf.DUMMYFUNCTION("GOOGLETRANSLATE(A8040,""en"",""pt"")"),"Eu adoro jogar posições defensivas e eu amo montanha Brokeback ..")</f>
        <v>Eu adoro jogar posições defensivas e eu amo montanha Brokeback ..</v>
      </c>
      <c r="B8040" s="3">
        <v>1</v>
      </c>
    </row>
    <row r="8041" ht="15.75" customHeight="1" spans="1:2">
      <c r="A8041" s="3" t="str">
        <f>IFERROR(__xludf.DUMMYFUNCTION("GOOGLETRANSLATE(A8041,""en"",""pt"")"),"Eu amei montanha Brokeback, mas, novamente eu amo gays lol.")</f>
        <v>Eu amei montanha Brokeback, mas, novamente eu amo gays lol.</v>
      </c>
      <c r="B8041" s="3">
        <v>1</v>
      </c>
    </row>
    <row r="8042" ht="15.75" customHeight="1" spans="1:2">
      <c r="A8042" s="3" t="str">
        <f>IFERROR(__xludf.DUMMYFUNCTION("GOOGLETRANSLATE(A8042,""en"",""pt"")"),"Brokeback Mountain foi INCRÍVEIS !!!!")</f>
        <v>Brokeback Mountain foi INCRÍVEIS !!!!</v>
      </c>
      <c r="B8042" s="3">
        <v>1</v>
      </c>
    </row>
    <row r="8043" ht="15.75" customHeight="1" spans="1:2">
      <c r="A8043" s="3" t="str">
        <f>IFERROR(__xludf.DUMMYFUNCTION("GOOGLETRANSLATE(A8043,""en"",""pt"")"),"montanha Brokeback é incrível.")</f>
        <v>montanha Brokeback é incrível.</v>
      </c>
      <c r="B8043" s="3">
        <v>1</v>
      </c>
    </row>
    <row r="8044" ht="15.75" customHeight="1" spans="1:2">
      <c r="A8044" s="3" t="str">
        <f>IFERROR(__xludf.DUMMYFUNCTION("GOOGLETRANSLATE(A8044,""en"",""pt"")"),"Eu amei Brokeback Mountain.")</f>
        <v>Eu amei Brokeback Mountain.</v>
      </c>
      <c r="B8044" s="3">
        <v>1</v>
      </c>
    </row>
    <row r="8045" ht="15.75" customHeight="1" spans="1:2">
      <c r="A8045" s="3" t="str">
        <f>IFERROR(__xludf.DUMMYFUNCTION("GOOGLETRANSLATE(A8045,""en"",""pt"")"),"EU AMO Brokeback Mountain! ....")</f>
        <v>EU AMO Brokeback Mountain! ....</v>
      </c>
      <c r="B8045" s="3">
        <v>1</v>
      </c>
    </row>
    <row r="8046" ht="15.75" customHeight="1" spans="1:2">
      <c r="A8046" s="3" t="str">
        <f>IFERROR(__xludf.DUMMYFUNCTION("GOOGLETRANSLATE(A8046,""en"",""pt"")"),"Eu realmente amo Brokeback Mountain, é um filme maravilhoso !!!")</f>
        <v>Eu realmente amo Brokeback Mountain, é um filme maravilhoso !!!</v>
      </c>
      <c r="B8046" s="3">
        <v>1</v>
      </c>
    </row>
    <row r="8047" ht="15.75" customHeight="1" spans="1:2">
      <c r="A8047" s="3" t="str">
        <f>IFERROR(__xludf.DUMMYFUNCTION("GOOGLETRANSLATE(A8047,""en"",""pt"")"),"Brokeback Mountain é um belo filme ...")</f>
        <v>Brokeback Mountain é um belo filme ...</v>
      </c>
      <c r="B8047" s="3">
        <v>1</v>
      </c>
    </row>
    <row r="8048" ht="15.75" customHeight="1" spans="1:2">
      <c r="A8048" s="3" t="str">
        <f>IFERROR(__xludf.DUMMYFUNCTION("GOOGLETRANSLATE(A8048,""en"",""pt"")"),"Eu amo Brokeback Mountain ....")</f>
        <v>Eu amo Brokeback Mountain ....</v>
      </c>
      <c r="B8048" s="3">
        <v>1</v>
      </c>
    </row>
    <row r="8049" ht="15.75" customHeight="1" spans="1:2">
      <c r="A8049" s="3" t="str">
        <f>IFERROR(__xludf.DUMMYFUNCTION("GOOGLETRANSLATE(A8049,""en"",""pt"")"),"Eu amei montanha Brokeback ..")</f>
        <v>Eu amei montanha Brokeback ..</v>
      </c>
      <c r="B8049" s="3">
        <v>1</v>
      </c>
    </row>
    <row r="8050" ht="15.75" customHeight="1" spans="1:2">
      <c r="A8050" s="3" t="str">
        <f>IFERROR(__xludf.DUMMYFUNCTION("GOOGLETRANSLATE(A8050,""en"",""pt"")")," Brokeback Mountain era um filme impressionante. &lt;33 ..")</f>
        <v> Brokeback Mountain era um filme impressionante. &lt;33 ..</v>
      </c>
      <c r="B8050" s="3">
        <v>1</v>
      </c>
    </row>
    <row r="8051" ht="15.75" customHeight="1" spans="1:2">
      <c r="A8051" s="3" t="str">
        <f>IFERROR(__xludf.DUMMYFUNCTION("GOOGLETRANSLATE(A8051,""en"",""pt"")"),"Obrigado! omg eu amo Brokeback Mountain!")</f>
        <v>Obrigado! omg eu amo Brokeback Mountain!</v>
      </c>
      <c r="B8051" s="3">
        <v>1</v>
      </c>
    </row>
    <row r="8052" ht="15.75" customHeight="1" spans="1:2">
      <c r="A8052" s="3" t="str">
        <f>IFERROR(__xludf.DUMMYFUNCTION("GOOGLETRANSLATE(A8052,""en"",""pt"")"),"Eu amo Brokeback Mountain.")</f>
        <v>Eu amo Brokeback Mountain.</v>
      </c>
      <c r="B8052" s="3">
        <v>1</v>
      </c>
    </row>
    <row r="8053" ht="15.75" customHeight="1" spans="1:2">
      <c r="A8053" s="3" t="str">
        <f>IFERROR(__xludf.DUMMYFUNCTION("GOOGLETRANSLATE(A8053,""en"",""pt"")"),"Eu amo montanha Brokeback.")</f>
        <v>Eu amo montanha Brokeback.</v>
      </c>
      <c r="B8053" s="3">
        <v>1</v>
      </c>
    </row>
    <row r="8054" ht="15.75" customHeight="1" spans="1:2">
      <c r="A8054" s="3" t="str">
        <f>IFERROR(__xludf.DUMMYFUNCTION("GOOGLETRANSLATE(A8054,""en"",""pt"")"),"Brokeback Mountain é um belo filme ...")</f>
        <v>Brokeback Mountain é um belo filme ...</v>
      </c>
      <c r="B8054" s="3">
        <v>1</v>
      </c>
    </row>
    <row r="8055" ht="15.75" customHeight="1" spans="1:2">
      <c r="A8055" s="3" t="str">
        <f>IFERROR(__xludf.DUMMYFUNCTION("GOOGLETRANSLATE(A8055,""en"",""pt"")"),"EU AMO O Segredo de Brokeback Mountain ...")</f>
        <v>EU AMO O Segredo de Brokeback Mountain ...</v>
      </c>
      <c r="B8055" s="3">
        <v>1</v>
      </c>
    </row>
    <row r="8056" ht="15.75" customHeight="1" spans="1:2">
      <c r="A8056" s="3" t="str">
        <f>IFERROR(__xludf.DUMMYFUNCTION("GOOGLETRANSLATE(A8056,""en"",""pt"")"),"Eu amei montanha Brokeback.")</f>
        <v>Eu amei montanha Brokeback.</v>
      </c>
      <c r="B8056" s="3">
        <v>1</v>
      </c>
    </row>
    <row r="8057" ht="15.75" customHeight="1" spans="1:2">
      <c r="A8057" s="3" t="str">
        <f>IFERROR(__xludf.DUMMYFUNCTION("GOOGLETRANSLATE(A8057,""en"",""pt"")"),"EU AMO Brokeback Mountain !!!! ..")</f>
        <v>EU AMO Brokeback Mountain !!!! ..</v>
      </c>
      <c r="B8057" s="3">
        <v>1</v>
      </c>
    </row>
    <row r="8058" ht="15.75" customHeight="1" spans="1:2">
      <c r="A8058" s="3" t="str">
        <f>IFERROR(__xludf.DUMMYFUNCTION("GOOGLETRANSLATE(A8058,""en"",""pt"")"),"Eu realmente amei Brokeback Mountain ..")</f>
        <v>Eu realmente amei Brokeback Mountain ..</v>
      </c>
      <c r="B8058" s="3">
        <v>1</v>
      </c>
    </row>
    <row r="8059" ht="15.75" customHeight="1" spans="1:2">
      <c r="A8059" s="3" t="str">
        <f>IFERROR(__xludf.DUMMYFUNCTION("GOOGLETRANSLATE(A8059,""en"",""pt"")"),"By the way, Brokeback Mountain é bonito ..")</f>
        <v>By the way, Brokeback Mountain é bonito ..</v>
      </c>
      <c r="B8059" s="3">
        <v>1</v>
      </c>
    </row>
    <row r="8060" ht="15.75" customHeight="1" spans="1:2">
      <c r="A8060" s="3" t="str">
        <f>IFERROR(__xludf.DUMMYFUNCTION("GOOGLETRANSLATE(A8060,""en"",""pt"")"),"e Brokeback Mountain foi INCRÍVEL.")</f>
        <v>e Brokeback Mountain foi INCRÍVEL.</v>
      </c>
      <c r="B8060" s="3">
        <v>1</v>
      </c>
    </row>
    <row r="8061" ht="15.75" customHeight="1" spans="1:2">
      <c r="A8061" s="3" t="str">
        <f>IFERROR(__xludf.DUMMYFUNCTION("GOOGLETRANSLATE(A8061,""en"",""pt"")")," Eu poderia ter discutido a proibição do aborto em Dakota do Sul, ou como eu amo Brokeback Mountain, ou como eu realmente gostaria de ir para um clube de strip para melhor compreender a política sexual da indústria.")</f>
        <v> Eu poderia ter discutido a proibição do aborto em Dakota do Sul, ou como eu amo Brokeback Mountain, ou como eu realmente gostaria de ir para um clube de strip para melhor compreender a política sexual da indústria.</v>
      </c>
      <c r="B8061" s="3">
        <v>1</v>
      </c>
    </row>
    <row r="8062" ht="15.75" customHeight="1" spans="1:2">
      <c r="A8062" s="3" t="str">
        <f>IFERROR(__xludf.DUMMYFUNCTION("GOOGLETRANSLATE(A8062,""en"",""pt"")"),"mas eu amei Brokeback Mountain !.")</f>
        <v>mas eu amei Brokeback Mountain !.</v>
      </c>
      <c r="B8062" s="3">
        <v>1</v>
      </c>
    </row>
    <row r="8063" ht="15.75" customHeight="1" spans="1:2">
      <c r="A8063" s="3" t="str">
        <f>IFERROR(__xludf.DUMMYFUNCTION("GOOGLETRANSLATE(A8063,""en"",""pt"")"),"eu amo montanha Brokeback.")</f>
        <v>eu amo montanha Brokeback.</v>
      </c>
      <c r="B8063" s="3">
        <v>1</v>
      </c>
    </row>
    <row r="8064" ht="15.75" customHeight="1" spans="1:2">
      <c r="A8064" s="3" t="str">
        <f>IFERROR(__xludf.DUMMYFUNCTION("GOOGLETRANSLATE(A8064,""en"",""pt"")"),"OMG eu amava Brokeback Mountain!")</f>
        <v>OMG eu amava Brokeback Mountain!</v>
      </c>
      <c r="B8064" s="3">
        <v>1</v>
      </c>
    </row>
    <row r="8065" ht="15.75" customHeight="1" spans="1:2">
      <c r="A8065" s="3" t="str">
        <f>IFERROR(__xludf.DUMMYFUNCTION("GOOGLETRANSLATE(A8065,""en"",""pt"")"),"Eu amei Brokeback Mountain ...")</f>
        <v>Eu amei Brokeback Mountain ...</v>
      </c>
      <c r="B8065" s="3">
        <v>1</v>
      </c>
    </row>
    <row r="8066" ht="15.75" customHeight="1" spans="1:2">
      <c r="A8066" s="3" t="str">
        <f>IFERROR(__xludf.DUMMYFUNCTION("GOOGLETRANSLATE(A8066,""en"",""pt"")"),"eu amo montanha Brokeback ..")</f>
        <v>eu amo montanha Brokeback ..</v>
      </c>
      <c r="B8066" s="3">
        <v>1</v>
      </c>
    </row>
    <row r="8067" ht="15.75" customHeight="1" spans="1:2">
      <c r="A8067" s="3" t="str">
        <f>IFERROR(__xludf.DUMMYFUNCTION("GOOGLETRANSLATE(A8067,""en"",""pt"")"),"Eu amo montanha Brokeback !.")</f>
        <v>Eu amo montanha Brokeback !.</v>
      </c>
      <c r="B8067" s="3">
        <v>1</v>
      </c>
    </row>
    <row r="8068" ht="15.75" customHeight="1" spans="1:2">
      <c r="A8068" s="3" t="str">
        <f>IFERROR(__xludf.DUMMYFUNCTION("GOOGLETRANSLATE(A8068,""en"",""pt"")"),"por isso que eu amo montanha Brokeback.")</f>
        <v>por isso que eu amo montanha Brokeback.</v>
      </c>
      <c r="B8068" s="3">
        <v>1</v>
      </c>
    </row>
    <row r="8069" ht="15.75" customHeight="1" spans="1:2">
      <c r="A8069" s="3" t="str">
        <f>IFERROR(__xludf.DUMMYFUNCTION("GOOGLETRANSLATE(A8069,""en"",""pt"")"),"EU AMEI Brokeback Mountain! ..")</f>
        <v>EU AMEI Brokeback Mountain! ..</v>
      </c>
      <c r="B8069" s="3">
        <v>1</v>
      </c>
    </row>
    <row r="8070" ht="15.75" customHeight="1" spans="1:2">
      <c r="A8070" s="3" t="str">
        <f>IFERROR(__xludf.DUMMYFUNCTION("GOOGLETRANSLATE(A8070,""en"",""pt"")"),"Ei, espere eu amo montanha Brokeback!")</f>
        <v>Ei, espere eu amo montanha Brokeback!</v>
      </c>
      <c r="B8070" s="3">
        <v>1</v>
      </c>
    </row>
    <row r="8071" ht="15.75" customHeight="1" spans="1:2">
      <c r="A8071" s="3" t="str">
        <f>IFERROR(__xludf.DUMMYFUNCTION("GOOGLETRANSLATE(A8071,""en"",""pt"")"),"Eu amo Brokeback Mountain.")</f>
        <v>Eu amo Brokeback Mountain.</v>
      </c>
      <c r="B8071" s="3">
        <v>1</v>
      </c>
    </row>
    <row r="8072" ht="15.75" customHeight="1" spans="1:2">
      <c r="A8072" s="3" t="str">
        <f>IFERROR(__xludf.DUMMYFUNCTION("GOOGLETRANSLATE(A8072,""en"",""pt"")"),"Brokeback Mountain foi bonito.")</f>
        <v>Brokeback Mountain foi bonito.</v>
      </c>
      <c r="B8072" s="3">
        <v>1</v>
      </c>
    </row>
    <row r="8073" ht="15.75" customHeight="1" spans="1:2">
      <c r="A8073" s="3" t="str">
        <f>IFERROR(__xludf.DUMMYFUNCTION("GOOGLETRANSLATE(A8073,""en"",""pt"")"),"lol eu amo montanha Brokeback.")</f>
        <v>lol eu amo montanha Brokeback.</v>
      </c>
      <c r="B8073" s="3">
        <v>1</v>
      </c>
    </row>
    <row r="8074" ht="15.75" customHeight="1" spans="1:2">
      <c r="A8074" s="3" t="str">
        <f>IFERROR(__xludf.DUMMYFUNCTION("GOOGLETRANSLATE(A8074,""en"",""pt"")"),"Eu não vi Bater-e todo mundo me diz que é fabuloso, mas eu adoro Brokeback Mountain ...")</f>
        <v>Eu não vi Bater-e todo mundo me diz que é fabuloso, mas eu adoro Brokeback Mountain ...</v>
      </c>
      <c r="B8074" s="3">
        <v>1</v>
      </c>
    </row>
    <row r="8075" ht="15.75" customHeight="1" spans="1:2">
      <c r="A8075" s="3" t="str">
        <f>IFERROR(__xludf.DUMMYFUNCTION("GOOGLETRANSLATE(A8075,""en"",""pt"")"),"eu amei montanha Brokeback! ..")</f>
        <v>eu amei montanha Brokeback! ..</v>
      </c>
      <c r="B8075" s="3">
        <v>1</v>
      </c>
    </row>
    <row r="8076" ht="15.75" customHeight="1" spans="1:2">
      <c r="A8076" s="3" t="str">
        <f>IFERROR(__xludf.DUMMYFUNCTION("GOOGLETRANSLATE(A8076,""en"",""pt"")"),"eu amo montanha Brokeback !!!.")</f>
        <v>eu amo montanha Brokeback !!!.</v>
      </c>
      <c r="B8076" s="3">
        <v>1</v>
      </c>
    </row>
    <row r="8077" ht="15.75" customHeight="1" spans="1:2">
      <c r="A8077" s="3" t="str">
        <f>IFERROR(__xludf.DUMMYFUNCTION("GOOGLETRANSLATE(A8077,""en"",""pt"")"),"eu amo quando Brokeback Mountain ganhou na premiação críticos escolha que desempenhou o seu tão fácil cair no amor ....")</f>
        <v>eu amo quando Brokeback Mountain ganhou na premiação críticos escolha que desempenhou o seu tão fácil cair no amor ....</v>
      </c>
      <c r="B8077" s="3">
        <v>1</v>
      </c>
    </row>
    <row r="8078" ht="15.75" customHeight="1" spans="1:2">
      <c r="A8078" s="3" t="str">
        <f>IFERROR(__xludf.DUMMYFUNCTION("GOOGLETRANSLATE(A8078,""en"",""pt"")"),"Eu amei Brokeback Mountain, mas eu sempre me perguntei o que teria acontecido se Ennis decidiu passar o resto de sua vida com Jack ...")</f>
        <v>Eu amei Brokeback Mountain, mas eu sempre me perguntei o que teria acontecido se Ennis decidiu passar o resto de sua vida com Jack ...</v>
      </c>
      <c r="B8078" s="3">
        <v>1</v>
      </c>
    </row>
    <row r="8079" ht="15.75" customHeight="1" spans="1:2">
      <c r="A8079" s="3" t="str">
        <f>IFERROR(__xludf.DUMMYFUNCTION("GOOGLETRANSLATE(A8079,""en"",""pt"")"),"EU AMO Brokeback Mountain !!!.")</f>
        <v>EU AMO Brokeback Mountain !!!.</v>
      </c>
      <c r="B8079" s="3">
        <v>1</v>
      </c>
    </row>
    <row r="8080" ht="15.75" customHeight="1" spans="1:2">
      <c r="A8080" s="3" t="str">
        <f>IFERROR(__xludf.DUMMYFUNCTION("GOOGLETRANSLATE(A8080,""en"",""pt"")"),"Eu amo Brokeback Mountain, porque é uma grande história, uma grande atuação ...")</f>
        <v>Eu amo Brokeback Mountain, porque é uma grande história, uma grande atuação ...</v>
      </c>
      <c r="B8080" s="3">
        <v>1</v>
      </c>
    </row>
    <row r="8081" ht="15.75" customHeight="1" spans="1:2">
      <c r="A8081" s="3" t="str">
        <f>IFERROR(__xludf.DUMMYFUNCTION("GOOGLETRANSLATE(A8081,""en"",""pt"")"),"Eu ainda tenho que vê-lo, e enquanto eu amava Brokeback Mountain, realmente não sinto que ele merecia a honra.")</f>
        <v>Eu ainda tenho que vê-lo, e enquanto eu amava Brokeback Mountain, realmente não sinto que ele merecia a honra.</v>
      </c>
      <c r="B8081" s="3">
        <v>1</v>
      </c>
    </row>
    <row r="8082" ht="15.75" customHeight="1" spans="1:2">
      <c r="A8082" s="3" t="str">
        <f>IFERROR(__xludf.DUMMYFUNCTION("GOOGLETRANSLATE(A8082,""en"",""pt"")"),"eu amo montanha Brokeback ......")</f>
        <v>eu amo montanha Brokeback ......</v>
      </c>
      <c r="B8082" s="3">
        <v>1</v>
      </c>
    </row>
    <row r="8083" ht="15.75" customHeight="1" spans="1:2">
      <c r="A8083" s="3" t="str">
        <f>IFERROR(__xludf.DUMMYFUNCTION("GOOGLETRANSLATE(A8083,""en"",""pt"")"),"eu sou mais alegre do que uma cesta de piquenique, e eu amo a montanha Brokeback, mas acidente foi na minha opinião o melhor filme do ano passado.")</f>
        <v>eu sou mais alegre do que uma cesta de piquenique, e eu amo a montanha Brokeback, mas acidente foi na minha opinião o melhor filme do ano passado.</v>
      </c>
      <c r="B8083" s="3">
        <v>1</v>
      </c>
    </row>
    <row r="8084" ht="15.75" customHeight="1" spans="1:2">
      <c r="A8084" s="3" t="str">
        <f>IFERROR(__xludf.DUMMYFUNCTION("GOOGLETRANSLATE(A8084,""en"",""pt"")"),"Eu amo Brokeback Mountain.")</f>
        <v>Eu amo Brokeback Mountain.</v>
      </c>
      <c r="B8084" s="3">
        <v>1</v>
      </c>
    </row>
    <row r="8085" ht="15.75" customHeight="1" spans="1:2">
      <c r="A8085" s="3" t="str">
        <f>IFERROR(__xludf.DUMMYFUNCTION("GOOGLETRANSLATE(A8085,""en"",""pt"")"),"incrível Brokeback Mountain !!")</f>
        <v>incrível Brokeback Mountain !!</v>
      </c>
      <c r="B8085" s="3">
        <v>1</v>
      </c>
    </row>
    <row r="8086" ht="15.75" customHeight="1" spans="1:2">
      <c r="A8086" s="3" t="str">
        <f>IFERROR(__xludf.DUMMYFUNCTION("GOOGLETRANSLATE(A8086,""en"",""pt"")")," Brokeback Mountain era um filme bonito e me assombrado por dias após vê-lo ...")</f>
        <v> Brokeback Mountain era um filme bonito e me assombrado por dias após vê-lo ...</v>
      </c>
      <c r="B8086" s="3">
        <v>1</v>
      </c>
    </row>
    <row r="8087" ht="15.75" customHeight="1" spans="1:2">
      <c r="A8087" s="3" t="str">
        <f>IFERROR(__xludf.DUMMYFUNCTION("GOOGLETRANSLATE(A8087,""en"",""pt"")"),"Brokeback Mountain-difícil ignorar uma bela fotografia.")</f>
        <v>Brokeback Mountain-difícil ignorar uma bela fotografia.</v>
      </c>
      <c r="B8087" s="3">
        <v>1</v>
      </c>
    </row>
    <row r="8088" ht="15.75" customHeight="1" spans="1:2">
      <c r="A8088" s="3" t="s">
        <v>33</v>
      </c>
      <c r="B8088" s="3">
        <v>1</v>
      </c>
    </row>
    <row r="8089" ht="15.75" customHeight="1" spans="1:2">
      <c r="A8089" s="3" t="str">
        <f>IFERROR(__xludf.DUMMYFUNCTION("GOOGLETRANSLATE(A8089,""en"",""pt"")"),"Brokeback Mountain foi lindo ...")</f>
        <v>Brokeback Mountain foi lindo ...</v>
      </c>
      <c r="B8089" s="3">
        <v>1</v>
      </c>
    </row>
    <row r="8090" ht="15.75" customHeight="1" spans="1:2">
      <c r="A8090" s="3" t="str">
        <f>IFERROR(__xludf.DUMMYFUNCTION("GOOGLETRANSLATE(A8090,""en"",""pt"")"),"montanha Brokeback é incrível.")</f>
        <v>montanha Brokeback é incrível.</v>
      </c>
      <c r="B8090" s="3">
        <v>1</v>
      </c>
    </row>
    <row r="8091" ht="15.75" customHeight="1" spans="1:2">
      <c r="A8091" s="3" t="str">
        <f>IFERROR(__xludf.DUMMYFUNCTION("GOOGLETRANSLATE(A8091,""en"",""pt"")"),"montanha Brokeback foi incrível.")</f>
        <v>montanha Brokeback foi incrível.</v>
      </c>
      <c r="B8091" s="3">
        <v>1</v>
      </c>
    </row>
    <row r="8092" ht="15.75" customHeight="1" spans="1:2">
      <c r="A8092" s="3" t="str">
        <f>IFERROR(__xludf.DUMMYFUNCTION("GOOGLETRANSLATE(A8092,""en"",""pt"")"),"Brokeback Mountain soa lindo ...")</f>
        <v>Brokeback Mountain soa lindo ...</v>
      </c>
      <c r="B8092" s="3">
        <v>1</v>
      </c>
    </row>
    <row r="8093" ht="15.75" customHeight="1" spans="1:2">
      <c r="A8093" s="3" t="str">
        <f>IFERROR(__xludf.DUMMYFUNCTION("GOOGLETRANSLATE(A8093,""en"",""pt"")"),"P. S. mudança de fundo, eu amo Brokeback Mountain, Eu amo Jake tanto! ..")</f>
        <v>P. S. mudança de fundo, eu amo Brokeback Mountain, Eu amo Jake tanto! ..</v>
      </c>
      <c r="B8093" s="3">
        <v>1</v>
      </c>
    </row>
    <row r="8094" ht="15.75" customHeight="1" spans="1:2">
      <c r="A8094" s="3" t="str">
        <f>IFERROR(__xludf.DUMMYFUNCTION("GOOGLETRANSLATE(A8094,""en"",""pt"")"),"Brokeback Mountain foi o mais tragicamente belo filme que eu já ...")</f>
        <v>Brokeback Mountain foi o mais tragicamente belo filme que eu já ...</v>
      </c>
      <c r="B8094" s="3">
        <v>1</v>
      </c>
    </row>
    <row r="8095" ht="15.75" customHeight="1" spans="1:2">
      <c r="A8095" s="3" t="str">
        <f>IFERROR(__xludf.DUMMYFUNCTION("GOOGLETRANSLATE(A8095,""en"",""pt"")"),"Eu amei Brokeback Mountain.")</f>
        <v>Eu amei Brokeback Mountain.</v>
      </c>
      <c r="B8095" s="3">
        <v>1</v>
      </c>
    </row>
    <row r="8096" ht="15.75" customHeight="1" spans="1:2">
      <c r="A8096" s="3" t="str">
        <f>IFERROR(__xludf.DUMMYFUNCTION("GOOGLETRANSLATE(A8096,""en"",""pt"")"),"Eu amo Brokeback Mountain!")</f>
        <v>Eu amo Brokeback Mountain!</v>
      </c>
      <c r="B8096" s="3">
        <v>1</v>
      </c>
    </row>
    <row r="8097" ht="15.75" customHeight="1" spans="1:2">
      <c r="A8097" s="3" t="str">
        <f>IFERROR(__xludf.DUMMYFUNCTION("GOOGLETRANSLATE(A8097,""en"",""pt"")"),"Eu amo Brokeback Mountain ...")</f>
        <v>Eu amo Brokeback Mountain ...</v>
      </c>
      <c r="B8097" s="3">
        <v>1</v>
      </c>
    </row>
    <row r="8098" ht="15.75" customHeight="1" spans="1:2">
      <c r="A8098" s="3" t="str">
        <f>IFERROR(__xludf.DUMMYFUNCTION("GOOGLETRANSLATE(A8098,""en"",""pt"")"),"Brokeback Mountain é o mais incrível / bela / romântico filme / heartbraking eu tenho sempre ou nunca vai ver na minha vida ......")</f>
        <v>Brokeback Mountain é o mais incrível / bela / romântico filme / heartbraking eu tenho sempre ou nunca vai ver na minha vida ......</v>
      </c>
      <c r="B8098" s="3">
        <v>1</v>
      </c>
    </row>
    <row r="8099" ht="15.75" customHeight="1" spans="1:2">
      <c r="A8099" s="3" t="str">
        <f>IFERROR(__xludf.DUMMYFUNCTION("GOOGLETRANSLATE(A8099,""en"",""pt"")"),"porque eu apenas tão caro AMOR brokeback mountain ..")</f>
        <v>porque eu apenas tão caro AMOR brokeback mountain ..</v>
      </c>
      <c r="B8099" s="3">
        <v>1</v>
      </c>
    </row>
    <row r="8100" ht="15.75" customHeight="1" spans="1:2">
      <c r="A8100" s="3" t="str">
        <f>IFERROR(__xludf.DUMMYFUNCTION("GOOGLETRANSLATE(A8100,""en"",""pt"")"),"Brokeback Mountain era um filme impressionante bonito.")</f>
        <v>Brokeback Mountain era um filme impressionante bonito.</v>
      </c>
      <c r="B8100" s="3">
        <v>1</v>
      </c>
    </row>
    <row r="8101" ht="15.75" customHeight="1" spans="1:2">
      <c r="A8101" s="3" t="str">
        <f>IFERROR(__xludf.DUMMYFUNCTION("GOOGLETRANSLATE(A8101,""en"",""pt"")"),"Fomos ver Brokeback Mountain, que foi verdadeiramente um belo filme e eu tenho vergonha de dizer que eu chorei por uns cinco minutos depois.")</f>
        <v>Fomos ver Brokeback Mountain, que foi verdadeiramente um belo filme e eu tenho vergonha de dizer que eu chorei por uns cinco minutos depois.</v>
      </c>
      <c r="B8101" s="3">
        <v>1</v>
      </c>
    </row>
    <row r="8102" ht="15.75" customHeight="1" spans="1:2">
      <c r="A8102" s="3" t="str">
        <f>IFERROR(__xludf.DUMMYFUNCTION("GOOGLETRANSLATE(A8102,""en"",""pt"")"),"Pensei Brokeback Mountain foi belo também, e eu chorei também, o que eu nunca faço no teatro ...")</f>
        <v>Pensei Brokeback Mountain foi belo também, e eu chorei também, o que eu nunca faço no teatro ...</v>
      </c>
      <c r="B8102" s="3">
        <v>1</v>
      </c>
    </row>
    <row r="8103" ht="15.75" customHeight="1" spans="1:2">
      <c r="A8103" s="3" t="str">
        <f>IFERROR(__xludf.DUMMYFUNCTION("GOOGLETRANSLATE(A8103,""en"",""pt"")"),"montanha Brokeback era bonita.")</f>
        <v>montanha Brokeback era bonita.</v>
      </c>
      <c r="B8103" s="3">
        <v>1</v>
      </c>
    </row>
    <row r="8104" ht="15.75" customHeight="1" spans="1:2">
      <c r="A8104" s="3" t="str">
        <f>IFERROR(__xludf.DUMMYFUNCTION("GOOGLETRANSLATE(A8104,""en"",""pt"")")," brokeback mountain -foi incrível.")</f>
        <v> brokeback mountain -foi incrível.</v>
      </c>
      <c r="B8104" s="3">
        <v>1</v>
      </c>
    </row>
    <row r="8105" ht="15.75" customHeight="1" spans="1:2">
      <c r="A8105" s="3" t="str">
        <f>IFERROR(__xludf.DUMMYFUNCTION("GOOGLETRANSLATE(A8105,""en"",""pt"")"),"Brokeback Mountain é um belo filme que é feito com cuidado.")</f>
        <v>Brokeback Mountain é um belo filme que é feito com cuidado.</v>
      </c>
      <c r="B8105" s="3">
        <v>1</v>
      </c>
    </row>
    <row r="8106" ht="15.75" customHeight="1" spans="1:2">
      <c r="A8106" s="3" t="str">
        <f>IFERROR(__xludf.DUMMYFUNCTION("GOOGLETRANSLATE(A8106,""en"",""pt"")"),"Brokeback Mountain é incrível.")</f>
        <v>Brokeback Mountain é incrível.</v>
      </c>
      <c r="B8106" s="3">
        <v>1</v>
      </c>
    </row>
    <row r="8107" ht="15.75" customHeight="1" spans="1:2">
      <c r="A8107" s="3" t="str">
        <f>IFERROR(__xludf.DUMMYFUNCTION("GOOGLETRANSLATE(A8107,""en"",""pt"")"),"Eu te amo e montanha Brokeback foi um sucesso.")</f>
        <v>Eu te amo e montanha Brokeback foi um sucesso.</v>
      </c>
      <c r="B8107" s="3">
        <v>1</v>
      </c>
    </row>
    <row r="8108" ht="15.75" customHeight="1" spans="1:2">
      <c r="A8108" s="3" t="str">
        <f>IFERROR(__xludf.DUMMYFUNCTION("GOOGLETRANSLATE(A8108,""en"",""pt"")"),"Derek e eu vi 3 filmes, O Segredo de Brokeback Mountain, que era bonita, eu quase chorei.")</f>
        <v>Derek e eu vi 3 filmes, O Segredo de Brokeback Mountain, que era bonita, eu quase chorei.</v>
      </c>
      <c r="B8108" s="3">
        <v>1</v>
      </c>
    </row>
    <row r="8109" ht="15.75" customHeight="1" spans="1:2">
      <c r="A8109" s="3" t="str">
        <f>IFERROR(__xludf.DUMMYFUNCTION("GOOGLETRANSLATE(A8109,""en"",""pt"")"),"Brokeback Mountain foi belo e comovente .....")</f>
        <v>Brokeback Mountain foi belo e comovente .....</v>
      </c>
      <c r="B8109" s="3">
        <v>1</v>
      </c>
    </row>
    <row r="8110" ht="15.75" customHeight="1" spans="1:2">
      <c r="A8110" s="3" t="str">
        <f>IFERROR(__xludf.DUMMYFUNCTION("GOOGLETRANSLATE(A8110,""en"",""pt"")"),"Brokeback Mountain foi bonito.")</f>
        <v>Brokeback Mountain foi bonito.</v>
      </c>
      <c r="B8110" s="3">
        <v>1</v>
      </c>
    </row>
    <row r="8111" ht="15.75" customHeight="1" spans="1:2">
      <c r="A8111" s="3" t="str">
        <f>IFERROR(__xludf.DUMMYFUNCTION("GOOGLETRANSLATE(A8111,""en"",""pt"")"),"eu amo montanha Brokeback.")</f>
        <v>eu amo montanha Brokeback.</v>
      </c>
      <c r="B8111" s="3">
        <v>1</v>
      </c>
    </row>
    <row r="8112" ht="15.75" customHeight="1" spans="1:2">
      <c r="A8112" s="3" t="str">
        <f>IFERROR(__xludf.DUMMYFUNCTION("GOOGLETRANSLATE(A8112,""en"",""pt"")"),"Brokeback Mountain era um filme impressionante.")</f>
        <v>Brokeback Mountain era um filme impressionante.</v>
      </c>
      <c r="B8112" s="3">
        <v>1</v>
      </c>
    </row>
    <row r="8113" ht="15.75" customHeight="1" spans="1:2">
      <c r="A8113" s="3" t="str">
        <f>IFERROR(__xludf.DUMMYFUNCTION("GOOGLETRANSLATE(A8113,""en"",""pt"")"),"Sexta-feira eu fui ver Brokeback Mountain, que é bonito (")</f>
        <v>Sexta-feira eu fui ver Brokeback Mountain, que é bonito (</v>
      </c>
      <c r="B8113" s="3">
        <v>1</v>
      </c>
    </row>
    <row r="8114" ht="15.75" customHeight="1" spans="1:2">
      <c r="A8114" s="3" t="str">
        <f>IFERROR(__xludf.DUMMYFUNCTION("GOOGLETRANSLATE(A8114,""en"",""pt"")"),"Não importa o quanto eu amo Brokeback Mountain, Bater definitivamente merecia o Oscar de melhor filme este ano.")</f>
        <v>Não importa o quanto eu amo Brokeback Mountain, Bater definitivamente merecia o Oscar de melhor filme este ano.</v>
      </c>
      <c r="B8114" s="3">
        <v>1</v>
      </c>
    </row>
    <row r="8115" ht="15.75" customHeight="1" spans="1:2">
      <c r="A8115" s="3" t="str">
        <f>IFERROR(__xludf.DUMMYFUNCTION("GOOGLETRANSLATE(A8115,""en"",""pt"")"),"EU AMO Segredo de Brokeback Mountain, eu amo ANG LEE, eu amo Jake Gyllenhaal, eu amo a charneca LEDER TANTO ..")</f>
        <v>EU AMO Segredo de Brokeback Mountain, eu amo ANG LEE, eu amo Jake Gyllenhaal, eu amo a charneca LEDER TANTO ..</v>
      </c>
      <c r="B8115" s="3">
        <v>1</v>
      </c>
    </row>
    <row r="8116" ht="15.75" customHeight="1" spans="1:2">
      <c r="A8116" s="3" t="str">
        <f>IFERROR(__xludf.DUMMYFUNCTION("GOOGLETRANSLATE(A8116,""en"",""pt"")"),"EU AMO Brokeback Mountain !!!!!")</f>
        <v>EU AMO Brokeback Mountain !!!!!</v>
      </c>
      <c r="B8116" s="3">
        <v>1</v>
      </c>
    </row>
    <row r="8117" ht="15.75" customHeight="1" spans="1:2">
      <c r="A8117" s="3" t="str">
        <f>IFERROR(__xludf.DUMMYFUNCTION("GOOGLETRANSLATE(A8117,""en"",""pt"")"),"Brokeback Mountain é bonito ...")</f>
        <v>Brokeback Mountain é bonito ...</v>
      </c>
      <c r="B8117" s="3">
        <v>1</v>
      </c>
    </row>
    <row r="8118" ht="15.75" customHeight="1" spans="1:2">
      <c r="A8118" s="3" t="str">
        <f>IFERROR(__xludf.DUMMYFUNCTION("GOOGLETRANSLATE(A8118,""en"",""pt"")"),"Brokeback Mountain é um belo filme !.")</f>
        <v>Brokeback Mountain é um belo filme !.</v>
      </c>
      <c r="B8118" s="3">
        <v>1</v>
      </c>
    </row>
    <row r="8119" ht="15.75" customHeight="1" spans="1:2">
      <c r="A8119" s="3" t="str">
        <f>IFERROR(__xludf.DUMMYFUNCTION("GOOGLETRANSLATE(A8119,""en"",""pt"")"),"Eu tenho que dizer que eu amei Brokeback Mountain.")</f>
        <v>Eu tenho que dizer que eu amei Brokeback Mountain.</v>
      </c>
      <c r="B8119" s="3">
        <v>1</v>
      </c>
    </row>
    <row r="8120" ht="15.75" customHeight="1" spans="1:2">
      <c r="A8120" s="3" t="str">
        <f>IFERROR(__xludf.DUMMYFUNCTION("GOOGLETRANSLATE(A8120,""en"",""pt"")"),"mrs Yip disse Brokeback Mountain é incrível ..")</f>
        <v>mrs Yip disse Brokeback Mountain é incrível ..</v>
      </c>
      <c r="B8120" s="3">
        <v>1</v>
      </c>
    </row>
    <row r="8121" ht="15.75" customHeight="1" spans="1:2">
      <c r="A8121" s="3" t="str">
        <f>IFERROR(__xludf.DUMMYFUNCTION("GOOGLETRANSLATE(A8121,""en"",""pt"")"),"e eu amo a montanha Brokeback também ...:] ..")</f>
        <v>e eu amo a montanha Brokeback também ...:] ..</v>
      </c>
      <c r="B8121" s="3">
        <v>1</v>
      </c>
    </row>
    <row r="8122" ht="15.75" customHeight="1" spans="1:2">
      <c r="A8122" s="3" t="str">
        <f>IFERROR(__xludf.DUMMYFUNCTION("GOOGLETRANSLATE(A8122,""en"",""pt"")"),"Brokeback Mountain era um filme bonito ..")</f>
        <v>Brokeback Mountain era um filme bonito ..</v>
      </c>
      <c r="B8122" s="3">
        <v>1</v>
      </c>
    </row>
    <row r="8123" ht="15.75" customHeight="1" spans="1:2">
      <c r="A8123" s="3" t="str">
        <f>IFERROR(__xludf.DUMMYFUNCTION("GOOGLETRANSLATE(A8123,""en"",""pt"")"),"eu amo montanha Brokeback!")</f>
        <v>eu amo montanha Brokeback!</v>
      </c>
      <c r="B8123" s="3">
        <v>1</v>
      </c>
    </row>
    <row r="8124" ht="15.75" customHeight="1" spans="1:2">
      <c r="A8124" s="3" t="str">
        <f>IFERROR(__xludf.DUMMYFUNCTION("GOOGLETRANSLATE(A8124,""en"",""pt"")"),"EU AMO Brokeback Mountain!")</f>
        <v>EU AMO Brokeback Mountain!</v>
      </c>
      <c r="B8124" s="3">
        <v>1</v>
      </c>
    </row>
    <row r="8125" ht="15.75" customHeight="1" spans="1:2">
      <c r="A8125" s="3" t="str">
        <f>IFERROR(__xludf.DUMMYFUNCTION("GOOGLETRANSLATE(A8125,""en"",""pt"")"),"Mesmo que eu amava Brokeback Mountain, estou muito feliz Bater ganhou Melhor Filme.")</f>
        <v>Mesmo que eu amava Brokeback Mountain, estou muito feliz Bater ganhou Melhor Filme.</v>
      </c>
      <c r="B8125" s="3">
        <v>1</v>
      </c>
    </row>
    <row r="8126" ht="15.75" customHeight="1" spans="1:2">
      <c r="A8126" s="3" t="str">
        <f>IFERROR(__xludf.DUMMYFUNCTION("GOOGLETRANSLATE(A8126,""en"",""pt"")"),"Ele geralmente tinha uma porcaria, mas ele tinha Brokeback Mountain, que foi incrível.")</f>
        <v>Ele geralmente tinha uma porcaria, mas ele tinha Brokeback Mountain, que foi incrível.</v>
      </c>
      <c r="B8126" s="3">
        <v>1</v>
      </c>
    </row>
    <row r="8127" ht="15.75" customHeight="1" spans="1:2">
      <c r="A8127" s="3" t="str">
        <f>IFERROR(__xludf.DUMMYFUNCTION("GOOGLETRANSLATE(A8127,""en"",""pt"")"),"Score-Brokeback Mountain tinha uma bela pontuação.")</f>
        <v>Score-Brokeback Mountain tinha uma bela pontuação.</v>
      </c>
      <c r="B8127" s="3">
        <v>1</v>
      </c>
    </row>
    <row r="8128" ht="15.75" customHeight="1" spans="1:2">
      <c r="A8128" s="3" t="str">
        <f>IFERROR(__xludf.DUMMYFUNCTION("GOOGLETRANSLATE(A8128,""en"",""pt"")")," Eu amei Brokeback Mountain e eu não vi Bater, mas eu ainda sinto que as pessoas estão ...")</f>
        <v> Eu amei Brokeback Mountain e eu não vi Bater, mas eu ainda sinto que as pessoas estão ...</v>
      </c>
      <c r="B8128" s="3">
        <v>1</v>
      </c>
    </row>
    <row r="8129" ht="15.75" customHeight="1" spans="1:2">
      <c r="A8129" s="3" t="str">
        <f>IFERROR(__xludf.DUMMYFUNCTION("GOOGLETRANSLATE(A8129,""en"",""pt"")"),"Se você me conhece, você sabe que eu amo absolutamente Brokeback Mountain.")</f>
        <v>Se você me conhece, você sabe que eu amo absolutamente Brokeback Mountain.</v>
      </c>
      <c r="B8129" s="3">
        <v>1</v>
      </c>
    </row>
    <row r="8130" ht="15.75" customHeight="1" spans="1:2">
      <c r="A8130" s="3" t="str">
        <f>IFERROR(__xludf.DUMMYFUNCTION("GOOGLETRANSLATE(A8130,""en"",""pt"")"),"Eu amo Brokeback Mountain! ..")</f>
        <v>Eu amo Brokeback Mountain! ..</v>
      </c>
      <c r="B8130" s="3">
        <v>1</v>
      </c>
    </row>
    <row r="8131" ht="15.75" customHeight="1" spans="1:2">
      <c r="A8131" s="3" t="str">
        <f>IFERROR(__xludf.DUMMYFUNCTION("GOOGLETRANSLATE(A8131,""en"",""pt"")"),"Brokeback Mountain ainda é um belo filme, e nada muda isso! ..")</f>
        <v>Brokeback Mountain ainda é um belo filme, e nada muda isso! ..</v>
      </c>
      <c r="B8131" s="3">
        <v>1</v>
      </c>
    </row>
    <row r="8132" ht="15.75" customHeight="1" spans="1:2">
      <c r="A8132" s="3" t="str">
        <f>IFERROR(__xludf.DUMMYFUNCTION("GOOGLETRANSLATE(A8132,""en"",""pt"")"),"Brokeback Mountain tinha uma bela pontuação, e uma vez que não recebeu o de Melhor Filme, eles tiveram que dar-lhe algo, não apenas melhor diretor.")</f>
        <v>Brokeback Mountain tinha uma bela pontuação, e uma vez que não recebeu o de Melhor Filme, eles tiveram que dar-lhe algo, não apenas melhor diretor.</v>
      </c>
      <c r="B8132" s="3">
        <v>1</v>
      </c>
    </row>
    <row r="8133" ht="15.75" customHeight="1" spans="1:2">
      <c r="A8133" s="3" t="str">
        <f>IFERROR(__xludf.DUMMYFUNCTION("GOOGLETRANSLATE(A8133,""en"",""pt"")"),"eu amei montanha Brokeback! :(")</f>
        <v>eu amei montanha Brokeback! :(</v>
      </c>
      <c r="B8133" s="3">
        <v>1</v>
      </c>
    </row>
    <row r="8134" ht="15.75" customHeight="1" spans="1:2">
      <c r="A8134" s="3" t="str">
        <f>IFERROR(__xludf.DUMMYFUNCTION("GOOGLETRANSLATE(A8134,""en"",""pt"")"),"Brokeback Mountain-Este filme é bonito início ao fim.")</f>
        <v>Brokeback Mountain-Este filme é bonito início ao fim.</v>
      </c>
      <c r="B8134" s="3">
        <v>1</v>
      </c>
    </row>
    <row r="8135" ht="15.75" customHeight="1" spans="1:2">
      <c r="A8135" s="3" t="str">
        <f>IFERROR(__xludf.DUMMYFUNCTION("GOOGLETRANSLATE(A8135,""en"",""pt"")"),"E ouvi dizer que Brokeback Mountain é impressionante! ..")</f>
        <v>E ouvi dizer que Brokeback Mountain é impressionante! ..</v>
      </c>
      <c r="B8135" s="3">
        <v>1</v>
      </c>
    </row>
    <row r="8136" ht="15.75" customHeight="1" spans="1:2">
      <c r="A8136" s="3" t="str">
        <f>IFERROR(__xludf.DUMMYFUNCTION("GOOGLETRANSLATE(A8136,""en"",""pt"")"),"pensamentos aleatórios bonitas em Brokeback Mountain.")</f>
        <v>pensamentos aleatórios bonitas em Brokeback Mountain.</v>
      </c>
      <c r="B8136" s="3">
        <v>1</v>
      </c>
    </row>
    <row r="8137" ht="15.75" customHeight="1" spans="1:2">
      <c r="A8137" s="3" t="str">
        <f>IFERROR(__xludf.DUMMYFUNCTION("GOOGLETRANSLATE(A8137,""en"",""pt"")"),"eu AMO volta para o futuro, e eu amo a montanha Brokeback.")</f>
        <v>eu AMO volta para o futuro, e eu amo a montanha Brokeback.</v>
      </c>
      <c r="B8137" s="3">
        <v>1</v>
      </c>
    </row>
    <row r="8138" ht="15.75" customHeight="1" spans="1:2">
      <c r="A8138" s="3" t="str">
        <f>IFERROR(__xludf.DUMMYFUNCTION("GOOGLETRANSLATE(A8138,""en"",""pt"")"),"Bem, O Segredo de Brokeback Mountain foi muito legal também, mas este filme ......")</f>
        <v>Bem, O Segredo de Brokeback Mountain foi muito legal também, mas este filme ......</v>
      </c>
      <c r="B8138" s="3">
        <v>1</v>
      </c>
    </row>
    <row r="8139" ht="15.75" customHeight="1" spans="1:2">
      <c r="A8139" s="3" t="str">
        <f>IFERROR(__xludf.DUMMYFUNCTION("GOOGLETRANSLATE(A8139,""en"",""pt"")"),"Brokeback Mountain foi incrível.")</f>
        <v>Brokeback Mountain foi incrível.</v>
      </c>
      <c r="B8139" s="3">
        <v>1</v>
      </c>
    </row>
    <row r="8140" ht="15.75" customHeight="1" spans="1:2">
      <c r="A8140" s="3" t="str">
        <f>IFERROR(__xludf.DUMMYFUNCTION("GOOGLETRANSLATE(A8140,""en"",""pt"")"),"Brokeback Mountain que foi incrível ..")</f>
        <v>Brokeback Mountain que foi incrível ..</v>
      </c>
      <c r="B8140" s="3">
        <v>1</v>
      </c>
    </row>
    <row r="8141" ht="15.75" customHeight="1" spans="1:2">
      <c r="A8141" s="3" t="str">
        <f>IFERROR(__xludf.DUMMYFUNCTION("GOOGLETRANSLATE(A8141,""en"",""pt"")"),"Eu acho que pode ser apenas amargo porque eu simplesmente amei Brokeback Mountain e quando você diz que gostava de algum outro filme (")</f>
        <v>Eu acho que pode ser apenas amargo porque eu simplesmente amei Brokeback Mountain e quando você diz que gostava de algum outro filme (</v>
      </c>
      <c r="B8141" s="3">
        <v>1</v>
      </c>
    </row>
    <row r="8142" ht="15.75" customHeight="1" spans="1:2">
      <c r="A8142" s="3" t="str">
        <f>IFERROR(__xludf.DUMMYFUNCTION("GOOGLETRANSLATE(A8142,""en"",""pt"")"),"Brokeback Mountain é obrigado a ser incrível ...")</f>
        <v>Brokeback Mountain é obrigado a ser incrível ...</v>
      </c>
      <c r="B8142" s="3">
        <v>1</v>
      </c>
    </row>
    <row r="8143" ht="15.75" customHeight="1" spans="1:2">
      <c r="A8143" s="3" t="str">
        <f>IFERROR(__xludf.DUMMYFUNCTION("GOOGLETRANSLATE(A8143,""en"",""pt"")"),"Brokeback Mountain é bonito (")</f>
        <v>Brokeback Mountain é bonito (</v>
      </c>
      <c r="B8143" s="3">
        <v>1</v>
      </c>
    </row>
    <row r="8144" ht="15.75" customHeight="1" spans="1:2">
      <c r="A8144" s="3" t="str">
        <f>IFERROR(__xludf.DUMMYFUNCTION("GOOGLETRANSLATE(A8144,""en"",""pt"")"),"Não me interpretem mal, eu amo montanha Brokeback, mas eu acho que tem mais a ver que somente as pessoas brancas podem falar sobre o racismo e ganha um Oscar.")</f>
        <v>Não me interpretem mal, eu amo montanha Brokeback, mas eu acho que tem mais a ver que somente as pessoas brancas podem falar sobre o racismo e ganha um Oscar.</v>
      </c>
      <c r="B8144" s="3">
        <v>1</v>
      </c>
    </row>
    <row r="8145" ht="15.75" customHeight="1" spans="1:2">
      <c r="A8145" s="3" t="str">
        <f>IFERROR(__xludf.DUMMYFUNCTION("GOOGLETRANSLATE(A8145,""en"",""pt"")"),"Eu amei Brokeback Mountain, embora eu acho que você está certo sobre seu ser aceitável na cultura mainstream, porque não desafiar heteronormatividade dessa cultura.")</f>
        <v>Eu amei Brokeback Mountain, embora eu acho que você está certo sobre seu ser aceitável na cultura mainstream, porque não desafiar heteronormatividade dessa cultura.</v>
      </c>
      <c r="B8145" s="3">
        <v>1</v>
      </c>
    </row>
    <row r="8146" ht="15.75" customHeight="1" spans="1:2">
      <c r="A8146" s="3" t="str">
        <f>IFERROR(__xludf.DUMMYFUNCTION("GOOGLETRANSLATE(A8146,""en"",""pt"")"),"Eu amo Brokeback Mountain e eu estou tão desapontado e surpreso que ele não ganhou o melhor filme e melhor ator ...")</f>
        <v>Eu amo Brokeback Mountain e eu estou tão desapontado e surpreso que ele não ganhou o melhor filme e melhor ator ...</v>
      </c>
      <c r="B8146" s="3">
        <v>1</v>
      </c>
    </row>
    <row r="8147" ht="15.75" customHeight="1" spans="1:2">
      <c r="A8147" s="3" t="str">
        <f>IFERROR(__xludf.DUMMYFUNCTION("GOOGLETRANSLATE(A8147,""en"",""pt"")"),"Brokeback Mountain foi incrível.")</f>
        <v>Brokeback Mountain foi incrível.</v>
      </c>
      <c r="B8147" s="3">
        <v>1</v>
      </c>
    </row>
    <row r="8148" ht="15.75" customHeight="1" spans="1:2">
      <c r="A8148" s="3" t="str">
        <f>IFERROR(__xludf.DUMMYFUNCTION("GOOGLETRANSLATE(A8148,""en"",""pt"")"),"Brokeback Mountain é embalado com belas paisagens e tal.")</f>
        <v>Brokeback Mountain é embalado com belas paisagens e tal.</v>
      </c>
      <c r="B8148" s="3">
        <v>1</v>
      </c>
    </row>
    <row r="8149" ht="15.75" customHeight="1" spans="1:2">
      <c r="A8149" s="3" t="str">
        <f>IFERROR(__xludf.DUMMYFUNCTION("GOOGLETRANSLATE(A8149,""en"",""pt"")"),"Eu amo Brokeback Mountain.")</f>
        <v>Eu amo Brokeback Mountain.</v>
      </c>
      <c r="B8149" s="3">
        <v>1</v>
      </c>
    </row>
    <row r="8150" ht="15.75" customHeight="1" spans="1:2">
      <c r="A8150" s="3" t="str">
        <f>IFERROR(__xludf.DUMMYFUNCTION("GOOGLETRANSLATE(A8150,""en"",""pt"")"),"Eu amo Brokeback Mountain ....")</f>
        <v>Eu amo Brokeback Mountain ....</v>
      </c>
      <c r="B8150" s="3">
        <v>1</v>
      </c>
    </row>
    <row r="8151" ht="15.75" customHeight="1" spans="1:2">
      <c r="A8151" s="3" t="str">
        <f>IFERROR(__xludf.DUMMYFUNCTION("GOOGLETRANSLATE(A8151,""en"",""pt"")"),"Ele é como, 'Yeah eu comecei ACNE E eu amo Brokeback Mountain' ..")</f>
        <v>Ele é como, 'Yeah eu comecei ACNE E eu amo Brokeback Mountain' ..</v>
      </c>
      <c r="B8151" s="3">
        <v>1</v>
      </c>
    </row>
    <row r="8152" ht="15.75" customHeight="1" spans="1:2">
      <c r="A8152" s="3" t="str">
        <f>IFERROR(__xludf.DUMMYFUNCTION("GOOGLETRANSLATE(A8152,""en"",""pt"")"),"Brokeback Mountain foi tão incrível.")</f>
        <v>Brokeback Mountain foi tão incrível.</v>
      </c>
      <c r="B8152" s="3">
        <v>1</v>
      </c>
    </row>
    <row r="8153" ht="15.75" customHeight="1" spans="1:2">
      <c r="A8153" s="3" t="str">
        <f>IFERROR(__xludf.DUMMYFUNCTION("GOOGLETRANSLATE(A8153,""en"",""pt"")"),"Brokeback Mountain era um filme impressionante.")</f>
        <v>Brokeback Mountain era um filme impressionante.</v>
      </c>
      <c r="B8153" s="3">
        <v>1</v>
      </c>
    </row>
    <row r="8154" ht="15.75" customHeight="1" spans="1:2">
      <c r="A8154" s="3" t="str">
        <f>IFERROR(__xludf.DUMMYFUNCTION("GOOGLETRANSLATE(A8154,""en"",""pt"")"),"homem que eu amava montanha Brokeback!")</f>
        <v>homem que eu amava montanha Brokeback!</v>
      </c>
      <c r="B8154" s="3">
        <v>1</v>
      </c>
    </row>
    <row r="8155" ht="15.75" customHeight="1" spans="1:2">
      <c r="A8155" s="3" t="str">
        <f>IFERROR(__xludf.DUMMYFUNCTION("GOOGLETRANSLATE(A8155,""en"",""pt"")"),"dudeee Eu amei montanha Brokeback !!!!")</f>
        <v>dudeee Eu amei montanha Brokeback !!!!</v>
      </c>
      <c r="B8155" s="3">
        <v>1</v>
      </c>
    </row>
    <row r="8156" ht="15.75" customHeight="1" spans="1:2">
      <c r="A8156" s="3" t="str">
        <f>IFERROR(__xludf.DUMMYFUNCTION("GOOGLETRANSLATE(A8156,""en"",""pt"")"),"Ou eu AMOR Brokeback Mountain ou acho que é ótimo que a homossexualidade está se tornando mais aceitável !:")</f>
        <v>Ou eu AMOR Brokeback Mountain ou acho que é ótimo que a homossexualidade está se tornando mais aceitável !:</v>
      </c>
      <c r="B8156" s="3">
        <v>1</v>
      </c>
    </row>
    <row r="8157" ht="15.75" customHeight="1" spans="1:2">
      <c r="A8157" s="3" t="str">
        <f>IFERROR(__xludf.DUMMYFUNCTION("GOOGLETRANSLATE(A8157,""en"",""pt"")"),"De qualquer forma, é por isso que eu amo ""Brokeback Mountain.")</f>
        <v>De qualquer forma, é por isso que eu amo "Brokeback Mountain.</v>
      </c>
      <c r="B8157" s="3">
        <v>1</v>
      </c>
    </row>
    <row r="8158" ht="15.75" customHeight="1" spans="1:2">
      <c r="A8158" s="3" t="str">
        <f>IFERROR(__xludf.DUMMYFUNCTION("GOOGLETRANSLATE(A8158,""en"",""pt"")"),"Brokeback mountain era bonita ...")</f>
        <v>Brokeback mountain era bonita ...</v>
      </c>
      <c r="B8158" s="3">
        <v>1</v>
      </c>
    </row>
    <row r="8159" ht="15.75" customHeight="1" spans="1:2">
      <c r="A8159" s="3" t="str">
        <f>IFERROR(__xludf.DUMMYFUNCTION("GOOGLETRANSLATE(A8159,""en"",""pt"")"),"Eu amo Brokeback Mountain.")</f>
        <v>Eu amo Brokeback Mountain.</v>
      </c>
      <c r="B8159" s="3">
        <v>1</v>
      </c>
    </row>
    <row r="8160" ht="15.75" customHeight="1" spans="1:2">
      <c r="A8160" s="3" t="str">
        <f>IFERROR(__xludf.DUMMYFUNCTION("GOOGLETRANSLATE(A8160,""en"",""pt"")"),"Eu amo Brokeback Mountain ....")</f>
        <v>Eu amo Brokeback Mountain ....</v>
      </c>
      <c r="B8160" s="3">
        <v>1</v>
      </c>
    </row>
    <row r="8161" ht="15.75" customHeight="1" spans="1:2">
      <c r="A8161" s="3" t="str">
        <f>IFERROR(__xludf.DUMMYFUNCTION("GOOGLETRANSLATE(A8161,""en"",""pt"")"),"Ele é como, 'Yeah eu comecei ACNE E eu amo Brokeback Mountain' ..")</f>
        <v>Ele é como, 'Yeah eu comecei ACNE E eu amo Brokeback Mountain' ..</v>
      </c>
      <c r="B8161" s="3">
        <v>1</v>
      </c>
    </row>
    <row r="8162" ht="15.75" customHeight="1" spans="1:2">
      <c r="A8162" s="3" t="str">
        <f>IFERROR(__xludf.DUMMYFUNCTION("GOOGLETRANSLATE(A8162,""en"",""pt"")"),"Brokeback Mountain foi tão incrível.")</f>
        <v>Brokeback Mountain foi tão incrível.</v>
      </c>
      <c r="B8162" s="3">
        <v>1</v>
      </c>
    </row>
    <row r="8163" ht="15.75" customHeight="1" spans="1:2">
      <c r="A8163" s="3" t="str">
        <f>IFERROR(__xludf.DUMMYFUNCTION("GOOGLETRANSLATE(A8163,""en"",""pt"")"),"Brokeback Mountain era um filme impressionante.")</f>
        <v>Brokeback Mountain era um filme impressionante.</v>
      </c>
      <c r="B8163" s="3">
        <v>1</v>
      </c>
    </row>
    <row r="8164" ht="15.75" customHeight="1" spans="1:2">
      <c r="A8164" s="3" t="str">
        <f>IFERROR(__xludf.DUMMYFUNCTION("GOOGLETRANSLATE(A8164,""en"",""pt"")"),"homem que eu amava montanha Brokeback!")</f>
        <v>homem que eu amava montanha Brokeback!</v>
      </c>
      <c r="B8164" s="3">
        <v>1</v>
      </c>
    </row>
    <row r="8165" ht="15.75" customHeight="1" spans="1:2">
      <c r="A8165" s="3" t="str">
        <f>IFERROR(__xludf.DUMMYFUNCTION("GOOGLETRANSLATE(A8165,""en"",""pt"")"),"dudeee Eu amei montanha Brokeback !!!!")</f>
        <v>dudeee Eu amei montanha Brokeback !!!!</v>
      </c>
      <c r="B8165" s="3">
        <v>1</v>
      </c>
    </row>
    <row r="8166" ht="15.75" customHeight="1" spans="1:2">
      <c r="A8166" s="3" t="str">
        <f>IFERROR(__xludf.DUMMYFUNCTION("GOOGLETRANSLATE(A8166,""en"",""pt"")"),"Ou eu AMOR Brokeback Mountain ou acho que é ótimo que a homossexualidade está se tornando mais aceitável !:")</f>
        <v>Ou eu AMOR Brokeback Mountain ou acho que é ótimo que a homossexualidade está se tornando mais aceitável !:</v>
      </c>
      <c r="B8166" s="3">
        <v>1</v>
      </c>
    </row>
    <row r="8167" ht="15.75" customHeight="1" spans="1:2">
      <c r="A8167" s="3" t="str">
        <f>IFERROR(__xludf.DUMMYFUNCTION("GOOGLETRANSLATE(A8167,""en"",""pt"")"),"De qualquer forma, é por isso que eu amo ""Brokeback Mountain.")</f>
        <v>De qualquer forma, é por isso que eu amo "Brokeback Mountain.</v>
      </c>
      <c r="B8167" s="3">
        <v>1</v>
      </c>
    </row>
    <row r="8168" ht="15.75" customHeight="1" spans="1:2">
      <c r="A8168" s="3" t="str">
        <f>IFERROR(__xludf.DUMMYFUNCTION("GOOGLETRANSLATE(A8168,""en"",""pt"")"),"Brokeback mountain era bonita ...")</f>
        <v>Brokeback mountain era bonita ...</v>
      </c>
      <c r="B8168" s="3">
        <v>1</v>
      </c>
    </row>
    <row r="8169" ht="15.75" customHeight="1" spans="1:2">
      <c r="A8169" s="3" t="str">
        <f>IFERROR(__xludf.DUMMYFUNCTION("GOOGLETRANSLATE(A8169,""en"",""pt"")"),"Eu amo Brokeback Mountain.")</f>
        <v>Eu amo Brokeback Mountain.</v>
      </c>
      <c r="B8169" s="3">
        <v>1</v>
      </c>
    </row>
    <row r="8170" ht="15.75" customHeight="1" spans="1:2">
      <c r="A8170" s="3" t="str">
        <f>IFERROR(__xludf.DUMMYFUNCTION("GOOGLETRANSLATE(A8170,""en"",""pt"")"),"Eu amo Brokeback Mountain ....")</f>
        <v>Eu amo Brokeback Mountain ....</v>
      </c>
      <c r="B8170" s="3">
        <v>1</v>
      </c>
    </row>
    <row r="8171" ht="15.75" customHeight="1" spans="1:2">
      <c r="A8171" s="3" t="str">
        <f>IFERROR(__xludf.DUMMYFUNCTION("GOOGLETRANSLATE(A8171,""en"",""pt"")"),"Ele é como, 'Yeah eu comecei ACNE E eu amo Brokeback Mountain' ..")</f>
        <v>Ele é como, 'Yeah eu comecei ACNE E eu amo Brokeback Mountain' ..</v>
      </c>
      <c r="B8171" s="3">
        <v>1</v>
      </c>
    </row>
    <row r="8172" ht="15.75" customHeight="1" spans="1:2">
      <c r="A8172" s="3" t="str">
        <f>IFERROR(__xludf.DUMMYFUNCTION("GOOGLETRANSLATE(A8172,""en"",""pt"")"),"Brokeback Mountain foi tão incrível.")</f>
        <v>Brokeback Mountain foi tão incrível.</v>
      </c>
      <c r="B8172" s="3">
        <v>1</v>
      </c>
    </row>
    <row r="8173" ht="15.75" customHeight="1" spans="1:2">
      <c r="A8173" s="3" t="str">
        <f>IFERROR(__xludf.DUMMYFUNCTION("GOOGLETRANSLATE(A8173,""en"",""pt"")"),"Brokeback Mountain era um filme impressionante.")</f>
        <v>Brokeback Mountain era um filme impressionante.</v>
      </c>
      <c r="B8173" s="3">
        <v>1</v>
      </c>
    </row>
    <row r="8174" ht="15.75" customHeight="1" spans="1:2">
      <c r="A8174" s="3" t="str">
        <f>IFERROR(__xludf.DUMMYFUNCTION("GOOGLETRANSLATE(A8174,""en"",""pt"")"),"homem que eu amava montanha Brokeback!")</f>
        <v>homem que eu amava montanha Brokeback!</v>
      </c>
      <c r="B8174" s="3">
        <v>1</v>
      </c>
    </row>
    <row r="8175" ht="15.75" customHeight="1" spans="1:2">
      <c r="A8175" s="3" t="str">
        <f>IFERROR(__xludf.DUMMYFUNCTION("GOOGLETRANSLATE(A8175,""en"",""pt"")"),"dudeee Eu amei montanha Brokeback !!!!")</f>
        <v>dudeee Eu amei montanha Brokeback !!!!</v>
      </c>
      <c r="B8175" s="3">
        <v>1</v>
      </c>
    </row>
    <row r="8176" ht="15.75" customHeight="1" spans="1:2">
      <c r="A8176" s="3" t="str">
        <f>IFERROR(__xludf.DUMMYFUNCTION("GOOGLETRANSLATE(A8176,""en"",""pt"")"),"Ou eu AMOR Brokeback Mountain ou acho que é ótimo que a homossexualidade está se tornando mais aceitável !:")</f>
        <v>Ou eu AMOR Brokeback Mountain ou acho que é ótimo que a homossexualidade está se tornando mais aceitável !:</v>
      </c>
      <c r="B8176" s="3">
        <v>1</v>
      </c>
    </row>
    <row r="8177" ht="15.75" customHeight="1" spans="1:2">
      <c r="A8177" s="3" t="str">
        <f>IFERROR(__xludf.DUMMYFUNCTION("GOOGLETRANSLATE(A8177,""en"",""pt"")"),"De qualquer forma, é por isso que eu amo ""Brokeback Mountain.")</f>
        <v>De qualquer forma, é por isso que eu amo "Brokeback Mountain.</v>
      </c>
      <c r="B8177" s="3">
        <v>1</v>
      </c>
    </row>
    <row r="8178" ht="15.75" customHeight="1" spans="1:2">
      <c r="A8178" s="3" t="str">
        <f>IFERROR(__xludf.DUMMYFUNCTION("GOOGLETRANSLATE(A8178,""en"",""pt"")"),"Brokeback mountain era bonita ...")</f>
        <v>Brokeback mountain era bonita ...</v>
      </c>
      <c r="B8178" s="3">
        <v>1</v>
      </c>
    </row>
    <row r="8179" ht="15.75" customHeight="1" spans="1:2">
      <c r="A8179" s="3" t="str">
        <f>IFERROR(__xludf.DUMMYFUNCTION("GOOGLETRANSLATE(A8179,""en"",""pt"")"),"Eu amo Brokeback Mountain.")</f>
        <v>Eu amo Brokeback Mountain.</v>
      </c>
      <c r="B8179" s="3">
        <v>1</v>
      </c>
    </row>
    <row r="8180" ht="15.75" customHeight="1" spans="1:2">
      <c r="A8180" s="3" t="str">
        <f>IFERROR(__xludf.DUMMYFUNCTION("GOOGLETRANSLATE(A8180,""en"",""pt"")"),"Eu amo Brokeback Mountain ....")</f>
        <v>Eu amo Brokeback Mountain ....</v>
      </c>
      <c r="B8180" s="3">
        <v>1</v>
      </c>
    </row>
    <row r="8181" ht="15.75" customHeight="1" spans="1:2">
      <c r="A8181" s="3" t="str">
        <f>IFERROR(__xludf.DUMMYFUNCTION("GOOGLETRANSLATE(A8181,""en"",""pt"")"),"Ele é como, 'Yeah eu comecei ACNE E eu amo Brokeback Mountain' ..")</f>
        <v>Ele é como, 'Yeah eu comecei ACNE E eu amo Brokeback Mountain' ..</v>
      </c>
      <c r="B8181" s="3">
        <v>1</v>
      </c>
    </row>
    <row r="8182" ht="15.75" customHeight="1" spans="1:2">
      <c r="A8182" s="3" t="str">
        <f>IFERROR(__xludf.DUMMYFUNCTION("GOOGLETRANSLATE(A8182,""en"",""pt"")"),"Brokeback Mountain foi tão incrível.")</f>
        <v>Brokeback Mountain foi tão incrível.</v>
      </c>
      <c r="B8182" s="3">
        <v>1</v>
      </c>
    </row>
    <row r="8183" ht="15.75" customHeight="1" spans="1:2">
      <c r="A8183" s="3" t="str">
        <f>IFERROR(__xludf.DUMMYFUNCTION("GOOGLETRANSLATE(A8183,""en"",""pt"")"),"Brokeback Mountain era um filme impressionante.")</f>
        <v>Brokeback Mountain era um filme impressionante.</v>
      </c>
      <c r="B8183" s="3">
        <v>1</v>
      </c>
    </row>
    <row r="8184" ht="15.75" customHeight="1" spans="1:2">
      <c r="A8184" s="3" t="str">
        <f>IFERROR(__xludf.DUMMYFUNCTION("GOOGLETRANSLATE(A8184,""en"",""pt"")"),"homem que eu amava montanha Brokeback!")</f>
        <v>homem que eu amava montanha Brokeback!</v>
      </c>
      <c r="B8184" s="3">
        <v>1</v>
      </c>
    </row>
    <row r="8185" ht="15.75" customHeight="1" spans="1:2">
      <c r="A8185" s="3" t="str">
        <f>IFERROR(__xludf.DUMMYFUNCTION("GOOGLETRANSLATE(A8185,""en"",""pt"")"),"dudeee Eu amei montanha Brokeback !!!!")</f>
        <v>dudeee Eu amei montanha Brokeback !!!!</v>
      </c>
      <c r="B8185" s="3">
        <v>1</v>
      </c>
    </row>
    <row r="8186" ht="15.75" customHeight="1" spans="1:2">
      <c r="A8186" s="3" t="str">
        <f>IFERROR(__xludf.DUMMYFUNCTION("GOOGLETRANSLATE(A8186,""en"",""pt"")"),"Ou eu AMOR Brokeback Mountain ou acho que é ótimo que a homossexualidade está se tornando mais aceitável !:")</f>
        <v>Ou eu AMOR Brokeback Mountain ou acho que é ótimo que a homossexualidade está se tornando mais aceitável !:</v>
      </c>
      <c r="B8186" s="3">
        <v>1</v>
      </c>
    </row>
    <row r="8187" ht="15.75" customHeight="1" spans="1:2">
      <c r="A8187" s="3" t="str">
        <f>IFERROR(__xludf.DUMMYFUNCTION("GOOGLETRANSLATE(A8187,""en"",""pt"")"),"De qualquer forma, é por isso que eu amo ""Brokeback Mountain.")</f>
        <v>De qualquer forma, é por isso que eu amo "Brokeback Mountain.</v>
      </c>
      <c r="B8187" s="3">
        <v>1</v>
      </c>
    </row>
    <row r="8188" ht="15.75" customHeight="1" spans="1:2">
      <c r="A8188" s="3" t="str">
        <f>IFERROR(__xludf.DUMMYFUNCTION("GOOGLETRANSLATE(A8188,""en"",""pt"")"),"Brokeback mountain era bonita ...")</f>
        <v>Brokeback mountain era bonita ...</v>
      </c>
      <c r="B8188" s="3">
        <v>1</v>
      </c>
    </row>
    <row r="8189" ht="15.75" customHeight="1" spans="1:2">
      <c r="A8189" s="3" t="str">
        <f>IFERROR(__xludf.DUMMYFUNCTION("GOOGLETRANSLATE(A8189,""en"",""pt"")"),"Eu amo Brokeback Mountain.")</f>
        <v>Eu amo Brokeback Mountain.</v>
      </c>
      <c r="B8189" s="3">
        <v>1</v>
      </c>
    </row>
    <row r="8190" ht="15.75" customHeight="1" spans="1:2">
      <c r="A8190" s="3" t="str">
        <f>IFERROR(__xludf.DUMMYFUNCTION("GOOGLETRANSLATE(A8190,""en"",""pt"")"),"Eu amo Brokeback Mountain ....")</f>
        <v>Eu amo Brokeback Mountain ....</v>
      </c>
      <c r="B8190" s="3">
        <v>1</v>
      </c>
    </row>
    <row r="8191" ht="15.75" customHeight="1" spans="1:2">
      <c r="A8191" s="3" t="str">
        <f>IFERROR(__xludf.DUMMYFUNCTION("GOOGLETRANSLATE(A8191,""en"",""pt"")"),"Ele é como, 'Yeah eu comecei ACNE E eu amo Brokeback Mountain' ..")</f>
        <v>Ele é como, 'Yeah eu comecei ACNE E eu amo Brokeback Mountain' ..</v>
      </c>
      <c r="B8191" s="3">
        <v>1</v>
      </c>
    </row>
    <row r="8192" ht="15.75" customHeight="1" spans="1:2">
      <c r="A8192" s="3" t="str">
        <f>IFERROR(__xludf.DUMMYFUNCTION("GOOGLETRANSLATE(A8192,""en"",""pt"")"),"Brokeback Mountain foi tão incrível.")</f>
        <v>Brokeback Mountain foi tão incrível.</v>
      </c>
      <c r="B8192" s="3">
        <v>1</v>
      </c>
    </row>
    <row r="8193" ht="15.75" customHeight="1" spans="1:2">
      <c r="A8193" s="3" t="str">
        <f>IFERROR(__xludf.DUMMYFUNCTION("GOOGLETRANSLATE(A8193,""en"",""pt"")"),"Brokeback Mountain era um filme impressionante.")</f>
        <v>Brokeback Mountain era um filme impressionante.</v>
      </c>
      <c r="B8193" s="3">
        <v>1</v>
      </c>
    </row>
    <row r="8194" ht="15.75" customHeight="1" spans="1:2">
      <c r="A8194" s="3" t="str">
        <f>IFERROR(__xludf.DUMMYFUNCTION("GOOGLETRANSLATE(A8194,""en"",""pt"")"),"homem que eu amava montanha Brokeback!")</f>
        <v>homem que eu amava montanha Brokeback!</v>
      </c>
      <c r="B8194" s="3">
        <v>1</v>
      </c>
    </row>
    <row r="8195" ht="15.75" customHeight="1" spans="1:2">
      <c r="A8195" s="3" t="str">
        <f>IFERROR(__xludf.DUMMYFUNCTION("GOOGLETRANSLATE(A8195,""en"",""pt"")"),"dudeee Eu amei montanha Brokeback !!!!")</f>
        <v>dudeee Eu amei montanha Brokeback !!!!</v>
      </c>
      <c r="B8195" s="3">
        <v>1</v>
      </c>
    </row>
    <row r="8196" ht="15.75" customHeight="1" spans="1:2">
      <c r="A8196" s="3" t="str">
        <f>IFERROR(__xludf.DUMMYFUNCTION("GOOGLETRANSLATE(A8196,""en"",""pt"")"),"Ou eu AMOR Brokeback Mountain ou acho que é ótimo que a homossexualidade está se tornando mais aceitável !:")</f>
        <v>Ou eu AMOR Brokeback Mountain ou acho que é ótimo que a homossexualidade está se tornando mais aceitável !:</v>
      </c>
      <c r="B8196" s="3">
        <v>1</v>
      </c>
    </row>
    <row r="8197" ht="15.75" customHeight="1" spans="1:2">
      <c r="A8197" s="3" t="str">
        <f>IFERROR(__xludf.DUMMYFUNCTION("GOOGLETRANSLATE(A8197,""en"",""pt"")"),"De qualquer forma, é por isso que eu amo ""Brokeback Mountain.")</f>
        <v>De qualquer forma, é por isso que eu amo "Brokeback Mountain.</v>
      </c>
      <c r="B8197" s="3">
        <v>1</v>
      </c>
    </row>
    <row r="8198" ht="15.75" customHeight="1" spans="1:2">
      <c r="A8198" s="3" t="str">
        <f>IFERROR(__xludf.DUMMYFUNCTION("GOOGLETRANSLATE(A8198,""en"",""pt"")"),"Brokeback mountain era bonita ...")</f>
        <v>Brokeback mountain era bonita ...</v>
      </c>
      <c r="B8198" s="3">
        <v>1</v>
      </c>
    </row>
    <row r="8199" ht="15.75" customHeight="1" spans="1:2">
      <c r="A8199" s="3" t="str">
        <f>IFERROR(__xludf.DUMMYFUNCTION("GOOGLETRANSLATE(A8199,""en"",""pt"")"),"Eu amo Brokeback Mountain.")</f>
        <v>Eu amo Brokeback Mountain.</v>
      </c>
      <c r="B8199" s="3">
        <v>1</v>
      </c>
    </row>
    <row r="8200" ht="15.75" customHeight="1" spans="1:2">
      <c r="A8200" s="3" t="str">
        <f>IFERROR(__xludf.DUMMYFUNCTION("GOOGLETRANSLATE(A8200,""en"",""pt"")"),"Eu amo Brokeback Mountain ....")</f>
        <v>Eu amo Brokeback Mountain ....</v>
      </c>
      <c r="B8200" s="3">
        <v>1</v>
      </c>
    </row>
    <row r="8201" ht="15.75" customHeight="1" spans="1:2">
      <c r="A8201" s="3" t="str">
        <f>IFERROR(__xludf.DUMMYFUNCTION("GOOGLETRANSLATE(A8201,""en"",""pt"")"),"Ele é como, 'Yeah eu comecei ACNE E eu amo Brokeback Mountain' ..")</f>
        <v>Ele é como, 'Yeah eu comecei ACNE E eu amo Brokeback Mountain' ..</v>
      </c>
      <c r="B8201" s="3">
        <v>1</v>
      </c>
    </row>
    <row r="8202" ht="15.75" customHeight="1" spans="1:2">
      <c r="A8202" s="3" t="str">
        <f>IFERROR(__xludf.DUMMYFUNCTION("GOOGLETRANSLATE(A8202,""en"",""pt"")"),"Brokeback Mountain foi tão incrível.")</f>
        <v>Brokeback Mountain foi tão incrível.</v>
      </c>
      <c r="B8202" s="3">
        <v>1</v>
      </c>
    </row>
    <row r="8203" ht="15.75" customHeight="1" spans="1:2">
      <c r="A8203" s="3" t="str">
        <f>IFERROR(__xludf.DUMMYFUNCTION("GOOGLETRANSLATE(A8203,""en"",""pt"")"),"Brokeback Mountain era um filme impressionante.")</f>
        <v>Brokeback Mountain era um filme impressionante.</v>
      </c>
      <c r="B8203" s="3">
        <v>1</v>
      </c>
    </row>
    <row r="8204" ht="15.75" customHeight="1" spans="1:2">
      <c r="A8204" s="3" t="str">
        <f>IFERROR(__xludf.DUMMYFUNCTION("GOOGLETRANSLATE(A8204,""en"",""pt"")"),"homem que eu amava montanha Brokeback!")</f>
        <v>homem que eu amava montanha Brokeback!</v>
      </c>
      <c r="B8204" s="3">
        <v>1</v>
      </c>
    </row>
    <row r="8205" ht="15.75" customHeight="1" spans="1:2">
      <c r="A8205" s="3" t="str">
        <f>IFERROR(__xludf.DUMMYFUNCTION("GOOGLETRANSLATE(A8205,""en"",""pt"")"),"dudeee Eu amei montanha Brokeback !!!!")</f>
        <v>dudeee Eu amei montanha Brokeback !!!!</v>
      </c>
      <c r="B8205" s="3">
        <v>1</v>
      </c>
    </row>
    <row r="8206" ht="15.75" customHeight="1" spans="1:2">
      <c r="A8206" s="3" t="str">
        <f>IFERROR(__xludf.DUMMYFUNCTION("GOOGLETRANSLATE(A8206,""en"",""pt"")"),"Ou eu AMOR Brokeback Mountain ou acho que é ótimo que a homossexualidade está se tornando mais aceitável !:")</f>
        <v>Ou eu AMOR Brokeback Mountain ou acho que é ótimo que a homossexualidade está se tornando mais aceitável !:</v>
      </c>
      <c r="B8206" s="3">
        <v>1</v>
      </c>
    </row>
    <row r="8207" ht="15.75" customHeight="1" spans="1:2">
      <c r="A8207" s="3" t="str">
        <f>IFERROR(__xludf.DUMMYFUNCTION("GOOGLETRANSLATE(A8207,""en"",""pt"")"),"De qualquer forma, é por isso que eu amo ""Brokeback Mountain.")</f>
        <v>De qualquer forma, é por isso que eu amo "Brokeback Mountain.</v>
      </c>
      <c r="B8207" s="3">
        <v>1</v>
      </c>
    </row>
    <row r="8208" ht="15.75" customHeight="1" spans="1:2">
      <c r="A8208" s="3" t="str">
        <f>IFERROR(__xludf.DUMMYFUNCTION("GOOGLETRANSLATE(A8208,""en"",""pt"")"),"Brokeback mountain era bonita ...")</f>
        <v>Brokeback mountain era bonita ...</v>
      </c>
      <c r="B8208" s="3">
        <v>1</v>
      </c>
    </row>
    <row r="8209" ht="15.75" customHeight="1" spans="1:2">
      <c r="A8209" s="3" t="str">
        <f>IFERROR(__xludf.DUMMYFUNCTION("GOOGLETRANSLATE(A8209,""en"",""pt"")"),"Eu amo Brokeback Mountain.")</f>
        <v>Eu amo Brokeback Mountain.</v>
      </c>
      <c r="B8209" s="3">
        <v>1</v>
      </c>
    </row>
    <row r="8210" ht="15.75" customHeight="1" spans="1:2">
      <c r="A8210" s="3" t="str">
        <f>IFERROR(__xludf.DUMMYFUNCTION("GOOGLETRANSLATE(A8210,""en"",""pt"")"),"Eu amo Brokeback Mountain ....")</f>
        <v>Eu amo Brokeback Mountain ....</v>
      </c>
      <c r="B8210" s="3">
        <v>1</v>
      </c>
    </row>
    <row r="8211" ht="15.75" customHeight="1" spans="1:2">
      <c r="A8211" s="3" t="str">
        <f>IFERROR(__xludf.DUMMYFUNCTION("GOOGLETRANSLATE(A8211,""en"",""pt"")"),"Ele é como, 'Yeah eu comecei ACNE E eu amo Brokeback Mountain' ..")</f>
        <v>Ele é como, 'Yeah eu comecei ACNE E eu amo Brokeback Mountain' ..</v>
      </c>
      <c r="B8211" s="3">
        <v>1</v>
      </c>
    </row>
    <row r="8212" ht="15.75" customHeight="1" spans="1:2">
      <c r="A8212" s="3" t="str">
        <f>IFERROR(__xludf.DUMMYFUNCTION("GOOGLETRANSLATE(A8212,""en"",""pt"")"),"Brokeback Mountain foi tão incrível.")</f>
        <v>Brokeback Mountain foi tão incrível.</v>
      </c>
      <c r="B8212" s="3">
        <v>1</v>
      </c>
    </row>
    <row r="8213" ht="15.75" customHeight="1" spans="1:2">
      <c r="A8213" s="3" t="str">
        <f>IFERROR(__xludf.DUMMYFUNCTION("GOOGLETRANSLATE(A8213,""en"",""pt"")"),"Brokeback Mountain era um filme impressionante.")</f>
        <v>Brokeback Mountain era um filme impressionante.</v>
      </c>
      <c r="B8213" s="3">
        <v>1</v>
      </c>
    </row>
    <row r="8214" ht="15.75" customHeight="1" spans="1:2">
      <c r="A8214" s="3" t="str">
        <f>IFERROR(__xludf.DUMMYFUNCTION("GOOGLETRANSLATE(A8214,""en"",""pt"")"),"homem que eu amava montanha Brokeback!")</f>
        <v>homem que eu amava montanha Brokeback!</v>
      </c>
      <c r="B8214" s="3">
        <v>1</v>
      </c>
    </row>
    <row r="8215" ht="15.75" customHeight="1" spans="1:2">
      <c r="A8215" s="3" t="str">
        <f>IFERROR(__xludf.DUMMYFUNCTION("GOOGLETRANSLATE(A8215,""en"",""pt"")"),"dudeee Eu amei montanha Brokeback !!!!")</f>
        <v>dudeee Eu amei montanha Brokeback !!!!</v>
      </c>
      <c r="B8215" s="3">
        <v>1</v>
      </c>
    </row>
    <row r="8216" ht="15.75" customHeight="1" spans="1:2">
      <c r="A8216" s="3" t="str">
        <f>IFERROR(__xludf.DUMMYFUNCTION("GOOGLETRANSLATE(A8216,""en"",""pt"")"),"Ou eu AMOR Brokeback Mountain ou acho que é ótimo que a homossexualidade está se tornando mais aceitável !:")</f>
        <v>Ou eu AMOR Brokeback Mountain ou acho que é ótimo que a homossexualidade está se tornando mais aceitável !:</v>
      </c>
      <c r="B8216" s="3">
        <v>1</v>
      </c>
    </row>
    <row r="8217" ht="15.75" customHeight="1" spans="1:2">
      <c r="A8217" s="3" t="str">
        <f>IFERROR(__xludf.DUMMYFUNCTION("GOOGLETRANSLATE(A8217,""en"",""pt"")"),"De qualquer forma, é por isso que eu amo ""Brokeback Mountain.")</f>
        <v>De qualquer forma, é por isso que eu amo "Brokeback Mountain.</v>
      </c>
      <c r="B8217" s="3">
        <v>1</v>
      </c>
    </row>
    <row r="8218" ht="15.75" customHeight="1" spans="1:2">
      <c r="A8218" s="3" t="str">
        <f>IFERROR(__xludf.DUMMYFUNCTION("GOOGLETRANSLATE(A8218,""en"",""pt"")"),"Brokeback mountain era bonita ...")</f>
        <v>Brokeback mountain era bonita ...</v>
      </c>
      <c r="B8218" s="3">
        <v>1</v>
      </c>
    </row>
    <row r="8219" ht="15.75" customHeight="1" spans="1:2">
      <c r="A8219" s="3" t="str">
        <f>IFERROR(__xludf.DUMMYFUNCTION("GOOGLETRANSLATE(A8219,""en"",""pt"")"),"Eu amo Brokeback Mountain.")</f>
        <v>Eu amo Brokeback Mountain.</v>
      </c>
      <c r="B8219" s="3">
        <v>1</v>
      </c>
    </row>
    <row r="8220" ht="15.75" customHeight="1" spans="1:2">
      <c r="A8220" s="3" t="str">
        <f>IFERROR(__xludf.DUMMYFUNCTION("GOOGLETRANSLATE(A8220,""en"",""pt"")"),"Eu amo Brokeback Mountain ....")</f>
        <v>Eu amo Brokeback Mountain ....</v>
      </c>
      <c r="B8220" s="3">
        <v>1</v>
      </c>
    </row>
    <row r="8221" ht="15.75" customHeight="1" spans="1:2">
      <c r="A8221" s="3" t="str">
        <f>IFERROR(__xludf.DUMMYFUNCTION("GOOGLETRANSLATE(A8221,""en"",""pt"")"),"Ele é como, 'Yeah eu comecei ACNE E eu amo Brokeback Mountain' ..")</f>
        <v>Ele é como, 'Yeah eu comecei ACNE E eu amo Brokeback Mountain' ..</v>
      </c>
      <c r="B8221" s="3">
        <v>1</v>
      </c>
    </row>
    <row r="8222" ht="15.75" customHeight="1" spans="1:2">
      <c r="A8222" s="3" t="str">
        <f>IFERROR(__xludf.DUMMYFUNCTION("GOOGLETRANSLATE(A8222,""en"",""pt"")"),"Brokeback Mountain foi tão incrível.")</f>
        <v>Brokeback Mountain foi tão incrível.</v>
      </c>
      <c r="B8222" s="3">
        <v>1</v>
      </c>
    </row>
    <row r="8223" ht="15.75" customHeight="1" spans="1:2">
      <c r="A8223" s="3" t="str">
        <f>IFERROR(__xludf.DUMMYFUNCTION("GOOGLETRANSLATE(A8223,""en"",""pt"")"),"Brokeback Mountain era um filme impressionante.")</f>
        <v>Brokeback Mountain era um filme impressionante.</v>
      </c>
      <c r="B8223" s="3">
        <v>1</v>
      </c>
    </row>
    <row r="8224" ht="15.75" customHeight="1" spans="1:2">
      <c r="A8224" s="3" t="str">
        <f>IFERROR(__xludf.DUMMYFUNCTION("GOOGLETRANSLATE(A8224,""en"",""pt"")"),"homem que eu amava montanha Brokeback!")</f>
        <v>homem que eu amava montanha Brokeback!</v>
      </c>
      <c r="B8224" s="3">
        <v>1</v>
      </c>
    </row>
    <row r="8225" ht="15.75" customHeight="1" spans="1:2">
      <c r="A8225" s="3" t="str">
        <f>IFERROR(__xludf.DUMMYFUNCTION("GOOGLETRANSLATE(A8225,""en"",""pt"")"),"dudeee Eu amei montanha Brokeback !!!!")</f>
        <v>dudeee Eu amei montanha Brokeback !!!!</v>
      </c>
      <c r="B8225" s="3">
        <v>1</v>
      </c>
    </row>
    <row r="8226" ht="15.75" customHeight="1" spans="1:2">
      <c r="A8226" s="3" t="str">
        <f>IFERROR(__xludf.DUMMYFUNCTION("GOOGLETRANSLATE(A8226,""en"",""pt"")"),"Ou eu AMOR Brokeback Mountain ou acho que é ótimo que a homossexualidade está se tornando mais aceitável !:")</f>
        <v>Ou eu AMOR Brokeback Mountain ou acho que é ótimo que a homossexualidade está se tornando mais aceitável !:</v>
      </c>
      <c r="B8226" s="3">
        <v>1</v>
      </c>
    </row>
    <row r="8227" ht="15.75" customHeight="1" spans="1:2">
      <c r="A8227" s="3" t="str">
        <f>IFERROR(__xludf.DUMMYFUNCTION("GOOGLETRANSLATE(A8227,""en"",""pt"")"),"De qualquer forma, é por isso que eu amo ""Brokeback Mountain.")</f>
        <v>De qualquer forma, é por isso que eu amo "Brokeback Mountain.</v>
      </c>
      <c r="B8227" s="3">
        <v>1</v>
      </c>
    </row>
    <row r="8228" ht="15.75" customHeight="1" spans="1:2">
      <c r="A8228" s="3" t="str">
        <f>IFERROR(__xludf.DUMMYFUNCTION("GOOGLETRANSLATE(A8228,""en"",""pt"")"),"Brokeback mountain era bonita ...")</f>
        <v>Brokeback mountain era bonita ...</v>
      </c>
      <c r="B8228" s="3">
        <v>1</v>
      </c>
    </row>
    <row r="8229" ht="15.75" customHeight="1" spans="1:2">
      <c r="A8229" s="3" t="str">
        <f>IFERROR(__xludf.DUMMYFUNCTION("GOOGLETRANSLATE(A8229,""en"",""pt"")"),"Eu amo Brokeback Mountain.")</f>
        <v>Eu amo Brokeback Mountain.</v>
      </c>
      <c r="B8229" s="3">
        <v>1</v>
      </c>
    </row>
    <row r="8230" ht="15.75" customHeight="1" spans="1:2">
      <c r="A8230" s="3" t="str">
        <f>IFERROR(__xludf.DUMMYFUNCTION("GOOGLETRANSLATE(A8230,""en"",""pt"")"),"Eu amo Brokeback Mountain ....")</f>
        <v>Eu amo Brokeback Mountain ....</v>
      </c>
      <c r="B8230" s="3">
        <v>1</v>
      </c>
    </row>
    <row r="8231" ht="15.75" customHeight="1" spans="1:2">
      <c r="A8231" s="3" t="str">
        <f>IFERROR(__xludf.DUMMYFUNCTION("GOOGLETRANSLATE(A8231,""en"",""pt"")"),"Ele é como, 'Yeah eu comecei ACNE E eu amo Brokeback Mountain' ..")</f>
        <v>Ele é como, 'Yeah eu comecei ACNE E eu amo Brokeback Mountain' ..</v>
      </c>
      <c r="B8231" s="3">
        <v>1</v>
      </c>
    </row>
    <row r="8232" ht="15.75" customHeight="1" spans="1:2">
      <c r="A8232" s="3" t="str">
        <f>IFERROR(__xludf.DUMMYFUNCTION("GOOGLETRANSLATE(A8232,""en"",""pt"")"),"Brokeback Mountain foi tão incrível.")</f>
        <v>Brokeback Mountain foi tão incrível.</v>
      </c>
      <c r="B8232" s="3">
        <v>1</v>
      </c>
    </row>
    <row r="8233" ht="15.75" customHeight="1" spans="1:2">
      <c r="A8233" s="3" t="str">
        <f>IFERROR(__xludf.DUMMYFUNCTION("GOOGLETRANSLATE(A8233,""en"",""pt"")"),"Brokeback Mountain era um filme impressionante.")</f>
        <v>Brokeback Mountain era um filme impressionante.</v>
      </c>
      <c r="B8233" s="3">
        <v>1</v>
      </c>
    </row>
    <row r="8234" ht="15.75" customHeight="1" spans="1:2">
      <c r="A8234" s="3" t="str">
        <f>IFERROR(__xludf.DUMMYFUNCTION("GOOGLETRANSLATE(A8234,""en"",""pt"")"),"homem que eu amava montanha Brokeback!")</f>
        <v>homem que eu amava montanha Brokeback!</v>
      </c>
      <c r="B8234" s="3">
        <v>1</v>
      </c>
    </row>
    <row r="8235" ht="15.75" customHeight="1" spans="1:2">
      <c r="A8235" s="3" t="str">
        <f>IFERROR(__xludf.DUMMYFUNCTION("GOOGLETRANSLATE(A8235,""en"",""pt"")"),"dudeee Eu amei montanha Brokeback !!!!")</f>
        <v>dudeee Eu amei montanha Brokeback !!!!</v>
      </c>
      <c r="B8235" s="3">
        <v>1</v>
      </c>
    </row>
    <row r="8236" ht="15.75" customHeight="1" spans="1:2">
      <c r="A8236" s="3" t="str">
        <f>IFERROR(__xludf.DUMMYFUNCTION("GOOGLETRANSLATE(A8236,""en"",""pt"")"),"Ou eu AMOR Brokeback Mountain ou acho que é ótimo que a homossexualidade está se tornando mais aceitável !:")</f>
        <v>Ou eu AMOR Brokeback Mountain ou acho que é ótimo que a homossexualidade está se tornando mais aceitável !:</v>
      </c>
      <c r="B8236" s="3">
        <v>1</v>
      </c>
    </row>
    <row r="8237" ht="15.75" customHeight="1" spans="1:2">
      <c r="A8237" s="3" t="str">
        <f>IFERROR(__xludf.DUMMYFUNCTION("GOOGLETRANSLATE(A8237,""en"",""pt"")"),"De qualquer forma, é por isso que eu amo ""Brokeback Mountain.")</f>
        <v>De qualquer forma, é por isso que eu amo "Brokeback Mountain.</v>
      </c>
      <c r="B8237" s="3">
        <v>1</v>
      </c>
    </row>
    <row r="8238" ht="15.75" customHeight="1" spans="1:2">
      <c r="A8238" s="3" t="str">
        <f>IFERROR(__xludf.DUMMYFUNCTION("GOOGLETRANSLATE(A8238,""en"",""pt"")"),"Brokeback mountain era bonita ...")</f>
        <v>Brokeback mountain era bonita ...</v>
      </c>
      <c r="B8238" s="3">
        <v>1</v>
      </c>
    </row>
    <row r="8239" ht="15.75" customHeight="1" spans="1:2">
      <c r="A8239" s="3" t="str">
        <f>IFERROR(__xludf.DUMMYFUNCTION("GOOGLETRANSLATE(A8239,""en"",""pt"")"),"Eu amo Brokeback Mountain.")</f>
        <v>Eu amo Brokeback Mountain.</v>
      </c>
      <c r="B8239" s="3">
        <v>1</v>
      </c>
    </row>
    <row r="8240" ht="15.75" customHeight="1" spans="1:2">
      <c r="A8240" s="3" t="str">
        <f>IFERROR(__xludf.DUMMYFUNCTION("GOOGLETRANSLATE(A8240,""en"",""pt"")"),"Eu amo Brokeback Mountain ....")</f>
        <v>Eu amo Brokeback Mountain ....</v>
      </c>
      <c r="B8240" s="3">
        <v>1</v>
      </c>
    </row>
    <row r="8241" ht="15.75" customHeight="1" spans="1:2">
      <c r="A8241" s="3" t="str">
        <f>IFERROR(__xludf.DUMMYFUNCTION("GOOGLETRANSLATE(A8241,""en"",""pt"")"),"Ele é como, 'Yeah eu comecei ACNE E eu amo Brokeback Mountain' ..")</f>
        <v>Ele é como, 'Yeah eu comecei ACNE E eu amo Brokeback Mountain' ..</v>
      </c>
      <c r="B8241" s="3">
        <v>1</v>
      </c>
    </row>
    <row r="8242" ht="15.75" customHeight="1" spans="1:2">
      <c r="A8242" s="3" t="str">
        <f>IFERROR(__xludf.DUMMYFUNCTION("GOOGLETRANSLATE(A8242,""en"",""pt"")"),"Brokeback Mountain foi tão incrível.")</f>
        <v>Brokeback Mountain foi tão incrível.</v>
      </c>
      <c r="B8242" s="3">
        <v>1</v>
      </c>
    </row>
    <row r="8243" ht="15.75" customHeight="1" spans="1:2">
      <c r="A8243" s="3" t="str">
        <f>IFERROR(__xludf.DUMMYFUNCTION("GOOGLETRANSLATE(A8243,""en"",""pt"")"),"Brokeback Mountain era um filme impressionante.")</f>
        <v>Brokeback Mountain era um filme impressionante.</v>
      </c>
      <c r="B8243" s="3">
        <v>1</v>
      </c>
    </row>
    <row r="8244" ht="15.75" customHeight="1" spans="1:2">
      <c r="A8244" s="3" t="str">
        <f>IFERROR(__xludf.DUMMYFUNCTION("GOOGLETRANSLATE(A8244,""en"",""pt"")"),"homem que eu amava montanha Brokeback!")</f>
        <v>homem que eu amava montanha Brokeback!</v>
      </c>
      <c r="B8244" s="3">
        <v>1</v>
      </c>
    </row>
    <row r="8245" ht="15.75" customHeight="1" spans="1:2">
      <c r="A8245" s="3" t="str">
        <f>IFERROR(__xludf.DUMMYFUNCTION("GOOGLETRANSLATE(A8245,""en"",""pt"")"),"dudeee Eu amei montanha Brokeback !!!!")</f>
        <v>dudeee Eu amei montanha Brokeback !!!!</v>
      </c>
      <c r="B8245" s="3">
        <v>1</v>
      </c>
    </row>
    <row r="8246" ht="15.75" customHeight="1" spans="1:2">
      <c r="A8246" s="3" t="str">
        <f>IFERROR(__xludf.DUMMYFUNCTION("GOOGLETRANSLATE(A8246,""en"",""pt"")"),"Ou eu AMOR Brokeback Mountain ou acho que é ótimo que a homossexualidade está se tornando mais aceitável !:")</f>
        <v>Ou eu AMOR Brokeback Mountain ou acho que é ótimo que a homossexualidade está se tornando mais aceitável !:</v>
      </c>
      <c r="B8246" s="3">
        <v>1</v>
      </c>
    </row>
    <row r="8247" ht="15.75" customHeight="1" spans="1:2">
      <c r="A8247" s="3" t="str">
        <f>IFERROR(__xludf.DUMMYFUNCTION("GOOGLETRANSLATE(A8247,""en"",""pt"")"),"De qualquer forma, é por isso que eu amo ""Brokeback Mountain.")</f>
        <v>De qualquer forma, é por isso que eu amo "Brokeback Mountain.</v>
      </c>
      <c r="B8247" s="3">
        <v>1</v>
      </c>
    </row>
    <row r="8248" ht="15.75" customHeight="1" spans="1:2">
      <c r="A8248" s="3" t="str">
        <f>IFERROR(__xludf.DUMMYFUNCTION("GOOGLETRANSLATE(A8248,""en"",""pt"")"),"Brokeback mountain era bonita ...")</f>
        <v>Brokeback mountain era bonita ...</v>
      </c>
      <c r="B8248" s="3">
        <v>1</v>
      </c>
    </row>
    <row r="8249" ht="15.75" customHeight="1" spans="1:2">
      <c r="A8249" s="3" t="str">
        <f>IFERROR(__xludf.DUMMYFUNCTION("GOOGLETRANSLATE(A8249,""en"",""pt"")"),"Eu amo Brokeback Mountain.")</f>
        <v>Eu amo Brokeback Mountain.</v>
      </c>
      <c r="B8249" s="3">
        <v>1</v>
      </c>
    </row>
    <row r="8250" ht="15.75" customHeight="1" spans="1:2">
      <c r="A8250" s="3" t="str">
        <f>IFERROR(__xludf.DUMMYFUNCTION("GOOGLETRANSLATE(A8250,""en"",""pt"")"),"Eu amo Brokeback Mountain ....")</f>
        <v>Eu amo Brokeback Mountain ....</v>
      </c>
      <c r="B8250" s="3">
        <v>1</v>
      </c>
    </row>
    <row r="8251" ht="15.75" customHeight="1" spans="1:2">
      <c r="A8251" s="3" t="str">
        <f>IFERROR(__xludf.DUMMYFUNCTION("GOOGLETRANSLATE(A8251,""en"",""pt"")"),"Ele é como, 'Yeah eu comecei ACNE E eu amo Brokeback Mountain' ..")</f>
        <v>Ele é como, 'Yeah eu comecei ACNE E eu amo Brokeback Mountain' ..</v>
      </c>
      <c r="B8251" s="3">
        <v>1</v>
      </c>
    </row>
    <row r="8252" ht="15.75" customHeight="1" spans="1:2">
      <c r="A8252" s="3" t="str">
        <f>IFERROR(__xludf.DUMMYFUNCTION("GOOGLETRANSLATE(A8252,""en"",""pt"")"),"Brokeback Mountain foi tão incrível.")</f>
        <v>Brokeback Mountain foi tão incrível.</v>
      </c>
      <c r="B8252" s="3">
        <v>1</v>
      </c>
    </row>
    <row r="8253" ht="15.75" customHeight="1" spans="1:2">
      <c r="A8253" s="3" t="str">
        <f>IFERROR(__xludf.DUMMYFUNCTION("GOOGLETRANSLATE(A8253,""en"",""pt"")"),"Brokeback Mountain era um filme impressionante.")</f>
        <v>Brokeback Mountain era um filme impressionante.</v>
      </c>
      <c r="B8253" s="3">
        <v>1</v>
      </c>
    </row>
    <row r="8254" ht="15.75" customHeight="1" spans="1:2">
      <c r="A8254" s="3" t="str">
        <f>IFERROR(__xludf.DUMMYFUNCTION("GOOGLETRANSLATE(A8254,""en"",""pt"")"),"homem que eu amava montanha Brokeback!")</f>
        <v>homem que eu amava montanha Brokeback!</v>
      </c>
      <c r="B8254" s="3">
        <v>1</v>
      </c>
    </row>
    <row r="8255" ht="15.75" customHeight="1" spans="1:2">
      <c r="A8255" s="3" t="str">
        <f>IFERROR(__xludf.DUMMYFUNCTION("GOOGLETRANSLATE(A8255,""en"",""pt"")"),"dudeee Eu amei montanha Brokeback !!!!")</f>
        <v>dudeee Eu amei montanha Brokeback !!!!</v>
      </c>
      <c r="B8255" s="3">
        <v>1</v>
      </c>
    </row>
    <row r="8256" ht="15.75" customHeight="1" spans="1:2">
      <c r="A8256" s="3" t="str">
        <f>IFERROR(__xludf.DUMMYFUNCTION("GOOGLETRANSLATE(A8256,""en"",""pt"")"),"Ou eu AMOR Brokeback Mountain ou acho que é ótimo que a homossexualidade está se tornando mais aceitável !:")</f>
        <v>Ou eu AMOR Brokeback Mountain ou acho que é ótimo que a homossexualidade está se tornando mais aceitável !:</v>
      </c>
      <c r="B8256" s="3">
        <v>1</v>
      </c>
    </row>
    <row r="8257" ht="15.75" customHeight="1" spans="1:2">
      <c r="A8257" s="3" t="str">
        <f>IFERROR(__xludf.DUMMYFUNCTION("GOOGLETRANSLATE(A8257,""en"",""pt"")"),"De qualquer forma, é por isso que eu amo ""Brokeback Mountain.")</f>
        <v>De qualquer forma, é por isso que eu amo "Brokeback Mountain.</v>
      </c>
      <c r="B8257" s="3">
        <v>1</v>
      </c>
    </row>
    <row r="8258" ht="15.75" customHeight="1" spans="1:2">
      <c r="A8258" s="3" t="str">
        <f>IFERROR(__xludf.DUMMYFUNCTION("GOOGLETRANSLATE(A8258,""en"",""pt"")"),"Brokeback mountain era bonita ...")</f>
        <v>Brokeback mountain era bonita ...</v>
      </c>
      <c r="B8258" s="3">
        <v>1</v>
      </c>
    </row>
    <row r="8259" ht="15.75" customHeight="1" spans="1:2">
      <c r="A8259" s="3" t="str">
        <f>IFERROR(__xludf.DUMMYFUNCTION("GOOGLETRANSLATE(A8259,""en"",""pt"")"),"Eu amo Brokeback Mountain.")</f>
        <v>Eu amo Brokeback Mountain.</v>
      </c>
      <c r="B8259" s="3">
        <v>1</v>
      </c>
    </row>
    <row r="8260" ht="15.75" customHeight="1" spans="1:2">
      <c r="A8260" s="3" t="str">
        <f>IFERROR(__xludf.DUMMYFUNCTION("GOOGLETRANSLATE(A8260,""en"",""pt"")"),"Eu amo Brokeback Mountain ....")</f>
        <v>Eu amo Brokeback Mountain ....</v>
      </c>
      <c r="B8260" s="3">
        <v>1</v>
      </c>
    </row>
    <row r="8261" ht="15.75" customHeight="1" spans="1:2">
      <c r="A8261" s="3" t="str">
        <f>IFERROR(__xludf.DUMMYFUNCTION("GOOGLETRANSLATE(A8261,""en"",""pt"")"),"Ele é como, 'Yeah eu comecei ACNE E eu amo Brokeback Mountain' ..")</f>
        <v>Ele é como, 'Yeah eu comecei ACNE E eu amo Brokeback Mountain' ..</v>
      </c>
      <c r="B8261" s="3">
        <v>1</v>
      </c>
    </row>
    <row r="8262" ht="15.75" customHeight="1" spans="1:2">
      <c r="A8262" s="3" t="str">
        <f>IFERROR(__xludf.DUMMYFUNCTION("GOOGLETRANSLATE(A8262,""en"",""pt"")"),"Brokeback Mountain foi tão incrível.")</f>
        <v>Brokeback Mountain foi tão incrível.</v>
      </c>
      <c r="B8262" s="3">
        <v>1</v>
      </c>
    </row>
    <row r="8263" ht="15.75" customHeight="1" spans="1:2">
      <c r="A8263" s="3" t="str">
        <f>IFERROR(__xludf.DUMMYFUNCTION("GOOGLETRANSLATE(A8263,""en"",""pt"")"),"Brokeback Mountain era um filme impressionante.")</f>
        <v>Brokeback Mountain era um filme impressionante.</v>
      </c>
      <c r="B8263" s="3">
        <v>1</v>
      </c>
    </row>
    <row r="8264" ht="15.75" customHeight="1" spans="1:2">
      <c r="A8264" s="3" t="str">
        <f>IFERROR(__xludf.DUMMYFUNCTION("GOOGLETRANSLATE(A8264,""en"",""pt"")"),"homem que eu amava montanha Brokeback!")</f>
        <v>homem que eu amava montanha Brokeback!</v>
      </c>
      <c r="B8264" s="3">
        <v>1</v>
      </c>
    </row>
    <row r="8265" ht="15.75" customHeight="1" spans="1:2">
      <c r="A8265" s="3" t="str">
        <f>IFERROR(__xludf.DUMMYFUNCTION("GOOGLETRANSLATE(A8265,""en"",""pt"")"),"dudeee Eu amei montanha Brokeback !!!!")</f>
        <v>dudeee Eu amei montanha Brokeback !!!!</v>
      </c>
      <c r="B8265" s="3">
        <v>1</v>
      </c>
    </row>
    <row r="8266" ht="15.75" customHeight="1" spans="1:2">
      <c r="A8266" s="3" t="str">
        <f>IFERROR(__xludf.DUMMYFUNCTION("GOOGLETRANSLATE(A8266,""en"",""pt"")"),"Ou eu AMOR Brokeback Mountain ou acho que é ótimo que a homossexualidade está se tornando mais aceitável !:")</f>
        <v>Ou eu AMOR Brokeback Mountain ou acho que é ótimo que a homossexualidade está se tornando mais aceitável !:</v>
      </c>
      <c r="B8266" s="3">
        <v>1</v>
      </c>
    </row>
    <row r="8267" ht="15.75" customHeight="1" spans="1:2">
      <c r="A8267" s="3" t="str">
        <f>IFERROR(__xludf.DUMMYFUNCTION("GOOGLETRANSLATE(A8267,""en"",""pt"")"),"De qualquer forma, é por isso que eu amo ""Brokeback Mountain.")</f>
        <v>De qualquer forma, é por isso que eu amo "Brokeback Mountain.</v>
      </c>
      <c r="B8267" s="3">
        <v>1</v>
      </c>
    </row>
    <row r="8268" ht="15.75" customHeight="1" spans="1:2">
      <c r="A8268" s="3" t="str">
        <f>IFERROR(__xludf.DUMMYFUNCTION("GOOGLETRANSLATE(A8268,""en"",""pt"")"),"Brokeback mountain era bonita ...")</f>
        <v>Brokeback mountain era bonita ...</v>
      </c>
      <c r="B8268" s="3">
        <v>1</v>
      </c>
    </row>
    <row r="8269" ht="15.75" customHeight="1" spans="1:2">
      <c r="A8269" s="3" t="str">
        <f>IFERROR(__xludf.DUMMYFUNCTION("GOOGLETRANSLATE(A8269,""en"",""pt"")"),"Eu amo Brokeback Mountain.")</f>
        <v>Eu amo Brokeback Mountain.</v>
      </c>
      <c r="B8269" s="3">
        <v>1</v>
      </c>
    </row>
    <row r="8270" ht="15.75" customHeight="1" spans="1:2">
      <c r="A8270" s="3" t="str">
        <f>IFERROR(__xludf.DUMMYFUNCTION("GOOGLETRANSLATE(A8270,""en"",""pt"")"),"Eu amo Brokeback Mountain ....")</f>
        <v>Eu amo Brokeback Mountain ....</v>
      </c>
      <c r="B8270" s="3">
        <v>1</v>
      </c>
    </row>
    <row r="8271" ht="15.75" customHeight="1" spans="1:2">
      <c r="A8271" s="3" t="str">
        <f>IFERROR(__xludf.DUMMYFUNCTION("GOOGLETRANSLATE(A8271,""en"",""pt"")"),"Ele é como, 'Yeah eu comecei ACNE E eu amo Brokeback Mountain' ..")</f>
        <v>Ele é como, 'Yeah eu comecei ACNE E eu amo Brokeback Mountain' ..</v>
      </c>
      <c r="B8271" s="3">
        <v>1</v>
      </c>
    </row>
    <row r="8272" ht="15.75" customHeight="1" spans="1:2">
      <c r="A8272" s="3" t="str">
        <f>IFERROR(__xludf.DUMMYFUNCTION("GOOGLETRANSLATE(A8272,""en"",""pt"")"),"Brokeback Mountain foi tão incrível.")</f>
        <v>Brokeback Mountain foi tão incrível.</v>
      </c>
      <c r="B8272" s="3">
        <v>1</v>
      </c>
    </row>
    <row r="8273" ht="15.75" customHeight="1" spans="1:2">
      <c r="A8273" s="3" t="str">
        <f>IFERROR(__xludf.DUMMYFUNCTION("GOOGLETRANSLATE(A8273,""en"",""pt"")"),"Brokeback Mountain era um filme impressionante.")</f>
        <v>Brokeback Mountain era um filme impressionante.</v>
      </c>
      <c r="B8273" s="3">
        <v>1</v>
      </c>
    </row>
    <row r="8274" ht="15.75" customHeight="1" spans="1:2">
      <c r="A8274" s="3" t="str">
        <f>IFERROR(__xludf.DUMMYFUNCTION("GOOGLETRANSLATE(A8274,""en"",""pt"")"),"homem que eu amava montanha Brokeback!")</f>
        <v>homem que eu amava montanha Brokeback!</v>
      </c>
      <c r="B8274" s="3">
        <v>1</v>
      </c>
    </row>
    <row r="8275" ht="15.75" customHeight="1" spans="1:2">
      <c r="A8275" s="3" t="str">
        <f>IFERROR(__xludf.DUMMYFUNCTION("GOOGLETRANSLATE(A8275,""en"",""pt"")"),"dudeee Eu amei montanha Brokeback !!!!")</f>
        <v>dudeee Eu amei montanha Brokeback !!!!</v>
      </c>
      <c r="B8275" s="3">
        <v>1</v>
      </c>
    </row>
    <row r="8276" ht="15.75" customHeight="1" spans="1:2">
      <c r="A8276" s="3" t="str">
        <f>IFERROR(__xludf.DUMMYFUNCTION("GOOGLETRANSLATE(A8276,""en"",""pt"")"),"Ou eu AMOR Brokeback Mountain ou acho que é ótimo que a homossexualidade está se tornando mais aceitável !:")</f>
        <v>Ou eu AMOR Brokeback Mountain ou acho que é ótimo que a homossexualidade está se tornando mais aceitável !:</v>
      </c>
      <c r="B8276" s="3">
        <v>1</v>
      </c>
    </row>
    <row r="8277" ht="15.75" customHeight="1" spans="1:2">
      <c r="A8277" s="3" t="str">
        <f>IFERROR(__xludf.DUMMYFUNCTION("GOOGLETRANSLATE(A8277,""en"",""pt"")"),"De qualquer forma, é por isso que eu amo ""Brokeback Mountain.")</f>
        <v>De qualquer forma, é por isso que eu amo "Brokeback Mountain.</v>
      </c>
      <c r="B8277" s="3">
        <v>1</v>
      </c>
    </row>
    <row r="8278" ht="15.75" customHeight="1" spans="1:2">
      <c r="A8278" s="3" t="str">
        <f>IFERROR(__xludf.DUMMYFUNCTION("GOOGLETRANSLATE(A8278,""en"",""pt"")"),"Brokeback mountain era bonita ...")</f>
        <v>Brokeback mountain era bonita ...</v>
      </c>
      <c r="B8278" s="3">
        <v>1</v>
      </c>
    </row>
    <row r="8279" ht="15.75" customHeight="1" spans="1:2">
      <c r="A8279" s="3" t="str">
        <f>IFERROR(__xludf.DUMMYFUNCTION("GOOGLETRANSLATE(A8279,""en"",""pt"")"),"Eu amo Brokeback Mountain.")</f>
        <v>Eu amo Brokeback Mountain.</v>
      </c>
      <c r="B8279" s="3">
        <v>1</v>
      </c>
    </row>
    <row r="8280" ht="15.75" customHeight="1" spans="1:2">
      <c r="A8280" s="3" t="str">
        <f>IFERROR(__xludf.DUMMYFUNCTION("GOOGLETRANSLATE(A8280,""en"",""pt"")"),"Eu amo Brokeback Mountain ....")</f>
        <v>Eu amo Brokeback Mountain ....</v>
      </c>
      <c r="B8280" s="3">
        <v>1</v>
      </c>
    </row>
    <row r="8281" ht="15.75" customHeight="1" spans="1:2">
      <c r="A8281" s="3" t="str">
        <f>IFERROR(__xludf.DUMMYFUNCTION("GOOGLETRANSLATE(A8281,""en"",""pt"")"),"Ele é como, 'Yeah eu comecei ACNE E eu amo Brokeback Mountain' ..")</f>
        <v>Ele é como, 'Yeah eu comecei ACNE E eu amo Brokeback Mountain' ..</v>
      </c>
      <c r="B8281" s="3">
        <v>1</v>
      </c>
    </row>
    <row r="8282" ht="15.75" customHeight="1" spans="1:2">
      <c r="A8282" s="3" t="str">
        <f>IFERROR(__xludf.DUMMYFUNCTION("GOOGLETRANSLATE(A8282,""en"",""pt"")"),"Brokeback Mountain foi tão incrível.")</f>
        <v>Brokeback Mountain foi tão incrível.</v>
      </c>
      <c r="B8282" s="3">
        <v>1</v>
      </c>
    </row>
    <row r="8283" ht="15.75" customHeight="1" spans="1:2">
      <c r="A8283" s="3" t="str">
        <f>IFERROR(__xludf.DUMMYFUNCTION("GOOGLETRANSLATE(A8283,""en"",""pt"")"),"Brokeback Mountain era um filme impressionante.")</f>
        <v>Brokeback Mountain era um filme impressionante.</v>
      </c>
      <c r="B8283" s="3">
        <v>1</v>
      </c>
    </row>
    <row r="8284" ht="15.75" customHeight="1" spans="1:2">
      <c r="A8284" s="3" t="str">
        <f>IFERROR(__xludf.DUMMYFUNCTION("GOOGLETRANSLATE(A8284,""en"",""pt"")"),"homem que eu amava montanha Brokeback!")</f>
        <v>homem que eu amava montanha Brokeback!</v>
      </c>
      <c r="B8284" s="3">
        <v>1</v>
      </c>
    </row>
    <row r="8285" ht="15.75" customHeight="1" spans="1:2">
      <c r="A8285" s="3" t="str">
        <f>IFERROR(__xludf.DUMMYFUNCTION("GOOGLETRANSLATE(A8285,""en"",""pt"")"),"dudeee Eu amei montanha Brokeback !!!!")</f>
        <v>dudeee Eu amei montanha Brokeback !!!!</v>
      </c>
      <c r="B8285" s="3">
        <v>1</v>
      </c>
    </row>
    <row r="8286" ht="15.75" customHeight="1" spans="1:2">
      <c r="A8286" s="3" t="str">
        <f>IFERROR(__xludf.DUMMYFUNCTION("GOOGLETRANSLATE(A8286,""en"",""pt"")"),"Ou eu AMOR Brokeback Mountain ou acho que é ótimo que a homossexualidade está se tornando mais aceitável !:")</f>
        <v>Ou eu AMOR Brokeback Mountain ou acho que é ótimo que a homossexualidade está se tornando mais aceitável !:</v>
      </c>
      <c r="B8286" s="3">
        <v>1</v>
      </c>
    </row>
    <row r="8287" ht="15.75" customHeight="1" spans="1:2">
      <c r="A8287" s="3" t="str">
        <f>IFERROR(__xludf.DUMMYFUNCTION("GOOGLETRANSLATE(A8287,""en"",""pt"")"),"De qualquer forma, é por isso que eu amo ""Brokeback Mountain.")</f>
        <v>De qualquer forma, é por isso que eu amo "Brokeback Mountain.</v>
      </c>
      <c r="B8287" s="3">
        <v>1</v>
      </c>
    </row>
    <row r="8288" ht="15.75" customHeight="1" spans="1:2">
      <c r="A8288" s="3" t="str">
        <f>IFERROR(__xludf.DUMMYFUNCTION("GOOGLETRANSLATE(A8288,""en"",""pt"")"),"Brokeback mountain era bonita ...")</f>
        <v>Brokeback mountain era bonita ...</v>
      </c>
      <c r="B8288" s="3">
        <v>1</v>
      </c>
    </row>
    <row r="8289" ht="15.75" customHeight="1" spans="1:2">
      <c r="A8289" s="3" t="str">
        <f>IFERROR(__xludf.DUMMYFUNCTION("GOOGLETRANSLATE(A8289,""en"",""pt"")"),"Eu amo Brokeback Mountain.")</f>
        <v>Eu amo Brokeback Mountain.</v>
      </c>
      <c r="B8289" s="3">
        <v>1</v>
      </c>
    </row>
    <row r="8290" ht="15.75" customHeight="1" spans="1:2">
      <c r="A8290" s="3" t="str">
        <f>IFERROR(__xludf.DUMMYFUNCTION("GOOGLETRANSLATE(A8290,""en"",""pt"")"),"Eu amo Brokeback Mountain ....")</f>
        <v>Eu amo Brokeback Mountain ....</v>
      </c>
      <c r="B8290" s="3">
        <v>1</v>
      </c>
    </row>
    <row r="8291" ht="15.75" customHeight="1" spans="1:2">
      <c r="A8291" s="3" t="str">
        <f>IFERROR(__xludf.DUMMYFUNCTION("GOOGLETRANSLATE(A8291,""en"",""pt"")"),"Ele é como, 'Yeah eu comecei ACNE E eu amo Brokeback Mountain' ..")</f>
        <v>Ele é como, 'Yeah eu comecei ACNE E eu amo Brokeback Mountain' ..</v>
      </c>
      <c r="B8291" s="3">
        <v>1</v>
      </c>
    </row>
    <row r="8292" ht="15.75" customHeight="1" spans="1:2">
      <c r="A8292" s="3" t="str">
        <f>IFERROR(__xludf.DUMMYFUNCTION("GOOGLETRANSLATE(A8292,""en"",""pt"")"),"Brokeback Mountain foi tão incrível.")</f>
        <v>Brokeback Mountain foi tão incrível.</v>
      </c>
      <c r="B8292" s="3">
        <v>1</v>
      </c>
    </row>
    <row r="8293" ht="15.75" customHeight="1" spans="1:2">
      <c r="A8293" s="3" t="str">
        <f>IFERROR(__xludf.DUMMYFUNCTION("GOOGLETRANSLATE(A8293,""en"",""pt"")"),"Brokeback Mountain era um filme impressionante.")</f>
        <v>Brokeback Mountain era um filme impressionante.</v>
      </c>
      <c r="B8293" s="3">
        <v>1</v>
      </c>
    </row>
    <row r="8294" ht="15.75" customHeight="1" spans="1:2">
      <c r="A8294" s="3" t="str">
        <f>IFERROR(__xludf.DUMMYFUNCTION("GOOGLETRANSLATE(A8294,""en"",""pt"")"),"homem que eu amava montanha Brokeback!")</f>
        <v>homem que eu amava montanha Brokeback!</v>
      </c>
      <c r="B8294" s="3">
        <v>1</v>
      </c>
    </row>
    <row r="8295" ht="15.75" customHeight="1" spans="1:2">
      <c r="A8295" s="3" t="str">
        <f>IFERROR(__xludf.DUMMYFUNCTION("GOOGLETRANSLATE(A8295,""en"",""pt"")"),"dudeee Eu amei montanha Brokeback !!!!")</f>
        <v>dudeee Eu amei montanha Brokeback !!!!</v>
      </c>
      <c r="B8295" s="3">
        <v>1</v>
      </c>
    </row>
    <row r="8296" ht="15.75" customHeight="1" spans="1:2">
      <c r="A8296" s="3" t="str">
        <f>IFERROR(__xludf.DUMMYFUNCTION("GOOGLETRANSLATE(A8296,""en"",""pt"")"),"Ou eu AMOR Brokeback Mountain ou acho que é ótimo que a homossexualidade está se tornando mais aceitável !:")</f>
        <v>Ou eu AMOR Brokeback Mountain ou acho que é ótimo que a homossexualidade está se tornando mais aceitável !:</v>
      </c>
      <c r="B8296" s="3">
        <v>1</v>
      </c>
    </row>
    <row r="8297" ht="15.75" customHeight="1" spans="1:2">
      <c r="A8297" s="3" t="str">
        <f>IFERROR(__xludf.DUMMYFUNCTION("GOOGLETRANSLATE(A8297,""en"",""pt"")"),"De qualquer forma, é por isso que eu amo ""Brokeback Mountain.")</f>
        <v>De qualquer forma, é por isso que eu amo "Brokeback Mountain.</v>
      </c>
      <c r="B8297" s="3">
        <v>1</v>
      </c>
    </row>
    <row r="8298" ht="15.75" customHeight="1" spans="1:2">
      <c r="A8298" s="3" t="str">
        <f>IFERROR(__xludf.DUMMYFUNCTION("GOOGLETRANSLATE(A8298,""en"",""pt"")"),"Brokeback mountain era bonita ...")</f>
        <v>Brokeback mountain era bonita ...</v>
      </c>
      <c r="B8298" s="3">
        <v>1</v>
      </c>
    </row>
    <row r="8299" ht="15.75" customHeight="1" spans="1:2">
      <c r="A8299" s="3" t="str">
        <f>IFERROR(__xludf.DUMMYFUNCTION("GOOGLETRANSLATE(A8299,""en"",""pt"")"),"Eu amo Brokeback Mountain.")</f>
        <v>Eu amo Brokeback Mountain.</v>
      </c>
      <c r="B8299" s="3">
        <v>1</v>
      </c>
    </row>
    <row r="8300" ht="15.75" customHeight="1" spans="1:2">
      <c r="A8300" s="3" t="str">
        <f>IFERROR(__xludf.DUMMYFUNCTION("GOOGLETRANSLATE(A8300,""en"",""pt"")"),"Eu amo Brokeback Mountain ....")</f>
        <v>Eu amo Brokeback Mountain ....</v>
      </c>
      <c r="B8300" s="3">
        <v>1</v>
      </c>
    </row>
    <row r="8301" ht="15.75" customHeight="1" spans="1:2">
      <c r="A8301" s="3" t="str">
        <f>IFERROR(__xludf.DUMMYFUNCTION("GOOGLETRANSLATE(A8301,""en"",""pt"")"),"Ele é como, 'Yeah eu comecei ACNE E eu amo Brokeback Mountain' ..")</f>
        <v>Ele é como, 'Yeah eu comecei ACNE E eu amo Brokeback Mountain' ..</v>
      </c>
      <c r="B8301" s="3">
        <v>1</v>
      </c>
    </row>
    <row r="8302" ht="15.75" customHeight="1" spans="1:2">
      <c r="A8302" s="3" t="str">
        <f>IFERROR(__xludf.DUMMYFUNCTION("GOOGLETRANSLATE(A8302,""en"",""pt"")"),"Brokeback Mountain foi tão incrível.")</f>
        <v>Brokeback Mountain foi tão incrível.</v>
      </c>
      <c r="B8302" s="3">
        <v>1</v>
      </c>
    </row>
    <row r="8303" ht="15.75" customHeight="1" spans="1:2">
      <c r="A8303" s="3" t="str">
        <f>IFERROR(__xludf.DUMMYFUNCTION("GOOGLETRANSLATE(A8303,""en"",""pt"")"),"Brokeback Mountain era um filme impressionante.")</f>
        <v>Brokeback Mountain era um filme impressionante.</v>
      </c>
      <c r="B8303" s="3">
        <v>1</v>
      </c>
    </row>
    <row r="8304" ht="15.75" customHeight="1" spans="1:2">
      <c r="A8304" s="3" t="str">
        <f>IFERROR(__xludf.DUMMYFUNCTION("GOOGLETRANSLATE(A8304,""en"",""pt"")"),"homem que eu amava montanha Brokeback!")</f>
        <v>homem que eu amava montanha Brokeback!</v>
      </c>
      <c r="B8304" s="3">
        <v>1</v>
      </c>
    </row>
    <row r="8305" ht="15.75" customHeight="1" spans="1:2">
      <c r="A8305" s="3" t="str">
        <f>IFERROR(__xludf.DUMMYFUNCTION("GOOGLETRANSLATE(A8305,""en"",""pt"")"),"dudeee Eu amei montanha Brokeback !!!!")</f>
        <v>dudeee Eu amei montanha Brokeback !!!!</v>
      </c>
      <c r="B8305" s="3">
        <v>1</v>
      </c>
    </row>
    <row r="8306" ht="15.75" customHeight="1" spans="1:2">
      <c r="A8306" s="3" t="str">
        <f>IFERROR(__xludf.DUMMYFUNCTION("GOOGLETRANSLATE(A8306,""en"",""pt"")"),"Ou eu AMOR Brokeback Mountain ou acho que é ótimo que a homossexualidade está se tornando mais aceitável !:")</f>
        <v>Ou eu AMOR Brokeback Mountain ou acho que é ótimo que a homossexualidade está se tornando mais aceitável !:</v>
      </c>
      <c r="B8306" s="3">
        <v>1</v>
      </c>
    </row>
    <row r="8307" ht="15.75" customHeight="1" spans="1:2">
      <c r="A8307" s="3" t="str">
        <f>IFERROR(__xludf.DUMMYFUNCTION("GOOGLETRANSLATE(A8307,""en"",""pt"")"),"De qualquer forma, é por isso que eu amo ""Brokeback Mountain.")</f>
        <v>De qualquer forma, é por isso que eu amo "Brokeback Mountain.</v>
      </c>
      <c r="B8307" s="3">
        <v>1</v>
      </c>
    </row>
    <row r="8308" ht="15.75" customHeight="1" spans="1:2">
      <c r="A8308" s="3" t="str">
        <f>IFERROR(__xludf.DUMMYFUNCTION("GOOGLETRANSLATE(A8308,""en"",""pt"")"),"Brokeback mountain era bonita ...")</f>
        <v>Brokeback mountain era bonita ...</v>
      </c>
      <c r="B8308" s="3">
        <v>1</v>
      </c>
    </row>
    <row r="8309" ht="15.75" customHeight="1" spans="1:2">
      <c r="A8309" s="3" t="str">
        <f>IFERROR(__xludf.DUMMYFUNCTION("GOOGLETRANSLATE(A8309,""en"",""pt"")"),"Eu amo Brokeback Mountain.")</f>
        <v>Eu amo Brokeback Mountain.</v>
      </c>
      <c r="B8309" s="3">
        <v>1</v>
      </c>
    </row>
    <row r="8310" ht="15.75" customHeight="1" spans="1:2">
      <c r="A8310" s="3" t="str">
        <f>IFERROR(__xludf.DUMMYFUNCTION("GOOGLETRANSLATE(A8310,""en"",""pt"")"),"Eu amo Brokeback Mountain ....")</f>
        <v>Eu amo Brokeback Mountain ....</v>
      </c>
      <c r="B8310" s="3">
        <v>1</v>
      </c>
    </row>
    <row r="8311" ht="15.75" customHeight="1" spans="1:2">
      <c r="A8311" s="3" t="str">
        <f>IFERROR(__xludf.DUMMYFUNCTION("GOOGLETRANSLATE(A8311,""en"",""pt"")"),"Ele é como, 'Yeah eu comecei ACNE E eu amo Brokeback Mountain' ..")</f>
        <v>Ele é como, 'Yeah eu comecei ACNE E eu amo Brokeback Mountain' ..</v>
      </c>
      <c r="B8311" s="3">
        <v>1</v>
      </c>
    </row>
    <row r="8312" ht="15.75" customHeight="1" spans="1:2">
      <c r="A8312" s="3" t="str">
        <f>IFERROR(__xludf.DUMMYFUNCTION("GOOGLETRANSLATE(A8312,""en"",""pt"")"),"Brokeback Mountain foi tão incrível.")</f>
        <v>Brokeback Mountain foi tão incrível.</v>
      </c>
      <c r="B8312" s="3">
        <v>1</v>
      </c>
    </row>
    <row r="8313" ht="15.75" customHeight="1" spans="1:2">
      <c r="A8313" s="3" t="str">
        <f>IFERROR(__xludf.DUMMYFUNCTION("GOOGLETRANSLATE(A8313,""en"",""pt"")"),"Brokeback Mountain era um filme impressionante.")</f>
        <v>Brokeback Mountain era um filme impressionante.</v>
      </c>
      <c r="B8313" s="3">
        <v>1</v>
      </c>
    </row>
    <row r="8314" ht="15.75" customHeight="1" spans="1:2">
      <c r="A8314" s="3" t="str">
        <f>IFERROR(__xludf.DUMMYFUNCTION("GOOGLETRANSLATE(A8314,""en"",""pt"")"),"homem que eu amava montanha Brokeback!")</f>
        <v>homem que eu amava montanha Brokeback!</v>
      </c>
      <c r="B8314" s="3">
        <v>1</v>
      </c>
    </row>
    <row r="8315" ht="15.75" customHeight="1" spans="1:2">
      <c r="A8315" s="3" t="str">
        <f>IFERROR(__xludf.DUMMYFUNCTION("GOOGLETRANSLATE(A8315,""en"",""pt"")"),"dudeee Eu amei montanha Brokeback !!!!")</f>
        <v>dudeee Eu amei montanha Brokeback !!!!</v>
      </c>
      <c r="B8315" s="3">
        <v>1</v>
      </c>
    </row>
    <row r="8316" ht="15.75" customHeight="1" spans="1:2">
      <c r="A8316" s="3" t="str">
        <f>IFERROR(__xludf.DUMMYFUNCTION("GOOGLETRANSLATE(A8316,""en"",""pt"")"),"Ou eu AMOR Brokeback Mountain ou acho que é ótimo que a homossexualidade está se tornando mais aceitável !:")</f>
        <v>Ou eu AMOR Brokeback Mountain ou acho que é ótimo que a homossexualidade está se tornando mais aceitável !:</v>
      </c>
      <c r="B8316" s="3">
        <v>1</v>
      </c>
    </row>
    <row r="8317" ht="15.75" customHeight="1" spans="1:2">
      <c r="A8317" s="3" t="str">
        <f>IFERROR(__xludf.DUMMYFUNCTION("GOOGLETRANSLATE(A8317,""en"",""pt"")"),"De qualquer forma, é por isso que eu amo ""Brokeback Mountain.")</f>
        <v>De qualquer forma, é por isso que eu amo "Brokeback Mountain.</v>
      </c>
      <c r="B8317" s="3">
        <v>1</v>
      </c>
    </row>
    <row r="8318" ht="15.75" customHeight="1" spans="1:2">
      <c r="A8318" s="3" t="str">
        <f>IFERROR(__xludf.DUMMYFUNCTION("GOOGLETRANSLATE(A8318,""en"",""pt"")"),"Brokeback mountain era bonita ...")</f>
        <v>Brokeback mountain era bonita ...</v>
      </c>
      <c r="B8318" s="3">
        <v>1</v>
      </c>
    </row>
    <row r="8319" ht="15.75" customHeight="1" spans="1:2">
      <c r="A8319" s="3" t="str">
        <f>IFERROR(__xludf.DUMMYFUNCTION("GOOGLETRANSLATE(A8319,""en"",""pt"")"),"Eu amo Brokeback Mountain.")</f>
        <v>Eu amo Brokeback Mountain.</v>
      </c>
      <c r="B8319" s="3">
        <v>1</v>
      </c>
    </row>
    <row r="8320" ht="15.75" customHeight="1" spans="1:2">
      <c r="A8320" s="3" t="str">
        <f>IFERROR(__xludf.DUMMYFUNCTION("GOOGLETRANSLATE(A8320,""en"",""pt"")"),"Eu amo Brokeback Mountain ....")</f>
        <v>Eu amo Brokeback Mountain ....</v>
      </c>
      <c r="B8320" s="3">
        <v>1</v>
      </c>
    </row>
    <row r="8321" ht="15.75" customHeight="1" spans="1:2">
      <c r="A8321" s="3" t="str">
        <f>IFERROR(__xludf.DUMMYFUNCTION("GOOGLETRANSLATE(A8321,""en"",""pt"")"),"Ele é como, 'Yeah eu comecei ACNE E eu amo Brokeback Mountain' ..")</f>
        <v>Ele é como, 'Yeah eu comecei ACNE E eu amo Brokeback Mountain' ..</v>
      </c>
      <c r="B8321" s="3">
        <v>1</v>
      </c>
    </row>
    <row r="8322" ht="15.75" customHeight="1" spans="1:2">
      <c r="A8322" s="3" t="str">
        <f>IFERROR(__xludf.DUMMYFUNCTION("GOOGLETRANSLATE(A8322,""en"",""pt"")"),"Brokeback Mountain foi tão incrível.")</f>
        <v>Brokeback Mountain foi tão incrível.</v>
      </c>
      <c r="B8322" s="3">
        <v>1</v>
      </c>
    </row>
    <row r="8323" ht="15.75" customHeight="1" spans="1:2">
      <c r="A8323" s="3" t="str">
        <f>IFERROR(__xludf.DUMMYFUNCTION("GOOGLETRANSLATE(A8323,""en"",""pt"")"),"Brokeback Mountain era um filme impressionante.")</f>
        <v>Brokeback Mountain era um filme impressionante.</v>
      </c>
      <c r="B8323" s="3">
        <v>1</v>
      </c>
    </row>
    <row r="8324" ht="15.75" customHeight="1" spans="1:2">
      <c r="A8324" s="3" t="str">
        <f>IFERROR(__xludf.DUMMYFUNCTION("GOOGLETRANSLATE(A8324,""en"",""pt"")"),"homem que eu amava montanha Brokeback!")</f>
        <v>homem que eu amava montanha Brokeback!</v>
      </c>
      <c r="B8324" s="3">
        <v>1</v>
      </c>
    </row>
    <row r="8325" ht="15.75" customHeight="1" spans="1:2">
      <c r="A8325" s="3" t="str">
        <f>IFERROR(__xludf.DUMMYFUNCTION("GOOGLETRANSLATE(A8325,""en"",""pt"")"),"dudeee Eu amei montanha Brokeback !!!!")</f>
        <v>dudeee Eu amei montanha Brokeback !!!!</v>
      </c>
      <c r="B8325" s="3">
        <v>1</v>
      </c>
    </row>
    <row r="8326" ht="15.75" customHeight="1" spans="1:2">
      <c r="A8326" s="3" t="str">
        <f>IFERROR(__xludf.DUMMYFUNCTION("GOOGLETRANSLATE(A8326,""en"",""pt"")"),"Ou eu AMOR Brokeback Mountain ou acho que é ótimo que a homossexualidade está se tornando mais aceitável !:")</f>
        <v>Ou eu AMOR Brokeback Mountain ou acho que é ótimo que a homossexualidade está se tornando mais aceitável !:</v>
      </c>
      <c r="B8326" s="3">
        <v>1</v>
      </c>
    </row>
    <row r="8327" ht="15.75" customHeight="1" spans="1:2">
      <c r="A8327" s="3" t="str">
        <f>IFERROR(__xludf.DUMMYFUNCTION("GOOGLETRANSLATE(A8327,""en"",""pt"")"),"De qualquer forma, é por isso que eu amo ""Brokeback Mountain.")</f>
        <v>De qualquer forma, é por isso que eu amo "Brokeback Mountain.</v>
      </c>
      <c r="B8327" s="3">
        <v>1</v>
      </c>
    </row>
    <row r="8328" ht="15.75" customHeight="1" spans="1:2">
      <c r="A8328" s="3" t="str">
        <f>IFERROR(__xludf.DUMMYFUNCTION("GOOGLETRANSLATE(A8328,""en"",""pt"")"),"Brokeback mountain era bonita ...")</f>
        <v>Brokeback mountain era bonita ...</v>
      </c>
      <c r="B8328" s="3">
        <v>1</v>
      </c>
    </row>
    <row r="8329" ht="15.75" customHeight="1" spans="1:2">
      <c r="A8329" s="3" t="str">
        <f>IFERROR(__xludf.DUMMYFUNCTION("GOOGLETRANSLATE(A8329,""en"",""pt"")"),"Eu amo Brokeback Mountain.")</f>
        <v>Eu amo Brokeback Mountain.</v>
      </c>
      <c r="B8329" s="3">
        <v>1</v>
      </c>
    </row>
    <row r="8330" ht="15.75" customHeight="1" spans="1:2">
      <c r="A8330" s="3" t="str">
        <f>IFERROR(__xludf.DUMMYFUNCTION("GOOGLETRANSLATE(A8330,""en"",""pt"")"),"Eu amo Brokeback Mountain ....")</f>
        <v>Eu amo Brokeback Mountain ....</v>
      </c>
      <c r="B8330" s="3">
        <v>1</v>
      </c>
    </row>
    <row r="8331" ht="15.75" customHeight="1" spans="1:2">
      <c r="A8331" s="3" t="str">
        <f>IFERROR(__xludf.DUMMYFUNCTION("GOOGLETRANSLATE(A8331,""en"",""pt"")"),"Ele é como, 'Yeah eu comecei ACNE E eu amo Brokeback Mountain' ..")</f>
        <v>Ele é como, 'Yeah eu comecei ACNE E eu amo Brokeback Mountain' ..</v>
      </c>
      <c r="B8331" s="3">
        <v>1</v>
      </c>
    </row>
    <row r="8332" ht="15.75" customHeight="1" spans="1:2">
      <c r="A8332" s="3" t="str">
        <f>IFERROR(__xludf.DUMMYFUNCTION("GOOGLETRANSLATE(A8332,""en"",""pt"")"),"Brokeback Mountain foi tão incrível.")</f>
        <v>Brokeback Mountain foi tão incrível.</v>
      </c>
      <c r="B8332" s="3">
        <v>1</v>
      </c>
    </row>
    <row r="8333" ht="15.75" customHeight="1" spans="1:2">
      <c r="A8333" s="3" t="str">
        <f>IFERROR(__xludf.DUMMYFUNCTION("GOOGLETRANSLATE(A8333,""en"",""pt"")"),"Brokeback Mountain era um filme impressionante.")</f>
        <v>Brokeback Mountain era um filme impressionante.</v>
      </c>
      <c r="B8333" s="3">
        <v>1</v>
      </c>
    </row>
    <row r="8334" ht="15.75" customHeight="1" spans="1:2">
      <c r="A8334" s="3" t="str">
        <f>IFERROR(__xludf.DUMMYFUNCTION("GOOGLETRANSLATE(A8334,""en"",""pt"")"),"homem que eu amava montanha Brokeback!")</f>
        <v>homem que eu amava montanha Brokeback!</v>
      </c>
      <c r="B8334" s="3">
        <v>1</v>
      </c>
    </row>
    <row r="8335" ht="15.75" customHeight="1" spans="1:2">
      <c r="A8335" s="3" t="str">
        <f>IFERROR(__xludf.DUMMYFUNCTION("GOOGLETRANSLATE(A8335,""en"",""pt"")"),"dudeee Eu amei montanha Brokeback !!!!")</f>
        <v>dudeee Eu amei montanha Brokeback !!!!</v>
      </c>
      <c r="B8335" s="3">
        <v>1</v>
      </c>
    </row>
    <row r="8336" ht="15.75" customHeight="1" spans="1:2">
      <c r="A8336" s="3" t="str">
        <f>IFERROR(__xludf.DUMMYFUNCTION("GOOGLETRANSLATE(A8336,""en"",""pt"")"),"Ou eu AMOR Brokeback Mountain ou acho que é ótimo que a homossexualidade está se tornando mais aceitável !:")</f>
        <v>Ou eu AMOR Brokeback Mountain ou acho que é ótimo que a homossexualidade está se tornando mais aceitável !:</v>
      </c>
      <c r="B8336" s="3">
        <v>1</v>
      </c>
    </row>
    <row r="8337" ht="15.75" customHeight="1" spans="1:2">
      <c r="A8337" s="3" t="str">
        <f>IFERROR(__xludf.DUMMYFUNCTION("GOOGLETRANSLATE(A8337,""en"",""pt"")"),"De qualquer forma, é por isso que eu amo ""Brokeback Mountain.")</f>
        <v>De qualquer forma, é por isso que eu amo "Brokeback Mountain.</v>
      </c>
      <c r="B8337" s="3">
        <v>1</v>
      </c>
    </row>
    <row r="8338" ht="15.75" customHeight="1" spans="1:2">
      <c r="A8338" s="3" t="str">
        <f>IFERROR(__xludf.DUMMYFUNCTION("GOOGLETRANSLATE(A8338,""en"",""pt"")"),"Brokeback mountain era bonita ...")</f>
        <v>Brokeback mountain era bonita ...</v>
      </c>
      <c r="B8338" s="3">
        <v>1</v>
      </c>
    </row>
    <row r="8339" ht="15.75" customHeight="1" spans="1:2">
      <c r="A8339" s="3" t="str">
        <f>IFERROR(__xludf.DUMMYFUNCTION("GOOGLETRANSLATE(A8339,""en"",""pt"")"),"Eu amo Brokeback Mountain.")</f>
        <v>Eu amo Brokeback Mountain.</v>
      </c>
      <c r="B8339" s="3">
        <v>1</v>
      </c>
    </row>
    <row r="8340" ht="15.75" customHeight="1" spans="1:2">
      <c r="A8340" s="3" t="str">
        <f>IFERROR(__xludf.DUMMYFUNCTION("GOOGLETRANSLATE(A8340,""en"",""pt"")"),"Eu amo Brokeback Mountain ....")</f>
        <v>Eu amo Brokeback Mountain ....</v>
      </c>
      <c r="B8340" s="3">
        <v>1</v>
      </c>
    </row>
    <row r="8341" ht="15.75" customHeight="1" spans="1:2">
      <c r="A8341" s="3" t="str">
        <f>IFERROR(__xludf.DUMMYFUNCTION("GOOGLETRANSLATE(A8341,""en"",""pt"")"),"Ele é como, 'Yeah eu comecei ACNE E eu amo Brokeback Mountain' ..")</f>
        <v>Ele é como, 'Yeah eu comecei ACNE E eu amo Brokeback Mountain' ..</v>
      </c>
      <c r="B8341" s="3">
        <v>1</v>
      </c>
    </row>
    <row r="8342" ht="15.75" customHeight="1" spans="1:2">
      <c r="A8342" s="3" t="str">
        <f>IFERROR(__xludf.DUMMYFUNCTION("GOOGLETRANSLATE(A8342,""en"",""pt"")"),"Brokeback Mountain foi tão incrível.")</f>
        <v>Brokeback Mountain foi tão incrível.</v>
      </c>
      <c r="B8342" s="3">
        <v>1</v>
      </c>
    </row>
    <row r="8343" ht="15.75" customHeight="1" spans="1:2">
      <c r="A8343" s="3" t="str">
        <f>IFERROR(__xludf.DUMMYFUNCTION("GOOGLETRANSLATE(A8343,""en"",""pt"")"),"Brokeback Mountain era um filme impressionante.")</f>
        <v>Brokeback Mountain era um filme impressionante.</v>
      </c>
      <c r="B8343" s="3">
        <v>1</v>
      </c>
    </row>
    <row r="8344" ht="15.75" customHeight="1" spans="1:2">
      <c r="A8344" s="3" t="str">
        <f>IFERROR(__xludf.DUMMYFUNCTION("GOOGLETRANSLATE(A8344,""en"",""pt"")"),"homem que eu amava montanha Brokeback!")</f>
        <v>homem que eu amava montanha Brokeback!</v>
      </c>
      <c r="B8344" s="3">
        <v>1</v>
      </c>
    </row>
    <row r="8345" ht="15.75" customHeight="1" spans="1:2">
      <c r="A8345" s="3" t="str">
        <f>IFERROR(__xludf.DUMMYFUNCTION("GOOGLETRANSLATE(A8345,""en"",""pt"")"),"dudeee Eu amei montanha Brokeback !!!!")</f>
        <v>dudeee Eu amei montanha Brokeback !!!!</v>
      </c>
      <c r="B8345" s="3">
        <v>1</v>
      </c>
    </row>
    <row r="8346" ht="15.75" customHeight="1" spans="1:2">
      <c r="A8346" s="3" t="str">
        <f>IFERROR(__xludf.DUMMYFUNCTION("GOOGLETRANSLATE(A8346,""en"",""pt"")"),"Ou eu AMOR Brokeback Mountain ou acho que é ótimo que a homossexualidade está se tornando mais aceitável !:")</f>
        <v>Ou eu AMOR Brokeback Mountain ou acho que é ótimo que a homossexualidade está se tornando mais aceitável !:</v>
      </c>
      <c r="B8346" s="3">
        <v>1</v>
      </c>
    </row>
    <row r="8347" ht="15.75" customHeight="1" spans="1:2">
      <c r="A8347" s="3" t="str">
        <f>IFERROR(__xludf.DUMMYFUNCTION("GOOGLETRANSLATE(A8347,""en"",""pt"")"),"De qualquer forma, é por isso que eu amo ""Brokeback Mountain.")</f>
        <v>De qualquer forma, é por isso que eu amo "Brokeback Mountain.</v>
      </c>
      <c r="B8347" s="3">
        <v>1</v>
      </c>
    </row>
    <row r="8348" ht="15.75" customHeight="1" spans="1:2">
      <c r="A8348" s="3" t="str">
        <f>IFERROR(__xludf.DUMMYFUNCTION("GOOGLETRANSLATE(A8348,""en"",""pt"")"),"Brokeback mountain era bonita ...")</f>
        <v>Brokeback mountain era bonita ...</v>
      </c>
      <c r="B8348" s="3">
        <v>1</v>
      </c>
    </row>
    <row r="8349" ht="15.75" customHeight="1" spans="1:2">
      <c r="A8349" s="3" t="str">
        <f>IFERROR(__xludf.DUMMYFUNCTION("GOOGLETRANSLATE(A8349,""en"",""pt"")"),"Eu amo Brokeback Mountain.")</f>
        <v>Eu amo Brokeback Mountain.</v>
      </c>
      <c r="B8349" s="3">
        <v>1</v>
      </c>
    </row>
    <row r="8350" ht="15.75" customHeight="1" spans="1:2">
      <c r="A8350" s="3" t="str">
        <f>IFERROR(__xludf.DUMMYFUNCTION("GOOGLETRANSLATE(A8350,""en"",""pt"")"),"Eu amo Brokeback Mountain ....")</f>
        <v>Eu amo Brokeback Mountain ....</v>
      </c>
      <c r="B8350" s="3">
        <v>1</v>
      </c>
    </row>
    <row r="8351" ht="15.75" customHeight="1" spans="1:2">
      <c r="A8351" s="3" t="str">
        <f>IFERROR(__xludf.DUMMYFUNCTION("GOOGLETRANSLATE(A8351,""en"",""pt"")"),"Ele é como, 'Yeah eu comecei ACNE E eu amo Brokeback Mountain' ..")</f>
        <v>Ele é como, 'Yeah eu comecei ACNE E eu amo Brokeback Mountain' ..</v>
      </c>
      <c r="B8351" s="3">
        <v>1</v>
      </c>
    </row>
    <row r="8352" ht="15.75" customHeight="1" spans="1:2">
      <c r="A8352" s="3" t="str">
        <f>IFERROR(__xludf.DUMMYFUNCTION("GOOGLETRANSLATE(A8352,""en"",""pt"")"),"Brokeback Mountain foi tão incrível.")</f>
        <v>Brokeback Mountain foi tão incrível.</v>
      </c>
      <c r="B8352" s="3">
        <v>1</v>
      </c>
    </row>
    <row r="8353" ht="15.75" customHeight="1" spans="1:2">
      <c r="A8353" s="3" t="str">
        <f>IFERROR(__xludf.DUMMYFUNCTION("GOOGLETRANSLATE(A8353,""en"",""pt"")"),"Brokeback Mountain era um filme impressionante.")</f>
        <v>Brokeback Mountain era um filme impressionante.</v>
      </c>
      <c r="B8353" s="3">
        <v>1</v>
      </c>
    </row>
    <row r="8354" ht="15.75" customHeight="1" spans="1:2">
      <c r="A8354" s="3" t="str">
        <f>IFERROR(__xludf.DUMMYFUNCTION("GOOGLETRANSLATE(A8354,""en"",""pt"")"),"homem que eu amava montanha Brokeback!")</f>
        <v>homem que eu amava montanha Brokeback!</v>
      </c>
      <c r="B8354" s="3">
        <v>1</v>
      </c>
    </row>
    <row r="8355" ht="15.75" customHeight="1" spans="1:2">
      <c r="A8355" s="3" t="str">
        <f>IFERROR(__xludf.DUMMYFUNCTION("GOOGLETRANSLATE(A8355,""en"",""pt"")"),"dudeee Eu amei montanha Brokeback !!!!")</f>
        <v>dudeee Eu amei montanha Brokeback !!!!</v>
      </c>
      <c r="B8355" s="3">
        <v>1</v>
      </c>
    </row>
    <row r="8356" ht="15.75" customHeight="1" spans="1:2">
      <c r="A8356" s="3" t="str">
        <f>IFERROR(__xludf.DUMMYFUNCTION("GOOGLETRANSLATE(A8356,""en"",""pt"")"),"Ou eu AMOR Brokeback Mountain ou acho que é ótimo que a homossexualidade está se tornando mais aceitável !:")</f>
        <v>Ou eu AMOR Brokeback Mountain ou acho que é ótimo que a homossexualidade está se tornando mais aceitável !:</v>
      </c>
      <c r="B8356" s="3">
        <v>1</v>
      </c>
    </row>
    <row r="8357" ht="15.75" customHeight="1" spans="1:2">
      <c r="A8357" s="3" t="str">
        <f>IFERROR(__xludf.DUMMYFUNCTION("GOOGLETRANSLATE(A8357,""en"",""pt"")"),"De qualquer forma, é por isso que eu amo ""Brokeback Mountain.")</f>
        <v>De qualquer forma, é por isso que eu amo "Brokeback Mountain.</v>
      </c>
      <c r="B8357" s="3">
        <v>1</v>
      </c>
    </row>
    <row r="8358" ht="15.75" customHeight="1" spans="1:2">
      <c r="A8358" s="3" t="str">
        <f>IFERROR(__xludf.DUMMYFUNCTION("GOOGLETRANSLATE(A8358,""en"",""pt"")"),"Brokeback mountain era bonita ...")</f>
        <v>Brokeback mountain era bonita ...</v>
      </c>
      <c r="B8358" s="3">
        <v>1</v>
      </c>
    </row>
    <row r="8359" ht="15.75" customHeight="1" spans="1:2">
      <c r="A8359" s="3" t="str">
        <f>IFERROR(__xludf.DUMMYFUNCTION("GOOGLETRANSLATE(A8359,""en"",""pt"")"),"Eu amo Brokeback Mountain.")</f>
        <v>Eu amo Brokeback Mountain.</v>
      </c>
      <c r="B8359" s="3">
        <v>1</v>
      </c>
    </row>
    <row r="8360" ht="15.75" customHeight="1" spans="1:2">
      <c r="A8360" s="3" t="str">
        <f>IFERROR(__xludf.DUMMYFUNCTION("GOOGLETRANSLATE(A8360,""en"",""pt"")"),"Eu amo Brokeback Mountain ....")</f>
        <v>Eu amo Brokeback Mountain ....</v>
      </c>
      <c r="B8360" s="3">
        <v>1</v>
      </c>
    </row>
    <row r="8361" ht="15.75" customHeight="1" spans="1:2">
      <c r="A8361" s="3" t="str">
        <f>IFERROR(__xludf.DUMMYFUNCTION("GOOGLETRANSLATE(A8361,""en"",""pt"")"),"Ele é como, 'Yeah eu comecei ACNE E eu amo Brokeback Mountain' ..")</f>
        <v>Ele é como, 'Yeah eu comecei ACNE E eu amo Brokeback Mountain' ..</v>
      </c>
      <c r="B8361" s="3">
        <v>1</v>
      </c>
    </row>
    <row r="8362" ht="15.75" customHeight="1" spans="1:2">
      <c r="A8362" s="3" t="str">
        <f>IFERROR(__xludf.DUMMYFUNCTION("GOOGLETRANSLATE(A8362,""en"",""pt"")"),"Brokeback Mountain foi tão incrível.")</f>
        <v>Brokeback Mountain foi tão incrível.</v>
      </c>
      <c r="B8362" s="3">
        <v>1</v>
      </c>
    </row>
    <row r="8363" ht="15.75" customHeight="1" spans="1:2">
      <c r="A8363" s="3" t="str">
        <f>IFERROR(__xludf.DUMMYFUNCTION("GOOGLETRANSLATE(A8363,""en"",""pt"")"),"Brokeback Mountain era um filme impressionante.")</f>
        <v>Brokeback Mountain era um filme impressionante.</v>
      </c>
      <c r="B8363" s="3">
        <v>1</v>
      </c>
    </row>
    <row r="8364" ht="15.75" customHeight="1" spans="1:2">
      <c r="A8364" s="3" t="str">
        <f>IFERROR(__xludf.DUMMYFUNCTION("GOOGLETRANSLATE(A8364,""en"",""pt"")"),"homem que eu amava montanha Brokeback!")</f>
        <v>homem que eu amava montanha Brokeback!</v>
      </c>
      <c r="B8364" s="3">
        <v>1</v>
      </c>
    </row>
    <row r="8365" ht="15.75" customHeight="1" spans="1:2">
      <c r="A8365" s="3" t="str">
        <f>IFERROR(__xludf.DUMMYFUNCTION("GOOGLETRANSLATE(A8365,""en"",""pt"")"),"dudeee Eu amei montanha Brokeback !!!!")</f>
        <v>dudeee Eu amei montanha Brokeback !!!!</v>
      </c>
      <c r="B8365" s="3">
        <v>1</v>
      </c>
    </row>
    <row r="8366" ht="15.75" customHeight="1" spans="1:2">
      <c r="A8366" s="3" t="str">
        <f>IFERROR(__xludf.DUMMYFUNCTION("GOOGLETRANSLATE(A8366,""en"",""pt"")"),"Ou eu AMOR Brokeback Mountain ou acho que é ótimo que a homossexualidade está se tornando mais aceitável !:")</f>
        <v>Ou eu AMOR Brokeback Mountain ou acho que é ótimo que a homossexualidade está se tornando mais aceitável !:</v>
      </c>
      <c r="B8366" s="3">
        <v>1</v>
      </c>
    </row>
    <row r="8367" ht="15.75" customHeight="1" spans="1:2">
      <c r="A8367" s="3" t="str">
        <f>IFERROR(__xludf.DUMMYFUNCTION("GOOGLETRANSLATE(A8367,""en"",""pt"")"),"De qualquer forma, é por isso que eu amo ""Brokeback Mountain.")</f>
        <v>De qualquer forma, é por isso que eu amo "Brokeback Mountain.</v>
      </c>
      <c r="B8367" s="3">
        <v>1</v>
      </c>
    </row>
    <row r="8368" ht="15.75" customHeight="1" spans="1:2">
      <c r="A8368" s="3" t="str">
        <f>IFERROR(__xludf.DUMMYFUNCTION("GOOGLETRANSLATE(A8368,""en"",""pt"")"),"Brokeback mountain era bonita ...")</f>
        <v>Brokeback mountain era bonita ...</v>
      </c>
      <c r="B8368" s="3">
        <v>1</v>
      </c>
    </row>
    <row r="8369" ht="15.75" customHeight="1" spans="1:2">
      <c r="A8369" s="3" t="str">
        <f>IFERROR(__xludf.DUMMYFUNCTION("GOOGLETRANSLATE(A8369,""en"",""pt"")"),"Eu amo Brokeback Mountain.")</f>
        <v>Eu amo Brokeback Mountain.</v>
      </c>
      <c r="B8369" s="3">
        <v>1</v>
      </c>
    </row>
    <row r="8370" ht="15.75" customHeight="1" spans="1:2">
      <c r="A8370" s="3" t="str">
        <f>IFERROR(__xludf.DUMMYFUNCTION("GOOGLETRANSLATE(A8370,""en"",""pt"")"),"Eu amo Brokeback Mountain ....")</f>
        <v>Eu amo Brokeback Mountain ....</v>
      </c>
      <c r="B8370" s="3">
        <v>1</v>
      </c>
    </row>
    <row r="8371" ht="15.75" customHeight="1" spans="1:2">
      <c r="A8371" s="3" t="str">
        <f>IFERROR(__xludf.DUMMYFUNCTION("GOOGLETRANSLATE(A8371,""en"",""pt"")"),"Ele é como, 'Yeah eu comecei ACNE E eu amo Brokeback Mountain' ..")</f>
        <v>Ele é como, 'Yeah eu comecei ACNE E eu amo Brokeback Mountain' ..</v>
      </c>
      <c r="B8371" s="3">
        <v>1</v>
      </c>
    </row>
    <row r="8372" ht="15.75" customHeight="1" spans="1:2">
      <c r="A8372" s="3" t="str">
        <f>IFERROR(__xludf.DUMMYFUNCTION("GOOGLETRANSLATE(A8372,""en"",""pt"")"),"Brokeback Mountain foi tão incrível.")</f>
        <v>Brokeback Mountain foi tão incrível.</v>
      </c>
      <c r="B8372" s="3">
        <v>1</v>
      </c>
    </row>
    <row r="8373" ht="15.75" customHeight="1" spans="1:2">
      <c r="A8373" s="3" t="str">
        <f>IFERROR(__xludf.DUMMYFUNCTION("GOOGLETRANSLATE(A8373,""en"",""pt"")"),"Brokeback Mountain era um filme impressionante.")</f>
        <v>Brokeback Mountain era um filme impressionante.</v>
      </c>
      <c r="B8373" s="3">
        <v>1</v>
      </c>
    </row>
    <row r="8374" ht="15.75" customHeight="1" spans="1:2">
      <c r="A8374" s="3" t="str">
        <f>IFERROR(__xludf.DUMMYFUNCTION("GOOGLETRANSLATE(A8374,""en"",""pt"")"),"homem que eu amava montanha Brokeback!")</f>
        <v>homem que eu amava montanha Brokeback!</v>
      </c>
      <c r="B8374" s="3">
        <v>1</v>
      </c>
    </row>
    <row r="8375" ht="15.75" customHeight="1" spans="1:2">
      <c r="A8375" s="3" t="str">
        <f>IFERROR(__xludf.DUMMYFUNCTION("GOOGLETRANSLATE(A8375,""en"",""pt"")"),"dudeee Eu amei montanha Brokeback !!!!")</f>
        <v>dudeee Eu amei montanha Brokeback !!!!</v>
      </c>
      <c r="B8375" s="3">
        <v>1</v>
      </c>
    </row>
    <row r="8376" ht="15.75" customHeight="1" spans="1:2">
      <c r="A8376" s="3" t="str">
        <f>IFERROR(__xludf.DUMMYFUNCTION("GOOGLETRANSLATE(A8376,""en"",""pt"")"),"Ou eu AMOR Brokeback Mountain ou acho que é ótimo que a homossexualidade está se tornando mais aceitável !:")</f>
        <v>Ou eu AMOR Brokeback Mountain ou acho que é ótimo que a homossexualidade está se tornando mais aceitável !:</v>
      </c>
      <c r="B8376" s="3">
        <v>1</v>
      </c>
    </row>
    <row r="8377" ht="15.75" customHeight="1" spans="1:2">
      <c r="A8377" s="3" t="str">
        <f>IFERROR(__xludf.DUMMYFUNCTION("GOOGLETRANSLATE(A8377,""en"",""pt"")"),"De qualquer forma, é por isso que eu amo ""Brokeback Mountain.")</f>
        <v>De qualquer forma, é por isso que eu amo "Brokeback Mountain.</v>
      </c>
      <c r="B8377" s="3">
        <v>1</v>
      </c>
    </row>
    <row r="8378" ht="15.75" customHeight="1" spans="1:2">
      <c r="A8378" s="3" t="str">
        <f>IFERROR(__xludf.DUMMYFUNCTION("GOOGLETRANSLATE(A8378,""en"",""pt"")"),"Brokeback mountain era bonita ...")</f>
        <v>Brokeback mountain era bonita ...</v>
      </c>
      <c r="B8378" s="3">
        <v>1</v>
      </c>
    </row>
    <row r="8379" ht="15.75" customHeight="1" spans="1:2">
      <c r="A8379" s="3" t="str">
        <f>IFERROR(__xludf.DUMMYFUNCTION("GOOGLETRANSLATE(A8379,""en"",""pt"")"),"Eu amo Brokeback Mountain.")</f>
        <v>Eu amo Brokeback Mountain.</v>
      </c>
      <c r="B8379" s="3">
        <v>1</v>
      </c>
    </row>
    <row r="8380" ht="15.75" customHeight="1" spans="1:2">
      <c r="A8380" s="3" t="str">
        <f>IFERROR(__xludf.DUMMYFUNCTION("GOOGLETRANSLATE(A8380,""en"",""pt"")"),"Eu amo Brokeback Mountain ....")</f>
        <v>Eu amo Brokeback Mountain ....</v>
      </c>
      <c r="B8380" s="3">
        <v>1</v>
      </c>
    </row>
    <row r="8381" ht="15.75" customHeight="1" spans="1:2">
      <c r="A8381" s="3" t="str">
        <f>IFERROR(__xludf.DUMMYFUNCTION("GOOGLETRANSLATE(A8381,""en"",""pt"")"),"Ele é como, 'Yeah eu comecei ACNE E eu amo Brokeback Mountain' ..")</f>
        <v>Ele é como, 'Yeah eu comecei ACNE E eu amo Brokeback Mountain' ..</v>
      </c>
      <c r="B8381" s="3">
        <v>1</v>
      </c>
    </row>
    <row r="8382" ht="15.75" customHeight="1" spans="1:2">
      <c r="A8382" s="3" t="str">
        <f>IFERROR(__xludf.DUMMYFUNCTION("GOOGLETRANSLATE(A8382,""en"",""pt"")"),"Brokeback Mountain foi tão incrível.")</f>
        <v>Brokeback Mountain foi tão incrível.</v>
      </c>
      <c r="B8382" s="3">
        <v>1</v>
      </c>
    </row>
    <row r="8383" ht="15.75" customHeight="1" spans="1:2">
      <c r="A8383" s="3" t="str">
        <f>IFERROR(__xludf.DUMMYFUNCTION("GOOGLETRANSLATE(A8383,""en"",""pt"")"),"Brokeback Mountain era um filme impressionante.")</f>
        <v>Brokeback Mountain era um filme impressionante.</v>
      </c>
      <c r="B8383" s="3">
        <v>1</v>
      </c>
    </row>
    <row r="8384" ht="15.75" customHeight="1" spans="1:2">
      <c r="A8384" s="3" t="str">
        <f>IFERROR(__xludf.DUMMYFUNCTION("GOOGLETRANSLATE(A8384,""en"",""pt"")"),"homem que eu amava montanha Brokeback!")</f>
        <v>homem que eu amava montanha Brokeback!</v>
      </c>
      <c r="B8384" s="3">
        <v>1</v>
      </c>
    </row>
    <row r="8385" ht="15.75" customHeight="1" spans="1:2">
      <c r="A8385" s="3" t="str">
        <f>IFERROR(__xludf.DUMMYFUNCTION("GOOGLETRANSLATE(A8385,""en"",""pt"")"),"dudeee Eu amei montanha Brokeback !!!!")</f>
        <v>dudeee Eu amei montanha Brokeback !!!!</v>
      </c>
      <c r="B8385" s="3">
        <v>1</v>
      </c>
    </row>
    <row r="8386" ht="15.75" customHeight="1" spans="1:2">
      <c r="A8386" s="3" t="str">
        <f>IFERROR(__xludf.DUMMYFUNCTION("GOOGLETRANSLATE(A8386,""en"",""pt"")"),"Ou eu AMOR Brokeback Mountain ou acho que é ótimo que a homossexualidade está se tornando mais aceitável !:")</f>
        <v>Ou eu AMOR Brokeback Mountain ou acho que é ótimo que a homossexualidade está se tornando mais aceitável !:</v>
      </c>
      <c r="B8386" s="3">
        <v>1</v>
      </c>
    </row>
    <row r="8387" ht="15.75" customHeight="1" spans="1:2">
      <c r="A8387" s="3" t="str">
        <f>IFERROR(__xludf.DUMMYFUNCTION("GOOGLETRANSLATE(A8387,""en"",""pt"")"),"De qualquer forma, é por isso que eu amo ""Brokeback Mountain.")</f>
        <v>De qualquer forma, é por isso que eu amo "Brokeback Mountain.</v>
      </c>
      <c r="B8387" s="3">
        <v>1</v>
      </c>
    </row>
    <row r="8388" ht="15.75" customHeight="1" spans="1:2">
      <c r="A8388" s="3" t="str">
        <f>IFERROR(__xludf.DUMMYFUNCTION("GOOGLETRANSLATE(A8388,""en"",""pt"")"),"Brokeback mountain era bonita ...")</f>
        <v>Brokeback mountain era bonita ...</v>
      </c>
      <c r="B8388" s="3">
        <v>1</v>
      </c>
    </row>
    <row r="8389" ht="15.75" customHeight="1" spans="1:2">
      <c r="A8389" s="3" t="str">
        <f>IFERROR(__xludf.DUMMYFUNCTION("GOOGLETRANSLATE(A8389,""en"",""pt"")"),"Eu amo Brokeback Mountain.")</f>
        <v>Eu amo Brokeback Mountain.</v>
      </c>
      <c r="B8389" s="3">
        <v>1</v>
      </c>
    </row>
    <row r="8390" ht="15.75" customHeight="1" spans="1:2">
      <c r="A8390" s="3" t="str">
        <f>IFERROR(__xludf.DUMMYFUNCTION("GOOGLETRANSLATE(A8390,""en"",""pt"")"),"Eu amo Brokeback Mountain ....")</f>
        <v>Eu amo Brokeback Mountain ....</v>
      </c>
      <c r="B8390" s="3">
        <v>1</v>
      </c>
    </row>
    <row r="8391" ht="15.75" customHeight="1" spans="1:2">
      <c r="A8391" s="3" t="str">
        <f>IFERROR(__xludf.DUMMYFUNCTION("GOOGLETRANSLATE(A8391,""en"",""pt"")"),"Ele é como, 'Yeah eu comecei ACNE E eu amo Brokeback Mountain' ..")</f>
        <v>Ele é como, 'Yeah eu comecei ACNE E eu amo Brokeback Mountain' ..</v>
      </c>
      <c r="B8391" s="3">
        <v>1</v>
      </c>
    </row>
    <row r="8392" ht="15.75" customHeight="1" spans="1:2">
      <c r="A8392" s="3" t="str">
        <f>IFERROR(__xludf.DUMMYFUNCTION("GOOGLETRANSLATE(A8392,""en"",""pt"")"),"Brokeback Mountain foi tão incrível.")</f>
        <v>Brokeback Mountain foi tão incrível.</v>
      </c>
      <c r="B8392" s="3">
        <v>1</v>
      </c>
    </row>
    <row r="8393" ht="15.75" customHeight="1" spans="1:2">
      <c r="A8393" s="3" t="str">
        <f>IFERROR(__xludf.DUMMYFUNCTION("GOOGLETRANSLATE(A8393,""en"",""pt"")"),"Brokeback Mountain era um filme impressionante.")</f>
        <v>Brokeback Mountain era um filme impressionante.</v>
      </c>
      <c r="B8393" s="3">
        <v>1</v>
      </c>
    </row>
    <row r="8394" ht="15.75" customHeight="1" spans="1:2">
      <c r="A8394" s="3" t="str">
        <f>IFERROR(__xludf.DUMMYFUNCTION("GOOGLETRANSLATE(A8394,""en"",""pt"")"),"homem que eu amava montanha Brokeback!")</f>
        <v>homem que eu amava montanha Brokeback!</v>
      </c>
      <c r="B8394" s="3">
        <v>1</v>
      </c>
    </row>
    <row r="8395" ht="15.75" customHeight="1" spans="1:2">
      <c r="A8395" s="3" t="str">
        <f>IFERROR(__xludf.DUMMYFUNCTION("GOOGLETRANSLATE(A8395,""en"",""pt"")"),"dudeee Eu amei montanha Brokeback !!!!")</f>
        <v>dudeee Eu amei montanha Brokeback !!!!</v>
      </c>
      <c r="B8395" s="3">
        <v>1</v>
      </c>
    </row>
    <row r="8396" ht="15.75" customHeight="1" spans="1:2">
      <c r="A8396" s="3" t="str">
        <f>IFERROR(__xludf.DUMMYFUNCTION("GOOGLETRANSLATE(A8396,""en"",""pt"")"),"Ou eu AMOR Brokeback Mountain ou acho que é ótimo que a homossexualidade está se tornando mais aceitável !:")</f>
        <v>Ou eu AMOR Brokeback Mountain ou acho que é ótimo que a homossexualidade está se tornando mais aceitável !:</v>
      </c>
      <c r="B8396" s="3">
        <v>1</v>
      </c>
    </row>
    <row r="8397" ht="15.75" customHeight="1" spans="1:2">
      <c r="A8397" s="3" t="str">
        <f>IFERROR(__xludf.DUMMYFUNCTION("GOOGLETRANSLATE(A8397,""en"",""pt"")"),"De qualquer forma, é por isso que eu amo ""Brokeback Mountain.")</f>
        <v>De qualquer forma, é por isso que eu amo "Brokeback Mountain.</v>
      </c>
      <c r="B8397" s="3">
        <v>1</v>
      </c>
    </row>
    <row r="8398" ht="15.75" customHeight="1" spans="1:2">
      <c r="A8398" s="3" t="str">
        <f>IFERROR(__xludf.DUMMYFUNCTION("GOOGLETRANSLATE(A8398,""en"",""pt"")"),"Brokeback mountain era bonita ...")</f>
        <v>Brokeback mountain era bonita ...</v>
      </c>
      <c r="B8398" s="3">
        <v>1</v>
      </c>
    </row>
    <row r="8399" ht="15.75" customHeight="1" spans="1:2">
      <c r="A8399" s="3" t="str">
        <f>IFERROR(__xludf.DUMMYFUNCTION("GOOGLETRANSLATE(A8399,""en"",""pt"")"),"Eu amo Brokeback Mountain.")</f>
        <v>Eu amo Brokeback Mountain.</v>
      </c>
      <c r="B8399" s="3">
        <v>1</v>
      </c>
    </row>
    <row r="8400" ht="15.75" customHeight="1" spans="1:2">
      <c r="A8400" s="3" t="str">
        <f>IFERROR(__xludf.DUMMYFUNCTION("GOOGLETRANSLATE(A8400,""en"",""pt"")"),"Eu amo Brokeback Mountain ....")</f>
        <v>Eu amo Brokeback Mountain ....</v>
      </c>
      <c r="B8400" s="3">
        <v>1</v>
      </c>
    </row>
    <row r="8401" ht="15.75" customHeight="1" spans="1:2">
      <c r="A8401" s="3" t="str">
        <f>IFERROR(__xludf.DUMMYFUNCTION("GOOGLETRANSLATE(A8401,""en"",""pt"")"),"Ele é como, 'Yeah eu comecei ACNE E eu amo Brokeback Mountain' ..")</f>
        <v>Ele é como, 'Yeah eu comecei ACNE E eu amo Brokeback Mountain' ..</v>
      </c>
      <c r="B8401" s="3">
        <v>1</v>
      </c>
    </row>
    <row r="8402" ht="15.75" customHeight="1" spans="1:2">
      <c r="A8402" s="3" t="str">
        <f>IFERROR(__xludf.DUMMYFUNCTION("GOOGLETRANSLATE(A8402,""en"",""pt"")"),"Brokeback Mountain foi tão incrível.")</f>
        <v>Brokeback Mountain foi tão incrível.</v>
      </c>
      <c r="B8402" s="3">
        <v>1</v>
      </c>
    </row>
    <row r="8403" ht="15.75" customHeight="1" spans="1:2">
      <c r="A8403" s="3" t="str">
        <f>IFERROR(__xludf.DUMMYFUNCTION("GOOGLETRANSLATE(A8403,""en"",""pt"")"),"Brokeback Mountain era um filme impressionante.")</f>
        <v>Brokeback Mountain era um filme impressionante.</v>
      </c>
      <c r="B8403" s="3">
        <v>1</v>
      </c>
    </row>
    <row r="8404" ht="15.75" customHeight="1" spans="1:2">
      <c r="A8404" s="3" t="str">
        <f>IFERROR(__xludf.DUMMYFUNCTION("GOOGLETRANSLATE(A8404,""en"",""pt"")"),"homem que eu amava montanha Brokeback!")</f>
        <v>homem que eu amava montanha Brokeback!</v>
      </c>
      <c r="B8404" s="3">
        <v>1</v>
      </c>
    </row>
    <row r="8405" ht="15.75" customHeight="1" spans="1:2">
      <c r="A8405" s="3" t="str">
        <f>IFERROR(__xludf.DUMMYFUNCTION("GOOGLETRANSLATE(A8405,""en"",""pt"")"),"dudeee Eu amei montanha Brokeback !!!!")</f>
        <v>dudeee Eu amei montanha Brokeback !!!!</v>
      </c>
      <c r="B8405" s="3">
        <v>1</v>
      </c>
    </row>
    <row r="8406" ht="15.75" customHeight="1" spans="1:2">
      <c r="A8406" s="3" t="str">
        <f>IFERROR(__xludf.DUMMYFUNCTION("GOOGLETRANSLATE(A8406,""en"",""pt"")"),"Ou eu AMOR Brokeback Mountain ou acho que é ótimo que a homossexualidade está se tornando mais aceitável !:")</f>
        <v>Ou eu AMOR Brokeback Mountain ou acho que é ótimo que a homossexualidade está se tornando mais aceitável !:</v>
      </c>
      <c r="B8406" s="3">
        <v>1</v>
      </c>
    </row>
    <row r="8407" ht="15.75" customHeight="1" spans="1:2">
      <c r="A8407" s="3" t="str">
        <f>IFERROR(__xludf.DUMMYFUNCTION("GOOGLETRANSLATE(A8407,""en"",""pt"")"),"De qualquer forma, é por isso que eu amo ""Brokeback Mountain.")</f>
        <v>De qualquer forma, é por isso que eu amo "Brokeback Mountain.</v>
      </c>
      <c r="B8407" s="3">
        <v>1</v>
      </c>
    </row>
    <row r="8408" ht="15.75" customHeight="1" spans="1:2">
      <c r="A8408" s="3" t="str">
        <f>IFERROR(__xludf.DUMMYFUNCTION("GOOGLETRANSLATE(A8408,""en"",""pt"")"),"Brokeback mountain era bonita ...")</f>
        <v>Brokeback mountain era bonita ...</v>
      </c>
      <c r="B8408" s="3">
        <v>1</v>
      </c>
    </row>
    <row r="8409" ht="15.75" customHeight="1" spans="1:2">
      <c r="A8409" s="3" t="str">
        <f>IFERROR(__xludf.DUMMYFUNCTION("GOOGLETRANSLATE(A8409,""en"",""pt"")"),"Eu amo Brokeback Mountain.")</f>
        <v>Eu amo Brokeback Mountain.</v>
      </c>
      <c r="B8409" s="3">
        <v>1</v>
      </c>
    </row>
    <row r="8410" ht="15.75" customHeight="1" spans="1:2">
      <c r="A8410" s="3" t="str">
        <f>IFERROR(__xludf.DUMMYFUNCTION("GOOGLETRANSLATE(A8410,""en"",""pt"")"),"Eu amo Brokeback Mountain ....")</f>
        <v>Eu amo Brokeback Mountain ....</v>
      </c>
      <c r="B8410" s="3">
        <v>1</v>
      </c>
    </row>
    <row r="8411" ht="15.75" customHeight="1" spans="1:2">
      <c r="A8411" s="3" t="str">
        <f>IFERROR(__xludf.DUMMYFUNCTION("GOOGLETRANSLATE(A8411,""en"",""pt"")"),"Ele é como, 'Yeah eu comecei ACNE E eu amo Brokeback Mountain' ..")</f>
        <v>Ele é como, 'Yeah eu comecei ACNE E eu amo Brokeback Mountain' ..</v>
      </c>
      <c r="B8411" s="3">
        <v>1</v>
      </c>
    </row>
    <row r="8412" ht="15.75" customHeight="1" spans="1:2">
      <c r="A8412" s="3" t="str">
        <f>IFERROR(__xludf.DUMMYFUNCTION("GOOGLETRANSLATE(A8412,""en"",""pt"")"),"Brokeback Mountain foi tão incrível.")</f>
        <v>Brokeback Mountain foi tão incrível.</v>
      </c>
      <c r="B8412" s="3">
        <v>1</v>
      </c>
    </row>
    <row r="8413" ht="15.75" customHeight="1" spans="1:2">
      <c r="A8413" s="3" t="str">
        <f>IFERROR(__xludf.DUMMYFUNCTION("GOOGLETRANSLATE(A8413,""en"",""pt"")"),"Brokeback Mountain era um filme impressionante.")</f>
        <v>Brokeback Mountain era um filme impressionante.</v>
      </c>
      <c r="B8413" s="3">
        <v>1</v>
      </c>
    </row>
    <row r="8414" ht="15.75" customHeight="1" spans="1:2">
      <c r="A8414" s="3" t="str">
        <f>IFERROR(__xludf.DUMMYFUNCTION("GOOGLETRANSLATE(A8414,""en"",""pt"")"),"homem que eu amava montanha Brokeback!")</f>
        <v>homem que eu amava montanha Brokeback!</v>
      </c>
      <c r="B8414" s="3">
        <v>1</v>
      </c>
    </row>
    <row r="8415" ht="15.75" customHeight="1" spans="1:2">
      <c r="A8415" s="3" t="str">
        <f>IFERROR(__xludf.DUMMYFUNCTION("GOOGLETRANSLATE(A8415,""en"",""pt"")"),"dudeee Eu amei montanha Brokeback !!!!")</f>
        <v>dudeee Eu amei montanha Brokeback !!!!</v>
      </c>
      <c r="B8415" s="3">
        <v>1</v>
      </c>
    </row>
    <row r="8416" ht="15.75" customHeight="1" spans="1:2">
      <c r="A8416" s="3" t="str">
        <f>IFERROR(__xludf.DUMMYFUNCTION("GOOGLETRANSLATE(A8416,""en"",""pt"")"),"Ou eu AMOR Brokeback Mountain ou acho que é ótimo que a homossexualidade está se tornando mais aceitável !:")</f>
        <v>Ou eu AMOR Brokeback Mountain ou acho que é ótimo que a homossexualidade está se tornando mais aceitável !:</v>
      </c>
      <c r="B8416" s="3">
        <v>1</v>
      </c>
    </row>
    <row r="8417" ht="15.75" customHeight="1" spans="1:2">
      <c r="A8417" s="3" t="str">
        <f>IFERROR(__xludf.DUMMYFUNCTION("GOOGLETRANSLATE(A8417,""en"",""pt"")"),"De qualquer forma, é por isso que eu amo ""Brokeback Mountain.")</f>
        <v>De qualquer forma, é por isso que eu amo "Brokeback Mountain.</v>
      </c>
      <c r="B8417" s="3">
        <v>1</v>
      </c>
    </row>
    <row r="8418" ht="15.75" customHeight="1" spans="1:2">
      <c r="A8418" s="3" t="str">
        <f>IFERROR(__xludf.DUMMYFUNCTION("GOOGLETRANSLATE(A8418,""en"",""pt"")"),"Brokeback mountain era bonita ...")</f>
        <v>Brokeback mountain era bonita ...</v>
      </c>
      <c r="B8418" s="3">
        <v>1</v>
      </c>
    </row>
    <row r="8419" ht="15.75" customHeight="1" spans="1:2">
      <c r="A8419" s="3" t="str">
        <f>IFERROR(__xludf.DUMMYFUNCTION("GOOGLETRANSLATE(A8419,""en"",""pt"")"),"Eu amo Brokeback Mountain.")</f>
        <v>Eu amo Brokeback Mountain.</v>
      </c>
      <c r="B8419" s="3">
        <v>1</v>
      </c>
    </row>
    <row r="8420" ht="15.75" customHeight="1" spans="1:2">
      <c r="A8420" s="3" t="str">
        <f>IFERROR(__xludf.DUMMYFUNCTION("GOOGLETRANSLATE(A8420,""en"",""pt"")"),"Eu amo Brokeback Mountain ....")</f>
        <v>Eu amo Brokeback Mountain ....</v>
      </c>
      <c r="B8420" s="3">
        <v>1</v>
      </c>
    </row>
    <row r="8421" ht="15.75" customHeight="1" spans="1:2">
      <c r="A8421" s="3" t="str">
        <f>IFERROR(__xludf.DUMMYFUNCTION("GOOGLETRANSLATE(A8421,""en"",""pt"")"),"Ele é como, 'Yeah eu comecei ACNE E eu amo Brokeback Mountain' ..")</f>
        <v>Ele é como, 'Yeah eu comecei ACNE E eu amo Brokeback Mountain' ..</v>
      </c>
      <c r="B8421" s="3">
        <v>1</v>
      </c>
    </row>
    <row r="8422" ht="15.75" customHeight="1" spans="1:2">
      <c r="A8422" s="3" t="str">
        <f>IFERROR(__xludf.DUMMYFUNCTION("GOOGLETRANSLATE(A8422,""en"",""pt"")"),"Brokeback Mountain foi tão incrível.")</f>
        <v>Brokeback Mountain foi tão incrível.</v>
      </c>
      <c r="B8422" s="3">
        <v>1</v>
      </c>
    </row>
    <row r="8423" ht="15.75" customHeight="1" spans="1:2">
      <c r="A8423" s="3" t="str">
        <f>IFERROR(__xludf.DUMMYFUNCTION("GOOGLETRANSLATE(A8423,""en"",""pt"")"),"Brokeback Mountain era um filme impressionante.")</f>
        <v>Brokeback Mountain era um filme impressionante.</v>
      </c>
      <c r="B8423" s="3">
        <v>1</v>
      </c>
    </row>
    <row r="8424" ht="15.75" customHeight="1" spans="1:2">
      <c r="A8424" s="3" t="str">
        <f>IFERROR(__xludf.DUMMYFUNCTION("GOOGLETRANSLATE(A8424,""en"",""pt"")"),"homem que eu amava montanha Brokeback!")</f>
        <v>homem que eu amava montanha Brokeback!</v>
      </c>
      <c r="B8424" s="3">
        <v>1</v>
      </c>
    </row>
    <row r="8425" ht="15.75" customHeight="1" spans="1:2">
      <c r="A8425" s="3" t="str">
        <f>IFERROR(__xludf.DUMMYFUNCTION("GOOGLETRANSLATE(A8425,""en"",""pt"")"),"dudeee Eu amei montanha Brokeback !!!!")</f>
        <v>dudeee Eu amei montanha Brokeback !!!!</v>
      </c>
      <c r="B8425" s="3">
        <v>1</v>
      </c>
    </row>
    <row r="8426" ht="15.75" customHeight="1" spans="1:2">
      <c r="A8426" s="3" t="str">
        <f>IFERROR(__xludf.DUMMYFUNCTION("GOOGLETRANSLATE(A8426,""en"",""pt"")"),"Ou eu AMOR Brokeback Mountain ou acho que é ótimo que a homossexualidade está se tornando mais aceitável !:")</f>
        <v>Ou eu AMOR Brokeback Mountain ou acho que é ótimo que a homossexualidade está se tornando mais aceitável !:</v>
      </c>
      <c r="B8426" s="3">
        <v>1</v>
      </c>
    </row>
    <row r="8427" ht="15.75" customHeight="1" spans="1:2">
      <c r="A8427" s="3" t="str">
        <f>IFERROR(__xludf.DUMMYFUNCTION("GOOGLETRANSLATE(A8427,""en"",""pt"")"),"De qualquer forma, é por isso que eu amo ""Brokeback Mountain.")</f>
        <v>De qualquer forma, é por isso que eu amo "Brokeback Mountain.</v>
      </c>
      <c r="B8427" s="3">
        <v>1</v>
      </c>
    </row>
    <row r="8428" ht="15.75" customHeight="1" spans="1:2">
      <c r="A8428" s="3" t="str">
        <f>IFERROR(__xludf.DUMMYFUNCTION("GOOGLETRANSLATE(A8428,""en"",""pt"")"),"Brokeback mountain era bonita ...")</f>
        <v>Brokeback mountain era bonita ...</v>
      </c>
      <c r="B8428" s="3">
        <v>1</v>
      </c>
    </row>
    <row r="8429" ht="15.75" customHeight="1" spans="1:2">
      <c r="A8429" s="3" t="str">
        <f>IFERROR(__xludf.DUMMYFUNCTION("GOOGLETRANSLATE(A8429,""en"",""pt"")"),"Eu amo Brokeback Mountain.")</f>
        <v>Eu amo Brokeback Mountain.</v>
      </c>
      <c r="B8429" s="3">
        <v>1</v>
      </c>
    </row>
    <row r="8430" ht="15.75" customHeight="1" spans="1:2">
      <c r="A8430" s="3" t="str">
        <f>IFERROR(__xludf.DUMMYFUNCTION("GOOGLETRANSLATE(A8430,""en"",""pt"")"),"Eu amo Brokeback Mountain ....")</f>
        <v>Eu amo Brokeback Mountain ....</v>
      </c>
      <c r="B8430" s="3">
        <v>1</v>
      </c>
    </row>
    <row r="8431" ht="15.75" customHeight="1" spans="1:2">
      <c r="A8431" s="3" t="str">
        <f>IFERROR(__xludf.DUMMYFUNCTION("GOOGLETRANSLATE(A8431,""en"",""pt"")"),"Ele é como, 'Yeah eu comecei ACNE E eu amo Brokeback Mountain' ..")</f>
        <v>Ele é como, 'Yeah eu comecei ACNE E eu amo Brokeback Mountain' ..</v>
      </c>
      <c r="B8431" s="3">
        <v>1</v>
      </c>
    </row>
    <row r="8432" ht="15.75" customHeight="1" spans="1:2">
      <c r="A8432" s="3" t="str">
        <f>IFERROR(__xludf.DUMMYFUNCTION("GOOGLETRANSLATE(A8432,""en"",""pt"")"),"Brokeback Mountain foi tão incrível.")</f>
        <v>Brokeback Mountain foi tão incrível.</v>
      </c>
      <c r="B8432" s="3">
        <v>1</v>
      </c>
    </row>
    <row r="8433" ht="15.75" customHeight="1" spans="1:2">
      <c r="A8433" s="3" t="str">
        <f>IFERROR(__xludf.DUMMYFUNCTION("GOOGLETRANSLATE(A8433,""en"",""pt"")"),"Brokeback Mountain era um filme impressionante.")</f>
        <v>Brokeback Mountain era um filme impressionante.</v>
      </c>
      <c r="B8433" s="3">
        <v>1</v>
      </c>
    </row>
    <row r="8434" ht="15.75" customHeight="1" spans="1:2">
      <c r="A8434" s="3" t="str">
        <f>IFERROR(__xludf.DUMMYFUNCTION("GOOGLETRANSLATE(A8434,""en"",""pt"")"),"homem que eu amava montanha Brokeback!")</f>
        <v>homem que eu amava montanha Brokeback!</v>
      </c>
      <c r="B8434" s="3">
        <v>1</v>
      </c>
    </row>
    <row r="8435" ht="15.75" customHeight="1" spans="1:2">
      <c r="A8435" s="3" t="str">
        <f>IFERROR(__xludf.DUMMYFUNCTION("GOOGLETRANSLATE(A8435,""en"",""pt"")"),"dudeee Eu amei montanha Brokeback !!!!")</f>
        <v>dudeee Eu amei montanha Brokeback !!!!</v>
      </c>
      <c r="B8435" s="3">
        <v>1</v>
      </c>
    </row>
    <row r="8436" ht="15.75" customHeight="1" spans="1:2">
      <c r="A8436" s="3" t="str">
        <f>IFERROR(__xludf.DUMMYFUNCTION("GOOGLETRANSLATE(A8436,""en"",""pt"")"),"Ou eu AMOR Brokeback Mountain ou acho que é ótimo que a homossexualidade está se tornando mais aceitável !:")</f>
        <v>Ou eu AMOR Brokeback Mountain ou acho que é ótimo que a homossexualidade está se tornando mais aceitável !:</v>
      </c>
      <c r="B8436" s="3">
        <v>1</v>
      </c>
    </row>
    <row r="8437" ht="15.75" customHeight="1" spans="1:2">
      <c r="A8437" s="3" t="str">
        <f>IFERROR(__xludf.DUMMYFUNCTION("GOOGLETRANSLATE(A8437,""en"",""pt"")"),"De qualquer forma, é por isso que eu amo ""Brokeback Mountain.")</f>
        <v>De qualquer forma, é por isso que eu amo "Brokeback Mountain.</v>
      </c>
      <c r="B8437" s="3">
        <v>1</v>
      </c>
    </row>
    <row r="8438" ht="15.75" customHeight="1" spans="1:2">
      <c r="A8438" s="3" t="str">
        <f>IFERROR(__xludf.DUMMYFUNCTION("GOOGLETRANSLATE(A8438,""en"",""pt"")"),"Brokeback mountain era bonita ...")</f>
        <v>Brokeback mountain era bonita ...</v>
      </c>
      <c r="B8438" s="3">
        <v>1</v>
      </c>
    </row>
    <row r="8439" ht="15.75" customHeight="1" spans="1:2">
      <c r="A8439" s="3" t="str">
        <f>IFERROR(__xludf.DUMMYFUNCTION("GOOGLETRANSLATE(A8439,""en"",""pt"")"),"Eu amo Brokeback Mountain.")</f>
        <v>Eu amo Brokeback Mountain.</v>
      </c>
      <c r="B8439" s="3">
        <v>1</v>
      </c>
    </row>
    <row r="8440" ht="15.75" customHeight="1" spans="1:2">
      <c r="A8440" s="3" t="str">
        <f>IFERROR(__xludf.DUMMYFUNCTION("GOOGLETRANSLATE(A8440,""en"",""pt"")"),"Eu amo Brokeback Mountain ....")</f>
        <v>Eu amo Brokeback Mountain ....</v>
      </c>
      <c r="B8440" s="3">
        <v>1</v>
      </c>
    </row>
    <row r="8441" ht="15.75" customHeight="1" spans="1:2">
      <c r="A8441" s="3" t="str">
        <f>IFERROR(__xludf.DUMMYFUNCTION("GOOGLETRANSLATE(A8441,""en"",""pt"")"),"Ele é como, 'Yeah eu comecei ACNE E eu amo Brokeback Mountain' ..")</f>
        <v>Ele é como, 'Yeah eu comecei ACNE E eu amo Brokeback Mountain' ..</v>
      </c>
      <c r="B8441" s="3">
        <v>1</v>
      </c>
    </row>
    <row r="8442" ht="15.75" customHeight="1" spans="1:2">
      <c r="A8442" s="3" t="str">
        <f>IFERROR(__xludf.DUMMYFUNCTION("GOOGLETRANSLATE(A8442,""en"",""pt"")"),"Brokeback Mountain foi tão incrível.")</f>
        <v>Brokeback Mountain foi tão incrível.</v>
      </c>
      <c r="B8442" s="3">
        <v>1</v>
      </c>
    </row>
    <row r="8443" ht="15.75" customHeight="1" spans="1:2">
      <c r="A8443" s="3" t="str">
        <f>IFERROR(__xludf.DUMMYFUNCTION("GOOGLETRANSLATE(A8443,""en"",""pt"")"),"Brokeback Mountain era um filme impressionante.")</f>
        <v>Brokeback Mountain era um filme impressionante.</v>
      </c>
      <c r="B8443" s="3">
        <v>1</v>
      </c>
    </row>
    <row r="8444" ht="15.75" customHeight="1" spans="1:2">
      <c r="A8444" s="3" t="str">
        <f>IFERROR(__xludf.DUMMYFUNCTION("GOOGLETRANSLATE(A8444,""en"",""pt"")"),"homem que eu amava montanha Brokeback!")</f>
        <v>homem que eu amava montanha Brokeback!</v>
      </c>
      <c r="B8444" s="3">
        <v>1</v>
      </c>
    </row>
    <row r="8445" ht="15.75" customHeight="1" spans="1:2">
      <c r="A8445" s="3" t="str">
        <f>IFERROR(__xludf.DUMMYFUNCTION("GOOGLETRANSLATE(A8445,""en"",""pt"")"),"dudeee Eu amei montanha Brokeback !!!!")</f>
        <v>dudeee Eu amei montanha Brokeback !!!!</v>
      </c>
      <c r="B8445" s="3">
        <v>1</v>
      </c>
    </row>
    <row r="8446" ht="15.75" customHeight="1" spans="1:2">
      <c r="A8446" s="3" t="str">
        <f>IFERROR(__xludf.DUMMYFUNCTION("GOOGLETRANSLATE(A8446,""en"",""pt"")"),"Ou eu AMOR Brokeback Mountain ou acho que é ótimo que a homossexualidade está se tornando mais aceitável !:")</f>
        <v>Ou eu AMOR Brokeback Mountain ou acho que é ótimo que a homossexualidade está se tornando mais aceitável !:</v>
      </c>
      <c r="B8446" s="3">
        <v>1</v>
      </c>
    </row>
    <row r="8447" ht="15.75" customHeight="1" spans="1:2">
      <c r="A8447" s="3" t="str">
        <f>IFERROR(__xludf.DUMMYFUNCTION("GOOGLETRANSLATE(A8447,""en"",""pt"")"),"De qualquer forma, é por isso que eu amo ""Brokeback Mountain.")</f>
        <v>De qualquer forma, é por isso que eu amo "Brokeback Mountain.</v>
      </c>
      <c r="B8447" s="3">
        <v>1</v>
      </c>
    </row>
    <row r="8448" ht="15.75" customHeight="1" spans="1:2">
      <c r="A8448" s="3" t="str">
        <f>IFERROR(__xludf.DUMMYFUNCTION("GOOGLETRANSLATE(A8448,""en"",""pt"")"),"Brokeback mountain era bonita ...")</f>
        <v>Brokeback mountain era bonita ...</v>
      </c>
      <c r="B8448" s="3">
        <v>1</v>
      </c>
    </row>
    <row r="8449" ht="15.75" customHeight="1" spans="1:2">
      <c r="A8449" s="3" t="str">
        <f>IFERROR(__xludf.DUMMYFUNCTION("GOOGLETRANSLATE(A8449,""en"",""pt"")"),"Eu amo Brokeback Mountain.")</f>
        <v>Eu amo Brokeback Mountain.</v>
      </c>
      <c r="B8449" s="3">
        <v>1</v>
      </c>
    </row>
    <row r="8450" ht="15.75" customHeight="1" spans="1:2">
      <c r="A8450" s="3" t="str">
        <f>IFERROR(__xludf.DUMMYFUNCTION("GOOGLETRANSLATE(A8450,""en"",""pt"")"),"Eu amo Brokeback Mountain ....")</f>
        <v>Eu amo Brokeback Mountain ....</v>
      </c>
      <c r="B8450" s="3">
        <v>1</v>
      </c>
    </row>
    <row r="8451" ht="15.75" customHeight="1" spans="1:2">
      <c r="A8451" s="3" t="str">
        <f>IFERROR(__xludf.DUMMYFUNCTION("GOOGLETRANSLATE(A8451,""en"",""pt"")"),"Ele é como, 'Yeah eu comecei ACNE E eu amo Brokeback Mountain' ..")</f>
        <v>Ele é como, 'Yeah eu comecei ACNE E eu amo Brokeback Mountain' ..</v>
      </c>
      <c r="B8451" s="3">
        <v>1</v>
      </c>
    </row>
    <row r="8452" ht="15.75" customHeight="1" spans="1:2">
      <c r="A8452" s="3" t="str">
        <f>IFERROR(__xludf.DUMMYFUNCTION("GOOGLETRANSLATE(A8452,""en"",""pt"")"),"Brokeback Mountain foi tão incrível.")</f>
        <v>Brokeback Mountain foi tão incrível.</v>
      </c>
      <c r="B8452" s="3">
        <v>1</v>
      </c>
    </row>
    <row r="8453" ht="15.75" customHeight="1" spans="1:2">
      <c r="A8453" s="3" t="str">
        <f>IFERROR(__xludf.DUMMYFUNCTION("GOOGLETRANSLATE(A8453,""en"",""pt"")"),"Brokeback Mountain era um filme impressionante.")</f>
        <v>Brokeback Mountain era um filme impressionante.</v>
      </c>
      <c r="B8453" s="3">
        <v>1</v>
      </c>
    </row>
    <row r="8454" ht="15.75" customHeight="1" spans="1:2">
      <c r="A8454" s="3" t="str">
        <f>IFERROR(__xludf.DUMMYFUNCTION("GOOGLETRANSLATE(A8454,""en"",""pt"")"),"homem que eu amava montanha Brokeback!")</f>
        <v>homem que eu amava montanha Brokeback!</v>
      </c>
      <c r="B8454" s="3">
        <v>1</v>
      </c>
    </row>
    <row r="8455" ht="15.75" customHeight="1" spans="1:2">
      <c r="A8455" s="3" t="str">
        <f>IFERROR(__xludf.DUMMYFUNCTION("GOOGLETRANSLATE(A8455,""en"",""pt"")"),"dudeee Eu amei montanha Brokeback !!!!")</f>
        <v>dudeee Eu amei montanha Brokeback !!!!</v>
      </c>
      <c r="B8455" s="3">
        <v>1</v>
      </c>
    </row>
    <row r="8456" ht="15.75" customHeight="1" spans="1:2">
      <c r="A8456" s="3" t="str">
        <f>IFERROR(__xludf.DUMMYFUNCTION("GOOGLETRANSLATE(A8456,""en"",""pt"")"),"Ou eu AMOR Brokeback Mountain ou acho que é ótimo que a homossexualidade está se tornando mais aceitável !:")</f>
        <v>Ou eu AMOR Brokeback Mountain ou acho que é ótimo que a homossexualidade está se tornando mais aceitável !:</v>
      </c>
      <c r="B8456" s="3">
        <v>1</v>
      </c>
    </row>
    <row r="8457" ht="15.75" customHeight="1" spans="1:2">
      <c r="A8457" s="3" t="str">
        <f>IFERROR(__xludf.DUMMYFUNCTION("GOOGLETRANSLATE(A8457,""en"",""pt"")"),"De qualquer forma, é por isso que eu amo ""Brokeback Mountain.")</f>
        <v>De qualquer forma, é por isso que eu amo "Brokeback Mountain.</v>
      </c>
      <c r="B8457" s="3">
        <v>1</v>
      </c>
    </row>
    <row r="8458" ht="15.75" customHeight="1" spans="1:2">
      <c r="A8458" s="3" t="str">
        <f>IFERROR(__xludf.DUMMYFUNCTION("GOOGLETRANSLATE(A8458,""en"",""pt"")"),"Brokeback mountain era bonita ...")</f>
        <v>Brokeback mountain era bonita ...</v>
      </c>
      <c r="B8458" s="3">
        <v>1</v>
      </c>
    </row>
    <row r="8459" ht="15.75" customHeight="1" spans="1:2">
      <c r="A8459" s="3" t="str">
        <f>IFERROR(__xludf.DUMMYFUNCTION("GOOGLETRANSLATE(A8459,""en"",""pt"")"),"Eu amo Brokeback Mountain.")</f>
        <v>Eu amo Brokeback Mountain.</v>
      </c>
      <c r="B8459" s="3">
        <v>1</v>
      </c>
    </row>
    <row r="8460" ht="15.75" customHeight="1" spans="1:2">
      <c r="A8460" s="3" t="str">
        <f>IFERROR(__xludf.DUMMYFUNCTION("GOOGLETRANSLATE(A8460,""en"",""pt"")"),"Eu amo Brokeback Mountain ....")</f>
        <v>Eu amo Brokeback Mountain ....</v>
      </c>
      <c r="B8460" s="3">
        <v>1</v>
      </c>
    </row>
    <row r="8461" ht="15.75" customHeight="1" spans="1:2">
      <c r="A8461" s="3" t="str">
        <f>IFERROR(__xludf.DUMMYFUNCTION("GOOGLETRANSLATE(A8461,""en"",""pt"")"),"Ele é como, 'Yeah eu comecei ACNE E eu amo Brokeback Mountain' ..")</f>
        <v>Ele é como, 'Yeah eu comecei ACNE E eu amo Brokeback Mountain' ..</v>
      </c>
      <c r="B8461" s="3">
        <v>1</v>
      </c>
    </row>
    <row r="8462" ht="15.75" customHeight="1" spans="1:2">
      <c r="A8462" s="3" t="str">
        <f>IFERROR(__xludf.DUMMYFUNCTION("GOOGLETRANSLATE(A8462,""en"",""pt"")"),"Brokeback Mountain foi tão incrível.")</f>
        <v>Brokeback Mountain foi tão incrível.</v>
      </c>
      <c r="B8462" s="3">
        <v>1</v>
      </c>
    </row>
    <row r="8463" ht="15.75" customHeight="1" spans="1:2">
      <c r="A8463" s="3" t="str">
        <f>IFERROR(__xludf.DUMMYFUNCTION("GOOGLETRANSLATE(A8463,""en"",""pt"")"),"Brokeback Mountain era um filme impressionante.")</f>
        <v>Brokeback Mountain era um filme impressionante.</v>
      </c>
      <c r="B8463" s="3">
        <v>1</v>
      </c>
    </row>
    <row r="8464" ht="15.75" customHeight="1" spans="1:2">
      <c r="A8464" s="3" t="str">
        <f>IFERROR(__xludf.DUMMYFUNCTION("GOOGLETRANSLATE(A8464,""en"",""pt"")"),"homem que eu amava montanha Brokeback!")</f>
        <v>homem que eu amava montanha Brokeback!</v>
      </c>
      <c r="B8464" s="3">
        <v>1</v>
      </c>
    </row>
    <row r="8465" ht="15.75" customHeight="1" spans="1:2">
      <c r="A8465" s="3" t="str">
        <f>IFERROR(__xludf.DUMMYFUNCTION("GOOGLETRANSLATE(A8465,""en"",""pt"")"),"dudeee Eu amei montanha Brokeback !!!!")</f>
        <v>dudeee Eu amei montanha Brokeback !!!!</v>
      </c>
      <c r="B8465" s="3">
        <v>1</v>
      </c>
    </row>
    <row r="8466" ht="15.75" customHeight="1" spans="1:2">
      <c r="A8466" s="3" t="str">
        <f>IFERROR(__xludf.DUMMYFUNCTION("GOOGLETRANSLATE(A8466,""en"",""pt"")"),"Ou eu AMOR Brokeback Mountain ou acho que é ótimo que a homossexualidade está se tornando mais aceitável !:")</f>
        <v>Ou eu AMOR Brokeback Mountain ou acho que é ótimo que a homossexualidade está se tornando mais aceitável !:</v>
      </c>
      <c r="B8466" s="3">
        <v>1</v>
      </c>
    </row>
    <row r="8467" ht="15.75" customHeight="1" spans="1:2">
      <c r="A8467" s="3" t="str">
        <f>IFERROR(__xludf.DUMMYFUNCTION("GOOGLETRANSLATE(A8467,""en"",""pt"")"),"De qualquer forma, é por isso que eu amo ""Brokeback Mountain.")</f>
        <v>De qualquer forma, é por isso que eu amo "Brokeback Mountain.</v>
      </c>
      <c r="B8467" s="3">
        <v>1</v>
      </c>
    </row>
    <row r="8468" ht="15.75" customHeight="1" spans="1:2">
      <c r="A8468" s="3" t="str">
        <f>IFERROR(__xludf.DUMMYFUNCTION("GOOGLETRANSLATE(A8468,""en"",""pt"")"),"Brokeback mountain era bonita ...")</f>
        <v>Brokeback mountain era bonita ...</v>
      </c>
      <c r="B8468" s="3">
        <v>1</v>
      </c>
    </row>
    <row r="8469" ht="15.75" customHeight="1" spans="1:2">
      <c r="A8469" s="3" t="str">
        <f>IFERROR(__xludf.DUMMYFUNCTION("GOOGLETRANSLATE(A8469,""en"",""pt"")"),"Eu amo Brokeback Mountain.")</f>
        <v>Eu amo Brokeback Mountain.</v>
      </c>
      <c r="B8469" s="3">
        <v>1</v>
      </c>
    </row>
    <row r="8470" ht="15.75" customHeight="1" spans="1:2">
      <c r="A8470" s="3" t="str">
        <f>IFERROR(__xludf.DUMMYFUNCTION("GOOGLETRANSLATE(A8470,""en"",""pt"")"),"Eu amo Brokeback Mountain ....")</f>
        <v>Eu amo Brokeback Mountain ....</v>
      </c>
      <c r="B8470" s="3">
        <v>1</v>
      </c>
    </row>
    <row r="8471" ht="15.75" customHeight="1" spans="1:2">
      <c r="A8471" s="3" t="str">
        <f>IFERROR(__xludf.DUMMYFUNCTION("GOOGLETRANSLATE(A8471,""en"",""pt"")"),"Ele é como, 'Yeah eu comecei ACNE E eu amo Brokeback Mountain' ..")</f>
        <v>Ele é como, 'Yeah eu comecei ACNE E eu amo Brokeback Mountain' ..</v>
      </c>
      <c r="B8471" s="3">
        <v>1</v>
      </c>
    </row>
    <row r="8472" ht="15.75" customHeight="1" spans="1:2">
      <c r="A8472" s="3" t="str">
        <f>IFERROR(__xludf.DUMMYFUNCTION("GOOGLETRANSLATE(A8472,""en"",""pt"")"),"Brokeback Mountain foi tão incrível.")</f>
        <v>Brokeback Mountain foi tão incrível.</v>
      </c>
      <c r="B8472" s="3">
        <v>1</v>
      </c>
    </row>
    <row r="8473" ht="15.75" customHeight="1" spans="1:2">
      <c r="A8473" s="3" t="str">
        <f>IFERROR(__xludf.DUMMYFUNCTION("GOOGLETRANSLATE(A8473,""en"",""pt"")"),"Brokeback Mountain era um filme impressionante.")</f>
        <v>Brokeback Mountain era um filme impressionante.</v>
      </c>
      <c r="B8473" s="3">
        <v>1</v>
      </c>
    </row>
    <row r="8474" ht="15.75" customHeight="1" spans="1:2">
      <c r="A8474" s="3" t="str">
        <f>IFERROR(__xludf.DUMMYFUNCTION("GOOGLETRANSLATE(A8474,""en"",""pt"")"),"homem que eu amava montanha Brokeback!")</f>
        <v>homem que eu amava montanha Brokeback!</v>
      </c>
      <c r="B8474" s="3">
        <v>1</v>
      </c>
    </row>
    <row r="8475" ht="15.75" customHeight="1" spans="1:2">
      <c r="A8475" s="3" t="str">
        <f>IFERROR(__xludf.DUMMYFUNCTION("GOOGLETRANSLATE(A8475,""en"",""pt"")"),"dudeee Eu amei montanha Brokeback !!!!")</f>
        <v>dudeee Eu amei montanha Brokeback !!!!</v>
      </c>
      <c r="B8475" s="3">
        <v>1</v>
      </c>
    </row>
    <row r="8476" ht="15.75" customHeight="1" spans="1:2">
      <c r="A8476" s="3" t="str">
        <f>IFERROR(__xludf.DUMMYFUNCTION("GOOGLETRANSLATE(A8476,""en"",""pt"")"),"Ou eu AMOR Brokeback Mountain ou acho que é ótimo que a homossexualidade está se tornando mais aceitável !:")</f>
        <v>Ou eu AMOR Brokeback Mountain ou acho que é ótimo que a homossexualidade está se tornando mais aceitável !:</v>
      </c>
      <c r="B8476" s="3">
        <v>1</v>
      </c>
    </row>
    <row r="8477" ht="15.75" customHeight="1" spans="1:2">
      <c r="A8477" s="3" t="str">
        <f>IFERROR(__xludf.DUMMYFUNCTION("GOOGLETRANSLATE(A8477,""en"",""pt"")"),"De qualquer forma, é por isso que eu amo ""Brokeback Mountain.")</f>
        <v>De qualquer forma, é por isso que eu amo "Brokeback Mountain.</v>
      </c>
      <c r="B8477" s="3">
        <v>1</v>
      </c>
    </row>
    <row r="8478" ht="15.75" customHeight="1" spans="1:2">
      <c r="A8478" s="3" t="str">
        <f>IFERROR(__xludf.DUMMYFUNCTION("GOOGLETRANSLATE(A8478,""en"",""pt"")"),"Brokeback mountain era bonita ...")</f>
        <v>Brokeback mountain era bonita ...</v>
      </c>
      <c r="B8478" s="3">
        <v>1</v>
      </c>
    </row>
    <row r="8479" ht="15.75" customHeight="1" spans="1:2">
      <c r="A8479" s="3" t="str">
        <f>IFERROR(__xludf.DUMMYFUNCTION("GOOGLETRANSLATE(A8479,""en"",""pt"")"),"Eu amo Brokeback Mountain.")</f>
        <v>Eu amo Brokeback Mountain.</v>
      </c>
      <c r="B8479" s="3">
        <v>1</v>
      </c>
    </row>
    <row r="8480" ht="15.75" customHeight="1" spans="1:2">
      <c r="A8480" s="3" t="str">
        <f>IFERROR(__xludf.DUMMYFUNCTION("GOOGLETRANSLATE(A8480,""en"",""pt"")"),"Eu amo Brokeback Mountain ....")</f>
        <v>Eu amo Brokeback Mountain ....</v>
      </c>
      <c r="B8480" s="3">
        <v>1</v>
      </c>
    </row>
    <row r="8481" ht="15.75" customHeight="1" spans="1:2">
      <c r="A8481" s="3" t="str">
        <f>IFERROR(__xludf.DUMMYFUNCTION("GOOGLETRANSLATE(A8481,""en"",""pt"")"),"Ele é como, 'Yeah eu comecei ACNE E eu amo Brokeback Mountain' ..")</f>
        <v>Ele é como, 'Yeah eu comecei ACNE E eu amo Brokeback Mountain' ..</v>
      </c>
      <c r="B8481" s="3">
        <v>1</v>
      </c>
    </row>
    <row r="8482" ht="15.75" customHeight="1" spans="1:2">
      <c r="A8482" s="3" t="str">
        <f>IFERROR(__xludf.DUMMYFUNCTION("GOOGLETRANSLATE(A8482,""en"",""pt"")"),"Brokeback Mountain foi tão incrível.")</f>
        <v>Brokeback Mountain foi tão incrível.</v>
      </c>
      <c r="B8482" s="3">
        <v>1</v>
      </c>
    </row>
    <row r="8483" ht="15.75" customHeight="1" spans="1:2">
      <c r="A8483" s="3" t="str">
        <f>IFERROR(__xludf.DUMMYFUNCTION("GOOGLETRANSLATE(A8483,""en"",""pt"")"),"Brokeback Mountain era um filme impressionante.")</f>
        <v>Brokeback Mountain era um filme impressionante.</v>
      </c>
      <c r="B8483" s="3">
        <v>1</v>
      </c>
    </row>
    <row r="8484" ht="15.75" customHeight="1" spans="1:2">
      <c r="A8484" s="3" t="str">
        <f>IFERROR(__xludf.DUMMYFUNCTION("GOOGLETRANSLATE(A8484,""en"",""pt"")"),"homem que eu amava montanha Brokeback!")</f>
        <v>homem que eu amava montanha Brokeback!</v>
      </c>
      <c r="B8484" s="3">
        <v>1</v>
      </c>
    </row>
    <row r="8485" ht="15.75" customHeight="1" spans="1:2">
      <c r="A8485" s="3" t="str">
        <f>IFERROR(__xludf.DUMMYFUNCTION("GOOGLETRANSLATE(A8485,""en"",""pt"")"),"dudeee Eu amei montanha Brokeback !!!!")</f>
        <v>dudeee Eu amei montanha Brokeback !!!!</v>
      </c>
      <c r="B8485" s="3">
        <v>1</v>
      </c>
    </row>
    <row r="8486" ht="15.75" customHeight="1" spans="1:2">
      <c r="A8486" s="3" t="str">
        <f>IFERROR(__xludf.DUMMYFUNCTION("GOOGLETRANSLATE(A8486,""en"",""pt"")"),"Ou eu AMOR Brokeback Mountain ou acho que é ótimo que a homossexualidade está se tornando mais aceitável !:")</f>
        <v>Ou eu AMOR Brokeback Mountain ou acho que é ótimo que a homossexualidade está se tornando mais aceitável !:</v>
      </c>
      <c r="B8486" s="3">
        <v>1</v>
      </c>
    </row>
    <row r="8487" ht="15.75" customHeight="1" spans="1:2">
      <c r="A8487" s="3" t="str">
        <f>IFERROR(__xludf.DUMMYFUNCTION("GOOGLETRANSLATE(A8487,""en"",""pt"")"),"De qualquer forma, é por isso que eu amo ""Brokeback Mountain.")</f>
        <v>De qualquer forma, é por isso que eu amo "Brokeback Mountain.</v>
      </c>
      <c r="B8487" s="3">
        <v>1</v>
      </c>
    </row>
    <row r="8488" ht="15.75" customHeight="1" spans="1:2">
      <c r="A8488" s="3" t="str">
        <f>IFERROR(__xludf.DUMMYFUNCTION("GOOGLETRANSLATE(A8488,""en"",""pt"")"),"Brokeback mountain era bonita ...")</f>
        <v>Brokeback mountain era bonita ...</v>
      </c>
      <c r="B8488" s="3">
        <v>1</v>
      </c>
    </row>
    <row r="8489" ht="15.75" customHeight="1" spans="1:2">
      <c r="A8489" s="3" t="str">
        <f>IFERROR(__xludf.DUMMYFUNCTION("GOOGLETRANSLATE(A8489,""en"",""pt"")"),"Eu amo Brokeback Mountain.")</f>
        <v>Eu amo Brokeback Mountain.</v>
      </c>
      <c r="B8489" s="3">
        <v>1</v>
      </c>
    </row>
    <row r="8490" ht="15.75" customHeight="1" spans="1:2">
      <c r="A8490" s="3" t="str">
        <f>IFERROR(__xludf.DUMMYFUNCTION("GOOGLETRANSLATE(A8490,""en"",""pt"")"),"Eu amo Brokeback Mountain ....")</f>
        <v>Eu amo Brokeback Mountain ....</v>
      </c>
      <c r="B8490" s="3">
        <v>1</v>
      </c>
    </row>
    <row r="8491" ht="15.75" customHeight="1" spans="1:2">
      <c r="A8491" s="3" t="str">
        <f>IFERROR(__xludf.DUMMYFUNCTION("GOOGLETRANSLATE(A8491,""en"",""pt"")"),"Ele é como, 'Yeah eu comecei ACNE E eu amo Brokeback Mountain' ..")</f>
        <v>Ele é como, 'Yeah eu comecei ACNE E eu amo Brokeback Mountain' ..</v>
      </c>
      <c r="B8491" s="3">
        <v>1</v>
      </c>
    </row>
    <row r="8492" ht="15.75" customHeight="1" spans="1:2">
      <c r="A8492" s="3" t="str">
        <f>IFERROR(__xludf.DUMMYFUNCTION("GOOGLETRANSLATE(A8492,""en"",""pt"")"),"Brokeback Mountain foi tão incrível.")</f>
        <v>Brokeback Mountain foi tão incrível.</v>
      </c>
      <c r="B8492" s="3">
        <v>1</v>
      </c>
    </row>
    <row r="8493" ht="15.75" customHeight="1" spans="1:2">
      <c r="A8493" s="3" t="str">
        <f>IFERROR(__xludf.DUMMYFUNCTION("GOOGLETRANSLATE(A8493,""en"",""pt"")"),"Brokeback Mountain era um filme impressionante.")</f>
        <v>Brokeback Mountain era um filme impressionante.</v>
      </c>
      <c r="B8493" s="3">
        <v>1</v>
      </c>
    </row>
    <row r="8494" ht="15.75" customHeight="1" spans="1:2">
      <c r="A8494" s="3" t="str">
        <f>IFERROR(__xludf.DUMMYFUNCTION("GOOGLETRANSLATE(A8494,""en"",""pt"")"),"homem que eu amava montanha Brokeback!")</f>
        <v>homem que eu amava montanha Brokeback!</v>
      </c>
      <c r="B8494" s="3">
        <v>1</v>
      </c>
    </row>
    <row r="8495" ht="15.75" customHeight="1" spans="1:2">
      <c r="A8495" s="3" t="str">
        <f>IFERROR(__xludf.DUMMYFUNCTION("GOOGLETRANSLATE(A8495,""en"",""pt"")"),"dudeee Eu amei montanha Brokeback !!!!")</f>
        <v>dudeee Eu amei montanha Brokeback !!!!</v>
      </c>
      <c r="B8495" s="3">
        <v>1</v>
      </c>
    </row>
    <row r="8496" ht="15.75" customHeight="1" spans="1:2">
      <c r="A8496" s="3" t="str">
        <f>IFERROR(__xludf.DUMMYFUNCTION("GOOGLETRANSLATE(A8496,""en"",""pt"")"),"Ou eu AMOR Brokeback Mountain ou acho que é ótimo que a homossexualidade está se tornando mais aceitável !:")</f>
        <v>Ou eu AMOR Brokeback Mountain ou acho que é ótimo que a homossexualidade está se tornando mais aceitável !:</v>
      </c>
      <c r="B8496" s="3">
        <v>1</v>
      </c>
    </row>
    <row r="8497" ht="15.75" customHeight="1" spans="1:2">
      <c r="A8497" s="3" t="str">
        <f>IFERROR(__xludf.DUMMYFUNCTION("GOOGLETRANSLATE(A8497,""en"",""pt"")"),"De qualquer forma, é por isso que eu amo ""Brokeback Mountain.")</f>
        <v>De qualquer forma, é por isso que eu amo "Brokeback Mountain.</v>
      </c>
      <c r="B8497" s="3">
        <v>1</v>
      </c>
    </row>
    <row r="8498" ht="15.75" customHeight="1" spans="1:2">
      <c r="A8498" s="3" t="str">
        <f>IFERROR(__xludf.DUMMYFUNCTION("GOOGLETRANSLATE(A8498,""en"",""pt"")"),"Brokeback mountain era bonita ...")</f>
        <v>Brokeback mountain era bonita ...</v>
      </c>
      <c r="B8498" s="3">
        <v>1</v>
      </c>
    </row>
    <row r="8499" ht="15.75" customHeight="1" spans="1:2">
      <c r="A8499" s="3" t="str">
        <f>IFERROR(__xludf.DUMMYFUNCTION("GOOGLETRANSLATE(A8499,""en"",""pt"")"),"Eu amo Brokeback Mountain.")</f>
        <v>Eu amo Brokeback Mountain.</v>
      </c>
      <c r="B8499" s="3">
        <v>1</v>
      </c>
    </row>
    <row r="8500" ht="15.75" customHeight="1" spans="1:2">
      <c r="A8500" s="3" t="str">
        <f>IFERROR(__xludf.DUMMYFUNCTION("GOOGLETRANSLATE(A8500,""en"",""pt"")"),"Eu amo Brokeback Mountain ....")</f>
        <v>Eu amo Brokeback Mountain ....</v>
      </c>
      <c r="B8500" s="3">
        <v>1</v>
      </c>
    </row>
    <row r="8501" ht="15.75" customHeight="1" spans="1:2">
      <c r="A8501" s="3" t="str">
        <f>IFERROR(__xludf.DUMMYFUNCTION("GOOGLETRANSLATE(A8501,""en"",""pt"")"),"Ele é como, 'Yeah eu comecei ACNE E eu amo Brokeback Mountain' ..")</f>
        <v>Ele é como, 'Yeah eu comecei ACNE E eu amo Brokeback Mountain' ..</v>
      </c>
      <c r="B8501" s="3">
        <v>1</v>
      </c>
    </row>
    <row r="8502" ht="15.75" customHeight="1" spans="1:2">
      <c r="A8502" s="3" t="str">
        <f>IFERROR(__xludf.DUMMYFUNCTION("GOOGLETRANSLATE(A8502,""en"",""pt"")"),"Brokeback Mountain foi tão incrível.")</f>
        <v>Brokeback Mountain foi tão incrível.</v>
      </c>
      <c r="B8502" s="3">
        <v>1</v>
      </c>
    </row>
    <row r="8503" ht="15.75" customHeight="1" spans="1:2">
      <c r="A8503" s="3" t="str">
        <f>IFERROR(__xludf.DUMMYFUNCTION("GOOGLETRANSLATE(A8503,""en"",""pt"")"),"Brokeback Mountain era um filme impressionante.")</f>
        <v>Brokeback Mountain era um filme impressionante.</v>
      </c>
      <c r="B8503" s="3">
        <v>1</v>
      </c>
    </row>
    <row r="8504" ht="15.75" customHeight="1" spans="1:2">
      <c r="A8504" s="3" t="str">
        <f>IFERROR(__xludf.DUMMYFUNCTION("GOOGLETRANSLATE(A8504,""en"",""pt"")"),"homem que eu amava montanha Brokeback!")</f>
        <v>homem que eu amava montanha Brokeback!</v>
      </c>
      <c r="B8504" s="3">
        <v>1</v>
      </c>
    </row>
    <row r="8505" ht="15.75" customHeight="1" spans="1:2">
      <c r="A8505" s="3" t="str">
        <f>IFERROR(__xludf.DUMMYFUNCTION("GOOGLETRANSLATE(A8505,""en"",""pt"")"),"dudeee Eu amei montanha Brokeback !!!!")</f>
        <v>dudeee Eu amei montanha Brokeback !!!!</v>
      </c>
      <c r="B8505" s="3">
        <v>1</v>
      </c>
    </row>
    <row r="8506" ht="15.75" customHeight="1" spans="1:2">
      <c r="A8506" s="3" t="str">
        <f>IFERROR(__xludf.DUMMYFUNCTION("GOOGLETRANSLATE(A8506,""en"",""pt"")"),"Ou eu AMOR Brokeback Mountain ou acho que é ótimo que a homossexualidade está se tornando mais aceitável !:")</f>
        <v>Ou eu AMOR Brokeback Mountain ou acho que é ótimo que a homossexualidade está se tornando mais aceitável !:</v>
      </c>
      <c r="B8506" s="3">
        <v>1</v>
      </c>
    </row>
    <row r="8507" ht="15.75" customHeight="1" spans="1:2">
      <c r="A8507" s="3" t="str">
        <f>IFERROR(__xludf.DUMMYFUNCTION("GOOGLETRANSLATE(A8507,""en"",""pt"")"),"De qualquer forma, é por isso que eu amo ""Brokeback Mountain.")</f>
        <v>De qualquer forma, é por isso que eu amo "Brokeback Mountain.</v>
      </c>
      <c r="B8507" s="3">
        <v>1</v>
      </c>
    </row>
    <row r="8508" ht="15.75" customHeight="1" spans="1:2">
      <c r="A8508" s="3" t="str">
        <f>IFERROR(__xludf.DUMMYFUNCTION("GOOGLETRANSLATE(A8508,""en"",""pt"")"),"Brokeback mountain era bonita ...")</f>
        <v>Brokeback mountain era bonita ...</v>
      </c>
      <c r="B8508" s="3">
        <v>1</v>
      </c>
    </row>
    <row r="8509" ht="15.75" customHeight="1" spans="1:2">
      <c r="A8509" s="3" t="str">
        <f>IFERROR(__xludf.DUMMYFUNCTION("GOOGLETRANSLATE(A8509,""en"",""pt"")"),"Eu amo Brokeback Mountain.")</f>
        <v>Eu amo Brokeback Mountain.</v>
      </c>
      <c r="B8509" s="3">
        <v>1</v>
      </c>
    </row>
    <row r="8510" ht="15.75" customHeight="1" spans="1:2">
      <c r="A8510" s="3" t="str">
        <f>IFERROR(__xludf.DUMMYFUNCTION("GOOGLETRANSLATE(A8510,""en"",""pt"")"),"Eu amo Brokeback Mountain ....")</f>
        <v>Eu amo Brokeback Mountain ....</v>
      </c>
      <c r="B8510" s="3">
        <v>1</v>
      </c>
    </row>
    <row r="8511" ht="15.75" customHeight="1" spans="1:2">
      <c r="A8511" s="3" t="str">
        <f>IFERROR(__xludf.DUMMYFUNCTION("GOOGLETRANSLATE(A8511,""en"",""pt"")"),"Ele é como, 'Yeah eu comecei ACNE E eu amo Brokeback Mountain' ..")</f>
        <v>Ele é como, 'Yeah eu comecei ACNE E eu amo Brokeback Mountain' ..</v>
      </c>
      <c r="B8511" s="3">
        <v>1</v>
      </c>
    </row>
    <row r="8512" ht="15.75" customHeight="1" spans="1:2">
      <c r="A8512" s="3" t="str">
        <f>IFERROR(__xludf.DUMMYFUNCTION("GOOGLETRANSLATE(A8512,""en"",""pt"")"),"Brokeback Mountain foi tão incrível.")</f>
        <v>Brokeback Mountain foi tão incrível.</v>
      </c>
      <c r="B8512" s="3">
        <v>1</v>
      </c>
    </row>
    <row r="8513" ht="15.75" customHeight="1" spans="1:2">
      <c r="A8513" s="3" t="str">
        <f>IFERROR(__xludf.DUMMYFUNCTION("GOOGLETRANSLATE(A8513,""en"",""pt"")"),"Brokeback Mountain era um filme impressionante.")</f>
        <v>Brokeback Mountain era um filme impressionante.</v>
      </c>
      <c r="B8513" s="3">
        <v>1</v>
      </c>
    </row>
    <row r="8514" ht="15.75" customHeight="1" spans="1:2">
      <c r="A8514" s="3" t="str">
        <f>IFERROR(__xludf.DUMMYFUNCTION("GOOGLETRANSLATE(A8514,""en"",""pt"")"),"homem que eu amava montanha Brokeback!")</f>
        <v>homem que eu amava montanha Brokeback!</v>
      </c>
      <c r="B8514" s="3">
        <v>1</v>
      </c>
    </row>
    <row r="8515" ht="15.75" customHeight="1" spans="1:2">
      <c r="A8515" s="3" t="str">
        <f>IFERROR(__xludf.DUMMYFUNCTION("GOOGLETRANSLATE(A8515,""en"",""pt"")"),"dudeee Eu amei montanha Brokeback !!!!")</f>
        <v>dudeee Eu amei montanha Brokeback !!!!</v>
      </c>
      <c r="B8515" s="3">
        <v>1</v>
      </c>
    </row>
    <row r="8516" ht="15.75" customHeight="1" spans="1:2">
      <c r="A8516" s="3" t="str">
        <f>IFERROR(__xludf.DUMMYFUNCTION("GOOGLETRANSLATE(A8516,""en"",""pt"")"),"Ou eu AMOR Brokeback Mountain ou acho que é ótimo que a homossexualidade está se tornando mais aceitável !:")</f>
        <v>Ou eu AMOR Brokeback Mountain ou acho que é ótimo que a homossexualidade está se tornando mais aceitável !:</v>
      </c>
      <c r="B8516" s="3">
        <v>1</v>
      </c>
    </row>
    <row r="8517" ht="15.75" customHeight="1" spans="1:2">
      <c r="A8517" s="3" t="str">
        <f>IFERROR(__xludf.DUMMYFUNCTION("GOOGLETRANSLATE(A8517,""en"",""pt"")"),"De qualquer forma, é por isso que eu amo ""Brokeback Mountain.")</f>
        <v>De qualquer forma, é por isso que eu amo "Brokeback Mountain.</v>
      </c>
      <c r="B8517" s="3">
        <v>1</v>
      </c>
    </row>
    <row r="8518" ht="15.75" customHeight="1" spans="1:2">
      <c r="A8518" s="3" t="str">
        <f>IFERROR(__xludf.DUMMYFUNCTION("GOOGLETRANSLATE(A8518,""en"",""pt"")"),"Brokeback mountain era bonita ...")</f>
        <v>Brokeback mountain era bonita ...</v>
      </c>
      <c r="B8518" s="3">
        <v>1</v>
      </c>
    </row>
    <row r="8519" ht="15.75" customHeight="1" spans="1:2">
      <c r="A8519" s="3" t="str">
        <f>IFERROR(__xludf.DUMMYFUNCTION("GOOGLETRANSLATE(A8519,""en"",""pt"")"),"Eu amo Brokeback Mountain.")</f>
        <v>Eu amo Brokeback Mountain.</v>
      </c>
      <c r="B8519" s="3">
        <v>1</v>
      </c>
    </row>
    <row r="8520" ht="15.75" customHeight="1" spans="1:2">
      <c r="A8520" s="3" t="str">
        <f>IFERROR(__xludf.DUMMYFUNCTION("GOOGLETRANSLATE(A8520,""en"",""pt"")"),"Eu amo Brokeback Mountain ....")</f>
        <v>Eu amo Brokeback Mountain ....</v>
      </c>
      <c r="B8520" s="3">
        <v>1</v>
      </c>
    </row>
    <row r="8521" ht="15.75" customHeight="1" spans="1:2">
      <c r="A8521" s="3" t="str">
        <f>IFERROR(__xludf.DUMMYFUNCTION("GOOGLETRANSLATE(A8521,""en"",""pt"")"),"Ele é como, 'Yeah eu comecei ACNE E eu amo Brokeback Mountain' ..")</f>
        <v>Ele é como, 'Yeah eu comecei ACNE E eu amo Brokeback Mountain' ..</v>
      </c>
      <c r="B8521" s="3">
        <v>1</v>
      </c>
    </row>
    <row r="8522" ht="15.75" customHeight="1" spans="1:2">
      <c r="A8522" s="3" t="str">
        <f>IFERROR(__xludf.DUMMYFUNCTION("GOOGLETRANSLATE(A8522,""en"",""pt"")"),"Brokeback Mountain foi tão incrível.")</f>
        <v>Brokeback Mountain foi tão incrível.</v>
      </c>
      <c r="B8522" s="3">
        <v>1</v>
      </c>
    </row>
    <row r="8523" ht="15.75" customHeight="1" spans="1:2">
      <c r="A8523" s="3" t="str">
        <f>IFERROR(__xludf.DUMMYFUNCTION("GOOGLETRANSLATE(A8523,""en"",""pt"")"),"Brokeback Mountain era um filme impressionante.")</f>
        <v>Brokeback Mountain era um filme impressionante.</v>
      </c>
      <c r="B8523" s="3">
        <v>1</v>
      </c>
    </row>
    <row r="8524" ht="15.75" customHeight="1" spans="1:2">
      <c r="A8524" s="3" t="str">
        <f>IFERROR(__xludf.DUMMYFUNCTION("GOOGLETRANSLATE(A8524,""en"",""pt"")"),"homem que eu amava montanha Brokeback!")</f>
        <v>homem que eu amava montanha Brokeback!</v>
      </c>
      <c r="B8524" s="3">
        <v>1</v>
      </c>
    </row>
    <row r="8525" ht="15.75" customHeight="1" spans="1:2">
      <c r="A8525" s="3" t="str">
        <f>IFERROR(__xludf.DUMMYFUNCTION("GOOGLETRANSLATE(A8525,""en"",""pt"")"),"dudeee Eu amei montanha Brokeback !!!!")</f>
        <v>dudeee Eu amei montanha Brokeback !!!!</v>
      </c>
      <c r="B8525" s="3">
        <v>1</v>
      </c>
    </row>
    <row r="8526" ht="15.75" customHeight="1" spans="1:2">
      <c r="A8526" s="3" t="str">
        <f>IFERROR(__xludf.DUMMYFUNCTION("GOOGLETRANSLATE(A8526,""en"",""pt"")"),"Ou eu AMOR Brokeback Mountain ou acho que é ótimo que a homossexualidade está se tornando mais aceitável !:")</f>
        <v>Ou eu AMOR Brokeback Mountain ou acho que é ótimo que a homossexualidade está se tornando mais aceitável !:</v>
      </c>
      <c r="B8526" s="3">
        <v>1</v>
      </c>
    </row>
    <row r="8527" ht="15.75" customHeight="1" spans="1:2">
      <c r="A8527" s="3" t="str">
        <f>IFERROR(__xludf.DUMMYFUNCTION("GOOGLETRANSLATE(A8527,""en"",""pt"")"),"De qualquer forma, é por isso que eu amo ""Brokeback Mountain.")</f>
        <v>De qualquer forma, é por isso que eu amo "Brokeback Mountain.</v>
      </c>
      <c r="B8527" s="3">
        <v>1</v>
      </c>
    </row>
    <row r="8528" ht="15.75" customHeight="1" spans="1:2">
      <c r="A8528" s="3" t="str">
        <f>IFERROR(__xludf.DUMMYFUNCTION("GOOGLETRANSLATE(A8528,""en"",""pt"")"),"Brokeback mountain era bonita ...")</f>
        <v>Brokeback mountain era bonita ...</v>
      </c>
      <c r="B8528" s="3">
        <v>1</v>
      </c>
    </row>
    <row r="8529" ht="15.75" customHeight="1" spans="1:2">
      <c r="A8529" s="3" t="str">
        <f>IFERROR(__xludf.DUMMYFUNCTION("GOOGLETRANSLATE(A8529,""en"",""pt"")"),"Eu amo Brokeback Mountain.")</f>
        <v>Eu amo Brokeback Mountain.</v>
      </c>
      <c r="B8529" s="3">
        <v>1</v>
      </c>
    </row>
    <row r="8530" ht="15.75" customHeight="1" spans="1:2">
      <c r="A8530" s="3" t="str">
        <f>IFERROR(__xludf.DUMMYFUNCTION("GOOGLETRANSLATE(A8530,""en"",""pt"")"),"Eu amo Brokeback Mountain ....")</f>
        <v>Eu amo Brokeback Mountain ....</v>
      </c>
      <c r="B8530" s="3">
        <v>1</v>
      </c>
    </row>
    <row r="8531" ht="15.75" customHeight="1" spans="1:2">
      <c r="A8531" s="3" t="str">
        <f>IFERROR(__xludf.DUMMYFUNCTION("GOOGLETRANSLATE(A8531,""en"",""pt"")"),"Ele é como, 'Yeah eu comecei ACNE E eu amo Brokeback Mountain' ..")</f>
        <v>Ele é como, 'Yeah eu comecei ACNE E eu amo Brokeback Mountain' ..</v>
      </c>
      <c r="B8531" s="3">
        <v>1</v>
      </c>
    </row>
    <row r="8532" ht="15.75" customHeight="1" spans="1:2">
      <c r="A8532" s="3" t="str">
        <f>IFERROR(__xludf.DUMMYFUNCTION("GOOGLETRANSLATE(A8532,""en"",""pt"")"),"Brokeback Mountain foi tão incrível.")</f>
        <v>Brokeback Mountain foi tão incrível.</v>
      </c>
      <c r="B8532" s="3">
        <v>1</v>
      </c>
    </row>
    <row r="8533" ht="15.75" customHeight="1" spans="1:2">
      <c r="A8533" s="3" t="str">
        <f>IFERROR(__xludf.DUMMYFUNCTION("GOOGLETRANSLATE(A8533,""en"",""pt"")"),"Brokeback Mountain era um filme impressionante.")</f>
        <v>Brokeback Mountain era um filme impressionante.</v>
      </c>
      <c r="B8533" s="3">
        <v>1</v>
      </c>
    </row>
    <row r="8534" ht="15.75" customHeight="1" spans="1:2">
      <c r="A8534" s="3" t="str">
        <f>IFERROR(__xludf.DUMMYFUNCTION("GOOGLETRANSLATE(A8534,""en"",""pt"")"),"homem que eu amava montanha Brokeback!")</f>
        <v>homem que eu amava montanha Brokeback!</v>
      </c>
      <c r="B8534" s="3">
        <v>1</v>
      </c>
    </row>
    <row r="8535" ht="15.75" customHeight="1" spans="1:2">
      <c r="A8535" s="3" t="str">
        <f>IFERROR(__xludf.DUMMYFUNCTION("GOOGLETRANSLATE(A8535,""en"",""pt"")"),"dudeee Eu amei montanha Brokeback !!!!")</f>
        <v>dudeee Eu amei montanha Brokeback !!!!</v>
      </c>
      <c r="B8535" s="3">
        <v>1</v>
      </c>
    </row>
    <row r="8536" ht="15.75" customHeight="1" spans="1:2">
      <c r="A8536" s="3" t="str">
        <f>IFERROR(__xludf.DUMMYFUNCTION("GOOGLETRANSLATE(A8536,""en"",""pt"")"),"Ou eu AMOR Brokeback Mountain ou acho que é ótimo que a homossexualidade está se tornando mais aceitável !:")</f>
        <v>Ou eu AMOR Brokeback Mountain ou acho que é ótimo que a homossexualidade está se tornando mais aceitável !:</v>
      </c>
      <c r="B8536" s="3">
        <v>1</v>
      </c>
    </row>
    <row r="8537" ht="15.75" customHeight="1" spans="1:2">
      <c r="A8537" s="3" t="str">
        <f>IFERROR(__xludf.DUMMYFUNCTION("GOOGLETRANSLATE(A8537,""en"",""pt"")"),"De qualquer forma, é por isso que eu amo ""Brokeback Mountain.")</f>
        <v>De qualquer forma, é por isso que eu amo "Brokeback Mountain.</v>
      </c>
      <c r="B8537" s="3">
        <v>1</v>
      </c>
    </row>
    <row r="8538" ht="15.75" customHeight="1" spans="1:2">
      <c r="A8538" s="3" t="str">
        <f>IFERROR(__xludf.DUMMYFUNCTION("GOOGLETRANSLATE(A8538,""en"",""pt"")"),"Brokeback mountain era bonita ...")</f>
        <v>Brokeback mountain era bonita ...</v>
      </c>
      <c r="B8538" s="3">
        <v>1</v>
      </c>
    </row>
    <row r="8539" ht="15.75" customHeight="1" spans="1:2">
      <c r="A8539" s="3" t="str">
        <f>IFERROR(__xludf.DUMMYFUNCTION("GOOGLETRANSLATE(A8539,""en"",""pt"")"),"Eu amo Brokeback Mountain.")</f>
        <v>Eu amo Brokeback Mountain.</v>
      </c>
      <c r="B8539" s="3">
        <v>1</v>
      </c>
    </row>
    <row r="8540" ht="15.75" customHeight="1" spans="1:2">
      <c r="A8540" s="3" t="str">
        <f>IFERROR(__xludf.DUMMYFUNCTION("GOOGLETRANSLATE(A8540,""en"",""pt"")"),"Eu amo Brokeback Mountain ....")</f>
        <v>Eu amo Brokeback Mountain ....</v>
      </c>
      <c r="B8540" s="3">
        <v>1</v>
      </c>
    </row>
    <row r="8541" ht="15.75" customHeight="1" spans="1:2">
      <c r="A8541" s="3" t="s">
        <v>34</v>
      </c>
      <c r="B8541" s="3">
        <v>1</v>
      </c>
    </row>
    <row r="8542" ht="15.75" customHeight="1" spans="1:2">
      <c r="A8542" s="3" t="str">
        <f>IFERROR(__xludf.DUMMYFUNCTION("GOOGLETRANSLATE(A8542,""en"",""pt"")"),"Brokeback Mountain foi tão incrível.")</f>
        <v>Brokeback Mountain foi tão incrível.</v>
      </c>
      <c r="B8542" s="3">
        <v>1</v>
      </c>
    </row>
    <row r="8543" ht="15.75" customHeight="1" spans="1:2">
      <c r="A8543" s="3" t="s">
        <v>35</v>
      </c>
      <c r="B8543" s="3">
        <v>1</v>
      </c>
    </row>
    <row r="8544" ht="15.75" customHeight="1" spans="1:2">
      <c r="A8544" s="3" t="str">
        <f>IFERROR(__xludf.DUMMYFUNCTION("GOOGLETRANSLATE(A8544,""en"",""pt"")"),"homem que eu amava montanha Brokeback!")</f>
        <v>homem que eu amava montanha Brokeback!</v>
      </c>
      <c r="B8544" s="3">
        <v>1</v>
      </c>
    </row>
    <row r="8545" ht="15.75" customHeight="1" spans="1:2">
      <c r="A8545" s="3" t="str">
        <f>IFERROR(__xludf.DUMMYFUNCTION("GOOGLETRANSLATE(A8545,""en"",""pt"")"),"dudeee Eu amei montanha Brokeback !!!!")</f>
        <v>dudeee Eu amei montanha Brokeback !!!!</v>
      </c>
      <c r="B8545" s="3">
        <v>1</v>
      </c>
    </row>
    <row r="8546" ht="15.75" customHeight="1" spans="1:2">
      <c r="A8546" s="3" t="str">
        <f>IFERROR(__xludf.DUMMYFUNCTION("GOOGLETRANSLATE(A8546,""en"",""pt"")"),"Ou eu AMOR Brokeback Mountain ou acho que é ótimo que a homossexualidade está se tornando mais aceitável !:")</f>
        <v>Ou eu AMOR Brokeback Mountain ou acho que é ótimo que a homossexualidade está se tornando mais aceitável !:</v>
      </c>
      <c r="B8546" s="3">
        <v>1</v>
      </c>
    </row>
    <row r="8547" ht="15.75" customHeight="1" spans="1:2">
      <c r="A8547" s="3" t="str">
        <f>IFERROR(__xludf.DUMMYFUNCTION("GOOGLETRANSLATE(A8547,""en"",""pt"")"),"De qualquer forma, é por isso que eu amo ""Brokeback Mountain.")</f>
        <v>De qualquer forma, é por isso que eu amo "Brokeback Mountain.</v>
      </c>
      <c r="B8547" s="3">
        <v>1</v>
      </c>
    </row>
    <row r="8548" ht="15.75" customHeight="1" spans="1:2">
      <c r="A8548" s="3" t="str">
        <f>IFERROR(__xludf.DUMMYFUNCTION("GOOGLETRANSLATE(A8548,""en"",""pt"")"),"Brokeback mountain era bonita ...")</f>
        <v>Brokeback mountain era bonita ...</v>
      </c>
      <c r="B8548" s="3">
        <v>1</v>
      </c>
    </row>
    <row r="8549" ht="15.75" customHeight="1" spans="1:2">
      <c r="A8549" s="3" t="str">
        <f>IFERROR(__xludf.DUMMYFUNCTION("GOOGLETRANSLATE(A8549,""en"",""pt"")"),"Eu amo Brokeback Mountain.")</f>
        <v>Eu amo Brokeback Mountain.</v>
      </c>
      <c r="B8549" s="3">
        <v>1</v>
      </c>
    </row>
    <row r="8550" ht="15.75" customHeight="1" spans="1:2">
      <c r="A8550" s="3" t="str">
        <f>IFERROR(__xludf.DUMMYFUNCTION("GOOGLETRANSLATE(A8550,""en"",""pt"")"),"Eu amo Brokeback Mountain ....")</f>
        <v>Eu amo Brokeback Mountain ....</v>
      </c>
      <c r="B8550" s="3">
        <v>1</v>
      </c>
    </row>
    <row r="8551" ht="15.75" customHeight="1" spans="1:2">
      <c r="A8551" s="3" t="str">
        <f>IFERROR(__xludf.DUMMYFUNCTION("GOOGLETRANSLATE(A8551,""en"",""pt"")"),"Ele é como, 'Yeah eu comecei ACNE E eu amo Brokeback Mountain' ..")</f>
        <v>Ele é como, 'Yeah eu comecei ACNE E eu amo Brokeback Mountain' ..</v>
      </c>
      <c r="B8551" s="3">
        <v>1</v>
      </c>
    </row>
    <row r="8552" ht="15.75" customHeight="1" spans="1:2">
      <c r="A8552" s="3" t="str">
        <f>IFERROR(__xludf.DUMMYFUNCTION("GOOGLETRANSLATE(A8552,""en"",""pt"")"),"Brokeback Mountain foi tão incrível.")</f>
        <v>Brokeback Mountain foi tão incrível.</v>
      </c>
      <c r="B8552" s="3">
        <v>1</v>
      </c>
    </row>
    <row r="8553" ht="15.75" customHeight="1" spans="1:2">
      <c r="A8553" s="3" t="str">
        <f>IFERROR(__xludf.DUMMYFUNCTION("GOOGLETRANSLATE(A8553,""en"",""pt"")"),"Brokeback Mountain era um filme impressionante.")</f>
        <v>Brokeback Mountain era um filme impressionante.</v>
      </c>
      <c r="B8553" s="3">
        <v>1</v>
      </c>
    </row>
    <row r="8554" ht="15.75" customHeight="1" spans="1:2">
      <c r="A8554" s="3" t="str">
        <f>IFERROR(__xludf.DUMMYFUNCTION("GOOGLETRANSLATE(A8554,""en"",""pt"")"),"homem que eu amava montanha Brokeback!")</f>
        <v>homem que eu amava montanha Brokeback!</v>
      </c>
      <c r="B8554" s="3">
        <v>1</v>
      </c>
    </row>
    <row r="8555" ht="15.75" customHeight="1" spans="1:2">
      <c r="A8555" s="3" t="str">
        <f>IFERROR(__xludf.DUMMYFUNCTION("GOOGLETRANSLATE(A8555,""en"",""pt"")"),"dudeee Eu amei montanha Brokeback !!!!")</f>
        <v>dudeee Eu amei montanha Brokeback !!!!</v>
      </c>
      <c r="B8555" s="3">
        <v>1</v>
      </c>
    </row>
    <row r="8556" ht="15.75" customHeight="1" spans="1:2">
      <c r="A8556" s="3" t="str">
        <f>IFERROR(__xludf.DUMMYFUNCTION("GOOGLETRANSLATE(A8556,""en"",""pt"")"),"Ou eu AMOR Brokeback Mountain ou acho que é ótimo que a homossexualidade está se tornando mais aceitável !:")</f>
        <v>Ou eu AMOR Brokeback Mountain ou acho que é ótimo que a homossexualidade está se tornando mais aceitável !:</v>
      </c>
      <c r="B8556" s="3">
        <v>1</v>
      </c>
    </row>
    <row r="8557" ht="15.75" customHeight="1" spans="1:2">
      <c r="A8557" s="3" t="str">
        <f>IFERROR(__xludf.DUMMYFUNCTION("GOOGLETRANSLATE(A8557,""en"",""pt"")"),"De qualquer forma, é por isso que eu amo ""Brokeback Mountain.")</f>
        <v>De qualquer forma, é por isso que eu amo "Brokeback Mountain.</v>
      </c>
      <c r="B8557" s="3">
        <v>1</v>
      </c>
    </row>
    <row r="8558" ht="15.75" customHeight="1" spans="1:2">
      <c r="A8558" s="3" t="str">
        <f>IFERROR(__xludf.DUMMYFUNCTION("GOOGLETRANSLATE(A8558,""en"",""pt"")"),"Brokeback mountain era bonita ...")</f>
        <v>Brokeback mountain era bonita ...</v>
      </c>
      <c r="B8558" s="3">
        <v>1</v>
      </c>
    </row>
    <row r="8559" ht="15.75" customHeight="1" spans="1:2">
      <c r="A8559" s="3" t="str">
        <f>IFERROR(__xludf.DUMMYFUNCTION("GOOGLETRANSLATE(A8559,""en"",""pt"")"),"Eu amo Brokeback Mountain.")</f>
        <v>Eu amo Brokeback Mountain.</v>
      </c>
      <c r="B8559" s="3">
        <v>1</v>
      </c>
    </row>
    <row r="8560" ht="15.75" customHeight="1" spans="1:2">
      <c r="A8560" s="3" t="str">
        <f>IFERROR(__xludf.DUMMYFUNCTION("GOOGLETRANSLATE(A8560,""en"",""pt"")"),"Eu amo Brokeback Mountain ....")</f>
        <v>Eu amo Brokeback Mountain ....</v>
      </c>
      <c r="B8560" s="3">
        <v>1</v>
      </c>
    </row>
    <row r="8561" ht="15.75" customHeight="1" spans="1:2">
      <c r="A8561" s="3" t="str">
        <f>IFERROR(__xludf.DUMMYFUNCTION("GOOGLETRANSLATE(A8561,""en"",""pt"")"),"Ele é como, 'Yeah eu comecei ACNE E eu amo Brokeback Mountain' ..")</f>
        <v>Ele é como, 'Yeah eu comecei ACNE E eu amo Brokeback Mountain' ..</v>
      </c>
      <c r="B8561" s="3">
        <v>1</v>
      </c>
    </row>
    <row r="8562" ht="15.75" customHeight="1" spans="1:2">
      <c r="A8562" s="3" t="str">
        <f>IFERROR(__xludf.DUMMYFUNCTION("GOOGLETRANSLATE(A8562,""en"",""pt"")"),"Brokeback Mountain foi tão incrível.")</f>
        <v>Brokeback Mountain foi tão incrível.</v>
      </c>
      <c r="B8562" s="3">
        <v>1</v>
      </c>
    </row>
    <row r="8563" ht="15.75" customHeight="1" spans="1:2">
      <c r="A8563" s="3" t="str">
        <f>IFERROR(__xludf.DUMMYFUNCTION("GOOGLETRANSLATE(A8563,""en"",""pt"")"),"Brokeback Mountain era um filme impressionante.")</f>
        <v>Brokeback Mountain era um filme impressionante.</v>
      </c>
      <c r="B8563" s="3">
        <v>1</v>
      </c>
    </row>
    <row r="8564" ht="15.75" customHeight="1" spans="1:2">
      <c r="A8564" s="3" t="str">
        <f>IFERROR(__xludf.DUMMYFUNCTION("GOOGLETRANSLATE(A8564,""en"",""pt"")"),"homem que eu amava montanha Brokeback!")</f>
        <v>homem que eu amava montanha Brokeback!</v>
      </c>
      <c r="B8564" s="3">
        <v>1</v>
      </c>
    </row>
    <row r="8565" ht="15.75" customHeight="1" spans="1:2">
      <c r="A8565" s="3" t="str">
        <f>IFERROR(__xludf.DUMMYFUNCTION("GOOGLETRANSLATE(A8565,""en"",""pt"")"),"dudeee Eu amei montanha Brokeback !!!!")</f>
        <v>dudeee Eu amei montanha Brokeback !!!!</v>
      </c>
      <c r="B8565" s="3">
        <v>1</v>
      </c>
    </row>
    <row r="8566" ht="15.75" customHeight="1" spans="1:2">
      <c r="A8566" s="3" t="str">
        <f>IFERROR(__xludf.DUMMYFUNCTION("GOOGLETRANSLATE(A8566,""en"",""pt"")"),"Ou eu AMOR Brokeback Mountain ou acho que é ótimo que a homossexualidade está se tornando mais aceitável !:")</f>
        <v>Ou eu AMOR Brokeback Mountain ou acho que é ótimo que a homossexualidade está se tornando mais aceitável !:</v>
      </c>
      <c r="B8566" s="3">
        <v>1</v>
      </c>
    </row>
    <row r="8567" ht="15.75" customHeight="1" spans="1:2">
      <c r="A8567" s="3" t="str">
        <f>IFERROR(__xludf.DUMMYFUNCTION("GOOGLETRANSLATE(A8567,""en"",""pt"")"),"De qualquer forma, é por isso que eu amo ""Brokeback Mountain.")</f>
        <v>De qualquer forma, é por isso que eu amo "Brokeback Mountain.</v>
      </c>
      <c r="B8567" s="3">
        <v>1</v>
      </c>
    </row>
    <row r="8568" ht="15.75" customHeight="1" spans="1:2">
      <c r="A8568" s="3" t="str">
        <f>IFERROR(__xludf.DUMMYFUNCTION("GOOGLETRANSLATE(A8568,""en"",""pt"")"),"Brokeback mountain era bonita ...")</f>
        <v>Brokeback mountain era bonita ...</v>
      </c>
      <c r="B8568" s="3">
        <v>1</v>
      </c>
    </row>
    <row r="8569" ht="15.75" customHeight="1" spans="1:2">
      <c r="A8569" s="3" t="str">
        <f>IFERROR(__xludf.DUMMYFUNCTION("GOOGLETRANSLATE(A8569,""en"",""pt"")"),"Eu amo Brokeback Mountain.")</f>
        <v>Eu amo Brokeback Mountain.</v>
      </c>
      <c r="B8569" s="3">
        <v>1</v>
      </c>
    </row>
    <row r="8570" ht="15.75" customHeight="1" spans="1:2">
      <c r="A8570" s="3" t="str">
        <f>IFERROR(__xludf.DUMMYFUNCTION("GOOGLETRANSLATE(A8570,""en"",""pt"")"),"Eu amo Brokeback Mountain ....")</f>
        <v>Eu amo Brokeback Mountain ....</v>
      </c>
      <c r="B8570" s="3">
        <v>1</v>
      </c>
    </row>
    <row r="8571" ht="15.75" customHeight="1" spans="1:2">
      <c r="A8571" s="3" t="str">
        <f>IFERROR(__xludf.DUMMYFUNCTION("GOOGLETRANSLATE(A8571,""en"",""pt"")"),"Ele é como, 'Yeah eu comecei ACNE E eu amo Brokeback Mountain' ..")</f>
        <v>Ele é como, 'Yeah eu comecei ACNE E eu amo Brokeback Mountain' ..</v>
      </c>
      <c r="B8571" s="3">
        <v>1</v>
      </c>
    </row>
    <row r="8572" ht="15.75" customHeight="1" spans="1:2">
      <c r="A8572" s="3" t="str">
        <f>IFERROR(__xludf.DUMMYFUNCTION("GOOGLETRANSLATE(A8572,""en"",""pt"")"),"Brokeback Mountain foi tão incrível.")</f>
        <v>Brokeback Mountain foi tão incrível.</v>
      </c>
      <c r="B8572" s="3">
        <v>1</v>
      </c>
    </row>
    <row r="8573" ht="15.75" customHeight="1" spans="1:2">
      <c r="A8573" s="3" t="str">
        <f>IFERROR(__xludf.DUMMYFUNCTION("GOOGLETRANSLATE(A8573,""en"",""pt"")"),"Brokeback Mountain era um filme impressionante.")</f>
        <v>Brokeback Mountain era um filme impressionante.</v>
      </c>
      <c r="B8573" s="3">
        <v>1</v>
      </c>
    </row>
    <row r="8574" ht="15.75" customHeight="1" spans="1:2">
      <c r="A8574" s="3" t="str">
        <f>IFERROR(__xludf.DUMMYFUNCTION("GOOGLETRANSLATE(A8574,""en"",""pt"")"),"homem que eu amava montanha Brokeback!")</f>
        <v>homem que eu amava montanha Brokeback!</v>
      </c>
      <c r="B8574" s="3">
        <v>1</v>
      </c>
    </row>
    <row r="8575" ht="15.75" customHeight="1" spans="1:2">
      <c r="A8575" s="3" t="str">
        <f>IFERROR(__xludf.DUMMYFUNCTION("GOOGLETRANSLATE(A8575,""en"",""pt"")"),"dudeee Eu amei montanha Brokeback !!!!")</f>
        <v>dudeee Eu amei montanha Brokeback !!!!</v>
      </c>
      <c r="B8575" s="3">
        <v>1</v>
      </c>
    </row>
    <row r="8576" ht="15.75" customHeight="1" spans="1:2">
      <c r="A8576" s="3" t="str">
        <f>IFERROR(__xludf.DUMMYFUNCTION("GOOGLETRANSLATE(A8576,""en"",""pt"")"),"Ou eu AMOR Brokeback Mountain ou acho que é ótimo que a homossexualidade está se tornando mais aceitável !:")</f>
        <v>Ou eu AMOR Brokeback Mountain ou acho que é ótimo que a homossexualidade está se tornando mais aceitável !:</v>
      </c>
      <c r="B8576" s="3">
        <v>1</v>
      </c>
    </row>
    <row r="8577" ht="15.75" customHeight="1" spans="1:2">
      <c r="A8577" s="3" t="str">
        <f>IFERROR(__xludf.DUMMYFUNCTION("GOOGLETRANSLATE(A8577,""en"",""pt"")"),"De qualquer forma, é por isso que eu amo ""Brokeback Mountain.")</f>
        <v>De qualquer forma, é por isso que eu amo "Brokeback Mountain.</v>
      </c>
      <c r="B8577" s="3">
        <v>1</v>
      </c>
    </row>
    <row r="8578" ht="15.75" customHeight="1" spans="1:2">
      <c r="A8578" s="3" t="str">
        <f>IFERROR(__xludf.DUMMYFUNCTION("GOOGLETRANSLATE(A8578,""en"",""pt"")"),"Brokeback mountain era bonita ...")</f>
        <v>Brokeback mountain era bonita ...</v>
      </c>
      <c r="B8578" s="3">
        <v>1</v>
      </c>
    </row>
    <row r="8579" ht="15.75" customHeight="1" spans="1:2">
      <c r="A8579" s="3" t="str">
        <f>IFERROR(__xludf.DUMMYFUNCTION("GOOGLETRANSLATE(A8579,""en"",""pt"")"),"Eu amo Brokeback Mountain.")</f>
        <v>Eu amo Brokeback Mountain.</v>
      </c>
      <c r="B8579" s="3">
        <v>1</v>
      </c>
    </row>
    <row r="8580" ht="15.75" customHeight="1" spans="1:2">
      <c r="A8580" s="3" t="str">
        <f>IFERROR(__xludf.DUMMYFUNCTION("GOOGLETRANSLATE(A8580,""en"",""pt"")"),"Eu amo Brokeback Mountain ....")</f>
        <v>Eu amo Brokeback Mountain ....</v>
      </c>
      <c r="B8580" s="3">
        <v>1</v>
      </c>
    </row>
    <row r="8581" ht="15.75" customHeight="1" spans="1:2">
      <c r="A8581" s="3" t="str">
        <f>IFERROR(__xludf.DUMMYFUNCTION("GOOGLETRANSLATE(A8581,""en"",""pt"")"),"Ele é como, 'Yeah eu comecei ACNE E eu amo Brokeback Mountain' ..")</f>
        <v>Ele é como, 'Yeah eu comecei ACNE E eu amo Brokeback Mountain' ..</v>
      </c>
      <c r="B8581" s="3">
        <v>1</v>
      </c>
    </row>
    <row r="8582" ht="15.75" customHeight="1" spans="1:2">
      <c r="A8582" s="3" t="str">
        <f>IFERROR(__xludf.DUMMYFUNCTION("GOOGLETRANSLATE(A8582,""en"",""pt"")"),"Brokeback Mountain foi tão incrível.")</f>
        <v>Brokeback Mountain foi tão incrível.</v>
      </c>
      <c r="B8582" s="3">
        <v>1</v>
      </c>
    </row>
    <row r="8583" ht="15.75" customHeight="1" spans="1:2">
      <c r="A8583" s="3" t="str">
        <f>IFERROR(__xludf.DUMMYFUNCTION("GOOGLETRANSLATE(A8583,""en"",""pt"")"),"Brokeback Mountain era um filme impressionante.")</f>
        <v>Brokeback Mountain era um filme impressionante.</v>
      </c>
      <c r="B8583" s="3">
        <v>1</v>
      </c>
    </row>
    <row r="8584" ht="15.75" customHeight="1" spans="1:2">
      <c r="A8584" s="3" t="str">
        <f>IFERROR(__xludf.DUMMYFUNCTION("GOOGLETRANSLATE(A8584,""en"",""pt"")"),"homem que eu amava montanha Brokeback!")</f>
        <v>homem que eu amava montanha Brokeback!</v>
      </c>
      <c r="B8584" s="3">
        <v>1</v>
      </c>
    </row>
    <row r="8585" ht="15.75" customHeight="1" spans="1:2">
      <c r="A8585" s="3" t="str">
        <f>IFERROR(__xludf.DUMMYFUNCTION("GOOGLETRANSLATE(A8585,""en"",""pt"")"),"dudeee Eu amei montanha Brokeback !!!!")</f>
        <v>dudeee Eu amei montanha Brokeback !!!!</v>
      </c>
      <c r="B8585" s="3">
        <v>1</v>
      </c>
    </row>
    <row r="8586" ht="15.75" customHeight="1" spans="1:2">
      <c r="A8586" s="3" t="str">
        <f>IFERROR(__xludf.DUMMYFUNCTION("GOOGLETRANSLATE(A8586,""en"",""pt"")"),"Ou eu AMOR Brokeback Mountain ou acho que é ótimo que a homossexualidade está se tornando mais aceitável !:")</f>
        <v>Ou eu AMOR Brokeback Mountain ou acho que é ótimo que a homossexualidade está se tornando mais aceitável !:</v>
      </c>
      <c r="B8586" s="3">
        <v>1</v>
      </c>
    </row>
    <row r="8587" ht="15.75" customHeight="1" spans="1:2">
      <c r="A8587" s="3" t="str">
        <f>IFERROR(__xludf.DUMMYFUNCTION("GOOGLETRANSLATE(A8587,""en"",""pt"")"),"De qualquer forma, é por isso que eu amo ""Brokeback Mountain.")</f>
        <v>De qualquer forma, é por isso que eu amo "Brokeback Mountain.</v>
      </c>
      <c r="B8587" s="3">
        <v>1</v>
      </c>
    </row>
    <row r="8588" ht="15.75" customHeight="1" spans="1:2">
      <c r="A8588" s="3" t="str">
        <f>IFERROR(__xludf.DUMMYFUNCTION("GOOGLETRANSLATE(A8588,""en"",""pt"")"),"Brokeback mountain era bonita ...")</f>
        <v>Brokeback mountain era bonita ...</v>
      </c>
      <c r="B8588" s="3">
        <v>1</v>
      </c>
    </row>
    <row r="8589" ht="15.75" customHeight="1" spans="1:2">
      <c r="A8589" s="3" t="str">
        <f>IFERROR(__xludf.DUMMYFUNCTION("GOOGLETRANSLATE(A8589,""en"",""pt"")"),"Eu amo Brokeback Mountain.")</f>
        <v>Eu amo Brokeback Mountain.</v>
      </c>
      <c r="B8589" s="3">
        <v>1</v>
      </c>
    </row>
    <row r="8590" ht="15.75" customHeight="1" spans="1:2">
      <c r="A8590" s="3" t="str">
        <f>IFERROR(__xludf.DUMMYFUNCTION("GOOGLETRANSLATE(A8590,""en"",""pt"")"),"Eu amo Brokeback Mountain ....")</f>
        <v>Eu amo Brokeback Mountain ....</v>
      </c>
      <c r="B8590" s="3">
        <v>1</v>
      </c>
    </row>
    <row r="8591" ht="15.75" customHeight="1" spans="1:2">
      <c r="A8591" s="3" t="str">
        <f>IFERROR(__xludf.DUMMYFUNCTION("GOOGLETRANSLATE(A8591,""en"",""pt"")"),"Ele é como, 'Yeah eu comecei ACNE E eu amo Brokeback Mountain' ..")</f>
        <v>Ele é como, 'Yeah eu comecei ACNE E eu amo Brokeback Mountain' ..</v>
      </c>
      <c r="B8591" s="3">
        <v>1</v>
      </c>
    </row>
    <row r="8592" ht="15.75" customHeight="1" spans="1:2">
      <c r="A8592" s="3" t="str">
        <f>IFERROR(__xludf.DUMMYFUNCTION("GOOGLETRANSLATE(A8592,""en"",""pt"")"),"Brokeback Mountain foi tão incrível.")</f>
        <v>Brokeback Mountain foi tão incrível.</v>
      </c>
      <c r="B8592" s="3">
        <v>1</v>
      </c>
    </row>
    <row r="8593" ht="15.75" customHeight="1" spans="1:2">
      <c r="A8593" s="3" t="str">
        <f>IFERROR(__xludf.DUMMYFUNCTION("GOOGLETRANSLATE(A8593,""en"",""pt"")"),"Brokeback Mountain era um filme impressionante.")</f>
        <v>Brokeback Mountain era um filme impressionante.</v>
      </c>
      <c r="B8593" s="3">
        <v>1</v>
      </c>
    </row>
    <row r="8594" ht="15.75" customHeight="1" spans="1:2">
      <c r="A8594" s="3" t="str">
        <f>IFERROR(__xludf.DUMMYFUNCTION("GOOGLETRANSLATE(A8594,""en"",""pt"")"),"homem que eu amava montanha Brokeback!")</f>
        <v>homem que eu amava montanha Brokeback!</v>
      </c>
      <c r="B8594" s="3">
        <v>1</v>
      </c>
    </row>
    <row r="8595" ht="15.75" customHeight="1" spans="1:2">
      <c r="A8595" s="3" t="str">
        <f>IFERROR(__xludf.DUMMYFUNCTION("GOOGLETRANSLATE(A8595,""en"",""pt"")"),"dudeee Eu amei montanha Brokeback !!!!")</f>
        <v>dudeee Eu amei montanha Brokeback !!!!</v>
      </c>
      <c r="B8595" s="3">
        <v>1</v>
      </c>
    </row>
    <row r="8596" ht="15.75" customHeight="1" spans="1:2">
      <c r="A8596" s="3" t="str">
        <f>IFERROR(__xludf.DUMMYFUNCTION("GOOGLETRANSLATE(A8596,""en"",""pt"")"),"Ou eu AMOR Brokeback Mountain ou acho que é ótimo que a homossexualidade está se tornando mais aceitável !:")</f>
        <v>Ou eu AMOR Brokeback Mountain ou acho que é ótimo que a homossexualidade está se tornando mais aceitável !:</v>
      </c>
      <c r="B8596" s="3">
        <v>1</v>
      </c>
    </row>
    <row r="8597" ht="15.75" customHeight="1" spans="1:2">
      <c r="A8597" s="3" t="str">
        <f>IFERROR(__xludf.DUMMYFUNCTION("GOOGLETRANSLATE(A8597,""en"",""pt"")"),"De qualquer forma, é por isso que eu amo ""Brokeback Mountain.")</f>
        <v>De qualquer forma, é por isso que eu amo "Brokeback Mountain.</v>
      </c>
      <c r="B8597" s="3">
        <v>1</v>
      </c>
    </row>
    <row r="8598" ht="15.75" customHeight="1" spans="1:2">
      <c r="A8598" s="3" t="str">
        <f>IFERROR(__xludf.DUMMYFUNCTION("GOOGLETRANSLATE(A8598,""en"",""pt"")"),"Brokeback mountain era bonita ...")</f>
        <v>Brokeback mountain era bonita ...</v>
      </c>
      <c r="B8598" s="3">
        <v>1</v>
      </c>
    </row>
    <row r="8599" ht="15.75" customHeight="1" spans="1:2">
      <c r="A8599" s="3" t="str">
        <f>IFERROR(__xludf.DUMMYFUNCTION("GOOGLETRANSLATE(A8599,""en"",""pt"")"),"Eu amo Brokeback Mountain.")</f>
        <v>Eu amo Brokeback Mountain.</v>
      </c>
      <c r="B8599" s="3">
        <v>1</v>
      </c>
    </row>
    <row r="8600" ht="15.75" customHeight="1" spans="1:2">
      <c r="A8600" s="3" t="str">
        <f>IFERROR(__xludf.DUMMYFUNCTION("GOOGLETRANSLATE(A8600,""en"",""pt"")"),"Eu amo Brokeback Mountain ....")</f>
        <v>Eu amo Brokeback Mountain ....</v>
      </c>
      <c r="B8600" s="3">
        <v>1</v>
      </c>
    </row>
    <row r="8601" ht="15.75" customHeight="1" spans="1:2">
      <c r="A8601" s="3" t="str">
        <f>IFERROR(__xludf.DUMMYFUNCTION("GOOGLETRANSLATE(A8601,""en"",""pt"")"),"Ele é como, 'Yeah eu comecei ACNE E eu amo Brokeback Mountain' ..")</f>
        <v>Ele é como, 'Yeah eu comecei ACNE E eu amo Brokeback Mountain' ..</v>
      </c>
      <c r="B8601" s="3">
        <v>1</v>
      </c>
    </row>
    <row r="8602" ht="15.75" customHeight="1" spans="1:2">
      <c r="A8602" s="3" t="str">
        <f>IFERROR(__xludf.DUMMYFUNCTION("GOOGLETRANSLATE(A8602,""en"",""pt"")"),"Brokeback Mountain foi tão incrível.")</f>
        <v>Brokeback Mountain foi tão incrível.</v>
      </c>
      <c r="B8602" s="3">
        <v>1</v>
      </c>
    </row>
    <row r="8603" ht="15.75" customHeight="1" spans="1:2">
      <c r="A8603" s="3" t="str">
        <f>IFERROR(__xludf.DUMMYFUNCTION("GOOGLETRANSLATE(A8603,""en"",""pt"")"),"Brokeback Mountain era um filme impressionante.")</f>
        <v>Brokeback Mountain era um filme impressionante.</v>
      </c>
      <c r="B8603" s="3">
        <v>1</v>
      </c>
    </row>
    <row r="8604" ht="15.75" customHeight="1" spans="1:2">
      <c r="A8604" s="3" t="str">
        <f>IFERROR(__xludf.DUMMYFUNCTION("GOOGLETRANSLATE(A8604,""en"",""pt"")"),"homem que eu amava montanha Brokeback!")</f>
        <v>homem que eu amava montanha Brokeback!</v>
      </c>
      <c r="B8604" s="3">
        <v>1</v>
      </c>
    </row>
    <row r="8605" ht="15.75" customHeight="1" spans="1:2">
      <c r="A8605" s="3" t="str">
        <f>IFERROR(__xludf.DUMMYFUNCTION("GOOGLETRANSLATE(A8605,""en"",""pt"")"),"dudeee Eu amei montanha Brokeback !!!!")</f>
        <v>dudeee Eu amei montanha Brokeback !!!!</v>
      </c>
      <c r="B8605" s="3">
        <v>1</v>
      </c>
    </row>
    <row r="8606" ht="15.75" customHeight="1" spans="1:2">
      <c r="A8606" s="3" t="str">
        <f>IFERROR(__xludf.DUMMYFUNCTION("GOOGLETRANSLATE(A8606,""en"",""pt"")"),"Ou eu AMOR Brokeback Mountain ou acho que é ótimo que a homossexualidade está se tornando mais aceitável !:")</f>
        <v>Ou eu AMOR Brokeback Mountain ou acho que é ótimo que a homossexualidade está se tornando mais aceitável !:</v>
      </c>
      <c r="B8606" s="3">
        <v>1</v>
      </c>
    </row>
    <row r="8607" ht="15.75" customHeight="1" spans="1:2">
      <c r="A8607" s="3" t="str">
        <f>IFERROR(__xludf.DUMMYFUNCTION("GOOGLETRANSLATE(A8607,""en"",""pt"")"),"De qualquer forma, é por isso que eu amo ""Brokeback Mountain.")</f>
        <v>De qualquer forma, é por isso que eu amo "Brokeback Mountain.</v>
      </c>
      <c r="B8607" s="3">
        <v>1</v>
      </c>
    </row>
    <row r="8608" ht="15.75" customHeight="1" spans="1:2">
      <c r="A8608" s="3" t="str">
        <f>IFERROR(__xludf.DUMMYFUNCTION("GOOGLETRANSLATE(A8608,""en"",""pt"")"),"Brokeback mountain era bonita ...")</f>
        <v>Brokeback mountain era bonita ...</v>
      </c>
      <c r="B8608" s="3">
        <v>1</v>
      </c>
    </row>
    <row r="8609" ht="15.75" customHeight="1" spans="1:2">
      <c r="A8609" s="3" t="str">
        <f>IFERROR(__xludf.DUMMYFUNCTION("GOOGLETRANSLATE(A8609,""en"",""pt"")"),"Eu amo Brokeback Mountain.")</f>
        <v>Eu amo Brokeback Mountain.</v>
      </c>
      <c r="B8609" s="3">
        <v>1</v>
      </c>
    </row>
    <row r="8610" ht="15.75" customHeight="1" spans="1:2">
      <c r="A8610" s="3" t="str">
        <f>IFERROR(__xludf.DUMMYFUNCTION("GOOGLETRANSLATE(A8610,""en"",""pt"")"),"Eu amo Brokeback Mountain ....")</f>
        <v>Eu amo Brokeback Mountain ....</v>
      </c>
      <c r="B8610" s="3">
        <v>1</v>
      </c>
    </row>
    <row r="8611" ht="15.75" customHeight="1" spans="1:2">
      <c r="A8611" s="3" t="str">
        <f>IFERROR(__xludf.DUMMYFUNCTION("GOOGLETRANSLATE(A8611,""en"",""pt"")"),"Ele é como, 'Yeah eu comecei ACNE E eu amo Brokeback Mountain' ..")</f>
        <v>Ele é como, 'Yeah eu comecei ACNE E eu amo Brokeback Mountain' ..</v>
      </c>
      <c r="B8611" s="3">
        <v>1</v>
      </c>
    </row>
    <row r="8612" ht="15.75" customHeight="1" spans="1:2">
      <c r="A8612" s="3" t="str">
        <f>IFERROR(__xludf.DUMMYFUNCTION("GOOGLETRANSLATE(A8612,""en"",""pt"")"),"Brokeback Mountain foi tão incrível.")</f>
        <v>Brokeback Mountain foi tão incrível.</v>
      </c>
      <c r="B8612" s="3">
        <v>1</v>
      </c>
    </row>
    <row r="8613" ht="15.75" customHeight="1" spans="1:2">
      <c r="A8613" s="3" t="str">
        <f>IFERROR(__xludf.DUMMYFUNCTION("GOOGLETRANSLATE(A8613,""en"",""pt"")"),"Brokeback Mountain era um filme impressionante.")</f>
        <v>Brokeback Mountain era um filme impressionante.</v>
      </c>
      <c r="B8613" s="3">
        <v>1</v>
      </c>
    </row>
    <row r="8614" ht="15.75" customHeight="1" spans="1:2">
      <c r="A8614" s="3" t="str">
        <f>IFERROR(__xludf.DUMMYFUNCTION("GOOGLETRANSLATE(A8614,""en"",""pt"")"),"homem que eu amava montanha Brokeback!")</f>
        <v>homem que eu amava montanha Brokeback!</v>
      </c>
      <c r="B8614" s="3">
        <v>1</v>
      </c>
    </row>
    <row r="8615" ht="15.75" customHeight="1" spans="1:2">
      <c r="A8615" s="3" t="str">
        <f>IFERROR(__xludf.DUMMYFUNCTION("GOOGLETRANSLATE(A8615,""en"",""pt"")"),"dudeee Eu amei montanha Brokeback !!!!")</f>
        <v>dudeee Eu amei montanha Brokeback !!!!</v>
      </c>
      <c r="B8615" s="3">
        <v>1</v>
      </c>
    </row>
    <row r="8616" ht="15.75" customHeight="1" spans="1:2">
      <c r="A8616" s="3" t="str">
        <f>IFERROR(__xludf.DUMMYFUNCTION("GOOGLETRANSLATE(A8616,""en"",""pt"")"),"Ou eu AMOR Brokeback Mountain ou acho que é ótimo que a homossexualidade está se tornando mais aceitável !:")</f>
        <v>Ou eu AMOR Brokeback Mountain ou acho que é ótimo que a homossexualidade está se tornando mais aceitável !:</v>
      </c>
      <c r="B8616" s="3">
        <v>1</v>
      </c>
    </row>
    <row r="8617" ht="15.75" customHeight="1" spans="1:2">
      <c r="A8617" s="3" t="str">
        <f>IFERROR(__xludf.DUMMYFUNCTION("GOOGLETRANSLATE(A8617,""en"",""pt"")"),"De qualquer forma, é por isso que eu amo ""Brokeback Mountain.")</f>
        <v>De qualquer forma, é por isso que eu amo "Brokeback Mountain.</v>
      </c>
      <c r="B8617" s="3">
        <v>1</v>
      </c>
    </row>
    <row r="8618" ht="15.75" customHeight="1" spans="1:2">
      <c r="A8618" s="3" t="str">
        <f>IFERROR(__xludf.DUMMYFUNCTION("GOOGLETRANSLATE(A8618,""en"",""pt"")"),"Brokeback mountain era bonita ...")</f>
        <v>Brokeback mountain era bonita ...</v>
      </c>
      <c r="B8618" s="3">
        <v>1</v>
      </c>
    </row>
    <row r="8619" ht="15.75" customHeight="1" spans="1:2">
      <c r="A8619" s="3" t="str">
        <f>IFERROR(__xludf.DUMMYFUNCTION("GOOGLETRANSLATE(A8619,""en"",""pt"")"),"Eu amo Brokeback Mountain.")</f>
        <v>Eu amo Brokeback Mountain.</v>
      </c>
      <c r="B8619" s="3">
        <v>1</v>
      </c>
    </row>
    <row r="8620" ht="15.75" customHeight="1" spans="1:2">
      <c r="A8620" s="3" t="str">
        <f>IFERROR(__xludf.DUMMYFUNCTION("GOOGLETRANSLATE(A8620,""en"",""pt"")"),"Eu amo Brokeback Mountain ....")</f>
        <v>Eu amo Brokeback Mountain ....</v>
      </c>
      <c r="B8620" s="3">
        <v>1</v>
      </c>
    </row>
    <row r="8621" ht="15.75" customHeight="1" spans="1:2">
      <c r="A8621" s="3" t="str">
        <f>IFERROR(__xludf.DUMMYFUNCTION("GOOGLETRANSLATE(A8621,""en"",""pt"")"),"Ele é como, 'Yeah eu comecei ACNE E eu amo Brokeback Mountain' ..")</f>
        <v>Ele é como, 'Yeah eu comecei ACNE E eu amo Brokeback Mountain' ..</v>
      </c>
      <c r="B8621" s="3">
        <v>1</v>
      </c>
    </row>
    <row r="8622" ht="15.75" customHeight="1" spans="1:2">
      <c r="A8622" s="3" t="str">
        <f>IFERROR(__xludf.DUMMYFUNCTION("GOOGLETRANSLATE(A8622,""en"",""pt"")"),"Brokeback Mountain foi tão incrível.")</f>
        <v>Brokeback Mountain foi tão incrível.</v>
      </c>
      <c r="B8622" s="3">
        <v>1</v>
      </c>
    </row>
    <row r="8623" ht="15.75" customHeight="1" spans="1:2">
      <c r="A8623" s="3" t="str">
        <f>IFERROR(__xludf.DUMMYFUNCTION("GOOGLETRANSLATE(A8623,""en"",""pt"")"),"Brokeback Mountain era um filme impressionante.")</f>
        <v>Brokeback Mountain era um filme impressionante.</v>
      </c>
      <c r="B8623" s="3">
        <v>1</v>
      </c>
    </row>
    <row r="8624" ht="15.75" customHeight="1" spans="1:2">
      <c r="A8624" s="3" t="str">
        <f>IFERROR(__xludf.DUMMYFUNCTION("GOOGLETRANSLATE(A8624,""en"",""pt"")"),"homem que eu amava montanha Brokeback!")</f>
        <v>homem que eu amava montanha Brokeback!</v>
      </c>
      <c r="B8624" s="3">
        <v>1</v>
      </c>
    </row>
    <row r="8625" ht="15.75" customHeight="1" spans="1:2">
      <c r="A8625" s="3" t="str">
        <f>IFERROR(__xludf.DUMMYFUNCTION("GOOGLETRANSLATE(A8625,""en"",""pt"")"),"dudeee Eu amei montanha Brokeback !!!!")</f>
        <v>dudeee Eu amei montanha Brokeback !!!!</v>
      </c>
      <c r="B8625" s="3">
        <v>1</v>
      </c>
    </row>
    <row r="8626" ht="15.75" customHeight="1" spans="1:2">
      <c r="A8626" s="3" t="str">
        <f>IFERROR(__xludf.DUMMYFUNCTION("GOOGLETRANSLATE(A8626,""en"",""pt"")"),"Ou eu AMOR Brokeback Mountain ou acho que é ótimo que a homossexualidade está se tornando mais aceitável !:")</f>
        <v>Ou eu AMOR Brokeback Mountain ou acho que é ótimo que a homossexualidade está se tornando mais aceitável !:</v>
      </c>
      <c r="B8626" s="3">
        <v>1</v>
      </c>
    </row>
    <row r="8627" ht="15.75" customHeight="1" spans="1:2">
      <c r="A8627" s="3" t="str">
        <f>IFERROR(__xludf.DUMMYFUNCTION("GOOGLETRANSLATE(A8627,""en"",""pt"")"),"De qualquer forma, é por isso que eu amo ""Brokeback Mountain.")</f>
        <v>De qualquer forma, é por isso que eu amo "Brokeback Mountain.</v>
      </c>
      <c r="B8627" s="3">
        <v>1</v>
      </c>
    </row>
    <row r="8628" ht="15.75" customHeight="1" spans="1:2">
      <c r="A8628" s="3" t="str">
        <f>IFERROR(__xludf.DUMMYFUNCTION("GOOGLETRANSLATE(A8628,""en"",""pt"")"),"Brokeback mountain era bonita ...")</f>
        <v>Brokeback mountain era bonita ...</v>
      </c>
      <c r="B8628" s="3">
        <v>1</v>
      </c>
    </row>
    <row r="8629" ht="15.75" customHeight="1" spans="1:2">
      <c r="A8629" s="3" t="str">
        <f>IFERROR(__xludf.DUMMYFUNCTION("GOOGLETRANSLATE(A8629,""en"",""pt"")"),"Eu amo Brokeback Mountain.")</f>
        <v>Eu amo Brokeback Mountain.</v>
      </c>
      <c r="B8629" s="3">
        <v>1</v>
      </c>
    </row>
    <row r="8630" ht="15.75" customHeight="1" spans="1:2">
      <c r="A8630" s="3" t="str">
        <f>IFERROR(__xludf.DUMMYFUNCTION("GOOGLETRANSLATE(A8630,""en"",""pt"")"),"Eu amo Brokeback Mountain ....")</f>
        <v>Eu amo Brokeback Mountain ....</v>
      </c>
      <c r="B8630" s="3">
        <v>1</v>
      </c>
    </row>
    <row r="8631" ht="15.75" customHeight="1" spans="1:2">
      <c r="A8631" s="3" t="str">
        <f>IFERROR(__xludf.DUMMYFUNCTION("GOOGLETRANSLATE(A8631,""en"",""pt"")"),"Ele é como, 'Yeah eu comecei ACNE E eu amo Brokeback Mountain' ..")</f>
        <v>Ele é como, 'Yeah eu comecei ACNE E eu amo Brokeback Mountain' ..</v>
      </c>
      <c r="B8631" s="3">
        <v>1</v>
      </c>
    </row>
    <row r="8632" ht="15.75" customHeight="1" spans="1:2">
      <c r="A8632" s="3" t="str">
        <f>IFERROR(__xludf.DUMMYFUNCTION("GOOGLETRANSLATE(A8632,""en"",""pt"")"),"Brokeback Mountain foi tão incrível.")</f>
        <v>Brokeback Mountain foi tão incrível.</v>
      </c>
      <c r="B8632" s="3">
        <v>1</v>
      </c>
    </row>
    <row r="8633" ht="15.75" customHeight="1" spans="1:2">
      <c r="A8633" s="3" t="str">
        <f>IFERROR(__xludf.DUMMYFUNCTION("GOOGLETRANSLATE(A8633,""en"",""pt"")"),"Brokeback Mountain era um filme impressionante.")</f>
        <v>Brokeback Mountain era um filme impressionante.</v>
      </c>
      <c r="B8633" s="3">
        <v>1</v>
      </c>
    </row>
    <row r="8634" ht="15.75" customHeight="1" spans="1:2">
      <c r="A8634" s="3" t="str">
        <f>IFERROR(__xludf.DUMMYFUNCTION("GOOGLETRANSLATE(A8634,""en"",""pt"")"),"homem que eu amava montanha Brokeback!")</f>
        <v>homem que eu amava montanha Brokeback!</v>
      </c>
      <c r="B8634" s="3">
        <v>1</v>
      </c>
    </row>
    <row r="8635" ht="15.75" customHeight="1" spans="1:2">
      <c r="A8635" s="3" t="str">
        <f>IFERROR(__xludf.DUMMYFUNCTION("GOOGLETRANSLATE(A8635,""en"",""pt"")"),"dudeee Eu amei montanha Brokeback !!!!")</f>
        <v>dudeee Eu amei montanha Brokeback !!!!</v>
      </c>
      <c r="B8635" s="3">
        <v>1</v>
      </c>
    </row>
    <row r="8636" ht="15.75" customHeight="1" spans="1:2">
      <c r="A8636" s="3" t="str">
        <f>IFERROR(__xludf.DUMMYFUNCTION("GOOGLETRANSLATE(A8636,""en"",""pt"")"),"Ou eu AMOR Brokeback Mountain ou acho que é ótimo que a homossexualidade está se tornando mais aceitável !:")</f>
        <v>Ou eu AMOR Brokeback Mountain ou acho que é ótimo que a homossexualidade está se tornando mais aceitável !:</v>
      </c>
      <c r="B8636" s="3">
        <v>1</v>
      </c>
    </row>
    <row r="8637" ht="15.75" customHeight="1" spans="1:2">
      <c r="A8637" s="3" t="str">
        <f>IFERROR(__xludf.DUMMYFUNCTION("GOOGLETRANSLATE(A8637,""en"",""pt"")"),"De qualquer forma, é por isso que eu amo ""Brokeback Mountain.")</f>
        <v>De qualquer forma, é por isso que eu amo "Brokeback Mountain.</v>
      </c>
      <c r="B8637" s="3">
        <v>1</v>
      </c>
    </row>
    <row r="8638" ht="15.75" customHeight="1" spans="1:2">
      <c r="A8638" s="3" t="str">
        <f>IFERROR(__xludf.DUMMYFUNCTION("GOOGLETRANSLATE(A8638,""en"",""pt"")"),"Brokeback mountain era bonita ...")</f>
        <v>Brokeback mountain era bonita ...</v>
      </c>
      <c r="B8638" s="3">
        <v>1</v>
      </c>
    </row>
    <row r="8639" ht="15.75" customHeight="1" spans="1:2">
      <c r="A8639" s="3" t="str">
        <f>IFERROR(__xludf.DUMMYFUNCTION("GOOGLETRANSLATE(A8639,""en"",""pt"")"),"Eu amo Brokeback Mountain.")</f>
        <v>Eu amo Brokeback Mountain.</v>
      </c>
      <c r="B8639" s="3">
        <v>1</v>
      </c>
    </row>
    <row r="8640" ht="15.75" customHeight="1" spans="1:2">
      <c r="A8640" s="3" t="str">
        <f>IFERROR(__xludf.DUMMYFUNCTION("GOOGLETRANSLATE(A8640,""en"",""pt"")"),"Eu amo Brokeback Mountain ....")</f>
        <v>Eu amo Brokeback Mountain ....</v>
      </c>
      <c r="B8640" s="3">
        <v>1</v>
      </c>
    </row>
    <row r="8641" ht="15.75" customHeight="1" spans="1:2">
      <c r="A8641" s="3" t="str">
        <f>IFERROR(__xludf.DUMMYFUNCTION("GOOGLETRANSLATE(A8641,""en"",""pt"")"),"Ele é como, 'Yeah eu comecei ACNE E eu amo Brokeback Mountain' ..")</f>
        <v>Ele é como, 'Yeah eu comecei ACNE E eu amo Brokeback Mountain' ..</v>
      </c>
      <c r="B8641" s="3">
        <v>1</v>
      </c>
    </row>
    <row r="8642" ht="15.75" customHeight="1" spans="1:2">
      <c r="A8642" s="3" t="str">
        <f>IFERROR(__xludf.DUMMYFUNCTION("GOOGLETRANSLATE(A8642,""en"",""pt"")"),"Brokeback Mountain foi tão incrível.")</f>
        <v>Brokeback Mountain foi tão incrível.</v>
      </c>
      <c r="B8642" s="3">
        <v>1</v>
      </c>
    </row>
    <row r="8643" ht="15.75" customHeight="1" spans="1:2">
      <c r="A8643" s="3" t="str">
        <f>IFERROR(__xludf.DUMMYFUNCTION("GOOGLETRANSLATE(A8643,""en"",""pt"")"),"Brokeback Mountain era um filme impressionante.")</f>
        <v>Brokeback Mountain era um filme impressionante.</v>
      </c>
      <c r="B8643" s="3">
        <v>1</v>
      </c>
    </row>
    <row r="8644" ht="15.75" customHeight="1" spans="1:2">
      <c r="A8644" s="3" t="str">
        <f>IFERROR(__xludf.DUMMYFUNCTION("GOOGLETRANSLATE(A8644,""en"",""pt"")"),"homem que eu amava montanha Brokeback!")</f>
        <v>homem que eu amava montanha Brokeback!</v>
      </c>
      <c r="B8644" s="3">
        <v>1</v>
      </c>
    </row>
    <row r="8645" ht="15.75" customHeight="1" spans="1:2">
      <c r="A8645" s="3" t="str">
        <f>IFERROR(__xludf.DUMMYFUNCTION("GOOGLETRANSLATE(A8645,""en"",""pt"")"),"dudeee Eu amei montanha Brokeback !!!!")</f>
        <v>dudeee Eu amei montanha Brokeback !!!!</v>
      </c>
      <c r="B8645" s="3">
        <v>1</v>
      </c>
    </row>
    <row r="8646" ht="15.75" customHeight="1" spans="1:2">
      <c r="A8646" s="3" t="str">
        <f>IFERROR(__xludf.DUMMYFUNCTION("GOOGLETRANSLATE(A8646,""en"",""pt"")"),"Ou eu AMOR Brokeback Mountain ou acho que é ótimo que a homossexualidade está se tornando mais aceitável !:")</f>
        <v>Ou eu AMOR Brokeback Mountain ou acho que é ótimo que a homossexualidade está se tornando mais aceitável !:</v>
      </c>
      <c r="B8646" s="3">
        <v>1</v>
      </c>
    </row>
    <row r="8647" ht="15.75" customHeight="1" spans="1:2">
      <c r="A8647" s="3" t="str">
        <f>IFERROR(__xludf.DUMMYFUNCTION("GOOGLETRANSLATE(A8647,""en"",""pt"")"),"De qualquer forma, é por isso que eu amo ""Brokeback Mountain.")</f>
        <v>De qualquer forma, é por isso que eu amo "Brokeback Mountain.</v>
      </c>
      <c r="B8647" s="3">
        <v>1</v>
      </c>
    </row>
    <row r="8648" ht="15.75" customHeight="1" spans="1:2">
      <c r="A8648" s="3" t="str">
        <f>IFERROR(__xludf.DUMMYFUNCTION("GOOGLETRANSLATE(A8648,""en"",""pt"")"),"Brokeback mountain era bonita ...")</f>
        <v>Brokeback mountain era bonita ...</v>
      </c>
      <c r="B8648" s="3">
        <v>1</v>
      </c>
    </row>
    <row r="8649" ht="15.75" customHeight="1" spans="1:2">
      <c r="A8649" s="3" t="str">
        <f>IFERROR(__xludf.DUMMYFUNCTION("GOOGLETRANSLATE(A8649,""en"",""pt"")"),"Eu amo Brokeback Mountain.")</f>
        <v>Eu amo Brokeback Mountain.</v>
      </c>
      <c r="B8649" s="3">
        <v>1</v>
      </c>
    </row>
    <row r="8650" ht="15.75" customHeight="1" spans="1:2">
      <c r="A8650" s="3" t="str">
        <f>IFERROR(__xludf.DUMMYFUNCTION("GOOGLETRANSLATE(A8650,""en"",""pt"")"),"Eu amo Brokeback Mountain ....")</f>
        <v>Eu amo Brokeback Mountain ....</v>
      </c>
      <c r="B8650" s="3">
        <v>1</v>
      </c>
    </row>
    <row r="8651" ht="15.75" customHeight="1" spans="1:2">
      <c r="A8651" s="3" t="str">
        <f>IFERROR(__xludf.DUMMYFUNCTION("GOOGLETRANSLATE(A8651,""en"",""pt"")"),"Ele é como, 'Yeah eu comecei ACNE E eu amo Brokeback Mountain' ..")</f>
        <v>Ele é como, 'Yeah eu comecei ACNE E eu amo Brokeback Mountain' ..</v>
      </c>
      <c r="B8651" s="3">
        <v>1</v>
      </c>
    </row>
    <row r="8652" ht="15.75" customHeight="1" spans="1:2">
      <c r="A8652" s="3" t="str">
        <f>IFERROR(__xludf.DUMMYFUNCTION("GOOGLETRANSLATE(A8652,""en"",""pt"")"),"Brokeback Mountain foi tão incrível.")</f>
        <v>Brokeback Mountain foi tão incrível.</v>
      </c>
      <c r="B8652" s="3">
        <v>1</v>
      </c>
    </row>
    <row r="8653" ht="15.75" customHeight="1" spans="1:2">
      <c r="A8653" s="3" t="str">
        <f>IFERROR(__xludf.DUMMYFUNCTION("GOOGLETRANSLATE(A8653,""en"",""pt"")"),"Brokeback Mountain era um filme impressionante.")</f>
        <v>Brokeback Mountain era um filme impressionante.</v>
      </c>
      <c r="B8653" s="3">
        <v>1</v>
      </c>
    </row>
    <row r="8654" ht="15.75" customHeight="1" spans="1:2">
      <c r="A8654" s="3" t="str">
        <f>IFERROR(__xludf.DUMMYFUNCTION("GOOGLETRANSLATE(A8654,""en"",""pt"")"),"homem que eu amava montanha Brokeback!")</f>
        <v>homem que eu amava montanha Brokeback!</v>
      </c>
      <c r="B8654" s="3">
        <v>1</v>
      </c>
    </row>
    <row r="8655" ht="15.75" customHeight="1" spans="1:2">
      <c r="A8655" s="3" t="str">
        <f>IFERROR(__xludf.DUMMYFUNCTION("GOOGLETRANSLATE(A8655,""en"",""pt"")"),"dudeee Eu amei montanha Brokeback !!!!")</f>
        <v>dudeee Eu amei montanha Brokeback !!!!</v>
      </c>
      <c r="B8655" s="3">
        <v>1</v>
      </c>
    </row>
    <row r="8656" ht="15.75" customHeight="1" spans="1:2">
      <c r="A8656" s="3" t="str">
        <f>IFERROR(__xludf.DUMMYFUNCTION("GOOGLETRANSLATE(A8656,""en"",""pt"")"),"Ou eu AMOR Brokeback Mountain ou acho que é ótimo que a homossexualidade está se tornando mais aceitável !:")</f>
        <v>Ou eu AMOR Brokeback Mountain ou acho que é ótimo que a homossexualidade está se tornando mais aceitável !:</v>
      </c>
      <c r="B8656" s="3">
        <v>1</v>
      </c>
    </row>
    <row r="8657" ht="15.75" customHeight="1" spans="1:2">
      <c r="A8657" s="3" t="str">
        <f>IFERROR(__xludf.DUMMYFUNCTION("GOOGLETRANSLATE(A8657,""en"",""pt"")"),"De qualquer forma, é por isso que eu amo ""Brokeback Mountain.")</f>
        <v>De qualquer forma, é por isso que eu amo "Brokeback Mountain.</v>
      </c>
      <c r="B8657" s="3">
        <v>1</v>
      </c>
    </row>
    <row r="8658" ht="15.75" customHeight="1" spans="1:2">
      <c r="A8658" s="3" t="str">
        <f>IFERROR(__xludf.DUMMYFUNCTION("GOOGLETRANSLATE(A8658,""en"",""pt"")"),"Brokeback mountain era bonita ...")</f>
        <v>Brokeback mountain era bonita ...</v>
      </c>
      <c r="B8658" s="3">
        <v>1</v>
      </c>
    </row>
    <row r="8659" ht="15.75" customHeight="1" spans="1:2">
      <c r="A8659" s="3" t="str">
        <f>IFERROR(__xludf.DUMMYFUNCTION("GOOGLETRANSLATE(A8659,""en"",""pt"")"),"Eu amo Brokeback Mountain.")</f>
        <v>Eu amo Brokeback Mountain.</v>
      </c>
      <c r="B8659" s="3">
        <v>1</v>
      </c>
    </row>
    <row r="8660" ht="15.75" customHeight="1" spans="1:2">
      <c r="A8660" s="3" t="str">
        <f>IFERROR(__xludf.DUMMYFUNCTION("GOOGLETRANSLATE(A8660,""en"",""pt"")"),"Eu amo Brokeback Mountain ....")</f>
        <v>Eu amo Brokeback Mountain ....</v>
      </c>
      <c r="B8660" s="3">
        <v>1</v>
      </c>
    </row>
    <row r="8661" ht="15.75" customHeight="1" spans="1:2">
      <c r="A8661" s="3" t="str">
        <f>IFERROR(__xludf.DUMMYFUNCTION("GOOGLETRANSLATE(A8661,""en"",""pt"")"),"Ele é como, 'Yeah eu comecei ACNE E eu amo Brokeback Mountain' ..")</f>
        <v>Ele é como, 'Yeah eu comecei ACNE E eu amo Brokeback Mountain' ..</v>
      </c>
      <c r="B8661" s="3">
        <v>1</v>
      </c>
    </row>
    <row r="8662" ht="15.75" customHeight="1" spans="1:2">
      <c r="A8662" s="3" t="str">
        <f>IFERROR(__xludf.DUMMYFUNCTION("GOOGLETRANSLATE(A8662,""en"",""pt"")"),"Brokeback Mountain foi tão incrível.")</f>
        <v>Brokeback Mountain foi tão incrível.</v>
      </c>
      <c r="B8662" s="3">
        <v>1</v>
      </c>
    </row>
    <row r="8663" ht="15.75" customHeight="1" spans="1:2">
      <c r="A8663" s="3" t="str">
        <f>IFERROR(__xludf.DUMMYFUNCTION("GOOGLETRANSLATE(A8663,""en"",""pt"")"),"Brokeback Mountain era um filme impressionante.")</f>
        <v>Brokeback Mountain era um filme impressionante.</v>
      </c>
      <c r="B8663" s="3">
        <v>1</v>
      </c>
    </row>
    <row r="8664" ht="15.75" customHeight="1" spans="1:2">
      <c r="A8664" s="3" t="str">
        <f>IFERROR(__xludf.DUMMYFUNCTION("GOOGLETRANSLATE(A8664,""en"",""pt"")"),"homem que eu amava montanha Brokeback!")</f>
        <v>homem que eu amava montanha Brokeback!</v>
      </c>
      <c r="B8664" s="3">
        <v>1</v>
      </c>
    </row>
    <row r="8665" ht="15.75" customHeight="1" spans="1:2">
      <c r="A8665" s="3" t="str">
        <f>IFERROR(__xludf.DUMMYFUNCTION("GOOGLETRANSLATE(A8665,""en"",""pt"")"),"dudeee Eu amei montanha Brokeback !!!!")</f>
        <v>dudeee Eu amei montanha Brokeback !!!!</v>
      </c>
      <c r="B8665" s="3">
        <v>1</v>
      </c>
    </row>
    <row r="8666" ht="15.75" customHeight="1" spans="1:2">
      <c r="A8666" s="3" t="str">
        <f>IFERROR(__xludf.DUMMYFUNCTION("GOOGLETRANSLATE(A8666,""en"",""pt"")"),"Ou eu AMOR Brokeback Mountain ou acho que é ótimo que a homossexualidade está se tornando mais aceitável !:")</f>
        <v>Ou eu AMOR Brokeback Mountain ou acho que é ótimo que a homossexualidade está se tornando mais aceitável !:</v>
      </c>
      <c r="B8666" s="3">
        <v>1</v>
      </c>
    </row>
    <row r="8667" ht="15.75" customHeight="1" spans="1:2">
      <c r="A8667" s="3" t="str">
        <f>IFERROR(__xludf.DUMMYFUNCTION("GOOGLETRANSLATE(A8667,""en"",""pt"")"),"De qualquer forma, é por isso que eu amo ""Brokeback Mountain.")</f>
        <v>De qualquer forma, é por isso que eu amo "Brokeback Mountain.</v>
      </c>
      <c r="B8667" s="3">
        <v>1</v>
      </c>
    </row>
    <row r="8668" ht="15.75" customHeight="1" spans="1:2">
      <c r="A8668" s="3" t="str">
        <f>IFERROR(__xludf.DUMMYFUNCTION("GOOGLETRANSLATE(A8668,""en"",""pt"")"),"Brokeback mountain era bonita ...")</f>
        <v>Brokeback mountain era bonita ...</v>
      </c>
      <c r="B8668" s="3">
        <v>1</v>
      </c>
    </row>
    <row r="8669" ht="15.75" customHeight="1" spans="1:2">
      <c r="A8669" s="3" t="str">
        <f>IFERROR(__xludf.DUMMYFUNCTION("GOOGLETRANSLATE(A8669,""en"",""pt"")"),"Eu amo Brokeback Mountain.")</f>
        <v>Eu amo Brokeback Mountain.</v>
      </c>
      <c r="B8669" s="3">
        <v>1</v>
      </c>
    </row>
    <row r="8670" ht="15.75" customHeight="1" spans="1:2">
      <c r="A8670" s="3" t="str">
        <f>IFERROR(__xludf.DUMMYFUNCTION("GOOGLETRANSLATE(A8670,""en"",""pt"")"),"Eu amo Brokeback Mountain ....")</f>
        <v>Eu amo Brokeback Mountain ....</v>
      </c>
      <c r="B8670" s="3">
        <v>1</v>
      </c>
    </row>
    <row r="8671" ht="15.75" customHeight="1" spans="1:2">
      <c r="A8671" s="3" t="str">
        <f>IFERROR(__xludf.DUMMYFUNCTION("GOOGLETRANSLATE(A8671,""en"",""pt"")"),"Ele é como, 'Yeah eu comecei ACNE E eu amo Brokeback Mountain' ..")</f>
        <v>Ele é como, 'Yeah eu comecei ACNE E eu amo Brokeback Mountain' ..</v>
      </c>
      <c r="B8671" s="3">
        <v>1</v>
      </c>
    </row>
    <row r="8672" ht="15.75" customHeight="1" spans="1:2">
      <c r="A8672" s="3" t="str">
        <f>IFERROR(__xludf.DUMMYFUNCTION("GOOGLETRANSLATE(A8672,""en"",""pt"")"),"Brokeback Mountain foi tão incrível.")</f>
        <v>Brokeback Mountain foi tão incrível.</v>
      </c>
      <c r="B8672" s="3">
        <v>1</v>
      </c>
    </row>
    <row r="8673" ht="15.75" customHeight="1" spans="1:2">
      <c r="A8673" s="3" t="str">
        <f>IFERROR(__xludf.DUMMYFUNCTION("GOOGLETRANSLATE(A8673,""en"",""pt"")"),"Brokeback Mountain era um filme impressionante.")</f>
        <v>Brokeback Mountain era um filme impressionante.</v>
      </c>
      <c r="B8673" s="3">
        <v>1</v>
      </c>
    </row>
    <row r="8674" ht="15.75" customHeight="1" spans="1:2">
      <c r="A8674" s="3" t="str">
        <f>IFERROR(__xludf.DUMMYFUNCTION("GOOGLETRANSLATE(A8674,""en"",""pt"")"),"homem que eu amava montanha Brokeback!")</f>
        <v>homem que eu amava montanha Brokeback!</v>
      </c>
      <c r="B8674" s="3">
        <v>1</v>
      </c>
    </row>
    <row r="8675" ht="15.75" customHeight="1" spans="1:2">
      <c r="A8675" s="3" t="str">
        <f>IFERROR(__xludf.DUMMYFUNCTION("GOOGLETRANSLATE(A8675,""en"",""pt"")"),"dudeee Eu amei montanha Brokeback !!!!")</f>
        <v>dudeee Eu amei montanha Brokeback !!!!</v>
      </c>
      <c r="B8675" s="3">
        <v>1</v>
      </c>
    </row>
    <row r="8676" ht="15.75" customHeight="1" spans="1:2">
      <c r="A8676" s="3" t="str">
        <f>IFERROR(__xludf.DUMMYFUNCTION("GOOGLETRANSLATE(A8676,""en"",""pt"")"),"Ou eu AMOR Brokeback Mountain ou acho que é ótimo que a homossexualidade está se tornando mais aceitável !:")</f>
        <v>Ou eu AMOR Brokeback Mountain ou acho que é ótimo que a homossexualidade está se tornando mais aceitável !:</v>
      </c>
      <c r="B8676" s="3">
        <v>1</v>
      </c>
    </row>
    <row r="8677" ht="15.75" customHeight="1" spans="1:2">
      <c r="A8677" s="3" t="str">
        <f>IFERROR(__xludf.DUMMYFUNCTION("GOOGLETRANSLATE(A8677,""en"",""pt"")"),"De qualquer forma, é por isso que eu amo ""Brokeback Mountain.")</f>
        <v>De qualquer forma, é por isso que eu amo "Brokeback Mountain.</v>
      </c>
      <c r="B8677" s="3">
        <v>1</v>
      </c>
    </row>
    <row r="8678" ht="15.75" customHeight="1" spans="1:2">
      <c r="A8678" s="3" t="str">
        <f>IFERROR(__xludf.DUMMYFUNCTION("GOOGLETRANSLATE(A8678,""en"",""pt"")"),"Brokeback mountain era bonita ...")</f>
        <v>Brokeback mountain era bonita ...</v>
      </c>
      <c r="B8678" s="3">
        <v>1</v>
      </c>
    </row>
    <row r="8679" ht="15.75" customHeight="1" spans="1:2">
      <c r="A8679" s="3" t="str">
        <f>IFERROR(__xludf.DUMMYFUNCTION("GOOGLETRANSLATE(A8679,""en"",""pt"")"),"Eu amo Brokeback Mountain.")</f>
        <v>Eu amo Brokeback Mountain.</v>
      </c>
      <c r="B8679" s="3">
        <v>1</v>
      </c>
    </row>
    <row r="8680" ht="15.75" customHeight="1" spans="1:2">
      <c r="A8680" s="3" t="str">
        <f>IFERROR(__xludf.DUMMYFUNCTION("GOOGLETRANSLATE(A8680,""en"",""pt"")"),"Eu amo Brokeback Mountain ....")</f>
        <v>Eu amo Brokeback Mountain ....</v>
      </c>
      <c r="B8680" s="3">
        <v>1</v>
      </c>
    </row>
    <row r="8681" ht="15.75" customHeight="1" spans="1:2">
      <c r="A8681" s="3" t="str">
        <f>IFERROR(__xludf.DUMMYFUNCTION("GOOGLETRANSLATE(A8681,""en"",""pt"")"),"Ele é como, 'Yeah eu comecei ACNE E eu amo Brokeback Mountain' ..")</f>
        <v>Ele é como, 'Yeah eu comecei ACNE E eu amo Brokeback Mountain' ..</v>
      </c>
      <c r="B8681" s="3">
        <v>1</v>
      </c>
    </row>
    <row r="8682" ht="15.75" customHeight="1" spans="1:2">
      <c r="A8682" s="3" t="str">
        <f>IFERROR(__xludf.DUMMYFUNCTION("GOOGLETRANSLATE(A8682,""en"",""pt"")"),"Brokeback Mountain foi tão incrível.")</f>
        <v>Brokeback Mountain foi tão incrível.</v>
      </c>
      <c r="B8682" s="3">
        <v>1</v>
      </c>
    </row>
    <row r="8683" ht="15.75" customHeight="1" spans="1:2">
      <c r="A8683" s="3" t="str">
        <f>IFERROR(__xludf.DUMMYFUNCTION("GOOGLETRANSLATE(A8683,""en"",""pt"")"),"Brokeback Mountain era um filme impressionante.")</f>
        <v>Brokeback Mountain era um filme impressionante.</v>
      </c>
      <c r="B8683" s="3">
        <v>1</v>
      </c>
    </row>
    <row r="8684" ht="15.75" customHeight="1" spans="1:2">
      <c r="A8684" s="3" t="str">
        <f>IFERROR(__xludf.DUMMYFUNCTION("GOOGLETRANSLATE(A8684,""en"",""pt"")"),"homem que eu amava montanha Brokeback!")</f>
        <v>homem que eu amava montanha Brokeback!</v>
      </c>
      <c r="B8684" s="3">
        <v>1</v>
      </c>
    </row>
    <row r="8685" ht="15.75" customHeight="1" spans="1:2">
      <c r="A8685" s="3" t="str">
        <f>IFERROR(__xludf.DUMMYFUNCTION("GOOGLETRANSLATE(A8685,""en"",""pt"")"),"dudeee Eu amei montanha Brokeback !!!!")</f>
        <v>dudeee Eu amei montanha Brokeback !!!!</v>
      </c>
      <c r="B8685" s="3">
        <v>1</v>
      </c>
    </row>
    <row r="8686" ht="15.75" customHeight="1" spans="1:2">
      <c r="A8686" s="3" t="str">
        <f>IFERROR(__xludf.DUMMYFUNCTION("GOOGLETRANSLATE(A8686,""en"",""pt"")"),"Ou eu AMOR Brokeback Mountain ou acho que é ótimo que a homossexualidade está se tornando mais aceitável !:")</f>
        <v>Ou eu AMOR Brokeback Mountain ou acho que é ótimo que a homossexualidade está se tornando mais aceitável !:</v>
      </c>
      <c r="B8686" s="3">
        <v>1</v>
      </c>
    </row>
    <row r="8687" ht="15.75" customHeight="1" spans="1:2">
      <c r="A8687" s="3" t="str">
        <f>IFERROR(__xludf.DUMMYFUNCTION("GOOGLETRANSLATE(A8687,""en"",""pt"")"),"De qualquer forma, é por isso que eu amo ""Brokeback Mountain.")</f>
        <v>De qualquer forma, é por isso que eu amo "Brokeback Mountain.</v>
      </c>
      <c r="B8687" s="3">
        <v>1</v>
      </c>
    </row>
    <row r="8688" ht="15.75" customHeight="1" spans="1:2">
      <c r="A8688" s="3" t="str">
        <f>IFERROR(__xludf.DUMMYFUNCTION("GOOGLETRANSLATE(A8688,""en"",""pt"")"),"Brokeback mountain era bonita ...")</f>
        <v>Brokeback mountain era bonita ...</v>
      </c>
      <c r="B8688" s="3">
        <v>1</v>
      </c>
    </row>
    <row r="8689" ht="15.75" customHeight="1" spans="1:2">
      <c r="A8689" s="3" t="str">
        <f>IFERROR(__xludf.DUMMYFUNCTION("GOOGLETRANSLATE(A8689,""en"",""pt"")"),"Eu amo Brokeback Mountain.")</f>
        <v>Eu amo Brokeback Mountain.</v>
      </c>
      <c r="B8689" s="3">
        <v>1</v>
      </c>
    </row>
    <row r="8690" ht="15.75" customHeight="1" spans="1:2">
      <c r="A8690" s="3" t="str">
        <f>IFERROR(__xludf.DUMMYFUNCTION("GOOGLETRANSLATE(A8690,""en"",""pt"")"),"Eu amo Brokeback Mountain ....")</f>
        <v>Eu amo Brokeback Mountain ....</v>
      </c>
      <c r="B8690" s="3">
        <v>1</v>
      </c>
    </row>
    <row r="8691" ht="15.75" customHeight="1" spans="1:2">
      <c r="A8691" s="3" t="str">
        <f>IFERROR(__xludf.DUMMYFUNCTION("GOOGLETRANSLATE(A8691,""en"",""pt"")"),"Ele é como, 'Yeah eu comecei ACNE E eu amo Brokeback Mountain' ..")</f>
        <v>Ele é como, 'Yeah eu comecei ACNE E eu amo Brokeback Mountain' ..</v>
      </c>
      <c r="B8691" s="3">
        <v>1</v>
      </c>
    </row>
    <row r="8692" ht="15.75" customHeight="1" spans="1:2">
      <c r="A8692" s="3" t="str">
        <f>IFERROR(__xludf.DUMMYFUNCTION("GOOGLETRANSLATE(A8692,""en"",""pt"")"),"Brokeback Mountain foi tão incrível.")</f>
        <v>Brokeback Mountain foi tão incrível.</v>
      </c>
      <c r="B8692" s="3">
        <v>1</v>
      </c>
    </row>
    <row r="8693" ht="15.75" customHeight="1" spans="1:2">
      <c r="A8693" s="3" t="str">
        <f>IFERROR(__xludf.DUMMYFUNCTION("GOOGLETRANSLATE(A8693,""en"",""pt"")"),"Brokeback Mountain era um filme impressionante.")</f>
        <v>Brokeback Mountain era um filme impressionante.</v>
      </c>
      <c r="B8693" s="3">
        <v>1</v>
      </c>
    </row>
    <row r="8694" ht="15.75" customHeight="1" spans="1:2">
      <c r="A8694" s="3" t="str">
        <f>IFERROR(__xludf.DUMMYFUNCTION("GOOGLETRANSLATE(A8694,""en"",""pt"")"),"homem que eu amava montanha Brokeback!")</f>
        <v>homem que eu amava montanha Brokeback!</v>
      </c>
      <c r="B8694" s="3">
        <v>1</v>
      </c>
    </row>
    <row r="8695" ht="15.75" customHeight="1" spans="1:2">
      <c r="A8695" s="3" t="str">
        <f>IFERROR(__xludf.DUMMYFUNCTION("GOOGLETRANSLATE(A8695,""en"",""pt"")"),"dudeee Eu amei montanha Brokeback !!!!")</f>
        <v>dudeee Eu amei montanha Brokeback !!!!</v>
      </c>
      <c r="B8695" s="3">
        <v>1</v>
      </c>
    </row>
    <row r="8696" ht="15.75" customHeight="1" spans="1:2">
      <c r="A8696" s="3" t="str">
        <f>IFERROR(__xludf.DUMMYFUNCTION("GOOGLETRANSLATE(A8696,""en"",""pt"")"),"Ou eu AMOR Brokeback Mountain ou acho que é ótimo que a homossexualidade está se tornando mais aceitável !:")</f>
        <v>Ou eu AMOR Brokeback Mountain ou acho que é ótimo que a homossexualidade está se tornando mais aceitável !:</v>
      </c>
      <c r="B8696" s="3">
        <v>1</v>
      </c>
    </row>
    <row r="8697" ht="15.75" customHeight="1" spans="1:2">
      <c r="A8697" s="3" t="str">
        <f>IFERROR(__xludf.DUMMYFUNCTION("GOOGLETRANSLATE(A8697,""en"",""pt"")"),"De qualquer forma, é por isso que eu amo ""Brokeback Mountain.")</f>
        <v>De qualquer forma, é por isso que eu amo "Brokeback Mountain.</v>
      </c>
      <c r="B8697" s="3">
        <v>1</v>
      </c>
    </row>
    <row r="8698" ht="15.75" customHeight="1" spans="1:2">
      <c r="A8698" s="3" t="str">
        <f>IFERROR(__xludf.DUMMYFUNCTION("GOOGLETRANSLATE(A8698,""en"",""pt"")"),"Brokeback mountain era bonita ...")</f>
        <v>Brokeback mountain era bonita ...</v>
      </c>
      <c r="B8698" s="3">
        <v>1</v>
      </c>
    </row>
    <row r="8699" ht="15.75" customHeight="1" spans="1:2">
      <c r="A8699" s="3" t="str">
        <f>IFERROR(__xludf.DUMMYFUNCTION("GOOGLETRANSLATE(A8699,""en"",""pt"")"),"Eu amo Brokeback Mountain.")</f>
        <v>Eu amo Brokeback Mountain.</v>
      </c>
      <c r="B8699" s="3">
        <v>1</v>
      </c>
    </row>
    <row r="8700" ht="15.75" customHeight="1" spans="1:2">
      <c r="A8700" s="3" t="str">
        <f>IFERROR(__xludf.DUMMYFUNCTION("GOOGLETRANSLATE(A8700,""en"",""pt"")"),"Eu amo Brokeback Mountain ....")</f>
        <v>Eu amo Brokeback Mountain ....</v>
      </c>
      <c r="B8700" s="3">
        <v>1</v>
      </c>
    </row>
    <row r="8701" ht="15.75" customHeight="1" spans="1:2">
      <c r="A8701" s="3" t="str">
        <f>IFERROR(__xludf.DUMMYFUNCTION("GOOGLETRANSLATE(A8701,""en"",""pt"")"),"Ele é como, 'Yeah eu comecei ACNE E eu amo Brokeback Mountain' ..")</f>
        <v>Ele é como, 'Yeah eu comecei ACNE E eu amo Brokeback Mountain' ..</v>
      </c>
      <c r="B8701" s="3">
        <v>1</v>
      </c>
    </row>
    <row r="8702" ht="15.75" customHeight="1" spans="1:2">
      <c r="A8702" s="3" t="str">
        <f>IFERROR(__xludf.DUMMYFUNCTION("GOOGLETRANSLATE(A8702,""en"",""pt"")"),"Brokeback Mountain foi tão incrível.")</f>
        <v>Brokeback Mountain foi tão incrível.</v>
      </c>
      <c r="B8702" s="3">
        <v>1</v>
      </c>
    </row>
    <row r="8703" ht="15.75" customHeight="1" spans="1:2">
      <c r="A8703" s="3" t="str">
        <f>IFERROR(__xludf.DUMMYFUNCTION("GOOGLETRANSLATE(A8703,""en"",""pt"")"),"Brokeback Mountain era um filme impressionante.")</f>
        <v>Brokeback Mountain era um filme impressionante.</v>
      </c>
      <c r="B8703" s="3">
        <v>1</v>
      </c>
    </row>
    <row r="8704" ht="15.75" customHeight="1" spans="1:2">
      <c r="A8704" s="3" t="str">
        <f>IFERROR(__xludf.DUMMYFUNCTION("GOOGLETRANSLATE(A8704,""en"",""pt"")"),"homem que eu amava montanha Brokeback!")</f>
        <v>homem que eu amava montanha Brokeback!</v>
      </c>
      <c r="B8704" s="3">
        <v>1</v>
      </c>
    </row>
    <row r="8705" ht="15.75" customHeight="1" spans="1:2">
      <c r="A8705" s="3" t="str">
        <f>IFERROR(__xludf.DUMMYFUNCTION("GOOGLETRANSLATE(A8705,""en"",""pt"")"),"dudeee Eu amei montanha Brokeback !!!!")</f>
        <v>dudeee Eu amei montanha Brokeback !!!!</v>
      </c>
      <c r="B8705" s="3">
        <v>1</v>
      </c>
    </row>
    <row r="8706" ht="15.75" customHeight="1" spans="1:2">
      <c r="A8706" s="3" t="str">
        <f>IFERROR(__xludf.DUMMYFUNCTION("GOOGLETRANSLATE(A8706,""en"",""pt"")"),"Ou eu AMOR Brokeback Mountain ou acho que é ótimo que a homossexualidade está se tornando mais aceitável !:")</f>
        <v>Ou eu AMOR Brokeback Mountain ou acho que é ótimo que a homossexualidade está se tornando mais aceitável !:</v>
      </c>
      <c r="B8706" s="3">
        <v>1</v>
      </c>
    </row>
    <row r="8707" ht="15.75" customHeight="1" spans="1:2">
      <c r="A8707" s="3" t="str">
        <f>IFERROR(__xludf.DUMMYFUNCTION("GOOGLETRANSLATE(A8707,""en"",""pt"")"),"De qualquer forma, é por isso que eu amo ""Brokeback Mountain.")</f>
        <v>De qualquer forma, é por isso que eu amo "Brokeback Mountain.</v>
      </c>
      <c r="B8707" s="3">
        <v>1</v>
      </c>
    </row>
    <row r="8708" ht="15.75" customHeight="1" spans="1:2">
      <c r="A8708" s="3" t="str">
        <f>IFERROR(__xludf.DUMMYFUNCTION("GOOGLETRANSLATE(A8708,""en"",""pt"")"),"Brokeback mountain era bonita ...")</f>
        <v>Brokeback mountain era bonita ...</v>
      </c>
      <c r="B8708" s="3">
        <v>1</v>
      </c>
    </row>
    <row r="8709" ht="15.75" customHeight="1" spans="1:2">
      <c r="A8709" s="3" t="str">
        <f>IFERROR(__xludf.DUMMYFUNCTION("GOOGLETRANSLATE(A8709,""en"",""pt"")"),"Eu amo Brokeback Mountain.")</f>
        <v>Eu amo Brokeback Mountain.</v>
      </c>
      <c r="B8709" s="3">
        <v>1</v>
      </c>
    </row>
    <row r="8710" ht="15.75" customHeight="1" spans="1:2">
      <c r="A8710" s="3" t="str">
        <f>IFERROR(__xludf.DUMMYFUNCTION("GOOGLETRANSLATE(A8710,""en"",""pt"")"),"Eu amo Brokeback Mountain ....")</f>
        <v>Eu amo Brokeback Mountain ....</v>
      </c>
      <c r="B8710" s="3">
        <v>1</v>
      </c>
    </row>
    <row r="8711" ht="15.75" customHeight="1" spans="1:2">
      <c r="A8711" s="3" t="str">
        <f>IFERROR(__xludf.DUMMYFUNCTION("GOOGLETRANSLATE(A8711,""en"",""pt"")"),"Ele é como, 'Yeah eu comecei ACNE E eu amo Brokeback Mountain' ..")</f>
        <v>Ele é como, 'Yeah eu comecei ACNE E eu amo Brokeback Mountain' ..</v>
      </c>
      <c r="B8711" s="3">
        <v>1</v>
      </c>
    </row>
    <row r="8712" ht="15.75" customHeight="1" spans="1:2">
      <c r="A8712" s="3" t="str">
        <f>IFERROR(__xludf.DUMMYFUNCTION("GOOGLETRANSLATE(A8712,""en"",""pt"")"),"Brokeback Mountain foi tão incrível.")</f>
        <v>Brokeback Mountain foi tão incrível.</v>
      </c>
      <c r="B8712" s="3">
        <v>1</v>
      </c>
    </row>
    <row r="8713" ht="15.75" customHeight="1" spans="1:2">
      <c r="A8713" s="3" t="str">
        <f>IFERROR(__xludf.DUMMYFUNCTION("GOOGLETRANSLATE(A8713,""en"",""pt"")"),"Brokeback Mountain era um filme impressionante.")</f>
        <v>Brokeback Mountain era um filme impressionante.</v>
      </c>
      <c r="B8713" s="3">
        <v>1</v>
      </c>
    </row>
    <row r="8714" ht="15.75" customHeight="1" spans="1:2">
      <c r="A8714" s="3" t="str">
        <f>IFERROR(__xludf.DUMMYFUNCTION("GOOGLETRANSLATE(A8714,""en"",""pt"")"),"homem que eu amava montanha Brokeback!")</f>
        <v>homem que eu amava montanha Brokeback!</v>
      </c>
      <c r="B8714" s="3">
        <v>1</v>
      </c>
    </row>
    <row r="8715" ht="15.75" customHeight="1" spans="1:2">
      <c r="A8715" s="3" t="str">
        <f>IFERROR(__xludf.DUMMYFUNCTION("GOOGLETRANSLATE(A8715,""en"",""pt"")"),"dudeee Eu amei montanha Brokeback !!!!")</f>
        <v>dudeee Eu amei montanha Brokeback !!!!</v>
      </c>
      <c r="B8715" s="3">
        <v>1</v>
      </c>
    </row>
    <row r="8716" ht="15.75" customHeight="1" spans="1:2">
      <c r="A8716" s="3" t="str">
        <f>IFERROR(__xludf.DUMMYFUNCTION("GOOGLETRANSLATE(A8716,""en"",""pt"")"),"Ou eu AMOR Brokeback Mountain ou acho que é ótimo que a homossexualidade está se tornando mais aceitável !:")</f>
        <v>Ou eu AMOR Brokeback Mountain ou acho que é ótimo que a homossexualidade está se tornando mais aceitável !:</v>
      </c>
      <c r="B8716" s="3">
        <v>1</v>
      </c>
    </row>
    <row r="8717" ht="15.75" customHeight="1" spans="1:2">
      <c r="A8717" s="3" t="str">
        <f>IFERROR(__xludf.DUMMYFUNCTION("GOOGLETRANSLATE(A8717,""en"",""pt"")"),"De qualquer forma, é por isso que eu amo ""Brokeback Mountain.")</f>
        <v>De qualquer forma, é por isso que eu amo "Brokeback Mountain.</v>
      </c>
      <c r="B8717" s="3">
        <v>1</v>
      </c>
    </row>
    <row r="8718" ht="15.75" customHeight="1" spans="1:2">
      <c r="A8718" s="3" t="str">
        <f>IFERROR(__xludf.DUMMYFUNCTION("GOOGLETRANSLATE(A8718,""en"",""pt"")"),"Brokeback mountain era bonita ...")</f>
        <v>Brokeback mountain era bonita ...</v>
      </c>
      <c r="B8718" s="3">
        <v>1</v>
      </c>
    </row>
    <row r="8719" ht="15.75" customHeight="1" spans="1:2">
      <c r="A8719" s="3" t="str">
        <f>IFERROR(__xludf.DUMMYFUNCTION("GOOGLETRANSLATE(A8719,""en"",""pt"")"),"Eu amo Brokeback Mountain.")</f>
        <v>Eu amo Brokeback Mountain.</v>
      </c>
      <c r="B8719" s="3">
        <v>1</v>
      </c>
    </row>
    <row r="8720" ht="15.75" customHeight="1" spans="1:2">
      <c r="A8720" s="3" t="str">
        <f>IFERROR(__xludf.DUMMYFUNCTION("GOOGLETRANSLATE(A8720,""en"",""pt"")"),"Eu amo Brokeback Mountain ....")</f>
        <v>Eu amo Brokeback Mountain ....</v>
      </c>
      <c r="B8720" s="3">
        <v>1</v>
      </c>
    </row>
    <row r="8721" ht="15.75" customHeight="1" spans="1:2">
      <c r="A8721" s="3" t="str">
        <f>IFERROR(__xludf.DUMMYFUNCTION("GOOGLETRANSLATE(A8721,""en"",""pt"")"),"Ele é como, 'Yeah eu comecei ACNE E eu amo Brokeback Mountain' ..")</f>
        <v>Ele é como, 'Yeah eu comecei ACNE E eu amo Brokeback Mountain' ..</v>
      </c>
      <c r="B8721" s="3">
        <v>1</v>
      </c>
    </row>
    <row r="8722" ht="15.75" customHeight="1" spans="1:2">
      <c r="A8722" s="3" t="str">
        <f>IFERROR(__xludf.DUMMYFUNCTION("GOOGLETRANSLATE(A8722,""en"",""pt"")"),"Brokeback Mountain foi tão incrível.")</f>
        <v>Brokeback Mountain foi tão incrível.</v>
      </c>
      <c r="B8722" s="3">
        <v>1</v>
      </c>
    </row>
    <row r="8723" ht="15.75" customHeight="1" spans="1:2">
      <c r="A8723" s="3" t="str">
        <f>IFERROR(__xludf.DUMMYFUNCTION("GOOGLETRANSLATE(A8723,""en"",""pt"")"),"Brokeback Mountain era um filme impressionante.")</f>
        <v>Brokeback Mountain era um filme impressionante.</v>
      </c>
      <c r="B8723" s="3">
        <v>1</v>
      </c>
    </row>
    <row r="8724" ht="15.75" customHeight="1" spans="1:2">
      <c r="A8724" s="3" t="str">
        <f>IFERROR(__xludf.DUMMYFUNCTION("GOOGLETRANSLATE(A8724,""en"",""pt"")"),"homem que eu amava montanha Brokeback!")</f>
        <v>homem que eu amava montanha Brokeback!</v>
      </c>
      <c r="B8724" s="3">
        <v>1</v>
      </c>
    </row>
    <row r="8725" ht="15.75" customHeight="1" spans="1:2">
      <c r="A8725" s="3" t="str">
        <f>IFERROR(__xludf.DUMMYFUNCTION("GOOGLETRANSLATE(A8725,""en"",""pt"")"),"dudeee Eu amei montanha Brokeback !!!!")</f>
        <v>dudeee Eu amei montanha Brokeback !!!!</v>
      </c>
      <c r="B8725" s="3">
        <v>1</v>
      </c>
    </row>
    <row r="8726" ht="15.75" customHeight="1" spans="1:2">
      <c r="A8726" s="3" t="str">
        <f>IFERROR(__xludf.DUMMYFUNCTION("GOOGLETRANSLATE(A8726,""en"",""pt"")"),"Ou eu AMOR Brokeback Mountain ou acho que é ótimo que a homossexualidade está se tornando mais aceitável !:")</f>
        <v>Ou eu AMOR Brokeback Mountain ou acho que é ótimo que a homossexualidade está se tornando mais aceitável !:</v>
      </c>
      <c r="B8726" s="3">
        <v>1</v>
      </c>
    </row>
    <row r="8727" ht="15.75" customHeight="1" spans="1:2">
      <c r="A8727" s="3" t="str">
        <f>IFERROR(__xludf.DUMMYFUNCTION("GOOGLETRANSLATE(A8727,""en"",""pt"")"),"De qualquer forma, é por isso que eu amo ""Brokeback Mountain.")</f>
        <v>De qualquer forma, é por isso que eu amo "Brokeback Mountain.</v>
      </c>
      <c r="B8727" s="3">
        <v>1</v>
      </c>
    </row>
    <row r="8728" ht="15.75" customHeight="1" spans="1:2">
      <c r="A8728" s="3" t="str">
        <f>IFERROR(__xludf.DUMMYFUNCTION("GOOGLETRANSLATE(A8728,""en"",""pt"")"),"Brokeback mountain era bonita ...")</f>
        <v>Brokeback mountain era bonita ...</v>
      </c>
      <c r="B8728" s="3">
        <v>1</v>
      </c>
    </row>
    <row r="8729" ht="15.75" customHeight="1" spans="1:2">
      <c r="A8729" s="3" t="str">
        <f>IFERROR(__xludf.DUMMYFUNCTION("GOOGLETRANSLATE(A8729,""en"",""pt"")"),"Eu amo Brokeback Mountain.")</f>
        <v>Eu amo Brokeback Mountain.</v>
      </c>
      <c r="B8729" s="3">
        <v>1</v>
      </c>
    </row>
    <row r="8730" ht="15.75" customHeight="1" spans="1:2">
      <c r="A8730" s="3" t="str">
        <f>IFERROR(__xludf.DUMMYFUNCTION("GOOGLETRANSLATE(A8730,""en"",""pt"")"),"Eu amo Brokeback Mountain ....")</f>
        <v>Eu amo Brokeback Mountain ....</v>
      </c>
      <c r="B8730" s="3">
        <v>1</v>
      </c>
    </row>
    <row r="8731" ht="15.75" customHeight="1" spans="1:2">
      <c r="A8731" s="3" t="str">
        <f>IFERROR(__xludf.DUMMYFUNCTION("GOOGLETRANSLATE(A8731,""en"",""pt"")"),"Ele é como, 'Yeah eu comecei ACNE E eu amo Brokeback Mountain' ..")</f>
        <v>Ele é como, 'Yeah eu comecei ACNE E eu amo Brokeback Mountain' ..</v>
      </c>
      <c r="B8731" s="3">
        <v>1</v>
      </c>
    </row>
    <row r="8732" ht="15.75" customHeight="1" spans="1:2">
      <c r="A8732" s="3" t="str">
        <f>IFERROR(__xludf.DUMMYFUNCTION("GOOGLETRANSLATE(A8732,""en"",""pt"")"),"Brokeback Mountain foi tão incrível.")</f>
        <v>Brokeback Mountain foi tão incrível.</v>
      </c>
      <c r="B8732" s="3">
        <v>1</v>
      </c>
    </row>
    <row r="8733" ht="15.75" customHeight="1" spans="1:2">
      <c r="A8733" s="3" t="str">
        <f>IFERROR(__xludf.DUMMYFUNCTION("GOOGLETRANSLATE(A8733,""en"",""pt"")"),"Brokeback Mountain era um filme impressionante.")</f>
        <v>Brokeback Mountain era um filme impressionante.</v>
      </c>
      <c r="B8733" s="3">
        <v>1</v>
      </c>
    </row>
    <row r="8734" ht="15.75" customHeight="1" spans="1:2">
      <c r="A8734" s="3" t="str">
        <f>IFERROR(__xludf.DUMMYFUNCTION("GOOGLETRANSLATE(A8734,""en"",""pt"")"),"homem que eu amava montanha Brokeback!")</f>
        <v>homem que eu amava montanha Brokeback!</v>
      </c>
      <c r="B8734" s="3">
        <v>1</v>
      </c>
    </row>
    <row r="8735" ht="15.75" customHeight="1" spans="1:2">
      <c r="A8735" s="3" t="str">
        <f>IFERROR(__xludf.DUMMYFUNCTION("GOOGLETRANSLATE(A8735,""en"",""pt"")"),"dudeee Eu amei montanha Brokeback !!!!")</f>
        <v>dudeee Eu amei montanha Brokeback !!!!</v>
      </c>
      <c r="B8735" s="3">
        <v>1</v>
      </c>
    </row>
    <row r="8736" ht="15.75" customHeight="1" spans="1:2">
      <c r="A8736" s="3" t="str">
        <f>IFERROR(__xludf.DUMMYFUNCTION("GOOGLETRANSLATE(A8736,""en"",""pt"")"),"Ou eu AMOR Brokeback Mountain ou acho que é ótimo que a homossexualidade está se tornando mais aceitável !:")</f>
        <v>Ou eu AMOR Brokeback Mountain ou acho que é ótimo que a homossexualidade está se tornando mais aceitável !:</v>
      </c>
      <c r="B8736" s="3">
        <v>1</v>
      </c>
    </row>
    <row r="8737" ht="15.75" customHeight="1" spans="1:2">
      <c r="A8737" s="3" t="str">
        <f>IFERROR(__xludf.DUMMYFUNCTION("GOOGLETRANSLATE(A8737,""en"",""pt"")"),"De qualquer forma, é por isso que eu amo ""Brokeback Mountain.")</f>
        <v>De qualquer forma, é por isso que eu amo "Brokeback Mountain.</v>
      </c>
      <c r="B8737" s="3">
        <v>1</v>
      </c>
    </row>
    <row r="8738" ht="15.75" customHeight="1" spans="1:2">
      <c r="A8738" s="3" t="str">
        <f>IFERROR(__xludf.DUMMYFUNCTION("GOOGLETRANSLATE(A8738,""en"",""pt"")"),"Brokeback mountain era bonita ...")</f>
        <v>Brokeback mountain era bonita ...</v>
      </c>
      <c r="B8738" s="3">
        <v>1</v>
      </c>
    </row>
    <row r="8739" ht="15.75" customHeight="1" spans="1:2">
      <c r="A8739" s="3" t="str">
        <f>IFERROR(__xludf.DUMMYFUNCTION("GOOGLETRANSLATE(A8739,""en"",""pt"")"),"Eu amo Brokeback Mountain.")</f>
        <v>Eu amo Brokeback Mountain.</v>
      </c>
      <c r="B8739" s="3">
        <v>1</v>
      </c>
    </row>
    <row r="8740" ht="15.75" customHeight="1" spans="1:2">
      <c r="A8740" s="3" t="str">
        <f>IFERROR(__xludf.DUMMYFUNCTION("GOOGLETRANSLATE(A8740,""en"",""pt"")"),"Eu amo Brokeback Mountain ....")</f>
        <v>Eu amo Brokeback Mountain ....</v>
      </c>
      <c r="B8740" s="3">
        <v>1</v>
      </c>
    </row>
    <row r="8741" ht="15.75" customHeight="1" spans="1:2">
      <c r="A8741" s="3" t="str">
        <f>IFERROR(__xludf.DUMMYFUNCTION("GOOGLETRANSLATE(A8741,""en"",""pt"")"),"Ele é como, 'Yeah eu comecei ACNE E eu amo Brokeback Mountain' ..")</f>
        <v>Ele é como, 'Yeah eu comecei ACNE E eu amo Brokeback Mountain' ..</v>
      </c>
      <c r="B8741" s="3">
        <v>1</v>
      </c>
    </row>
    <row r="8742" ht="15.75" customHeight="1" spans="1:2">
      <c r="A8742" s="3" t="str">
        <f>IFERROR(__xludf.DUMMYFUNCTION("GOOGLETRANSLATE(A8742,""en"",""pt"")"),"Brokeback Mountain foi tão incrível.")</f>
        <v>Brokeback Mountain foi tão incrível.</v>
      </c>
      <c r="B8742" s="3">
        <v>1</v>
      </c>
    </row>
    <row r="8743" ht="15.75" customHeight="1" spans="1:2">
      <c r="A8743" s="3" t="str">
        <f>IFERROR(__xludf.DUMMYFUNCTION("GOOGLETRANSLATE(A8743,""en"",""pt"")"),"Brokeback Mountain era um filme impressionante.")</f>
        <v>Brokeback Mountain era um filme impressionante.</v>
      </c>
      <c r="B8743" s="3">
        <v>1</v>
      </c>
    </row>
    <row r="8744" ht="15.75" customHeight="1" spans="1:2">
      <c r="A8744" s="3" t="str">
        <f>IFERROR(__xludf.DUMMYFUNCTION("GOOGLETRANSLATE(A8744,""en"",""pt"")"),"homem que eu amava montanha Brokeback!")</f>
        <v>homem que eu amava montanha Brokeback!</v>
      </c>
      <c r="B8744" s="3">
        <v>1</v>
      </c>
    </row>
    <row r="8745" ht="15.75" customHeight="1" spans="1:2">
      <c r="A8745" s="3" t="str">
        <f>IFERROR(__xludf.DUMMYFUNCTION("GOOGLETRANSLATE(A8745,""en"",""pt"")"),"dudeee Eu amei montanha Brokeback !!!!")</f>
        <v>dudeee Eu amei montanha Brokeback !!!!</v>
      </c>
      <c r="B8745" s="3">
        <v>1</v>
      </c>
    </row>
    <row r="8746" ht="15.75" customHeight="1" spans="1:2">
      <c r="A8746" s="3" t="str">
        <f>IFERROR(__xludf.DUMMYFUNCTION("GOOGLETRANSLATE(A8746,""en"",""pt"")"),"Ou eu AMOR Brokeback Mountain ou acho que é ótimo que a homossexualidade está se tornando mais aceitável !:")</f>
        <v>Ou eu AMOR Brokeback Mountain ou acho que é ótimo que a homossexualidade está se tornando mais aceitável !:</v>
      </c>
      <c r="B8746" s="3">
        <v>1</v>
      </c>
    </row>
    <row r="8747" ht="15.75" customHeight="1" spans="1:2">
      <c r="A8747" s="3" t="str">
        <f>IFERROR(__xludf.DUMMYFUNCTION("GOOGLETRANSLATE(A8747,""en"",""pt"")"),"De qualquer forma, é por isso que eu amo ""Brokeback Mountain.")</f>
        <v>De qualquer forma, é por isso que eu amo "Brokeback Mountain.</v>
      </c>
      <c r="B8747" s="3">
        <v>1</v>
      </c>
    </row>
    <row r="8748" ht="15.75" customHeight="1" spans="1:2">
      <c r="A8748" s="3" t="str">
        <f>IFERROR(__xludf.DUMMYFUNCTION("GOOGLETRANSLATE(A8748,""en"",""pt"")"),"Brokeback mountain era bonita ...")</f>
        <v>Brokeback mountain era bonita ...</v>
      </c>
      <c r="B8748" s="3">
        <v>1</v>
      </c>
    </row>
    <row r="8749" ht="15.75" customHeight="1" spans="1:2">
      <c r="A8749" s="3" t="str">
        <f>IFERROR(__xludf.DUMMYFUNCTION("GOOGLETRANSLATE(A8749,""en"",""pt"")"),"Eu amo Brokeback Mountain.")</f>
        <v>Eu amo Brokeback Mountain.</v>
      </c>
      <c r="B8749" s="3">
        <v>1</v>
      </c>
    </row>
    <row r="8750" ht="15.75" customHeight="1" spans="1:2">
      <c r="A8750" s="3" t="str">
        <f>IFERROR(__xludf.DUMMYFUNCTION("GOOGLETRANSLATE(A8750,""en"",""pt"")"),"Eu amo Brokeback Mountain ....")</f>
        <v>Eu amo Brokeback Mountain ....</v>
      </c>
      <c r="B8750" s="3">
        <v>1</v>
      </c>
    </row>
    <row r="8751" ht="15.75" customHeight="1" spans="1:2">
      <c r="A8751" s="3" t="str">
        <f>IFERROR(__xludf.DUMMYFUNCTION("GOOGLETRANSLATE(A8751,""en"",""pt"")"),"Ele é como, 'Yeah eu comecei ACNE E eu amo Brokeback Mountain' ..")</f>
        <v>Ele é como, 'Yeah eu comecei ACNE E eu amo Brokeback Mountain' ..</v>
      </c>
      <c r="B8751" s="3">
        <v>1</v>
      </c>
    </row>
    <row r="8752" ht="15.75" customHeight="1" spans="1:2">
      <c r="A8752" s="3" t="str">
        <f>IFERROR(__xludf.DUMMYFUNCTION("GOOGLETRANSLATE(A8752,""en"",""pt"")"),"Brokeback Mountain foi tão incrível.")</f>
        <v>Brokeback Mountain foi tão incrível.</v>
      </c>
      <c r="B8752" s="3">
        <v>1</v>
      </c>
    </row>
    <row r="8753" ht="15.75" customHeight="1" spans="1:2">
      <c r="A8753" s="3" t="str">
        <f>IFERROR(__xludf.DUMMYFUNCTION("GOOGLETRANSLATE(A8753,""en"",""pt"")"),"Brokeback Mountain era um filme impressionante.")</f>
        <v>Brokeback Mountain era um filme impressionante.</v>
      </c>
      <c r="B8753" s="3">
        <v>1</v>
      </c>
    </row>
    <row r="8754" ht="15.75" customHeight="1" spans="1:2">
      <c r="A8754" s="3" t="str">
        <f>IFERROR(__xludf.DUMMYFUNCTION("GOOGLETRANSLATE(A8754,""en"",""pt"")"),"homem que eu amava montanha Brokeback!")</f>
        <v>homem que eu amava montanha Brokeback!</v>
      </c>
      <c r="B8754" s="3">
        <v>1</v>
      </c>
    </row>
    <row r="8755" ht="15.75" customHeight="1" spans="1:2">
      <c r="A8755" s="3" t="str">
        <f>IFERROR(__xludf.DUMMYFUNCTION("GOOGLETRANSLATE(A8755,""en"",""pt"")"),"dudeee Eu amei montanha Brokeback !!!!")</f>
        <v>dudeee Eu amei montanha Brokeback !!!!</v>
      </c>
      <c r="B8755" s="3">
        <v>1</v>
      </c>
    </row>
    <row r="8756" ht="15.75" customHeight="1" spans="1:2">
      <c r="A8756" s="3" t="str">
        <f>IFERROR(__xludf.DUMMYFUNCTION("GOOGLETRANSLATE(A8756,""en"",""pt"")"),"Ou eu AMOR Brokeback Mountain ou acho que é ótimo que a homossexualidade está se tornando mais aceitável !:")</f>
        <v>Ou eu AMOR Brokeback Mountain ou acho que é ótimo que a homossexualidade está se tornando mais aceitável !:</v>
      </c>
      <c r="B8756" s="3">
        <v>1</v>
      </c>
    </row>
    <row r="8757" ht="15.75" customHeight="1" spans="1:2">
      <c r="A8757" s="3" t="str">
        <f>IFERROR(__xludf.DUMMYFUNCTION("GOOGLETRANSLATE(A8757,""en"",""pt"")"),"De qualquer forma, é por isso que eu amo ""Brokeback Mountain.")</f>
        <v>De qualquer forma, é por isso que eu amo "Brokeback Mountain.</v>
      </c>
      <c r="B8757" s="3">
        <v>1</v>
      </c>
    </row>
    <row r="8758" ht="15.75" customHeight="1" spans="1:2">
      <c r="A8758" s="3" t="str">
        <f>IFERROR(__xludf.DUMMYFUNCTION("GOOGLETRANSLATE(A8758,""en"",""pt"")"),"Brokeback mountain era bonita ...")</f>
        <v>Brokeback mountain era bonita ...</v>
      </c>
      <c r="B8758" s="3">
        <v>1</v>
      </c>
    </row>
    <row r="8759" ht="15.75" customHeight="1" spans="1:2">
      <c r="A8759" s="3" t="str">
        <f>IFERROR(__xludf.DUMMYFUNCTION("GOOGLETRANSLATE(A8759,""en"",""pt"")"),"Eu amo Brokeback Mountain.")</f>
        <v>Eu amo Brokeback Mountain.</v>
      </c>
      <c r="B8759" s="3">
        <v>1</v>
      </c>
    </row>
    <row r="8760" ht="15.75" customHeight="1" spans="1:2">
      <c r="A8760" s="3" t="str">
        <f>IFERROR(__xludf.DUMMYFUNCTION("GOOGLETRANSLATE(A8760,""en"",""pt"")"),"Eu amo Brokeback Mountain ....")</f>
        <v>Eu amo Brokeback Mountain ....</v>
      </c>
      <c r="B8760" s="3">
        <v>1</v>
      </c>
    </row>
    <row r="8761" ht="15.75" customHeight="1" spans="1:2">
      <c r="A8761" s="3" t="str">
        <f>IFERROR(__xludf.DUMMYFUNCTION("GOOGLETRANSLATE(A8761,""en"",""pt"")"),"Ele é como, 'Yeah eu comecei ACNE E eu amo Brokeback Mountain' ..")</f>
        <v>Ele é como, 'Yeah eu comecei ACNE E eu amo Brokeback Mountain' ..</v>
      </c>
      <c r="B8761" s="3">
        <v>1</v>
      </c>
    </row>
    <row r="8762" ht="15.75" customHeight="1" spans="1:2">
      <c r="A8762" s="3" t="str">
        <f>IFERROR(__xludf.DUMMYFUNCTION("GOOGLETRANSLATE(A8762,""en"",""pt"")"),"Brokeback Mountain foi tão incrível.")</f>
        <v>Brokeback Mountain foi tão incrível.</v>
      </c>
      <c r="B8762" s="3">
        <v>1</v>
      </c>
    </row>
    <row r="8763" ht="15.75" customHeight="1" spans="1:2">
      <c r="A8763" s="3" t="str">
        <f>IFERROR(__xludf.DUMMYFUNCTION("GOOGLETRANSLATE(A8763,""en"",""pt"")"),"Brokeback Mountain era um filme impressionante.")</f>
        <v>Brokeback Mountain era um filme impressionante.</v>
      </c>
      <c r="B8763" s="3">
        <v>1</v>
      </c>
    </row>
    <row r="8764" ht="15.75" customHeight="1" spans="1:2">
      <c r="A8764" s="3" t="str">
        <f>IFERROR(__xludf.DUMMYFUNCTION("GOOGLETRANSLATE(A8764,""en"",""pt"")"),"homem que eu amava montanha Brokeback!")</f>
        <v>homem que eu amava montanha Brokeback!</v>
      </c>
      <c r="B8764" s="3">
        <v>1</v>
      </c>
    </row>
    <row r="8765" ht="15.75" customHeight="1" spans="1:2">
      <c r="A8765" s="3" t="str">
        <f>IFERROR(__xludf.DUMMYFUNCTION("GOOGLETRANSLATE(A8765,""en"",""pt"")"),"dudeee Eu amei montanha Brokeback !!!!")</f>
        <v>dudeee Eu amei montanha Brokeback !!!!</v>
      </c>
      <c r="B8765" s="3">
        <v>1</v>
      </c>
    </row>
    <row r="8766" ht="15.75" customHeight="1" spans="1:2">
      <c r="A8766" s="3" t="str">
        <f>IFERROR(__xludf.DUMMYFUNCTION("GOOGLETRANSLATE(A8766,""en"",""pt"")"),"Ou eu AMOR Brokeback Mountain ou acho que é ótimo que a homossexualidade está se tornando mais aceitável !:")</f>
        <v>Ou eu AMOR Brokeback Mountain ou acho que é ótimo que a homossexualidade está se tornando mais aceitável !:</v>
      </c>
      <c r="B8766" s="3">
        <v>1</v>
      </c>
    </row>
    <row r="8767" ht="15.75" customHeight="1" spans="1:2">
      <c r="A8767" s="3" t="str">
        <f>IFERROR(__xludf.DUMMYFUNCTION("GOOGLETRANSLATE(A8767,""en"",""pt"")"),"De qualquer forma, é por isso que eu amo ""Brokeback Mountain.")</f>
        <v>De qualquer forma, é por isso que eu amo "Brokeback Mountain.</v>
      </c>
      <c r="B8767" s="3">
        <v>1</v>
      </c>
    </row>
    <row r="8768" ht="15.75" customHeight="1" spans="1:2">
      <c r="A8768" s="3" t="s">
        <v>36</v>
      </c>
      <c r="B8768" s="3">
        <v>1</v>
      </c>
    </row>
    <row r="8769" ht="15.75" customHeight="1" spans="1:2">
      <c r="A8769" s="3" t="str">
        <f>IFERROR(__xludf.DUMMYFUNCTION("GOOGLETRANSLATE(A8769,""en"",""pt"")"),"Eu amo Brokeback Mountain.")</f>
        <v>Eu amo Brokeback Mountain.</v>
      </c>
      <c r="B8769" s="3">
        <v>1</v>
      </c>
    </row>
    <row r="8770" ht="15.75" customHeight="1" spans="1:2">
      <c r="A8770" s="3" t="str">
        <f>IFERROR(__xludf.DUMMYFUNCTION("GOOGLETRANSLATE(A8770,""en"",""pt"")"),"Eu amo Brokeback Mountain ....")</f>
        <v>Eu amo Brokeback Mountain ....</v>
      </c>
      <c r="B8770" s="3">
        <v>1</v>
      </c>
    </row>
    <row r="8771" ht="15.75" customHeight="1" spans="1:2">
      <c r="A8771" s="3" t="str">
        <f>IFERROR(__xludf.DUMMYFUNCTION("GOOGLETRANSLATE(A8771,""en"",""pt"")"),"Ele é como, 'Yeah eu comecei ACNE E eu amo Brokeback Mountain' ..")</f>
        <v>Ele é como, 'Yeah eu comecei ACNE E eu amo Brokeback Mountain' ..</v>
      </c>
      <c r="B8771" s="3">
        <v>1</v>
      </c>
    </row>
    <row r="8772" ht="15.75" customHeight="1" spans="1:2">
      <c r="A8772" s="3" t="str">
        <f>IFERROR(__xludf.DUMMYFUNCTION("GOOGLETRANSLATE(A8772,""en"",""pt"")"),"Brokeback Mountain foi tão incrível.")</f>
        <v>Brokeback Mountain foi tão incrível.</v>
      </c>
      <c r="B8772" s="3">
        <v>1</v>
      </c>
    </row>
    <row r="8773" ht="15.75" customHeight="1" spans="1:2">
      <c r="A8773" s="3" t="str">
        <f>IFERROR(__xludf.DUMMYFUNCTION("GOOGLETRANSLATE(A8773,""en"",""pt"")"),"Brokeback Mountain era um filme impressionante.")</f>
        <v>Brokeback Mountain era um filme impressionante.</v>
      </c>
      <c r="B8773" s="3">
        <v>1</v>
      </c>
    </row>
    <row r="8774" ht="15.75" customHeight="1" spans="1:2">
      <c r="A8774" s="3" t="str">
        <f>IFERROR(__xludf.DUMMYFUNCTION("GOOGLETRANSLATE(A8774,""en"",""pt"")"),"homem que eu amava montanha Brokeback!")</f>
        <v>homem que eu amava montanha Brokeback!</v>
      </c>
      <c r="B8774" s="3">
        <v>1</v>
      </c>
    </row>
    <row r="8775" ht="15.75" customHeight="1" spans="1:2">
      <c r="A8775" s="3" t="str">
        <f>IFERROR(__xludf.DUMMYFUNCTION("GOOGLETRANSLATE(A8775,""en"",""pt"")"),"dudeee Eu amei montanha Brokeback !!!!")</f>
        <v>dudeee Eu amei montanha Brokeback !!!!</v>
      </c>
      <c r="B8775" s="3">
        <v>1</v>
      </c>
    </row>
    <row r="8776" ht="15.75" customHeight="1" spans="1:2">
      <c r="A8776" s="3" t="str">
        <f>IFERROR(__xludf.DUMMYFUNCTION("GOOGLETRANSLATE(A8776,""en"",""pt"")"),"Ou eu AMOR Brokeback Mountain ou acho que é ótimo que a homossexualidade está se tornando mais aceitável !:")</f>
        <v>Ou eu AMOR Brokeback Mountain ou acho que é ótimo que a homossexualidade está se tornando mais aceitável !:</v>
      </c>
      <c r="B8776" s="3">
        <v>1</v>
      </c>
    </row>
    <row r="8777" ht="15.75" customHeight="1" spans="1:2">
      <c r="A8777" s="3" t="str">
        <f>IFERROR(__xludf.DUMMYFUNCTION("GOOGLETRANSLATE(A8777,""en"",""pt"")"),"De qualquer forma, é por isso que eu amo ""Brokeback Mountain.")</f>
        <v>De qualquer forma, é por isso que eu amo "Brokeback Mountain.</v>
      </c>
      <c r="B8777" s="3">
        <v>1</v>
      </c>
    </row>
    <row r="8778" ht="15.75" customHeight="1" spans="1:2">
      <c r="A8778" s="3" t="str">
        <f>IFERROR(__xludf.DUMMYFUNCTION("GOOGLETRANSLATE(A8778,""en"",""pt"")"),"Brokeback mountain era bonita ...")</f>
        <v>Brokeback mountain era bonita ...</v>
      </c>
      <c r="B8778" s="3">
        <v>1</v>
      </c>
    </row>
    <row r="8779" ht="15.75" customHeight="1" spans="1:2">
      <c r="A8779" s="3" t="str">
        <f>IFERROR(__xludf.DUMMYFUNCTION("GOOGLETRANSLATE(A8779,""en"",""pt"")"),"Eu amo Brokeback Mountain.")</f>
        <v>Eu amo Brokeback Mountain.</v>
      </c>
      <c r="B8779" s="3">
        <v>1</v>
      </c>
    </row>
    <row r="8780" ht="15.75" customHeight="1" spans="1:2">
      <c r="A8780" s="3" t="str">
        <f>IFERROR(__xludf.DUMMYFUNCTION("GOOGLETRANSLATE(A8780,""en"",""pt"")"),"Eu amo Brokeback Mountain ....")</f>
        <v>Eu amo Brokeback Mountain ....</v>
      </c>
      <c r="B8780" s="3">
        <v>1</v>
      </c>
    </row>
    <row r="8781" ht="15.75" customHeight="1" spans="1:2">
      <c r="A8781" s="3" t="str">
        <f>IFERROR(__xludf.DUMMYFUNCTION("GOOGLETRANSLATE(A8781,""en"",""pt"")"),"Ele é como, 'Yeah eu comecei ACNE E eu amo Brokeback Mountain' ..")</f>
        <v>Ele é como, 'Yeah eu comecei ACNE E eu amo Brokeback Mountain' ..</v>
      </c>
      <c r="B8781" s="3">
        <v>1</v>
      </c>
    </row>
    <row r="8782" ht="15.75" customHeight="1" spans="1:2">
      <c r="A8782" s="3" t="str">
        <f>IFERROR(__xludf.DUMMYFUNCTION("GOOGLETRANSLATE(A8782,""en"",""pt"")"),"Brokeback Mountain foi tão incrível.")</f>
        <v>Brokeback Mountain foi tão incrível.</v>
      </c>
      <c r="B8782" s="3">
        <v>1</v>
      </c>
    </row>
    <row r="8783" ht="15.75" customHeight="1" spans="1:2">
      <c r="A8783" s="3" t="str">
        <f>IFERROR(__xludf.DUMMYFUNCTION("GOOGLETRANSLATE(A8783,""en"",""pt"")"),"Brokeback Mountain era um filme impressionante.")</f>
        <v>Brokeback Mountain era um filme impressionante.</v>
      </c>
      <c r="B8783" s="3">
        <v>1</v>
      </c>
    </row>
    <row r="8784" ht="15.75" customHeight="1" spans="1:2">
      <c r="A8784" s="3" t="str">
        <f>IFERROR(__xludf.DUMMYFUNCTION("GOOGLETRANSLATE(A8784,""en"",""pt"")"),"homem que eu amava montanha Brokeback!")</f>
        <v>homem que eu amava montanha Brokeback!</v>
      </c>
      <c r="B8784" s="3">
        <v>1</v>
      </c>
    </row>
    <row r="8785" ht="15.75" customHeight="1" spans="1:2">
      <c r="A8785" s="3" t="str">
        <f>IFERROR(__xludf.DUMMYFUNCTION("GOOGLETRANSLATE(A8785,""en"",""pt"")"),"dudeee Eu amei montanha Brokeback !!!!")</f>
        <v>dudeee Eu amei montanha Brokeback !!!!</v>
      </c>
      <c r="B8785" s="3">
        <v>1</v>
      </c>
    </row>
    <row r="8786" ht="15.75" customHeight="1" spans="1:2">
      <c r="A8786" s="3" t="str">
        <f>IFERROR(__xludf.DUMMYFUNCTION("GOOGLETRANSLATE(A8786,""en"",""pt"")"),"Ou eu AMOR Brokeback Mountain ou acho que é ótimo que a homossexualidade está se tornando mais aceitável !:")</f>
        <v>Ou eu AMOR Brokeback Mountain ou acho que é ótimo que a homossexualidade está se tornando mais aceitável !:</v>
      </c>
      <c r="B8786" s="3">
        <v>1</v>
      </c>
    </row>
    <row r="8787" ht="15.75" customHeight="1" spans="1:2">
      <c r="A8787" s="3" t="str">
        <f>IFERROR(__xludf.DUMMYFUNCTION("GOOGLETRANSLATE(A8787,""en"",""pt"")"),"De qualquer forma, é por isso que eu amo ""Brokeback Mountain.")</f>
        <v>De qualquer forma, é por isso que eu amo "Brokeback Mountain.</v>
      </c>
      <c r="B8787" s="3">
        <v>1</v>
      </c>
    </row>
    <row r="8788" ht="15.75" customHeight="1" spans="1:2">
      <c r="A8788" s="3" t="str">
        <f>IFERROR(__xludf.DUMMYFUNCTION("GOOGLETRANSLATE(A8788,""en"",""pt"")"),"Brokeback mountain era bonita ...")</f>
        <v>Brokeback mountain era bonita ...</v>
      </c>
      <c r="B8788" s="3">
        <v>1</v>
      </c>
    </row>
    <row r="8789" ht="15.75" customHeight="1" spans="1:2">
      <c r="A8789" s="3" t="str">
        <f>IFERROR(__xludf.DUMMYFUNCTION("GOOGLETRANSLATE(A8789,""en"",""pt"")"),"Eu amo Brokeback Mountain.")</f>
        <v>Eu amo Brokeback Mountain.</v>
      </c>
      <c r="B8789" s="3">
        <v>1</v>
      </c>
    </row>
    <row r="8790" ht="15.75" customHeight="1" spans="1:2">
      <c r="A8790" s="3" t="str">
        <f>IFERROR(__xludf.DUMMYFUNCTION("GOOGLETRANSLATE(A8790,""en"",""pt"")"),"Eu amo Brokeback Mountain ....")</f>
        <v>Eu amo Brokeback Mountain ....</v>
      </c>
      <c r="B8790" s="3">
        <v>1</v>
      </c>
    </row>
    <row r="8791" ht="15.75" customHeight="1" spans="1:2">
      <c r="A8791" s="3" t="str">
        <f>IFERROR(__xludf.DUMMYFUNCTION("GOOGLETRANSLATE(A8791,""en"",""pt"")"),"Ele é como, 'Yeah eu comecei ACNE E eu amo Brokeback Mountain' ..")</f>
        <v>Ele é como, 'Yeah eu comecei ACNE E eu amo Brokeback Mountain' ..</v>
      </c>
      <c r="B8791" s="3">
        <v>1</v>
      </c>
    </row>
    <row r="8792" ht="15.75" customHeight="1" spans="1:2">
      <c r="A8792" s="3" t="str">
        <f>IFERROR(__xludf.DUMMYFUNCTION("GOOGLETRANSLATE(A8792,""en"",""pt"")"),"Brokeback Mountain foi tão incrível.")</f>
        <v>Brokeback Mountain foi tão incrível.</v>
      </c>
      <c r="B8792" s="3">
        <v>1</v>
      </c>
    </row>
    <row r="8793" ht="15.75" customHeight="1" spans="1:2">
      <c r="A8793" s="3" t="str">
        <f>IFERROR(__xludf.DUMMYFUNCTION("GOOGLETRANSLATE(A8793,""en"",""pt"")"),"Brokeback Mountain era um filme impressionante.")</f>
        <v>Brokeback Mountain era um filme impressionante.</v>
      </c>
      <c r="B8793" s="3">
        <v>1</v>
      </c>
    </row>
    <row r="8794" ht="15.75" customHeight="1" spans="1:2">
      <c r="A8794" s="3" t="str">
        <f>IFERROR(__xludf.DUMMYFUNCTION("GOOGLETRANSLATE(A8794,""en"",""pt"")"),"homem que eu amava montanha Brokeback!")</f>
        <v>homem que eu amava montanha Brokeback!</v>
      </c>
      <c r="B8794" s="3">
        <v>1</v>
      </c>
    </row>
    <row r="8795" ht="15.75" customHeight="1" spans="1:2">
      <c r="A8795" s="3" t="str">
        <f>IFERROR(__xludf.DUMMYFUNCTION("GOOGLETRANSLATE(A8795,""en"",""pt"")"),"dudeee Eu amei montanha Brokeback !!!!")</f>
        <v>dudeee Eu amei montanha Brokeback !!!!</v>
      </c>
      <c r="B8795" s="3">
        <v>1</v>
      </c>
    </row>
    <row r="8796" ht="15.75" customHeight="1" spans="1:2">
      <c r="A8796" s="3" t="str">
        <f>IFERROR(__xludf.DUMMYFUNCTION("GOOGLETRANSLATE(A8796,""en"",""pt"")"),"Ou eu AMOR Brokeback Mountain ou acho que é ótimo que a homossexualidade está se tornando mais aceitável !:")</f>
        <v>Ou eu AMOR Brokeback Mountain ou acho que é ótimo que a homossexualidade está se tornando mais aceitável !:</v>
      </c>
      <c r="B8796" s="3">
        <v>1</v>
      </c>
    </row>
    <row r="8797" ht="15.75" customHeight="1" spans="1:2">
      <c r="A8797" s="3" t="str">
        <f>IFERROR(__xludf.DUMMYFUNCTION("GOOGLETRANSLATE(A8797,""en"",""pt"")"),"De qualquer forma, é por isso que eu amo ""Brokeback Mountain.")</f>
        <v>De qualquer forma, é por isso que eu amo "Brokeback Mountain.</v>
      </c>
      <c r="B8797" s="3">
        <v>1</v>
      </c>
    </row>
    <row r="8798" ht="15.75" customHeight="1" spans="1:2">
      <c r="A8798" s="3" t="str">
        <f>IFERROR(__xludf.DUMMYFUNCTION("GOOGLETRANSLATE(A8798,""en"",""pt"")"),"Brokeback mountain era bonita ...")</f>
        <v>Brokeback mountain era bonita ...</v>
      </c>
      <c r="B8798" s="3">
        <v>1</v>
      </c>
    </row>
    <row r="8799" ht="15.75" customHeight="1" spans="1:2">
      <c r="A8799" s="3" t="str">
        <f>IFERROR(__xludf.DUMMYFUNCTION("GOOGLETRANSLATE(A8799,""en"",""pt"")"),"Eu amo Brokeback Mountain.")</f>
        <v>Eu amo Brokeback Mountain.</v>
      </c>
      <c r="B8799" s="3">
        <v>1</v>
      </c>
    </row>
    <row r="8800" ht="15.75" customHeight="1" spans="1:2">
      <c r="A8800" s="3" t="str">
        <f>IFERROR(__xludf.DUMMYFUNCTION("GOOGLETRANSLATE(A8800,""en"",""pt"")"),"Eu amo Brokeback Mountain ....")</f>
        <v>Eu amo Brokeback Mountain ....</v>
      </c>
      <c r="B8800" s="3">
        <v>1</v>
      </c>
    </row>
    <row r="8801" ht="15.75" customHeight="1" spans="1:2">
      <c r="A8801" s="3" t="str">
        <f>IFERROR(__xludf.DUMMYFUNCTION("GOOGLETRANSLATE(A8801,""en"",""pt"")"),"Ele é como, 'Yeah eu comecei ACNE E eu amo Brokeback Mountain' ..")</f>
        <v>Ele é como, 'Yeah eu comecei ACNE E eu amo Brokeback Mountain' ..</v>
      </c>
      <c r="B8801" s="3">
        <v>1</v>
      </c>
    </row>
    <row r="8802" ht="15.75" customHeight="1" spans="1:2">
      <c r="A8802" s="3" t="str">
        <f>IFERROR(__xludf.DUMMYFUNCTION("GOOGLETRANSLATE(A8802,""en"",""pt"")"),"Brokeback Mountain foi tão incrível.")</f>
        <v>Brokeback Mountain foi tão incrível.</v>
      </c>
      <c r="B8802" s="3">
        <v>1</v>
      </c>
    </row>
    <row r="8803" ht="15.75" customHeight="1" spans="1:2">
      <c r="A8803" s="3" t="str">
        <f>IFERROR(__xludf.DUMMYFUNCTION("GOOGLETRANSLATE(A8803,""en"",""pt"")"),"Brokeback Mountain era um filme impressionante.")</f>
        <v>Brokeback Mountain era um filme impressionante.</v>
      </c>
      <c r="B8803" s="3">
        <v>1</v>
      </c>
    </row>
    <row r="8804" ht="15.75" customHeight="1" spans="1:2">
      <c r="A8804" s="3" t="str">
        <f>IFERROR(__xludf.DUMMYFUNCTION("GOOGLETRANSLATE(A8804,""en"",""pt"")"),"homem que eu amava montanha Brokeback!")</f>
        <v>homem que eu amava montanha Brokeback!</v>
      </c>
      <c r="B8804" s="3">
        <v>1</v>
      </c>
    </row>
    <row r="8805" ht="15.75" customHeight="1" spans="1:2">
      <c r="A8805" s="3" t="str">
        <f>IFERROR(__xludf.DUMMYFUNCTION("GOOGLETRANSLATE(A8805,""en"",""pt"")"),"dudeee Eu amei montanha Brokeback !!!!")</f>
        <v>dudeee Eu amei montanha Brokeback !!!!</v>
      </c>
      <c r="B8805" s="3">
        <v>1</v>
      </c>
    </row>
    <row r="8806" ht="15.75" customHeight="1" spans="1:2">
      <c r="A8806" s="3" t="str">
        <f>IFERROR(__xludf.DUMMYFUNCTION("GOOGLETRANSLATE(A8806,""en"",""pt"")"),"Ou eu AMOR Brokeback Mountain ou acho que é ótimo que a homossexualidade está se tornando mais aceitável !:")</f>
        <v>Ou eu AMOR Brokeback Mountain ou acho que é ótimo que a homossexualidade está se tornando mais aceitável !:</v>
      </c>
      <c r="B8806" s="3">
        <v>1</v>
      </c>
    </row>
    <row r="8807" ht="15.75" customHeight="1" spans="1:2">
      <c r="A8807" s="3" t="str">
        <f>IFERROR(__xludf.DUMMYFUNCTION("GOOGLETRANSLATE(A8807,""en"",""pt"")"),"De qualquer forma, é por isso que eu amo ""Brokeback Mountain.")</f>
        <v>De qualquer forma, é por isso que eu amo "Brokeback Mountain.</v>
      </c>
      <c r="B8807" s="3">
        <v>1</v>
      </c>
    </row>
    <row r="8808" ht="15.75" customHeight="1" spans="1:2">
      <c r="A8808" s="3" t="str">
        <f>IFERROR(__xludf.DUMMYFUNCTION("GOOGLETRANSLATE(A8808,""en"",""pt"")"),"Brokeback mountain era bonita ...")</f>
        <v>Brokeback mountain era bonita ...</v>
      </c>
      <c r="B8808" s="3">
        <v>1</v>
      </c>
    </row>
    <row r="8809" ht="15.75" customHeight="1" spans="1:2">
      <c r="A8809" s="3" t="str">
        <f>IFERROR(__xludf.DUMMYFUNCTION("GOOGLETRANSLATE(A8809,""en"",""pt"")"),"Eu amo Brokeback Mountain.")</f>
        <v>Eu amo Brokeback Mountain.</v>
      </c>
      <c r="B8809" s="3">
        <v>1</v>
      </c>
    </row>
    <row r="8810" ht="15.75" customHeight="1" spans="1:2">
      <c r="A8810" s="3" t="str">
        <f>IFERROR(__xludf.DUMMYFUNCTION("GOOGLETRANSLATE(A8810,""en"",""pt"")"),"Eu amo Brokeback Mountain ....")</f>
        <v>Eu amo Brokeback Mountain ....</v>
      </c>
      <c r="B8810" s="3">
        <v>1</v>
      </c>
    </row>
    <row r="8811" ht="15.75" customHeight="1" spans="1:2">
      <c r="A8811" s="3" t="str">
        <f>IFERROR(__xludf.DUMMYFUNCTION("GOOGLETRANSLATE(A8811,""en"",""pt"")"),"Ele é como, 'Yeah eu comecei ACNE E eu amo Brokeback Mountain' ..")</f>
        <v>Ele é como, 'Yeah eu comecei ACNE E eu amo Brokeback Mountain' ..</v>
      </c>
      <c r="B8811" s="3">
        <v>1</v>
      </c>
    </row>
    <row r="8812" ht="15.75" customHeight="1" spans="1:2">
      <c r="A8812" s="3" t="str">
        <f>IFERROR(__xludf.DUMMYFUNCTION("GOOGLETRANSLATE(A8812,""en"",""pt"")"),"Brokeback Mountain foi tão incrível.")</f>
        <v>Brokeback Mountain foi tão incrível.</v>
      </c>
      <c r="B8812" s="3">
        <v>1</v>
      </c>
    </row>
    <row r="8813" ht="15.75" customHeight="1" spans="1:2">
      <c r="A8813" s="3" t="str">
        <f>IFERROR(__xludf.DUMMYFUNCTION("GOOGLETRANSLATE(A8813,""en"",""pt"")"),"Brokeback Mountain era um filme impressionante.")</f>
        <v>Brokeback Mountain era um filme impressionante.</v>
      </c>
      <c r="B8813" s="3">
        <v>1</v>
      </c>
    </row>
    <row r="8814" ht="15.75" customHeight="1" spans="1:2">
      <c r="A8814" s="3" t="str">
        <f>IFERROR(__xludf.DUMMYFUNCTION("GOOGLETRANSLATE(A8814,""en"",""pt"")"),"homem que eu amava montanha Brokeback!")</f>
        <v>homem que eu amava montanha Brokeback!</v>
      </c>
      <c r="B8814" s="3">
        <v>1</v>
      </c>
    </row>
    <row r="8815" ht="15.75" customHeight="1" spans="1:2">
      <c r="A8815" s="3" t="str">
        <f>IFERROR(__xludf.DUMMYFUNCTION("GOOGLETRANSLATE(A8815,""en"",""pt"")"),"dudeee Eu amei montanha Brokeback !!!!")</f>
        <v>dudeee Eu amei montanha Brokeback !!!!</v>
      </c>
      <c r="B8815" s="3">
        <v>1</v>
      </c>
    </row>
    <row r="8816" ht="15.75" customHeight="1" spans="1:2">
      <c r="A8816" s="3" t="str">
        <f>IFERROR(__xludf.DUMMYFUNCTION("GOOGLETRANSLATE(A8816,""en"",""pt"")"),"Ou eu AMOR Brokeback Mountain ou acho que é ótimo que a homossexualidade está se tornando mais aceitável !:")</f>
        <v>Ou eu AMOR Brokeback Mountain ou acho que é ótimo que a homossexualidade está se tornando mais aceitável !:</v>
      </c>
      <c r="B8816" s="3">
        <v>1</v>
      </c>
    </row>
    <row r="8817" ht="15.75" customHeight="1" spans="1:2">
      <c r="A8817" s="3" t="str">
        <f>IFERROR(__xludf.DUMMYFUNCTION("GOOGLETRANSLATE(A8817,""en"",""pt"")"),"De qualquer forma, é por isso que eu amo ""Brokeback Mountain.")</f>
        <v>De qualquer forma, é por isso que eu amo "Brokeback Mountain.</v>
      </c>
      <c r="B8817" s="3">
        <v>1</v>
      </c>
    </row>
    <row r="8818" ht="15.75" customHeight="1" spans="1:2">
      <c r="A8818" s="3" t="str">
        <f>IFERROR(__xludf.DUMMYFUNCTION("GOOGLETRANSLATE(A8818,""en"",""pt"")"),"Brokeback mountain era bonita ...")</f>
        <v>Brokeback mountain era bonita ...</v>
      </c>
      <c r="B8818" s="3">
        <v>1</v>
      </c>
    </row>
    <row r="8819" ht="15.75" customHeight="1" spans="1:2">
      <c r="A8819" s="3" t="str">
        <f>IFERROR(__xludf.DUMMYFUNCTION("GOOGLETRANSLATE(A8819,""en"",""pt"")"),"Eu amo Brokeback Mountain.")</f>
        <v>Eu amo Brokeback Mountain.</v>
      </c>
      <c r="B8819" s="3">
        <v>1</v>
      </c>
    </row>
    <row r="8820" ht="15.75" customHeight="1" spans="1:2">
      <c r="A8820" s="3" t="str">
        <f>IFERROR(__xludf.DUMMYFUNCTION("GOOGLETRANSLATE(A8820,""en"",""pt"")"),"Eu amo Brokeback Mountain ....")</f>
        <v>Eu amo Brokeback Mountain ....</v>
      </c>
      <c r="B8820" s="3">
        <v>1</v>
      </c>
    </row>
    <row r="8821" ht="15.75" customHeight="1" spans="1:2">
      <c r="A8821" s="3" t="str">
        <f>IFERROR(__xludf.DUMMYFUNCTION("GOOGLETRANSLATE(A8821,""en"",""pt"")"),"Ele é como, 'Yeah eu comecei ACNE E eu amo Brokeback Mountain' ..")</f>
        <v>Ele é como, 'Yeah eu comecei ACNE E eu amo Brokeback Mountain' ..</v>
      </c>
      <c r="B8821" s="3">
        <v>1</v>
      </c>
    </row>
    <row r="8822" ht="15.75" customHeight="1" spans="1:2">
      <c r="A8822" s="3" t="str">
        <f>IFERROR(__xludf.DUMMYFUNCTION("GOOGLETRANSLATE(A8822,""en"",""pt"")"),"Brokeback Mountain foi tão incrível.")</f>
        <v>Brokeback Mountain foi tão incrível.</v>
      </c>
      <c r="B8822" s="3">
        <v>1</v>
      </c>
    </row>
    <row r="8823" ht="15.75" customHeight="1" spans="1:2">
      <c r="A8823" s="3" t="str">
        <f>IFERROR(__xludf.DUMMYFUNCTION("GOOGLETRANSLATE(A8823,""en"",""pt"")"),"Brokeback Mountain era um filme impressionante.")</f>
        <v>Brokeback Mountain era um filme impressionante.</v>
      </c>
      <c r="B8823" s="3">
        <v>1</v>
      </c>
    </row>
    <row r="8824" ht="15.75" customHeight="1" spans="1:2">
      <c r="A8824" s="3" t="str">
        <f>IFERROR(__xludf.DUMMYFUNCTION("GOOGLETRANSLATE(A8824,""en"",""pt"")"),"homem que eu amava montanha Brokeback!")</f>
        <v>homem que eu amava montanha Brokeback!</v>
      </c>
      <c r="B8824" s="3">
        <v>1</v>
      </c>
    </row>
    <row r="8825" ht="15.75" customHeight="1" spans="1:2">
      <c r="A8825" s="3" t="str">
        <f>IFERROR(__xludf.DUMMYFUNCTION("GOOGLETRANSLATE(A8825,""en"",""pt"")"),"dudeee Eu amei montanha Brokeback !!!!")</f>
        <v>dudeee Eu amei montanha Brokeback !!!!</v>
      </c>
      <c r="B8825" s="3">
        <v>1</v>
      </c>
    </row>
    <row r="8826" ht="15.75" customHeight="1" spans="1:2">
      <c r="A8826" s="3" t="str">
        <f>IFERROR(__xludf.DUMMYFUNCTION("GOOGLETRANSLATE(A8826,""en"",""pt"")"),"Ou eu AMOR Brokeback Mountain ou acho que é ótimo que a homossexualidade está se tornando mais aceitável !:")</f>
        <v>Ou eu AMOR Brokeback Mountain ou acho que é ótimo que a homossexualidade está se tornando mais aceitável !:</v>
      </c>
      <c r="B8826" s="3">
        <v>1</v>
      </c>
    </row>
    <row r="8827" ht="15.75" customHeight="1" spans="1:2">
      <c r="A8827" s="3" t="str">
        <f>IFERROR(__xludf.DUMMYFUNCTION("GOOGLETRANSLATE(A8827,""en"",""pt"")"),"De qualquer forma, é por isso que eu amo ""Brokeback Mountain.")</f>
        <v>De qualquer forma, é por isso que eu amo "Brokeback Mountain.</v>
      </c>
      <c r="B8827" s="3">
        <v>1</v>
      </c>
    </row>
    <row r="8828" ht="15.75" customHeight="1" spans="1:2">
      <c r="A8828" s="3" t="str">
        <f>IFERROR(__xludf.DUMMYFUNCTION("GOOGLETRANSLATE(A8828,""en"",""pt"")"),"Brokeback mountain era bonita ...")</f>
        <v>Brokeback mountain era bonita ...</v>
      </c>
      <c r="B8828" s="3">
        <v>1</v>
      </c>
    </row>
    <row r="8829" ht="15.75" customHeight="1" spans="1:2">
      <c r="A8829" s="3" t="str">
        <f>IFERROR(__xludf.DUMMYFUNCTION("GOOGLETRANSLATE(A8829,""en"",""pt"")"),"Eu amo Brokeback Mountain.")</f>
        <v>Eu amo Brokeback Mountain.</v>
      </c>
      <c r="B8829" s="3">
        <v>1</v>
      </c>
    </row>
    <row r="8830" ht="15.75" customHeight="1" spans="1:2">
      <c r="A8830" s="3" t="str">
        <f>IFERROR(__xludf.DUMMYFUNCTION("GOOGLETRANSLATE(A8830,""en"",""pt"")"),"Eu amo Brokeback Mountain ....")</f>
        <v>Eu amo Brokeback Mountain ....</v>
      </c>
      <c r="B8830" s="3">
        <v>1</v>
      </c>
    </row>
    <row r="8831" ht="15.75" customHeight="1" spans="1:2">
      <c r="A8831" s="3" t="str">
        <f>IFERROR(__xludf.DUMMYFUNCTION("GOOGLETRANSLATE(A8831,""en"",""pt"")"),"Ele é como, 'Yeah eu comecei ACNE E eu amo Brokeback Mountain' ..")</f>
        <v>Ele é como, 'Yeah eu comecei ACNE E eu amo Brokeback Mountain' ..</v>
      </c>
      <c r="B8831" s="3">
        <v>1</v>
      </c>
    </row>
    <row r="8832" ht="15.75" customHeight="1" spans="1:2">
      <c r="A8832" s="3" t="str">
        <f>IFERROR(__xludf.DUMMYFUNCTION("GOOGLETRANSLATE(A8832,""en"",""pt"")"),"Brokeback Mountain foi tão incrível.")</f>
        <v>Brokeback Mountain foi tão incrível.</v>
      </c>
      <c r="B8832" s="3">
        <v>1</v>
      </c>
    </row>
    <row r="8833" ht="15.75" customHeight="1" spans="1:2">
      <c r="A8833" s="3" t="str">
        <f>IFERROR(__xludf.DUMMYFUNCTION("GOOGLETRANSLATE(A8833,""en"",""pt"")"),"Brokeback Mountain era um filme impressionante.")</f>
        <v>Brokeback Mountain era um filme impressionante.</v>
      </c>
      <c r="B8833" s="3">
        <v>1</v>
      </c>
    </row>
    <row r="8834" ht="15.75" customHeight="1" spans="1:2">
      <c r="A8834" s="3" t="str">
        <f>IFERROR(__xludf.DUMMYFUNCTION("GOOGLETRANSLATE(A8834,""en"",""pt"")"),"homem que eu amava montanha Brokeback!")</f>
        <v>homem que eu amava montanha Brokeback!</v>
      </c>
      <c r="B8834" s="3">
        <v>1</v>
      </c>
    </row>
    <row r="8835" ht="15.75" customHeight="1" spans="1:2">
      <c r="A8835" s="3" t="str">
        <f>IFERROR(__xludf.DUMMYFUNCTION("GOOGLETRANSLATE(A8835,""en"",""pt"")"),"dudeee Eu amei montanha Brokeback !!!!")</f>
        <v>dudeee Eu amei montanha Brokeback !!!!</v>
      </c>
      <c r="B8835" s="3">
        <v>1</v>
      </c>
    </row>
    <row r="8836" ht="15.75" customHeight="1" spans="1:2">
      <c r="A8836" s="3" t="str">
        <f>IFERROR(__xludf.DUMMYFUNCTION("GOOGLETRANSLATE(A8836,""en"",""pt"")"),"Ou eu AMOR Brokeback Mountain ou acho que é ótimo que a homossexualidade está se tornando mais aceitável !:")</f>
        <v>Ou eu AMOR Brokeback Mountain ou acho que é ótimo que a homossexualidade está se tornando mais aceitável !:</v>
      </c>
      <c r="B8836" s="3">
        <v>1</v>
      </c>
    </row>
    <row r="8837" ht="15.75" customHeight="1" spans="1:2">
      <c r="A8837" s="3" t="str">
        <f>IFERROR(__xludf.DUMMYFUNCTION("GOOGLETRANSLATE(A8837,""en"",""pt"")"),"De qualquer forma, é por isso que eu amo ""Brokeback Mountain.")</f>
        <v>De qualquer forma, é por isso que eu amo "Brokeback Mountain.</v>
      </c>
      <c r="B8837" s="3">
        <v>1</v>
      </c>
    </row>
    <row r="8838" ht="15.75" customHeight="1" spans="1:2">
      <c r="A8838" s="3" t="str">
        <f>IFERROR(__xludf.DUMMYFUNCTION("GOOGLETRANSLATE(A8838,""en"",""pt"")"),"Brokeback mountain era bonita ...")</f>
        <v>Brokeback mountain era bonita ...</v>
      </c>
      <c r="B8838" s="3">
        <v>1</v>
      </c>
    </row>
    <row r="8839" ht="15.75" customHeight="1" spans="1:2">
      <c r="A8839" s="3" t="str">
        <f>IFERROR(__xludf.DUMMYFUNCTION("GOOGLETRANSLATE(A8839,""en"",""pt"")"),"Eu amo Brokeback Mountain.")</f>
        <v>Eu amo Brokeback Mountain.</v>
      </c>
      <c r="B8839" s="3">
        <v>1</v>
      </c>
    </row>
    <row r="8840" ht="15.75" customHeight="1" spans="1:2">
      <c r="A8840" s="3" t="str">
        <f>IFERROR(__xludf.DUMMYFUNCTION("GOOGLETRANSLATE(A8840,""en"",""pt"")"),"Eu amo Brokeback Mountain ....")</f>
        <v>Eu amo Brokeback Mountain ....</v>
      </c>
      <c r="B8840" s="3">
        <v>1</v>
      </c>
    </row>
    <row r="8841" ht="15.75" customHeight="1" spans="1:2">
      <c r="A8841" s="3" t="str">
        <f>IFERROR(__xludf.DUMMYFUNCTION("GOOGLETRANSLATE(A8841,""en"",""pt"")"),"Ele é como, 'Yeah eu comecei ACNE E eu amo Brokeback Mountain' ..")</f>
        <v>Ele é como, 'Yeah eu comecei ACNE E eu amo Brokeback Mountain' ..</v>
      </c>
      <c r="B8841" s="3">
        <v>1</v>
      </c>
    </row>
    <row r="8842" ht="15.75" customHeight="1" spans="1:2">
      <c r="A8842" s="3" t="str">
        <f>IFERROR(__xludf.DUMMYFUNCTION("GOOGLETRANSLATE(A8842,""en"",""pt"")"),"Brokeback Mountain foi tão incrível.")</f>
        <v>Brokeback Mountain foi tão incrível.</v>
      </c>
      <c r="B8842" s="3">
        <v>1</v>
      </c>
    </row>
    <row r="8843" ht="15.75" customHeight="1" spans="1:2">
      <c r="A8843" s="3" t="str">
        <f>IFERROR(__xludf.DUMMYFUNCTION("GOOGLETRANSLATE(A8843,""en"",""pt"")"),"Brokeback Mountain era um filme impressionante.")</f>
        <v>Brokeback Mountain era um filme impressionante.</v>
      </c>
      <c r="B8843" s="3">
        <v>1</v>
      </c>
    </row>
    <row r="8844" ht="15.75" customHeight="1" spans="1:2">
      <c r="A8844" s="3" t="str">
        <f>IFERROR(__xludf.DUMMYFUNCTION("GOOGLETRANSLATE(A8844,""en"",""pt"")"),"homem que eu amava montanha Brokeback!")</f>
        <v>homem que eu amava montanha Brokeback!</v>
      </c>
      <c r="B8844" s="3">
        <v>1</v>
      </c>
    </row>
    <row r="8845" ht="15.75" customHeight="1" spans="1:2">
      <c r="A8845" s="3" t="str">
        <f>IFERROR(__xludf.DUMMYFUNCTION("GOOGLETRANSLATE(A8845,""en"",""pt"")"),"dudeee Eu amei montanha Brokeback !!!!")</f>
        <v>dudeee Eu amei montanha Brokeback !!!!</v>
      </c>
      <c r="B8845" s="3">
        <v>1</v>
      </c>
    </row>
    <row r="8846" ht="15.75" customHeight="1" spans="1:2">
      <c r="A8846" s="3" t="str">
        <f>IFERROR(__xludf.DUMMYFUNCTION("GOOGLETRANSLATE(A8846,""en"",""pt"")"),"Ou eu AMOR Brokeback Mountain ou acho que é ótimo que a homossexualidade está se tornando mais aceitável !:")</f>
        <v>Ou eu AMOR Brokeback Mountain ou acho que é ótimo que a homossexualidade está se tornando mais aceitável !:</v>
      </c>
      <c r="B8846" s="3">
        <v>1</v>
      </c>
    </row>
    <row r="8847" ht="15.75" customHeight="1" spans="1:2">
      <c r="A8847" s="3" t="str">
        <f>IFERROR(__xludf.DUMMYFUNCTION("GOOGLETRANSLATE(A8847,""en"",""pt"")"),"De qualquer forma, é por isso que eu amo ""Brokeback Mountain.")</f>
        <v>De qualquer forma, é por isso que eu amo "Brokeback Mountain.</v>
      </c>
      <c r="B8847" s="3">
        <v>1</v>
      </c>
    </row>
    <row r="8848" ht="15.75" customHeight="1" spans="1:2">
      <c r="A8848" s="3" t="str">
        <f>IFERROR(__xludf.DUMMYFUNCTION("GOOGLETRANSLATE(A8848,""en"",""pt"")"),"Brokeback mountain era bonita ...")</f>
        <v>Brokeback mountain era bonita ...</v>
      </c>
      <c r="B8848" s="3">
        <v>1</v>
      </c>
    </row>
    <row r="8849" ht="15.75" customHeight="1" spans="1:2">
      <c r="A8849" s="3" t="str">
        <f>IFERROR(__xludf.DUMMYFUNCTION("GOOGLETRANSLATE(A8849,""en"",""pt"")"),"Eu amo Brokeback Mountain.")</f>
        <v>Eu amo Brokeback Mountain.</v>
      </c>
      <c r="B8849" s="3">
        <v>1</v>
      </c>
    </row>
    <row r="8850" ht="15.75" customHeight="1" spans="1:2">
      <c r="A8850" s="3" t="str">
        <f>IFERROR(__xludf.DUMMYFUNCTION("GOOGLETRANSLATE(A8850,""en"",""pt"")"),"Eu amo Brokeback Mountain ....")</f>
        <v>Eu amo Brokeback Mountain ....</v>
      </c>
      <c r="B8850" s="3">
        <v>1</v>
      </c>
    </row>
    <row r="8851" ht="15.75" customHeight="1" spans="1:2">
      <c r="A8851" s="3" t="str">
        <f>IFERROR(__xludf.DUMMYFUNCTION("GOOGLETRANSLATE(A8851,""en"",""pt"")"),"Ele é como, 'Yeah eu comecei ACNE E eu amo Brokeback Mountain' ..")</f>
        <v>Ele é como, 'Yeah eu comecei ACNE E eu amo Brokeback Mountain' ..</v>
      </c>
      <c r="B8851" s="3">
        <v>1</v>
      </c>
    </row>
    <row r="8852" ht="15.75" customHeight="1" spans="1:2">
      <c r="A8852" s="3" t="str">
        <f>IFERROR(__xludf.DUMMYFUNCTION("GOOGLETRANSLATE(A8852,""en"",""pt"")"),"Brokeback Mountain foi tão incrível.")</f>
        <v>Brokeback Mountain foi tão incrível.</v>
      </c>
      <c r="B8852" s="3">
        <v>1</v>
      </c>
    </row>
    <row r="8853" ht="15.75" customHeight="1" spans="1:2">
      <c r="A8853" s="3" t="str">
        <f>IFERROR(__xludf.DUMMYFUNCTION("GOOGLETRANSLATE(A8853,""en"",""pt"")"),"Brokeback Mountain era um filme impressionante.")</f>
        <v>Brokeback Mountain era um filme impressionante.</v>
      </c>
      <c r="B8853" s="3">
        <v>1</v>
      </c>
    </row>
    <row r="8854" ht="15.75" customHeight="1" spans="1:2">
      <c r="A8854" s="3" t="str">
        <f>IFERROR(__xludf.DUMMYFUNCTION("GOOGLETRANSLATE(A8854,""en"",""pt"")"),"homem que eu amava montanha Brokeback!")</f>
        <v>homem que eu amava montanha Brokeback!</v>
      </c>
      <c r="B8854" s="3">
        <v>1</v>
      </c>
    </row>
    <row r="8855" ht="15.75" customHeight="1" spans="1:2">
      <c r="A8855" s="3" t="str">
        <f>IFERROR(__xludf.DUMMYFUNCTION("GOOGLETRANSLATE(A8855,""en"",""pt"")"),"dudeee Eu amei montanha Brokeback !!!!")</f>
        <v>dudeee Eu amei montanha Brokeback !!!!</v>
      </c>
      <c r="B8855" s="3">
        <v>1</v>
      </c>
    </row>
    <row r="8856" ht="15.75" customHeight="1" spans="1:2">
      <c r="A8856" s="3" t="str">
        <f>IFERROR(__xludf.DUMMYFUNCTION("GOOGLETRANSLATE(A8856,""en"",""pt"")"),"Ou eu AMOR Brokeback Mountain ou acho que é ótimo que a homossexualidade está se tornando mais aceitável !:")</f>
        <v>Ou eu AMOR Brokeback Mountain ou acho que é ótimo que a homossexualidade está se tornando mais aceitável !:</v>
      </c>
      <c r="B8856" s="3">
        <v>1</v>
      </c>
    </row>
    <row r="8857" ht="15.75" customHeight="1" spans="1:2">
      <c r="A8857" s="3" t="str">
        <f>IFERROR(__xludf.DUMMYFUNCTION("GOOGLETRANSLATE(A8857,""en"",""pt"")"),"De qualquer forma, é por isso que eu amo ""Brokeback Mountain.")</f>
        <v>De qualquer forma, é por isso que eu amo "Brokeback Mountain.</v>
      </c>
      <c r="B8857" s="3">
        <v>1</v>
      </c>
    </row>
    <row r="8858" ht="15.75" customHeight="1" spans="1:2">
      <c r="A8858" s="3" t="str">
        <f>IFERROR(__xludf.DUMMYFUNCTION("GOOGLETRANSLATE(A8858,""en"",""pt"")"),"Brokeback mountain era bonita ...")</f>
        <v>Brokeback mountain era bonita ...</v>
      </c>
      <c r="B8858" s="3">
        <v>1</v>
      </c>
    </row>
    <row r="8859" ht="15.75" customHeight="1" spans="1:2">
      <c r="A8859" s="3" t="str">
        <f>IFERROR(__xludf.DUMMYFUNCTION("GOOGLETRANSLATE(A8859,""en"",""pt"")"),"Eu amo Brokeback Mountain.")</f>
        <v>Eu amo Brokeback Mountain.</v>
      </c>
      <c r="B8859" s="3">
        <v>1</v>
      </c>
    </row>
    <row r="8860" ht="15.75" customHeight="1" spans="1:2">
      <c r="A8860" s="3" t="str">
        <f>IFERROR(__xludf.DUMMYFUNCTION("GOOGLETRANSLATE(A8860,""en"",""pt"")"),"Eu amo Brokeback Mountain ....")</f>
        <v>Eu amo Brokeback Mountain ....</v>
      </c>
      <c r="B8860" s="3">
        <v>1</v>
      </c>
    </row>
    <row r="8861" ht="15.75" customHeight="1" spans="1:2">
      <c r="A8861" s="3" t="str">
        <f>IFERROR(__xludf.DUMMYFUNCTION("GOOGLETRANSLATE(A8861,""en"",""pt"")"),"Ele é como, 'Yeah eu comecei ACNE E eu amo Brokeback Mountain' ..")</f>
        <v>Ele é como, 'Yeah eu comecei ACNE E eu amo Brokeback Mountain' ..</v>
      </c>
      <c r="B8861" s="3">
        <v>1</v>
      </c>
    </row>
    <row r="8862" ht="15.75" customHeight="1" spans="1:2">
      <c r="A8862" s="3" t="str">
        <f>IFERROR(__xludf.DUMMYFUNCTION("GOOGLETRANSLATE(A8862,""en"",""pt"")"),"Brokeback Mountain foi tão incrível.")</f>
        <v>Brokeback Mountain foi tão incrível.</v>
      </c>
      <c r="B8862" s="3">
        <v>1</v>
      </c>
    </row>
    <row r="8863" ht="15.75" customHeight="1" spans="1:2">
      <c r="A8863" s="3" t="str">
        <f>IFERROR(__xludf.DUMMYFUNCTION("GOOGLETRANSLATE(A8863,""en"",""pt"")"),"Brokeback Mountain era um filme impressionante.")</f>
        <v>Brokeback Mountain era um filme impressionante.</v>
      </c>
      <c r="B8863" s="3">
        <v>1</v>
      </c>
    </row>
    <row r="8864" ht="15.75" customHeight="1" spans="1:2">
      <c r="A8864" s="3" t="str">
        <f>IFERROR(__xludf.DUMMYFUNCTION("GOOGLETRANSLATE(A8864,""en"",""pt"")"),"homem que eu amava montanha Brokeback!")</f>
        <v>homem que eu amava montanha Brokeback!</v>
      </c>
      <c r="B8864" s="3">
        <v>1</v>
      </c>
    </row>
    <row r="8865" ht="15.75" customHeight="1" spans="1:2">
      <c r="A8865" s="3" t="str">
        <f>IFERROR(__xludf.DUMMYFUNCTION("GOOGLETRANSLATE(A8865,""en"",""pt"")"),"dudeee Eu amei montanha Brokeback !!!!")</f>
        <v>dudeee Eu amei montanha Brokeback !!!!</v>
      </c>
      <c r="B8865" s="3">
        <v>1</v>
      </c>
    </row>
    <row r="8866" ht="15.75" customHeight="1" spans="1:2">
      <c r="A8866" s="3" t="str">
        <f>IFERROR(__xludf.DUMMYFUNCTION("GOOGLETRANSLATE(A8866,""en"",""pt"")"),"Ou eu AMOR Brokeback Mountain ou acho que é ótimo que a homossexualidade está se tornando mais aceitável !:")</f>
        <v>Ou eu AMOR Brokeback Mountain ou acho que é ótimo que a homossexualidade está se tornando mais aceitável !:</v>
      </c>
      <c r="B8866" s="3">
        <v>1</v>
      </c>
    </row>
    <row r="8867" ht="15.75" customHeight="1" spans="1:2">
      <c r="A8867" s="3" t="str">
        <f>IFERROR(__xludf.DUMMYFUNCTION("GOOGLETRANSLATE(A8867,""en"",""pt"")"),"De qualquer forma, é por isso que eu amo ""Brokeback Mountain.")</f>
        <v>De qualquer forma, é por isso que eu amo "Brokeback Mountain.</v>
      </c>
      <c r="B8867" s="3">
        <v>1</v>
      </c>
    </row>
    <row r="8868" ht="15.75" customHeight="1" spans="1:2">
      <c r="A8868" s="3" t="str">
        <f>IFERROR(__xludf.DUMMYFUNCTION("GOOGLETRANSLATE(A8868,""en"",""pt"")"),"Brokeback mountain era bonita ...")</f>
        <v>Brokeback mountain era bonita ...</v>
      </c>
      <c r="B8868" s="3">
        <v>1</v>
      </c>
    </row>
    <row r="8869" ht="15.75" customHeight="1" spans="1:2">
      <c r="A8869" s="3" t="str">
        <f>IFERROR(__xludf.DUMMYFUNCTION("GOOGLETRANSLATE(A8869,""en"",""pt"")"),"Eu amo Brokeback Mountain.")</f>
        <v>Eu amo Brokeback Mountain.</v>
      </c>
      <c r="B8869" s="3">
        <v>1</v>
      </c>
    </row>
    <row r="8870" ht="15.75" customHeight="1" spans="1:2">
      <c r="A8870" s="3" t="str">
        <f>IFERROR(__xludf.DUMMYFUNCTION("GOOGLETRANSLATE(A8870,""en"",""pt"")"),"Eu amo Brokeback Mountain ....")</f>
        <v>Eu amo Brokeback Mountain ....</v>
      </c>
      <c r="B8870" s="3">
        <v>1</v>
      </c>
    </row>
    <row r="8871" ht="15.75" customHeight="1" spans="1:2">
      <c r="A8871" s="3" t="str">
        <f>IFERROR(__xludf.DUMMYFUNCTION("GOOGLETRANSLATE(A8871,""en"",""pt"")"),"Ele é como, 'Yeah eu comecei ACNE E eu amo Brokeback Mountain' ..")</f>
        <v>Ele é como, 'Yeah eu comecei ACNE E eu amo Brokeback Mountain' ..</v>
      </c>
      <c r="B8871" s="3">
        <v>1</v>
      </c>
    </row>
    <row r="8872" ht="15.75" customHeight="1" spans="1:2">
      <c r="A8872" s="3" t="str">
        <f>IFERROR(__xludf.DUMMYFUNCTION("GOOGLETRANSLATE(A8872,""en"",""pt"")"),"Brokeback Mountain foi tão incrível.")</f>
        <v>Brokeback Mountain foi tão incrível.</v>
      </c>
      <c r="B8872" s="3">
        <v>1</v>
      </c>
    </row>
    <row r="8873" ht="15.75" customHeight="1" spans="1:2">
      <c r="A8873" s="3" t="str">
        <f>IFERROR(__xludf.DUMMYFUNCTION("GOOGLETRANSLATE(A8873,""en"",""pt"")"),"Brokeback Mountain era um filme impressionante.")</f>
        <v>Brokeback Mountain era um filme impressionante.</v>
      </c>
      <c r="B8873" s="3">
        <v>1</v>
      </c>
    </row>
    <row r="8874" ht="15.75" customHeight="1" spans="1:2">
      <c r="A8874" s="3" t="str">
        <f>IFERROR(__xludf.DUMMYFUNCTION("GOOGLETRANSLATE(A8874,""en"",""pt"")"),"homem que eu amava montanha Brokeback!")</f>
        <v>homem que eu amava montanha Brokeback!</v>
      </c>
      <c r="B8874" s="3">
        <v>1</v>
      </c>
    </row>
    <row r="8875" ht="15.75" customHeight="1" spans="1:2">
      <c r="A8875" s="3" t="str">
        <f>IFERROR(__xludf.DUMMYFUNCTION("GOOGLETRANSLATE(A8875,""en"",""pt"")"),"dudeee Eu amei montanha Brokeback !!!!")</f>
        <v>dudeee Eu amei montanha Brokeback !!!!</v>
      </c>
      <c r="B8875" s="3">
        <v>1</v>
      </c>
    </row>
    <row r="8876" ht="15.75" customHeight="1" spans="1:2">
      <c r="A8876" s="3" t="str">
        <f>IFERROR(__xludf.DUMMYFUNCTION("GOOGLETRANSLATE(A8876,""en"",""pt"")"),"Ou eu AMOR Brokeback Mountain ou acho que é ótimo que a homossexualidade está se tornando mais aceitável !:")</f>
        <v>Ou eu AMOR Brokeback Mountain ou acho que é ótimo que a homossexualidade está se tornando mais aceitável !:</v>
      </c>
      <c r="B8876" s="3">
        <v>1</v>
      </c>
    </row>
    <row r="8877" ht="15.75" customHeight="1" spans="1:2">
      <c r="A8877" s="3" t="str">
        <f>IFERROR(__xludf.DUMMYFUNCTION("GOOGLETRANSLATE(A8877,""en"",""pt"")"),"De qualquer forma, é por isso que eu amo ""Brokeback Mountain.")</f>
        <v>De qualquer forma, é por isso que eu amo "Brokeback Mountain.</v>
      </c>
      <c r="B8877" s="3">
        <v>1</v>
      </c>
    </row>
    <row r="8878" ht="15.75" customHeight="1" spans="1:2">
      <c r="A8878" s="3" t="str">
        <f>IFERROR(__xludf.DUMMYFUNCTION("GOOGLETRANSLATE(A8878,""en"",""pt"")"),"Brokeback mountain era bonita ...")</f>
        <v>Brokeback mountain era bonita ...</v>
      </c>
      <c r="B8878" s="3">
        <v>1</v>
      </c>
    </row>
    <row r="8879" ht="15.75" customHeight="1" spans="1:2">
      <c r="A8879" s="3" t="str">
        <f>IFERROR(__xludf.DUMMYFUNCTION("GOOGLETRANSLATE(A8879,""en"",""pt"")"),"Eu amo Brokeback Mountain.")</f>
        <v>Eu amo Brokeback Mountain.</v>
      </c>
      <c r="B8879" s="3">
        <v>1</v>
      </c>
    </row>
    <row r="8880" ht="15.75" customHeight="1" spans="1:2">
      <c r="A8880" s="3" t="str">
        <f>IFERROR(__xludf.DUMMYFUNCTION("GOOGLETRANSLATE(A8880,""en"",""pt"")"),"Eu amo Brokeback Mountain ....")</f>
        <v>Eu amo Brokeback Mountain ....</v>
      </c>
      <c r="B8880" s="3">
        <v>1</v>
      </c>
    </row>
    <row r="8881" ht="15.75" customHeight="1" spans="1:2">
      <c r="A8881" s="3" t="str">
        <f>IFERROR(__xludf.DUMMYFUNCTION("GOOGLETRANSLATE(A8881,""en"",""pt"")"),"Ele é como, 'Yeah eu comecei ACNE E eu amo Brokeback Mountain' ..")</f>
        <v>Ele é como, 'Yeah eu comecei ACNE E eu amo Brokeback Mountain' ..</v>
      </c>
      <c r="B8881" s="3">
        <v>1</v>
      </c>
    </row>
    <row r="8882" ht="15.75" customHeight="1" spans="1:2">
      <c r="A8882" s="3" t="str">
        <f>IFERROR(__xludf.DUMMYFUNCTION("GOOGLETRANSLATE(A8882,""en"",""pt"")"),"Brokeback Mountain foi tão incrível.")</f>
        <v>Brokeback Mountain foi tão incrível.</v>
      </c>
      <c r="B8882" s="3">
        <v>1</v>
      </c>
    </row>
    <row r="8883" ht="15.75" customHeight="1" spans="1:2">
      <c r="A8883" s="3" t="str">
        <f>IFERROR(__xludf.DUMMYFUNCTION("GOOGLETRANSLATE(A8883,""en"",""pt"")"),"Brokeback Mountain era um filme impressionante.")</f>
        <v>Brokeback Mountain era um filme impressionante.</v>
      </c>
      <c r="B8883" s="3">
        <v>1</v>
      </c>
    </row>
    <row r="8884" ht="15.75" customHeight="1" spans="1:2">
      <c r="A8884" s="3" t="str">
        <f>IFERROR(__xludf.DUMMYFUNCTION("GOOGLETRANSLATE(A8884,""en"",""pt"")"),"homem que eu amava montanha Brokeback!")</f>
        <v>homem que eu amava montanha Brokeback!</v>
      </c>
      <c r="B8884" s="3">
        <v>1</v>
      </c>
    </row>
    <row r="8885" ht="15.75" customHeight="1" spans="1:2">
      <c r="A8885" s="3" t="str">
        <f>IFERROR(__xludf.DUMMYFUNCTION("GOOGLETRANSLATE(A8885,""en"",""pt"")"),"dudeee Eu amei montanha Brokeback !!!!")</f>
        <v>dudeee Eu amei montanha Brokeback !!!!</v>
      </c>
      <c r="B8885" s="3">
        <v>1</v>
      </c>
    </row>
    <row r="8886" ht="15.75" customHeight="1" spans="1:2">
      <c r="A8886" s="3" t="str">
        <f>IFERROR(__xludf.DUMMYFUNCTION("GOOGLETRANSLATE(A8886,""en"",""pt"")"),"Ou eu AMOR Brokeback Mountain ou acho que é ótimo que a homossexualidade está se tornando mais aceitável !:")</f>
        <v>Ou eu AMOR Brokeback Mountain ou acho que é ótimo que a homossexualidade está se tornando mais aceitável !:</v>
      </c>
      <c r="B8886" s="3">
        <v>1</v>
      </c>
    </row>
    <row r="8887" ht="15.75" customHeight="1" spans="1:2">
      <c r="A8887" s="3" t="str">
        <f>IFERROR(__xludf.DUMMYFUNCTION("GOOGLETRANSLATE(A8887,""en"",""pt"")"),"De qualquer forma, é por isso que eu amo ""Brokeback Mountain.")</f>
        <v>De qualquer forma, é por isso que eu amo "Brokeback Mountain.</v>
      </c>
      <c r="B8887" s="3">
        <v>1</v>
      </c>
    </row>
    <row r="8888" ht="15.75" customHeight="1" spans="1:2">
      <c r="A8888" s="3" t="str">
        <f>IFERROR(__xludf.DUMMYFUNCTION("GOOGLETRANSLATE(A8888,""en"",""pt"")"),"Brokeback mountain era bonita ...")</f>
        <v>Brokeback mountain era bonita ...</v>
      </c>
      <c r="B8888" s="3">
        <v>1</v>
      </c>
    </row>
    <row r="8889" ht="15.75" customHeight="1" spans="1:2">
      <c r="A8889" s="3" t="str">
        <f>IFERROR(__xludf.DUMMYFUNCTION("GOOGLETRANSLATE(A8889,""en"",""pt"")"),"Eu amo Brokeback Mountain.")</f>
        <v>Eu amo Brokeback Mountain.</v>
      </c>
      <c r="B8889" s="3">
        <v>1</v>
      </c>
    </row>
    <row r="8890" ht="15.75" customHeight="1" spans="1:2">
      <c r="A8890" s="3" t="str">
        <f>IFERROR(__xludf.DUMMYFUNCTION("GOOGLETRANSLATE(A8890,""en"",""pt"")"),"Eu amo Brokeback Mountain ....")</f>
        <v>Eu amo Brokeback Mountain ....</v>
      </c>
      <c r="B8890" s="3">
        <v>1</v>
      </c>
    </row>
    <row r="8891" ht="15.75" customHeight="1" spans="1:2">
      <c r="A8891" s="3" t="str">
        <f>IFERROR(__xludf.DUMMYFUNCTION("GOOGLETRANSLATE(A8891,""en"",""pt"")"),"Ele é como, 'Yeah eu comecei ACNE E eu amo Brokeback Mountain' ..")</f>
        <v>Ele é como, 'Yeah eu comecei ACNE E eu amo Brokeback Mountain' ..</v>
      </c>
      <c r="B8891" s="3">
        <v>1</v>
      </c>
    </row>
    <row r="8892" ht="15.75" customHeight="1" spans="1:2">
      <c r="A8892" s="3" t="str">
        <f>IFERROR(__xludf.DUMMYFUNCTION("GOOGLETRANSLATE(A8892,""en"",""pt"")"),"Brokeback Mountain foi tão incrível.")</f>
        <v>Brokeback Mountain foi tão incrível.</v>
      </c>
      <c r="B8892" s="3">
        <v>1</v>
      </c>
    </row>
    <row r="8893" ht="15.75" customHeight="1" spans="1:2">
      <c r="A8893" s="3" t="str">
        <f>IFERROR(__xludf.DUMMYFUNCTION("GOOGLETRANSLATE(A8893,""en"",""pt"")"),"Brokeback Mountain era um filme impressionante.")</f>
        <v>Brokeback Mountain era um filme impressionante.</v>
      </c>
      <c r="B8893" s="3">
        <v>1</v>
      </c>
    </row>
    <row r="8894" ht="15.75" customHeight="1" spans="1:2">
      <c r="A8894" s="3" t="str">
        <f>IFERROR(__xludf.DUMMYFUNCTION("GOOGLETRANSLATE(A8894,""en"",""pt"")"),"homem que eu amava montanha Brokeback!")</f>
        <v>homem que eu amava montanha Brokeback!</v>
      </c>
      <c r="B8894" s="3">
        <v>1</v>
      </c>
    </row>
    <row r="8895" ht="15.75" customHeight="1" spans="1:2">
      <c r="A8895" s="3" t="str">
        <f>IFERROR(__xludf.DUMMYFUNCTION("GOOGLETRANSLATE(A8895,""en"",""pt"")"),"dudeee Eu amei montanha Brokeback !!!!")</f>
        <v>dudeee Eu amei montanha Brokeback !!!!</v>
      </c>
      <c r="B8895" s="3">
        <v>1</v>
      </c>
    </row>
    <row r="8896" ht="15.75" customHeight="1" spans="1:2">
      <c r="A8896" s="3" t="str">
        <f>IFERROR(__xludf.DUMMYFUNCTION("GOOGLETRANSLATE(A8896,""en"",""pt"")"),"Ou eu AMOR Brokeback Mountain ou acho que é ótimo que a homossexualidade está se tornando mais aceitável !:")</f>
        <v>Ou eu AMOR Brokeback Mountain ou acho que é ótimo que a homossexualidade está se tornando mais aceitável !:</v>
      </c>
      <c r="B8896" s="3">
        <v>1</v>
      </c>
    </row>
    <row r="8897" ht="15.75" customHeight="1" spans="1:2">
      <c r="A8897" s="3" t="str">
        <f>IFERROR(__xludf.DUMMYFUNCTION("GOOGLETRANSLATE(A8897,""en"",""pt"")"),"De qualquer forma, é por isso que eu amo ""Brokeback Mountain.")</f>
        <v>De qualquer forma, é por isso que eu amo "Brokeback Mountain.</v>
      </c>
      <c r="B8897" s="3">
        <v>1</v>
      </c>
    </row>
    <row r="8898" ht="15.75" customHeight="1" spans="1:2">
      <c r="A8898" s="3" t="str">
        <f>IFERROR(__xludf.DUMMYFUNCTION("GOOGLETRANSLATE(A8898,""en"",""pt"")"),"Brokeback mountain era bonita ...")</f>
        <v>Brokeback mountain era bonita ...</v>
      </c>
      <c r="B8898" s="3">
        <v>1</v>
      </c>
    </row>
    <row r="8899" ht="15.75" customHeight="1" spans="1:2">
      <c r="A8899" s="3" t="str">
        <f>IFERROR(__xludf.DUMMYFUNCTION("GOOGLETRANSLATE(A8899,""en"",""pt"")"),"Eu amo Brokeback Mountain.")</f>
        <v>Eu amo Brokeback Mountain.</v>
      </c>
      <c r="B8899" s="3">
        <v>1</v>
      </c>
    </row>
    <row r="8900" ht="15.75" customHeight="1" spans="1:2">
      <c r="A8900" s="3" t="str">
        <f>IFERROR(__xludf.DUMMYFUNCTION("GOOGLETRANSLATE(A8900,""en"",""pt"")"),"Eu amo Brokeback Mountain ....")</f>
        <v>Eu amo Brokeback Mountain ....</v>
      </c>
      <c r="B8900" s="3">
        <v>1</v>
      </c>
    </row>
    <row r="8901" ht="15.75" customHeight="1" spans="1:2">
      <c r="A8901" s="3" t="str">
        <f>IFERROR(__xludf.DUMMYFUNCTION("GOOGLETRANSLATE(A8901,""en"",""pt"")"),"Ele é como, 'Yeah eu comecei ACNE E eu amo Brokeback Mountain' ..")</f>
        <v>Ele é como, 'Yeah eu comecei ACNE E eu amo Brokeback Mountain' ..</v>
      </c>
      <c r="B8901" s="3">
        <v>1</v>
      </c>
    </row>
    <row r="8902" ht="15.75" customHeight="1" spans="1:2">
      <c r="A8902" s="3" t="str">
        <f>IFERROR(__xludf.DUMMYFUNCTION("GOOGLETRANSLATE(A8902,""en"",""pt"")"),"Brokeback Mountain foi tão incrível.")</f>
        <v>Brokeback Mountain foi tão incrível.</v>
      </c>
      <c r="B8902" s="3">
        <v>1</v>
      </c>
    </row>
    <row r="8903" ht="15.75" customHeight="1" spans="1:2">
      <c r="A8903" s="3" t="s">
        <v>35</v>
      </c>
      <c r="B8903" s="3">
        <v>1</v>
      </c>
    </row>
    <row r="8904" ht="15.75" customHeight="1" spans="1:2">
      <c r="A8904" s="3" t="str">
        <f>IFERROR(__xludf.DUMMYFUNCTION("GOOGLETRANSLATE(A8904,""en"",""pt"")"),"homem que eu amava montanha Brokeback!")</f>
        <v>homem que eu amava montanha Brokeback!</v>
      </c>
      <c r="B8904" s="3">
        <v>1</v>
      </c>
    </row>
    <row r="8905" ht="15.75" customHeight="1" spans="1:2">
      <c r="A8905" s="3" t="str">
        <f>IFERROR(__xludf.DUMMYFUNCTION("GOOGLETRANSLATE(A8905,""en"",""pt"")"),"dudeee Eu amei montanha Brokeback !!!!")</f>
        <v>dudeee Eu amei montanha Brokeback !!!!</v>
      </c>
      <c r="B8905" s="3">
        <v>1</v>
      </c>
    </row>
    <row r="8906" ht="15.75" customHeight="1" spans="1:2">
      <c r="A8906" s="3" t="str">
        <f>IFERROR(__xludf.DUMMYFUNCTION("GOOGLETRANSLATE(A8906,""en"",""pt"")"),"Ou eu AMOR Brokeback Mountain ou acho que é ótimo que a homossexualidade está se tornando mais aceitável !:")</f>
        <v>Ou eu AMOR Brokeback Mountain ou acho que é ótimo que a homossexualidade está se tornando mais aceitável !:</v>
      </c>
      <c r="B8906" s="3">
        <v>1</v>
      </c>
    </row>
    <row r="8907" ht="15.75" customHeight="1" spans="1:2">
      <c r="A8907" s="3" t="str">
        <f>IFERROR(__xludf.DUMMYFUNCTION("GOOGLETRANSLATE(A8907,""en"",""pt"")"),"De qualquer forma, é por isso que eu amo ""Brokeback Mountain.")</f>
        <v>De qualquer forma, é por isso que eu amo "Brokeback Mountain.</v>
      </c>
      <c r="B8907" s="3">
        <v>1</v>
      </c>
    </row>
    <row r="8908" ht="15.75" customHeight="1" spans="1:2">
      <c r="A8908" s="3" t="str">
        <f>IFERROR(__xludf.DUMMYFUNCTION("GOOGLETRANSLATE(A8908,""en"",""pt"")"),"Brokeback mountain era bonita ...")</f>
        <v>Brokeback mountain era bonita ...</v>
      </c>
      <c r="B8908" s="3">
        <v>1</v>
      </c>
    </row>
    <row r="8909" ht="15.75" customHeight="1" spans="1:2">
      <c r="A8909" s="3" t="str">
        <f>IFERROR(__xludf.DUMMYFUNCTION("GOOGLETRANSLATE(A8909,""en"",""pt"")"),"Eu amo Brokeback Mountain.")</f>
        <v>Eu amo Brokeback Mountain.</v>
      </c>
      <c r="B8909" s="3">
        <v>1</v>
      </c>
    </row>
    <row r="8910" ht="15.75" customHeight="1" spans="1:2">
      <c r="A8910" s="3" t="str">
        <f>IFERROR(__xludf.DUMMYFUNCTION("GOOGLETRANSLATE(A8910,""en"",""pt"")"),"Eu amo Brokeback Mountain ....")</f>
        <v>Eu amo Brokeback Mountain ....</v>
      </c>
      <c r="B8910" s="3">
        <v>1</v>
      </c>
    </row>
    <row r="8911" ht="15.75" customHeight="1" spans="1:2">
      <c r="A8911" s="3" t="str">
        <f>IFERROR(__xludf.DUMMYFUNCTION("GOOGLETRANSLATE(A8911,""en"",""pt"")"),"Ele é como, 'Yeah eu comecei ACNE E eu amo Brokeback Mountain' ..")</f>
        <v>Ele é como, 'Yeah eu comecei ACNE E eu amo Brokeback Mountain' ..</v>
      </c>
      <c r="B8911" s="3">
        <v>1</v>
      </c>
    </row>
    <row r="8912" ht="15.75" customHeight="1" spans="1:2">
      <c r="A8912" s="3" t="str">
        <f>IFERROR(__xludf.DUMMYFUNCTION("GOOGLETRANSLATE(A8912,""en"",""pt"")"),"Brokeback Mountain foi tão incrível.")</f>
        <v>Brokeback Mountain foi tão incrível.</v>
      </c>
      <c r="B8912" s="3">
        <v>1</v>
      </c>
    </row>
    <row r="8913" ht="15.75" customHeight="1" spans="1:2">
      <c r="A8913" s="3" t="str">
        <f>IFERROR(__xludf.DUMMYFUNCTION("GOOGLETRANSLATE(A8913,""en"",""pt"")"),"Brokeback Mountain era um filme impressionante.")</f>
        <v>Brokeback Mountain era um filme impressionante.</v>
      </c>
      <c r="B8913" s="3">
        <v>1</v>
      </c>
    </row>
    <row r="8914" ht="15.75" customHeight="1" spans="1:2">
      <c r="A8914" s="3" t="str">
        <f>IFERROR(__xludf.DUMMYFUNCTION("GOOGLETRANSLATE(A8914,""en"",""pt"")"),"homem que eu amava montanha Brokeback!")</f>
        <v>homem que eu amava montanha Brokeback!</v>
      </c>
      <c r="B8914" s="3">
        <v>1</v>
      </c>
    </row>
    <row r="8915" ht="15.75" customHeight="1" spans="1:2">
      <c r="A8915" s="3" t="str">
        <f>IFERROR(__xludf.DUMMYFUNCTION("GOOGLETRANSLATE(A8915,""en"",""pt"")"),"dudeee Eu amei montanha Brokeback !!!!")</f>
        <v>dudeee Eu amei montanha Brokeback !!!!</v>
      </c>
      <c r="B8915" s="3">
        <v>1</v>
      </c>
    </row>
    <row r="8916" ht="15.75" customHeight="1" spans="1:2">
      <c r="A8916" s="3" t="str">
        <f>IFERROR(__xludf.DUMMYFUNCTION("GOOGLETRANSLATE(A8916,""en"",""pt"")"),"Ou eu AMOR Brokeback Mountain ou acho que é ótimo que a homossexualidade está se tornando mais aceitável !:")</f>
        <v>Ou eu AMOR Brokeback Mountain ou acho que é ótimo que a homossexualidade está se tornando mais aceitável !:</v>
      </c>
      <c r="B8916" s="3">
        <v>1</v>
      </c>
    </row>
    <row r="8917" ht="15.75" customHeight="1" spans="1:2">
      <c r="A8917" s="3" t="str">
        <f>IFERROR(__xludf.DUMMYFUNCTION("GOOGLETRANSLATE(A8917,""en"",""pt"")"),"De qualquer forma, é por isso que eu amo ""Brokeback Mountain.")</f>
        <v>De qualquer forma, é por isso que eu amo "Brokeback Mountain.</v>
      </c>
      <c r="B8917" s="3">
        <v>1</v>
      </c>
    </row>
    <row r="8918" ht="15.75" customHeight="1" spans="1:2">
      <c r="A8918" s="3" t="str">
        <f>IFERROR(__xludf.DUMMYFUNCTION("GOOGLETRANSLATE(A8918,""en"",""pt"")"),"Brokeback mountain era bonita ...")</f>
        <v>Brokeback mountain era bonita ...</v>
      </c>
      <c r="B8918" s="3">
        <v>1</v>
      </c>
    </row>
    <row r="8919" ht="15.75" customHeight="1" spans="1:2">
      <c r="A8919" s="3" t="str">
        <f>IFERROR(__xludf.DUMMYFUNCTION("GOOGLETRANSLATE(A8919,""en"",""pt"")"),"Eu amo Brokeback Mountain.")</f>
        <v>Eu amo Brokeback Mountain.</v>
      </c>
      <c r="B8919" s="3">
        <v>1</v>
      </c>
    </row>
    <row r="8920" ht="15.75" customHeight="1" spans="1:2">
      <c r="A8920" s="3" t="s">
        <v>37</v>
      </c>
      <c r="B8920" s="3">
        <v>1</v>
      </c>
    </row>
    <row r="8921" ht="15.75" customHeight="1" spans="1:2">
      <c r="A8921" s="3" t="str">
        <f>IFERROR(__xludf.DUMMYFUNCTION("GOOGLETRANSLATE(A8921,""en"",""pt"")"),"Ele é como, 'Yeah eu comecei ACNE E eu amo Brokeback Mountain' ..")</f>
        <v>Ele é como, 'Yeah eu comecei ACNE E eu amo Brokeback Mountain' ..</v>
      </c>
      <c r="B8921" s="3">
        <v>1</v>
      </c>
    </row>
    <row r="8922" ht="15.75" customHeight="1" spans="1:2">
      <c r="A8922" s="3" t="str">
        <f>IFERROR(__xludf.DUMMYFUNCTION("GOOGLETRANSLATE(A8922,""en"",""pt"")"),"Brokeback Mountain foi tão incrível.")</f>
        <v>Brokeback Mountain foi tão incrível.</v>
      </c>
      <c r="B8922" s="3">
        <v>1</v>
      </c>
    </row>
    <row r="8923" ht="15.75" customHeight="1" spans="1:2">
      <c r="A8923" s="3" t="str">
        <f>IFERROR(__xludf.DUMMYFUNCTION("GOOGLETRANSLATE(A8923,""en"",""pt"")"),"Brokeback Mountain era um filme impressionante.")</f>
        <v>Brokeback Mountain era um filme impressionante.</v>
      </c>
      <c r="B8923" s="3">
        <v>1</v>
      </c>
    </row>
    <row r="8924" ht="15.75" customHeight="1" spans="1:2">
      <c r="A8924" s="3" t="str">
        <f>IFERROR(__xludf.DUMMYFUNCTION("GOOGLETRANSLATE(A8924,""en"",""pt"")"),"homem que eu amava montanha Brokeback!")</f>
        <v>homem que eu amava montanha Brokeback!</v>
      </c>
      <c r="B8924" s="3">
        <v>1</v>
      </c>
    </row>
    <row r="8925" ht="15.75" customHeight="1" spans="1:2">
      <c r="A8925" s="3" t="str">
        <f>IFERROR(__xludf.DUMMYFUNCTION("GOOGLETRANSLATE(A8925,""en"",""pt"")"),"dudeee Eu amei montanha Brokeback !!!!")</f>
        <v>dudeee Eu amei montanha Brokeback !!!!</v>
      </c>
      <c r="B8925" s="3">
        <v>1</v>
      </c>
    </row>
    <row r="8926" ht="15.75" customHeight="1" spans="1:2">
      <c r="A8926" s="3" t="str">
        <f>IFERROR(__xludf.DUMMYFUNCTION("GOOGLETRANSLATE(A8926,""en"",""pt"")"),"Ou eu AMOR Brokeback Mountain ou acho que é ótimo que a homossexualidade está se tornando mais aceitável !:")</f>
        <v>Ou eu AMOR Brokeback Mountain ou acho que é ótimo que a homossexualidade está se tornando mais aceitável !:</v>
      </c>
      <c r="B8926" s="3">
        <v>1</v>
      </c>
    </row>
    <row r="8927" ht="15.75" customHeight="1" spans="1:2">
      <c r="A8927" s="3" t="str">
        <f>IFERROR(__xludf.DUMMYFUNCTION("GOOGLETRANSLATE(A8927,""en"",""pt"")"),"De qualquer forma, é por isso que eu amo ""Brokeback Mountain.")</f>
        <v>De qualquer forma, é por isso que eu amo "Brokeback Mountain.</v>
      </c>
      <c r="B8927" s="3">
        <v>1</v>
      </c>
    </row>
    <row r="8928" ht="15.75" customHeight="1" spans="1:2">
      <c r="A8928" s="3" t="str">
        <f>IFERROR(__xludf.DUMMYFUNCTION("GOOGLETRANSLATE(A8928,""en"",""pt"")"),"Brokeback mountain era bonita ...")</f>
        <v>Brokeback mountain era bonita ...</v>
      </c>
      <c r="B8928" s="3">
        <v>1</v>
      </c>
    </row>
    <row r="8929" ht="15.75" customHeight="1" spans="1:2">
      <c r="A8929" s="3" t="str">
        <f>IFERROR(__xludf.DUMMYFUNCTION("GOOGLETRANSLATE(A8929,""en"",""pt"")"),"Eu amo Brokeback Mountain.")</f>
        <v>Eu amo Brokeback Mountain.</v>
      </c>
      <c r="B8929" s="3">
        <v>1</v>
      </c>
    </row>
    <row r="8930" ht="15.75" customHeight="1" spans="1:2">
      <c r="A8930" s="3" t="str">
        <f>IFERROR(__xludf.DUMMYFUNCTION("GOOGLETRANSLATE(A8930,""en"",""pt"")"),"Eu amo Brokeback Mountain ....")</f>
        <v>Eu amo Brokeback Mountain ....</v>
      </c>
      <c r="B8930" s="3">
        <v>1</v>
      </c>
    </row>
    <row r="8931" ht="15.75" customHeight="1" spans="1:2">
      <c r="A8931" s="3" t="str">
        <f>IFERROR(__xludf.DUMMYFUNCTION("GOOGLETRANSLATE(A8931,""en"",""pt"")"),"Ele é como, 'Yeah eu comecei ACNE E eu amo Brokeback Mountain' ..")</f>
        <v>Ele é como, 'Yeah eu comecei ACNE E eu amo Brokeback Mountain' ..</v>
      </c>
      <c r="B8931" s="3">
        <v>1</v>
      </c>
    </row>
    <row r="8932" ht="15.75" customHeight="1" spans="1:2">
      <c r="A8932" s="3" t="str">
        <f>IFERROR(__xludf.DUMMYFUNCTION("GOOGLETRANSLATE(A8932,""en"",""pt"")"),"Brokeback Mountain foi tão incrível.")</f>
        <v>Brokeback Mountain foi tão incrível.</v>
      </c>
      <c r="B8932" s="3">
        <v>1</v>
      </c>
    </row>
    <row r="8933" ht="15.75" customHeight="1" spans="1:2">
      <c r="A8933" s="3" t="str">
        <f>IFERROR(__xludf.DUMMYFUNCTION("GOOGLETRANSLATE(A8933,""en"",""pt"")"),"Brokeback Mountain era um filme impressionante.")</f>
        <v>Brokeback Mountain era um filme impressionante.</v>
      </c>
      <c r="B8933" s="3">
        <v>1</v>
      </c>
    </row>
    <row r="8934" ht="15.75" customHeight="1" spans="1:2">
      <c r="A8934" s="3" t="str">
        <f>IFERROR(__xludf.DUMMYFUNCTION("GOOGLETRANSLATE(A8934,""en"",""pt"")"),"homem que eu amava montanha Brokeback!")</f>
        <v>homem que eu amava montanha Brokeback!</v>
      </c>
      <c r="B8934" s="3">
        <v>1</v>
      </c>
    </row>
    <row r="8935" ht="15.75" customHeight="1" spans="1:2">
      <c r="A8935" s="3" t="str">
        <f>IFERROR(__xludf.DUMMYFUNCTION("GOOGLETRANSLATE(A8935,""en"",""pt"")"),"dudeee Eu amei montanha Brokeback !!!!")</f>
        <v>dudeee Eu amei montanha Brokeback !!!!</v>
      </c>
      <c r="B8935" s="3">
        <v>1</v>
      </c>
    </row>
    <row r="8936" ht="15.75" customHeight="1" spans="1:2">
      <c r="A8936" s="3" t="str">
        <f>IFERROR(__xludf.DUMMYFUNCTION("GOOGLETRANSLATE(A8936,""en"",""pt"")"),"Ou eu AMOR Brokeback Mountain ou acho que é ótimo que a homossexualidade está se tornando mais aceitável !:")</f>
        <v>Ou eu AMOR Brokeback Mountain ou acho que é ótimo que a homossexualidade está se tornando mais aceitável !:</v>
      </c>
      <c r="B8936" s="3">
        <v>1</v>
      </c>
    </row>
    <row r="8937" ht="15.75" customHeight="1" spans="1:2">
      <c r="A8937" s="3" t="str">
        <f>IFERROR(__xludf.DUMMYFUNCTION("GOOGLETRANSLATE(A8937,""en"",""pt"")"),"De qualquer forma, é por isso que eu amo ""Brokeback Mountain.")</f>
        <v>De qualquer forma, é por isso que eu amo "Brokeback Mountain.</v>
      </c>
      <c r="B8937" s="3">
        <v>1</v>
      </c>
    </row>
    <row r="8938" ht="15.75" customHeight="1" spans="1:2">
      <c r="A8938" s="3" t="str">
        <f>IFERROR(__xludf.DUMMYFUNCTION("GOOGLETRANSLATE(A8938,""en"",""pt"")"),"Brokeback mountain era bonita ...")</f>
        <v>Brokeback mountain era bonita ...</v>
      </c>
      <c r="B8938" s="3">
        <v>1</v>
      </c>
    </row>
    <row r="8939" ht="15.75" customHeight="1" spans="1:2">
      <c r="A8939" s="3" t="str">
        <f>IFERROR(__xludf.DUMMYFUNCTION("GOOGLETRANSLATE(A8939,""en"",""pt"")"),"Eu amo Brokeback Mountain.")</f>
        <v>Eu amo Brokeback Mountain.</v>
      </c>
      <c r="B8939" s="3">
        <v>1</v>
      </c>
    </row>
    <row r="8940" ht="15.75" customHeight="1" spans="1:2">
      <c r="A8940" s="3" t="str">
        <f>IFERROR(__xludf.DUMMYFUNCTION("GOOGLETRANSLATE(A8940,""en"",""pt"")"),"Eu amo Brokeback Mountain ....")</f>
        <v>Eu amo Brokeback Mountain ....</v>
      </c>
      <c r="B8940" s="3">
        <v>1</v>
      </c>
    </row>
    <row r="8941" ht="15.75" customHeight="1" spans="1:2">
      <c r="A8941" s="3" t="str">
        <f>IFERROR(__xludf.DUMMYFUNCTION("GOOGLETRANSLATE(A8941,""en"",""pt"")"),"Ele é como, 'Yeah eu comecei ACNE E eu amo Brokeback Mountain' ..")</f>
        <v>Ele é como, 'Yeah eu comecei ACNE E eu amo Brokeback Mountain' ..</v>
      </c>
      <c r="B8941" s="3">
        <v>1</v>
      </c>
    </row>
    <row r="8942" ht="15.75" customHeight="1" spans="1:2">
      <c r="A8942" s="3" t="str">
        <f>IFERROR(__xludf.DUMMYFUNCTION("GOOGLETRANSLATE(A8942,""en"",""pt"")"),"Brokeback Mountain foi tão incrível.")</f>
        <v>Brokeback Mountain foi tão incrível.</v>
      </c>
      <c r="B8942" s="3">
        <v>1</v>
      </c>
    </row>
    <row r="8943" ht="15.75" customHeight="1" spans="1:2">
      <c r="A8943" s="3" t="str">
        <f>IFERROR(__xludf.DUMMYFUNCTION("GOOGLETRANSLATE(A8943,""en"",""pt"")"),"Brokeback Mountain era um filme impressionante.")</f>
        <v>Brokeback Mountain era um filme impressionante.</v>
      </c>
      <c r="B8943" s="3">
        <v>1</v>
      </c>
    </row>
    <row r="8944" ht="15.75" customHeight="1" spans="1:2">
      <c r="A8944" s="3" t="str">
        <f>IFERROR(__xludf.DUMMYFUNCTION("GOOGLETRANSLATE(A8944,""en"",""pt"")"),"homem que eu amava montanha Brokeback!")</f>
        <v>homem que eu amava montanha Brokeback!</v>
      </c>
      <c r="B8944" s="3">
        <v>1</v>
      </c>
    </row>
    <row r="8945" ht="15.75" customHeight="1" spans="1:2">
      <c r="A8945" s="3" t="str">
        <f>IFERROR(__xludf.DUMMYFUNCTION("GOOGLETRANSLATE(A8945,""en"",""pt"")"),"dudeee Eu amei montanha Brokeback !!!!")</f>
        <v>dudeee Eu amei montanha Brokeback !!!!</v>
      </c>
      <c r="B8945" s="3">
        <v>1</v>
      </c>
    </row>
    <row r="8946" ht="15.75" customHeight="1" spans="1:2">
      <c r="A8946" s="3" t="str">
        <f>IFERROR(__xludf.DUMMYFUNCTION("GOOGLETRANSLATE(A8946,""en"",""pt"")"),"Ou eu AMOR Brokeback Mountain ou acho que é ótimo que a homossexualidade está se tornando mais aceitável !:")</f>
        <v>Ou eu AMOR Brokeback Mountain ou acho que é ótimo que a homossexualidade está se tornando mais aceitável !:</v>
      </c>
      <c r="B8946" s="3">
        <v>1</v>
      </c>
    </row>
    <row r="8947" ht="15.75" customHeight="1" spans="1:2">
      <c r="A8947" s="3" t="str">
        <f>IFERROR(__xludf.DUMMYFUNCTION("GOOGLETRANSLATE(A8947,""en"",""pt"")"),"De qualquer forma, é por isso que eu amo ""Brokeback Mountain.")</f>
        <v>De qualquer forma, é por isso que eu amo "Brokeback Mountain.</v>
      </c>
      <c r="B8947" s="3">
        <v>1</v>
      </c>
    </row>
    <row r="8948" ht="15.75" customHeight="1" spans="1:2">
      <c r="A8948" s="3" t="str">
        <f>IFERROR(__xludf.DUMMYFUNCTION("GOOGLETRANSLATE(A8948,""en"",""pt"")"),"Brokeback mountain era bonita ...")</f>
        <v>Brokeback mountain era bonita ...</v>
      </c>
      <c r="B8948" s="3">
        <v>1</v>
      </c>
    </row>
    <row r="8949" ht="15.75" customHeight="1" spans="1:2">
      <c r="A8949" s="3" t="str">
        <f>IFERROR(__xludf.DUMMYFUNCTION("GOOGLETRANSLATE(A8949,""en"",""pt"")"),"Código Da Vinci era um filme terrível.")</f>
        <v>Código Da Vinci era um filme terrível.</v>
      </c>
      <c r="B8949" s="3">
        <v>0</v>
      </c>
    </row>
    <row r="8950" ht="15.75" customHeight="1" spans="1:2">
      <c r="A8950" s="3" t="str">
        <f>IFERROR(__xludf.DUMMYFUNCTION("GOOGLETRANSLATE(A8950,""en"",""pt"")"),"Então, novamente, o código Da Vinci é filme de super merda, e ele fez como 700 milhões.")</f>
        <v>Então, novamente, o código Da Vinci é filme de super merda, e ele fez como 700 milhões.</v>
      </c>
      <c r="B8950" s="3">
        <v>0</v>
      </c>
    </row>
    <row r="8951" ht="15.75" customHeight="1" spans="1:2">
      <c r="A8951" s="3" t="str">
        <f>IFERROR(__xludf.DUMMYFUNCTION("GOOGLETRANSLATE(A8951,""en"",""pt"")"),"O Código Da Vinci sai amanhã, que é uma porcaria.")</f>
        <v>O Código Da Vinci sai amanhã, que é uma porcaria.</v>
      </c>
      <c r="B8951" s="3">
        <v>0</v>
      </c>
    </row>
    <row r="8952" ht="15.75" customHeight="1" spans="1:2">
      <c r="A8952" s="3" t="str">
        <f>IFERROR(__xludf.DUMMYFUNCTION("GOOGLETRANSLATE(A8952,""en"",""pt"")"),"eu pensei que o filme Código Da Vinci foi muito chato.")</f>
        <v>eu pensei que o filme Código Da Vinci foi muito chato.</v>
      </c>
      <c r="B8952" s="3">
        <v>0</v>
      </c>
    </row>
    <row r="8953" ht="15.75" customHeight="1" spans="1:2">
      <c r="A8953" s="3" t="str">
        <f>IFERROR(__xludf.DUMMYFUNCTION("GOOGLETRANSLATE(A8953,""en"",""pt"")"),"Deus, o Yahoo Games tem esse olhar pele com temas Código verdadeiramente terrível Da Vinci, por si tabuleiro de xadrez agora.")</f>
        <v>Deus, o Yahoo Games tem esse olhar pele com temas Código verdadeiramente terrível Da Vinci, por si tabuleiro de xadrez agora.</v>
      </c>
      <c r="B8953" s="3">
        <v>0</v>
      </c>
    </row>
    <row r="8954" ht="15.75" customHeight="1" spans="1:2">
      <c r="A8954" s="3" t="str">
        <f>IFERROR(__xludf.DUMMYFUNCTION("GOOGLETRANSLATE(A8954,""en"",""pt"")"),"Código Da Vinci faz chupar.")</f>
        <v>Código Da Vinci faz chupar.</v>
      </c>
      <c r="B8954" s="3">
        <v>0</v>
      </c>
    </row>
    <row r="8955" ht="15.75" customHeight="1" spans="1:2">
      <c r="A8955" s="3" t="str">
        <f>IFERROR(__xludf.DUMMYFUNCTION("GOOGLETRANSLATE(A8955,""en"",""pt"")"),"E melhor ...- Nós todos sabemos código Da Vinci é falso e impreciso.")</f>
        <v>E melhor ...- Nós todos sabemos código Da Vinci é falso e impreciso.</v>
      </c>
      <c r="B8955" s="3">
        <v>0</v>
      </c>
    </row>
    <row r="8956" ht="15.75" customHeight="1" spans="1:2">
      <c r="A8956" s="3" t="str">
        <f>IFERROR(__xludf.DUMMYFUNCTION("GOOGLETRANSLATE(A8956,""en"",""pt"")"),"Da última vez, o código de Da Vinci também é um pouco decepcionante para mim, porque muitas coisas escritas no livro nunca é mencionado no filme.")</f>
        <v>Da última vez, o código de Da Vinci também é um pouco decepcionante para mim, porque muitas coisas escritas no livro nunca é mencionado no filme.</v>
      </c>
      <c r="B8956" s="3">
        <v>0</v>
      </c>
    </row>
    <row r="8957" ht="15.75" customHeight="1" spans="1:2">
      <c r="A8957" s="3" t="str">
        <f>IFERROR(__xludf.DUMMYFUNCTION("GOOGLETRANSLATE(A8957,""en"",""pt"")"),"E melhor ...- Nós todos sabemos código Da Vinci é falso e impreciso.")</f>
        <v>E melhor ...- Nós todos sabemos código Da Vinci é falso e impreciso.</v>
      </c>
      <c r="B8957" s="3">
        <v>0</v>
      </c>
    </row>
    <row r="8958" ht="15.75" customHeight="1" spans="1:2">
      <c r="A8958" s="3" t="str">
        <f>IFERROR(__xludf.DUMMYFUNCTION("GOOGLETRANSLATE(A8958,""en"",""pt"")"),"E melhor ..- Nós todos sabemos código Da Vinci é falso e impreciso.")</f>
        <v>E melhor ..- Nós todos sabemos código Da Vinci é falso e impreciso.</v>
      </c>
      <c r="B8958" s="3">
        <v>0</v>
      </c>
    </row>
    <row r="8959" ht="15.75" customHeight="1" spans="1:2">
      <c r="A8959" s="3" t="str">
        <f>IFERROR(__xludf.DUMMYFUNCTION("GOOGLETRANSLATE(A8959,""en"",""pt"")"),"E melhor ..- Nós todos sabemos código Da Vinci é falso e impreciso.")</f>
        <v>E melhor ..- Nós todos sabemos código Da Vinci é falso e impreciso.</v>
      </c>
      <c r="B8959" s="3">
        <v>0</v>
      </c>
    </row>
    <row r="8960" ht="15.75" customHeight="1" spans="1:2">
      <c r="A8960" s="3" t="str">
        <f>IFERROR(__xludf.DUMMYFUNCTION("GOOGLETRANSLATE(A8960,""en"",""pt"")"),"Se Jesus é fabricado a la do Código Da Vinci, em seguida, o cristianismo é inútil ...")</f>
        <v>Se Jesus é fabricado a la do Código Da Vinci, em seguida, o cristianismo é inútil ...</v>
      </c>
      <c r="B8960" s="3">
        <v>0</v>
      </c>
    </row>
    <row r="8961" ht="15.75" customHeight="1" spans="1:2">
      <c r="A8961" s="3" t="str">
        <f>IFERROR(__xludf.DUMMYFUNCTION("GOOGLETRANSLATE(A8961,""en"",""pt"")"),"Eu acho que isso reforça os meus argumentos de que tanto a Inglaterra e o Código Da Vinci é uma porcaria ...")</f>
        <v>Eu acho que isso reforça os meus argumentos de que tanto a Inglaterra e o Código Da Vinci é uma porcaria ...</v>
      </c>
      <c r="B8961" s="3">
        <v>0</v>
      </c>
    </row>
    <row r="8962" ht="15.75" customHeight="1" spans="1:2">
      <c r="A8962" s="3" t="str">
        <f>IFERROR(__xludf.DUMMYFUNCTION("GOOGLETRANSLATE(A8962,""en"",""pt"")"),"E melhor ..- Nós todos sabemos código Da Vinci é falso e impreciso.")</f>
        <v>E melhor ..- Nós todos sabemos código Da Vinci é falso e impreciso.</v>
      </c>
      <c r="B8962" s="3">
        <v>0</v>
      </c>
    </row>
    <row r="8963" ht="15.75" customHeight="1" spans="1:2">
      <c r="A8963" s="3" t="str">
        <f>IFERROR(__xludf.DUMMYFUNCTION("GOOGLETRANSLATE(A8963,""en"",""pt"")"),"Eu realmente odeio O Código Da Vinci.")</f>
        <v>Eu realmente odeio O Código Da Vinci.</v>
      </c>
      <c r="B8963" s="3">
        <v>0</v>
      </c>
    </row>
    <row r="8964" ht="15.75" customHeight="1" spans="1:2">
      <c r="A8964" s="3" t="str">
        <f>IFERROR(__xludf.DUMMYFUNCTION("GOOGLETRANSLATE(A8964,""en"",""pt"")"),"Quanto mais você diz O Código Da Vinci é o mal, mais as pessoas vão lê-lo.")</f>
        <v>Quanto mais você diz O Código Da Vinci é o mal, mais as pessoas vão lê-lo.</v>
      </c>
      <c r="B8964" s="3">
        <v>0</v>
      </c>
    </row>
    <row r="8965" ht="15.75" customHeight="1" spans="1:2">
      <c r="A8965" s="3" t="str">
        <f>IFERROR(__xludf.DUMMYFUNCTION("GOOGLETRANSLATE(A8965,""en"",""pt"")"),"Código Da Vinci sugado muito longo e muito lento .....")</f>
        <v>Código Da Vinci sugado muito longo e muito lento .....</v>
      </c>
      <c r="B8965" s="3">
        <v>0</v>
      </c>
    </row>
    <row r="8966" ht="15.75" customHeight="1" spans="1:2">
      <c r="A8966" s="3" t="str">
        <f>IFERROR(__xludf.DUMMYFUNCTION("GOOGLETRANSLATE(A8966,""en"",""pt"")"),"Código Da Vinci sugado, como esperado.")</f>
        <v>Código Da Vinci sugado, como esperado.</v>
      </c>
      <c r="B8966" s="3">
        <v>0</v>
      </c>
    </row>
    <row r="8967" ht="15.75" customHeight="1" spans="1:2">
      <c r="A8967" s="3" t="str">
        <f>IFERROR(__xludf.DUMMYFUNCTION("GOOGLETRANSLATE(A8967,""en"",""pt"")"),"não tenho certeza se eu já jogou isso em você, mas eu odeio o Código Da Vinci.")</f>
        <v>não tenho certeza se eu já jogou isso em você, mas eu odeio o Código Da Vinci.</v>
      </c>
      <c r="B8967" s="3">
        <v>0</v>
      </c>
    </row>
    <row r="8968" ht="15.75" customHeight="1" spans="1:2">
      <c r="A8968" s="3" t="str">
        <f>IFERROR(__xludf.DUMMYFUNCTION("GOOGLETRANSLATE(A8968,""en"",""pt"")"),"É por isso que eu odeio o Código Da Vinci: porque leva nada, mas um fenômeno da cultura pop porra levar as pessoas a questionar as coisas.")</f>
        <v>É por isso que eu odeio o Código Da Vinci: porque leva nada, mas um fenômeno da cultura pop porra levar as pessoas a questionar as coisas.</v>
      </c>
      <c r="B8968" s="3">
        <v>0</v>
      </c>
    </row>
    <row r="8969" ht="15.75" customHeight="1" spans="1:2">
      <c r="A8969" s="3" t="str">
        <f>IFERROR(__xludf.DUMMYFUNCTION("GOOGLETRANSLATE(A8969,""en"",""pt"")"),"Eu odeio o Código Da Vinci, mas eu posso ver o filme por Audrey Tautou ...")</f>
        <v>Eu odeio o Código Da Vinci, mas eu posso ver o filme por Audrey Tautou ...</v>
      </c>
      <c r="B8969" s="3">
        <v>0</v>
      </c>
    </row>
    <row r="8970" ht="15.75" customHeight="1" spans="1:2">
      <c r="A8970" s="3" t="str">
        <f>IFERROR(__xludf.DUMMYFUNCTION("GOOGLETRANSLATE(A8970,""en"",""pt"")"),"Código Da Vinci realmente fez chupar e parabéns batendo Jay deve de sido assim tempo no Rickards quando nós vencê-los na final.")</f>
        <v>Código Da Vinci realmente fez chupar e parabéns batendo Jay deve de sido assim tempo no Rickards quando nós vencê-los na final.</v>
      </c>
      <c r="B8970" s="3">
        <v>0</v>
      </c>
    </row>
    <row r="8971" ht="15.75" customHeight="1" spans="1:2">
      <c r="A8971" s="3" t="str">
        <f>IFERROR(__xludf.DUMMYFUNCTION("GOOGLETRANSLATE(A8971,""en"",""pt"")"),"O Código Da Vinci é uma porcaria.")</f>
        <v>O Código Da Vinci é uma porcaria.</v>
      </c>
      <c r="B8971" s="3">
        <v>0</v>
      </c>
    </row>
    <row r="8972" ht="15.75" customHeight="1" spans="1:2">
      <c r="A8972" s="3" t="str">
        <f>IFERROR(__xludf.DUMMYFUNCTION("GOOGLETRANSLATE(A8972,""en"",""pt"")"),"e também, O Código Da Vinci é mal escrito e chato ..")</f>
        <v>e também, O Código Da Vinci é mal escrito e chato ..</v>
      </c>
      <c r="B8972" s="3">
        <v>0</v>
      </c>
    </row>
    <row r="8973" ht="15.75" customHeight="1" spans="1:2">
      <c r="A8973" s="3" t="str">
        <f>IFERROR(__xludf.DUMMYFUNCTION("GOOGLETRANSLATE(A8973,""en"",""pt"")"),"Eu odiava O Código Da Vinci.")</f>
        <v>Eu odiava O Código Da Vinci.</v>
      </c>
      <c r="B8973" s="3">
        <v>0</v>
      </c>
    </row>
    <row r="8974" ht="15.75" customHeight="1" spans="1:2">
      <c r="A8974" s="3" t="str">
        <f>IFERROR(__xludf.DUMMYFUNCTION("GOOGLETRANSLATE(A8974,""en"",""pt"")"),"Eu odeio o Código Da Vinci, mas eu posso ver o filme por Audrey Tautou ...")</f>
        <v>Eu odeio o Código Da Vinci, mas eu posso ver o filme por Audrey Tautou ...</v>
      </c>
      <c r="B8974" s="3">
        <v>0</v>
      </c>
    </row>
    <row r="8975" ht="15.75" customHeight="1" spans="1:2">
      <c r="A8975" s="3" t="str">
        <f>IFERROR(__xludf.DUMMYFUNCTION("GOOGLETRANSLATE(A8975,""en"",""pt"")"),"Eu sei Código Da Vinci vai chupar.")</f>
        <v>Eu sei Código Da Vinci vai chupar.</v>
      </c>
      <c r="B8975" s="3">
        <v>0</v>
      </c>
    </row>
    <row r="8976" ht="15.75" customHeight="1" spans="1:2">
      <c r="A8976" s="3" t="str">
        <f>IFERROR(__xludf.DUMMYFUNCTION("GOOGLETRANSLATE(A8976,""en"",""pt"")"),"O Código Da Vinci é uma porcaria ..")</f>
        <v>O Código Da Vinci é uma porcaria ..</v>
      </c>
      <c r="B8976" s="3">
        <v>0</v>
      </c>
    </row>
    <row r="8977" ht="15.75" customHeight="1" spans="1:2">
      <c r="A8977" s="3" t="str">
        <f>IFERROR(__xludf.DUMMYFUNCTION("GOOGLETRANSLATE(A8977,""en"",""pt"")"),"Eu também acho que O Código Da Vinci sugado bolas e é o pior pedaço de merda que eu já li.")</f>
        <v>Eu também acho que O Código Da Vinci sugado bolas e é o pior pedaço de merda que eu já li.</v>
      </c>
      <c r="B8977" s="3">
        <v>0</v>
      </c>
    </row>
    <row r="8978" ht="15.75" customHeight="1" spans="1:2">
      <c r="A8978" s="3" t="str">
        <f>IFERROR(__xludf.DUMMYFUNCTION("GOOGLETRANSLATE(A8978,""en"",""pt"")"),"Graças a Deus, alguém tem sentido eu odeio O Código Da Vinci.")</f>
        <v>Graças a Deus, alguém tem sentido eu odeio O Código Da Vinci.</v>
      </c>
      <c r="B8978" s="3">
        <v>0</v>
      </c>
    </row>
    <row r="8979" ht="15.75" customHeight="1" spans="1:2">
      <c r="A8979" s="3" t="str">
        <f>IFERROR(__xludf.DUMMYFUNCTION("GOOGLETRANSLATE(A8979,""en"",""pt"")"),"RACHEL Você poderia me disse que seus nans um libarian antes eu disse que hated'The Código Da Vinci '!!")</f>
        <v>RACHEL Você poderia me disse que seus nans um libarian antes eu disse que hated'The Código Da Vinci '!!</v>
      </c>
      <c r="B8979" s="3">
        <v>0</v>
      </c>
    </row>
    <row r="8980" ht="15.75" customHeight="1" spans="1:2">
      <c r="A8980" s="3" t="str">
        <f>IFERROR(__xludf.DUMMYFUNCTION("GOOGLETRANSLATE(A8980,""en"",""pt"")"),"O código Da Vinci é uma porcaria e também é um torneiro ...")</f>
        <v>O código Da Vinci é uma porcaria e também é um torneiro ...</v>
      </c>
      <c r="B8980" s="3">
        <v>0</v>
      </c>
    </row>
    <row r="8981" ht="15.75" customHeight="1" spans="1:2">
      <c r="A8981" s="3" t="str">
        <f>IFERROR(__xludf.DUMMYFUNCTION("GOOGLETRANSLATE(A8981,""en"",""pt"")"),"em seguida, foi o Código Da Vinci, que sugou muito ruim.")</f>
        <v>em seguida, foi o Código Da Vinci, que sugou muito ruim.</v>
      </c>
      <c r="B8981" s="3">
        <v>0</v>
      </c>
    </row>
    <row r="8982" ht="15.75" customHeight="1" spans="1:2">
      <c r="A8982" s="3" t="str">
        <f>IFERROR(__xludf.DUMMYFUNCTION("GOOGLETRANSLATE(A8982,""en"",""pt"")"),"mas seja o que for ,. Eu realmente odeio o código da vinci ..")</f>
        <v>mas seja o que for ,. Eu realmente odeio o código da vinci ..</v>
      </c>
      <c r="B8982" s="3">
        <v>0</v>
      </c>
    </row>
    <row r="8983" ht="15.75" customHeight="1" spans="1:2">
      <c r="A8983" s="3" t="str">
        <f>IFERROR(__xludf.DUMMYFUNCTION("GOOGLETRANSLATE(A8983,""en"",""pt"")"),"Eu odiava O Código Da Vinci.")</f>
        <v>Eu odiava O Código Da Vinci.</v>
      </c>
      <c r="B8983" s="3">
        <v>0</v>
      </c>
    </row>
    <row r="8984" ht="15.75" customHeight="1" spans="1:2">
      <c r="A8984" s="3" t="str">
        <f>IFERROR(__xludf.DUMMYFUNCTION("GOOGLETRANSLATE(A8984,""en"",""pt"")"),"Eu odiava O Código Da Vinci.")</f>
        <v>Eu odiava O Código Da Vinci.</v>
      </c>
      <c r="B8984" s="3">
        <v>0</v>
      </c>
    </row>
    <row r="8985" ht="15.75" customHeight="1" spans="1:2">
      <c r="A8985" s="3" t="str">
        <f>IFERROR(__xludf.DUMMYFUNCTION("GOOGLETRANSLATE(A8985,""en"",""pt"")"),"o código da vinci suga btw ..")</f>
        <v>o código da vinci suga btw ..</v>
      </c>
      <c r="B8985" s="3">
        <v>0</v>
      </c>
    </row>
    <row r="8986" ht="15.75" customHeight="1" spans="1:2">
      <c r="A8986" s="3" t="str">
        <f>IFERROR(__xludf.DUMMYFUNCTION("GOOGLETRANSLATE(A8986,""en"",""pt"")"),"Eu odeio o Código Da Vinci ..")</f>
        <v>Eu odeio o Código Da Vinci ..</v>
      </c>
      <c r="B8986" s="3">
        <v>0</v>
      </c>
    </row>
    <row r="8987" ht="15.75" customHeight="1" spans="1:2">
      <c r="A8987" s="3" t="str">
        <f>IFERROR(__xludf.DUMMYFUNCTION("GOOGLETRANSLATE(A8987,""en"",""pt"")"),"Porra eu odiava o código da vinci.")</f>
        <v>Porra eu odiava o código da vinci.</v>
      </c>
      <c r="B8987" s="3">
        <v>0</v>
      </c>
    </row>
    <row r="8988" ht="15.75" customHeight="1" spans="1:2">
      <c r="A8988" s="3" t="str">
        <f>IFERROR(__xludf.DUMMYFUNCTION("GOOGLETRANSLATE(A8988,""en"",""pt"")"),"Ok, então o filme Código Da Vinci sugado incrivelmente ,. (Exceto a parte foram vemos Paulo Bentlys bumbum, que teve calma meio ..")</f>
        <v>Ok, então o filme Código Da Vinci sugado incrivelmente ,. (Exceto a parte foram vemos Paulo Bentlys bumbum, que teve calma meio ..</v>
      </c>
      <c r="B8988" s="3">
        <v>0</v>
      </c>
    </row>
    <row r="8989" ht="15.75" customHeight="1" spans="1:2">
      <c r="A8989" s="3" t="str">
        <f>IFERROR(__xludf.DUMMYFUNCTION("GOOGLETRANSLATE(A8989,""en"",""pt"")"),"queríamos para assistir ""O Código Da Vinci"", mas os horários sugado então acabamos indo fer ""Runaway Vacation"", que é um filme realmente bom ..!")</f>
        <v>queríamos para assistir "O Código Da Vinci", mas os horários sugado então acabamos indo fer "Runaway Vacation", que é um filme realmente bom ..!</v>
      </c>
      <c r="B8989" s="3">
        <v>0</v>
      </c>
    </row>
    <row r="8990" ht="15.75" customHeight="1" spans="1:2">
      <c r="A8990" s="3" t="str">
        <f>IFERROR(__xludf.DUMMYFUNCTION("GOOGLETRANSLATE(A8990,""en"",""pt"")"),"Tive uma conversa interessante com um dos professores que trabalham para sobre como Código Da Vinci é uma porcaria ...")</f>
        <v>Tive uma conversa interessante com um dos professores que trabalham para sobre como Código Da Vinci é uma porcaria ...</v>
      </c>
      <c r="B8990" s="3">
        <v>0</v>
      </c>
    </row>
    <row r="8991" ht="15.75" customHeight="1" spans="1:2">
      <c r="A8991" s="3" t="str">
        <f>IFERROR(__xludf.DUMMYFUNCTION("GOOGLETRANSLATE(A8991,""en"",""pt"")"),"ERM Código Da Vinci e chupado ...")</f>
        <v>ERM Código Da Vinci e chupado ...</v>
      </c>
      <c r="B8991" s="3">
        <v>0</v>
      </c>
    </row>
    <row r="8992" ht="15.75" customHeight="1" spans="1:2">
      <c r="A8992" s="3" t="str">
        <f>IFERROR(__xludf.DUMMYFUNCTION("GOOGLETRANSLATE(A8992,""en"",""pt"")"),"ERM Código Da Vinci e chupado ..")</f>
        <v>ERM Código Da Vinci e chupado ..</v>
      </c>
      <c r="B8992" s="3">
        <v>0</v>
      </c>
    </row>
    <row r="8993" ht="15.75" customHeight="1" spans="1:2">
      <c r="A8993" s="3" t="str">
        <f>IFERROR(__xludf.DUMMYFUNCTION("GOOGLETRANSLATE(A8993,""en"",""pt"")"),"ERM Código Da Vinci e chupado.")</f>
        <v>ERM Código Da Vinci e chupado.</v>
      </c>
      <c r="B8993" s="3">
        <v>0</v>
      </c>
    </row>
    <row r="8994" ht="15.75" customHeight="1" spans="1:2">
      <c r="A8994" s="3" t="str">
        <f>IFERROR(__xludf.DUMMYFUNCTION("GOOGLETRANSLATE(A8994,""en"",""pt"")"),"I overslept embora assim Jenn e eu não consegui ver o código da vinci que sugado e agora eu não tenho dinheiro então sim talvez mais tarde.")</f>
        <v>I overslept embora assim Jenn e eu não consegui ver o código da vinci que sugado e agora eu não tenho dinheiro então sim talvez mais tarde.</v>
      </c>
      <c r="B8994" s="3">
        <v>0</v>
      </c>
    </row>
    <row r="8995" ht="15.75" customHeight="1" spans="1:2">
      <c r="A8995" s="3" t="str">
        <f>IFERROR(__xludf.DUMMYFUNCTION("GOOGLETRANSLATE(A8995,""en"",""pt"")"),"CÓDIGO DA VINCI-SUGADO BALLZ.")</f>
        <v>CÓDIGO DA VINCI-SUGADO BALLZ.</v>
      </c>
      <c r="B8995" s="3">
        <v>0</v>
      </c>
    </row>
    <row r="8996" ht="15.75" customHeight="1" spans="1:2">
      <c r="A8996" s="3" t="str">
        <f>IFERROR(__xludf.DUMMYFUNCTION("GOOGLETRANSLATE(A8996,""en"",""pt"")"),"bem CÓDIGO DA VINCI SUGA !!")</f>
        <v>bem CÓDIGO DA VINCI SUGA !!</v>
      </c>
      <c r="B8996" s="3">
        <v>0</v>
      </c>
    </row>
    <row r="8997" ht="15.75" customHeight="1" spans="1:2">
      <c r="A8997" s="3" t="str">
        <f>IFERROR(__xludf.DUMMYFUNCTION("GOOGLETRANSLATE(A8997,""en"",""pt"")"),"O Código Da Vinci sugado ass se você está se perguntando.")</f>
        <v>O Código Da Vinci sugado ass se você está se perguntando.</v>
      </c>
      <c r="B8997" s="3">
        <v>0</v>
      </c>
    </row>
    <row r="8998" ht="15.75" customHeight="1" spans="1:2">
      <c r="A8998" s="3" t="str">
        <f>IFERROR(__xludf.DUMMYFUNCTION("GOOGLETRANSLATE(A8998,""en"",""pt"")"),"Deus, eu apenas pensei que eu odiava o código da vinci, agora eu vejo como muito errado eu estava ...")</f>
        <v>Deus, eu apenas pensei que eu odiava o código da vinci, agora eu vejo como muito errado eu estava ...</v>
      </c>
      <c r="B8998" s="3">
        <v>0</v>
      </c>
    </row>
    <row r="8999" ht="15.75" customHeight="1" spans="1:2">
      <c r="A8999" s="3" t="str">
        <f>IFERROR(__xludf.DUMMYFUNCTION("GOOGLETRANSLATE(A8999,""en"",""pt"")"),"Código Da Vinci é uma porcaria ...")</f>
        <v>Código Da Vinci é uma porcaria ...</v>
      </c>
      <c r="B8999" s="3">
        <v>0</v>
      </c>
    </row>
    <row r="9000" ht="15.75" customHeight="1" spans="1:2">
      <c r="A9000" s="3" t="str">
        <f>IFERROR(__xludf.DUMMYFUNCTION("GOOGLETRANSLATE(A9000,""en"",""pt"")"),"Eu odeio o Código Da Vinci, mas eu posso ver o filme por Audrey Tautou ...")</f>
        <v>Eu odeio o Código Da Vinci, mas eu posso ver o filme por Audrey Tautou ...</v>
      </c>
      <c r="B9000" s="3">
        <v>0</v>
      </c>
    </row>
    <row r="9001" ht="15.75" customHeight="1" spans="1:2">
      <c r="A9001" s="3" t="str">
        <f>IFERROR(__xludf.DUMMYFUNCTION("GOOGLETRANSLATE(A9001,""en"",""pt"")"),"sobre o quanto eu odeio o código da vinci.")</f>
        <v>sobre o quanto eu odeio o código da vinci.</v>
      </c>
      <c r="B9001" s="3">
        <v>0</v>
      </c>
    </row>
    <row r="9002" ht="15.75" customHeight="1" spans="1:2">
      <c r="A9002" s="3" t="str">
        <f>IFERROR(__xludf.DUMMYFUNCTION("GOOGLETRANSLATE(A9002,""en"",""pt"")"),"E eu absolutamente detesto o Código Da Vinci.")</f>
        <v>E eu absolutamente detesto o Código Da Vinci.</v>
      </c>
      <c r="B9002" s="3">
        <v>0</v>
      </c>
    </row>
    <row r="9003" ht="15.75" customHeight="1" spans="1:2">
      <c r="A9003" s="3" t="str">
        <f>IFERROR(__xludf.DUMMYFUNCTION("GOOGLETRANSLATE(A9003,""en"",""pt"")"),"Eu odiava o código da vinci ...")</f>
        <v>Eu odiava o código da vinci ...</v>
      </c>
      <c r="B9003" s="3">
        <v>0</v>
      </c>
    </row>
    <row r="9004" ht="15.75" customHeight="1" spans="1:2">
      <c r="A9004" s="3" t="str">
        <f>IFERROR(__xludf.DUMMYFUNCTION("GOOGLETRANSLATE(A9004,""en"",""pt"")"),"O Código Da Vinci sugado, para que você não perca nada especial.")</f>
        <v>O Código Da Vinci sugado, para que você não perca nada especial.</v>
      </c>
      <c r="B9004" s="3">
        <v>0</v>
      </c>
    </row>
    <row r="9005" ht="15.75" customHeight="1" spans="1:2">
      <c r="A9005" s="3" t="str">
        <f>IFERROR(__xludf.DUMMYFUNCTION("GOOGLETRANSLATE(A9005,""en"",""pt"")"),"o código da vinci sugado lol ...")</f>
        <v>o código da vinci sugado lol ...</v>
      </c>
      <c r="B9005" s="3">
        <v>0</v>
      </c>
    </row>
    <row r="9006" ht="15.75" customHeight="1" spans="1:2">
      <c r="A9006" s="3" t="str">
        <f>IFERROR(__xludf.DUMMYFUNCTION("GOOGLETRANSLATE(A9006,""en"",""pt"")"),"Ela estava absolutamente adorável em AmÃƒ Â © mentira, um dos meus filmes favoritos, e ao mesmo tempo O Código Da Vinci praticamente sugado, ela parecia bem nele.")</f>
        <v>Ela estava absolutamente adorável em AmÃƒ Â © mentira, um dos meus filmes favoritos, e ao mesmo tempo O Código Da Vinci praticamente sugado, ela parecia bem nele.</v>
      </c>
      <c r="B9006" s="3">
        <v>0</v>
      </c>
    </row>
    <row r="9007" ht="15.75" customHeight="1" spans="1:2">
      <c r="A9007" s="3" t="str">
        <f>IFERROR(__xludf.DUMMYFUNCTION("GOOGLETRANSLATE(A9007,""en"",""pt"")"),"Eu esqueci o quanto eu odiava Código Da Vinci.")</f>
        <v>Eu esqueci o quanto eu odiava Código Da Vinci.</v>
      </c>
      <c r="B9007" s="3">
        <v>0</v>
      </c>
    </row>
    <row r="9008" ht="15.75" customHeight="1" spans="1:2">
      <c r="A9008" s="3" t="str">
        <f>IFERROR(__xludf.DUMMYFUNCTION("GOOGLETRANSLATE(A9008,""en"",""pt"")"),"todos disseram o código da vinci suga ass = \.")</f>
        <v>todos disseram o código da vinci suga ass = \.</v>
      </c>
      <c r="B9008" s="3">
        <v>0</v>
      </c>
    </row>
    <row r="9009" ht="15.75" customHeight="1" spans="1:2">
      <c r="A9009" s="3" t="str">
        <f>IFERROR(__xludf.DUMMYFUNCTION("GOOGLETRANSLATE(A9009,""en"",""pt"")"),"lol nd i ouviu Código Da Vinci é uma porcaria ..")</f>
        <v>lol nd i ouviu Código Da Vinci é uma porcaria ..</v>
      </c>
      <c r="B9009" s="3">
        <v>0</v>
      </c>
    </row>
    <row r="9010" ht="15.75" customHeight="1" spans="1:2">
      <c r="A9010" s="3" t="str">
        <f>IFERROR(__xludf.DUMMYFUNCTION("GOOGLETRANSLATE(A9010,""en"",""pt"")"),"X3-bom, Nacho Libre-sugado, Da Vinci Code-sugado, Carros-bom, Over the Hedge-bom, T Hank por Fumar-teve seus momentos ...)")</f>
        <v>X3-bom, Nacho Libre-sugado, Da Vinci Code-sugado, Carros-bom, Over the Hedge-bom, T Hank por Fumar-teve seus momentos ...)</v>
      </c>
      <c r="B9010" s="3">
        <v>0</v>
      </c>
    </row>
    <row r="9011" ht="15.75" customHeight="1" spans="1:2">
      <c r="A9011" s="3" t="str">
        <f>IFERROR(__xludf.DUMMYFUNCTION("GOOGLETRANSLATE(A9011,""en"",""pt"")"),"Código Da Vinci é chupar, eu vi o comentário filme e todo mundo disse que era estúpido e aborrecido, mas se esse filme era real, então ele deve ser muito interessante ...")</f>
        <v>Código Da Vinci é chupar, eu vi o comentário filme e todo mundo disse que era estúpido e aborrecido, mas se esse filme era real, então ele deve ser muito interessante ...</v>
      </c>
      <c r="B9011" s="3">
        <v>0</v>
      </c>
    </row>
    <row r="9012" ht="15.75" customHeight="1" spans="1:2">
      <c r="A9012" s="3" t="str">
        <f>IFERROR(__xludf.DUMMYFUNCTION("GOOGLETRANSLATE(A9012,""en"",""pt"")"),"Código Da Vinci é uma porcaria.")</f>
        <v>Código Da Vinci é uma porcaria.</v>
      </c>
      <c r="B9012" s="3">
        <v>0</v>
      </c>
    </row>
    <row r="9013" ht="15.75" customHeight="1" spans="1:2">
      <c r="A9013" s="3" t="str">
        <f>IFERROR(__xludf.DUMMYFUNCTION("GOOGLETRANSLATE(A9013,""en"",""pt"")"),"Eu odiava Código Da Vinci!")</f>
        <v>Eu odiava Código Da Vinci!</v>
      </c>
      <c r="B9013" s="3">
        <v>0</v>
      </c>
    </row>
    <row r="9014" ht="15.75" customHeight="1" spans="1:2">
      <c r="A9014" s="3" t="str">
        <f>IFERROR(__xludf.DUMMYFUNCTION("GOOGLETRANSLATE(A9014,""en"",""pt"")"),"Eu também odeio o Código Da Vinci ..")</f>
        <v>Eu também odeio o Código Da Vinci ..</v>
      </c>
      <c r="B9014" s="3">
        <v>0</v>
      </c>
    </row>
    <row r="9015" ht="15.75" customHeight="1" spans="1:2">
      <c r="A9015" s="3" t="str">
        <f>IFERROR(__xludf.DUMMYFUNCTION("GOOGLETRANSLATE(A9015,""en"",""pt"")"),"Código Da Vinci é uma merda ass.")</f>
        <v>Código Da Vinci é uma merda ass.</v>
      </c>
      <c r="B9015" s="3">
        <v>0</v>
      </c>
    </row>
    <row r="9016" ht="15.75" customHeight="1" spans="1:2">
      <c r="A9016" s="3" t="str">
        <f>IFERROR(__xludf.DUMMYFUNCTION("GOOGLETRANSLATE(A9016,""en"",""pt"")"),"O Código Da Vinci sugado.")</f>
        <v>O Código Da Vinci sugado.</v>
      </c>
      <c r="B9016" s="3">
        <v>0</v>
      </c>
    </row>
    <row r="9017" ht="15.75" customHeight="1" spans="1:2">
      <c r="A9017" s="3" t="str">
        <f>IFERROR(__xludf.DUMMYFUNCTION("GOOGLETRANSLATE(A9017,""en"",""pt"")"),"O Código Da Vinci sugado como um Hoover.")</f>
        <v>O Código Da Vinci sugado como um Hoover.</v>
      </c>
      <c r="B9017" s="3">
        <v>0</v>
      </c>
    </row>
    <row r="9018" ht="15.75" customHeight="1" spans="1:2">
      <c r="A9018" s="3" t="str">
        <f>IFERROR(__xludf.DUMMYFUNCTION("GOOGLETRANSLATE(A9018,""en"",""pt"")"),"E, a propósito, filme Código Da Vinci é uma merda ass ..")</f>
        <v>E, a propósito, filme Código Da Vinci é uma merda ass ..</v>
      </c>
      <c r="B9018" s="3">
        <v>0</v>
      </c>
    </row>
    <row r="9019" ht="15.75" customHeight="1" spans="1:2">
      <c r="A9019" s="3" t="str">
        <f>IFERROR(__xludf.DUMMYFUNCTION("GOOGLETRANSLATE(A9019,""en"",""pt"")"),"Código Da Vinci SUGADO BURRO !!!")</f>
        <v>Código Da Vinci SUGADO BURRO !!!</v>
      </c>
      <c r="B9019" s="3">
        <v>0</v>
      </c>
    </row>
    <row r="9020" ht="15.75" customHeight="1" spans="1:2">
      <c r="A9020" s="3" t="str">
        <f>IFERROR(__xludf.DUMMYFUNCTION("GOOGLETRANSLATE(A9020,""en"",""pt"")"),"Por que eu odeio O Código Da Vinci, exceto muito mais coerente, e com, uh, menos uso da frase ""dogfucking retardado"".")</f>
        <v>Por que eu odeio O Código Da Vinci, exceto muito mais coerente, e com, uh, menos uso da frase "dogfucking retardado".</v>
      </c>
      <c r="B9020" s="3">
        <v>0</v>
      </c>
    </row>
    <row r="9021" ht="15.75" customHeight="1" spans="1:2">
      <c r="A9021" s="3" t="str">
        <f>IFERROR(__xludf.DUMMYFUNCTION("GOOGLETRANSLATE(A9021,""en"",""pt"")"),"o quanto o código da vinci suga ...")</f>
        <v>o quanto o código da vinci suga ...</v>
      </c>
      <c r="B9021" s="3">
        <v>0</v>
      </c>
    </row>
    <row r="9022" ht="15.75" customHeight="1" spans="1:2">
      <c r="A9022" s="3" t="str">
        <f>IFERROR(__xludf.DUMMYFUNCTION("GOOGLETRANSLATE(A9022,""en"",""pt"")"),"Fui ver O Código Da Vinci, que sugou ainda pior do que o livro ...")</f>
        <v>Fui ver O Código Da Vinci, que sugou ainda pior do que o livro ...</v>
      </c>
      <c r="B9022" s="3">
        <v>0</v>
      </c>
    </row>
    <row r="9023" ht="15.75" customHeight="1" spans="1:2">
      <c r="A9023" s="3" t="str">
        <f>IFERROR(__xludf.DUMMYFUNCTION("GOOGLETRANSLATE(A9023,""en"",""pt"")"),"Código Da Vinci aparentemente suga ainda mais bunda no filme.")</f>
        <v>Código Da Vinci aparentemente suga ainda mais bunda no filme.</v>
      </c>
      <c r="B9023" s="3">
        <v>0</v>
      </c>
    </row>
    <row r="9024" ht="15.75" customHeight="1" spans="1:2">
      <c r="A9024" s="3" t="str">
        <f>IFERROR(__xludf.DUMMYFUNCTION("GOOGLETRANSLATE(A9024,""en"",""pt"")"),"quem mais pensou o código da vinci meio sugado ...")</f>
        <v>quem mais pensou o código da vinci meio sugado ...</v>
      </c>
      <c r="B9024" s="3">
        <v>0</v>
      </c>
    </row>
    <row r="9025" ht="15.75" customHeight="1" spans="1:2">
      <c r="A9025" s="3" t="str">
        <f>IFERROR(__xludf.DUMMYFUNCTION("GOOGLETRANSLATE(A9025,""en"",""pt"")"),"Acho que comecei a odiar Código Da Vinci só porque ele reuniu as pessoas mais esfarrapadas no cinema.")</f>
        <v>Acho que comecei a odiar Código Da Vinci só porque ele reuniu as pessoas mais esfarrapadas no cinema.</v>
      </c>
      <c r="B9025" s="3">
        <v>0</v>
      </c>
    </row>
    <row r="9026" ht="15.75" customHeight="1" spans="1:2">
      <c r="A9026" s="3" t="str">
        <f>IFERROR(__xludf.DUMMYFUNCTION("GOOGLETRANSLATE(A9026,""en"",""pt"")"),"O Código Da Vinci sugado.")</f>
        <v>O Código Da Vinci sugado.</v>
      </c>
      <c r="B9026" s="3">
        <v>0</v>
      </c>
    </row>
    <row r="9027" ht="15.75" customHeight="1" spans="1:2">
      <c r="A9027" s="3" t="str">
        <f>IFERROR(__xludf.DUMMYFUNCTION("GOOGLETRANSLATE(A9027,""en"",""pt"")"),"Ah, e eu odiava ""o código da vinci"" o romance ....")</f>
        <v>Ah, e eu odiava "o código da vinci" o romance ....</v>
      </c>
      <c r="B9027" s="3">
        <v>0</v>
      </c>
    </row>
    <row r="9028" ht="15.75" customHeight="1" spans="1:2">
      <c r="A9028" s="3" t="str">
        <f>IFERROR(__xludf.DUMMYFUNCTION("GOOGLETRANSLATE(A9028,""en"",""pt"")"),"Código Da Vinci sugado.")</f>
        <v>Código Da Vinci sugado.</v>
      </c>
      <c r="B9028" s="3">
        <v>0</v>
      </c>
    </row>
    <row r="9029" ht="15.75" customHeight="1" spans="1:2">
      <c r="A9029" s="3" t="str">
        <f>IFERROR(__xludf.DUMMYFUNCTION("GOOGLETRANSLATE(A9029,""en"",""pt"")"),"Em outras notícias, o código da vinci suga bolas de uma lama .....")</f>
        <v>Em outras notícias, o código da vinci suga bolas de uma lama .....</v>
      </c>
      <c r="B9029" s="3">
        <v>0</v>
      </c>
    </row>
    <row r="9030" ht="15.75" customHeight="1" spans="1:2">
      <c r="A9030" s="3" t="str">
        <f>IFERROR(__xludf.DUMMYFUNCTION("GOOGLETRANSLATE(A9030,""en"",""pt"")"),"Ainda não vi o Código Da Vinci, que kinda sucks ..")</f>
        <v>Ainda não vi o Código Da Vinci, que kinda sucks ..</v>
      </c>
      <c r="B9030" s="3">
        <v>0</v>
      </c>
    </row>
    <row r="9031" ht="15.75" customHeight="1" spans="1:2">
      <c r="A9031" s="3" t="str">
        <f>IFERROR(__xludf.DUMMYFUNCTION("GOOGLETRANSLATE(A9031,""en"",""pt"")"),"O Código Da Vinci sugado.")</f>
        <v>O Código Da Vinci sugado.</v>
      </c>
      <c r="B9031" s="3">
        <v>0</v>
      </c>
    </row>
    <row r="9032" ht="15.75" customHeight="1" spans="1:2">
      <c r="A9032" s="3" t="str">
        <f>IFERROR(__xludf.DUMMYFUNCTION("GOOGLETRANSLATE(A9032,""en"",""pt"")"),"PORQUE DA VINCI CODE SUGADO !!")</f>
        <v>PORQUE DA VINCI CODE SUGADO !!</v>
      </c>
      <c r="B9032" s="3">
        <v>0</v>
      </c>
    </row>
    <row r="9033" ht="15.75" customHeight="1" spans="1:2">
      <c r="A9033" s="3" t="str">
        <f>IFERROR(__xludf.DUMMYFUNCTION("GOOGLETRANSLATE(A9033,""en"",""pt"")"),"Eu oficialmente odeio o Código Da Vinci, o fim.")</f>
        <v>Eu oficialmente odeio o Código Da Vinci, o fim.</v>
      </c>
      <c r="B9033" s="3">
        <v>0</v>
      </c>
    </row>
    <row r="9034" ht="15.75" customHeight="1" spans="1:2">
      <c r="A9034" s="3" t="str">
        <f>IFERROR(__xludf.DUMMYFUNCTION("GOOGLETRANSLATE(A9034,""en"",""pt"")"),"Então, o que tem sido até ultimamente, bem sexta-feira fui ver Código Da Vinci que sugou mas foi pendurado legal com alguns dos meus amigos.")</f>
        <v>Então, o que tem sido até ultimamente, bem sexta-feira fui ver Código Da Vinci que sugou mas foi pendurado legal com alguns dos meus amigos.</v>
      </c>
      <c r="B9034" s="3">
        <v>0</v>
      </c>
    </row>
    <row r="9035" ht="15.75" customHeight="1" spans="1:2">
      <c r="A9035" s="3" t="str">
        <f>IFERROR(__xludf.DUMMYFUNCTION("GOOGLETRANSLATE(A9035,""en"",""pt"")"),"ya código da vinci realmente sugado ....")</f>
        <v>ya código da vinci realmente sugado ....</v>
      </c>
      <c r="B9035" s="3">
        <v>0</v>
      </c>
    </row>
    <row r="9036" ht="15.75" customHeight="1" spans="1:2">
      <c r="A9036" s="3" t="str">
        <f>IFERROR(__xludf.DUMMYFUNCTION("GOOGLETRANSLATE(A9036,""en"",""pt"")"),"Ouvi O Código Da Vinci sugado.")</f>
        <v>Ouvi O Código Da Vinci sugado.</v>
      </c>
      <c r="B9036" s="3">
        <v>0</v>
      </c>
    </row>
    <row r="9037" ht="15.75" customHeight="1" spans="1:2">
      <c r="A9037" s="3" t="str">
        <f>IFERROR(__xludf.DUMMYFUNCTION("GOOGLETRANSLATE(A9037,""en"",""pt"")"),"Vimos Código Da Vinci, que sugou.")</f>
        <v>Vimos Código Da Vinci, que sugou.</v>
      </c>
      <c r="B9037" s="3">
        <v>0</v>
      </c>
    </row>
    <row r="9038" ht="15.75" customHeight="1" spans="1:2">
      <c r="A9038" s="3" t="str">
        <f>IFERROR(__xludf.DUMMYFUNCTION("GOOGLETRANSLATE(A9038,""en"",""pt"")"),"vimos o código da vinci, que sugado meio de uma maneira bem.")</f>
        <v>vimos o código da vinci, que sugado meio de uma maneira bem.</v>
      </c>
      <c r="B9038" s="3">
        <v>0</v>
      </c>
    </row>
    <row r="9039" ht="15.75" customHeight="1" spans="1:2">
      <c r="A9039" s="3" t="str">
        <f>IFERROR(__xludf.DUMMYFUNCTION("GOOGLETRANSLATE(A9039,""en"",""pt"")")," CÓDIGO DA VINCI SUGA.")</f>
        <v> CÓDIGO DA VINCI SUGA.</v>
      </c>
      <c r="B9039" s="3">
        <v>0</v>
      </c>
    </row>
    <row r="9040" ht="15.75" customHeight="1" spans="1:2">
      <c r="A9040" s="3" t="str">
        <f>IFERROR(__xludf.DUMMYFUNCTION("GOOGLETRANSLATE(A9040,""en"",""pt"")"),"O Código Da Vinci sugado!")</f>
        <v>O Código Da Vinci sugado!</v>
      </c>
      <c r="B9040" s="3">
        <v>0</v>
      </c>
    </row>
    <row r="9041" ht="15.75" customHeight="1" spans="1:2">
      <c r="A9041" s="3" t="str">
        <f>IFERROR(__xludf.DUMMYFUNCTION("GOOGLETRANSLATE(A9041,""en"",""pt"")"),"Eu odiava Código Da Vinci ..")</f>
        <v>Eu odiava Código Da Vinci ..</v>
      </c>
      <c r="B9041" s="3">
        <v>0</v>
      </c>
    </row>
    <row r="9042" ht="15.75" customHeight="1" spans="1:2">
      <c r="A9042" s="3" t="str">
        <f>IFERROR(__xludf.DUMMYFUNCTION("GOOGLETRANSLATE(A9042,""en"",""pt"")"),"O Código Da Vinci é uma porcaria, BTW!")</f>
        <v>O Código Da Vinci é uma porcaria, BTW!</v>
      </c>
      <c r="B9042" s="3">
        <v>0</v>
      </c>
    </row>
    <row r="9043" ht="15.75" customHeight="1" spans="1:2">
      <c r="A9043" s="3" t="str">
        <f>IFERROR(__xludf.DUMMYFUNCTION("GOOGLETRANSLATE(A9043,""en"",""pt"")"),"Eu odeio o Código Da Vinci.")</f>
        <v>Eu odeio o Código Da Vinci.</v>
      </c>
      <c r="B9043" s="3">
        <v>0</v>
      </c>
    </row>
    <row r="9044" ht="15.75" customHeight="1" spans="1:2">
      <c r="A9044" s="3" t="str">
        <f>IFERROR(__xludf.DUMMYFUNCTION("GOOGLETRANSLATE(A9044,""en"",""pt"")"),"Eu não consegui ver Código Da Vinci, que sugou um pouco, mas espero que possa acontecer durante a próxima semana em algum momento ..")</f>
        <v>Eu não consegui ver Código Da Vinci, que sugou um pouco, mas espero que possa acontecer durante a próxima semana em algum momento ..</v>
      </c>
      <c r="B9044" s="3">
        <v>0</v>
      </c>
    </row>
    <row r="9045" ht="15.75" customHeight="1" spans="1:2">
      <c r="A9045" s="3" t="str">
        <f>IFERROR(__xludf.DUMMYFUNCTION("GOOGLETRANSLATE(A9045,""en"",""pt"")"),"Eles estavam segurando cartazes dizendo ""Eu amo Jesus Cristo, mas eu odeio o Código Da Vinci.")</f>
        <v>Eles estavam segurando cartazes dizendo "Eu amo Jesus Cristo, mas eu odeio o Código Da Vinci.</v>
      </c>
      <c r="B9045" s="3">
        <v>0</v>
      </c>
    </row>
    <row r="9046" ht="15.75" customHeight="1" spans="1:2">
      <c r="A9046" s="3" t="str">
        <f>IFERROR(__xludf.DUMMYFUNCTION("GOOGLETRANSLATE(A9046,""en"",""pt"")"),"Devido a este projeto, eu odeio o Código Da Vinci.")</f>
        <v>Devido a este projeto, eu odeio o Código Da Vinci.</v>
      </c>
      <c r="B9046" s="3">
        <v>0</v>
      </c>
    </row>
    <row r="9047" ht="15.75" customHeight="1" spans="1:2">
      <c r="A9047" s="3" t="str">
        <f>IFERROR(__xludf.DUMMYFUNCTION("GOOGLETRANSLATE(A9047,""en"",""pt"")"),"O VINCI CODE DA SUGA.")</f>
        <v>O VINCI CODE DA SUGA.</v>
      </c>
      <c r="B9047" s="3">
        <v>0</v>
      </c>
    </row>
    <row r="9048" ht="15.75" customHeight="1" spans="1:2">
      <c r="A9048" s="3" t="str">
        <f>IFERROR(__xludf.DUMMYFUNCTION("GOOGLETRANSLATE(A9048,""en"",""pt"")"),"Eu odiava o código da vinci, o filme witha paixão, que era chato e fez-me triste que um filme blasphying nome de Jesus está sendo jogado em todo o mundo.")</f>
        <v>Eu odiava o código da vinci, o filme witha paixão, que era chato e fez-me triste que um filme blasphying nome de Jesus está sendo jogado em todo o mundo.</v>
      </c>
      <c r="B9048" s="3">
        <v>0</v>
      </c>
    </row>
    <row r="9049" ht="15.75" customHeight="1" spans="1:2">
      <c r="A9049" s="3" t="str">
        <f>IFERROR(__xludf.DUMMYFUNCTION("GOOGLETRANSLATE(A9049,""en"",""pt"")"),"O Código Da Vinci sugado.")</f>
        <v>O Código Da Vinci sugado.</v>
      </c>
      <c r="B9049" s="3">
        <v>0</v>
      </c>
    </row>
    <row r="9050" ht="15.75" customHeight="1" spans="1:2">
      <c r="A9050" s="3" t="str">
        <f>IFERROR(__xludf.DUMMYFUNCTION("GOOGLETRANSLATE(A9050,""en"",""pt"")"),"Então nós dirigimos para Bayers Lake para o Código Da Vinci, que, como esperado, Tom Hanks suga ass naquele filme, mas as dramáticas últimos 2 minutos foram bons.")</f>
        <v>Então nós dirigimos para Bayers Lake para o Código Da Vinci, que, como esperado, Tom Hanks suga ass naquele filme, mas as dramáticas últimos 2 minutos foram bons.</v>
      </c>
      <c r="B9050" s="3">
        <v>0</v>
      </c>
    </row>
    <row r="9051" ht="15.75" customHeight="1" spans="1:2">
      <c r="A9051" s="3" t="str">
        <f>IFERROR(__xludf.DUMMYFUNCTION("GOOGLETRANSLATE(A9051,""en"",""pt"")"),"O Código Da Vinci é uma porcaria.")</f>
        <v>O Código Da Vinci é uma porcaria.</v>
      </c>
      <c r="B9051" s="3">
        <v>0</v>
      </c>
    </row>
    <row r="9052" ht="15.75" customHeight="1" spans="1:2">
      <c r="A9052" s="3" t="str">
        <f>IFERROR(__xludf.DUMMYFUNCTION("GOOGLETRANSLATE(A9052,""en"",""pt"")"),"Eu odiava O Código Da Vinci ...")</f>
        <v>Eu odiava O Código Da Vinci ...</v>
      </c>
      <c r="B9052" s="3">
        <v>0</v>
      </c>
    </row>
    <row r="9053" ht="15.75" customHeight="1" spans="1:2">
      <c r="A9053" s="3" t="str">
        <f>IFERROR(__xludf.DUMMYFUNCTION("GOOGLETRANSLATE(A9053,""en"",""pt"")"),"Código Da Vinci é uma porcaria.")</f>
        <v>Código Da Vinci é uma porcaria.</v>
      </c>
      <c r="B9053" s="3">
        <v>0</v>
      </c>
    </row>
    <row r="9054" ht="15.75" customHeight="1" spans="1:2">
      <c r="A9054" s="3" t="str">
        <f>IFERROR(__xludf.DUMMYFUNCTION("GOOGLETRANSLATE(A9054,""en"",""pt"")"),"I mencionar o código da vinci sugado grandes bolas do asno? ..")</f>
        <v>I mencionar o código da vinci sugado grandes bolas do asno? ..</v>
      </c>
      <c r="B9054" s="3">
        <v>0</v>
      </c>
    </row>
    <row r="9055" ht="15.75" customHeight="1" spans="1:2">
      <c r="A9055" s="3" t="str">
        <f>IFERROR(__xludf.DUMMYFUNCTION("GOOGLETRANSLATE(A9055,""en"",""pt"")"),"o código da vinci sugado grandes bolas do asno ...")</f>
        <v>o código da vinci sugado grandes bolas do asno ...</v>
      </c>
      <c r="B9055" s="3">
        <v>0</v>
      </c>
    </row>
    <row r="9056" ht="15.75" customHeight="1" spans="1:2">
      <c r="A9056" s="3" t="str">
        <f>IFERROR(__xludf.DUMMYFUNCTION("GOOGLETRANSLATE(A9056,""en"",""pt"")"),"O Código Da Vinci [filme] sugado! ..")</f>
        <v>O Código Da Vinci [filme] sugado! ..</v>
      </c>
      <c r="B9056" s="3">
        <v>0</v>
      </c>
    </row>
    <row r="9057" ht="15.75" customHeight="1" spans="1:2">
      <c r="A9057" s="3" t="str">
        <f>IFERROR(__xludf.DUMMYFUNCTION("GOOGLETRANSLATE(A9057,""en"",""pt"")"),"para ver o código da vinci, que totalmente sugado bolas.")</f>
        <v>para ver o código da vinci, que totalmente sugado bolas.</v>
      </c>
      <c r="B9057" s="3">
        <v>0</v>
      </c>
    </row>
    <row r="9058" ht="15.75" customHeight="1" spans="1:2">
      <c r="A9058" s="3" t="str">
        <f>IFERROR(__xludf.DUMMYFUNCTION("GOOGLETRANSLATE(A9058,""en"",""pt"")"),"O Código Da Vinci é suposto para sugar ..")</f>
        <v>O Código Da Vinci é suposto para sugar ..</v>
      </c>
      <c r="B9058" s="3">
        <v>0</v>
      </c>
    </row>
    <row r="9059" ht="15.75" customHeight="1" spans="1:2">
      <c r="A9059" s="3" t="str">
        <f>IFERROR(__xludf.DUMMYFUNCTION("GOOGLETRANSLATE(A9059,""en"",""pt"")"),"Código Da Vinci é uma porcaria.")</f>
        <v>Código Da Vinci é uma porcaria.</v>
      </c>
      <c r="B9059" s="3">
        <v>0</v>
      </c>
    </row>
    <row r="9060" ht="15.75" customHeight="1" spans="1:2">
      <c r="A9060" s="3" t="str">
        <f>IFERROR(__xludf.DUMMYFUNCTION("GOOGLETRANSLATE(A9060,""en"",""pt"")"),"Vou deixar vocês sabem se O Código Da Vinci é uma porcaria ou não ...")</f>
        <v>Vou deixar vocês sabem se O Código Da Vinci é uma porcaria ou não ...</v>
      </c>
      <c r="B9060" s="3">
        <v>0</v>
      </c>
    </row>
    <row r="9061" ht="15.75" customHeight="1" spans="1:2">
      <c r="A9061" s="3" t="str">
        <f>IFERROR(__xludf.DUMMYFUNCTION("GOOGLETRANSLATE(A9061,""en"",""pt"")"),"Os críticos estão dizendo que O Código Da Vinci, devido nos cinemas neste fim de semana, fede.")</f>
        <v>Os críticos estão dizendo que O Código Da Vinci, devido nos cinemas neste fim de semana, fede.</v>
      </c>
      <c r="B9061" s="3">
        <v>0</v>
      </c>
    </row>
    <row r="9062" ht="15.75" customHeight="1" spans="1:2">
      <c r="A9062" s="3" t="str">
        <f>IFERROR(__xludf.DUMMYFUNCTION("GOOGLETRANSLATE(A9062,""en"",""pt"")"),"Agora, eu sou a primeira pessoa a dizer que O Código Da Vinci é uma porcaria, mas Olá, â € ™ s um romance!")</f>
        <v>Agora, eu sou a primeira pessoa a dizer que O Código Da Vinci é uma porcaria, mas Olá, â € ™ s um romance!</v>
      </c>
      <c r="B9062" s="3">
        <v>0</v>
      </c>
    </row>
    <row r="9063" ht="15.75" customHeight="1" spans="1:2">
      <c r="A9063" s="3" t="str">
        <f>IFERROR(__xludf.DUMMYFUNCTION("GOOGLETRANSLATE(A9063,""en"",""pt"")"),"Eu realmente odeio o Código Da Vinci ..")</f>
        <v>Eu realmente odeio o Código Da Vinci ..</v>
      </c>
      <c r="B9063" s="3">
        <v>0</v>
      </c>
    </row>
    <row r="9064" ht="15.75" customHeight="1" spans="1:2">
      <c r="A9064" s="3" t="str">
        <f>IFERROR(__xludf.DUMMYFUNCTION("GOOGLETRANSLATE(A9064,""en"",""pt"")"),"Eu realmente odeio o Código Da Vinci ...")</f>
        <v>Eu realmente odeio o Código Da Vinci ...</v>
      </c>
      <c r="B9064" s="3">
        <v>0</v>
      </c>
    </row>
    <row r="9065" ht="15.75" customHeight="1" spans="1:2">
      <c r="A9065" s="3" t="str">
        <f>IFERROR(__xludf.DUMMYFUNCTION("GOOGLETRANSLATE(A9065,""en"",""pt"")"),"Tem sido em um par de vezes já, mas porque eu acho que O Código Da Vinci é uma porcaria Eu nunca teve o esforço de vê-lo. (")</f>
        <v>Tem sido em um par de vezes já, mas porque eu acho que O Código Da Vinci é uma porcaria Eu nunca teve o esforço de vê-lo. (</v>
      </c>
      <c r="B9065" s="3">
        <v>0</v>
      </c>
    </row>
    <row r="9066" ht="15.75" customHeight="1" spans="1:2">
      <c r="A9066" s="3" t="str">
        <f>IFERROR(__xludf.DUMMYFUNCTION("GOOGLETRANSLATE(A9066,""en"",""pt"")"),"O Código Da Vinci é então chupa !!!!!!! (")</f>
        <v>O Código Da Vinci é então chupa !!!!!!! (</v>
      </c>
      <c r="B9066" s="3">
        <v>0</v>
      </c>
    </row>
    <row r="9067" ht="15.75" customHeight="1" spans="1:2">
      <c r="A9067" s="3" t="str">
        <f>IFERROR(__xludf.DUMMYFUNCTION("GOOGLETRANSLATE(A9067,""en"",""pt"")"),"O Código Da Vinci chupado grande.")</f>
        <v>O Código Da Vinci chupado grande.</v>
      </c>
      <c r="B9067" s="3">
        <v>0</v>
      </c>
    </row>
    <row r="9068" ht="15.75" customHeight="1" spans="1:2">
      <c r="A9068" s="3" t="str">
        <f>IFERROR(__xludf.DUMMYFUNCTION("GOOGLETRANSLATE(A9068,""en"",""pt"")"),"mang eu poderia ter dito o código da vinci chupar!")</f>
        <v>mang eu poderia ter dito o código da vinci chupar!</v>
      </c>
      <c r="B9068" s="3">
        <v>0</v>
      </c>
    </row>
    <row r="9069" ht="15.75" customHeight="1" spans="1:2">
      <c r="A9069" s="3" t="str">
        <f>IFERROR(__xludf.DUMMYFUNCTION("GOOGLETRANSLATE(A9069,""en"",""pt"")"),"Um homem que eu odiava o Código Da Vinci.")</f>
        <v>Um homem que eu odiava o Código Da Vinci.</v>
      </c>
      <c r="B9069" s="3">
        <v>0</v>
      </c>
    </row>
    <row r="9070" ht="15.75" customHeight="1" spans="1:2">
      <c r="A9070" s="3" t="str">
        <f>IFERROR(__xludf.DUMMYFUNCTION("GOOGLETRANSLATE(A9070,""en"",""pt"")"),"Depois da escola, eu fui com Latin Clube para ver o código de Da Vinci, que sugou ...")</f>
        <v>Depois da escola, eu fui com Latin Clube para ver o código de Da Vinci, que sugou ...</v>
      </c>
      <c r="B9070" s="3">
        <v>0</v>
      </c>
    </row>
    <row r="9071" ht="15.75" customHeight="1" spans="1:2">
      <c r="A9071" s="3" t="str">
        <f>IFERROR(__xludf.DUMMYFUNCTION("GOOGLETRANSLATE(A9071,""en"",""pt"")"),"o código da vinci suga majorly ....")</f>
        <v>o código da vinci suga majorly ....</v>
      </c>
      <c r="B9071" s="3">
        <v>0</v>
      </c>
    </row>
    <row r="9072" ht="15.75" customHeight="1" spans="1:2">
      <c r="A9072" s="3" t="str">
        <f>IFERROR(__xludf.DUMMYFUNCTION("GOOGLETRANSLATE(A9072,""en"",""pt"")"),"da vinci code = suga grande ass ...")</f>
        <v>da vinci code = suga grande ass ...</v>
      </c>
      <c r="B9072" s="3">
        <v>0</v>
      </c>
    </row>
    <row r="9073" ht="15.75" customHeight="1" spans="1:2">
      <c r="A9073" s="3" t="str">
        <f>IFERROR(__xludf.DUMMYFUNCTION("GOOGLETRANSLATE(A9073,""en"",""pt"")"),"Eu odeio O Código Da Vinci.")</f>
        <v>Eu odeio O Código Da Vinci.</v>
      </c>
      <c r="B9073" s="3">
        <v>0</v>
      </c>
    </row>
    <row r="9074" ht="15.75" customHeight="1" spans="1:2">
      <c r="A9074" s="3" t="str">
        <f>IFERROR(__xludf.DUMMYFUNCTION("GOOGLETRANSLATE(A9074,""en"",""pt"")"),"Código Da Vinci suga meio segundo em torno do tempo ..")</f>
        <v>Código Da Vinci suga meio segundo em torno do tempo ..</v>
      </c>
      <c r="B9074" s="3">
        <v>0</v>
      </c>
    </row>
    <row r="9075" ht="15.75" customHeight="1" spans="1:2">
      <c r="A9075" s="3" t="str">
        <f>IFERROR(__xludf.DUMMYFUNCTION("GOOGLETRANSLATE(A9075,""en"",""pt"")"),"Código Da Vinci sugado, mas falar com ele definitivamente não precisava chupar.")</f>
        <v>Código Da Vinci sugado, mas falar com ele definitivamente não precisava chupar.</v>
      </c>
      <c r="B9075" s="3">
        <v>0</v>
      </c>
    </row>
    <row r="9076" ht="15.75" customHeight="1" spans="1:2">
      <c r="A9076" s="3" t="str">
        <f>IFERROR(__xludf.DUMMYFUNCTION("GOOGLETRANSLATE(A9076,""en"",""pt"")"),"e O Código Da Vinci é uma merda! ..")</f>
        <v>e O Código Da Vinci é uma merda! ..</v>
      </c>
      <c r="B9076" s="3">
        <v>0</v>
      </c>
    </row>
    <row r="9077" ht="15.75" customHeight="1" spans="1:2">
      <c r="A9077" s="3" t="str">
        <f>IFERROR(__xludf.DUMMYFUNCTION("GOOGLETRANSLATE(A9077,""en"",""pt"")"),"Ouvi dizer que o código da vinci suga especialmente em comparação com o livro.")</f>
        <v>Ouvi dizer que o código da vinci suga especialmente em comparação com o livro.</v>
      </c>
      <c r="B9077" s="3">
        <v>0</v>
      </c>
    </row>
    <row r="9078" ht="15.75" customHeight="1" spans="1:2">
      <c r="A9078" s="3" t="str">
        <f>IFERROR(__xludf.DUMMYFUNCTION("GOOGLETRANSLATE(A9078,""en"",""pt"")"),"O Código Da Vinci é uma porcaria.")</f>
        <v>O Código Da Vinci é uma porcaria.</v>
      </c>
      <c r="B9078" s="3">
        <v>0</v>
      </c>
    </row>
    <row r="9079" ht="15.75" customHeight="1" spans="1:2">
      <c r="A9079" s="3" t="str">
        <f>IFERROR(__xludf.DUMMYFUNCTION("GOOGLETRANSLATE(A9079,""en"",""pt"")"),"de qualquer forma, o código da vinci suga lah.")</f>
        <v>de qualquer forma, o código da vinci suga lah.</v>
      </c>
      <c r="B9079" s="3">
        <v>0</v>
      </c>
    </row>
    <row r="9080" ht="15.75" customHeight="1" spans="1:2">
      <c r="A9080" s="3" t="str">
        <f>IFERROR(__xludf.DUMMYFUNCTION("GOOGLETRANSLATE(A9080,""en"",""pt"")"),"O Código Da Vinci sugado.")</f>
        <v>O Código Da Vinci sugado.</v>
      </c>
      <c r="B9080" s="3">
        <v>0</v>
      </c>
    </row>
    <row r="9081" ht="15.75" customHeight="1" spans="1:2">
      <c r="A9081" s="3" t="str">
        <f>IFERROR(__xludf.DUMMYFUNCTION("GOOGLETRANSLATE(A9081,""en"",""pt"")"),"Rofls, mas sim Eu odiava o Código Da Vinci.")</f>
        <v>Rofls, mas sim Eu odiava o Código Da Vinci.</v>
      </c>
      <c r="B9081" s="3">
        <v>0</v>
      </c>
    </row>
    <row r="9082" ht="15.75" customHeight="1" spans="1:2">
      <c r="A9082" s="3" t="str">
        <f>IFERROR(__xludf.DUMMYFUNCTION("GOOGLETRANSLATE(A9082,""en"",""pt"")"),"Ouvi Código Da Vinci sugado muito difícil, que é muito ruim, porque eu gosto de Ron Howard.")</f>
        <v>Ouvi Código Da Vinci sugado muito difícil, que é muito ruim, porque eu gosto de Ron Howard.</v>
      </c>
      <c r="B9082" s="3">
        <v>0</v>
      </c>
    </row>
    <row r="9083" ht="15.75" customHeight="1" spans="1:2">
      <c r="A9083" s="3" t="str">
        <f>IFERROR(__xludf.DUMMYFUNCTION("GOOGLETRANSLATE(A9083,""en"",""pt"")"),"Eu uso o Google para meus urls de música e o Código Da Vinci sugado!")</f>
        <v>Eu uso o Google para meus urls de música e o Código Da Vinci sugado!</v>
      </c>
      <c r="B9083" s="3">
        <v>0</v>
      </c>
    </row>
    <row r="9084" ht="15.75" customHeight="1" spans="1:2">
      <c r="A9084" s="3" t="str">
        <f>IFERROR(__xludf.DUMMYFUNCTION("GOOGLETRANSLATE(A9084,""en"",""pt"")"),"Código Da Vinci o filme sugado.")</f>
        <v>Código Da Vinci o filme sugado.</v>
      </c>
      <c r="B9084" s="3">
        <v>0</v>
      </c>
    </row>
    <row r="9085" ht="15.75" customHeight="1" spans="1:2">
      <c r="A9085" s="3" t="str">
        <f>IFERROR(__xludf.DUMMYFUNCTION("GOOGLETRANSLATE(A9085,""en"",""pt"")"),"Eu estou meio triste que O Código Da Vinci sugado (")</f>
        <v>Eu estou meio triste que O Código Da Vinci sugado (</v>
      </c>
      <c r="B9085" s="3">
        <v>0</v>
      </c>
    </row>
    <row r="9086" ht="15.75" customHeight="1" spans="1:2">
      <c r="A9086" s="3" t="str">
        <f>IFERROR(__xludf.DUMMYFUNCTION("GOOGLETRANSLATE(A9086,""en"",""pt"")"),"Será que O Código Da Vinci chupar? ...")</f>
        <v>Será que O Código Da Vinci chupar? ...</v>
      </c>
      <c r="B9086" s="3">
        <v>0</v>
      </c>
    </row>
    <row r="9087" ht="15.75" customHeight="1" spans="1:2">
      <c r="A9087" s="3" t="str">
        <f>IFERROR(__xludf.DUMMYFUNCTION("GOOGLETRANSLATE(A9087,""en"",""pt"")"),"Haverá um monte de músicas divertidas, um vai ser um cantar junto sobre o quanto o Código Da Vinci SUGA (")</f>
        <v>Haverá um monte de músicas divertidas, um vai ser um cantar junto sobre o quanto o Código Da Vinci SUGA (</v>
      </c>
      <c r="B9087" s="3">
        <v>0</v>
      </c>
    </row>
    <row r="9088" ht="15.75" customHeight="1" spans="1:2">
      <c r="A9088" s="3" t="str">
        <f>IFERROR(__xludf.DUMMYFUNCTION("GOOGLETRANSLATE(A9088,""en"",""pt"")"),"assim, para minha sorte, desde que eu odiava o código da vinci após se recusar a lê-lo por tanto tempo por causa da reação pública, em primeiro lugar, há um filme agora.")</f>
        <v>assim, para minha sorte, desde que eu odiava o código da vinci após se recusar a lê-lo por tanto tempo por causa da reação pública, em primeiro lugar, há um filme agora.</v>
      </c>
      <c r="B9088" s="3">
        <v>0</v>
      </c>
    </row>
    <row r="9089" ht="15.75" customHeight="1" spans="1:2">
      <c r="A9089" s="3" t="str">
        <f>IFERROR(__xludf.DUMMYFUNCTION("GOOGLETRANSLATE(A9089,""en"",""pt"")"),"Eu vi X-Men três vezes e O Código Da Vinci regiamente sugado ...")</f>
        <v>Eu vi X-Men três vezes e O Código Da Vinci regiamente sugado ...</v>
      </c>
      <c r="B9089" s="3">
        <v>0</v>
      </c>
    </row>
    <row r="9090" ht="15.75" customHeight="1" spans="1:2">
      <c r="A9090" s="3" t="str">
        <f>IFERROR(__xludf.DUMMYFUNCTION("GOOGLETRANSLATE(A9090,""en"",""pt"")"),"Código Da Vinci é uma merda ass.")</f>
        <v>Código Da Vinci é uma merda ass.</v>
      </c>
      <c r="B9090" s="3">
        <v>0</v>
      </c>
    </row>
    <row r="9091" ht="15.75" customHeight="1" spans="1:2">
      <c r="A9091" s="3" t="str">
        <f>IFERROR(__xludf.DUMMYFUNCTION("GOOGLETRANSLATE(A9091,""en"",""pt"")"),"O Código Da Vinci sugado como um Hoover.")</f>
        <v>O Código Da Vinci sugado como um Hoover.</v>
      </c>
      <c r="B9091" s="3">
        <v>0</v>
      </c>
    </row>
    <row r="9092" ht="15.75" customHeight="1" spans="1:2">
      <c r="A9092" s="3" t="str">
        <f>IFERROR(__xludf.DUMMYFUNCTION("GOOGLETRANSLATE(A9092,""en"",""pt"")"),"E, a propósito, filme Código Da Vinci é uma merda ass ..")</f>
        <v>E, a propósito, filme Código Da Vinci é uma merda ass ..</v>
      </c>
      <c r="B9092" s="3">
        <v>0</v>
      </c>
    </row>
    <row r="9093" ht="15.75" customHeight="1" spans="1:2">
      <c r="A9093" s="3" t="str">
        <f>IFERROR(__xludf.DUMMYFUNCTION("GOOGLETRANSLATE(A9093,""en"",""pt"")"),"Código Da Vinci sugado Código Da Vinci suga Código Da Vinci é uma merda !.")</f>
        <v>Código Da Vinci sugado Código Da Vinci suga Código Da Vinci é uma merda !.</v>
      </c>
      <c r="B9093" s="3">
        <v>0</v>
      </c>
    </row>
    <row r="9094" ht="15.75" customHeight="1" spans="1:2">
      <c r="A9094" s="3" t="str">
        <f>IFERROR(__xludf.DUMMYFUNCTION("GOOGLETRANSLATE(A9094,""en"",""pt"")"),"Código Da Vinci vai sugar!")</f>
        <v>Código Da Vinci vai sugar!</v>
      </c>
      <c r="B9094" s="3">
        <v>0</v>
      </c>
    </row>
    <row r="9095" ht="15.75" customHeight="1" spans="1:2">
      <c r="A9095" s="3" t="str">
        <f>IFERROR(__xludf.DUMMYFUNCTION("GOOGLETRANSLATE(A9095,""en"",""pt"")"),"Código Da Vinci sugado, IMO.")</f>
        <v>Código Da Vinci sugado, IMO.</v>
      </c>
      <c r="B9095" s="3">
        <v>0</v>
      </c>
    </row>
    <row r="9096" ht="15.75" customHeight="1" spans="1:2">
      <c r="A9096" s="3" t="str">
        <f>IFERROR(__xludf.DUMMYFUNCTION("GOOGLETRANSLATE(A9096,""en"",""pt"")"),"Código Da Vinci, você suga ..")</f>
        <v>Código Da Vinci, você suga ..</v>
      </c>
      <c r="B9096" s="3">
        <v>0</v>
      </c>
    </row>
    <row r="9097" ht="15.75" customHeight="1" spans="1:2">
      <c r="A9097" s="3" t="str">
        <f>IFERROR(__xludf.DUMMYFUNCTION("GOOGLETRANSLATE(A9097,""en"",""pt"")"),"Eu nem estava no humor para fazer compras ontem e também Código Da Vinci sugado ASS.")</f>
        <v>Eu nem estava no humor para fazer compras ontem e também Código Da Vinci sugado ASS.</v>
      </c>
      <c r="B9097" s="3">
        <v>0</v>
      </c>
    </row>
    <row r="9098" ht="15.75" customHeight="1" spans="1:2">
      <c r="A9098" s="3" t="str">
        <f>IFERROR(__xludf.DUMMYFUNCTION("GOOGLETRANSLATE(A9098,""en"",""pt"")"),"Rápida atualização: ..- já não fumados na carne mais de uma semana ..- não têm consumido em mais de uma semana ..- Código Da Vinci sugado ..- Amor o novo local ..- Broke.")</f>
        <v>Rápida atualização: ..- já não fumados na carne mais de uma semana ..- não têm consumido em mais de uma semana ..- Código Da Vinci sugado ..- Amor o novo local ..- Broke.</v>
      </c>
      <c r="B9098" s="3">
        <v>0</v>
      </c>
    </row>
    <row r="9099" ht="15.75" customHeight="1" spans="1:2">
      <c r="A9099" s="3" t="str">
        <f>IFERROR(__xludf.DUMMYFUNCTION("GOOGLETRANSLATE(A9099,""en"",""pt"")"),"Código Da Vinci sugado mas a história e as ideias foram muito interessantes ...")</f>
        <v>Código Da Vinci sugado mas a história e as ideias foram muito interessantes ...</v>
      </c>
      <c r="B9099" s="3">
        <v>0</v>
      </c>
    </row>
    <row r="9100" ht="15.75" customHeight="1" spans="1:2">
      <c r="A9100" s="3" t="str">
        <f>IFERROR(__xludf.DUMMYFUNCTION("GOOGLETRANSLATE(A9100,""en"",""pt"")"),"Além disso, O Código Da Vinci é suga !!!!!!!!")</f>
        <v>Além disso, O Código Da Vinci é suga !!!!!!!!</v>
      </c>
      <c r="B9100" s="3">
        <v>0</v>
      </c>
    </row>
    <row r="9101" ht="15.75" customHeight="1" spans="1:2">
      <c r="A9101" s="3" t="str">
        <f>IFERROR(__xludf.DUMMYFUNCTION("GOOGLETRANSLATE(A9101,""en"",""pt"")"),"Bem, eu não vou mentir, O Código Da Vinci péssimo!")</f>
        <v>Bem, eu não vou mentir, O Código Da Vinci péssimo!</v>
      </c>
      <c r="B9101" s="3">
        <v>0</v>
      </c>
    </row>
    <row r="9102" ht="15.75" customHeight="1" spans="1:2">
      <c r="A9102" s="3" t="str">
        <f>IFERROR(__xludf.DUMMYFUNCTION("GOOGLETRANSLATE(A9102,""en"",""pt"")"),"CÓDIGO DA VINCI SUGA ASS.")</f>
        <v>CÓDIGO DA VINCI SUGA ASS.</v>
      </c>
      <c r="B9102" s="3">
        <v>0</v>
      </c>
    </row>
    <row r="9103" ht="15.75" customHeight="1" spans="1:2">
      <c r="A9103" s="3" t="str">
        <f>IFERROR(__xludf.DUMMYFUNCTION("GOOGLETRANSLATE(A9103,""en"",""pt"")"),"Código Da Vinci é uma merda ass como um filme.")</f>
        <v>Código Da Vinci é uma merda ass como um filme.</v>
      </c>
      <c r="B9103" s="3">
        <v>0</v>
      </c>
    </row>
    <row r="9104" ht="15.75" customHeight="1" spans="1:2">
      <c r="A9104" s="3" t="str">
        <f>IFERROR(__xludf.DUMMYFUNCTION("GOOGLETRANSLATE(A9104,""en"",""pt"")"),"O Código Da Vinci sugado ass !!!!")</f>
        <v>O Código Da Vinci sugado ass !!!!</v>
      </c>
      <c r="B9104" s="3">
        <v>0</v>
      </c>
    </row>
    <row r="9105" ht="15.75" customHeight="1" spans="1:2">
      <c r="A9105" s="3" t="str">
        <f>IFERROR(__xludf.DUMMYFUNCTION("GOOGLETRANSLATE(A9105,""en"",""pt"")"),"odiando o código da vinci, dizendo que seu sucky.")</f>
        <v>odiando o código da vinci, dizendo que seu sucky.</v>
      </c>
      <c r="B9105" s="3">
        <v>0</v>
      </c>
    </row>
    <row r="9106" ht="15.75" customHeight="1" spans="1:2">
      <c r="A9106" s="3" t="str">
        <f>IFERROR(__xludf.DUMMYFUNCTION("GOOGLETRANSLATE(A9106,""en"",""pt"")"),"O Código Da Vinci sugado, mas a noite foi ótimo.")</f>
        <v>O Código Da Vinci sugado, mas a noite foi ótimo.</v>
      </c>
      <c r="B9106" s="3">
        <v>0</v>
      </c>
    </row>
    <row r="9107" ht="15.75" customHeight="1" spans="1:2">
      <c r="A9107" s="3" t="str">
        <f>IFERROR(__xludf.DUMMYFUNCTION("GOOGLETRANSLATE(A9107,""en"",""pt"")"),"Então, eu ouvi o Código Da Vinci sugado.")</f>
        <v>Então, eu ouvi o Código Da Vinci sugado.</v>
      </c>
      <c r="B9107" s="3">
        <v>0</v>
      </c>
    </row>
    <row r="9108" ht="15.75" customHeight="1" spans="1:2">
      <c r="A9108" s="3" t="str">
        <f>IFERROR(__xludf.DUMMYFUNCTION("GOOGLETRANSLATE(A9108,""en"",""pt"")"),"eu ouvi Código Da Vinci majorly sugado.")</f>
        <v>eu ouvi Código Da Vinci majorly sugado.</v>
      </c>
      <c r="B9108" s="3">
        <v>0</v>
      </c>
    </row>
    <row r="9109" ht="15.75" customHeight="1" spans="1:2">
      <c r="A9109" s="3" t="str">
        <f>IFERROR(__xludf.DUMMYFUNCTION("GOOGLETRANSLATE(A9109,""en"",""pt"")"),"Eu tenho um porão de Kelsey e fomos para Oceanwalk e viu o Código Da Vinci, que sugado meio, então fui e tenho muito, muito ruim comida no Johnny Rockets.")</f>
        <v>Eu tenho um porão de Kelsey e fomos para Oceanwalk e viu o Código Da Vinci, que sugado meio, então fui e tenho muito, muito ruim comida no Johnny Rockets.</v>
      </c>
      <c r="B9109" s="3">
        <v>0</v>
      </c>
    </row>
    <row r="9110" ht="15.75" customHeight="1" spans="1:2">
      <c r="A9110" s="3" t="str">
        <f>IFERROR(__xludf.DUMMYFUNCTION("GOOGLETRANSLATE(A9110,""en"",""pt"")"),"Meu pai, abençoe seu coração, sabe o quanto eu odeio o Código Da Vinci e me ligado a este artigo, pensando que eu poderia apreciá-lo desde o seu autor também odeia o Código Da Vinci.")</f>
        <v>Meu pai, abençoe seu coração, sabe o quanto eu odeio o Código Da Vinci e me ligado a este artigo, pensando que eu poderia apreciá-lo desde o seu autor também odeia o Código Da Vinci.</v>
      </c>
      <c r="B9110" s="3">
        <v>0</v>
      </c>
    </row>
    <row r="9111" ht="15.75" customHeight="1" spans="1:2">
      <c r="A9111" s="3" t="str">
        <f>IFERROR(__xludf.DUMMYFUNCTION("GOOGLETRANSLATE(A9111,""en"",""pt"")"),"O Código Da Vinci chupar cu ..")</f>
        <v>O Código Da Vinci chupar cu ..</v>
      </c>
      <c r="B9111" s="3">
        <v>0</v>
      </c>
    </row>
    <row r="9112" ht="15.75" customHeight="1" spans="1:2">
      <c r="A9112" s="3" t="str">
        <f>IFERROR(__xludf.DUMMYFUNCTION("GOOGLETRANSLATE(A9112,""en"",""pt"")"),"disse que ""O Código Da Vinci"" chupar ..")</f>
        <v>disse que "O Código Da Vinci" chupar ..</v>
      </c>
      <c r="B9112" s="3">
        <v>0</v>
      </c>
    </row>
    <row r="9113" ht="15.75" customHeight="1" spans="1:2">
      <c r="A9113" s="3" t="str">
        <f>IFERROR(__xludf.DUMMYFUNCTION("GOOGLETRANSLATE(A9113,""en"",""pt"")"),"Ler este comentário, você pode tirar a conclusão de que eu odeio ""O Código Da Vinci"", que não é verdade.")</f>
        <v>Ler este comentário, você pode tirar a conclusão de que eu odeio "O Código Da Vinci", que não é verdade.</v>
      </c>
      <c r="B9113" s="3">
        <v>0</v>
      </c>
    </row>
    <row r="9114" ht="15.75" customHeight="1" spans="1:2">
      <c r="A9114" s="3" t="str">
        <f>IFERROR(__xludf.DUMMYFUNCTION("GOOGLETRANSLATE(A9114,""en"",""pt"")"),"Estou feliz que o código Da Vinci é uma porcaria.")</f>
        <v>Estou feliz que o código Da Vinci é uma porcaria.</v>
      </c>
      <c r="B9114" s="3">
        <v>0</v>
      </c>
    </row>
    <row r="9115" ht="15.75" customHeight="1" spans="1:2">
      <c r="A9115" s="3" t="str">
        <f>IFERROR(__xludf.DUMMYFUNCTION("GOOGLETRANSLATE(A9115,""en"",""pt"")"),"Em outras notícias, O código Da Vinci é uma merda e Symantec está processando a Microsoft ...")</f>
        <v>Em outras notícias, O código Da Vinci é uma merda e Symantec está processando a Microsoft ...</v>
      </c>
      <c r="B9115" s="3">
        <v>0</v>
      </c>
    </row>
    <row r="9116" ht="15.75" customHeight="1" spans="1:2">
      <c r="A9116" s="3" t="str">
        <f>IFERROR(__xludf.DUMMYFUNCTION("GOOGLETRANSLATE(A9116,""en"",""pt"")"),"Ler este comentário, você pode tirar a conclusão de que eu odeio ""O Código Da Vinci"", que não é verdade.")</f>
        <v>Ler este comentário, você pode tirar a conclusão de que eu odeio "O Código Da Vinci", que não é verdade.</v>
      </c>
      <c r="B9116" s="3">
        <v>0</v>
      </c>
    </row>
    <row r="9117" ht="15.75" customHeight="1" spans="1:2">
      <c r="A9117" s="3" t="str">
        <f>IFERROR(__xludf.DUMMYFUNCTION("GOOGLETRANSLATE(A9117,""en"",""pt"")"),"Eu ouvi o Código Da Vinci é uma porcaria.")</f>
        <v>Eu ouvi o Código Da Vinci é uma porcaria.</v>
      </c>
      <c r="B9117" s="3">
        <v>0</v>
      </c>
    </row>
    <row r="9118" ht="15.75" customHeight="1" spans="1:2">
      <c r="A9118" s="3" t="str">
        <f>IFERROR(__xludf.DUMMYFUNCTION("GOOGLETRANSLATE(A9118,""en"",""pt"")"),"Então a palavra na rua é - O Código Da Vinci, aparentemente, é uma merda ....")</f>
        <v>Então a palavra na rua é - O Código Da Vinci, aparentemente, é uma merda ....</v>
      </c>
      <c r="B9118" s="3">
        <v>0</v>
      </c>
    </row>
    <row r="9119" ht="15.75" customHeight="1" spans="1:2">
      <c r="A9119" s="3" t="str">
        <f>IFERROR(__xludf.DUMMYFUNCTION("GOOGLETRANSLATE(A9119,""en"",""pt"")"),"eu ouvi o código da vinci suga como um filme.")</f>
        <v>eu ouvi o código da vinci suga como um filme.</v>
      </c>
      <c r="B9119" s="3">
        <v>0</v>
      </c>
    </row>
    <row r="9120" ht="15.75" customHeight="1" spans="1:2">
      <c r="A9120" s="3" t="str">
        <f>IFERROR(__xludf.DUMMYFUNCTION("GOOGLETRANSLATE(A9120,""en"",""pt"")"),"Aparentemente, o código de Da Vinci é uma porcaria.")</f>
        <v>Aparentemente, o código de Da Vinci é uma porcaria.</v>
      </c>
      <c r="B9120" s="3">
        <v>0</v>
      </c>
    </row>
    <row r="9121" ht="15.75" customHeight="1" spans="1:2">
      <c r="A9121" s="3" t="str">
        <f>IFERROR(__xludf.DUMMYFUNCTION("GOOGLETRANSLATE(A9121,""en"",""pt"")"),"Ouvi dizer que O Código Da Vinci sugado também.")</f>
        <v>Ouvi dizer que O Código Da Vinci sugado também.</v>
      </c>
      <c r="B9121" s="3">
        <v>0</v>
      </c>
    </row>
    <row r="9122" ht="15.75" customHeight="1" spans="1:2">
      <c r="A9122" s="3" t="str">
        <f>IFERROR(__xludf.DUMMYFUNCTION("GOOGLETRANSLATE(A9122,""en"",""pt"")"),"I pode odiar ""Código Da Vinci"", sem sequer tocar no livro.")</f>
        <v>I pode odiar "Código Da Vinci", sem sequer tocar no livro.</v>
      </c>
      <c r="B9122" s="3">
        <v>0</v>
      </c>
    </row>
    <row r="9123" ht="15.75" customHeight="1" spans="1:2">
      <c r="A9123" s="3" t="str">
        <f>IFERROR(__xludf.DUMMYFUNCTION("GOOGLETRANSLATE(A9123,""en"",""pt"")"),"Código Da Vinci fede meio! ...")</f>
        <v>Código Da Vinci fede meio! ...</v>
      </c>
      <c r="B9123" s="3">
        <v>0</v>
      </c>
    </row>
    <row r="9124" ht="15.75" customHeight="1" spans="1:2">
      <c r="A9124" s="3" t="str">
        <f>IFERROR(__xludf.DUMMYFUNCTION("GOOGLETRANSLATE(A9124,""en"",""pt"")"),"Eu sou um cristão e eu absolutamente odeio o Código Da Vinci.")</f>
        <v>Eu sou um cristão e eu absolutamente odeio o Código Da Vinci.</v>
      </c>
      <c r="B9124" s="3">
        <v>0</v>
      </c>
    </row>
    <row r="9125" ht="15.75" customHeight="1" spans="1:2">
      <c r="A9125" s="3" t="str">
        <f>IFERROR(__xludf.DUMMYFUNCTION("GOOGLETRANSLATE(A9125,""en"",""pt"")"),"Aparentemente, O Código Da Vinci é uma porcaria.")</f>
        <v>Aparentemente, O Código Da Vinci é uma porcaria.</v>
      </c>
      <c r="B9125" s="3">
        <v>0</v>
      </c>
    </row>
    <row r="9126" ht="15.75" customHeight="1" spans="1:2">
      <c r="A9126" s="3" t="str">
        <f>IFERROR(__xludf.DUMMYFUNCTION("GOOGLETRANSLATE(A9126,""en"",""pt"")"),"por isso que eu odeio O Código Da Vinci ...")</f>
        <v>por isso que eu odeio O Código Da Vinci ...</v>
      </c>
      <c r="B9126" s="3">
        <v>0</v>
      </c>
    </row>
    <row r="9127" ht="15.75" customHeight="1" spans="1:2">
      <c r="A9127" s="3" t="str">
        <f>IFERROR(__xludf.DUMMYFUNCTION("GOOGLETRANSLATE(A9127,""en"",""pt"")"),"Fora isso, tudo que eu ouvi é que o Código Da Vinci kinda sucks!")</f>
        <v>Fora isso, tudo que eu ouvi é que o Código Da Vinci kinda sucks!</v>
      </c>
      <c r="B9127" s="3">
        <v>0</v>
      </c>
    </row>
    <row r="9128" ht="15.75" customHeight="1" spans="1:2">
      <c r="A9128" s="3" t="str">
        <f>IFERROR(__xludf.DUMMYFUNCTION("GOOGLETRANSLATE(A9128,""en"",""pt"")"),"i ouvir o Código Da Vinci é uma porcaria.")</f>
        <v>i ouvir o Código Da Vinci é uma porcaria.</v>
      </c>
      <c r="B9128" s="3">
        <v>0</v>
      </c>
    </row>
    <row r="9129" ht="15.75" customHeight="1" spans="1:2">
      <c r="A9129" s="3" t="str">
        <f>IFERROR(__xludf.DUMMYFUNCTION("GOOGLETRANSLATE(A9129,""en"",""pt"")"),"hey ouvi Código Da Vinci suga bunda.")</f>
        <v>hey ouvi Código Da Vinci suga bunda.</v>
      </c>
      <c r="B9129" s="3">
        <v>0</v>
      </c>
    </row>
    <row r="9130" ht="15.75" customHeight="1" spans="1:2">
      <c r="A9130" s="3" t="str">
        <f>IFERROR(__xludf.DUMMYFUNCTION("GOOGLETRANSLATE(A9130,""en"",""pt"")"),"Eu sei que é uma espécie de reação retardada, mas proibindo o código da vinci suga feijão grande momento.")</f>
        <v>Eu sei que é uma espécie de reação retardada, mas proibindo o código da vinci suga feijão grande momento.</v>
      </c>
      <c r="B9130" s="3">
        <v>0</v>
      </c>
    </row>
    <row r="9131" ht="15.75" customHeight="1" spans="1:2">
      <c r="A9131" s="3" t="str">
        <f>IFERROR(__xludf.DUMMYFUNCTION("GOOGLETRANSLATE(A9131,""en"",""pt"")"),"filme código da vinci = suga ..")</f>
        <v>filme código da vinci = suga ..</v>
      </c>
      <c r="B9131" s="3">
        <v>0</v>
      </c>
    </row>
    <row r="9132" ht="15.75" customHeight="1" spans="1:2">
      <c r="A9132" s="3" t="str">
        <f>IFERROR(__xludf.DUMMYFUNCTION("GOOGLETRANSLATE(A9132,""en"",""pt"")"),"Código Da Vinci meio sugado - u guys deve assistir o OMEN - muahahaahahah.")</f>
        <v>Código Da Vinci meio sugado - u guys deve assistir o OMEN - muahahaahahah.</v>
      </c>
      <c r="B9132" s="3">
        <v>0</v>
      </c>
    </row>
    <row r="9133" ht="15.75" customHeight="1" spans="1:2">
      <c r="A9133" s="3" t="str">
        <f>IFERROR(__xludf.DUMMYFUNCTION("GOOGLETRANSLATE(A9133,""en"",""pt"")"),"odiava o Código Da Vinci ...")</f>
        <v>odiava o Código Da Vinci ...</v>
      </c>
      <c r="B9133" s="3">
        <v>0</v>
      </c>
    </row>
    <row r="9134" ht="15.75" customHeight="1" spans="1:2">
      <c r="A9134" s="3" t="str">
        <f>IFERROR(__xludf.DUMMYFUNCTION("GOOGLETRANSLATE(A9134,""en"",""pt"")"),"O Código Da Vinci sugado ...")</f>
        <v>O Código Da Vinci sugado ...</v>
      </c>
      <c r="B9134" s="3">
        <v>0</v>
      </c>
    </row>
    <row r="9135" ht="15.75" customHeight="1" spans="1:2">
      <c r="A9135" s="3" t="str">
        <f>IFERROR(__xludf.DUMMYFUNCTION("GOOGLETRANSLATE(A9135,""en"",""pt"")"),"weeeellllllll mesmo que dizer que O Código Da Vinci sugado, eu ainda tenho que ir vê-lo, porque eu li o livro mesmos .....")</f>
        <v>weeeellllllll mesmo que dizer que O Código Da Vinci sugado, eu ainda tenho que ir vê-lo, porque eu li o livro mesmos .....</v>
      </c>
      <c r="B9135" s="3">
        <v>0</v>
      </c>
    </row>
    <row r="9136" ht="15.75" customHeight="1" spans="1:2">
      <c r="A9136" s="3" t="str">
        <f>IFERROR(__xludf.DUMMYFUNCTION("GOOGLETRANSLATE(A9136,""en"",""pt"")"),"Além disso, O Código Da Vinci é uma porcaria ...")</f>
        <v>Além disso, O Código Da Vinci é uma porcaria ...</v>
      </c>
      <c r="B9136" s="3">
        <v>0</v>
      </c>
    </row>
    <row r="9137" ht="15.75" customHeight="1" spans="1:2">
      <c r="A9137" s="3" t="str">
        <f>IFERROR(__xludf.DUMMYFUNCTION("GOOGLETRANSLATE(A9137,""en"",""pt"")"),"I frakking odeio o Código Da Vinci.")</f>
        <v>I frakking odeio o Código Da Vinci.</v>
      </c>
      <c r="B9137" s="3">
        <v>0</v>
      </c>
    </row>
    <row r="9138" ht="15.75" customHeight="1" spans="1:2">
      <c r="A9138" s="3" t="str">
        <f>IFERROR(__xludf.DUMMYFUNCTION("GOOGLETRANSLATE(A9138,""en"",""pt"")"),"Sim a mídia parece pensar que O Código Da Vinci é uma porcaria ...")</f>
        <v>Sim a mídia parece pensar que O Código Da Vinci é uma porcaria ...</v>
      </c>
      <c r="B9138" s="3">
        <v>0</v>
      </c>
    </row>
    <row r="9139" ht="15.75" customHeight="1" spans="1:2">
      <c r="A9139" s="3" t="str">
        <f>IFERROR(__xludf.DUMMYFUNCTION("GOOGLETRANSLATE(A9139,""en"",""pt"")"),"Em terceiro lugar, o Código Da Vinci sugado ..")</f>
        <v>Em terceiro lugar, o Código Da Vinci sugado ..</v>
      </c>
      <c r="B9139" s="3">
        <v>0</v>
      </c>
    </row>
    <row r="9140" ht="15.75" customHeight="1" spans="1:2">
      <c r="A9140" s="3" t="str">
        <f>IFERROR(__xludf.DUMMYFUNCTION("GOOGLETRANSLATE(A9140,""en"",""pt"")"),"este post não vai acrescentar nada de novo, quer, salvo que O Código Da Vinci é uma porcaria, majorly ...")</f>
        <v>este post não vai acrescentar nada de novo, quer, salvo que O Código Da Vinci é uma porcaria, majorly ...</v>
      </c>
      <c r="B9140" s="3">
        <v>0</v>
      </c>
    </row>
    <row r="9141" ht="15.75" customHeight="1" spans="1:2">
      <c r="A9141" s="3" t="str">
        <f>IFERROR(__xludf.DUMMYFUNCTION("GOOGLETRANSLATE(A9141,""en"",""pt"")"),"O Código Da Vinci sugado.")</f>
        <v>O Código Da Vinci sugado.</v>
      </c>
      <c r="B9141" s="3">
        <v>0</v>
      </c>
    </row>
    <row r="9142" ht="15.75" customHeight="1" spans="1:2">
      <c r="A9142" s="3" t="str">
        <f>IFERROR(__xludf.DUMMYFUNCTION("GOOGLETRANSLATE(A9142,""en"",""pt"")"),"O Código Da Vinci sugado bolas.")</f>
        <v>O Código Da Vinci sugado bolas.</v>
      </c>
      <c r="B9142" s="3">
        <v>0</v>
      </c>
    </row>
    <row r="9143" ht="15.75" customHeight="1" spans="1:2">
      <c r="A9143" s="3" t="str">
        <f>IFERROR(__xludf.DUMMYFUNCTION("GOOGLETRANSLATE(A9143,""en"",""pt"")"),"Código Da Vinci é uma porcaria.")</f>
        <v>Código Da Vinci é uma porcaria.</v>
      </c>
      <c r="B9143" s="3">
        <v>0</v>
      </c>
    </row>
    <row r="9144" ht="15.75" customHeight="1" spans="1:2">
      <c r="A9144" s="3" t="str">
        <f>IFERROR(__xludf.DUMMYFUNCTION("GOOGLETRANSLATE(A9144,""en"",""pt"")"),"sexta-feira sai com kelsie e fomos e viu O Código Da Vinci SUGADO !!!!!")</f>
        <v>sexta-feira sai com kelsie e fomos e viu O Código Da Vinci SUGADO !!!!!</v>
      </c>
      <c r="B9144" s="3">
        <v>0</v>
      </c>
    </row>
    <row r="9145" ht="15.75" customHeight="1" spans="1:2">
      <c r="A9145" s="3" t="str">
        <f>IFERROR(__xludf.DUMMYFUNCTION("GOOGLETRANSLATE(A9145,""en"",""pt"")"),"Combinando a opinião / revisão de Gary e Gin Zen, O Código Da Vinci é uma porcaria.")</f>
        <v>Combinando a opinião / revisão de Gary e Gin Zen, O Código Da Vinci é uma porcaria.</v>
      </c>
      <c r="B9145" s="3">
        <v>0</v>
      </c>
    </row>
    <row r="9146" ht="15.75" customHeight="1" spans="1:2">
      <c r="A9146" s="3" t="str">
        <f>IFERROR(__xludf.DUMMYFUNCTION("GOOGLETRANSLATE(A9146,""en"",""pt"")"),"Código Da Vinci suga ser ...")</f>
        <v>Código Da Vinci suga ser ...</v>
      </c>
      <c r="B9146" s="3">
        <v>0</v>
      </c>
    </row>
    <row r="9147" ht="15.75" customHeight="1" spans="1:2">
      <c r="A9147" s="3" t="str">
        <f>IFERROR(__xludf.DUMMYFUNCTION("GOOGLETRANSLATE(A9147,""en"",""pt"")"),"Código Da Vinci sugado ..")</f>
        <v>Código Da Vinci sugado ..</v>
      </c>
      <c r="B9147" s="3">
        <v>0</v>
      </c>
    </row>
    <row r="9148" ht="15.75" customHeight="1" spans="1:2">
      <c r="A9148" s="3" t="str">
        <f>IFERROR(__xludf.DUMMYFUNCTION("GOOGLETRANSLATE(A9148,""en"",""pt"")"),"O Código Da Vinci chupado grande.")</f>
        <v>O Código Da Vinci chupado grande.</v>
      </c>
      <c r="B9148" s="3">
        <v>0</v>
      </c>
    </row>
    <row r="9149" ht="15.75" customHeight="1" spans="1:2">
      <c r="A9149" s="3" t="str">
        <f>IFERROR(__xludf.DUMMYFUNCTION("GOOGLETRANSLATE(A9149,""en"",""pt"")"),"Código Da Vinci = Cima, Cima, Baixo, Baixo, Esquerda, Direita, Esquerda, Direita, B, A, SUGAM!")</f>
        <v>Código Da Vinci = Cima, Cima, Baixo, Baixo, Esquerda, Direita, Esquerda, Direita, B, A, SUGAM!</v>
      </c>
      <c r="B9149" s="3">
        <v>0</v>
      </c>
    </row>
    <row r="9150" ht="15.75" customHeight="1" spans="1:2">
      <c r="A9150" s="3" t="str">
        <f>IFERROR(__xludf.DUMMYFUNCTION("GOOGLETRANSLATE(A9150,""en"",""pt"")"),"a propósito, o Código Da Vinci sugado, apenas deixando você sabe ...")</f>
        <v>a propósito, o Código Da Vinci sugado, apenas deixando você sabe ...</v>
      </c>
      <c r="B9150" s="3">
        <v>0</v>
      </c>
    </row>
    <row r="9151" ht="15.75" customHeight="1" spans="1:2">
      <c r="A9151" s="3" t="str">
        <f>IFERROR(__xludf.DUMMYFUNCTION("GOOGLETRANSLATE(A9151,""en"",""pt"")"),"eu ouvi Código Da Vinci sugado soo apenas 2,5 estrelas:")</f>
        <v>eu ouvi Código Da Vinci sugado soo apenas 2,5 estrelas:</v>
      </c>
      <c r="B9151" s="3">
        <v>0</v>
      </c>
    </row>
    <row r="9152" ht="15.75" customHeight="1" spans="1:2">
      <c r="A9152" s="3" t="str">
        <f>IFERROR(__xludf.DUMMYFUNCTION("GOOGLETRANSLATE(A9152,""en"",""pt"")"),"Código Da Vinci é uma porcaria ...")</f>
        <v>Código Da Vinci é uma porcaria ...</v>
      </c>
      <c r="B9152" s="3">
        <v>0</v>
      </c>
    </row>
    <row r="9153" ht="15.75" customHeight="1" spans="1:2">
      <c r="A9153" s="3" t="str">
        <f>IFERROR(__xludf.DUMMYFUNCTION("GOOGLETRANSLATE(A9153,""en"",""pt"")"),"Código Da Vinci é uma porcaria.")</f>
        <v>Código Da Vinci é uma porcaria.</v>
      </c>
      <c r="B9153" s="3">
        <v>0</v>
      </c>
    </row>
    <row r="9154" ht="15.75" customHeight="1" spans="1:2">
      <c r="A9154" s="3" t="str">
        <f>IFERROR(__xludf.DUMMYFUNCTION("GOOGLETRANSLATE(A9154,""en"",""pt"")"),"sexta-feira sai com kelsie e fomos e viu O Código Da Vinci SUGADO !!!!!")</f>
        <v>sexta-feira sai com kelsie e fomos e viu O Código Da Vinci SUGADO !!!!!</v>
      </c>
      <c r="B9154" s="3">
        <v>0</v>
      </c>
    </row>
    <row r="9155" ht="15.75" customHeight="1" spans="1:2">
      <c r="A9155" s="3" t="str">
        <f>IFERROR(__xludf.DUMMYFUNCTION("GOOGLETRANSLATE(A9155,""en"",""pt"")"),"Combinando a opinião / revisão de Gary e Gin Zen, O Código Da Vinci é uma porcaria.")</f>
        <v>Combinando a opinião / revisão de Gary e Gin Zen, O Código Da Vinci é uma porcaria.</v>
      </c>
      <c r="B9155" s="3">
        <v>0</v>
      </c>
    </row>
    <row r="9156" ht="15.75" customHeight="1" spans="1:2">
      <c r="A9156" s="3" t="str">
        <f>IFERROR(__xludf.DUMMYFUNCTION("GOOGLETRANSLATE(A9156,""en"",""pt"")"),"Código Da Vinci suga ser ...")</f>
        <v>Código Da Vinci suga ser ...</v>
      </c>
      <c r="B9156" s="3">
        <v>0</v>
      </c>
    </row>
    <row r="9157" ht="15.75" customHeight="1" spans="1:2">
      <c r="A9157" s="3" t="str">
        <f>IFERROR(__xludf.DUMMYFUNCTION("GOOGLETRANSLATE(A9157,""en"",""pt"")"),"Código Da Vinci sugado ..")</f>
        <v>Código Da Vinci sugado ..</v>
      </c>
      <c r="B9157" s="3">
        <v>0</v>
      </c>
    </row>
    <row r="9158" ht="15.75" customHeight="1" spans="1:2">
      <c r="A9158" s="3" t="str">
        <f>IFERROR(__xludf.DUMMYFUNCTION("GOOGLETRANSLATE(A9158,""en"",""pt"")"),"O Código Da Vinci chupado grande.")</f>
        <v>O Código Da Vinci chupado grande.</v>
      </c>
      <c r="B9158" s="3">
        <v>0</v>
      </c>
    </row>
    <row r="9159" ht="15.75" customHeight="1" spans="1:2">
      <c r="A9159" s="3" t="str">
        <f>IFERROR(__xludf.DUMMYFUNCTION("GOOGLETRANSLATE(A9159,""en"",""pt"")"),"Código Da Vinci = Cima, Cima, Baixo, Baixo, Esquerda, Direita, Esquerda, Direita, B, A, SUGAM!")</f>
        <v>Código Da Vinci = Cima, Cima, Baixo, Baixo, Esquerda, Direita, Esquerda, Direita, B, A, SUGAM!</v>
      </c>
      <c r="B9159" s="3">
        <v>0</v>
      </c>
    </row>
    <row r="9160" ht="15.75" customHeight="1" spans="1:2">
      <c r="A9160" s="3" t="str">
        <f>IFERROR(__xludf.DUMMYFUNCTION("GOOGLETRANSLATE(A9160,""en"",""pt"")"),"a propósito, o Código Da Vinci sugado, apenas deixando você sabe ...")</f>
        <v>a propósito, o Código Da Vinci sugado, apenas deixando você sabe ...</v>
      </c>
      <c r="B9160" s="3">
        <v>0</v>
      </c>
    </row>
    <row r="9161" ht="15.75" customHeight="1" spans="1:2">
      <c r="A9161" s="3" t="str">
        <f>IFERROR(__xludf.DUMMYFUNCTION("GOOGLETRANSLATE(A9161,""en"",""pt"")"),"eu ouvi Código Da Vinci sugado soo apenas 2,5 estrelas:")</f>
        <v>eu ouvi Código Da Vinci sugado soo apenas 2,5 estrelas:</v>
      </c>
      <c r="B9161" s="3">
        <v>0</v>
      </c>
    </row>
    <row r="9162" ht="15.75" customHeight="1" spans="1:2">
      <c r="A9162" s="3" t="str">
        <f>IFERROR(__xludf.DUMMYFUNCTION("GOOGLETRANSLATE(A9162,""en"",""pt"")"),"Código Da Vinci é uma porcaria ...")</f>
        <v>Código Da Vinci é uma porcaria ...</v>
      </c>
      <c r="B9162" s="3">
        <v>0</v>
      </c>
    </row>
    <row r="9163" ht="15.75" customHeight="1" spans="1:2">
      <c r="A9163" s="3" t="str">
        <f>IFERROR(__xludf.DUMMYFUNCTION("GOOGLETRANSLATE(A9163,""en"",""pt"")"),"Código Da Vinci é uma porcaria.")</f>
        <v>Código Da Vinci é uma porcaria.</v>
      </c>
      <c r="B9163" s="3">
        <v>0</v>
      </c>
    </row>
    <row r="9164" ht="15.75" customHeight="1" spans="1:2">
      <c r="A9164" s="3" t="str">
        <f>IFERROR(__xludf.DUMMYFUNCTION("GOOGLETRANSLATE(A9164,""en"",""pt"")"),"sexta-feira sai com kelsie e fomos e viu O Código Da Vinci SUGADO !!!!!")</f>
        <v>sexta-feira sai com kelsie e fomos e viu O Código Da Vinci SUGADO !!!!!</v>
      </c>
      <c r="B9164" s="3">
        <v>0</v>
      </c>
    </row>
    <row r="9165" ht="15.75" customHeight="1" spans="1:2">
      <c r="A9165" s="3" t="str">
        <f>IFERROR(__xludf.DUMMYFUNCTION("GOOGLETRANSLATE(A9165,""en"",""pt"")"),"Combinando a opinião / revisão de Gary e Gin Zen, O Código Da Vinci é uma porcaria.")</f>
        <v>Combinando a opinião / revisão de Gary e Gin Zen, O Código Da Vinci é uma porcaria.</v>
      </c>
      <c r="B9165" s="3">
        <v>0</v>
      </c>
    </row>
    <row r="9166" ht="15.75" customHeight="1" spans="1:2">
      <c r="A9166" s="3" t="str">
        <f>IFERROR(__xludf.DUMMYFUNCTION("GOOGLETRANSLATE(A9166,""en"",""pt"")"),"Código Da Vinci suga ser ...")</f>
        <v>Código Da Vinci suga ser ...</v>
      </c>
      <c r="B9166" s="3">
        <v>0</v>
      </c>
    </row>
    <row r="9167" ht="15.75" customHeight="1" spans="1:2">
      <c r="A9167" s="3" t="str">
        <f>IFERROR(__xludf.DUMMYFUNCTION("GOOGLETRANSLATE(A9167,""en"",""pt"")"),"Código Da Vinci sugado ..")</f>
        <v>Código Da Vinci sugado ..</v>
      </c>
      <c r="B9167" s="3">
        <v>0</v>
      </c>
    </row>
    <row r="9168" ht="15.75" customHeight="1" spans="1:2">
      <c r="A9168" s="3" t="str">
        <f>IFERROR(__xludf.DUMMYFUNCTION("GOOGLETRANSLATE(A9168,""en"",""pt"")"),"O Código Da Vinci chupado grande.")</f>
        <v>O Código Da Vinci chupado grande.</v>
      </c>
      <c r="B9168" s="3">
        <v>0</v>
      </c>
    </row>
    <row r="9169" ht="15.75" customHeight="1" spans="1:2">
      <c r="A9169" s="3" t="str">
        <f>IFERROR(__xludf.DUMMYFUNCTION("GOOGLETRANSLATE(A9169,""en"",""pt"")"),"Código Da Vinci = Cima, Cima, Baixo, Baixo, Esquerda, Direita, Esquerda, Direita, B, A, SUGAM!")</f>
        <v>Código Da Vinci = Cima, Cima, Baixo, Baixo, Esquerda, Direita, Esquerda, Direita, B, A, SUGAM!</v>
      </c>
      <c r="B9169" s="3">
        <v>0</v>
      </c>
    </row>
    <row r="9170" ht="15.75" customHeight="1" spans="1:2">
      <c r="A9170" s="3" t="str">
        <f>IFERROR(__xludf.DUMMYFUNCTION("GOOGLETRANSLATE(A9170,""en"",""pt"")"),"a propósito, o Código Da Vinci sugado, apenas deixando você sabe ...")</f>
        <v>a propósito, o Código Da Vinci sugado, apenas deixando você sabe ...</v>
      </c>
      <c r="B9170" s="3">
        <v>0</v>
      </c>
    </row>
    <row r="9171" ht="15.75" customHeight="1" spans="1:2">
      <c r="A9171" s="3" t="str">
        <f>IFERROR(__xludf.DUMMYFUNCTION("GOOGLETRANSLATE(A9171,""en"",""pt"")"),"eu ouvi Código Da Vinci sugado soo apenas 2,5 estrelas:")</f>
        <v>eu ouvi Código Da Vinci sugado soo apenas 2,5 estrelas:</v>
      </c>
      <c r="B9171" s="3">
        <v>0</v>
      </c>
    </row>
    <row r="9172" ht="15.75" customHeight="1" spans="1:2">
      <c r="A9172" s="3" t="str">
        <f>IFERROR(__xludf.DUMMYFUNCTION("GOOGLETRANSLATE(A9172,""en"",""pt"")"),"Código Da Vinci é uma porcaria ...")</f>
        <v>Código Da Vinci é uma porcaria ...</v>
      </c>
      <c r="B9172" s="3">
        <v>0</v>
      </c>
    </row>
    <row r="9173" ht="15.75" customHeight="1" spans="1:2">
      <c r="A9173" s="3" t="str">
        <f>IFERROR(__xludf.DUMMYFUNCTION("GOOGLETRANSLATE(A9173,""en"",""pt"")"),"Código Da Vinci é uma porcaria.")</f>
        <v>Código Da Vinci é uma porcaria.</v>
      </c>
      <c r="B9173" s="3">
        <v>0</v>
      </c>
    </row>
    <row r="9174" ht="15.75" customHeight="1" spans="1:2">
      <c r="A9174" s="3" t="str">
        <f>IFERROR(__xludf.DUMMYFUNCTION("GOOGLETRANSLATE(A9174,""en"",""pt"")"),"sexta-feira sai com kelsie e fomos e viu O Código Da Vinci SUGADO !!!!!")</f>
        <v>sexta-feira sai com kelsie e fomos e viu O Código Da Vinci SUGADO !!!!!</v>
      </c>
      <c r="B9174" s="3">
        <v>0</v>
      </c>
    </row>
    <row r="9175" ht="15.75" customHeight="1" spans="1:2">
      <c r="A9175" s="3" t="str">
        <f>IFERROR(__xludf.DUMMYFUNCTION("GOOGLETRANSLATE(A9175,""en"",""pt"")"),"Combinando a opinião / revisão de Gary e Gin Zen, O Código Da Vinci é uma porcaria.")</f>
        <v>Combinando a opinião / revisão de Gary e Gin Zen, O Código Da Vinci é uma porcaria.</v>
      </c>
      <c r="B9175" s="3">
        <v>0</v>
      </c>
    </row>
    <row r="9176" ht="15.75" customHeight="1" spans="1:2">
      <c r="A9176" s="3" t="str">
        <f>IFERROR(__xludf.DUMMYFUNCTION("GOOGLETRANSLATE(A9176,""en"",""pt"")"),"Código Da Vinci suga ser ...")</f>
        <v>Código Da Vinci suga ser ...</v>
      </c>
      <c r="B9176" s="3">
        <v>0</v>
      </c>
    </row>
    <row r="9177" ht="15.75" customHeight="1" spans="1:2">
      <c r="A9177" s="3" t="str">
        <f>IFERROR(__xludf.DUMMYFUNCTION("GOOGLETRANSLATE(A9177,""en"",""pt"")"),"Código Da Vinci sugado ..")</f>
        <v>Código Da Vinci sugado ..</v>
      </c>
      <c r="B9177" s="3">
        <v>0</v>
      </c>
    </row>
    <row r="9178" ht="15.75" customHeight="1" spans="1:2">
      <c r="A9178" s="3" t="str">
        <f>IFERROR(__xludf.DUMMYFUNCTION("GOOGLETRANSLATE(A9178,""en"",""pt"")"),"O Código Da Vinci chupado grande.")</f>
        <v>O Código Da Vinci chupado grande.</v>
      </c>
      <c r="B9178" s="3">
        <v>0</v>
      </c>
    </row>
    <row r="9179" ht="15.75" customHeight="1" spans="1:2">
      <c r="A9179" s="3" t="str">
        <f>IFERROR(__xludf.DUMMYFUNCTION("GOOGLETRANSLATE(A9179,""en"",""pt"")"),"Código Da Vinci = Cima, Cima, Baixo, Baixo, Esquerda, Direita, Esquerda, Direita, B, A, SUGAM!")</f>
        <v>Código Da Vinci = Cima, Cima, Baixo, Baixo, Esquerda, Direita, Esquerda, Direita, B, A, SUGAM!</v>
      </c>
      <c r="B9179" s="3">
        <v>0</v>
      </c>
    </row>
    <row r="9180" ht="15.75" customHeight="1" spans="1:2">
      <c r="A9180" s="3" t="str">
        <f>IFERROR(__xludf.DUMMYFUNCTION("GOOGLETRANSLATE(A9180,""en"",""pt"")"),"a propósito, o Código Da Vinci sugado, apenas deixando você sabe ...")</f>
        <v>a propósito, o Código Da Vinci sugado, apenas deixando você sabe ...</v>
      </c>
      <c r="B9180" s="3">
        <v>0</v>
      </c>
    </row>
    <row r="9181" ht="15.75" customHeight="1" spans="1:2">
      <c r="A9181" s="3" t="str">
        <f>IFERROR(__xludf.DUMMYFUNCTION("GOOGLETRANSLATE(A9181,""en"",""pt"")"),"eu ouvi Código Da Vinci sugado soo apenas 2,5 estrelas:")</f>
        <v>eu ouvi Código Da Vinci sugado soo apenas 2,5 estrelas:</v>
      </c>
      <c r="B9181" s="3">
        <v>0</v>
      </c>
    </row>
    <row r="9182" ht="15.75" customHeight="1" spans="1:2">
      <c r="A9182" s="3" t="str">
        <f>IFERROR(__xludf.DUMMYFUNCTION("GOOGLETRANSLATE(A9182,""en"",""pt"")"),"Código Da Vinci é uma porcaria ...")</f>
        <v>Código Da Vinci é uma porcaria ...</v>
      </c>
      <c r="B9182" s="3">
        <v>0</v>
      </c>
    </row>
    <row r="9183" ht="15.75" customHeight="1" spans="1:2">
      <c r="A9183" s="3" t="str">
        <f>IFERROR(__xludf.DUMMYFUNCTION("GOOGLETRANSLATE(A9183,""en"",""pt"")"),"Código Da Vinci é uma porcaria.")</f>
        <v>Código Da Vinci é uma porcaria.</v>
      </c>
      <c r="B9183" s="3">
        <v>0</v>
      </c>
    </row>
    <row r="9184" ht="15.75" customHeight="1" spans="1:2">
      <c r="A9184" s="3" t="str">
        <f>IFERROR(__xludf.DUMMYFUNCTION("GOOGLETRANSLATE(A9184,""en"",""pt"")"),"sexta-feira sai com kelsie e fomos e viu O Código Da Vinci SUGADO !!!!!")</f>
        <v>sexta-feira sai com kelsie e fomos e viu O Código Da Vinci SUGADO !!!!!</v>
      </c>
      <c r="B9184" s="3">
        <v>0</v>
      </c>
    </row>
    <row r="9185" ht="15.75" customHeight="1" spans="1:2">
      <c r="A9185" s="3" t="str">
        <f>IFERROR(__xludf.DUMMYFUNCTION("GOOGLETRANSLATE(A9185,""en"",""pt"")"),"Combinando a opinião / revisão de Gary e Gin Zen, O Código Da Vinci é uma porcaria.")</f>
        <v>Combinando a opinião / revisão de Gary e Gin Zen, O Código Da Vinci é uma porcaria.</v>
      </c>
      <c r="B9185" s="3">
        <v>0</v>
      </c>
    </row>
    <row r="9186" ht="15.75" customHeight="1" spans="1:2">
      <c r="A9186" s="3" t="str">
        <f>IFERROR(__xludf.DUMMYFUNCTION("GOOGLETRANSLATE(A9186,""en"",""pt"")"),"Código Da Vinci suga ser ...")</f>
        <v>Código Da Vinci suga ser ...</v>
      </c>
      <c r="B9186" s="3">
        <v>0</v>
      </c>
    </row>
    <row r="9187" ht="15.75" customHeight="1" spans="1:2">
      <c r="A9187" s="3" t="str">
        <f>IFERROR(__xludf.DUMMYFUNCTION("GOOGLETRANSLATE(A9187,""en"",""pt"")"),"Código Da Vinci sugado ..")</f>
        <v>Código Da Vinci sugado ..</v>
      </c>
      <c r="B9187" s="3">
        <v>0</v>
      </c>
    </row>
    <row r="9188" ht="15.75" customHeight="1" spans="1:2">
      <c r="A9188" s="3" t="str">
        <f>IFERROR(__xludf.DUMMYFUNCTION("GOOGLETRANSLATE(A9188,""en"",""pt"")"),"O Código Da Vinci chupado grande.")</f>
        <v>O Código Da Vinci chupado grande.</v>
      </c>
      <c r="B9188" s="3">
        <v>0</v>
      </c>
    </row>
    <row r="9189" ht="15.75" customHeight="1" spans="1:2">
      <c r="A9189" s="3" t="str">
        <f>IFERROR(__xludf.DUMMYFUNCTION("GOOGLETRANSLATE(A9189,""en"",""pt"")"),"Código Da Vinci = Cima, Cima, Baixo, Baixo, Esquerda, Direita, Esquerda, Direita, B, A, SUGAM!")</f>
        <v>Código Da Vinci = Cima, Cima, Baixo, Baixo, Esquerda, Direita, Esquerda, Direita, B, A, SUGAM!</v>
      </c>
      <c r="B9189" s="3">
        <v>0</v>
      </c>
    </row>
    <row r="9190" ht="15.75" customHeight="1" spans="1:2">
      <c r="A9190" s="3" t="str">
        <f>IFERROR(__xludf.DUMMYFUNCTION("GOOGLETRANSLATE(A9190,""en"",""pt"")"),"a propósito, o Código Da Vinci sugado, apenas deixando você sabe ...")</f>
        <v>a propósito, o Código Da Vinci sugado, apenas deixando você sabe ...</v>
      </c>
      <c r="B9190" s="3">
        <v>0</v>
      </c>
    </row>
    <row r="9191" ht="15.75" customHeight="1" spans="1:2">
      <c r="A9191" s="3" t="str">
        <f>IFERROR(__xludf.DUMMYFUNCTION("GOOGLETRANSLATE(A9191,""en"",""pt"")"),"eu ouvi Código Da Vinci sugado soo apenas 2,5 estrelas:")</f>
        <v>eu ouvi Código Da Vinci sugado soo apenas 2,5 estrelas:</v>
      </c>
      <c r="B9191" s="3">
        <v>0</v>
      </c>
    </row>
    <row r="9192" ht="15.75" customHeight="1" spans="1:2">
      <c r="A9192" s="3" t="str">
        <f>IFERROR(__xludf.DUMMYFUNCTION("GOOGLETRANSLATE(A9192,""en"",""pt"")"),"Código Da Vinci é uma porcaria ...")</f>
        <v>Código Da Vinci é uma porcaria ...</v>
      </c>
      <c r="B9192" s="3">
        <v>0</v>
      </c>
    </row>
    <row r="9193" ht="15.75" customHeight="1" spans="1:2">
      <c r="A9193" s="3" t="str">
        <f>IFERROR(__xludf.DUMMYFUNCTION("GOOGLETRANSLATE(A9193,""en"",""pt"")"),"Código Da Vinci é uma porcaria.")</f>
        <v>Código Da Vinci é uma porcaria.</v>
      </c>
      <c r="B9193" s="3">
        <v>0</v>
      </c>
    </row>
    <row r="9194" ht="15.75" customHeight="1" spans="1:2">
      <c r="A9194" s="3" t="str">
        <f>IFERROR(__xludf.DUMMYFUNCTION("GOOGLETRANSLATE(A9194,""en"",""pt"")"),"sexta-feira sai com kelsie e fomos e viu O Código Da Vinci SUGADO !!!!!")</f>
        <v>sexta-feira sai com kelsie e fomos e viu O Código Da Vinci SUGADO !!!!!</v>
      </c>
      <c r="B9194" s="3">
        <v>0</v>
      </c>
    </row>
    <row r="9195" ht="15.75" customHeight="1" spans="1:2">
      <c r="A9195" s="3" t="str">
        <f>IFERROR(__xludf.DUMMYFUNCTION("GOOGLETRANSLATE(A9195,""en"",""pt"")"),"Combinando a opinião / revisão de Gary e Gin Zen, O Código Da Vinci é uma porcaria.")</f>
        <v>Combinando a opinião / revisão de Gary e Gin Zen, O Código Da Vinci é uma porcaria.</v>
      </c>
      <c r="B9195" s="3">
        <v>0</v>
      </c>
    </row>
    <row r="9196" ht="15.75" customHeight="1" spans="1:2">
      <c r="A9196" s="3" t="str">
        <f>IFERROR(__xludf.DUMMYFUNCTION("GOOGLETRANSLATE(A9196,""en"",""pt"")"),"Código Da Vinci suga ser ...")</f>
        <v>Código Da Vinci suga ser ...</v>
      </c>
      <c r="B9196" s="3">
        <v>0</v>
      </c>
    </row>
    <row r="9197" ht="15.75" customHeight="1" spans="1:2">
      <c r="A9197" s="3" t="str">
        <f>IFERROR(__xludf.DUMMYFUNCTION("GOOGLETRANSLATE(A9197,""en"",""pt"")"),"Código Da Vinci sugado ..")</f>
        <v>Código Da Vinci sugado ..</v>
      </c>
      <c r="B9197" s="3">
        <v>0</v>
      </c>
    </row>
    <row r="9198" ht="15.75" customHeight="1" spans="1:2">
      <c r="A9198" s="3" t="str">
        <f>IFERROR(__xludf.DUMMYFUNCTION("GOOGLETRANSLATE(A9198,""en"",""pt"")"),"O Código Da Vinci chupado grande.")</f>
        <v>O Código Da Vinci chupado grande.</v>
      </c>
      <c r="B9198" s="3">
        <v>0</v>
      </c>
    </row>
    <row r="9199" ht="15.75" customHeight="1" spans="1:2">
      <c r="A9199" s="3" t="str">
        <f>IFERROR(__xludf.DUMMYFUNCTION("GOOGLETRANSLATE(A9199,""en"",""pt"")"),"Código Da Vinci = Cima, Cima, Baixo, Baixo, Esquerda, Direita, Esquerda, Direita, B, A, SUGAM!")</f>
        <v>Código Da Vinci = Cima, Cima, Baixo, Baixo, Esquerda, Direita, Esquerda, Direita, B, A, SUGAM!</v>
      </c>
      <c r="B9199" s="3">
        <v>0</v>
      </c>
    </row>
    <row r="9200" ht="15.75" customHeight="1" spans="1:2">
      <c r="A9200" s="3" t="str">
        <f>IFERROR(__xludf.DUMMYFUNCTION("GOOGLETRANSLATE(A9200,""en"",""pt"")"),"a propósito, o Código Da Vinci sugado, apenas deixando você sabe ...")</f>
        <v>a propósito, o Código Da Vinci sugado, apenas deixando você sabe ...</v>
      </c>
      <c r="B9200" s="3">
        <v>0</v>
      </c>
    </row>
    <row r="9201" ht="15.75" customHeight="1" spans="1:2">
      <c r="A9201" s="3" t="str">
        <f>IFERROR(__xludf.DUMMYFUNCTION("GOOGLETRANSLATE(A9201,""en"",""pt"")"),"eu ouvi Código Da Vinci sugado soo apenas 2,5 estrelas:")</f>
        <v>eu ouvi Código Da Vinci sugado soo apenas 2,5 estrelas:</v>
      </c>
      <c r="B9201" s="3">
        <v>0</v>
      </c>
    </row>
    <row r="9202" ht="15.75" customHeight="1" spans="1:2">
      <c r="A9202" s="3" t="str">
        <f>IFERROR(__xludf.DUMMYFUNCTION("GOOGLETRANSLATE(A9202,""en"",""pt"")"),"Código Da Vinci é uma porcaria ...")</f>
        <v>Código Da Vinci é uma porcaria ...</v>
      </c>
      <c r="B9202" s="3">
        <v>0</v>
      </c>
    </row>
    <row r="9203" ht="15.75" customHeight="1" spans="1:2">
      <c r="A9203" s="3" t="str">
        <f>IFERROR(__xludf.DUMMYFUNCTION("GOOGLETRANSLATE(A9203,""en"",""pt"")"),"Código Da Vinci é uma porcaria.")</f>
        <v>Código Da Vinci é uma porcaria.</v>
      </c>
      <c r="B9203" s="3">
        <v>0</v>
      </c>
    </row>
    <row r="9204" ht="15.75" customHeight="1" spans="1:2">
      <c r="A9204" s="3" t="str">
        <f>IFERROR(__xludf.DUMMYFUNCTION("GOOGLETRANSLATE(A9204,""en"",""pt"")"),"sexta-feira sai com kelsie e fomos e viu O Código Da Vinci SUGADO !!!!!")</f>
        <v>sexta-feira sai com kelsie e fomos e viu O Código Da Vinci SUGADO !!!!!</v>
      </c>
      <c r="B9204" s="3">
        <v>0</v>
      </c>
    </row>
    <row r="9205" ht="15.75" customHeight="1" spans="1:2">
      <c r="A9205" s="3" t="str">
        <f>IFERROR(__xludf.DUMMYFUNCTION("GOOGLETRANSLATE(A9205,""en"",""pt"")"),"Combinando a opinião / revisão de Gary e Gin Zen, O Código Da Vinci é uma porcaria.")</f>
        <v>Combinando a opinião / revisão de Gary e Gin Zen, O Código Da Vinci é uma porcaria.</v>
      </c>
      <c r="B9205" s="3">
        <v>0</v>
      </c>
    </row>
    <row r="9206" ht="15.75" customHeight="1" spans="1:2">
      <c r="A9206" s="3" t="str">
        <f>IFERROR(__xludf.DUMMYFUNCTION("GOOGLETRANSLATE(A9206,""en"",""pt"")"),"Código Da Vinci suga ser ...")</f>
        <v>Código Da Vinci suga ser ...</v>
      </c>
      <c r="B9206" s="3">
        <v>0</v>
      </c>
    </row>
    <row r="9207" ht="15.75" customHeight="1" spans="1:2">
      <c r="A9207" s="3" t="str">
        <f>IFERROR(__xludf.DUMMYFUNCTION("GOOGLETRANSLATE(A9207,""en"",""pt"")"),"Código Da Vinci sugado ..")</f>
        <v>Código Da Vinci sugado ..</v>
      </c>
      <c r="B9207" s="3">
        <v>0</v>
      </c>
    </row>
    <row r="9208" ht="15.75" customHeight="1" spans="1:2">
      <c r="A9208" s="3" t="str">
        <f>IFERROR(__xludf.DUMMYFUNCTION("GOOGLETRANSLATE(A9208,""en"",""pt"")"),"O Código Da Vinci chupado grande.")</f>
        <v>O Código Da Vinci chupado grande.</v>
      </c>
      <c r="B9208" s="3">
        <v>0</v>
      </c>
    </row>
    <row r="9209" ht="15.75" customHeight="1" spans="1:2">
      <c r="A9209" s="3" t="str">
        <f>IFERROR(__xludf.DUMMYFUNCTION("GOOGLETRANSLATE(A9209,""en"",""pt"")"),"Código Da Vinci = Cima, Cima, Baixo, Baixo, Esquerda, Direita, Esquerda, Direita, B, A, SUGAM!")</f>
        <v>Código Da Vinci = Cima, Cima, Baixo, Baixo, Esquerda, Direita, Esquerda, Direita, B, A, SUGAM!</v>
      </c>
      <c r="B9209" s="3">
        <v>0</v>
      </c>
    </row>
    <row r="9210" ht="15.75" customHeight="1" spans="1:2">
      <c r="A9210" s="3" t="str">
        <f>IFERROR(__xludf.DUMMYFUNCTION("GOOGLETRANSLATE(A9210,""en"",""pt"")"),"a propósito, o Código Da Vinci sugado, apenas deixando você sabe ...")</f>
        <v>a propósito, o Código Da Vinci sugado, apenas deixando você sabe ...</v>
      </c>
      <c r="B9210" s="3">
        <v>0</v>
      </c>
    </row>
    <row r="9211" ht="15.75" customHeight="1" spans="1:2">
      <c r="A9211" s="3" t="str">
        <f>IFERROR(__xludf.DUMMYFUNCTION("GOOGLETRANSLATE(A9211,""en"",""pt"")"),"eu ouvi Código Da Vinci sugado soo apenas 2,5 estrelas:")</f>
        <v>eu ouvi Código Da Vinci sugado soo apenas 2,5 estrelas:</v>
      </c>
      <c r="B9211" s="3">
        <v>0</v>
      </c>
    </row>
    <row r="9212" ht="15.75" customHeight="1" spans="1:2">
      <c r="A9212" s="3" t="str">
        <f>IFERROR(__xludf.DUMMYFUNCTION("GOOGLETRANSLATE(A9212,""en"",""pt"")"),"Código Da Vinci é uma porcaria ...")</f>
        <v>Código Da Vinci é uma porcaria ...</v>
      </c>
      <c r="B9212" s="3">
        <v>0</v>
      </c>
    </row>
    <row r="9213" ht="15.75" customHeight="1" spans="1:2">
      <c r="A9213" s="3" t="str">
        <f>IFERROR(__xludf.DUMMYFUNCTION("GOOGLETRANSLATE(A9213,""en"",""pt"")"),"Código Da Vinci é uma porcaria.")</f>
        <v>Código Da Vinci é uma porcaria.</v>
      </c>
      <c r="B9213" s="3">
        <v>0</v>
      </c>
    </row>
    <row r="9214" ht="15.75" customHeight="1" spans="1:2">
      <c r="A9214" s="3" t="str">
        <f>IFERROR(__xludf.DUMMYFUNCTION("GOOGLETRANSLATE(A9214,""en"",""pt"")"),"sexta-feira sai com kelsie e fomos e viu O Código Da Vinci SUGADO !!!!!")</f>
        <v>sexta-feira sai com kelsie e fomos e viu O Código Da Vinci SUGADO !!!!!</v>
      </c>
      <c r="B9214" s="3">
        <v>0</v>
      </c>
    </row>
    <row r="9215" ht="15.75" customHeight="1" spans="1:2">
      <c r="A9215" s="3" t="str">
        <f>IFERROR(__xludf.DUMMYFUNCTION("GOOGLETRANSLATE(A9215,""en"",""pt"")"),"Combinando a opinião / revisão de Gary e Gin Zen, O Código Da Vinci é uma porcaria.")</f>
        <v>Combinando a opinião / revisão de Gary e Gin Zen, O Código Da Vinci é uma porcaria.</v>
      </c>
      <c r="B9215" s="3">
        <v>0</v>
      </c>
    </row>
    <row r="9216" ht="15.75" customHeight="1" spans="1:2">
      <c r="A9216" s="3" t="str">
        <f>IFERROR(__xludf.DUMMYFUNCTION("GOOGLETRANSLATE(A9216,""en"",""pt"")"),"Código Da Vinci suga ser ...")</f>
        <v>Código Da Vinci suga ser ...</v>
      </c>
      <c r="B9216" s="3">
        <v>0</v>
      </c>
    </row>
    <row r="9217" ht="15.75" customHeight="1" spans="1:2">
      <c r="A9217" s="3" t="str">
        <f>IFERROR(__xludf.DUMMYFUNCTION("GOOGLETRANSLATE(A9217,""en"",""pt"")"),"Código Da Vinci sugado ..")</f>
        <v>Código Da Vinci sugado ..</v>
      </c>
      <c r="B9217" s="3">
        <v>0</v>
      </c>
    </row>
    <row r="9218" ht="15.75" customHeight="1" spans="1:2">
      <c r="A9218" s="3" t="str">
        <f>IFERROR(__xludf.DUMMYFUNCTION("GOOGLETRANSLATE(A9218,""en"",""pt"")"),"O Código Da Vinci chupado grande.")</f>
        <v>O Código Da Vinci chupado grande.</v>
      </c>
      <c r="B9218" s="3">
        <v>0</v>
      </c>
    </row>
    <row r="9219" ht="15.75" customHeight="1" spans="1:2">
      <c r="A9219" s="3" t="str">
        <f>IFERROR(__xludf.DUMMYFUNCTION("GOOGLETRANSLATE(A9219,""en"",""pt"")"),"Código Da Vinci = Cima, Cima, Baixo, Baixo, Esquerda, Direita, Esquerda, Direita, B, A, SUGAM!")</f>
        <v>Código Da Vinci = Cima, Cima, Baixo, Baixo, Esquerda, Direita, Esquerda, Direita, B, A, SUGAM!</v>
      </c>
      <c r="B9219" s="3">
        <v>0</v>
      </c>
    </row>
    <row r="9220" ht="15.75" customHeight="1" spans="1:2">
      <c r="A9220" s="3" t="str">
        <f>IFERROR(__xludf.DUMMYFUNCTION("GOOGLETRANSLATE(A9220,""en"",""pt"")"),"a propósito, o Código Da Vinci sugado, apenas deixando você sabe ...")</f>
        <v>a propósito, o Código Da Vinci sugado, apenas deixando você sabe ...</v>
      </c>
      <c r="B9220" s="3">
        <v>0</v>
      </c>
    </row>
    <row r="9221" ht="15.75" customHeight="1" spans="1:2">
      <c r="A9221" s="3" t="str">
        <f>IFERROR(__xludf.DUMMYFUNCTION("GOOGLETRANSLATE(A9221,""en"",""pt"")"),"eu ouvi Código Da Vinci sugado soo apenas 2,5 estrelas:")</f>
        <v>eu ouvi Código Da Vinci sugado soo apenas 2,5 estrelas:</v>
      </c>
      <c r="B9221" s="3">
        <v>0</v>
      </c>
    </row>
    <row r="9222" ht="15.75" customHeight="1" spans="1:2">
      <c r="A9222" s="3" t="str">
        <f>IFERROR(__xludf.DUMMYFUNCTION("GOOGLETRANSLATE(A9222,""en"",""pt"")"),"Código Da Vinci é uma porcaria ...")</f>
        <v>Código Da Vinci é uma porcaria ...</v>
      </c>
      <c r="B9222" s="3">
        <v>0</v>
      </c>
    </row>
    <row r="9223" ht="15.75" customHeight="1" spans="1:2">
      <c r="A9223" s="3" t="str">
        <f>IFERROR(__xludf.DUMMYFUNCTION("GOOGLETRANSLATE(A9223,""en"",""pt"")"),"Código Da Vinci é uma porcaria.")</f>
        <v>Código Da Vinci é uma porcaria.</v>
      </c>
      <c r="B9223" s="3">
        <v>0</v>
      </c>
    </row>
    <row r="9224" ht="15.75" customHeight="1" spans="1:2">
      <c r="A9224" s="3" t="str">
        <f>IFERROR(__xludf.DUMMYFUNCTION("GOOGLETRANSLATE(A9224,""en"",""pt"")"),"sexta-feira sai com kelsie e fomos e viu O Código Da Vinci SUGADO !!!!!")</f>
        <v>sexta-feira sai com kelsie e fomos e viu O Código Da Vinci SUGADO !!!!!</v>
      </c>
      <c r="B9224" s="3">
        <v>0</v>
      </c>
    </row>
    <row r="9225" ht="15.75" customHeight="1" spans="1:2">
      <c r="A9225" s="3" t="str">
        <f>IFERROR(__xludf.DUMMYFUNCTION("GOOGLETRANSLATE(A9225,""en"",""pt"")"),"Combinando a opinião / revisão de Gary e Gin Zen, O Código Da Vinci é uma porcaria.")</f>
        <v>Combinando a opinião / revisão de Gary e Gin Zen, O Código Da Vinci é uma porcaria.</v>
      </c>
      <c r="B9225" s="3">
        <v>0</v>
      </c>
    </row>
    <row r="9226" ht="15.75" customHeight="1" spans="1:2">
      <c r="A9226" s="3" t="str">
        <f>IFERROR(__xludf.DUMMYFUNCTION("GOOGLETRANSLATE(A9226,""en"",""pt"")"),"Código Da Vinci suga ser ...")</f>
        <v>Código Da Vinci suga ser ...</v>
      </c>
      <c r="B9226" s="3">
        <v>0</v>
      </c>
    </row>
    <row r="9227" ht="15.75" customHeight="1" spans="1:2">
      <c r="A9227" s="3" t="str">
        <f>IFERROR(__xludf.DUMMYFUNCTION("GOOGLETRANSLATE(A9227,""en"",""pt"")"),"Código Da Vinci sugado ..")</f>
        <v>Código Da Vinci sugado ..</v>
      </c>
      <c r="B9227" s="3">
        <v>0</v>
      </c>
    </row>
    <row r="9228" ht="15.75" customHeight="1" spans="1:2">
      <c r="A9228" s="3" t="str">
        <f>IFERROR(__xludf.DUMMYFUNCTION("GOOGLETRANSLATE(A9228,""en"",""pt"")"),"O Código Da Vinci chupado grande.")</f>
        <v>O Código Da Vinci chupado grande.</v>
      </c>
      <c r="B9228" s="3">
        <v>0</v>
      </c>
    </row>
    <row r="9229" ht="15.75" customHeight="1" spans="1:2">
      <c r="A9229" s="3" t="str">
        <f>IFERROR(__xludf.DUMMYFUNCTION("GOOGLETRANSLATE(A9229,""en"",""pt"")"),"Código Da Vinci = Cima, Cima, Baixo, Baixo, Esquerda, Direita, Esquerda, Direita, B, A, SUGAM!")</f>
        <v>Código Da Vinci = Cima, Cima, Baixo, Baixo, Esquerda, Direita, Esquerda, Direita, B, A, SUGAM!</v>
      </c>
      <c r="B9229" s="3">
        <v>0</v>
      </c>
    </row>
    <row r="9230" ht="15.75" customHeight="1" spans="1:2">
      <c r="A9230" s="3" t="str">
        <f>IFERROR(__xludf.DUMMYFUNCTION("GOOGLETRANSLATE(A9230,""en"",""pt"")"),"a propósito, o Código Da Vinci sugado, apenas deixando você sabe ...")</f>
        <v>a propósito, o Código Da Vinci sugado, apenas deixando você sabe ...</v>
      </c>
      <c r="B9230" s="3">
        <v>0</v>
      </c>
    </row>
    <row r="9231" ht="15.75" customHeight="1" spans="1:2">
      <c r="A9231" s="3" t="str">
        <f>IFERROR(__xludf.DUMMYFUNCTION("GOOGLETRANSLATE(A9231,""en"",""pt"")"),"eu ouvi Código Da Vinci sugado soo apenas 2,5 estrelas:")</f>
        <v>eu ouvi Código Da Vinci sugado soo apenas 2,5 estrelas:</v>
      </c>
      <c r="B9231" s="3">
        <v>0</v>
      </c>
    </row>
    <row r="9232" ht="15.75" customHeight="1" spans="1:2">
      <c r="A9232" s="3" t="str">
        <f>IFERROR(__xludf.DUMMYFUNCTION("GOOGLETRANSLATE(A9232,""en"",""pt"")"),"Código Da Vinci é uma porcaria ...")</f>
        <v>Código Da Vinci é uma porcaria ...</v>
      </c>
      <c r="B9232" s="3">
        <v>0</v>
      </c>
    </row>
    <row r="9233" ht="15.75" customHeight="1" spans="1:2">
      <c r="A9233" s="3" t="str">
        <f>IFERROR(__xludf.DUMMYFUNCTION("GOOGLETRANSLATE(A9233,""en"",""pt"")"),"Código Da Vinci é uma porcaria.")</f>
        <v>Código Da Vinci é uma porcaria.</v>
      </c>
      <c r="B9233" s="3">
        <v>0</v>
      </c>
    </row>
    <row r="9234" ht="15.75" customHeight="1" spans="1:2">
      <c r="A9234" s="3" t="str">
        <f>IFERROR(__xludf.DUMMYFUNCTION("GOOGLETRANSLATE(A9234,""en"",""pt"")"),"sexta-feira sai com kelsie e fomos e viu O Código Da Vinci SUGADO !!!!!")</f>
        <v>sexta-feira sai com kelsie e fomos e viu O Código Da Vinci SUGADO !!!!!</v>
      </c>
      <c r="B9234" s="3">
        <v>0</v>
      </c>
    </row>
    <row r="9235" ht="15.75" customHeight="1" spans="1:2">
      <c r="A9235" s="3" t="str">
        <f>IFERROR(__xludf.DUMMYFUNCTION("GOOGLETRANSLATE(A9235,""en"",""pt"")"),"Combinando a opinião / revisão de Gary e Gin Zen, O Código Da Vinci é uma porcaria.")</f>
        <v>Combinando a opinião / revisão de Gary e Gin Zen, O Código Da Vinci é uma porcaria.</v>
      </c>
      <c r="B9235" s="3">
        <v>0</v>
      </c>
    </row>
    <row r="9236" ht="15.75" customHeight="1" spans="1:2">
      <c r="A9236" s="3" t="str">
        <f>IFERROR(__xludf.DUMMYFUNCTION("GOOGLETRANSLATE(A9236,""en"",""pt"")"),"Código Da Vinci suga ser ...")</f>
        <v>Código Da Vinci suga ser ...</v>
      </c>
      <c r="B9236" s="3">
        <v>0</v>
      </c>
    </row>
    <row r="9237" ht="15.75" customHeight="1" spans="1:2">
      <c r="A9237" s="3" t="str">
        <f>IFERROR(__xludf.DUMMYFUNCTION("GOOGLETRANSLATE(A9237,""en"",""pt"")"),"Código Da Vinci sugado ..")</f>
        <v>Código Da Vinci sugado ..</v>
      </c>
      <c r="B9237" s="3">
        <v>0</v>
      </c>
    </row>
    <row r="9238" ht="15.75" customHeight="1" spans="1:2">
      <c r="A9238" s="3" t="str">
        <f>IFERROR(__xludf.DUMMYFUNCTION("GOOGLETRANSLATE(A9238,""en"",""pt"")"),"O Código Da Vinci chupado grande.")</f>
        <v>O Código Da Vinci chupado grande.</v>
      </c>
      <c r="B9238" s="3">
        <v>0</v>
      </c>
    </row>
    <row r="9239" ht="15.75" customHeight="1" spans="1:2">
      <c r="A9239" s="3" t="str">
        <f>IFERROR(__xludf.DUMMYFUNCTION("GOOGLETRANSLATE(A9239,""en"",""pt"")"),"Código Da Vinci = Cima, Cima, Baixo, Baixo, Esquerda, Direita, Esquerda, Direita, B, A, SUGAM!")</f>
        <v>Código Da Vinci = Cima, Cima, Baixo, Baixo, Esquerda, Direita, Esquerda, Direita, B, A, SUGAM!</v>
      </c>
      <c r="B9239" s="3">
        <v>0</v>
      </c>
    </row>
    <row r="9240" ht="15.75" customHeight="1" spans="1:2">
      <c r="A9240" s="3" t="str">
        <f>IFERROR(__xludf.DUMMYFUNCTION("GOOGLETRANSLATE(A9240,""en"",""pt"")"),"a propósito, o Código Da Vinci sugado, apenas deixando você sabe ...")</f>
        <v>a propósito, o Código Da Vinci sugado, apenas deixando você sabe ...</v>
      </c>
      <c r="B9240" s="3">
        <v>0</v>
      </c>
    </row>
    <row r="9241" ht="15.75" customHeight="1" spans="1:2">
      <c r="A9241" s="3" t="str">
        <f>IFERROR(__xludf.DUMMYFUNCTION("GOOGLETRANSLATE(A9241,""en"",""pt"")"),"eu ouvi Código Da Vinci sugado soo apenas 2,5 estrelas:")</f>
        <v>eu ouvi Código Da Vinci sugado soo apenas 2,5 estrelas:</v>
      </c>
      <c r="B9241" s="3">
        <v>0</v>
      </c>
    </row>
    <row r="9242" ht="15.75" customHeight="1" spans="1:2">
      <c r="A9242" s="3" t="str">
        <f>IFERROR(__xludf.DUMMYFUNCTION("GOOGLETRANSLATE(A9242,""en"",""pt"")"),"Código Da Vinci é uma porcaria ...")</f>
        <v>Código Da Vinci é uma porcaria ...</v>
      </c>
      <c r="B9242" s="3">
        <v>0</v>
      </c>
    </row>
    <row r="9243" ht="15.75" customHeight="1" spans="1:2">
      <c r="A9243" s="3" t="str">
        <f>IFERROR(__xludf.DUMMYFUNCTION("GOOGLETRANSLATE(A9243,""en"",""pt"")"),"Código Da Vinci é uma porcaria.")</f>
        <v>Código Da Vinci é uma porcaria.</v>
      </c>
      <c r="B9243" s="3">
        <v>0</v>
      </c>
    </row>
    <row r="9244" ht="15.75" customHeight="1" spans="1:2">
      <c r="A9244" s="3" t="str">
        <f>IFERROR(__xludf.DUMMYFUNCTION("GOOGLETRANSLATE(A9244,""en"",""pt"")"),"sexta-feira sai com kelsie e fomos e viu O Código Da Vinci SUGADO !!!!!")</f>
        <v>sexta-feira sai com kelsie e fomos e viu O Código Da Vinci SUGADO !!!!!</v>
      </c>
      <c r="B9244" s="3">
        <v>0</v>
      </c>
    </row>
    <row r="9245" ht="15.75" customHeight="1" spans="1:2">
      <c r="A9245" s="3" t="str">
        <f>IFERROR(__xludf.DUMMYFUNCTION("GOOGLETRANSLATE(A9245,""en"",""pt"")"),"Combinando a opinião / revisão de Gary e Gin Zen, O Código Da Vinci é uma porcaria.")</f>
        <v>Combinando a opinião / revisão de Gary e Gin Zen, O Código Da Vinci é uma porcaria.</v>
      </c>
      <c r="B9245" s="3">
        <v>0</v>
      </c>
    </row>
    <row r="9246" ht="15.75" customHeight="1" spans="1:2">
      <c r="A9246" s="3" t="str">
        <f>IFERROR(__xludf.DUMMYFUNCTION("GOOGLETRANSLATE(A9246,""en"",""pt"")"),"Código Da Vinci suga ser ...")</f>
        <v>Código Da Vinci suga ser ...</v>
      </c>
      <c r="B9246" s="3">
        <v>0</v>
      </c>
    </row>
    <row r="9247" ht="15.75" customHeight="1" spans="1:2">
      <c r="A9247" s="3" t="str">
        <f>IFERROR(__xludf.DUMMYFUNCTION("GOOGLETRANSLATE(A9247,""en"",""pt"")"),"Código Da Vinci sugado ..")</f>
        <v>Código Da Vinci sugado ..</v>
      </c>
      <c r="B9247" s="3">
        <v>0</v>
      </c>
    </row>
    <row r="9248" ht="15.75" customHeight="1" spans="1:2">
      <c r="A9248" s="3" t="str">
        <f>IFERROR(__xludf.DUMMYFUNCTION("GOOGLETRANSLATE(A9248,""en"",""pt"")"),"O Código Da Vinci chupado grande.")</f>
        <v>O Código Da Vinci chupado grande.</v>
      </c>
      <c r="B9248" s="3">
        <v>0</v>
      </c>
    </row>
    <row r="9249" ht="15.75" customHeight="1" spans="1:2">
      <c r="A9249" s="3" t="str">
        <f>IFERROR(__xludf.DUMMYFUNCTION("GOOGLETRANSLATE(A9249,""en"",""pt"")"),"Código Da Vinci = Cima, Cima, Baixo, Baixo, Esquerda, Direita, Esquerda, Direita, B, A, SUGAM!")</f>
        <v>Código Da Vinci = Cima, Cima, Baixo, Baixo, Esquerda, Direita, Esquerda, Direita, B, A, SUGAM!</v>
      </c>
      <c r="B9249" s="3">
        <v>0</v>
      </c>
    </row>
    <row r="9250" ht="15.75" customHeight="1" spans="1:2">
      <c r="A9250" s="3" t="str">
        <f>IFERROR(__xludf.DUMMYFUNCTION("GOOGLETRANSLATE(A9250,""en"",""pt"")"),"a propósito, o Código Da Vinci sugado, apenas deixando você sabe ...")</f>
        <v>a propósito, o Código Da Vinci sugado, apenas deixando você sabe ...</v>
      </c>
      <c r="B9250" s="3">
        <v>0</v>
      </c>
    </row>
    <row r="9251" ht="15.75" customHeight="1" spans="1:2">
      <c r="A9251" s="3" t="str">
        <f>IFERROR(__xludf.DUMMYFUNCTION("GOOGLETRANSLATE(A9251,""en"",""pt"")"),"eu ouvi Código Da Vinci sugado soo apenas 2,5 estrelas:")</f>
        <v>eu ouvi Código Da Vinci sugado soo apenas 2,5 estrelas:</v>
      </c>
      <c r="B9251" s="3">
        <v>0</v>
      </c>
    </row>
    <row r="9252" ht="15.75" customHeight="1" spans="1:2">
      <c r="A9252" s="3" t="str">
        <f>IFERROR(__xludf.DUMMYFUNCTION("GOOGLETRANSLATE(A9252,""en"",""pt"")"),"Código Da Vinci é uma porcaria ...")</f>
        <v>Código Da Vinci é uma porcaria ...</v>
      </c>
      <c r="B9252" s="3">
        <v>0</v>
      </c>
    </row>
    <row r="9253" ht="15.75" customHeight="1" spans="1:2">
      <c r="A9253" s="3" t="str">
        <f>IFERROR(__xludf.DUMMYFUNCTION("GOOGLETRANSLATE(A9253,""en"",""pt"")"),"Código Da Vinci é uma porcaria.")</f>
        <v>Código Da Vinci é uma porcaria.</v>
      </c>
      <c r="B9253" s="3">
        <v>0</v>
      </c>
    </row>
    <row r="9254" ht="15.75" customHeight="1" spans="1:2">
      <c r="A9254" s="3" t="str">
        <f>IFERROR(__xludf.DUMMYFUNCTION("GOOGLETRANSLATE(A9254,""en"",""pt"")"),"sexta-feira sai com kelsie e fomos e viu O Código Da Vinci SUGADO !!!!!")</f>
        <v>sexta-feira sai com kelsie e fomos e viu O Código Da Vinci SUGADO !!!!!</v>
      </c>
      <c r="B9254" s="3">
        <v>0</v>
      </c>
    </row>
    <row r="9255" ht="15.75" customHeight="1" spans="1:2">
      <c r="A9255" s="3" t="str">
        <f>IFERROR(__xludf.DUMMYFUNCTION("GOOGLETRANSLATE(A9255,""en"",""pt"")"),"Combinando a opinião / revisão de Gary e Gin Zen, O Código Da Vinci é uma porcaria.")</f>
        <v>Combinando a opinião / revisão de Gary e Gin Zen, O Código Da Vinci é uma porcaria.</v>
      </c>
      <c r="B9255" s="3">
        <v>0</v>
      </c>
    </row>
    <row r="9256" ht="15.75" customHeight="1" spans="1:2">
      <c r="A9256" s="3" t="str">
        <f>IFERROR(__xludf.DUMMYFUNCTION("GOOGLETRANSLATE(A9256,""en"",""pt"")"),"Código Da Vinci suga ser ...")</f>
        <v>Código Da Vinci suga ser ...</v>
      </c>
      <c r="B9256" s="3">
        <v>0</v>
      </c>
    </row>
    <row r="9257" ht="15.75" customHeight="1" spans="1:2">
      <c r="A9257" s="3" t="str">
        <f>IFERROR(__xludf.DUMMYFUNCTION("GOOGLETRANSLATE(A9257,""en"",""pt"")"),"Código Da Vinci sugado ..")</f>
        <v>Código Da Vinci sugado ..</v>
      </c>
      <c r="B9257" s="3">
        <v>0</v>
      </c>
    </row>
    <row r="9258" ht="15.75" customHeight="1" spans="1:2">
      <c r="A9258" s="3" t="str">
        <f>IFERROR(__xludf.DUMMYFUNCTION("GOOGLETRANSLATE(A9258,""en"",""pt"")"),"O Código Da Vinci chupado grande.")</f>
        <v>O Código Da Vinci chupado grande.</v>
      </c>
      <c r="B9258" s="3">
        <v>0</v>
      </c>
    </row>
    <row r="9259" ht="15.75" customHeight="1" spans="1:2">
      <c r="A9259" s="3" t="str">
        <f>IFERROR(__xludf.DUMMYFUNCTION("GOOGLETRANSLATE(A9259,""en"",""pt"")"),"Código Da Vinci = Cima, Cima, Baixo, Baixo, Esquerda, Direita, Esquerda, Direita, B, A, SUGAM!")</f>
        <v>Código Da Vinci = Cima, Cima, Baixo, Baixo, Esquerda, Direita, Esquerda, Direita, B, A, SUGAM!</v>
      </c>
      <c r="B9259" s="3">
        <v>0</v>
      </c>
    </row>
    <row r="9260" ht="15.75" customHeight="1" spans="1:2">
      <c r="A9260" s="3" t="str">
        <f>IFERROR(__xludf.DUMMYFUNCTION("GOOGLETRANSLATE(A9260,""en"",""pt"")"),"a propósito, o Código Da Vinci sugado, apenas deixando você sabe ...")</f>
        <v>a propósito, o Código Da Vinci sugado, apenas deixando você sabe ...</v>
      </c>
      <c r="B9260" s="3">
        <v>0</v>
      </c>
    </row>
    <row r="9261" ht="15.75" customHeight="1" spans="1:2">
      <c r="A9261" s="3" t="str">
        <f>IFERROR(__xludf.DUMMYFUNCTION("GOOGLETRANSLATE(A9261,""en"",""pt"")"),"eu ouvi Código Da Vinci sugado soo apenas 2,5 estrelas:")</f>
        <v>eu ouvi Código Da Vinci sugado soo apenas 2,5 estrelas:</v>
      </c>
      <c r="B9261" s="3">
        <v>0</v>
      </c>
    </row>
    <row r="9262" ht="15.75" customHeight="1" spans="1:2">
      <c r="A9262" s="3" t="str">
        <f>IFERROR(__xludf.DUMMYFUNCTION("GOOGLETRANSLATE(A9262,""en"",""pt"")"),"Código Da Vinci é uma porcaria ...")</f>
        <v>Código Da Vinci é uma porcaria ...</v>
      </c>
      <c r="B9262" s="3">
        <v>0</v>
      </c>
    </row>
    <row r="9263" ht="15.75" customHeight="1" spans="1:2">
      <c r="A9263" s="3" t="str">
        <f>IFERROR(__xludf.DUMMYFUNCTION("GOOGLETRANSLATE(A9263,""en"",""pt"")"),"Código Da Vinci é uma porcaria.")</f>
        <v>Código Da Vinci é uma porcaria.</v>
      </c>
      <c r="B9263" s="3">
        <v>0</v>
      </c>
    </row>
    <row r="9264" ht="15.75" customHeight="1" spans="1:2">
      <c r="A9264" s="3" t="str">
        <f>IFERROR(__xludf.DUMMYFUNCTION("GOOGLETRANSLATE(A9264,""en"",""pt"")"),"sexta-feira sai com kelsie e fomos e viu O Código Da Vinci SUGADO !!!!!")</f>
        <v>sexta-feira sai com kelsie e fomos e viu O Código Da Vinci SUGADO !!!!!</v>
      </c>
      <c r="B9264" s="3">
        <v>0</v>
      </c>
    </row>
    <row r="9265" ht="15.75" customHeight="1" spans="1:2">
      <c r="A9265" s="3" t="str">
        <f>IFERROR(__xludf.DUMMYFUNCTION("GOOGLETRANSLATE(A9265,""en"",""pt"")"),"Combinando a opinião / revisão de Gary e Gin Zen, O Código Da Vinci é uma porcaria.")</f>
        <v>Combinando a opinião / revisão de Gary e Gin Zen, O Código Da Vinci é uma porcaria.</v>
      </c>
      <c r="B9265" s="3">
        <v>0</v>
      </c>
    </row>
    <row r="9266" ht="15.75" customHeight="1" spans="1:2">
      <c r="A9266" s="3" t="str">
        <f>IFERROR(__xludf.DUMMYFUNCTION("GOOGLETRANSLATE(A9266,""en"",""pt"")"),"Código Da Vinci suga ser ...")</f>
        <v>Código Da Vinci suga ser ...</v>
      </c>
      <c r="B9266" s="3">
        <v>0</v>
      </c>
    </row>
    <row r="9267" ht="15.75" customHeight="1" spans="1:2">
      <c r="A9267" s="3" t="str">
        <f>IFERROR(__xludf.DUMMYFUNCTION("GOOGLETRANSLATE(A9267,""en"",""pt"")"),"Código Da Vinci sugado ..")</f>
        <v>Código Da Vinci sugado ..</v>
      </c>
      <c r="B9267" s="3">
        <v>0</v>
      </c>
    </row>
    <row r="9268" ht="15.75" customHeight="1" spans="1:2">
      <c r="A9268" s="3" t="str">
        <f>IFERROR(__xludf.DUMMYFUNCTION("GOOGLETRANSLATE(A9268,""en"",""pt"")"),"O Código Da Vinci chupado grande.")</f>
        <v>O Código Da Vinci chupado grande.</v>
      </c>
      <c r="B9268" s="3">
        <v>0</v>
      </c>
    </row>
    <row r="9269" ht="15.75" customHeight="1" spans="1:2">
      <c r="A9269" s="3" t="str">
        <f>IFERROR(__xludf.DUMMYFUNCTION("GOOGLETRANSLATE(A9269,""en"",""pt"")"),"Código Da Vinci = Cima, Cima, Baixo, Baixo, Esquerda, Direita, Esquerda, Direita, B, A, SUGAM!")</f>
        <v>Código Da Vinci = Cima, Cima, Baixo, Baixo, Esquerda, Direita, Esquerda, Direita, B, A, SUGAM!</v>
      </c>
      <c r="B9269" s="3">
        <v>0</v>
      </c>
    </row>
    <row r="9270" ht="15.75" customHeight="1" spans="1:2">
      <c r="A9270" s="3" t="str">
        <f>IFERROR(__xludf.DUMMYFUNCTION("GOOGLETRANSLATE(A9270,""en"",""pt"")"),"a propósito, o Código Da Vinci sugado, apenas deixando você sabe ...")</f>
        <v>a propósito, o Código Da Vinci sugado, apenas deixando você sabe ...</v>
      </c>
      <c r="B9270" s="3">
        <v>0</v>
      </c>
    </row>
    <row r="9271" ht="15.75" customHeight="1" spans="1:2">
      <c r="A9271" s="3" t="str">
        <f>IFERROR(__xludf.DUMMYFUNCTION("GOOGLETRANSLATE(A9271,""en"",""pt"")"),"eu ouvi Código Da Vinci sugado soo apenas 2,5 estrelas:")</f>
        <v>eu ouvi Código Da Vinci sugado soo apenas 2,5 estrelas:</v>
      </c>
      <c r="B9271" s="3">
        <v>0</v>
      </c>
    </row>
    <row r="9272" ht="15.75" customHeight="1" spans="1:2">
      <c r="A9272" s="3" t="str">
        <f>IFERROR(__xludf.DUMMYFUNCTION("GOOGLETRANSLATE(A9272,""en"",""pt"")"),"Código Da Vinci é uma porcaria ...")</f>
        <v>Código Da Vinci é uma porcaria ...</v>
      </c>
      <c r="B9272" s="3">
        <v>0</v>
      </c>
    </row>
    <row r="9273" ht="15.75" customHeight="1" spans="1:2">
      <c r="A9273" s="3" t="str">
        <f>IFERROR(__xludf.DUMMYFUNCTION("GOOGLETRANSLATE(A9273,""en"",""pt"")"),"Código Da Vinci é uma porcaria.")</f>
        <v>Código Da Vinci é uma porcaria.</v>
      </c>
      <c r="B9273" s="3">
        <v>0</v>
      </c>
    </row>
    <row r="9274" ht="15.75" customHeight="1" spans="1:2">
      <c r="A9274" s="3" t="str">
        <f>IFERROR(__xludf.DUMMYFUNCTION("GOOGLETRANSLATE(A9274,""en"",""pt"")"),"sexta-feira sai com kelsie e fomos e viu O Código Da Vinci SUGADO !!!!!")</f>
        <v>sexta-feira sai com kelsie e fomos e viu O Código Da Vinci SUGADO !!!!!</v>
      </c>
      <c r="B9274" s="3">
        <v>0</v>
      </c>
    </row>
    <row r="9275" ht="15.75" customHeight="1" spans="1:2">
      <c r="A9275" s="3" t="str">
        <f>IFERROR(__xludf.DUMMYFUNCTION("GOOGLETRANSLATE(A9275,""en"",""pt"")"),"Combinando a opinião / revisão de Gary e Gin Zen, O Código Da Vinci é uma porcaria.")</f>
        <v>Combinando a opinião / revisão de Gary e Gin Zen, O Código Da Vinci é uma porcaria.</v>
      </c>
      <c r="B9275" s="3">
        <v>0</v>
      </c>
    </row>
    <row r="9276" ht="15.75" customHeight="1" spans="1:2">
      <c r="A9276" s="3" t="str">
        <f>IFERROR(__xludf.DUMMYFUNCTION("GOOGLETRANSLATE(A9276,""en"",""pt"")"),"Código Da Vinci suga ser ...")</f>
        <v>Código Da Vinci suga ser ...</v>
      </c>
      <c r="B9276" s="3">
        <v>0</v>
      </c>
    </row>
    <row r="9277" ht="15.75" customHeight="1" spans="1:2">
      <c r="A9277" s="3" t="str">
        <f>IFERROR(__xludf.DUMMYFUNCTION("GOOGLETRANSLATE(A9277,""en"",""pt"")"),"Código Da Vinci sugado ..")</f>
        <v>Código Da Vinci sugado ..</v>
      </c>
      <c r="B9277" s="3">
        <v>0</v>
      </c>
    </row>
    <row r="9278" ht="15.75" customHeight="1" spans="1:2">
      <c r="A9278" s="3" t="str">
        <f>IFERROR(__xludf.DUMMYFUNCTION("GOOGLETRANSLATE(A9278,""en"",""pt"")"),"O Código Da Vinci chupado grande.")</f>
        <v>O Código Da Vinci chupado grande.</v>
      </c>
      <c r="B9278" s="3">
        <v>0</v>
      </c>
    </row>
    <row r="9279" ht="15.75" customHeight="1" spans="1:2">
      <c r="A9279" s="3" t="str">
        <f>IFERROR(__xludf.DUMMYFUNCTION("GOOGLETRANSLATE(A9279,""en"",""pt"")"),"Código Da Vinci = Cima, Cima, Baixo, Baixo, Esquerda, Direita, Esquerda, Direita, B, A, SUGAM!")</f>
        <v>Código Da Vinci = Cima, Cima, Baixo, Baixo, Esquerda, Direita, Esquerda, Direita, B, A, SUGAM!</v>
      </c>
      <c r="B9279" s="3">
        <v>0</v>
      </c>
    </row>
    <row r="9280" ht="15.75" customHeight="1" spans="1:2">
      <c r="A9280" s="3" t="str">
        <f>IFERROR(__xludf.DUMMYFUNCTION("GOOGLETRANSLATE(A9280,""en"",""pt"")"),"a propósito, o Código Da Vinci sugado, apenas deixando você sabe ...")</f>
        <v>a propósito, o Código Da Vinci sugado, apenas deixando você sabe ...</v>
      </c>
      <c r="B9280" s="3">
        <v>0</v>
      </c>
    </row>
    <row r="9281" ht="15.75" customHeight="1" spans="1:2">
      <c r="A9281" s="3" t="str">
        <f>IFERROR(__xludf.DUMMYFUNCTION("GOOGLETRANSLATE(A9281,""en"",""pt"")"),"eu ouvi Código Da Vinci sugado soo apenas 2,5 estrelas:")</f>
        <v>eu ouvi Código Da Vinci sugado soo apenas 2,5 estrelas:</v>
      </c>
      <c r="B9281" s="3">
        <v>0</v>
      </c>
    </row>
    <row r="9282" ht="15.75" customHeight="1" spans="1:2">
      <c r="A9282" s="3" t="str">
        <f>IFERROR(__xludf.DUMMYFUNCTION("GOOGLETRANSLATE(A9282,""en"",""pt"")"),"Código Da Vinci é uma porcaria ...")</f>
        <v>Código Da Vinci é uma porcaria ...</v>
      </c>
      <c r="B9282" s="3">
        <v>0</v>
      </c>
    </row>
    <row r="9283" ht="15.75" customHeight="1" spans="1:2">
      <c r="A9283" s="3" t="str">
        <f>IFERROR(__xludf.DUMMYFUNCTION("GOOGLETRANSLATE(A9283,""en"",""pt"")"),"Código Da Vinci é uma porcaria.")</f>
        <v>Código Da Vinci é uma porcaria.</v>
      </c>
      <c r="B9283" s="3">
        <v>0</v>
      </c>
    </row>
    <row r="9284" ht="15.75" customHeight="1" spans="1:2">
      <c r="A9284" s="3" t="str">
        <f>IFERROR(__xludf.DUMMYFUNCTION("GOOGLETRANSLATE(A9284,""en"",""pt"")"),"sexta-feira sai com kelsie e fomos e viu O Código Da Vinci SUGADO !!!!!")</f>
        <v>sexta-feira sai com kelsie e fomos e viu O Código Da Vinci SUGADO !!!!!</v>
      </c>
      <c r="B9284" s="3">
        <v>0</v>
      </c>
    </row>
    <row r="9285" ht="15.75" customHeight="1" spans="1:2">
      <c r="A9285" s="3" t="str">
        <f>IFERROR(__xludf.DUMMYFUNCTION("GOOGLETRANSLATE(A9285,""en"",""pt"")"),"Combinando a opinião / revisão de Gary e Gin Zen, O Código Da Vinci é uma porcaria.")</f>
        <v>Combinando a opinião / revisão de Gary e Gin Zen, O Código Da Vinci é uma porcaria.</v>
      </c>
      <c r="B9285" s="3">
        <v>0</v>
      </c>
    </row>
    <row r="9286" ht="15.75" customHeight="1" spans="1:2">
      <c r="A9286" s="3" t="str">
        <f>IFERROR(__xludf.DUMMYFUNCTION("GOOGLETRANSLATE(A9286,""en"",""pt"")"),"Código Da Vinci suga ser ...")</f>
        <v>Código Da Vinci suga ser ...</v>
      </c>
      <c r="B9286" s="3">
        <v>0</v>
      </c>
    </row>
    <row r="9287" ht="15.75" customHeight="1" spans="1:2">
      <c r="A9287" s="3" t="str">
        <f>IFERROR(__xludf.DUMMYFUNCTION("GOOGLETRANSLATE(A9287,""en"",""pt"")"),"Código Da Vinci sugado ..")</f>
        <v>Código Da Vinci sugado ..</v>
      </c>
      <c r="B9287" s="3">
        <v>0</v>
      </c>
    </row>
    <row r="9288" ht="15.75" customHeight="1" spans="1:2">
      <c r="A9288" s="3" t="str">
        <f>IFERROR(__xludf.DUMMYFUNCTION("GOOGLETRANSLATE(A9288,""en"",""pt"")"),"O Código Da Vinci chupado grande.")</f>
        <v>O Código Da Vinci chupado grande.</v>
      </c>
      <c r="B9288" s="3">
        <v>0</v>
      </c>
    </row>
    <row r="9289" ht="15.75" customHeight="1" spans="1:2">
      <c r="A9289" s="3" t="str">
        <f>IFERROR(__xludf.DUMMYFUNCTION("GOOGLETRANSLATE(A9289,""en"",""pt"")"),"Código Da Vinci = Cima, Cima, Baixo, Baixo, Esquerda, Direita, Esquerda, Direita, B, A, SUGAM!")</f>
        <v>Código Da Vinci = Cima, Cima, Baixo, Baixo, Esquerda, Direita, Esquerda, Direita, B, A, SUGAM!</v>
      </c>
      <c r="B9289" s="3">
        <v>0</v>
      </c>
    </row>
    <row r="9290" ht="15.75" customHeight="1" spans="1:2">
      <c r="A9290" s="3" t="str">
        <f>IFERROR(__xludf.DUMMYFUNCTION("GOOGLETRANSLATE(A9290,""en"",""pt"")"),"a propósito, o Código Da Vinci sugado, apenas deixando você sabe ...")</f>
        <v>a propósito, o Código Da Vinci sugado, apenas deixando você sabe ...</v>
      </c>
      <c r="B9290" s="3">
        <v>0</v>
      </c>
    </row>
    <row r="9291" ht="15.75" customHeight="1" spans="1:2">
      <c r="A9291" s="3" t="str">
        <f>IFERROR(__xludf.DUMMYFUNCTION("GOOGLETRANSLATE(A9291,""en"",""pt"")"),"eu ouvi Código Da Vinci sugado soo apenas 2,5 estrelas:")</f>
        <v>eu ouvi Código Da Vinci sugado soo apenas 2,5 estrelas:</v>
      </c>
      <c r="B9291" s="3">
        <v>0</v>
      </c>
    </row>
    <row r="9292" ht="15.75" customHeight="1" spans="1:2">
      <c r="A9292" s="3" t="str">
        <f>IFERROR(__xludf.DUMMYFUNCTION("GOOGLETRANSLATE(A9292,""en"",""pt"")"),"Código Da Vinci é uma porcaria ...")</f>
        <v>Código Da Vinci é uma porcaria ...</v>
      </c>
      <c r="B9292" s="3">
        <v>0</v>
      </c>
    </row>
    <row r="9293" ht="15.75" customHeight="1" spans="1:2">
      <c r="A9293" s="3" t="str">
        <f>IFERROR(__xludf.DUMMYFUNCTION("GOOGLETRANSLATE(A9293,""en"",""pt"")"),"Código Da Vinci é uma porcaria.")</f>
        <v>Código Da Vinci é uma porcaria.</v>
      </c>
      <c r="B9293" s="3">
        <v>0</v>
      </c>
    </row>
    <row r="9294" ht="15.75" customHeight="1" spans="1:2">
      <c r="A9294" s="3" t="str">
        <f>IFERROR(__xludf.DUMMYFUNCTION("GOOGLETRANSLATE(A9294,""en"",""pt"")"),"sexta-feira sai com kelsie e fomos e viu O Código Da Vinci SUGADO !!!!!")</f>
        <v>sexta-feira sai com kelsie e fomos e viu O Código Da Vinci SUGADO !!!!!</v>
      </c>
      <c r="B9294" s="3">
        <v>0</v>
      </c>
    </row>
    <row r="9295" ht="15.75" customHeight="1" spans="1:2">
      <c r="A9295" s="3" t="str">
        <f>IFERROR(__xludf.DUMMYFUNCTION("GOOGLETRANSLATE(A9295,""en"",""pt"")"),"Combinando a opinião / revisão de Gary e Gin Zen, O Código Da Vinci é uma porcaria.")</f>
        <v>Combinando a opinião / revisão de Gary e Gin Zen, O Código Da Vinci é uma porcaria.</v>
      </c>
      <c r="B9295" s="3">
        <v>0</v>
      </c>
    </row>
    <row r="9296" ht="15.75" customHeight="1" spans="1:2">
      <c r="A9296" s="3" t="str">
        <f>IFERROR(__xludf.DUMMYFUNCTION("GOOGLETRANSLATE(A9296,""en"",""pt"")"),"Código Da Vinci suga ser ...")</f>
        <v>Código Da Vinci suga ser ...</v>
      </c>
      <c r="B9296" s="3">
        <v>0</v>
      </c>
    </row>
    <row r="9297" ht="15.75" customHeight="1" spans="1:2">
      <c r="A9297" s="3" t="str">
        <f>IFERROR(__xludf.DUMMYFUNCTION("GOOGLETRANSLATE(A9297,""en"",""pt"")"),"Código Da Vinci sugado ..")</f>
        <v>Código Da Vinci sugado ..</v>
      </c>
      <c r="B9297" s="3">
        <v>0</v>
      </c>
    </row>
    <row r="9298" ht="15.75" customHeight="1" spans="1:2">
      <c r="A9298" s="3" t="str">
        <f>IFERROR(__xludf.DUMMYFUNCTION("GOOGLETRANSLATE(A9298,""en"",""pt"")"),"O Código Da Vinci chupado grande.")</f>
        <v>O Código Da Vinci chupado grande.</v>
      </c>
      <c r="B9298" s="3">
        <v>0</v>
      </c>
    </row>
    <row r="9299" ht="15.75" customHeight="1" spans="1:2">
      <c r="A9299" s="3" t="str">
        <f>IFERROR(__xludf.DUMMYFUNCTION("GOOGLETRANSLATE(A9299,""en"",""pt"")"),"Código Da Vinci = Cima, Cima, Baixo, Baixo, Esquerda, Direita, Esquerda, Direita, B, A, SUGAM!")</f>
        <v>Código Da Vinci = Cima, Cima, Baixo, Baixo, Esquerda, Direita, Esquerda, Direita, B, A, SUGAM!</v>
      </c>
      <c r="B9299" s="3">
        <v>0</v>
      </c>
    </row>
    <row r="9300" ht="15.75" customHeight="1" spans="1:2">
      <c r="A9300" s="3" t="str">
        <f>IFERROR(__xludf.DUMMYFUNCTION("GOOGLETRANSLATE(A9300,""en"",""pt"")"),"a propósito, o Código Da Vinci sugado, apenas deixando você sabe ...")</f>
        <v>a propósito, o Código Da Vinci sugado, apenas deixando você sabe ...</v>
      </c>
      <c r="B9300" s="3">
        <v>0</v>
      </c>
    </row>
    <row r="9301" ht="15.75" customHeight="1" spans="1:2">
      <c r="A9301" s="3" t="str">
        <f>IFERROR(__xludf.DUMMYFUNCTION("GOOGLETRANSLATE(A9301,""en"",""pt"")"),"eu ouvi Código Da Vinci sugado soo apenas 2,5 estrelas:")</f>
        <v>eu ouvi Código Da Vinci sugado soo apenas 2,5 estrelas:</v>
      </c>
      <c r="B9301" s="3">
        <v>0</v>
      </c>
    </row>
    <row r="9302" ht="15.75" customHeight="1" spans="1:2">
      <c r="A9302" s="3" t="str">
        <f>IFERROR(__xludf.DUMMYFUNCTION("GOOGLETRANSLATE(A9302,""en"",""pt"")"),"Código Da Vinci é uma porcaria ...")</f>
        <v>Código Da Vinci é uma porcaria ...</v>
      </c>
      <c r="B9302" s="3">
        <v>0</v>
      </c>
    </row>
    <row r="9303" ht="15.75" customHeight="1" spans="1:2">
      <c r="A9303" s="3" t="str">
        <f>IFERROR(__xludf.DUMMYFUNCTION("GOOGLETRANSLATE(A9303,""en"",""pt"")"),"Código Da Vinci é uma porcaria.")</f>
        <v>Código Da Vinci é uma porcaria.</v>
      </c>
      <c r="B9303" s="3">
        <v>0</v>
      </c>
    </row>
    <row r="9304" ht="15.75" customHeight="1" spans="1:2">
      <c r="A9304" s="3" t="str">
        <f>IFERROR(__xludf.DUMMYFUNCTION("GOOGLETRANSLATE(A9304,""en"",""pt"")"),"sexta-feira sai com kelsie e fomos e viu O Código Da Vinci SUGADO !!!!!")</f>
        <v>sexta-feira sai com kelsie e fomos e viu O Código Da Vinci SUGADO !!!!!</v>
      </c>
      <c r="B9304" s="3">
        <v>0</v>
      </c>
    </row>
    <row r="9305" ht="15.75" customHeight="1" spans="1:2">
      <c r="A9305" s="3" t="str">
        <f>IFERROR(__xludf.DUMMYFUNCTION("GOOGLETRANSLATE(A9305,""en"",""pt"")"),"Combinando a opinião / revisão de Gary e Gin Zen, O Código Da Vinci é uma porcaria.")</f>
        <v>Combinando a opinião / revisão de Gary e Gin Zen, O Código Da Vinci é uma porcaria.</v>
      </c>
      <c r="B9305" s="3">
        <v>0</v>
      </c>
    </row>
    <row r="9306" ht="15.75" customHeight="1" spans="1:2">
      <c r="A9306" s="3" t="str">
        <f>IFERROR(__xludf.DUMMYFUNCTION("GOOGLETRANSLATE(A9306,""en"",""pt"")"),"Código Da Vinci suga ser ...")</f>
        <v>Código Da Vinci suga ser ...</v>
      </c>
      <c r="B9306" s="3">
        <v>0</v>
      </c>
    </row>
    <row r="9307" ht="15.75" customHeight="1" spans="1:2">
      <c r="A9307" s="3" t="str">
        <f>IFERROR(__xludf.DUMMYFUNCTION("GOOGLETRANSLATE(A9307,""en"",""pt"")"),"Código Da Vinci sugado ..")</f>
        <v>Código Da Vinci sugado ..</v>
      </c>
      <c r="B9307" s="3">
        <v>0</v>
      </c>
    </row>
    <row r="9308" ht="15.75" customHeight="1" spans="1:2">
      <c r="A9308" s="3" t="str">
        <f>IFERROR(__xludf.DUMMYFUNCTION("GOOGLETRANSLATE(A9308,""en"",""pt"")"),"O Código Da Vinci chupado grande.")</f>
        <v>O Código Da Vinci chupado grande.</v>
      </c>
      <c r="B9308" s="3">
        <v>0</v>
      </c>
    </row>
    <row r="9309" ht="15.75" customHeight="1" spans="1:2">
      <c r="A9309" s="3" t="str">
        <f>IFERROR(__xludf.DUMMYFUNCTION("GOOGLETRANSLATE(A9309,""en"",""pt"")"),"Código Da Vinci = Cima, Cima, Baixo, Baixo, Esquerda, Direita, Esquerda, Direita, B, A, SUGAM!")</f>
        <v>Código Da Vinci = Cima, Cima, Baixo, Baixo, Esquerda, Direita, Esquerda, Direita, B, A, SUGAM!</v>
      </c>
      <c r="B9309" s="3">
        <v>0</v>
      </c>
    </row>
    <row r="9310" ht="15.75" customHeight="1" spans="1:2">
      <c r="A9310" s="3" t="str">
        <f>IFERROR(__xludf.DUMMYFUNCTION("GOOGLETRANSLATE(A9310,""en"",""pt"")"),"a propósito, o Código Da Vinci sugado, apenas deixando você sabe ...")</f>
        <v>a propósito, o Código Da Vinci sugado, apenas deixando você sabe ...</v>
      </c>
      <c r="B9310" s="3">
        <v>0</v>
      </c>
    </row>
    <row r="9311" ht="15.75" customHeight="1" spans="1:2">
      <c r="A9311" s="3" t="str">
        <f>IFERROR(__xludf.DUMMYFUNCTION("GOOGLETRANSLATE(A9311,""en"",""pt"")"),"eu ouvi Código Da Vinci sugado soo apenas 2,5 estrelas:")</f>
        <v>eu ouvi Código Da Vinci sugado soo apenas 2,5 estrelas:</v>
      </c>
      <c r="B9311" s="3">
        <v>0</v>
      </c>
    </row>
    <row r="9312" ht="15.75" customHeight="1" spans="1:2">
      <c r="A9312" s="3" t="str">
        <f>IFERROR(__xludf.DUMMYFUNCTION("GOOGLETRANSLATE(A9312,""en"",""pt"")"),"Código Da Vinci é uma porcaria ...")</f>
        <v>Código Da Vinci é uma porcaria ...</v>
      </c>
      <c r="B9312" s="3">
        <v>0</v>
      </c>
    </row>
    <row r="9313" ht="15.75" customHeight="1" spans="1:2">
      <c r="A9313" s="3" t="str">
        <f>IFERROR(__xludf.DUMMYFUNCTION("GOOGLETRANSLATE(A9313,""en"",""pt"")"),"Código Da Vinci é uma porcaria.")</f>
        <v>Código Da Vinci é uma porcaria.</v>
      </c>
      <c r="B9313" s="3">
        <v>0</v>
      </c>
    </row>
    <row r="9314" ht="15.75" customHeight="1" spans="1:2">
      <c r="A9314" s="3" t="str">
        <f>IFERROR(__xludf.DUMMYFUNCTION("GOOGLETRANSLATE(A9314,""en"",""pt"")"),"sexta-feira sai com kelsie e fomos e viu O Código Da Vinci SUGADO !!!!!")</f>
        <v>sexta-feira sai com kelsie e fomos e viu O Código Da Vinci SUGADO !!!!!</v>
      </c>
      <c r="B9314" s="3">
        <v>0</v>
      </c>
    </row>
    <row r="9315" ht="15.75" customHeight="1" spans="1:2">
      <c r="A9315" s="3" t="str">
        <f>IFERROR(__xludf.DUMMYFUNCTION("GOOGLETRANSLATE(A9315,""en"",""pt"")"),"Combinando a opinião / revisão de Gary e Gin Zen, O Código Da Vinci é uma porcaria.")</f>
        <v>Combinando a opinião / revisão de Gary e Gin Zen, O Código Da Vinci é uma porcaria.</v>
      </c>
      <c r="B9315" s="3">
        <v>0</v>
      </c>
    </row>
    <row r="9316" ht="15.75" customHeight="1" spans="1:2">
      <c r="A9316" s="3" t="str">
        <f>IFERROR(__xludf.DUMMYFUNCTION("GOOGLETRANSLATE(A9316,""en"",""pt"")"),"Código Da Vinci suga ser ...")</f>
        <v>Código Da Vinci suga ser ...</v>
      </c>
      <c r="B9316" s="3">
        <v>0</v>
      </c>
    </row>
    <row r="9317" ht="15.75" customHeight="1" spans="1:2">
      <c r="A9317" s="3" t="str">
        <f>IFERROR(__xludf.DUMMYFUNCTION("GOOGLETRANSLATE(A9317,""en"",""pt"")"),"Código Da Vinci sugado ..")</f>
        <v>Código Da Vinci sugado ..</v>
      </c>
      <c r="B9317" s="3">
        <v>0</v>
      </c>
    </row>
    <row r="9318" ht="15.75" customHeight="1" spans="1:2">
      <c r="A9318" s="3" t="str">
        <f>IFERROR(__xludf.DUMMYFUNCTION("GOOGLETRANSLATE(A9318,""en"",""pt"")"),"O Código Da Vinci chupado grande.")</f>
        <v>O Código Da Vinci chupado grande.</v>
      </c>
      <c r="B9318" s="3">
        <v>0</v>
      </c>
    </row>
    <row r="9319" ht="15.75" customHeight="1" spans="1:2">
      <c r="A9319" s="3" t="str">
        <f>IFERROR(__xludf.DUMMYFUNCTION("GOOGLETRANSLATE(A9319,""en"",""pt"")"),"Código Da Vinci = Cima, Cima, Baixo, Baixo, Esquerda, Direita, Esquerda, Direita, B, A, SUGAM!")</f>
        <v>Código Da Vinci = Cima, Cima, Baixo, Baixo, Esquerda, Direita, Esquerda, Direita, B, A, SUGAM!</v>
      </c>
      <c r="B9319" s="3">
        <v>0</v>
      </c>
    </row>
    <row r="9320" ht="15.75" customHeight="1" spans="1:2">
      <c r="A9320" s="3" t="str">
        <f>IFERROR(__xludf.DUMMYFUNCTION("GOOGLETRANSLATE(A9320,""en"",""pt"")"),"a propósito, o Código Da Vinci sugado, apenas deixando você sabe ...")</f>
        <v>a propósito, o Código Da Vinci sugado, apenas deixando você sabe ...</v>
      </c>
      <c r="B9320" s="3">
        <v>0</v>
      </c>
    </row>
    <row r="9321" ht="15.75" customHeight="1" spans="1:2">
      <c r="A9321" s="3" t="str">
        <f>IFERROR(__xludf.DUMMYFUNCTION("GOOGLETRANSLATE(A9321,""en"",""pt"")"),"eu ouvi Código Da Vinci sugado soo apenas 2,5 estrelas:")</f>
        <v>eu ouvi Código Da Vinci sugado soo apenas 2,5 estrelas:</v>
      </c>
      <c r="B9321" s="3">
        <v>0</v>
      </c>
    </row>
    <row r="9322" ht="15.75" customHeight="1" spans="1:2">
      <c r="A9322" s="3" t="str">
        <f>IFERROR(__xludf.DUMMYFUNCTION("GOOGLETRANSLATE(A9322,""en"",""pt"")"),"Código Da Vinci é uma porcaria ...")</f>
        <v>Código Da Vinci é uma porcaria ...</v>
      </c>
      <c r="B9322" s="3">
        <v>0</v>
      </c>
    </row>
    <row r="9323" ht="15.75" customHeight="1" spans="1:2">
      <c r="A9323" s="3" t="str">
        <f>IFERROR(__xludf.DUMMYFUNCTION("GOOGLETRANSLATE(A9323,""en"",""pt"")"),"Código Da Vinci é uma porcaria.")</f>
        <v>Código Da Vinci é uma porcaria.</v>
      </c>
      <c r="B9323" s="3">
        <v>0</v>
      </c>
    </row>
    <row r="9324" ht="15.75" customHeight="1" spans="1:2">
      <c r="A9324" s="3" t="str">
        <f>IFERROR(__xludf.DUMMYFUNCTION("GOOGLETRANSLATE(A9324,""en"",""pt"")"),"sexta-feira sai com kelsie e fomos e viu O Código Da Vinci SUGADO !!!!!")</f>
        <v>sexta-feira sai com kelsie e fomos e viu O Código Da Vinci SUGADO !!!!!</v>
      </c>
      <c r="B9324" s="3">
        <v>0</v>
      </c>
    </row>
    <row r="9325" ht="15.75" customHeight="1" spans="1:2">
      <c r="A9325" s="3" t="str">
        <f>IFERROR(__xludf.DUMMYFUNCTION("GOOGLETRANSLATE(A9325,""en"",""pt"")"),"Combinando a opinião / revisão de Gary e Gin Zen, O Código Da Vinci é uma porcaria.")</f>
        <v>Combinando a opinião / revisão de Gary e Gin Zen, O Código Da Vinci é uma porcaria.</v>
      </c>
      <c r="B9325" s="3">
        <v>0</v>
      </c>
    </row>
    <row r="9326" ht="15.75" customHeight="1" spans="1:2">
      <c r="A9326" s="3" t="str">
        <f>IFERROR(__xludf.DUMMYFUNCTION("GOOGLETRANSLATE(A9326,""en"",""pt"")"),"Código Da Vinci suga ser ...")</f>
        <v>Código Da Vinci suga ser ...</v>
      </c>
      <c r="B9326" s="3">
        <v>0</v>
      </c>
    </row>
    <row r="9327" ht="15.75" customHeight="1" spans="1:2">
      <c r="A9327" s="3" t="str">
        <f>IFERROR(__xludf.DUMMYFUNCTION("GOOGLETRANSLATE(A9327,""en"",""pt"")"),"Código Da Vinci sugado ..")</f>
        <v>Código Da Vinci sugado ..</v>
      </c>
      <c r="B9327" s="3">
        <v>0</v>
      </c>
    </row>
    <row r="9328" ht="15.75" customHeight="1" spans="1:2">
      <c r="A9328" s="3" t="str">
        <f>IFERROR(__xludf.DUMMYFUNCTION("GOOGLETRANSLATE(A9328,""en"",""pt"")"),"O Código Da Vinci chupado grande.")</f>
        <v>O Código Da Vinci chupado grande.</v>
      </c>
      <c r="B9328" s="3">
        <v>0</v>
      </c>
    </row>
    <row r="9329" ht="15.75" customHeight="1" spans="1:2">
      <c r="A9329" s="3" t="str">
        <f>IFERROR(__xludf.DUMMYFUNCTION("GOOGLETRANSLATE(A9329,""en"",""pt"")"),"Código Da Vinci = Cima, Cima, Baixo, Baixo, Esquerda, Direita, Esquerda, Direita, B, A, SUGAM!")</f>
        <v>Código Da Vinci = Cima, Cima, Baixo, Baixo, Esquerda, Direita, Esquerda, Direita, B, A, SUGAM!</v>
      </c>
      <c r="B9329" s="3">
        <v>0</v>
      </c>
    </row>
    <row r="9330" ht="15.75" customHeight="1" spans="1:2">
      <c r="A9330" s="3" t="str">
        <f>IFERROR(__xludf.DUMMYFUNCTION("GOOGLETRANSLATE(A9330,""en"",""pt"")"),"a propósito, o Código Da Vinci sugado, apenas deixando você sabe ...")</f>
        <v>a propósito, o Código Da Vinci sugado, apenas deixando você sabe ...</v>
      </c>
      <c r="B9330" s="3">
        <v>0</v>
      </c>
    </row>
    <row r="9331" ht="15.75" customHeight="1" spans="1:2">
      <c r="A9331" s="3" t="str">
        <f>IFERROR(__xludf.DUMMYFUNCTION("GOOGLETRANSLATE(A9331,""en"",""pt"")"),"eu ouvi Código Da Vinci sugado soo apenas 2,5 estrelas:")</f>
        <v>eu ouvi Código Da Vinci sugado soo apenas 2,5 estrelas:</v>
      </c>
      <c r="B9331" s="3">
        <v>0</v>
      </c>
    </row>
    <row r="9332" ht="15.75" customHeight="1" spans="1:2">
      <c r="A9332" s="3" t="str">
        <f>IFERROR(__xludf.DUMMYFUNCTION("GOOGLETRANSLATE(A9332,""en"",""pt"")"),"Código Da Vinci é uma porcaria ...")</f>
        <v>Código Da Vinci é uma porcaria ...</v>
      </c>
      <c r="B9332" s="3">
        <v>0</v>
      </c>
    </row>
    <row r="9333" ht="15.75" customHeight="1" spans="1:2">
      <c r="A9333" s="3" t="str">
        <f>IFERROR(__xludf.DUMMYFUNCTION("GOOGLETRANSLATE(A9333,""en"",""pt"")"),"Código Da Vinci é uma porcaria.")</f>
        <v>Código Da Vinci é uma porcaria.</v>
      </c>
      <c r="B9333" s="3">
        <v>0</v>
      </c>
    </row>
    <row r="9334" ht="15.75" customHeight="1" spans="1:2">
      <c r="A9334" s="3" t="str">
        <f>IFERROR(__xludf.DUMMYFUNCTION("GOOGLETRANSLATE(A9334,""en"",""pt"")"),"sexta-feira sai com kelsie e fomos e viu O Código Da Vinci SUGADO !!!!!")</f>
        <v>sexta-feira sai com kelsie e fomos e viu O Código Da Vinci SUGADO !!!!!</v>
      </c>
      <c r="B9334" s="3">
        <v>0</v>
      </c>
    </row>
    <row r="9335" ht="15.75" customHeight="1" spans="1:2">
      <c r="A9335" s="3" t="str">
        <f>IFERROR(__xludf.DUMMYFUNCTION("GOOGLETRANSLATE(A9335,""en"",""pt"")"),"Combinando a opinião / revisão de Gary e Gin Zen, O Código Da Vinci é uma porcaria.")</f>
        <v>Combinando a opinião / revisão de Gary e Gin Zen, O Código Da Vinci é uma porcaria.</v>
      </c>
      <c r="B9335" s="3">
        <v>0</v>
      </c>
    </row>
    <row r="9336" ht="15.75" customHeight="1" spans="1:2">
      <c r="A9336" s="3" t="str">
        <f>IFERROR(__xludf.DUMMYFUNCTION("GOOGLETRANSLATE(A9336,""en"",""pt"")"),"Código Da Vinci suga ser ...")</f>
        <v>Código Da Vinci suga ser ...</v>
      </c>
      <c r="B9336" s="3">
        <v>0</v>
      </c>
    </row>
    <row r="9337" ht="15.75" customHeight="1" spans="1:2">
      <c r="A9337" s="3" t="str">
        <f>IFERROR(__xludf.DUMMYFUNCTION("GOOGLETRANSLATE(A9337,""en"",""pt"")"),"Código Da Vinci sugado ..")</f>
        <v>Código Da Vinci sugado ..</v>
      </c>
      <c r="B9337" s="3">
        <v>0</v>
      </c>
    </row>
    <row r="9338" ht="15.75" customHeight="1" spans="1:2">
      <c r="A9338" s="3" t="str">
        <f>IFERROR(__xludf.DUMMYFUNCTION("GOOGLETRANSLATE(A9338,""en"",""pt"")"),"O Código Da Vinci chupado grande.")</f>
        <v>O Código Da Vinci chupado grande.</v>
      </c>
      <c r="B9338" s="3">
        <v>0</v>
      </c>
    </row>
    <row r="9339" ht="15.75" customHeight="1" spans="1:2">
      <c r="A9339" s="3" t="str">
        <f>IFERROR(__xludf.DUMMYFUNCTION("GOOGLETRANSLATE(A9339,""en"",""pt"")"),"Código Da Vinci = Cima, Cima, Baixo, Baixo, Esquerda, Direita, Esquerda, Direita, B, A, SUGAM!")</f>
        <v>Código Da Vinci = Cima, Cima, Baixo, Baixo, Esquerda, Direita, Esquerda, Direita, B, A, SUGAM!</v>
      </c>
      <c r="B9339" s="3">
        <v>0</v>
      </c>
    </row>
    <row r="9340" ht="15.75" customHeight="1" spans="1:2">
      <c r="A9340" s="3" t="str">
        <f>IFERROR(__xludf.DUMMYFUNCTION("GOOGLETRANSLATE(A9340,""en"",""pt"")"),"a propósito, o Código Da Vinci sugado, apenas deixando você sabe ...")</f>
        <v>a propósito, o Código Da Vinci sugado, apenas deixando você sabe ...</v>
      </c>
      <c r="B9340" s="3">
        <v>0</v>
      </c>
    </row>
    <row r="9341" ht="15.75" customHeight="1" spans="1:2">
      <c r="A9341" s="3" t="str">
        <f>IFERROR(__xludf.DUMMYFUNCTION("GOOGLETRANSLATE(A9341,""en"",""pt"")"),"eu ouvi Código Da Vinci sugado soo apenas 2,5 estrelas:")</f>
        <v>eu ouvi Código Da Vinci sugado soo apenas 2,5 estrelas:</v>
      </c>
      <c r="B9341" s="3">
        <v>0</v>
      </c>
    </row>
    <row r="9342" ht="15.75" customHeight="1" spans="1:2">
      <c r="A9342" s="3" t="str">
        <f>IFERROR(__xludf.DUMMYFUNCTION("GOOGLETRANSLATE(A9342,""en"",""pt"")"),"Código Da Vinci é uma porcaria ...")</f>
        <v>Código Da Vinci é uma porcaria ...</v>
      </c>
      <c r="B9342" s="3">
        <v>0</v>
      </c>
    </row>
    <row r="9343" ht="15.75" customHeight="1" spans="1:2">
      <c r="A9343" s="3" t="str">
        <f>IFERROR(__xludf.DUMMYFUNCTION("GOOGLETRANSLATE(A9343,""en"",""pt"")"),"Código Da Vinci é uma porcaria.")</f>
        <v>Código Da Vinci é uma porcaria.</v>
      </c>
      <c r="B9343" s="3">
        <v>0</v>
      </c>
    </row>
    <row r="9344" ht="15.75" customHeight="1" spans="1:2">
      <c r="A9344" s="3" t="str">
        <f>IFERROR(__xludf.DUMMYFUNCTION("GOOGLETRANSLATE(A9344,""en"",""pt"")"),"sexta-feira sai com kelsie e fomos e viu O Código Da Vinci SUGADO !!!!!")</f>
        <v>sexta-feira sai com kelsie e fomos e viu O Código Da Vinci SUGADO !!!!!</v>
      </c>
      <c r="B9344" s="3">
        <v>0</v>
      </c>
    </row>
    <row r="9345" ht="15.75" customHeight="1" spans="1:2">
      <c r="A9345" s="3" t="str">
        <f>IFERROR(__xludf.DUMMYFUNCTION("GOOGLETRANSLATE(A9345,""en"",""pt"")"),"Combinando a opinião / revisão de Gary e Gin Zen, O Código Da Vinci é uma porcaria.")</f>
        <v>Combinando a opinião / revisão de Gary e Gin Zen, O Código Da Vinci é uma porcaria.</v>
      </c>
      <c r="B9345" s="3">
        <v>0</v>
      </c>
    </row>
    <row r="9346" ht="15.75" customHeight="1" spans="1:2">
      <c r="A9346" s="3" t="str">
        <f>IFERROR(__xludf.DUMMYFUNCTION("GOOGLETRANSLATE(A9346,""en"",""pt"")"),"Código Da Vinci suga ser ...")</f>
        <v>Código Da Vinci suga ser ...</v>
      </c>
      <c r="B9346" s="3">
        <v>0</v>
      </c>
    </row>
    <row r="9347" ht="15.75" customHeight="1" spans="1:2">
      <c r="A9347" s="3" t="str">
        <f>IFERROR(__xludf.DUMMYFUNCTION("GOOGLETRANSLATE(A9347,""en"",""pt"")"),"Código Da Vinci sugado ..")</f>
        <v>Código Da Vinci sugado ..</v>
      </c>
      <c r="B9347" s="3">
        <v>0</v>
      </c>
    </row>
    <row r="9348" ht="15.75" customHeight="1" spans="1:2">
      <c r="A9348" s="3" t="str">
        <f>IFERROR(__xludf.DUMMYFUNCTION("GOOGLETRANSLATE(A9348,""en"",""pt"")"),"O Código Da Vinci chupado grande.")</f>
        <v>O Código Da Vinci chupado grande.</v>
      </c>
      <c r="B9348" s="3">
        <v>0</v>
      </c>
    </row>
    <row r="9349" ht="15.75" customHeight="1" spans="1:2">
      <c r="A9349" s="3" t="str">
        <f>IFERROR(__xludf.DUMMYFUNCTION("GOOGLETRANSLATE(A9349,""en"",""pt"")"),"Código Da Vinci = Cima, Cima, Baixo, Baixo, Esquerda, Direita, Esquerda, Direita, B, A, SUGAM!")</f>
        <v>Código Da Vinci = Cima, Cima, Baixo, Baixo, Esquerda, Direita, Esquerda, Direita, B, A, SUGAM!</v>
      </c>
      <c r="B9349" s="3">
        <v>0</v>
      </c>
    </row>
    <row r="9350" ht="15.75" customHeight="1" spans="1:2">
      <c r="A9350" s="3" t="str">
        <f>IFERROR(__xludf.DUMMYFUNCTION("GOOGLETRANSLATE(A9350,""en"",""pt"")"),"a propósito, o Código Da Vinci sugado, apenas deixando você sabe ...")</f>
        <v>a propósito, o Código Da Vinci sugado, apenas deixando você sabe ...</v>
      </c>
      <c r="B9350" s="3">
        <v>0</v>
      </c>
    </row>
    <row r="9351" ht="15.75" customHeight="1" spans="1:2">
      <c r="A9351" s="3" t="str">
        <f>IFERROR(__xludf.DUMMYFUNCTION("GOOGLETRANSLATE(A9351,""en"",""pt"")"),"eu ouvi Código Da Vinci sugado soo apenas 2,5 estrelas:")</f>
        <v>eu ouvi Código Da Vinci sugado soo apenas 2,5 estrelas:</v>
      </c>
      <c r="B9351" s="3">
        <v>0</v>
      </c>
    </row>
    <row r="9352" ht="15.75" customHeight="1" spans="1:2">
      <c r="A9352" s="3" t="str">
        <f>IFERROR(__xludf.DUMMYFUNCTION("GOOGLETRANSLATE(A9352,""en"",""pt"")"),"Código Da Vinci é uma porcaria ...")</f>
        <v>Código Da Vinci é uma porcaria ...</v>
      </c>
      <c r="B9352" s="3">
        <v>0</v>
      </c>
    </row>
    <row r="9353" ht="15.75" customHeight="1" spans="1:2">
      <c r="A9353" s="3" t="str">
        <f>IFERROR(__xludf.DUMMYFUNCTION("GOOGLETRANSLATE(A9353,""en"",""pt"")"),"Código Da Vinci é uma porcaria.")</f>
        <v>Código Da Vinci é uma porcaria.</v>
      </c>
      <c r="B9353" s="3">
        <v>0</v>
      </c>
    </row>
    <row r="9354" ht="15.75" customHeight="1" spans="1:2">
      <c r="A9354" s="3" t="str">
        <f>IFERROR(__xludf.DUMMYFUNCTION("GOOGLETRANSLATE(A9354,""en"",""pt"")"),"sexta-feira sai com kelsie e fomos e viu O Código Da Vinci SUGADO !!!!!")</f>
        <v>sexta-feira sai com kelsie e fomos e viu O Código Da Vinci SUGADO !!!!!</v>
      </c>
      <c r="B9354" s="3">
        <v>0</v>
      </c>
    </row>
    <row r="9355" ht="15.75" customHeight="1" spans="1:2">
      <c r="A9355" s="3" t="str">
        <f>IFERROR(__xludf.DUMMYFUNCTION("GOOGLETRANSLATE(A9355,""en"",""pt"")"),"Combinando a opinião / revisão de Gary e Gin Zen, O Código Da Vinci é uma porcaria.")</f>
        <v>Combinando a opinião / revisão de Gary e Gin Zen, O Código Da Vinci é uma porcaria.</v>
      </c>
      <c r="B9355" s="3">
        <v>0</v>
      </c>
    </row>
    <row r="9356" ht="15.75" customHeight="1" spans="1:2">
      <c r="A9356" s="3" t="str">
        <f>IFERROR(__xludf.DUMMYFUNCTION("GOOGLETRANSLATE(A9356,""en"",""pt"")"),"Código Da Vinci suga ser ...")</f>
        <v>Código Da Vinci suga ser ...</v>
      </c>
      <c r="B9356" s="3">
        <v>0</v>
      </c>
    </row>
    <row r="9357" ht="15.75" customHeight="1" spans="1:2">
      <c r="A9357" s="3" t="str">
        <f>IFERROR(__xludf.DUMMYFUNCTION("GOOGLETRANSLATE(A9357,""en"",""pt"")"),"Código Da Vinci sugado ..")</f>
        <v>Código Da Vinci sugado ..</v>
      </c>
      <c r="B9357" s="3">
        <v>0</v>
      </c>
    </row>
    <row r="9358" ht="15.75" customHeight="1" spans="1:2">
      <c r="A9358" s="3" t="str">
        <f>IFERROR(__xludf.DUMMYFUNCTION("GOOGLETRANSLATE(A9358,""en"",""pt"")"),"O Código Da Vinci chupado grande.")</f>
        <v>O Código Da Vinci chupado grande.</v>
      </c>
      <c r="B9358" s="3">
        <v>0</v>
      </c>
    </row>
    <row r="9359" ht="15.75" customHeight="1" spans="1:2">
      <c r="A9359" s="3" t="s">
        <v>38</v>
      </c>
      <c r="B9359" s="3">
        <v>0</v>
      </c>
    </row>
    <row r="9360" ht="15.75" customHeight="1" spans="1:2">
      <c r="A9360" s="3" t="str">
        <f>IFERROR(__xludf.DUMMYFUNCTION("GOOGLETRANSLATE(A9360,""en"",""pt"")"),"a propósito, o Código Da Vinci sugado, apenas deixando você sabe ...")</f>
        <v>a propósito, o Código Da Vinci sugado, apenas deixando você sabe ...</v>
      </c>
      <c r="B9360" s="3">
        <v>0</v>
      </c>
    </row>
    <row r="9361" ht="15.75" customHeight="1" spans="1:2">
      <c r="A9361" s="3" t="str">
        <f>IFERROR(__xludf.DUMMYFUNCTION("GOOGLETRANSLATE(A9361,""en"",""pt"")"),"eu ouvi Código Da Vinci sugado soo apenas 2,5 estrelas:")</f>
        <v>eu ouvi Código Da Vinci sugado soo apenas 2,5 estrelas:</v>
      </c>
      <c r="B9361" s="3">
        <v>0</v>
      </c>
    </row>
    <row r="9362" ht="15.75" customHeight="1" spans="1:2">
      <c r="A9362" s="3" t="str">
        <f>IFERROR(__xludf.DUMMYFUNCTION("GOOGLETRANSLATE(A9362,""en"",""pt"")"),"Código Da Vinci é uma porcaria ...")</f>
        <v>Código Da Vinci é uma porcaria ...</v>
      </c>
      <c r="B9362" s="3">
        <v>0</v>
      </c>
    </row>
    <row r="9363" ht="15.75" customHeight="1" spans="1:2">
      <c r="A9363" s="3" t="str">
        <f>IFERROR(__xludf.DUMMYFUNCTION("GOOGLETRANSLATE(A9363,""en"",""pt"")"),"Código Da Vinci é uma porcaria.")</f>
        <v>Código Da Vinci é uma porcaria.</v>
      </c>
      <c r="B9363" s="3">
        <v>0</v>
      </c>
    </row>
    <row r="9364" ht="15.75" customHeight="1" spans="1:2">
      <c r="A9364" s="3" t="str">
        <f>IFERROR(__xludf.DUMMYFUNCTION("GOOGLETRANSLATE(A9364,""en"",""pt"")"),"sexta-feira sai com kelsie e fomos e viu O Código Da Vinci SUGADO !!!!!")</f>
        <v>sexta-feira sai com kelsie e fomos e viu O Código Da Vinci SUGADO !!!!!</v>
      </c>
      <c r="B9364" s="3">
        <v>0</v>
      </c>
    </row>
    <row r="9365" ht="15.75" customHeight="1" spans="1:2">
      <c r="A9365" s="3" t="s">
        <v>39</v>
      </c>
      <c r="B9365" s="3">
        <v>0</v>
      </c>
    </row>
    <row r="9366" ht="15.75" customHeight="1" spans="1:2">
      <c r="A9366" s="3" t="str">
        <f>IFERROR(__xludf.DUMMYFUNCTION("GOOGLETRANSLATE(A9366,""en"",""pt"")"),"Código Da Vinci suga ser ...")</f>
        <v>Código Da Vinci suga ser ...</v>
      </c>
      <c r="B9366" s="3">
        <v>0</v>
      </c>
    </row>
    <row r="9367" ht="15.75" customHeight="1" spans="1:2">
      <c r="A9367" s="3" t="str">
        <f>IFERROR(__xludf.DUMMYFUNCTION("GOOGLETRANSLATE(A9367,""en"",""pt"")"),"Código Da Vinci sugado ..")</f>
        <v>Código Da Vinci sugado ..</v>
      </c>
      <c r="B9367" s="3">
        <v>0</v>
      </c>
    </row>
    <row r="9368" ht="15.75" customHeight="1" spans="1:2">
      <c r="A9368" s="3" t="str">
        <f>IFERROR(__xludf.DUMMYFUNCTION("GOOGLETRANSLATE(A9368,""en"",""pt"")"),"O Código Da Vinci chupado grande.")</f>
        <v>O Código Da Vinci chupado grande.</v>
      </c>
      <c r="B9368" s="3">
        <v>0</v>
      </c>
    </row>
    <row r="9369" ht="15.75" customHeight="1" spans="1:2">
      <c r="A9369" s="3" t="str">
        <f>IFERROR(__xludf.DUMMYFUNCTION("GOOGLETRANSLATE(A9369,""en"",""pt"")"),"Código Da Vinci = Cima, Cima, Baixo, Baixo, Esquerda, Direita, Esquerda, Direita, B, A, SUGAM!")</f>
        <v>Código Da Vinci = Cima, Cima, Baixo, Baixo, Esquerda, Direita, Esquerda, Direita, B, A, SUGAM!</v>
      </c>
      <c r="B9369" s="3">
        <v>0</v>
      </c>
    </row>
    <row r="9370" ht="15.75" customHeight="1" spans="1:2">
      <c r="A9370" s="3" t="str">
        <f>IFERROR(__xludf.DUMMYFUNCTION("GOOGLETRANSLATE(A9370,""en"",""pt"")"),"a propósito, o Código Da Vinci sugado, apenas deixando você sabe ...")</f>
        <v>a propósito, o Código Da Vinci sugado, apenas deixando você sabe ...</v>
      </c>
      <c r="B9370" s="3">
        <v>0</v>
      </c>
    </row>
    <row r="9371" ht="15.75" customHeight="1" spans="1:2">
      <c r="A9371" s="3" t="str">
        <f>IFERROR(__xludf.DUMMYFUNCTION("GOOGLETRANSLATE(A9371,""en"",""pt"")"),"eu ouvi Código Da Vinci sugado soo apenas 2,5 estrelas:")</f>
        <v>eu ouvi Código Da Vinci sugado soo apenas 2,5 estrelas:</v>
      </c>
      <c r="B9371" s="3">
        <v>0</v>
      </c>
    </row>
    <row r="9372" ht="15.75" customHeight="1" spans="1:2">
      <c r="A9372" s="3" t="str">
        <f>IFERROR(__xludf.DUMMYFUNCTION("GOOGLETRANSLATE(A9372,""en"",""pt"")"),"Código Da Vinci é uma porcaria ...")</f>
        <v>Código Da Vinci é uma porcaria ...</v>
      </c>
      <c r="B9372" s="3">
        <v>0</v>
      </c>
    </row>
    <row r="9373" ht="15.75" customHeight="1" spans="1:2">
      <c r="A9373" s="3" t="str">
        <f>IFERROR(__xludf.DUMMYFUNCTION("GOOGLETRANSLATE(A9373,""en"",""pt"")"),"Código Da Vinci é uma porcaria.")</f>
        <v>Código Da Vinci é uma porcaria.</v>
      </c>
      <c r="B9373" s="3">
        <v>0</v>
      </c>
    </row>
    <row r="9374" ht="15.75" customHeight="1" spans="1:2">
      <c r="A9374" s="3" t="str">
        <f>IFERROR(__xludf.DUMMYFUNCTION("GOOGLETRANSLATE(A9374,""en"",""pt"")"),"sexta-feira sai com kelsie e fomos e viu O Código Da Vinci SUGADO !!!!!")</f>
        <v>sexta-feira sai com kelsie e fomos e viu O Código Da Vinci SUGADO !!!!!</v>
      </c>
      <c r="B9374" s="3">
        <v>0</v>
      </c>
    </row>
    <row r="9375" ht="15.75" customHeight="1" spans="1:2">
      <c r="A9375" s="3" t="str">
        <f>IFERROR(__xludf.DUMMYFUNCTION("GOOGLETRANSLATE(A9375,""en"",""pt"")"),"Combinando a opinião / revisão de Gary e Gin Zen, O Código Da Vinci é uma porcaria.")</f>
        <v>Combinando a opinião / revisão de Gary e Gin Zen, O Código Da Vinci é uma porcaria.</v>
      </c>
      <c r="B9375" s="3">
        <v>0</v>
      </c>
    </row>
    <row r="9376" ht="15.75" customHeight="1" spans="1:2">
      <c r="A9376" s="3" t="str">
        <f>IFERROR(__xludf.DUMMYFUNCTION("GOOGLETRANSLATE(A9376,""en"",""pt"")"),"Código Da Vinci suga ser ...")</f>
        <v>Código Da Vinci suga ser ...</v>
      </c>
      <c r="B9376" s="3">
        <v>0</v>
      </c>
    </row>
    <row r="9377" ht="15.75" customHeight="1" spans="1:2">
      <c r="A9377" s="3" t="str">
        <f>IFERROR(__xludf.DUMMYFUNCTION("GOOGLETRANSLATE(A9377,""en"",""pt"")"),"Código Da Vinci sugado ..")</f>
        <v>Código Da Vinci sugado ..</v>
      </c>
      <c r="B9377" s="3">
        <v>0</v>
      </c>
    </row>
    <row r="9378" ht="15.75" customHeight="1" spans="1:2">
      <c r="A9378" s="3" t="str">
        <f>IFERROR(__xludf.DUMMYFUNCTION("GOOGLETRANSLATE(A9378,""en"",""pt"")"),"O Código Da Vinci chupado grande.")</f>
        <v>O Código Da Vinci chupado grande.</v>
      </c>
      <c r="B9378" s="3">
        <v>0</v>
      </c>
    </row>
    <row r="9379" ht="15.75" customHeight="1" spans="1:2">
      <c r="A9379" s="3" t="str">
        <f>IFERROR(__xludf.DUMMYFUNCTION("GOOGLETRANSLATE(A9379,""en"",""pt"")"),"Código Da Vinci = Cima, Cima, Baixo, Baixo, Esquerda, Direita, Esquerda, Direita, B, A, SUGAM!")</f>
        <v>Código Da Vinci = Cima, Cima, Baixo, Baixo, Esquerda, Direita, Esquerda, Direita, B, A, SUGAM!</v>
      </c>
      <c r="B9379" s="3">
        <v>0</v>
      </c>
    </row>
    <row r="9380" ht="15.75" customHeight="1" spans="1:2">
      <c r="A9380" s="3" t="str">
        <f>IFERROR(__xludf.DUMMYFUNCTION("GOOGLETRANSLATE(A9380,""en"",""pt"")"),"a propósito, o Código Da Vinci sugado, apenas deixando você sabe ...")</f>
        <v>a propósito, o Código Da Vinci sugado, apenas deixando você sabe ...</v>
      </c>
      <c r="B9380" s="3">
        <v>0</v>
      </c>
    </row>
    <row r="9381" ht="15.75" customHeight="1" spans="1:2">
      <c r="A9381" s="3" t="str">
        <f>IFERROR(__xludf.DUMMYFUNCTION("GOOGLETRANSLATE(A9381,""en"",""pt"")"),"eu ouvi Código Da Vinci sugado soo apenas 2,5 estrelas:")</f>
        <v>eu ouvi Código Da Vinci sugado soo apenas 2,5 estrelas:</v>
      </c>
      <c r="B9381" s="3">
        <v>0</v>
      </c>
    </row>
    <row r="9382" ht="15.75" customHeight="1" spans="1:2">
      <c r="A9382" s="3" t="str">
        <f>IFERROR(__xludf.DUMMYFUNCTION("GOOGLETRANSLATE(A9382,""en"",""pt"")"),"Código Da Vinci é uma porcaria ...")</f>
        <v>Código Da Vinci é uma porcaria ...</v>
      </c>
      <c r="B9382" s="3">
        <v>0</v>
      </c>
    </row>
    <row r="9383" ht="15.75" customHeight="1" spans="1:2">
      <c r="A9383" s="3" t="str">
        <f>IFERROR(__xludf.DUMMYFUNCTION("GOOGLETRANSLATE(A9383,""en"",""pt"")"),"Código Da Vinci é uma porcaria.")</f>
        <v>Código Da Vinci é uma porcaria.</v>
      </c>
      <c r="B9383" s="3">
        <v>0</v>
      </c>
    </row>
    <row r="9384" ht="15.75" customHeight="1" spans="1:2">
      <c r="A9384" s="3" t="str">
        <f>IFERROR(__xludf.DUMMYFUNCTION("GOOGLETRANSLATE(A9384,""en"",""pt"")"),"sexta-feira sai com kelsie e fomos e viu O Código Da Vinci SUGADO !!!!!")</f>
        <v>sexta-feira sai com kelsie e fomos e viu O Código Da Vinci SUGADO !!!!!</v>
      </c>
      <c r="B9384" s="3">
        <v>0</v>
      </c>
    </row>
    <row r="9385" ht="15.75" customHeight="1" spans="1:2">
      <c r="A9385" s="3" t="str">
        <f>IFERROR(__xludf.DUMMYFUNCTION("GOOGLETRANSLATE(A9385,""en"",""pt"")"),"Combinando a opinião / revisão de Gary e Gin Zen, O Código Da Vinci é uma porcaria.")</f>
        <v>Combinando a opinião / revisão de Gary e Gin Zen, O Código Da Vinci é uma porcaria.</v>
      </c>
      <c r="B9385" s="3">
        <v>0</v>
      </c>
    </row>
    <row r="9386" ht="15.75" customHeight="1" spans="1:2">
      <c r="A9386" s="3" t="str">
        <f>IFERROR(__xludf.DUMMYFUNCTION("GOOGLETRANSLATE(A9386,""en"",""pt"")"),"Código Da Vinci suga ser ...")</f>
        <v>Código Da Vinci suga ser ...</v>
      </c>
      <c r="B9386" s="3">
        <v>0</v>
      </c>
    </row>
    <row r="9387" ht="15.75" customHeight="1" spans="1:2">
      <c r="A9387" s="3" t="str">
        <f>IFERROR(__xludf.DUMMYFUNCTION("GOOGLETRANSLATE(A9387,""en"",""pt"")"),"Código Da Vinci sugado ..")</f>
        <v>Código Da Vinci sugado ..</v>
      </c>
      <c r="B9387" s="3">
        <v>0</v>
      </c>
    </row>
    <row r="9388" ht="15.75" customHeight="1" spans="1:2">
      <c r="A9388" s="3" t="str">
        <f>IFERROR(__xludf.DUMMYFUNCTION("GOOGLETRANSLATE(A9388,""en"",""pt"")"),"O Código Da Vinci chupado grande.")</f>
        <v>O Código Da Vinci chupado grande.</v>
      </c>
      <c r="B9388" s="3">
        <v>0</v>
      </c>
    </row>
    <row r="9389" ht="15.75" customHeight="1" spans="1:2">
      <c r="A9389" s="3" t="str">
        <f>IFERROR(__xludf.DUMMYFUNCTION("GOOGLETRANSLATE(A9389,""en"",""pt"")"),"Código Da Vinci = Cima, Cima, Baixo, Baixo, Esquerda, Direita, Esquerda, Direita, B, A, SUGAM!")</f>
        <v>Código Da Vinci = Cima, Cima, Baixo, Baixo, Esquerda, Direita, Esquerda, Direita, B, A, SUGAM!</v>
      </c>
      <c r="B9389" s="3">
        <v>0</v>
      </c>
    </row>
    <row r="9390" ht="15.75" customHeight="1" spans="1:2">
      <c r="A9390" s="3" t="str">
        <f>IFERROR(__xludf.DUMMYFUNCTION("GOOGLETRANSLATE(A9390,""en"",""pt"")"),"a propósito, o Código Da Vinci sugado, apenas deixando você sabe ...")</f>
        <v>a propósito, o Código Da Vinci sugado, apenas deixando você sabe ...</v>
      </c>
      <c r="B9390" s="3">
        <v>0</v>
      </c>
    </row>
    <row r="9391" ht="15.75" customHeight="1" spans="1:2">
      <c r="A9391" s="3" t="str">
        <f>IFERROR(__xludf.DUMMYFUNCTION("GOOGLETRANSLATE(A9391,""en"",""pt"")"),"eu ouvi Código Da Vinci sugado soo apenas 2,5 estrelas:")</f>
        <v>eu ouvi Código Da Vinci sugado soo apenas 2,5 estrelas:</v>
      </c>
      <c r="B9391" s="3">
        <v>0</v>
      </c>
    </row>
    <row r="9392" ht="15.75" customHeight="1" spans="1:2">
      <c r="A9392" s="3" t="str">
        <f>IFERROR(__xludf.DUMMYFUNCTION("GOOGLETRANSLATE(A9392,""en"",""pt"")"),"Código Da Vinci é uma porcaria ...")</f>
        <v>Código Da Vinci é uma porcaria ...</v>
      </c>
      <c r="B9392" s="3">
        <v>0</v>
      </c>
    </row>
    <row r="9393" ht="15.75" customHeight="1" spans="1:2">
      <c r="A9393" s="3" t="str">
        <f>IFERROR(__xludf.DUMMYFUNCTION("GOOGLETRANSLATE(A9393,""en"",""pt"")"),"Código Da Vinci é uma porcaria.")</f>
        <v>Código Da Vinci é uma porcaria.</v>
      </c>
      <c r="B9393" s="3">
        <v>0</v>
      </c>
    </row>
    <row r="9394" ht="15.75" customHeight="1" spans="1:2">
      <c r="A9394" s="3" t="str">
        <f>IFERROR(__xludf.DUMMYFUNCTION("GOOGLETRANSLATE(A9394,""en"",""pt"")"),"sexta-feira sai com kelsie e fomos e viu O Código Da Vinci SUGADO !!!!!")</f>
        <v>sexta-feira sai com kelsie e fomos e viu O Código Da Vinci SUGADO !!!!!</v>
      </c>
      <c r="B9394" s="3">
        <v>0</v>
      </c>
    </row>
    <row r="9395" ht="15.75" customHeight="1" spans="1:2">
      <c r="A9395" s="3" t="str">
        <f>IFERROR(__xludf.DUMMYFUNCTION("GOOGLETRANSLATE(A9395,""en"",""pt"")"),"Combinando a opinião / revisão de Gary e Gin Zen, O Código Da Vinci é uma porcaria.")</f>
        <v>Combinando a opinião / revisão de Gary e Gin Zen, O Código Da Vinci é uma porcaria.</v>
      </c>
      <c r="B9395" s="3">
        <v>0</v>
      </c>
    </row>
    <row r="9396" ht="15.75" customHeight="1" spans="1:2">
      <c r="A9396" s="3" t="str">
        <f>IFERROR(__xludf.DUMMYFUNCTION("GOOGLETRANSLATE(A9396,""en"",""pt"")"),"Código Da Vinci suga ser ...")</f>
        <v>Código Da Vinci suga ser ...</v>
      </c>
      <c r="B9396" s="3">
        <v>0</v>
      </c>
    </row>
    <row r="9397" ht="15.75" customHeight="1" spans="1:2">
      <c r="A9397" s="3" t="str">
        <f>IFERROR(__xludf.DUMMYFUNCTION("GOOGLETRANSLATE(A9397,""en"",""pt"")"),"Código Da Vinci sugado ..")</f>
        <v>Código Da Vinci sugado ..</v>
      </c>
      <c r="B9397" s="3">
        <v>0</v>
      </c>
    </row>
    <row r="9398" ht="15.75" customHeight="1" spans="1:2">
      <c r="A9398" s="3" t="str">
        <f>IFERROR(__xludf.DUMMYFUNCTION("GOOGLETRANSLATE(A9398,""en"",""pt"")"),"O Código Da Vinci chupado grande.")</f>
        <v>O Código Da Vinci chupado grande.</v>
      </c>
      <c r="B9398" s="3">
        <v>0</v>
      </c>
    </row>
    <row r="9399" ht="15.75" customHeight="1" spans="1:2">
      <c r="A9399" s="3" t="str">
        <f>IFERROR(__xludf.DUMMYFUNCTION("GOOGLETRANSLATE(A9399,""en"",""pt"")"),"Código Da Vinci = Cima, Cima, Baixo, Baixo, Esquerda, Direita, Esquerda, Direita, B, A, SUGAM!")</f>
        <v>Código Da Vinci = Cima, Cima, Baixo, Baixo, Esquerda, Direita, Esquerda, Direita, B, A, SUGAM!</v>
      </c>
      <c r="B9399" s="3">
        <v>0</v>
      </c>
    </row>
    <row r="9400" ht="15.75" customHeight="1" spans="1:2">
      <c r="A9400" s="3" t="str">
        <f>IFERROR(__xludf.DUMMYFUNCTION("GOOGLETRANSLATE(A9400,""en"",""pt"")"),"a propósito, o Código Da Vinci sugado, apenas deixando você sabe ...")</f>
        <v>a propósito, o Código Da Vinci sugado, apenas deixando você sabe ...</v>
      </c>
      <c r="B9400" s="3">
        <v>0</v>
      </c>
    </row>
    <row r="9401" ht="15.75" customHeight="1" spans="1:2">
      <c r="A9401" s="3" t="str">
        <f>IFERROR(__xludf.DUMMYFUNCTION("GOOGLETRANSLATE(A9401,""en"",""pt"")"),"eu ouvi Código Da Vinci sugado soo apenas 2,5 estrelas:")</f>
        <v>eu ouvi Código Da Vinci sugado soo apenas 2,5 estrelas:</v>
      </c>
      <c r="B9401" s="3">
        <v>0</v>
      </c>
    </row>
    <row r="9402" ht="15.75" customHeight="1" spans="1:2">
      <c r="A9402" s="3" t="str">
        <f>IFERROR(__xludf.DUMMYFUNCTION("GOOGLETRANSLATE(A9402,""en"",""pt"")"),"Código Da Vinci é uma porcaria ...")</f>
        <v>Código Da Vinci é uma porcaria ...</v>
      </c>
      <c r="B9402" s="3">
        <v>0</v>
      </c>
    </row>
    <row r="9403" ht="15.75" customHeight="1" spans="1:2">
      <c r="A9403" s="3" t="str">
        <f>IFERROR(__xludf.DUMMYFUNCTION("GOOGLETRANSLATE(A9403,""en"",""pt"")"),"Código Da Vinci é uma porcaria.")</f>
        <v>Código Da Vinci é uma porcaria.</v>
      </c>
      <c r="B9403" s="3">
        <v>0</v>
      </c>
    </row>
    <row r="9404" ht="15.75" customHeight="1" spans="1:2">
      <c r="A9404" s="3" t="str">
        <f>IFERROR(__xludf.DUMMYFUNCTION("GOOGLETRANSLATE(A9404,""en"",""pt"")"),"sexta-feira sai com kelsie e fomos e viu O Código Da Vinci SUGADO !!!!!")</f>
        <v>sexta-feira sai com kelsie e fomos e viu O Código Da Vinci SUGADO !!!!!</v>
      </c>
      <c r="B9404" s="3">
        <v>0</v>
      </c>
    </row>
    <row r="9405" ht="15.75" customHeight="1" spans="1:2">
      <c r="A9405" s="3" t="str">
        <f>IFERROR(__xludf.DUMMYFUNCTION("GOOGLETRANSLATE(A9405,""en"",""pt"")"),"Combinando a opinião / revisão de Gary e Gin Zen, O Código Da Vinci é uma porcaria.")</f>
        <v>Combinando a opinião / revisão de Gary e Gin Zen, O Código Da Vinci é uma porcaria.</v>
      </c>
      <c r="B9405" s="3">
        <v>0</v>
      </c>
    </row>
    <row r="9406" ht="15.75" customHeight="1" spans="1:2">
      <c r="A9406" s="3" t="str">
        <f>IFERROR(__xludf.DUMMYFUNCTION("GOOGLETRANSLATE(A9406,""en"",""pt"")"),"Código Da Vinci suga ser ...")</f>
        <v>Código Da Vinci suga ser ...</v>
      </c>
      <c r="B9406" s="3">
        <v>0</v>
      </c>
    </row>
    <row r="9407" ht="15.75" customHeight="1" spans="1:2">
      <c r="A9407" s="3" t="str">
        <f>IFERROR(__xludf.DUMMYFUNCTION("GOOGLETRANSLATE(A9407,""en"",""pt"")"),"Código Da Vinci sugado ..")</f>
        <v>Código Da Vinci sugado ..</v>
      </c>
      <c r="B9407" s="3">
        <v>0</v>
      </c>
    </row>
    <row r="9408" ht="15.75" customHeight="1" spans="1:2">
      <c r="A9408" s="3" t="str">
        <f>IFERROR(__xludf.DUMMYFUNCTION("GOOGLETRANSLATE(A9408,""en"",""pt"")"),"O Código Da Vinci chupado grande.")</f>
        <v>O Código Da Vinci chupado grande.</v>
      </c>
      <c r="B9408" s="3">
        <v>0</v>
      </c>
    </row>
    <row r="9409" ht="15.75" customHeight="1" spans="1:2">
      <c r="A9409" s="3" t="str">
        <f>IFERROR(__xludf.DUMMYFUNCTION("GOOGLETRANSLATE(A9409,""en"",""pt"")"),"Código Da Vinci = Cima, Cima, Baixo, Baixo, Esquerda, Direita, Esquerda, Direita, B, A, SUGAM!")</f>
        <v>Código Da Vinci = Cima, Cima, Baixo, Baixo, Esquerda, Direita, Esquerda, Direita, B, A, SUGAM!</v>
      </c>
      <c r="B9409" s="3">
        <v>0</v>
      </c>
    </row>
    <row r="9410" ht="15.75" customHeight="1" spans="1:2">
      <c r="A9410" s="3" t="str">
        <f>IFERROR(__xludf.DUMMYFUNCTION("GOOGLETRANSLATE(A9410,""en"",""pt"")"),"a propósito, o Código Da Vinci sugado, apenas deixando você sabe ...")</f>
        <v>a propósito, o Código Da Vinci sugado, apenas deixando você sabe ...</v>
      </c>
      <c r="B9410" s="3">
        <v>0</v>
      </c>
    </row>
    <row r="9411" ht="15.75" customHeight="1" spans="1:2">
      <c r="A9411" s="3" t="str">
        <f>IFERROR(__xludf.DUMMYFUNCTION("GOOGLETRANSLATE(A9411,""en"",""pt"")"),"eu ouvi Código Da Vinci sugado soo apenas 2,5 estrelas:")</f>
        <v>eu ouvi Código Da Vinci sugado soo apenas 2,5 estrelas:</v>
      </c>
      <c r="B9411" s="3">
        <v>0</v>
      </c>
    </row>
    <row r="9412" ht="15.75" customHeight="1" spans="1:2">
      <c r="A9412" s="3" t="str">
        <f>IFERROR(__xludf.DUMMYFUNCTION("GOOGLETRANSLATE(A9412,""en"",""pt"")"),"Código Da Vinci é uma porcaria ...")</f>
        <v>Código Da Vinci é uma porcaria ...</v>
      </c>
      <c r="B9412" s="3">
        <v>0</v>
      </c>
    </row>
    <row r="9413" ht="15.75" customHeight="1" spans="1:2">
      <c r="A9413" s="3" t="str">
        <f>IFERROR(__xludf.DUMMYFUNCTION("GOOGLETRANSLATE(A9413,""en"",""pt"")"),"Código Da Vinci é uma porcaria.")</f>
        <v>Código Da Vinci é uma porcaria.</v>
      </c>
      <c r="B9413" s="3">
        <v>0</v>
      </c>
    </row>
    <row r="9414" ht="15.75" customHeight="1" spans="1:2">
      <c r="A9414" s="3" t="str">
        <f>IFERROR(__xludf.DUMMYFUNCTION("GOOGLETRANSLATE(A9414,""en"",""pt"")"),"sexta-feira sai com kelsie e fomos e viu O Código Da Vinci SUGADO !!!!!")</f>
        <v>sexta-feira sai com kelsie e fomos e viu O Código Da Vinci SUGADO !!!!!</v>
      </c>
      <c r="B9414" s="3">
        <v>0</v>
      </c>
    </row>
    <row r="9415" ht="15.75" customHeight="1" spans="1:2">
      <c r="A9415" s="3" t="str">
        <f>IFERROR(__xludf.DUMMYFUNCTION("GOOGLETRANSLATE(A9415,""en"",""pt"")"),"Combinando a opinião / revisão de Gary e Gin Zen, O Código Da Vinci é uma porcaria.")</f>
        <v>Combinando a opinião / revisão de Gary e Gin Zen, O Código Da Vinci é uma porcaria.</v>
      </c>
      <c r="B9415" s="3">
        <v>0</v>
      </c>
    </row>
    <row r="9416" ht="15.75" customHeight="1" spans="1:2">
      <c r="A9416" s="3" t="str">
        <f>IFERROR(__xludf.DUMMYFUNCTION("GOOGLETRANSLATE(A9416,""en"",""pt"")"),"Código Da Vinci suga ser ...")</f>
        <v>Código Da Vinci suga ser ...</v>
      </c>
      <c r="B9416" s="3">
        <v>0</v>
      </c>
    </row>
    <row r="9417" ht="15.75" customHeight="1" spans="1:2">
      <c r="A9417" s="3" t="str">
        <f>IFERROR(__xludf.DUMMYFUNCTION("GOOGLETRANSLATE(A9417,""en"",""pt"")"),"Código Da Vinci sugado ..")</f>
        <v>Código Da Vinci sugado ..</v>
      </c>
      <c r="B9417" s="3">
        <v>0</v>
      </c>
    </row>
    <row r="9418" ht="15.75" customHeight="1" spans="1:2">
      <c r="A9418" s="3" t="str">
        <f>IFERROR(__xludf.DUMMYFUNCTION("GOOGLETRANSLATE(A9418,""en"",""pt"")"),"O Código Da Vinci chupado grande.")</f>
        <v>O Código Da Vinci chupado grande.</v>
      </c>
      <c r="B9418" s="3">
        <v>0</v>
      </c>
    </row>
    <row r="9419" ht="15.75" customHeight="1" spans="1:2">
      <c r="A9419" s="3" t="str">
        <f>IFERROR(__xludf.DUMMYFUNCTION("GOOGLETRANSLATE(A9419,""en"",""pt"")"),"Código Da Vinci = Cima, Cima, Baixo, Baixo, Esquerda, Direita, Esquerda, Direita, B, A, SUGAM!")</f>
        <v>Código Da Vinci = Cima, Cima, Baixo, Baixo, Esquerda, Direita, Esquerda, Direita, B, A, SUGAM!</v>
      </c>
      <c r="B9419" s="3">
        <v>0</v>
      </c>
    </row>
    <row r="9420" ht="15.75" customHeight="1" spans="1:2">
      <c r="A9420" s="3" t="str">
        <f>IFERROR(__xludf.DUMMYFUNCTION("GOOGLETRANSLATE(A9420,""en"",""pt"")"),"a propósito, o Código Da Vinci sugado, apenas deixando você sabe ...")</f>
        <v>a propósito, o Código Da Vinci sugado, apenas deixando você sabe ...</v>
      </c>
      <c r="B9420" s="3">
        <v>0</v>
      </c>
    </row>
    <row r="9421" ht="15.75" customHeight="1" spans="1:2">
      <c r="A9421" s="3" t="str">
        <f>IFERROR(__xludf.DUMMYFUNCTION("GOOGLETRANSLATE(A9421,""en"",""pt"")"),"eu ouvi Código Da Vinci sugado soo apenas 2,5 estrelas:")</f>
        <v>eu ouvi Código Da Vinci sugado soo apenas 2,5 estrelas:</v>
      </c>
      <c r="B9421" s="3">
        <v>0</v>
      </c>
    </row>
    <row r="9422" ht="15.75" customHeight="1" spans="1:2">
      <c r="A9422" s="3" t="str">
        <f>IFERROR(__xludf.DUMMYFUNCTION("GOOGLETRANSLATE(A9422,""en"",""pt"")"),"Código Da Vinci é uma porcaria ...")</f>
        <v>Código Da Vinci é uma porcaria ...</v>
      </c>
      <c r="B9422" s="3">
        <v>0</v>
      </c>
    </row>
    <row r="9423" ht="15.75" customHeight="1" spans="1:2">
      <c r="A9423" s="3" t="str">
        <f>IFERROR(__xludf.DUMMYFUNCTION("GOOGLETRANSLATE(A9423,""en"",""pt"")"),"Código Da Vinci é uma porcaria.")</f>
        <v>Código Da Vinci é uma porcaria.</v>
      </c>
      <c r="B9423" s="3">
        <v>0</v>
      </c>
    </row>
    <row r="9424" ht="15.75" customHeight="1" spans="1:2">
      <c r="A9424" s="3" t="str">
        <f>IFERROR(__xludf.DUMMYFUNCTION("GOOGLETRANSLATE(A9424,""en"",""pt"")"),"sexta-feira sai com kelsie e fomos e viu O Código Da Vinci SUGADO !!!!!")</f>
        <v>sexta-feira sai com kelsie e fomos e viu O Código Da Vinci SUGADO !!!!!</v>
      </c>
      <c r="B9424" s="3">
        <v>0</v>
      </c>
    </row>
    <row r="9425" ht="15.75" customHeight="1" spans="1:2">
      <c r="A9425" s="3" t="str">
        <f>IFERROR(__xludf.DUMMYFUNCTION("GOOGLETRANSLATE(A9425,""en"",""pt"")"),"Combinando a opinião / revisão de Gary e Gin Zen, O Código Da Vinci é uma porcaria.")</f>
        <v>Combinando a opinião / revisão de Gary e Gin Zen, O Código Da Vinci é uma porcaria.</v>
      </c>
      <c r="B9425" s="3">
        <v>0</v>
      </c>
    </row>
    <row r="9426" ht="15.75" customHeight="1" spans="1:2">
      <c r="A9426" s="3" t="str">
        <f>IFERROR(__xludf.DUMMYFUNCTION("GOOGLETRANSLATE(A9426,""en"",""pt"")"),"Código Da Vinci suga ser ...")</f>
        <v>Código Da Vinci suga ser ...</v>
      </c>
      <c r="B9426" s="3">
        <v>0</v>
      </c>
    </row>
    <row r="9427" ht="15.75" customHeight="1" spans="1:2">
      <c r="A9427" s="3" t="str">
        <f>IFERROR(__xludf.DUMMYFUNCTION("GOOGLETRANSLATE(A9427,""en"",""pt"")"),"Código Da Vinci sugado ..")</f>
        <v>Código Da Vinci sugado ..</v>
      </c>
      <c r="B9427" s="3">
        <v>0</v>
      </c>
    </row>
    <row r="9428" ht="15.75" customHeight="1" spans="1:2">
      <c r="A9428" s="3" t="str">
        <f>IFERROR(__xludf.DUMMYFUNCTION("GOOGLETRANSLATE(A9428,""en"",""pt"")"),"O Código Da Vinci chupado grande.")</f>
        <v>O Código Da Vinci chupado grande.</v>
      </c>
      <c r="B9428" s="3">
        <v>0</v>
      </c>
    </row>
    <row r="9429" ht="15.75" customHeight="1" spans="1:2">
      <c r="A9429" s="3" t="str">
        <f>IFERROR(__xludf.DUMMYFUNCTION("GOOGLETRANSLATE(A9429,""en"",""pt"")"),"Código Da Vinci = Cima, Cima, Baixo, Baixo, Esquerda, Direita, Esquerda, Direita, B, A, SUGAM!")</f>
        <v>Código Da Vinci = Cima, Cima, Baixo, Baixo, Esquerda, Direita, Esquerda, Direita, B, A, SUGAM!</v>
      </c>
      <c r="B9429" s="3">
        <v>0</v>
      </c>
    </row>
    <row r="9430" ht="15.75" customHeight="1" spans="1:2">
      <c r="A9430" s="3" t="str">
        <f>IFERROR(__xludf.DUMMYFUNCTION("GOOGLETRANSLATE(A9430,""en"",""pt"")"),"a propósito, o Código Da Vinci sugado, apenas deixando você sabe ...")</f>
        <v>a propósito, o Código Da Vinci sugado, apenas deixando você sabe ...</v>
      </c>
      <c r="B9430" s="3">
        <v>0</v>
      </c>
    </row>
    <row r="9431" ht="15.75" customHeight="1" spans="1:2">
      <c r="A9431" s="3" t="str">
        <f>IFERROR(__xludf.DUMMYFUNCTION("GOOGLETRANSLATE(A9431,""en"",""pt"")"),"eu ouvi Código Da Vinci sugado soo apenas 2,5 estrelas:")</f>
        <v>eu ouvi Código Da Vinci sugado soo apenas 2,5 estrelas:</v>
      </c>
      <c r="B9431" s="3">
        <v>0</v>
      </c>
    </row>
    <row r="9432" ht="15.75" customHeight="1" spans="1:2">
      <c r="A9432" s="3" t="str">
        <f>IFERROR(__xludf.DUMMYFUNCTION("GOOGLETRANSLATE(A9432,""en"",""pt"")"),"Código Da Vinci é uma porcaria ...")</f>
        <v>Código Da Vinci é uma porcaria ...</v>
      </c>
      <c r="B9432" s="3">
        <v>0</v>
      </c>
    </row>
    <row r="9433" ht="15.75" customHeight="1" spans="1:2">
      <c r="A9433" s="3" t="str">
        <f>IFERROR(__xludf.DUMMYFUNCTION("GOOGLETRANSLATE(A9433,""en"",""pt"")"),"Código Da Vinci é uma porcaria.")</f>
        <v>Código Da Vinci é uma porcaria.</v>
      </c>
      <c r="B9433" s="3">
        <v>0</v>
      </c>
    </row>
    <row r="9434" ht="15.75" customHeight="1" spans="1:2">
      <c r="A9434" s="3" t="str">
        <f>IFERROR(__xludf.DUMMYFUNCTION("GOOGLETRANSLATE(A9434,""en"",""pt"")"),"sexta-feira sai com kelsie e fomos e viu O Código Da Vinci SUGADO !!!!!")</f>
        <v>sexta-feira sai com kelsie e fomos e viu O Código Da Vinci SUGADO !!!!!</v>
      </c>
      <c r="B9434" s="3">
        <v>0</v>
      </c>
    </row>
    <row r="9435" ht="15.75" customHeight="1" spans="1:2">
      <c r="A9435" s="3" t="str">
        <f>IFERROR(__xludf.DUMMYFUNCTION("GOOGLETRANSLATE(A9435,""en"",""pt"")"),"Combinando a opinião / revisão de Gary e Gin Zen, O Código Da Vinci é uma porcaria.")</f>
        <v>Combinando a opinião / revisão de Gary e Gin Zen, O Código Da Vinci é uma porcaria.</v>
      </c>
      <c r="B9435" s="3">
        <v>0</v>
      </c>
    </row>
    <row r="9436" ht="15.75" customHeight="1" spans="1:2">
      <c r="A9436" s="3" t="str">
        <f>IFERROR(__xludf.DUMMYFUNCTION("GOOGLETRANSLATE(A9436,""en"",""pt"")"),"Código Da Vinci suga ser ...")</f>
        <v>Código Da Vinci suga ser ...</v>
      </c>
      <c r="B9436" s="3">
        <v>0</v>
      </c>
    </row>
    <row r="9437" ht="15.75" customHeight="1" spans="1:2">
      <c r="A9437" s="3" t="str">
        <f>IFERROR(__xludf.DUMMYFUNCTION("GOOGLETRANSLATE(A9437,""en"",""pt"")"),"Código Da Vinci sugado ..")</f>
        <v>Código Da Vinci sugado ..</v>
      </c>
      <c r="B9437" s="3">
        <v>0</v>
      </c>
    </row>
    <row r="9438" ht="15.75" customHeight="1" spans="1:2">
      <c r="A9438" s="3" t="str">
        <f>IFERROR(__xludf.DUMMYFUNCTION("GOOGLETRANSLATE(A9438,""en"",""pt"")"),"O Código Da Vinci chupado grande.")</f>
        <v>O Código Da Vinci chupado grande.</v>
      </c>
      <c r="B9438" s="3">
        <v>0</v>
      </c>
    </row>
    <row r="9439" ht="15.75" customHeight="1" spans="1:2">
      <c r="A9439" s="3" t="str">
        <f>IFERROR(__xludf.DUMMYFUNCTION("GOOGLETRANSLATE(A9439,""en"",""pt"")"),"Código Da Vinci = Cima, Cima, Baixo, Baixo, Esquerda, Direita, Esquerda, Direita, B, A, SUGAM!")</f>
        <v>Código Da Vinci = Cima, Cima, Baixo, Baixo, Esquerda, Direita, Esquerda, Direita, B, A, SUGAM!</v>
      </c>
      <c r="B9439" s="3">
        <v>0</v>
      </c>
    </row>
    <row r="9440" ht="15.75" customHeight="1" spans="1:2">
      <c r="A9440" s="3" t="str">
        <f>IFERROR(__xludf.DUMMYFUNCTION("GOOGLETRANSLATE(A9440,""en"",""pt"")"),"a propósito, o Código Da Vinci sugado, apenas deixando você sabe ...")</f>
        <v>a propósito, o Código Da Vinci sugado, apenas deixando você sabe ...</v>
      </c>
      <c r="B9440" s="3">
        <v>0</v>
      </c>
    </row>
    <row r="9441" ht="15.75" customHeight="1" spans="1:2">
      <c r="A9441" s="3" t="str">
        <f>IFERROR(__xludf.DUMMYFUNCTION("GOOGLETRANSLATE(A9441,""en"",""pt"")"),"eu ouvi Código Da Vinci sugado soo apenas 2,5 estrelas:")</f>
        <v>eu ouvi Código Da Vinci sugado soo apenas 2,5 estrelas:</v>
      </c>
      <c r="B9441" s="3">
        <v>0</v>
      </c>
    </row>
    <row r="9442" ht="15.75" customHeight="1" spans="1:2">
      <c r="A9442" s="3" t="str">
        <f>IFERROR(__xludf.DUMMYFUNCTION("GOOGLETRANSLATE(A9442,""en"",""pt"")"),"Código Da Vinci é uma porcaria ...")</f>
        <v>Código Da Vinci é uma porcaria ...</v>
      </c>
      <c r="B9442" s="3">
        <v>0</v>
      </c>
    </row>
    <row r="9443" ht="15.75" customHeight="1" spans="1:2">
      <c r="A9443" s="3" t="str">
        <f>IFERROR(__xludf.DUMMYFUNCTION("GOOGLETRANSLATE(A9443,""en"",""pt"")"),"Código Da Vinci é uma porcaria.")</f>
        <v>Código Da Vinci é uma porcaria.</v>
      </c>
      <c r="B9443" s="3">
        <v>0</v>
      </c>
    </row>
    <row r="9444" ht="15.75" customHeight="1" spans="1:2">
      <c r="A9444" s="3" t="str">
        <f>IFERROR(__xludf.DUMMYFUNCTION("GOOGLETRANSLATE(A9444,""en"",""pt"")"),"sexta-feira sai com kelsie e fomos e viu O Código Da Vinci SUGADO !!!!!")</f>
        <v>sexta-feira sai com kelsie e fomos e viu O Código Da Vinci SUGADO !!!!!</v>
      </c>
      <c r="B9444" s="3">
        <v>0</v>
      </c>
    </row>
    <row r="9445" ht="15.75" customHeight="1" spans="1:2">
      <c r="A9445" s="3" t="str">
        <f>IFERROR(__xludf.DUMMYFUNCTION("GOOGLETRANSLATE(A9445,""en"",""pt"")"),"Combinando a opinião / revisão de Gary e Gin Zen, O Código Da Vinci é uma porcaria.")</f>
        <v>Combinando a opinião / revisão de Gary e Gin Zen, O Código Da Vinci é uma porcaria.</v>
      </c>
      <c r="B9445" s="3">
        <v>0</v>
      </c>
    </row>
    <row r="9446" ht="15.75" customHeight="1" spans="1:2">
      <c r="A9446" s="3" t="str">
        <f>IFERROR(__xludf.DUMMYFUNCTION("GOOGLETRANSLATE(A9446,""en"",""pt"")"),"Código Da Vinci suga ser ...")</f>
        <v>Código Da Vinci suga ser ...</v>
      </c>
      <c r="B9446" s="3">
        <v>0</v>
      </c>
    </row>
    <row r="9447" ht="15.75" customHeight="1" spans="1:2">
      <c r="A9447" s="3" t="str">
        <f>IFERROR(__xludf.DUMMYFUNCTION("GOOGLETRANSLATE(A9447,""en"",""pt"")"),"Código Da Vinci sugado ..")</f>
        <v>Código Da Vinci sugado ..</v>
      </c>
      <c r="B9447" s="3">
        <v>0</v>
      </c>
    </row>
    <row r="9448" ht="15.75" customHeight="1" spans="1:2">
      <c r="A9448" s="3" t="str">
        <f>IFERROR(__xludf.DUMMYFUNCTION("GOOGLETRANSLATE(A9448,""en"",""pt"")"),"O Código Da Vinci chupado grande.")</f>
        <v>O Código Da Vinci chupado grande.</v>
      </c>
      <c r="B9448" s="3">
        <v>0</v>
      </c>
    </row>
    <row r="9449" ht="15.75" customHeight="1" spans="1:2">
      <c r="A9449" s="3" t="str">
        <f>IFERROR(__xludf.DUMMYFUNCTION("GOOGLETRANSLATE(A9449,""en"",""pt"")"),"Código Da Vinci = Cima, Cima, Baixo, Baixo, Esquerda, Direita, Esquerda, Direita, B, A, SUGAM!")</f>
        <v>Código Da Vinci = Cima, Cima, Baixo, Baixo, Esquerda, Direita, Esquerda, Direita, B, A, SUGAM!</v>
      </c>
      <c r="B9449" s="3">
        <v>0</v>
      </c>
    </row>
    <row r="9450" ht="15.75" customHeight="1" spans="1:2">
      <c r="A9450" s="3" t="str">
        <f>IFERROR(__xludf.DUMMYFUNCTION("GOOGLETRANSLATE(A9450,""en"",""pt"")"),"a propósito, o Código Da Vinci sugado, apenas deixando você sabe ...")</f>
        <v>a propósito, o Código Da Vinci sugado, apenas deixando você sabe ...</v>
      </c>
      <c r="B9450" s="3">
        <v>0</v>
      </c>
    </row>
    <row r="9451" ht="15.75" customHeight="1" spans="1:2">
      <c r="A9451" s="3" t="str">
        <f>IFERROR(__xludf.DUMMYFUNCTION("GOOGLETRANSLATE(A9451,""en"",""pt"")"),"eu ouvi Código Da Vinci sugado soo apenas 2,5 estrelas:")</f>
        <v>eu ouvi Código Da Vinci sugado soo apenas 2,5 estrelas:</v>
      </c>
      <c r="B9451" s="3">
        <v>0</v>
      </c>
    </row>
    <row r="9452" ht="15.75" customHeight="1" spans="1:2">
      <c r="A9452" s="3" t="str">
        <f>IFERROR(__xludf.DUMMYFUNCTION("GOOGLETRANSLATE(A9452,""en"",""pt"")"),"Código Da Vinci é uma porcaria ...")</f>
        <v>Código Da Vinci é uma porcaria ...</v>
      </c>
      <c r="B9452" s="3">
        <v>0</v>
      </c>
    </row>
    <row r="9453" ht="15.75" customHeight="1" spans="1:2">
      <c r="A9453" s="3" t="str">
        <f>IFERROR(__xludf.DUMMYFUNCTION("GOOGLETRANSLATE(A9453,""en"",""pt"")"),"Código Da Vinci é uma porcaria.")</f>
        <v>Código Da Vinci é uma porcaria.</v>
      </c>
      <c r="B9453" s="3">
        <v>0</v>
      </c>
    </row>
    <row r="9454" ht="15.75" customHeight="1" spans="1:2">
      <c r="A9454" s="3" t="str">
        <f>IFERROR(__xludf.DUMMYFUNCTION("GOOGLETRANSLATE(A9454,""en"",""pt"")"),"sexta-feira sai com kelsie e fomos e viu O Código Da Vinci SUGADO !!!!!")</f>
        <v>sexta-feira sai com kelsie e fomos e viu O Código Da Vinci SUGADO !!!!!</v>
      </c>
      <c r="B9454" s="3">
        <v>0</v>
      </c>
    </row>
    <row r="9455" ht="15.75" customHeight="1" spans="1:2">
      <c r="A9455" s="3" t="str">
        <f>IFERROR(__xludf.DUMMYFUNCTION("GOOGLETRANSLATE(A9455,""en"",""pt"")"),"Combinando a opinião / revisão de Gary e Gin Zen, O Código Da Vinci é uma porcaria.")</f>
        <v>Combinando a opinião / revisão de Gary e Gin Zen, O Código Da Vinci é uma porcaria.</v>
      </c>
      <c r="B9455" s="3">
        <v>0</v>
      </c>
    </row>
    <row r="9456" ht="15.75" customHeight="1" spans="1:2">
      <c r="A9456" s="3" t="str">
        <f>IFERROR(__xludf.DUMMYFUNCTION("GOOGLETRANSLATE(A9456,""en"",""pt"")"),"Código Da Vinci suga ser ...")</f>
        <v>Código Da Vinci suga ser ...</v>
      </c>
      <c r="B9456" s="3">
        <v>0</v>
      </c>
    </row>
    <row r="9457" ht="15.75" customHeight="1" spans="1:2">
      <c r="A9457" s="3" t="str">
        <f>IFERROR(__xludf.DUMMYFUNCTION("GOOGLETRANSLATE(A9457,""en"",""pt"")"),"Código Da Vinci sugado ..")</f>
        <v>Código Da Vinci sugado ..</v>
      </c>
      <c r="B9457" s="3">
        <v>0</v>
      </c>
    </row>
    <row r="9458" ht="15.75" customHeight="1" spans="1:2">
      <c r="A9458" s="3" t="str">
        <f>IFERROR(__xludf.DUMMYFUNCTION("GOOGLETRANSLATE(A9458,""en"",""pt"")"),"O Código Da Vinci chupado grande.")</f>
        <v>O Código Da Vinci chupado grande.</v>
      </c>
      <c r="B9458" s="3">
        <v>0</v>
      </c>
    </row>
    <row r="9459" ht="15.75" customHeight="1" spans="1:2">
      <c r="A9459" s="3" t="str">
        <f>IFERROR(__xludf.DUMMYFUNCTION("GOOGLETRANSLATE(A9459,""en"",""pt"")"),"Código Da Vinci = Cima, Cima, Baixo, Baixo, Esquerda, Direita, Esquerda, Direita, B, A, SUGAM!")</f>
        <v>Código Da Vinci = Cima, Cima, Baixo, Baixo, Esquerda, Direita, Esquerda, Direita, B, A, SUGAM!</v>
      </c>
      <c r="B9459" s="3">
        <v>0</v>
      </c>
    </row>
    <row r="9460" ht="15.75" customHeight="1" spans="1:2">
      <c r="A9460" s="3" t="str">
        <f>IFERROR(__xludf.DUMMYFUNCTION("GOOGLETRANSLATE(A9460,""en"",""pt"")"),"a propósito, o Código Da Vinci sugado, apenas deixando você sabe ...")</f>
        <v>a propósito, o Código Da Vinci sugado, apenas deixando você sabe ...</v>
      </c>
      <c r="B9460" s="3">
        <v>0</v>
      </c>
    </row>
    <row r="9461" ht="15.75" customHeight="1" spans="1:2">
      <c r="A9461" s="3" t="str">
        <f>IFERROR(__xludf.DUMMYFUNCTION("GOOGLETRANSLATE(A9461,""en"",""pt"")"),"eu ouvi Código Da Vinci sugado soo apenas 2,5 estrelas:")</f>
        <v>eu ouvi Código Da Vinci sugado soo apenas 2,5 estrelas:</v>
      </c>
      <c r="B9461" s="3">
        <v>0</v>
      </c>
    </row>
    <row r="9462" ht="15.75" customHeight="1" spans="1:2">
      <c r="A9462" s="3" t="str">
        <f>IFERROR(__xludf.DUMMYFUNCTION("GOOGLETRANSLATE(A9462,""en"",""pt"")"),"Código Da Vinci é uma porcaria ...")</f>
        <v>Código Da Vinci é uma porcaria ...</v>
      </c>
      <c r="B9462" s="3">
        <v>0</v>
      </c>
    </row>
    <row r="9463" ht="15.75" customHeight="1" spans="1:2">
      <c r="A9463" s="3" t="str">
        <f>IFERROR(__xludf.DUMMYFUNCTION("GOOGLETRANSLATE(A9463,""en"",""pt"")"),"Código Da Vinci é uma porcaria.")</f>
        <v>Código Da Vinci é uma porcaria.</v>
      </c>
      <c r="B9463" s="3">
        <v>0</v>
      </c>
    </row>
    <row r="9464" ht="15.75" customHeight="1" spans="1:2">
      <c r="A9464" s="3" t="str">
        <f>IFERROR(__xludf.DUMMYFUNCTION("GOOGLETRANSLATE(A9464,""en"",""pt"")"),"sexta-feira sai com kelsie e fomos e viu O Código Da Vinci SUGADO !!!!!")</f>
        <v>sexta-feira sai com kelsie e fomos e viu O Código Da Vinci SUGADO !!!!!</v>
      </c>
      <c r="B9464" s="3">
        <v>0</v>
      </c>
    </row>
    <row r="9465" ht="15.75" customHeight="1" spans="1:2">
      <c r="A9465" s="3" t="str">
        <f>IFERROR(__xludf.DUMMYFUNCTION("GOOGLETRANSLATE(A9465,""en"",""pt"")"),"Combinando a opinião / revisão de Gary e Gin Zen, O Código Da Vinci é uma porcaria.")</f>
        <v>Combinando a opinião / revisão de Gary e Gin Zen, O Código Da Vinci é uma porcaria.</v>
      </c>
      <c r="B9465" s="3">
        <v>0</v>
      </c>
    </row>
    <row r="9466" ht="15.75" customHeight="1" spans="1:2">
      <c r="A9466" s="3" t="str">
        <f>IFERROR(__xludf.DUMMYFUNCTION("GOOGLETRANSLATE(A9466,""en"",""pt"")"),"Código Da Vinci suga ser ...")</f>
        <v>Código Da Vinci suga ser ...</v>
      </c>
      <c r="B9466" s="3">
        <v>0</v>
      </c>
    </row>
    <row r="9467" ht="15.75" customHeight="1" spans="1:2">
      <c r="A9467" s="3" t="str">
        <f>IFERROR(__xludf.DUMMYFUNCTION("GOOGLETRANSLATE(A9467,""en"",""pt"")"),"Código Da Vinci sugado ..")</f>
        <v>Código Da Vinci sugado ..</v>
      </c>
      <c r="B9467" s="3">
        <v>0</v>
      </c>
    </row>
    <row r="9468" ht="15.75" customHeight="1" spans="1:2">
      <c r="A9468" s="3" t="str">
        <f>IFERROR(__xludf.DUMMYFUNCTION("GOOGLETRANSLATE(A9468,""en"",""pt"")"),"O Código Da Vinci chupado grande.")</f>
        <v>O Código Da Vinci chupado grande.</v>
      </c>
      <c r="B9468" s="3">
        <v>0</v>
      </c>
    </row>
    <row r="9469" ht="15.75" customHeight="1" spans="1:2">
      <c r="A9469" s="3" t="str">
        <f>IFERROR(__xludf.DUMMYFUNCTION("GOOGLETRANSLATE(A9469,""en"",""pt"")"),"Código Da Vinci = Cima, Cima, Baixo, Baixo, Esquerda, Direita, Esquerda, Direita, B, A, SUGAM!")</f>
        <v>Código Da Vinci = Cima, Cima, Baixo, Baixo, Esquerda, Direita, Esquerda, Direita, B, A, SUGAM!</v>
      </c>
      <c r="B9469" s="3">
        <v>0</v>
      </c>
    </row>
    <row r="9470" ht="15.75" customHeight="1" spans="1:2">
      <c r="A9470" s="3" t="str">
        <f>IFERROR(__xludf.DUMMYFUNCTION("GOOGLETRANSLATE(A9470,""en"",""pt"")"),"a propósito, o Código Da Vinci sugado, apenas deixando você sabe ...")</f>
        <v>a propósito, o Código Da Vinci sugado, apenas deixando você sabe ...</v>
      </c>
      <c r="B9470" s="3">
        <v>0</v>
      </c>
    </row>
    <row r="9471" ht="15.75" customHeight="1" spans="1:2">
      <c r="A9471" s="3" t="str">
        <f>IFERROR(__xludf.DUMMYFUNCTION("GOOGLETRANSLATE(A9471,""en"",""pt"")"),"eu ouvi Código Da Vinci sugado soo apenas 2,5 estrelas:")</f>
        <v>eu ouvi Código Da Vinci sugado soo apenas 2,5 estrelas:</v>
      </c>
      <c r="B9471" s="3">
        <v>0</v>
      </c>
    </row>
    <row r="9472" ht="15.75" customHeight="1" spans="1:2">
      <c r="A9472" s="3" t="str">
        <f>IFERROR(__xludf.DUMMYFUNCTION("GOOGLETRANSLATE(A9472,""en"",""pt"")"),"Código Da Vinci é uma porcaria ...")</f>
        <v>Código Da Vinci é uma porcaria ...</v>
      </c>
      <c r="B9472" s="3">
        <v>0</v>
      </c>
    </row>
    <row r="9473" ht="15.75" customHeight="1" spans="1:2">
      <c r="A9473" s="3" t="str">
        <f>IFERROR(__xludf.DUMMYFUNCTION("GOOGLETRANSLATE(A9473,""en"",""pt"")"),"Código Da Vinci é uma porcaria.")</f>
        <v>Código Da Vinci é uma porcaria.</v>
      </c>
      <c r="B9473" s="3">
        <v>0</v>
      </c>
    </row>
    <row r="9474" ht="15.75" customHeight="1" spans="1:2">
      <c r="A9474" s="3" t="str">
        <f>IFERROR(__xludf.DUMMYFUNCTION("GOOGLETRANSLATE(A9474,""en"",""pt"")"),"sexta-feira sai com kelsie e fomos e viu O Código Da Vinci SUGADO !!!!!")</f>
        <v>sexta-feira sai com kelsie e fomos e viu O Código Da Vinci SUGADO !!!!!</v>
      </c>
      <c r="B9474" s="3">
        <v>0</v>
      </c>
    </row>
    <row r="9475" ht="15.75" customHeight="1" spans="1:2">
      <c r="A9475" s="3" t="str">
        <f>IFERROR(__xludf.DUMMYFUNCTION("GOOGLETRANSLATE(A9475,""en"",""pt"")"),"Combinando a opinião / revisão de Gary e Gin Zen, O Código Da Vinci é uma porcaria.")</f>
        <v>Combinando a opinião / revisão de Gary e Gin Zen, O Código Da Vinci é uma porcaria.</v>
      </c>
      <c r="B9475" s="3">
        <v>0</v>
      </c>
    </row>
    <row r="9476" ht="15.75" customHeight="1" spans="1:2">
      <c r="A9476" s="3" t="str">
        <f>IFERROR(__xludf.DUMMYFUNCTION("GOOGLETRANSLATE(A9476,""en"",""pt"")"),"Código Da Vinci suga ser ...")</f>
        <v>Código Da Vinci suga ser ...</v>
      </c>
      <c r="B9476" s="3">
        <v>0</v>
      </c>
    </row>
    <row r="9477" ht="15.75" customHeight="1" spans="1:2">
      <c r="A9477" s="3" t="str">
        <f>IFERROR(__xludf.DUMMYFUNCTION("GOOGLETRANSLATE(A9477,""en"",""pt"")"),"Código Da Vinci sugado ..")</f>
        <v>Código Da Vinci sugado ..</v>
      </c>
      <c r="B9477" s="3">
        <v>0</v>
      </c>
    </row>
    <row r="9478" ht="15.75" customHeight="1" spans="1:2">
      <c r="A9478" s="3" t="str">
        <f>IFERROR(__xludf.DUMMYFUNCTION("GOOGLETRANSLATE(A9478,""en"",""pt"")"),"O Código Da Vinci chupado grande.")</f>
        <v>O Código Da Vinci chupado grande.</v>
      </c>
      <c r="B9478" s="3">
        <v>0</v>
      </c>
    </row>
    <row r="9479" ht="15.75" customHeight="1" spans="1:2">
      <c r="A9479" s="3" t="s">
        <v>38</v>
      </c>
      <c r="B9479" s="3">
        <v>0</v>
      </c>
    </row>
    <row r="9480" ht="15.75" customHeight="1" spans="1:2">
      <c r="A9480" s="3" t="str">
        <f>IFERROR(__xludf.DUMMYFUNCTION("GOOGLETRANSLATE(A9480,""en"",""pt"")"),"a propósito, o Código Da Vinci sugado, apenas deixando você sabe ...")</f>
        <v>a propósito, o Código Da Vinci sugado, apenas deixando você sabe ...</v>
      </c>
      <c r="B9480" s="3">
        <v>0</v>
      </c>
    </row>
    <row r="9481" ht="15.75" customHeight="1" spans="1:2">
      <c r="A9481" s="3" t="str">
        <f>IFERROR(__xludf.DUMMYFUNCTION("GOOGLETRANSLATE(A9481,""en"",""pt"")"),"eu ouvi Código Da Vinci sugado soo apenas 2,5 estrelas:")</f>
        <v>eu ouvi Código Da Vinci sugado soo apenas 2,5 estrelas:</v>
      </c>
      <c r="B9481" s="3">
        <v>0</v>
      </c>
    </row>
    <row r="9482" ht="15.75" customHeight="1" spans="1:2">
      <c r="A9482" s="3" t="str">
        <f>IFERROR(__xludf.DUMMYFUNCTION("GOOGLETRANSLATE(A9482,""en"",""pt"")"),"Código Da Vinci é uma porcaria ...")</f>
        <v>Código Da Vinci é uma porcaria ...</v>
      </c>
      <c r="B9482" s="3">
        <v>0</v>
      </c>
    </row>
    <row r="9483" ht="15.75" customHeight="1" spans="1:2">
      <c r="A9483" s="3" t="str">
        <f>IFERROR(__xludf.DUMMYFUNCTION("GOOGLETRANSLATE(A9483,""en"",""pt"")"),"Código Da Vinci é uma porcaria.")</f>
        <v>Código Da Vinci é uma porcaria.</v>
      </c>
      <c r="B9483" s="3">
        <v>0</v>
      </c>
    </row>
    <row r="9484" ht="15.75" customHeight="1" spans="1:2">
      <c r="A9484" s="3" t="str">
        <f>IFERROR(__xludf.DUMMYFUNCTION("GOOGLETRANSLATE(A9484,""en"",""pt"")"),"sexta-feira sai com kelsie e fomos e viu O Código Da Vinci SUGADO !!!!!")</f>
        <v>sexta-feira sai com kelsie e fomos e viu O Código Da Vinci SUGADO !!!!!</v>
      </c>
      <c r="B9484" s="3">
        <v>0</v>
      </c>
    </row>
    <row r="9485" ht="15.75" customHeight="1" spans="1:2">
      <c r="A9485" s="3" t="str">
        <f>IFERROR(__xludf.DUMMYFUNCTION("GOOGLETRANSLATE(A9485,""en"",""pt"")"),"Combinando a opinião / revisão de Gary e Gin Zen, O Código Da Vinci é uma porcaria.")</f>
        <v>Combinando a opinião / revisão de Gary e Gin Zen, O Código Da Vinci é uma porcaria.</v>
      </c>
      <c r="B9485" s="3">
        <v>0</v>
      </c>
    </row>
    <row r="9486" ht="15.75" customHeight="1" spans="1:2">
      <c r="A9486" s="3" t="str">
        <f>IFERROR(__xludf.DUMMYFUNCTION("GOOGLETRANSLATE(A9486,""en"",""pt"")"),"Código Da Vinci suga ser ...")</f>
        <v>Código Da Vinci suga ser ...</v>
      </c>
      <c r="B9486" s="3">
        <v>0</v>
      </c>
    </row>
    <row r="9487" ht="15.75" customHeight="1" spans="1:2">
      <c r="A9487" s="3" t="str">
        <f>IFERROR(__xludf.DUMMYFUNCTION("GOOGLETRANSLATE(A9487,""en"",""pt"")"),"Código Da Vinci sugado ..")</f>
        <v>Código Da Vinci sugado ..</v>
      </c>
      <c r="B9487" s="3">
        <v>0</v>
      </c>
    </row>
    <row r="9488" ht="15.75" customHeight="1" spans="1:2">
      <c r="A9488" s="3" t="str">
        <f>IFERROR(__xludf.DUMMYFUNCTION("GOOGLETRANSLATE(A9488,""en"",""pt"")"),"O Código Da Vinci chupado grande.")</f>
        <v>O Código Da Vinci chupado grande.</v>
      </c>
      <c r="B9488" s="3">
        <v>0</v>
      </c>
    </row>
    <row r="9489" ht="15.75" customHeight="1" spans="1:2">
      <c r="A9489" s="3" t="str">
        <f>IFERROR(__xludf.DUMMYFUNCTION("GOOGLETRANSLATE(A9489,""en"",""pt"")"),"Código Da Vinci = Cima, Cima, Baixo, Baixo, Esquerda, Direita, Esquerda, Direita, B, A, SUGAM!")</f>
        <v>Código Da Vinci = Cima, Cima, Baixo, Baixo, Esquerda, Direita, Esquerda, Direita, B, A, SUGAM!</v>
      </c>
      <c r="B9489" s="3">
        <v>0</v>
      </c>
    </row>
    <row r="9490" ht="15.75" customHeight="1" spans="1:2">
      <c r="A9490" s="3" t="str">
        <f>IFERROR(__xludf.DUMMYFUNCTION("GOOGLETRANSLATE(A9490,""en"",""pt"")"),"a propósito, o Código Da Vinci sugado, apenas deixando você sabe ...")</f>
        <v>a propósito, o Código Da Vinci sugado, apenas deixando você sabe ...</v>
      </c>
      <c r="B9490" s="3">
        <v>0</v>
      </c>
    </row>
    <row r="9491" ht="15.75" customHeight="1" spans="1:2">
      <c r="A9491" s="3" t="str">
        <f>IFERROR(__xludf.DUMMYFUNCTION("GOOGLETRANSLATE(A9491,""en"",""pt"")"),"eu ouvi Código Da Vinci sugado soo apenas 2,5 estrelas:")</f>
        <v>eu ouvi Código Da Vinci sugado soo apenas 2,5 estrelas:</v>
      </c>
      <c r="B9491" s="3">
        <v>0</v>
      </c>
    </row>
    <row r="9492" ht="15.75" customHeight="1" spans="1:2">
      <c r="A9492" s="3" t="str">
        <f>IFERROR(__xludf.DUMMYFUNCTION("GOOGLETRANSLATE(A9492,""en"",""pt"")"),"Código Da Vinci é uma porcaria ...")</f>
        <v>Código Da Vinci é uma porcaria ...</v>
      </c>
      <c r="B9492" s="3">
        <v>0</v>
      </c>
    </row>
    <row r="9493" ht="15.75" customHeight="1" spans="1:2">
      <c r="A9493" s="3" t="str">
        <f>IFERROR(__xludf.DUMMYFUNCTION("GOOGLETRANSLATE(A9493,""en"",""pt"")"),"Código Da Vinci é uma porcaria.")</f>
        <v>Código Da Vinci é uma porcaria.</v>
      </c>
      <c r="B9493" s="3">
        <v>0</v>
      </c>
    </row>
    <row r="9494" ht="15.75" customHeight="1" spans="1:2">
      <c r="A9494" s="3" t="str">
        <f>IFERROR(__xludf.DUMMYFUNCTION("GOOGLETRANSLATE(A9494,""en"",""pt"")"),"sexta-feira sai com kelsie e fomos e viu O Código Da Vinci SUGADO !!!!!")</f>
        <v>sexta-feira sai com kelsie e fomos e viu O Código Da Vinci SUGADO !!!!!</v>
      </c>
      <c r="B9494" s="3">
        <v>0</v>
      </c>
    </row>
    <row r="9495" ht="15.75" customHeight="1" spans="1:2">
      <c r="A9495" s="3" t="str">
        <f>IFERROR(__xludf.DUMMYFUNCTION("GOOGLETRANSLATE(A9495,""en"",""pt"")"),"Combinando a opinião / revisão de Gary e Gin Zen, O Código Da Vinci é uma porcaria.")</f>
        <v>Combinando a opinião / revisão de Gary e Gin Zen, O Código Da Vinci é uma porcaria.</v>
      </c>
      <c r="B9495" s="3">
        <v>0</v>
      </c>
    </row>
    <row r="9496" ht="15.75" customHeight="1" spans="1:2">
      <c r="A9496" s="3" t="str">
        <f>IFERROR(__xludf.DUMMYFUNCTION("GOOGLETRANSLATE(A9496,""en"",""pt"")"),"Código Da Vinci suga ser ...")</f>
        <v>Código Da Vinci suga ser ...</v>
      </c>
      <c r="B9496" s="3">
        <v>0</v>
      </c>
    </row>
    <row r="9497" ht="15.75" customHeight="1" spans="1:2">
      <c r="A9497" s="3" t="str">
        <f>IFERROR(__xludf.DUMMYFUNCTION("GOOGLETRANSLATE(A9497,""en"",""pt"")"),"Código Da Vinci sugado ..")</f>
        <v>Código Da Vinci sugado ..</v>
      </c>
      <c r="B9497" s="3">
        <v>0</v>
      </c>
    </row>
    <row r="9498" ht="15.75" customHeight="1" spans="1:2">
      <c r="A9498" s="3" t="str">
        <f>IFERROR(__xludf.DUMMYFUNCTION("GOOGLETRANSLATE(A9498,""en"",""pt"")"),"O Código Da Vinci chupado grande.")</f>
        <v>O Código Da Vinci chupado grande.</v>
      </c>
      <c r="B9498" s="3">
        <v>0</v>
      </c>
    </row>
    <row r="9499" ht="15.75" customHeight="1" spans="1:2">
      <c r="A9499" s="3" t="str">
        <f>IFERROR(__xludf.DUMMYFUNCTION("GOOGLETRANSLATE(A9499,""en"",""pt"")"),"Código Da Vinci = Cima, Cima, Baixo, Baixo, Esquerda, Direita, Esquerda, Direita, B, A, SUGAM!")</f>
        <v>Código Da Vinci = Cima, Cima, Baixo, Baixo, Esquerda, Direita, Esquerda, Direita, B, A, SUGAM!</v>
      </c>
      <c r="B9499" s="3">
        <v>0</v>
      </c>
    </row>
    <row r="9500" ht="15.75" customHeight="1" spans="1:2">
      <c r="A9500" s="3" t="str">
        <f>IFERROR(__xludf.DUMMYFUNCTION("GOOGLETRANSLATE(A9500,""en"",""pt"")"),"a propósito, o Código Da Vinci sugado, apenas deixando você sabe ...")</f>
        <v>a propósito, o Código Da Vinci sugado, apenas deixando você sabe ...</v>
      </c>
      <c r="B9500" s="3">
        <v>0</v>
      </c>
    </row>
    <row r="9501" ht="15.75" customHeight="1" spans="1:2">
      <c r="A9501" s="3" t="str">
        <f>IFERROR(__xludf.DUMMYFUNCTION("GOOGLETRANSLATE(A9501,""en"",""pt"")"),"eu ouvi Código Da Vinci sugado soo apenas 2,5 estrelas:")</f>
        <v>eu ouvi Código Da Vinci sugado soo apenas 2,5 estrelas:</v>
      </c>
      <c r="B9501" s="3">
        <v>0</v>
      </c>
    </row>
    <row r="9502" ht="15.75" customHeight="1" spans="1:2">
      <c r="A9502" s="3" t="str">
        <f>IFERROR(__xludf.DUMMYFUNCTION("GOOGLETRANSLATE(A9502,""en"",""pt"")"),"Código Da Vinci é uma porcaria ...")</f>
        <v>Código Da Vinci é uma porcaria ...</v>
      </c>
      <c r="B9502" s="3">
        <v>0</v>
      </c>
    </row>
    <row r="9503" ht="15.75" customHeight="1" spans="1:2">
      <c r="A9503" s="3" t="str">
        <f>IFERROR(__xludf.DUMMYFUNCTION("GOOGLETRANSLATE(A9503,""en"",""pt"")"),"Código Da Vinci é uma porcaria.")</f>
        <v>Código Da Vinci é uma porcaria.</v>
      </c>
      <c r="B9503" s="3">
        <v>0</v>
      </c>
    </row>
    <row r="9504" ht="15.75" customHeight="1" spans="1:2">
      <c r="A9504" s="3" t="str">
        <f>IFERROR(__xludf.DUMMYFUNCTION("GOOGLETRANSLATE(A9504,""en"",""pt"")"),"sexta-feira sai com kelsie e fomos e viu O Código Da Vinci SUGADO !!!!!")</f>
        <v>sexta-feira sai com kelsie e fomos e viu O Código Da Vinci SUGADO !!!!!</v>
      </c>
      <c r="B9504" s="3">
        <v>0</v>
      </c>
    </row>
    <row r="9505" ht="15.75" customHeight="1" spans="1:2">
      <c r="A9505" s="3" t="str">
        <f>IFERROR(__xludf.DUMMYFUNCTION("GOOGLETRANSLATE(A9505,""en"",""pt"")"),"Combinando a opinião / revisão de Gary e Gin Zen, O Código Da Vinci é uma porcaria.")</f>
        <v>Combinando a opinião / revisão de Gary e Gin Zen, O Código Da Vinci é uma porcaria.</v>
      </c>
      <c r="B9505" s="3">
        <v>0</v>
      </c>
    </row>
    <row r="9506" ht="15.75" customHeight="1" spans="1:2">
      <c r="A9506" s="3" t="str">
        <f>IFERROR(__xludf.DUMMYFUNCTION("GOOGLETRANSLATE(A9506,""en"",""pt"")"),"Código Da Vinci suga ser ...")</f>
        <v>Código Da Vinci suga ser ...</v>
      </c>
      <c r="B9506" s="3">
        <v>0</v>
      </c>
    </row>
    <row r="9507" ht="15.75" customHeight="1" spans="1:2">
      <c r="A9507" s="3" t="str">
        <f>IFERROR(__xludf.DUMMYFUNCTION("GOOGLETRANSLATE(A9507,""en"",""pt"")"),"Código Da Vinci sugado ..")</f>
        <v>Código Da Vinci sugado ..</v>
      </c>
      <c r="B9507" s="3">
        <v>0</v>
      </c>
    </row>
    <row r="9508" ht="15.75" customHeight="1" spans="1:2">
      <c r="A9508" s="3" t="str">
        <f>IFERROR(__xludf.DUMMYFUNCTION("GOOGLETRANSLATE(A9508,""en"",""pt"")"),"O Código Da Vinci chupado grande.")</f>
        <v>O Código Da Vinci chupado grande.</v>
      </c>
      <c r="B9508" s="3">
        <v>0</v>
      </c>
    </row>
    <row r="9509" ht="15.75" customHeight="1" spans="1:2">
      <c r="A9509" s="3" t="s">
        <v>38</v>
      </c>
      <c r="B9509" s="3">
        <v>0</v>
      </c>
    </row>
    <row r="9510" ht="15.75" customHeight="1" spans="1:2">
      <c r="A9510" s="3" t="str">
        <f>IFERROR(__xludf.DUMMYFUNCTION("GOOGLETRANSLATE(A9510,""en"",""pt"")"),"a propósito, o Código Da Vinci sugado, apenas deixando você sabe ...")</f>
        <v>a propósito, o Código Da Vinci sugado, apenas deixando você sabe ...</v>
      </c>
      <c r="B9510" s="3">
        <v>0</v>
      </c>
    </row>
    <row r="9511" ht="15.75" customHeight="1" spans="1:2">
      <c r="A9511" s="3" t="str">
        <f>IFERROR(__xludf.DUMMYFUNCTION("GOOGLETRANSLATE(A9511,""en"",""pt"")"),"eu ouvi Código Da Vinci sugado soo apenas 2,5 estrelas:")</f>
        <v>eu ouvi Código Da Vinci sugado soo apenas 2,5 estrelas:</v>
      </c>
      <c r="B9511" s="3">
        <v>0</v>
      </c>
    </row>
    <row r="9512" ht="15.75" customHeight="1" spans="1:2">
      <c r="A9512" s="3" t="str">
        <f>IFERROR(__xludf.DUMMYFUNCTION("GOOGLETRANSLATE(A9512,""en"",""pt"")"),"Código Da Vinci é uma porcaria ...")</f>
        <v>Código Da Vinci é uma porcaria ...</v>
      </c>
      <c r="B9512" s="3">
        <v>0</v>
      </c>
    </row>
    <row r="9513" ht="15.75" customHeight="1" spans="1:2">
      <c r="A9513" s="3" t="str">
        <f>IFERROR(__xludf.DUMMYFUNCTION("GOOGLETRANSLATE(A9513,""en"",""pt"")"),"Código Da Vinci é uma porcaria.")</f>
        <v>Código Da Vinci é uma porcaria.</v>
      </c>
      <c r="B9513" s="3">
        <v>0</v>
      </c>
    </row>
    <row r="9514" ht="15.75" customHeight="1" spans="1:2">
      <c r="A9514" s="3" t="str">
        <f>IFERROR(__xludf.DUMMYFUNCTION("GOOGLETRANSLATE(A9514,""en"",""pt"")"),"sexta-feira sai com kelsie e fomos e viu O Código Da Vinci SUGADO !!!!!")</f>
        <v>sexta-feira sai com kelsie e fomos e viu O Código Da Vinci SUGADO !!!!!</v>
      </c>
      <c r="B9514" s="3">
        <v>0</v>
      </c>
    </row>
    <row r="9515" ht="15.75" customHeight="1" spans="1:2">
      <c r="A9515" s="3" t="str">
        <f>IFERROR(__xludf.DUMMYFUNCTION("GOOGLETRANSLATE(A9515,""en"",""pt"")"),"Combinando a opinião / revisão de Gary e Gin Zen, O Código Da Vinci é uma porcaria.")</f>
        <v>Combinando a opinião / revisão de Gary e Gin Zen, O Código Da Vinci é uma porcaria.</v>
      </c>
      <c r="B9515" s="3">
        <v>0</v>
      </c>
    </row>
    <row r="9516" ht="15.75" customHeight="1" spans="1:2">
      <c r="A9516" s="3" t="str">
        <f>IFERROR(__xludf.DUMMYFUNCTION("GOOGLETRANSLATE(A9516,""en"",""pt"")"),"Código Da Vinci suga ser ...")</f>
        <v>Código Da Vinci suga ser ...</v>
      </c>
      <c r="B9516" s="3">
        <v>0</v>
      </c>
    </row>
    <row r="9517" ht="15.75" customHeight="1" spans="1:2">
      <c r="A9517" s="3" t="str">
        <f>IFERROR(__xludf.DUMMYFUNCTION("GOOGLETRANSLATE(A9517,""en"",""pt"")"),"Código Da Vinci sugado ..")</f>
        <v>Código Da Vinci sugado ..</v>
      </c>
      <c r="B9517" s="3">
        <v>0</v>
      </c>
    </row>
    <row r="9518" ht="15.75" customHeight="1" spans="1:2">
      <c r="A9518" s="3" t="str">
        <f>IFERROR(__xludf.DUMMYFUNCTION("GOOGLETRANSLATE(A9518,""en"",""pt"")"),"O Código Da Vinci chupado grande.")</f>
        <v>O Código Da Vinci chupado grande.</v>
      </c>
      <c r="B9518" s="3">
        <v>0</v>
      </c>
    </row>
    <row r="9519" ht="15.75" customHeight="1" spans="1:2">
      <c r="A9519" s="3" t="str">
        <f>IFERROR(__xludf.DUMMYFUNCTION("GOOGLETRANSLATE(A9519,""en"",""pt"")"),"Código Da Vinci = Cima, Cima, Baixo, Baixo, Esquerda, Direita, Esquerda, Direita, B, A, SUGAM!")</f>
        <v>Código Da Vinci = Cima, Cima, Baixo, Baixo, Esquerda, Direita, Esquerda, Direita, B, A, SUGAM!</v>
      </c>
      <c r="B9519" s="3">
        <v>0</v>
      </c>
    </row>
    <row r="9520" ht="15.75" customHeight="1" spans="1:2">
      <c r="A9520" s="3" t="str">
        <f>IFERROR(__xludf.DUMMYFUNCTION("GOOGLETRANSLATE(A9520,""en"",""pt"")"),"a propósito, o Código Da Vinci sugado, apenas deixando você sabe ...")</f>
        <v>a propósito, o Código Da Vinci sugado, apenas deixando você sabe ...</v>
      </c>
      <c r="B9520" s="3">
        <v>0</v>
      </c>
    </row>
    <row r="9521" ht="15.75" customHeight="1" spans="1:2">
      <c r="A9521" s="3" t="str">
        <f>IFERROR(__xludf.DUMMYFUNCTION("GOOGLETRANSLATE(A9521,""en"",""pt"")"),"eu ouvi Código Da Vinci sugado soo apenas 2,5 estrelas:")</f>
        <v>eu ouvi Código Da Vinci sugado soo apenas 2,5 estrelas:</v>
      </c>
      <c r="B9521" s="3">
        <v>0</v>
      </c>
    </row>
    <row r="9522" ht="15.75" customHeight="1" spans="1:2">
      <c r="A9522" s="3" t="s">
        <v>40</v>
      </c>
      <c r="B9522" s="3">
        <v>0</v>
      </c>
    </row>
    <row r="9523" ht="15.75" customHeight="1" spans="1:2">
      <c r="A9523" s="3" t="str">
        <f>IFERROR(__xludf.DUMMYFUNCTION("GOOGLETRANSLATE(A9523,""en"",""pt"")"),"Código Da Vinci é uma porcaria.")</f>
        <v>Código Da Vinci é uma porcaria.</v>
      </c>
      <c r="B9523" s="3">
        <v>0</v>
      </c>
    </row>
    <row r="9524" ht="15.75" customHeight="1" spans="1:2">
      <c r="A9524" s="3" t="str">
        <f>IFERROR(__xludf.DUMMYFUNCTION("GOOGLETRANSLATE(A9524,""en"",""pt"")"),"sexta-feira sai com kelsie e fomos e viu O Código Da Vinci SUGADO !!!!!")</f>
        <v>sexta-feira sai com kelsie e fomos e viu O Código Da Vinci SUGADO !!!!!</v>
      </c>
      <c r="B9524" s="3">
        <v>0</v>
      </c>
    </row>
    <row r="9525" ht="15.75" customHeight="1" spans="1:2">
      <c r="A9525" s="3" t="str">
        <f>IFERROR(__xludf.DUMMYFUNCTION("GOOGLETRANSLATE(A9525,""en"",""pt"")"),"Combinando a opinião / revisão de Gary e Gin Zen, O Código Da Vinci é uma porcaria.")</f>
        <v>Combinando a opinião / revisão de Gary e Gin Zen, O Código Da Vinci é uma porcaria.</v>
      </c>
      <c r="B9525" s="3">
        <v>0</v>
      </c>
    </row>
    <row r="9526" ht="15.75" customHeight="1" spans="1:2">
      <c r="A9526" s="3" t="str">
        <f>IFERROR(__xludf.DUMMYFUNCTION("GOOGLETRANSLATE(A9526,""en"",""pt"")"),"Código Da Vinci suga ser ...")</f>
        <v>Código Da Vinci suga ser ...</v>
      </c>
      <c r="B9526" s="3">
        <v>0</v>
      </c>
    </row>
    <row r="9527" ht="15.75" customHeight="1" spans="1:2">
      <c r="A9527" s="3" t="str">
        <f>IFERROR(__xludf.DUMMYFUNCTION("GOOGLETRANSLATE(A9527,""en"",""pt"")"),"Código Da Vinci sugado ..")</f>
        <v>Código Da Vinci sugado ..</v>
      </c>
      <c r="B9527" s="3">
        <v>0</v>
      </c>
    </row>
    <row r="9528" ht="15.75" customHeight="1" spans="1:2">
      <c r="A9528" s="3" t="str">
        <f>IFERROR(__xludf.DUMMYFUNCTION("GOOGLETRANSLATE(A9528,""en"",""pt"")"),"O Código Da Vinci chupado grande.")</f>
        <v>O Código Da Vinci chupado grande.</v>
      </c>
      <c r="B9528" s="3">
        <v>0</v>
      </c>
    </row>
    <row r="9529" ht="15.75" customHeight="1" spans="1:2">
      <c r="A9529" s="3" t="str">
        <f>IFERROR(__xludf.DUMMYFUNCTION("GOOGLETRANSLATE(A9529,""en"",""pt"")"),"Código Da Vinci = Cima, Cima, Baixo, Baixo, Esquerda, Direita, Esquerda, Direita, B, A, SUGAM!")</f>
        <v>Código Da Vinci = Cima, Cima, Baixo, Baixo, Esquerda, Direita, Esquerda, Direita, B, A, SUGAM!</v>
      </c>
      <c r="B9529" s="3">
        <v>0</v>
      </c>
    </row>
    <row r="9530" ht="15.75" customHeight="1" spans="1:2">
      <c r="A9530" s="3" t="str">
        <f>IFERROR(__xludf.DUMMYFUNCTION("GOOGLETRANSLATE(A9530,""en"",""pt"")"),"a propósito, o Código Da Vinci sugado, apenas deixando você sabe ...")</f>
        <v>a propósito, o Código Da Vinci sugado, apenas deixando você sabe ...</v>
      </c>
      <c r="B9530" s="3">
        <v>0</v>
      </c>
    </row>
    <row r="9531" ht="15.75" customHeight="1" spans="1:2">
      <c r="A9531" s="3" t="s">
        <v>41</v>
      </c>
      <c r="B9531" s="3">
        <v>0</v>
      </c>
    </row>
    <row r="9532" ht="15.75" customHeight="1" spans="1:2">
      <c r="A9532" s="3" t="str">
        <f>IFERROR(__xludf.DUMMYFUNCTION("GOOGLETRANSLATE(A9532,""en"",""pt"")"),"Código Da Vinci é uma porcaria ...")</f>
        <v>Código Da Vinci é uma porcaria ...</v>
      </c>
      <c r="B9532" s="3">
        <v>0</v>
      </c>
    </row>
    <row r="9533" ht="15.75" customHeight="1" spans="1:2">
      <c r="A9533" s="3" t="str">
        <f>IFERROR(__xludf.DUMMYFUNCTION("GOOGLETRANSLATE(A9533,""en"",""pt"")"),"Código Da Vinci é uma porcaria.")</f>
        <v>Código Da Vinci é uma porcaria.</v>
      </c>
      <c r="B9533" s="3">
        <v>0</v>
      </c>
    </row>
    <row r="9534" ht="15.75" customHeight="1" spans="1:2">
      <c r="A9534" s="3" t="str">
        <f>IFERROR(__xludf.DUMMYFUNCTION("GOOGLETRANSLATE(A9534,""en"",""pt"")"),"sexta-feira sai com kelsie e fomos e viu O Código Da Vinci SUGADO !!!!!")</f>
        <v>sexta-feira sai com kelsie e fomos e viu O Código Da Vinci SUGADO !!!!!</v>
      </c>
      <c r="B9534" s="3">
        <v>0</v>
      </c>
    </row>
    <row r="9535" ht="15.75" customHeight="1" spans="1:2">
      <c r="A9535" s="3" t="str">
        <f>IFERROR(__xludf.DUMMYFUNCTION("GOOGLETRANSLATE(A9535,""en"",""pt"")"),"Combinando a opinião / revisão de Gary e Gin Zen, O Código Da Vinci é uma porcaria.")</f>
        <v>Combinando a opinião / revisão de Gary e Gin Zen, O Código Da Vinci é uma porcaria.</v>
      </c>
      <c r="B9535" s="3">
        <v>0</v>
      </c>
    </row>
    <row r="9536" ht="15.75" customHeight="1" spans="1:2">
      <c r="A9536" s="3" t="str">
        <f>IFERROR(__xludf.DUMMYFUNCTION("GOOGLETRANSLATE(A9536,""en"",""pt"")"),"Código Da Vinci suga ser ...")</f>
        <v>Código Da Vinci suga ser ...</v>
      </c>
      <c r="B9536" s="3">
        <v>0</v>
      </c>
    </row>
    <row r="9537" ht="15.75" customHeight="1" spans="1:2">
      <c r="A9537" s="3" t="str">
        <f>IFERROR(__xludf.DUMMYFUNCTION("GOOGLETRANSLATE(A9537,""en"",""pt"")"),"Código Da Vinci sugado ..")</f>
        <v>Código Da Vinci sugado ..</v>
      </c>
      <c r="B9537" s="3">
        <v>0</v>
      </c>
    </row>
    <row r="9538" ht="15.75" customHeight="1" spans="1:2">
      <c r="A9538" s="3" t="str">
        <f>IFERROR(__xludf.DUMMYFUNCTION("GOOGLETRANSLATE(A9538,""en"",""pt"")"),"O Código Da Vinci chupado grande.")</f>
        <v>O Código Da Vinci chupado grande.</v>
      </c>
      <c r="B9538" s="3">
        <v>0</v>
      </c>
    </row>
    <row r="9539" ht="15.75" customHeight="1" spans="1:2">
      <c r="A9539" s="3" t="str">
        <f>IFERROR(__xludf.DUMMYFUNCTION("GOOGLETRANSLATE(A9539,""en"",""pt"")"),"Código Da Vinci = Cima, Cima, Baixo, Baixo, Esquerda, Direita, Esquerda, Direita, B, A, SUGAM!")</f>
        <v>Código Da Vinci = Cima, Cima, Baixo, Baixo, Esquerda, Direita, Esquerda, Direita, B, A, SUGAM!</v>
      </c>
      <c r="B9539" s="3">
        <v>0</v>
      </c>
    </row>
    <row r="9540" ht="15.75" customHeight="1" spans="1:2">
      <c r="A9540" s="3" t="str">
        <f>IFERROR(__xludf.DUMMYFUNCTION("GOOGLETRANSLATE(A9540,""en"",""pt"")"),"a propósito, o Código Da Vinci sugado, apenas deixando você sabe ...")</f>
        <v>a propósito, o Código Da Vinci sugado, apenas deixando você sabe ...</v>
      </c>
      <c r="B9540" s="3">
        <v>0</v>
      </c>
    </row>
    <row r="9541" ht="15.75" customHeight="1" spans="1:2">
      <c r="A9541" s="3" t="str">
        <f>IFERROR(__xludf.DUMMYFUNCTION("GOOGLETRANSLATE(A9541,""en"",""pt"")"),"eu ouvi Código Da Vinci sugado soo apenas 2,5 estrelas:")</f>
        <v>eu ouvi Código Da Vinci sugado soo apenas 2,5 estrelas:</v>
      </c>
      <c r="B9541" s="3">
        <v>0</v>
      </c>
    </row>
    <row r="9542" ht="15.75" customHeight="1" spans="1:2">
      <c r="A9542" s="3" t="str">
        <f>IFERROR(__xludf.DUMMYFUNCTION("GOOGLETRANSLATE(A9542,""en"",""pt"")"),"Código Da Vinci é uma porcaria ...")</f>
        <v>Código Da Vinci é uma porcaria ...</v>
      </c>
      <c r="B9542" s="3">
        <v>0</v>
      </c>
    </row>
    <row r="9543" ht="15.75" customHeight="1" spans="1:2">
      <c r="A9543" s="3" t="str">
        <f>IFERROR(__xludf.DUMMYFUNCTION("GOOGLETRANSLATE(A9543,""en"",""pt"")"),"Código Da Vinci é uma porcaria.")</f>
        <v>Código Da Vinci é uma porcaria.</v>
      </c>
      <c r="B9543" s="3">
        <v>0</v>
      </c>
    </row>
    <row r="9544" ht="15.75" customHeight="1" spans="1:2">
      <c r="A9544" s="3" t="str">
        <f>IFERROR(__xludf.DUMMYFUNCTION("GOOGLETRANSLATE(A9544,""en"",""pt"")"),"sexta-feira sai com kelsie e fomos e viu O Código Da Vinci SUGADO !!!!!")</f>
        <v>sexta-feira sai com kelsie e fomos e viu O Código Da Vinci SUGADO !!!!!</v>
      </c>
      <c r="B9544" s="3">
        <v>0</v>
      </c>
    </row>
    <row r="9545" ht="15.75" customHeight="1" spans="1:2">
      <c r="A9545" s="3" t="str">
        <f>IFERROR(__xludf.DUMMYFUNCTION("GOOGLETRANSLATE(A9545,""en"",""pt"")"),"Combinando a opinião / revisão de Gary e Gin Zen, O Código Da Vinci é uma porcaria.")</f>
        <v>Combinando a opinião / revisão de Gary e Gin Zen, O Código Da Vinci é uma porcaria.</v>
      </c>
      <c r="B9545" s="3">
        <v>0</v>
      </c>
    </row>
    <row r="9546" ht="15.75" customHeight="1" spans="1:2">
      <c r="A9546" s="3" t="str">
        <f>IFERROR(__xludf.DUMMYFUNCTION("GOOGLETRANSLATE(A9546,""en"",""pt"")"),"Código Da Vinci suga ser ...")</f>
        <v>Código Da Vinci suga ser ...</v>
      </c>
      <c r="B9546" s="3">
        <v>0</v>
      </c>
    </row>
    <row r="9547" ht="15.75" customHeight="1" spans="1:2">
      <c r="A9547" s="3" t="str">
        <f>IFERROR(__xludf.DUMMYFUNCTION("GOOGLETRANSLATE(A9547,""en"",""pt"")"),"Código Da Vinci sugado ..")</f>
        <v>Código Da Vinci sugado ..</v>
      </c>
      <c r="B9547" s="3">
        <v>0</v>
      </c>
    </row>
    <row r="9548" ht="15.75" customHeight="1" spans="1:2">
      <c r="A9548" s="3" t="str">
        <f>IFERROR(__xludf.DUMMYFUNCTION("GOOGLETRANSLATE(A9548,""en"",""pt"")"),"O Código Da Vinci chupado grande.")</f>
        <v>O Código Da Vinci chupado grande.</v>
      </c>
      <c r="B9548" s="3">
        <v>0</v>
      </c>
    </row>
    <row r="9549" ht="15.75" customHeight="1" spans="1:2">
      <c r="A9549" s="3" t="str">
        <f>IFERROR(__xludf.DUMMYFUNCTION("GOOGLETRANSLATE(A9549,""en"",""pt"")"),"Código Da Vinci = Cima, Cima, Baixo, Baixo, Esquerda, Direita, Esquerda, Direita, B, A, SUGAM!")</f>
        <v>Código Da Vinci = Cima, Cima, Baixo, Baixo, Esquerda, Direita, Esquerda, Direita, B, A, SUGAM!</v>
      </c>
      <c r="B9549" s="3">
        <v>0</v>
      </c>
    </row>
    <row r="9550" ht="15.75" customHeight="1" spans="1:2">
      <c r="A9550" s="3" t="str">
        <f>IFERROR(__xludf.DUMMYFUNCTION("GOOGLETRANSLATE(A9550,""en"",""pt"")"),"a propósito, o Código Da Vinci sugado, apenas deixando você sabe ...")</f>
        <v>a propósito, o Código Da Vinci sugado, apenas deixando você sabe ...</v>
      </c>
      <c r="B9550" s="3">
        <v>0</v>
      </c>
    </row>
    <row r="9551" ht="15.75" customHeight="1" spans="1:2">
      <c r="A9551" s="3" t="str">
        <f>IFERROR(__xludf.DUMMYFUNCTION("GOOGLETRANSLATE(A9551,""en"",""pt"")"),"eu ouvi Código Da Vinci sugado soo apenas 2,5 estrelas:")</f>
        <v>eu ouvi Código Da Vinci sugado soo apenas 2,5 estrelas:</v>
      </c>
      <c r="B9551" s="3">
        <v>0</v>
      </c>
    </row>
    <row r="9552" ht="15.75" customHeight="1" spans="1:2">
      <c r="A9552" s="3" t="str">
        <f>IFERROR(__xludf.DUMMYFUNCTION("GOOGLETRANSLATE(A9552,""en"",""pt"")"),"Código Da Vinci é uma porcaria ...")</f>
        <v>Código Da Vinci é uma porcaria ...</v>
      </c>
      <c r="B9552" s="3">
        <v>0</v>
      </c>
    </row>
    <row r="9553" ht="15.75" customHeight="1" spans="1:2">
      <c r="A9553" s="3" t="str">
        <f>IFERROR(__xludf.DUMMYFUNCTION("GOOGLETRANSLATE(A9553,""en"",""pt"")"),"Código Da Vinci é uma porcaria.")</f>
        <v>Código Da Vinci é uma porcaria.</v>
      </c>
      <c r="B9553" s="3">
        <v>0</v>
      </c>
    </row>
    <row r="9554" ht="15.75" customHeight="1" spans="1:2">
      <c r="A9554" s="3" t="str">
        <f>IFERROR(__xludf.DUMMYFUNCTION("GOOGLETRANSLATE(A9554,""en"",""pt"")"),"sexta-feira sai com kelsie e fomos e viu O Código Da Vinci SUGADO !!!!!")</f>
        <v>sexta-feira sai com kelsie e fomos e viu O Código Da Vinci SUGADO !!!!!</v>
      </c>
      <c r="B9554" s="3">
        <v>0</v>
      </c>
    </row>
    <row r="9555" ht="15.75" customHeight="1" spans="1:2">
      <c r="A9555" s="3" t="str">
        <f>IFERROR(__xludf.DUMMYFUNCTION("GOOGLETRANSLATE(A9555,""en"",""pt"")"),"Combinando a opinião / revisão de Gary e Gin Zen, O Código Da Vinci é uma porcaria.")</f>
        <v>Combinando a opinião / revisão de Gary e Gin Zen, O Código Da Vinci é uma porcaria.</v>
      </c>
      <c r="B9555" s="3">
        <v>0</v>
      </c>
    </row>
    <row r="9556" ht="15.75" customHeight="1" spans="1:2">
      <c r="A9556" s="3" t="str">
        <f>IFERROR(__xludf.DUMMYFUNCTION("GOOGLETRANSLATE(A9556,""en"",""pt"")"),"Código Da Vinci suga ser ...")</f>
        <v>Código Da Vinci suga ser ...</v>
      </c>
      <c r="B9556" s="3">
        <v>0</v>
      </c>
    </row>
    <row r="9557" ht="15.75" customHeight="1" spans="1:2">
      <c r="A9557" s="3" t="str">
        <f>IFERROR(__xludf.DUMMYFUNCTION("GOOGLETRANSLATE(A9557,""en"",""pt"")"),"Código Da Vinci sugado ..")</f>
        <v>Código Da Vinci sugado ..</v>
      </c>
      <c r="B9557" s="3">
        <v>0</v>
      </c>
    </row>
    <row r="9558" ht="15.75" customHeight="1" spans="1:2">
      <c r="A9558" s="3" t="str">
        <f>IFERROR(__xludf.DUMMYFUNCTION("GOOGLETRANSLATE(A9558,""en"",""pt"")"),"O Código Da Vinci chupado grande.")</f>
        <v>O Código Da Vinci chupado grande.</v>
      </c>
      <c r="B9558" s="3">
        <v>0</v>
      </c>
    </row>
    <row r="9559" ht="15.75" customHeight="1" spans="1:2">
      <c r="A9559" s="3" t="str">
        <f>IFERROR(__xludf.DUMMYFUNCTION("GOOGLETRANSLATE(A9559,""en"",""pt"")"),"Código Da Vinci = Cima, Cima, Baixo, Baixo, Esquerda, Direita, Esquerda, Direita, B, A, SUGAM!")</f>
        <v>Código Da Vinci = Cima, Cima, Baixo, Baixo, Esquerda, Direita, Esquerda, Direita, B, A, SUGAM!</v>
      </c>
      <c r="B9559" s="3">
        <v>0</v>
      </c>
    </row>
    <row r="9560" ht="15.75" customHeight="1" spans="1:2">
      <c r="A9560" s="3" t="str">
        <f>IFERROR(__xludf.DUMMYFUNCTION("GOOGLETRANSLATE(A9560,""en"",""pt"")"),"a propósito, o Código Da Vinci sugado, apenas deixando você sabe ...")</f>
        <v>a propósito, o Código Da Vinci sugado, apenas deixando você sabe ...</v>
      </c>
      <c r="B9560" s="3">
        <v>0</v>
      </c>
    </row>
    <row r="9561" ht="15.75" customHeight="1" spans="1:2">
      <c r="A9561" s="3" t="str">
        <f>IFERROR(__xludf.DUMMYFUNCTION("GOOGLETRANSLATE(A9561,""en"",""pt"")"),"eu ouvi Código Da Vinci sugado soo apenas 2,5 estrelas:")</f>
        <v>eu ouvi Código Da Vinci sugado soo apenas 2,5 estrelas:</v>
      </c>
      <c r="B9561" s="3">
        <v>0</v>
      </c>
    </row>
    <row r="9562" ht="15.75" customHeight="1" spans="1:2">
      <c r="A9562" s="3" t="str">
        <f>IFERROR(__xludf.DUMMYFUNCTION("GOOGLETRANSLATE(A9562,""en"",""pt"")"),"Código Da Vinci é uma porcaria ...")</f>
        <v>Código Da Vinci é uma porcaria ...</v>
      </c>
      <c r="B9562" s="3">
        <v>0</v>
      </c>
    </row>
    <row r="9563" ht="15.75" customHeight="1" spans="1:2">
      <c r="A9563" s="3" t="str">
        <f>IFERROR(__xludf.DUMMYFUNCTION("GOOGLETRANSLATE(A9563,""en"",""pt"")"),"Código Da Vinci é uma porcaria.")</f>
        <v>Código Da Vinci é uma porcaria.</v>
      </c>
      <c r="B9563" s="3">
        <v>0</v>
      </c>
    </row>
    <row r="9564" ht="15.75" customHeight="1" spans="1:2">
      <c r="A9564" s="3" t="str">
        <f>IFERROR(__xludf.DUMMYFUNCTION("GOOGLETRANSLATE(A9564,""en"",""pt"")"),"sexta-feira sai com kelsie e fomos e viu O Código Da Vinci SUGADO !!!!!")</f>
        <v>sexta-feira sai com kelsie e fomos e viu O Código Da Vinci SUGADO !!!!!</v>
      </c>
      <c r="B9564" s="3">
        <v>0</v>
      </c>
    </row>
    <row r="9565" ht="15.75" customHeight="1" spans="1:2">
      <c r="A9565" s="3" t="str">
        <f>IFERROR(__xludf.DUMMYFUNCTION("GOOGLETRANSLATE(A9565,""en"",""pt"")"),"Combinando a opinião / revisão de Gary e Gin Zen, O Código Da Vinci é uma porcaria.")</f>
        <v>Combinando a opinião / revisão de Gary e Gin Zen, O Código Da Vinci é uma porcaria.</v>
      </c>
      <c r="B9565" s="3">
        <v>0</v>
      </c>
    </row>
    <row r="9566" ht="15.75" customHeight="1" spans="1:2">
      <c r="A9566" s="3" t="str">
        <f>IFERROR(__xludf.DUMMYFUNCTION("GOOGLETRANSLATE(A9566,""en"",""pt"")"),"Código Da Vinci suga ser ...")</f>
        <v>Código Da Vinci suga ser ...</v>
      </c>
      <c r="B9566" s="3">
        <v>0</v>
      </c>
    </row>
    <row r="9567" ht="15.75" customHeight="1" spans="1:2">
      <c r="A9567" s="3" t="str">
        <f>IFERROR(__xludf.DUMMYFUNCTION("GOOGLETRANSLATE(A9567,""en"",""pt"")"),"Código Da Vinci sugado ..")</f>
        <v>Código Da Vinci sugado ..</v>
      </c>
      <c r="B9567" s="3">
        <v>0</v>
      </c>
    </row>
    <row r="9568" ht="15.75" customHeight="1" spans="1:2">
      <c r="A9568" s="3" t="str">
        <f>IFERROR(__xludf.DUMMYFUNCTION("GOOGLETRANSLATE(A9568,""en"",""pt"")"),"O Código Da Vinci chupado grande.")</f>
        <v>O Código Da Vinci chupado grande.</v>
      </c>
      <c r="B9568" s="3">
        <v>0</v>
      </c>
    </row>
    <row r="9569" ht="15.75" customHeight="1" spans="1:2">
      <c r="A9569" s="3" t="str">
        <f>IFERROR(__xludf.DUMMYFUNCTION("GOOGLETRANSLATE(A9569,""en"",""pt"")"),"Código Da Vinci = Cima, Cima, Baixo, Baixo, Esquerda, Direita, Esquerda, Direita, B, A, SUGAM!")</f>
        <v>Código Da Vinci = Cima, Cima, Baixo, Baixo, Esquerda, Direita, Esquerda, Direita, B, A, SUGAM!</v>
      </c>
      <c r="B9569" s="3">
        <v>0</v>
      </c>
    </row>
    <row r="9570" ht="15.75" customHeight="1" spans="1:2">
      <c r="A9570" s="3" t="str">
        <f>IFERROR(__xludf.DUMMYFUNCTION("GOOGLETRANSLATE(A9570,""en"",""pt"")"),"a propósito, o Código Da Vinci sugado, apenas deixando você sabe ...")</f>
        <v>a propósito, o Código Da Vinci sugado, apenas deixando você sabe ...</v>
      </c>
      <c r="B9570" s="3">
        <v>0</v>
      </c>
    </row>
    <row r="9571" ht="15.75" customHeight="1" spans="1:2">
      <c r="A9571" s="3" t="str">
        <f>IFERROR(__xludf.DUMMYFUNCTION("GOOGLETRANSLATE(A9571,""en"",""pt"")"),"eu ouvi Código Da Vinci sugado soo apenas 2,5 estrelas:")</f>
        <v>eu ouvi Código Da Vinci sugado soo apenas 2,5 estrelas:</v>
      </c>
      <c r="B9571" s="3">
        <v>0</v>
      </c>
    </row>
    <row r="9572" ht="15.75" customHeight="1" spans="1:2">
      <c r="A9572" s="3" t="str">
        <f>IFERROR(__xludf.DUMMYFUNCTION("GOOGLETRANSLATE(A9572,""en"",""pt"")"),"Código Da Vinci é uma porcaria ...")</f>
        <v>Código Da Vinci é uma porcaria ...</v>
      </c>
      <c r="B9572" s="3">
        <v>0</v>
      </c>
    </row>
    <row r="9573" ht="15.75" customHeight="1" spans="1:2">
      <c r="A9573" s="3" t="str">
        <f>IFERROR(__xludf.DUMMYFUNCTION("GOOGLETRANSLATE(A9573,""en"",""pt"")"),"Código Da Vinci é uma porcaria.")</f>
        <v>Código Da Vinci é uma porcaria.</v>
      </c>
      <c r="B9573" s="3">
        <v>0</v>
      </c>
    </row>
    <row r="9574" ht="15.75" customHeight="1" spans="1:2">
      <c r="A9574" s="3" t="str">
        <f>IFERROR(__xludf.DUMMYFUNCTION("GOOGLETRANSLATE(A9574,""en"",""pt"")"),"sexta-feira sai com kelsie e fomos e viu O Código Da Vinci SUGADO !!!!!")</f>
        <v>sexta-feira sai com kelsie e fomos e viu O Código Da Vinci SUGADO !!!!!</v>
      </c>
      <c r="B9574" s="3">
        <v>0</v>
      </c>
    </row>
    <row r="9575" ht="15.75" customHeight="1" spans="1:2">
      <c r="A9575" s="3" t="str">
        <f>IFERROR(__xludf.DUMMYFUNCTION("GOOGLETRANSLATE(A9575,""en"",""pt"")"),"Combinando a opinião / revisão de Gary e Gin Zen, O Código Da Vinci é uma porcaria.")</f>
        <v>Combinando a opinião / revisão de Gary e Gin Zen, O Código Da Vinci é uma porcaria.</v>
      </c>
      <c r="B9575" s="3">
        <v>0</v>
      </c>
    </row>
    <row r="9576" ht="15.75" customHeight="1" spans="1:2">
      <c r="A9576" s="3" t="str">
        <f>IFERROR(__xludf.DUMMYFUNCTION("GOOGLETRANSLATE(A9576,""en"",""pt"")"),"Código Da Vinci suga ser ...")</f>
        <v>Código Da Vinci suga ser ...</v>
      </c>
      <c r="B9576" s="3">
        <v>0</v>
      </c>
    </row>
    <row r="9577" ht="15.75" customHeight="1" spans="1:2">
      <c r="A9577" s="3" t="str">
        <f>IFERROR(__xludf.DUMMYFUNCTION("GOOGLETRANSLATE(A9577,""en"",""pt"")"),"Código Da Vinci sugado ..")</f>
        <v>Código Da Vinci sugado ..</v>
      </c>
      <c r="B9577" s="3">
        <v>0</v>
      </c>
    </row>
    <row r="9578" ht="15.75" customHeight="1" spans="1:2">
      <c r="A9578" s="3" t="str">
        <f>IFERROR(__xludf.DUMMYFUNCTION("GOOGLETRANSLATE(A9578,""en"",""pt"")"),"O Código Da Vinci chupado grande.")</f>
        <v>O Código Da Vinci chupado grande.</v>
      </c>
      <c r="B9578" s="3">
        <v>0</v>
      </c>
    </row>
    <row r="9579" ht="15.75" customHeight="1" spans="1:2">
      <c r="A9579" s="3" t="str">
        <f>IFERROR(__xludf.DUMMYFUNCTION("GOOGLETRANSLATE(A9579,""en"",""pt"")"),"Código Da Vinci = Cima, Cima, Baixo, Baixo, Esquerda, Direita, Esquerda, Direita, B, A, SUGAM!")</f>
        <v>Código Da Vinci = Cima, Cima, Baixo, Baixo, Esquerda, Direita, Esquerda, Direita, B, A, SUGAM!</v>
      </c>
      <c r="B9579" s="3">
        <v>0</v>
      </c>
    </row>
    <row r="9580" ht="15.75" customHeight="1" spans="1:2">
      <c r="A9580" s="3" t="str">
        <f>IFERROR(__xludf.DUMMYFUNCTION("GOOGLETRANSLATE(A9580,""en"",""pt"")"),"a propósito, o Código Da Vinci sugado, apenas deixando você sabe ...")</f>
        <v>a propósito, o Código Da Vinci sugado, apenas deixando você sabe ...</v>
      </c>
      <c r="B9580" s="3">
        <v>0</v>
      </c>
    </row>
    <row r="9581" ht="15.75" customHeight="1" spans="1:2">
      <c r="A9581" s="3" t="str">
        <f>IFERROR(__xludf.DUMMYFUNCTION("GOOGLETRANSLATE(A9581,""en"",""pt"")"),"eu ouvi Código Da Vinci sugado soo apenas 2,5 estrelas:")</f>
        <v>eu ouvi Código Da Vinci sugado soo apenas 2,5 estrelas:</v>
      </c>
      <c r="B9581" s="3">
        <v>0</v>
      </c>
    </row>
    <row r="9582" ht="15.75" customHeight="1" spans="1:2">
      <c r="A9582" s="3" t="str">
        <f>IFERROR(__xludf.DUMMYFUNCTION("GOOGLETRANSLATE(A9582,""en"",""pt"")"),"Código Da Vinci é uma porcaria ...")</f>
        <v>Código Da Vinci é uma porcaria ...</v>
      </c>
      <c r="B9582" s="3">
        <v>0</v>
      </c>
    </row>
    <row r="9583" ht="15.75" customHeight="1" spans="1:2">
      <c r="A9583" s="3" t="str">
        <f>IFERROR(__xludf.DUMMYFUNCTION("GOOGLETRANSLATE(A9583,""en"",""pt"")"),"Código Da Vinci é uma porcaria.")</f>
        <v>Código Da Vinci é uma porcaria.</v>
      </c>
      <c r="B9583" s="3">
        <v>0</v>
      </c>
    </row>
    <row r="9584" ht="15.75" customHeight="1" spans="1:2">
      <c r="A9584" s="3" t="str">
        <f>IFERROR(__xludf.DUMMYFUNCTION("GOOGLETRANSLATE(A9584,""en"",""pt"")"),"sexta-feira sai com kelsie e fomos e viu O Código Da Vinci SUGADO !!!!!")</f>
        <v>sexta-feira sai com kelsie e fomos e viu O Código Da Vinci SUGADO !!!!!</v>
      </c>
      <c r="B9584" s="3">
        <v>0</v>
      </c>
    </row>
    <row r="9585" ht="15.75" customHeight="1" spans="1:2">
      <c r="A9585" s="3" t="str">
        <f>IFERROR(__xludf.DUMMYFUNCTION("GOOGLETRANSLATE(A9585,""en"",""pt"")"),"Combinando a opinião / revisão de Gary e Gin Zen, O Código Da Vinci é uma porcaria.")</f>
        <v>Combinando a opinião / revisão de Gary e Gin Zen, O Código Da Vinci é uma porcaria.</v>
      </c>
      <c r="B9585" s="3">
        <v>0</v>
      </c>
    </row>
    <row r="9586" ht="15.75" customHeight="1" spans="1:2">
      <c r="A9586" s="3" t="str">
        <f>IFERROR(__xludf.DUMMYFUNCTION("GOOGLETRANSLATE(A9586,""en"",""pt"")"),"Código Da Vinci suga ser ...")</f>
        <v>Código Da Vinci suga ser ...</v>
      </c>
      <c r="B9586" s="3">
        <v>0</v>
      </c>
    </row>
    <row r="9587" ht="15.75" customHeight="1" spans="1:2">
      <c r="A9587" s="3" t="str">
        <f>IFERROR(__xludf.DUMMYFUNCTION("GOOGLETRANSLATE(A9587,""en"",""pt"")"),"Código Da Vinci sugado ..")</f>
        <v>Código Da Vinci sugado ..</v>
      </c>
      <c r="B9587" s="3">
        <v>0</v>
      </c>
    </row>
    <row r="9588" ht="15.75" customHeight="1" spans="1:2">
      <c r="A9588" s="3" t="str">
        <f>IFERROR(__xludf.DUMMYFUNCTION("GOOGLETRANSLATE(A9588,""en"",""pt"")"),"O Código Da Vinci chupado grande.")</f>
        <v>O Código Da Vinci chupado grande.</v>
      </c>
      <c r="B9588" s="3">
        <v>0</v>
      </c>
    </row>
    <row r="9589" ht="15.75" customHeight="1" spans="1:2">
      <c r="A9589" s="3" t="str">
        <f>IFERROR(__xludf.DUMMYFUNCTION("GOOGLETRANSLATE(A9589,""en"",""pt"")"),"Código Da Vinci = Cima, Cima, Baixo, Baixo, Esquerda, Direita, Esquerda, Direita, B, A, SUGAM!")</f>
        <v>Código Da Vinci = Cima, Cima, Baixo, Baixo, Esquerda, Direita, Esquerda, Direita, B, A, SUGAM!</v>
      </c>
      <c r="B9589" s="3">
        <v>0</v>
      </c>
    </row>
    <row r="9590" ht="15.75" customHeight="1" spans="1:2">
      <c r="A9590" s="3" t="str">
        <f>IFERROR(__xludf.DUMMYFUNCTION("GOOGLETRANSLATE(A9590,""en"",""pt"")"),"a propósito, o Código Da Vinci sugado, apenas deixando você sabe ...")</f>
        <v>a propósito, o Código Da Vinci sugado, apenas deixando você sabe ...</v>
      </c>
      <c r="B9590" s="3">
        <v>0</v>
      </c>
    </row>
    <row r="9591" ht="15.75" customHeight="1" spans="1:2">
      <c r="A9591" s="3" t="str">
        <f>IFERROR(__xludf.DUMMYFUNCTION("GOOGLETRANSLATE(A9591,""en"",""pt"")"),"eu ouvi Código Da Vinci sugado soo apenas 2,5 estrelas:")</f>
        <v>eu ouvi Código Da Vinci sugado soo apenas 2,5 estrelas:</v>
      </c>
      <c r="B9591" s="3">
        <v>0</v>
      </c>
    </row>
    <row r="9592" ht="15.75" customHeight="1" spans="1:2">
      <c r="A9592" s="3" t="str">
        <f>IFERROR(__xludf.DUMMYFUNCTION("GOOGLETRANSLATE(A9592,""en"",""pt"")"),"Código Da Vinci é uma porcaria ...")</f>
        <v>Código Da Vinci é uma porcaria ...</v>
      </c>
      <c r="B9592" s="3">
        <v>0</v>
      </c>
    </row>
    <row r="9593" ht="15.75" customHeight="1" spans="1:2">
      <c r="A9593" s="3" t="str">
        <f>IFERROR(__xludf.DUMMYFUNCTION("GOOGLETRANSLATE(A9593,""en"",""pt"")"),"Código Da Vinci é uma porcaria.")</f>
        <v>Código Da Vinci é uma porcaria.</v>
      </c>
      <c r="B9593" s="3">
        <v>0</v>
      </c>
    </row>
    <row r="9594" ht="15.75" customHeight="1" spans="1:2">
      <c r="A9594" s="3" t="str">
        <f>IFERROR(__xludf.DUMMYFUNCTION("GOOGLETRANSLATE(A9594,""en"",""pt"")"),"sexta-feira sai com kelsie e fomos e viu O Código Da Vinci SUGADO !!!!!")</f>
        <v>sexta-feira sai com kelsie e fomos e viu O Código Da Vinci SUGADO !!!!!</v>
      </c>
      <c r="B9594" s="3">
        <v>0</v>
      </c>
    </row>
    <row r="9595" ht="15.75" customHeight="1" spans="1:2">
      <c r="A9595" s="3" t="str">
        <f>IFERROR(__xludf.DUMMYFUNCTION("GOOGLETRANSLATE(A9595,""en"",""pt"")"),"Combinando a opinião / revisão de Gary e Gin Zen, O Código Da Vinci é uma porcaria.")</f>
        <v>Combinando a opinião / revisão de Gary e Gin Zen, O Código Da Vinci é uma porcaria.</v>
      </c>
      <c r="B9595" s="3">
        <v>0</v>
      </c>
    </row>
    <row r="9596" ht="15.75" customHeight="1" spans="1:2">
      <c r="A9596" s="3" t="str">
        <f>IFERROR(__xludf.DUMMYFUNCTION("GOOGLETRANSLATE(A9596,""en"",""pt"")"),"Código Da Vinci suga ser ...")</f>
        <v>Código Da Vinci suga ser ...</v>
      </c>
      <c r="B9596" s="3">
        <v>0</v>
      </c>
    </row>
    <row r="9597" ht="15.75" customHeight="1" spans="1:2">
      <c r="A9597" s="3" t="str">
        <f>IFERROR(__xludf.DUMMYFUNCTION("GOOGLETRANSLATE(A9597,""en"",""pt"")"),"Código Da Vinci sugado ..")</f>
        <v>Código Da Vinci sugado ..</v>
      </c>
      <c r="B9597" s="3">
        <v>0</v>
      </c>
    </row>
    <row r="9598" ht="15.75" customHeight="1" spans="1:2">
      <c r="A9598" s="3" t="str">
        <f>IFERROR(__xludf.DUMMYFUNCTION("GOOGLETRANSLATE(A9598,""en"",""pt"")"),"O Código Da Vinci chupado grande.")</f>
        <v>O Código Da Vinci chupado grande.</v>
      </c>
      <c r="B9598" s="3">
        <v>0</v>
      </c>
    </row>
    <row r="9599" ht="15.75" customHeight="1" spans="1:2">
      <c r="A9599" s="3" t="s">
        <v>38</v>
      </c>
      <c r="B9599" s="3">
        <v>0</v>
      </c>
    </row>
    <row r="9600" ht="15.75" customHeight="1" spans="1:2">
      <c r="A9600" s="3" t="str">
        <f>IFERROR(__xludf.DUMMYFUNCTION("GOOGLETRANSLATE(A9600,""en"",""pt"")"),"a propósito, o Código Da Vinci sugado, apenas deixando você sabe ...")</f>
        <v>a propósito, o Código Da Vinci sugado, apenas deixando você sabe ...</v>
      </c>
      <c r="B9600" s="3">
        <v>0</v>
      </c>
    </row>
    <row r="9601" ht="15.75" customHeight="1" spans="1:2">
      <c r="A9601" s="3" t="str">
        <f>IFERROR(__xludf.DUMMYFUNCTION("GOOGLETRANSLATE(A9601,""en"",""pt"")"),"eu ouvi Código Da Vinci sugado soo apenas 2,5 estrelas:")</f>
        <v>eu ouvi Código Da Vinci sugado soo apenas 2,5 estrelas:</v>
      </c>
      <c r="B9601" s="3">
        <v>0</v>
      </c>
    </row>
    <row r="9602" ht="15.75" customHeight="1" spans="1:2">
      <c r="A9602" s="3" t="str">
        <f>IFERROR(__xludf.DUMMYFUNCTION("GOOGLETRANSLATE(A9602,""en"",""pt"")"),"Código Da Vinci é uma porcaria ...")</f>
        <v>Código Da Vinci é uma porcaria ...</v>
      </c>
      <c r="B9602" s="3">
        <v>0</v>
      </c>
    </row>
    <row r="9603" ht="15.75" customHeight="1" spans="1:2">
      <c r="A9603" s="3" t="str">
        <f>IFERROR(__xludf.DUMMYFUNCTION("GOOGLETRANSLATE(A9603,""en"",""pt"")"),"Código Da Vinci é uma porcaria.")</f>
        <v>Código Da Vinci é uma porcaria.</v>
      </c>
      <c r="B9603" s="3">
        <v>0</v>
      </c>
    </row>
    <row r="9604" ht="15.75" customHeight="1" spans="1:2">
      <c r="A9604" s="3" t="str">
        <f>IFERROR(__xludf.DUMMYFUNCTION("GOOGLETRANSLATE(A9604,""en"",""pt"")"),"sexta-feira sai com kelsie e fomos e viu O Código Da Vinci SUGADO !!!!!")</f>
        <v>sexta-feira sai com kelsie e fomos e viu O Código Da Vinci SUGADO !!!!!</v>
      </c>
      <c r="B9604" s="3">
        <v>0</v>
      </c>
    </row>
    <row r="9605" ht="15.75" customHeight="1" spans="1:2">
      <c r="A9605" s="3" t="str">
        <f>IFERROR(__xludf.DUMMYFUNCTION("GOOGLETRANSLATE(A9605,""en"",""pt"")"),"Combinando a opinião / revisão de Gary e Gin Zen, O Código Da Vinci é uma porcaria.")</f>
        <v>Combinando a opinião / revisão de Gary e Gin Zen, O Código Da Vinci é uma porcaria.</v>
      </c>
      <c r="B9605" s="3">
        <v>0</v>
      </c>
    </row>
    <row r="9606" ht="15.75" customHeight="1" spans="1:2">
      <c r="A9606" s="3" t="str">
        <f>IFERROR(__xludf.DUMMYFUNCTION("GOOGLETRANSLATE(A9606,""en"",""pt"")"),"Código Da Vinci suga ser ...")</f>
        <v>Código Da Vinci suga ser ...</v>
      </c>
      <c r="B9606" s="3">
        <v>0</v>
      </c>
    </row>
    <row r="9607" ht="15.75" customHeight="1" spans="1:2">
      <c r="A9607" s="3" t="str">
        <f>IFERROR(__xludf.DUMMYFUNCTION("GOOGLETRANSLATE(A9607,""en"",""pt"")"),"Código Da Vinci sugado ..")</f>
        <v>Código Da Vinci sugado ..</v>
      </c>
      <c r="B9607" s="3">
        <v>0</v>
      </c>
    </row>
    <row r="9608" ht="15.75" customHeight="1" spans="1:2">
      <c r="A9608" s="3" t="str">
        <f>IFERROR(__xludf.DUMMYFUNCTION("GOOGLETRANSLATE(A9608,""en"",""pt"")"),"O Código Da Vinci chupado grande.")</f>
        <v>O Código Da Vinci chupado grande.</v>
      </c>
      <c r="B9608" s="3">
        <v>0</v>
      </c>
    </row>
    <row r="9609" ht="15.75" customHeight="1" spans="1:2">
      <c r="A9609" s="3" t="str">
        <f>IFERROR(__xludf.DUMMYFUNCTION("GOOGLETRANSLATE(A9609,""en"",""pt"")"),"Código Da Vinci = Cima, Cima, Baixo, Baixo, Esquerda, Direita, Esquerda, Direita, B, A, SUGAM!")</f>
        <v>Código Da Vinci = Cima, Cima, Baixo, Baixo, Esquerda, Direita, Esquerda, Direita, B, A, SUGAM!</v>
      </c>
      <c r="B9609" s="3">
        <v>0</v>
      </c>
    </row>
    <row r="9610" ht="15.75" customHeight="1" spans="1:2">
      <c r="A9610" s="3" t="str">
        <f>IFERROR(__xludf.DUMMYFUNCTION("GOOGLETRANSLATE(A9610,""en"",""pt"")"),"a propósito, o Código Da Vinci sugado, apenas deixando você sabe ...")</f>
        <v>a propósito, o Código Da Vinci sugado, apenas deixando você sabe ...</v>
      </c>
      <c r="B9610" s="3">
        <v>0</v>
      </c>
    </row>
    <row r="9611" ht="15.75" customHeight="1" spans="1:2">
      <c r="A9611" s="3" t="str">
        <f>IFERROR(__xludf.DUMMYFUNCTION("GOOGLETRANSLATE(A9611,""en"",""pt"")"),"eu ouvi Código Da Vinci sugado soo apenas 2,5 estrelas:")</f>
        <v>eu ouvi Código Da Vinci sugado soo apenas 2,5 estrelas:</v>
      </c>
      <c r="B9611" s="3">
        <v>0</v>
      </c>
    </row>
    <row r="9612" ht="15.75" customHeight="1" spans="1:2">
      <c r="A9612" s="3" t="str">
        <f>IFERROR(__xludf.DUMMYFUNCTION("GOOGLETRANSLATE(A9612,""en"",""pt"")"),"Código Da Vinci é uma porcaria ...")</f>
        <v>Código Da Vinci é uma porcaria ...</v>
      </c>
      <c r="B9612" s="3">
        <v>0</v>
      </c>
    </row>
    <row r="9613" ht="15.75" customHeight="1" spans="1:2">
      <c r="A9613" s="3" t="str">
        <f>IFERROR(__xludf.DUMMYFUNCTION("GOOGLETRANSLATE(A9613,""en"",""pt"")"),"Código Da Vinci é uma porcaria.")</f>
        <v>Código Da Vinci é uma porcaria.</v>
      </c>
      <c r="B9613" s="3">
        <v>0</v>
      </c>
    </row>
    <row r="9614" ht="15.75" customHeight="1" spans="1:2">
      <c r="A9614" s="3" t="str">
        <f>IFERROR(__xludf.DUMMYFUNCTION("GOOGLETRANSLATE(A9614,""en"",""pt"")"),"sexta-feira sai com kelsie e fomos e viu O Código Da Vinci SUGADO !!!!!")</f>
        <v>sexta-feira sai com kelsie e fomos e viu O Código Da Vinci SUGADO !!!!!</v>
      </c>
      <c r="B9614" s="3">
        <v>0</v>
      </c>
    </row>
    <row r="9615" ht="15.75" customHeight="1" spans="1:2">
      <c r="A9615" s="3" t="str">
        <f>IFERROR(__xludf.DUMMYFUNCTION("GOOGLETRANSLATE(A9615,""en"",""pt"")"),"Combinando a opinião / revisão de Gary e Gin Zen, O Código Da Vinci é uma porcaria.")</f>
        <v>Combinando a opinião / revisão de Gary e Gin Zen, O Código Da Vinci é uma porcaria.</v>
      </c>
      <c r="B9615" s="3">
        <v>0</v>
      </c>
    </row>
    <row r="9616" ht="15.75" customHeight="1" spans="1:2">
      <c r="A9616" s="3" t="str">
        <f>IFERROR(__xludf.DUMMYFUNCTION("GOOGLETRANSLATE(A9616,""en"",""pt"")"),"Código Da Vinci suga ser ...")</f>
        <v>Código Da Vinci suga ser ...</v>
      </c>
      <c r="B9616" s="3">
        <v>0</v>
      </c>
    </row>
    <row r="9617" ht="15.75" customHeight="1" spans="1:2">
      <c r="A9617" s="3" t="str">
        <f>IFERROR(__xludf.DUMMYFUNCTION("GOOGLETRANSLATE(A9617,""en"",""pt"")"),"Código Da Vinci sugado ..")</f>
        <v>Código Da Vinci sugado ..</v>
      </c>
      <c r="B9617" s="3">
        <v>0</v>
      </c>
    </row>
    <row r="9618" ht="15.75" customHeight="1" spans="1:2">
      <c r="A9618" s="3" t="str">
        <f>IFERROR(__xludf.DUMMYFUNCTION("GOOGLETRANSLATE(A9618,""en"",""pt"")"),"O Código Da Vinci chupado grande.")</f>
        <v>O Código Da Vinci chupado grande.</v>
      </c>
      <c r="B9618" s="3">
        <v>0</v>
      </c>
    </row>
    <row r="9619" ht="15.75" customHeight="1" spans="1:2">
      <c r="A9619" s="3" t="str">
        <f>IFERROR(__xludf.DUMMYFUNCTION("GOOGLETRANSLATE(A9619,""en"",""pt"")"),"Código Da Vinci = Cima, Cima, Baixo, Baixo, Esquerda, Direita, Esquerda, Direita, B, A, SUGAM!")</f>
        <v>Código Da Vinci = Cima, Cima, Baixo, Baixo, Esquerda, Direita, Esquerda, Direita, B, A, SUGAM!</v>
      </c>
      <c r="B9619" s="3">
        <v>0</v>
      </c>
    </row>
    <row r="9620" ht="15.75" customHeight="1" spans="1:2">
      <c r="A9620" s="3" t="str">
        <f>IFERROR(__xludf.DUMMYFUNCTION("GOOGLETRANSLATE(A9620,""en"",""pt"")"),"a propósito, o Código Da Vinci sugado, apenas deixando você sabe ...")</f>
        <v>a propósito, o Código Da Vinci sugado, apenas deixando você sabe ...</v>
      </c>
      <c r="B9620" s="3">
        <v>0</v>
      </c>
    </row>
    <row r="9621" ht="15.75" customHeight="1" spans="1:2">
      <c r="A9621" s="3" t="str">
        <f>IFERROR(__xludf.DUMMYFUNCTION("GOOGLETRANSLATE(A9621,""en"",""pt"")"),"eu ouvi Código Da Vinci sugado soo apenas 2,5 estrelas:")</f>
        <v>eu ouvi Código Da Vinci sugado soo apenas 2,5 estrelas:</v>
      </c>
      <c r="B9621" s="3">
        <v>0</v>
      </c>
    </row>
    <row r="9622" ht="15.75" customHeight="1" spans="1:2">
      <c r="A9622" s="3" t="str">
        <f>IFERROR(__xludf.DUMMYFUNCTION("GOOGLETRANSLATE(A9622,""en"",""pt"")"),"Código Da Vinci é uma porcaria ...")</f>
        <v>Código Da Vinci é uma porcaria ...</v>
      </c>
      <c r="B9622" s="3">
        <v>0</v>
      </c>
    </row>
    <row r="9623" ht="15.75" customHeight="1" spans="1:2">
      <c r="A9623" s="3" t="str">
        <f>IFERROR(__xludf.DUMMYFUNCTION("GOOGLETRANSLATE(A9623,""en"",""pt"")"),"Código Da Vinci é uma porcaria.")</f>
        <v>Código Da Vinci é uma porcaria.</v>
      </c>
      <c r="B9623" s="3">
        <v>0</v>
      </c>
    </row>
    <row r="9624" ht="15.75" customHeight="1" spans="1:2">
      <c r="A9624" s="3" t="str">
        <f>IFERROR(__xludf.DUMMYFUNCTION("GOOGLETRANSLATE(A9624,""en"",""pt"")"),"sexta-feira sai com kelsie e fomos e viu O Código Da Vinci SUGADO !!!!!")</f>
        <v>sexta-feira sai com kelsie e fomos e viu O Código Da Vinci SUGADO !!!!!</v>
      </c>
      <c r="B9624" s="3">
        <v>0</v>
      </c>
    </row>
    <row r="9625" ht="15.75" customHeight="1" spans="1:2">
      <c r="A9625" s="3" t="str">
        <f>IFERROR(__xludf.DUMMYFUNCTION("GOOGLETRANSLATE(A9625,""en"",""pt"")"),"Combinando a opinião / revisão de Gary e Gin Zen, O Código Da Vinci é uma porcaria.")</f>
        <v>Combinando a opinião / revisão de Gary e Gin Zen, O Código Da Vinci é uma porcaria.</v>
      </c>
      <c r="B9625" s="3">
        <v>0</v>
      </c>
    </row>
    <row r="9626" ht="15.75" customHeight="1" spans="1:2">
      <c r="A9626" s="3" t="str">
        <f>IFERROR(__xludf.DUMMYFUNCTION("GOOGLETRANSLATE(A9626,""en"",""pt"")"),"Código Da Vinci suga ser ...")</f>
        <v>Código Da Vinci suga ser ...</v>
      </c>
      <c r="B9626" s="3">
        <v>0</v>
      </c>
    </row>
    <row r="9627" ht="15.75" customHeight="1" spans="1:2">
      <c r="A9627" s="3" t="str">
        <f>IFERROR(__xludf.DUMMYFUNCTION("GOOGLETRANSLATE(A9627,""en"",""pt"")"),"Código Da Vinci sugado ..")</f>
        <v>Código Da Vinci sugado ..</v>
      </c>
      <c r="B9627" s="3">
        <v>0</v>
      </c>
    </row>
    <row r="9628" ht="15.75" customHeight="1" spans="1:2">
      <c r="A9628" s="3" t="str">
        <f>IFERROR(__xludf.DUMMYFUNCTION("GOOGLETRANSLATE(A9628,""en"",""pt"")"),"O Código Da Vinci chupado grande.")</f>
        <v>O Código Da Vinci chupado grande.</v>
      </c>
      <c r="B9628" s="3">
        <v>0</v>
      </c>
    </row>
    <row r="9629" ht="15.75" customHeight="1" spans="1:2">
      <c r="A9629" s="3" t="str">
        <f>IFERROR(__xludf.DUMMYFUNCTION("GOOGLETRANSLATE(A9629,""en"",""pt"")"),"Código Da Vinci = Cima, Cima, Baixo, Baixo, Esquerda, Direita, Esquerda, Direita, B, A, SUGAM!")</f>
        <v>Código Da Vinci = Cima, Cima, Baixo, Baixo, Esquerda, Direita, Esquerda, Direita, B, A, SUGAM!</v>
      </c>
      <c r="B9629" s="3">
        <v>0</v>
      </c>
    </row>
    <row r="9630" ht="15.75" customHeight="1" spans="1:2">
      <c r="A9630" s="3" t="str">
        <f>IFERROR(__xludf.DUMMYFUNCTION("GOOGLETRANSLATE(A9630,""en"",""pt"")"),"a propósito, o Código Da Vinci sugado, apenas deixando você sabe ...")</f>
        <v>a propósito, o Código Da Vinci sugado, apenas deixando você sabe ...</v>
      </c>
      <c r="B9630" s="3">
        <v>0</v>
      </c>
    </row>
    <row r="9631" ht="15.75" customHeight="1" spans="1:2">
      <c r="A9631" s="3" t="str">
        <f>IFERROR(__xludf.DUMMYFUNCTION("GOOGLETRANSLATE(A9631,""en"",""pt"")"),"eu ouvi Código Da Vinci sugado soo apenas 2,5 estrelas:")</f>
        <v>eu ouvi Código Da Vinci sugado soo apenas 2,5 estrelas:</v>
      </c>
      <c r="B9631" s="3">
        <v>0</v>
      </c>
    </row>
    <row r="9632" ht="15.75" customHeight="1" spans="1:2">
      <c r="A9632" s="3" t="str">
        <f>IFERROR(__xludf.DUMMYFUNCTION("GOOGLETRANSLATE(A9632,""en"",""pt"")"),"Código Da Vinci é uma porcaria ...")</f>
        <v>Código Da Vinci é uma porcaria ...</v>
      </c>
      <c r="B9632" s="3">
        <v>0</v>
      </c>
    </row>
    <row r="9633" ht="15.75" customHeight="1" spans="1:2">
      <c r="A9633" s="3" t="str">
        <f>IFERROR(__xludf.DUMMYFUNCTION("GOOGLETRANSLATE(A9633,""en"",""pt"")"),"Código Da Vinci é uma porcaria.")</f>
        <v>Código Da Vinci é uma porcaria.</v>
      </c>
      <c r="B9633" s="3">
        <v>0</v>
      </c>
    </row>
    <row r="9634" ht="15.75" customHeight="1" spans="1:2">
      <c r="A9634" s="3" t="str">
        <f>IFERROR(__xludf.DUMMYFUNCTION("GOOGLETRANSLATE(A9634,""en"",""pt"")"),"sexta-feira sai com kelsie e fomos e viu O Código Da Vinci SUGADO !!!!!")</f>
        <v>sexta-feira sai com kelsie e fomos e viu O Código Da Vinci SUGADO !!!!!</v>
      </c>
      <c r="B9634" s="3">
        <v>0</v>
      </c>
    </row>
    <row r="9635" ht="15.75" customHeight="1" spans="1:2">
      <c r="A9635" s="3" t="str">
        <f>IFERROR(__xludf.DUMMYFUNCTION("GOOGLETRANSLATE(A9635,""en"",""pt"")"),"Combinando a opinião / revisão de Gary e Gin Zen, O Código Da Vinci é uma porcaria.")</f>
        <v>Combinando a opinião / revisão de Gary e Gin Zen, O Código Da Vinci é uma porcaria.</v>
      </c>
      <c r="B9635" s="3">
        <v>0</v>
      </c>
    </row>
    <row r="9636" ht="15.75" customHeight="1" spans="1:2">
      <c r="A9636" s="3" t="str">
        <f>IFERROR(__xludf.DUMMYFUNCTION("GOOGLETRANSLATE(A9636,""en"",""pt"")"),"Código Da Vinci suga ser ...")</f>
        <v>Código Da Vinci suga ser ...</v>
      </c>
      <c r="B9636" s="3">
        <v>0</v>
      </c>
    </row>
    <row r="9637" ht="15.75" customHeight="1" spans="1:2">
      <c r="A9637" s="3" t="str">
        <f>IFERROR(__xludf.DUMMYFUNCTION("GOOGLETRANSLATE(A9637,""en"",""pt"")"),"Código Da Vinci sugado ..")</f>
        <v>Código Da Vinci sugado ..</v>
      </c>
      <c r="B9637" s="3">
        <v>0</v>
      </c>
    </row>
    <row r="9638" ht="15.75" customHeight="1" spans="1:2">
      <c r="A9638" s="3" t="str">
        <f>IFERROR(__xludf.DUMMYFUNCTION("GOOGLETRANSLATE(A9638,""en"",""pt"")"),"O Código Da Vinci chupado grande.")</f>
        <v>O Código Da Vinci chupado grande.</v>
      </c>
      <c r="B9638" s="3">
        <v>0</v>
      </c>
    </row>
    <row r="9639" ht="15.75" customHeight="1" spans="1:2">
      <c r="A9639" s="3" t="str">
        <f>IFERROR(__xludf.DUMMYFUNCTION("GOOGLETRANSLATE(A9639,""en"",""pt"")"),"Código Da Vinci = Cima, Cima, Baixo, Baixo, Esquerda, Direita, Esquerda, Direita, B, A, SUGAM!")</f>
        <v>Código Da Vinci = Cima, Cima, Baixo, Baixo, Esquerda, Direita, Esquerda, Direita, B, A, SUGAM!</v>
      </c>
      <c r="B9639" s="3">
        <v>0</v>
      </c>
    </row>
    <row r="9640" ht="15.75" customHeight="1" spans="1:2">
      <c r="A9640" s="3" t="str">
        <f>IFERROR(__xludf.DUMMYFUNCTION("GOOGLETRANSLATE(A9640,""en"",""pt"")"),"a propósito, o Código Da Vinci sugado, apenas deixando você sabe ...")</f>
        <v>a propósito, o Código Da Vinci sugado, apenas deixando você sabe ...</v>
      </c>
      <c r="B9640" s="3">
        <v>0</v>
      </c>
    </row>
    <row r="9641" ht="15.75" customHeight="1" spans="1:2">
      <c r="A9641" s="3" t="str">
        <f>IFERROR(__xludf.DUMMYFUNCTION("GOOGLETRANSLATE(A9641,""en"",""pt"")"),"eu ouvi Código Da Vinci sugado soo apenas 2,5 estrelas:")</f>
        <v>eu ouvi Código Da Vinci sugado soo apenas 2,5 estrelas:</v>
      </c>
      <c r="B9641" s="3">
        <v>0</v>
      </c>
    </row>
    <row r="9642" ht="15.75" customHeight="1" spans="1:2">
      <c r="A9642" s="3" t="str">
        <f>IFERROR(__xludf.DUMMYFUNCTION("GOOGLETRANSLATE(A9642,""en"",""pt"")"),"Código Da Vinci é uma porcaria ...")</f>
        <v>Código Da Vinci é uma porcaria ...</v>
      </c>
      <c r="B9642" s="3">
        <v>0</v>
      </c>
    </row>
    <row r="9643" ht="15.75" customHeight="1" spans="1:2">
      <c r="A9643" s="3" t="str">
        <f>IFERROR(__xludf.DUMMYFUNCTION("GOOGLETRANSLATE(A9643,""en"",""pt"")"),"Código Da Vinci é uma porcaria.")</f>
        <v>Código Da Vinci é uma porcaria.</v>
      </c>
      <c r="B9643" s="3">
        <v>0</v>
      </c>
    </row>
    <row r="9644" ht="15.75" customHeight="1" spans="1:2">
      <c r="A9644" s="3" t="str">
        <f>IFERROR(__xludf.DUMMYFUNCTION("GOOGLETRANSLATE(A9644,""en"",""pt"")"),"sexta-feira sai com kelsie e fomos e viu O Código Da Vinci SUGADO !!!!!")</f>
        <v>sexta-feira sai com kelsie e fomos e viu O Código Da Vinci SUGADO !!!!!</v>
      </c>
      <c r="B9644" s="3">
        <v>0</v>
      </c>
    </row>
    <row r="9645" ht="15.75" customHeight="1" spans="1:2">
      <c r="A9645" s="3" t="str">
        <f>IFERROR(__xludf.DUMMYFUNCTION("GOOGLETRANSLATE(A9645,""en"",""pt"")"),"Combinando a opinião / revisão de Gary e Gin Zen, O Código Da Vinci é uma porcaria.")</f>
        <v>Combinando a opinião / revisão de Gary e Gin Zen, O Código Da Vinci é uma porcaria.</v>
      </c>
      <c r="B9645" s="3">
        <v>0</v>
      </c>
    </row>
    <row r="9646" ht="15.75" customHeight="1" spans="1:2">
      <c r="A9646" s="3" t="str">
        <f>IFERROR(__xludf.DUMMYFUNCTION("GOOGLETRANSLATE(A9646,""en"",""pt"")"),"Código Da Vinci suga ser ...")</f>
        <v>Código Da Vinci suga ser ...</v>
      </c>
      <c r="B9646" s="3">
        <v>0</v>
      </c>
    </row>
    <row r="9647" ht="15.75" customHeight="1" spans="1:2">
      <c r="A9647" s="3" t="str">
        <f>IFERROR(__xludf.DUMMYFUNCTION("GOOGLETRANSLATE(A9647,""en"",""pt"")"),"Código Da Vinci sugado ..")</f>
        <v>Código Da Vinci sugado ..</v>
      </c>
      <c r="B9647" s="3">
        <v>0</v>
      </c>
    </row>
    <row r="9648" ht="15.75" customHeight="1" spans="1:2">
      <c r="A9648" s="3" t="str">
        <f>IFERROR(__xludf.DUMMYFUNCTION("GOOGLETRANSLATE(A9648,""en"",""pt"")"),"O Código Da Vinci chupado grande.")</f>
        <v>O Código Da Vinci chupado grande.</v>
      </c>
      <c r="B9648" s="3">
        <v>0</v>
      </c>
    </row>
    <row r="9649" ht="15.75" customHeight="1" spans="1:2">
      <c r="A9649" s="3" t="str">
        <f>IFERROR(__xludf.DUMMYFUNCTION("GOOGLETRANSLATE(A9649,""en"",""pt"")"),"Código Da Vinci = Cima, Cima, Baixo, Baixo, Esquerda, Direita, Esquerda, Direita, B, A, SUGAM!")</f>
        <v>Código Da Vinci = Cima, Cima, Baixo, Baixo, Esquerda, Direita, Esquerda, Direita, B, A, SUGAM!</v>
      </c>
      <c r="B9649" s="3">
        <v>0</v>
      </c>
    </row>
    <row r="9650" ht="15.75" customHeight="1" spans="1:2">
      <c r="A9650" s="3" t="str">
        <f>IFERROR(__xludf.DUMMYFUNCTION("GOOGLETRANSLATE(A9650,""en"",""pt"")"),"a propósito, o Código Da Vinci sugado, apenas deixando você sabe ...")</f>
        <v>a propósito, o Código Da Vinci sugado, apenas deixando você sabe ...</v>
      </c>
      <c r="B9650" s="3">
        <v>0</v>
      </c>
    </row>
    <row r="9651" ht="15.75" customHeight="1" spans="1:2">
      <c r="A9651" s="3" t="str">
        <f>IFERROR(__xludf.DUMMYFUNCTION("GOOGLETRANSLATE(A9651,""en"",""pt"")"),"eu ouvi Código Da Vinci sugado soo apenas 2,5 estrelas:")</f>
        <v>eu ouvi Código Da Vinci sugado soo apenas 2,5 estrelas:</v>
      </c>
      <c r="B9651" s="3">
        <v>0</v>
      </c>
    </row>
    <row r="9652" ht="15.75" customHeight="1" spans="1:2">
      <c r="A9652" s="3" t="s">
        <v>40</v>
      </c>
      <c r="B9652" s="3">
        <v>0</v>
      </c>
    </row>
    <row r="9653" ht="15.75" customHeight="1" spans="1:2">
      <c r="A9653" s="3" t="str">
        <f>IFERROR(__xludf.DUMMYFUNCTION("GOOGLETRANSLATE(A9653,""en"",""pt"")"),"Código Da Vinci é uma porcaria.")</f>
        <v>Código Da Vinci é uma porcaria.</v>
      </c>
      <c r="B9653" s="3">
        <v>0</v>
      </c>
    </row>
    <row r="9654" ht="15.75" customHeight="1" spans="1:2">
      <c r="A9654" s="3" t="str">
        <f>IFERROR(__xludf.DUMMYFUNCTION("GOOGLETRANSLATE(A9654,""en"",""pt"")"),"sexta-feira sai com kelsie e fomos e viu O Código Da Vinci SUGADO !!!!!")</f>
        <v>sexta-feira sai com kelsie e fomos e viu O Código Da Vinci SUGADO !!!!!</v>
      </c>
      <c r="B9654" s="3">
        <v>0</v>
      </c>
    </row>
    <row r="9655" ht="15.75" customHeight="1" spans="1:2">
      <c r="A9655" s="3" t="str">
        <f>IFERROR(__xludf.DUMMYFUNCTION("GOOGLETRANSLATE(A9655,""en"",""pt"")"),"Combinando a opinião / revisão de Gary e Gin Zen, O Código Da Vinci é uma porcaria.")</f>
        <v>Combinando a opinião / revisão de Gary e Gin Zen, O Código Da Vinci é uma porcaria.</v>
      </c>
      <c r="B9655" s="3">
        <v>0</v>
      </c>
    </row>
    <row r="9656" ht="15.75" customHeight="1" spans="1:2">
      <c r="A9656" s="3" t="str">
        <f>IFERROR(__xludf.DUMMYFUNCTION("GOOGLETRANSLATE(A9656,""en"",""pt"")"),"Código Da Vinci suga ser ...")</f>
        <v>Código Da Vinci suga ser ...</v>
      </c>
      <c r="B9656" s="3">
        <v>0</v>
      </c>
    </row>
    <row r="9657" ht="15.75" customHeight="1" spans="1:2">
      <c r="A9657" s="3" t="str">
        <f>IFERROR(__xludf.DUMMYFUNCTION("GOOGLETRANSLATE(A9657,""en"",""pt"")"),"Código Da Vinci sugado ..")</f>
        <v>Código Da Vinci sugado ..</v>
      </c>
      <c r="B9657" s="3">
        <v>0</v>
      </c>
    </row>
    <row r="9658" ht="15.75" customHeight="1" spans="1:2">
      <c r="A9658" s="3" t="str">
        <f>IFERROR(__xludf.DUMMYFUNCTION("GOOGLETRANSLATE(A9658,""en"",""pt"")"),"O Código Da Vinci chupado grande.")</f>
        <v>O Código Da Vinci chupado grande.</v>
      </c>
      <c r="B9658" s="3">
        <v>0</v>
      </c>
    </row>
    <row r="9659" ht="15.75" customHeight="1" spans="1:2">
      <c r="A9659" s="3" t="str">
        <f>IFERROR(__xludf.DUMMYFUNCTION("GOOGLETRANSLATE(A9659,""en"",""pt"")"),"Código Da Vinci = Cima, Cima, Baixo, Baixo, Esquerda, Direita, Esquerda, Direita, B, A, SUGAM!")</f>
        <v>Código Da Vinci = Cima, Cima, Baixo, Baixo, Esquerda, Direita, Esquerda, Direita, B, A, SUGAM!</v>
      </c>
      <c r="B9659" s="3">
        <v>0</v>
      </c>
    </row>
    <row r="9660" ht="15.75" customHeight="1" spans="1:2">
      <c r="A9660" s="3" t="str">
        <f>IFERROR(__xludf.DUMMYFUNCTION("GOOGLETRANSLATE(A9660,""en"",""pt"")"),"a propósito, o Código Da Vinci sugado, apenas deixando você sabe ...")</f>
        <v>a propósito, o Código Da Vinci sugado, apenas deixando você sabe ...</v>
      </c>
      <c r="B9660" s="3">
        <v>0</v>
      </c>
    </row>
    <row r="9661" ht="15.75" customHeight="1" spans="1:2">
      <c r="A9661" s="3" t="str">
        <f>IFERROR(__xludf.DUMMYFUNCTION("GOOGLETRANSLATE(A9661,""en"",""pt"")"),"eu ouvi Código Da Vinci sugado soo apenas 2,5 estrelas:")</f>
        <v>eu ouvi Código Da Vinci sugado soo apenas 2,5 estrelas:</v>
      </c>
      <c r="B9661" s="3">
        <v>0</v>
      </c>
    </row>
    <row r="9662" ht="15.75" customHeight="1" spans="1:2">
      <c r="A9662" s="3" t="str">
        <f>IFERROR(__xludf.DUMMYFUNCTION("GOOGLETRANSLATE(A9662,""en"",""pt"")"),"Código Da Vinci é uma porcaria ...")</f>
        <v>Código Da Vinci é uma porcaria ...</v>
      </c>
      <c r="B9662" s="3">
        <v>0</v>
      </c>
    </row>
    <row r="9663" ht="15.75" customHeight="1" spans="1:2">
      <c r="A9663" s="3" t="str">
        <f>IFERROR(__xludf.DUMMYFUNCTION("GOOGLETRANSLATE(A9663,""en"",""pt"")"),"Código Da Vinci é uma porcaria.")</f>
        <v>Código Da Vinci é uma porcaria.</v>
      </c>
      <c r="B9663" s="3">
        <v>0</v>
      </c>
    </row>
    <row r="9664" ht="15.75" customHeight="1" spans="1:2">
      <c r="A9664" s="3" t="str">
        <f>IFERROR(__xludf.DUMMYFUNCTION("GOOGLETRANSLATE(A9664,""en"",""pt"")"),"sexta-feira sai com kelsie e fomos e viu O Código Da Vinci SUGADO !!!!!")</f>
        <v>sexta-feira sai com kelsie e fomos e viu O Código Da Vinci SUGADO !!!!!</v>
      </c>
      <c r="B9664" s="3">
        <v>0</v>
      </c>
    </row>
    <row r="9665" ht="15.75" customHeight="1" spans="1:2">
      <c r="A9665" s="3" t="str">
        <f>IFERROR(__xludf.DUMMYFUNCTION("GOOGLETRANSLATE(A9665,""en"",""pt"")"),"Combinando a opinião / revisão de Gary e Gin Zen, O Código Da Vinci é uma porcaria.")</f>
        <v>Combinando a opinião / revisão de Gary e Gin Zen, O Código Da Vinci é uma porcaria.</v>
      </c>
      <c r="B9665" s="3">
        <v>0</v>
      </c>
    </row>
    <row r="9666" ht="15.75" customHeight="1" spans="1:2">
      <c r="A9666" s="3" t="str">
        <f>IFERROR(__xludf.DUMMYFUNCTION("GOOGLETRANSLATE(A9666,""en"",""pt"")"),"Código Da Vinci suga ser ...")</f>
        <v>Código Da Vinci suga ser ...</v>
      </c>
      <c r="B9666" s="3">
        <v>0</v>
      </c>
    </row>
    <row r="9667" ht="15.75" customHeight="1" spans="1:2">
      <c r="A9667" s="3" t="str">
        <f>IFERROR(__xludf.DUMMYFUNCTION("GOOGLETRANSLATE(A9667,""en"",""pt"")"),"Código Da Vinci sugado ..")</f>
        <v>Código Da Vinci sugado ..</v>
      </c>
      <c r="B9667" s="3">
        <v>0</v>
      </c>
    </row>
    <row r="9668" ht="15.75" customHeight="1" spans="1:2">
      <c r="A9668" s="3" t="s">
        <v>42</v>
      </c>
      <c r="B9668" s="3">
        <v>0</v>
      </c>
    </row>
    <row r="9669" ht="15.75" customHeight="1" spans="1:2">
      <c r="A9669" s="3" t="str">
        <f>IFERROR(__xludf.DUMMYFUNCTION("GOOGLETRANSLATE(A9669,""en"",""pt"")"),"Código Da Vinci = Cima, Cima, Baixo, Baixo, Esquerda, Direita, Esquerda, Direita, B, A, SUGAM!")</f>
        <v>Código Da Vinci = Cima, Cima, Baixo, Baixo, Esquerda, Direita, Esquerda, Direita, B, A, SUGAM!</v>
      </c>
      <c r="B9669" s="3">
        <v>0</v>
      </c>
    </row>
    <row r="9670" ht="15.75" customHeight="1" spans="1:2">
      <c r="A9670" s="3" t="str">
        <f>IFERROR(__xludf.DUMMYFUNCTION("GOOGLETRANSLATE(A9670,""en"",""pt"")"),"a propósito, o Código Da Vinci sugado, apenas deixando você sabe ...")</f>
        <v>a propósito, o Código Da Vinci sugado, apenas deixando você sabe ...</v>
      </c>
      <c r="B9670" s="3">
        <v>0</v>
      </c>
    </row>
    <row r="9671" ht="15.75" customHeight="1" spans="1:2">
      <c r="A9671" s="3" t="str">
        <f>IFERROR(__xludf.DUMMYFUNCTION("GOOGLETRANSLATE(A9671,""en"",""pt"")"),"eu ouvi Código Da Vinci sugado soo apenas 2,5 estrelas:")</f>
        <v>eu ouvi Código Da Vinci sugado soo apenas 2,5 estrelas:</v>
      </c>
      <c r="B9671" s="3">
        <v>0</v>
      </c>
    </row>
    <row r="9672" ht="15.75" customHeight="1" spans="1:2">
      <c r="A9672" s="3" t="str">
        <f>IFERROR(__xludf.DUMMYFUNCTION("GOOGLETRANSLATE(A9672,""en"",""pt"")"),"Código Da Vinci é uma porcaria ...")</f>
        <v>Código Da Vinci é uma porcaria ...</v>
      </c>
      <c r="B9672" s="3">
        <v>0</v>
      </c>
    </row>
    <row r="9673" ht="15.75" customHeight="1" spans="1:2">
      <c r="A9673" s="3" t="str">
        <f>IFERROR(__xludf.DUMMYFUNCTION("GOOGLETRANSLATE(A9673,""en"",""pt"")"),"Código Da Vinci é uma porcaria.")</f>
        <v>Código Da Vinci é uma porcaria.</v>
      </c>
      <c r="B9673" s="3">
        <v>0</v>
      </c>
    </row>
    <row r="9674" ht="15.75" customHeight="1" spans="1:2">
      <c r="A9674" s="3" t="str">
        <f>IFERROR(__xludf.DUMMYFUNCTION("GOOGLETRANSLATE(A9674,""en"",""pt"")"),"sexta-feira sai com kelsie e fomos e viu O Código Da Vinci SUGADO !!!!!")</f>
        <v>sexta-feira sai com kelsie e fomos e viu O Código Da Vinci SUGADO !!!!!</v>
      </c>
      <c r="B9674" s="3">
        <v>0</v>
      </c>
    </row>
    <row r="9675" ht="15.75" customHeight="1" spans="1:2">
      <c r="A9675" s="3" t="str">
        <f>IFERROR(__xludf.DUMMYFUNCTION("GOOGLETRANSLATE(A9675,""en"",""pt"")"),"Combinando a opinião / revisão de Gary e Gin Zen, O Código Da Vinci é uma porcaria.")</f>
        <v>Combinando a opinião / revisão de Gary e Gin Zen, O Código Da Vinci é uma porcaria.</v>
      </c>
      <c r="B9675" s="3">
        <v>0</v>
      </c>
    </row>
    <row r="9676" ht="15.75" customHeight="1" spans="1:2">
      <c r="A9676" s="3" t="str">
        <f>IFERROR(__xludf.DUMMYFUNCTION("GOOGLETRANSLATE(A9676,""en"",""pt"")"),"Código Da Vinci suga ser ...")</f>
        <v>Código Da Vinci suga ser ...</v>
      </c>
      <c r="B9676" s="3">
        <v>0</v>
      </c>
    </row>
    <row r="9677" ht="15.75" customHeight="1" spans="1:2">
      <c r="A9677" s="3" t="str">
        <f>IFERROR(__xludf.DUMMYFUNCTION("GOOGLETRANSLATE(A9677,""en"",""pt"")"),"Código Da Vinci sugado ..")</f>
        <v>Código Da Vinci sugado ..</v>
      </c>
      <c r="B9677" s="3">
        <v>0</v>
      </c>
    </row>
    <row r="9678" ht="15.75" customHeight="1" spans="1:2">
      <c r="A9678" s="3" t="str">
        <f>IFERROR(__xludf.DUMMYFUNCTION("GOOGLETRANSLATE(A9678,""en"",""pt"")"),"O Código Da Vinci chupado grande.")</f>
        <v>O Código Da Vinci chupado grande.</v>
      </c>
      <c r="B9678" s="3">
        <v>0</v>
      </c>
    </row>
    <row r="9679" ht="15.75" customHeight="1" spans="1:2">
      <c r="A9679" s="3" t="str">
        <f>IFERROR(__xludf.DUMMYFUNCTION("GOOGLETRANSLATE(A9679,""en"",""pt"")"),"Código Da Vinci = Cima, Cima, Baixo, Baixo, Esquerda, Direita, Esquerda, Direita, B, A, SUGAM!")</f>
        <v>Código Da Vinci = Cima, Cima, Baixo, Baixo, Esquerda, Direita, Esquerda, Direita, B, A, SUGAM!</v>
      </c>
      <c r="B9679" s="3">
        <v>0</v>
      </c>
    </row>
    <row r="9680" ht="15.75" customHeight="1" spans="1:2">
      <c r="A9680" s="3" t="str">
        <f>IFERROR(__xludf.DUMMYFUNCTION("GOOGLETRANSLATE(A9680,""en"",""pt"")"),"a propósito, o Código Da Vinci sugado, apenas deixando você sabe ...")</f>
        <v>a propósito, o Código Da Vinci sugado, apenas deixando você sabe ...</v>
      </c>
      <c r="B9680" s="3">
        <v>0</v>
      </c>
    </row>
    <row r="9681" ht="15.75" customHeight="1" spans="1:2">
      <c r="A9681" s="3" t="str">
        <f>IFERROR(__xludf.DUMMYFUNCTION("GOOGLETRANSLATE(A9681,""en"",""pt"")"),"eu ouvi Código Da Vinci sugado soo apenas 2,5 estrelas:")</f>
        <v>eu ouvi Código Da Vinci sugado soo apenas 2,5 estrelas:</v>
      </c>
      <c r="B9681" s="3">
        <v>0</v>
      </c>
    </row>
    <row r="9682" ht="15.75" customHeight="1" spans="1:2">
      <c r="A9682" s="3" t="str">
        <f>IFERROR(__xludf.DUMMYFUNCTION("GOOGLETRANSLATE(A9682,""en"",""pt"")"),"Código Da Vinci é uma porcaria ...")</f>
        <v>Código Da Vinci é uma porcaria ...</v>
      </c>
      <c r="B9682" s="3">
        <v>0</v>
      </c>
    </row>
    <row r="9683" ht="15.75" customHeight="1" spans="1:2">
      <c r="A9683" s="3" t="str">
        <f>IFERROR(__xludf.DUMMYFUNCTION("GOOGLETRANSLATE(A9683,""en"",""pt"")"),"Código Da Vinci é uma porcaria.")</f>
        <v>Código Da Vinci é uma porcaria.</v>
      </c>
      <c r="B9683" s="3">
        <v>0</v>
      </c>
    </row>
    <row r="9684" ht="15.75" customHeight="1" spans="1:2">
      <c r="A9684" s="3" t="str">
        <f>IFERROR(__xludf.DUMMYFUNCTION("GOOGLETRANSLATE(A9684,""en"",""pt"")"),"sexta-feira sai com kelsie e fomos e viu O Código Da Vinci SUGADO !!!!!")</f>
        <v>sexta-feira sai com kelsie e fomos e viu O Código Da Vinci SUGADO !!!!!</v>
      </c>
      <c r="B9684" s="3">
        <v>0</v>
      </c>
    </row>
    <row r="9685" ht="15.75" customHeight="1" spans="1:2">
      <c r="A9685" s="3" t="str">
        <f>IFERROR(__xludf.DUMMYFUNCTION("GOOGLETRANSLATE(A9685,""en"",""pt"")"),"Combinando a opinião / revisão de Gary e Gin Zen, O Código Da Vinci é uma porcaria.")</f>
        <v>Combinando a opinião / revisão de Gary e Gin Zen, O Código Da Vinci é uma porcaria.</v>
      </c>
      <c r="B9685" s="3">
        <v>0</v>
      </c>
    </row>
    <row r="9686" ht="15.75" customHeight="1" spans="1:2">
      <c r="A9686" s="3" t="str">
        <f>IFERROR(__xludf.DUMMYFUNCTION("GOOGLETRANSLATE(A9686,""en"",""pt"")"),"Código Da Vinci suga ser ...")</f>
        <v>Código Da Vinci suga ser ...</v>
      </c>
      <c r="B9686" s="3">
        <v>0</v>
      </c>
    </row>
    <row r="9687" ht="15.75" customHeight="1" spans="1:2">
      <c r="A9687" s="3" t="str">
        <f>IFERROR(__xludf.DUMMYFUNCTION("GOOGLETRANSLATE(A9687,""en"",""pt"")"),"Código Da Vinci sugado ..")</f>
        <v>Código Da Vinci sugado ..</v>
      </c>
      <c r="B9687" s="3">
        <v>0</v>
      </c>
    </row>
    <row r="9688" ht="15.75" customHeight="1" spans="1:2">
      <c r="A9688" s="3" t="str">
        <f>IFERROR(__xludf.DUMMYFUNCTION("GOOGLETRANSLATE(A9688,""en"",""pt"")"),"O Código Da Vinci chupado grande.")</f>
        <v>O Código Da Vinci chupado grande.</v>
      </c>
      <c r="B9688" s="3">
        <v>0</v>
      </c>
    </row>
    <row r="9689" ht="15.75" customHeight="1" spans="1:2">
      <c r="A9689" s="3" t="str">
        <f>IFERROR(__xludf.DUMMYFUNCTION("GOOGLETRANSLATE(A9689,""en"",""pt"")"),"Código Da Vinci = Cima, Cima, Baixo, Baixo, Esquerda, Direita, Esquerda, Direita, B, A, SUGAM!")</f>
        <v>Código Da Vinci = Cima, Cima, Baixo, Baixo, Esquerda, Direita, Esquerda, Direita, B, A, SUGAM!</v>
      </c>
      <c r="B9689" s="3">
        <v>0</v>
      </c>
    </row>
    <row r="9690" ht="15.75" customHeight="1" spans="1:2">
      <c r="A9690" s="3" t="str">
        <f>IFERROR(__xludf.DUMMYFUNCTION("GOOGLETRANSLATE(A9690,""en"",""pt"")"),"a propósito, o Código Da Vinci sugado, apenas deixando você sabe ...")</f>
        <v>a propósito, o Código Da Vinci sugado, apenas deixando você sabe ...</v>
      </c>
      <c r="B9690" s="3">
        <v>0</v>
      </c>
    </row>
    <row r="9691" ht="15.75" customHeight="1" spans="1:2">
      <c r="A9691" s="3" t="str">
        <f>IFERROR(__xludf.DUMMYFUNCTION("GOOGLETRANSLATE(A9691,""en"",""pt"")"),"eu ouvi Código Da Vinci sugado soo apenas 2,5 estrelas:")</f>
        <v>eu ouvi Código Da Vinci sugado soo apenas 2,5 estrelas:</v>
      </c>
      <c r="B9691" s="3">
        <v>0</v>
      </c>
    </row>
    <row r="9692" ht="15.75" customHeight="1" spans="1:2">
      <c r="A9692" s="3" t="str">
        <f>IFERROR(__xludf.DUMMYFUNCTION("GOOGLETRANSLATE(A9692,""en"",""pt"")"),"Código Da Vinci é uma porcaria ...")</f>
        <v>Código Da Vinci é uma porcaria ...</v>
      </c>
      <c r="B9692" s="3">
        <v>0</v>
      </c>
    </row>
    <row r="9693" ht="15.75" customHeight="1" spans="1:2">
      <c r="A9693" s="3" t="str">
        <f>IFERROR(__xludf.DUMMYFUNCTION("GOOGLETRANSLATE(A9693,""en"",""pt"")"),"Código Da Vinci é uma porcaria.")</f>
        <v>Código Da Vinci é uma porcaria.</v>
      </c>
      <c r="B9693" s="3">
        <v>0</v>
      </c>
    </row>
    <row r="9694" ht="15.75" customHeight="1" spans="1:2">
      <c r="A9694" s="3" t="str">
        <f>IFERROR(__xludf.DUMMYFUNCTION("GOOGLETRANSLATE(A9694,""en"",""pt"")"),"sexta-feira sai com kelsie e fomos e viu O Código Da Vinci SUGADO !!!!!")</f>
        <v>sexta-feira sai com kelsie e fomos e viu O Código Da Vinci SUGADO !!!!!</v>
      </c>
      <c r="B9694" s="3">
        <v>0</v>
      </c>
    </row>
    <row r="9695" ht="15.75" customHeight="1" spans="1:2">
      <c r="A9695" s="3" t="str">
        <f>IFERROR(__xludf.DUMMYFUNCTION("GOOGLETRANSLATE(A9695,""en"",""pt"")"),"Combinando a opinião / revisão de Gary e Gin Zen, O Código Da Vinci é uma porcaria.")</f>
        <v>Combinando a opinião / revisão de Gary e Gin Zen, O Código Da Vinci é uma porcaria.</v>
      </c>
      <c r="B9695" s="3">
        <v>0</v>
      </c>
    </row>
    <row r="9696" ht="15.75" customHeight="1" spans="1:2">
      <c r="A9696" s="3" t="str">
        <f>IFERROR(__xludf.DUMMYFUNCTION("GOOGLETRANSLATE(A9696,""en"",""pt"")"),"Código Da Vinci suga ser ...")</f>
        <v>Código Da Vinci suga ser ...</v>
      </c>
      <c r="B9696" s="3">
        <v>0</v>
      </c>
    </row>
    <row r="9697" ht="15.75" customHeight="1" spans="1:2">
      <c r="A9697" s="3" t="str">
        <f>IFERROR(__xludf.DUMMYFUNCTION("GOOGLETRANSLATE(A9697,""en"",""pt"")"),"Código Da Vinci sugado ..")</f>
        <v>Código Da Vinci sugado ..</v>
      </c>
      <c r="B9697" s="3">
        <v>0</v>
      </c>
    </row>
    <row r="9698" ht="15.75" customHeight="1" spans="1:2">
      <c r="A9698" s="3" t="str">
        <f>IFERROR(__xludf.DUMMYFUNCTION("GOOGLETRANSLATE(A9698,""en"",""pt"")"),"O Código Da Vinci chupado grande.")</f>
        <v>O Código Da Vinci chupado grande.</v>
      </c>
      <c r="B9698" s="3">
        <v>0</v>
      </c>
    </row>
    <row r="9699" ht="15.75" customHeight="1" spans="1:2">
      <c r="A9699" s="3" t="str">
        <f>IFERROR(__xludf.DUMMYFUNCTION("GOOGLETRANSLATE(A9699,""en"",""pt"")"),"Código Da Vinci = Cima, Cima, Baixo, Baixo, Esquerda, Direita, Esquerda, Direita, B, A, SUGAM!")</f>
        <v>Código Da Vinci = Cima, Cima, Baixo, Baixo, Esquerda, Direita, Esquerda, Direita, B, A, SUGAM!</v>
      </c>
      <c r="B9699" s="3">
        <v>0</v>
      </c>
    </row>
    <row r="9700" ht="15.75" customHeight="1" spans="1:2">
      <c r="A9700" s="3" t="str">
        <f>IFERROR(__xludf.DUMMYFUNCTION("GOOGLETRANSLATE(A9700,""en"",""pt"")"),"a propósito, o Código Da Vinci sugado, apenas deixando você sabe ...")</f>
        <v>a propósito, o Código Da Vinci sugado, apenas deixando você sabe ...</v>
      </c>
      <c r="B9700" s="3">
        <v>0</v>
      </c>
    </row>
    <row r="9701" ht="15.75" customHeight="1" spans="1:2">
      <c r="A9701" s="3" t="str">
        <f>IFERROR(__xludf.DUMMYFUNCTION("GOOGLETRANSLATE(A9701,""en"",""pt"")"),"eu ouvi Código Da Vinci sugado soo apenas 2,5 estrelas:")</f>
        <v>eu ouvi Código Da Vinci sugado soo apenas 2,5 estrelas:</v>
      </c>
      <c r="B9701" s="3">
        <v>0</v>
      </c>
    </row>
    <row r="9702" ht="15.75" customHeight="1" spans="1:2">
      <c r="A9702" s="3" t="str">
        <f>IFERROR(__xludf.DUMMYFUNCTION("GOOGLETRANSLATE(A9702,""en"",""pt"")"),"Código Da Vinci é uma porcaria ...")</f>
        <v>Código Da Vinci é uma porcaria ...</v>
      </c>
      <c r="B9702" s="3">
        <v>0</v>
      </c>
    </row>
    <row r="9703" ht="15.75" customHeight="1" spans="1:2">
      <c r="A9703" s="3" t="str">
        <f>IFERROR(__xludf.DUMMYFUNCTION("GOOGLETRANSLATE(A9703,""en"",""pt"")"),"Código Da Vinci é uma porcaria.")</f>
        <v>Código Da Vinci é uma porcaria.</v>
      </c>
      <c r="B9703" s="3">
        <v>0</v>
      </c>
    </row>
    <row r="9704" ht="15.75" customHeight="1" spans="1:2">
      <c r="A9704" s="3" t="s">
        <v>43</v>
      </c>
      <c r="B9704" s="3">
        <v>0</v>
      </c>
    </row>
    <row r="9705" ht="15.75" customHeight="1" spans="1:2">
      <c r="A9705" s="3" t="str">
        <f>IFERROR(__xludf.DUMMYFUNCTION("GOOGLETRANSLATE(A9705,""en"",""pt"")"),"Combinando a opinião / revisão de Gary e Gin Zen, O Código Da Vinci é uma porcaria.")</f>
        <v>Combinando a opinião / revisão de Gary e Gin Zen, O Código Da Vinci é uma porcaria.</v>
      </c>
      <c r="B9705" s="3">
        <v>0</v>
      </c>
    </row>
    <row r="9706" ht="15.75" customHeight="1" spans="1:2">
      <c r="A9706" s="3" t="str">
        <f>IFERROR(__xludf.DUMMYFUNCTION("GOOGLETRANSLATE(A9706,""en"",""pt"")"),"Código Da Vinci suga ser ...")</f>
        <v>Código Da Vinci suga ser ...</v>
      </c>
      <c r="B9706" s="3">
        <v>0</v>
      </c>
    </row>
    <row r="9707" ht="15.75" customHeight="1" spans="1:2">
      <c r="A9707" s="3" t="str">
        <f>IFERROR(__xludf.DUMMYFUNCTION("GOOGLETRANSLATE(A9707,""en"",""pt"")"),"Código Da Vinci sugado ..")</f>
        <v>Código Da Vinci sugado ..</v>
      </c>
      <c r="B9707" s="3">
        <v>0</v>
      </c>
    </row>
    <row r="9708" ht="15.75" customHeight="1" spans="1:2">
      <c r="A9708" s="3" t="str">
        <f>IFERROR(__xludf.DUMMYFUNCTION("GOOGLETRANSLATE(A9708,""en"",""pt"")"),"O Código Da Vinci chupado grande.")</f>
        <v>O Código Da Vinci chupado grande.</v>
      </c>
      <c r="B9708" s="3">
        <v>0</v>
      </c>
    </row>
    <row r="9709" ht="15.75" customHeight="1" spans="1:2">
      <c r="A9709" s="3" t="str">
        <f>IFERROR(__xludf.DUMMYFUNCTION("GOOGLETRANSLATE(A9709,""en"",""pt"")"),"Código Da Vinci = Cima, Cima, Baixo, Baixo, Esquerda, Direita, Esquerda, Direita, B, A, SUGAM!")</f>
        <v>Código Da Vinci = Cima, Cima, Baixo, Baixo, Esquerda, Direita, Esquerda, Direita, B, A, SUGAM!</v>
      </c>
      <c r="B9709" s="3">
        <v>0</v>
      </c>
    </row>
    <row r="9710" ht="15.75" customHeight="1" spans="1:2">
      <c r="A9710" s="3" t="str">
        <f>IFERROR(__xludf.DUMMYFUNCTION("GOOGLETRANSLATE(A9710,""en"",""pt"")"),"a propósito, o Código Da Vinci sugado, apenas deixando você sabe ...")</f>
        <v>a propósito, o Código Da Vinci sugado, apenas deixando você sabe ...</v>
      </c>
      <c r="B9710" s="3">
        <v>0</v>
      </c>
    </row>
    <row r="9711" ht="15.75" customHeight="1" spans="1:2">
      <c r="A9711" s="3" t="str">
        <f>IFERROR(__xludf.DUMMYFUNCTION("GOOGLETRANSLATE(A9711,""en"",""pt"")"),"eu ouvi Código Da Vinci sugado soo apenas 2,5 estrelas:")</f>
        <v>eu ouvi Código Da Vinci sugado soo apenas 2,5 estrelas:</v>
      </c>
      <c r="B9711" s="3">
        <v>0</v>
      </c>
    </row>
    <row r="9712" ht="15.75" customHeight="1" spans="1:2">
      <c r="A9712" s="3" t="str">
        <f>IFERROR(__xludf.DUMMYFUNCTION("GOOGLETRANSLATE(A9712,""en"",""pt"")"),"Código Da Vinci é uma porcaria ...")</f>
        <v>Código Da Vinci é uma porcaria ...</v>
      </c>
      <c r="B9712" s="3">
        <v>0</v>
      </c>
    </row>
    <row r="9713" ht="15.75" customHeight="1" spans="1:2">
      <c r="A9713" s="3" t="str">
        <f>IFERROR(__xludf.DUMMYFUNCTION("GOOGLETRANSLATE(A9713,""en"",""pt"")"),"Código Da Vinci é uma porcaria.")</f>
        <v>Código Da Vinci é uma porcaria.</v>
      </c>
      <c r="B9713" s="3">
        <v>0</v>
      </c>
    </row>
    <row r="9714" ht="15.75" customHeight="1" spans="1:2">
      <c r="A9714" s="3" t="str">
        <f>IFERROR(__xludf.DUMMYFUNCTION("GOOGLETRANSLATE(A9714,""en"",""pt"")"),"sexta-feira sai com kelsie e fomos e viu O Código Da Vinci SUGADO !!!!!")</f>
        <v>sexta-feira sai com kelsie e fomos e viu O Código Da Vinci SUGADO !!!!!</v>
      </c>
      <c r="B9714" s="3">
        <v>0</v>
      </c>
    </row>
    <row r="9715" ht="15.75" customHeight="1" spans="1:2">
      <c r="A9715" s="3" t="str">
        <f>IFERROR(__xludf.DUMMYFUNCTION("GOOGLETRANSLATE(A9715,""en"",""pt"")"),"Combinando a opinião / revisão de Gary e Gin Zen, O Código Da Vinci é uma porcaria.")</f>
        <v>Combinando a opinião / revisão de Gary e Gin Zen, O Código Da Vinci é uma porcaria.</v>
      </c>
      <c r="B9715" s="3">
        <v>0</v>
      </c>
    </row>
    <row r="9716" ht="15.75" customHeight="1" spans="1:2">
      <c r="A9716" s="3" t="str">
        <f>IFERROR(__xludf.DUMMYFUNCTION("GOOGLETRANSLATE(A9716,""en"",""pt"")"),"Código Da Vinci suga ser ...")</f>
        <v>Código Da Vinci suga ser ...</v>
      </c>
      <c r="B9716" s="3">
        <v>0</v>
      </c>
    </row>
    <row r="9717" ht="15.75" customHeight="1" spans="1:2">
      <c r="A9717" s="3" t="str">
        <f>IFERROR(__xludf.DUMMYFUNCTION("GOOGLETRANSLATE(A9717,""en"",""pt"")"),"Código Da Vinci sugado ..")</f>
        <v>Código Da Vinci sugado ..</v>
      </c>
      <c r="B9717" s="3">
        <v>0</v>
      </c>
    </row>
    <row r="9718" ht="15.75" customHeight="1" spans="1:2">
      <c r="A9718" s="3" t="str">
        <f>IFERROR(__xludf.DUMMYFUNCTION("GOOGLETRANSLATE(A9718,""en"",""pt"")"),"O Código Da Vinci chupado grande.")</f>
        <v>O Código Da Vinci chupado grande.</v>
      </c>
      <c r="B9718" s="3">
        <v>0</v>
      </c>
    </row>
    <row r="9719" ht="15.75" customHeight="1" spans="1:2">
      <c r="A9719" s="3" t="str">
        <f>IFERROR(__xludf.DUMMYFUNCTION("GOOGLETRANSLATE(A9719,""en"",""pt"")"),"Código Da Vinci = Cima, Cima, Baixo, Baixo, Esquerda, Direita, Esquerda, Direita, B, A, SUGAM!")</f>
        <v>Código Da Vinci = Cima, Cima, Baixo, Baixo, Esquerda, Direita, Esquerda, Direita, B, A, SUGAM!</v>
      </c>
      <c r="B9719" s="3">
        <v>0</v>
      </c>
    </row>
    <row r="9720" ht="15.75" customHeight="1" spans="1:2">
      <c r="A9720" s="3" t="str">
        <f>IFERROR(__xludf.DUMMYFUNCTION("GOOGLETRANSLATE(A9720,""en"",""pt"")"),"a propósito, o Código Da Vinci sugado, apenas deixando você sabe ...")</f>
        <v>a propósito, o Código Da Vinci sugado, apenas deixando você sabe ...</v>
      </c>
      <c r="B9720" s="3">
        <v>0</v>
      </c>
    </row>
    <row r="9721" ht="15.75" customHeight="1" spans="1:2">
      <c r="A9721" s="3" t="str">
        <f>IFERROR(__xludf.DUMMYFUNCTION("GOOGLETRANSLATE(A9721,""en"",""pt"")"),"eu ouvi Código Da Vinci sugado soo apenas 2,5 estrelas:")</f>
        <v>eu ouvi Código Da Vinci sugado soo apenas 2,5 estrelas:</v>
      </c>
      <c r="B9721" s="3">
        <v>0</v>
      </c>
    </row>
    <row r="9722" ht="15.75" customHeight="1" spans="1:2">
      <c r="A9722" s="3" t="str">
        <f>IFERROR(__xludf.DUMMYFUNCTION("GOOGLETRANSLATE(A9722,""en"",""pt"")"),"Código Da Vinci é uma porcaria ...")</f>
        <v>Código Da Vinci é uma porcaria ...</v>
      </c>
      <c r="B9722" s="3">
        <v>0</v>
      </c>
    </row>
    <row r="9723" ht="15.75" customHeight="1" spans="1:2">
      <c r="A9723" s="3" t="str">
        <f>IFERROR(__xludf.DUMMYFUNCTION("GOOGLETRANSLATE(A9723,""en"",""pt"")"),"Código Da Vinci é uma porcaria.")</f>
        <v>Código Da Vinci é uma porcaria.</v>
      </c>
      <c r="B9723" s="3">
        <v>0</v>
      </c>
    </row>
    <row r="9724" ht="15.75" customHeight="1" spans="1:2">
      <c r="A9724" s="3" t="str">
        <f>IFERROR(__xludf.DUMMYFUNCTION("GOOGLETRANSLATE(A9724,""en"",""pt"")"),"sexta-feira sai com kelsie e fomos e viu O Código Da Vinci SUGADO !!!!!")</f>
        <v>sexta-feira sai com kelsie e fomos e viu O Código Da Vinci SUGADO !!!!!</v>
      </c>
      <c r="B9724" s="3">
        <v>0</v>
      </c>
    </row>
    <row r="9725" ht="15.75" customHeight="1" spans="1:2">
      <c r="A9725" s="3" t="str">
        <f>IFERROR(__xludf.DUMMYFUNCTION("GOOGLETRANSLATE(A9725,""en"",""pt"")"),"Combinando a opinião / revisão de Gary e Gin Zen, O Código Da Vinci é uma porcaria.")</f>
        <v>Combinando a opinião / revisão de Gary e Gin Zen, O Código Da Vinci é uma porcaria.</v>
      </c>
      <c r="B9725" s="3">
        <v>0</v>
      </c>
    </row>
    <row r="9726" ht="15.75" customHeight="1" spans="1:2">
      <c r="A9726" s="3" t="str">
        <f>IFERROR(__xludf.DUMMYFUNCTION("GOOGLETRANSLATE(A9726,""en"",""pt"")"),"Código Da Vinci suga ser ...")</f>
        <v>Código Da Vinci suga ser ...</v>
      </c>
      <c r="B9726" s="3">
        <v>0</v>
      </c>
    </row>
    <row r="9727" ht="15.75" customHeight="1" spans="1:2">
      <c r="A9727" s="3" t="str">
        <f>IFERROR(__xludf.DUMMYFUNCTION("GOOGLETRANSLATE(A9727,""en"",""pt"")"),"Código Da Vinci sugado ..")</f>
        <v>Código Da Vinci sugado ..</v>
      </c>
      <c r="B9727" s="3">
        <v>0</v>
      </c>
    </row>
    <row r="9728" ht="15.75" customHeight="1" spans="1:2">
      <c r="A9728" s="3" t="str">
        <f>IFERROR(__xludf.DUMMYFUNCTION("GOOGLETRANSLATE(A9728,""en"",""pt"")"),"O Código Da Vinci chupado grande.")</f>
        <v>O Código Da Vinci chupado grande.</v>
      </c>
      <c r="B9728" s="3">
        <v>0</v>
      </c>
    </row>
    <row r="9729" ht="15.75" customHeight="1" spans="1:2">
      <c r="A9729" s="3" t="str">
        <f>IFERROR(__xludf.DUMMYFUNCTION("GOOGLETRANSLATE(A9729,""en"",""pt"")"),"Código Da Vinci = Cima, Cima, Baixo, Baixo, Esquerda, Direita, Esquerda, Direita, B, A, SUGAM!")</f>
        <v>Código Da Vinci = Cima, Cima, Baixo, Baixo, Esquerda, Direita, Esquerda, Direita, B, A, SUGAM!</v>
      </c>
      <c r="B9729" s="3">
        <v>0</v>
      </c>
    </row>
    <row r="9730" ht="15.75" customHeight="1" spans="1:2">
      <c r="A9730" s="3" t="str">
        <f>IFERROR(__xludf.DUMMYFUNCTION("GOOGLETRANSLATE(A9730,""en"",""pt"")"),"a propósito, o Código Da Vinci sugado, apenas deixando você sabe ...")</f>
        <v>a propósito, o Código Da Vinci sugado, apenas deixando você sabe ...</v>
      </c>
      <c r="B9730" s="3">
        <v>0</v>
      </c>
    </row>
    <row r="9731" ht="15.75" customHeight="1" spans="1:2">
      <c r="A9731" s="3" t="str">
        <f>IFERROR(__xludf.DUMMYFUNCTION("GOOGLETRANSLATE(A9731,""en"",""pt"")"),"eu ouvi Código Da Vinci sugado soo apenas 2,5 estrelas:")</f>
        <v>eu ouvi Código Da Vinci sugado soo apenas 2,5 estrelas:</v>
      </c>
      <c r="B9731" s="3">
        <v>0</v>
      </c>
    </row>
    <row r="9732" ht="15.75" customHeight="1" spans="1:2">
      <c r="A9732" s="3" t="str">
        <f>IFERROR(__xludf.DUMMYFUNCTION("GOOGLETRANSLATE(A9732,""en"",""pt"")"),"Código Da Vinci é uma porcaria ...")</f>
        <v>Código Da Vinci é uma porcaria ...</v>
      </c>
      <c r="B9732" s="3">
        <v>0</v>
      </c>
    </row>
    <row r="9733" ht="15.75" customHeight="1" spans="1:2">
      <c r="A9733" s="3" t="str">
        <f>IFERROR(__xludf.DUMMYFUNCTION("GOOGLETRANSLATE(A9733,""en"",""pt"")"),"Código Da Vinci é uma porcaria.")</f>
        <v>Código Da Vinci é uma porcaria.</v>
      </c>
      <c r="B9733" s="3">
        <v>0</v>
      </c>
    </row>
    <row r="9734" ht="15.75" customHeight="1" spans="1:2">
      <c r="A9734" s="3" t="str">
        <f>IFERROR(__xludf.DUMMYFUNCTION("GOOGLETRANSLATE(A9734,""en"",""pt"")"),"sexta-feira sai com kelsie e fomos e viu O Código Da Vinci SUGADO !!!!!")</f>
        <v>sexta-feira sai com kelsie e fomos e viu O Código Da Vinci SUGADO !!!!!</v>
      </c>
      <c r="B9734" s="3">
        <v>0</v>
      </c>
    </row>
    <row r="9735" ht="15.75" customHeight="1" spans="1:2">
      <c r="A9735" s="3" t="str">
        <f>IFERROR(__xludf.DUMMYFUNCTION("GOOGLETRANSLATE(A9735,""en"",""pt"")"),"Combinando a opinião / revisão de Gary e Gin Zen, O Código Da Vinci é uma porcaria.")</f>
        <v>Combinando a opinião / revisão de Gary e Gin Zen, O Código Da Vinci é uma porcaria.</v>
      </c>
      <c r="B9735" s="3">
        <v>0</v>
      </c>
    </row>
    <row r="9736" ht="15.75" customHeight="1" spans="1:2">
      <c r="A9736" s="3" t="str">
        <f>IFERROR(__xludf.DUMMYFUNCTION("GOOGLETRANSLATE(A9736,""en"",""pt"")"),"Código Da Vinci suga ser ...")</f>
        <v>Código Da Vinci suga ser ...</v>
      </c>
      <c r="B9736" s="3">
        <v>0</v>
      </c>
    </row>
    <row r="9737" ht="15.75" customHeight="1" spans="1:2">
      <c r="A9737" s="3" t="str">
        <f>IFERROR(__xludf.DUMMYFUNCTION("GOOGLETRANSLATE(A9737,""en"",""pt"")"),"Código Da Vinci sugado ..")</f>
        <v>Código Da Vinci sugado ..</v>
      </c>
      <c r="B9737" s="3">
        <v>0</v>
      </c>
    </row>
    <row r="9738" ht="15.75" customHeight="1" spans="1:2">
      <c r="A9738" s="3" t="str">
        <f>IFERROR(__xludf.DUMMYFUNCTION("GOOGLETRANSLATE(A9738,""en"",""pt"")"),"O Código Da Vinci chupado grande.")</f>
        <v>O Código Da Vinci chupado grande.</v>
      </c>
      <c r="B9738" s="3">
        <v>0</v>
      </c>
    </row>
    <row r="9739" ht="15.75" customHeight="1" spans="1:2">
      <c r="A9739" s="3" t="str">
        <f>IFERROR(__xludf.DUMMYFUNCTION("GOOGLETRANSLATE(A9739,""en"",""pt"")"),"Código Da Vinci = Cima, Cima, Baixo, Baixo, Esquerda, Direita, Esquerda, Direita, B, A, SUGAM!")</f>
        <v>Código Da Vinci = Cima, Cima, Baixo, Baixo, Esquerda, Direita, Esquerda, Direita, B, A, SUGAM!</v>
      </c>
      <c r="B9739" s="3">
        <v>0</v>
      </c>
    </row>
    <row r="9740" ht="15.75" customHeight="1" spans="1:2">
      <c r="A9740" s="3" t="str">
        <f>IFERROR(__xludf.DUMMYFUNCTION("GOOGLETRANSLATE(A9740,""en"",""pt"")"),"a propósito, o Código Da Vinci sugado, apenas deixando você sabe ...")</f>
        <v>a propósito, o Código Da Vinci sugado, apenas deixando você sabe ...</v>
      </c>
      <c r="B9740" s="3">
        <v>0</v>
      </c>
    </row>
    <row r="9741" ht="15.75" customHeight="1" spans="1:2">
      <c r="A9741" s="3" t="str">
        <f>IFERROR(__xludf.DUMMYFUNCTION("GOOGLETRANSLATE(A9741,""en"",""pt"")"),"eu ouvi Código Da Vinci sugado soo apenas 2,5 estrelas:")</f>
        <v>eu ouvi Código Da Vinci sugado soo apenas 2,5 estrelas:</v>
      </c>
      <c r="B9741" s="3">
        <v>0</v>
      </c>
    </row>
    <row r="9742" ht="15.75" customHeight="1" spans="1:2">
      <c r="A9742" s="3" t="str">
        <f>IFERROR(__xludf.DUMMYFUNCTION("GOOGLETRANSLATE(A9742,""en"",""pt"")"),"Código Da Vinci é uma porcaria ...")</f>
        <v>Código Da Vinci é uma porcaria ...</v>
      </c>
      <c r="B9742" s="3">
        <v>0</v>
      </c>
    </row>
    <row r="9743" ht="15.75" customHeight="1" spans="1:2">
      <c r="A9743" s="3" t="str">
        <f>IFERROR(__xludf.DUMMYFUNCTION("GOOGLETRANSLATE(A9743,""en"",""pt"")"),"Código Da Vinci é uma porcaria.")</f>
        <v>Código Da Vinci é uma porcaria.</v>
      </c>
      <c r="B9743" s="3">
        <v>0</v>
      </c>
    </row>
    <row r="9744" ht="15.75" customHeight="1" spans="1:2">
      <c r="A9744" s="3" t="str">
        <f>IFERROR(__xludf.DUMMYFUNCTION("GOOGLETRANSLATE(A9744,""en"",""pt"")"),"sexta-feira sai com kelsie e fomos e viu O Código Da Vinci SUGADO !!!!!")</f>
        <v>sexta-feira sai com kelsie e fomos e viu O Código Da Vinci SUGADO !!!!!</v>
      </c>
      <c r="B9744" s="3">
        <v>0</v>
      </c>
    </row>
    <row r="9745" ht="15.75" customHeight="1" spans="1:2">
      <c r="A9745" s="3" t="str">
        <f>IFERROR(__xludf.DUMMYFUNCTION("GOOGLETRANSLATE(A9745,""en"",""pt"")"),"Combinando a opinião / revisão de Gary e Gin Zen, O Código Da Vinci é uma porcaria.")</f>
        <v>Combinando a opinião / revisão de Gary e Gin Zen, O Código Da Vinci é uma porcaria.</v>
      </c>
      <c r="B9745" s="3">
        <v>0</v>
      </c>
    </row>
    <row r="9746" ht="15.75" customHeight="1" spans="1:2">
      <c r="A9746" s="3" t="str">
        <f>IFERROR(__xludf.DUMMYFUNCTION("GOOGLETRANSLATE(A9746,""en"",""pt"")"),"Código Da Vinci suga ser ...")</f>
        <v>Código Da Vinci suga ser ...</v>
      </c>
      <c r="B9746" s="3">
        <v>0</v>
      </c>
    </row>
    <row r="9747" ht="15.75" customHeight="1" spans="1:2">
      <c r="A9747" s="3" t="str">
        <f>IFERROR(__xludf.DUMMYFUNCTION("GOOGLETRANSLATE(A9747,""en"",""pt"")"),"Código Da Vinci sugado ..")</f>
        <v>Código Da Vinci sugado ..</v>
      </c>
      <c r="B9747" s="3">
        <v>0</v>
      </c>
    </row>
    <row r="9748" ht="15.75" customHeight="1" spans="1:2">
      <c r="A9748" s="3" t="str">
        <f>IFERROR(__xludf.DUMMYFUNCTION("GOOGLETRANSLATE(A9748,""en"",""pt"")"),"O Código Da Vinci chupado grande.")</f>
        <v>O Código Da Vinci chupado grande.</v>
      </c>
      <c r="B9748" s="3">
        <v>0</v>
      </c>
    </row>
    <row r="9749" ht="15.75" customHeight="1" spans="1:2">
      <c r="A9749" s="3" t="str">
        <f>IFERROR(__xludf.DUMMYFUNCTION("GOOGLETRANSLATE(A9749,""en"",""pt"")"),"Código Da Vinci = Cima, Cima, Baixo, Baixo, Esquerda, Direita, Esquerda, Direita, B, A, SUGAM!")</f>
        <v>Código Da Vinci = Cima, Cima, Baixo, Baixo, Esquerda, Direita, Esquerda, Direita, B, A, SUGAM!</v>
      </c>
      <c r="B9749" s="3">
        <v>0</v>
      </c>
    </row>
    <row r="9750" ht="15.75" customHeight="1" spans="1:2">
      <c r="A9750" s="3" t="str">
        <f>IFERROR(__xludf.DUMMYFUNCTION("GOOGLETRANSLATE(A9750,""en"",""pt"")"),"a propósito, o Código Da Vinci sugado, apenas deixando você sabe ...")</f>
        <v>a propósito, o Código Da Vinci sugado, apenas deixando você sabe ...</v>
      </c>
      <c r="B9750" s="3">
        <v>0</v>
      </c>
    </row>
    <row r="9751" ht="15.75" customHeight="1" spans="1:2">
      <c r="A9751" s="3" t="str">
        <f>IFERROR(__xludf.DUMMYFUNCTION("GOOGLETRANSLATE(A9751,""en"",""pt"")"),"eu ouvi Código Da Vinci sugado soo apenas 2,5 estrelas:")</f>
        <v>eu ouvi Código Da Vinci sugado soo apenas 2,5 estrelas:</v>
      </c>
      <c r="B9751" s="3">
        <v>0</v>
      </c>
    </row>
    <row r="9752" ht="15.75" customHeight="1" spans="1:2">
      <c r="A9752" s="3" t="str">
        <f>IFERROR(__xludf.DUMMYFUNCTION("GOOGLETRANSLATE(A9752,""en"",""pt"")"),"Código Da Vinci é uma porcaria ...")</f>
        <v>Código Da Vinci é uma porcaria ...</v>
      </c>
      <c r="B9752" s="3">
        <v>0</v>
      </c>
    </row>
    <row r="9753" ht="15.75" customHeight="1" spans="1:2">
      <c r="A9753" s="3" t="str">
        <f>IFERROR(__xludf.DUMMYFUNCTION("GOOGLETRANSLATE(A9753,""en"",""pt"")"),"Código Da Vinci é uma porcaria.")</f>
        <v>Código Da Vinci é uma porcaria.</v>
      </c>
      <c r="B9753" s="3">
        <v>0</v>
      </c>
    </row>
    <row r="9754" ht="15.75" customHeight="1" spans="1:2">
      <c r="A9754" s="3" t="str">
        <f>IFERROR(__xludf.DUMMYFUNCTION("GOOGLETRANSLATE(A9754,""en"",""pt"")"),"sexta-feira sai com kelsie e fomos e viu O Código Da Vinci SUGADO !!!!!")</f>
        <v>sexta-feira sai com kelsie e fomos e viu O Código Da Vinci SUGADO !!!!!</v>
      </c>
      <c r="B9754" s="3">
        <v>0</v>
      </c>
    </row>
    <row r="9755" ht="15.75" customHeight="1" spans="1:2">
      <c r="A9755" s="3" t="str">
        <f>IFERROR(__xludf.DUMMYFUNCTION("GOOGLETRANSLATE(A9755,""en"",""pt"")"),"Combinando a opinião / revisão de Gary e Gin Zen, O Código Da Vinci é uma porcaria.")</f>
        <v>Combinando a opinião / revisão de Gary e Gin Zen, O Código Da Vinci é uma porcaria.</v>
      </c>
      <c r="B9755" s="3">
        <v>0</v>
      </c>
    </row>
    <row r="9756" ht="15.75" customHeight="1" spans="1:2">
      <c r="A9756" s="3" t="str">
        <f>IFERROR(__xludf.DUMMYFUNCTION("GOOGLETRANSLATE(A9756,""en"",""pt"")"),"Código Da Vinci suga ser ...")</f>
        <v>Código Da Vinci suga ser ...</v>
      </c>
      <c r="B9756" s="3">
        <v>0</v>
      </c>
    </row>
    <row r="9757" ht="15.75" customHeight="1" spans="1:2">
      <c r="A9757" s="3" t="str">
        <f>IFERROR(__xludf.DUMMYFUNCTION("GOOGLETRANSLATE(A9757,""en"",""pt"")"),"Código Da Vinci sugado ..")</f>
        <v>Código Da Vinci sugado ..</v>
      </c>
      <c r="B9757" s="3">
        <v>0</v>
      </c>
    </row>
    <row r="9758" ht="15.75" customHeight="1" spans="1:2">
      <c r="A9758" s="3" t="str">
        <f>IFERROR(__xludf.DUMMYFUNCTION("GOOGLETRANSLATE(A9758,""en"",""pt"")"),"O Código Da Vinci chupado grande.")</f>
        <v>O Código Da Vinci chupado grande.</v>
      </c>
      <c r="B9758" s="3">
        <v>0</v>
      </c>
    </row>
    <row r="9759" ht="15.75" customHeight="1" spans="1:2">
      <c r="A9759" s="3" t="str">
        <f>IFERROR(__xludf.DUMMYFUNCTION("GOOGLETRANSLATE(A9759,""en"",""pt"")"),"Código Da Vinci = Cima, Cima, Baixo, Baixo, Esquerda, Direita, Esquerda, Direita, B, A, SUGAM!")</f>
        <v>Código Da Vinci = Cima, Cima, Baixo, Baixo, Esquerda, Direita, Esquerda, Direita, B, A, SUGAM!</v>
      </c>
      <c r="B9759" s="3">
        <v>0</v>
      </c>
    </row>
    <row r="9760" ht="15.75" customHeight="1" spans="1:2">
      <c r="A9760" s="3" t="str">
        <f>IFERROR(__xludf.DUMMYFUNCTION("GOOGLETRANSLATE(A9760,""en"",""pt"")"),"a propósito, o Código Da Vinci sugado, apenas deixando você sabe ...")</f>
        <v>a propósito, o Código Da Vinci sugado, apenas deixando você sabe ...</v>
      </c>
      <c r="B9760" s="3">
        <v>0</v>
      </c>
    </row>
    <row r="9761" ht="15.75" customHeight="1" spans="1:2">
      <c r="A9761" s="3" t="str">
        <f>IFERROR(__xludf.DUMMYFUNCTION("GOOGLETRANSLATE(A9761,""en"",""pt"")"),"eu ouvi Código Da Vinci sugado soo apenas 2,5 estrelas:")</f>
        <v>eu ouvi Código Da Vinci sugado soo apenas 2,5 estrelas:</v>
      </c>
      <c r="B9761" s="3">
        <v>0</v>
      </c>
    </row>
    <row r="9762" ht="15.75" customHeight="1" spans="1:2">
      <c r="A9762" s="3" t="str">
        <f>IFERROR(__xludf.DUMMYFUNCTION("GOOGLETRANSLATE(A9762,""en"",""pt"")"),"Código Da Vinci é uma porcaria ...")</f>
        <v>Código Da Vinci é uma porcaria ...</v>
      </c>
      <c r="B9762" s="3">
        <v>0</v>
      </c>
    </row>
    <row r="9763" ht="15.75" customHeight="1" spans="1:2">
      <c r="A9763" s="3" t="str">
        <f>IFERROR(__xludf.DUMMYFUNCTION("GOOGLETRANSLATE(A9763,""en"",""pt"")"),"Código Da Vinci é uma porcaria.")</f>
        <v>Código Da Vinci é uma porcaria.</v>
      </c>
      <c r="B9763" s="3">
        <v>0</v>
      </c>
    </row>
    <row r="9764" ht="15.75" customHeight="1" spans="1:2">
      <c r="A9764" s="3" t="str">
        <f>IFERROR(__xludf.DUMMYFUNCTION("GOOGLETRANSLATE(A9764,""en"",""pt"")"),"sexta-feira sai com kelsie e fomos e viu O Código Da Vinci SUGADO !!!!!")</f>
        <v>sexta-feira sai com kelsie e fomos e viu O Código Da Vinci SUGADO !!!!!</v>
      </c>
      <c r="B9764" s="3">
        <v>0</v>
      </c>
    </row>
    <row r="9765" ht="15.75" customHeight="1" spans="1:2">
      <c r="A9765" s="3" t="str">
        <f>IFERROR(__xludf.DUMMYFUNCTION("GOOGLETRANSLATE(A9765,""en"",""pt"")"),"Combinando a opinião / revisão de Gary e Gin Zen, O Código Da Vinci é uma porcaria.")</f>
        <v>Combinando a opinião / revisão de Gary e Gin Zen, O Código Da Vinci é uma porcaria.</v>
      </c>
      <c r="B9765" s="3">
        <v>0</v>
      </c>
    </row>
    <row r="9766" ht="15.75" customHeight="1" spans="1:2">
      <c r="A9766" s="3" t="str">
        <f>IFERROR(__xludf.DUMMYFUNCTION("GOOGLETRANSLATE(A9766,""en"",""pt"")"),"Código Da Vinci suga ser ...")</f>
        <v>Código Da Vinci suga ser ...</v>
      </c>
      <c r="B9766" s="3">
        <v>0</v>
      </c>
    </row>
    <row r="9767" ht="15.75" customHeight="1" spans="1:2">
      <c r="A9767" s="3" t="str">
        <f>IFERROR(__xludf.DUMMYFUNCTION("GOOGLETRANSLATE(A9767,""en"",""pt"")"),"Código Da Vinci sugado ..")</f>
        <v>Código Da Vinci sugado ..</v>
      </c>
      <c r="B9767" s="3">
        <v>0</v>
      </c>
    </row>
    <row r="9768" ht="15.75" customHeight="1" spans="1:2">
      <c r="A9768" s="3" t="str">
        <f>IFERROR(__xludf.DUMMYFUNCTION("GOOGLETRANSLATE(A9768,""en"",""pt"")"),"O Código Da Vinci chupado grande.")</f>
        <v>O Código Da Vinci chupado grande.</v>
      </c>
      <c r="B9768" s="3">
        <v>0</v>
      </c>
    </row>
    <row r="9769" ht="15.75" customHeight="1" spans="1:2">
      <c r="A9769" s="3" t="str">
        <f>IFERROR(__xludf.DUMMYFUNCTION("GOOGLETRANSLATE(A9769,""en"",""pt"")"),"Código Da Vinci = Cima, Cima, Baixo, Baixo, Esquerda, Direita, Esquerda, Direita, B, A, SUGAM!")</f>
        <v>Código Da Vinci = Cima, Cima, Baixo, Baixo, Esquerda, Direita, Esquerda, Direita, B, A, SUGAM!</v>
      </c>
      <c r="B9769" s="3">
        <v>0</v>
      </c>
    </row>
    <row r="9770" ht="15.75" customHeight="1" spans="1:2">
      <c r="A9770" s="3" t="str">
        <f>IFERROR(__xludf.DUMMYFUNCTION("GOOGLETRANSLATE(A9770,""en"",""pt"")"),"a propósito, o Código Da Vinci sugado, apenas deixando você sabe ...")</f>
        <v>a propósito, o Código Da Vinci sugado, apenas deixando você sabe ...</v>
      </c>
      <c r="B9770" s="3">
        <v>0</v>
      </c>
    </row>
    <row r="9771" ht="15.75" customHeight="1" spans="1:2">
      <c r="A9771" s="3" t="str">
        <f>IFERROR(__xludf.DUMMYFUNCTION("GOOGLETRANSLATE(A9771,""en"",""pt"")"),"eu ouvi Código Da Vinci sugado soo apenas 2,5 estrelas:")</f>
        <v>eu ouvi Código Da Vinci sugado soo apenas 2,5 estrelas:</v>
      </c>
      <c r="B9771" s="3">
        <v>0</v>
      </c>
    </row>
    <row r="9772" ht="15.75" customHeight="1" spans="1:2">
      <c r="A9772" s="3" t="str">
        <f>IFERROR(__xludf.DUMMYFUNCTION("GOOGLETRANSLATE(A9772,""en"",""pt"")"),"Código Da Vinci é uma porcaria ...")</f>
        <v>Código Da Vinci é uma porcaria ...</v>
      </c>
      <c r="B9772" s="3">
        <v>0</v>
      </c>
    </row>
    <row r="9773" ht="15.75" customHeight="1" spans="1:2">
      <c r="A9773" s="3" t="str">
        <f>IFERROR(__xludf.DUMMYFUNCTION("GOOGLETRANSLATE(A9773,""en"",""pt"")"),"Código Da Vinci é uma porcaria.")</f>
        <v>Código Da Vinci é uma porcaria.</v>
      </c>
      <c r="B9773" s="3">
        <v>0</v>
      </c>
    </row>
    <row r="9774" ht="15.75" customHeight="1" spans="1:2">
      <c r="A9774" s="3" t="str">
        <f>IFERROR(__xludf.DUMMYFUNCTION("GOOGLETRANSLATE(A9774,""en"",""pt"")"),"sexta-feira sai com kelsie e fomos e viu O Código Da Vinci SUGADO !!!!!")</f>
        <v>sexta-feira sai com kelsie e fomos e viu O Código Da Vinci SUGADO !!!!!</v>
      </c>
      <c r="B9774" s="3">
        <v>0</v>
      </c>
    </row>
    <row r="9775" ht="15.75" customHeight="1" spans="1:2">
      <c r="A9775" s="3" t="str">
        <f>IFERROR(__xludf.DUMMYFUNCTION("GOOGLETRANSLATE(A9775,""en"",""pt"")"),"Combinando a opinião / revisão de Gary e Gin Zen, O Código Da Vinci é uma porcaria.")</f>
        <v>Combinando a opinião / revisão de Gary e Gin Zen, O Código Da Vinci é uma porcaria.</v>
      </c>
      <c r="B9775" s="3">
        <v>0</v>
      </c>
    </row>
    <row r="9776" ht="15.75" customHeight="1" spans="1:2">
      <c r="A9776" s="3" t="str">
        <f>IFERROR(__xludf.DUMMYFUNCTION("GOOGLETRANSLATE(A9776,""en"",""pt"")"),"Código Da Vinci suga ser ...")</f>
        <v>Código Da Vinci suga ser ...</v>
      </c>
      <c r="B9776" s="3">
        <v>0</v>
      </c>
    </row>
    <row r="9777" ht="15.75" customHeight="1" spans="1:2">
      <c r="A9777" s="3" t="str">
        <f>IFERROR(__xludf.DUMMYFUNCTION("GOOGLETRANSLATE(A9777,""en"",""pt"")"),"Código Da Vinci sugado ..")</f>
        <v>Código Da Vinci sugado ..</v>
      </c>
      <c r="B9777" s="3">
        <v>0</v>
      </c>
    </row>
    <row r="9778" ht="15.75" customHeight="1" spans="1:2">
      <c r="A9778" s="3" t="str">
        <f>IFERROR(__xludf.DUMMYFUNCTION("GOOGLETRANSLATE(A9778,""en"",""pt"")"),"O Código Da Vinci chupado grande.")</f>
        <v>O Código Da Vinci chupado grande.</v>
      </c>
      <c r="B9778" s="3">
        <v>0</v>
      </c>
    </row>
    <row r="9779" ht="15.75" customHeight="1" spans="1:2">
      <c r="A9779" s="3" t="str">
        <f>IFERROR(__xludf.DUMMYFUNCTION("GOOGLETRANSLATE(A9779,""en"",""pt"")"),"Código Da Vinci = Cima, Cima, Baixo, Baixo, Esquerda, Direita, Esquerda, Direita, B, A, SUGAM!")</f>
        <v>Código Da Vinci = Cima, Cima, Baixo, Baixo, Esquerda, Direita, Esquerda, Direita, B, A, SUGAM!</v>
      </c>
      <c r="B9779" s="3">
        <v>0</v>
      </c>
    </row>
    <row r="9780" ht="15.75" customHeight="1" spans="1:2">
      <c r="A9780" s="3" t="str">
        <f>IFERROR(__xludf.DUMMYFUNCTION("GOOGLETRANSLATE(A9780,""en"",""pt"")"),"a propósito, o Código Da Vinci sugado, apenas deixando você sabe ...")</f>
        <v>a propósito, o Código Da Vinci sugado, apenas deixando você sabe ...</v>
      </c>
      <c r="B9780" s="3">
        <v>0</v>
      </c>
    </row>
    <row r="9781" ht="15.75" customHeight="1" spans="1:2">
      <c r="A9781" s="3" t="str">
        <f>IFERROR(__xludf.DUMMYFUNCTION("GOOGLETRANSLATE(A9781,""en"",""pt"")"),"eu ouvi Código Da Vinci sugado soo apenas 2,5 estrelas:")</f>
        <v>eu ouvi Código Da Vinci sugado soo apenas 2,5 estrelas:</v>
      </c>
      <c r="B9781" s="3">
        <v>0</v>
      </c>
    </row>
    <row r="9782" ht="15.75" customHeight="1" spans="1:2">
      <c r="A9782" s="3" t="str">
        <f>IFERROR(__xludf.DUMMYFUNCTION("GOOGLETRANSLATE(A9782,""en"",""pt"")"),"Código Da Vinci é uma porcaria ...")</f>
        <v>Código Da Vinci é uma porcaria ...</v>
      </c>
      <c r="B9782" s="3">
        <v>0</v>
      </c>
    </row>
    <row r="9783" ht="15.75" customHeight="1" spans="1:2">
      <c r="A9783" s="3" t="str">
        <f>IFERROR(__xludf.DUMMYFUNCTION("GOOGLETRANSLATE(A9783,""en"",""pt"")"),"Código Da Vinci é uma porcaria.")</f>
        <v>Código Da Vinci é uma porcaria.</v>
      </c>
      <c r="B9783" s="3">
        <v>0</v>
      </c>
    </row>
    <row r="9784" ht="15.75" customHeight="1" spans="1:2">
      <c r="A9784" s="3" t="str">
        <f>IFERROR(__xludf.DUMMYFUNCTION("GOOGLETRANSLATE(A9784,""en"",""pt"")"),"sexta-feira sai com kelsie e fomos e viu O Código Da Vinci SUGADO !!!!!")</f>
        <v>sexta-feira sai com kelsie e fomos e viu O Código Da Vinci SUGADO !!!!!</v>
      </c>
      <c r="B9784" s="3">
        <v>0</v>
      </c>
    </row>
    <row r="9785" ht="15.75" customHeight="1" spans="1:2">
      <c r="A9785" s="3" t="str">
        <f>IFERROR(__xludf.DUMMYFUNCTION("GOOGLETRANSLATE(A9785,""en"",""pt"")"),"Combinando a opinião / revisão de Gary e Gin Zen, O Código Da Vinci é uma porcaria.")</f>
        <v>Combinando a opinião / revisão de Gary e Gin Zen, O Código Da Vinci é uma porcaria.</v>
      </c>
      <c r="B9785" s="3">
        <v>0</v>
      </c>
    </row>
    <row r="9786" ht="15.75" customHeight="1" spans="1:2">
      <c r="A9786" s="3" t="s">
        <v>44</v>
      </c>
      <c r="B9786" s="3">
        <v>0</v>
      </c>
    </row>
    <row r="9787" ht="15.75" customHeight="1" spans="1:2">
      <c r="A9787" s="3" t="str">
        <f>IFERROR(__xludf.DUMMYFUNCTION("GOOGLETRANSLATE(A9787,""en"",""pt"")"),"Código Da Vinci sugado ..")</f>
        <v>Código Da Vinci sugado ..</v>
      </c>
      <c r="B9787" s="3">
        <v>0</v>
      </c>
    </row>
    <row r="9788" ht="15.75" customHeight="1" spans="1:2">
      <c r="A9788" s="3" t="str">
        <f>IFERROR(__xludf.DUMMYFUNCTION("GOOGLETRANSLATE(A9788,""en"",""pt"")"),"O Código Da Vinci chupado grande.")</f>
        <v>O Código Da Vinci chupado grande.</v>
      </c>
      <c r="B9788" s="3">
        <v>0</v>
      </c>
    </row>
    <row r="9789" ht="15.75" customHeight="1" spans="1:2">
      <c r="A9789" s="3" t="str">
        <f>IFERROR(__xludf.DUMMYFUNCTION("GOOGLETRANSLATE(A9789,""en"",""pt"")"),"Código Da Vinci = Cima, Cima, Baixo, Baixo, Esquerda, Direita, Esquerda, Direita, B, A, SUGAM!")</f>
        <v>Código Da Vinci = Cima, Cima, Baixo, Baixo, Esquerda, Direita, Esquerda, Direita, B, A, SUGAM!</v>
      </c>
      <c r="B9789" s="3">
        <v>0</v>
      </c>
    </row>
    <row r="9790" ht="15.75" customHeight="1" spans="1:2">
      <c r="A9790" s="3" t="str">
        <f>IFERROR(__xludf.DUMMYFUNCTION("GOOGLETRANSLATE(A9790,""en"",""pt"")"),"a propósito, o Código Da Vinci sugado, apenas deixando você sabe ...")</f>
        <v>a propósito, o Código Da Vinci sugado, apenas deixando você sabe ...</v>
      </c>
      <c r="B9790" s="3">
        <v>0</v>
      </c>
    </row>
    <row r="9791" ht="15.75" customHeight="1" spans="1:2">
      <c r="A9791" s="3" t="str">
        <f>IFERROR(__xludf.DUMMYFUNCTION("GOOGLETRANSLATE(A9791,""en"",""pt"")"),"eu ouvi Código Da Vinci sugado soo apenas 2,5 estrelas:")</f>
        <v>eu ouvi Código Da Vinci sugado soo apenas 2,5 estrelas:</v>
      </c>
      <c r="B9791" s="3">
        <v>0</v>
      </c>
    </row>
    <row r="9792" ht="15.75" customHeight="1" spans="1:2">
      <c r="A9792" s="3" t="str">
        <f>IFERROR(__xludf.DUMMYFUNCTION("GOOGLETRANSLATE(A9792,""en"",""pt"")"),"Código Da Vinci é uma porcaria ...")</f>
        <v>Código Da Vinci é uma porcaria ...</v>
      </c>
      <c r="B9792" s="3">
        <v>0</v>
      </c>
    </row>
    <row r="9793" ht="15.75" customHeight="1" spans="1:2">
      <c r="A9793" s="3" t="str">
        <f>IFERROR(__xludf.DUMMYFUNCTION("GOOGLETRANSLATE(A9793,""en"",""pt"")"),"Código Da Vinci é uma porcaria.")</f>
        <v>Código Da Vinci é uma porcaria.</v>
      </c>
      <c r="B9793" s="3">
        <v>0</v>
      </c>
    </row>
    <row r="9794" ht="15.75" customHeight="1" spans="1:2">
      <c r="A9794" s="3" t="str">
        <f>IFERROR(__xludf.DUMMYFUNCTION("GOOGLETRANSLATE(A9794,""en"",""pt"")"),"sexta-feira sai com kelsie e fomos e viu O Código Da Vinci SUGADO !!!!!")</f>
        <v>sexta-feira sai com kelsie e fomos e viu O Código Da Vinci SUGADO !!!!!</v>
      </c>
      <c r="B9794" s="3">
        <v>0</v>
      </c>
    </row>
    <row r="9795" ht="15.75" customHeight="1" spans="1:2">
      <c r="A9795" s="3" t="str">
        <f>IFERROR(__xludf.DUMMYFUNCTION("GOOGLETRANSLATE(A9795,""en"",""pt"")"),"Combinando a opinião / revisão de Gary e Gin Zen, O Código Da Vinci é uma porcaria.")</f>
        <v>Combinando a opinião / revisão de Gary e Gin Zen, O Código Da Vinci é uma porcaria.</v>
      </c>
      <c r="B9795" s="3">
        <v>0</v>
      </c>
    </row>
    <row r="9796" ht="15.75" customHeight="1" spans="1:2">
      <c r="A9796" s="3" t="str">
        <f>IFERROR(__xludf.DUMMYFUNCTION("GOOGLETRANSLATE(A9796,""en"",""pt"")"),"Código Da Vinci suga ser ...")</f>
        <v>Código Da Vinci suga ser ...</v>
      </c>
      <c r="B9796" s="3">
        <v>0</v>
      </c>
    </row>
    <row r="9797" ht="15.75" customHeight="1" spans="1:2">
      <c r="A9797" s="3" t="str">
        <f>IFERROR(__xludf.DUMMYFUNCTION("GOOGLETRANSLATE(A9797,""en"",""pt"")"),"Código Da Vinci sugado ..")</f>
        <v>Código Da Vinci sugado ..</v>
      </c>
      <c r="B9797" s="3">
        <v>0</v>
      </c>
    </row>
    <row r="9798" ht="15.75" customHeight="1" spans="1:2">
      <c r="A9798" s="3" t="str">
        <f>IFERROR(__xludf.DUMMYFUNCTION("GOOGLETRANSLATE(A9798,""en"",""pt"")"),"O Código Da Vinci chupado grande.")</f>
        <v>O Código Da Vinci chupado grande.</v>
      </c>
      <c r="B9798" s="3">
        <v>0</v>
      </c>
    </row>
    <row r="9799" ht="15.75" customHeight="1" spans="1:2">
      <c r="A9799" s="3" t="str">
        <f>IFERROR(__xludf.DUMMYFUNCTION("GOOGLETRANSLATE(A9799,""en"",""pt"")"),"Código Da Vinci = Cima, Cima, Baixo, Baixo, Esquerda, Direita, Esquerda, Direita, B, A, SUGAM!")</f>
        <v>Código Da Vinci = Cima, Cima, Baixo, Baixo, Esquerda, Direita, Esquerda, Direita, B, A, SUGAM!</v>
      </c>
      <c r="B9799" s="3">
        <v>0</v>
      </c>
    </row>
    <row r="9800" ht="15.75" customHeight="1" spans="1:2">
      <c r="A9800" s="3" t="str">
        <f>IFERROR(__xludf.DUMMYFUNCTION("GOOGLETRANSLATE(A9800,""en"",""pt"")"),"a propósito, o Código Da Vinci sugado, apenas deixando você sabe ...")</f>
        <v>a propósito, o Código Da Vinci sugado, apenas deixando você sabe ...</v>
      </c>
      <c r="B9800" s="3">
        <v>0</v>
      </c>
    </row>
    <row r="9801" ht="15.75" customHeight="1" spans="1:2">
      <c r="A9801" s="3" t="str">
        <f>IFERROR(__xludf.DUMMYFUNCTION("GOOGLETRANSLATE(A9801,""en"",""pt"")"),"eu ouvi Código Da Vinci sugado soo apenas 2,5 estrelas:")</f>
        <v>eu ouvi Código Da Vinci sugado soo apenas 2,5 estrelas:</v>
      </c>
      <c r="B9801" s="3">
        <v>0</v>
      </c>
    </row>
    <row r="9802" ht="15.75" customHeight="1" spans="1:2">
      <c r="A9802" s="3" t="str">
        <f>IFERROR(__xludf.DUMMYFUNCTION("GOOGLETRANSLATE(A9802,""en"",""pt"")"),"Código Da Vinci é uma porcaria ...")</f>
        <v>Código Da Vinci é uma porcaria ...</v>
      </c>
      <c r="B9802" s="3">
        <v>0</v>
      </c>
    </row>
    <row r="9803" ht="15.75" customHeight="1" spans="1:2">
      <c r="A9803" s="3" t="str">
        <f>IFERROR(__xludf.DUMMYFUNCTION("GOOGLETRANSLATE(A9803,""en"",""pt"")"),"Código Da Vinci é uma porcaria.")</f>
        <v>Código Da Vinci é uma porcaria.</v>
      </c>
      <c r="B9803" s="3">
        <v>0</v>
      </c>
    </row>
    <row r="9804" ht="15.75" customHeight="1" spans="1:2">
      <c r="A9804" s="3" t="str">
        <f>IFERROR(__xludf.DUMMYFUNCTION("GOOGLETRANSLATE(A9804,""en"",""pt"")"),"sexta-feira sai com kelsie e fomos e viu O Código Da Vinci SUGADO !!!!!")</f>
        <v>sexta-feira sai com kelsie e fomos e viu O Código Da Vinci SUGADO !!!!!</v>
      </c>
      <c r="B9804" s="3">
        <v>0</v>
      </c>
    </row>
    <row r="9805" ht="15.75" customHeight="1" spans="1:2">
      <c r="A9805" s="3" t="str">
        <f>IFERROR(__xludf.DUMMYFUNCTION("GOOGLETRANSLATE(A9805,""en"",""pt"")"),"Combinando a opinião / revisão de Gary e Gin Zen, O Código Da Vinci é uma porcaria.")</f>
        <v>Combinando a opinião / revisão de Gary e Gin Zen, O Código Da Vinci é uma porcaria.</v>
      </c>
      <c r="B9805" s="3">
        <v>0</v>
      </c>
    </row>
    <row r="9806" ht="15.75" customHeight="1" spans="1:2">
      <c r="A9806" s="3" t="str">
        <f>IFERROR(__xludf.DUMMYFUNCTION("GOOGLETRANSLATE(A9806,""en"",""pt"")"),"Código Da Vinci suga ser ...")</f>
        <v>Código Da Vinci suga ser ...</v>
      </c>
      <c r="B9806" s="3">
        <v>0</v>
      </c>
    </row>
    <row r="9807" ht="15.75" customHeight="1" spans="1:2">
      <c r="A9807" s="3" t="str">
        <f>IFERROR(__xludf.DUMMYFUNCTION("GOOGLETRANSLATE(A9807,""en"",""pt"")"),"Código Da Vinci sugado ..")</f>
        <v>Código Da Vinci sugado ..</v>
      </c>
      <c r="B9807" s="3">
        <v>0</v>
      </c>
    </row>
    <row r="9808" ht="15.75" customHeight="1" spans="1:2">
      <c r="A9808" s="3" t="str">
        <f>IFERROR(__xludf.DUMMYFUNCTION("GOOGLETRANSLATE(A9808,""en"",""pt"")"),"O Código Da Vinci chupado grande.")</f>
        <v>O Código Da Vinci chupado grande.</v>
      </c>
      <c r="B9808" s="3">
        <v>0</v>
      </c>
    </row>
    <row r="9809" ht="15.75" customHeight="1" spans="1:2">
      <c r="A9809" s="3" t="str">
        <f>IFERROR(__xludf.DUMMYFUNCTION("GOOGLETRANSLATE(A9809,""en"",""pt"")"),"Código Da Vinci = Cima, Cima, Baixo, Baixo, Esquerda, Direita, Esquerda, Direita, B, A, SUGAM!")</f>
        <v>Código Da Vinci = Cima, Cima, Baixo, Baixo, Esquerda, Direita, Esquerda, Direita, B, A, SUGAM!</v>
      </c>
      <c r="B9809" s="3">
        <v>0</v>
      </c>
    </row>
    <row r="9810" ht="15.75" customHeight="1" spans="1:2">
      <c r="A9810" s="3" t="str">
        <f>IFERROR(__xludf.DUMMYFUNCTION("GOOGLETRANSLATE(A9810,""en"",""pt"")"),"a propósito, o Código Da Vinci sugado, apenas deixando você sabe ...")</f>
        <v>a propósito, o Código Da Vinci sugado, apenas deixando você sabe ...</v>
      </c>
      <c r="B9810" s="3">
        <v>0</v>
      </c>
    </row>
    <row r="9811" ht="15.75" customHeight="1" spans="1:2">
      <c r="A9811" s="3" t="str">
        <f>IFERROR(__xludf.DUMMYFUNCTION("GOOGLETRANSLATE(A9811,""en"",""pt"")"),"eu ouvi Código Da Vinci sugado soo apenas 2,5 estrelas:")</f>
        <v>eu ouvi Código Da Vinci sugado soo apenas 2,5 estrelas:</v>
      </c>
      <c r="B9811" s="3">
        <v>0</v>
      </c>
    </row>
    <row r="9812" ht="15.75" customHeight="1" spans="1:2">
      <c r="A9812" s="3" t="str">
        <f>IFERROR(__xludf.DUMMYFUNCTION("GOOGLETRANSLATE(A9812,""en"",""pt"")"),"Código Da Vinci é uma porcaria ...")</f>
        <v>Código Da Vinci é uma porcaria ...</v>
      </c>
      <c r="B9812" s="3">
        <v>0</v>
      </c>
    </row>
    <row r="9813" ht="15.75" customHeight="1" spans="1:2">
      <c r="A9813" s="3" t="str">
        <f>IFERROR(__xludf.DUMMYFUNCTION("GOOGLETRANSLATE(A9813,""en"",""pt"")"),"Código Da Vinci é uma porcaria.")</f>
        <v>Código Da Vinci é uma porcaria.</v>
      </c>
      <c r="B9813" s="3">
        <v>0</v>
      </c>
    </row>
    <row r="9814" ht="15.75" customHeight="1" spans="1:2">
      <c r="A9814" s="3" t="str">
        <f>IFERROR(__xludf.DUMMYFUNCTION("GOOGLETRANSLATE(A9814,""en"",""pt"")"),"sexta-feira sai com kelsie e fomos e viu O Código Da Vinci SUGADO !!!!!")</f>
        <v>sexta-feira sai com kelsie e fomos e viu O Código Da Vinci SUGADO !!!!!</v>
      </c>
      <c r="B9814" s="3">
        <v>0</v>
      </c>
    </row>
    <row r="9815" ht="15.75" customHeight="1" spans="1:2">
      <c r="A9815" s="3" t="str">
        <f>IFERROR(__xludf.DUMMYFUNCTION("GOOGLETRANSLATE(A9815,""en"",""pt"")"),"Combinando a opinião / revisão de Gary e Gin Zen, O Código Da Vinci é uma porcaria.")</f>
        <v>Combinando a opinião / revisão de Gary e Gin Zen, O Código Da Vinci é uma porcaria.</v>
      </c>
      <c r="B9815" s="3">
        <v>0</v>
      </c>
    </row>
    <row r="9816" ht="15.75" customHeight="1" spans="1:2">
      <c r="A9816" s="3" t="str">
        <f>IFERROR(__xludf.DUMMYFUNCTION("GOOGLETRANSLATE(A9816,""en"",""pt"")"),"Código Da Vinci suga ser ...")</f>
        <v>Código Da Vinci suga ser ...</v>
      </c>
      <c r="B9816" s="3">
        <v>0</v>
      </c>
    </row>
    <row r="9817" ht="15.75" customHeight="1" spans="1:2">
      <c r="A9817" s="3" t="str">
        <f>IFERROR(__xludf.DUMMYFUNCTION("GOOGLETRANSLATE(A9817,""en"",""pt"")"),"Código Da Vinci sugado ..")</f>
        <v>Código Da Vinci sugado ..</v>
      </c>
      <c r="B9817" s="3">
        <v>0</v>
      </c>
    </row>
    <row r="9818" ht="15.75" customHeight="1" spans="1:2">
      <c r="A9818" s="3" t="str">
        <f>IFERROR(__xludf.DUMMYFUNCTION("GOOGLETRANSLATE(A9818,""en"",""pt"")"),"O Código Da Vinci chupado grande.")</f>
        <v>O Código Da Vinci chupado grande.</v>
      </c>
      <c r="B9818" s="3">
        <v>0</v>
      </c>
    </row>
    <row r="9819" ht="15.75" customHeight="1" spans="1:2">
      <c r="A9819" s="3" t="str">
        <f>IFERROR(__xludf.DUMMYFUNCTION("GOOGLETRANSLATE(A9819,""en"",""pt"")"),"Código Da Vinci = Cima, Cima, Baixo, Baixo, Esquerda, Direita, Esquerda, Direita, B, A, SUGAM!")</f>
        <v>Código Da Vinci = Cima, Cima, Baixo, Baixo, Esquerda, Direita, Esquerda, Direita, B, A, SUGAM!</v>
      </c>
      <c r="B9819" s="3">
        <v>0</v>
      </c>
    </row>
    <row r="9820" ht="15.75" customHeight="1" spans="1:2">
      <c r="A9820" s="3" t="str">
        <f>IFERROR(__xludf.DUMMYFUNCTION("GOOGLETRANSLATE(A9820,""en"",""pt"")"),"a propósito, o Código Da Vinci sugado, apenas deixando você sabe ...")</f>
        <v>a propósito, o Código Da Vinci sugado, apenas deixando você sabe ...</v>
      </c>
      <c r="B9820" s="3">
        <v>0</v>
      </c>
    </row>
    <row r="9821" ht="15.75" customHeight="1" spans="1:2">
      <c r="A9821" s="3" t="str">
        <f>IFERROR(__xludf.DUMMYFUNCTION("GOOGLETRANSLATE(A9821,""en"",""pt"")"),"eu ouvi Código Da Vinci sugado soo apenas 2,5 estrelas:")</f>
        <v>eu ouvi Código Da Vinci sugado soo apenas 2,5 estrelas:</v>
      </c>
      <c r="B9821" s="3">
        <v>0</v>
      </c>
    </row>
    <row r="9822" ht="15.75" customHeight="1" spans="1:2">
      <c r="A9822" s="3" t="str">
        <f>IFERROR(__xludf.DUMMYFUNCTION("GOOGLETRANSLATE(A9822,""en"",""pt"")"),"Código Da Vinci é uma porcaria ...")</f>
        <v>Código Da Vinci é uma porcaria ...</v>
      </c>
      <c r="B9822" s="3">
        <v>0</v>
      </c>
    </row>
    <row r="9823" ht="15.75" customHeight="1" spans="1:2">
      <c r="A9823" s="3" t="str">
        <f>IFERROR(__xludf.DUMMYFUNCTION("GOOGLETRANSLATE(A9823,""en"",""pt"")"),"Código Da Vinci é uma porcaria.")</f>
        <v>Código Da Vinci é uma porcaria.</v>
      </c>
      <c r="B9823" s="3">
        <v>0</v>
      </c>
    </row>
    <row r="9824" ht="15.75" customHeight="1" spans="1:2">
      <c r="A9824" s="3" t="str">
        <f>IFERROR(__xludf.DUMMYFUNCTION("GOOGLETRANSLATE(A9824,""en"",""pt"")"),"sexta-feira sai com kelsie e fomos e viu O Código Da Vinci SUGADO !!!!!")</f>
        <v>sexta-feira sai com kelsie e fomos e viu O Código Da Vinci SUGADO !!!!!</v>
      </c>
      <c r="B9824" s="3">
        <v>0</v>
      </c>
    </row>
    <row r="9825" ht="15.75" customHeight="1" spans="1:2">
      <c r="A9825" s="3" t="str">
        <f>IFERROR(__xludf.DUMMYFUNCTION("GOOGLETRANSLATE(A9825,""en"",""pt"")"),"Combinando a opinião / revisão de Gary e Gin Zen, O Código Da Vinci é uma porcaria.")</f>
        <v>Combinando a opinião / revisão de Gary e Gin Zen, O Código Da Vinci é uma porcaria.</v>
      </c>
      <c r="B9825" s="3">
        <v>0</v>
      </c>
    </row>
    <row r="9826" ht="15.75" customHeight="1" spans="1:2">
      <c r="A9826" s="3" t="str">
        <f>IFERROR(__xludf.DUMMYFUNCTION("GOOGLETRANSLATE(A9826,""en"",""pt"")"),"Código Da Vinci suga ser ...")</f>
        <v>Código Da Vinci suga ser ...</v>
      </c>
      <c r="B9826" s="3">
        <v>0</v>
      </c>
    </row>
    <row r="9827" ht="15.75" customHeight="1" spans="1:2">
      <c r="A9827" s="3" t="str">
        <f>IFERROR(__xludf.DUMMYFUNCTION("GOOGLETRANSLATE(A9827,""en"",""pt"")"),"Código Da Vinci sugado ..")</f>
        <v>Código Da Vinci sugado ..</v>
      </c>
      <c r="B9827" s="3">
        <v>0</v>
      </c>
    </row>
    <row r="9828" ht="15.75" customHeight="1" spans="1:2">
      <c r="A9828" s="3" t="str">
        <f>IFERROR(__xludf.DUMMYFUNCTION("GOOGLETRANSLATE(A9828,""en"",""pt"")"),"O Código Da Vinci chupado grande.")</f>
        <v>O Código Da Vinci chupado grande.</v>
      </c>
      <c r="B9828" s="3">
        <v>0</v>
      </c>
    </row>
    <row r="9829" ht="15.75" customHeight="1" spans="1:2">
      <c r="A9829" s="3" t="str">
        <f>IFERROR(__xludf.DUMMYFUNCTION("GOOGLETRANSLATE(A9829,""en"",""pt"")"),"Código Da Vinci = Cima, Cima, Baixo, Baixo, Esquerda, Direita, Esquerda, Direita, B, A, SUGAM!")</f>
        <v>Código Da Vinci = Cima, Cima, Baixo, Baixo, Esquerda, Direita, Esquerda, Direita, B, A, SUGAM!</v>
      </c>
      <c r="B9829" s="3">
        <v>0</v>
      </c>
    </row>
    <row r="9830" ht="15.75" customHeight="1" spans="1:2">
      <c r="A9830" s="3" t="str">
        <f>IFERROR(__xludf.DUMMYFUNCTION("GOOGLETRANSLATE(A9830,""en"",""pt"")"),"a propósito, o Código Da Vinci sugado, apenas deixando você sabe ...")</f>
        <v>a propósito, o Código Da Vinci sugado, apenas deixando você sabe ...</v>
      </c>
      <c r="B9830" s="3">
        <v>0</v>
      </c>
    </row>
    <row r="9831" ht="15.75" customHeight="1" spans="1:2">
      <c r="A9831" s="3" t="str">
        <f>IFERROR(__xludf.DUMMYFUNCTION("GOOGLETRANSLATE(A9831,""en"",""pt"")"),"eu ouvi Código Da Vinci sugado soo apenas 2,5 estrelas:")</f>
        <v>eu ouvi Código Da Vinci sugado soo apenas 2,5 estrelas:</v>
      </c>
      <c r="B9831" s="3">
        <v>0</v>
      </c>
    </row>
    <row r="9832" ht="15.75" customHeight="1" spans="1:2">
      <c r="A9832" s="3" t="str">
        <f>IFERROR(__xludf.DUMMYFUNCTION("GOOGLETRANSLATE(A9832,""en"",""pt"")"),"Código Da Vinci é uma porcaria ...")</f>
        <v>Código Da Vinci é uma porcaria ...</v>
      </c>
      <c r="B9832" s="3">
        <v>0</v>
      </c>
    </row>
    <row r="9833" ht="15.75" customHeight="1" spans="1:2">
      <c r="A9833" s="3" t="str">
        <f>IFERROR(__xludf.DUMMYFUNCTION("GOOGLETRANSLATE(A9833,""en"",""pt"")"),"Código Da Vinci é uma porcaria.")</f>
        <v>Código Da Vinci é uma porcaria.</v>
      </c>
      <c r="B9833" s="3">
        <v>0</v>
      </c>
    </row>
    <row r="9834" ht="15.75" customHeight="1" spans="1:2">
      <c r="A9834" s="3" t="str">
        <f>IFERROR(__xludf.DUMMYFUNCTION("GOOGLETRANSLATE(A9834,""en"",""pt"")"),"sexta-feira sai com kelsie e fomos e viu O Código Da Vinci SUGADO !!!!!")</f>
        <v>sexta-feira sai com kelsie e fomos e viu O Código Da Vinci SUGADO !!!!!</v>
      </c>
      <c r="B9834" s="3">
        <v>0</v>
      </c>
    </row>
    <row r="9835" ht="15.75" customHeight="1" spans="1:2">
      <c r="A9835" s="3" t="str">
        <f>IFERROR(__xludf.DUMMYFUNCTION("GOOGLETRANSLATE(A9835,""en"",""pt"")"),"Combinando a opinião / revisão de Gary e Gin Zen, O Código Da Vinci é uma porcaria.")</f>
        <v>Combinando a opinião / revisão de Gary e Gin Zen, O Código Da Vinci é uma porcaria.</v>
      </c>
      <c r="B9835" s="3">
        <v>0</v>
      </c>
    </row>
    <row r="9836" ht="15.75" customHeight="1" spans="1:2">
      <c r="A9836" s="3" t="str">
        <f>IFERROR(__xludf.DUMMYFUNCTION("GOOGLETRANSLATE(A9836,""en"",""pt"")"),"Código Da Vinci suga ser ...")</f>
        <v>Código Da Vinci suga ser ...</v>
      </c>
      <c r="B9836" s="3">
        <v>0</v>
      </c>
    </row>
    <row r="9837" ht="15.75" customHeight="1" spans="1:2">
      <c r="A9837" s="3" t="str">
        <f>IFERROR(__xludf.DUMMYFUNCTION("GOOGLETRANSLATE(A9837,""en"",""pt"")"),"Código Da Vinci sugado ..")</f>
        <v>Código Da Vinci sugado ..</v>
      </c>
      <c r="B9837" s="3">
        <v>0</v>
      </c>
    </row>
    <row r="9838" ht="15.75" customHeight="1" spans="1:2">
      <c r="A9838" s="3" t="str">
        <f>IFERROR(__xludf.DUMMYFUNCTION("GOOGLETRANSLATE(A9838,""en"",""pt"")"),"O Código Da Vinci chupado grande.")</f>
        <v>O Código Da Vinci chupado grande.</v>
      </c>
      <c r="B9838" s="3">
        <v>0</v>
      </c>
    </row>
    <row r="9839" ht="15.75" customHeight="1" spans="1:2">
      <c r="A9839" s="3" t="str">
        <f>IFERROR(__xludf.DUMMYFUNCTION("GOOGLETRANSLATE(A9839,""en"",""pt"")"),"Código Da Vinci = Cima, Cima, Baixo, Baixo, Esquerda, Direita, Esquerda, Direita, B, A, SUGAM!")</f>
        <v>Código Da Vinci = Cima, Cima, Baixo, Baixo, Esquerda, Direita, Esquerda, Direita, B, A, SUGAM!</v>
      </c>
      <c r="B9839" s="3">
        <v>0</v>
      </c>
    </row>
    <row r="9840" ht="15.75" customHeight="1" spans="1:2">
      <c r="A9840" s="3" t="str">
        <f>IFERROR(__xludf.DUMMYFUNCTION("GOOGLETRANSLATE(A9840,""en"",""pt"")"),"a propósito, o Código Da Vinci sugado, apenas deixando você sabe ...")</f>
        <v>a propósito, o Código Da Vinci sugado, apenas deixando você sabe ...</v>
      </c>
      <c r="B9840" s="3">
        <v>0</v>
      </c>
    </row>
    <row r="9841" ht="15.75" customHeight="1" spans="1:2">
      <c r="A9841" s="3" t="str">
        <f>IFERROR(__xludf.DUMMYFUNCTION("GOOGLETRANSLATE(A9841,""en"",""pt"")"),"eu ouvi Código Da Vinci sugado soo apenas 2,5 estrelas:")</f>
        <v>eu ouvi Código Da Vinci sugado soo apenas 2,5 estrelas:</v>
      </c>
      <c r="B9841" s="3">
        <v>0</v>
      </c>
    </row>
    <row r="9842" ht="15.75" customHeight="1" spans="1:2">
      <c r="A9842" s="3" t="str">
        <f>IFERROR(__xludf.DUMMYFUNCTION("GOOGLETRANSLATE(A9842,""en"",""pt"")"),"Código Da Vinci é uma porcaria ...")</f>
        <v>Código Da Vinci é uma porcaria ...</v>
      </c>
      <c r="B9842" s="3">
        <v>0</v>
      </c>
    </row>
    <row r="9843" ht="15.75" customHeight="1" spans="1:2">
      <c r="A9843" s="3" t="str">
        <f>IFERROR(__xludf.DUMMYFUNCTION("GOOGLETRANSLATE(A9843,""en"",""pt"")"),"Código Da Vinci é uma porcaria.")</f>
        <v>Código Da Vinci é uma porcaria.</v>
      </c>
      <c r="B9843" s="3">
        <v>0</v>
      </c>
    </row>
    <row r="9844" ht="15.75" customHeight="1" spans="1:2">
      <c r="A9844" s="3" t="str">
        <f>IFERROR(__xludf.DUMMYFUNCTION("GOOGLETRANSLATE(A9844,""en"",""pt"")"),"sexta-feira sai com kelsie e fomos e viu O Código Da Vinci SUGADO !!!!!")</f>
        <v>sexta-feira sai com kelsie e fomos e viu O Código Da Vinci SUGADO !!!!!</v>
      </c>
      <c r="B9844" s="3">
        <v>0</v>
      </c>
    </row>
    <row r="9845" ht="15.75" customHeight="1" spans="1:2">
      <c r="A9845" s="3" t="str">
        <f>IFERROR(__xludf.DUMMYFUNCTION("GOOGLETRANSLATE(A9845,""en"",""pt"")"),"Combinando a opinião / revisão de Gary e Gin Zen, O Código Da Vinci é uma porcaria.")</f>
        <v>Combinando a opinião / revisão de Gary e Gin Zen, O Código Da Vinci é uma porcaria.</v>
      </c>
      <c r="B9845" s="3">
        <v>0</v>
      </c>
    </row>
    <row r="9846" ht="15.75" customHeight="1" spans="1:2">
      <c r="A9846" s="3" t="str">
        <f>IFERROR(__xludf.DUMMYFUNCTION("GOOGLETRANSLATE(A9846,""en"",""pt"")"),"Código Da Vinci suga ser ...")</f>
        <v>Código Da Vinci suga ser ...</v>
      </c>
      <c r="B9846" s="3">
        <v>0</v>
      </c>
    </row>
    <row r="9847" ht="15.75" customHeight="1" spans="1:2">
      <c r="A9847" s="3" t="str">
        <f>IFERROR(__xludf.DUMMYFUNCTION("GOOGLETRANSLATE(A9847,""en"",""pt"")"),"Código Da Vinci sugado ..")</f>
        <v>Código Da Vinci sugado ..</v>
      </c>
      <c r="B9847" s="3">
        <v>0</v>
      </c>
    </row>
    <row r="9848" ht="15.75" customHeight="1" spans="1:2">
      <c r="A9848" s="3" t="str">
        <f>IFERROR(__xludf.DUMMYFUNCTION("GOOGLETRANSLATE(A9848,""en"",""pt"")"),"O Código Da Vinci chupado grande.")</f>
        <v>O Código Da Vinci chupado grande.</v>
      </c>
      <c r="B9848" s="3">
        <v>0</v>
      </c>
    </row>
    <row r="9849" ht="15.75" customHeight="1" spans="1:2">
      <c r="A9849" s="3" t="str">
        <f>IFERROR(__xludf.DUMMYFUNCTION("GOOGLETRANSLATE(A9849,""en"",""pt"")"),"Código Da Vinci = Cima, Cima, Baixo, Baixo, Esquerda, Direita, Esquerda, Direita, B, A, SUGAM!")</f>
        <v>Código Da Vinci = Cima, Cima, Baixo, Baixo, Esquerda, Direita, Esquerda, Direita, B, A, SUGAM!</v>
      </c>
      <c r="B9849" s="3">
        <v>0</v>
      </c>
    </row>
    <row r="9850" ht="15.75" customHeight="1" spans="1:2">
      <c r="A9850" s="3" t="str">
        <f>IFERROR(__xludf.DUMMYFUNCTION("GOOGLETRANSLATE(A9850,""en"",""pt"")"),"a propósito, o Código Da Vinci sugado, apenas deixando você sabe ...")</f>
        <v>a propósito, o Código Da Vinci sugado, apenas deixando você sabe ...</v>
      </c>
      <c r="B9850" s="3">
        <v>0</v>
      </c>
    </row>
    <row r="9851" ht="15.75" customHeight="1" spans="1:2">
      <c r="A9851" s="3" t="str">
        <f>IFERROR(__xludf.DUMMYFUNCTION("GOOGLETRANSLATE(A9851,""en"",""pt"")"),"eu ouvi Código Da Vinci sugado soo apenas 2,5 estrelas:")</f>
        <v>eu ouvi Código Da Vinci sugado soo apenas 2,5 estrelas:</v>
      </c>
      <c r="B9851" s="3">
        <v>0</v>
      </c>
    </row>
    <row r="9852" ht="15.75" customHeight="1" spans="1:2">
      <c r="A9852" s="3" t="str">
        <f>IFERROR(__xludf.DUMMYFUNCTION("GOOGLETRANSLATE(A9852,""en"",""pt"")"),"Código Da Vinci é uma porcaria ...")</f>
        <v>Código Da Vinci é uma porcaria ...</v>
      </c>
      <c r="B9852" s="3">
        <v>0</v>
      </c>
    </row>
    <row r="9853" ht="15.75" customHeight="1" spans="1:2">
      <c r="A9853" s="3" t="str">
        <f>IFERROR(__xludf.DUMMYFUNCTION("GOOGLETRANSLATE(A9853,""en"",""pt"")"),"Código Da Vinci é uma porcaria.")</f>
        <v>Código Da Vinci é uma porcaria.</v>
      </c>
      <c r="B9853" s="3">
        <v>0</v>
      </c>
    </row>
    <row r="9854" ht="15.75" customHeight="1" spans="1:2">
      <c r="A9854" s="3" t="str">
        <f>IFERROR(__xludf.DUMMYFUNCTION("GOOGLETRANSLATE(A9854,""en"",""pt"")"),"sexta-feira sai com kelsie e fomos e viu O Código Da Vinci SUGADO !!!!!")</f>
        <v>sexta-feira sai com kelsie e fomos e viu O Código Da Vinci SUGADO !!!!!</v>
      </c>
      <c r="B9854" s="3">
        <v>0</v>
      </c>
    </row>
    <row r="9855" ht="15.75" customHeight="1" spans="1:2">
      <c r="A9855" s="3" t="str">
        <f>IFERROR(__xludf.DUMMYFUNCTION("GOOGLETRANSLATE(A9855,""en"",""pt"")"),"Combinando a opinião / revisão de Gary e Gin Zen, O Código Da Vinci é uma porcaria.")</f>
        <v>Combinando a opinião / revisão de Gary e Gin Zen, O Código Da Vinci é uma porcaria.</v>
      </c>
      <c r="B9855" s="3">
        <v>0</v>
      </c>
    </row>
    <row r="9856" ht="15.75" customHeight="1" spans="1:2">
      <c r="A9856" s="3" t="str">
        <f>IFERROR(__xludf.DUMMYFUNCTION("GOOGLETRANSLATE(A9856,""en"",""pt"")"),"Código Da Vinci suga ser ...")</f>
        <v>Código Da Vinci suga ser ...</v>
      </c>
      <c r="B9856" s="3">
        <v>0</v>
      </c>
    </row>
    <row r="9857" ht="15.75" customHeight="1" spans="1:2">
      <c r="A9857" s="3" t="str">
        <f>IFERROR(__xludf.DUMMYFUNCTION("GOOGLETRANSLATE(A9857,""en"",""pt"")"),"Código Da Vinci sugado ..")</f>
        <v>Código Da Vinci sugado ..</v>
      </c>
      <c r="B9857" s="3">
        <v>0</v>
      </c>
    </row>
    <row r="9858" ht="15.75" customHeight="1" spans="1:2">
      <c r="A9858" s="3" t="str">
        <f>IFERROR(__xludf.DUMMYFUNCTION("GOOGLETRANSLATE(A9858,""en"",""pt"")"),"O Código Da Vinci chupado grande.")</f>
        <v>O Código Da Vinci chupado grande.</v>
      </c>
      <c r="B9858" s="3">
        <v>0</v>
      </c>
    </row>
    <row r="9859" ht="15.75" customHeight="1" spans="1:2">
      <c r="A9859" s="3" t="str">
        <f>IFERROR(__xludf.DUMMYFUNCTION("GOOGLETRANSLATE(A9859,""en"",""pt"")"),"Código Da Vinci = Cima, Cima, Baixo, Baixo, Esquerda, Direita, Esquerda, Direita, B, A, SUGAM!")</f>
        <v>Código Da Vinci = Cima, Cima, Baixo, Baixo, Esquerda, Direita, Esquerda, Direita, B, A, SUGAM!</v>
      </c>
      <c r="B9859" s="3">
        <v>0</v>
      </c>
    </row>
    <row r="9860" ht="15.75" customHeight="1" spans="1:2">
      <c r="A9860" s="3" t="str">
        <f>IFERROR(__xludf.DUMMYFUNCTION("GOOGLETRANSLATE(A9860,""en"",""pt"")"),"a propósito, o Código Da Vinci sugado, apenas deixando você sabe ...")</f>
        <v>a propósito, o Código Da Vinci sugado, apenas deixando você sabe ...</v>
      </c>
      <c r="B9860" s="3">
        <v>0</v>
      </c>
    </row>
    <row r="9861" ht="15.75" customHeight="1" spans="1:2">
      <c r="A9861" s="3" t="str">
        <f>IFERROR(__xludf.DUMMYFUNCTION("GOOGLETRANSLATE(A9861,""en"",""pt"")"),"eu ouvi Código Da Vinci sugado soo apenas 2,5 estrelas:")</f>
        <v>eu ouvi Código Da Vinci sugado soo apenas 2,5 estrelas:</v>
      </c>
      <c r="B9861" s="3">
        <v>0</v>
      </c>
    </row>
    <row r="9862" ht="15.75" customHeight="1" spans="1:2">
      <c r="A9862" s="3" t="str">
        <f>IFERROR(__xludf.DUMMYFUNCTION("GOOGLETRANSLATE(A9862,""en"",""pt"")"),"Código Da Vinci é uma porcaria ...")</f>
        <v>Código Da Vinci é uma porcaria ...</v>
      </c>
      <c r="B9862" s="3">
        <v>0</v>
      </c>
    </row>
    <row r="9863" ht="15.75" customHeight="1" spans="1:2">
      <c r="A9863" s="3" t="str">
        <f>IFERROR(__xludf.DUMMYFUNCTION("GOOGLETRANSLATE(A9863,""en"",""pt"")"),"Código Da Vinci é uma porcaria.")</f>
        <v>Código Da Vinci é uma porcaria.</v>
      </c>
      <c r="B9863" s="3">
        <v>0</v>
      </c>
    </row>
    <row r="9864" ht="15.75" customHeight="1" spans="1:2">
      <c r="A9864" s="3" t="str">
        <f>IFERROR(__xludf.DUMMYFUNCTION("GOOGLETRANSLATE(A9864,""en"",""pt"")"),"sexta-feira sai com kelsie e fomos e viu O Código Da Vinci SUGADO !!!!!")</f>
        <v>sexta-feira sai com kelsie e fomos e viu O Código Da Vinci SUGADO !!!!!</v>
      </c>
      <c r="B9864" s="3">
        <v>0</v>
      </c>
    </row>
    <row r="9865" ht="15.75" customHeight="1" spans="1:2">
      <c r="A9865" s="3" t="str">
        <f>IFERROR(__xludf.DUMMYFUNCTION("GOOGLETRANSLATE(A9865,""en"",""pt"")"),"Combinando a opinião / revisão de Gary e Gin Zen, O Código Da Vinci é uma porcaria.")</f>
        <v>Combinando a opinião / revisão de Gary e Gin Zen, O Código Da Vinci é uma porcaria.</v>
      </c>
      <c r="B9865" s="3">
        <v>0</v>
      </c>
    </row>
    <row r="9866" ht="15.75" customHeight="1" spans="1:2">
      <c r="A9866" s="3" t="str">
        <f>IFERROR(__xludf.DUMMYFUNCTION("GOOGLETRANSLATE(A9866,""en"",""pt"")"),"Código Da Vinci suga ser ...")</f>
        <v>Código Da Vinci suga ser ...</v>
      </c>
      <c r="B9866" s="3">
        <v>0</v>
      </c>
    </row>
    <row r="9867" ht="15.75" customHeight="1" spans="1:2">
      <c r="A9867" s="3" t="str">
        <f>IFERROR(__xludf.DUMMYFUNCTION("GOOGLETRANSLATE(A9867,""en"",""pt"")"),"Código Da Vinci sugado ..")</f>
        <v>Código Da Vinci sugado ..</v>
      </c>
      <c r="B9867" s="3">
        <v>0</v>
      </c>
    </row>
    <row r="9868" ht="15.75" customHeight="1" spans="1:2">
      <c r="A9868" s="3" t="str">
        <f>IFERROR(__xludf.DUMMYFUNCTION("GOOGLETRANSLATE(A9868,""en"",""pt"")"),"O Código Da Vinci chupado grande.")</f>
        <v>O Código Da Vinci chupado grande.</v>
      </c>
      <c r="B9868" s="3">
        <v>0</v>
      </c>
    </row>
    <row r="9869" ht="15.75" customHeight="1" spans="1:2">
      <c r="A9869" s="3" t="str">
        <f>IFERROR(__xludf.DUMMYFUNCTION("GOOGLETRANSLATE(A9869,""en"",""pt"")"),"Código Da Vinci = Cima, Cima, Baixo, Baixo, Esquerda, Direita, Esquerda, Direita, B, A, SUGAM!")</f>
        <v>Código Da Vinci = Cima, Cima, Baixo, Baixo, Esquerda, Direita, Esquerda, Direita, B, A, SUGAM!</v>
      </c>
      <c r="B9869" s="3">
        <v>0</v>
      </c>
    </row>
    <row r="9870" ht="15.75" customHeight="1" spans="1:2">
      <c r="A9870" s="3" t="str">
        <f>IFERROR(__xludf.DUMMYFUNCTION("GOOGLETRANSLATE(A9870,""en"",""pt"")"),"a propósito, o Código Da Vinci sugado, apenas deixando você sabe ...")</f>
        <v>a propósito, o Código Da Vinci sugado, apenas deixando você sabe ...</v>
      </c>
      <c r="B9870" s="3">
        <v>0</v>
      </c>
    </row>
    <row r="9871" ht="15.75" customHeight="1" spans="1:2">
      <c r="A9871" s="3" t="str">
        <f>IFERROR(__xludf.DUMMYFUNCTION("GOOGLETRANSLATE(A9871,""en"",""pt"")"),"eu ouvi Código Da Vinci sugado soo apenas 2,5 estrelas:")</f>
        <v>eu ouvi Código Da Vinci sugado soo apenas 2,5 estrelas:</v>
      </c>
      <c r="B9871" s="3">
        <v>0</v>
      </c>
    </row>
    <row r="9872" ht="15.75" customHeight="1" spans="1:2">
      <c r="A9872" s="3" t="str">
        <f>IFERROR(__xludf.DUMMYFUNCTION("GOOGLETRANSLATE(A9872,""en"",""pt"")"),"Código Da Vinci é uma porcaria ...")</f>
        <v>Código Da Vinci é uma porcaria ...</v>
      </c>
      <c r="B9872" s="3">
        <v>0</v>
      </c>
    </row>
    <row r="9873" ht="15.75" customHeight="1" spans="1:2">
      <c r="A9873" s="3" t="str">
        <f>IFERROR(__xludf.DUMMYFUNCTION("GOOGLETRANSLATE(A9873,""en"",""pt"")"),"Código Da Vinci é uma porcaria.")</f>
        <v>Código Da Vinci é uma porcaria.</v>
      </c>
      <c r="B9873" s="3">
        <v>0</v>
      </c>
    </row>
    <row r="9874" ht="15.75" customHeight="1" spans="1:2">
      <c r="A9874" s="3" t="str">
        <f>IFERROR(__xludf.DUMMYFUNCTION("GOOGLETRANSLATE(A9874,""en"",""pt"")"),"sexta-feira sai com kelsie e fomos e viu O Código Da Vinci SUGADO !!!!!")</f>
        <v>sexta-feira sai com kelsie e fomos e viu O Código Da Vinci SUGADO !!!!!</v>
      </c>
      <c r="B9874" s="3">
        <v>0</v>
      </c>
    </row>
    <row r="9875" ht="15.75" customHeight="1" spans="1:2">
      <c r="A9875" s="3" t="str">
        <f>IFERROR(__xludf.DUMMYFUNCTION("GOOGLETRANSLATE(A9875,""en"",""pt"")"),"Combinando a opinião / revisão de Gary e Gin Zen, O Código Da Vinci é uma porcaria.")</f>
        <v>Combinando a opinião / revisão de Gary e Gin Zen, O Código Da Vinci é uma porcaria.</v>
      </c>
      <c r="B9875" s="3">
        <v>0</v>
      </c>
    </row>
    <row r="9876" ht="15.75" customHeight="1" spans="1:2">
      <c r="A9876" s="3" t="str">
        <f>IFERROR(__xludf.DUMMYFUNCTION("GOOGLETRANSLATE(A9876,""en"",""pt"")"),"Código Da Vinci suga ser ...")</f>
        <v>Código Da Vinci suga ser ...</v>
      </c>
      <c r="B9876" s="3">
        <v>0</v>
      </c>
    </row>
    <row r="9877" ht="15.75" customHeight="1" spans="1:2">
      <c r="A9877" s="3" t="str">
        <f>IFERROR(__xludf.DUMMYFUNCTION("GOOGLETRANSLATE(A9877,""en"",""pt"")"),"Código Da Vinci sugado ..")</f>
        <v>Código Da Vinci sugado ..</v>
      </c>
      <c r="B9877" s="3">
        <v>0</v>
      </c>
    </row>
    <row r="9878" ht="15.75" customHeight="1" spans="1:2">
      <c r="A9878" s="3" t="str">
        <f>IFERROR(__xludf.DUMMYFUNCTION("GOOGLETRANSLATE(A9878,""en"",""pt"")"),"O Código Da Vinci chupado grande.")</f>
        <v>O Código Da Vinci chupado grande.</v>
      </c>
      <c r="B9878" s="3">
        <v>0</v>
      </c>
    </row>
    <row r="9879" ht="15.75" customHeight="1" spans="1:2">
      <c r="A9879" s="3" t="str">
        <f>IFERROR(__xludf.DUMMYFUNCTION("GOOGLETRANSLATE(A9879,""en"",""pt"")"),"Código Da Vinci = Cima, Cima, Baixo, Baixo, Esquerda, Direita, Esquerda, Direita, B, A, SUGAM!")</f>
        <v>Código Da Vinci = Cima, Cima, Baixo, Baixo, Esquerda, Direita, Esquerda, Direita, B, A, SUGAM!</v>
      </c>
      <c r="B9879" s="3">
        <v>0</v>
      </c>
    </row>
    <row r="9880" ht="15.75" customHeight="1" spans="1:2">
      <c r="A9880" s="3" t="str">
        <f>IFERROR(__xludf.DUMMYFUNCTION("GOOGLETRANSLATE(A9880,""en"",""pt"")"),"a propósito, o Código Da Vinci sugado, apenas deixando você sabe ...")</f>
        <v>a propósito, o Código Da Vinci sugado, apenas deixando você sabe ...</v>
      </c>
      <c r="B9880" s="3">
        <v>0</v>
      </c>
    </row>
    <row r="9881" ht="15.75" customHeight="1" spans="1:2">
      <c r="A9881" s="3" t="str">
        <f>IFERROR(__xludf.DUMMYFUNCTION("GOOGLETRANSLATE(A9881,""en"",""pt"")"),"eu ouvi Código Da Vinci sugado soo apenas 2,5 estrelas:")</f>
        <v>eu ouvi Código Da Vinci sugado soo apenas 2,5 estrelas:</v>
      </c>
      <c r="B9881" s="3">
        <v>0</v>
      </c>
    </row>
    <row r="9882" ht="15.75" customHeight="1" spans="1:2">
      <c r="A9882" s="3" t="str">
        <f>IFERROR(__xludf.DUMMYFUNCTION("GOOGLETRANSLATE(A9882,""en"",""pt"")"),"Código Da Vinci é uma porcaria ...")</f>
        <v>Código Da Vinci é uma porcaria ...</v>
      </c>
      <c r="B9882" s="3">
        <v>0</v>
      </c>
    </row>
    <row r="9883" ht="15.75" customHeight="1" spans="1:2">
      <c r="A9883" s="3" t="str">
        <f>IFERROR(__xludf.DUMMYFUNCTION("GOOGLETRANSLATE(A9883,""en"",""pt"")"),"Código Da Vinci é uma porcaria.")</f>
        <v>Código Da Vinci é uma porcaria.</v>
      </c>
      <c r="B9883" s="3">
        <v>0</v>
      </c>
    </row>
    <row r="9884" ht="15.75" customHeight="1" spans="1:2">
      <c r="A9884" s="3" t="str">
        <f>IFERROR(__xludf.DUMMYFUNCTION("GOOGLETRANSLATE(A9884,""en"",""pt"")"),"sexta-feira sai com kelsie e fomos e viu O Código Da Vinci SUGADO !!!!!")</f>
        <v>sexta-feira sai com kelsie e fomos e viu O Código Da Vinci SUGADO !!!!!</v>
      </c>
      <c r="B9884" s="3">
        <v>0</v>
      </c>
    </row>
    <row r="9885" ht="15.75" customHeight="1" spans="1:2">
      <c r="A9885" s="3" t="str">
        <f>IFERROR(__xludf.DUMMYFUNCTION("GOOGLETRANSLATE(A9885,""en"",""pt"")"),"Combinando a opinião / revisão de Gary e Gin Zen, O Código Da Vinci é uma porcaria.")</f>
        <v>Combinando a opinião / revisão de Gary e Gin Zen, O Código Da Vinci é uma porcaria.</v>
      </c>
      <c r="B9885" s="3">
        <v>0</v>
      </c>
    </row>
    <row r="9886" ht="15.75" customHeight="1" spans="1:2">
      <c r="A9886" s="3" t="str">
        <f>IFERROR(__xludf.DUMMYFUNCTION("GOOGLETRANSLATE(A9886,""en"",""pt"")"),"Código Da Vinci suga ser ...")</f>
        <v>Código Da Vinci suga ser ...</v>
      </c>
      <c r="B9886" s="3">
        <v>0</v>
      </c>
    </row>
    <row r="9887" ht="15.75" customHeight="1" spans="1:2">
      <c r="A9887" s="3" t="str">
        <f>IFERROR(__xludf.DUMMYFUNCTION("GOOGLETRANSLATE(A9887,""en"",""pt"")"),"Código Da Vinci sugado ..")</f>
        <v>Código Da Vinci sugado ..</v>
      </c>
      <c r="B9887" s="3">
        <v>0</v>
      </c>
    </row>
    <row r="9888" ht="15.75" customHeight="1" spans="1:2">
      <c r="A9888" s="3" t="str">
        <f>IFERROR(__xludf.DUMMYFUNCTION("GOOGLETRANSLATE(A9888,""en"",""pt"")"),"O Código Da Vinci chupado grande.")</f>
        <v>O Código Da Vinci chupado grande.</v>
      </c>
      <c r="B9888" s="3">
        <v>0</v>
      </c>
    </row>
    <row r="9889" ht="15.75" customHeight="1" spans="1:2">
      <c r="A9889" s="3" t="str">
        <f>IFERROR(__xludf.DUMMYFUNCTION("GOOGLETRANSLATE(A9889,""en"",""pt"")"),"Código Da Vinci = Cima, Cima, Baixo, Baixo, Esquerda, Direita, Esquerda, Direita, B, A, SUGAM!")</f>
        <v>Código Da Vinci = Cima, Cima, Baixo, Baixo, Esquerda, Direita, Esquerda, Direita, B, A, SUGAM!</v>
      </c>
      <c r="B9889" s="3">
        <v>0</v>
      </c>
    </row>
    <row r="9890" ht="15.75" customHeight="1" spans="1:2">
      <c r="A9890" s="3" t="str">
        <f>IFERROR(__xludf.DUMMYFUNCTION("GOOGLETRANSLATE(A9890,""en"",""pt"")"),"a propósito, o Código Da Vinci sugado, apenas deixando você sabe ...")</f>
        <v>a propósito, o Código Da Vinci sugado, apenas deixando você sabe ...</v>
      </c>
      <c r="B9890" s="3">
        <v>0</v>
      </c>
    </row>
    <row r="9891" ht="15.75" customHeight="1" spans="1:2">
      <c r="A9891" s="3" t="str">
        <f>IFERROR(__xludf.DUMMYFUNCTION("GOOGLETRANSLATE(A9891,""en"",""pt"")"),"eu ouvi Código Da Vinci sugado soo apenas 2,5 estrelas:")</f>
        <v>eu ouvi Código Da Vinci sugado soo apenas 2,5 estrelas:</v>
      </c>
      <c r="B9891" s="3">
        <v>0</v>
      </c>
    </row>
    <row r="9892" ht="15.75" customHeight="1" spans="1:2">
      <c r="A9892" s="3" t="str">
        <f>IFERROR(__xludf.DUMMYFUNCTION("GOOGLETRANSLATE(A9892,""en"",""pt"")"),"Código Da Vinci é uma porcaria ...")</f>
        <v>Código Da Vinci é uma porcaria ...</v>
      </c>
      <c r="B9892" s="3">
        <v>0</v>
      </c>
    </row>
    <row r="9893" ht="15.75" customHeight="1" spans="1:2">
      <c r="A9893" s="3" t="str">
        <f>IFERROR(__xludf.DUMMYFUNCTION("GOOGLETRANSLATE(A9893,""en"",""pt"")"),"Código Da Vinci é uma porcaria.")</f>
        <v>Código Da Vinci é uma porcaria.</v>
      </c>
      <c r="B9893" s="3">
        <v>0</v>
      </c>
    </row>
    <row r="9894" ht="15.75" customHeight="1" spans="1:2">
      <c r="A9894" s="3" t="str">
        <f>IFERROR(__xludf.DUMMYFUNCTION("GOOGLETRANSLATE(A9894,""en"",""pt"")"),"sexta-feira sai com kelsie e fomos e viu O Código Da Vinci SUGADO !!!!!")</f>
        <v>sexta-feira sai com kelsie e fomos e viu O Código Da Vinci SUGADO !!!!!</v>
      </c>
      <c r="B9894" s="3">
        <v>0</v>
      </c>
    </row>
    <row r="9895" ht="15.75" customHeight="1" spans="1:2">
      <c r="A9895" s="3" t="str">
        <f>IFERROR(__xludf.DUMMYFUNCTION("GOOGLETRANSLATE(A9895,""en"",""pt"")"),"Combinando a opinião / revisão de Gary e Gin Zen, O Código Da Vinci é uma porcaria.")</f>
        <v>Combinando a opinião / revisão de Gary e Gin Zen, O Código Da Vinci é uma porcaria.</v>
      </c>
      <c r="B9895" s="3">
        <v>0</v>
      </c>
    </row>
    <row r="9896" ht="15.75" customHeight="1" spans="1:2">
      <c r="A9896" s="3" t="str">
        <f>IFERROR(__xludf.DUMMYFUNCTION("GOOGLETRANSLATE(A9896,""en"",""pt"")"),"Código Da Vinci suga ser ...")</f>
        <v>Código Da Vinci suga ser ...</v>
      </c>
      <c r="B9896" s="3">
        <v>0</v>
      </c>
    </row>
    <row r="9897" ht="15.75" customHeight="1" spans="1:2">
      <c r="A9897" s="3" t="str">
        <f>IFERROR(__xludf.DUMMYFUNCTION("GOOGLETRANSLATE(A9897,""en"",""pt"")"),"Código Da Vinci sugado ..")</f>
        <v>Código Da Vinci sugado ..</v>
      </c>
      <c r="B9897" s="3">
        <v>0</v>
      </c>
    </row>
    <row r="9898" ht="15.75" customHeight="1" spans="1:2">
      <c r="A9898" s="3" t="str">
        <f>IFERROR(__xludf.DUMMYFUNCTION("GOOGLETRANSLATE(A9898,""en"",""pt"")"),"O Código Da Vinci chupado grande.")</f>
        <v>O Código Da Vinci chupado grande.</v>
      </c>
      <c r="B9898" s="3">
        <v>0</v>
      </c>
    </row>
    <row r="9899" ht="15.75" customHeight="1" spans="1:2">
      <c r="A9899" s="3" t="str">
        <f>IFERROR(__xludf.DUMMYFUNCTION("GOOGLETRANSLATE(A9899,""en"",""pt"")"),"Código Da Vinci = Cima, Cima, Baixo, Baixo, Esquerda, Direita, Esquerda, Direita, B, A, SUGAM!")</f>
        <v>Código Da Vinci = Cima, Cima, Baixo, Baixo, Esquerda, Direita, Esquerda, Direita, B, A, SUGAM!</v>
      </c>
      <c r="B9899" s="3">
        <v>0</v>
      </c>
    </row>
    <row r="9900" ht="15.75" customHeight="1" spans="1:2">
      <c r="A9900" s="3" t="str">
        <f>IFERROR(__xludf.DUMMYFUNCTION("GOOGLETRANSLATE(A9900,""en"",""pt"")"),"a propósito, o Código Da Vinci sugado, apenas deixando você sabe ...")</f>
        <v>a propósito, o Código Da Vinci sugado, apenas deixando você sabe ...</v>
      </c>
      <c r="B9900" s="3">
        <v>0</v>
      </c>
    </row>
    <row r="9901" ht="15.75" customHeight="1" spans="1:2">
      <c r="A9901" s="3" t="str">
        <f>IFERROR(__xludf.DUMMYFUNCTION("GOOGLETRANSLATE(A9901,""en"",""pt"")"),"eu ouvi Código Da Vinci sugado soo apenas 2,5 estrelas:")</f>
        <v>eu ouvi Código Da Vinci sugado soo apenas 2,5 estrelas:</v>
      </c>
      <c r="B9901" s="3">
        <v>0</v>
      </c>
    </row>
    <row r="9902" ht="15.75" customHeight="1" spans="1:2">
      <c r="A9902" s="3" t="str">
        <f>IFERROR(__xludf.DUMMYFUNCTION("GOOGLETRANSLATE(A9902,""en"",""pt"")"),"Código Da Vinci é uma porcaria ...")</f>
        <v>Código Da Vinci é uma porcaria ...</v>
      </c>
      <c r="B9902" s="3">
        <v>0</v>
      </c>
    </row>
    <row r="9903" ht="15.75" customHeight="1" spans="1:2">
      <c r="A9903" s="3" t="str">
        <f>IFERROR(__xludf.DUMMYFUNCTION("GOOGLETRANSLATE(A9903,""en"",""pt"")"),"Código Da Vinci é uma porcaria.")</f>
        <v>Código Da Vinci é uma porcaria.</v>
      </c>
      <c r="B9903" s="3">
        <v>0</v>
      </c>
    </row>
    <row r="9904" ht="15.75" customHeight="1" spans="1:2">
      <c r="A9904" s="3" t="str">
        <f>IFERROR(__xludf.DUMMYFUNCTION("GOOGLETRANSLATE(A9904,""en"",""pt"")"),"sexta-feira sai com kelsie e fomos e viu O Código Da Vinci SUGADO !!!!!")</f>
        <v>sexta-feira sai com kelsie e fomos e viu O Código Da Vinci SUGADO !!!!!</v>
      </c>
      <c r="B9904" s="3">
        <v>0</v>
      </c>
    </row>
    <row r="9905" ht="15.75" customHeight="1" spans="1:2">
      <c r="A9905" s="3" t="str">
        <f>IFERROR(__xludf.DUMMYFUNCTION("GOOGLETRANSLATE(A9905,""en"",""pt"")"),"Combinando a opinião / revisão de Gary e Gin Zen, O Código Da Vinci é uma porcaria.")</f>
        <v>Combinando a opinião / revisão de Gary e Gin Zen, O Código Da Vinci é uma porcaria.</v>
      </c>
      <c r="B9905" s="3">
        <v>0</v>
      </c>
    </row>
    <row r="9906" ht="15.75" customHeight="1" spans="1:2">
      <c r="A9906" s="3" t="str">
        <f>IFERROR(__xludf.DUMMYFUNCTION("GOOGLETRANSLATE(A9906,""en"",""pt"")"),"Código Da Vinci suga ser ...")</f>
        <v>Código Da Vinci suga ser ...</v>
      </c>
      <c r="B9906" s="3">
        <v>0</v>
      </c>
    </row>
    <row r="9907" ht="15.75" customHeight="1" spans="1:2">
      <c r="A9907" s="3" t="str">
        <f>IFERROR(__xludf.DUMMYFUNCTION("GOOGLETRANSLATE(A9907,""en"",""pt"")"),"Código Da Vinci sugado ..")</f>
        <v>Código Da Vinci sugado ..</v>
      </c>
      <c r="B9907" s="3">
        <v>0</v>
      </c>
    </row>
    <row r="9908" ht="15.75" customHeight="1" spans="1:2">
      <c r="A9908" s="3" t="str">
        <f>IFERROR(__xludf.DUMMYFUNCTION("GOOGLETRANSLATE(A9908,""en"",""pt"")"),"O Código Da Vinci chupado grande.")</f>
        <v>O Código Da Vinci chupado grande.</v>
      </c>
      <c r="B9908" s="3">
        <v>0</v>
      </c>
    </row>
    <row r="9909" ht="15.75" customHeight="1" spans="1:2">
      <c r="A9909" s="3" t="str">
        <f>IFERROR(__xludf.DUMMYFUNCTION("GOOGLETRANSLATE(A9909,""en"",""pt"")"),"Código Da Vinci = Cima, Cima, Baixo, Baixo, Esquerda, Direita, Esquerda, Direita, B, A, SUGAM!")</f>
        <v>Código Da Vinci = Cima, Cima, Baixo, Baixo, Esquerda, Direita, Esquerda, Direita, B, A, SUGAM!</v>
      </c>
      <c r="B9909" s="3">
        <v>0</v>
      </c>
    </row>
    <row r="9910" ht="15.75" customHeight="1" spans="1:2">
      <c r="A9910" s="3" t="str">
        <f>IFERROR(__xludf.DUMMYFUNCTION("GOOGLETRANSLATE(A9910,""en"",""pt"")"),"a propósito, o Código Da Vinci sugado, apenas deixando você sabe ...")</f>
        <v>a propósito, o Código Da Vinci sugado, apenas deixando você sabe ...</v>
      </c>
      <c r="B9910" s="3">
        <v>0</v>
      </c>
    </row>
    <row r="9911" ht="15.75" customHeight="1" spans="1:2">
      <c r="A9911" s="3" t="str">
        <f>IFERROR(__xludf.DUMMYFUNCTION("GOOGLETRANSLATE(A9911,""en"",""pt"")"),"eu ouvi Código Da Vinci sugado soo apenas 2,5 estrelas:")</f>
        <v>eu ouvi Código Da Vinci sugado soo apenas 2,5 estrelas:</v>
      </c>
      <c r="B9911" s="3">
        <v>0</v>
      </c>
    </row>
    <row r="9912" ht="15.75" customHeight="1" spans="1:2">
      <c r="A9912" s="3" t="str">
        <f>IFERROR(__xludf.DUMMYFUNCTION("GOOGLETRANSLATE(A9912,""en"",""pt"")"),"Código Da Vinci é uma porcaria ...")</f>
        <v>Código Da Vinci é uma porcaria ...</v>
      </c>
      <c r="B9912" s="3">
        <v>0</v>
      </c>
    </row>
    <row r="9913" ht="15.75" customHeight="1" spans="1:2">
      <c r="A9913" s="3" t="str">
        <f>IFERROR(__xludf.DUMMYFUNCTION("GOOGLETRANSLATE(A9913,""en"",""pt"")"),"Código Da Vinci é uma porcaria.")</f>
        <v>Código Da Vinci é uma porcaria.</v>
      </c>
      <c r="B9913" s="3">
        <v>0</v>
      </c>
    </row>
    <row r="9914" ht="15.75" customHeight="1" spans="1:2">
      <c r="A9914" s="3" t="str">
        <f>IFERROR(__xludf.DUMMYFUNCTION("GOOGLETRANSLATE(A9914,""en"",""pt"")"),"sexta-feira sai com kelsie e fomos e viu O Código Da Vinci SUGADO !!!!!")</f>
        <v>sexta-feira sai com kelsie e fomos e viu O Código Da Vinci SUGADO !!!!!</v>
      </c>
      <c r="B9914" s="3">
        <v>0</v>
      </c>
    </row>
    <row r="9915" ht="15.75" customHeight="1" spans="1:2">
      <c r="A9915" s="3" t="str">
        <f>IFERROR(__xludf.DUMMYFUNCTION("GOOGLETRANSLATE(A9915,""en"",""pt"")"),"Combinando a opinião / revisão de Gary e Gin Zen, O Código Da Vinci é uma porcaria.")</f>
        <v>Combinando a opinião / revisão de Gary e Gin Zen, O Código Da Vinci é uma porcaria.</v>
      </c>
      <c r="B9915" s="3">
        <v>0</v>
      </c>
    </row>
    <row r="9916" ht="15.75" customHeight="1" spans="1:2">
      <c r="A9916" s="3" t="str">
        <f>IFERROR(__xludf.DUMMYFUNCTION("GOOGLETRANSLATE(A9916,""en"",""pt"")"),"Código Da Vinci suga ser ...")</f>
        <v>Código Da Vinci suga ser ...</v>
      </c>
      <c r="B9916" s="3">
        <v>0</v>
      </c>
    </row>
    <row r="9917" ht="15.75" customHeight="1" spans="1:2">
      <c r="A9917" s="3" t="str">
        <f>IFERROR(__xludf.DUMMYFUNCTION("GOOGLETRANSLATE(A9917,""en"",""pt"")"),"Código Da Vinci sugado ..")</f>
        <v>Código Da Vinci sugado ..</v>
      </c>
      <c r="B9917" s="3">
        <v>0</v>
      </c>
    </row>
    <row r="9918" ht="15.75" customHeight="1" spans="1:2">
      <c r="A9918" s="3" t="str">
        <f>IFERROR(__xludf.DUMMYFUNCTION("GOOGLETRANSLATE(A9918,""en"",""pt"")"),"O Código Da Vinci chupado grande.")</f>
        <v>O Código Da Vinci chupado grande.</v>
      </c>
      <c r="B9918" s="3">
        <v>0</v>
      </c>
    </row>
    <row r="9919" ht="15.75" customHeight="1" spans="1:2">
      <c r="A9919" s="3" t="str">
        <f>IFERROR(__xludf.DUMMYFUNCTION("GOOGLETRANSLATE(A9919,""en"",""pt"")"),"Código Da Vinci = Cima, Cima, Baixo, Baixo, Esquerda, Direita, Esquerda, Direita, B, A, SUGAM!")</f>
        <v>Código Da Vinci = Cima, Cima, Baixo, Baixo, Esquerda, Direita, Esquerda, Direita, B, A, SUGAM!</v>
      </c>
      <c r="B9919" s="3">
        <v>0</v>
      </c>
    </row>
    <row r="9920" ht="15.75" customHeight="1" spans="1:2">
      <c r="A9920" s="3" t="str">
        <f>IFERROR(__xludf.DUMMYFUNCTION("GOOGLETRANSLATE(A9920,""en"",""pt"")"),"a propósito, o Código Da Vinci sugado, apenas deixando você sabe ...")</f>
        <v>a propósito, o Código Da Vinci sugado, apenas deixando você sabe ...</v>
      </c>
      <c r="B9920" s="3">
        <v>0</v>
      </c>
    </row>
    <row r="9921" ht="15.75" customHeight="1" spans="1:2">
      <c r="A9921" s="3" t="str">
        <f>IFERROR(__xludf.DUMMYFUNCTION("GOOGLETRANSLATE(A9921,""en"",""pt"")"),"eu ouvi Código Da Vinci sugado soo apenas 2,5 estrelas:")</f>
        <v>eu ouvi Código Da Vinci sugado soo apenas 2,5 estrelas:</v>
      </c>
      <c r="B9921" s="3">
        <v>0</v>
      </c>
    </row>
    <row r="9922" ht="15.75" customHeight="1" spans="1:2">
      <c r="A9922" s="3" t="str">
        <f>IFERROR(__xludf.DUMMYFUNCTION("GOOGLETRANSLATE(A9922,""en"",""pt"")"),"Código Da Vinci é uma porcaria ...")</f>
        <v>Código Da Vinci é uma porcaria ...</v>
      </c>
      <c r="B9922" s="3">
        <v>0</v>
      </c>
    </row>
    <row r="9923" ht="15.75" customHeight="1" spans="1:2">
      <c r="A9923" s="3" t="str">
        <f>IFERROR(__xludf.DUMMYFUNCTION("GOOGLETRANSLATE(A9923,""en"",""pt"")"),"Código Da Vinci é uma porcaria.")</f>
        <v>Código Da Vinci é uma porcaria.</v>
      </c>
      <c r="B9923" s="3">
        <v>0</v>
      </c>
    </row>
    <row r="9924" ht="15.75" customHeight="1" spans="1:2">
      <c r="A9924" s="3" t="str">
        <f>IFERROR(__xludf.DUMMYFUNCTION("GOOGLETRANSLATE(A9924,""en"",""pt"")"),"sexta-feira sai com kelsie e fomos e viu O Código Da Vinci SUGADO !!!!!")</f>
        <v>sexta-feira sai com kelsie e fomos e viu O Código Da Vinci SUGADO !!!!!</v>
      </c>
      <c r="B9924" s="3">
        <v>0</v>
      </c>
    </row>
    <row r="9925" ht="15.75" customHeight="1" spans="1:2">
      <c r="A9925" s="3" t="str">
        <f>IFERROR(__xludf.DUMMYFUNCTION("GOOGLETRANSLATE(A9925,""en"",""pt"")"),"Combinando a opinião / revisão de Gary e Gin Zen, O Código Da Vinci é uma porcaria.")</f>
        <v>Combinando a opinião / revisão de Gary e Gin Zen, O Código Da Vinci é uma porcaria.</v>
      </c>
      <c r="B9925" s="3">
        <v>0</v>
      </c>
    </row>
    <row r="9926" ht="15.75" customHeight="1" spans="1:2">
      <c r="A9926" s="3" t="str">
        <f>IFERROR(__xludf.DUMMYFUNCTION("GOOGLETRANSLATE(A9926,""en"",""pt"")"),"Código Da Vinci suga ser ...")</f>
        <v>Código Da Vinci suga ser ...</v>
      </c>
      <c r="B9926" s="3">
        <v>0</v>
      </c>
    </row>
    <row r="9927" ht="15.75" customHeight="1" spans="1:2">
      <c r="A9927" s="3" t="str">
        <f>IFERROR(__xludf.DUMMYFUNCTION("GOOGLETRANSLATE(A9927,""en"",""pt"")"),"Código Da Vinci sugado ..")</f>
        <v>Código Da Vinci sugado ..</v>
      </c>
      <c r="B9927" s="3">
        <v>0</v>
      </c>
    </row>
    <row r="9928" ht="15.75" customHeight="1" spans="1:2">
      <c r="A9928" s="3" t="str">
        <f>IFERROR(__xludf.DUMMYFUNCTION("GOOGLETRANSLATE(A9928,""en"",""pt"")"),"O Código Da Vinci chupado grande.")</f>
        <v>O Código Da Vinci chupado grande.</v>
      </c>
      <c r="B9928" s="3">
        <v>0</v>
      </c>
    </row>
    <row r="9929" ht="15.75" customHeight="1" spans="1:2">
      <c r="A9929" s="3" t="str">
        <f>IFERROR(__xludf.DUMMYFUNCTION("GOOGLETRANSLATE(A9929,""en"",""pt"")"),"Código Da Vinci = Cima, Cima, Baixo, Baixo, Esquerda, Direita, Esquerda, Direita, B, A, SUGAM!")</f>
        <v>Código Da Vinci = Cima, Cima, Baixo, Baixo, Esquerda, Direita, Esquerda, Direita, B, A, SUGAM!</v>
      </c>
      <c r="B9929" s="3">
        <v>0</v>
      </c>
    </row>
    <row r="9930" ht="15.75" customHeight="1" spans="1:2">
      <c r="A9930" s="3" t="str">
        <f>IFERROR(__xludf.DUMMYFUNCTION("GOOGLETRANSLATE(A9930,""en"",""pt"")"),"a propósito, o Código Da Vinci sugado, apenas deixando você sabe ...")</f>
        <v>a propósito, o Código Da Vinci sugado, apenas deixando você sabe ...</v>
      </c>
      <c r="B9930" s="3">
        <v>0</v>
      </c>
    </row>
    <row r="9931" ht="15.75" customHeight="1" spans="1:2">
      <c r="A9931" s="3" t="str">
        <f>IFERROR(__xludf.DUMMYFUNCTION("GOOGLETRANSLATE(A9931,""en"",""pt"")"),"eu ouvi Código Da Vinci sugado soo apenas 2,5 estrelas:")</f>
        <v>eu ouvi Código Da Vinci sugado soo apenas 2,5 estrelas:</v>
      </c>
      <c r="B9931" s="3">
        <v>0</v>
      </c>
    </row>
    <row r="9932" ht="15.75" customHeight="1" spans="1:2">
      <c r="A9932" s="3" t="str">
        <f>IFERROR(__xludf.DUMMYFUNCTION("GOOGLETRANSLATE(A9932,""en"",""pt"")"),"Código Da Vinci é uma porcaria ...")</f>
        <v>Código Da Vinci é uma porcaria ...</v>
      </c>
      <c r="B9932" s="3">
        <v>0</v>
      </c>
    </row>
    <row r="9933" ht="15.75" customHeight="1" spans="1:2">
      <c r="A9933" s="3" t="str">
        <f>IFERROR(__xludf.DUMMYFUNCTION("GOOGLETRANSLATE(A9933,""en"",""pt"")"),"Código Da Vinci é uma porcaria.")</f>
        <v>Código Da Vinci é uma porcaria.</v>
      </c>
      <c r="B9933" s="3">
        <v>0</v>
      </c>
    </row>
    <row r="9934" ht="15.75" customHeight="1" spans="1:2">
      <c r="A9934" s="3" t="str">
        <f>IFERROR(__xludf.DUMMYFUNCTION("GOOGLETRANSLATE(A9934,""en"",""pt"")"),"sexta-feira sai com kelsie e fomos e viu O Código Da Vinci SUGADO !!!!!")</f>
        <v>sexta-feira sai com kelsie e fomos e viu O Código Da Vinci SUGADO !!!!!</v>
      </c>
      <c r="B9934" s="3">
        <v>0</v>
      </c>
    </row>
    <row r="9935" ht="15.75" customHeight="1" spans="1:2">
      <c r="A9935" s="3" t="str">
        <f>IFERROR(__xludf.DUMMYFUNCTION("GOOGLETRANSLATE(A9935,""en"",""pt"")"),"Combinando a opinião / revisão de Gary e Gin Zen, O Código Da Vinci é uma porcaria.")</f>
        <v>Combinando a opinião / revisão de Gary e Gin Zen, O Código Da Vinci é uma porcaria.</v>
      </c>
      <c r="B9935" s="3">
        <v>0</v>
      </c>
    </row>
    <row r="9936" ht="15.75" customHeight="1" spans="1:2">
      <c r="A9936" s="3" t="str">
        <f>IFERROR(__xludf.DUMMYFUNCTION("GOOGLETRANSLATE(A9936,""en"",""pt"")"),"Código Da Vinci suga ser ...")</f>
        <v>Código Da Vinci suga ser ...</v>
      </c>
      <c r="B9936" s="3">
        <v>0</v>
      </c>
    </row>
    <row r="9937" ht="15.75" customHeight="1" spans="1:2">
      <c r="A9937" s="3" t="str">
        <f>IFERROR(__xludf.DUMMYFUNCTION("GOOGLETRANSLATE(A9937,""en"",""pt"")"),"Código Da Vinci sugado ..")</f>
        <v>Código Da Vinci sugado ..</v>
      </c>
      <c r="B9937" s="3">
        <v>0</v>
      </c>
    </row>
    <row r="9938" ht="15.75" customHeight="1" spans="1:2">
      <c r="A9938" s="3" t="str">
        <f>IFERROR(__xludf.DUMMYFUNCTION("GOOGLETRANSLATE(A9938,""en"",""pt"")"),"O Código Da Vinci chupado grande.")</f>
        <v>O Código Da Vinci chupado grande.</v>
      </c>
      <c r="B9938" s="3">
        <v>0</v>
      </c>
    </row>
    <row r="9939" ht="15.75" customHeight="1" spans="1:2">
      <c r="A9939" s="3" t="str">
        <f>IFERROR(__xludf.DUMMYFUNCTION("GOOGLETRANSLATE(A9939,""en"",""pt"")"),"Código Da Vinci = Cima, Cima, Baixo, Baixo, Esquerda, Direita, Esquerda, Direita, B, A, SUGAM!")</f>
        <v>Código Da Vinci = Cima, Cima, Baixo, Baixo, Esquerda, Direita, Esquerda, Direita, B, A, SUGAM!</v>
      </c>
      <c r="B9939" s="3">
        <v>0</v>
      </c>
    </row>
    <row r="9940" ht="15.75" customHeight="1" spans="1:2">
      <c r="A9940" s="3" t="str">
        <f>IFERROR(__xludf.DUMMYFUNCTION("GOOGLETRANSLATE(A9940,""en"",""pt"")"),"a propósito, o Código Da Vinci sugado, apenas deixando você sabe ...")</f>
        <v>a propósito, o Código Da Vinci sugado, apenas deixando você sabe ...</v>
      </c>
      <c r="B9940" s="3">
        <v>0</v>
      </c>
    </row>
    <row r="9941" ht="15.75" customHeight="1" spans="1:2">
      <c r="A9941" s="3" t="str">
        <f>IFERROR(__xludf.DUMMYFUNCTION("GOOGLETRANSLATE(A9941,""en"",""pt"")"),"eu ouvi Código Da Vinci sugado soo apenas 2,5 estrelas:")</f>
        <v>eu ouvi Código Da Vinci sugado soo apenas 2,5 estrelas:</v>
      </c>
      <c r="B9941" s="3">
        <v>0</v>
      </c>
    </row>
    <row r="9942" ht="15.75" customHeight="1" spans="1:2">
      <c r="A9942" s="3" t="str">
        <f>IFERROR(__xludf.DUMMYFUNCTION("GOOGLETRANSLATE(A9942,""en"",""pt"")"),"Código Da Vinci é uma porcaria ...")</f>
        <v>Código Da Vinci é uma porcaria ...</v>
      </c>
      <c r="B9942" s="3">
        <v>0</v>
      </c>
    </row>
    <row r="9943" ht="15.75" customHeight="1" spans="1:2">
      <c r="A9943" s="3" t="str">
        <f>IFERROR(__xludf.DUMMYFUNCTION("GOOGLETRANSLATE(A9943,""en"",""pt"")"),"Missão Impossível suga também! ..")</f>
        <v>Missão Impossível suga também! ..</v>
      </c>
      <c r="B9943" s="3">
        <v>0</v>
      </c>
    </row>
    <row r="9944" ht="15.75" customHeight="1" spans="1:2">
      <c r="A9944" s="3" t="str">
        <f>IFERROR(__xludf.DUMMYFUNCTION("GOOGLETRANSLATE(A9944,""en"",""pt"")"),"Eu odiava Missão Impossível ..")</f>
        <v>Eu odiava Missão Impossível ..</v>
      </c>
      <c r="B9944" s="3">
        <v>0</v>
      </c>
    </row>
    <row r="9945" ht="15.75" customHeight="1" spans="1:2">
      <c r="A9945" s="3" t="str">
        <f>IFERROR(__xludf.DUMMYFUNCTION("GOOGLETRANSLATE(A9945,""en"",""pt"")"),"Meu amigo disse Missão Impossível sugado - grande momento ...")</f>
        <v>Meu amigo disse Missão Impossível sugado - grande momento ...</v>
      </c>
      <c r="B9945" s="3">
        <v>0</v>
      </c>
    </row>
    <row r="9946" ht="15.75" customHeight="1" spans="1:2">
      <c r="A9946" s="3" t="str">
        <f>IFERROR(__xludf.DUMMYFUNCTION("GOOGLETRANSLATE(A9946,""en"",""pt"")"),"Eu odeio Missão Impossível.")</f>
        <v>Eu odeio Missão Impossível.</v>
      </c>
      <c r="B9946" s="3">
        <v>0</v>
      </c>
    </row>
    <row r="9947" ht="15.75" customHeight="1" spans="1:2">
      <c r="A9947" s="3" t="str">
        <f>IFERROR(__xludf.DUMMYFUNCTION("GOOGLETRANSLATE(A9947,""en"",""pt"")"),"Missão Showcasing Impossível 3 (que sugam aniwae) e X-Men 3, que eu não chegar para assistir até hoje ..")</f>
        <v>Missão Showcasing Impossível 3 (que sugam aniwae) e X-Men 3, que eu não chegar para assistir até hoje ..</v>
      </c>
      <c r="B9947" s="3">
        <v>0</v>
      </c>
    </row>
    <row r="9948" ht="15.75" customHeight="1" spans="1:2">
      <c r="A9948" s="3" t="str">
        <f>IFERROR(__xludf.DUMMYFUNCTION("GOOGLETRANSLATE(A9948,""en"",""pt"")"),"De viagem da Missão de Natal com nosso próprio Tom Cruise: ""a missão é impossível para as pessoas estúpidas"" ..")</f>
        <v>De viagem da Missão de Natal com nosso próprio Tom Cruise: "a missão é impossível para as pessoas estúpidas" ..</v>
      </c>
      <c r="B9948" s="3">
        <v>0</v>
      </c>
    </row>
    <row r="9949" ht="15.75" customHeight="1" spans="1:2">
      <c r="A9949" s="3" t="str">
        <f>IFERROR(__xludf.DUMMYFUNCTION("GOOGLETRANSLATE(A9949,""en"",""pt"")"),"Eu odeio jogar Missão Impossível --- amor 007 ..")</f>
        <v>Eu odeio jogar Missão Impossível --- amor 007 ..</v>
      </c>
      <c r="B9949" s="3">
        <v>0</v>
      </c>
    </row>
    <row r="9950" ht="15.75" customHeight="1" spans="1:2">
      <c r="A9950" s="3" t="str">
        <f>IFERROR(__xludf.DUMMYFUNCTION("GOOGLETRANSLATE(A9950,""en"",""pt"")"),"e eu não estou nem pensando em ficar em FRESHMAN cuz me itz apenas missão lol impossível eu simplesmente chupar muito completo ....")</f>
        <v>e eu não estou nem pensando em ficar em FRESHMAN cuz me itz apenas missão lol impossível eu simplesmente chupar muito completo ....</v>
      </c>
      <c r="B9950" s="3">
        <v>0</v>
      </c>
    </row>
    <row r="9951" ht="15.75" customHeight="1" spans="1:2">
      <c r="A9951" s="3" t="str">
        <f>IFERROR(__xludf.DUMMYFUNCTION("GOOGLETRANSLATE(A9951,""en"",""pt"")"),"Missão Impossível 2 sugado incondicional.")</f>
        <v>Missão Impossível 2 sugado incondicional.</v>
      </c>
      <c r="B9951" s="3">
        <v>0</v>
      </c>
    </row>
    <row r="9952" ht="15.75" customHeight="1" spans="1:2">
      <c r="A9952" s="3" t="str">
        <f>IFERROR(__xludf.DUMMYFUNCTION("GOOGLETRANSLATE(A9952,""en"",""pt"")"),"Acho que vou odiar Missão Impossível 3;")</f>
        <v>Acho que vou odiar Missão Impossível 3;</v>
      </c>
      <c r="B9952" s="3">
        <v>0</v>
      </c>
    </row>
    <row r="9953" ht="15.75" customHeight="1" spans="1:2">
      <c r="A9953" s="3" t="str">
        <f>IFERROR(__xludf.DUMMYFUNCTION("GOOGLETRANSLATE(A9953,""en"",""pt"")"),"i não sabia missão impossível 2 suga assim ...")</f>
        <v>i não sabia missão impossível 2 suga assim ...</v>
      </c>
      <c r="B9953" s="3">
        <v>0</v>
      </c>
    </row>
    <row r="9954" ht="15.75" customHeight="1" spans="1:2">
      <c r="A9954" s="3" t="str">
        <f>IFERROR(__xludf.DUMMYFUNCTION("GOOGLETRANSLATE(A9954,""en"",""pt"")")," Missão Impossível 3 suga como um campo de energia Theatan!")</f>
        <v> Missão Impossível 3 suga como um campo de energia Theatan!</v>
      </c>
      <c r="B9954" s="3">
        <v>0</v>
      </c>
    </row>
    <row r="9955" ht="15.75" customHeight="1" spans="1:2">
      <c r="A9955" s="3" t="str">
        <f>IFERROR(__xludf.DUMMYFUNCTION("GOOGLETRANSLATE(A9955,""en"",""pt"")")," Missão Impossível III é uma porcaria, a história de ""X-Men:")</f>
        <v> Missão Impossível III é uma porcaria, a história de "X-Men:</v>
      </c>
      <c r="B9955" s="3">
        <v>0</v>
      </c>
    </row>
    <row r="9956" ht="15.75" customHeight="1" spans="1:2">
      <c r="A9956" s="3" t="str">
        <f>IFERROR(__xludf.DUMMYFUNCTION("GOOGLETRANSLATE(A9956,""en"",""pt"")"),"MISSÃO IMPOSSÍVEL 3 SUGA !! ..")</f>
        <v>MISSÃO IMPOSSÍVEL 3 SUGA !! ..</v>
      </c>
      <c r="B9956" s="3">
        <v>0</v>
      </c>
    </row>
    <row r="9957" ht="15.75" customHeight="1" spans="1:2">
      <c r="A9957" s="3" t="str">
        <f>IFERROR(__xludf.DUMMYFUNCTION("GOOGLETRANSLATE(A9957,""en"",""pt"")"),"Missão Impossível 3 sugado ass tho ...")</f>
        <v>Missão Impossível 3 sugado ass tho ...</v>
      </c>
      <c r="B9957" s="3">
        <v>0</v>
      </c>
    </row>
    <row r="9958" ht="15.75" customHeight="1" spans="1:2">
      <c r="A9958" s="3" t="str">
        <f>IFERROR(__xludf.DUMMYFUNCTION("GOOGLETRANSLATE(A9958,""en"",""pt"")"),"Missão Impossível 3, Tom Cruise, é uma porcaria, eu odeio filmes de ação, comer comida chinesa durante a noite, dim sum, muito engraçado ....")</f>
        <v>Missão Impossível 3, Tom Cruise, é uma porcaria, eu odeio filmes de ação, comer comida chinesa durante a noite, dim sum, muito engraçado ....</v>
      </c>
      <c r="B9958" s="3">
        <v>0</v>
      </c>
    </row>
    <row r="9959" ht="15.75" customHeight="1" spans="1:2">
      <c r="A9959" s="3" t="str">
        <f>IFERROR(__xludf.DUMMYFUNCTION("GOOGLETRANSLATE(A9959,""en"",""pt"")"),"Missão Impossível III sugado majorly, mas foi bom fazer as coisas com os amigos.")</f>
        <v>Missão Impossível III sugado majorly, mas foi bom fazer as coisas com os amigos.</v>
      </c>
      <c r="B9959" s="3">
        <v>0</v>
      </c>
    </row>
    <row r="9960" ht="15.75" customHeight="1" spans="1:2">
      <c r="A9960" s="3" t="str">
        <f>IFERROR(__xludf.DUMMYFUNCTION("GOOGLETRANSLATE(A9960,""en"",""pt"")"),"Deus, de qualquer maneira para whos alguém leu até aqui a nova Missão Impossível SUGA!")</f>
        <v>Deus, de qualquer maneira para whos alguém leu até aqui a nova Missão Impossível SUGA!</v>
      </c>
      <c r="B9960" s="3">
        <v>0</v>
      </c>
    </row>
    <row r="9961" ht="15.75" customHeight="1" spans="1:2">
      <c r="A9961" s="3" t="str">
        <f>IFERROR(__xludf.DUMMYFUNCTION("GOOGLETRANSLATE(A9961,""en"",""pt"")"),"mas Missão Impossível 3 SUGA!")</f>
        <v>mas Missão Impossível 3 SUGA!</v>
      </c>
      <c r="B9961" s="3">
        <v>0</v>
      </c>
    </row>
    <row r="9962" ht="15.75" customHeight="1" spans="1:2">
      <c r="A9962" s="3" t="str">
        <f>IFERROR(__xludf.DUMMYFUNCTION("GOOGLETRANSLATE(A9962,""en"",""pt"")"),"Missão III impossível suga ..")</f>
        <v>Missão III impossível suga ..</v>
      </c>
      <c r="B9962" s="3">
        <v>0</v>
      </c>
    </row>
    <row r="9963" ht="15.75" customHeight="1" spans="1:2">
      <c r="A9963" s="3" t="str">
        <f>IFERROR(__xludf.DUMMYFUNCTION("GOOGLETRANSLATE(A9963,""en"",""pt"")"),"Eu odiava Missão Impossível 2 ..")</f>
        <v>Eu odiava Missão Impossível 2 ..</v>
      </c>
      <c r="B9963" s="3">
        <v>0</v>
      </c>
    </row>
    <row r="9964" ht="15.75" customHeight="1" spans="1:2">
      <c r="A9964" s="3" t="str">
        <f>IFERROR(__xludf.DUMMYFUNCTION("GOOGLETRANSLATE(A9964,""en"",""pt"")"),"MISSÃO IMPOSSÍVEL III vai chupar BOLAS !!! ..")</f>
        <v>MISSÃO IMPOSSÍVEL III vai chupar BOLAS !!! ..</v>
      </c>
      <c r="B9964" s="3">
        <v>0</v>
      </c>
    </row>
    <row r="9965" ht="15.75" customHeight="1" spans="1:2">
      <c r="A9965" s="3" t="str">
        <f>IFERROR(__xludf.DUMMYFUNCTION("GOOGLETRANSLATE(A9965,""en"",""pt"")"),"Missão III impossível sugado para uma grande extensão.")</f>
        <v>Missão III impossível sugado para uma grande extensão.</v>
      </c>
      <c r="B9965" s="3">
        <v>0</v>
      </c>
    </row>
    <row r="9966" ht="15.75" customHeight="1" spans="1:2">
      <c r="A9966" s="3" t="str">
        <f>IFERROR(__xludf.DUMMYFUNCTION("GOOGLETRANSLATE(A9966,""en"",""pt"")"),"missão impossível III meio sugado.")</f>
        <v>missão impossível III meio sugado.</v>
      </c>
      <c r="B9966" s="3">
        <v>0</v>
      </c>
    </row>
    <row r="9967" ht="15.75" customHeight="1" spans="1:2">
      <c r="A9967" s="3" t="str">
        <f>IFERROR(__xludf.DUMMYFUNCTION("GOOGLETRANSLATE(A9967,""en"",""pt"")"),"Missão Impossível 3 sugado ...")</f>
        <v>Missão Impossível 3 sugado ...</v>
      </c>
      <c r="B9967" s="3">
        <v>0</v>
      </c>
    </row>
    <row r="9968" ht="15.75" customHeight="1" spans="1:2">
      <c r="A9968" s="3" t="str">
        <f>IFERROR(__xludf.DUMMYFUNCTION("GOOGLETRANSLATE(A9968,""en"",""pt"")"),"bem missão impossível 3 sugado muito.")</f>
        <v>bem missão impossível 3 sugado muito.</v>
      </c>
      <c r="B9968" s="3">
        <v>0</v>
      </c>
    </row>
    <row r="9969" ht="15.75" customHeight="1" spans="1:2">
      <c r="A9969" s="3" t="s">
        <v>45</v>
      </c>
      <c r="B9969" s="3">
        <v>0</v>
      </c>
    </row>
    <row r="9970" ht="15.75" customHeight="1" spans="1:2">
      <c r="A9970" s="3" t="str">
        <f>IFERROR(__xludf.DUMMYFUNCTION("GOOGLETRANSLATE(A9970,""en"",""pt"")"),"Eu odeio Missão filmes impossível.")</f>
        <v>Eu odeio Missão filmes impossível.</v>
      </c>
      <c r="B9970" s="3">
        <v>0</v>
      </c>
    </row>
    <row r="9971" ht="15.75" customHeight="1" spans="1:2">
      <c r="A9971" s="3" t="str">
        <f>IFERROR(__xludf.DUMMYFUNCTION("GOOGLETRANSLATE(A9971,""en"",""pt"")"),"Eu sei, eu sei, missão impossível 2 sugado regiamente.")</f>
        <v>Eu sei, eu sei, missão impossível 2 sugado regiamente.</v>
      </c>
      <c r="B9971" s="3">
        <v>0</v>
      </c>
    </row>
    <row r="9972" ht="15.75" customHeight="1" spans="1:2">
      <c r="A9972" s="3" t="str">
        <f>IFERROR(__xludf.DUMMYFUNCTION("GOOGLETRANSLATE(A9972,""en"",""pt"")"),"Missão Impossível 3 suga .......")</f>
        <v>Missão Impossível 3 suga .......</v>
      </c>
      <c r="B9972" s="3">
        <v>0</v>
      </c>
    </row>
    <row r="9973" ht="15.75" customHeight="1" spans="1:2">
      <c r="A9973" s="3" t="str">
        <f>IFERROR(__xludf.DUMMYFUNCTION("GOOGLETRANSLATE(A9973,""en"",""pt"")"),"MISSÃO IMPOSSÍVEL 2 ~ suga realmente !!!!!!!!!!!!!!!!!!!!!!!!!!! ..")</f>
        <v>MISSÃO IMPOSSÍVEL 2 ~ suga realmente !!!!!!!!!!!!!!!!!!!!!!!!!!! ..</v>
      </c>
      <c r="B9973" s="3">
        <v>0</v>
      </c>
    </row>
    <row r="9974" ht="15.75" customHeight="1" spans="1:2">
      <c r="A9974" s="3" t="str">
        <f>IFERROR(__xludf.DUMMYFUNCTION("GOOGLETRANSLATE(A9974,""en"",""pt"")"),"missão impossível 3 suga homem ..")</f>
        <v>missão impossível 3 suga homem ..</v>
      </c>
      <c r="B9974" s="3">
        <v>0</v>
      </c>
    </row>
    <row r="9975" ht="15.75" customHeight="1" spans="1:2">
      <c r="A9975" s="3" t="str">
        <f>IFERROR(__xludf.DUMMYFUNCTION("GOOGLETRANSLATE(A9975,""en"",""pt"")"),"MISSÃO IMPOSSÍVEL III Eu odiava o primeiro Missão Impossível e nunca viu o segundo.")</f>
        <v>MISSÃO IMPOSSÍVEL III Eu odiava o primeiro Missão Impossível e nunca viu o segundo.</v>
      </c>
      <c r="B9975" s="3">
        <v>0</v>
      </c>
    </row>
    <row r="9976" ht="15.75" customHeight="1" spans="1:2">
      <c r="A9976" s="3" t="str">
        <f>IFERROR(__xludf.DUMMYFUNCTION("GOOGLETRANSLATE(A9976,""en"",""pt"")"),"RV foi realmente bom, mas Missão Impossível 3 porra sugado.")</f>
        <v>RV foi realmente bom, mas Missão Impossível 3 porra sugado.</v>
      </c>
      <c r="B9976" s="3">
        <v>0</v>
      </c>
    </row>
    <row r="9977" ht="15.75" customHeight="1" spans="1:2">
      <c r="A9977" s="3" t="str">
        <f>IFERROR(__xludf.DUMMYFUNCTION("GOOGLETRANSLATE(A9977,""en"",""pt"")"),"missão impossível 2 sugado pelo caminho, então eu não sei se eu quero ver 3 ..")</f>
        <v>missão impossível 2 sugado pelo caminho, então eu não sei se eu quero ver 3 ..</v>
      </c>
      <c r="B9977" s="3">
        <v>0</v>
      </c>
    </row>
    <row r="9978" ht="15.75" customHeight="1" spans="1:2">
      <c r="A9978" s="3" t="str">
        <f>IFERROR(__xludf.DUMMYFUNCTION("GOOGLETRANSLATE(A9978,""en"",""pt"")"),"Missão Impossível três sugado.")</f>
        <v>Missão Impossível três sugado.</v>
      </c>
      <c r="B9978" s="3">
        <v>0</v>
      </c>
    </row>
    <row r="9979" ht="15.75" customHeight="1" spans="1:2">
      <c r="A9979" s="3" t="str">
        <f>IFERROR(__xludf.DUMMYFUNCTION("GOOGLETRANSLATE(A9979,""en"",""pt"")"),"missão MI3 impossível III sugado ass, como a última, que era coxo e previsível, LAME ..")</f>
        <v>missão MI3 impossível III sugado ass, como a última, que era coxo e previsível, LAME ..</v>
      </c>
      <c r="B9979" s="3">
        <v>0</v>
      </c>
    </row>
    <row r="9980" ht="15.75" customHeight="1" spans="1:2">
      <c r="A9980" s="3" t="str">
        <f>IFERROR(__xludf.DUMMYFUNCTION("GOOGLETRANSLATE(A9980,""en"",""pt"")"),"Missão Impossível 3 sugado ......")</f>
        <v>Missão Impossível 3 sugado ......</v>
      </c>
      <c r="B9980" s="3">
        <v>0</v>
      </c>
    </row>
    <row r="9981" ht="15.75" customHeight="1" spans="1:2">
      <c r="A9981" s="3" t="str">
        <f>IFERROR(__xludf.DUMMYFUNCTION("GOOGLETRANSLATE(A9981,""en"",""pt"")"),"Depois que decidimos para ver Missão Impossível III, que sugou um pouco.")</f>
        <v>Depois que decidimos para ver Missão Impossível III, que sugou um pouco.</v>
      </c>
      <c r="B9981" s="3">
        <v>0</v>
      </c>
    </row>
    <row r="9982" ht="15.75" customHeight="1" spans="1:2">
      <c r="A9982" s="3" t="str">
        <f>IFERROR(__xludf.DUMMYFUNCTION("GOOGLETRANSLATE(A9982,""en"",""pt"")"),"Missão Impossível III-suga grande tempo! ..")</f>
        <v>Missão Impossível III-suga grande tempo! ..</v>
      </c>
      <c r="B9982" s="3">
        <v>0</v>
      </c>
    </row>
    <row r="9983" ht="15.75" customHeight="1" spans="1:2">
      <c r="A9983" s="3" t="str">
        <f>IFERROR(__xludf.DUMMYFUNCTION("GOOGLETRANSLATE(A9983,""en"",""pt"")"),"Seu estranho, eu gosto de filmes Tom Cruise, mas eu odeio os filmes Missão Impossível ....")</f>
        <v>Seu estranho, eu gosto de filmes Tom Cruise, mas eu odeio os filmes Missão Impossível ....</v>
      </c>
      <c r="B9983" s="3">
        <v>0</v>
      </c>
    </row>
    <row r="9984" ht="15.75" customHeight="1" spans="1:2">
      <c r="A9984" s="3" t="str">
        <f>IFERROR(__xludf.DUMMYFUNCTION("GOOGLETRANSLATE(A9984,""en"",""pt"")"),"Se eu ouvir mais uma coisa sobre TomKat ou quanto Missão Impossível III suga ass (")</f>
        <v>Se eu ouvir mais uma coisa sobre TomKat ou quanto Missão Impossível III suga ass (</v>
      </c>
      <c r="B9984" s="3">
        <v>0</v>
      </c>
    </row>
    <row r="9985" ht="15.75" customHeight="1" spans="1:2">
      <c r="A9985" s="3" t="str">
        <f>IFERROR(__xludf.DUMMYFUNCTION("GOOGLETRANSLATE(A9985,""en"",""pt"")"),"Missão impossível tanto o primeiro e segundo sugado ..")</f>
        <v>Missão impossível tanto o primeiro e segundo sugado ..</v>
      </c>
      <c r="B9985" s="3">
        <v>0</v>
      </c>
    </row>
    <row r="9986" ht="15.75" customHeight="1" spans="1:2">
      <c r="A9986" s="3" t="str">
        <f>IFERROR(__xludf.DUMMYFUNCTION("GOOGLETRANSLATE(A9986,""en"",""pt"")"),"missão impossível 3 sugado bolas.")</f>
        <v>missão impossível 3 sugado bolas.</v>
      </c>
      <c r="B9986" s="3">
        <v>0</v>
      </c>
    </row>
    <row r="9987" ht="15.75" customHeight="1" spans="1:2">
      <c r="A9987" s="3" t="str">
        <f>IFERROR(__xludf.DUMMYFUNCTION("GOOGLETRANSLATE(A9987,""en"",""pt"")"),"Ficou em todo o caminho até lá e todo o caminho back.-Jill vai ficar comigo próxima weekend.-Mission Impossible III é uma porcaria.")</f>
        <v>Ficou em todo o caminho até lá e todo o caminho back.-Jill vai ficar comigo próxima weekend.-Mission Impossible III é uma porcaria.</v>
      </c>
      <c r="B9987" s="3">
        <v>0</v>
      </c>
    </row>
    <row r="9988" ht="15.75" customHeight="1" spans="1:2">
      <c r="A9988" s="3" t="str">
        <f>IFERROR(__xludf.DUMMYFUNCTION("GOOGLETRANSLATE(A9988,""en"",""pt"")"),"D i detestava missão impossível 2, mas esta foi envolvendo e eu realmente gostei!")</f>
        <v>D i detestava missão impossível 2, mas esta foi envolvendo e eu realmente gostei!</v>
      </c>
      <c r="B9988" s="3">
        <v>0</v>
      </c>
    </row>
    <row r="9989" ht="15.75" customHeight="1" spans="1:2">
      <c r="A9989" s="3" t="str">
        <f>IFERROR(__xludf.DUMMYFUNCTION("GOOGLETRANSLATE(A9989,""en"",""pt"")"),"missão impossível III sugado por favor não ir vê-lo, ok? ...")</f>
        <v>missão impossível III sugado por favor não ir vê-lo, ok? ...</v>
      </c>
      <c r="B9989" s="3">
        <v>0</v>
      </c>
    </row>
    <row r="9990" ht="15.75" customHeight="1" spans="1:2">
      <c r="A9990" s="3" t="str">
        <f>IFERROR(__xludf.DUMMYFUNCTION("GOOGLETRANSLATE(A9990,""en"",""pt"")"),"O nível de maldade destes filmes está a aumentar exponencialmente, então eu só posso imaginar o quão terrível Missão Impossível o terceiro será ....")</f>
        <v>O nível de maldade destes filmes está a aumentar exponencialmente, então eu só posso imaginar o quão terrível Missão Impossível o terceiro será ....</v>
      </c>
      <c r="B9990" s="3">
        <v>0</v>
      </c>
    </row>
    <row r="9991" ht="15.75" customHeight="1" spans="1:2">
      <c r="A9991" s="3" t="str">
        <f>IFERROR(__xludf.DUMMYFUNCTION("GOOGLETRANSLATE(A9991,""en"",""pt"")"),"i ÓDIO ÓDIO ÓDIO Tom Cruise e missão filmes impossível, mas eu acho que pode ir ver este novo cuz ...")</f>
        <v>i ÓDIO ÓDIO ÓDIO Tom Cruise e missão filmes impossível, mas eu acho que pode ir ver este novo cuz ...</v>
      </c>
      <c r="B9991" s="3">
        <v>0</v>
      </c>
    </row>
    <row r="9992" ht="15.75" customHeight="1" spans="1:2">
      <c r="A9992" s="3" t="str">
        <f>IFERROR(__xludf.DUMMYFUNCTION("GOOGLETRANSLATE(A9992,""en"",""pt"")"),"missão estúpida impossível vendido para fora direita quando chegamos lá.")</f>
        <v>missão estúpida impossível vendido para fora direita quando chegamos lá.</v>
      </c>
      <c r="B9992" s="3">
        <v>0</v>
      </c>
    </row>
    <row r="9993" ht="15.75" customHeight="1" spans="1:2">
      <c r="A9993" s="3" t="str">
        <f>IFERROR(__xludf.DUMMYFUNCTION("GOOGLETRANSLATE(A9993,""en"",""pt"")"),"Missão Impossível III fora apenas plana sugado, companheiros.")</f>
        <v>Missão Impossível III fora apenas plana sugado, companheiros.</v>
      </c>
      <c r="B9993" s="3">
        <v>0</v>
      </c>
    </row>
    <row r="9994" ht="15.75" customHeight="1" spans="1:2">
      <c r="A9994" s="3" t="str">
        <f>IFERROR(__xludf.DUMMYFUNCTION("GOOGLETRANSLATE(A9994,""en"",""pt"")"),"Acho que as pessoas estão mais cansados ​​da franquia Missão Impossível de Tom Cruise.")</f>
        <v>Acho que as pessoas estão mais cansados ​​da franquia Missão Impossível de Tom Cruise.</v>
      </c>
      <c r="B9994" s="3">
        <v>0</v>
      </c>
    </row>
    <row r="9995" ht="15.75" customHeight="1" spans="1:2">
      <c r="A9995" s="3" t="str">
        <f>IFERROR(__xludf.DUMMYFUNCTION("GOOGLETRANSLATE(A9995,""en"",""pt"")"),"BURBANK, Calif. (AP) Brooke Shields diz Tom Cruise pediu desculpas publicamente por sua carreira cinematográfica, incluindo Guerra dos Mundos e todos os atrozes filmes Missão Impossível.")</f>
        <v>BURBANK, Calif. (AP) Brooke Shields diz Tom Cruise pediu desculpas publicamente por sua carreira cinematográfica, incluindo Guerra dos Mundos e todos os atrozes filmes Missão Impossível.</v>
      </c>
      <c r="B9995" s="3">
        <v>0</v>
      </c>
    </row>
    <row r="9996" ht="15.75" customHeight="1" spans="1:2">
      <c r="A9996" s="3" t="str">
        <f>IFERROR(__xludf.DUMMYFUNCTION("GOOGLETRANSLATE(A9996,""en"",""pt"")"),"para que fugiu porque nós odiamos Top Gun / Missão Impossível 2 / Cocktail.")</f>
        <v>para que fugiu porque nós odiamos Top Gun / Missão Impossível 2 / Cocktail.</v>
      </c>
      <c r="B9996" s="3">
        <v>0</v>
      </c>
    </row>
    <row r="9997" ht="15.75" customHeight="1" spans="1:2">
      <c r="A9997" s="3" t="str">
        <f>IFERROR(__xludf.DUMMYFUNCTION("GOOGLETRANSLATE(A9997,""en"",""pt"")"),"para que fugiu porque nós odiamos Top Gun / Missão Impossível 2 / Cocktail.")</f>
        <v>para que fugiu porque nós odiamos Top Gun / Missão Impossível 2 / Cocktail.</v>
      </c>
      <c r="B9997" s="3">
        <v>0</v>
      </c>
    </row>
    <row r="9998" ht="15.75" customHeight="1" spans="1:2">
      <c r="A9998" s="3" t="str">
        <f>IFERROR(__xludf.DUMMYFUNCTION("GOOGLETRANSLATE(A9998,""en"",""pt"")"),"hahaha eu acho que a minha missão de Freakin busca impossível para aqueles sapatos estúpidos está finalmente terminado.")</f>
        <v>hahaha eu acho que a minha missão de Freakin busca impossível para aqueles sapatos estúpidos está finalmente terminado.</v>
      </c>
      <c r="B9998" s="3">
        <v>0</v>
      </c>
    </row>
    <row r="9999" ht="15.75" customHeight="1" spans="1:2">
      <c r="A9999" s="3" t="str">
        <f>IFERROR(__xludf.DUMMYFUNCTION("GOOGLETRANSLATE(A9999,""en"",""pt"")"),"parar de fazer essas estúpido missão filmes impossíveis já demasiado ......")</f>
        <v>parar de fazer essas estúpido missão filmes impossíveis já demasiado ......</v>
      </c>
      <c r="B9999" s="3">
        <v>0</v>
      </c>
    </row>
    <row r="10000" ht="15.75" customHeight="1" spans="1:2">
      <c r="A10000" s="3" t="str">
        <f>IFERROR(__xludf.DUMMYFUNCTION("GOOGLETRANSLATE(A10000,""en"",""pt"")"),"Tenho certeza im boicote estúpido missão impossível III.")</f>
        <v>Tenho certeza im boicote estúpido missão impossível III.</v>
      </c>
      <c r="B10000" s="3">
        <v>0</v>
      </c>
    </row>
    <row r="10001" ht="15.75" customHeight="1" spans="1:2">
      <c r="A10001" s="3" t="str">
        <f>IFERROR(__xludf.DUMMYFUNCTION("GOOGLETRANSLATE(A10001,""en"",""pt"")"),"ESTÚPIDO MISSÃO IMPOSSÍVEL MYBUTTHOLE YUH NASY [c. joiners] ..")</f>
        <v>ESTÚPIDO MISSÃO IMPOSSÍVEL MYBUTTHOLE YUH NASY [c. joiners] ..</v>
      </c>
      <c r="B10001" s="3">
        <v>0</v>
      </c>
    </row>
    <row r="10002" ht="15.75" customHeight="1" spans="1:2">
      <c r="A10002" s="3" t="str">
        <f>IFERROR(__xludf.DUMMYFUNCTION("GOOGLETRANSLATE(A10002,""en"",""pt"")"),"idk missão impossível parecia estúpido para mim ..")</f>
        <v>idk missão impossível parecia estúpido para mim ..</v>
      </c>
      <c r="B10002" s="3">
        <v>0</v>
      </c>
    </row>
    <row r="10003" ht="15.75" customHeight="1" spans="1:2">
      <c r="A10003" s="3" t="str">
        <f>IFERROR(__xludf.DUMMYFUNCTION("GOOGLETRANSLATE(A10003,""en"",""pt"")"),"i teve que ir para o trabalho às 9h para estúpido missão impossível 3.")</f>
        <v>i teve que ir para o trabalho às 9h para estúpido missão impossível 3.</v>
      </c>
      <c r="B10003" s="3">
        <v>0</v>
      </c>
    </row>
    <row r="10004" ht="15.75" customHeight="1" spans="1:2">
      <c r="A10004" s="3" t="str">
        <f>IFERROR(__xludf.DUMMYFUNCTION("GOOGLETRANSLATE(A10004,""en"",""pt"")"),"Missão Impossível o segundo era terrível.")</f>
        <v>Missão Impossível o segundo era terrível.</v>
      </c>
      <c r="B10004" s="3">
        <v>0</v>
      </c>
    </row>
    <row r="10005" ht="15.75" customHeight="1" spans="1:2">
      <c r="A10005" s="3" t="str">
        <f>IFERROR(__xludf.DUMMYFUNCTION("GOOGLETRANSLATE(A10005,""en"",""pt"")"),"e missão impossível foi bastante péssimas além de Phillip seymore Hoffman e os gadgets bacana)")</f>
        <v>e missão impossível foi bastante péssimas além de Phillip seymore Hoffman e os gadgets bacana)</v>
      </c>
      <c r="B10005" s="3">
        <v>0</v>
      </c>
    </row>
    <row r="10006" ht="15.75" customHeight="1" spans="1:2">
      <c r="A10006" s="3" t="str">
        <f>IFERROR(__xludf.DUMMYFUNCTION("GOOGLETRANSLATE(A10006,""en"",""pt"")"),"missão assisti impossível 3 wif haha ​​estúpido ...")</f>
        <v>missão assisti impossível 3 wif haha ​​estúpido ...</v>
      </c>
      <c r="B10006" s="3">
        <v>0</v>
      </c>
    </row>
    <row r="10007" ht="15.75" customHeight="1" spans="1:2">
      <c r="A10007" s="3" t="str">
        <f>IFERROR(__xludf.DUMMYFUNCTION("GOOGLETRANSLATE(A10007,""en"",""pt"")"),"eu desejo que eu poderia ter ficado para ver o último de crédito, mas eu ia ficar louco se eu tivesse que ouvir mais um segundo da missão Remix impossível horrível kanye do oeste ..")</f>
        <v>eu desejo que eu poderia ter ficado para ver o último de crédito, mas eu ia ficar louco se eu tivesse que ouvir mais um segundo da missão Remix impossível horrível kanye do oeste ..</v>
      </c>
      <c r="B10007" s="3">
        <v>0</v>
      </c>
    </row>
    <row r="10008" ht="15.75" customHeight="1" spans="1:2">
      <c r="A10008" s="3" t="str">
        <f>IFERROR(__xludf.DUMMYFUNCTION("GOOGLETRANSLATE(A10008,""en"",""pt"")"),"Após a um deus-terrível € œ Missão Impossível 2 â € de John Woo colocou um grande ovo.")</f>
        <v>Após a um deus-terrível € œ Missão Impossível 2 â € de John Woo colocou um grande ovo.</v>
      </c>
      <c r="B10008" s="3">
        <v>0</v>
      </c>
    </row>
    <row r="10009" ht="15.75" customHeight="1" spans="1:2">
      <c r="A10009" s="3" t="str">
        <f>IFERROR(__xludf.DUMMYFUNCTION("GOOGLETRANSLATE(A10009,""en"",""pt"")"),"Após a um deus-terrível € œ Missão Impossível 2 â € de John Woo colocou um grande ovo.")</f>
        <v>Após a um deus-terrível € œ Missão Impossível 2 â € de John Woo colocou um grande ovo.</v>
      </c>
      <c r="B10009" s="3">
        <v>0</v>
      </c>
    </row>
    <row r="10010" ht="15.75" customHeight="1" spans="1:2">
      <c r="A10010" s="3" t="str">
        <f>IFERROR(__xludf.DUMMYFUNCTION("GOOGLETRANSLATE(A10010,""en"",""pt"")"),"missão serra impossível 3 bocado estúpido ainda bom ..")</f>
        <v>missão serra impossível 3 bocado estúpido ainda bom ..</v>
      </c>
      <c r="B10010" s="3">
        <v>0</v>
      </c>
    </row>
    <row r="10011" ht="15.75" customHeight="1" spans="1:2">
      <c r="A10011" s="3" t="str">
        <f>IFERROR(__xludf.DUMMYFUNCTION("GOOGLETRANSLATE(A10011,""en"",""pt"")"),"Não, eu só estou cansado dele fazendo ruins sequelas de Missão Impossível.")</f>
        <v>Não, eu só estou cansado dele fazendo ruins sequelas de Missão Impossível.</v>
      </c>
      <c r="B10011" s="3">
        <v>0</v>
      </c>
    </row>
    <row r="10012" ht="15.75" customHeight="1" spans="1:2">
      <c r="A10012" s="3" t="str">
        <f>IFERROR(__xludf.DUMMYFUNCTION("GOOGLETRANSLATE(A10012,""en"",""pt"")"),"Espero que acabar com essa franquia aqui, ou Missão Impossível 4 pode ver Cruise enfrentando o mal Richard Simmons ..")</f>
        <v>Espero que acabar com essa franquia aqui, ou Missão Impossível 4 pode ver Cruise enfrentando o mal Richard Simmons ..</v>
      </c>
      <c r="B10012" s="3">
        <v>0</v>
      </c>
    </row>
    <row r="10013" ht="15.75" customHeight="1" spans="1:2">
      <c r="A10013" s="3" t="str">
        <f>IFERROR(__xludf.DUMMYFUNCTION("GOOGLETRANSLATE(A10013,""en"",""pt"")"),"Missão Impossível três looks horríveis.")</f>
        <v>Missão Impossível três looks horríveis.</v>
      </c>
      <c r="B10013" s="3">
        <v>0</v>
      </c>
    </row>
    <row r="10014" ht="15.75" customHeight="1" spans="1:2">
      <c r="A10014" s="3" t="str">
        <f>IFERROR(__xludf.DUMMYFUNCTION("GOOGLETRANSLATE(A10014,""en"",""pt"")"),"Missão Impossível 2 era um filme horrível que me fez estremecer sempre que eu penso sobre isso, tão horrível que foi que eu perdi o respeito por John Woo (")</f>
        <v>Missão Impossível 2 era um filme horrível que me fez estremecer sempre que eu penso sobre isso, tão horrível que foi que eu perdi o respeito por John Woo (</v>
      </c>
      <c r="B10014" s="3">
        <v>0</v>
      </c>
    </row>
    <row r="10015" ht="15.75" customHeight="1" spans="1:2">
      <c r="A10015" s="3" t="str">
        <f>IFERROR(__xludf.DUMMYFUNCTION("GOOGLETRANSLATE(A10015,""en"",""pt"")"),"Sair do armário e por favor pare de fazer essas terríveis filmes Missão Impossível ... &lt;$ BlogBacklinkTitle $&gt; &lt;$ BlogBacklinkSnippet $&gt;.")</f>
        <v>Sair do armário e por favor pare de fazer essas terríveis filmes Missão Impossível ... &lt;$ BlogBacklinkTitle $&gt; &lt;$ BlogBacklinkSnippet $&gt;.</v>
      </c>
      <c r="B10015" s="3">
        <v>0</v>
      </c>
    </row>
    <row r="10016" ht="15.75" customHeight="1" spans="1:2">
      <c r="A10016" s="3" t="str">
        <f>IFERROR(__xludf.DUMMYFUNCTION("GOOGLETRANSLATE(A10016,""en"",""pt"")"),"Missão Impossível 3 é tão merda de um filme, mesmo Phillip Seymour Hoffman e Simon Pegg (")</f>
        <v>Missão Impossível 3 é tão merda de um filme, mesmo Phillip Seymour Hoffman e Simon Pegg (</v>
      </c>
      <c r="B10016" s="3">
        <v>0</v>
      </c>
    </row>
    <row r="10017" ht="15.75" customHeight="1" spans="1:2">
      <c r="A10017" s="3" t="str">
        <f>IFERROR(__xludf.DUMMYFUNCTION("GOOGLETRANSLATE(A10017,""en"",""pt"")"),"Missão Impossível 2 era um filme horrível que me fez estremecer sempre que eu penso sobre isso, tão horrível que foi que eu perdi o respeito por John Woo (")</f>
        <v>Missão Impossível 2 era um filme horrível que me fez estremecer sempre que eu penso sobre isso, tão horrível que foi que eu perdi o respeito por John Woo (</v>
      </c>
      <c r="B10017" s="3">
        <v>0</v>
      </c>
    </row>
    <row r="10018" ht="15.75" customHeight="1" spans="1:2">
      <c r="A10018" s="3" t="str">
        <f>IFERROR(__xludf.DUMMYFUNCTION("GOOGLETRANSLATE(A10018,""en"",""pt"")"),"Boicote Missão Impossível Tom Cruise é mau .: - (.....")</f>
        <v>Boicote Missão Impossível Tom Cruise é mau .: - (.....</v>
      </c>
      <c r="B10018" s="3">
        <v>0</v>
      </c>
    </row>
    <row r="10019" ht="15.75" customHeight="1" spans="1:2">
      <c r="A10019" s="3" t="str">
        <f>IFERROR(__xludf.DUMMYFUNCTION("GOOGLETRANSLATE(A10019,""en"",""pt"")"),"Missão Impossível é tão chato.")</f>
        <v>Missão Impossível é tão chato.</v>
      </c>
      <c r="B10019" s="3">
        <v>0</v>
      </c>
    </row>
    <row r="10020" ht="15.75" customHeight="1" spans="1:2">
      <c r="A10020" s="3" t="str">
        <f>IFERROR(__xludf.DUMMYFUNCTION("GOOGLETRANSLATE(A10020,""en"",""pt"")"),"missão impossível é o filme mais inútil que nunca, então não há nenhum ponto de falando sobre isso de qualquer maneira.")</f>
        <v>missão impossível é o filme mais inútil que nunca, então não há nenhum ponto de falando sobre isso de qualquer maneira.</v>
      </c>
      <c r="B10020" s="3">
        <v>0</v>
      </c>
    </row>
    <row r="10021" ht="15.75" customHeight="1" spans="1:2">
      <c r="A10021" s="3" t="str">
        <f>IFERROR(__xludf.DUMMYFUNCTION("GOOGLETRANSLATE(A10021,""en"",""pt"")"),"MI: 2 foi geralmente aceite para ser um filme de ação decente, mas um ajuste terrível para o nome de ""Missão Impossível.")</f>
        <v>MI: 2 foi geralmente aceite para ser um filme de ação decente, mas um ajuste terrível para o nome de "Missão Impossível.</v>
      </c>
      <c r="B10021" s="3">
        <v>0</v>
      </c>
    </row>
    <row r="10022" ht="15.75" customHeight="1" spans="1:2">
      <c r="A10022" s="3" t="str">
        <f>IFERROR(__xludf.DUMMYFUNCTION("GOOGLETRANSLATE(A10022,""en"",""pt"")"),"Missão Impossível 3 foi muito chato.")</f>
        <v>Missão Impossível 3 foi muito chato.</v>
      </c>
      <c r="B10022" s="3">
        <v>0</v>
      </c>
    </row>
    <row r="10023" ht="15.75" customHeight="1" spans="1:2">
      <c r="A10023" s="3" t="s">
        <v>46</v>
      </c>
      <c r="B10023" s="3">
        <v>0</v>
      </c>
    </row>
    <row r="10024" ht="15.75" customHeight="1" spans="1:2">
      <c r="A10024" s="3" t="str">
        <f>IFERROR(__xludf.DUMMYFUNCTION("GOOGLETRANSLATE(A10024,""en"",""pt"")"),"Desde Missão Impossível é um pedaço de merda.")</f>
        <v>Desde Missão Impossível é um pedaço de merda.</v>
      </c>
      <c r="B10024" s="3">
        <v>0</v>
      </c>
    </row>
    <row r="10025" ht="15.75" customHeight="1" spans="1:2">
      <c r="A10025" s="3" t="str">
        <f>IFERROR(__xludf.DUMMYFUNCTION("GOOGLETRANSLATE(A10025,""en"",""pt"")"),"Depois de ver ruins Missão Impossível 3 reboques eu tenho que perguntar uma coisa:")</f>
        <v>Depois de ver ruins Missão Impossível 3 reboques eu tenho que perguntar uma coisa:</v>
      </c>
      <c r="B10025" s="3">
        <v>0</v>
      </c>
    </row>
    <row r="10026" ht="15.75" customHeight="1" spans="1:2">
      <c r="A10026" s="3" t="str">
        <f>IFERROR(__xludf.DUMMYFUNCTION("GOOGLETRANSLATE(A10026,""en"",""pt"")"),"Missão Impossível 3 aka MI3 aka Tom Cruise contra o mal.")</f>
        <v>Missão Impossível 3 aka MI3 aka Tom Cruise contra o mal.</v>
      </c>
      <c r="B10026" s="3">
        <v>0</v>
      </c>
    </row>
    <row r="10027" ht="15.75" customHeight="1" spans="1:2">
      <c r="A10027" s="3" t="str">
        <f>IFERROR(__xludf.DUMMYFUNCTION("GOOGLETRANSLATE(A10027,""en"",""pt"")"),"Missão Impossível 3 et al. pode ser dito para ser chato!")</f>
        <v>Missão Impossível 3 et al. pode ser dito para ser chato!</v>
      </c>
      <c r="B10027" s="3">
        <v>0</v>
      </c>
    </row>
    <row r="10028" ht="15.75" customHeight="1" spans="1:2">
      <c r="A10028" s="3" t="str">
        <f>IFERROR(__xludf.DUMMYFUNCTION("GOOGLETRANSLATE(A10028,""en"",""pt"")"),"missão impossível três é inútil ...")</f>
        <v>missão impossível três é inútil ...</v>
      </c>
      <c r="B10028" s="3">
        <v>0</v>
      </c>
    </row>
    <row r="10029" ht="15.75" customHeight="1" spans="1:2">
      <c r="A10029" s="3" t="str">
        <f>IFERROR(__xludf.DUMMYFUNCTION("GOOGLETRANSLATE(A10029,""en"",""pt"")"),"Missão Impossível 2 é um filme mudo.")</f>
        <v>Missão Impossível 2 é um filme mudo.</v>
      </c>
      <c r="B10029" s="3">
        <v>0</v>
      </c>
    </row>
    <row r="10030" ht="15.75" customHeight="1" spans="1:2">
      <c r="A10030" s="3" t="str">
        <f>IFERROR(__xludf.DUMMYFUNCTION("GOOGLETRANSLATE(A10030,""en"",""pt"")"),"Então percebemos que eles tinham nos dado bilhetes para o filme errado, Missão Impossível 3, e nosso filme real estava do outro lado.")</f>
        <v>Então percebemos que eles tinham nos dado bilhetes para o filme errado, Missão Impossível 3, e nosso filme real estava do outro lado.</v>
      </c>
      <c r="B10030" s="3">
        <v>0</v>
      </c>
    </row>
    <row r="10031" ht="15.75" customHeight="1" spans="1:2">
      <c r="A10031" s="3" t="str">
        <f>IFERROR(__xludf.DUMMYFUNCTION("GOOGLETRANSLATE(A10031,""en"",""pt"")"),"Eu culpo Missão Impossível para alguns dos meus medos chunnel - mas eu acho que vou ficar com medo, independentemente ..")</f>
        <v>Eu culpo Missão Impossível para alguns dos meus medos chunnel - mas eu acho que vou ficar com medo, independentemente ..</v>
      </c>
      <c r="B10031" s="3">
        <v>0</v>
      </c>
    </row>
    <row r="10032" ht="15.75" customHeight="1" spans="1:2">
      <c r="A10032" s="3" t="str">
        <f>IFERROR(__xludf.DUMMYFUNCTION("GOOGLETRANSLATE(A10032,""en"",""pt"")"),"Sua nova faixa de Missão Impossível 3 é provavelmente a coisa mais estúpida que eu já ouvi.")</f>
        <v>Sua nova faixa de Missão Impossível 3 é provavelmente a coisa mais estúpida que eu já ouvi.</v>
      </c>
      <c r="B10032" s="3">
        <v>0</v>
      </c>
    </row>
    <row r="10033" ht="15.75" customHeight="1" spans="1:2">
      <c r="A10033" s="3" t="str">
        <f>IFERROR(__xludf.DUMMYFUNCTION("GOOGLETRANSLATE(A10033,""en"",""pt"")"),"A missão final impossível inútil antes que ele mesmo começou.")</f>
        <v>A missão final impossível inútil antes que ele mesmo começou.</v>
      </c>
      <c r="B10033" s="3">
        <v>0</v>
      </c>
    </row>
    <row r="10034" ht="15.75" customHeight="1" spans="1:2">
      <c r="A10034" s="3" t="str">
        <f>IFERROR(__xludf.DUMMYFUNCTION("GOOGLETRANSLATE(A10034,""en"",""pt"")"),"A única coisa que eu posso culpar é assistir Missão Impossível III com Teri às 12:")</f>
        <v>A única coisa que eu posso culpar é assistir Missão Impossível III com Teri às 12:</v>
      </c>
      <c r="B10034" s="3">
        <v>0</v>
      </c>
    </row>
    <row r="10035" ht="15.75" customHeight="1" spans="1:2">
      <c r="A10035" s="3" t="str">
        <f>IFERROR(__xludf.DUMMYFUNCTION("GOOGLETRANSLATE(A10035,""en"",""pt"")"),"Entrevista com o Vampiro, de Anne Rice [Ok, eu poderia odiar este tanto quanto eu odeio Harry Potter.")</f>
        <v>Entrevista com o Vampiro, de Anne Rice [Ok, eu poderia odiar este tanto quanto eu odeio Harry Potter.</v>
      </c>
      <c r="B10035" s="3">
        <v>0</v>
      </c>
    </row>
    <row r="10036" ht="15.75" customHeight="1" spans="1:2">
      <c r="A10036" s="3" t="str">
        <f>IFERROR(__xludf.DUMMYFUNCTION("GOOGLETRANSLATE(A10036,""en"",""pt"")")," Minha atração favorita reaberto na sexta-feira, mas devido à estúpida Harry Potter liberar eu era incapaz de estar lá até sábado.")</f>
        <v> Minha atração favorita reaberto na sexta-feira, mas devido à estúpida Harry Potter liberar eu era incapaz de estar lá até sábado.</v>
      </c>
      <c r="B10036" s="3">
        <v>0</v>
      </c>
    </row>
    <row r="10037" ht="15.75" customHeight="1" spans="1:2">
      <c r="A10037" s="3" t="str">
        <f>IFERROR(__xludf.DUMMYFUNCTION("GOOGLETRANSLATE(A10037,""en"",""pt"")"),"Agora, eu sei que a maioria de vocês estão pensando: Harry Potter é uma porcaria.")</f>
        <v>Agora, eu sei que a maioria de vocês estão pensando: Harry Potter é uma porcaria.</v>
      </c>
      <c r="B10037" s="3">
        <v>0</v>
      </c>
    </row>
    <row r="10038" ht="15.75" customHeight="1" spans="1:2">
      <c r="A10038" s="3" t="str">
        <f>IFERROR(__xludf.DUMMYFUNCTION("GOOGLETRANSLATE(A10038,""en"",""pt"")"),"Para aqueles que são Harry Potter ignorante, os verdadeiros vilões deste filme são criaturas terríveis dementadores.")</f>
        <v>Para aqueles que são Harry Potter ignorante, os verdadeiros vilões deste filme são criaturas terríveis dementadores.</v>
      </c>
      <c r="B10038" s="3">
        <v>0</v>
      </c>
    </row>
    <row r="10039" ht="15.75" customHeight="1" spans="1:2">
      <c r="A10039" s="3" t="str">
        <f>IFERROR(__xludf.DUMMYFUNCTION("GOOGLETRANSLATE(A10039,""en"",""pt"")"),"Embora observando Harry Potter foi um pouco chato.")</f>
        <v>Embora observando Harry Potter foi um pouco chato.</v>
      </c>
      <c r="B10039" s="3">
        <v>0</v>
      </c>
    </row>
    <row r="10040" ht="15.75" customHeight="1" spans="1:2">
      <c r="A10040" s="3" t="str">
        <f>IFERROR(__xludf.DUMMYFUNCTION("GOOGLETRANSLATE(A10040,""en"",""pt"")"),"Então, agora, eu vou assistir alguns programas de TV, então besteira uma Eu odeio traje Harry Potter para a reunião mensal hoje à noite.")</f>
        <v>Então, agora, eu vou assistir alguns programas de TV, então besteira uma Eu odeio traje Harry Potter para a reunião mensal hoje à noite.</v>
      </c>
      <c r="B10040" s="3">
        <v>0</v>
      </c>
    </row>
    <row r="10041" ht="15.75" customHeight="1" spans="1:2">
      <c r="A10041" s="3" t="str">
        <f>IFERROR(__xludf.DUMMYFUNCTION("GOOGLETRANSLATE(A10041,""en"",""pt"")"),"Eu odeio Harry Potter ..")</f>
        <v>Eu odeio Harry Potter ..</v>
      </c>
      <c r="B10041" s="3">
        <v>0</v>
      </c>
    </row>
    <row r="10042" ht="15.75" customHeight="1" spans="1:2">
      <c r="A10042" s="3" t="str">
        <f>IFERROR(__xludf.DUMMYFUNCTION("GOOGLETRANSLATE(A10042,""en"",""pt"")"),"Que é preciso para que você comece realmente louco - quando as pessoas dizem Harry Potter é uma porcaria ...")</f>
        <v>Que é preciso para que você comece realmente louco - quando as pessoas dizem Harry Potter é uma porcaria ...</v>
      </c>
      <c r="B10042" s="3">
        <v>0</v>
      </c>
    </row>
    <row r="10043" ht="15.75" customHeight="1" spans="1:2">
      <c r="A10043" s="3" t="str">
        <f>IFERROR(__xludf.DUMMYFUNCTION("GOOGLETRANSLATE(A10043,""en"",""pt"")"),"Meu chá do vintage prata negócio infusor sexy caiu completamente, então ao invés disso eu comprei esta porcaria de chá infuser Harry Potter que é em forma de um sapo.")</f>
        <v>Meu chá do vintage prata negócio infusor sexy caiu completamente, então ao invés disso eu comprei esta porcaria de chá infuser Harry Potter que é em forma de um sapo.</v>
      </c>
      <c r="B10043" s="3">
        <v>0</v>
      </c>
    </row>
    <row r="10044" ht="15.75" customHeight="1" spans="1:2">
      <c r="A10044" s="3" t="str">
        <f>IFERROR(__xludf.DUMMYFUNCTION("GOOGLETRANSLATE(A10044,""en"",""pt"")"),"Harry Potter não pode morrer, isso seria triste e deprimente.")</f>
        <v>Harry Potter não pode morrer, isso seria triste e deprimente.</v>
      </c>
      <c r="B10044" s="3">
        <v>0</v>
      </c>
    </row>
    <row r="10045" ht="15.75" customHeight="1" spans="1:2">
      <c r="A10045" s="3" t="str">
        <f>IFERROR(__xludf.DUMMYFUNCTION("GOOGLETRANSLATE(A10045,""en"",""pt"")"),"Harry Potter pode ser bastante um idiota às vezes.")</f>
        <v>Harry Potter pode ser bastante um idiota às vezes.</v>
      </c>
      <c r="B10045" s="3">
        <v>0</v>
      </c>
    </row>
    <row r="10046" ht="15.75" customHeight="1" spans="1:2">
      <c r="A10046" s="3" t="str">
        <f>IFERROR(__xludf.DUMMYFUNCTION("GOOGLETRANSLATE(A10046,""en"",""pt"")"),"E eu odeio Wesley quase tanto quanto eu odeio Harry Potter, mas isso não significa que o Capitão Picard ainda não era uma ducha e meio naquele dia.")</f>
        <v>E eu odeio Wesley quase tanto quanto eu odeio Harry Potter, mas isso não significa que o Capitão Picard ainda não era uma ducha e meio naquele dia.</v>
      </c>
      <c r="B10046" s="3">
        <v>0</v>
      </c>
    </row>
    <row r="10047" ht="15.75" customHeight="1" spans="1:2">
      <c r="A10047" s="3" t="str">
        <f>IFERROR(__xludf.DUMMYFUNCTION("GOOGLETRANSLATE(A10047,""en"",""pt"")"),"E eu odeio Wesley quase tanto quanto eu odeio Harry Potter, mas isso não significa que o Capitão Picard ainda não era uma ducha e meio naquele dia.")</f>
        <v>E eu odeio Wesley quase tanto quanto eu odeio Harry Potter, mas isso não significa que o Capitão Picard ainda não era uma ducha e meio naquele dia.</v>
      </c>
      <c r="B10047" s="3">
        <v>0</v>
      </c>
    </row>
    <row r="10048" ht="15.75" customHeight="1" spans="1:2">
      <c r="A10048" s="3" t="str">
        <f>IFERROR(__xludf.DUMMYFUNCTION("GOOGLETRANSLATE(A10048,""en"",""pt"")"),"Kenley decide comprar uma fantasia de Harry Potter e de dois eixos de plástico de baixa qualidade.")</f>
        <v>Kenley decide comprar uma fantasia de Harry Potter e de dois eixos de plástico de baixa qualidade.</v>
      </c>
      <c r="B10048" s="3">
        <v>0</v>
      </c>
    </row>
    <row r="10049" ht="15.75" customHeight="1" spans="1:2">
      <c r="A10049" s="3" t="str">
        <f>IFERROR(__xludf.DUMMYFUNCTION("GOOGLETRANSLATE(A10049,""en"",""pt"")"),"Porque tenho certeza que fiz ler um monte de terrível fic em Harry Potter fãs.")</f>
        <v>Porque tenho certeza que fiz ler um monte de terrível fic em Harry Potter fãs.</v>
      </c>
      <c r="B10049" s="3">
        <v>0</v>
      </c>
    </row>
    <row r="10050" ht="15.75" customHeight="1" spans="1:2">
      <c r="A10050" s="3" t="str">
        <f>IFERROR(__xludf.DUMMYFUNCTION("GOOGLETRANSLATE(A10050,""en"",""pt"")"),"Espanta-me que as pessoas têm tanto medo de que Harry Potter vai fazer para seus filhos.")</f>
        <v>Espanta-me que as pessoas têm tanto medo de que Harry Potter vai fazer para seus filhos.</v>
      </c>
      <c r="B10050" s="3">
        <v>0</v>
      </c>
    </row>
    <row r="10051" ht="15.75" customHeight="1" spans="1:2">
      <c r="A10051" s="3" t="str">
        <f>IFERROR(__xludf.DUMMYFUNCTION("GOOGLETRANSLATE(A10051,""en"",""pt"")"),"Eu vim à conclusão de que Harry Potter é um herói trágico .....")</f>
        <v>Eu vim à conclusão de que Harry Potter é um herói trágico .....</v>
      </c>
      <c r="B10051" s="3">
        <v>0</v>
      </c>
    </row>
    <row r="10052" ht="15.75" customHeight="1" spans="1:2">
      <c r="A10052" s="3" t="str">
        <f>IFERROR(__xludf.DUMMYFUNCTION("GOOGLETRANSLATE(A10052,""en"",""pt"")"),"Estou farto de Harry Potter de merda Estou certo de que as crianças devem ser muito ...")</f>
        <v>Estou farto de Harry Potter de merda Estou certo de que as crianças devem ser muito ...</v>
      </c>
      <c r="B10052" s="3">
        <v>0</v>
      </c>
    </row>
    <row r="10053" ht="15.75" customHeight="1" spans="1:2">
      <c r="A10053" s="3" t="str">
        <f>IFERROR(__xludf.DUMMYFUNCTION("GOOGLETRANSLATE(A10053,""en"",""pt"")"),"Harry Potter é uma história de boa conquista o mal e as amizades que se formam ao longo do caminho ...")</f>
        <v>Harry Potter é uma história de boa conquista o mal e as amizades que se formam ao longo do caminho ...</v>
      </c>
      <c r="B10053" s="3">
        <v>0</v>
      </c>
    </row>
    <row r="10054" ht="15.75" customHeight="1" spans="1:2">
      <c r="A10054" s="3" t="str">
        <f>IFERROR(__xludf.DUMMYFUNCTION("GOOGLETRANSLATE(A10054,""en"",""pt"")"),"Copiar / Pastings da Seção Desafio Mpreg Archive, ou Por que eu odeio o Harry Potter Fandom: ..")</f>
        <v>Copiar / Pastings da Seção Desafio Mpreg Archive, ou Por que eu odeio o Harry Potter Fandom: ..</v>
      </c>
      <c r="B10054" s="3">
        <v>0</v>
      </c>
    </row>
    <row r="10055" ht="15.75" customHeight="1" spans="1:2">
      <c r="A10055" s="3" t="str">
        <f>IFERROR(__xludf.DUMMYFUNCTION("GOOGLETRANSLATE(A10055,""en"",""pt"")"),"Eu odeio essa classe, e eu estou começando a odiar Harry Potter também.")</f>
        <v>Eu odeio essa classe, e eu estou começando a odiar Harry Potter também.</v>
      </c>
      <c r="B10055" s="3">
        <v>0</v>
      </c>
    </row>
    <row r="10056" ht="15.75" customHeight="1" spans="1:2">
      <c r="A10056" s="3" t="str">
        <f>IFERROR(__xludf.DUMMYFUNCTION("GOOGLETRANSLATE(A10056,""en"",""pt"")"),"Eu não vai muito longe no meu discurso retórico sobre por que essas pessoas estão iludidos se pensam que Harry Potter é mau (e é nada menos do que uma alegoria solto da Bíblia.")</f>
        <v>Eu não vai muito longe no meu discurso retórico sobre por que essas pessoas estão iludidos se pensam que Harry Potter é mau (e é nada menos do que uma alegoria solto da Bíblia.</v>
      </c>
      <c r="B10056" s="3">
        <v>0</v>
      </c>
    </row>
    <row r="10057" ht="15.75" customHeight="1" spans="1:2">
      <c r="A10057" s="3" t="str">
        <f>IFERROR(__xludf.DUMMYFUNCTION("GOOGLETRANSLATE(A10057,""en"",""pt"")"),"Uma mãe na Geórgia quer que ela conselho escolar local para tirar Harry Potter fora das escolas e bibliotecas, porque, em sua opinião, a leitura leva Harry Potter à bruxaria, que segundo ela é má ...")</f>
        <v>Uma mãe na Geórgia quer que ela conselho escolar local para tirar Harry Potter fora das escolas e bibliotecas, porque, em sua opinião, a leitura leva Harry Potter à bruxaria, que segundo ela é má ...</v>
      </c>
      <c r="B10057" s="3">
        <v>0</v>
      </c>
    </row>
    <row r="10058" ht="15.75" customHeight="1" spans="1:2">
      <c r="A10058" s="3" t="str">
        <f>IFERROR(__xludf.DUMMYFUNCTION("GOOGLETRANSLATE(A10058,""en"",""pt"")"),"Eu odeio Harry Potter ..")</f>
        <v>Eu odeio Harry Potter ..</v>
      </c>
      <c r="B10058" s="3">
        <v>0</v>
      </c>
    </row>
    <row r="10059" ht="15.75" customHeight="1" spans="1:2">
      <c r="A10059" s="3" t="str">
        <f>IFERROR(__xludf.DUMMYFUNCTION("GOOGLETRANSLATE(A10059,""en"",""pt"")"),"Eu odeio Harry Potter ..")</f>
        <v>Eu odeio Harry Potter ..</v>
      </c>
      <c r="B10059" s="3">
        <v>0</v>
      </c>
    </row>
    <row r="10060" ht="15.75" customHeight="1" spans="1:2">
      <c r="A10060" s="3" t="str">
        <f>IFERROR(__xludf.DUMMYFUNCTION("GOOGLETRANSLATE(A10060,""en"",""pt"")"),"Eu odeio Harry Potter.")</f>
        <v>Eu odeio Harry Potter.</v>
      </c>
      <c r="B10060" s="3">
        <v>0</v>
      </c>
    </row>
    <row r="10061" ht="15.75" customHeight="1" spans="1:2">
      <c r="A10061" s="3" t="str">
        <f>IFERROR(__xludf.DUMMYFUNCTION("GOOGLETRANSLATE(A10061,""en"",""pt"")"),"Eu odeio Harry Potter;")</f>
        <v>Eu odeio Harry Potter;</v>
      </c>
      <c r="B10061" s="3">
        <v>0</v>
      </c>
    </row>
    <row r="10062" ht="15.75" customHeight="1" spans="1:2">
      <c r="A10062" s="3" t="str">
        <f>IFERROR(__xludf.DUMMYFUNCTION("GOOGLETRANSLATE(A10062,""en"",""pt"")"),"Harry Potter suga bolas ...")</f>
        <v>Harry Potter suga bolas ...</v>
      </c>
      <c r="B10062" s="3">
        <v>0</v>
      </c>
    </row>
    <row r="10063" ht="15.75" customHeight="1" spans="1:2">
      <c r="A10063" s="3" t="str">
        <f>IFERROR(__xludf.DUMMYFUNCTION("GOOGLETRANSLATE(A10063,""en"",""pt"")"),"Você acha que Harry Potter é mau ..")</f>
        <v>Você acha que Harry Potter é mau ..</v>
      </c>
      <c r="B10063" s="3">
        <v>0</v>
      </c>
    </row>
    <row r="10064" ht="15.75" customHeight="1" spans="1:2">
      <c r="A10064" s="3" t="str">
        <f>IFERROR(__xludf.DUMMYFUNCTION("GOOGLETRANSLATE(A10064,""en"",""pt"")"),"Você acha que Harry Potter é mau ..")</f>
        <v>Você acha que Harry Potter é mau ..</v>
      </c>
      <c r="B10064" s="3">
        <v>0</v>
      </c>
    </row>
    <row r="10065" ht="15.75" customHeight="1" spans="1:2">
      <c r="A10065" s="3" t="str">
        <f>IFERROR(__xludf.DUMMYFUNCTION("GOOGLETRANSLATE(A10065,""en"",""pt"")"),"Você acha que Harry Potter é mau ..")</f>
        <v>Você acha que Harry Potter é mau ..</v>
      </c>
      <c r="B10065" s="3">
        <v>0</v>
      </c>
    </row>
    <row r="10066" ht="15.75" customHeight="1" spans="1:2">
      <c r="A10066" s="3" t="str">
        <f>IFERROR(__xludf.DUMMYFUNCTION("GOOGLETRANSLATE(A10066,""en"",""pt"")"),"Harry Potter é burro.")</f>
        <v>Harry Potter é burro.</v>
      </c>
      <c r="B10066" s="3">
        <v>0</v>
      </c>
    </row>
    <row r="10067" ht="15.75" customHeight="1" spans="1:2">
      <c r="A10067" s="3" t="str">
        <f>IFERROR(__xludf.DUMMYFUNCTION("GOOGLETRANSLATE(A10067,""en"",""pt"")"),"As imagens de maus filmes lin, como Harry Potter ou Senhor dos Anéis pálido em comparrison com a realidade.")</f>
        <v>As imagens de maus filmes lin, como Harry Potter ou Senhor dos Anéis pálido em comparrison com a realidade.</v>
      </c>
      <c r="B10067" s="3">
        <v>0</v>
      </c>
    </row>
    <row r="10068" ht="15.75" customHeight="1" spans="1:2">
      <c r="A10068" s="3" t="str">
        <f>IFERROR(__xludf.DUMMYFUNCTION("GOOGLETRANSLATE(A10068,""en"",""pt"")"),"Esperemos que este não é o caso, e as atuações nos terá vista para a cor de seu cabelo. (Curiosidades: Os olhos de Harry Potter são a cor errada no filme.")</f>
        <v>Esperemos que este não é o caso, e as atuações nos terá vista para a cor de seu cabelo. (Curiosidades: Os olhos de Harry Potter são a cor errada no filme.</v>
      </c>
      <c r="B10068" s="3">
        <v>0</v>
      </c>
    </row>
    <row r="10069" ht="15.75" customHeight="1" spans="1:2">
      <c r="A10069" s="3" t="str">
        <f>IFERROR(__xludf.DUMMYFUNCTION("GOOGLETRANSLATE(A10069,""en"",""pt"")"),"Eu acho que, em algum nível de absoluta negação, estou realmente tornar-se bastante cansado de Harry Potter em geral.")</f>
        <v>Eu acho que, em algum nível de absoluta negação, estou realmente tornar-se bastante cansado de Harry Potter em geral.</v>
      </c>
      <c r="B10069" s="3">
        <v>0</v>
      </c>
    </row>
    <row r="10070" ht="15.75" customHeight="1" spans="1:2">
      <c r="A10070" s="3" t="str">
        <f>IFERROR(__xludf.DUMMYFUNCTION("GOOGLETRANSLATE(A10070,""en"",""pt"")"),"Estou farto de Harry Potter fanfiction.")</f>
        <v>Estou farto de Harry Potter fanfiction.</v>
      </c>
      <c r="B10070" s="3">
        <v>0</v>
      </c>
    </row>
    <row r="10071" ht="15.75" customHeight="1" spans="1:2">
      <c r="A10071" s="3" t="str">
        <f>IFERROR(__xludf.DUMMYFUNCTION("GOOGLETRANSLATE(A10071,""en"",""pt"")"),"E eles todos os envolvidos Harry Potter * é coxo * ..")</f>
        <v>E eles todos os envolvidos Harry Potter * é coxo * ..</v>
      </c>
      <c r="B10071" s="3">
        <v>0</v>
      </c>
    </row>
    <row r="10072" ht="15.75" customHeight="1" spans="1:2">
      <c r="A10072" s="3" t="str">
        <f>IFERROR(__xludf.DUMMYFUNCTION("GOOGLETRANSLATE(A10072,""en"",""pt"")"),"Se você realmente acha que Harry Potter é mau, você é um idiota ......")</f>
        <v>Se você realmente acha que Harry Potter é mau, você é um idiota ......</v>
      </c>
      <c r="B10072" s="3">
        <v>0</v>
      </c>
    </row>
    <row r="10073" ht="15.75" customHeight="1" spans="1:2">
      <c r="A10073" s="3" t="str">
        <f>IFERROR(__xludf.DUMMYFUNCTION("GOOGLETRANSLATE(A10073,""en"",""pt"")"),"Eu poderia continuar, mas vamos apenas dizer que qualquer um que pode dizer Harry Potter é o mal é simplesmente errado.")</f>
        <v>Eu poderia continuar, mas vamos apenas dizer que qualquer um que pode dizer Harry Potter é o mal é simplesmente errado.</v>
      </c>
      <c r="B10073" s="3">
        <v>0</v>
      </c>
    </row>
    <row r="10074" ht="15.75" customHeight="1" spans="1:2">
      <c r="A10074" s="3" t="str">
        <f>IFERROR(__xludf.DUMMYFUNCTION("GOOGLETRANSLATE(A10074,""en"",""pt"")"),"O negócio inteiro Harry Potter --- Agora eu desejo que filhos da puta só iria calar a boca sobre Harry Potter sendo maus ...")</f>
        <v>O negócio inteiro Harry Potter --- Agora eu desejo que filhos da puta só iria calar a boca sobre Harry Potter sendo maus ...</v>
      </c>
      <c r="B10074" s="3">
        <v>0</v>
      </c>
    </row>
    <row r="10075" ht="15.75" customHeight="1" spans="1:2">
      <c r="A10075" s="3" t="str">
        <f>IFERROR(__xludf.DUMMYFUNCTION("GOOGLETRANSLATE(A10075,""en"",""pt"")"),"agora para o Dia das Bruxas eu só preciso de um mal Harry Potter para a dança, lol, e Jack, o Estripador para a noite real de Halloween.")</f>
        <v>agora para o Dia das Bruxas eu só preciso de um mal Harry Potter para a dança, lol, e Jack, o Estripador para a noite real de Halloween.</v>
      </c>
      <c r="B10075" s="3">
        <v>0</v>
      </c>
    </row>
    <row r="10076" ht="15.75" customHeight="1" spans="1:2">
      <c r="A10076" s="3" t="str">
        <f>IFERROR(__xludf.DUMMYFUNCTION("GOOGLETRANSLATE(A10076,""en"",""pt"")"),"Eu odeio Harry Potter ..")</f>
        <v>Eu odeio Harry Potter ..</v>
      </c>
      <c r="B10076" s="3">
        <v>0</v>
      </c>
    </row>
    <row r="10077" ht="15.75" customHeight="1" spans="1:2">
      <c r="A10077" s="3" t="str">
        <f>IFERROR(__xludf.DUMMYFUNCTION("GOOGLETRANSLATE(A10077,""en"",""pt"")"),"Eu odeio Harry Potter ..")</f>
        <v>Eu odeio Harry Potter ..</v>
      </c>
      <c r="B10077" s="3">
        <v>0</v>
      </c>
    </row>
    <row r="10078" ht="15.75" customHeight="1" spans="1:2">
      <c r="A10078" s="3" t="str">
        <f>IFERROR(__xludf.DUMMYFUNCTION("GOOGLETRANSLATE(A10078,""en"",""pt"")"),"Eu odeio Harry Potter ..")</f>
        <v>Eu odeio Harry Potter ..</v>
      </c>
      <c r="B10078" s="3">
        <v>0</v>
      </c>
    </row>
    <row r="10079" ht="15.75" customHeight="1" spans="1:2">
      <c r="A10079" s="3" t="str">
        <f>IFERROR(__xludf.DUMMYFUNCTION("GOOGLETRANSLATE(A10079,""en"",""pt"")"),"Harry Potter é mau !!!!! ..")</f>
        <v>Harry Potter é mau !!!!! ..</v>
      </c>
      <c r="B10079" s="3">
        <v>0</v>
      </c>
    </row>
    <row r="10080" ht="15.75" customHeight="1" spans="1:2">
      <c r="A10080" s="3" t="str">
        <f>IFERROR(__xludf.DUMMYFUNCTION("GOOGLETRANSLATE(A10080,""en"",""pt"")"),"Eu também gostaria de saber como Harry Potter é mau, mas a Bíblia não é.")</f>
        <v>Eu também gostaria de saber como Harry Potter é mau, mas a Bíblia não é.</v>
      </c>
      <c r="B10080" s="3">
        <v>0</v>
      </c>
    </row>
    <row r="10081" ht="15.75" customHeight="1" spans="1:2">
      <c r="A10081" s="3" t="str">
        <f>IFERROR(__xludf.DUMMYFUNCTION("GOOGLETRANSLATE(A10081,""en"",""pt"")"),"A seguir, são clips, do mesmo artigo, que contou com a história sobre como o mal Harry Potter é: ..")</f>
        <v>A seguir, são clips, do mesmo artigo, que contou com a história sobre como o mal Harry Potter é: ..</v>
      </c>
      <c r="B10081" s="3">
        <v>0</v>
      </c>
    </row>
    <row r="10082" ht="15.75" customHeight="1" spans="1:2">
      <c r="A10082" s="3" t="str">
        <f>IFERROR(__xludf.DUMMYFUNCTION("GOOGLETRANSLATE(A10082,""en"",""pt"")"),"Harry Potter Club é incrivelmente desagradável esta noite, quando apenas believably detestável em qualquer outro dia ...")</f>
        <v>Harry Potter Club é incrivelmente desagradável esta noite, quando apenas believably detestável em qualquer outro dia ...</v>
      </c>
      <c r="B10082" s="3">
        <v>0</v>
      </c>
    </row>
    <row r="10083" ht="15.75" customHeight="1" spans="1:2">
      <c r="A10083" s="3" t="str">
        <f>IFERROR(__xludf.DUMMYFUNCTION("GOOGLETRANSLATE(A10083,""en"",""pt"")"),"Eu odeio Harry Potter ..")</f>
        <v>Eu odeio Harry Potter ..</v>
      </c>
      <c r="B10083" s="3">
        <v>0</v>
      </c>
    </row>
    <row r="10084" ht="15.75" customHeight="1" spans="1:2">
      <c r="A10084" s="3" t="str">
        <f>IFERROR(__xludf.DUMMYFUNCTION("GOOGLETRANSLATE(A10084,""en"",""pt"")"),"A julgar pela mania Harry Potter eo dinheiro que foi gerado pelos livros e filmes, ninguém dá a mínima se você acha que Harry Potter é mau ...")</f>
        <v>A julgar pela mania Harry Potter eo dinheiro que foi gerado pelos livros e filmes, ninguém dá a mínima se você acha que Harry Potter é mau ...</v>
      </c>
      <c r="B10084" s="3">
        <v>0</v>
      </c>
    </row>
    <row r="10085" ht="15.75" customHeight="1" spans="1:2">
      <c r="A10085" s="3" t="str">
        <f>IFERROR(__xludf.DUMMYFUNCTION("GOOGLETRANSLATE(A10085,""en"",""pt"")"),"Harry Potter é mau ...")</f>
        <v>Harry Potter é mau ...</v>
      </c>
      <c r="B10085" s="3">
        <v>0</v>
      </c>
    </row>
    <row r="10086" ht="15.75" customHeight="1" spans="1:2">
      <c r="A10086" s="3" t="str">
        <f>IFERROR(__xludf.DUMMYFUNCTION("GOOGLETRANSLATE(A10086,""en"",""pt"")"),"Eu odeio Harry Potter ..")</f>
        <v>Eu odeio Harry Potter ..</v>
      </c>
      <c r="B10086" s="3">
        <v>0</v>
      </c>
    </row>
    <row r="10087" ht="15.75" customHeight="1" spans="1:2">
      <c r="A10087" s="3" t="str">
        <f>IFERROR(__xludf.DUMMYFUNCTION("GOOGLETRANSLATE(A10087,""en"",""pt"")"),"Eu odeio Harry Potter ..")</f>
        <v>Eu odeio Harry Potter ..</v>
      </c>
      <c r="B10087" s="3">
        <v>0</v>
      </c>
    </row>
    <row r="10088" ht="15.75" customHeight="1" spans="1:2">
      <c r="A10088" s="3" t="str">
        <f>IFERROR(__xludf.DUMMYFUNCTION("GOOGLETRANSLATE(A10088,""en"",""pt"")"),"Eu odeio Harry Potter ..")</f>
        <v>Eu odeio Harry Potter ..</v>
      </c>
      <c r="B10088" s="3">
        <v>0</v>
      </c>
    </row>
    <row r="10089" ht="15.75" customHeight="1" spans="1:2">
      <c r="A10089" s="3" t="str">
        <f>IFERROR(__xludf.DUMMYFUNCTION("GOOGLETRANSLATE(A10089,""en"",""pt"")"),"Eu odeio Harry Potter ..")</f>
        <v>Eu odeio Harry Potter ..</v>
      </c>
      <c r="B10089" s="3">
        <v>0</v>
      </c>
    </row>
    <row r="10090" ht="15.75" customHeight="1" spans="1:2">
      <c r="A10090" s="3" t="str">
        <f>IFERROR(__xludf.DUMMYFUNCTION("GOOGLETRANSLATE(A10090,""en"",""pt"")"),"Eu odeio Harry Potter ..")</f>
        <v>Eu odeio Harry Potter ..</v>
      </c>
      <c r="B10090" s="3">
        <v>0</v>
      </c>
    </row>
    <row r="10091" ht="15.75" customHeight="1" spans="1:2">
      <c r="A10091" s="3" t="str">
        <f>IFERROR(__xludf.DUMMYFUNCTION("GOOGLETRANSLATE(A10091,""en"",""pt"")"),"Eu odeio Harry Potter ..")</f>
        <v>Eu odeio Harry Potter ..</v>
      </c>
      <c r="B10091" s="3">
        <v>0</v>
      </c>
    </row>
    <row r="10092" ht="15.75" customHeight="1" spans="1:2">
      <c r="A10092" s="3" t="str">
        <f>IFERROR(__xludf.DUMMYFUNCTION("GOOGLETRANSLATE(A10092,""en"",""pt"")"),"Eu odeio Harry Potter ..")</f>
        <v>Eu odeio Harry Potter ..</v>
      </c>
      <c r="B10092" s="3">
        <v>0</v>
      </c>
    </row>
    <row r="10093" ht="15.75" customHeight="1" spans="1:2">
      <c r="A10093" s="3" t="str">
        <f>IFERROR(__xludf.DUMMYFUNCTION("GOOGLETRANSLATE(A10093,""en"",""pt"")"),"Eu odeio Harry Potter ..")</f>
        <v>Eu odeio Harry Potter ..</v>
      </c>
      <c r="B10093" s="3">
        <v>0</v>
      </c>
    </row>
    <row r="10094" ht="15.75" customHeight="1" spans="1:2">
      <c r="A10094" s="3" t="str">
        <f>IFERROR(__xludf.DUMMYFUNCTION("GOOGLETRANSLATE(A10094,""en"",""pt"")"),"Eu odeio Harry Potter ..")</f>
        <v>Eu odeio Harry Potter ..</v>
      </c>
      <c r="B10094" s="3">
        <v>0</v>
      </c>
    </row>
    <row r="10095" ht="15.75" customHeight="1" spans="1:2">
      <c r="A10095" s="3" t="str">
        <f>IFERROR(__xludf.DUMMYFUNCTION("GOOGLETRANSLATE(A10095,""en"",""pt"")"),"Eu odeio Harry Potter ..")</f>
        <v>Eu odeio Harry Potter ..</v>
      </c>
      <c r="B10095" s="3">
        <v>0</v>
      </c>
    </row>
    <row r="10096" ht="15.75" customHeight="1" spans="1:2">
      <c r="A10096" s="3" t="str">
        <f>IFERROR(__xludf.DUMMYFUNCTION("GOOGLETRANSLATE(A10096,""en"",""pt"")"),"Eu odeio Harry Potter ..")</f>
        <v>Eu odeio Harry Potter ..</v>
      </c>
      <c r="B10096" s="3">
        <v>0</v>
      </c>
    </row>
    <row r="10097" ht="15.75" customHeight="1" spans="1:2">
      <c r="A10097" s="3" t="s">
        <v>47</v>
      </c>
      <c r="B10097" s="3">
        <v>0</v>
      </c>
    </row>
    <row r="10098" ht="15.75" customHeight="1" spans="1:2">
      <c r="A10098" s="3" t="str">
        <f>IFERROR(__xludf.DUMMYFUNCTION("GOOGLETRANSLATE(A10098,""en"",""pt"")"),"Eu ouvi Emma Watson não pode voltar para o próximo filme de Harry Potter, o que realmente chupar.")</f>
        <v>Eu ouvi Emma Watson não pode voltar para o próximo filme de Harry Potter, o que realmente chupar.</v>
      </c>
      <c r="B10098" s="3">
        <v>0</v>
      </c>
    </row>
    <row r="10099" ht="15.75" customHeight="1" spans="1:2">
      <c r="A10099" s="3" t="str">
        <f>IFERROR(__xludf.DUMMYFUNCTION("GOOGLETRANSLATE(A10099,""en"",""pt"")"),"Eu odeio Harry Potter ..")</f>
        <v>Eu odeio Harry Potter ..</v>
      </c>
      <c r="B10099" s="3">
        <v>0</v>
      </c>
    </row>
    <row r="10100" ht="15.75" customHeight="1" spans="1:2">
      <c r="A10100" s="3" t="str">
        <f>IFERROR(__xludf.DUMMYFUNCTION("GOOGLETRANSLATE(A10100,""en"",""pt"")"),"Eu odeio Harry Potter ..")</f>
        <v>Eu odeio Harry Potter ..</v>
      </c>
      <c r="B10100" s="3">
        <v>0</v>
      </c>
    </row>
    <row r="10101" ht="15.75" customHeight="1" spans="1:2">
      <c r="A10101" s="3" t="str">
        <f>IFERROR(__xludf.DUMMYFUNCTION("GOOGLETRANSLATE(A10101,""en"",""pt"")"),"Eu odeio Harry Potter ..")</f>
        <v>Eu odeio Harry Potter ..</v>
      </c>
      <c r="B10101" s="3">
        <v>0</v>
      </c>
    </row>
    <row r="10102" ht="15.75" customHeight="1" spans="1:2">
      <c r="A10102" s="3" t="str">
        <f>IFERROR(__xludf.DUMMYFUNCTION("GOOGLETRANSLATE(A10102,""en"",""pt"")"),"Eu odeio Harry Potter ..")</f>
        <v>Eu odeio Harry Potter ..</v>
      </c>
      <c r="B10102" s="3">
        <v>0</v>
      </c>
    </row>
    <row r="10103" ht="15.75" customHeight="1" spans="1:2">
      <c r="A10103" s="3" t="str">
        <f>IFERROR(__xludf.DUMMYFUNCTION("GOOGLETRANSLATE(A10103,""en"",""pt"")"),"Ele acha que Harry Potter é o mal (para real), mas eu posso passar por isso.")</f>
        <v>Ele acha que Harry Potter é o mal (para real), mas eu posso passar por isso.</v>
      </c>
      <c r="B10103" s="3">
        <v>0</v>
      </c>
    </row>
    <row r="10104" ht="15.75" customHeight="1" spans="1:2">
      <c r="A10104" s="3" t="str">
        <f>IFERROR(__xludf.DUMMYFUNCTION("GOOGLETRANSLATE(A10104,""en"",""pt"")"),"Eu odeio Harry Potter ..")</f>
        <v>Eu odeio Harry Potter ..</v>
      </c>
      <c r="B10104" s="3">
        <v>0</v>
      </c>
    </row>
    <row r="10105" ht="15.75" customHeight="1" spans="1:2">
      <c r="A10105" s="3" t="str">
        <f>IFERROR(__xludf.DUMMYFUNCTION("GOOGLETRANSLATE(A10105,""en"",""pt"")"),"Eu odeio Harry Potter ..")</f>
        <v>Eu odeio Harry Potter ..</v>
      </c>
      <c r="B10105" s="3">
        <v>0</v>
      </c>
    </row>
    <row r="10106" ht="15.75" customHeight="1" spans="1:2">
      <c r="A10106" s="3" t="str">
        <f>IFERROR(__xludf.DUMMYFUNCTION("GOOGLETRANSLATE(A10106,""en"",""pt"")"),"Eu odeio Harry Potter e todas as coisas relacionadas a ele ..")</f>
        <v>Eu odeio Harry Potter e todas as coisas relacionadas a ele ..</v>
      </c>
      <c r="B10106" s="3">
        <v>0</v>
      </c>
    </row>
    <row r="10107" ht="15.75" customHeight="1" spans="1:2">
      <c r="A10107" s="3" t="str">
        <f>IFERROR(__xludf.DUMMYFUNCTION("GOOGLETRANSLATE(A10107,""en"",""pt"")"),"Tal como este, que eu acho que ela fez apenas para me irritar, sabendo como eu odeio Harry Potter: ...")</f>
        <v>Tal como este, que eu acho que ela fez apenas para me irritar, sabendo como eu odeio Harry Potter: ...</v>
      </c>
      <c r="B10107" s="3">
        <v>0</v>
      </c>
    </row>
    <row r="10108" ht="15.75" customHeight="1" spans="1:2">
      <c r="A10108" s="3" t="str">
        <f>IFERROR(__xludf.DUMMYFUNCTION("GOOGLETRANSLATE(A10108,""en"",""pt"")")," Eu odeio Harry Potter.")</f>
        <v> Eu odeio Harry Potter.</v>
      </c>
      <c r="B10108" s="3">
        <v>0</v>
      </c>
    </row>
    <row r="10109" ht="15.75" customHeight="1" spans="1:2">
      <c r="A10109" s="3" t="str">
        <f>IFERROR(__xludf.DUMMYFUNCTION("GOOGLETRANSLATE(A10109,""en"",""pt"")")," Eu odeio Harry Potter.")</f>
        <v> Eu odeio Harry Potter.</v>
      </c>
      <c r="B10109" s="3">
        <v>0</v>
      </c>
    </row>
    <row r="10110" ht="15.75" customHeight="1" spans="1:2">
      <c r="A10110" s="3" t="str">
        <f>IFERROR(__xludf.DUMMYFUNCTION("GOOGLETRANSLATE(A10110,""en"",""pt"")"),"Harry Potter pode chupar meu clitóris ...")</f>
        <v>Harry Potter pode chupar meu clitóris ...</v>
      </c>
      <c r="B10110" s="3">
        <v>0</v>
      </c>
    </row>
    <row r="10111" ht="15.75" customHeight="1" spans="1:2">
      <c r="A10111" s="3" t="str">
        <f>IFERROR(__xludf.DUMMYFUNCTION("GOOGLETRANSLATE(A10111,""en"",""pt"")"),"Às vezes, tudo o que eu disse was'Harry Potter é uma merda!")</f>
        <v>Às vezes, tudo o que eu disse was'Harry Potter é uma merda!</v>
      </c>
      <c r="B10111" s="3">
        <v>0</v>
      </c>
    </row>
    <row r="10112" ht="15.75" customHeight="1" spans="1:2">
      <c r="A10112" s="3" t="str">
        <f>IFERROR(__xludf.DUMMYFUNCTION("GOOGLETRANSLATE(A10112,""en"",""pt"")"),"Por toda vez que eu said'Harry Potter sucks'I estava em desvantagem por um milhar de pessoas saying'Harry Potter regras'.")</f>
        <v>Por toda vez que eu said'Harry Potter sucks'I estava em desvantagem por um milhar de pessoas saying'Harry Potter regras'.</v>
      </c>
      <c r="B10112" s="3">
        <v>0</v>
      </c>
    </row>
    <row r="10113" ht="15.75" customHeight="1" spans="1:2">
      <c r="A10113" s="3" t="str">
        <f>IFERROR(__xludf.DUMMYFUNCTION("GOOGLETRANSLATE(A10113,""en"",""pt"")"),"Man, Ultimate Marvel Harry Potter é uma porcaria ...")</f>
        <v>Man, Ultimate Marvel Harry Potter é uma porcaria ...</v>
      </c>
      <c r="B10113" s="3">
        <v>0</v>
      </c>
    </row>
    <row r="10114" ht="15.75" customHeight="1" spans="1:2">
      <c r="A10114" s="3" t="str">
        <f>IFERROR(__xludf.DUMMYFUNCTION("GOOGLETRANSLATE(A10114,""en"",""pt"")"),"Man, Ultimate Marvel Harry Potter é uma porcaria ...")</f>
        <v>Man, Ultimate Marvel Harry Potter é uma porcaria ...</v>
      </c>
      <c r="B10114" s="3">
        <v>0</v>
      </c>
    </row>
    <row r="10115" ht="15.75" customHeight="1" spans="1:2">
      <c r="A10115" s="3" t="str">
        <f>IFERROR(__xludf.DUMMYFUNCTION("GOOGLETRANSLATE(A10115,""en"",""pt"")")," volta para o meu comentário a anax pensando, eu decidi escrever um realmente terrível Harry Potter fanfic, repleto de falsificou Mary Sue-ismo ...")</f>
        <v> volta para o meu comentário a anax pensando, eu decidi escrever um realmente terrível Harry Potter fanfic, repleto de falsificou Mary Sue-ismo ...</v>
      </c>
      <c r="B10115" s="3">
        <v>0</v>
      </c>
    </row>
    <row r="10116" ht="15.75" customHeight="1" spans="1:2">
      <c r="A10116" s="3" t="str">
        <f>IFERROR(__xludf.DUMMYFUNCTION("GOOGLETRANSLATE(A10116,""en"",""pt"")"),"E é por isso que eu odeio Harry Potter.")</f>
        <v>E é por isso que eu odeio Harry Potter.</v>
      </c>
      <c r="B10116" s="3">
        <v>0</v>
      </c>
    </row>
    <row r="10117" ht="15.75" customHeight="1" spans="1:2">
      <c r="A10117" s="3" t="str">
        <f>IFERROR(__xludf.DUMMYFUNCTION("GOOGLETRANSLATE(A10117,""en"",""pt"")"),"E é por isso que eu odeio Harry Potter.")</f>
        <v>E é por isso que eu odeio Harry Potter.</v>
      </c>
      <c r="B10117" s="3">
        <v>0</v>
      </c>
    </row>
    <row r="10118" ht="15.75" customHeight="1" spans="1:2">
      <c r="A10118" s="3" t="str">
        <f>IFERROR(__xludf.DUMMYFUNCTION("GOOGLETRANSLATE(A10118,""en"",""pt"")"),"Eu Odeio Harry Potter.")</f>
        <v>Eu Odeio Harry Potter.</v>
      </c>
      <c r="B10118" s="3">
        <v>0</v>
      </c>
    </row>
    <row r="10119" ht="15.75" customHeight="1" spans="1:2">
      <c r="A10119" s="3" t="str">
        <f>IFERROR(__xludf.DUMMYFUNCTION("GOOGLETRANSLATE(A10119,""en"",""pt"")"),"E Harry Potter parece estúpido: ..")</f>
        <v>E Harry Potter parece estúpido: ..</v>
      </c>
      <c r="B10119" s="3">
        <v>0</v>
      </c>
    </row>
    <row r="10120" ht="15.75" customHeight="1" spans="1:2">
      <c r="A10120" s="3" t="str">
        <f>IFERROR(__xludf.DUMMYFUNCTION("GOOGLETRANSLATE(A10120,""en"",""pt"")"),"Hogwarts besteira: A placa de Geórgia de escutas de educação para a campanha de uma mãe para livrar desses maus livros de Harry Potter de bibliotecas escolares ...")</f>
        <v>Hogwarts besteira: A placa de Geórgia de escutas de educação para a campanha de uma mãe para livrar desses maus livros de Harry Potter de bibliotecas escolares ...</v>
      </c>
      <c r="B10120" s="3">
        <v>0</v>
      </c>
    </row>
    <row r="10121" ht="15.75" customHeight="1" spans="1:2">
      <c r="A10121" s="3" t="str">
        <f>IFERROR(__xludf.DUMMYFUNCTION("GOOGLETRANSLATE(A10121,""en"",""pt"")"),"Ainda assim, nada disso tinha sentido tão requintado como tendo Harry Potter chupando o pau ...")</f>
        <v>Ainda assim, nada disso tinha sentido tão requintado como tendo Harry Potter chupando o pau ...</v>
      </c>
      <c r="B10121" s="3">
        <v>0</v>
      </c>
    </row>
    <row r="10122" ht="15.75" customHeight="1" spans="1:2">
      <c r="A10122" s="3" t="str">
        <f>IFERROR(__xludf.DUMMYFUNCTION("GOOGLETRANSLATE(A10122,""en"",""pt"")"),"Estou SOOOOOO doente de pessoas que afirmam que Harry Potter é mau e que o mundo está indo pelo ralo por causa de alguém ler o livro.")</f>
        <v>Estou SOOOOOO doente de pessoas que afirmam que Harry Potter é mau e que o mundo está indo pelo ralo por causa de alguém ler o livro.</v>
      </c>
      <c r="B10122" s="3">
        <v>0</v>
      </c>
    </row>
    <row r="10123" ht="15.75" customHeight="1" spans="1:2">
      <c r="A10123" s="3" t="str">
        <f>IFERROR(__xludf.DUMMYFUNCTION("GOOGLETRANSLATE(A10123,""en"",""pt"")"),"A Georgia mãe adverte que os livros de Harry Potter são uma tentativa mal para as crianças doutrinar na religião Wicca e deve ser interrompido.")</f>
        <v>A Georgia mãe adverte que os livros de Harry Potter são uma tentativa mal para as crianças doutrinar na religião Wicca e deve ser interrompido.</v>
      </c>
      <c r="B10123" s="3">
        <v>0</v>
      </c>
    </row>
    <row r="10124" ht="15.75" customHeight="1" spans="1:2">
      <c r="A10124" s="3" t="str">
        <f>IFERROR(__xludf.DUMMYFUNCTION("GOOGLETRANSLATE(A10124,""en"",""pt"")"),"O Conselho de Geórgia de Educação ouviu de uma mãe a tentar banir esses maus livros de Harry Potter ..")</f>
        <v>O Conselho de Geórgia de Educação ouviu de uma mãe a tentar banir esses maus livros de Harry Potter ..</v>
      </c>
      <c r="B10124" s="3">
        <v>0</v>
      </c>
    </row>
    <row r="10125" ht="15.75" customHeight="1" spans="1:2">
      <c r="A10125" s="3" t="str">
        <f>IFERROR(__xludf.DUMMYFUNCTION("GOOGLETRANSLATE(A10125,""en"",""pt"")"),"Wiccanos reagir a possível Harry Potter livro proibição Marcia Gaither, que dá aulas em Wiccanism, diz a controvérsia sobre Harry Potter é absurda.")</f>
        <v>Wiccanos reagir a possível Harry Potter livro proibição Marcia Gaither, que dá aulas em Wiccanism, diz a controvérsia sobre Harry Potter é absurda.</v>
      </c>
      <c r="B10125" s="3">
        <v>0</v>
      </c>
    </row>
    <row r="10126" ht="15.75" customHeight="1" spans="1:2">
      <c r="A10126" s="3" t="str">
        <f>IFERROR(__xludf.DUMMYFUNCTION("GOOGLETRANSLATE(A10126,""en"",""pt"")"),"Então, novamente, eu realmente odiava Harry Potter antes de lê-lo, e olhe para mim agora.")</f>
        <v>Então, novamente, eu realmente odiava Harry Potter antes de lê-lo, e olhe para mim agora.</v>
      </c>
      <c r="B10126" s="3">
        <v>0</v>
      </c>
    </row>
    <row r="10127" ht="15.75" customHeight="1" spans="1:2">
      <c r="A10127" s="3" t="str">
        <f>IFERROR(__xludf.DUMMYFUNCTION("GOOGLETRANSLATE(A10127,""en"",""pt"")"),"O que eu odeio é, ela também é uma dessas pessoas que acha que Harry Potter é essa bruxaria mal e do mal para as crianças a ler ...")</f>
        <v>O que eu odeio é, ela também é uma dessas pessoas que acha que Harry Potter é essa bruxaria mal e do mal para as crianças a ler ...</v>
      </c>
      <c r="B10127" s="3">
        <v>0</v>
      </c>
    </row>
    <row r="10128" ht="15.75" customHeight="1" spans="1:2">
      <c r="A10128" s="3" t="str">
        <f>IFERROR(__xludf.DUMMYFUNCTION("GOOGLETRANSLATE(A10128,""en"",""pt"")"),"Eu não gosto da idéia das minhas preciosas, clássicos livros de Harry Potter a ser banalizado com sua associação com o brilho inútil de fofocas de Hollywood.")</f>
        <v>Eu não gosto da idéia das minhas preciosas, clássicos livros de Harry Potter a ser banalizado com sua associação com o brilho inútil de fofocas de Hollywood.</v>
      </c>
      <c r="B10128" s="3">
        <v>0</v>
      </c>
    </row>
    <row r="10129" ht="15.75" customHeight="1" spans="1:2">
      <c r="A10129" s="3" t="str">
        <f>IFERROR(__xludf.DUMMYFUNCTION("GOOGLETRANSLATE(A10129,""en"",""pt"")"),"Na verdade, nós falamos sobre como Harry Potter sugado, e como o escritor de My Immortal ou era um estudante universitário trabalhando em uma tese de psicologia ou uma pessoa triste com o QI de um pepino ...")</f>
        <v>Na verdade, nós falamos sobre como Harry Potter sugado, e como o escritor de My Immortal ou era um estudante universitário trabalhando em uma tese de psicologia ou uma pessoa triste com o QI de um pepino ...</v>
      </c>
      <c r="B10129" s="3">
        <v>0</v>
      </c>
    </row>
    <row r="10130" ht="15.75" customHeight="1" spans="1:2">
      <c r="A10130" s="3" t="str">
        <f>IFERROR(__xludf.DUMMYFUNCTION("GOOGLETRANSLATE(A10130,""en"",""pt"")"),"Eu costumava odiar Harry Potter, e agora eu sou um Potterholic ..")</f>
        <v>Eu costumava odiar Harry Potter, e agora eu sou um Potterholic ..</v>
      </c>
      <c r="B10130" s="3">
        <v>0</v>
      </c>
    </row>
    <row r="10131" ht="15.75" customHeight="1" spans="1:2">
      <c r="A10131" s="3" t="str">
        <f>IFERROR(__xludf.DUMMYFUNCTION("GOOGLETRANSLATE(A10131,""en"",""pt"")"),"Eu odeio Harry Potter ....")</f>
        <v>Eu odeio Harry Potter ....</v>
      </c>
      <c r="B10131" s="3">
        <v>0</v>
      </c>
    </row>
    <row r="10132" ht="15.75" customHeight="1" spans="1:2">
      <c r="A10132" s="3" t="str">
        <f>IFERROR(__xludf.DUMMYFUNCTION("GOOGLETRANSLATE(A10132,""en"",""pt"")"),"Ew Eu odeio Harry Potter.")</f>
        <v>Ew Eu odeio Harry Potter.</v>
      </c>
      <c r="B10132" s="3">
        <v>0</v>
      </c>
    </row>
    <row r="10133" ht="15.75" customHeight="1" spans="1:2">
      <c r="A10133" s="3" t="str">
        <f>IFERROR(__xludf.DUMMYFUNCTION("GOOGLETRANSLATE(A10133,""en"",""pt"")"),"Meu ponto é, Harry Potter é mau ...")</f>
        <v>Meu ponto é, Harry Potter é mau ...</v>
      </c>
      <c r="B10133" s="3">
        <v>0</v>
      </c>
    </row>
    <row r="10134" ht="15.75" customHeight="1" spans="1:2">
      <c r="A10134" s="3" t="str">
        <f>IFERROR(__xludf.DUMMYFUNCTION("GOOGLETRANSLATE(A10134,""en"",""pt"")"),"E eu odeio Harry Potter .. - Jame.")</f>
        <v>E eu odeio Harry Potter .. - Jame.</v>
      </c>
      <c r="B10134" s="3">
        <v>0</v>
      </c>
    </row>
    <row r="10135" ht="15.75" customHeight="1" spans="1:2">
      <c r="A10135" s="3" t="str">
        <f>IFERROR(__xludf.DUMMYFUNCTION("GOOGLETRANSLATE(A10135,""en"",""pt"")"),"Só que eu odeio Harry Potter e odeio as entranhas vivas fora de Johnny Depp.")</f>
        <v>Só que eu odeio Harry Potter e odeio as entranhas vivas fora de Johnny Depp.</v>
      </c>
      <c r="B10135" s="3">
        <v>0</v>
      </c>
    </row>
    <row r="10136" ht="15.75" customHeight="1" spans="1:2">
      <c r="A10136" s="3" t="str">
        <f>IFERROR(__xludf.DUMMYFUNCTION("GOOGLETRANSLATE(A10136,""en"",""pt"")"),"Eu odeio Harry Potter ...")</f>
        <v>Eu odeio Harry Potter ...</v>
      </c>
      <c r="B10136" s="3">
        <v>0</v>
      </c>
    </row>
    <row r="10137" ht="15.75" customHeight="1" spans="1:2">
      <c r="A10137" s="3" t="str">
        <f>IFERROR(__xludf.DUMMYFUNCTION("GOOGLETRANSLATE(A10137,""en"",""pt"")"),"Marcia Gaither, que dá aulas em Wiccanism, diz a controvérsia sobre Harry Potter é absurda.")</f>
        <v>Marcia Gaither, que dá aulas em Wiccanism, diz a controvérsia sobre Harry Potter é absurda.</v>
      </c>
      <c r="B10137" s="3">
        <v>0</v>
      </c>
    </row>
    <row r="10138" ht="15.75" customHeight="1" spans="1:2">
      <c r="A10138" s="3" t="str">
        <f>IFERROR(__xludf.DUMMYFUNCTION("GOOGLETRANSLATE(A10138,""en"",""pt"")"),"Ainda assim, nada disso tinha sentido tão requintado como tendo Harry Potter chupando o pau ...")</f>
        <v>Ainda assim, nada disso tinha sentido tão requintado como tendo Harry Potter chupando o pau ...</v>
      </c>
      <c r="B10138" s="3">
        <v>0</v>
      </c>
    </row>
    <row r="10139" ht="15.75" customHeight="1" spans="1:2">
      <c r="A10139" s="3" t="str">
        <f>IFERROR(__xludf.DUMMYFUNCTION("GOOGLETRANSLATE(A10139,""en"",""pt"")"),"Também eu te amo Senhor dos Anéis, mas eu odeio Harry Potter, porque ele precisa de um corte de cabelo.")</f>
        <v>Também eu te amo Senhor dos Anéis, mas eu odeio Harry Potter, porque ele precisa de um corte de cabelo.</v>
      </c>
      <c r="B10139" s="3">
        <v>0</v>
      </c>
    </row>
    <row r="10140" ht="15.75" customHeight="1" spans="1:2">
      <c r="A10140" s="3" t="str">
        <f>IFERROR(__xludf.DUMMYFUNCTION("GOOGLETRANSLATE(A10140,""en"",""pt"")"),"Eu costumava odiar Harry Potter.")</f>
        <v>Eu costumava odiar Harry Potter.</v>
      </c>
      <c r="B10140" s="3">
        <v>0</v>
      </c>
    </row>
    <row r="10141" ht="15.75" customHeight="1" spans="1:2">
      <c r="A10141" s="3" t="str">
        <f>IFERROR(__xludf.DUMMYFUNCTION("GOOGLETRANSLATE(A10141,""en"",""pt"")"),"meganpenworthy vestido como um personagem de Harry Potter e as Selfish Ferro, embora parecesse mais como Optimus Prime ..")</f>
        <v>meganpenworthy vestido como um personagem de Harry Potter e as Selfish Ferro, embora parecesse mais como Optimus Prime ..</v>
      </c>
      <c r="B10141" s="3">
        <v>0</v>
      </c>
    </row>
    <row r="10142" ht="15.75" customHeight="1" spans="1:2">
      <c r="A10142" s="3" t="str">
        <f>IFERROR(__xludf.DUMMYFUNCTION("GOOGLETRANSLATE(A10142,""en"",""pt"")"),"Eu li 1984 e eu odeio Harry Potter ..")</f>
        <v>Eu li 1984 e eu odeio Harry Potter ..</v>
      </c>
      <c r="B10142" s="3">
        <v>0</v>
      </c>
    </row>
    <row r="10143" ht="15.75" customHeight="1" spans="1:2">
      <c r="A10143" s="3" t="str">
        <f>IFERROR(__xludf.DUMMYFUNCTION("GOOGLETRANSLATE(A10143,""en"",""pt"")"),"O problema com tudo isso, é claro, é que Harry Potter é uma merda bunda e é indicativo do declínio global da cultura Inglês-Falando nas mãos de previsibilidade e bonita de embalamento ...: -).")</f>
        <v>O problema com tudo isso, é claro, é que Harry Potter é uma merda bunda e é indicativo do declínio global da cultura Inglês-Falando nas mãos de previsibilidade e bonita de embalamento ...: -).</v>
      </c>
      <c r="B10143" s="3">
        <v>0</v>
      </c>
    </row>
    <row r="10144" ht="15.75" customHeight="1" spans="1:2">
      <c r="A10144" s="3" t="str">
        <f>IFERROR(__xludf.DUMMYFUNCTION("GOOGLETRANSLATE(A10144,""en"",""pt"")"),"Eu odeio Harry Potter.")</f>
        <v>Eu odeio Harry Potter.</v>
      </c>
      <c r="B10144" s="3">
        <v>0</v>
      </c>
    </row>
    <row r="10145" ht="15.75" customHeight="1" spans="1:2">
      <c r="A10145" s="3" t="str">
        <f>IFERROR(__xludf.DUMMYFUNCTION("GOOGLETRANSLATE(A10145,""en"",""pt"")"),"Harry Potter SUGA !!")</f>
        <v>Harry Potter SUGA !!</v>
      </c>
      <c r="B10145" s="3">
        <v>0</v>
      </c>
    </row>
    <row r="10146" ht="15.75" customHeight="1" spans="1:2">
      <c r="A10146" s="3" t="str">
        <f>IFERROR(__xludf.DUMMYFUNCTION("GOOGLETRANSLATE(A10146,""en"",""pt"")"),"Harry Potter suga.")</f>
        <v>Harry Potter suga.</v>
      </c>
      <c r="B10146" s="3">
        <v>0</v>
      </c>
    </row>
    <row r="10147" ht="15.75" customHeight="1" spans="1:2">
      <c r="A10147" s="3" t="str">
        <f>IFERROR(__xludf.DUMMYFUNCTION("GOOGLETRANSLATE(A10147,""en"",""pt"")"),"Eu também odiava Harry Potter, mas não por causa do ponto de vista religioso normal, eu só não gosto porque eu acho que é absolutamente horridly básica e escrita barato, e não vale o meu tempo ...")</f>
        <v>Eu também odiava Harry Potter, mas não por causa do ponto de vista religioso normal, eu só não gosto porque eu acho que é absolutamente horridly básica e escrita barato, e não vale o meu tempo ...</v>
      </c>
      <c r="B10147" s="3">
        <v>0</v>
      </c>
    </row>
    <row r="10148" ht="15.75" customHeight="1" spans="1:2">
      <c r="A10148" s="3" t="str">
        <f>IFERROR(__xludf.DUMMYFUNCTION("GOOGLETRANSLATE(A10148,""en"",""pt"")"),"Christain Lynne está sugando, Harry Potter está sugando, o diabo está sugando, TODOS.")</f>
        <v>Christain Lynne está sugando, Harry Potter está sugando, o diabo está sugando, TODOS.</v>
      </c>
      <c r="B10148" s="3">
        <v>0</v>
      </c>
    </row>
    <row r="10149" ht="15.75" customHeight="1" spans="1:2">
      <c r="A10149" s="3" t="str">
        <f>IFERROR(__xludf.DUMMYFUNCTION("GOOGLETRANSLATE(A10149,""en"",""pt"")"),"Eu odeio a Disney, eu odeio Crônicas de Nárnia, eu odeio Lords Of The Ring e eu odeio Harry Potter ...")</f>
        <v>Eu odeio a Disney, eu odeio Crônicas de Nárnia, eu odeio Lords Of The Ring e eu odeio Harry Potter ...</v>
      </c>
      <c r="B10149" s="3">
        <v>0</v>
      </c>
    </row>
    <row r="10150" ht="15.75" customHeight="1" spans="1:2">
      <c r="A10150" s="3" t="str">
        <f>IFERROR(__xludf.DUMMYFUNCTION("GOOGLETRANSLATE(A10150,""en"",""pt"")"),"Harry Potter é uma merda ass.")</f>
        <v>Harry Potter é uma merda ass.</v>
      </c>
      <c r="B10150" s="3">
        <v>0</v>
      </c>
    </row>
    <row r="10151" ht="15.75" customHeight="1" spans="1:2">
      <c r="A10151" s="3" t="str">
        <f>IFERROR(__xludf.DUMMYFUNCTION("GOOGLETRANSLATE(A10151,""en"",""pt"")"),"Harry Potter é uma porcaria.")</f>
        <v>Harry Potter é uma porcaria.</v>
      </c>
      <c r="B10151" s="3">
        <v>0</v>
      </c>
    </row>
    <row r="10152" ht="15.75" customHeight="1" spans="1:2">
      <c r="A10152" s="3" t="s">
        <v>48</v>
      </c>
      <c r="B10152" s="3">
        <v>0</v>
      </c>
    </row>
    <row r="10153" ht="15.75" customHeight="1" spans="1:2">
      <c r="A10153" s="3" t="str">
        <f>IFERROR(__xludf.DUMMYFUNCTION("GOOGLETRANSLATE(A10153,""en"",""pt"")"),"e ódio ""Harry Potter"", embora na verdade é muito mais religioso (")</f>
        <v>e ódio "Harry Potter", embora na verdade é muito mais religioso (</v>
      </c>
      <c r="B10153" s="3">
        <v>0</v>
      </c>
    </row>
    <row r="10154" ht="15.75" customHeight="1" spans="1:2">
      <c r="A10154" s="3" t="str">
        <f>IFERROR(__xludf.DUMMYFUNCTION("GOOGLETRANSLATE(A10154,""en"",""pt"")"),"E que Harry Potter é uma porcaria porque ele monta em uma vassoura.")</f>
        <v>E que Harry Potter é uma porcaria porque ele monta em uma vassoura.</v>
      </c>
      <c r="B10154" s="3">
        <v>0</v>
      </c>
    </row>
    <row r="10155" ht="15.75" customHeight="1" spans="1:2">
      <c r="A10155" s="3" t="str">
        <f>IFERROR(__xludf.DUMMYFUNCTION("GOOGLETRANSLATE(A10155,""en"",""pt"")"),"Harry Potter é uma porcaria.")</f>
        <v>Harry Potter é uma porcaria.</v>
      </c>
      <c r="B10155" s="3">
        <v>0</v>
      </c>
    </row>
    <row r="10156" ht="15.75" customHeight="1" spans="1:2">
      <c r="A10156" s="3" t="str">
        <f>IFERROR(__xludf.DUMMYFUNCTION("GOOGLETRANSLATE(A10156,""en"",""pt"")"),"Harry Potter é uma porcaria, é simples assim.")</f>
        <v>Harry Potter é uma porcaria, é simples assim.</v>
      </c>
      <c r="B10156" s="3">
        <v>0</v>
      </c>
    </row>
    <row r="10157" ht="15.75" customHeight="1" spans="1:2">
      <c r="A10157" s="3" t="str">
        <f>IFERROR(__xludf.DUMMYFUNCTION("GOOGLETRANSLATE(A10157,""en"",""pt"")"),"Harry Potter ainda suga, no entanto.")</f>
        <v>Harry Potter ainda suga, no entanto.</v>
      </c>
      <c r="B10157" s="3">
        <v>0</v>
      </c>
    </row>
    <row r="10158" ht="15.75" customHeight="1" spans="1:2">
      <c r="A10158" s="3" t="str">
        <f>IFERROR(__xludf.DUMMYFUNCTION("GOOGLETRANSLATE(A10158,""en"",""pt"")"),"Eu odeio Harry Potter ..")</f>
        <v>Eu odeio Harry Potter ..</v>
      </c>
      <c r="B10158" s="3">
        <v>0</v>
      </c>
    </row>
    <row r="10159" ht="15.75" customHeight="1" spans="1:2">
      <c r="A10159" s="3" t="str">
        <f>IFERROR(__xludf.DUMMYFUNCTION("GOOGLETRANSLATE(A10159,""en"",""pt"")"),"Na verdade, eu iria tão longe a ponto de dizer que eu odeio Harry Potter ..")</f>
        <v>Na verdade, eu iria tão longe a ponto de dizer que eu odeio Harry Potter ..</v>
      </c>
      <c r="B10159" s="3">
        <v>0</v>
      </c>
    </row>
    <row r="10160" ht="15.75" customHeight="1" spans="1:2">
      <c r="A10160" s="3" t="str">
        <f>IFERROR(__xludf.DUMMYFUNCTION("GOOGLETRANSLATE(A10160,""en"",""pt"")"),"Estou exausto e eu odeio Harry Potter.")</f>
        <v>Estou exausto e eu odeio Harry Potter.</v>
      </c>
      <c r="B10160" s="3">
        <v>0</v>
      </c>
    </row>
    <row r="10161" ht="15.75" customHeight="1" spans="1:2">
      <c r="A10161" s="3" t="str">
        <f>IFERROR(__xludf.DUMMYFUNCTION("GOOGLETRANSLATE(A10161,""en"",""pt"")"),"Eu odeio Harry Potter com uma paixão mas estes são hilariante! ..................")</f>
        <v>Eu odeio Harry Potter com uma paixão mas estes são hilariante! ..................</v>
      </c>
      <c r="B10161" s="3">
        <v>0</v>
      </c>
    </row>
    <row r="10162" ht="15.75" customHeight="1" spans="1:2">
      <c r="A10162" s="3" t="str">
        <f>IFERROR(__xludf.DUMMYFUNCTION("GOOGLETRANSLATE(A10162,""en"",""pt"")"),"Enquanto eu odeio Harry Potter, com quase todas as fibras do meu ser, eu não acho que o livro é inerentemente mau.")</f>
        <v>Enquanto eu odeio Harry Potter, com quase todas as fibras do meu ser, eu não acho que o livro é inerentemente mau.</v>
      </c>
      <c r="B10162" s="3">
        <v>0</v>
      </c>
    </row>
    <row r="10163" ht="15.75" customHeight="1" spans="1:2">
      <c r="A10163" s="3" t="str">
        <f>IFERROR(__xludf.DUMMYFUNCTION("GOOGLETRANSLATE(A10163,""en"",""pt"")"),"Harry Potter é uma porcaria ...")</f>
        <v>Harry Potter é uma porcaria ...</v>
      </c>
      <c r="B10163" s="3">
        <v>0</v>
      </c>
    </row>
    <row r="10164" ht="15.75" customHeight="1" spans="1:2">
      <c r="A10164" s="3" t="str">
        <f>IFERROR(__xludf.DUMMYFUNCTION("GOOGLETRANSLATE(A10164,""en"",""pt"")"),"Harry Potter é uma porcaria.")</f>
        <v>Harry Potter é uma porcaria.</v>
      </c>
      <c r="B10164" s="3">
        <v>0</v>
      </c>
    </row>
    <row r="10165" ht="15.75" customHeight="1" spans="1:2">
      <c r="A10165" s="3" t="str">
        <f>IFERROR(__xludf.DUMMYFUNCTION("GOOGLETRANSLATE(A10165,""en"",""pt"")"),"Eu odeio Harry Potter ..")</f>
        <v>Eu odeio Harry Potter ..</v>
      </c>
      <c r="B10165" s="3">
        <v>0</v>
      </c>
    </row>
    <row r="10166" ht="15.75" customHeight="1" spans="1:2">
      <c r="A10166" s="3" t="str">
        <f>IFERROR(__xludf.DUMMYFUNCTION("GOOGLETRANSLATE(A10166,""en"",""pt"")"),"Harry Potter suga em comparação com o homem invisível, é um bom livro.")</f>
        <v>Harry Potter suga em comparação com o homem invisível, é um bom livro.</v>
      </c>
      <c r="B10166" s="3">
        <v>0</v>
      </c>
    </row>
    <row r="10167" ht="15.75" customHeight="1" spans="1:2">
      <c r="A10167" s="3" t="str">
        <f>IFERROR(__xludf.DUMMYFUNCTION("GOOGLETRANSLATE(A10167,""en"",""pt"")"),"Eu odiava Harry Potter.")</f>
        <v>Eu odiava Harry Potter.</v>
      </c>
      <c r="B10167" s="3">
        <v>0</v>
      </c>
    </row>
    <row r="10168" ht="15.75" customHeight="1" spans="1:2">
      <c r="A10168" s="3" t="str">
        <f>IFERROR(__xludf.DUMMYFUNCTION("GOOGLETRANSLATE(A10168,""en"",""pt"")"),"Eu provavelmente vou ser assassinada mil vezes por todos por dizer isso, mas eu odeio Harry Potter.")</f>
        <v>Eu provavelmente vou ser assassinada mil vezes por todos por dizer isso, mas eu odeio Harry Potter.</v>
      </c>
      <c r="B10168" s="3">
        <v>0</v>
      </c>
    </row>
    <row r="10169" ht="15.75" customHeight="1" spans="1:2">
      <c r="A10169" s="3" t="str">
        <f>IFERROR(__xludf.DUMMYFUNCTION("GOOGLETRANSLATE(A10169,""en"",""pt"")"),"Eu odeio Harry Potter.")</f>
        <v>Eu odeio Harry Potter.</v>
      </c>
      <c r="B10169" s="3">
        <v>0</v>
      </c>
    </row>
    <row r="10170" ht="15.75" customHeight="1" spans="1:2">
      <c r="A10170" s="3" t="str">
        <f>IFERROR(__xludf.DUMMYFUNCTION("GOOGLETRANSLATE(A10170,""en"",""pt"")"),"Um fade é uma criatura de morte como o demeantor de Harry Potter que sugam sua alma através de sua boca.")</f>
        <v>Um fade é uma criatura de morte como o demeantor de Harry Potter que sugam sua alma através de sua boca.</v>
      </c>
      <c r="B10170" s="3">
        <v>0</v>
      </c>
    </row>
    <row r="10171" ht="15.75" customHeight="1" spans="1:2">
      <c r="A10171" s="3" t="str">
        <f>IFERROR(__xludf.DUMMYFUNCTION("GOOGLETRANSLATE(A10171,""en"",""pt"")"),"mesmo tho eu odeio Harry Potter, eles são apenas engraçado.")</f>
        <v>mesmo tho eu odeio Harry Potter, eles são apenas engraçado.</v>
      </c>
      <c r="B10171" s="3">
        <v>0</v>
      </c>
    </row>
    <row r="10172" ht="15.75" customHeight="1" spans="1:2">
      <c r="A10172" s="3" t="str">
        <f>IFERROR(__xludf.DUMMYFUNCTION("GOOGLETRANSLATE(A10172,""en"",""pt"")"),"Tanto quanto eu odeio Harry Potter, você tem que amar este hippie deteriorando e decompondo por trazer McGarther Parque para o mundo.")</f>
        <v>Tanto quanto eu odeio Harry Potter, você tem que amar este hippie deteriorando e decompondo por trazer McGarther Parque para o mundo.</v>
      </c>
      <c r="B10172" s="3">
        <v>0</v>
      </c>
    </row>
    <row r="10173" ht="15.75" customHeight="1" spans="1:2">
      <c r="A10173" s="3" t="str">
        <f>IFERROR(__xludf.DUMMYFUNCTION("GOOGLETRANSLATE(A10173,""en"",""pt"")"),"Me desculpe, eu odeio ler Harry Potter, mas eu amo os filmes! ..")</f>
        <v>Me desculpe, eu odeio ler Harry Potter, mas eu amo os filmes! ..</v>
      </c>
      <c r="B10173" s="3">
        <v>0</v>
      </c>
    </row>
    <row r="10174" ht="15.75" customHeight="1" spans="1:2">
      <c r="A10174" s="3" t="str">
        <f>IFERROR(__xludf.DUMMYFUNCTION("GOOGLETRANSLATE(A10174,""en"",""pt"")"),"Eu odeio Harry Potter.")</f>
        <v>Eu odeio Harry Potter.</v>
      </c>
      <c r="B10174" s="3">
        <v>0</v>
      </c>
    </row>
    <row r="10175" ht="15.75" customHeight="1" spans="1:2">
      <c r="A10175" s="3" t="str">
        <f>IFERROR(__xludf.DUMMYFUNCTION("GOOGLETRANSLATE(A10175,""en"",""pt"")"),"Qual é o seu filme favorito Harry Potter? .- Filosofal Stone.-Câmara de Secrets.-Prisioneiro de Azkaban.-Cálice de Fire.-I como eles todos igualmente! .- Eu odeio Harry Potter e acho que isso é uma pergunta estúpida .. .")</f>
        <v>Qual é o seu filme favorito Harry Potter? .- Filosofal Stone.-Câmara de Secrets.-Prisioneiro de Azkaban.-Cálice de Fire.-I como eles todos igualmente! .- Eu odeio Harry Potter e acho que isso é uma pergunta estúpida .. .</v>
      </c>
      <c r="B10175" s="3">
        <v>0</v>
      </c>
    </row>
    <row r="10176" ht="15.75" customHeight="1" spans="1:2">
      <c r="A10176" s="3" t="str">
        <f>IFERROR(__xludf.DUMMYFUNCTION("GOOGLETRANSLATE(A10176,""en"",""pt"")"),"Estou dando-lhe o benefício da dúvida porque mesmo Harry Potter sugado para as primeiras páginas dez.")</f>
        <v>Estou dando-lhe o benefício da dúvida porque mesmo Harry Potter sugado para as primeiras páginas dez.</v>
      </c>
      <c r="B10176" s="3">
        <v>0</v>
      </c>
    </row>
    <row r="10177" ht="15.75" customHeight="1" spans="1:2">
      <c r="A10177" s="3" t="str">
        <f>IFERROR(__xludf.DUMMYFUNCTION("GOOGLETRANSLATE(A10177,""en"",""pt"")"),"eu não sei se o fato de que eu fiz em linha quizzes ou o fato de que você não gosta Harry Potter suga mais ..")</f>
        <v>eu não sei se o fato de que eu fiz em linha quizzes ou o fato de que você não gosta Harry Potter suga mais ..</v>
      </c>
      <c r="B10177" s="3">
        <v>0</v>
      </c>
    </row>
    <row r="10178" ht="15.75" customHeight="1" spans="1:2">
      <c r="A10178" s="3" t="str">
        <f>IFERROR(__xludf.DUMMYFUNCTION("GOOGLETRANSLATE(A10178,""en"",""pt"")"),"Harry Potter é uma porcaria, que costumava ser melhor.)")</f>
        <v>Harry Potter é uma porcaria, que costumava ser melhor.)</v>
      </c>
      <c r="B10178" s="3">
        <v>0</v>
      </c>
    </row>
    <row r="10179" ht="15.75" customHeight="1" spans="1:2">
      <c r="A10179" s="3" t="str">
        <f>IFERROR(__xludf.DUMMYFUNCTION("GOOGLETRANSLATE(A10179,""en"",""pt"")"),"Eu acho que eu odeio Harry Potter ..")</f>
        <v>Eu acho que eu odeio Harry Potter ..</v>
      </c>
      <c r="B10179" s="3">
        <v>0</v>
      </c>
    </row>
    <row r="10180" ht="15.75" customHeight="1" spans="1:2">
      <c r="A10180" s="3" t="str">
        <f>IFERROR(__xludf.DUMMYFUNCTION("GOOGLETRANSLATE(A10180,""en"",""pt"")"),"Harry Potter não chupar embora Sem ofensa ...")</f>
        <v>Harry Potter não chupar embora Sem ofensa ...</v>
      </c>
      <c r="B10180" s="3">
        <v>0</v>
      </c>
    </row>
    <row r="10181" ht="15.75" customHeight="1" spans="1:2">
      <c r="A10181" s="3" t="str">
        <f>IFERROR(__xludf.DUMMYFUNCTION("GOOGLETRANSLATE(A10181,""en"",""pt"")"),"Quando meu companheiro de quarto gritou: ""Eu não posso acreditar que há um grupo no Facebook called'Harry Potter é uma merda!")</f>
        <v>Quando meu companheiro de quarto gritou: "Eu não posso acreditar que há um grupo no Facebook called'Harry Potter é uma merda!</v>
      </c>
      <c r="B10181" s="3">
        <v>0</v>
      </c>
    </row>
    <row r="10182" ht="15.75" customHeight="1" spans="1:2">
      <c r="A10182" s="3" t="str">
        <f>IFERROR(__xludf.DUMMYFUNCTION("GOOGLETRANSLATE(A10182,""en"",""pt"")"),"Harry Potter vai te sugar como o resto de nós e transformá-lo em um geek, além de um nerd.")</f>
        <v>Harry Potter vai te sugar como o resto de nós e transformá-lo em um geek, além de um nerd.</v>
      </c>
      <c r="B10182" s="3">
        <v>0</v>
      </c>
    </row>
    <row r="10183" ht="15.75" customHeight="1" spans="1:2">
      <c r="A10183" s="3" t="str">
        <f>IFERROR(__xludf.DUMMYFUNCTION("GOOGLETRANSLATE(A10183,""en"",""pt"")"),"Nós asneira em Malaguena tanto que Russotti mudou para Harry Potter e eu odeio Harry Potter ...")</f>
        <v>Nós asneira em Malaguena tanto que Russotti mudou para Harry Potter e eu odeio Harry Potter ...</v>
      </c>
      <c r="B10183" s="3">
        <v>0</v>
      </c>
    </row>
    <row r="10184" ht="15.75" customHeight="1" spans="1:2">
      <c r="A10184" s="3" t="str">
        <f>IFERROR(__xludf.DUMMYFUNCTION("GOOGLETRANSLATE(A10184,""en"",""pt"")"),"O ator que interpreta Harry Potter suga o mesmo acontece com o novo Dumbledor.")</f>
        <v>O ator que interpreta Harry Potter suga o mesmo acontece com o novo Dumbledor.</v>
      </c>
      <c r="B10184" s="3">
        <v>0</v>
      </c>
    </row>
    <row r="10185" ht="15.75" customHeight="1" spans="1:2">
      <c r="A10185" s="3" t="str">
        <f>IFERROR(__xludf.DUMMYFUNCTION("GOOGLETRANSLATE(A10185,""en"",""pt"")"),"Isso vindo da pessoa que disse que Harry Potter é uma porcaria apenas algumas horas atrás?. (")</f>
        <v>Isso vindo da pessoa que disse que Harry Potter é uma porcaria apenas algumas horas atrás?. (</v>
      </c>
      <c r="B10185" s="3">
        <v>0</v>
      </c>
    </row>
    <row r="10186" ht="15.75" customHeight="1" spans="1:2">
      <c r="A10186" s="3" t="str">
        <f>IFERROR(__xludf.DUMMYFUNCTION("GOOGLETRANSLATE(A10186,""en"",""pt"")"),"Eu vou estar trabalhando Harry Potter fim de semana, que vai chupar a Suncoast, lol ....")</f>
        <v>Eu vou estar trabalhando Harry Potter fim de semana, que vai chupar a Suncoast, lol ....</v>
      </c>
      <c r="B10186" s="3">
        <v>0</v>
      </c>
    </row>
    <row r="10187" ht="15.75" customHeight="1" spans="1:2">
      <c r="A10187" s="3" t="str">
        <f>IFERROR(__xludf.DUMMYFUNCTION("GOOGLETRANSLATE(A10187,""en"",""pt"")"),"Eu odeio Harry Potter.")</f>
        <v>Eu odeio Harry Potter.</v>
      </c>
      <c r="B10187" s="3">
        <v>0</v>
      </c>
    </row>
    <row r="10188" ht="15.75" customHeight="1" spans="1:2">
      <c r="A10188" s="3" t="str">
        <f>IFERROR(__xludf.DUMMYFUNCTION("GOOGLETRANSLATE(A10188,""en"",""pt"")"),"Eu odeio Harry Potter, mas eu então vê-lo se KAT-TUN estrelou-lo!")</f>
        <v>Eu odeio Harry Potter, mas eu então vê-lo se KAT-TUN estrelou-lo!</v>
      </c>
      <c r="B10188" s="3">
        <v>0</v>
      </c>
    </row>
    <row r="10189" ht="15.75" customHeight="1" spans="1:2">
      <c r="A10189" s="3" t="str">
        <f>IFERROR(__xludf.DUMMYFUNCTION("GOOGLETRANSLATE(A10189,""en"",""pt"")"),"Ele abriu a boca para ditar sua resposta sobre ter Harry Potter chupar o pau, apenas para ser cortada por seu espelho se manifestar.")</f>
        <v>Ele abriu a boca para ditar sua resposta sobre ter Harry Potter chupar o pau, apenas para ser cortada por seu espelho se manifestar.</v>
      </c>
      <c r="B10189" s="3">
        <v>0</v>
      </c>
    </row>
    <row r="10190" ht="15.75" customHeight="1" spans="1:2">
      <c r="A10190" s="3" t="str">
        <f>IFERROR(__xludf.DUMMYFUNCTION("GOOGLETRANSLATE(A10190,""en"",""pt"")"),"Enquanto nós estamos sobre o tema, Harry Potter fede.")</f>
        <v>Enquanto nós estamos sobre o tema, Harry Potter fede.</v>
      </c>
      <c r="B10190" s="3">
        <v>0</v>
      </c>
    </row>
    <row r="10191" ht="15.75" customHeight="1" spans="1:2">
      <c r="A10191" s="3" t="str">
        <f>IFERROR(__xludf.DUMMYFUNCTION("GOOGLETRANSLATE(A10191,""en"",""pt"")"),"Eu odeio Harry Potter.")</f>
        <v>Eu odeio Harry Potter.</v>
      </c>
      <c r="B10191" s="3">
        <v>0</v>
      </c>
    </row>
    <row r="10192" ht="15.75" customHeight="1" spans="1:2">
      <c r="A10192" s="3" t="str">
        <f>IFERROR(__xludf.DUMMYFUNCTION("GOOGLETRANSLATE(A10192,""en"",""pt"")"),"Sim eca Eu odeio Harry Potter.")</f>
        <v>Sim eca Eu odeio Harry Potter.</v>
      </c>
      <c r="B10192" s="3">
        <v>0</v>
      </c>
    </row>
    <row r="10193" ht="15.75" customHeight="1" spans="1:2">
      <c r="A10193" s="3" t="str">
        <f>IFERROR(__xludf.DUMMYFUNCTION("GOOGLETRANSLATE(A10193,""en"",""pt"")"),"yeah-Odeio Harry Potter, eu vou com prazer jogar Dungeons and Dragons, mas vou bater qualquer um que me pede para assistir a um filme HP :)")</f>
        <v>yeah-Odeio Harry Potter, eu vou com prazer jogar Dungeons and Dragons, mas vou bater qualquer um que me pede para assistir a um filme HP :)</v>
      </c>
      <c r="B10193" s="3">
        <v>0</v>
      </c>
    </row>
    <row r="10194" ht="15.75" customHeight="1" spans="1:2">
      <c r="A10194" s="3" t="str">
        <f>IFERROR(__xludf.DUMMYFUNCTION("GOOGLETRANSLATE(A10194,""en"",""pt"")"),"Eu poderia odiar Harry Potter, mas amo o cheiro dele ...")</f>
        <v>Eu poderia odiar Harry Potter, mas amo o cheiro dele ...</v>
      </c>
      <c r="B10194" s="3">
        <v>0</v>
      </c>
    </row>
    <row r="10195" ht="15.75" customHeight="1" spans="1:2">
      <c r="A10195" s="3" t="str">
        <f>IFERROR(__xludf.DUMMYFUNCTION("GOOGLETRANSLATE(A10195,""en"",""pt"")"),"Eu suponho que você poderia dizer que eu odeio Harry Potter porque ele é tudo o que eu não sou.")</f>
        <v>Eu suponho que você poderia dizer que eu odeio Harry Potter porque ele é tudo o que eu não sou.</v>
      </c>
      <c r="B10195" s="3">
        <v>0</v>
      </c>
    </row>
    <row r="10196" ht="15.75" customHeight="1" spans="1:2">
      <c r="A10196" s="3" t="str">
        <f>IFERROR(__xludf.DUMMYFUNCTION("GOOGLETRANSLATE(A10196,""en"",""pt"")"),"Eu detesto Harry Potter, Senhor dos Anéis e outra coisa de que a natureza nada ...")</f>
        <v>Eu detesto Harry Potter, Senhor dos Anéis e outra coisa de que a natureza nada ...</v>
      </c>
      <c r="B10196" s="3">
        <v>0</v>
      </c>
    </row>
    <row r="10197" ht="15.75" customHeight="1" spans="1:2">
      <c r="A10197" s="3" t="str">
        <f>IFERROR(__xludf.DUMMYFUNCTION("GOOGLETRANSLATE(A10197,""en"",""pt"")"),"Harry Potter é uma porcaria Cabeludo Lontras, é para as garotinhas que não podem ler livros reais .. (")</f>
        <v>Harry Potter é uma porcaria Cabeludo Lontras, é para as garotinhas que não podem ler livros reais .. (</v>
      </c>
      <c r="B10197" s="3">
        <v>0</v>
      </c>
    </row>
    <row r="10198" ht="15.75" customHeight="1" spans="1:2">
      <c r="A10198" s="3" t="str">
        <f>IFERROR(__xludf.DUMMYFUNCTION("GOOGLETRANSLATE(A10198,""en"",""pt"")"),"Eu odeio Harry Potter, também .....")</f>
        <v>Eu odeio Harry Potter, também .....</v>
      </c>
      <c r="B10198" s="3">
        <v>0</v>
      </c>
    </row>
    <row r="10199" ht="15.75" customHeight="1" spans="1:2">
      <c r="A10199" s="3" t="str">
        <f>IFERROR(__xludf.DUMMYFUNCTION("GOOGLETRANSLATE(A10199,""en"",""pt"")"),"Harry Potter é uma porcaria .....")</f>
        <v>Harry Potter é uma porcaria .....</v>
      </c>
      <c r="B10199" s="3">
        <v>0</v>
      </c>
    </row>
    <row r="10200" ht="15.75" customHeight="1" spans="1:2">
      <c r="A10200" s="3" t="str">
        <f>IFERROR(__xludf.DUMMYFUNCTION("GOOGLETRANSLATE(A10200,""en"",""pt"")"),"Este foi um presente de alguém que não sabe que eu odeio Harry Potter ......")</f>
        <v>Este foi um presente de alguém que não sabe que eu odeio Harry Potter ......</v>
      </c>
      <c r="B10200" s="3">
        <v>0</v>
      </c>
    </row>
    <row r="10201" ht="15.75" customHeight="1" spans="1:2">
      <c r="A10201" s="3" t="str">
        <f>IFERROR(__xludf.DUMMYFUNCTION("GOOGLETRANSLATE(A10201,""en"",""pt"")"),"Em ""Harry Potter eo Prisioneiro de Azkaban"", você vê dementadores que sugam a vida e alegria fora de você e tomar a sua vontade de viver.")</f>
        <v>Em "Harry Potter eo Prisioneiro de Azkaban", você vê dementadores que sugam a vida e alegria fora de você e tomar a sua vontade de viver.</v>
      </c>
      <c r="B10201" s="3">
        <v>0</v>
      </c>
    </row>
    <row r="10202" ht="15.75" customHeight="1" spans="1:2">
      <c r="A10202" s="3" t="str">
        <f>IFERROR(__xludf.DUMMYFUNCTION("GOOGLETRANSLATE(A10202,""en"",""pt"")"),"Ele abriu a boca para ditar sua resposta sobre ter Harry Potter chupar o pau, apenas para ser cortada por seu espelho se manifestar.")</f>
        <v>Ele abriu a boca para ditar sua resposta sobre ter Harry Potter chupar o pau, apenas para ser cortada por seu espelho se manifestar.</v>
      </c>
      <c r="B10202" s="3">
        <v>0</v>
      </c>
    </row>
    <row r="10203" ht="15.75" customHeight="1" spans="1:2">
      <c r="A10203" s="3" t="str">
        <f>IFERROR(__xludf.DUMMYFUNCTION("GOOGLETRANSLATE(A10203,""en"",""pt"")"),"Harry Potter e Titanic chupar.")</f>
        <v>Harry Potter e Titanic chupar.</v>
      </c>
      <c r="B10203" s="3">
        <v>0</v>
      </c>
    </row>
    <row r="10204" ht="15.75" customHeight="1" spans="1:2">
      <c r="A10204" s="3" t="str">
        <f>IFERROR(__xludf.DUMMYFUNCTION("GOOGLETRANSLATE(A10204,""en"",""pt"")"),"eu odeio Harry Potter! ..")</f>
        <v>eu odeio Harry Potter! ..</v>
      </c>
      <c r="B10204" s="3">
        <v>0</v>
      </c>
    </row>
    <row r="10205" ht="15.75" customHeight="1" spans="1:2">
      <c r="A10205" s="3" t="str">
        <f>IFERROR(__xludf.DUMMYFUNCTION("GOOGLETRANSLATE(A10205,""en"",""pt"")"),"Mas eu odeio Harry Potter ...")</f>
        <v>Mas eu odeio Harry Potter ...</v>
      </c>
      <c r="B10205" s="3">
        <v>0</v>
      </c>
    </row>
    <row r="10206" ht="15.75" customHeight="1" spans="1:2">
      <c r="A10206" s="3" t="str">
        <f>IFERROR(__xludf.DUMMYFUNCTION("GOOGLETRANSLATE(A10206,""en"",""pt"")"),"I Durno mas eu odeio Harry Potter ..")</f>
        <v>I Durno mas eu odeio Harry Potter ..</v>
      </c>
      <c r="B10206" s="3">
        <v>0</v>
      </c>
    </row>
    <row r="10207" ht="15.75" customHeight="1" spans="1:2">
      <c r="A10207" s="3" t="str">
        <f>IFERROR(__xludf.DUMMYFUNCTION("GOOGLETRANSLATE(A10207,""en"",""pt"")"),"Eu odeio Harry Potter ...")</f>
        <v>Eu odeio Harry Potter ...</v>
      </c>
      <c r="B10207" s="3">
        <v>0</v>
      </c>
    </row>
    <row r="10208" ht="15.75" customHeight="1" spans="1:2">
      <c r="A10208" s="3" t="str">
        <f>IFERROR(__xludf.DUMMYFUNCTION("GOOGLETRANSLATE(A10208,""en"",""pt"")"),"Harry Potter é uma porcaria.")</f>
        <v>Harry Potter é uma porcaria.</v>
      </c>
      <c r="B10208" s="3">
        <v>0</v>
      </c>
    </row>
    <row r="10209" ht="15.75" customHeight="1" spans="1:2">
      <c r="A10209" s="3" t="str">
        <f>IFERROR(__xludf.DUMMYFUNCTION("GOOGLETRANSLATE(A10209,""en"",""pt"")"),"Eu odeio Harry Potter ...")</f>
        <v>Eu odeio Harry Potter ...</v>
      </c>
      <c r="B10209" s="3">
        <v>0</v>
      </c>
    </row>
    <row r="10210" ht="15.75" customHeight="1" spans="1:2">
      <c r="A10210" s="3" t="str">
        <f>IFERROR(__xludf.DUMMYFUNCTION("GOOGLETRANSLATE(A10210,""en"",""pt"")"),"sem ofensa, mas eu odeio Harry Potter, mas whatev.")</f>
        <v>sem ofensa, mas eu odeio Harry Potter, mas whatev.</v>
      </c>
      <c r="B10210" s="3">
        <v>0</v>
      </c>
    </row>
    <row r="10211" ht="15.75" customHeight="1" spans="1:2">
      <c r="A10211" s="3" t="str">
        <f>IFERROR(__xludf.DUMMYFUNCTION("GOOGLETRANSLATE(A10211,""en"",""pt"")"),"Eu odeio Harry Potter ..")</f>
        <v>Eu odeio Harry Potter ..</v>
      </c>
      <c r="B10211" s="3">
        <v>0</v>
      </c>
    </row>
    <row r="10212" ht="15.75" customHeight="1" spans="1:2">
      <c r="A10212" s="3" t="str">
        <f>IFERROR(__xludf.DUMMYFUNCTION("GOOGLETRANSLATE(A10212,""en"",""pt"")"),"Harry Potter - os outros dois chupar.")</f>
        <v>Harry Potter - os outros dois chupar.</v>
      </c>
      <c r="B10212" s="3">
        <v>0</v>
      </c>
    </row>
    <row r="10213" ht="15.75" customHeight="1" spans="1:2">
      <c r="A10213" s="3" t="str">
        <f>IFERROR(__xludf.DUMMYFUNCTION("GOOGLETRANSLATE(A10213,""en"",""pt"")"),"Eu costumava odiar Harry Potter ...")</f>
        <v>Eu costumava odiar Harry Potter ...</v>
      </c>
      <c r="B10213" s="3">
        <v>0</v>
      </c>
    </row>
    <row r="10214" ht="15.75" customHeight="1" spans="1:2">
      <c r="A10214" s="3" t="str">
        <f>IFERROR(__xludf.DUMMYFUNCTION("GOOGLETRANSLATE(A10214,""en"",""pt"")"),"Harry Potter estava chupando o pau.")</f>
        <v>Harry Potter estava chupando o pau.</v>
      </c>
      <c r="B10214" s="3">
        <v>0</v>
      </c>
    </row>
    <row r="10215" ht="15.75" customHeight="1" spans="1:2">
      <c r="A10215" s="3" t="str">
        <f>IFERROR(__xludf.DUMMYFUNCTION("GOOGLETRANSLATE(A10215,""en"",""pt"")"),"e eu odeio Harry Potter.")</f>
        <v>e eu odeio Harry Potter.</v>
      </c>
      <c r="B10215" s="3">
        <v>0</v>
      </c>
    </row>
    <row r="10216" ht="15.75" customHeight="1" spans="1:2">
      <c r="A10216" s="3" t="str">
        <f>IFERROR(__xludf.DUMMYFUNCTION("GOOGLETRANSLATE(A10216,""en"",""pt"")"),"homem, foi horrível (e sim, eu sou um grande perdedor Harry Potter).")</f>
        <v>homem, foi horrível (e sim, eu sou um grande perdedor Harry Potter).</v>
      </c>
      <c r="B10216" s="3">
        <v>0</v>
      </c>
    </row>
    <row r="10217" ht="15.75" customHeight="1" spans="1:2">
      <c r="A10217" s="3" t="str">
        <f>IFERROR(__xludf.DUMMYFUNCTION("GOOGLETRANSLATE(A10217,""en"",""pt"")"),"Eu odeio Harry Potter ainda mais agora. &gt;:")</f>
        <v>Eu odeio Harry Potter ainda mais agora. &gt;:</v>
      </c>
      <c r="B10217" s="3">
        <v>0</v>
      </c>
    </row>
    <row r="10218" ht="15.75" customHeight="1" spans="1:2">
      <c r="A10218" s="3" t="str">
        <f>IFERROR(__xludf.DUMMYFUNCTION("GOOGLETRANSLATE(A10218,""en"",""pt"")"),"Agora eu odeio Harry Potter, e quando disse isso, eu sabia que eles estavam ficando para mim.")</f>
        <v>Agora eu odeio Harry Potter, e quando disse isso, eu sabia que eles estavam ficando para mim.</v>
      </c>
      <c r="B10218" s="3">
        <v>0</v>
      </c>
    </row>
    <row r="10219" ht="15.75" customHeight="1" spans="1:2">
      <c r="A10219" s="3" t="str">
        <f>IFERROR(__xludf.DUMMYFUNCTION("GOOGLETRANSLATE(A10219,""en"",""pt"")"),"Harry Potter sugado casa hahahaha Im feliz que ele foi enviado, mas todos eles sugado Eu não gosto de 50 de musiclove ..")</f>
        <v>Harry Potter sugado casa hahahaha Im feliz que ele foi enviado, mas todos eles sugado Eu não gosto de 50 de musiclove ..</v>
      </c>
      <c r="B10219" s="3">
        <v>0</v>
      </c>
    </row>
    <row r="10220" ht="15.75" customHeight="1" spans="1:2">
      <c r="A10220" s="3" t="str">
        <f>IFERROR(__xludf.DUMMYFUNCTION("GOOGLETRANSLATE(A10220,""en"",""pt"")"),"Cristal era tudo, ""Oh, meu Deus, eu odeio Harry Potter e eu realmente não estou em cena.")</f>
        <v>Cristal era tudo, "Oh, meu Deus, eu odeio Harry Potter e eu realmente não estou em cena.</v>
      </c>
      <c r="B10220" s="3">
        <v>0</v>
      </c>
    </row>
    <row r="10221" ht="15.75" customHeight="1" spans="1:2">
      <c r="A10221" s="3" t="str">
        <f>IFERROR(__xludf.DUMMYFUNCTION("GOOGLETRANSLATE(A10221,""en"",""pt"")"),"Harry Potter é uma porcaria.")</f>
        <v>Harry Potter é uma porcaria.</v>
      </c>
      <c r="B10221" s="3">
        <v>0</v>
      </c>
    </row>
    <row r="10222" ht="15.75" customHeight="1" spans="1:2">
      <c r="A10222" s="3" t="str">
        <f>IFERROR(__xludf.DUMMYFUNCTION("GOOGLETRANSLATE(A10222,""en"",""pt"")"),"Eu odeio Harry Potter ...")</f>
        <v>Eu odeio Harry Potter ...</v>
      </c>
      <c r="B10222" s="3">
        <v>0</v>
      </c>
    </row>
    <row r="10223" ht="15.75" customHeight="1" spans="1:2">
      <c r="A10223" s="3" t="str">
        <f>IFERROR(__xludf.DUMMYFUNCTION("GOOGLETRANSLATE(A10223,""en"",""pt"")"),"Kinda como as coisas fora Harry Potter que lhe dão o beijo da morte e sugar sua alma, condeming que você ande em torno de sempre em uma concha vazia de um corpo ...")</f>
        <v>Kinda como as coisas fora Harry Potter que lhe dão o beijo da morte e sugar sua alma, condeming que você ande em torno de sempre em uma concha vazia de um corpo ...</v>
      </c>
      <c r="B10223" s="3">
        <v>0</v>
      </c>
    </row>
    <row r="10224" ht="15.75" customHeight="1" spans="1:2">
      <c r="A10224" s="3" t="str">
        <f>IFERROR(__xludf.DUMMYFUNCTION("GOOGLETRANSLATE(A10224,""en"",""pt"")"),"huh eu odeio Harry Potter arrependido.")</f>
        <v>huh eu odeio Harry Potter arrependido.</v>
      </c>
      <c r="B10224" s="3">
        <v>0</v>
      </c>
    </row>
    <row r="10225" ht="15.75" customHeight="1" spans="1:2">
      <c r="A10225" s="3" t="str">
        <f>IFERROR(__xludf.DUMMYFUNCTION("GOOGLETRANSLATE(A10225,""en"",""pt"")"),"Odeio feijão Harry Potter geléia ...")</f>
        <v>Odeio feijão Harry Potter geléia ...</v>
      </c>
      <c r="B10225" s="3">
        <v>0</v>
      </c>
    </row>
    <row r="10226" ht="15.75" customHeight="1" spans="1:2">
      <c r="A10226" s="3" t="str">
        <f>IFERROR(__xludf.DUMMYFUNCTION("GOOGLETRANSLATE(A10226,""en"",""pt"")"),"Eu odeio Harry Potter.")</f>
        <v>Eu odeio Harry Potter.</v>
      </c>
      <c r="B10226" s="3">
        <v>0</v>
      </c>
    </row>
    <row r="10227" ht="15.75" customHeight="1" spans="1:2">
      <c r="A10227" s="3" t="str">
        <f>IFERROR(__xludf.DUMMYFUNCTION("GOOGLETRANSLATE(A10227,""en"",""pt"")"),"Eu não entendo como isso pic é engraçado, mas Harry Potter é uma porcaria qualquer maneira.")</f>
        <v>Eu não entendo como isso pic é engraçado, mas Harry Potter é uma porcaria qualquer maneira.</v>
      </c>
      <c r="B10227" s="3">
        <v>0</v>
      </c>
    </row>
    <row r="10228" ht="15.75" customHeight="1" spans="1:2">
      <c r="A10228" s="3" t="str">
        <f>IFERROR(__xludf.DUMMYFUNCTION("GOOGLETRANSLATE(A10228,""en"",""pt"")"),"Harry Potter suga bolas de Frodo, e vice-versa.")</f>
        <v>Harry Potter suga bolas de Frodo, e vice-versa.</v>
      </c>
      <c r="B10228" s="3">
        <v>0</v>
      </c>
    </row>
    <row r="10229" ht="15.75" customHeight="1" spans="1:2">
      <c r="A10229" s="3" t="str">
        <f>IFERROR(__xludf.DUMMYFUNCTION("GOOGLETRANSLATE(A10229,""en"",""pt"")"),"Eu te odeio Harry Potter, você porra whiny pouco foda goth ...")</f>
        <v>Eu te odeio Harry Potter, você porra whiny pouco foda goth ...</v>
      </c>
      <c r="B10229" s="3">
        <v>0</v>
      </c>
    </row>
    <row r="10230" ht="15.75" customHeight="1" spans="1:2">
      <c r="A10230" s="3" t="str">
        <f>IFERROR(__xludf.DUMMYFUNCTION("GOOGLETRANSLATE(A10230,""en"",""pt"")"),"dia Então Harry Potter foi cancelado, ou melhor, adiada, o que é uma porcaria.")</f>
        <v>dia Então Harry Potter foi cancelado, ou melhor, adiada, o que é uma porcaria.</v>
      </c>
      <c r="B10230" s="3">
        <v>0</v>
      </c>
    </row>
    <row r="10231" ht="15.75" customHeight="1" spans="1:2">
      <c r="A10231" s="3" t="str">
        <f>IFERROR(__xludf.DUMMYFUNCTION("GOOGLETRANSLATE(A10231,""en"",""pt"")"),"â € œ Eu te odeio Harry Potter, â € Hermione disse infantilmente ...")</f>
        <v>â € œ Eu te odeio Harry Potter, â € Hermione disse infantilmente ...</v>
      </c>
      <c r="B10231" s="3">
        <v>0</v>
      </c>
    </row>
    <row r="10232" ht="15.75" customHeight="1" spans="1:2">
      <c r="A10232" s="3" t="str">
        <f>IFERROR(__xludf.DUMMYFUNCTION("GOOGLETRANSLATE(A10232,""en"",""pt"")"),"Este questionário é uma merda e Harry Potter suga ok bye ..")</f>
        <v>Este questionário é uma merda e Harry Potter suga ok bye ..</v>
      </c>
      <c r="B10232" s="3">
        <v>0</v>
      </c>
    </row>
    <row r="10233" ht="15.75" customHeight="1" spans="1:2">
      <c r="A10233" s="3" t="str">
        <f>IFERROR(__xludf.DUMMYFUNCTION("GOOGLETRANSLATE(A10233,""en"",""pt"")"),"Eu odeio Harry Potter, é retarted, gay e estúpido e só há um cara preta ...")</f>
        <v>Eu odeio Harry Potter, é retarted, gay e estúpido e só há um cara preta ...</v>
      </c>
      <c r="B10233" s="3">
        <v>0</v>
      </c>
    </row>
    <row r="10234" ht="15.75" customHeight="1" spans="1:2">
      <c r="A10234" s="3" t="str">
        <f>IFERROR(__xludf.DUMMYFUNCTION("GOOGLETRANSLATE(A10234,""en"",""pt"")"),"É apenas mim, ou faz Harry Potter chupar? ...")</f>
        <v>É apenas mim, ou faz Harry Potter chupar? ...</v>
      </c>
      <c r="B10234" s="3">
        <v>0</v>
      </c>
    </row>
    <row r="10235" ht="15.75" customHeight="1" spans="1:2">
      <c r="A10235" s="3" t="str">
        <f>IFERROR(__xludf.DUMMYFUNCTION("GOOGLETRANSLATE(A10235,""en"",""pt"")"),"Sempre sabe o que eu quero, não cara louco, odeia Harry Potter ..")</f>
        <v>Sempre sabe o que eu quero, não cara louco, odeia Harry Potter ..</v>
      </c>
      <c r="B10235" s="3">
        <v>0</v>
      </c>
    </row>
    <row r="10236" ht="15.75" customHeight="1" spans="1:2">
      <c r="A10236" s="3" t="str">
        <f>IFERROR(__xludf.DUMMYFUNCTION("GOOGLETRANSLATE(A10236,""en"",""pt"")"),"Eu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36" s="3">
        <v>0</v>
      </c>
    </row>
    <row r="10237" ht="15.75" customHeight="1" spans="1:2">
      <c r="A10237" s="3" t="str">
        <f>IFERROR(__xludf.DUMMYFUNCTION("GOOGLETRANSLATE(A10237,""en"",""pt"")"),"Eu odeio Harry Potter.")</f>
        <v>Eu odeio Harry Potter.</v>
      </c>
      <c r="B10237" s="3">
        <v>0</v>
      </c>
    </row>
    <row r="10238" ht="15.75" customHeight="1" spans="1:2">
      <c r="A10238" s="3" t="str">
        <f>IFERROR(__xludf.DUMMYFUNCTION("GOOGLETRANSLATE(A10238,""en"",""pt"")"),"Não porque eu odeio Harry Potter, mas porque eu sou o tipo de pessoa que gosta quando as principais matrizes de caracteres.")</f>
        <v>Não porque eu odeio Harry Potter, mas porque eu sou o tipo de pessoa que gosta quando as principais matrizes de caracteres.</v>
      </c>
      <c r="B10238" s="3">
        <v>0</v>
      </c>
    </row>
    <row r="10239" ht="15.75" customHeight="1" spans="1:2">
      <c r="A10239" s="3" t="str">
        <f>IFERROR(__xludf.DUMMYFUNCTION("GOOGLETRANSLATE(A10239,""en"",""pt"")"),"Harry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39" s="3">
        <v>0</v>
      </c>
    </row>
    <row r="10240" ht="15.75" customHeight="1" spans="1:2">
      <c r="A10240" s="3" t="str">
        <f>IFERROR(__xludf.DUMMYFUNCTION("GOOGLETRANSLATE(A10240,""en"",""pt"")"),"Estes filmes de Harry Potter realmente chupar.")</f>
        <v>Estes filmes de Harry Potter realmente chupar.</v>
      </c>
      <c r="B10240" s="3">
        <v>0</v>
      </c>
    </row>
    <row r="10241" ht="15.75" customHeight="1" spans="1:2">
      <c r="A10241" s="3" t="str">
        <f>IFERROR(__xludf.DUMMYFUNCTION("GOOGLETRANSLATE(A10241,""en"",""pt"")"),"Eu odeio Harry Potter, que daniel wotshisface precisa de um tapa porra ...")</f>
        <v>Eu odeio Harry Potter, que daniel wotshisface precisa de um tapa porra ...</v>
      </c>
      <c r="B10241" s="3">
        <v>0</v>
      </c>
    </row>
    <row r="10242" ht="15.75" customHeight="1" spans="1:2">
      <c r="A10242" s="3" t="str">
        <f>IFERROR(__xludf.DUMMYFUNCTION("GOOGLETRANSLATE(A10242,""en"",""pt"")"),"Este questionário é uma merda e Harry Potter suga ok bye ..")</f>
        <v>Este questionário é uma merda e Harry Potter suga ok bye ..</v>
      </c>
      <c r="B10242" s="3">
        <v>0</v>
      </c>
    </row>
    <row r="10243" ht="15.75" customHeight="1" spans="1:2">
      <c r="A10243" s="3" t="str">
        <f>IFERROR(__xludf.DUMMYFUNCTION("GOOGLETRANSLATE(A10243,""en"",""pt"")"),"Eu odeio Harry Potter, é retarted, gay e estúpido e só há um cara preta ...")</f>
        <v>Eu odeio Harry Potter, é retarted, gay e estúpido e só há um cara preta ...</v>
      </c>
      <c r="B10243" s="3">
        <v>0</v>
      </c>
    </row>
    <row r="10244" ht="15.75" customHeight="1" spans="1:2">
      <c r="A10244" s="3" t="str">
        <f>IFERROR(__xludf.DUMMYFUNCTION("GOOGLETRANSLATE(A10244,""en"",""pt"")"),"É apenas mim, ou faz Harry Potter chupar? ...")</f>
        <v>É apenas mim, ou faz Harry Potter chupar? ...</v>
      </c>
      <c r="B10244" s="3">
        <v>0</v>
      </c>
    </row>
    <row r="10245" ht="15.75" customHeight="1" spans="1:2">
      <c r="A10245" s="3" t="str">
        <f>IFERROR(__xludf.DUMMYFUNCTION("GOOGLETRANSLATE(A10245,""en"",""pt"")"),"Sempre sabe o que eu quero, não cara louco, odeia Harry Potter ..")</f>
        <v>Sempre sabe o que eu quero, não cara louco, odeia Harry Potter ..</v>
      </c>
      <c r="B10245" s="3">
        <v>0</v>
      </c>
    </row>
    <row r="10246" ht="15.75" customHeight="1" spans="1:2">
      <c r="A10246" s="3" t="str">
        <f>IFERROR(__xludf.DUMMYFUNCTION("GOOGLETRANSLATE(A10246,""en"",""pt"")"),"Eu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46" s="3">
        <v>0</v>
      </c>
    </row>
    <row r="10247" ht="15.75" customHeight="1" spans="1:2">
      <c r="A10247" s="3" t="str">
        <f>IFERROR(__xludf.DUMMYFUNCTION("GOOGLETRANSLATE(A10247,""en"",""pt"")"),"Eu odeio Harry Potter.")</f>
        <v>Eu odeio Harry Potter.</v>
      </c>
      <c r="B10247" s="3">
        <v>0</v>
      </c>
    </row>
    <row r="10248" ht="15.75" customHeight="1" spans="1:2">
      <c r="A10248" s="3" t="str">
        <f>IFERROR(__xludf.DUMMYFUNCTION("GOOGLETRANSLATE(A10248,""en"",""pt"")"),"Não porque eu odeio Harry Potter, mas porque eu sou o tipo de pessoa que gosta quando as principais matrizes de caracteres.")</f>
        <v>Não porque eu odeio Harry Potter, mas porque eu sou o tipo de pessoa que gosta quando as principais matrizes de caracteres.</v>
      </c>
      <c r="B10248" s="3">
        <v>0</v>
      </c>
    </row>
    <row r="10249" ht="15.75" customHeight="1" spans="1:2">
      <c r="A10249" s="3" t="str">
        <f>IFERROR(__xludf.DUMMYFUNCTION("GOOGLETRANSLATE(A10249,""en"",""pt"")"),"Harry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49" s="3">
        <v>0</v>
      </c>
    </row>
    <row r="10250" ht="15.75" customHeight="1" spans="1:2">
      <c r="A10250" s="3" t="str">
        <f>IFERROR(__xludf.DUMMYFUNCTION("GOOGLETRANSLATE(A10250,""en"",""pt"")"),"Estes filmes de Harry Potter realmente chupar.")</f>
        <v>Estes filmes de Harry Potter realmente chupar.</v>
      </c>
      <c r="B10250" s="3">
        <v>0</v>
      </c>
    </row>
    <row r="10251" ht="15.75" customHeight="1" spans="1:2">
      <c r="A10251" s="3" t="str">
        <f>IFERROR(__xludf.DUMMYFUNCTION("GOOGLETRANSLATE(A10251,""en"",""pt"")"),"Eu odeio Harry Potter, que daniel wotshisface precisa de um tapa porra ...")</f>
        <v>Eu odeio Harry Potter, que daniel wotshisface precisa de um tapa porra ...</v>
      </c>
      <c r="B10251" s="3">
        <v>0</v>
      </c>
    </row>
    <row r="10252" ht="15.75" customHeight="1" spans="1:2">
      <c r="A10252" s="3" t="str">
        <f>IFERROR(__xludf.DUMMYFUNCTION("GOOGLETRANSLATE(A10252,""en"",""pt"")"),"Este questionário é uma merda e Harry Potter suga ok bye ..")</f>
        <v>Este questionário é uma merda e Harry Potter suga ok bye ..</v>
      </c>
      <c r="B10252" s="3">
        <v>0</v>
      </c>
    </row>
    <row r="10253" ht="15.75" customHeight="1" spans="1:2">
      <c r="A10253" s="3" t="str">
        <f>IFERROR(__xludf.DUMMYFUNCTION("GOOGLETRANSLATE(A10253,""en"",""pt"")"),"Eu odeio Harry Potter, é retarted, gay e estúpido e só há um cara preta ...")</f>
        <v>Eu odeio Harry Potter, é retarted, gay e estúpido e só há um cara preta ...</v>
      </c>
      <c r="B10253" s="3">
        <v>0</v>
      </c>
    </row>
    <row r="10254" ht="15.75" customHeight="1" spans="1:2">
      <c r="A10254" s="3" t="str">
        <f>IFERROR(__xludf.DUMMYFUNCTION("GOOGLETRANSLATE(A10254,""en"",""pt"")"),"É apenas mim, ou faz Harry Potter chupar? ...")</f>
        <v>É apenas mim, ou faz Harry Potter chupar? ...</v>
      </c>
      <c r="B10254" s="3">
        <v>0</v>
      </c>
    </row>
    <row r="10255" ht="15.75" customHeight="1" spans="1:2">
      <c r="A10255" s="3" t="str">
        <f>IFERROR(__xludf.DUMMYFUNCTION("GOOGLETRANSLATE(A10255,""en"",""pt"")"),"Sempre sabe o que eu quero, não cara louco, odeia Harry Potter ..")</f>
        <v>Sempre sabe o que eu quero, não cara louco, odeia Harry Potter ..</v>
      </c>
      <c r="B10255" s="3">
        <v>0</v>
      </c>
    </row>
    <row r="10256" ht="15.75" customHeight="1" spans="1:2">
      <c r="A10256" s="3" t="str">
        <f>IFERROR(__xludf.DUMMYFUNCTION("GOOGLETRANSLATE(A10256,""en"",""pt"")"),"Eu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56" s="3">
        <v>0</v>
      </c>
    </row>
    <row r="10257" ht="15.75" customHeight="1" spans="1:2">
      <c r="A10257" s="3" t="str">
        <f>IFERROR(__xludf.DUMMYFUNCTION("GOOGLETRANSLATE(A10257,""en"",""pt"")"),"Eu odeio Harry Potter.")</f>
        <v>Eu odeio Harry Potter.</v>
      </c>
      <c r="B10257" s="3">
        <v>0</v>
      </c>
    </row>
    <row r="10258" ht="15.75" customHeight="1" spans="1:2">
      <c r="A10258" s="3" t="str">
        <f>IFERROR(__xludf.DUMMYFUNCTION("GOOGLETRANSLATE(A10258,""en"",""pt"")"),"Não porque eu odeio Harry Potter, mas porque eu sou o tipo de pessoa que gosta quando as principais matrizes de caracteres.")</f>
        <v>Não porque eu odeio Harry Potter, mas porque eu sou o tipo de pessoa que gosta quando as principais matrizes de caracteres.</v>
      </c>
      <c r="B10258" s="3">
        <v>0</v>
      </c>
    </row>
    <row r="10259" ht="15.75" customHeight="1" spans="1:2">
      <c r="A10259" s="3" t="str">
        <f>IFERROR(__xludf.DUMMYFUNCTION("GOOGLETRANSLATE(A10259,""en"",""pt"")"),"Harry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59" s="3">
        <v>0</v>
      </c>
    </row>
    <row r="10260" ht="15.75" customHeight="1" spans="1:2">
      <c r="A10260" s="3" t="str">
        <f>IFERROR(__xludf.DUMMYFUNCTION("GOOGLETRANSLATE(A10260,""en"",""pt"")"),"Estes filmes de Harry Potter realmente chupar.")</f>
        <v>Estes filmes de Harry Potter realmente chupar.</v>
      </c>
      <c r="B10260" s="3">
        <v>0</v>
      </c>
    </row>
    <row r="10261" ht="15.75" customHeight="1" spans="1:2">
      <c r="A10261" s="3" t="str">
        <f>IFERROR(__xludf.DUMMYFUNCTION("GOOGLETRANSLATE(A10261,""en"",""pt"")"),"Eu odeio Harry Potter, que daniel wotshisface precisa de um tapa porra ...")</f>
        <v>Eu odeio Harry Potter, que daniel wotshisface precisa de um tapa porra ...</v>
      </c>
      <c r="B10261" s="3">
        <v>0</v>
      </c>
    </row>
    <row r="10262" ht="15.75" customHeight="1" spans="1:2">
      <c r="A10262" s="3" t="str">
        <f>IFERROR(__xludf.DUMMYFUNCTION("GOOGLETRANSLATE(A10262,""en"",""pt"")"),"Este questionário é uma merda e Harry Potter suga ok bye ..")</f>
        <v>Este questionário é uma merda e Harry Potter suga ok bye ..</v>
      </c>
      <c r="B10262" s="3">
        <v>0</v>
      </c>
    </row>
    <row r="10263" ht="15.75" customHeight="1" spans="1:2">
      <c r="A10263" s="3" t="str">
        <f>IFERROR(__xludf.DUMMYFUNCTION("GOOGLETRANSLATE(A10263,""en"",""pt"")"),"Eu odeio Harry Potter, é retarted, gay e estúpido e só há um cara preta ...")</f>
        <v>Eu odeio Harry Potter, é retarted, gay e estúpido e só há um cara preta ...</v>
      </c>
      <c r="B10263" s="3">
        <v>0</v>
      </c>
    </row>
    <row r="10264" ht="15.75" customHeight="1" spans="1:2">
      <c r="A10264" s="3" t="str">
        <f>IFERROR(__xludf.DUMMYFUNCTION("GOOGLETRANSLATE(A10264,""en"",""pt"")"),"É apenas mim, ou faz Harry Potter chupar? ...")</f>
        <v>É apenas mim, ou faz Harry Potter chupar? ...</v>
      </c>
      <c r="B10264" s="3">
        <v>0</v>
      </c>
    </row>
    <row r="10265" ht="15.75" customHeight="1" spans="1:2">
      <c r="A10265" s="3" t="str">
        <f>IFERROR(__xludf.DUMMYFUNCTION("GOOGLETRANSLATE(A10265,""en"",""pt"")"),"Sempre sabe o que eu quero, não cara louco, odeia Harry Potter ..")</f>
        <v>Sempre sabe o que eu quero, não cara louco, odeia Harry Potter ..</v>
      </c>
      <c r="B10265" s="3">
        <v>0</v>
      </c>
    </row>
    <row r="10266" ht="15.75" customHeight="1" spans="1:2">
      <c r="A10266" s="3" t="str">
        <f>IFERROR(__xludf.DUMMYFUNCTION("GOOGLETRANSLATE(A10266,""en"",""pt"")"),"Eu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66" s="3">
        <v>0</v>
      </c>
    </row>
    <row r="10267" ht="15.75" customHeight="1" spans="1:2">
      <c r="A10267" s="3" t="str">
        <f>IFERROR(__xludf.DUMMYFUNCTION("GOOGLETRANSLATE(A10267,""en"",""pt"")"),"Eu odeio Harry Potter.")</f>
        <v>Eu odeio Harry Potter.</v>
      </c>
      <c r="B10267" s="3">
        <v>0</v>
      </c>
    </row>
    <row r="10268" ht="15.75" customHeight="1" spans="1:2">
      <c r="A10268" s="3" t="str">
        <f>IFERROR(__xludf.DUMMYFUNCTION("GOOGLETRANSLATE(A10268,""en"",""pt"")"),"Não porque eu odeio Harry Potter, mas porque eu sou o tipo de pessoa que gosta quando as principais matrizes de caracteres.")</f>
        <v>Não porque eu odeio Harry Potter, mas porque eu sou o tipo de pessoa que gosta quando as principais matrizes de caracteres.</v>
      </c>
      <c r="B10268" s="3">
        <v>0</v>
      </c>
    </row>
    <row r="10269" ht="15.75" customHeight="1" spans="1:2">
      <c r="A10269" s="3" t="str">
        <f>IFERROR(__xludf.DUMMYFUNCTION("GOOGLETRANSLATE(A10269,""en"",""pt"")"),"Harry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69" s="3">
        <v>0</v>
      </c>
    </row>
    <row r="10270" ht="15.75" customHeight="1" spans="1:2">
      <c r="A10270" s="3" t="str">
        <f>IFERROR(__xludf.DUMMYFUNCTION("GOOGLETRANSLATE(A10270,""en"",""pt"")"),"Estes filmes de Harry Potter realmente chupar.")</f>
        <v>Estes filmes de Harry Potter realmente chupar.</v>
      </c>
      <c r="B10270" s="3">
        <v>0</v>
      </c>
    </row>
    <row r="10271" ht="15.75" customHeight="1" spans="1:2">
      <c r="A10271" s="3" t="str">
        <f>IFERROR(__xludf.DUMMYFUNCTION("GOOGLETRANSLATE(A10271,""en"",""pt"")"),"Eu odeio Harry Potter, que daniel wotshisface precisa de um tapa porra ...")</f>
        <v>Eu odeio Harry Potter, que daniel wotshisface precisa de um tapa porra ...</v>
      </c>
      <c r="B10271" s="3">
        <v>0</v>
      </c>
    </row>
    <row r="10272" ht="15.75" customHeight="1" spans="1:2">
      <c r="A10272" s="3" t="str">
        <f>IFERROR(__xludf.DUMMYFUNCTION("GOOGLETRANSLATE(A10272,""en"",""pt"")"),"Este questionário é uma merda e Harry Potter suga ok bye ..")</f>
        <v>Este questionário é uma merda e Harry Potter suga ok bye ..</v>
      </c>
      <c r="B10272" s="3">
        <v>0</v>
      </c>
    </row>
    <row r="10273" ht="15.75" customHeight="1" spans="1:2">
      <c r="A10273" s="3" t="str">
        <f>IFERROR(__xludf.DUMMYFUNCTION("GOOGLETRANSLATE(A10273,""en"",""pt"")"),"Eu odeio Harry Potter, é retarted, gay e estúpido e só há um cara preta ...")</f>
        <v>Eu odeio Harry Potter, é retarted, gay e estúpido e só há um cara preta ...</v>
      </c>
      <c r="B10273" s="3">
        <v>0</v>
      </c>
    </row>
    <row r="10274" ht="15.75" customHeight="1" spans="1:2">
      <c r="A10274" s="3" t="str">
        <f>IFERROR(__xludf.DUMMYFUNCTION("GOOGLETRANSLATE(A10274,""en"",""pt"")"),"É apenas mim, ou faz Harry Potter chupar? ...")</f>
        <v>É apenas mim, ou faz Harry Potter chupar? ...</v>
      </c>
      <c r="B10274" s="3">
        <v>0</v>
      </c>
    </row>
    <row r="10275" ht="15.75" customHeight="1" spans="1:2">
      <c r="A10275" s="3" t="str">
        <f>IFERROR(__xludf.DUMMYFUNCTION("GOOGLETRANSLATE(A10275,""en"",""pt"")"),"Sempre sabe o que eu quero, não cara louco, odeia Harry Potter ..")</f>
        <v>Sempre sabe o que eu quero, não cara louco, odeia Harry Potter ..</v>
      </c>
      <c r="B10275" s="3">
        <v>0</v>
      </c>
    </row>
    <row r="10276" ht="15.75" customHeight="1" spans="1:2">
      <c r="A10276" s="3" t="str">
        <f>IFERROR(__xludf.DUMMYFUNCTION("GOOGLETRANSLATE(A10276,""en"",""pt"")"),"Eu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76" s="3">
        <v>0</v>
      </c>
    </row>
    <row r="10277" ht="15.75" customHeight="1" spans="1:2">
      <c r="A10277" s="3" t="str">
        <f>IFERROR(__xludf.DUMMYFUNCTION("GOOGLETRANSLATE(A10277,""en"",""pt"")"),"Eu odeio Harry Potter.")</f>
        <v>Eu odeio Harry Potter.</v>
      </c>
      <c r="B10277" s="3">
        <v>0</v>
      </c>
    </row>
    <row r="10278" ht="15.75" customHeight="1" spans="1:2">
      <c r="A10278" s="3" t="str">
        <f>IFERROR(__xludf.DUMMYFUNCTION("GOOGLETRANSLATE(A10278,""en"",""pt"")"),"Não porque eu odeio Harry Potter, mas porque eu sou o tipo de pessoa que gosta quando as principais matrizes de caracteres.")</f>
        <v>Não porque eu odeio Harry Potter, mas porque eu sou o tipo de pessoa que gosta quando as principais matrizes de caracteres.</v>
      </c>
      <c r="B10278" s="3">
        <v>0</v>
      </c>
    </row>
    <row r="10279" ht="15.75" customHeight="1" spans="1:2">
      <c r="A10279" s="3" t="str">
        <f>IFERROR(__xludf.DUMMYFUNCTION("GOOGLETRANSLATE(A10279,""en"",""pt"")"),"Harry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79" s="3">
        <v>0</v>
      </c>
    </row>
    <row r="10280" ht="15.75" customHeight="1" spans="1:2">
      <c r="A10280" s="3" t="str">
        <f>IFERROR(__xludf.DUMMYFUNCTION("GOOGLETRANSLATE(A10280,""en"",""pt"")"),"Estes filmes de Harry Potter realmente chupar.")</f>
        <v>Estes filmes de Harry Potter realmente chupar.</v>
      </c>
      <c r="B10280" s="3">
        <v>0</v>
      </c>
    </row>
    <row r="10281" ht="15.75" customHeight="1" spans="1:2">
      <c r="A10281" s="3" t="str">
        <f>IFERROR(__xludf.DUMMYFUNCTION("GOOGLETRANSLATE(A10281,""en"",""pt"")"),"Eu odeio Harry Potter, que daniel wotshisface precisa de um tapa porra ...")</f>
        <v>Eu odeio Harry Potter, que daniel wotshisface precisa de um tapa porra ...</v>
      </c>
      <c r="B10281" s="3">
        <v>0</v>
      </c>
    </row>
    <row r="10282" ht="15.75" customHeight="1" spans="1:2">
      <c r="A10282" s="3" t="str">
        <f>IFERROR(__xludf.DUMMYFUNCTION("GOOGLETRANSLATE(A10282,""en"",""pt"")"),"Este questionário é uma merda e Harry Potter suga ok bye ..")</f>
        <v>Este questionário é uma merda e Harry Potter suga ok bye ..</v>
      </c>
      <c r="B10282" s="3">
        <v>0</v>
      </c>
    </row>
    <row r="10283" ht="15.75" customHeight="1" spans="1:2">
      <c r="A10283" s="3" t="str">
        <f>IFERROR(__xludf.DUMMYFUNCTION("GOOGLETRANSLATE(A10283,""en"",""pt"")"),"Eu odeio Harry Potter, é retarted, gay e estúpido e só há um cara preta ...")</f>
        <v>Eu odeio Harry Potter, é retarted, gay e estúpido e só há um cara preta ...</v>
      </c>
      <c r="B10283" s="3">
        <v>0</v>
      </c>
    </row>
    <row r="10284" ht="15.75" customHeight="1" spans="1:2">
      <c r="A10284" s="3" t="str">
        <f>IFERROR(__xludf.DUMMYFUNCTION("GOOGLETRANSLATE(A10284,""en"",""pt"")"),"É apenas mim, ou faz Harry Potter chupar? ...")</f>
        <v>É apenas mim, ou faz Harry Potter chupar? ...</v>
      </c>
      <c r="B10284" s="3">
        <v>0</v>
      </c>
    </row>
    <row r="10285" ht="15.75" customHeight="1" spans="1:2">
      <c r="A10285" s="3" t="str">
        <f>IFERROR(__xludf.DUMMYFUNCTION("GOOGLETRANSLATE(A10285,""en"",""pt"")"),"Sempre sabe o que eu quero, não cara louco, odeia Harry Potter ..")</f>
        <v>Sempre sabe o que eu quero, não cara louco, odeia Harry Potter ..</v>
      </c>
      <c r="B10285" s="3">
        <v>0</v>
      </c>
    </row>
    <row r="10286" ht="15.75" customHeight="1" spans="1:2">
      <c r="A10286" s="3" t="str">
        <f>IFERROR(__xludf.DUMMYFUNCTION("GOOGLETRANSLATE(A10286,""en"",""pt"")"),"Eu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86" s="3">
        <v>0</v>
      </c>
    </row>
    <row r="10287" ht="15.75" customHeight="1" spans="1:2">
      <c r="A10287" s="3" t="str">
        <f>IFERROR(__xludf.DUMMYFUNCTION("GOOGLETRANSLATE(A10287,""en"",""pt"")"),"Eu odeio Harry Potter.")</f>
        <v>Eu odeio Harry Potter.</v>
      </c>
      <c r="B10287" s="3">
        <v>0</v>
      </c>
    </row>
    <row r="10288" ht="15.75" customHeight="1" spans="1:2">
      <c r="A10288" s="3" t="str">
        <f>IFERROR(__xludf.DUMMYFUNCTION("GOOGLETRANSLATE(A10288,""en"",""pt"")"),"Não porque eu odeio Harry Potter, mas porque eu sou o tipo de pessoa que gosta quando as principais matrizes de caracteres.")</f>
        <v>Não porque eu odeio Harry Potter, mas porque eu sou o tipo de pessoa que gosta quando as principais matrizes de caracteres.</v>
      </c>
      <c r="B10288" s="3">
        <v>0</v>
      </c>
    </row>
    <row r="10289" ht="15.75" customHeight="1" spans="1:2">
      <c r="A10289" s="3" t="str">
        <f>IFERROR(__xludf.DUMMYFUNCTION("GOOGLETRANSLATE(A10289,""en"",""pt"")"),"Harry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89" s="3">
        <v>0</v>
      </c>
    </row>
    <row r="10290" ht="15.75" customHeight="1" spans="1:2">
      <c r="A10290" s="3" t="str">
        <f>IFERROR(__xludf.DUMMYFUNCTION("GOOGLETRANSLATE(A10290,""en"",""pt"")"),"Estes filmes de Harry Potter realmente chupar.")</f>
        <v>Estes filmes de Harry Potter realmente chupar.</v>
      </c>
      <c r="B10290" s="3">
        <v>0</v>
      </c>
    </row>
    <row r="10291" ht="15.75" customHeight="1" spans="1:2">
      <c r="A10291" s="3" t="str">
        <f>IFERROR(__xludf.DUMMYFUNCTION("GOOGLETRANSLATE(A10291,""en"",""pt"")"),"Eu odeio Harry Potter, que daniel wotshisface precisa de um tapa porra ...")</f>
        <v>Eu odeio Harry Potter, que daniel wotshisface precisa de um tapa porra ...</v>
      </c>
      <c r="B10291" s="3">
        <v>0</v>
      </c>
    </row>
    <row r="10292" ht="15.75" customHeight="1" spans="1:2">
      <c r="A10292" s="3" t="str">
        <f>IFERROR(__xludf.DUMMYFUNCTION("GOOGLETRANSLATE(A10292,""en"",""pt"")"),"Este questionário é uma merda e Harry Potter suga ok bye ..")</f>
        <v>Este questionário é uma merda e Harry Potter suga ok bye ..</v>
      </c>
      <c r="B10292" s="3">
        <v>0</v>
      </c>
    </row>
    <row r="10293" ht="15.75" customHeight="1" spans="1:2">
      <c r="A10293" s="3" t="str">
        <f>IFERROR(__xludf.DUMMYFUNCTION("GOOGLETRANSLATE(A10293,""en"",""pt"")"),"Eu odeio Harry Potter, é retarted, gay e estúpido e só há um cara preta ...")</f>
        <v>Eu odeio Harry Potter, é retarted, gay e estúpido e só há um cara preta ...</v>
      </c>
      <c r="B10293" s="3">
        <v>0</v>
      </c>
    </row>
    <row r="10294" ht="15.75" customHeight="1" spans="1:2">
      <c r="A10294" s="3" t="str">
        <f>IFERROR(__xludf.DUMMYFUNCTION("GOOGLETRANSLATE(A10294,""en"",""pt"")"),"É apenas mim, ou faz Harry Potter chupar? ...")</f>
        <v>É apenas mim, ou faz Harry Potter chupar? ...</v>
      </c>
      <c r="B10294" s="3">
        <v>0</v>
      </c>
    </row>
    <row r="10295" ht="15.75" customHeight="1" spans="1:2">
      <c r="A10295" s="3" t="str">
        <f>IFERROR(__xludf.DUMMYFUNCTION("GOOGLETRANSLATE(A10295,""en"",""pt"")"),"Sempre sabe o que eu quero, não cara louco, odeia Harry Potter ..")</f>
        <v>Sempre sabe o que eu quero, não cara louco, odeia Harry Potter ..</v>
      </c>
      <c r="B10295" s="3">
        <v>0</v>
      </c>
    </row>
    <row r="10296" ht="15.75" customHeight="1" spans="1:2">
      <c r="A10296" s="3" t="str">
        <f>IFERROR(__xludf.DUMMYFUNCTION("GOOGLETRANSLATE(A10296,""en"",""pt"")"),"Eu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296" s="3">
        <v>0</v>
      </c>
    </row>
    <row r="10297" ht="15.75" customHeight="1" spans="1:2">
      <c r="A10297" s="3" t="str">
        <f>IFERROR(__xludf.DUMMYFUNCTION("GOOGLETRANSLATE(A10297,""en"",""pt"")"),"Eu odeio Harry Potter.")</f>
        <v>Eu odeio Harry Potter.</v>
      </c>
      <c r="B10297" s="3">
        <v>0</v>
      </c>
    </row>
    <row r="10298" ht="15.75" customHeight="1" spans="1:2">
      <c r="A10298" s="3" t="str">
        <f>IFERROR(__xludf.DUMMYFUNCTION("GOOGLETRANSLATE(A10298,""en"",""pt"")"),"Não porque eu odeio Harry Potter, mas porque eu sou o tipo de pessoa que gosta quando as principais matrizes de caracteres.")</f>
        <v>Não porque eu odeio Harry Potter, mas porque eu sou o tipo de pessoa que gosta quando as principais matrizes de caracteres.</v>
      </c>
      <c r="B10298" s="3">
        <v>0</v>
      </c>
    </row>
    <row r="10299" ht="15.75" customHeight="1" spans="1:2">
      <c r="A10299" s="3" t="str">
        <f>IFERROR(__xludf.DUMMYFUNCTION("GOOGLETRANSLATE(A10299,""en"",""pt"")"),"Harry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299" s="3">
        <v>0</v>
      </c>
    </row>
    <row r="10300" ht="15.75" customHeight="1" spans="1:2">
      <c r="A10300" s="3" t="str">
        <f>IFERROR(__xludf.DUMMYFUNCTION("GOOGLETRANSLATE(A10300,""en"",""pt"")"),"Estes filmes de Harry Potter realmente chupar.")</f>
        <v>Estes filmes de Harry Potter realmente chupar.</v>
      </c>
      <c r="B10300" s="3">
        <v>0</v>
      </c>
    </row>
    <row r="10301" ht="15.75" customHeight="1" spans="1:2">
      <c r="A10301" s="3" t="str">
        <f>IFERROR(__xludf.DUMMYFUNCTION("GOOGLETRANSLATE(A10301,""en"",""pt"")"),"Eu odeio Harry Potter, que daniel wotshisface precisa de um tapa porra ...")</f>
        <v>Eu odeio Harry Potter, que daniel wotshisface precisa de um tapa porra ...</v>
      </c>
      <c r="B10301" s="3">
        <v>0</v>
      </c>
    </row>
    <row r="10302" ht="15.75" customHeight="1" spans="1:2">
      <c r="A10302" s="3" t="str">
        <f>IFERROR(__xludf.DUMMYFUNCTION("GOOGLETRANSLATE(A10302,""en"",""pt"")"),"Este questionário é uma merda e Harry Potter suga ok bye ..")</f>
        <v>Este questionário é uma merda e Harry Potter suga ok bye ..</v>
      </c>
      <c r="B10302" s="3">
        <v>0</v>
      </c>
    </row>
    <row r="10303" ht="15.75" customHeight="1" spans="1:2">
      <c r="A10303" s="3" t="str">
        <f>IFERROR(__xludf.DUMMYFUNCTION("GOOGLETRANSLATE(A10303,""en"",""pt"")"),"Eu odeio Harry Potter, é retarted, gay e estúpido e só há um cara preta ...")</f>
        <v>Eu odeio Harry Potter, é retarted, gay e estúpido e só há um cara preta ...</v>
      </c>
      <c r="B10303" s="3">
        <v>0</v>
      </c>
    </row>
    <row r="10304" ht="15.75" customHeight="1" spans="1:2">
      <c r="A10304" s="3" t="str">
        <f>IFERROR(__xludf.DUMMYFUNCTION("GOOGLETRANSLATE(A10304,""en"",""pt"")"),"É apenas mim, ou faz Harry Potter chupar? ...")</f>
        <v>É apenas mim, ou faz Harry Potter chupar? ...</v>
      </c>
      <c r="B10304" s="3">
        <v>0</v>
      </c>
    </row>
    <row r="10305" ht="15.75" customHeight="1" spans="1:2">
      <c r="A10305" s="3" t="str">
        <f>IFERROR(__xludf.DUMMYFUNCTION("GOOGLETRANSLATE(A10305,""en"",""pt"")"),"Sempre sabe o que eu quero, não cara louco, odeia Harry Potter ..")</f>
        <v>Sempre sabe o que eu quero, não cara louco, odeia Harry Potter ..</v>
      </c>
      <c r="B10305" s="3">
        <v>0</v>
      </c>
    </row>
    <row r="10306" ht="15.75" customHeight="1" spans="1:2">
      <c r="A10306" s="3" t="str">
        <f>IFERROR(__xludf.DUMMYFUNCTION("GOOGLETRANSLATE(A10306,""en"",""pt"")"),"Eu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06" s="3">
        <v>0</v>
      </c>
    </row>
    <row r="10307" ht="15.75" customHeight="1" spans="1:2">
      <c r="A10307" s="3" t="str">
        <f>IFERROR(__xludf.DUMMYFUNCTION("GOOGLETRANSLATE(A10307,""en"",""pt"")"),"Eu odeio Harry Potter.")</f>
        <v>Eu odeio Harry Potter.</v>
      </c>
      <c r="B10307" s="3">
        <v>0</v>
      </c>
    </row>
    <row r="10308" ht="15.75" customHeight="1" spans="1:2">
      <c r="A10308" s="3" t="str">
        <f>IFERROR(__xludf.DUMMYFUNCTION("GOOGLETRANSLATE(A10308,""en"",""pt"")"),"Não porque eu odeio Harry Potter, mas porque eu sou o tipo de pessoa que gosta quando as principais matrizes de caracteres.")</f>
        <v>Não porque eu odeio Harry Potter, mas porque eu sou o tipo de pessoa que gosta quando as principais matrizes de caracteres.</v>
      </c>
      <c r="B10308" s="3">
        <v>0</v>
      </c>
    </row>
    <row r="10309" ht="15.75" customHeight="1" spans="1:2">
      <c r="A10309" s="3" t="str">
        <f>IFERROR(__xludf.DUMMYFUNCTION("GOOGLETRANSLATE(A10309,""en"",""pt"")"),"Harry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09" s="3">
        <v>0</v>
      </c>
    </row>
    <row r="10310" ht="15.75" customHeight="1" spans="1:2">
      <c r="A10310" s="3" t="str">
        <f>IFERROR(__xludf.DUMMYFUNCTION("GOOGLETRANSLATE(A10310,""en"",""pt"")"),"Estes filmes de Harry Potter realmente chupar.")</f>
        <v>Estes filmes de Harry Potter realmente chupar.</v>
      </c>
      <c r="B10310" s="3">
        <v>0</v>
      </c>
    </row>
    <row r="10311" ht="15.75" customHeight="1" spans="1:2">
      <c r="A10311" s="3" t="str">
        <f>IFERROR(__xludf.DUMMYFUNCTION("GOOGLETRANSLATE(A10311,""en"",""pt"")"),"Eu odeio Harry Potter, que daniel wotshisface precisa de um tapa porra ...")</f>
        <v>Eu odeio Harry Potter, que daniel wotshisface precisa de um tapa porra ...</v>
      </c>
      <c r="B10311" s="3">
        <v>0</v>
      </c>
    </row>
    <row r="10312" ht="15.75" customHeight="1" spans="1:2">
      <c r="A10312" s="3" t="str">
        <f>IFERROR(__xludf.DUMMYFUNCTION("GOOGLETRANSLATE(A10312,""en"",""pt"")"),"Este questionário é uma merda e Harry Potter suga ok bye ..")</f>
        <v>Este questionário é uma merda e Harry Potter suga ok bye ..</v>
      </c>
      <c r="B10312" s="3">
        <v>0</v>
      </c>
    </row>
    <row r="10313" ht="15.75" customHeight="1" spans="1:2">
      <c r="A10313" s="3" t="str">
        <f>IFERROR(__xludf.DUMMYFUNCTION("GOOGLETRANSLATE(A10313,""en"",""pt"")"),"Eu odeio Harry Potter, é retarted, gay e estúpido e só há um cara preta ...")</f>
        <v>Eu odeio Harry Potter, é retarted, gay e estúpido e só há um cara preta ...</v>
      </c>
      <c r="B10313" s="3">
        <v>0</v>
      </c>
    </row>
    <row r="10314" ht="15.75" customHeight="1" spans="1:2">
      <c r="A10314" s="3" t="str">
        <f>IFERROR(__xludf.DUMMYFUNCTION("GOOGLETRANSLATE(A10314,""en"",""pt"")"),"É apenas mim, ou faz Harry Potter chupar? ...")</f>
        <v>É apenas mim, ou faz Harry Potter chupar? ...</v>
      </c>
      <c r="B10314" s="3">
        <v>0</v>
      </c>
    </row>
    <row r="10315" ht="15.75" customHeight="1" spans="1:2">
      <c r="A10315" s="3" t="str">
        <f>IFERROR(__xludf.DUMMYFUNCTION("GOOGLETRANSLATE(A10315,""en"",""pt"")"),"Sempre sabe o que eu quero, não cara louco, odeia Harry Potter ..")</f>
        <v>Sempre sabe o que eu quero, não cara louco, odeia Harry Potter ..</v>
      </c>
      <c r="B10315" s="3">
        <v>0</v>
      </c>
    </row>
    <row r="10316" ht="15.75" customHeight="1" spans="1:2">
      <c r="A10316" s="3" t="str">
        <f>IFERROR(__xludf.DUMMYFUNCTION("GOOGLETRANSLATE(A10316,""en"",""pt"")"),"Eu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16" s="3">
        <v>0</v>
      </c>
    </row>
    <row r="10317" ht="15.75" customHeight="1" spans="1:2">
      <c r="A10317" s="3" t="str">
        <f>IFERROR(__xludf.DUMMYFUNCTION("GOOGLETRANSLATE(A10317,""en"",""pt"")"),"Eu odeio Harry Potter.")</f>
        <v>Eu odeio Harry Potter.</v>
      </c>
      <c r="B10317" s="3">
        <v>0</v>
      </c>
    </row>
    <row r="10318" ht="15.75" customHeight="1" spans="1:2">
      <c r="A10318" s="3" t="str">
        <f>IFERROR(__xludf.DUMMYFUNCTION("GOOGLETRANSLATE(A10318,""en"",""pt"")"),"Não porque eu odeio Harry Potter, mas porque eu sou o tipo de pessoa que gosta quando as principais matrizes de caracteres.")</f>
        <v>Não porque eu odeio Harry Potter, mas porque eu sou o tipo de pessoa que gosta quando as principais matrizes de caracteres.</v>
      </c>
      <c r="B10318" s="3">
        <v>0</v>
      </c>
    </row>
    <row r="10319" ht="15.75" customHeight="1" spans="1:2">
      <c r="A10319" s="3" t="str">
        <f>IFERROR(__xludf.DUMMYFUNCTION("GOOGLETRANSLATE(A10319,""en"",""pt"")"),"Harry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19" s="3">
        <v>0</v>
      </c>
    </row>
    <row r="10320" ht="15.75" customHeight="1" spans="1:2">
      <c r="A10320" s="3" t="str">
        <f>IFERROR(__xludf.DUMMYFUNCTION("GOOGLETRANSLATE(A10320,""en"",""pt"")"),"Estes filmes de Harry Potter realmente chupar.")</f>
        <v>Estes filmes de Harry Potter realmente chupar.</v>
      </c>
      <c r="B10320" s="3">
        <v>0</v>
      </c>
    </row>
    <row r="10321" ht="15.75" customHeight="1" spans="1:2">
      <c r="A10321" s="3" t="str">
        <f>IFERROR(__xludf.DUMMYFUNCTION("GOOGLETRANSLATE(A10321,""en"",""pt"")"),"Eu odeio Harry Potter, que daniel wotshisface precisa de um tapa porra ...")</f>
        <v>Eu odeio Harry Potter, que daniel wotshisface precisa de um tapa porra ...</v>
      </c>
      <c r="B10321" s="3">
        <v>0</v>
      </c>
    </row>
    <row r="10322" ht="15.75" customHeight="1" spans="1:2">
      <c r="A10322" s="3" t="str">
        <f>IFERROR(__xludf.DUMMYFUNCTION("GOOGLETRANSLATE(A10322,""en"",""pt"")"),"Este questionário é uma merda e Harry Potter suga ok bye ..")</f>
        <v>Este questionário é uma merda e Harry Potter suga ok bye ..</v>
      </c>
      <c r="B10322" s="3">
        <v>0</v>
      </c>
    </row>
    <row r="10323" ht="15.75" customHeight="1" spans="1:2">
      <c r="A10323" s="3" t="str">
        <f>IFERROR(__xludf.DUMMYFUNCTION("GOOGLETRANSLATE(A10323,""en"",""pt"")"),"Eu odeio Harry Potter, é retarted, gay e estúpido e só há um cara preta ...")</f>
        <v>Eu odeio Harry Potter, é retarted, gay e estúpido e só há um cara preta ...</v>
      </c>
      <c r="B10323" s="3">
        <v>0</v>
      </c>
    </row>
    <row r="10324" ht="15.75" customHeight="1" spans="1:2">
      <c r="A10324" s="3" t="str">
        <f>IFERROR(__xludf.DUMMYFUNCTION("GOOGLETRANSLATE(A10324,""en"",""pt"")"),"É apenas mim, ou faz Harry Potter chupar? ...")</f>
        <v>É apenas mim, ou faz Harry Potter chupar? ...</v>
      </c>
      <c r="B10324" s="3">
        <v>0</v>
      </c>
    </row>
    <row r="10325" ht="15.75" customHeight="1" spans="1:2">
      <c r="A10325" s="3" t="str">
        <f>IFERROR(__xludf.DUMMYFUNCTION("GOOGLETRANSLATE(A10325,""en"",""pt"")"),"Sempre sabe o que eu quero, não cara louco, odeia Harry Potter ..")</f>
        <v>Sempre sabe o que eu quero, não cara louco, odeia Harry Potter ..</v>
      </c>
      <c r="B10325" s="3">
        <v>0</v>
      </c>
    </row>
    <row r="10326" ht="15.75" customHeight="1" spans="1:2">
      <c r="A10326" s="3" t="str">
        <f>IFERROR(__xludf.DUMMYFUNCTION("GOOGLETRANSLATE(A10326,""en"",""pt"")"),"Eu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26" s="3">
        <v>0</v>
      </c>
    </row>
    <row r="10327" ht="15.75" customHeight="1" spans="1:2">
      <c r="A10327" s="3" t="str">
        <f>IFERROR(__xludf.DUMMYFUNCTION("GOOGLETRANSLATE(A10327,""en"",""pt"")"),"Eu odeio Harry Potter.")</f>
        <v>Eu odeio Harry Potter.</v>
      </c>
      <c r="B10327" s="3">
        <v>0</v>
      </c>
    </row>
    <row r="10328" ht="15.75" customHeight="1" spans="1:2">
      <c r="A10328" s="3" t="str">
        <f>IFERROR(__xludf.DUMMYFUNCTION("GOOGLETRANSLATE(A10328,""en"",""pt"")"),"Não porque eu odeio Harry Potter, mas porque eu sou o tipo de pessoa que gosta quando as principais matrizes de caracteres.")</f>
        <v>Não porque eu odeio Harry Potter, mas porque eu sou o tipo de pessoa que gosta quando as principais matrizes de caracteres.</v>
      </c>
      <c r="B10328" s="3">
        <v>0</v>
      </c>
    </row>
    <row r="10329" ht="15.75" customHeight="1" spans="1:2">
      <c r="A10329" s="3" t="str">
        <f>IFERROR(__xludf.DUMMYFUNCTION("GOOGLETRANSLATE(A10329,""en"",""pt"")"),"Harry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29" s="3">
        <v>0</v>
      </c>
    </row>
    <row r="10330" ht="15.75" customHeight="1" spans="1:2">
      <c r="A10330" s="3" t="str">
        <f>IFERROR(__xludf.DUMMYFUNCTION("GOOGLETRANSLATE(A10330,""en"",""pt"")"),"Estes filmes de Harry Potter realmente chupar.")</f>
        <v>Estes filmes de Harry Potter realmente chupar.</v>
      </c>
      <c r="B10330" s="3">
        <v>0</v>
      </c>
    </row>
    <row r="10331" ht="15.75" customHeight="1" spans="1:2">
      <c r="A10331" s="3" t="str">
        <f>IFERROR(__xludf.DUMMYFUNCTION("GOOGLETRANSLATE(A10331,""en"",""pt"")"),"Eu odeio Harry Potter, que daniel wotshisface precisa de um tapa porra ...")</f>
        <v>Eu odeio Harry Potter, que daniel wotshisface precisa de um tapa porra ...</v>
      </c>
      <c r="B10331" s="3">
        <v>0</v>
      </c>
    </row>
    <row r="10332" ht="15.75" customHeight="1" spans="1:2">
      <c r="A10332" s="3" t="str">
        <f>IFERROR(__xludf.DUMMYFUNCTION("GOOGLETRANSLATE(A10332,""en"",""pt"")"),"Este questionário é uma merda e Harry Potter suga ok bye ..")</f>
        <v>Este questionário é uma merda e Harry Potter suga ok bye ..</v>
      </c>
      <c r="B10332" s="3">
        <v>0</v>
      </c>
    </row>
    <row r="10333" ht="15.75" customHeight="1" spans="1:2">
      <c r="A10333" s="3" t="str">
        <f>IFERROR(__xludf.DUMMYFUNCTION("GOOGLETRANSLATE(A10333,""en"",""pt"")"),"Eu odeio Harry Potter, é retarted, gay e estúpido e só há um cara preta ...")</f>
        <v>Eu odeio Harry Potter, é retarted, gay e estúpido e só há um cara preta ...</v>
      </c>
      <c r="B10333" s="3">
        <v>0</v>
      </c>
    </row>
    <row r="10334" ht="15.75" customHeight="1" spans="1:2">
      <c r="A10334" s="3" t="str">
        <f>IFERROR(__xludf.DUMMYFUNCTION("GOOGLETRANSLATE(A10334,""en"",""pt"")"),"É apenas mim, ou faz Harry Potter chupar? ...")</f>
        <v>É apenas mim, ou faz Harry Potter chupar? ...</v>
      </c>
      <c r="B10334" s="3">
        <v>0</v>
      </c>
    </row>
    <row r="10335" ht="15.75" customHeight="1" spans="1:2">
      <c r="A10335" s="3" t="str">
        <f>IFERROR(__xludf.DUMMYFUNCTION("GOOGLETRANSLATE(A10335,""en"",""pt"")"),"Sempre sabe o que eu quero, não cara louco, odeia Harry Potter ..")</f>
        <v>Sempre sabe o que eu quero, não cara louco, odeia Harry Potter ..</v>
      </c>
      <c r="B10335" s="3">
        <v>0</v>
      </c>
    </row>
    <row r="10336" ht="15.75" customHeight="1" spans="1:2">
      <c r="A10336" s="3" t="str">
        <f>IFERROR(__xludf.DUMMYFUNCTION("GOOGLETRANSLATE(A10336,""en"",""pt"")"),"Eu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36" s="3">
        <v>0</v>
      </c>
    </row>
    <row r="10337" ht="15.75" customHeight="1" spans="1:2">
      <c r="A10337" s="3" t="str">
        <f>IFERROR(__xludf.DUMMYFUNCTION("GOOGLETRANSLATE(A10337,""en"",""pt"")"),"Eu odeio Harry Potter.")</f>
        <v>Eu odeio Harry Potter.</v>
      </c>
      <c r="B10337" s="3">
        <v>0</v>
      </c>
    </row>
    <row r="10338" ht="15.75" customHeight="1" spans="1:2">
      <c r="A10338" s="3" t="str">
        <f>IFERROR(__xludf.DUMMYFUNCTION("GOOGLETRANSLATE(A10338,""en"",""pt"")"),"Não porque eu odeio Harry Potter, mas porque eu sou o tipo de pessoa que gosta quando as principais matrizes de caracteres.")</f>
        <v>Não porque eu odeio Harry Potter, mas porque eu sou o tipo de pessoa que gosta quando as principais matrizes de caracteres.</v>
      </c>
      <c r="B10338" s="3">
        <v>0</v>
      </c>
    </row>
    <row r="10339" ht="15.75" customHeight="1" spans="1:2">
      <c r="A10339" s="3" t="str">
        <f>IFERROR(__xludf.DUMMYFUNCTION("GOOGLETRANSLATE(A10339,""en"",""pt"")"),"Harry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39" s="3">
        <v>0</v>
      </c>
    </row>
    <row r="10340" ht="15.75" customHeight="1" spans="1:2">
      <c r="A10340" s="3" t="str">
        <f>IFERROR(__xludf.DUMMYFUNCTION("GOOGLETRANSLATE(A10340,""en"",""pt"")"),"Estes filmes de Harry Potter realmente chupar.")</f>
        <v>Estes filmes de Harry Potter realmente chupar.</v>
      </c>
      <c r="B10340" s="3">
        <v>0</v>
      </c>
    </row>
    <row r="10341" ht="15.75" customHeight="1" spans="1:2">
      <c r="A10341" s="3" t="str">
        <f>IFERROR(__xludf.DUMMYFUNCTION("GOOGLETRANSLATE(A10341,""en"",""pt"")"),"Eu odeio Harry Potter, que daniel wotshisface precisa de um tapa porra ...")</f>
        <v>Eu odeio Harry Potter, que daniel wotshisface precisa de um tapa porra ...</v>
      </c>
      <c r="B10341" s="3">
        <v>0</v>
      </c>
    </row>
    <row r="10342" ht="15.75" customHeight="1" spans="1:2">
      <c r="A10342" s="3" t="str">
        <f>IFERROR(__xludf.DUMMYFUNCTION("GOOGLETRANSLATE(A10342,""en"",""pt"")"),"Este questionário é uma merda e Harry Potter suga ok bye ..")</f>
        <v>Este questionário é uma merda e Harry Potter suga ok bye ..</v>
      </c>
      <c r="B10342" s="3">
        <v>0</v>
      </c>
    </row>
    <row r="10343" ht="15.75" customHeight="1" spans="1:2">
      <c r="A10343" s="3" t="str">
        <f>IFERROR(__xludf.DUMMYFUNCTION("GOOGLETRANSLATE(A10343,""en"",""pt"")"),"Eu odeio Harry Potter, é retarted, gay e estúpido e só há um cara preta ...")</f>
        <v>Eu odeio Harry Potter, é retarted, gay e estúpido e só há um cara preta ...</v>
      </c>
      <c r="B10343" s="3">
        <v>0</v>
      </c>
    </row>
    <row r="10344" ht="15.75" customHeight="1" spans="1:2">
      <c r="A10344" s="3" t="str">
        <f>IFERROR(__xludf.DUMMYFUNCTION("GOOGLETRANSLATE(A10344,""en"",""pt"")"),"É apenas mim, ou faz Harry Potter chupar? ...")</f>
        <v>É apenas mim, ou faz Harry Potter chupar? ...</v>
      </c>
      <c r="B10344" s="3">
        <v>0</v>
      </c>
    </row>
    <row r="10345" ht="15.75" customHeight="1" spans="1:2">
      <c r="A10345" s="3" t="str">
        <f>IFERROR(__xludf.DUMMYFUNCTION("GOOGLETRANSLATE(A10345,""en"",""pt"")"),"Sempre sabe o que eu quero, não cara louco, odeia Harry Potter ..")</f>
        <v>Sempre sabe o que eu quero, não cara louco, odeia Harry Potter ..</v>
      </c>
      <c r="B10345" s="3">
        <v>0</v>
      </c>
    </row>
    <row r="10346" ht="15.75" customHeight="1" spans="1:2">
      <c r="A10346" s="3" t="str">
        <f>IFERROR(__xludf.DUMMYFUNCTION("GOOGLETRANSLATE(A10346,""en"",""pt"")"),"Eu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46" s="3">
        <v>0</v>
      </c>
    </row>
    <row r="10347" ht="15.75" customHeight="1" spans="1:2">
      <c r="A10347" s="3" t="str">
        <f>IFERROR(__xludf.DUMMYFUNCTION("GOOGLETRANSLATE(A10347,""en"",""pt"")"),"Eu odeio Harry Potter.")</f>
        <v>Eu odeio Harry Potter.</v>
      </c>
      <c r="B10347" s="3">
        <v>0</v>
      </c>
    </row>
    <row r="10348" ht="15.75" customHeight="1" spans="1:2">
      <c r="A10348" s="3" t="str">
        <f>IFERROR(__xludf.DUMMYFUNCTION("GOOGLETRANSLATE(A10348,""en"",""pt"")"),"Não porque eu odeio Harry Potter, mas porque eu sou o tipo de pessoa que gosta quando as principais matrizes de caracteres.")</f>
        <v>Não porque eu odeio Harry Potter, mas porque eu sou o tipo de pessoa que gosta quando as principais matrizes de caracteres.</v>
      </c>
      <c r="B10348" s="3">
        <v>0</v>
      </c>
    </row>
    <row r="10349" ht="15.75" customHeight="1" spans="1:2">
      <c r="A10349" s="3" t="str">
        <f>IFERROR(__xludf.DUMMYFUNCTION("GOOGLETRANSLATE(A10349,""en"",""pt"")"),"Harry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49" s="3">
        <v>0</v>
      </c>
    </row>
    <row r="10350" ht="15.75" customHeight="1" spans="1:2">
      <c r="A10350" s="3" t="str">
        <f>IFERROR(__xludf.DUMMYFUNCTION("GOOGLETRANSLATE(A10350,""en"",""pt"")"),"Estes filmes de Harry Potter realmente chupar.")</f>
        <v>Estes filmes de Harry Potter realmente chupar.</v>
      </c>
      <c r="B10350" s="3">
        <v>0</v>
      </c>
    </row>
    <row r="10351" ht="15.75" customHeight="1" spans="1:2">
      <c r="A10351" s="3" t="str">
        <f>IFERROR(__xludf.DUMMYFUNCTION("GOOGLETRANSLATE(A10351,""en"",""pt"")"),"Eu odeio Harry Potter, que daniel wotshisface precisa de um tapa porra ...")</f>
        <v>Eu odeio Harry Potter, que daniel wotshisface precisa de um tapa porra ...</v>
      </c>
      <c r="B10351" s="3">
        <v>0</v>
      </c>
    </row>
    <row r="10352" ht="15.75" customHeight="1" spans="1:2">
      <c r="A10352" s="3" t="str">
        <f>IFERROR(__xludf.DUMMYFUNCTION("GOOGLETRANSLATE(A10352,""en"",""pt"")"),"Este questionário é uma merda e Harry Potter suga ok bye ..")</f>
        <v>Este questionário é uma merda e Harry Potter suga ok bye ..</v>
      </c>
      <c r="B10352" s="3">
        <v>0</v>
      </c>
    </row>
    <row r="10353" ht="15.75" customHeight="1" spans="1:2">
      <c r="A10353" s="3" t="str">
        <f>IFERROR(__xludf.DUMMYFUNCTION("GOOGLETRANSLATE(A10353,""en"",""pt"")"),"Eu odeio Harry Potter, é retarted, gay e estúpido e só há um cara preta ...")</f>
        <v>Eu odeio Harry Potter, é retarted, gay e estúpido e só há um cara preta ...</v>
      </c>
      <c r="B10353" s="3">
        <v>0</v>
      </c>
    </row>
    <row r="10354" ht="15.75" customHeight="1" spans="1:2">
      <c r="A10354" s="3" t="str">
        <f>IFERROR(__xludf.DUMMYFUNCTION("GOOGLETRANSLATE(A10354,""en"",""pt"")"),"É apenas mim, ou faz Harry Potter chupar? ...")</f>
        <v>É apenas mim, ou faz Harry Potter chupar? ...</v>
      </c>
      <c r="B10354" s="3">
        <v>0</v>
      </c>
    </row>
    <row r="10355" ht="15.75" customHeight="1" spans="1:2">
      <c r="A10355" s="3" t="str">
        <f>IFERROR(__xludf.DUMMYFUNCTION("GOOGLETRANSLATE(A10355,""en"",""pt"")"),"Sempre sabe o que eu quero, não cara louco, odeia Harry Potter ..")</f>
        <v>Sempre sabe o que eu quero, não cara louco, odeia Harry Potter ..</v>
      </c>
      <c r="B10355" s="3">
        <v>0</v>
      </c>
    </row>
    <row r="10356" ht="15.75" customHeight="1" spans="1:2">
      <c r="A10356" s="3" t="str">
        <f>IFERROR(__xludf.DUMMYFUNCTION("GOOGLETRANSLATE(A10356,""en"",""pt"")"),"Eu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56" s="3">
        <v>0</v>
      </c>
    </row>
    <row r="10357" ht="15.75" customHeight="1" spans="1:2">
      <c r="A10357" s="3" t="str">
        <f>IFERROR(__xludf.DUMMYFUNCTION("GOOGLETRANSLATE(A10357,""en"",""pt"")"),"Eu odeio Harry Potter.")</f>
        <v>Eu odeio Harry Potter.</v>
      </c>
      <c r="B10357" s="3">
        <v>0</v>
      </c>
    </row>
    <row r="10358" ht="15.75" customHeight="1" spans="1:2">
      <c r="A10358" s="3" t="str">
        <f>IFERROR(__xludf.DUMMYFUNCTION("GOOGLETRANSLATE(A10358,""en"",""pt"")"),"Não porque eu odeio Harry Potter, mas porque eu sou o tipo de pessoa que gosta quando as principais matrizes de caracteres.")</f>
        <v>Não porque eu odeio Harry Potter, mas porque eu sou o tipo de pessoa que gosta quando as principais matrizes de caracteres.</v>
      </c>
      <c r="B10358" s="3">
        <v>0</v>
      </c>
    </row>
    <row r="10359" ht="15.75" customHeight="1" spans="1:2">
      <c r="A10359" s="3" t="str">
        <f>IFERROR(__xludf.DUMMYFUNCTION("GOOGLETRANSLATE(A10359,""en"",""pt"")"),"Harry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59" s="3">
        <v>0</v>
      </c>
    </row>
    <row r="10360" ht="15.75" customHeight="1" spans="1:2">
      <c r="A10360" s="3" t="str">
        <f>IFERROR(__xludf.DUMMYFUNCTION("GOOGLETRANSLATE(A10360,""en"",""pt"")"),"Estes filmes de Harry Potter realmente chupar.")</f>
        <v>Estes filmes de Harry Potter realmente chupar.</v>
      </c>
      <c r="B10360" s="3">
        <v>0</v>
      </c>
    </row>
    <row r="10361" ht="15.75" customHeight="1" spans="1:2">
      <c r="A10361" s="3" t="str">
        <f>IFERROR(__xludf.DUMMYFUNCTION("GOOGLETRANSLATE(A10361,""en"",""pt"")"),"Eu odeio Harry Potter, que daniel wotshisface precisa de um tapa porra ...")</f>
        <v>Eu odeio Harry Potter, que daniel wotshisface precisa de um tapa porra ...</v>
      </c>
      <c r="B10361" s="3">
        <v>0</v>
      </c>
    </row>
    <row r="10362" ht="15.75" customHeight="1" spans="1:2">
      <c r="A10362" s="3" t="str">
        <f>IFERROR(__xludf.DUMMYFUNCTION("GOOGLETRANSLATE(A10362,""en"",""pt"")"),"Este questionário é uma merda e Harry Potter suga ok bye ..")</f>
        <v>Este questionário é uma merda e Harry Potter suga ok bye ..</v>
      </c>
      <c r="B10362" s="3">
        <v>0</v>
      </c>
    </row>
    <row r="10363" ht="15.75" customHeight="1" spans="1:2">
      <c r="A10363" s="3" t="str">
        <f>IFERROR(__xludf.DUMMYFUNCTION("GOOGLETRANSLATE(A10363,""en"",""pt"")"),"Eu odeio Harry Potter, é retarted, gay e estúpido e só há um cara preta ...")</f>
        <v>Eu odeio Harry Potter, é retarted, gay e estúpido e só há um cara preta ...</v>
      </c>
      <c r="B10363" s="3">
        <v>0</v>
      </c>
    </row>
    <row r="10364" ht="15.75" customHeight="1" spans="1:2">
      <c r="A10364" s="3" t="str">
        <f>IFERROR(__xludf.DUMMYFUNCTION("GOOGLETRANSLATE(A10364,""en"",""pt"")"),"É apenas mim, ou faz Harry Potter chupar? ...")</f>
        <v>É apenas mim, ou faz Harry Potter chupar? ...</v>
      </c>
      <c r="B10364" s="3">
        <v>0</v>
      </c>
    </row>
    <row r="10365" ht="15.75" customHeight="1" spans="1:2">
      <c r="A10365" s="3" t="str">
        <f>IFERROR(__xludf.DUMMYFUNCTION("GOOGLETRANSLATE(A10365,""en"",""pt"")"),"Sempre sabe o que eu quero, não cara louco, odeia Harry Potter ..")</f>
        <v>Sempre sabe o que eu quero, não cara louco, odeia Harry Potter ..</v>
      </c>
      <c r="B10365" s="3">
        <v>0</v>
      </c>
    </row>
    <row r="10366" ht="15.75" customHeight="1" spans="1:2">
      <c r="A10366" s="3" t="str">
        <f>IFERROR(__xludf.DUMMYFUNCTION("GOOGLETRANSLATE(A10366,""en"",""pt"")"),"Eu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66" s="3">
        <v>0</v>
      </c>
    </row>
    <row r="10367" ht="15.75" customHeight="1" spans="1:2">
      <c r="A10367" s="3" t="str">
        <f>IFERROR(__xludf.DUMMYFUNCTION("GOOGLETRANSLATE(A10367,""en"",""pt"")"),"Eu odeio Harry Potter.")</f>
        <v>Eu odeio Harry Potter.</v>
      </c>
      <c r="B10367" s="3">
        <v>0</v>
      </c>
    </row>
    <row r="10368" ht="15.75" customHeight="1" spans="1:2">
      <c r="A10368" s="3" t="str">
        <f>IFERROR(__xludf.DUMMYFUNCTION("GOOGLETRANSLATE(A10368,""en"",""pt"")"),"Não porque eu odeio Harry Potter, mas porque eu sou o tipo de pessoa que gosta quando as principais matrizes de caracteres.")</f>
        <v>Não porque eu odeio Harry Potter, mas porque eu sou o tipo de pessoa que gosta quando as principais matrizes de caracteres.</v>
      </c>
      <c r="B10368" s="3">
        <v>0</v>
      </c>
    </row>
    <row r="10369" ht="15.75" customHeight="1" spans="1:2">
      <c r="A10369" s="3" t="str">
        <f>IFERROR(__xludf.DUMMYFUNCTION("GOOGLETRANSLATE(A10369,""en"",""pt"")"),"Harry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69" s="3">
        <v>0</v>
      </c>
    </row>
    <row r="10370" ht="15.75" customHeight="1" spans="1:2">
      <c r="A10370" s="3" t="str">
        <f>IFERROR(__xludf.DUMMYFUNCTION("GOOGLETRANSLATE(A10370,""en"",""pt"")"),"Estes filmes de Harry Potter realmente chupar.")</f>
        <v>Estes filmes de Harry Potter realmente chupar.</v>
      </c>
      <c r="B10370" s="3">
        <v>0</v>
      </c>
    </row>
    <row r="10371" ht="15.75" customHeight="1" spans="1:2">
      <c r="A10371" s="3" t="str">
        <f>IFERROR(__xludf.DUMMYFUNCTION("GOOGLETRANSLATE(A10371,""en"",""pt"")"),"Eu odeio Harry Potter, que daniel wotshisface precisa de um tapa porra ...")</f>
        <v>Eu odeio Harry Potter, que daniel wotshisface precisa de um tapa porra ...</v>
      </c>
      <c r="B10371" s="3">
        <v>0</v>
      </c>
    </row>
    <row r="10372" ht="15.75" customHeight="1" spans="1:2">
      <c r="A10372" s="3" t="str">
        <f>IFERROR(__xludf.DUMMYFUNCTION("GOOGLETRANSLATE(A10372,""en"",""pt"")"),"Este questionário é uma merda e Harry Potter suga ok bye ..")</f>
        <v>Este questionário é uma merda e Harry Potter suga ok bye ..</v>
      </c>
      <c r="B10372" s="3">
        <v>0</v>
      </c>
    </row>
    <row r="10373" ht="15.75" customHeight="1" spans="1:2">
      <c r="A10373" s="3" t="str">
        <f>IFERROR(__xludf.DUMMYFUNCTION("GOOGLETRANSLATE(A10373,""en"",""pt"")"),"Eu odeio Harry Potter, é retarted, gay e estúpido e só há um cara preta ...")</f>
        <v>Eu odeio Harry Potter, é retarted, gay e estúpido e só há um cara preta ...</v>
      </c>
      <c r="B10373" s="3">
        <v>0</v>
      </c>
    </row>
    <row r="10374" ht="15.75" customHeight="1" spans="1:2">
      <c r="A10374" s="3" t="str">
        <f>IFERROR(__xludf.DUMMYFUNCTION("GOOGLETRANSLATE(A10374,""en"",""pt"")"),"É apenas mim, ou faz Harry Potter chupar? ...")</f>
        <v>É apenas mim, ou faz Harry Potter chupar? ...</v>
      </c>
      <c r="B10374" s="3">
        <v>0</v>
      </c>
    </row>
    <row r="10375" ht="15.75" customHeight="1" spans="1:2">
      <c r="A10375" s="3" t="str">
        <f>IFERROR(__xludf.DUMMYFUNCTION("GOOGLETRANSLATE(A10375,""en"",""pt"")"),"Sempre sabe o que eu quero, não cara louco, odeia Harry Potter ..")</f>
        <v>Sempre sabe o que eu quero, não cara louco, odeia Harry Potter ..</v>
      </c>
      <c r="B10375" s="3">
        <v>0</v>
      </c>
    </row>
    <row r="10376" ht="15.75" customHeight="1" spans="1:2">
      <c r="A10376" s="3" t="str">
        <f>IFERROR(__xludf.DUMMYFUNCTION("GOOGLETRANSLATE(A10376,""en"",""pt"")"),"Eu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76" s="3">
        <v>0</v>
      </c>
    </row>
    <row r="10377" ht="15.75" customHeight="1" spans="1:2">
      <c r="A10377" s="3" t="str">
        <f>IFERROR(__xludf.DUMMYFUNCTION("GOOGLETRANSLATE(A10377,""en"",""pt"")"),"Eu odeio Harry Potter.")</f>
        <v>Eu odeio Harry Potter.</v>
      </c>
      <c r="B10377" s="3">
        <v>0</v>
      </c>
    </row>
    <row r="10378" ht="15.75" customHeight="1" spans="1:2">
      <c r="A10378" s="3" t="str">
        <f>IFERROR(__xludf.DUMMYFUNCTION("GOOGLETRANSLATE(A10378,""en"",""pt"")"),"Não porque eu odeio Harry Potter, mas porque eu sou o tipo de pessoa que gosta quando as principais matrizes de caracteres.")</f>
        <v>Não porque eu odeio Harry Potter, mas porque eu sou o tipo de pessoa que gosta quando as principais matrizes de caracteres.</v>
      </c>
      <c r="B10378" s="3">
        <v>0</v>
      </c>
    </row>
    <row r="10379" ht="15.75" customHeight="1" spans="1:2">
      <c r="A10379" s="3" t="str">
        <f>IFERROR(__xludf.DUMMYFUNCTION("GOOGLETRANSLATE(A10379,""en"",""pt"")"),"Harry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79" s="3">
        <v>0</v>
      </c>
    </row>
    <row r="10380" ht="15.75" customHeight="1" spans="1:2">
      <c r="A10380" s="3" t="str">
        <f>IFERROR(__xludf.DUMMYFUNCTION("GOOGLETRANSLATE(A10380,""en"",""pt"")"),"Estes filmes de Harry Potter realmente chupar.")</f>
        <v>Estes filmes de Harry Potter realmente chupar.</v>
      </c>
      <c r="B10380" s="3">
        <v>0</v>
      </c>
    </row>
    <row r="10381" ht="15.75" customHeight="1" spans="1:2">
      <c r="A10381" s="3" t="str">
        <f>IFERROR(__xludf.DUMMYFUNCTION("GOOGLETRANSLATE(A10381,""en"",""pt"")"),"Eu odeio Harry Potter, que daniel wotshisface precisa de um tapa porra ...")</f>
        <v>Eu odeio Harry Potter, que daniel wotshisface precisa de um tapa porra ...</v>
      </c>
      <c r="B10381" s="3">
        <v>0</v>
      </c>
    </row>
    <row r="10382" ht="15.75" customHeight="1" spans="1:2">
      <c r="A10382" s="3" t="str">
        <f>IFERROR(__xludf.DUMMYFUNCTION("GOOGLETRANSLATE(A10382,""en"",""pt"")"),"Este questionário é uma merda e Harry Potter suga ok bye ..")</f>
        <v>Este questionário é uma merda e Harry Potter suga ok bye ..</v>
      </c>
      <c r="B10382" s="3">
        <v>0</v>
      </c>
    </row>
    <row r="10383" ht="15.75" customHeight="1" spans="1:2">
      <c r="A10383" s="3" t="str">
        <f>IFERROR(__xludf.DUMMYFUNCTION("GOOGLETRANSLATE(A10383,""en"",""pt"")"),"Eu odeio Harry Potter, é retarted, gay e estúpido e só há um cara preta ...")</f>
        <v>Eu odeio Harry Potter, é retarted, gay e estúpido e só há um cara preta ...</v>
      </c>
      <c r="B10383" s="3">
        <v>0</v>
      </c>
    </row>
    <row r="10384" ht="15.75" customHeight="1" spans="1:2">
      <c r="A10384" s="3" t="str">
        <f>IFERROR(__xludf.DUMMYFUNCTION("GOOGLETRANSLATE(A10384,""en"",""pt"")"),"É apenas mim, ou faz Harry Potter chupar? ...")</f>
        <v>É apenas mim, ou faz Harry Potter chupar? ...</v>
      </c>
      <c r="B10384" s="3">
        <v>0</v>
      </c>
    </row>
    <row r="10385" ht="15.75" customHeight="1" spans="1:2">
      <c r="A10385" s="3" t="str">
        <f>IFERROR(__xludf.DUMMYFUNCTION("GOOGLETRANSLATE(A10385,""en"",""pt"")"),"Sempre sabe o que eu quero, não cara louco, odeia Harry Potter ..")</f>
        <v>Sempre sabe o que eu quero, não cara louco, odeia Harry Potter ..</v>
      </c>
      <c r="B10385" s="3">
        <v>0</v>
      </c>
    </row>
    <row r="10386" ht="15.75" customHeight="1" spans="1:2">
      <c r="A10386" s="3" t="str">
        <f>IFERROR(__xludf.DUMMYFUNCTION("GOOGLETRANSLATE(A10386,""en"",""pt"")"),"Eu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86" s="3">
        <v>0</v>
      </c>
    </row>
    <row r="10387" ht="15.75" customHeight="1" spans="1:2">
      <c r="A10387" s="3" t="str">
        <f>IFERROR(__xludf.DUMMYFUNCTION("GOOGLETRANSLATE(A10387,""en"",""pt"")"),"Eu odeio Harry Potter.")</f>
        <v>Eu odeio Harry Potter.</v>
      </c>
      <c r="B10387" s="3">
        <v>0</v>
      </c>
    </row>
    <row r="10388" ht="15.75" customHeight="1" spans="1:2">
      <c r="A10388" s="3" t="str">
        <f>IFERROR(__xludf.DUMMYFUNCTION("GOOGLETRANSLATE(A10388,""en"",""pt"")"),"Não porque eu odeio Harry Potter, mas porque eu sou o tipo de pessoa que gosta quando as principais matrizes de caracteres.")</f>
        <v>Não porque eu odeio Harry Potter, mas porque eu sou o tipo de pessoa que gosta quando as principais matrizes de caracteres.</v>
      </c>
      <c r="B10388" s="3">
        <v>0</v>
      </c>
    </row>
    <row r="10389" ht="15.75" customHeight="1" spans="1:2">
      <c r="A10389" s="3" t="str">
        <f>IFERROR(__xludf.DUMMYFUNCTION("GOOGLETRANSLATE(A10389,""en"",""pt"")"),"Harry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89" s="3">
        <v>0</v>
      </c>
    </row>
    <row r="10390" ht="15.75" customHeight="1" spans="1:2">
      <c r="A10390" s="3" t="s">
        <v>49</v>
      </c>
      <c r="B10390" s="3">
        <v>0</v>
      </c>
    </row>
    <row r="10391" ht="15.75" customHeight="1" spans="1:2">
      <c r="A10391" s="3" t="str">
        <f>IFERROR(__xludf.DUMMYFUNCTION("GOOGLETRANSLATE(A10391,""en"",""pt"")"),"Eu odeio Harry Potter, que daniel wotshisface precisa de um tapa porra ...")</f>
        <v>Eu odeio Harry Potter, que daniel wotshisface precisa de um tapa porra ...</v>
      </c>
      <c r="B10391" s="3">
        <v>0</v>
      </c>
    </row>
    <row r="10392" ht="15.75" customHeight="1" spans="1:2">
      <c r="A10392" s="3" t="str">
        <f>IFERROR(__xludf.DUMMYFUNCTION("GOOGLETRANSLATE(A10392,""en"",""pt"")"),"Este questionário é uma merda e Harry Potter suga ok bye ..")</f>
        <v>Este questionário é uma merda e Harry Potter suga ok bye ..</v>
      </c>
      <c r="B10392" s="3">
        <v>0</v>
      </c>
    </row>
    <row r="10393" ht="15.75" customHeight="1" spans="1:2">
      <c r="A10393" s="3" t="str">
        <f>IFERROR(__xludf.DUMMYFUNCTION("GOOGLETRANSLATE(A10393,""en"",""pt"")"),"Eu odeio Harry Potter, é retarted, gay e estúpido e só há um cara preta ...")</f>
        <v>Eu odeio Harry Potter, é retarted, gay e estúpido e só há um cara preta ...</v>
      </c>
      <c r="B10393" s="3">
        <v>0</v>
      </c>
    </row>
    <row r="10394" ht="15.75" customHeight="1" spans="1:2">
      <c r="A10394" s="3" t="str">
        <f>IFERROR(__xludf.DUMMYFUNCTION("GOOGLETRANSLATE(A10394,""en"",""pt"")"),"É apenas mim, ou faz Harry Potter chupar? ...")</f>
        <v>É apenas mim, ou faz Harry Potter chupar? ...</v>
      </c>
      <c r="B10394" s="3">
        <v>0</v>
      </c>
    </row>
    <row r="10395" ht="15.75" customHeight="1" spans="1:2">
      <c r="A10395" s="3" t="str">
        <f>IFERROR(__xludf.DUMMYFUNCTION("GOOGLETRANSLATE(A10395,""en"",""pt"")"),"Sempre sabe o que eu quero, não cara louco, odeia Harry Potter ..")</f>
        <v>Sempre sabe o que eu quero, não cara louco, odeia Harry Potter ..</v>
      </c>
      <c r="B10395" s="3">
        <v>0</v>
      </c>
    </row>
    <row r="10396" ht="15.75" customHeight="1" spans="1:2">
      <c r="A10396" s="3" t="str">
        <f>IFERROR(__xludf.DUMMYFUNCTION("GOOGLETRANSLATE(A10396,""en"",""pt"")"),"Eu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396" s="3">
        <v>0</v>
      </c>
    </row>
    <row r="10397" ht="15.75" customHeight="1" spans="1:2">
      <c r="A10397" s="3" t="str">
        <f>IFERROR(__xludf.DUMMYFUNCTION("GOOGLETRANSLATE(A10397,""en"",""pt"")"),"Eu odeio Harry Potter.")</f>
        <v>Eu odeio Harry Potter.</v>
      </c>
      <c r="B10397" s="3">
        <v>0</v>
      </c>
    </row>
    <row r="10398" ht="15.75" customHeight="1" spans="1:2">
      <c r="A10398" s="3" t="str">
        <f>IFERROR(__xludf.DUMMYFUNCTION("GOOGLETRANSLATE(A10398,""en"",""pt"")"),"Não porque eu odeio Harry Potter, mas porque eu sou o tipo de pessoa que gosta quando as principais matrizes de caracteres.")</f>
        <v>Não porque eu odeio Harry Potter, mas porque eu sou o tipo de pessoa que gosta quando as principais matrizes de caracteres.</v>
      </c>
      <c r="B10398" s="3">
        <v>0</v>
      </c>
    </row>
    <row r="10399" ht="15.75" customHeight="1" spans="1:2">
      <c r="A10399" s="3" t="str">
        <f>IFERROR(__xludf.DUMMYFUNCTION("GOOGLETRANSLATE(A10399,""en"",""pt"")"),"Harry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399" s="3">
        <v>0</v>
      </c>
    </row>
    <row r="10400" ht="15.75" customHeight="1" spans="1:2">
      <c r="A10400" s="3" t="str">
        <f>IFERROR(__xludf.DUMMYFUNCTION("GOOGLETRANSLATE(A10400,""en"",""pt"")"),"Estes filmes de Harry Potter realmente chupar.")</f>
        <v>Estes filmes de Harry Potter realmente chupar.</v>
      </c>
      <c r="B10400" s="3">
        <v>0</v>
      </c>
    </row>
    <row r="10401" ht="15.75" customHeight="1" spans="1:2">
      <c r="A10401" s="3" t="str">
        <f>IFERROR(__xludf.DUMMYFUNCTION("GOOGLETRANSLATE(A10401,""en"",""pt"")"),"Eu odeio Harry Potter, que daniel wotshisface precisa de um tapa porra ...")</f>
        <v>Eu odeio Harry Potter, que daniel wotshisface precisa de um tapa porra ...</v>
      </c>
      <c r="B10401" s="3">
        <v>0</v>
      </c>
    </row>
    <row r="10402" ht="15.75" customHeight="1" spans="1:2">
      <c r="A10402" s="3" t="str">
        <f>IFERROR(__xludf.DUMMYFUNCTION("GOOGLETRANSLATE(A10402,""en"",""pt"")"),"Este questionário é uma merda e Harry Potter suga ok bye ..")</f>
        <v>Este questionário é uma merda e Harry Potter suga ok bye ..</v>
      </c>
      <c r="B10402" s="3">
        <v>0</v>
      </c>
    </row>
    <row r="10403" ht="15.75" customHeight="1" spans="1:2">
      <c r="A10403" s="3" t="str">
        <f>IFERROR(__xludf.DUMMYFUNCTION("GOOGLETRANSLATE(A10403,""en"",""pt"")"),"Eu odeio Harry Potter, é retarted, gay e estúpido e só há um cara preta ...")</f>
        <v>Eu odeio Harry Potter, é retarted, gay e estúpido e só há um cara preta ...</v>
      </c>
      <c r="B10403" s="3">
        <v>0</v>
      </c>
    </row>
    <row r="10404" ht="15.75" customHeight="1" spans="1:2">
      <c r="A10404" s="3" t="str">
        <f>IFERROR(__xludf.DUMMYFUNCTION("GOOGLETRANSLATE(A10404,""en"",""pt"")"),"É apenas mim, ou faz Harry Potter chupar? ...")</f>
        <v>É apenas mim, ou faz Harry Potter chupar? ...</v>
      </c>
      <c r="B10404" s="3">
        <v>0</v>
      </c>
    </row>
    <row r="10405" ht="15.75" customHeight="1" spans="1:2">
      <c r="A10405" s="3" t="str">
        <f>IFERROR(__xludf.DUMMYFUNCTION("GOOGLETRANSLATE(A10405,""en"",""pt"")"),"Sempre sabe o que eu quero, não cara louco, odeia Harry Potter ..")</f>
        <v>Sempre sabe o que eu quero, não cara louco, odeia Harry Potter ..</v>
      </c>
      <c r="B10405" s="3">
        <v>0</v>
      </c>
    </row>
    <row r="10406" ht="15.75" customHeight="1" spans="1:2">
      <c r="A10406" s="3" t="str">
        <f>IFERROR(__xludf.DUMMYFUNCTION("GOOGLETRANSLATE(A10406,""en"",""pt"")"),"Eu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06" s="3">
        <v>0</v>
      </c>
    </row>
    <row r="10407" ht="15.75" customHeight="1" spans="1:2">
      <c r="A10407" s="3" t="str">
        <f>IFERROR(__xludf.DUMMYFUNCTION("GOOGLETRANSLATE(A10407,""en"",""pt"")"),"Eu odeio Harry Potter.")</f>
        <v>Eu odeio Harry Potter.</v>
      </c>
      <c r="B10407" s="3">
        <v>0</v>
      </c>
    </row>
    <row r="10408" ht="15.75" customHeight="1" spans="1:2">
      <c r="A10408" s="3" t="str">
        <f>IFERROR(__xludf.DUMMYFUNCTION("GOOGLETRANSLATE(A10408,""en"",""pt"")"),"Não porque eu odeio Harry Potter, mas porque eu sou o tipo de pessoa que gosta quando as principais matrizes de caracteres.")</f>
        <v>Não porque eu odeio Harry Potter, mas porque eu sou o tipo de pessoa que gosta quando as principais matrizes de caracteres.</v>
      </c>
      <c r="B10408" s="3">
        <v>0</v>
      </c>
    </row>
    <row r="10409" ht="15.75" customHeight="1" spans="1:2">
      <c r="A10409" s="3" t="str">
        <f>IFERROR(__xludf.DUMMYFUNCTION("GOOGLETRANSLATE(A10409,""en"",""pt"")"),"Harry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09" s="3">
        <v>0</v>
      </c>
    </row>
    <row r="10410" ht="15.75" customHeight="1" spans="1:2">
      <c r="A10410" s="3" t="str">
        <f>IFERROR(__xludf.DUMMYFUNCTION("GOOGLETRANSLATE(A10410,""en"",""pt"")"),"Estes filmes de Harry Potter realmente chupar.")</f>
        <v>Estes filmes de Harry Potter realmente chupar.</v>
      </c>
      <c r="B10410" s="3">
        <v>0</v>
      </c>
    </row>
    <row r="10411" ht="15.75" customHeight="1" spans="1:2">
      <c r="A10411" s="3" t="str">
        <f>IFERROR(__xludf.DUMMYFUNCTION("GOOGLETRANSLATE(A10411,""en"",""pt"")"),"Eu odeio Harry Potter, que daniel wotshisface precisa de um tapa porra ...")</f>
        <v>Eu odeio Harry Potter, que daniel wotshisface precisa de um tapa porra ...</v>
      </c>
      <c r="B10411" s="3">
        <v>0</v>
      </c>
    </row>
    <row r="10412" ht="15.75" customHeight="1" spans="1:2">
      <c r="A10412" s="3" t="str">
        <f>IFERROR(__xludf.DUMMYFUNCTION("GOOGLETRANSLATE(A10412,""en"",""pt"")"),"Este questionário é uma merda e Harry Potter suga ok bye ..")</f>
        <v>Este questionário é uma merda e Harry Potter suga ok bye ..</v>
      </c>
      <c r="B10412" s="3">
        <v>0</v>
      </c>
    </row>
    <row r="10413" ht="15.75" customHeight="1" spans="1:2">
      <c r="A10413" s="3" t="str">
        <f>IFERROR(__xludf.DUMMYFUNCTION("GOOGLETRANSLATE(A10413,""en"",""pt"")"),"Eu odeio Harry Potter, é retarted, gay e estúpido e só há um cara preta ...")</f>
        <v>Eu odeio Harry Potter, é retarted, gay e estúpido e só há um cara preta ...</v>
      </c>
      <c r="B10413" s="3">
        <v>0</v>
      </c>
    </row>
    <row r="10414" ht="15.75" customHeight="1" spans="1:2">
      <c r="A10414" s="3" t="str">
        <f>IFERROR(__xludf.DUMMYFUNCTION("GOOGLETRANSLATE(A10414,""en"",""pt"")"),"É apenas mim, ou faz Harry Potter chupar? ...")</f>
        <v>É apenas mim, ou faz Harry Potter chupar? ...</v>
      </c>
      <c r="B10414" s="3">
        <v>0</v>
      </c>
    </row>
    <row r="10415" ht="15.75" customHeight="1" spans="1:2">
      <c r="A10415" s="3" t="str">
        <f>IFERROR(__xludf.DUMMYFUNCTION("GOOGLETRANSLATE(A10415,""en"",""pt"")"),"Sempre sabe o que eu quero, não cara louco, odeia Harry Potter ..")</f>
        <v>Sempre sabe o que eu quero, não cara louco, odeia Harry Potter ..</v>
      </c>
      <c r="B10415" s="3">
        <v>0</v>
      </c>
    </row>
    <row r="10416" ht="15.75" customHeight="1" spans="1:2">
      <c r="A10416" s="3" t="str">
        <f>IFERROR(__xludf.DUMMYFUNCTION("GOOGLETRANSLATE(A10416,""en"",""pt"")"),"Eu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16" s="3">
        <v>0</v>
      </c>
    </row>
    <row r="10417" ht="15.75" customHeight="1" spans="1:2">
      <c r="A10417" s="3" t="str">
        <f>IFERROR(__xludf.DUMMYFUNCTION("GOOGLETRANSLATE(A10417,""en"",""pt"")"),"Eu odeio Harry Potter.")</f>
        <v>Eu odeio Harry Potter.</v>
      </c>
      <c r="B10417" s="3">
        <v>0</v>
      </c>
    </row>
    <row r="10418" ht="15.75" customHeight="1" spans="1:2">
      <c r="A10418" s="3" t="str">
        <f>IFERROR(__xludf.DUMMYFUNCTION("GOOGLETRANSLATE(A10418,""en"",""pt"")"),"Não porque eu odeio Harry Potter, mas porque eu sou o tipo de pessoa que gosta quando as principais matrizes de caracteres.")</f>
        <v>Não porque eu odeio Harry Potter, mas porque eu sou o tipo de pessoa que gosta quando as principais matrizes de caracteres.</v>
      </c>
      <c r="B10418" s="3">
        <v>0</v>
      </c>
    </row>
    <row r="10419" ht="15.75" customHeight="1" spans="1:2">
      <c r="A10419" s="3" t="str">
        <f>IFERROR(__xludf.DUMMYFUNCTION("GOOGLETRANSLATE(A10419,""en"",""pt"")"),"Harry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19" s="3">
        <v>0</v>
      </c>
    </row>
    <row r="10420" ht="15.75" customHeight="1" spans="1:2">
      <c r="A10420" s="3" t="str">
        <f>IFERROR(__xludf.DUMMYFUNCTION("GOOGLETRANSLATE(A10420,""en"",""pt"")"),"Estes filmes de Harry Potter realmente chupar.")</f>
        <v>Estes filmes de Harry Potter realmente chupar.</v>
      </c>
      <c r="B10420" s="3">
        <v>0</v>
      </c>
    </row>
    <row r="10421" ht="15.75" customHeight="1" spans="1:2">
      <c r="A10421" s="3" t="str">
        <f>IFERROR(__xludf.DUMMYFUNCTION("GOOGLETRANSLATE(A10421,""en"",""pt"")"),"Eu odeio Harry Potter, que daniel wotshisface precisa de um tapa porra ...")</f>
        <v>Eu odeio Harry Potter, que daniel wotshisface precisa de um tapa porra ...</v>
      </c>
      <c r="B10421" s="3">
        <v>0</v>
      </c>
    </row>
    <row r="10422" ht="15.75" customHeight="1" spans="1:2">
      <c r="A10422" s="3" t="str">
        <f>IFERROR(__xludf.DUMMYFUNCTION("GOOGLETRANSLATE(A10422,""en"",""pt"")"),"Este questionário é uma merda e Harry Potter suga ok bye ..")</f>
        <v>Este questionário é uma merda e Harry Potter suga ok bye ..</v>
      </c>
      <c r="B10422" s="3">
        <v>0</v>
      </c>
    </row>
    <row r="10423" ht="15.75" customHeight="1" spans="1:2">
      <c r="A10423" s="3" t="str">
        <f>IFERROR(__xludf.DUMMYFUNCTION("GOOGLETRANSLATE(A10423,""en"",""pt"")"),"Eu odeio Harry Potter, é retarted, gay e estúpido e só há um cara preta ...")</f>
        <v>Eu odeio Harry Potter, é retarted, gay e estúpido e só há um cara preta ...</v>
      </c>
      <c r="B10423" s="3">
        <v>0</v>
      </c>
    </row>
    <row r="10424" ht="15.75" customHeight="1" spans="1:2">
      <c r="A10424" s="3" t="str">
        <f>IFERROR(__xludf.DUMMYFUNCTION("GOOGLETRANSLATE(A10424,""en"",""pt"")"),"É apenas mim, ou faz Harry Potter chupar? ...")</f>
        <v>É apenas mim, ou faz Harry Potter chupar? ...</v>
      </c>
      <c r="B10424" s="3">
        <v>0</v>
      </c>
    </row>
    <row r="10425" ht="15.75" customHeight="1" spans="1:2">
      <c r="A10425" s="3" t="str">
        <f>IFERROR(__xludf.DUMMYFUNCTION("GOOGLETRANSLATE(A10425,""en"",""pt"")"),"Sempre sabe o que eu quero, não cara louco, odeia Harry Potter ..")</f>
        <v>Sempre sabe o que eu quero, não cara louco, odeia Harry Potter ..</v>
      </c>
      <c r="B10425" s="3">
        <v>0</v>
      </c>
    </row>
    <row r="10426" ht="15.75" customHeight="1" spans="1:2">
      <c r="A10426" s="3" t="str">
        <f>IFERROR(__xludf.DUMMYFUNCTION("GOOGLETRANSLATE(A10426,""en"",""pt"")"),"Eu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26" s="3">
        <v>0</v>
      </c>
    </row>
    <row r="10427" ht="15.75" customHeight="1" spans="1:2">
      <c r="A10427" s="3" t="str">
        <f>IFERROR(__xludf.DUMMYFUNCTION("GOOGLETRANSLATE(A10427,""en"",""pt"")"),"Eu odeio Harry Potter.")</f>
        <v>Eu odeio Harry Potter.</v>
      </c>
      <c r="B10427" s="3">
        <v>0</v>
      </c>
    </row>
    <row r="10428" ht="15.75" customHeight="1" spans="1:2">
      <c r="A10428" s="3" t="str">
        <f>IFERROR(__xludf.DUMMYFUNCTION("GOOGLETRANSLATE(A10428,""en"",""pt"")"),"Não porque eu odeio Harry Potter, mas porque eu sou o tipo de pessoa que gosta quando as principais matrizes de caracteres.")</f>
        <v>Não porque eu odeio Harry Potter, mas porque eu sou o tipo de pessoa que gosta quando as principais matrizes de caracteres.</v>
      </c>
      <c r="B10428" s="3">
        <v>0</v>
      </c>
    </row>
    <row r="10429" ht="15.75" customHeight="1" spans="1:2">
      <c r="A10429" s="3" t="str">
        <f>IFERROR(__xludf.DUMMYFUNCTION("GOOGLETRANSLATE(A10429,""en"",""pt"")"),"Harry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29" s="3">
        <v>0</v>
      </c>
    </row>
    <row r="10430" ht="15.75" customHeight="1" spans="1:2">
      <c r="A10430" s="3" t="str">
        <f>IFERROR(__xludf.DUMMYFUNCTION("GOOGLETRANSLATE(A10430,""en"",""pt"")"),"Estes filmes de Harry Potter realmente chupar.")</f>
        <v>Estes filmes de Harry Potter realmente chupar.</v>
      </c>
      <c r="B10430" s="3">
        <v>0</v>
      </c>
    </row>
    <row r="10431" ht="15.75" customHeight="1" spans="1:2">
      <c r="A10431" s="3" t="str">
        <f>IFERROR(__xludf.DUMMYFUNCTION("GOOGLETRANSLATE(A10431,""en"",""pt"")"),"Eu odeio Harry Potter, que daniel wotshisface precisa de um tapa porra ...")</f>
        <v>Eu odeio Harry Potter, que daniel wotshisface precisa de um tapa porra ...</v>
      </c>
      <c r="B10431" s="3">
        <v>0</v>
      </c>
    </row>
    <row r="10432" ht="15.75" customHeight="1" spans="1:2">
      <c r="A10432" s="3" t="str">
        <f>IFERROR(__xludf.DUMMYFUNCTION("GOOGLETRANSLATE(A10432,""en"",""pt"")"),"Este questionário é uma merda e Harry Potter suga ok bye ..")</f>
        <v>Este questionário é uma merda e Harry Potter suga ok bye ..</v>
      </c>
      <c r="B10432" s="3">
        <v>0</v>
      </c>
    </row>
    <row r="10433" ht="15.75" customHeight="1" spans="1:2">
      <c r="A10433" s="3" t="str">
        <f>IFERROR(__xludf.DUMMYFUNCTION("GOOGLETRANSLATE(A10433,""en"",""pt"")"),"Eu odeio Harry Potter, é retarted, gay e estúpido e só há um cara preta ...")</f>
        <v>Eu odeio Harry Potter, é retarted, gay e estúpido e só há um cara preta ...</v>
      </c>
      <c r="B10433" s="3">
        <v>0</v>
      </c>
    </row>
    <row r="10434" ht="15.75" customHeight="1" spans="1:2">
      <c r="A10434" s="3" t="str">
        <f>IFERROR(__xludf.DUMMYFUNCTION("GOOGLETRANSLATE(A10434,""en"",""pt"")"),"É apenas mim, ou faz Harry Potter chupar? ...")</f>
        <v>É apenas mim, ou faz Harry Potter chupar? ...</v>
      </c>
      <c r="B10434" s="3">
        <v>0</v>
      </c>
    </row>
    <row r="10435" ht="15.75" customHeight="1" spans="1:2">
      <c r="A10435" s="3" t="str">
        <f>IFERROR(__xludf.DUMMYFUNCTION("GOOGLETRANSLATE(A10435,""en"",""pt"")"),"Sempre sabe o que eu quero, não cara louco, odeia Harry Potter ..")</f>
        <v>Sempre sabe o que eu quero, não cara louco, odeia Harry Potter ..</v>
      </c>
      <c r="B10435" s="3">
        <v>0</v>
      </c>
    </row>
    <row r="10436" ht="15.75" customHeight="1" spans="1:2">
      <c r="A10436" s="3" t="str">
        <f>IFERROR(__xludf.DUMMYFUNCTION("GOOGLETRANSLATE(A10436,""en"",""pt"")"),"Eu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36" s="3">
        <v>0</v>
      </c>
    </row>
    <row r="10437" ht="15.75" customHeight="1" spans="1:2">
      <c r="A10437" s="3" t="str">
        <f>IFERROR(__xludf.DUMMYFUNCTION("GOOGLETRANSLATE(A10437,""en"",""pt"")"),"Eu odeio Harry Potter.")</f>
        <v>Eu odeio Harry Potter.</v>
      </c>
      <c r="B10437" s="3">
        <v>0</v>
      </c>
    </row>
    <row r="10438" ht="15.75" customHeight="1" spans="1:2">
      <c r="A10438" s="3" t="str">
        <f>IFERROR(__xludf.DUMMYFUNCTION("GOOGLETRANSLATE(A10438,""en"",""pt"")"),"Não porque eu odeio Harry Potter, mas porque eu sou o tipo de pessoa que gosta quando as principais matrizes de caracteres.")</f>
        <v>Não porque eu odeio Harry Potter, mas porque eu sou o tipo de pessoa que gosta quando as principais matrizes de caracteres.</v>
      </c>
      <c r="B10438" s="3">
        <v>0</v>
      </c>
    </row>
    <row r="10439" ht="15.75" customHeight="1" spans="1:2">
      <c r="A10439" s="3" t="str">
        <f>IFERROR(__xludf.DUMMYFUNCTION("GOOGLETRANSLATE(A10439,""en"",""pt"")"),"Harry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39" s="3">
        <v>0</v>
      </c>
    </row>
    <row r="10440" ht="15.75" customHeight="1" spans="1:2">
      <c r="A10440" s="3" t="str">
        <f>IFERROR(__xludf.DUMMYFUNCTION("GOOGLETRANSLATE(A10440,""en"",""pt"")"),"Estes filmes de Harry Potter realmente chupar.")</f>
        <v>Estes filmes de Harry Potter realmente chupar.</v>
      </c>
      <c r="B10440" s="3">
        <v>0</v>
      </c>
    </row>
    <row r="10441" ht="15.75" customHeight="1" spans="1:2">
      <c r="A10441" s="3" t="str">
        <f>IFERROR(__xludf.DUMMYFUNCTION("GOOGLETRANSLATE(A10441,""en"",""pt"")"),"Eu odeio Harry Potter, que daniel wotshisface precisa de um tapa porra ...")</f>
        <v>Eu odeio Harry Potter, que daniel wotshisface precisa de um tapa porra ...</v>
      </c>
      <c r="B10441" s="3">
        <v>0</v>
      </c>
    </row>
    <row r="10442" ht="15.75" customHeight="1" spans="1:2">
      <c r="A10442" s="3" t="str">
        <f>IFERROR(__xludf.DUMMYFUNCTION("GOOGLETRANSLATE(A10442,""en"",""pt"")"),"Este questionário é uma merda e Harry Potter suga ok bye ..")</f>
        <v>Este questionário é uma merda e Harry Potter suga ok bye ..</v>
      </c>
      <c r="B10442" s="3">
        <v>0</v>
      </c>
    </row>
    <row r="10443" ht="15.75" customHeight="1" spans="1:2">
      <c r="A10443" s="3" t="str">
        <f>IFERROR(__xludf.DUMMYFUNCTION("GOOGLETRANSLATE(A10443,""en"",""pt"")"),"Eu odeio Harry Potter, é retarted, gay e estúpido e só há um cara preta ...")</f>
        <v>Eu odeio Harry Potter, é retarted, gay e estúpido e só há um cara preta ...</v>
      </c>
      <c r="B10443" s="3">
        <v>0</v>
      </c>
    </row>
    <row r="10444" ht="15.75" customHeight="1" spans="1:2">
      <c r="A10444" s="3" t="str">
        <f>IFERROR(__xludf.DUMMYFUNCTION("GOOGLETRANSLATE(A10444,""en"",""pt"")"),"É apenas mim, ou faz Harry Potter chupar? ...")</f>
        <v>É apenas mim, ou faz Harry Potter chupar? ...</v>
      </c>
      <c r="B10444" s="3">
        <v>0</v>
      </c>
    </row>
    <row r="10445" ht="15.75" customHeight="1" spans="1:2">
      <c r="A10445" s="3" t="str">
        <f>IFERROR(__xludf.DUMMYFUNCTION("GOOGLETRANSLATE(A10445,""en"",""pt"")"),"Sempre sabe o que eu quero, não cara louco, odeia Harry Potter ..")</f>
        <v>Sempre sabe o que eu quero, não cara louco, odeia Harry Potter ..</v>
      </c>
      <c r="B10445" s="3">
        <v>0</v>
      </c>
    </row>
    <row r="10446" ht="15.75" customHeight="1" spans="1:2">
      <c r="A10446" s="3" t="str">
        <f>IFERROR(__xludf.DUMMYFUNCTION("GOOGLETRANSLATE(A10446,""en"",""pt"")"),"Eu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46" s="3">
        <v>0</v>
      </c>
    </row>
    <row r="10447" ht="15.75" customHeight="1" spans="1:2">
      <c r="A10447" s="3" t="str">
        <f>IFERROR(__xludf.DUMMYFUNCTION("GOOGLETRANSLATE(A10447,""en"",""pt"")"),"Eu odeio Harry Potter.")</f>
        <v>Eu odeio Harry Potter.</v>
      </c>
      <c r="B10447" s="3">
        <v>0</v>
      </c>
    </row>
    <row r="10448" ht="15.75" customHeight="1" spans="1:2">
      <c r="A10448" s="3" t="str">
        <f>IFERROR(__xludf.DUMMYFUNCTION("GOOGLETRANSLATE(A10448,""en"",""pt"")"),"Não porque eu odeio Harry Potter, mas porque eu sou o tipo de pessoa que gosta quando as principais matrizes de caracteres.")</f>
        <v>Não porque eu odeio Harry Potter, mas porque eu sou o tipo de pessoa que gosta quando as principais matrizes de caracteres.</v>
      </c>
      <c r="B10448" s="3">
        <v>0</v>
      </c>
    </row>
    <row r="10449" ht="15.75" customHeight="1" spans="1:2">
      <c r="A10449" s="3" t="str">
        <f>IFERROR(__xludf.DUMMYFUNCTION("GOOGLETRANSLATE(A10449,""en"",""pt"")"),"Harry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49" s="3">
        <v>0</v>
      </c>
    </row>
    <row r="10450" ht="15.75" customHeight="1" spans="1:2">
      <c r="A10450" s="3" t="str">
        <f>IFERROR(__xludf.DUMMYFUNCTION("GOOGLETRANSLATE(A10450,""en"",""pt"")"),"Estes filmes de Harry Potter realmente chupar.")</f>
        <v>Estes filmes de Harry Potter realmente chupar.</v>
      </c>
      <c r="B10450" s="3">
        <v>0</v>
      </c>
    </row>
    <row r="10451" ht="15.75" customHeight="1" spans="1:2">
      <c r="A10451" s="3" t="str">
        <f>IFERROR(__xludf.DUMMYFUNCTION("GOOGLETRANSLATE(A10451,""en"",""pt"")"),"Eu odeio Harry Potter, que daniel wotshisface precisa de um tapa porra ...")</f>
        <v>Eu odeio Harry Potter, que daniel wotshisface precisa de um tapa porra ...</v>
      </c>
      <c r="B10451" s="3">
        <v>0</v>
      </c>
    </row>
    <row r="10452" ht="15.75" customHeight="1" spans="1:2">
      <c r="A10452" s="3" t="str">
        <f>IFERROR(__xludf.DUMMYFUNCTION("GOOGLETRANSLATE(A10452,""en"",""pt"")"),"Este questionário é uma merda e Harry Potter suga ok bye ..")</f>
        <v>Este questionário é uma merda e Harry Potter suga ok bye ..</v>
      </c>
      <c r="B10452" s="3">
        <v>0</v>
      </c>
    </row>
    <row r="10453" ht="15.75" customHeight="1" spans="1:2">
      <c r="A10453" s="3" t="str">
        <f>IFERROR(__xludf.DUMMYFUNCTION("GOOGLETRANSLATE(A10453,""en"",""pt"")"),"Eu odeio Harry Potter, é retarted, gay e estúpido e só há um cara preta ...")</f>
        <v>Eu odeio Harry Potter, é retarted, gay e estúpido e só há um cara preta ...</v>
      </c>
      <c r="B10453" s="3">
        <v>0</v>
      </c>
    </row>
    <row r="10454" ht="15.75" customHeight="1" spans="1:2">
      <c r="A10454" s="3" t="str">
        <f>IFERROR(__xludf.DUMMYFUNCTION("GOOGLETRANSLATE(A10454,""en"",""pt"")"),"É apenas mim, ou faz Harry Potter chupar? ...")</f>
        <v>É apenas mim, ou faz Harry Potter chupar? ...</v>
      </c>
      <c r="B10454" s="3">
        <v>0</v>
      </c>
    </row>
    <row r="10455" ht="15.75" customHeight="1" spans="1:2">
      <c r="A10455" s="3" t="str">
        <f>IFERROR(__xludf.DUMMYFUNCTION("GOOGLETRANSLATE(A10455,""en"",""pt"")"),"Sempre sabe o que eu quero, não cara louco, odeia Harry Potter ..")</f>
        <v>Sempre sabe o que eu quero, não cara louco, odeia Harry Potter ..</v>
      </c>
      <c r="B10455" s="3">
        <v>0</v>
      </c>
    </row>
    <row r="10456" ht="15.75" customHeight="1" spans="1:2">
      <c r="A10456" s="3" t="str">
        <f>IFERROR(__xludf.DUMMYFUNCTION("GOOGLETRANSLATE(A10456,""en"",""pt"")"),"Eu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56" s="3">
        <v>0</v>
      </c>
    </row>
    <row r="10457" ht="15.75" customHeight="1" spans="1:2">
      <c r="A10457" s="3" t="str">
        <f>IFERROR(__xludf.DUMMYFUNCTION("GOOGLETRANSLATE(A10457,""en"",""pt"")"),"Eu odeio Harry Potter.")</f>
        <v>Eu odeio Harry Potter.</v>
      </c>
      <c r="B10457" s="3">
        <v>0</v>
      </c>
    </row>
    <row r="10458" ht="15.75" customHeight="1" spans="1:2">
      <c r="A10458" s="3" t="str">
        <f>IFERROR(__xludf.DUMMYFUNCTION("GOOGLETRANSLATE(A10458,""en"",""pt"")"),"Não porque eu odeio Harry Potter, mas porque eu sou o tipo de pessoa que gosta quando as principais matrizes de caracteres.")</f>
        <v>Não porque eu odeio Harry Potter, mas porque eu sou o tipo de pessoa que gosta quando as principais matrizes de caracteres.</v>
      </c>
      <c r="B10458" s="3">
        <v>0</v>
      </c>
    </row>
    <row r="10459" ht="15.75" customHeight="1" spans="1:2">
      <c r="A10459" s="3" t="str">
        <f>IFERROR(__xludf.DUMMYFUNCTION("GOOGLETRANSLATE(A10459,""en"",""pt"")"),"Harry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59" s="3">
        <v>0</v>
      </c>
    </row>
    <row r="10460" ht="15.75" customHeight="1" spans="1:2">
      <c r="A10460" s="3" t="str">
        <f>IFERROR(__xludf.DUMMYFUNCTION("GOOGLETRANSLATE(A10460,""en"",""pt"")"),"Estes filmes de Harry Potter realmente chupar.")</f>
        <v>Estes filmes de Harry Potter realmente chupar.</v>
      </c>
      <c r="B10460" s="3">
        <v>0</v>
      </c>
    </row>
    <row r="10461" ht="15.75" customHeight="1" spans="1:2">
      <c r="A10461" s="3" t="str">
        <f>IFERROR(__xludf.DUMMYFUNCTION("GOOGLETRANSLATE(A10461,""en"",""pt"")"),"Eu odeio Harry Potter, que daniel wotshisface precisa de um tapa porra ...")</f>
        <v>Eu odeio Harry Potter, que daniel wotshisface precisa de um tapa porra ...</v>
      </c>
      <c r="B10461" s="3">
        <v>0</v>
      </c>
    </row>
    <row r="10462" ht="15.75" customHeight="1" spans="1:2">
      <c r="A10462" s="3" t="str">
        <f>IFERROR(__xludf.DUMMYFUNCTION("GOOGLETRANSLATE(A10462,""en"",""pt"")"),"Este questionário é uma merda e Harry Potter suga ok bye ..")</f>
        <v>Este questionário é uma merda e Harry Potter suga ok bye ..</v>
      </c>
      <c r="B10462" s="3">
        <v>0</v>
      </c>
    </row>
    <row r="10463" ht="15.75" customHeight="1" spans="1:2">
      <c r="A10463" s="3" t="str">
        <f>IFERROR(__xludf.DUMMYFUNCTION("GOOGLETRANSLATE(A10463,""en"",""pt"")"),"Eu odeio Harry Potter, é retarted, gay e estúpido e só há um cara preta ...")</f>
        <v>Eu odeio Harry Potter, é retarted, gay e estúpido e só há um cara preta ...</v>
      </c>
      <c r="B10463" s="3">
        <v>0</v>
      </c>
    </row>
    <row r="10464" ht="15.75" customHeight="1" spans="1:2">
      <c r="A10464" s="3" t="str">
        <f>IFERROR(__xludf.DUMMYFUNCTION("GOOGLETRANSLATE(A10464,""en"",""pt"")"),"É apenas mim, ou faz Harry Potter chupar? ...")</f>
        <v>É apenas mim, ou faz Harry Potter chupar? ...</v>
      </c>
      <c r="B10464" s="3">
        <v>0</v>
      </c>
    </row>
    <row r="10465" ht="15.75" customHeight="1" spans="1:2">
      <c r="A10465" s="3" t="str">
        <f>IFERROR(__xludf.DUMMYFUNCTION("GOOGLETRANSLATE(A10465,""en"",""pt"")"),"Sempre sabe o que eu quero, não cara louco, odeia Harry Potter ..")</f>
        <v>Sempre sabe o que eu quero, não cara louco, odeia Harry Potter ..</v>
      </c>
      <c r="B10465" s="3">
        <v>0</v>
      </c>
    </row>
    <row r="10466" ht="15.75" customHeight="1" spans="1:2">
      <c r="A10466" s="3" t="str">
        <f>IFERROR(__xludf.DUMMYFUNCTION("GOOGLETRANSLATE(A10466,""en"",""pt"")"),"Eu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66" s="3">
        <v>0</v>
      </c>
    </row>
    <row r="10467" ht="15.75" customHeight="1" spans="1:2">
      <c r="A10467" s="3" t="str">
        <f>IFERROR(__xludf.DUMMYFUNCTION("GOOGLETRANSLATE(A10467,""en"",""pt"")"),"Eu odeio Harry Potter.")</f>
        <v>Eu odeio Harry Potter.</v>
      </c>
      <c r="B10467" s="3">
        <v>0</v>
      </c>
    </row>
    <row r="10468" ht="15.75" customHeight="1" spans="1:2">
      <c r="A10468" s="3" t="str">
        <f>IFERROR(__xludf.DUMMYFUNCTION("GOOGLETRANSLATE(A10468,""en"",""pt"")"),"Não porque eu odeio Harry Potter, mas porque eu sou o tipo de pessoa que gosta quando as principais matrizes de caracteres.")</f>
        <v>Não porque eu odeio Harry Potter, mas porque eu sou o tipo de pessoa que gosta quando as principais matrizes de caracteres.</v>
      </c>
      <c r="B10468" s="3">
        <v>0</v>
      </c>
    </row>
    <row r="10469" ht="15.75" customHeight="1" spans="1:2">
      <c r="A10469" s="3" t="str">
        <f>IFERROR(__xludf.DUMMYFUNCTION("GOOGLETRANSLATE(A10469,""en"",""pt"")"),"Harry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69" s="3">
        <v>0</v>
      </c>
    </row>
    <row r="10470" ht="15.75" customHeight="1" spans="1:2">
      <c r="A10470" s="3" t="str">
        <f>IFERROR(__xludf.DUMMYFUNCTION("GOOGLETRANSLATE(A10470,""en"",""pt"")"),"Estes filmes de Harry Potter realmente chupar.")</f>
        <v>Estes filmes de Harry Potter realmente chupar.</v>
      </c>
      <c r="B10470" s="3">
        <v>0</v>
      </c>
    </row>
    <row r="10471" ht="15.75" customHeight="1" spans="1:2">
      <c r="A10471" s="3" t="str">
        <f>IFERROR(__xludf.DUMMYFUNCTION("GOOGLETRANSLATE(A10471,""en"",""pt"")"),"Eu odeio Harry Potter, que daniel wotshisface precisa de um tapa porra ...")</f>
        <v>Eu odeio Harry Potter, que daniel wotshisface precisa de um tapa porra ...</v>
      </c>
      <c r="B10471" s="3">
        <v>0</v>
      </c>
    </row>
    <row r="10472" ht="15.75" customHeight="1" spans="1:2">
      <c r="A10472" s="3" t="str">
        <f>IFERROR(__xludf.DUMMYFUNCTION("GOOGLETRANSLATE(A10472,""en"",""pt"")"),"Este questionário é uma merda e Harry Potter suga ok bye ..")</f>
        <v>Este questionário é uma merda e Harry Potter suga ok bye ..</v>
      </c>
      <c r="B10472" s="3">
        <v>0</v>
      </c>
    </row>
    <row r="10473" ht="15.75" customHeight="1" spans="1:2">
      <c r="A10473" s="3" t="str">
        <f>IFERROR(__xludf.DUMMYFUNCTION("GOOGLETRANSLATE(A10473,""en"",""pt"")"),"Eu odeio Harry Potter, é retarted, gay e estúpido e só há um cara preta ...")</f>
        <v>Eu odeio Harry Potter, é retarted, gay e estúpido e só há um cara preta ...</v>
      </c>
      <c r="B10473" s="3">
        <v>0</v>
      </c>
    </row>
    <row r="10474" ht="15.75" customHeight="1" spans="1:2">
      <c r="A10474" s="3" t="str">
        <f>IFERROR(__xludf.DUMMYFUNCTION("GOOGLETRANSLATE(A10474,""en"",""pt"")"),"É apenas mim, ou faz Harry Potter chupar? ...")</f>
        <v>É apenas mim, ou faz Harry Potter chupar? ...</v>
      </c>
      <c r="B10474" s="3">
        <v>0</v>
      </c>
    </row>
    <row r="10475" ht="15.75" customHeight="1" spans="1:2">
      <c r="A10475" s="3" t="str">
        <f>IFERROR(__xludf.DUMMYFUNCTION("GOOGLETRANSLATE(A10475,""en"",""pt"")"),"Sempre sabe o que eu quero, não cara louco, odeia Harry Potter ..")</f>
        <v>Sempre sabe o que eu quero, não cara louco, odeia Harry Potter ..</v>
      </c>
      <c r="B10475" s="3">
        <v>0</v>
      </c>
    </row>
    <row r="10476" ht="15.75" customHeight="1" spans="1:2">
      <c r="A10476" s="3" t="str">
        <f>IFERROR(__xludf.DUMMYFUNCTION("GOOGLETRANSLATE(A10476,""en"",""pt"")"),"Eu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76" s="3">
        <v>0</v>
      </c>
    </row>
    <row r="10477" ht="15.75" customHeight="1" spans="1:2">
      <c r="A10477" s="3" t="str">
        <f>IFERROR(__xludf.DUMMYFUNCTION("GOOGLETRANSLATE(A10477,""en"",""pt"")"),"Eu odeio Harry Potter.")</f>
        <v>Eu odeio Harry Potter.</v>
      </c>
      <c r="B10477" s="3">
        <v>0</v>
      </c>
    </row>
    <row r="10478" ht="15.75" customHeight="1" spans="1:2">
      <c r="A10478" s="3" t="str">
        <f>IFERROR(__xludf.DUMMYFUNCTION("GOOGLETRANSLATE(A10478,""en"",""pt"")"),"Não porque eu odeio Harry Potter, mas porque eu sou o tipo de pessoa que gosta quando as principais matrizes de caracteres.")</f>
        <v>Não porque eu odeio Harry Potter, mas porque eu sou o tipo de pessoa que gosta quando as principais matrizes de caracteres.</v>
      </c>
      <c r="B10478" s="3">
        <v>0</v>
      </c>
    </row>
    <row r="10479" ht="15.75" customHeight="1" spans="1:2">
      <c r="A10479" s="3" t="str">
        <f>IFERROR(__xludf.DUMMYFUNCTION("GOOGLETRANSLATE(A10479,""en"",""pt"")"),"Harry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79" s="3">
        <v>0</v>
      </c>
    </row>
    <row r="10480" ht="15.75" customHeight="1" spans="1:2">
      <c r="A10480" s="3" t="str">
        <f>IFERROR(__xludf.DUMMYFUNCTION("GOOGLETRANSLATE(A10480,""en"",""pt"")"),"Estes filmes de Harry Potter realmente chupar.")</f>
        <v>Estes filmes de Harry Potter realmente chupar.</v>
      </c>
      <c r="B10480" s="3">
        <v>0</v>
      </c>
    </row>
    <row r="10481" ht="15.75" customHeight="1" spans="1:2">
      <c r="A10481" s="3" t="str">
        <f>IFERROR(__xludf.DUMMYFUNCTION("GOOGLETRANSLATE(A10481,""en"",""pt"")"),"Eu odeio Harry Potter, que daniel wotshisface precisa de um tapa porra ...")</f>
        <v>Eu odeio Harry Potter, que daniel wotshisface precisa de um tapa porra ...</v>
      </c>
      <c r="B10481" s="3">
        <v>0</v>
      </c>
    </row>
    <row r="10482" ht="15.75" customHeight="1" spans="1:2">
      <c r="A10482" s="3" t="str">
        <f>IFERROR(__xludf.DUMMYFUNCTION("GOOGLETRANSLATE(A10482,""en"",""pt"")"),"Este questionário é uma merda e Harry Potter suga ok bye ..")</f>
        <v>Este questionário é uma merda e Harry Potter suga ok bye ..</v>
      </c>
      <c r="B10482" s="3">
        <v>0</v>
      </c>
    </row>
    <row r="10483" ht="15.75" customHeight="1" spans="1:2">
      <c r="A10483" s="3" t="str">
        <f>IFERROR(__xludf.DUMMYFUNCTION("GOOGLETRANSLATE(A10483,""en"",""pt"")"),"Eu odeio Harry Potter, é retarted, gay e estúpido e só há um cara preta ...")</f>
        <v>Eu odeio Harry Potter, é retarted, gay e estúpido e só há um cara preta ...</v>
      </c>
      <c r="B10483" s="3">
        <v>0</v>
      </c>
    </row>
    <row r="10484" ht="15.75" customHeight="1" spans="1:2">
      <c r="A10484" s="3" t="str">
        <f>IFERROR(__xludf.DUMMYFUNCTION("GOOGLETRANSLATE(A10484,""en"",""pt"")"),"É apenas mim, ou faz Harry Potter chupar? ...")</f>
        <v>É apenas mim, ou faz Harry Potter chupar? ...</v>
      </c>
      <c r="B10484" s="3">
        <v>0</v>
      </c>
    </row>
    <row r="10485" ht="15.75" customHeight="1" spans="1:2">
      <c r="A10485" s="3" t="str">
        <f>IFERROR(__xludf.DUMMYFUNCTION("GOOGLETRANSLATE(A10485,""en"",""pt"")"),"Sempre sabe o que eu quero, não cara louco, odeia Harry Potter ..")</f>
        <v>Sempre sabe o que eu quero, não cara louco, odeia Harry Potter ..</v>
      </c>
      <c r="B10485" s="3">
        <v>0</v>
      </c>
    </row>
    <row r="10486" ht="15.75" customHeight="1" spans="1:2">
      <c r="A10486" s="3" t="str">
        <f>IFERROR(__xludf.DUMMYFUNCTION("GOOGLETRANSLATE(A10486,""en"",""pt"")"),"Eu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86" s="3">
        <v>0</v>
      </c>
    </row>
    <row r="10487" ht="15.75" customHeight="1" spans="1:2">
      <c r="A10487" s="3" t="str">
        <f>IFERROR(__xludf.DUMMYFUNCTION("GOOGLETRANSLATE(A10487,""en"",""pt"")"),"Eu odeio Harry Potter.")</f>
        <v>Eu odeio Harry Potter.</v>
      </c>
      <c r="B10487" s="3">
        <v>0</v>
      </c>
    </row>
    <row r="10488" ht="15.75" customHeight="1" spans="1:2">
      <c r="A10488" s="3" t="str">
        <f>IFERROR(__xludf.DUMMYFUNCTION("GOOGLETRANSLATE(A10488,""en"",""pt"")"),"Não porque eu odeio Harry Potter, mas porque eu sou o tipo de pessoa que gosta quando as principais matrizes de caracteres.")</f>
        <v>Não porque eu odeio Harry Potter, mas porque eu sou o tipo de pessoa que gosta quando as principais matrizes de caracteres.</v>
      </c>
      <c r="B10488" s="3">
        <v>0</v>
      </c>
    </row>
    <row r="10489" ht="15.75" customHeight="1" spans="1:2">
      <c r="A10489" s="3" t="str">
        <f>IFERROR(__xludf.DUMMYFUNCTION("GOOGLETRANSLATE(A10489,""en"",""pt"")"),"Harry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89" s="3">
        <v>0</v>
      </c>
    </row>
    <row r="10490" ht="15.75" customHeight="1" spans="1:2">
      <c r="A10490" s="3" t="str">
        <f>IFERROR(__xludf.DUMMYFUNCTION("GOOGLETRANSLATE(A10490,""en"",""pt"")"),"Estes filmes de Harry Potter realmente chupar.")</f>
        <v>Estes filmes de Harry Potter realmente chupar.</v>
      </c>
      <c r="B10490" s="3">
        <v>0</v>
      </c>
    </row>
    <row r="10491" ht="15.75" customHeight="1" spans="1:2">
      <c r="A10491" s="3" t="str">
        <f>IFERROR(__xludf.DUMMYFUNCTION("GOOGLETRANSLATE(A10491,""en"",""pt"")"),"Eu odeio Harry Potter, que daniel wotshisface precisa de um tapa porra ...")</f>
        <v>Eu odeio Harry Potter, que daniel wotshisface precisa de um tapa porra ...</v>
      </c>
      <c r="B10491" s="3">
        <v>0</v>
      </c>
    </row>
    <row r="10492" ht="15.75" customHeight="1" spans="1:2">
      <c r="A10492" s="3" t="str">
        <f>IFERROR(__xludf.DUMMYFUNCTION("GOOGLETRANSLATE(A10492,""en"",""pt"")"),"Este questionário é uma merda e Harry Potter suga ok bye ..")</f>
        <v>Este questionário é uma merda e Harry Potter suga ok bye ..</v>
      </c>
      <c r="B10492" s="3">
        <v>0</v>
      </c>
    </row>
    <row r="10493" ht="15.75" customHeight="1" spans="1:2">
      <c r="A10493" s="3" t="str">
        <f>IFERROR(__xludf.DUMMYFUNCTION("GOOGLETRANSLATE(A10493,""en"",""pt"")"),"Eu odeio Harry Potter, é retarted, gay e estúpido e só há um cara preta ...")</f>
        <v>Eu odeio Harry Potter, é retarted, gay e estúpido e só há um cara preta ...</v>
      </c>
      <c r="B10493" s="3">
        <v>0</v>
      </c>
    </row>
    <row r="10494" ht="15.75" customHeight="1" spans="1:2">
      <c r="A10494" s="3" t="str">
        <f>IFERROR(__xludf.DUMMYFUNCTION("GOOGLETRANSLATE(A10494,""en"",""pt"")"),"É apenas mim, ou faz Harry Potter chupar? ...")</f>
        <v>É apenas mim, ou faz Harry Potter chupar? ...</v>
      </c>
      <c r="B10494" s="3">
        <v>0</v>
      </c>
    </row>
    <row r="10495" ht="15.75" customHeight="1" spans="1:2">
      <c r="A10495" s="3" t="str">
        <f>IFERROR(__xludf.DUMMYFUNCTION("GOOGLETRANSLATE(A10495,""en"",""pt"")"),"Sempre sabe o que eu quero, não cara louco, odeia Harry Potter ..")</f>
        <v>Sempre sabe o que eu quero, não cara louco, odeia Harry Potter ..</v>
      </c>
      <c r="B10495" s="3">
        <v>0</v>
      </c>
    </row>
    <row r="10496" ht="15.75" customHeight="1" spans="1:2">
      <c r="A10496" s="3" t="str">
        <f>IFERROR(__xludf.DUMMYFUNCTION("GOOGLETRANSLATE(A10496,""en"",""pt"")"),"Eu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496" s="3">
        <v>0</v>
      </c>
    </row>
    <row r="10497" ht="15.75" customHeight="1" spans="1:2">
      <c r="A10497" s="3" t="str">
        <f>IFERROR(__xludf.DUMMYFUNCTION("GOOGLETRANSLATE(A10497,""en"",""pt"")"),"Eu odeio Harry Potter.")</f>
        <v>Eu odeio Harry Potter.</v>
      </c>
      <c r="B10497" s="3">
        <v>0</v>
      </c>
    </row>
    <row r="10498" ht="15.75" customHeight="1" spans="1:2">
      <c r="A10498" s="3" t="str">
        <f>IFERROR(__xludf.DUMMYFUNCTION("GOOGLETRANSLATE(A10498,""en"",""pt"")"),"Não porque eu odeio Harry Potter, mas porque eu sou o tipo de pessoa que gosta quando as principais matrizes de caracteres.")</f>
        <v>Não porque eu odeio Harry Potter, mas porque eu sou o tipo de pessoa que gosta quando as principais matrizes de caracteres.</v>
      </c>
      <c r="B10498" s="3">
        <v>0</v>
      </c>
    </row>
    <row r="10499" ht="15.75" customHeight="1" spans="1:2">
      <c r="A10499" s="3" t="str">
        <f>IFERROR(__xludf.DUMMYFUNCTION("GOOGLETRANSLATE(A10499,""en"",""pt"")"),"Harry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499" s="3">
        <v>0</v>
      </c>
    </row>
    <row r="10500" ht="15.75" customHeight="1" spans="1:2">
      <c r="A10500" s="3" t="str">
        <f>IFERROR(__xludf.DUMMYFUNCTION("GOOGLETRANSLATE(A10500,""en"",""pt"")"),"Estes filmes de Harry Potter realmente chupar.")</f>
        <v>Estes filmes de Harry Potter realmente chupar.</v>
      </c>
      <c r="B10500" s="3">
        <v>0</v>
      </c>
    </row>
    <row r="10501" ht="15.75" customHeight="1" spans="1:2">
      <c r="A10501" s="3" t="str">
        <f>IFERROR(__xludf.DUMMYFUNCTION("GOOGLETRANSLATE(A10501,""en"",""pt"")"),"Eu odeio Harry Potter, que daniel wotshisface precisa de um tapa porra ...")</f>
        <v>Eu odeio Harry Potter, que daniel wotshisface precisa de um tapa porra ...</v>
      </c>
      <c r="B10501" s="3">
        <v>0</v>
      </c>
    </row>
    <row r="10502" ht="15.75" customHeight="1" spans="1:2">
      <c r="A10502" s="3" t="str">
        <f>IFERROR(__xludf.DUMMYFUNCTION("GOOGLETRANSLATE(A10502,""en"",""pt"")"),"Este questionário é uma merda e Harry Potter suga ok bye ..")</f>
        <v>Este questionário é uma merda e Harry Potter suga ok bye ..</v>
      </c>
      <c r="B10502" s="3">
        <v>0</v>
      </c>
    </row>
    <row r="10503" ht="15.75" customHeight="1" spans="1:2">
      <c r="A10503" s="3" t="str">
        <f>IFERROR(__xludf.DUMMYFUNCTION("GOOGLETRANSLATE(A10503,""en"",""pt"")"),"Eu odeio Harry Potter, é retarted, gay e estúpido e só há um cara preta ...")</f>
        <v>Eu odeio Harry Potter, é retarted, gay e estúpido e só há um cara preta ...</v>
      </c>
      <c r="B10503" s="3">
        <v>0</v>
      </c>
    </row>
    <row r="10504" ht="15.75" customHeight="1" spans="1:2">
      <c r="A10504" s="3" t="str">
        <f>IFERROR(__xludf.DUMMYFUNCTION("GOOGLETRANSLATE(A10504,""en"",""pt"")"),"É apenas mim, ou faz Harry Potter chupar? ...")</f>
        <v>É apenas mim, ou faz Harry Potter chupar? ...</v>
      </c>
      <c r="B10504" s="3">
        <v>0</v>
      </c>
    </row>
    <row r="10505" ht="15.75" customHeight="1" spans="1:2">
      <c r="A10505" s="3" t="str">
        <f>IFERROR(__xludf.DUMMYFUNCTION("GOOGLETRANSLATE(A10505,""en"",""pt"")"),"Sempre sabe o que eu quero, não cara louco, odeia Harry Potter ..")</f>
        <v>Sempre sabe o que eu quero, não cara louco, odeia Harry Potter ..</v>
      </c>
      <c r="B10505" s="3">
        <v>0</v>
      </c>
    </row>
    <row r="10506" ht="15.75" customHeight="1" spans="1:2">
      <c r="A10506" s="3" t="str">
        <f>IFERROR(__xludf.DUMMYFUNCTION("GOOGLETRANSLATE(A10506,""en"",""pt"")"),"Eu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06" s="3">
        <v>0</v>
      </c>
    </row>
    <row r="10507" ht="15.75" customHeight="1" spans="1:2">
      <c r="A10507" s="3" t="str">
        <f>IFERROR(__xludf.DUMMYFUNCTION("GOOGLETRANSLATE(A10507,""en"",""pt"")"),"Eu odeio Harry Potter.")</f>
        <v>Eu odeio Harry Potter.</v>
      </c>
      <c r="B10507" s="3">
        <v>0</v>
      </c>
    </row>
    <row r="10508" ht="15.75" customHeight="1" spans="1:2">
      <c r="A10508" s="3" t="str">
        <f>IFERROR(__xludf.DUMMYFUNCTION("GOOGLETRANSLATE(A10508,""en"",""pt"")"),"Não porque eu odeio Harry Potter, mas porque eu sou o tipo de pessoa que gosta quando as principais matrizes de caracteres.")</f>
        <v>Não porque eu odeio Harry Potter, mas porque eu sou o tipo de pessoa que gosta quando as principais matrizes de caracteres.</v>
      </c>
      <c r="B10508" s="3">
        <v>0</v>
      </c>
    </row>
    <row r="10509" ht="15.75" customHeight="1" spans="1:2">
      <c r="A10509" s="3" t="str">
        <f>IFERROR(__xludf.DUMMYFUNCTION("GOOGLETRANSLATE(A10509,""en"",""pt"")"),"Harry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09" s="3">
        <v>0</v>
      </c>
    </row>
    <row r="10510" ht="15.75" customHeight="1" spans="1:2">
      <c r="A10510" s="3" t="str">
        <f>IFERROR(__xludf.DUMMYFUNCTION("GOOGLETRANSLATE(A10510,""en"",""pt"")"),"Estes filmes de Harry Potter realmente chupar.")</f>
        <v>Estes filmes de Harry Potter realmente chupar.</v>
      </c>
      <c r="B10510" s="3">
        <v>0</v>
      </c>
    </row>
    <row r="10511" ht="15.75" customHeight="1" spans="1:2">
      <c r="A10511" s="3" t="str">
        <f>IFERROR(__xludf.DUMMYFUNCTION("GOOGLETRANSLATE(A10511,""en"",""pt"")"),"Eu odeio Harry Potter, que daniel wotshisface precisa de um tapa porra ...")</f>
        <v>Eu odeio Harry Potter, que daniel wotshisface precisa de um tapa porra ...</v>
      </c>
      <c r="B10511" s="3">
        <v>0</v>
      </c>
    </row>
    <row r="10512" ht="15.75" customHeight="1" spans="1:2">
      <c r="A10512" s="3" t="str">
        <f>IFERROR(__xludf.DUMMYFUNCTION("GOOGLETRANSLATE(A10512,""en"",""pt"")"),"Este questionário é uma merda e Harry Potter suga ok bye ..")</f>
        <v>Este questionário é uma merda e Harry Potter suga ok bye ..</v>
      </c>
      <c r="B10512" s="3">
        <v>0</v>
      </c>
    </row>
    <row r="10513" ht="15.75" customHeight="1" spans="1:2">
      <c r="A10513" s="3" t="str">
        <f>IFERROR(__xludf.DUMMYFUNCTION("GOOGLETRANSLATE(A10513,""en"",""pt"")"),"Eu odeio Harry Potter, é retarted, gay e estúpido e só há um cara preta ...")</f>
        <v>Eu odeio Harry Potter, é retarted, gay e estúpido e só há um cara preta ...</v>
      </c>
      <c r="B10513" s="3">
        <v>0</v>
      </c>
    </row>
    <row r="10514" ht="15.75" customHeight="1" spans="1:2">
      <c r="A10514" s="3" t="str">
        <f>IFERROR(__xludf.DUMMYFUNCTION("GOOGLETRANSLATE(A10514,""en"",""pt"")"),"É apenas mim, ou faz Harry Potter chupar? ...")</f>
        <v>É apenas mim, ou faz Harry Potter chupar? ...</v>
      </c>
      <c r="B10514" s="3">
        <v>0</v>
      </c>
    </row>
    <row r="10515" ht="15.75" customHeight="1" spans="1:2">
      <c r="A10515" s="3" t="str">
        <f>IFERROR(__xludf.DUMMYFUNCTION("GOOGLETRANSLATE(A10515,""en"",""pt"")"),"Sempre sabe o que eu quero, não cara louco, odeia Harry Potter ..")</f>
        <v>Sempre sabe o que eu quero, não cara louco, odeia Harry Potter ..</v>
      </c>
      <c r="B10515" s="3">
        <v>0</v>
      </c>
    </row>
    <row r="10516" ht="15.75" customHeight="1" spans="1:2">
      <c r="A10516" s="3" t="str">
        <f>IFERROR(__xludf.DUMMYFUNCTION("GOOGLETRANSLATE(A10516,""en"",""pt"")"),"Eu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16" s="3">
        <v>0</v>
      </c>
    </row>
    <row r="10517" ht="15.75" customHeight="1" spans="1:2">
      <c r="A10517" s="3" t="str">
        <f>IFERROR(__xludf.DUMMYFUNCTION("GOOGLETRANSLATE(A10517,""en"",""pt"")"),"Eu odeio Harry Potter.")</f>
        <v>Eu odeio Harry Potter.</v>
      </c>
      <c r="B10517" s="3">
        <v>0</v>
      </c>
    </row>
    <row r="10518" ht="15.75" customHeight="1" spans="1:2">
      <c r="A10518" s="3" t="str">
        <f>IFERROR(__xludf.DUMMYFUNCTION("GOOGLETRANSLATE(A10518,""en"",""pt"")"),"Não porque eu odeio Harry Potter, mas porque eu sou o tipo de pessoa que gosta quando as principais matrizes de caracteres.")</f>
        <v>Não porque eu odeio Harry Potter, mas porque eu sou o tipo de pessoa que gosta quando as principais matrizes de caracteres.</v>
      </c>
      <c r="B10518" s="3">
        <v>0</v>
      </c>
    </row>
    <row r="10519" ht="15.75" customHeight="1" spans="1:2">
      <c r="A10519" s="3" t="str">
        <f>IFERROR(__xludf.DUMMYFUNCTION("GOOGLETRANSLATE(A10519,""en"",""pt"")"),"Harry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19" s="3">
        <v>0</v>
      </c>
    </row>
    <row r="10520" ht="15.75" customHeight="1" spans="1:2">
      <c r="A10520" s="3" t="str">
        <f>IFERROR(__xludf.DUMMYFUNCTION("GOOGLETRANSLATE(A10520,""en"",""pt"")"),"Estes filmes de Harry Potter realmente chupar.")</f>
        <v>Estes filmes de Harry Potter realmente chupar.</v>
      </c>
      <c r="B10520" s="3">
        <v>0</v>
      </c>
    </row>
    <row r="10521" ht="15.75" customHeight="1" spans="1:2">
      <c r="A10521" s="3" t="str">
        <f>IFERROR(__xludf.DUMMYFUNCTION("GOOGLETRANSLATE(A10521,""en"",""pt"")"),"Eu odeio Harry Potter, que daniel wotshisface precisa de um tapa porra ...")</f>
        <v>Eu odeio Harry Potter, que daniel wotshisface precisa de um tapa porra ...</v>
      </c>
      <c r="B10521" s="3">
        <v>0</v>
      </c>
    </row>
    <row r="10522" ht="15.75" customHeight="1" spans="1:2">
      <c r="A10522" s="3" t="str">
        <f>IFERROR(__xludf.DUMMYFUNCTION("GOOGLETRANSLATE(A10522,""en"",""pt"")"),"Este questionário é uma merda e Harry Potter suga ok bye ..")</f>
        <v>Este questionário é uma merda e Harry Potter suga ok bye ..</v>
      </c>
      <c r="B10522" s="3">
        <v>0</v>
      </c>
    </row>
    <row r="10523" ht="15.75" customHeight="1" spans="1:2">
      <c r="A10523" s="3" t="str">
        <f>IFERROR(__xludf.DUMMYFUNCTION("GOOGLETRANSLATE(A10523,""en"",""pt"")"),"Eu odeio Harry Potter, é retarted, gay e estúpido e só há um cara preta ...")</f>
        <v>Eu odeio Harry Potter, é retarted, gay e estúpido e só há um cara preta ...</v>
      </c>
      <c r="B10523" s="3">
        <v>0</v>
      </c>
    </row>
    <row r="10524" ht="15.75" customHeight="1" spans="1:2">
      <c r="A10524" s="3" t="str">
        <f>IFERROR(__xludf.DUMMYFUNCTION("GOOGLETRANSLATE(A10524,""en"",""pt"")"),"É apenas mim, ou faz Harry Potter chupar? ...")</f>
        <v>É apenas mim, ou faz Harry Potter chupar? ...</v>
      </c>
      <c r="B10524" s="3">
        <v>0</v>
      </c>
    </row>
    <row r="10525" ht="15.75" customHeight="1" spans="1:2">
      <c r="A10525" s="3" t="str">
        <f>IFERROR(__xludf.DUMMYFUNCTION("GOOGLETRANSLATE(A10525,""en"",""pt"")"),"Sempre sabe o que eu quero, não cara louco, odeia Harry Potter ..")</f>
        <v>Sempre sabe o que eu quero, não cara louco, odeia Harry Potter ..</v>
      </c>
      <c r="B10525" s="3">
        <v>0</v>
      </c>
    </row>
    <row r="10526" ht="15.75" customHeight="1" spans="1:2">
      <c r="A10526" s="3" t="str">
        <f>IFERROR(__xludf.DUMMYFUNCTION("GOOGLETRANSLATE(A10526,""en"",""pt"")"),"Eu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26" s="3">
        <v>0</v>
      </c>
    </row>
    <row r="10527" ht="15.75" customHeight="1" spans="1:2">
      <c r="A10527" s="3" t="str">
        <f>IFERROR(__xludf.DUMMYFUNCTION("GOOGLETRANSLATE(A10527,""en"",""pt"")"),"Eu odeio Harry Potter.")</f>
        <v>Eu odeio Harry Potter.</v>
      </c>
      <c r="B10527" s="3">
        <v>0</v>
      </c>
    </row>
    <row r="10528" ht="15.75" customHeight="1" spans="1:2">
      <c r="A10528" s="3" t="str">
        <f>IFERROR(__xludf.DUMMYFUNCTION("GOOGLETRANSLATE(A10528,""en"",""pt"")"),"Não porque eu odeio Harry Potter, mas porque eu sou o tipo de pessoa que gosta quando as principais matrizes de caracteres.")</f>
        <v>Não porque eu odeio Harry Potter, mas porque eu sou o tipo de pessoa que gosta quando as principais matrizes de caracteres.</v>
      </c>
      <c r="B10528" s="3">
        <v>0</v>
      </c>
    </row>
    <row r="10529" ht="15.75" customHeight="1" spans="1:2">
      <c r="A10529" s="3" t="str">
        <f>IFERROR(__xludf.DUMMYFUNCTION("GOOGLETRANSLATE(A10529,""en"",""pt"")"),"Harry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29" s="3">
        <v>0</v>
      </c>
    </row>
    <row r="10530" ht="15.75" customHeight="1" spans="1:2">
      <c r="A10530" s="3" t="str">
        <f>IFERROR(__xludf.DUMMYFUNCTION("GOOGLETRANSLATE(A10530,""en"",""pt"")"),"Estes filmes de Harry Potter realmente chupar.")</f>
        <v>Estes filmes de Harry Potter realmente chupar.</v>
      </c>
      <c r="B10530" s="3">
        <v>0</v>
      </c>
    </row>
    <row r="10531" ht="15.75" customHeight="1" spans="1:2">
      <c r="A10531" s="3" t="str">
        <f>IFERROR(__xludf.DUMMYFUNCTION("GOOGLETRANSLATE(A10531,""en"",""pt"")"),"Eu odeio Harry Potter, que daniel wotshisface precisa de um tapa porra ...")</f>
        <v>Eu odeio Harry Potter, que daniel wotshisface precisa de um tapa porra ...</v>
      </c>
      <c r="B10531" s="3">
        <v>0</v>
      </c>
    </row>
    <row r="10532" ht="15.75" customHeight="1" spans="1:2">
      <c r="A10532" s="3" t="str">
        <f>IFERROR(__xludf.DUMMYFUNCTION("GOOGLETRANSLATE(A10532,""en"",""pt"")"),"Este questionário é uma merda e Harry Potter suga ok bye ..")</f>
        <v>Este questionário é uma merda e Harry Potter suga ok bye ..</v>
      </c>
      <c r="B10532" s="3">
        <v>0</v>
      </c>
    </row>
    <row r="10533" ht="15.75" customHeight="1" spans="1:2">
      <c r="A10533" s="3" t="str">
        <f>IFERROR(__xludf.DUMMYFUNCTION("GOOGLETRANSLATE(A10533,""en"",""pt"")"),"Eu odeio Harry Potter, é retarted, gay e estúpido e só há um cara preta ...")</f>
        <v>Eu odeio Harry Potter, é retarted, gay e estúpido e só há um cara preta ...</v>
      </c>
      <c r="B10533" s="3">
        <v>0</v>
      </c>
    </row>
    <row r="10534" ht="15.75" customHeight="1" spans="1:2">
      <c r="A10534" s="3" t="str">
        <f>IFERROR(__xludf.DUMMYFUNCTION("GOOGLETRANSLATE(A10534,""en"",""pt"")"),"É apenas mim, ou faz Harry Potter chupar? ...")</f>
        <v>É apenas mim, ou faz Harry Potter chupar? ...</v>
      </c>
      <c r="B10534" s="3">
        <v>0</v>
      </c>
    </row>
    <row r="10535" ht="15.75" customHeight="1" spans="1:2">
      <c r="A10535" s="3" t="str">
        <f>IFERROR(__xludf.DUMMYFUNCTION("GOOGLETRANSLATE(A10535,""en"",""pt"")"),"Sempre sabe o que eu quero, não cara louco, odeia Harry Potter ..")</f>
        <v>Sempre sabe o que eu quero, não cara louco, odeia Harry Potter ..</v>
      </c>
      <c r="B10535" s="3">
        <v>0</v>
      </c>
    </row>
    <row r="10536" ht="15.75" customHeight="1" spans="1:2">
      <c r="A10536" s="3" t="str">
        <f>IFERROR(__xludf.DUMMYFUNCTION("GOOGLETRANSLATE(A10536,""en"",""pt"")"),"Eu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36" s="3">
        <v>0</v>
      </c>
    </row>
    <row r="10537" ht="15.75" customHeight="1" spans="1:2">
      <c r="A10537" s="3" t="str">
        <f>IFERROR(__xludf.DUMMYFUNCTION("GOOGLETRANSLATE(A10537,""en"",""pt"")"),"Eu odeio Harry Potter.")</f>
        <v>Eu odeio Harry Potter.</v>
      </c>
      <c r="B10537" s="3">
        <v>0</v>
      </c>
    </row>
    <row r="10538" ht="15.75" customHeight="1" spans="1:2">
      <c r="A10538" s="3" t="str">
        <f>IFERROR(__xludf.DUMMYFUNCTION("GOOGLETRANSLATE(A10538,""en"",""pt"")"),"Não porque eu odeio Harry Potter, mas porque eu sou o tipo de pessoa que gosta quando as principais matrizes de caracteres.")</f>
        <v>Não porque eu odeio Harry Potter, mas porque eu sou o tipo de pessoa que gosta quando as principais matrizes de caracteres.</v>
      </c>
      <c r="B10538" s="3">
        <v>0</v>
      </c>
    </row>
    <row r="10539" ht="15.75" customHeight="1" spans="1:2">
      <c r="A10539" s="3" t="str">
        <f>IFERROR(__xludf.DUMMYFUNCTION("GOOGLETRANSLATE(A10539,""en"",""pt"")"),"Harry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39" s="3">
        <v>0</v>
      </c>
    </row>
    <row r="10540" ht="15.75" customHeight="1" spans="1:2">
      <c r="A10540" s="3" t="str">
        <f>IFERROR(__xludf.DUMMYFUNCTION("GOOGLETRANSLATE(A10540,""en"",""pt"")"),"Estes filmes de Harry Potter realmente chupar.")</f>
        <v>Estes filmes de Harry Potter realmente chupar.</v>
      </c>
      <c r="B10540" s="3">
        <v>0</v>
      </c>
    </row>
    <row r="10541" ht="15.75" customHeight="1" spans="1:2">
      <c r="A10541" s="3" t="str">
        <f>IFERROR(__xludf.DUMMYFUNCTION("GOOGLETRANSLATE(A10541,""en"",""pt"")"),"Eu odeio Harry Potter, que daniel wotshisface precisa de um tapa porra ...")</f>
        <v>Eu odeio Harry Potter, que daniel wotshisface precisa de um tapa porra ...</v>
      </c>
      <c r="B10541" s="3">
        <v>0</v>
      </c>
    </row>
    <row r="10542" ht="15.75" customHeight="1" spans="1:2">
      <c r="A10542" s="3" t="str">
        <f>IFERROR(__xludf.DUMMYFUNCTION("GOOGLETRANSLATE(A10542,""en"",""pt"")"),"Este questionário é uma merda e Harry Potter suga ok bye ..")</f>
        <v>Este questionário é uma merda e Harry Potter suga ok bye ..</v>
      </c>
      <c r="B10542" s="3">
        <v>0</v>
      </c>
    </row>
    <row r="10543" ht="15.75" customHeight="1" spans="1:2">
      <c r="A10543" s="3" t="str">
        <f>IFERROR(__xludf.DUMMYFUNCTION("GOOGLETRANSLATE(A10543,""en"",""pt"")"),"Eu odeio Harry Potter, é retarted, gay e estúpido e só há um cara preta ...")</f>
        <v>Eu odeio Harry Potter, é retarted, gay e estúpido e só há um cara preta ...</v>
      </c>
      <c r="B10543" s="3">
        <v>0</v>
      </c>
    </row>
    <row r="10544" ht="15.75" customHeight="1" spans="1:2">
      <c r="A10544" s="3" t="str">
        <f>IFERROR(__xludf.DUMMYFUNCTION("GOOGLETRANSLATE(A10544,""en"",""pt"")"),"É apenas mim, ou faz Harry Potter chupar? ...")</f>
        <v>É apenas mim, ou faz Harry Potter chupar? ...</v>
      </c>
      <c r="B10544" s="3">
        <v>0</v>
      </c>
    </row>
    <row r="10545" ht="15.75" customHeight="1" spans="1:2">
      <c r="A10545" s="3" t="str">
        <f>IFERROR(__xludf.DUMMYFUNCTION("GOOGLETRANSLATE(A10545,""en"",""pt"")"),"Sempre sabe o que eu quero, não cara louco, odeia Harry Potter ..")</f>
        <v>Sempre sabe o que eu quero, não cara louco, odeia Harry Potter ..</v>
      </c>
      <c r="B10545" s="3">
        <v>0</v>
      </c>
    </row>
    <row r="10546" ht="15.75" customHeight="1" spans="1:2">
      <c r="A10546" s="3" t="str">
        <f>IFERROR(__xludf.DUMMYFUNCTION("GOOGLETRANSLATE(A10546,""en"",""pt"")"),"Eu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46" s="3">
        <v>0</v>
      </c>
    </row>
    <row r="10547" ht="15.75" customHeight="1" spans="1:2">
      <c r="A10547" s="3" t="str">
        <f>IFERROR(__xludf.DUMMYFUNCTION("GOOGLETRANSLATE(A10547,""en"",""pt"")"),"Eu odeio Harry Potter.")</f>
        <v>Eu odeio Harry Potter.</v>
      </c>
      <c r="B10547" s="3">
        <v>0</v>
      </c>
    </row>
    <row r="10548" ht="15.75" customHeight="1" spans="1:2">
      <c r="A10548" s="3" t="str">
        <f>IFERROR(__xludf.DUMMYFUNCTION("GOOGLETRANSLATE(A10548,""en"",""pt"")"),"Não porque eu odeio Harry Potter, mas porque eu sou o tipo de pessoa que gosta quando as principais matrizes de caracteres.")</f>
        <v>Não porque eu odeio Harry Potter, mas porque eu sou o tipo de pessoa que gosta quando as principais matrizes de caracteres.</v>
      </c>
      <c r="B10548" s="3">
        <v>0</v>
      </c>
    </row>
    <row r="10549" ht="15.75" customHeight="1" spans="1:2">
      <c r="A10549" s="3" t="str">
        <f>IFERROR(__xludf.DUMMYFUNCTION("GOOGLETRANSLATE(A10549,""en"",""pt"")"),"Harry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49" s="3">
        <v>0</v>
      </c>
    </row>
    <row r="10550" ht="15.75" customHeight="1" spans="1:2">
      <c r="A10550" s="3" t="str">
        <f>IFERROR(__xludf.DUMMYFUNCTION("GOOGLETRANSLATE(A10550,""en"",""pt"")"),"Estes filmes de Harry Potter realmente chupar.")</f>
        <v>Estes filmes de Harry Potter realmente chupar.</v>
      </c>
      <c r="B10550" s="3">
        <v>0</v>
      </c>
    </row>
    <row r="10551" ht="15.75" customHeight="1" spans="1:2">
      <c r="A10551" s="3" t="str">
        <f>IFERROR(__xludf.DUMMYFUNCTION("GOOGLETRANSLATE(A10551,""en"",""pt"")"),"Eu odeio Harry Potter, que daniel wotshisface precisa de um tapa porra ...")</f>
        <v>Eu odeio Harry Potter, que daniel wotshisface precisa de um tapa porra ...</v>
      </c>
      <c r="B10551" s="3">
        <v>0</v>
      </c>
    </row>
    <row r="10552" ht="15.75" customHeight="1" spans="1:2">
      <c r="A10552" s="3" t="str">
        <f>IFERROR(__xludf.DUMMYFUNCTION("GOOGLETRANSLATE(A10552,""en"",""pt"")"),"Este questionário é uma merda e Harry Potter suga ok bye ..")</f>
        <v>Este questionário é uma merda e Harry Potter suga ok bye ..</v>
      </c>
      <c r="B10552" s="3">
        <v>0</v>
      </c>
    </row>
    <row r="10553" ht="15.75" customHeight="1" spans="1:2">
      <c r="A10553" s="3" t="str">
        <f>IFERROR(__xludf.DUMMYFUNCTION("GOOGLETRANSLATE(A10553,""en"",""pt"")"),"Eu odeio Harry Potter, é retarted, gay e estúpido e só há um cara preta ...")</f>
        <v>Eu odeio Harry Potter, é retarted, gay e estúpido e só há um cara preta ...</v>
      </c>
      <c r="B10553" s="3">
        <v>0</v>
      </c>
    </row>
    <row r="10554" ht="15.75" customHeight="1" spans="1:2">
      <c r="A10554" s="3" t="str">
        <f>IFERROR(__xludf.DUMMYFUNCTION("GOOGLETRANSLATE(A10554,""en"",""pt"")"),"É apenas mim, ou faz Harry Potter chupar? ...")</f>
        <v>É apenas mim, ou faz Harry Potter chupar? ...</v>
      </c>
      <c r="B10554" s="3">
        <v>0</v>
      </c>
    </row>
    <row r="10555" ht="15.75" customHeight="1" spans="1:2">
      <c r="A10555" s="3" t="str">
        <f>IFERROR(__xludf.DUMMYFUNCTION("GOOGLETRANSLATE(A10555,""en"",""pt"")"),"Sempre sabe o que eu quero, não cara louco, odeia Harry Potter ..")</f>
        <v>Sempre sabe o que eu quero, não cara louco, odeia Harry Potter ..</v>
      </c>
      <c r="B10555" s="3">
        <v>0</v>
      </c>
    </row>
    <row r="10556" ht="15.75" customHeight="1" spans="1:2">
      <c r="A10556" s="3" t="str">
        <f>IFERROR(__xludf.DUMMYFUNCTION("GOOGLETRANSLATE(A10556,""en"",""pt"")"),"Eu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56" s="3">
        <v>0</v>
      </c>
    </row>
    <row r="10557" ht="15.75" customHeight="1" spans="1:2">
      <c r="A10557" s="3" t="str">
        <f>IFERROR(__xludf.DUMMYFUNCTION("GOOGLETRANSLATE(A10557,""en"",""pt"")"),"Eu odeio Harry Potter.")</f>
        <v>Eu odeio Harry Potter.</v>
      </c>
      <c r="B10557" s="3">
        <v>0</v>
      </c>
    </row>
    <row r="10558" ht="15.75" customHeight="1" spans="1:2">
      <c r="A10558" s="3" t="str">
        <f>IFERROR(__xludf.DUMMYFUNCTION("GOOGLETRANSLATE(A10558,""en"",""pt"")"),"Não porque eu odeio Harry Potter, mas porque eu sou o tipo de pessoa que gosta quando as principais matrizes de caracteres.")</f>
        <v>Não porque eu odeio Harry Potter, mas porque eu sou o tipo de pessoa que gosta quando as principais matrizes de caracteres.</v>
      </c>
      <c r="B10558" s="3">
        <v>0</v>
      </c>
    </row>
    <row r="10559" ht="15.75" customHeight="1" spans="1:2">
      <c r="A10559" s="3" t="str">
        <f>IFERROR(__xludf.DUMMYFUNCTION("GOOGLETRANSLATE(A10559,""en"",""pt"")"),"Harry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59" s="3">
        <v>0</v>
      </c>
    </row>
    <row r="10560" ht="15.75" customHeight="1" spans="1:2">
      <c r="A10560" s="3" t="str">
        <f>IFERROR(__xludf.DUMMYFUNCTION("GOOGLETRANSLATE(A10560,""en"",""pt"")"),"Estes filmes de Harry Potter realmente chupar.")</f>
        <v>Estes filmes de Harry Potter realmente chupar.</v>
      </c>
      <c r="B10560" s="3">
        <v>0</v>
      </c>
    </row>
    <row r="10561" ht="15.75" customHeight="1" spans="1:2">
      <c r="A10561" s="3" t="str">
        <f>IFERROR(__xludf.DUMMYFUNCTION("GOOGLETRANSLATE(A10561,""en"",""pt"")"),"Eu odeio Harry Potter, que daniel wotshisface precisa de um tapa porra ...")</f>
        <v>Eu odeio Harry Potter, que daniel wotshisface precisa de um tapa porra ...</v>
      </c>
      <c r="B10561" s="3">
        <v>0</v>
      </c>
    </row>
    <row r="10562" ht="15.75" customHeight="1" spans="1:2">
      <c r="A10562" s="3" t="str">
        <f>IFERROR(__xludf.DUMMYFUNCTION("GOOGLETRANSLATE(A10562,""en"",""pt"")"),"Este questionário é uma merda e Harry Potter suga ok bye ..")</f>
        <v>Este questionário é uma merda e Harry Potter suga ok bye ..</v>
      </c>
      <c r="B10562" s="3">
        <v>0</v>
      </c>
    </row>
    <row r="10563" ht="15.75" customHeight="1" spans="1:2">
      <c r="A10563" s="3" t="str">
        <f>IFERROR(__xludf.DUMMYFUNCTION("GOOGLETRANSLATE(A10563,""en"",""pt"")"),"Eu odeio Harry Potter, é retarted, gay e estúpido e só há um cara preta ...")</f>
        <v>Eu odeio Harry Potter, é retarted, gay e estúpido e só há um cara preta ...</v>
      </c>
      <c r="B10563" s="3">
        <v>0</v>
      </c>
    </row>
    <row r="10564" ht="15.75" customHeight="1" spans="1:2">
      <c r="A10564" s="3" t="str">
        <f>IFERROR(__xludf.DUMMYFUNCTION("GOOGLETRANSLATE(A10564,""en"",""pt"")"),"É apenas mim, ou faz Harry Potter chupar? ...")</f>
        <v>É apenas mim, ou faz Harry Potter chupar? ...</v>
      </c>
      <c r="B10564" s="3">
        <v>0</v>
      </c>
    </row>
    <row r="10565" ht="15.75" customHeight="1" spans="1:2">
      <c r="A10565" s="3" t="str">
        <f>IFERROR(__xludf.DUMMYFUNCTION("GOOGLETRANSLATE(A10565,""en"",""pt"")"),"Sempre sabe o que eu quero, não cara louco, odeia Harry Potter ..")</f>
        <v>Sempre sabe o que eu quero, não cara louco, odeia Harry Potter ..</v>
      </c>
      <c r="B10565" s="3">
        <v>0</v>
      </c>
    </row>
    <row r="10566" ht="15.75" customHeight="1" spans="1:2">
      <c r="A10566" s="3" t="str">
        <f>IFERROR(__xludf.DUMMYFUNCTION("GOOGLETRANSLATE(A10566,""en"",""pt"")"),"Eu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66" s="3">
        <v>0</v>
      </c>
    </row>
    <row r="10567" ht="15.75" customHeight="1" spans="1:2">
      <c r="A10567" s="3" t="str">
        <f>IFERROR(__xludf.DUMMYFUNCTION("GOOGLETRANSLATE(A10567,""en"",""pt"")"),"Eu odeio Harry Potter.")</f>
        <v>Eu odeio Harry Potter.</v>
      </c>
      <c r="B10567" s="3">
        <v>0</v>
      </c>
    </row>
    <row r="10568" ht="15.75" customHeight="1" spans="1:2">
      <c r="A10568" s="3" t="str">
        <f>IFERROR(__xludf.DUMMYFUNCTION("GOOGLETRANSLATE(A10568,""en"",""pt"")"),"Não porque eu odeio Harry Potter, mas porque eu sou o tipo de pessoa que gosta quando as principais matrizes de caracteres.")</f>
        <v>Não porque eu odeio Harry Potter, mas porque eu sou o tipo de pessoa que gosta quando as principais matrizes de caracteres.</v>
      </c>
      <c r="B10568" s="3">
        <v>0</v>
      </c>
    </row>
    <row r="10569" ht="15.75" customHeight="1" spans="1:2">
      <c r="A10569" s="3" t="str">
        <f>IFERROR(__xludf.DUMMYFUNCTION("GOOGLETRANSLATE(A10569,""en"",""pt"")"),"Harry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69" s="3">
        <v>0</v>
      </c>
    </row>
    <row r="10570" ht="15.75" customHeight="1" spans="1:2">
      <c r="A10570" s="3" t="str">
        <f>IFERROR(__xludf.DUMMYFUNCTION("GOOGLETRANSLATE(A10570,""en"",""pt"")"),"Estes filmes de Harry Potter realmente chupar.")</f>
        <v>Estes filmes de Harry Potter realmente chupar.</v>
      </c>
      <c r="B10570" s="3">
        <v>0</v>
      </c>
    </row>
    <row r="10571" ht="15.75" customHeight="1" spans="1:2">
      <c r="A10571" s="3" t="str">
        <f>IFERROR(__xludf.DUMMYFUNCTION("GOOGLETRANSLATE(A10571,""en"",""pt"")"),"Eu odeio Harry Potter, que daniel wotshisface precisa de um tapa porra ...")</f>
        <v>Eu odeio Harry Potter, que daniel wotshisface precisa de um tapa porra ...</v>
      </c>
      <c r="B10571" s="3">
        <v>0</v>
      </c>
    </row>
    <row r="10572" ht="15.75" customHeight="1" spans="1:2">
      <c r="A10572" s="3" t="str">
        <f>IFERROR(__xludf.DUMMYFUNCTION("GOOGLETRANSLATE(A10572,""en"",""pt"")"),"Este questionário é uma merda e Harry Potter suga ok bye ..")</f>
        <v>Este questionário é uma merda e Harry Potter suga ok bye ..</v>
      </c>
      <c r="B10572" s="3">
        <v>0</v>
      </c>
    </row>
    <row r="10573" ht="15.75" customHeight="1" spans="1:2">
      <c r="A10573" s="3" t="str">
        <f>IFERROR(__xludf.DUMMYFUNCTION("GOOGLETRANSLATE(A10573,""en"",""pt"")"),"Eu odeio Harry Potter, é retarted, gay e estúpido e só há um cara preta ...")</f>
        <v>Eu odeio Harry Potter, é retarted, gay e estúpido e só há um cara preta ...</v>
      </c>
      <c r="B10573" s="3">
        <v>0</v>
      </c>
    </row>
    <row r="10574" ht="15.75" customHeight="1" spans="1:2">
      <c r="A10574" s="3" t="str">
        <f>IFERROR(__xludf.DUMMYFUNCTION("GOOGLETRANSLATE(A10574,""en"",""pt"")"),"É apenas mim, ou faz Harry Potter chupar? ...")</f>
        <v>É apenas mim, ou faz Harry Potter chupar? ...</v>
      </c>
      <c r="B10574" s="3">
        <v>0</v>
      </c>
    </row>
    <row r="10575" ht="15.75" customHeight="1" spans="1:2">
      <c r="A10575" s="3" t="str">
        <f>IFERROR(__xludf.DUMMYFUNCTION("GOOGLETRANSLATE(A10575,""en"",""pt"")"),"Sempre sabe o que eu quero, não cara louco, odeia Harry Potter ..")</f>
        <v>Sempre sabe o que eu quero, não cara louco, odeia Harry Potter ..</v>
      </c>
      <c r="B10575" s="3">
        <v>0</v>
      </c>
    </row>
    <row r="10576" ht="15.75" customHeight="1" spans="1:2">
      <c r="A10576" s="3" t="str">
        <f>IFERROR(__xludf.DUMMYFUNCTION("GOOGLETRANSLATE(A10576,""en"",""pt"")"),"Eu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76" s="3">
        <v>0</v>
      </c>
    </row>
    <row r="10577" ht="15.75" customHeight="1" spans="1:2">
      <c r="A10577" s="3" t="str">
        <f>IFERROR(__xludf.DUMMYFUNCTION("GOOGLETRANSLATE(A10577,""en"",""pt"")"),"Eu odeio Harry Potter.")</f>
        <v>Eu odeio Harry Potter.</v>
      </c>
      <c r="B10577" s="3">
        <v>0</v>
      </c>
    </row>
    <row r="10578" ht="15.75" customHeight="1" spans="1:2">
      <c r="A10578" s="3" t="str">
        <f>IFERROR(__xludf.DUMMYFUNCTION("GOOGLETRANSLATE(A10578,""en"",""pt"")"),"Não porque eu odeio Harry Potter, mas porque eu sou o tipo de pessoa que gosta quando as principais matrizes de caracteres.")</f>
        <v>Não porque eu odeio Harry Potter, mas porque eu sou o tipo de pessoa que gosta quando as principais matrizes de caracteres.</v>
      </c>
      <c r="B10578" s="3">
        <v>0</v>
      </c>
    </row>
    <row r="10579" ht="15.75" customHeight="1" spans="1:2">
      <c r="A10579" s="3" t="str">
        <f>IFERROR(__xludf.DUMMYFUNCTION("GOOGLETRANSLATE(A10579,""en"",""pt"")"),"Harry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79" s="3">
        <v>0</v>
      </c>
    </row>
    <row r="10580" ht="15.75" customHeight="1" spans="1:2">
      <c r="A10580" s="3" t="str">
        <f>IFERROR(__xludf.DUMMYFUNCTION("GOOGLETRANSLATE(A10580,""en"",""pt"")"),"Estes filmes de Harry Potter realmente chupar.")</f>
        <v>Estes filmes de Harry Potter realmente chupar.</v>
      </c>
      <c r="B10580" s="3">
        <v>0</v>
      </c>
    </row>
    <row r="10581" ht="15.75" customHeight="1" spans="1:2">
      <c r="A10581" s="3" t="str">
        <f>IFERROR(__xludf.DUMMYFUNCTION("GOOGLETRANSLATE(A10581,""en"",""pt"")"),"Eu odeio Harry Potter, que daniel wotshisface precisa de um tapa porra ...")</f>
        <v>Eu odeio Harry Potter, que daniel wotshisface precisa de um tapa porra ...</v>
      </c>
      <c r="B10581" s="3">
        <v>0</v>
      </c>
    </row>
    <row r="10582" ht="15.75" customHeight="1" spans="1:2">
      <c r="A10582" s="3" t="str">
        <f>IFERROR(__xludf.DUMMYFUNCTION("GOOGLETRANSLATE(A10582,""en"",""pt"")"),"Este questionário é uma merda e Harry Potter suga ok bye ..")</f>
        <v>Este questionário é uma merda e Harry Potter suga ok bye ..</v>
      </c>
      <c r="B10582" s="3">
        <v>0</v>
      </c>
    </row>
    <row r="10583" ht="15.75" customHeight="1" spans="1:2">
      <c r="A10583" s="3" t="str">
        <f>IFERROR(__xludf.DUMMYFUNCTION("GOOGLETRANSLATE(A10583,""en"",""pt"")"),"Eu odeio Harry Potter, é retarted, gay e estúpido e só há um cara preta ...")</f>
        <v>Eu odeio Harry Potter, é retarted, gay e estúpido e só há um cara preta ...</v>
      </c>
      <c r="B10583" s="3">
        <v>0</v>
      </c>
    </row>
    <row r="10584" ht="15.75" customHeight="1" spans="1:2">
      <c r="A10584" s="3" t="str">
        <f>IFERROR(__xludf.DUMMYFUNCTION("GOOGLETRANSLATE(A10584,""en"",""pt"")"),"É apenas mim, ou faz Harry Potter chupar? ...")</f>
        <v>É apenas mim, ou faz Harry Potter chupar? ...</v>
      </c>
      <c r="B10584" s="3">
        <v>0</v>
      </c>
    </row>
    <row r="10585" ht="15.75" customHeight="1" spans="1:2">
      <c r="A10585" s="3" t="str">
        <f>IFERROR(__xludf.DUMMYFUNCTION("GOOGLETRANSLATE(A10585,""en"",""pt"")"),"Sempre sabe o que eu quero, não cara louco, odeia Harry Potter ..")</f>
        <v>Sempre sabe o que eu quero, não cara louco, odeia Harry Potter ..</v>
      </c>
      <c r="B10585" s="3">
        <v>0</v>
      </c>
    </row>
    <row r="10586" ht="15.75" customHeight="1" spans="1:2">
      <c r="A10586" s="3" t="str">
        <f>IFERROR(__xludf.DUMMYFUNCTION("GOOGLETRANSLATE(A10586,""en"",""pt"")"),"Eu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86" s="3">
        <v>0</v>
      </c>
    </row>
    <row r="10587" ht="15.75" customHeight="1" spans="1:2">
      <c r="A10587" s="3" t="str">
        <f>IFERROR(__xludf.DUMMYFUNCTION("GOOGLETRANSLATE(A10587,""en"",""pt"")"),"Eu odeio Harry Potter.")</f>
        <v>Eu odeio Harry Potter.</v>
      </c>
      <c r="B10587" s="3">
        <v>0</v>
      </c>
    </row>
    <row r="10588" ht="15.75" customHeight="1" spans="1:2">
      <c r="A10588" s="3" t="str">
        <f>IFERROR(__xludf.DUMMYFUNCTION("GOOGLETRANSLATE(A10588,""en"",""pt"")"),"Não porque eu odeio Harry Potter, mas porque eu sou o tipo de pessoa que gosta quando as principais matrizes de caracteres.")</f>
        <v>Não porque eu odeio Harry Potter, mas porque eu sou o tipo de pessoa que gosta quando as principais matrizes de caracteres.</v>
      </c>
      <c r="B10588" s="3">
        <v>0</v>
      </c>
    </row>
    <row r="10589" ht="15.75" customHeight="1" spans="1:2">
      <c r="A10589" s="3" t="str">
        <f>IFERROR(__xludf.DUMMYFUNCTION("GOOGLETRANSLATE(A10589,""en"",""pt"")"),"Harry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89" s="3">
        <v>0</v>
      </c>
    </row>
    <row r="10590" ht="15.75" customHeight="1" spans="1:2">
      <c r="A10590" s="3" t="str">
        <f>IFERROR(__xludf.DUMMYFUNCTION("GOOGLETRANSLATE(A10590,""en"",""pt"")"),"Estes filmes de Harry Potter realmente chupar.")</f>
        <v>Estes filmes de Harry Potter realmente chupar.</v>
      </c>
      <c r="B10590" s="3">
        <v>0</v>
      </c>
    </row>
    <row r="10591" ht="15.75" customHeight="1" spans="1:2">
      <c r="A10591" s="3" t="str">
        <f>IFERROR(__xludf.DUMMYFUNCTION("GOOGLETRANSLATE(A10591,""en"",""pt"")"),"Eu odeio Harry Potter, que daniel wotshisface precisa de um tapa porra ...")</f>
        <v>Eu odeio Harry Potter, que daniel wotshisface precisa de um tapa porra ...</v>
      </c>
      <c r="B10591" s="3">
        <v>0</v>
      </c>
    </row>
    <row r="10592" ht="15.75" customHeight="1" spans="1:2">
      <c r="A10592" s="3" t="str">
        <f>IFERROR(__xludf.DUMMYFUNCTION("GOOGLETRANSLATE(A10592,""en"",""pt"")"),"Este questionário é uma merda e Harry Potter suga ok bye ..")</f>
        <v>Este questionário é uma merda e Harry Potter suga ok bye ..</v>
      </c>
      <c r="B10592" s="3">
        <v>0</v>
      </c>
    </row>
    <row r="10593" ht="15.75" customHeight="1" spans="1:2">
      <c r="A10593" s="3" t="str">
        <f>IFERROR(__xludf.DUMMYFUNCTION("GOOGLETRANSLATE(A10593,""en"",""pt"")"),"Eu odeio Harry Potter, é retarted, gay e estúpido e só há um cara preta ...")</f>
        <v>Eu odeio Harry Potter, é retarted, gay e estúpido e só há um cara preta ...</v>
      </c>
      <c r="B10593" s="3">
        <v>0</v>
      </c>
    </row>
    <row r="10594" ht="15.75" customHeight="1" spans="1:2">
      <c r="A10594" s="3" t="str">
        <f>IFERROR(__xludf.DUMMYFUNCTION("GOOGLETRANSLATE(A10594,""en"",""pt"")"),"É apenas mim, ou faz Harry Potter chupar? ...")</f>
        <v>É apenas mim, ou faz Harry Potter chupar? ...</v>
      </c>
      <c r="B10594" s="3">
        <v>0</v>
      </c>
    </row>
    <row r="10595" ht="15.75" customHeight="1" spans="1:2">
      <c r="A10595" s="3" t="str">
        <f>IFERROR(__xludf.DUMMYFUNCTION("GOOGLETRANSLATE(A10595,""en"",""pt"")"),"Sempre sabe o que eu quero, não cara louco, odeia Harry Potter ..")</f>
        <v>Sempre sabe o que eu quero, não cara louco, odeia Harry Potter ..</v>
      </c>
      <c r="B10595" s="3">
        <v>0</v>
      </c>
    </row>
    <row r="10596" ht="15.75" customHeight="1" spans="1:2">
      <c r="A10596" s="3" t="str">
        <f>IFERROR(__xludf.DUMMYFUNCTION("GOOGLETRANSLATE(A10596,""en"",""pt"")"),"Eu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596" s="3">
        <v>0</v>
      </c>
    </row>
    <row r="10597" ht="15.75" customHeight="1" spans="1:2">
      <c r="A10597" s="3" t="str">
        <f>IFERROR(__xludf.DUMMYFUNCTION("GOOGLETRANSLATE(A10597,""en"",""pt"")"),"Eu odeio Harry Potter.")</f>
        <v>Eu odeio Harry Potter.</v>
      </c>
      <c r="B10597" s="3">
        <v>0</v>
      </c>
    </row>
    <row r="10598" ht="15.75" customHeight="1" spans="1:2">
      <c r="A10598" s="3" t="str">
        <f>IFERROR(__xludf.DUMMYFUNCTION("GOOGLETRANSLATE(A10598,""en"",""pt"")"),"Não porque eu odeio Harry Potter, mas porque eu sou o tipo de pessoa que gosta quando as principais matrizes de caracteres.")</f>
        <v>Não porque eu odeio Harry Potter, mas porque eu sou o tipo de pessoa que gosta quando as principais matrizes de caracteres.</v>
      </c>
      <c r="B10598" s="3">
        <v>0</v>
      </c>
    </row>
    <row r="10599" ht="15.75" customHeight="1" spans="1:2">
      <c r="A10599" s="3" t="str">
        <f>IFERROR(__xludf.DUMMYFUNCTION("GOOGLETRANSLATE(A10599,""en"",""pt"")"),"Harry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599" s="3">
        <v>0</v>
      </c>
    </row>
    <row r="10600" ht="15.75" customHeight="1" spans="1:2">
      <c r="A10600" s="3" t="str">
        <f>IFERROR(__xludf.DUMMYFUNCTION("GOOGLETRANSLATE(A10600,""en"",""pt"")"),"Estes filmes de Harry Potter realmente chupar.")</f>
        <v>Estes filmes de Harry Potter realmente chupar.</v>
      </c>
      <c r="B10600" s="3">
        <v>0</v>
      </c>
    </row>
    <row r="10601" ht="15.75" customHeight="1" spans="1:2">
      <c r="A10601" s="3" t="str">
        <f>IFERROR(__xludf.DUMMYFUNCTION("GOOGLETRANSLATE(A10601,""en"",""pt"")"),"Eu odeio Harry Potter, que daniel wotshisface precisa de um tapa porra ...")</f>
        <v>Eu odeio Harry Potter, que daniel wotshisface precisa de um tapa porra ...</v>
      </c>
      <c r="B10601" s="3">
        <v>0</v>
      </c>
    </row>
    <row r="10602" ht="15.75" customHeight="1" spans="1:2">
      <c r="A10602" s="3" t="str">
        <f>IFERROR(__xludf.DUMMYFUNCTION("GOOGLETRANSLATE(A10602,""en"",""pt"")"),"Este questionário é uma merda e Harry Potter suga ok bye ..")</f>
        <v>Este questionário é uma merda e Harry Potter suga ok bye ..</v>
      </c>
      <c r="B10602" s="3">
        <v>0</v>
      </c>
    </row>
    <row r="10603" ht="15.75" customHeight="1" spans="1:2">
      <c r="A10603" s="3" t="str">
        <f>IFERROR(__xludf.DUMMYFUNCTION("GOOGLETRANSLATE(A10603,""en"",""pt"")"),"Eu odeio Harry Potter, é retarted, gay e estúpido e só há um cara preta ...")</f>
        <v>Eu odeio Harry Potter, é retarted, gay e estúpido e só há um cara preta ...</v>
      </c>
      <c r="B10603" s="3">
        <v>0</v>
      </c>
    </row>
    <row r="10604" ht="15.75" customHeight="1" spans="1:2">
      <c r="A10604" s="3" t="str">
        <f>IFERROR(__xludf.DUMMYFUNCTION("GOOGLETRANSLATE(A10604,""en"",""pt"")"),"É apenas mim, ou faz Harry Potter chupar? ...")</f>
        <v>É apenas mim, ou faz Harry Potter chupar? ...</v>
      </c>
      <c r="B10604" s="3">
        <v>0</v>
      </c>
    </row>
    <row r="10605" ht="15.75" customHeight="1" spans="1:2">
      <c r="A10605" s="3" t="str">
        <f>IFERROR(__xludf.DUMMYFUNCTION("GOOGLETRANSLATE(A10605,""en"",""pt"")"),"Sempre sabe o que eu quero, não cara louco, odeia Harry Potter ..")</f>
        <v>Sempre sabe o que eu quero, não cara louco, odeia Harry Potter ..</v>
      </c>
      <c r="B10605" s="3">
        <v>0</v>
      </c>
    </row>
    <row r="10606" ht="15.75" customHeight="1" spans="1:2">
      <c r="A10606" s="3" t="str">
        <f>IFERROR(__xludf.DUMMYFUNCTION("GOOGLETRANSLATE(A10606,""en"",""pt"")"),"Eu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06" s="3">
        <v>0</v>
      </c>
    </row>
    <row r="10607" ht="15.75" customHeight="1" spans="1:2">
      <c r="A10607" s="3" t="str">
        <f>IFERROR(__xludf.DUMMYFUNCTION("GOOGLETRANSLATE(A10607,""en"",""pt"")"),"Eu odeio Harry Potter.")</f>
        <v>Eu odeio Harry Potter.</v>
      </c>
      <c r="B10607" s="3">
        <v>0</v>
      </c>
    </row>
    <row r="10608" ht="15.75" customHeight="1" spans="1:2">
      <c r="A10608" s="3" t="str">
        <f>IFERROR(__xludf.DUMMYFUNCTION("GOOGLETRANSLATE(A10608,""en"",""pt"")"),"Não porque eu odeio Harry Potter, mas porque eu sou o tipo de pessoa que gosta quando as principais matrizes de caracteres.")</f>
        <v>Não porque eu odeio Harry Potter, mas porque eu sou o tipo de pessoa que gosta quando as principais matrizes de caracteres.</v>
      </c>
      <c r="B10608" s="3">
        <v>0</v>
      </c>
    </row>
    <row r="10609" ht="15.75" customHeight="1" spans="1:2">
      <c r="A10609" s="3" t="str">
        <f>IFERROR(__xludf.DUMMYFUNCTION("GOOGLETRANSLATE(A10609,""en"",""pt"")"),"Harry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09" s="3">
        <v>0</v>
      </c>
    </row>
    <row r="10610" ht="15.75" customHeight="1" spans="1:2">
      <c r="A10610" s="3" t="str">
        <f>IFERROR(__xludf.DUMMYFUNCTION("GOOGLETRANSLATE(A10610,""en"",""pt"")"),"Estes filmes de Harry Potter realmente chupar.")</f>
        <v>Estes filmes de Harry Potter realmente chupar.</v>
      </c>
      <c r="B10610" s="3">
        <v>0</v>
      </c>
    </row>
    <row r="10611" ht="15.75" customHeight="1" spans="1:2">
      <c r="A10611" s="3" t="str">
        <f>IFERROR(__xludf.DUMMYFUNCTION("GOOGLETRANSLATE(A10611,""en"",""pt"")"),"Eu odeio Harry Potter, que daniel wotshisface precisa de um tapa porra ...")</f>
        <v>Eu odeio Harry Potter, que daniel wotshisface precisa de um tapa porra ...</v>
      </c>
      <c r="B10611" s="3">
        <v>0</v>
      </c>
    </row>
    <row r="10612" ht="15.75" customHeight="1" spans="1:2">
      <c r="A10612" s="3" t="str">
        <f>IFERROR(__xludf.DUMMYFUNCTION("GOOGLETRANSLATE(A10612,""en"",""pt"")"),"Este questionário é uma merda e Harry Potter suga ok bye ..")</f>
        <v>Este questionário é uma merda e Harry Potter suga ok bye ..</v>
      </c>
      <c r="B10612" s="3">
        <v>0</v>
      </c>
    </row>
    <row r="10613" ht="15.75" customHeight="1" spans="1:2">
      <c r="A10613" s="3" t="str">
        <f>IFERROR(__xludf.DUMMYFUNCTION("GOOGLETRANSLATE(A10613,""en"",""pt"")"),"Eu odeio Harry Potter, é retarted, gay e estúpido e só há um cara preta ...")</f>
        <v>Eu odeio Harry Potter, é retarted, gay e estúpido e só há um cara preta ...</v>
      </c>
      <c r="B10613" s="3">
        <v>0</v>
      </c>
    </row>
    <row r="10614" ht="15.75" customHeight="1" spans="1:2">
      <c r="A10614" s="3" t="str">
        <f>IFERROR(__xludf.DUMMYFUNCTION("GOOGLETRANSLATE(A10614,""en"",""pt"")"),"É apenas mim, ou faz Harry Potter chupar? ...")</f>
        <v>É apenas mim, ou faz Harry Potter chupar? ...</v>
      </c>
      <c r="B10614" s="3">
        <v>0</v>
      </c>
    </row>
    <row r="10615" ht="15.75" customHeight="1" spans="1:2">
      <c r="A10615" s="3" t="str">
        <f>IFERROR(__xludf.DUMMYFUNCTION("GOOGLETRANSLATE(A10615,""en"",""pt"")"),"Sempre sabe o que eu quero, não cara louco, odeia Harry Potter ..")</f>
        <v>Sempre sabe o que eu quero, não cara louco, odeia Harry Potter ..</v>
      </c>
      <c r="B10615" s="3">
        <v>0</v>
      </c>
    </row>
    <row r="10616" ht="15.75" customHeight="1" spans="1:2">
      <c r="A10616" s="3" t="str">
        <f>IFERROR(__xludf.DUMMYFUNCTION("GOOGLETRANSLATE(A10616,""en"",""pt"")"),"Eu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16" s="3">
        <v>0</v>
      </c>
    </row>
    <row r="10617" ht="15.75" customHeight="1" spans="1:2">
      <c r="A10617" s="3" t="str">
        <f>IFERROR(__xludf.DUMMYFUNCTION("GOOGLETRANSLATE(A10617,""en"",""pt"")"),"Eu odeio Harry Potter.")</f>
        <v>Eu odeio Harry Potter.</v>
      </c>
      <c r="B10617" s="3">
        <v>0</v>
      </c>
    </row>
    <row r="10618" ht="15.75" customHeight="1" spans="1:2">
      <c r="A10618" s="3" t="str">
        <f>IFERROR(__xludf.DUMMYFUNCTION("GOOGLETRANSLATE(A10618,""en"",""pt"")"),"Não porque eu odeio Harry Potter, mas porque eu sou o tipo de pessoa que gosta quando as principais matrizes de caracteres.")</f>
        <v>Não porque eu odeio Harry Potter, mas porque eu sou o tipo de pessoa que gosta quando as principais matrizes de caracteres.</v>
      </c>
      <c r="B10618" s="3">
        <v>0</v>
      </c>
    </row>
    <row r="10619" ht="15.75" customHeight="1" spans="1:2">
      <c r="A10619" s="3" t="str">
        <f>IFERROR(__xludf.DUMMYFUNCTION("GOOGLETRANSLATE(A10619,""en"",""pt"")"),"Harry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19" s="3">
        <v>0</v>
      </c>
    </row>
    <row r="10620" ht="15.75" customHeight="1" spans="1:2">
      <c r="A10620" s="3" t="str">
        <f>IFERROR(__xludf.DUMMYFUNCTION("GOOGLETRANSLATE(A10620,""en"",""pt"")"),"Estes filmes de Harry Potter realmente chupar.")</f>
        <v>Estes filmes de Harry Potter realmente chupar.</v>
      </c>
      <c r="B10620" s="3">
        <v>0</v>
      </c>
    </row>
    <row r="10621" ht="15.75" customHeight="1" spans="1:2">
      <c r="A10621" s="3" t="str">
        <f>IFERROR(__xludf.DUMMYFUNCTION("GOOGLETRANSLATE(A10621,""en"",""pt"")"),"Eu odeio Harry Potter, que daniel wotshisface precisa de um tapa porra ...")</f>
        <v>Eu odeio Harry Potter, que daniel wotshisface precisa de um tapa porra ...</v>
      </c>
      <c r="B10621" s="3">
        <v>0</v>
      </c>
    </row>
    <row r="10622" ht="15.75" customHeight="1" spans="1:2">
      <c r="A10622" s="3" t="str">
        <f>IFERROR(__xludf.DUMMYFUNCTION("GOOGLETRANSLATE(A10622,""en"",""pt"")"),"Este questionário é uma merda e Harry Potter suga ok bye ..")</f>
        <v>Este questionário é uma merda e Harry Potter suga ok bye ..</v>
      </c>
      <c r="B10622" s="3">
        <v>0</v>
      </c>
    </row>
    <row r="10623" ht="15.75" customHeight="1" spans="1:2">
      <c r="A10623" s="3" t="str">
        <f>IFERROR(__xludf.DUMMYFUNCTION("GOOGLETRANSLATE(A10623,""en"",""pt"")"),"Eu odeio Harry Potter, é retarted, gay e estúpido e só há um cara preta ...")</f>
        <v>Eu odeio Harry Potter, é retarted, gay e estúpido e só há um cara preta ...</v>
      </c>
      <c r="B10623" s="3">
        <v>0</v>
      </c>
    </row>
    <row r="10624" ht="15.75" customHeight="1" spans="1:2">
      <c r="A10624" s="3" t="str">
        <f>IFERROR(__xludf.DUMMYFUNCTION("GOOGLETRANSLATE(A10624,""en"",""pt"")"),"É apenas mim, ou faz Harry Potter chupar? ...")</f>
        <v>É apenas mim, ou faz Harry Potter chupar? ...</v>
      </c>
      <c r="B10624" s="3">
        <v>0</v>
      </c>
    </row>
    <row r="10625" ht="15.75" customHeight="1" spans="1:2">
      <c r="A10625" s="3" t="str">
        <f>IFERROR(__xludf.DUMMYFUNCTION("GOOGLETRANSLATE(A10625,""en"",""pt"")"),"Sempre sabe o que eu quero, não cara louco, odeia Harry Potter ..")</f>
        <v>Sempre sabe o que eu quero, não cara louco, odeia Harry Potter ..</v>
      </c>
      <c r="B10625" s="3">
        <v>0</v>
      </c>
    </row>
    <row r="10626" ht="15.75" customHeight="1" spans="1:2">
      <c r="A10626" s="3" t="str">
        <f>IFERROR(__xludf.DUMMYFUNCTION("GOOGLETRANSLATE(A10626,""en"",""pt"")"),"Eu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26" s="3">
        <v>0</v>
      </c>
    </row>
    <row r="10627" ht="15.75" customHeight="1" spans="1:2">
      <c r="A10627" s="3" t="str">
        <f>IFERROR(__xludf.DUMMYFUNCTION("GOOGLETRANSLATE(A10627,""en"",""pt"")"),"Eu odeio Harry Potter.")</f>
        <v>Eu odeio Harry Potter.</v>
      </c>
      <c r="B10627" s="3">
        <v>0</v>
      </c>
    </row>
    <row r="10628" ht="15.75" customHeight="1" spans="1:2">
      <c r="A10628" s="3" t="str">
        <f>IFERROR(__xludf.DUMMYFUNCTION("GOOGLETRANSLATE(A10628,""en"",""pt"")"),"Não porque eu odeio Harry Potter, mas porque eu sou o tipo de pessoa que gosta quando as principais matrizes de caracteres.")</f>
        <v>Não porque eu odeio Harry Potter, mas porque eu sou o tipo de pessoa que gosta quando as principais matrizes de caracteres.</v>
      </c>
      <c r="B10628" s="3">
        <v>0</v>
      </c>
    </row>
    <row r="10629" ht="15.75" customHeight="1" spans="1:2">
      <c r="A10629" s="3" t="str">
        <f>IFERROR(__xludf.DUMMYFUNCTION("GOOGLETRANSLATE(A10629,""en"",""pt"")"),"Harry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29" s="3">
        <v>0</v>
      </c>
    </row>
    <row r="10630" ht="15.75" customHeight="1" spans="1:2">
      <c r="A10630" s="3" t="str">
        <f>IFERROR(__xludf.DUMMYFUNCTION("GOOGLETRANSLATE(A10630,""en"",""pt"")"),"Estes filmes de Harry Potter realmente chupar.")</f>
        <v>Estes filmes de Harry Potter realmente chupar.</v>
      </c>
      <c r="B10630" s="3">
        <v>0</v>
      </c>
    </row>
    <row r="10631" ht="15.75" customHeight="1" spans="1:2">
      <c r="A10631" s="3" t="str">
        <f>IFERROR(__xludf.DUMMYFUNCTION("GOOGLETRANSLATE(A10631,""en"",""pt"")"),"Eu odeio Harry Potter, que daniel wotshisface precisa de um tapa porra ...")</f>
        <v>Eu odeio Harry Potter, que daniel wotshisface precisa de um tapa porra ...</v>
      </c>
      <c r="B10631" s="3">
        <v>0</v>
      </c>
    </row>
    <row r="10632" ht="15.75" customHeight="1" spans="1:2">
      <c r="A10632" s="3" t="str">
        <f>IFERROR(__xludf.DUMMYFUNCTION("GOOGLETRANSLATE(A10632,""en"",""pt"")"),"Este questionário é uma merda e Harry Potter suga ok bye ..")</f>
        <v>Este questionário é uma merda e Harry Potter suga ok bye ..</v>
      </c>
      <c r="B10632" s="3">
        <v>0</v>
      </c>
    </row>
    <row r="10633" ht="15.75" customHeight="1" spans="1:2">
      <c r="A10633" s="3" t="str">
        <f>IFERROR(__xludf.DUMMYFUNCTION("GOOGLETRANSLATE(A10633,""en"",""pt"")"),"Eu odeio Harry Potter, é retarted, gay e estúpido e só há um cara preta ...")</f>
        <v>Eu odeio Harry Potter, é retarted, gay e estúpido e só há um cara preta ...</v>
      </c>
      <c r="B10633" s="3">
        <v>0</v>
      </c>
    </row>
    <row r="10634" ht="15.75" customHeight="1" spans="1:2">
      <c r="A10634" s="3" t="str">
        <f>IFERROR(__xludf.DUMMYFUNCTION("GOOGLETRANSLATE(A10634,""en"",""pt"")"),"É apenas mim, ou faz Harry Potter chupar? ...")</f>
        <v>É apenas mim, ou faz Harry Potter chupar? ...</v>
      </c>
      <c r="B10634" s="3">
        <v>0</v>
      </c>
    </row>
    <row r="10635" ht="15.75" customHeight="1" spans="1:2">
      <c r="A10635" s="3" t="str">
        <f>IFERROR(__xludf.DUMMYFUNCTION("GOOGLETRANSLATE(A10635,""en"",""pt"")"),"Sempre sabe o que eu quero, não cara louco, odeia Harry Potter ..")</f>
        <v>Sempre sabe o que eu quero, não cara louco, odeia Harry Potter ..</v>
      </c>
      <c r="B10635" s="3">
        <v>0</v>
      </c>
    </row>
    <row r="10636" ht="15.75" customHeight="1" spans="1:2">
      <c r="A10636" s="3" t="str">
        <f>IFERROR(__xludf.DUMMYFUNCTION("GOOGLETRANSLATE(A10636,""en"",""pt"")"),"Eu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36" s="3">
        <v>0</v>
      </c>
    </row>
    <row r="10637" ht="15.75" customHeight="1" spans="1:2">
      <c r="A10637" s="3" t="str">
        <f>IFERROR(__xludf.DUMMYFUNCTION("GOOGLETRANSLATE(A10637,""en"",""pt"")"),"Eu odeio Harry Potter.")</f>
        <v>Eu odeio Harry Potter.</v>
      </c>
      <c r="B10637" s="3">
        <v>0</v>
      </c>
    </row>
    <row r="10638" ht="15.75" customHeight="1" spans="1:2">
      <c r="A10638" s="3" t="str">
        <f>IFERROR(__xludf.DUMMYFUNCTION("GOOGLETRANSLATE(A10638,""en"",""pt"")"),"Não porque eu odeio Harry Potter, mas porque eu sou o tipo de pessoa que gosta quando as principais matrizes de caracteres.")</f>
        <v>Não porque eu odeio Harry Potter, mas porque eu sou o tipo de pessoa que gosta quando as principais matrizes de caracteres.</v>
      </c>
      <c r="B10638" s="3">
        <v>0</v>
      </c>
    </row>
    <row r="10639" ht="15.75" customHeight="1" spans="1:2">
      <c r="A10639" s="3" t="str">
        <f>IFERROR(__xludf.DUMMYFUNCTION("GOOGLETRANSLATE(A10639,""en"",""pt"")"),"Harry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39" s="3">
        <v>0</v>
      </c>
    </row>
    <row r="10640" ht="15.75" customHeight="1" spans="1:2">
      <c r="A10640" s="3" t="str">
        <f>IFERROR(__xludf.DUMMYFUNCTION("GOOGLETRANSLATE(A10640,""en"",""pt"")"),"Estes filmes de Harry Potter realmente chupar.")</f>
        <v>Estes filmes de Harry Potter realmente chupar.</v>
      </c>
      <c r="B10640" s="3">
        <v>0</v>
      </c>
    </row>
    <row r="10641" ht="15.75" customHeight="1" spans="1:2">
      <c r="A10641" s="3" t="str">
        <f>IFERROR(__xludf.DUMMYFUNCTION("GOOGLETRANSLATE(A10641,""en"",""pt"")"),"Eu odeio Harry Potter, que daniel wotshisface precisa de um tapa porra ...")</f>
        <v>Eu odeio Harry Potter, que daniel wotshisface precisa de um tapa porra ...</v>
      </c>
      <c r="B10641" s="3">
        <v>0</v>
      </c>
    </row>
    <row r="10642" ht="15.75" customHeight="1" spans="1:2">
      <c r="A10642" s="3" t="str">
        <f>IFERROR(__xludf.DUMMYFUNCTION("GOOGLETRANSLATE(A10642,""en"",""pt"")"),"Este questionário é uma merda e Harry Potter suga ok bye ..")</f>
        <v>Este questionário é uma merda e Harry Potter suga ok bye ..</v>
      </c>
      <c r="B10642" s="3">
        <v>0</v>
      </c>
    </row>
    <row r="10643" ht="15.75" customHeight="1" spans="1:2">
      <c r="A10643" s="3" t="str">
        <f>IFERROR(__xludf.DUMMYFUNCTION("GOOGLETRANSLATE(A10643,""en"",""pt"")"),"Eu odeio Harry Potter, é retarted, gay e estúpido e só há um cara preta ...")</f>
        <v>Eu odeio Harry Potter, é retarted, gay e estúpido e só há um cara preta ...</v>
      </c>
      <c r="B10643" s="3">
        <v>0</v>
      </c>
    </row>
    <row r="10644" ht="15.75" customHeight="1" spans="1:2">
      <c r="A10644" s="3" t="str">
        <f>IFERROR(__xludf.DUMMYFUNCTION("GOOGLETRANSLATE(A10644,""en"",""pt"")"),"É apenas mim, ou faz Harry Potter chupar? ...")</f>
        <v>É apenas mim, ou faz Harry Potter chupar? ...</v>
      </c>
      <c r="B10644" s="3">
        <v>0</v>
      </c>
    </row>
    <row r="10645" ht="15.75" customHeight="1" spans="1:2">
      <c r="A10645" s="3" t="str">
        <f>IFERROR(__xludf.DUMMYFUNCTION("GOOGLETRANSLATE(A10645,""en"",""pt"")"),"Sempre sabe o que eu quero, não cara louco, odeia Harry Potter ..")</f>
        <v>Sempre sabe o que eu quero, não cara louco, odeia Harry Potter ..</v>
      </c>
      <c r="B10645" s="3">
        <v>0</v>
      </c>
    </row>
    <row r="10646" ht="15.75" customHeight="1" spans="1:2">
      <c r="A10646" s="3" t="str">
        <f>IFERROR(__xludf.DUMMYFUNCTION("GOOGLETRANSLATE(A10646,""en"",""pt"")"),"Eu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46" s="3">
        <v>0</v>
      </c>
    </row>
    <row r="10647" ht="15.75" customHeight="1" spans="1:2">
      <c r="A10647" s="3" t="str">
        <f>IFERROR(__xludf.DUMMYFUNCTION("GOOGLETRANSLATE(A10647,""en"",""pt"")"),"Eu odeio Harry Potter.")</f>
        <v>Eu odeio Harry Potter.</v>
      </c>
      <c r="B10647" s="3">
        <v>0</v>
      </c>
    </row>
    <row r="10648" ht="15.75" customHeight="1" spans="1:2">
      <c r="A10648" s="3" t="str">
        <f>IFERROR(__xludf.DUMMYFUNCTION("GOOGLETRANSLATE(A10648,""en"",""pt"")"),"Não porque eu odeio Harry Potter, mas porque eu sou o tipo de pessoa que gosta quando as principais matrizes de caracteres.")</f>
        <v>Não porque eu odeio Harry Potter, mas porque eu sou o tipo de pessoa que gosta quando as principais matrizes de caracteres.</v>
      </c>
      <c r="B10648" s="3">
        <v>0</v>
      </c>
    </row>
    <row r="10649" ht="15.75" customHeight="1" spans="1:2">
      <c r="A10649" s="3" t="str">
        <f>IFERROR(__xludf.DUMMYFUNCTION("GOOGLETRANSLATE(A10649,""en"",""pt"")"),"Harry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49" s="3">
        <v>0</v>
      </c>
    </row>
    <row r="10650" ht="15.75" customHeight="1" spans="1:2">
      <c r="A10650" s="3" t="str">
        <f>IFERROR(__xludf.DUMMYFUNCTION("GOOGLETRANSLATE(A10650,""en"",""pt"")"),"Estes filmes de Harry Potter realmente chupar.")</f>
        <v>Estes filmes de Harry Potter realmente chupar.</v>
      </c>
      <c r="B10650" s="3">
        <v>0</v>
      </c>
    </row>
    <row r="10651" ht="15.75" customHeight="1" spans="1:2">
      <c r="A10651" s="3" t="str">
        <f>IFERROR(__xludf.DUMMYFUNCTION("GOOGLETRANSLATE(A10651,""en"",""pt"")"),"Eu odeio Harry Potter, que daniel wotshisface precisa de um tapa porra ...")</f>
        <v>Eu odeio Harry Potter, que daniel wotshisface precisa de um tapa porra ...</v>
      </c>
      <c r="B10651" s="3">
        <v>0</v>
      </c>
    </row>
    <row r="10652" ht="15.75" customHeight="1" spans="1:2">
      <c r="A10652" s="3" t="str">
        <f>IFERROR(__xludf.DUMMYFUNCTION("GOOGLETRANSLATE(A10652,""en"",""pt"")"),"Este questionário é uma merda e Harry Potter suga ok bye ..")</f>
        <v>Este questionário é uma merda e Harry Potter suga ok bye ..</v>
      </c>
      <c r="B10652" s="3">
        <v>0</v>
      </c>
    </row>
    <row r="10653" ht="15.75" customHeight="1" spans="1:2">
      <c r="A10653" s="3" t="str">
        <f>IFERROR(__xludf.DUMMYFUNCTION("GOOGLETRANSLATE(A10653,""en"",""pt"")"),"Eu odeio Harry Potter, é retarted, gay e estúpido e só há um cara preta ...")</f>
        <v>Eu odeio Harry Potter, é retarted, gay e estúpido e só há um cara preta ...</v>
      </c>
      <c r="B10653" s="3">
        <v>0</v>
      </c>
    </row>
    <row r="10654" ht="15.75" customHeight="1" spans="1:2">
      <c r="A10654" s="3" t="str">
        <f>IFERROR(__xludf.DUMMYFUNCTION("GOOGLETRANSLATE(A10654,""en"",""pt"")"),"É apenas mim, ou faz Harry Potter chupar? ...")</f>
        <v>É apenas mim, ou faz Harry Potter chupar? ...</v>
      </c>
      <c r="B10654" s="3">
        <v>0</v>
      </c>
    </row>
    <row r="10655" ht="15.75" customHeight="1" spans="1:2">
      <c r="A10655" s="3" t="str">
        <f>IFERROR(__xludf.DUMMYFUNCTION("GOOGLETRANSLATE(A10655,""en"",""pt"")"),"Sempre sabe o que eu quero, não cara louco, odeia Harry Potter ..")</f>
        <v>Sempre sabe o que eu quero, não cara louco, odeia Harry Potter ..</v>
      </c>
      <c r="B10655" s="3">
        <v>0</v>
      </c>
    </row>
    <row r="10656" ht="15.75" customHeight="1" spans="1:2">
      <c r="A10656" s="3" t="str">
        <f>IFERROR(__xludf.DUMMYFUNCTION("GOOGLETRANSLATE(A10656,""en"",""pt"")"),"Eu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56" s="3">
        <v>0</v>
      </c>
    </row>
    <row r="10657" ht="15.75" customHeight="1" spans="1:2">
      <c r="A10657" s="3" t="str">
        <f>IFERROR(__xludf.DUMMYFUNCTION("GOOGLETRANSLATE(A10657,""en"",""pt"")"),"Eu odeio Harry Potter.")</f>
        <v>Eu odeio Harry Potter.</v>
      </c>
      <c r="B10657" s="3">
        <v>0</v>
      </c>
    </row>
    <row r="10658" ht="15.75" customHeight="1" spans="1:2">
      <c r="A10658" s="3" t="str">
        <f>IFERROR(__xludf.DUMMYFUNCTION("GOOGLETRANSLATE(A10658,""en"",""pt"")"),"Não porque eu odeio Harry Potter, mas porque eu sou o tipo de pessoa que gosta quando as principais matrizes de caracteres.")</f>
        <v>Não porque eu odeio Harry Potter, mas porque eu sou o tipo de pessoa que gosta quando as principais matrizes de caracteres.</v>
      </c>
      <c r="B10658" s="3">
        <v>0</v>
      </c>
    </row>
    <row r="10659" ht="15.75" customHeight="1" spans="1:2">
      <c r="A10659" s="3" t="str">
        <f>IFERROR(__xludf.DUMMYFUNCTION("GOOGLETRANSLATE(A10659,""en"",""pt"")"),"Harry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59" s="3">
        <v>0</v>
      </c>
    </row>
    <row r="10660" ht="15.75" customHeight="1" spans="1:2">
      <c r="A10660" s="3" t="str">
        <f>IFERROR(__xludf.DUMMYFUNCTION("GOOGLETRANSLATE(A10660,""en"",""pt"")"),"Estes filmes de Harry Potter realmente chupar.")</f>
        <v>Estes filmes de Harry Potter realmente chupar.</v>
      </c>
      <c r="B10660" s="3">
        <v>0</v>
      </c>
    </row>
    <row r="10661" ht="15.75" customHeight="1" spans="1:2">
      <c r="A10661" s="3" t="str">
        <f>IFERROR(__xludf.DUMMYFUNCTION("GOOGLETRANSLATE(A10661,""en"",""pt"")"),"Eu odeio Harry Potter, que daniel wotshisface precisa de um tapa porra ...")</f>
        <v>Eu odeio Harry Potter, que daniel wotshisface precisa de um tapa porra ...</v>
      </c>
      <c r="B10661" s="3">
        <v>0</v>
      </c>
    </row>
    <row r="10662" ht="15.75" customHeight="1" spans="1:2">
      <c r="A10662" s="3" t="str">
        <f>IFERROR(__xludf.DUMMYFUNCTION("GOOGLETRANSLATE(A10662,""en"",""pt"")"),"Este questionário é uma merda e Harry Potter suga ok bye ..")</f>
        <v>Este questionário é uma merda e Harry Potter suga ok bye ..</v>
      </c>
      <c r="B10662" s="3">
        <v>0</v>
      </c>
    </row>
    <row r="10663" ht="15.75" customHeight="1" spans="1:2">
      <c r="A10663" s="3" t="str">
        <f>IFERROR(__xludf.DUMMYFUNCTION("GOOGLETRANSLATE(A10663,""en"",""pt"")"),"Eu odeio Harry Potter, é retarted, gay e estúpido e só há um cara preta ...")</f>
        <v>Eu odeio Harry Potter, é retarted, gay e estúpido e só há um cara preta ...</v>
      </c>
      <c r="B10663" s="3">
        <v>0</v>
      </c>
    </row>
    <row r="10664" ht="15.75" customHeight="1" spans="1:2">
      <c r="A10664" s="3" t="str">
        <f>IFERROR(__xludf.DUMMYFUNCTION("GOOGLETRANSLATE(A10664,""en"",""pt"")"),"É apenas mim, ou faz Harry Potter chupar? ...")</f>
        <v>É apenas mim, ou faz Harry Potter chupar? ...</v>
      </c>
      <c r="B10664" s="3">
        <v>0</v>
      </c>
    </row>
    <row r="10665" ht="15.75" customHeight="1" spans="1:2">
      <c r="A10665" s="3" t="str">
        <f>IFERROR(__xludf.DUMMYFUNCTION("GOOGLETRANSLATE(A10665,""en"",""pt"")"),"Sempre sabe o que eu quero, não cara louco, odeia Harry Potter ..")</f>
        <v>Sempre sabe o que eu quero, não cara louco, odeia Harry Potter ..</v>
      </c>
      <c r="B10665" s="3">
        <v>0</v>
      </c>
    </row>
    <row r="10666" ht="15.75" customHeight="1" spans="1:2">
      <c r="A10666" s="3" t="str">
        <f>IFERROR(__xludf.DUMMYFUNCTION("GOOGLETRANSLATE(A10666,""en"",""pt"")"),"Eu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66" s="3">
        <v>0</v>
      </c>
    </row>
    <row r="10667" ht="15.75" customHeight="1" spans="1:2">
      <c r="A10667" s="3" t="str">
        <f>IFERROR(__xludf.DUMMYFUNCTION("GOOGLETRANSLATE(A10667,""en"",""pt"")"),"Eu odeio Harry Potter.")</f>
        <v>Eu odeio Harry Potter.</v>
      </c>
      <c r="B10667" s="3">
        <v>0</v>
      </c>
    </row>
    <row r="10668" ht="15.75" customHeight="1" spans="1:2">
      <c r="A10668" s="3" t="str">
        <f>IFERROR(__xludf.DUMMYFUNCTION("GOOGLETRANSLATE(A10668,""en"",""pt"")"),"Não porque eu odeio Harry Potter, mas porque eu sou o tipo de pessoa que gosta quando as principais matrizes de caracteres.")</f>
        <v>Não porque eu odeio Harry Potter, mas porque eu sou o tipo de pessoa que gosta quando as principais matrizes de caracteres.</v>
      </c>
      <c r="B10668" s="3">
        <v>0</v>
      </c>
    </row>
    <row r="10669" ht="15.75" customHeight="1" spans="1:2">
      <c r="A10669" s="3" t="str">
        <f>IFERROR(__xludf.DUMMYFUNCTION("GOOGLETRANSLATE(A10669,""en"",""pt"")"),"Harry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69" s="3">
        <v>0</v>
      </c>
    </row>
    <row r="10670" ht="15.75" customHeight="1" spans="1:2">
      <c r="A10670" s="3" t="str">
        <f>IFERROR(__xludf.DUMMYFUNCTION("GOOGLETRANSLATE(A10670,""en"",""pt"")"),"Estes filmes de Harry Potter realmente chupar.")</f>
        <v>Estes filmes de Harry Potter realmente chupar.</v>
      </c>
      <c r="B10670" s="3">
        <v>0</v>
      </c>
    </row>
    <row r="10671" ht="15.75" customHeight="1" spans="1:2">
      <c r="A10671" s="3" t="str">
        <f>IFERROR(__xludf.DUMMYFUNCTION("GOOGLETRANSLATE(A10671,""en"",""pt"")"),"Eu odeio Harry Potter, que daniel wotshisface precisa de um tapa porra ...")</f>
        <v>Eu odeio Harry Potter, que daniel wotshisface precisa de um tapa porra ...</v>
      </c>
      <c r="B10671" s="3">
        <v>0</v>
      </c>
    </row>
    <row r="10672" ht="15.75" customHeight="1" spans="1:2">
      <c r="A10672" s="3" t="str">
        <f>IFERROR(__xludf.DUMMYFUNCTION("GOOGLETRANSLATE(A10672,""en"",""pt"")"),"Este questionário é uma merda e Harry Potter suga ok bye ..")</f>
        <v>Este questionário é uma merda e Harry Potter suga ok bye ..</v>
      </c>
      <c r="B10672" s="3">
        <v>0</v>
      </c>
    </row>
    <row r="10673" ht="15.75" customHeight="1" spans="1:2">
      <c r="A10673" s="3" t="str">
        <f>IFERROR(__xludf.DUMMYFUNCTION("GOOGLETRANSLATE(A10673,""en"",""pt"")"),"Eu odeio Harry Potter, é retarted, gay e estúpido e só há um cara preta ...")</f>
        <v>Eu odeio Harry Potter, é retarted, gay e estúpido e só há um cara preta ...</v>
      </c>
      <c r="B10673" s="3">
        <v>0</v>
      </c>
    </row>
    <row r="10674" ht="15.75" customHeight="1" spans="1:2">
      <c r="A10674" s="3" t="str">
        <f>IFERROR(__xludf.DUMMYFUNCTION("GOOGLETRANSLATE(A10674,""en"",""pt"")"),"É apenas mim, ou faz Harry Potter chupar? ...")</f>
        <v>É apenas mim, ou faz Harry Potter chupar? ...</v>
      </c>
      <c r="B10674" s="3">
        <v>0</v>
      </c>
    </row>
    <row r="10675" ht="15.75" customHeight="1" spans="1:2">
      <c r="A10675" s="3" t="str">
        <f>IFERROR(__xludf.DUMMYFUNCTION("GOOGLETRANSLATE(A10675,""en"",""pt"")"),"Sempre sabe o que eu quero, não cara louco, odeia Harry Potter ..")</f>
        <v>Sempre sabe o que eu quero, não cara louco, odeia Harry Potter ..</v>
      </c>
      <c r="B10675" s="3">
        <v>0</v>
      </c>
    </row>
    <row r="10676" ht="15.75" customHeight="1" spans="1:2">
      <c r="A10676" s="3" t="str">
        <f>IFERROR(__xludf.DUMMYFUNCTION("GOOGLETRANSLATE(A10676,""en"",""pt"")"),"Eu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76" s="3">
        <v>0</v>
      </c>
    </row>
    <row r="10677" ht="15.75" customHeight="1" spans="1:2">
      <c r="A10677" s="3" t="str">
        <f>IFERROR(__xludf.DUMMYFUNCTION("GOOGLETRANSLATE(A10677,""en"",""pt"")"),"Eu odeio Harry Potter.")</f>
        <v>Eu odeio Harry Potter.</v>
      </c>
      <c r="B10677" s="3">
        <v>0</v>
      </c>
    </row>
    <row r="10678" ht="15.75" customHeight="1" spans="1:2">
      <c r="A10678" s="3" t="str">
        <f>IFERROR(__xludf.DUMMYFUNCTION("GOOGLETRANSLATE(A10678,""en"",""pt"")"),"Não porque eu odeio Harry Potter, mas porque eu sou o tipo de pessoa que gosta quando as principais matrizes de caracteres.")</f>
        <v>Não porque eu odeio Harry Potter, mas porque eu sou o tipo de pessoa que gosta quando as principais matrizes de caracteres.</v>
      </c>
      <c r="B10678" s="3">
        <v>0</v>
      </c>
    </row>
    <row r="10679" ht="15.75" customHeight="1" spans="1:2">
      <c r="A10679" s="3" t="str">
        <f>IFERROR(__xludf.DUMMYFUNCTION("GOOGLETRANSLATE(A10679,""en"",""pt"")"),"Harry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79" s="3">
        <v>0</v>
      </c>
    </row>
    <row r="10680" ht="15.75" customHeight="1" spans="1:2">
      <c r="A10680" s="3" t="str">
        <f>IFERROR(__xludf.DUMMYFUNCTION("GOOGLETRANSLATE(A10680,""en"",""pt"")"),"Estes filmes de Harry Potter realmente chupar.")</f>
        <v>Estes filmes de Harry Potter realmente chupar.</v>
      </c>
      <c r="B10680" s="3">
        <v>0</v>
      </c>
    </row>
    <row r="10681" ht="15.75" customHeight="1" spans="1:2">
      <c r="A10681" s="3" t="str">
        <f>IFERROR(__xludf.DUMMYFUNCTION("GOOGLETRANSLATE(A10681,""en"",""pt"")"),"Eu odeio Harry Potter, que daniel wotshisface precisa de um tapa porra ...")</f>
        <v>Eu odeio Harry Potter, que daniel wotshisface precisa de um tapa porra ...</v>
      </c>
      <c r="B10681" s="3">
        <v>0</v>
      </c>
    </row>
    <row r="10682" ht="15.75" customHeight="1" spans="1:2">
      <c r="A10682" s="3" t="str">
        <f>IFERROR(__xludf.DUMMYFUNCTION("GOOGLETRANSLATE(A10682,""en"",""pt"")"),"Este questionário é uma merda e Harry Potter suga ok bye ..")</f>
        <v>Este questionário é uma merda e Harry Potter suga ok bye ..</v>
      </c>
      <c r="B10682" s="3">
        <v>0</v>
      </c>
    </row>
    <row r="10683" ht="15.75" customHeight="1" spans="1:2">
      <c r="A10683" s="3" t="str">
        <f>IFERROR(__xludf.DUMMYFUNCTION("GOOGLETRANSLATE(A10683,""en"",""pt"")"),"Eu odeio Harry Potter, é retarted, gay e estúpido e só há um cara preta ...")</f>
        <v>Eu odeio Harry Potter, é retarted, gay e estúpido e só há um cara preta ...</v>
      </c>
      <c r="B10683" s="3">
        <v>0</v>
      </c>
    </row>
    <row r="10684" ht="15.75" customHeight="1" spans="1:2">
      <c r="A10684" s="3" t="str">
        <f>IFERROR(__xludf.DUMMYFUNCTION("GOOGLETRANSLATE(A10684,""en"",""pt"")"),"É apenas mim, ou faz Harry Potter chupar? ...")</f>
        <v>É apenas mim, ou faz Harry Potter chupar? ...</v>
      </c>
      <c r="B10684" s="3">
        <v>0</v>
      </c>
    </row>
    <row r="10685" ht="15.75" customHeight="1" spans="1:2">
      <c r="A10685" s="3" t="str">
        <f>IFERROR(__xludf.DUMMYFUNCTION("GOOGLETRANSLATE(A10685,""en"",""pt"")"),"Sempre sabe o que eu quero, não cara louco, odeia Harry Potter ..")</f>
        <v>Sempre sabe o que eu quero, não cara louco, odeia Harry Potter ..</v>
      </c>
      <c r="B10685" s="3">
        <v>0</v>
      </c>
    </row>
    <row r="10686" ht="15.75" customHeight="1" spans="1:2">
      <c r="A10686" s="3" t="str">
        <f>IFERROR(__xludf.DUMMYFUNCTION("GOOGLETRANSLATE(A10686,""en"",""pt"")"),"Eu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86" s="3">
        <v>0</v>
      </c>
    </row>
    <row r="10687" ht="15.75" customHeight="1" spans="1:2">
      <c r="A10687" s="3" t="str">
        <f>IFERROR(__xludf.DUMMYFUNCTION("GOOGLETRANSLATE(A10687,""en"",""pt"")"),"Eu odeio Harry Potter.")</f>
        <v>Eu odeio Harry Potter.</v>
      </c>
      <c r="B10687" s="3">
        <v>0</v>
      </c>
    </row>
    <row r="10688" ht="15.75" customHeight="1" spans="1:2">
      <c r="A10688" s="3" t="str">
        <f>IFERROR(__xludf.DUMMYFUNCTION("GOOGLETRANSLATE(A10688,""en"",""pt"")"),"Não porque eu odeio Harry Potter, mas porque eu sou o tipo de pessoa que gosta quando as principais matrizes de caracteres.")</f>
        <v>Não porque eu odeio Harry Potter, mas porque eu sou o tipo de pessoa que gosta quando as principais matrizes de caracteres.</v>
      </c>
      <c r="B10688" s="3">
        <v>0</v>
      </c>
    </row>
    <row r="10689" ht="15.75" customHeight="1" spans="1:2">
      <c r="A10689" s="3" t="str">
        <f>IFERROR(__xludf.DUMMYFUNCTION("GOOGLETRANSLATE(A10689,""en"",""pt"")"),"Harry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89" s="3">
        <v>0</v>
      </c>
    </row>
    <row r="10690" ht="15.75" customHeight="1" spans="1:2">
      <c r="A10690" s="3" t="str">
        <f>IFERROR(__xludf.DUMMYFUNCTION("GOOGLETRANSLATE(A10690,""en"",""pt"")"),"Estes filmes de Harry Potter realmente chupar.")</f>
        <v>Estes filmes de Harry Potter realmente chupar.</v>
      </c>
      <c r="B10690" s="3">
        <v>0</v>
      </c>
    </row>
    <row r="10691" ht="15.75" customHeight="1" spans="1:2">
      <c r="A10691" s="3" t="str">
        <f>IFERROR(__xludf.DUMMYFUNCTION("GOOGLETRANSLATE(A10691,""en"",""pt"")"),"Eu odeio Harry Potter, que daniel wotshisface precisa de um tapa porra ...")</f>
        <v>Eu odeio Harry Potter, que daniel wotshisface precisa de um tapa porra ...</v>
      </c>
      <c r="B10691" s="3">
        <v>0</v>
      </c>
    </row>
    <row r="10692" ht="15.75" customHeight="1" spans="1:2">
      <c r="A10692" s="3" t="str">
        <f>IFERROR(__xludf.DUMMYFUNCTION("GOOGLETRANSLATE(A10692,""en"",""pt"")"),"Este questionário é uma merda e Harry Potter suga ok bye ..")</f>
        <v>Este questionário é uma merda e Harry Potter suga ok bye ..</v>
      </c>
      <c r="B10692" s="3">
        <v>0</v>
      </c>
    </row>
    <row r="10693" ht="15.75" customHeight="1" spans="1:2">
      <c r="A10693" s="3" t="str">
        <f>IFERROR(__xludf.DUMMYFUNCTION("GOOGLETRANSLATE(A10693,""en"",""pt"")"),"Eu odeio Harry Potter, é retarted, gay e estúpido e só há um cara preta ...")</f>
        <v>Eu odeio Harry Potter, é retarted, gay e estúpido e só há um cara preta ...</v>
      </c>
      <c r="B10693" s="3">
        <v>0</v>
      </c>
    </row>
    <row r="10694" ht="15.75" customHeight="1" spans="1:2">
      <c r="A10694" s="3" t="str">
        <f>IFERROR(__xludf.DUMMYFUNCTION("GOOGLETRANSLATE(A10694,""en"",""pt"")"),"É apenas mim, ou faz Harry Potter chupar? ...")</f>
        <v>É apenas mim, ou faz Harry Potter chupar? ...</v>
      </c>
      <c r="B10694" s="3">
        <v>0</v>
      </c>
    </row>
    <row r="10695" ht="15.75" customHeight="1" spans="1:2">
      <c r="A10695" s="3" t="str">
        <f>IFERROR(__xludf.DUMMYFUNCTION("GOOGLETRANSLATE(A10695,""en"",""pt"")"),"Sempre sabe o que eu quero, não cara louco, odeia Harry Potter ..")</f>
        <v>Sempre sabe o que eu quero, não cara louco, odeia Harry Potter ..</v>
      </c>
      <c r="B10695" s="3">
        <v>0</v>
      </c>
    </row>
    <row r="10696" ht="15.75" customHeight="1" spans="1:2">
      <c r="A10696" s="3" t="str">
        <f>IFERROR(__xludf.DUMMYFUNCTION("GOOGLETRANSLATE(A10696,""en"",""pt"")"),"Eu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696" s="3">
        <v>0</v>
      </c>
    </row>
    <row r="10697" ht="15.75" customHeight="1" spans="1:2">
      <c r="A10697" s="3" t="str">
        <f>IFERROR(__xludf.DUMMYFUNCTION("GOOGLETRANSLATE(A10697,""en"",""pt"")"),"Eu odeio Harry Potter.")</f>
        <v>Eu odeio Harry Potter.</v>
      </c>
      <c r="B10697" s="3">
        <v>0</v>
      </c>
    </row>
    <row r="10698" ht="15.75" customHeight="1" spans="1:2">
      <c r="A10698" s="3" t="str">
        <f>IFERROR(__xludf.DUMMYFUNCTION("GOOGLETRANSLATE(A10698,""en"",""pt"")"),"Não porque eu odeio Harry Potter, mas porque eu sou o tipo de pessoa que gosta quando as principais matrizes de caracteres.")</f>
        <v>Não porque eu odeio Harry Potter, mas porque eu sou o tipo de pessoa que gosta quando as principais matrizes de caracteres.</v>
      </c>
      <c r="B10698" s="3">
        <v>0</v>
      </c>
    </row>
    <row r="10699" ht="15.75" customHeight="1" spans="1:2">
      <c r="A10699" s="3" t="str">
        <f>IFERROR(__xludf.DUMMYFUNCTION("GOOGLETRANSLATE(A10699,""en"",""pt"")"),"Harry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699" s="3">
        <v>0</v>
      </c>
    </row>
    <row r="10700" ht="15.75" customHeight="1" spans="1:2">
      <c r="A10700" s="3" t="str">
        <f>IFERROR(__xludf.DUMMYFUNCTION("GOOGLETRANSLATE(A10700,""en"",""pt"")"),"Estes filmes de Harry Potter realmente chupar.")</f>
        <v>Estes filmes de Harry Potter realmente chupar.</v>
      </c>
      <c r="B10700" s="3">
        <v>0</v>
      </c>
    </row>
    <row r="10701" ht="15.75" customHeight="1" spans="1:2">
      <c r="A10701" s="3" t="str">
        <f>IFERROR(__xludf.DUMMYFUNCTION("GOOGLETRANSLATE(A10701,""en"",""pt"")"),"Eu odeio Harry Potter, que daniel wotshisface precisa de um tapa porra ...")</f>
        <v>Eu odeio Harry Potter, que daniel wotshisface precisa de um tapa porra ...</v>
      </c>
      <c r="B10701" s="3">
        <v>0</v>
      </c>
    </row>
    <row r="10702" ht="15.75" customHeight="1" spans="1:2">
      <c r="A10702" s="3" t="str">
        <f>IFERROR(__xludf.DUMMYFUNCTION("GOOGLETRANSLATE(A10702,""en"",""pt"")"),"Este questionário é uma merda e Harry Potter suga ok bye ..")</f>
        <v>Este questionário é uma merda e Harry Potter suga ok bye ..</v>
      </c>
      <c r="B10702" s="3">
        <v>0</v>
      </c>
    </row>
    <row r="10703" ht="15.75" customHeight="1" spans="1:2">
      <c r="A10703" s="3" t="str">
        <f>IFERROR(__xludf.DUMMYFUNCTION("GOOGLETRANSLATE(A10703,""en"",""pt"")"),"Eu odeio Harry Potter, é retarted, gay e estúpido e só há um cara preta ...")</f>
        <v>Eu odeio Harry Potter, é retarted, gay e estúpido e só há um cara preta ...</v>
      </c>
      <c r="B10703" s="3">
        <v>0</v>
      </c>
    </row>
    <row r="10704" ht="15.75" customHeight="1" spans="1:2">
      <c r="A10704" s="3" t="str">
        <f>IFERROR(__xludf.DUMMYFUNCTION("GOOGLETRANSLATE(A10704,""en"",""pt"")"),"É apenas mim, ou faz Harry Potter chupar? ...")</f>
        <v>É apenas mim, ou faz Harry Potter chupar? ...</v>
      </c>
      <c r="B10704" s="3">
        <v>0</v>
      </c>
    </row>
    <row r="10705" ht="15.75" customHeight="1" spans="1:2">
      <c r="A10705" s="3" t="str">
        <f>IFERROR(__xludf.DUMMYFUNCTION("GOOGLETRANSLATE(A10705,""en"",""pt"")"),"Sempre sabe o que eu quero, não cara louco, odeia Harry Potter ..")</f>
        <v>Sempre sabe o que eu quero, não cara louco, odeia Harry Potter ..</v>
      </c>
      <c r="B10705" s="3">
        <v>0</v>
      </c>
    </row>
    <row r="10706" ht="15.75" customHeight="1" spans="1:2">
      <c r="A10706" s="3" t="str">
        <f>IFERROR(__xludf.DUMMYFUNCTION("GOOGLETRANSLATE(A10706,""en"",""pt"")"),"Eu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06" s="3">
        <v>0</v>
      </c>
    </row>
    <row r="10707" ht="15.75" customHeight="1" spans="1:2">
      <c r="A10707" s="3" t="str">
        <f>IFERROR(__xludf.DUMMYFUNCTION("GOOGLETRANSLATE(A10707,""en"",""pt"")"),"Eu odeio Harry Potter.")</f>
        <v>Eu odeio Harry Potter.</v>
      </c>
      <c r="B10707" s="3">
        <v>0</v>
      </c>
    </row>
    <row r="10708" ht="15.75" customHeight="1" spans="1:2">
      <c r="A10708" s="3" t="str">
        <f>IFERROR(__xludf.DUMMYFUNCTION("GOOGLETRANSLATE(A10708,""en"",""pt"")"),"Não porque eu odeio Harry Potter, mas porque eu sou o tipo de pessoa que gosta quando as principais matrizes de caracteres.")</f>
        <v>Não porque eu odeio Harry Potter, mas porque eu sou o tipo de pessoa que gosta quando as principais matrizes de caracteres.</v>
      </c>
      <c r="B10708" s="3">
        <v>0</v>
      </c>
    </row>
    <row r="10709" ht="15.75" customHeight="1" spans="1:2">
      <c r="A10709" s="3" t="str">
        <f>IFERROR(__xludf.DUMMYFUNCTION("GOOGLETRANSLATE(A10709,""en"",""pt"")"),"Harry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09" s="3">
        <v>0</v>
      </c>
    </row>
    <row r="10710" ht="15.75" customHeight="1" spans="1:2">
      <c r="A10710" s="3" t="str">
        <f>IFERROR(__xludf.DUMMYFUNCTION("GOOGLETRANSLATE(A10710,""en"",""pt"")"),"Estes filmes de Harry Potter realmente chupar.")</f>
        <v>Estes filmes de Harry Potter realmente chupar.</v>
      </c>
      <c r="B10710" s="3">
        <v>0</v>
      </c>
    </row>
    <row r="10711" ht="15.75" customHeight="1" spans="1:2">
      <c r="A10711" s="3" t="str">
        <f>IFERROR(__xludf.DUMMYFUNCTION("GOOGLETRANSLATE(A10711,""en"",""pt"")"),"Eu odeio Harry Potter, que daniel wotshisface precisa de um tapa porra ...")</f>
        <v>Eu odeio Harry Potter, que daniel wotshisface precisa de um tapa porra ...</v>
      </c>
      <c r="B10711" s="3">
        <v>0</v>
      </c>
    </row>
    <row r="10712" ht="15.75" customHeight="1" spans="1:2">
      <c r="A10712" s="3" t="str">
        <f>IFERROR(__xludf.DUMMYFUNCTION("GOOGLETRANSLATE(A10712,""en"",""pt"")"),"Este questionário é uma merda e Harry Potter suga ok bye ..")</f>
        <v>Este questionário é uma merda e Harry Potter suga ok bye ..</v>
      </c>
      <c r="B10712" s="3">
        <v>0</v>
      </c>
    </row>
    <row r="10713" ht="15.75" customHeight="1" spans="1:2">
      <c r="A10713" s="3" t="str">
        <f>IFERROR(__xludf.DUMMYFUNCTION("GOOGLETRANSLATE(A10713,""en"",""pt"")"),"Eu odeio Harry Potter, é retarted, gay e estúpido e só há um cara preta ...")</f>
        <v>Eu odeio Harry Potter, é retarted, gay e estúpido e só há um cara preta ...</v>
      </c>
      <c r="B10713" s="3">
        <v>0</v>
      </c>
    </row>
    <row r="10714" ht="15.75" customHeight="1" spans="1:2">
      <c r="A10714" s="3" t="str">
        <f>IFERROR(__xludf.DUMMYFUNCTION("GOOGLETRANSLATE(A10714,""en"",""pt"")"),"É apenas mim, ou faz Harry Potter chupar? ...")</f>
        <v>É apenas mim, ou faz Harry Potter chupar? ...</v>
      </c>
      <c r="B10714" s="3">
        <v>0</v>
      </c>
    </row>
    <row r="10715" ht="15.75" customHeight="1" spans="1:2">
      <c r="A10715" s="3" t="str">
        <f>IFERROR(__xludf.DUMMYFUNCTION("GOOGLETRANSLATE(A10715,""en"",""pt"")"),"Sempre sabe o que eu quero, não cara louco, odeia Harry Potter ..")</f>
        <v>Sempre sabe o que eu quero, não cara louco, odeia Harry Potter ..</v>
      </c>
      <c r="B10715" s="3">
        <v>0</v>
      </c>
    </row>
    <row r="10716" ht="15.75" customHeight="1" spans="1:2">
      <c r="A10716" s="3" t="str">
        <f>IFERROR(__xludf.DUMMYFUNCTION("GOOGLETRANSLATE(A10716,""en"",""pt"")"),"Eu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16" s="3">
        <v>0</v>
      </c>
    </row>
    <row r="10717" ht="15.75" customHeight="1" spans="1:2">
      <c r="A10717" s="3" t="str">
        <f>IFERROR(__xludf.DUMMYFUNCTION("GOOGLETRANSLATE(A10717,""en"",""pt"")"),"Eu odeio Harry Potter.")</f>
        <v>Eu odeio Harry Potter.</v>
      </c>
      <c r="B10717" s="3">
        <v>0</v>
      </c>
    </row>
    <row r="10718" ht="15.75" customHeight="1" spans="1:2">
      <c r="A10718" s="3" t="str">
        <f>IFERROR(__xludf.DUMMYFUNCTION("GOOGLETRANSLATE(A10718,""en"",""pt"")"),"Não porque eu odeio Harry Potter, mas porque eu sou o tipo de pessoa que gosta quando as principais matrizes de caracteres.")</f>
        <v>Não porque eu odeio Harry Potter, mas porque eu sou o tipo de pessoa que gosta quando as principais matrizes de caracteres.</v>
      </c>
      <c r="B10718" s="3">
        <v>0</v>
      </c>
    </row>
    <row r="10719" ht="15.75" customHeight="1" spans="1:2">
      <c r="A10719" s="3" t="str">
        <f>IFERROR(__xludf.DUMMYFUNCTION("GOOGLETRANSLATE(A10719,""en"",""pt"")"),"Harry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19" s="3">
        <v>0</v>
      </c>
    </row>
    <row r="10720" ht="15.75" customHeight="1" spans="1:2">
      <c r="A10720" s="3" t="str">
        <f>IFERROR(__xludf.DUMMYFUNCTION("GOOGLETRANSLATE(A10720,""en"",""pt"")"),"Estes filmes de Harry Potter realmente chupar.")</f>
        <v>Estes filmes de Harry Potter realmente chupar.</v>
      </c>
      <c r="B10720" s="3">
        <v>0</v>
      </c>
    </row>
    <row r="10721" ht="15.75" customHeight="1" spans="1:2">
      <c r="A10721" s="3" t="str">
        <f>IFERROR(__xludf.DUMMYFUNCTION("GOOGLETRANSLATE(A10721,""en"",""pt"")"),"Eu odeio Harry Potter, que daniel wotshisface precisa de um tapa porra ...")</f>
        <v>Eu odeio Harry Potter, que daniel wotshisface precisa de um tapa porra ...</v>
      </c>
      <c r="B10721" s="3">
        <v>0</v>
      </c>
    </row>
    <row r="10722" ht="15.75" customHeight="1" spans="1:2">
      <c r="A10722" s="3" t="str">
        <f>IFERROR(__xludf.DUMMYFUNCTION("GOOGLETRANSLATE(A10722,""en"",""pt"")"),"Este questionário é uma merda e Harry Potter suga ok bye ..")</f>
        <v>Este questionário é uma merda e Harry Potter suga ok bye ..</v>
      </c>
      <c r="B10722" s="3">
        <v>0</v>
      </c>
    </row>
    <row r="10723" ht="15.75" customHeight="1" spans="1:2">
      <c r="A10723" s="3" t="str">
        <f>IFERROR(__xludf.DUMMYFUNCTION("GOOGLETRANSLATE(A10723,""en"",""pt"")"),"Eu odeio Harry Potter, é retarted, gay e estúpido e só há um cara preta ...")</f>
        <v>Eu odeio Harry Potter, é retarted, gay e estúpido e só há um cara preta ...</v>
      </c>
      <c r="B10723" s="3">
        <v>0</v>
      </c>
    </row>
    <row r="10724" ht="15.75" customHeight="1" spans="1:2">
      <c r="A10724" s="3" t="str">
        <f>IFERROR(__xludf.DUMMYFUNCTION("GOOGLETRANSLATE(A10724,""en"",""pt"")"),"É apenas mim, ou faz Harry Potter chupar? ...")</f>
        <v>É apenas mim, ou faz Harry Potter chupar? ...</v>
      </c>
      <c r="B10724" s="3">
        <v>0</v>
      </c>
    </row>
    <row r="10725" ht="15.75" customHeight="1" spans="1:2">
      <c r="A10725" s="3" t="str">
        <f>IFERROR(__xludf.DUMMYFUNCTION("GOOGLETRANSLATE(A10725,""en"",""pt"")"),"Sempre sabe o que eu quero, não cara louco, odeia Harry Potter ..")</f>
        <v>Sempre sabe o que eu quero, não cara louco, odeia Harry Potter ..</v>
      </c>
      <c r="B10725" s="3">
        <v>0</v>
      </c>
    </row>
    <row r="10726" ht="15.75" customHeight="1" spans="1:2">
      <c r="A10726" s="3" t="str">
        <f>IFERROR(__xludf.DUMMYFUNCTION("GOOGLETRANSLATE(A10726,""en"",""pt"")"),"Eu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26" s="3">
        <v>0</v>
      </c>
    </row>
    <row r="10727" ht="15.75" customHeight="1" spans="1:2">
      <c r="A10727" s="3" t="str">
        <f>IFERROR(__xludf.DUMMYFUNCTION("GOOGLETRANSLATE(A10727,""en"",""pt"")"),"Eu odeio Harry Potter.")</f>
        <v>Eu odeio Harry Potter.</v>
      </c>
      <c r="B10727" s="3">
        <v>0</v>
      </c>
    </row>
    <row r="10728" ht="15.75" customHeight="1" spans="1:2">
      <c r="A10728" s="3" t="str">
        <f>IFERROR(__xludf.DUMMYFUNCTION("GOOGLETRANSLATE(A10728,""en"",""pt"")"),"Não porque eu odeio Harry Potter, mas porque eu sou o tipo de pessoa que gosta quando as principais matrizes de caracteres.")</f>
        <v>Não porque eu odeio Harry Potter, mas porque eu sou o tipo de pessoa que gosta quando as principais matrizes de caracteres.</v>
      </c>
      <c r="B10728" s="3">
        <v>0</v>
      </c>
    </row>
    <row r="10729" ht="15.75" customHeight="1" spans="1:2">
      <c r="A10729" s="3" t="str">
        <f>IFERROR(__xludf.DUMMYFUNCTION("GOOGLETRANSLATE(A10729,""en"",""pt"")"),"Harry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29" s="3">
        <v>0</v>
      </c>
    </row>
    <row r="10730" ht="15.75" customHeight="1" spans="1:2">
      <c r="A10730" s="3" t="str">
        <f>IFERROR(__xludf.DUMMYFUNCTION("GOOGLETRANSLATE(A10730,""en"",""pt"")"),"Estes filmes de Harry Potter realmente chupar.")</f>
        <v>Estes filmes de Harry Potter realmente chupar.</v>
      </c>
      <c r="B10730" s="3">
        <v>0</v>
      </c>
    </row>
    <row r="10731" ht="15.75" customHeight="1" spans="1:2">
      <c r="A10731" s="3" t="str">
        <f>IFERROR(__xludf.DUMMYFUNCTION("GOOGLETRANSLATE(A10731,""en"",""pt"")"),"Eu odeio Harry Potter, que daniel wotshisface precisa de um tapa porra ...")</f>
        <v>Eu odeio Harry Potter, que daniel wotshisface precisa de um tapa porra ...</v>
      </c>
      <c r="B10731" s="3">
        <v>0</v>
      </c>
    </row>
    <row r="10732" ht="15.75" customHeight="1" spans="1:2">
      <c r="A10732" s="3" t="str">
        <f>IFERROR(__xludf.DUMMYFUNCTION("GOOGLETRANSLATE(A10732,""en"",""pt"")"),"Este questionário é uma merda e Harry Potter suga ok bye ..")</f>
        <v>Este questionário é uma merda e Harry Potter suga ok bye ..</v>
      </c>
      <c r="B10732" s="3">
        <v>0</v>
      </c>
    </row>
    <row r="10733" ht="15.75" customHeight="1" spans="1:2">
      <c r="A10733" s="3" t="str">
        <f>IFERROR(__xludf.DUMMYFUNCTION("GOOGLETRANSLATE(A10733,""en"",""pt"")"),"Eu odeio Harry Potter, é retarted, gay e estúpido e só há um cara preta ...")</f>
        <v>Eu odeio Harry Potter, é retarted, gay e estúpido e só há um cara preta ...</v>
      </c>
      <c r="B10733" s="3">
        <v>0</v>
      </c>
    </row>
    <row r="10734" ht="15.75" customHeight="1" spans="1:2">
      <c r="A10734" s="3" t="str">
        <f>IFERROR(__xludf.DUMMYFUNCTION("GOOGLETRANSLATE(A10734,""en"",""pt"")"),"É apenas mim, ou faz Harry Potter chupar? ...")</f>
        <v>É apenas mim, ou faz Harry Potter chupar? ...</v>
      </c>
      <c r="B10734" s="3">
        <v>0</v>
      </c>
    </row>
    <row r="10735" ht="15.75" customHeight="1" spans="1:2">
      <c r="A10735" s="3" t="str">
        <f>IFERROR(__xludf.DUMMYFUNCTION("GOOGLETRANSLATE(A10735,""en"",""pt"")"),"Sempre sabe o que eu quero, não cara louco, odeia Harry Potter ..")</f>
        <v>Sempre sabe o que eu quero, não cara louco, odeia Harry Potter ..</v>
      </c>
      <c r="B10735" s="3">
        <v>0</v>
      </c>
    </row>
    <row r="10736" ht="15.75" customHeight="1" spans="1:2">
      <c r="A10736" s="3" t="str">
        <f>IFERROR(__xludf.DUMMYFUNCTION("GOOGLETRANSLATE(A10736,""en"",""pt"")"),"Eu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36" s="3">
        <v>0</v>
      </c>
    </row>
    <row r="10737" ht="15.75" customHeight="1" spans="1:2">
      <c r="A10737" s="3" t="str">
        <f>IFERROR(__xludf.DUMMYFUNCTION("GOOGLETRANSLATE(A10737,""en"",""pt"")"),"Eu odeio Harry Potter.")</f>
        <v>Eu odeio Harry Potter.</v>
      </c>
      <c r="B10737" s="3">
        <v>0</v>
      </c>
    </row>
    <row r="10738" ht="15.75" customHeight="1" spans="1:2">
      <c r="A10738" s="3" t="str">
        <f>IFERROR(__xludf.DUMMYFUNCTION("GOOGLETRANSLATE(A10738,""en"",""pt"")"),"Não porque eu odeio Harry Potter, mas porque eu sou o tipo de pessoa que gosta quando as principais matrizes de caracteres.")</f>
        <v>Não porque eu odeio Harry Potter, mas porque eu sou o tipo de pessoa que gosta quando as principais matrizes de caracteres.</v>
      </c>
      <c r="B10738" s="3">
        <v>0</v>
      </c>
    </row>
    <row r="10739" ht="15.75" customHeight="1" spans="1:2">
      <c r="A10739" s="3" t="str">
        <f>IFERROR(__xludf.DUMMYFUNCTION("GOOGLETRANSLATE(A10739,""en"",""pt"")"),"Harry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39" s="3">
        <v>0</v>
      </c>
    </row>
    <row r="10740" ht="15.75" customHeight="1" spans="1:2">
      <c r="A10740" s="3" t="str">
        <f>IFERROR(__xludf.DUMMYFUNCTION("GOOGLETRANSLATE(A10740,""en"",""pt"")"),"Estes filmes de Harry Potter realmente chupar.")</f>
        <v>Estes filmes de Harry Potter realmente chupar.</v>
      </c>
      <c r="B10740" s="3">
        <v>0</v>
      </c>
    </row>
    <row r="10741" ht="15.75" customHeight="1" spans="1:2">
      <c r="A10741" s="3" t="str">
        <f>IFERROR(__xludf.DUMMYFUNCTION("GOOGLETRANSLATE(A10741,""en"",""pt"")"),"Eu odeio Harry Potter, que daniel wotshisface precisa de um tapa porra ...")</f>
        <v>Eu odeio Harry Potter, que daniel wotshisface precisa de um tapa porra ...</v>
      </c>
      <c r="B10741" s="3">
        <v>0</v>
      </c>
    </row>
    <row r="10742" ht="15.75" customHeight="1" spans="1:2">
      <c r="A10742" s="3" t="str">
        <f>IFERROR(__xludf.DUMMYFUNCTION("GOOGLETRANSLATE(A10742,""en"",""pt"")"),"Este questionário é uma merda e Harry Potter suga ok bye ..")</f>
        <v>Este questionário é uma merda e Harry Potter suga ok bye ..</v>
      </c>
      <c r="B10742" s="3">
        <v>0</v>
      </c>
    </row>
    <row r="10743" ht="15.75" customHeight="1" spans="1:2">
      <c r="A10743" s="3" t="str">
        <f>IFERROR(__xludf.DUMMYFUNCTION("GOOGLETRANSLATE(A10743,""en"",""pt"")"),"Eu odeio Harry Potter, é retarted, gay e estúpido e só há um cara preta ...")</f>
        <v>Eu odeio Harry Potter, é retarted, gay e estúpido e só há um cara preta ...</v>
      </c>
      <c r="B10743" s="3">
        <v>0</v>
      </c>
    </row>
    <row r="10744" ht="15.75" customHeight="1" spans="1:2">
      <c r="A10744" s="3" t="str">
        <f>IFERROR(__xludf.DUMMYFUNCTION("GOOGLETRANSLATE(A10744,""en"",""pt"")"),"É apenas mim, ou faz Harry Potter chupar? ...")</f>
        <v>É apenas mim, ou faz Harry Potter chupar? ...</v>
      </c>
      <c r="B10744" s="3">
        <v>0</v>
      </c>
    </row>
    <row r="10745" ht="15.75" customHeight="1" spans="1:2">
      <c r="A10745" s="3" t="str">
        <f>IFERROR(__xludf.DUMMYFUNCTION("GOOGLETRANSLATE(A10745,""en"",""pt"")"),"Sempre sabe o que eu quero, não cara louco, odeia Harry Potter ..")</f>
        <v>Sempre sabe o que eu quero, não cara louco, odeia Harry Potter ..</v>
      </c>
      <c r="B10745" s="3">
        <v>0</v>
      </c>
    </row>
    <row r="10746" ht="15.75" customHeight="1" spans="1:2">
      <c r="A10746" s="3" t="str">
        <f>IFERROR(__xludf.DUMMYFUNCTION("GOOGLETRANSLATE(A10746,""en"",""pt"")"),"Eu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46" s="3">
        <v>0</v>
      </c>
    </row>
    <row r="10747" ht="15.75" customHeight="1" spans="1:2">
      <c r="A10747" s="3" t="str">
        <f>IFERROR(__xludf.DUMMYFUNCTION("GOOGLETRANSLATE(A10747,""en"",""pt"")"),"Eu odeio Harry Potter.")</f>
        <v>Eu odeio Harry Potter.</v>
      </c>
      <c r="B10747" s="3">
        <v>0</v>
      </c>
    </row>
    <row r="10748" ht="15.75" customHeight="1" spans="1:2">
      <c r="A10748" s="3" t="str">
        <f>IFERROR(__xludf.DUMMYFUNCTION("GOOGLETRANSLATE(A10748,""en"",""pt"")"),"Não porque eu odeio Harry Potter, mas porque eu sou o tipo de pessoa que gosta quando as principais matrizes de caracteres.")</f>
        <v>Não porque eu odeio Harry Potter, mas porque eu sou o tipo de pessoa que gosta quando as principais matrizes de caracteres.</v>
      </c>
      <c r="B10748" s="3">
        <v>0</v>
      </c>
    </row>
    <row r="10749" ht="15.75" customHeight="1" spans="1:2">
      <c r="A10749" s="3" t="str">
        <f>IFERROR(__xludf.DUMMYFUNCTION("GOOGLETRANSLATE(A10749,""en"",""pt"")"),"Harry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49" s="3">
        <v>0</v>
      </c>
    </row>
    <row r="10750" ht="15.75" customHeight="1" spans="1:2">
      <c r="A10750" s="3" t="str">
        <f>IFERROR(__xludf.DUMMYFUNCTION("GOOGLETRANSLATE(A10750,""en"",""pt"")"),"Estes filmes de Harry Potter realmente chupar.")</f>
        <v>Estes filmes de Harry Potter realmente chupar.</v>
      </c>
      <c r="B10750" s="3">
        <v>0</v>
      </c>
    </row>
    <row r="10751" ht="15.75" customHeight="1" spans="1:2">
      <c r="A10751" s="3" t="str">
        <f>IFERROR(__xludf.DUMMYFUNCTION("GOOGLETRANSLATE(A10751,""en"",""pt"")"),"Eu odeio Harry Potter, que daniel wotshisface precisa de um tapa porra ...")</f>
        <v>Eu odeio Harry Potter, que daniel wotshisface precisa de um tapa porra ...</v>
      </c>
      <c r="B10751" s="3">
        <v>0</v>
      </c>
    </row>
    <row r="10752" ht="15.75" customHeight="1" spans="1:2">
      <c r="A10752" s="3" t="str">
        <f>IFERROR(__xludf.DUMMYFUNCTION("GOOGLETRANSLATE(A10752,""en"",""pt"")"),"Este questionário é uma merda e Harry Potter suga ok bye ..")</f>
        <v>Este questionário é uma merda e Harry Potter suga ok bye ..</v>
      </c>
      <c r="B10752" s="3">
        <v>0</v>
      </c>
    </row>
    <row r="10753" ht="15.75" customHeight="1" spans="1:2">
      <c r="A10753" s="3" t="str">
        <f>IFERROR(__xludf.DUMMYFUNCTION("GOOGLETRANSLATE(A10753,""en"",""pt"")"),"Eu odeio Harry Potter, é retarted, gay e estúpido e só há um cara preta ...")</f>
        <v>Eu odeio Harry Potter, é retarted, gay e estúpido e só há um cara preta ...</v>
      </c>
      <c r="B10753" s="3">
        <v>0</v>
      </c>
    </row>
    <row r="10754" ht="15.75" customHeight="1" spans="1:2">
      <c r="A10754" s="3" t="str">
        <f>IFERROR(__xludf.DUMMYFUNCTION("GOOGLETRANSLATE(A10754,""en"",""pt"")"),"É apenas mim, ou faz Harry Potter chupar? ...")</f>
        <v>É apenas mim, ou faz Harry Potter chupar? ...</v>
      </c>
      <c r="B10754" s="3">
        <v>0</v>
      </c>
    </row>
    <row r="10755" ht="15.75" customHeight="1" spans="1:2">
      <c r="A10755" s="3" t="str">
        <f>IFERROR(__xludf.DUMMYFUNCTION("GOOGLETRANSLATE(A10755,""en"",""pt"")"),"Sempre sabe o que eu quero, não cara louco, odeia Harry Potter ..")</f>
        <v>Sempre sabe o que eu quero, não cara louco, odeia Harry Potter ..</v>
      </c>
      <c r="B10755" s="3">
        <v>0</v>
      </c>
    </row>
    <row r="10756" ht="15.75" customHeight="1" spans="1:2">
      <c r="A10756" s="3" t="str">
        <f>IFERROR(__xludf.DUMMYFUNCTION("GOOGLETRANSLATE(A10756,""en"",""pt"")"),"Eu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56" s="3">
        <v>0</v>
      </c>
    </row>
    <row r="10757" ht="15.75" customHeight="1" spans="1:2">
      <c r="A10757" s="3" t="str">
        <f>IFERROR(__xludf.DUMMYFUNCTION("GOOGLETRANSLATE(A10757,""en"",""pt"")"),"Eu odeio Harry Potter.")</f>
        <v>Eu odeio Harry Potter.</v>
      </c>
      <c r="B10757" s="3">
        <v>0</v>
      </c>
    </row>
    <row r="10758" ht="15.75" customHeight="1" spans="1:2">
      <c r="A10758" s="3" t="str">
        <f>IFERROR(__xludf.DUMMYFUNCTION("GOOGLETRANSLATE(A10758,""en"",""pt"")"),"Não porque eu odeio Harry Potter, mas porque eu sou o tipo de pessoa que gosta quando as principais matrizes de caracteres.")</f>
        <v>Não porque eu odeio Harry Potter, mas porque eu sou o tipo de pessoa que gosta quando as principais matrizes de caracteres.</v>
      </c>
      <c r="B10758" s="3">
        <v>0</v>
      </c>
    </row>
    <row r="10759" ht="15.75" customHeight="1" spans="1:2">
      <c r="A10759" s="3" t="str">
        <f>IFERROR(__xludf.DUMMYFUNCTION("GOOGLETRANSLATE(A10759,""en"",""pt"")"),"Harry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59" s="3">
        <v>0</v>
      </c>
    </row>
    <row r="10760" ht="15.75" customHeight="1" spans="1:2">
      <c r="A10760" s="3" t="str">
        <f>IFERROR(__xludf.DUMMYFUNCTION("GOOGLETRANSLATE(A10760,""en"",""pt"")"),"Estes filmes de Harry Potter realmente chupar.")</f>
        <v>Estes filmes de Harry Potter realmente chupar.</v>
      </c>
      <c r="B10760" s="3">
        <v>0</v>
      </c>
    </row>
    <row r="10761" ht="15.75" customHeight="1" spans="1:2">
      <c r="A10761" s="3" t="str">
        <f>IFERROR(__xludf.DUMMYFUNCTION("GOOGLETRANSLATE(A10761,""en"",""pt"")"),"Eu odeio Harry Potter, que daniel wotshisface precisa de um tapa porra ...")</f>
        <v>Eu odeio Harry Potter, que daniel wotshisface precisa de um tapa porra ...</v>
      </c>
      <c r="B10761" s="3">
        <v>0</v>
      </c>
    </row>
    <row r="10762" ht="15.75" customHeight="1" spans="1:2">
      <c r="A10762" s="3" t="str">
        <f>IFERROR(__xludf.DUMMYFUNCTION("GOOGLETRANSLATE(A10762,""en"",""pt"")"),"Este questionário é uma merda e Harry Potter suga ok bye ..")</f>
        <v>Este questionário é uma merda e Harry Potter suga ok bye ..</v>
      </c>
      <c r="B10762" s="3">
        <v>0</v>
      </c>
    </row>
    <row r="10763" ht="15.75" customHeight="1" spans="1:2">
      <c r="A10763" s="3" t="str">
        <f>IFERROR(__xludf.DUMMYFUNCTION("GOOGLETRANSLATE(A10763,""en"",""pt"")"),"Eu odeio Harry Potter, é retarted, gay e estúpido e só há um cara preta ...")</f>
        <v>Eu odeio Harry Potter, é retarted, gay e estúpido e só há um cara preta ...</v>
      </c>
      <c r="B10763" s="3">
        <v>0</v>
      </c>
    </row>
    <row r="10764" ht="15.75" customHeight="1" spans="1:2">
      <c r="A10764" s="3" t="str">
        <f>IFERROR(__xludf.DUMMYFUNCTION("GOOGLETRANSLATE(A10764,""en"",""pt"")"),"É apenas mim, ou faz Harry Potter chupar? ...")</f>
        <v>É apenas mim, ou faz Harry Potter chupar? ...</v>
      </c>
      <c r="B10764" s="3">
        <v>0</v>
      </c>
    </row>
    <row r="10765" ht="15.75" customHeight="1" spans="1:2">
      <c r="A10765" s="3" t="str">
        <f>IFERROR(__xludf.DUMMYFUNCTION("GOOGLETRANSLATE(A10765,""en"",""pt"")"),"Sempre sabe o que eu quero, não cara louco, odeia Harry Potter ..")</f>
        <v>Sempre sabe o que eu quero, não cara louco, odeia Harry Potter ..</v>
      </c>
      <c r="B10765" s="3">
        <v>0</v>
      </c>
    </row>
    <row r="10766" ht="15.75" customHeight="1" spans="1:2">
      <c r="A10766" s="3" t="str">
        <f>IFERROR(__xludf.DUMMYFUNCTION("GOOGLETRANSLATE(A10766,""en"",""pt"")"),"Eu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66" s="3">
        <v>0</v>
      </c>
    </row>
    <row r="10767" ht="15.75" customHeight="1" spans="1:2">
      <c r="A10767" s="3" t="str">
        <f>IFERROR(__xludf.DUMMYFUNCTION("GOOGLETRANSLATE(A10767,""en"",""pt"")"),"Eu odeio Harry Potter.")</f>
        <v>Eu odeio Harry Potter.</v>
      </c>
      <c r="B10767" s="3">
        <v>0</v>
      </c>
    </row>
    <row r="10768" ht="15.75" customHeight="1" spans="1:2">
      <c r="A10768" s="3" t="str">
        <f>IFERROR(__xludf.DUMMYFUNCTION("GOOGLETRANSLATE(A10768,""en"",""pt"")"),"Não porque eu odeio Harry Potter, mas porque eu sou o tipo de pessoa que gosta quando as principais matrizes de caracteres.")</f>
        <v>Não porque eu odeio Harry Potter, mas porque eu sou o tipo de pessoa que gosta quando as principais matrizes de caracteres.</v>
      </c>
      <c r="B10768" s="3">
        <v>0</v>
      </c>
    </row>
    <row r="10769" ht="15.75" customHeight="1" spans="1:2">
      <c r="A10769" s="3" t="str">
        <f>IFERROR(__xludf.DUMMYFUNCTION("GOOGLETRANSLATE(A10769,""en"",""pt"")"),"Harry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69" s="3">
        <v>0</v>
      </c>
    </row>
    <row r="10770" ht="15.75" customHeight="1" spans="1:2">
      <c r="A10770" s="3" t="str">
        <f>IFERROR(__xludf.DUMMYFUNCTION("GOOGLETRANSLATE(A10770,""en"",""pt"")"),"Estes filmes de Harry Potter realmente chupar.")</f>
        <v>Estes filmes de Harry Potter realmente chupar.</v>
      </c>
      <c r="B10770" s="3">
        <v>0</v>
      </c>
    </row>
    <row r="10771" ht="15.75" customHeight="1" spans="1:2">
      <c r="A10771" s="3" t="str">
        <f>IFERROR(__xludf.DUMMYFUNCTION("GOOGLETRANSLATE(A10771,""en"",""pt"")"),"Eu odeio Harry Potter, que daniel wotshisface precisa de um tapa porra ...")</f>
        <v>Eu odeio Harry Potter, que daniel wotshisface precisa de um tapa porra ...</v>
      </c>
      <c r="B10771" s="3">
        <v>0</v>
      </c>
    </row>
    <row r="10772" ht="15.75" customHeight="1" spans="1:2">
      <c r="A10772" s="3" t="str">
        <f>IFERROR(__xludf.DUMMYFUNCTION("GOOGLETRANSLATE(A10772,""en"",""pt"")"),"Este questionário é uma merda e Harry Potter suga ok bye ..")</f>
        <v>Este questionário é uma merda e Harry Potter suga ok bye ..</v>
      </c>
      <c r="B10772" s="3">
        <v>0</v>
      </c>
    </row>
    <row r="10773" ht="15.75" customHeight="1" spans="1:2">
      <c r="A10773" s="3" t="str">
        <f>IFERROR(__xludf.DUMMYFUNCTION("GOOGLETRANSLATE(A10773,""en"",""pt"")"),"Eu odeio Harry Potter, é retarted, gay e estúpido e só há um cara preta ...")</f>
        <v>Eu odeio Harry Potter, é retarted, gay e estúpido e só há um cara preta ...</v>
      </c>
      <c r="B10773" s="3">
        <v>0</v>
      </c>
    </row>
    <row r="10774" ht="15.75" customHeight="1" spans="1:2">
      <c r="A10774" s="3" t="str">
        <f>IFERROR(__xludf.DUMMYFUNCTION("GOOGLETRANSLATE(A10774,""en"",""pt"")"),"É apenas mim, ou faz Harry Potter chupar? ...")</f>
        <v>É apenas mim, ou faz Harry Potter chupar? ...</v>
      </c>
      <c r="B10774" s="3">
        <v>0</v>
      </c>
    </row>
    <row r="10775" ht="15.75" customHeight="1" spans="1:2">
      <c r="A10775" s="3" t="str">
        <f>IFERROR(__xludf.DUMMYFUNCTION("GOOGLETRANSLATE(A10775,""en"",""pt"")"),"Sempre sabe o que eu quero, não cara louco, odeia Harry Potter ..")</f>
        <v>Sempre sabe o que eu quero, não cara louco, odeia Harry Potter ..</v>
      </c>
      <c r="B10775" s="3">
        <v>0</v>
      </c>
    </row>
    <row r="10776" ht="15.75" customHeight="1" spans="1:2">
      <c r="A10776" s="3" t="str">
        <f>IFERROR(__xludf.DUMMYFUNCTION("GOOGLETRANSLATE(A10776,""en"",""pt"")"),"Eu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76" s="3">
        <v>0</v>
      </c>
    </row>
    <row r="10777" ht="15.75" customHeight="1" spans="1:2">
      <c r="A10777" s="3" t="str">
        <f>IFERROR(__xludf.DUMMYFUNCTION("GOOGLETRANSLATE(A10777,""en"",""pt"")"),"Eu odeio Harry Potter.")</f>
        <v>Eu odeio Harry Potter.</v>
      </c>
      <c r="B10777" s="3">
        <v>0</v>
      </c>
    </row>
    <row r="10778" ht="15.75" customHeight="1" spans="1:2">
      <c r="A10778" s="3" t="str">
        <f>IFERROR(__xludf.DUMMYFUNCTION("GOOGLETRANSLATE(A10778,""en"",""pt"")"),"Não porque eu odeio Harry Potter, mas porque eu sou o tipo de pessoa que gosta quando as principais matrizes de caracteres.")</f>
        <v>Não porque eu odeio Harry Potter, mas porque eu sou o tipo de pessoa que gosta quando as principais matrizes de caracteres.</v>
      </c>
      <c r="B10778" s="3">
        <v>0</v>
      </c>
    </row>
    <row r="10779" ht="15.75" customHeight="1" spans="1:2">
      <c r="A10779" s="3" t="str">
        <f>IFERROR(__xludf.DUMMYFUNCTION("GOOGLETRANSLATE(A10779,""en"",""pt"")"),"Harry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79" s="3">
        <v>0</v>
      </c>
    </row>
    <row r="10780" ht="15.75" customHeight="1" spans="1:2">
      <c r="A10780" s="3" t="str">
        <f>IFERROR(__xludf.DUMMYFUNCTION("GOOGLETRANSLATE(A10780,""en"",""pt"")"),"Estes filmes de Harry Potter realmente chupar.")</f>
        <v>Estes filmes de Harry Potter realmente chupar.</v>
      </c>
      <c r="B10780" s="3">
        <v>0</v>
      </c>
    </row>
    <row r="10781" ht="15.75" customHeight="1" spans="1:2">
      <c r="A10781" s="3" t="str">
        <f>IFERROR(__xludf.DUMMYFUNCTION("GOOGLETRANSLATE(A10781,""en"",""pt"")"),"Eu odeio Harry Potter, que daniel wotshisface precisa de um tapa porra ...")</f>
        <v>Eu odeio Harry Potter, que daniel wotshisface precisa de um tapa porra ...</v>
      </c>
      <c r="B10781" s="3">
        <v>0</v>
      </c>
    </row>
    <row r="10782" ht="15.75" customHeight="1" spans="1:2">
      <c r="A10782" s="3" t="str">
        <f>IFERROR(__xludf.DUMMYFUNCTION("GOOGLETRANSLATE(A10782,""en"",""pt"")"),"Este questionário é uma merda e Harry Potter suga ok bye ..")</f>
        <v>Este questionário é uma merda e Harry Potter suga ok bye ..</v>
      </c>
      <c r="B10782" s="3">
        <v>0</v>
      </c>
    </row>
    <row r="10783" ht="15.75" customHeight="1" spans="1:2">
      <c r="A10783" s="3" t="str">
        <f>IFERROR(__xludf.DUMMYFUNCTION("GOOGLETRANSLATE(A10783,""en"",""pt"")"),"Eu odeio Harry Potter, é retarted, gay e estúpido e só há um cara preta ...")</f>
        <v>Eu odeio Harry Potter, é retarted, gay e estúpido e só há um cara preta ...</v>
      </c>
      <c r="B10783" s="3">
        <v>0</v>
      </c>
    </row>
    <row r="10784" ht="15.75" customHeight="1" spans="1:2">
      <c r="A10784" s="3" t="str">
        <f>IFERROR(__xludf.DUMMYFUNCTION("GOOGLETRANSLATE(A10784,""en"",""pt"")"),"É apenas mim, ou faz Harry Potter chupar? ...")</f>
        <v>É apenas mim, ou faz Harry Potter chupar? ...</v>
      </c>
      <c r="B10784" s="3">
        <v>0</v>
      </c>
    </row>
    <row r="10785" ht="15.75" customHeight="1" spans="1:2">
      <c r="A10785" s="3" t="str">
        <f>IFERROR(__xludf.DUMMYFUNCTION("GOOGLETRANSLATE(A10785,""en"",""pt"")"),"Sempre sabe o que eu quero, não cara louco, odeia Harry Potter ..")</f>
        <v>Sempre sabe o que eu quero, não cara louco, odeia Harry Potter ..</v>
      </c>
      <c r="B10785" s="3">
        <v>0</v>
      </c>
    </row>
    <row r="10786" ht="15.75" customHeight="1" spans="1:2">
      <c r="A10786" s="3" t="str">
        <f>IFERROR(__xludf.DUMMYFUNCTION("GOOGLETRANSLATE(A10786,""en"",""pt"")"),"Eu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86" s="3">
        <v>0</v>
      </c>
    </row>
    <row r="10787" ht="15.75" customHeight="1" spans="1:2">
      <c r="A10787" s="3" t="str">
        <f>IFERROR(__xludf.DUMMYFUNCTION("GOOGLETRANSLATE(A10787,""en"",""pt"")"),"Eu odeio Harry Potter.")</f>
        <v>Eu odeio Harry Potter.</v>
      </c>
      <c r="B10787" s="3">
        <v>0</v>
      </c>
    </row>
    <row r="10788" ht="15.75" customHeight="1" spans="1:2">
      <c r="A10788" s="3" t="str">
        <f>IFERROR(__xludf.DUMMYFUNCTION("GOOGLETRANSLATE(A10788,""en"",""pt"")"),"Não porque eu odeio Harry Potter, mas porque eu sou o tipo de pessoa que gosta quando as principais matrizes de caracteres.")</f>
        <v>Não porque eu odeio Harry Potter, mas porque eu sou o tipo de pessoa que gosta quando as principais matrizes de caracteres.</v>
      </c>
      <c r="B10788" s="3">
        <v>0</v>
      </c>
    </row>
    <row r="10789" ht="15.75" customHeight="1" spans="1:2">
      <c r="A10789" s="3" t="str">
        <f>IFERROR(__xludf.DUMMYFUNCTION("GOOGLETRANSLATE(A10789,""en"",""pt"")"),"Harry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89" s="3">
        <v>0</v>
      </c>
    </row>
    <row r="10790" ht="15.75" customHeight="1" spans="1:2">
      <c r="A10790" s="3" t="str">
        <f>IFERROR(__xludf.DUMMYFUNCTION("GOOGLETRANSLATE(A10790,""en"",""pt"")"),"Estes filmes de Harry Potter realmente chupar.")</f>
        <v>Estes filmes de Harry Potter realmente chupar.</v>
      </c>
      <c r="B10790" s="3">
        <v>0</v>
      </c>
    </row>
    <row r="10791" ht="15.75" customHeight="1" spans="1:2">
      <c r="A10791" s="3" t="str">
        <f>IFERROR(__xludf.DUMMYFUNCTION("GOOGLETRANSLATE(A10791,""en"",""pt"")"),"Eu odeio Harry Potter, que daniel wotshisface precisa de um tapa porra ...")</f>
        <v>Eu odeio Harry Potter, que daniel wotshisface precisa de um tapa porra ...</v>
      </c>
      <c r="B10791" s="3">
        <v>0</v>
      </c>
    </row>
    <row r="10792" ht="15.75" customHeight="1" spans="1:2">
      <c r="A10792" s="3" t="str">
        <f>IFERROR(__xludf.DUMMYFUNCTION("GOOGLETRANSLATE(A10792,""en"",""pt"")"),"Este questionário é uma merda e Harry Potter suga ok bye ..")</f>
        <v>Este questionário é uma merda e Harry Potter suga ok bye ..</v>
      </c>
      <c r="B10792" s="3">
        <v>0</v>
      </c>
    </row>
    <row r="10793" ht="15.75" customHeight="1" spans="1:2">
      <c r="A10793" s="3" t="str">
        <f>IFERROR(__xludf.DUMMYFUNCTION("GOOGLETRANSLATE(A10793,""en"",""pt"")"),"Eu odeio Harry Potter, é retarted, gay e estúpido e só há um cara preta ...")</f>
        <v>Eu odeio Harry Potter, é retarted, gay e estúpido e só há um cara preta ...</v>
      </c>
      <c r="B10793" s="3">
        <v>0</v>
      </c>
    </row>
    <row r="10794" ht="15.75" customHeight="1" spans="1:2">
      <c r="A10794" s="3" t="str">
        <f>IFERROR(__xludf.DUMMYFUNCTION("GOOGLETRANSLATE(A10794,""en"",""pt"")"),"É apenas mim, ou faz Harry Potter chupar? ...")</f>
        <v>É apenas mim, ou faz Harry Potter chupar? ...</v>
      </c>
      <c r="B10794" s="3">
        <v>0</v>
      </c>
    </row>
    <row r="10795" ht="15.75" customHeight="1" spans="1:2">
      <c r="A10795" s="3" t="str">
        <f>IFERROR(__xludf.DUMMYFUNCTION("GOOGLETRANSLATE(A10795,""en"",""pt"")"),"Sempre sabe o que eu quero, não cara louco, odeia Harry Potter ..")</f>
        <v>Sempre sabe o que eu quero, não cara louco, odeia Harry Potter ..</v>
      </c>
      <c r="B10795" s="3">
        <v>0</v>
      </c>
    </row>
    <row r="10796" ht="15.75" customHeight="1" spans="1:2">
      <c r="A10796" s="3" t="str">
        <f>IFERROR(__xludf.DUMMYFUNCTION("GOOGLETRANSLATE(A10796,""en"",""pt"")"),"Eu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796" s="3">
        <v>0</v>
      </c>
    </row>
    <row r="10797" ht="15.75" customHeight="1" spans="1:2">
      <c r="A10797" s="3" t="str">
        <f>IFERROR(__xludf.DUMMYFUNCTION("GOOGLETRANSLATE(A10797,""en"",""pt"")"),"Eu odeio Harry Potter.")</f>
        <v>Eu odeio Harry Potter.</v>
      </c>
      <c r="B10797" s="3">
        <v>0</v>
      </c>
    </row>
    <row r="10798" ht="15.75" customHeight="1" spans="1:2">
      <c r="A10798" s="3" t="str">
        <f>IFERROR(__xludf.DUMMYFUNCTION("GOOGLETRANSLATE(A10798,""en"",""pt"")"),"Não porque eu odeio Harry Potter, mas porque eu sou o tipo de pessoa que gosta quando as principais matrizes de caracteres.")</f>
        <v>Não porque eu odeio Harry Potter, mas porque eu sou o tipo de pessoa que gosta quando as principais matrizes de caracteres.</v>
      </c>
      <c r="B10798" s="3">
        <v>0</v>
      </c>
    </row>
    <row r="10799" ht="15.75" customHeight="1" spans="1:2">
      <c r="A10799" s="3" t="str">
        <f>IFERROR(__xludf.DUMMYFUNCTION("GOOGLETRANSLATE(A10799,""en"",""pt"")"),"Harry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799" s="3">
        <v>0</v>
      </c>
    </row>
    <row r="10800" ht="15.75" customHeight="1" spans="1:2">
      <c r="A10800" s="3" t="str">
        <f>IFERROR(__xludf.DUMMYFUNCTION("GOOGLETRANSLATE(A10800,""en"",""pt"")"),"Estes filmes de Harry Potter realmente chupar.")</f>
        <v>Estes filmes de Harry Potter realmente chupar.</v>
      </c>
      <c r="B10800" s="3">
        <v>0</v>
      </c>
    </row>
    <row r="10801" ht="15.75" customHeight="1" spans="1:2">
      <c r="A10801" s="3" t="str">
        <f>IFERROR(__xludf.DUMMYFUNCTION("GOOGLETRANSLATE(A10801,""en"",""pt"")"),"Eu odeio Harry Potter, que daniel wotshisface precisa de um tapa porra ...")</f>
        <v>Eu odeio Harry Potter, que daniel wotshisface precisa de um tapa porra ...</v>
      </c>
      <c r="B10801" s="3">
        <v>0</v>
      </c>
    </row>
    <row r="10802" ht="15.75" customHeight="1" spans="1:2">
      <c r="A10802" s="3" t="str">
        <f>IFERROR(__xludf.DUMMYFUNCTION("GOOGLETRANSLATE(A10802,""en"",""pt"")"),"Este questionário é uma merda e Harry Potter suga ok bye ..")</f>
        <v>Este questionário é uma merda e Harry Potter suga ok bye ..</v>
      </c>
      <c r="B10802" s="3">
        <v>0</v>
      </c>
    </row>
    <row r="10803" ht="15.75" customHeight="1" spans="1:2">
      <c r="A10803" s="3" t="str">
        <f>IFERROR(__xludf.DUMMYFUNCTION("GOOGLETRANSLATE(A10803,""en"",""pt"")"),"Eu odeio Harry Potter, é retarted, gay e estúpido e só há um cara preta ...")</f>
        <v>Eu odeio Harry Potter, é retarted, gay e estúpido e só há um cara preta ...</v>
      </c>
      <c r="B10803" s="3">
        <v>0</v>
      </c>
    </row>
    <row r="10804" ht="15.75" customHeight="1" spans="1:2">
      <c r="A10804" s="3" t="str">
        <f>IFERROR(__xludf.DUMMYFUNCTION("GOOGLETRANSLATE(A10804,""en"",""pt"")"),"É apenas mim, ou faz Harry Potter chupar? ...")</f>
        <v>É apenas mim, ou faz Harry Potter chupar? ...</v>
      </c>
      <c r="B10804" s="3">
        <v>0</v>
      </c>
    </row>
    <row r="10805" ht="15.75" customHeight="1" spans="1:2">
      <c r="A10805" s="3" t="str">
        <f>IFERROR(__xludf.DUMMYFUNCTION("GOOGLETRANSLATE(A10805,""en"",""pt"")"),"Sempre sabe o que eu quero, não cara louco, odeia Harry Potter ..")</f>
        <v>Sempre sabe o que eu quero, não cara louco, odeia Harry Potter ..</v>
      </c>
      <c r="B10805" s="3">
        <v>0</v>
      </c>
    </row>
    <row r="10806" ht="15.75" customHeight="1" spans="1:2">
      <c r="A10806" s="3" t="str">
        <f>IFERROR(__xludf.DUMMYFUNCTION("GOOGLETRANSLATE(A10806,""en"",""pt"")"),"Eu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06" s="3">
        <v>0</v>
      </c>
    </row>
    <row r="10807" ht="15.75" customHeight="1" spans="1:2">
      <c r="A10807" s="3" t="str">
        <f>IFERROR(__xludf.DUMMYFUNCTION("GOOGLETRANSLATE(A10807,""en"",""pt"")"),"Eu odeio Harry Potter.")</f>
        <v>Eu odeio Harry Potter.</v>
      </c>
      <c r="B10807" s="3">
        <v>0</v>
      </c>
    </row>
    <row r="10808" ht="15.75" customHeight="1" spans="1:2">
      <c r="A10808" s="3" t="str">
        <f>IFERROR(__xludf.DUMMYFUNCTION("GOOGLETRANSLATE(A10808,""en"",""pt"")"),"Não porque eu odeio Harry Potter, mas porque eu sou o tipo de pessoa que gosta quando as principais matrizes de caracteres.")</f>
        <v>Não porque eu odeio Harry Potter, mas porque eu sou o tipo de pessoa que gosta quando as principais matrizes de caracteres.</v>
      </c>
      <c r="B10808" s="3">
        <v>0</v>
      </c>
    </row>
    <row r="10809" ht="15.75" customHeight="1" spans="1:2">
      <c r="A10809" s="3" t="str">
        <f>IFERROR(__xludf.DUMMYFUNCTION("GOOGLETRANSLATE(A10809,""en"",""pt"")"),"Harry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09" s="3">
        <v>0</v>
      </c>
    </row>
    <row r="10810" ht="15.75" customHeight="1" spans="1:2">
      <c r="A10810" s="3" t="str">
        <f>IFERROR(__xludf.DUMMYFUNCTION("GOOGLETRANSLATE(A10810,""en"",""pt"")"),"Estes filmes de Harry Potter realmente chupar.")</f>
        <v>Estes filmes de Harry Potter realmente chupar.</v>
      </c>
      <c r="B10810" s="3">
        <v>0</v>
      </c>
    </row>
    <row r="10811" ht="15.75" customHeight="1" spans="1:2">
      <c r="A10811" s="3" t="str">
        <f>IFERROR(__xludf.DUMMYFUNCTION("GOOGLETRANSLATE(A10811,""en"",""pt"")"),"Eu odeio Harry Potter, que daniel wotshisface precisa de um tapa porra ...")</f>
        <v>Eu odeio Harry Potter, que daniel wotshisface precisa de um tapa porra ...</v>
      </c>
      <c r="B10811" s="3">
        <v>0</v>
      </c>
    </row>
    <row r="10812" ht="15.75" customHeight="1" spans="1:2">
      <c r="A10812" s="3" t="str">
        <f>IFERROR(__xludf.DUMMYFUNCTION("GOOGLETRANSLATE(A10812,""en"",""pt"")"),"Este questionário é uma merda e Harry Potter suga ok bye ..")</f>
        <v>Este questionário é uma merda e Harry Potter suga ok bye ..</v>
      </c>
      <c r="B10812" s="3">
        <v>0</v>
      </c>
    </row>
    <row r="10813" ht="15.75" customHeight="1" spans="1:2">
      <c r="A10813" s="3" t="str">
        <f>IFERROR(__xludf.DUMMYFUNCTION("GOOGLETRANSLATE(A10813,""en"",""pt"")"),"Eu odeio Harry Potter, é retarted, gay e estúpido e só há um cara preta ...")</f>
        <v>Eu odeio Harry Potter, é retarted, gay e estúpido e só há um cara preta ...</v>
      </c>
      <c r="B10813" s="3">
        <v>0</v>
      </c>
    </row>
    <row r="10814" ht="15.75" customHeight="1" spans="1:2">
      <c r="A10814" s="3" t="str">
        <f>IFERROR(__xludf.DUMMYFUNCTION("GOOGLETRANSLATE(A10814,""en"",""pt"")"),"É apenas mim, ou faz Harry Potter chupar? ...")</f>
        <v>É apenas mim, ou faz Harry Potter chupar? ...</v>
      </c>
      <c r="B10814" s="3">
        <v>0</v>
      </c>
    </row>
    <row r="10815" ht="15.75" customHeight="1" spans="1:2">
      <c r="A10815" s="3" t="str">
        <f>IFERROR(__xludf.DUMMYFUNCTION("GOOGLETRANSLATE(A10815,""en"",""pt"")"),"Sempre sabe o que eu quero, não cara louco, odeia Harry Potter ..")</f>
        <v>Sempre sabe o que eu quero, não cara louco, odeia Harry Potter ..</v>
      </c>
      <c r="B10815" s="3">
        <v>0</v>
      </c>
    </row>
    <row r="10816" ht="15.75" customHeight="1" spans="1:2">
      <c r="A10816" s="3" t="str">
        <f>IFERROR(__xludf.DUMMYFUNCTION("GOOGLETRANSLATE(A10816,""en"",""pt"")"),"Eu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16" s="3">
        <v>0</v>
      </c>
    </row>
    <row r="10817" ht="15.75" customHeight="1" spans="1:2">
      <c r="A10817" s="3" t="str">
        <f>IFERROR(__xludf.DUMMYFUNCTION("GOOGLETRANSLATE(A10817,""en"",""pt"")"),"Eu odeio Harry Potter.")</f>
        <v>Eu odeio Harry Potter.</v>
      </c>
      <c r="B10817" s="3">
        <v>0</v>
      </c>
    </row>
    <row r="10818" ht="15.75" customHeight="1" spans="1:2">
      <c r="A10818" s="3" t="str">
        <f>IFERROR(__xludf.DUMMYFUNCTION("GOOGLETRANSLATE(A10818,""en"",""pt"")"),"Não porque eu odeio Harry Potter, mas porque eu sou o tipo de pessoa que gosta quando as principais matrizes de caracteres.")</f>
        <v>Não porque eu odeio Harry Potter, mas porque eu sou o tipo de pessoa que gosta quando as principais matrizes de caracteres.</v>
      </c>
      <c r="B10818" s="3">
        <v>0</v>
      </c>
    </row>
    <row r="10819" ht="15.75" customHeight="1" spans="1:2">
      <c r="A10819" s="3" t="str">
        <f>IFERROR(__xludf.DUMMYFUNCTION("GOOGLETRANSLATE(A10819,""en"",""pt"")"),"Harry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19" s="3">
        <v>0</v>
      </c>
    </row>
    <row r="10820" ht="15.75" customHeight="1" spans="1:2">
      <c r="A10820" s="3" t="str">
        <f>IFERROR(__xludf.DUMMYFUNCTION("GOOGLETRANSLATE(A10820,""en"",""pt"")"),"Estes filmes de Harry Potter realmente chupar.")</f>
        <v>Estes filmes de Harry Potter realmente chupar.</v>
      </c>
      <c r="B10820" s="3">
        <v>0</v>
      </c>
    </row>
    <row r="10821" ht="15.75" customHeight="1" spans="1:2">
      <c r="A10821" s="3" t="str">
        <f>IFERROR(__xludf.DUMMYFUNCTION("GOOGLETRANSLATE(A10821,""en"",""pt"")"),"Eu odeio Harry Potter, que daniel wotshisface precisa de um tapa porra ...")</f>
        <v>Eu odeio Harry Potter, que daniel wotshisface precisa de um tapa porra ...</v>
      </c>
      <c r="B10821" s="3">
        <v>0</v>
      </c>
    </row>
    <row r="10822" ht="15.75" customHeight="1" spans="1:2">
      <c r="A10822" s="3" t="str">
        <f>IFERROR(__xludf.DUMMYFUNCTION("GOOGLETRANSLATE(A10822,""en"",""pt"")"),"Este questionário é uma merda e Harry Potter suga ok bye ..")</f>
        <v>Este questionário é uma merda e Harry Potter suga ok bye ..</v>
      </c>
      <c r="B10822" s="3">
        <v>0</v>
      </c>
    </row>
    <row r="10823" ht="15.75" customHeight="1" spans="1:2">
      <c r="A10823" s="3" t="str">
        <f>IFERROR(__xludf.DUMMYFUNCTION("GOOGLETRANSLATE(A10823,""en"",""pt"")"),"Eu odeio Harry Potter, é retarted, gay e estúpido e só há um cara preta ...")</f>
        <v>Eu odeio Harry Potter, é retarted, gay e estúpido e só há um cara preta ...</v>
      </c>
      <c r="B10823" s="3">
        <v>0</v>
      </c>
    </row>
    <row r="10824" ht="15.75" customHeight="1" spans="1:2">
      <c r="A10824" s="3" t="str">
        <f>IFERROR(__xludf.DUMMYFUNCTION("GOOGLETRANSLATE(A10824,""en"",""pt"")"),"É apenas mim, ou faz Harry Potter chupar? ...")</f>
        <v>É apenas mim, ou faz Harry Potter chupar? ...</v>
      </c>
      <c r="B10824" s="3">
        <v>0</v>
      </c>
    </row>
    <row r="10825" ht="15.75" customHeight="1" spans="1:2">
      <c r="A10825" s="3" t="str">
        <f>IFERROR(__xludf.DUMMYFUNCTION("GOOGLETRANSLATE(A10825,""en"",""pt"")"),"Sempre sabe o que eu quero, não cara louco, odeia Harry Potter ..")</f>
        <v>Sempre sabe o que eu quero, não cara louco, odeia Harry Potter ..</v>
      </c>
      <c r="B10825" s="3">
        <v>0</v>
      </c>
    </row>
    <row r="10826" ht="15.75" customHeight="1" spans="1:2">
      <c r="A10826" s="3" t="str">
        <f>IFERROR(__xludf.DUMMYFUNCTION("GOOGLETRANSLATE(A10826,""en"",""pt"")"),"Eu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26" s="3">
        <v>0</v>
      </c>
    </row>
    <row r="10827" ht="15.75" customHeight="1" spans="1:2">
      <c r="A10827" s="3" t="str">
        <f>IFERROR(__xludf.DUMMYFUNCTION("GOOGLETRANSLATE(A10827,""en"",""pt"")"),"Eu odeio Harry Potter.")</f>
        <v>Eu odeio Harry Potter.</v>
      </c>
      <c r="B10827" s="3">
        <v>0</v>
      </c>
    </row>
    <row r="10828" ht="15.75" customHeight="1" spans="1:2">
      <c r="A10828" s="3" t="str">
        <f>IFERROR(__xludf.DUMMYFUNCTION("GOOGLETRANSLATE(A10828,""en"",""pt"")"),"Não porque eu odeio Harry Potter, mas porque eu sou o tipo de pessoa que gosta quando as principais matrizes de caracteres.")</f>
        <v>Não porque eu odeio Harry Potter, mas porque eu sou o tipo de pessoa que gosta quando as principais matrizes de caracteres.</v>
      </c>
      <c r="B10828" s="3">
        <v>0</v>
      </c>
    </row>
    <row r="10829" ht="15.75" customHeight="1" spans="1:2">
      <c r="A10829" s="3" t="str">
        <f>IFERROR(__xludf.DUMMYFUNCTION("GOOGLETRANSLATE(A10829,""en"",""pt"")"),"Harry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29" s="3">
        <v>0</v>
      </c>
    </row>
    <row r="10830" ht="15.75" customHeight="1" spans="1:2">
      <c r="A10830" s="3" t="str">
        <f>IFERROR(__xludf.DUMMYFUNCTION("GOOGLETRANSLATE(A10830,""en"",""pt"")"),"Estes filmes de Harry Potter realmente chupar.")</f>
        <v>Estes filmes de Harry Potter realmente chupar.</v>
      </c>
      <c r="B10830" s="3">
        <v>0</v>
      </c>
    </row>
    <row r="10831" ht="15.75" customHeight="1" spans="1:2">
      <c r="A10831" s="3" t="str">
        <f>IFERROR(__xludf.DUMMYFUNCTION("GOOGLETRANSLATE(A10831,""en"",""pt"")"),"Eu odeio Harry Potter, que daniel wotshisface precisa de um tapa porra ...")</f>
        <v>Eu odeio Harry Potter, que daniel wotshisface precisa de um tapa porra ...</v>
      </c>
      <c r="B10831" s="3">
        <v>0</v>
      </c>
    </row>
    <row r="10832" ht="15.75" customHeight="1" spans="1:2">
      <c r="A10832" s="3" t="str">
        <f>IFERROR(__xludf.DUMMYFUNCTION("GOOGLETRANSLATE(A10832,""en"",""pt"")"),"Este questionário é uma merda e Harry Potter suga ok bye ..")</f>
        <v>Este questionário é uma merda e Harry Potter suga ok bye ..</v>
      </c>
      <c r="B10832" s="3">
        <v>0</v>
      </c>
    </row>
    <row r="10833" ht="15.75" customHeight="1" spans="1:2">
      <c r="A10833" s="3" t="str">
        <f>IFERROR(__xludf.DUMMYFUNCTION("GOOGLETRANSLATE(A10833,""en"",""pt"")"),"Eu odeio Harry Potter, é retarted, gay e estúpido e só há um cara preta ...")</f>
        <v>Eu odeio Harry Potter, é retarted, gay e estúpido e só há um cara preta ...</v>
      </c>
      <c r="B10833" s="3">
        <v>0</v>
      </c>
    </row>
    <row r="10834" ht="15.75" customHeight="1" spans="1:2">
      <c r="A10834" s="3" t="str">
        <f>IFERROR(__xludf.DUMMYFUNCTION("GOOGLETRANSLATE(A10834,""en"",""pt"")"),"É apenas mim, ou faz Harry Potter chupar? ...")</f>
        <v>É apenas mim, ou faz Harry Potter chupar? ...</v>
      </c>
      <c r="B10834" s="3">
        <v>0</v>
      </c>
    </row>
    <row r="10835" ht="15.75" customHeight="1" spans="1:2">
      <c r="A10835" s="3" t="str">
        <f>IFERROR(__xludf.DUMMYFUNCTION("GOOGLETRANSLATE(A10835,""en"",""pt"")"),"Sempre sabe o que eu quero, não cara louco, odeia Harry Potter ..")</f>
        <v>Sempre sabe o que eu quero, não cara louco, odeia Harry Potter ..</v>
      </c>
      <c r="B10835" s="3">
        <v>0</v>
      </c>
    </row>
    <row r="10836" ht="15.75" customHeight="1" spans="1:2">
      <c r="A10836" s="3" t="str">
        <f>IFERROR(__xludf.DUMMYFUNCTION("GOOGLETRANSLATE(A10836,""en"",""pt"")"),"Eu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36" s="3">
        <v>0</v>
      </c>
    </row>
    <row r="10837" ht="15.75" customHeight="1" spans="1:2">
      <c r="A10837" s="3" t="s">
        <v>48</v>
      </c>
      <c r="B10837" s="3">
        <v>0</v>
      </c>
    </row>
    <row r="10838" ht="15.75" customHeight="1" spans="1:2">
      <c r="A10838" s="3" t="str">
        <f>IFERROR(__xludf.DUMMYFUNCTION("GOOGLETRANSLATE(A10838,""en"",""pt"")"),"Não porque eu odeio Harry Potter, mas porque eu sou o tipo de pessoa que gosta quando as principais matrizes de caracteres.")</f>
        <v>Não porque eu odeio Harry Potter, mas porque eu sou o tipo de pessoa que gosta quando as principais matrizes de caracteres.</v>
      </c>
      <c r="B10838" s="3">
        <v>0</v>
      </c>
    </row>
    <row r="10839" ht="15.75" customHeight="1" spans="1:2">
      <c r="A10839" s="3" t="str">
        <f>IFERROR(__xludf.DUMMYFUNCTION("GOOGLETRANSLATE(A10839,""en"",""pt"")"),"Harry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39" s="3">
        <v>0</v>
      </c>
    </row>
    <row r="10840" ht="15.75" customHeight="1" spans="1:2">
      <c r="A10840" s="3" t="str">
        <f>IFERROR(__xludf.DUMMYFUNCTION("GOOGLETRANSLATE(A10840,""en"",""pt"")"),"Estes filmes de Harry Potter realmente chupar.")</f>
        <v>Estes filmes de Harry Potter realmente chupar.</v>
      </c>
      <c r="B10840" s="3">
        <v>0</v>
      </c>
    </row>
    <row r="10841" ht="15.75" customHeight="1" spans="1:2">
      <c r="A10841" s="3" t="str">
        <f>IFERROR(__xludf.DUMMYFUNCTION("GOOGLETRANSLATE(A10841,""en"",""pt"")"),"Eu odeio Harry Potter, que daniel wotshisface precisa de um tapa porra ...")</f>
        <v>Eu odeio Harry Potter, que daniel wotshisface precisa de um tapa porra ...</v>
      </c>
      <c r="B10841" s="3">
        <v>0</v>
      </c>
    </row>
    <row r="10842" ht="15.75" customHeight="1" spans="1:2">
      <c r="A10842" s="3" t="str">
        <f>IFERROR(__xludf.DUMMYFUNCTION("GOOGLETRANSLATE(A10842,""en"",""pt"")"),"Este questionário é uma merda e Harry Potter suga ok bye ..")</f>
        <v>Este questionário é uma merda e Harry Potter suga ok bye ..</v>
      </c>
      <c r="B10842" s="3">
        <v>0</v>
      </c>
    </row>
    <row r="10843" ht="15.75" customHeight="1" spans="1:2">
      <c r="A10843" s="3" t="str">
        <f>IFERROR(__xludf.DUMMYFUNCTION("GOOGLETRANSLATE(A10843,""en"",""pt"")"),"Eu odeio Harry Potter, é retarted, gay e estúpido e só há um cara preta ...")</f>
        <v>Eu odeio Harry Potter, é retarted, gay e estúpido e só há um cara preta ...</v>
      </c>
      <c r="B10843" s="3">
        <v>0</v>
      </c>
    </row>
    <row r="10844" ht="15.75" customHeight="1" spans="1:2">
      <c r="A10844" s="3" t="str">
        <f>IFERROR(__xludf.DUMMYFUNCTION("GOOGLETRANSLATE(A10844,""en"",""pt"")"),"É apenas mim, ou faz Harry Potter chupar? ...")</f>
        <v>É apenas mim, ou faz Harry Potter chupar? ...</v>
      </c>
      <c r="B10844" s="3">
        <v>0</v>
      </c>
    </row>
    <row r="10845" ht="15.75" customHeight="1" spans="1:2">
      <c r="A10845" s="3" t="str">
        <f>IFERROR(__xludf.DUMMYFUNCTION("GOOGLETRANSLATE(A10845,""en"",""pt"")"),"Sempre sabe o que eu quero, não cara louco, odeia Harry Potter ..")</f>
        <v>Sempre sabe o que eu quero, não cara louco, odeia Harry Potter ..</v>
      </c>
      <c r="B10845" s="3">
        <v>0</v>
      </c>
    </row>
    <row r="10846" ht="15.75" customHeight="1" spans="1:2">
      <c r="A10846" s="3" t="str">
        <f>IFERROR(__xludf.DUMMYFUNCTION("GOOGLETRANSLATE(A10846,""en"",""pt"")"),"Eu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46" s="3">
        <v>0</v>
      </c>
    </row>
    <row r="10847" ht="15.75" customHeight="1" spans="1:2">
      <c r="A10847" s="3" t="str">
        <f>IFERROR(__xludf.DUMMYFUNCTION("GOOGLETRANSLATE(A10847,""en"",""pt"")"),"Eu odeio Harry Potter.")</f>
        <v>Eu odeio Harry Potter.</v>
      </c>
      <c r="B10847" s="3">
        <v>0</v>
      </c>
    </row>
    <row r="10848" ht="15.75" customHeight="1" spans="1:2">
      <c r="A10848" s="3" t="str">
        <f>IFERROR(__xludf.DUMMYFUNCTION("GOOGLETRANSLATE(A10848,""en"",""pt"")"),"Não porque eu odeio Harry Potter, mas porque eu sou o tipo de pessoa que gosta quando as principais matrizes de caracteres.")</f>
        <v>Não porque eu odeio Harry Potter, mas porque eu sou o tipo de pessoa que gosta quando as principais matrizes de caracteres.</v>
      </c>
      <c r="B10848" s="3">
        <v>0</v>
      </c>
    </row>
    <row r="10849" ht="15.75" customHeight="1" spans="1:2">
      <c r="A10849" s="3" t="str">
        <f>IFERROR(__xludf.DUMMYFUNCTION("GOOGLETRANSLATE(A10849,""en"",""pt"")"),"Harry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49" s="3">
        <v>0</v>
      </c>
    </row>
    <row r="10850" ht="15.75" customHeight="1" spans="1:2">
      <c r="A10850" s="3" t="str">
        <f>IFERROR(__xludf.DUMMYFUNCTION("GOOGLETRANSLATE(A10850,""en"",""pt"")"),"Estes filmes de Harry Potter realmente chupar.")</f>
        <v>Estes filmes de Harry Potter realmente chupar.</v>
      </c>
      <c r="B10850" s="3">
        <v>0</v>
      </c>
    </row>
    <row r="10851" ht="15.75" customHeight="1" spans="1:2">
      <c r="A10851" s="3" t="str">
        <f>IFERROR(__xludf.DUMMYFUNCTION("GOOGLETRANSLATE(A10851,""en"",""pt"")"),"Eu odeio Harry Potter, que daniel wotshisface precisa de um tapa porra ...")</f>
        <v>Eu odeio Harry Potter, que daniel wotshisface precisa de um tapa porra ...</v>
      </c>
      <c r="B10851" s="3">
        <v>0</v>
      </c>
    </row>
    <row r="10852" ht="15.75" customHeight="1" spans="1:2">
      <c r="A10852" s="3" t="str">
        <f>IFERROR(__xludf.DUMMYFUNCTION("GOOGLETRANSLATE(A10852,""en"",""pt"")"),"Este questionário é uma merda e Harry Potter suga ok bye ..")</f>
        <v>Este questionário é uma merda e Harry Potter suga ok bye ..</v>
      </c>
      <c r="B10852" s="3">
        <v>0</v>
      </c>
    </row>
    <row r="10853" ht="15.75" customHeight="1" spans="1:2">
      <c r="A10853" s="3" t="str">
        <f>IFERROR(__xludf.DUMMYFUNCTION("GOOGLETRANSLATE(A10853,""en"",""pt"")"),"Eu odeio Harry Potter, é retarted, gay e estúpido e só há um cara preta ...")</f>
        <v>Eu odeio Harry Potter, é retarted, gay e estúpido e só há um cara preta ...</v>
      </c>
      <c r="B10853" s="3">
        <v>0</v>
      </c>
    </row>
    <row r="10854" ht="15.75" customHeight="1" spans="1:2">
      <c r="A10854" s="3" t="str">
        <f>IFERROR(__xludf.DUMMYFUNCTION("GOOGLETRANSLATE(A10854,""en"",""pt"")"),"É apenas mim, ou faz Harry Potter chupar? ...")</f>
        <v>É apenas mim, ou faz Harry Potter chupar? ...</v>
      </c>
      <c r="B10854" s="3">
        <v>0</v>
      </c>
    </row>
    <row r="10855" ht="15.75" customHeight="1" spans="1:2">
      <c r="A10855" s="3" t="str">
        <f>IFERROR(__xludf.DUMMYFUNCTION("GOOGLETRANSLATE(A10855,""en"",""pt"")"),"Sempre sabe o que eu quero, não cara louco, odeia Harry Potter ..")</f>
        <v>Sempre sabe o que eu quero, não cara louco, odeia Harry Potter ..</v>
      </c>
      <c r="B10855" s="3">
        <v>0</v>
      </c>
    </row>
    <row r="10856" ht="15.75" customHeight="1" spans="1:2">
      <c r="A10856" s="3" t="str">
        <f>IFERROR(__xludf.DUMMYFUNCTION("GOOGLETRANSLATE(A10856,""en"",""pt"")"),"Eu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56" s="3">
        <v>0</v>
      </c>
    </row>
    <row r="10857" ht="15.75" customHeight="1" spans="1:2">
      <c r="A10857" s="3" t="str">
        <f>IFERROR(__xludf.DUMMYFUNCTION("GOOGLETRANSLATE(A10857,""en"",""pt"")"),"Eu odeio Harry Potter.")</f>
        <v>Eu odeio Harry Potter.</v>
      </c>
      <c r="B10857" s="3">
        <v>0</v>
      </c>
    </row>
    <row r="10858" ht="15.75" customHeight="1" spans="1:2">
      <c r="A10858" s="3" t="str">
        <f>IFERROR(__xludf.DUMMYFUNCTION("GOOGLETRANSLATE(A10858,""en"",""pt"")"),"Não porque eu odeio Harry Potter, mas porque eu sou o tipo de pessoa que gosta quando as principais matrizes de caracteres.")</f>
        <v>Não porque eu odeio Harry Potter, mas porque eu sou o tipo de pessoa que gosta quando as principais matrizes de caracteres.</v>
      </c>
      <c r="B10858" s="3">
        <v>0</v>
      </c>
    </row>
    <row r="10859" ht="15.75" customHeight="1" spans="1:2">
      <c r="A10859" s="3" t="str">
        <f>IFERROR(__xludf.DUMMYFUNCTION("GOOGLETRANSLATE(A10859,""en"",""pt"")"),"Harry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59" s="3">
        <v>0</v>
      </c>
    </row>
    <row r="10860" ht="15.75" customHeight="1" spans="1:2">
      <c r="A10860" s="3" t="str">
        <f>IFERROR(__xludf.DUMMYFUNCTION("GOOGLETRANSLATE(A10860,""en"",""pt"")"),"Estes filmes de Harry Potter realmente chupar.")</f>
        <v>Estes filmes de Harry Potter realmente chupar.</v>
      </c>
      <c r="B10860" s="3">
        <v>0</v>
      </c>
    </row>
    <row r="10861" ht="15.75" customHeight="1" spans="1:2">
      <c r="A10861" s="3" t="str">
        <f>IFERROR(__xludf.DUMMYFUNCTION("GOOGLETRANSLATE(A10861,""en"",""pt"")"),"Eu odeio Harry Potter, que daniel wotshisface precisa de um tapa porra ...")</f>
        <v>Eu odeio Harry Potter, que daniel wotshisface precisa de um tapa porra ...</v>
      </c>
      <c r="B10861" s="3">
        <v>0</v>
      </c>
    </row>
    <row r="10862" ht="15.75" customHeight="1" spans="1:2">
      <c r="A10862" s="3" t="str">
        <f>IFERROR(__xludf.DUMMYFUNCTION("GOOGLETRANSLATE(A10862,""en"",""pt"")"),"Este questionário é uma merda e Harry Potter suga ok bye ..")</f>
        <v>Este questionário é uma merda e Harry Potter suga ok bye ..</v>
      </c>
      <c r="B10862" s="3">
        <v>0</v>
      </c>
    </row>
    <row r="10863" ht="15.75" customHeight="1" spans="1:2">
      <c r="A10863" s="3" t="str">
        <f>IFERROR(__xludf.DUMMYFUNCTION("GOOGLETRANSLATE(A10863,""en"",""pt"")"),"Eu odeio Harry Potter, é retarted, gay e estúpido e só há um cara preta ...")</f>
        <v>Eu odeio Harry Potter, é retarted, gay e estúpido e só há um cara preta ...</v>
      </c>
      <c r="B10863" s="3">
        <v>0</v>
      </c>
    </row>
    <row r="10864" ht="15.75" customHeight="1" spans="1:2">
      <c r="A10864" s="3" t="str">
        <f>IFERROR(__xludf.DUMMYFUNCTION("GOOGLETRANSLATE(A10864,""en"",""pt"")"),"É apenas mim, ou faz Harry Potter chupar? ...")</f>
        <v>É apenas mim, ou faz Harry Potter chupar? ...</v>
      </c>
      <c r="B10864" s="3">
        <v>0</v>
      </c>
    </row>
    <row r="10865" ht="15.75" customHeight="1" spans="1:2">
      <c r="A10865" s="3" t="str">
        <f>IFERROR(__xludf.DUMMYFUNCTION("GOOGLETRANSLATE(A10865,""en"",""pt"")"),"Sempre sabe o que eu quero, não cara louco, odeia Harry Potter ..")</f>
        <v>Sempre sabe o que eu quero, não cara louco, odeia Harry Potter ..</v>
      </c>
      <c r="B10865" s="3">
        <v>0</v>
      </c>
    </row>
    <row r="10866" ht="15.75" customHeight="1" spans="1:2">
      <c r="A10866" s="3" t="str">
        <f>IFERROR(__xludf.DUMMYFUNCTION("GOOGLETRANSLATE(A10866,""en"",""pt"")"),"Eu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66" s="3">
        <v>0</v>
      </c>
    </row>
    <row r="10867" ht="15.75" customHeight="1" spans="1:2">
      <c r="A10867" s="3" t="str">
        <f>IFERROR(__xludf.DUMMYFUNCTION("GOOGLETRANSLATE(A10867,""en"",""pt"")"),"Eu odeio Harry Potter.")</f>
        <v>Eu odeio Harry Potter.</v>
      </c>
      <c r="B10867" s="3">
        <v>0</v>
      </c>
    </row>
    <row r="10868" ht="15.75" customHeight="1" spans="1:2">
      <c r="A10868" s="3" t="str">
        <f>IFERROR(__xludf.DUMMYFUNCTION("GOOGLETRANSLATE(A10868,""en"",""pt"")"),"Não porque eu odeio Harry Potter, mas porque eu sou o tipo de pessoa que gosta quando as principais matrizes de caracteres.")</f>
        <v>Não porque eu odeio Harry Potter, mas porque eu sou o tipo de pessoa que gosta quando as principais matrizes de caracteres.</v>
      </c>
      <c r="B10868" s="3">
        <v>0</v>
      </c>
    </row>
    <row r="10869" ht="15.75" customHeight="1" spans="1:2">
      <c r="A10869" s="3" t="str">
        <f>IFERROR(__xludf.DUMMYFUNCTION("GOOGLETRANSLATE(A10869,""en"",""pt"")"),"Harry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69" s="3">
        <v>0</v>
      </c>
    </row>
    <row r="10870" ht="15.75" customHeight="1" spans="1:2">
      <c r="A10870" s="3" t="str">
        <f>IFERROR(__xludf.DUMMYFUNCTION("GOOGLETRANSLATE(A10870,""en"",""pt"")"),"Estes filmes de Harry Potter realmente chupar.")</f>
        <v>Estes filmes de Harry Potter realmente chupar.</v>
      </c>
      <c r="B10870" s="3">
        <v>0</v>
      </c>
    </row>
    <row r="10871" ht="15.75" customHeight="1" spans="1:2">
      <c r="A10871" s="3" t="str">
        <f>IFERROR(__xludf.DUMMYFUNCTION("GOOGLETRANSLATE(A10871,""en"",""pt"")"),"Eu odeio Harry Potter, que daniel wotshisface precisa de um tapa porra ...")</f>
        <v>Eu odeio Harry Potter, que daniel wotshisface precisa de um tapa porra ...</v>
      </c>
      <c r="B10871" s="3">
        <v>0</v>
      </c>
    </row>
    <row r="10872" ht="15.75" customHeight="1" spans="1:2">
      <c r="A10872" s="3" t="str">
        <f>IFERROR(__xludf.DUMMYFUNCTION("GOOGLETRANSLATE(A10872,""en"",""pt"")"),"Este questionário é uma merda e Harry Potter suga ok bye ..")</f>
        <v>Este questionário é uma merda e Harry Potter suga ok bye ..</v>
      </c>
      <c r="B10872" s="3">
        <v>0</v>
      </c>
    </row>
    <row r="10873" ht="15.75" customHeight="1" spans="1:2">
      <c r="A10873" s="3" t="str">
        <f>IFERROR(__xludf.DUMMYFUNCTION("GOOGLETRANSLATE(A10873,""en"",""pt"")"),"Eu odeio Harry Potter, é retarted, gay e estúpido e só há um cara preta ...")</f>
        <v>Eu odeio Harry Potter, é retarted, gay e estúpido e só há um cara preta ...</v>
      </c>
      <c r="B10873" s="3">
        <v>0</v>
      </c>
    </row>
    <row r="10874" ht="15.75" customHeight="1" spans="1:2">
      <c r="A10874" s="3" t="str">
        <f>IFERROR(__xludf.DUMMYFUNCTION("GOOGLETRANSLATE(A10874,""en"",""pt"")"),"É apenas mim, ou faz Harry Potter chupar? ...")</f>
        <v>É apenas mim, ou faz Harry Potter chupar? ...</v>
      </c>
      <c r="B10874" s="3">
        <v>0</v>
      </c>
    </row>
    <row r="10875" ht="15.75" customHeight="1" spans="1:2">
      <c r="A10875" s="3" t="str">
        <f>IFERROR(__xludf.DUMMYFUNCTION("GOOGLETRANSLATE(A10875,""en"",""pt"")"),"Sempre sabe o que eu quero, não cara louco, odeia Harry Potter ..")</f>
        <v>Sempre sabe o que eu quero, não cara louco, odeia Harry Potter ..</v>
      </c>
      <c r="B10875" s="3">
        <v>0</v>
      </c>
    </row>
    <row r="10876" ht="15.75" customHeight="1" spans="1:2">
      <c r="A10876" s="3" t="str">
        <f>IFERROR(__xludf.DUMMYFUNCTION("GOOGLETRANSLATE(A10876,""en"",""pt"")"),"Eu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76" s="3">
        <v>0</v>
      </c>
    </row>
    <row r="10877" ht="15.75" customHeight="1" spans="1:2">
      <c r="A10877" s="3" t="str">
        <f>IFERROR(__xludf.DUMMYFUNCTION("GOOGLETRANSLATE(A10877,""en"",""pt"")"),"Eu odeio Harry Potter.")</f>
        <v>Eu odeio Harry Potter.</v>
      </c>
      <c r="B10877" s="3">
        <v>0</v>
      </c>
    </row>
    <row r="10878" ht="15.75" customHeight="1" spans="1:2">
      <c r="A10878" s="3" t="str">
        <f>IFERROR(__xludf.DUMMYFUNCTION("GOOGLETRANSLATE(A10878,""en"",""pt"")"),"Não porque eu odeio Harry Potter, mas porque eu sou o tipo de pessoa que gosta quando as principais matrizes de caracteres.")</f>
        <v>Não porque eu odeio Harry Potter, mas porque eu sou o tipo de pessoa que gosta quando as principais matrizes de caracteres.</v>
      </c>
      <c r="B10878" s="3">
        <v>0</v>
      </c>
    </row>
    <row r="10879" ht="15.75" customHeight="1" spans="1:2">
      <c r="A10879" s="3" t="str">
        <f>IFERROR(__xludf.DUMMYFUNCTION("GOOGLETRANSLATE(A10879,""en"",""pt"")"),"Harry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79" s="3">
        <v>0</v>
      </c>
    </row>
    <row r="10880" ht="15.75" customHeight="1" spans="1:2">
      <c r="A10880" s="3" t="str">
        <f>IFERROR(__xludf.DUMMYFUNCTION("GOOGLETRANSLATE(A10880,""en"",""pt"")"),"Estes filmes de Harry Potter realmente chupar.")</f>
        <v>Estes filmes de Harry Potter realmente chupar.</v>
      </c>
      <c r="B10880" s="3">
        <v>0</v>
      </c>
    </row>
    <row r="10881" ht="15.75" customHeight="1" spans="1:2">
      <c r="A10881" s="3" t="str">
        <f>IFERROR(__xludf.DUMMYFUNCTION("GOOGLETRANSLATE(A10881,""en"",""pt"")"),"Eu odeio Harry Potter, que daniel wotshisface precisa de um tapa porra ...")</f>
        <v>Eu odeio Harry Potter, que daniel wotshisface precisa de um tapa porra ...</v>
      </c>
      <c r="B10881" s="3">
        <v>0</v>
      </c>
    </row>
    <row r="10882" ht="15.75" customHeight="1" spans="1:2">
      <c r="A10882" s="3" t="str">
        <f>IFERROR(__xludf.DUMMYFUNCTION("GOOGLETRANSLATE(A10882,""en"",""pt"")"),"Este questionário é uma merda e Harry Potter suga ok bye ..")</f>
        <v>Este questionário é uma merda e Harry Potter suga ok bye ..</v>
      </c>
      <c r="B10882" s="3">
        <v>0</v>
      </c>
    </row>
    <row r="10883" ht="15.75" customHeight="1" spans="1:2">
      <c r="A10883" s="3" t="str">
        <f>IFERROR(__xludf.DUMMYFUNCTION("GOOGLETRANSLATE(A10883,""en"",""pt"")"),"Eu odeio Harry Potter, é retarted, gay e estúpido e só há um cara preta ...")</f>
        <v>Eu odeio Harry Potter, é retarted, gay e estúpido e só há um cara preta ...</v>
      </c>
      <c r="B10883" s="3">
        <v>0</v>
      </c>
    </row>
    <row r="10884" ht="15.75" customHeight="1" spans="1:2">
      <c r="A10884" s="3" t="str">
        <f>IFERROR(__xludf.DUMMYFUNCTION("GOOGLETRANSLATE(A10884,""en"",""pt"")"),"É apenas mim, ou faz Harry Potter chupar? ...")</f>
        <v>É apenas mim, ou faz Harry Potter chupar? ...</v>
      </c>
      <c r="B10884" s="3">
        <v>0</v>
      </c>
    </row>
    <row r="10885" ht="15.75" customHeight="1" spans="1:2">
      <c r="A10885" s="3" t="str">
        <f>IFERROR(__xludf.DUMMYFUNCTION("GOOGLETRANSLATE(A10885,""en"",""pt"")"),"Sempre sabe o que eu quero, não cara louco, odeia Harry Potter ..")</f>
        <v>Sempre sabe o que eu quero, não cara louco, odeia Harry Potter ..</v>
      </c>
      <c r="B10885" s="3">
        <v>0</v>
      </c>
    </row>
    <row r="10886" ht="15.75" customHeight="1" spans="1:2">
      <c r="A10886" s="3" t="str">
        <f>IFERROR(__xludf.DUMMYFUNCTION("GOOGLETRANSLATE(A10886,""en"",""pt"")"),"Eu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86" s="3">
        <v>0</v>
      </c>
    </row>
    <row r="10887" ht="15.75" customHeight="1" spans="1:2">
      <c r="A10887" s="3" t="str">
        <f>IFERROR(__xludf.DUMMYFUNCTION("GOOGLETRANSLATE(A10887,""en"",""pt"")"),"Eu odeio Harry Potter.")</f>
        <v>Eu odeio Harry Potter.</v>
      </c>
      <c r="B10887" s="3">
        <v>0</v>
      </c>
    </row>
    <row r="10888" ht="15.75" customHeight="1" spans="1:2">
      <c r="A10888" s="3" t="str">
        <f>IFERROR(__xludf.DUMMYFUNCTION("GOOGLETRANSLATE(A10888,""en"",""pt"")"),"Não porque eu odeio Harry Potter, mas porque eu sou o tipo de pessoa que gosta quando as principais matrizes de caracteres.")</f>
        <v>Não porque eu odeio Harry Potter, mas porque eu sou o tipo de pessoa que gosta quando as principais matrizes de caracteres.</v>
      </c>
      <c r="B10888" s="3">
        <v>0</v>
      </c>
    </row>
    <row r="10889" ht="15.75" customHeight="1" spans="1:2">
      <c r="A10889" s="3" t="str">
        <f>IFERROR(__xludf.DUMMYFUNCTION("GOOGLETRANSLATE(A10889,""en"",""pt"")"),"Harry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89" s="3">
        <v>0</v>
      </c>
    </row>
    <row r="10890" ht="15.75" customHeight="1" spans="1:2">
      <c r="A10890" s="3" t="str">
        <f>IFERROR(__xludf.DUMMYFUNCTION("GOOGLETRANSLATE(A10890,""en"",""pt"")"),"Estes filmes de Harry Potter realmente chupar.")</f>
        <v>Estes filmes de Harry Potter realmente chupar.</v>
      </c>
      <c r="B10890" s="3">
        <v>0</v>
      </c>
    </row>
    <row r="10891" ht="15.75" customHeight="1" spans="1:2">
      <c r="A10891" s="3" t="str">
        <f>IFERROR(__xludf.DUMMYFUNCTION("GOOGLETRANSLATE(A10891,""en"",""pt"")"),"Eu odeio Harry Potter, que daniel wotshisface precisa de um tapa porra ...")</f>
        <v>Eu odeio Harry Potter, que daniel wotshisface precisa de um tapa porra ...</v>
      </c>
      <c r="B10891" s="3">
        <v>0</v>
      </c>
    </row>
    <row r="10892" ht="15.75" customHeight="1" spans="1:2">
      <c r="A10892" s="3" t="str">
        <f>IFERROR(__xludf.DUMMYFUNCTION("GOOGLETRANSLATE(A10892,""en"",""pt"")"),"Este questionário é uma merda e Harry Potter suga ok bye ..")</f>
        <v>Este questionário é uma merda e Harry Potter suga ok bye ..</v>
      </c>
      <c r="B10892" s="3">
        <v>0</v>
      </c>
    </row>
    <row r="10893" ht="15.75" customHeight="1" spans="1:2">
      <c r="A10893" s="3" t="str">
        <f>IFERROR(__xludf.DUMMYFUNCTION("GOOGLETRANSLATE(A10893,""en"",""pt"")"),"Eu odeio Harry Potter, é retarted, gay e estúpido e só há um cara preta ...")</f>
        <v>Eu odeio Harry Potter, é retarted, gay e estúpido e só há um cara preta ...</v>
      </c>
      <c r="B10893" s="3">
        <v>0</v>
      </c>
    </row>
    <row r="10894" ht="15.75" customHeight="1" spans="1:2">
      <c r="A10894" s="3" t="str">
        <f>IFERROR(__xludf.DUMMYFUNCTION("GOOGLETRANSLATE(A10894,""en"",""pt"")"),"É apenas mim, ou faz Harry Potter chupar? ...")</f>
        <v>É apenas mim, ou faz Harry Potter chupar? ...</v>
      </c>
      <c r="B10894" s="3">
        <v>0</v>
      </c>
    </row>
    <row r="10895" ht="15.75" customHeight="1" spans="1:2">
      <c r="A10895" s="3" t="str">
        <f>IFERROR(__xludf.DUMMYFUNCTION("GOOGLETRANSLATE(A10895,""en"",""pt"")"),"Sempre sabe o que eu quero, não cara louco, odeia Harry Potter ..")</f>
        <v>Sempre sabe o que eu quero, não cara louco, odeia Harry Potter ..</v>
      </c>
      <c r="B10895" s="3">
        <v>0</v>
      </c>
    </row>
    <row r="10896" ht="15.75" customHeight="1" spans="1:2">
      <c r="A10896" s="3" t="str">
        <f>IFERROR(__xludf.DUMMYFUNCTION("GOOGLETRANSLATE(A10896,""en"",""pt"")"),"Eu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896" s="3">
        <v>0</v>
      </c>
    </row>
    <row r="10897" ht="15.75" customHeight="1" spans="1:2">
      <c r="A10897" s="3" t="str">
        <f>IFERROR(__xludf.DUMMYFUNCTION("GOOGLETRANSLATE(A10897,""en"",""pt"")"),"Eu odeio Harry Potter.")</f>
        <v>Eu odeio Harry Potter.</v>
      </c>
      <c r="B10897" s="3">
        <v>0</v>
      </c>
    </row>
    <row r="10898" ht="15.75" customHeight="1" spans="1:2">
      <c r="A10898" s="3" t="str">
        <f>IFERROR(__xludf.DUMMYFUNCTION("GOOGLETRANSLATE(A10898,""en"",""pt"")"),"Não porque eu odeio Harry Potter, mas porque eu sou o tipo de pessoa que gosta quando as principais matrizes de caracteres.")</f>
        <v>Não porque eu odeio Harry Potter, mas porque eu sou o tipo de pessoa que gosta quando as principais matrizes de caracteres.</v>
      </c>
      <c r="B10898" s="3">
        <v>0</v>
      </c>
    </row>
    <row r="10899" ht="15.75" customHeight="1" spans="1:2">
      <c r="A10899" s="3" t="str">
        <f>IFERROR(__xludf.DUMMYFUNCTION("GOOGLETRANSLATE(A10899,""en"",""pt"")"),"Harry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899" s="3">
        <v>0</v>
      </c>
    </row>
    <row r="10900" ht="15.75" customHeight="1" spans="1:2">
      <c r="A10900" s="3" t="str">
        <f>IFERROR(__xludf.DUMMYFUNCTION("GOOGLETRANSLATE(A10900,""en"",""pt"")"),"Estes filmes de Harry Potter realmente chupar.")</f>
        <v>Estes filmes de Harry Potter realmente chupar.</v>
      </c>
      <c r="B10900" s="3">
        <v>0</v>
      </c>
    </row>
    <row r="10901" ht="15.75" customHeight="1" spans="1:2">
      <c r="A10901" s="3" t="str">
        <f>IFERROR(__xludf.DUMMYFUNCTION("GOOGLETRANSLATE(A10901,""en"",""pt"")"),"Eu odeio Harry Potter, que daniel wotshisface precisa de um tapa porra ...")</f>
        <v>Eu odeio Harry Potter, que daniel wotshisface precisa de um tapa porra ...</v>
      </c>
      <c r="B10901" s="3">
        <v>0</v>
      </c>
    </row>
    <row r="10902" ht="15.75" customHeight="1" spans="1:2">
      <c r="A10902" s="3" t="str">
        <f>IFERROR(__xludf.DUMMYFUNCTION("GOOGLETRANSLATE(A10902,""en"",""pt"")"),"Este questionário é uma merda e Harry Potter suga ok bye ..")</f>
        <v>Este questionário é uma merda e Harry Potter suga ok bye ..</v>
      </c>
      <c r="B10902" s="3">
        <v>0</v>
      </c>
    </row>
    <row r="10903" ht="15.75" customHeight="1" spans="1:2">
      <c r="A10903" s="3" t="str">
        <f>IFERROR(__xludf.DUMMYFUNCTION("GOOGLETRANSLATE(A10903,""en"",""pt"")"),"Eu odeio Harry Potter, é retarted, gay e estúpido e só há um cara preta ...")</f>
        <v>Eu odeio Harry Potter, é retarted, gay e estúpido e só há um cara preta ...</v>
      </c>
      <c r="B10903" s="3">
        <v>0</v>
      </c>
    </row>
    <row r="10904" ht="15.75" customHeight="1" spans="1:2">
      <c r="A10904" s="3" t="str">
        <f>IFERROR(__xludf.DUMMYFUNCTION("GOOGLETRANSLATE(A10904,""en"",""pt"")"),"É apenas mim, ou faz Harry Potter chupar? ...")</f>
        <v>É apenas mim, ou faz Harry Potter chupar? ...</v>
      </c>
      <c r="B10904" s="3">
        <v>0</v>
      </c>
    </row>
    <row r="10905" ht="15.75" customHeight="1" spans="1:2">
      <c r="A10905" s="3" t="str">
        <f>IFERROR(__xludf.DUMMYFUNCTION("GOOGLETRANSLATE(A10905,""en"",""pt"")"),"Sempre sabe o que eu quero, não cara louco, odeia Harry Potter ..")</f>
        <v>Sempre sabe o que eu quero, não cara louco, odeia Harry Potter ..</v>
      </c>
      <c r="B10905" s="3">
        <v>0</v>
      </c>
    </row>
    <row r="10906" ht="15.75" customHeight="1" spans="1:2">
      <c r="A10906" s="3" t="str">
        <f>IFERROR(__xludf.DUMMYFUNCTION("GOOGLETRANSLATE(A10906,""en"",""pt"")"),"Eu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06" s="3">
        <v>0</v>
      </c>
    </row>
    <row r="10907" ht="15.75" customHeight="1" spans="1:2">
      <c r="A10907" s="3" t="str">
        <f>IFERROR(__xludf.DUMMYFUNCTION("GOOGLETRANSLATE(A10907,""en"",""pt"")"),"Eu odeio Harry Potter.")</f>
        <v>Eu odeio Harry Potter.</v>
      </c>
      <c r="B10907" s="3">
        <v>0</v>
      </c>
    </row>
    <row r="10908" ht="15.75" customHeight="1" spans="1:2">
      <c r="A10908" s="3" t="str">
        <f>IFERROR(__xludf.DUMMYFUNCTION("GOOGLETRANSLATE(A10908,""en"",""pt"")"),"Não porque eu odeio Harry Potter, mas porque eu sou o tipo de pessoa que gosta quando as principais matrizes de caracteres.")</f>
        <v>Não porque eu odeio Harry Potter, mas porque eu sou o tipo de pessoa que gosta quando as principais matrizes de caracteres.</v>
      </c>
      <c r="B10908" s="3">
        <v>0</v>
      </c>
    </row>
    <row r="10909" ht="15.75" customHeight="1" spans="1:2">
      <c r="A10909" s="3" t="str">
        <f>IFERROR(__xludf.DUMMYFUNCTION("GOOGLETRANSLATE(A10909,""en"",""pt"")"),"Harry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09" s="3">
        <v>0</v>
      </c>
    </row>
    <row r="10910" ht="15.75" customHeight="1" spans="1:2">
      <c r="A10910" s="3" t="str">
        <f>IFERROR(__xludf.DUMMYFUNCTION("GOOGLETRANSLATE(A10910,""en"",""pt"")"),"Estes filmes de Harry Potter realmente chupar.")</f>
        <v>Estes filmes de Harry Potter realmente chupar.</v>
      </c>
      <c r="B10910" s="3">
        <v>0</v>
      </c>
    </row>
    <row r="10911" ht="15.75" customHeight="1" spans="1:2">
      <c r="A10911" s="3" t="str">
        <f>IFERROR(__xludf.DUMMYFUNCTION("GOOGLETRANSLATE(A10911,""en"",""pt"")"),"Eu odeio Harry Potter, que daniel wotshisface precisa de um tapa porra ...")</f>
        <v>Eu odeio Harry Potter, que daniel wotshisface precisa de um tapa porra ...</v>
      </c>
      <c r="B10911" s="3">
        <v>0</v>
      </c>
    </row>
    <row r="10912" ht="15.75" customHeight="1" spans="1:2">
      <c r="A10912" s="3" t="str">
        <f>IFERROR(__xludf.DUMMYFUNCTION("GOOGLETRANSLATE(A10912,""en"",""pt"")"),"Este questionário é uma merda e Harry Potter suga ok bye ..")</f>
        <v>Este questionário é uma merda e Harry Potter suga ok bye ..</v>
      </c>
      <c r="B10912" s="3">
        <v>0</v>
      </c>
    </row>
    <row r="10913" ht="15.75" customHeight="1" spans="1:2">
      <c r="A10913" s="3" t="str">
        <f>IFERROR(__xludf.DUMMYFUNCTION("GOOGLETRANSLATE(A10913,""en"",""pt"")"),"Eu odeio Harry Potter, é retarted, gay e estúpido e só há um cara preta ...")</f>
        <v>Eu odeio Harry Potter, é retarted, gay e estúpido e só há um cara preta ...</v>
      </c>
      <c r="B10913" s="3">
        <v>0</v>
      </c>
    </row>
    <row r="10914" ht="15.75" customHeight="1" spans="1:2">
      <c r="A10914" s="3" t="str">
        <f>IFERROR(__xludf.DUMMYFUNCTION("GOOGLETRANSLATE(A10914,""en"",""pt"")"),"É apenas mim, ou faz Harry Potter chupar? ...")</f>
        <v>É apenas mim, ou faz Harry Potter chupar? ...</v>
      </c>
      <c r="B10914" s="3">
        <v>0</v>
      </c>
    </row>
    <row r="10915" ht="15.75" customHeight="1" spans="1:2">
      <c r="A10915" s="3" t="str">
        <f>IFERROR(__xludf.DUMMYFUNCTION("GOOGLETRANSLATE(A10915,""en"",""pt"")"),"Sempre sabe o que eu quero, não cara louco, odeia Harry Potter ..")</f>
        <v>Sempre sabe o que eu quero, não cara louco, odeia Harry Potter ..</v>
      </c>
      <c r="B10915" s="3">
        <v>0</v>
      </c>
    </row>
    <row r="10916" ht="15.75" customHeight="1" spans="1:2">
      <c r="A10916" s="3" t="str">
        <f>IFERROR(__xludf.DUMMYFUNCTION("GOOGLETRANSLATE(A10916,""en"",""pt"")"),"Eu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16" s="3">
        <v>0</v>
      </c>
    </row>
    <row r="10917" ht="15.75" customHeight="1" spans="1:2">
      <c r="A10917" s="3" t="str">
        <f>IFERROR(__xludf.DUMMYFUNCTION("GOOGLETRANSLATE(A10917,""en"",""pt"")"),"Eu odeio Harry Potter.")</f>
        <v>Eu odeio Harry Potter.</v>
      </c>
      <c r="B10917" s="3">
        <v>0</v>
      </c>
    </row>
    <row r="10918" ht="15.75" customHeight="1" spans="1:2">
      <c r="A10918" s="3" t="str">
        <f>IFERROR(__xludf.DUMMYFUNCTION("GOOGLETRANSLATE(A10918,""en"",""pt"")"),"Não porque eu odeio Harry Potter, mas porque eu sou o tipo de pessoa que gosta quando as principais matrizes de caracteres.")</f>
        <v>Não porque eu odeio Harry Potter, mas porque eu sou o tipo de pessoa que gosta quando as principais matrizes de caracteres.</v>
      </c>
      <c r="B10918" s="3">
        <v>0</v>
      </c>
    </row>
    <row r="10919" ht="15.75" customHeight="1" spans="1:2">
      <c r="A10919" s="3" t="str">
        <f>IFERROR(__xludf.DUMMYFUNCTION("GOOGLETRANSLATE(A10919,""en"",""pt"")"),"Harry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19" s="3">
        <v>0</v>
      </c>
    </row>
    <row r="10920" ht="15.75" customHeight="1" spans="1:2">
      <c r="A10920" s="3" t="str">
        <f>IFERROR(__xludf.DUMMYFUNCTION("GOOGLETRANSLATE(A10920,""en"",""pt"")"),"Estes filmes de Harry Potter realmente chupar.")</f>
        <v>Estes filmes de Harry Potter realmente chupar.</v>
      </c>
      <c r="B10920" s="3">
        <v>0</v>
      </c>
    </row>
    <row r="10921" ht="15.75" customHeight="1" spans="1:2">
      <c r="A10921" s="3" t="str">
        <f>IFERROR(__xludf.DUMMYFUNCTION("GOOGLETRANSLATE(A10921,""en"",""pt"")"),"Eu odeio Harry Potter, que daniel wotshisface precisa de um tapa porra ...")</f>
        <v>Eu odeio Harry Potter, que daniel wotshisface precisa de um tapa porra ...</v>
      </c>
      <c r="B10921" s="3">
        <v>0</v>
      </c>
    </row>
    <row r="10922" ht="15.75" customHeight="1" spans="1:2">
      <c r="A10922" s="3" t="str">
        <f>IFERROR(__xludf.DUMMYFUNCTION("GOOGLETRANSLATE(A10922,""en"",""pt"")"),"Este questionário é uma merda e Harry Potter suga ok bye ..")</f>
        <v>Este questionário é uma merda e Harry Potter suga ok bye ..</v>
      </c>
      <c r="B10922" s="3">
        <v>0</v>
      </c>
    </row>
    <row r="10923" ht="15.75" customHeight="1" spans="1:2">
      <c r="A10923" s="3" t="str">
        <f>IFERROR(__xludf.DUMMYFUNCTION("GOOGLETRANSLATE(A10923,""en"",""pt"")"),"Eu odeio Harry Potter, é retarted, gay e estúpido e só há um cara preta ...")</f>
        <v>Eu odeio Harry Potter, é retarted, gay e estúpido e só há um cara preta ...</v>
      </c>
      <c r="B10923" s="3">
        <v>0</v>
      </c>
    </row>
    <row r="10924" ht="15.75" customHeight="1" spans="1:2">
      <c r="A10924" s="3" t="str">
        <f>IFERROR(__xludf.DUMMYFUNCTION("GOOGLETRANSLATE(A10924,""en"",""pt"")"),"É apenas mim, ou faz Harry Potter chupar? ...")</f>
        <v>É apenas mim, ou faz Harry Potter chupar? ...</v>
      </c>
      <c r="B10924" s="3">
        <v>0</v>
      </c>
    </row>
    <row r="10925" ht="15.75" customHeight="1" spans="1:2">
      <c r="A10925" s="3" t="str">
        <f>IFERROR(__xludf.DUMMYFUNCTION("GOOGLETRANSLATE(A10925,""en"",""pt"")"),"Sempre sabe o que eu quero, não cara louco, odeia Harry Potter ..")</f>
        <v>Sempre sabe o que eu quero, não cara louco, odeia Harry Potter ..</v>
      </c>
      <c r="B10925" s="3">
        <v>0</v>
      </c>
    </row>
    <row r="10926" ht="15.75" customHeight="1" spans="1:2">
      <c r="A10926" s="3" t="str">
        <f>IFERROR(__xludf.DUMMYFUNCTION("GOOGLETRANSLATE(A10926,""en"",""pt"")"),"Eu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26" s="3">
        <v>0</v>
      </c>
    </row>
    <row r="10927" ht="15.75" customHeight="1" spans="1:2">
      <c r="A10927" s="3" t="str">
        <f>IFERROR(__xludf.DUMMYFUNCTION("GOOGLETRANSLATE(A10927,""en"",""pt"")"),"Eu odeio Harry Potter.")</f>
        <v>Eu odeio Harry Potter.</v>
      </c>
      <c r="B10927" s="3">
        <v>0</v>
      </c>
    </row>
    <row r="10928" ht="15.75" customHeight="1" spans="1:2">
      <c r="A10928" s="3" t="str">
        <f>IFERROR(__xludf.DUMMYFUNCTION("GOOGLETRANSLATE(A10928,""en"",""pt"")"),"Não porque eu odeio Harry Potter, mas porque eu sou o tipo de pessoa que gosta quando as principais matrizes de caracteres.")</f>
        <v>Não porque eu odeio Harry Potter, mas porque eu sou o tipo de pessoa que gosta quando as principais matrizes de caracteres.</v>
      </c>
      <c r="B10928" s="3">
        <v>0</v>
      </c>
    </row>
    <row r="10929" ht="15.75" customHeight="1" spans="1:2">
      <c r="A10929" s="3" t="str">
        <f>IFERROR(__xludf.DUMMYFUNCTION("GOOGLETRANSLATE(A10929,""en"",""pt"")"),"Harry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29" s="3">
        <v>0</v>
      </c>
    </row>
    <row r="10930" ht="15.75" customHeight="1" spans="1:2">
      <c r="A10930" s="3" t="str">
        <f>IFERROR(__xludf.DUMMYFUNCTION("GOOGLETRANSLATE(A10930,""en"",""pt"")"),"Estes filmes de Harry Potter realmente chupar.")</f>
        <v>Estes filmes de Harry Potter realmente chupar.</v>
      </c>
      <c r="B10930" s="3">
        <v>0</v>
      </c>
    </row>
    <row r="10931" ht="15.75" customHeight="1" spans="1:2">
      <c r="A10931" s="3" t="str">
        <f>IFERROR(__xludf.DUMMYFUNCTION("GOOGLETRANSLATE(A10931,""en"",""pt"")"),"Eu odeio Harry Potter, que daniel wotshisface precisa de um tapa porra ...")</f>
        <v>Eu odeio Harry Potter, que daniel wotshisface precisa de um tapa porra ...</v>
      </c>
      <c r="B10931" s="3">
        <v>0</v>
      </c>
    </row>
    <row r="10932" ht="15.75" customHeight="1" spans="1:2">
      <c r="A10932" s="3" t="str">
        <f>IFERROR(__xludf.DUMMYFUNCTION("GOOGLETRANSLATE(A10932,""en"",""pt"")"),"Este questionário é uma merda e Harry Potter suga ok bye ..")</f>
        <v>Este questionário é uma merda e Harry Potter suga ok bye ..</v>
      </c>
      <c r="B10932" s="3">
        <v>0</v>
      </c>
    </row>
    <row r="10933" ht="15.75" customHeight="1" spans="1:2">
      <c r="A10933" s="3" t="str">
        <f>IFERROR(__xludf.DUMMYFUNCTION("GOOGLETRANSLATE(A10933,""en"",""pt"")"),"Eu odeio Harry Potter, é retarted, gay e estúpido e só há um cara preta ...")</f>
        <v>Eu odeio Harry Potter, é retarted, gay e estúpido e só há um cara preta ...</v>
      </c>
      <c r="B10933" s="3">
        <v>0</v>
      </c>
    </row>
    <row r="10934" ht="15.75" customHeight="1" spans="1:2">
      <c r="A10934" s="3" t="str">
        <f>IFERROR(__xludf.DUMMYFUNCTION("GOOGLETRANSLATE(A10934,""en"",""pt"")"),"É apenas mim, ou faz Harry Potter chupar? ...")</f>
        <v>É apenas mim, ou faz Harry Potter chupar? ...</v>
      </c>
      <c r="B10934" s="3">
        <v>0</v>
      </c>
    </row>
    <row r="10935" ht="15.75" customHeight="1" spans="1:2">
      <c r="A10935" s="3" t="str">
        <f>IFERROR(__xludf.DUMMYFUNCTION("GOOGLETRANSLATE(A10935,""en"",""pt"")"),"Sempre sabe o que eu quero, não cara louco, odeia Harry Potter ..")</f>
        <v>Sempre sabe o que eu quero, não cara louco, odeia Harry Potter ..</v>
      </c>
      <c r="B10935" s="3">
        <v>0</v>
      </c>
    </row>
    <row r="10936" ht="15.75" customHeight="1" spans="1:2">
      <c r="A10936" s="3" t="str">
        <f>IFERROR(__xludf.DUMMYFUNCTION("GOOGLETRANSLATE(A10936,""en"",""pt"")"),"Eu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36" s="3">
        <v>0</v>
      </c>
    </row>
    <row r="10937" ht="15.75" customHeight="1" spans="1:2">
      <c r="A10937" s="3" t="str">
        <f>IFERROR(__xludf.DUMMYFUNCTION("GOOGLETRANSLATE(A10937,""en"",""pt"")"),"Eu odeio Harry Potter.")</f>
        <v>Eu odeio Harry Potter.</v>
      </c>
      <c r="B10937" s="3">
        <v>0</v>
      </c>
    </row>
    <row r="10938" ht="15.75" customHeight="1" spans="1:2">
      <c r="A10938" s="3" t="str">
        <f>IFERROR(__xludf.DUMMYFUNCTION("GOOGLETRANSLATE(A10938,""en"",""pt"")"),"Não porque eu odeio Harry Potter, mas porque eu sou o tipo de pessoa que gosta quando as principais matrizes de caracteres.")</f>
        <v>Não porque eu odeio Harry Potter, mas porque eu sou o tipo de pessoa que gosta quando as principais matrizes de caracteres.</v>
      </c>
      <c r="B10938" s="3">
        <v>0</v>
      </c>
    </row>
    <row r="10939" ht="15.75" customHeight="1" spans="1:2">
      <c r="A10939" s="3" t="str">
        <f>IFERROR(__xludf.DUMMYFUNCTION("GOOGLETRANSLATE(A10939,""en"",""pt"")"),"Harry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39" s="3">
        <v>0</v>
      </c>
    </row>
    <row r="10940" ht="15.75" customHeight="1" spans="1:2">
      <c r="A10940" s="3" t="str">
        <f>IFERROR(__xludf.DUMMYFUNCTION("GOOGLETRANSLATE(A10940,""en"",""pt"")"),"Estes filmes de Harry Potter realmente chupar.")</f>
        <v>Estes filmes de Harry Potter realmente chupar.</v>
      </c>
      <c r="B10940" s="3">
        <v>0</v>
      </c>
    </row>
    <row r="10941" ht="15.75" customHeight="1" spans="1:2">
      <c r="A10941" s="3" t="str">
        <f>IFERROR(__xludf.DUMMYFUNCTION("GOOGLETRANSLATE(A10941,""en"",""pt"")"),"Eu odeio Harry Potter, que daniel wotshisface precisa de um tapa porra ...")</f>
        <v>Eu odeio Harry Potter, que daniel wotshisface precisa de um tapa porra ...</v>
      </c>
      <c r="B10941" s="3">
        <v>0</v>
      </c>
    </row>
    <row r="10942" ht="15.75" customHeight="1" spans="1:2">
      <c r="A10942" s="3" t="str">
        <f>IFERROR(__xludf.DUMMYFUNCTION("GOOGLETRANSLATE(A10942,""en"",""pt"")"),"Este questionário é uma merda e Harry Potter suga ok bye ..")</f>
        <v>Este questionário é uma merda e Harry Potter suga ok bye ..</v>
      </c>
      <c r="B10942" s="3">
        <v>0</v>
      </c>
    </row>
    <row r="10943" ht="15.75" customHeight="1" spans="1:2">
      <c r="A10943" s="3" t="str">
        <f>IFERROR(__xludf.DUMMYFUNCTION("GOOGLETRANSLATE(A10943,""en"",""pt"")"),"Eu odeio Harry Potter, é retarted, gay e estúpido e só há um cara preta ...")</f>
        <v>Eu odeio Harry Potter, é retarted, gay e estúpido e só há um cara preta ...</v>
      </c>
      <c r="B10943" s="3">
        <v>0</v>
      </c>
    </row>
    <row r="10944" ht="15.75" customHeight="1" spans="1:2">
      <c r="A10944" s="3" t="str">
        <f>IFERROR(__xludf.DUMMYFUNCTION("GOOGLETRANSLATE(A10944,""en"",""pt"")"),"É apenas mim, ou faz Harry Potter chupar? ...")</f>
        <v>É apenas mim, ou faz Harry Potter chupar? ...</v>
      </c>
      <c r="B10944" s="3">
        <v>0</v>
      </c>
    </row>
    <row r="10945" ht="15.75" customHeight="1" spans="1:2">
      <c r="A10945" s="3" t="str">
        <f>IFERROR(__xludf.DUMMYFUNCTION("GOOGLETRANSLATE(A10945,""en"",""pt"")"),"Sempre sabe o que eu quero, não cara louco, odeia Harry Potter ..")</f>
        <v>Sempre sabe o que eu quero, não cara louco, odeia Harry Potter ..</v>
      </c>
      <c r="B10945" s="3">
        <v>0</v>
      </c>
    </row>
    <row r="10946" ht="15.75" customHeight="1" spans="1:2">
      <c r="A10946" s="3" t="str">
        <f>IFERROR(__xludf.DUMMYFUNCTION("GOOGLETRANSLATE(A10946,""en"",""pt"")"),"Eu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46" s="3">
        <v>0</v>
      </c>
    </row>
    <row r="10947" ht="15.75" customHeight="1" spans="1:2">
      <c r="A10947" s="3" t="str">
        <f>IFERROR(__xludf.DUMMYFUNCTION("GOOGLETRANSLATE(A10947,""en"",""pt"")"),"Eu odeio Harry Potter.")</f>
        <v>Eu odeio Harry Potter.</v>
      </c>
      <c r="B10947" s="3">
        <v>0</v>
      </c>
    </row>
    <row r="10948" ht="15.75" customHeight="1" spans="1:2">
      <c r="A10948" s="3" t="str">
        <f>IFERROR(__xludf.DUMMYFUNCTION("GOOGLETRANSLATE(A10948,""en"",""pt"")"),"Não porque eu odeio Harry Potter, mas porque eu sou o tipo de pessoa que gosta quando as principais matrizes de caracteres.")</f>
        <v>Não porque eu odeio Harry Potter, mas porque eu sou o tipo de pessoa que gosta quando as principais matrizes de caracteres.</v>
      </c>
      <c r="B10948" s="3">
        <v>0</v>
      </c>
    </row>
    <row r="10949" ht="15.75" customHeight="1" spans="1:2">
      <c r="A10949" s="3" t="str">
        <f>IFERROR(__xludf.DUMMYFUNCTION("GOOGLETRANSLATE(A10949,""en"",""pt"")"),"Harry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49" s="3">
        <v>0</v>
      </c>
    </row>
    <row r="10950" ht="15.75" customHeight="1" spans="1:2">
      <c r="A10950" s="3" t="str">
        <f>IFERROR(__xludf.DUMMYFUNCTION("GOOGLETRANSLATE(A10950,""en"",""pt"")"),"Estes filmes de Harry Potter realmente chupar.")</f>
        <v>Estes filmes de Harry Potter realmente chupar.</v>
      </c>
      <c r="B10950" s="3">
        <v>0</v>
      </c>
    </row>
    <row r="10951" ht="15.75" customHeight="1" spans="1:2">
      <c r="A10951" s="3" t="str">
        <f>IFERROR(__xludf.DUMMYFUNCTION("GOOGLETRANSLATE(A10951,""en"",""pt"")"),"Eu odeio Harry Potter, que daniel wotshisface precisa de um tapa porra ...")</f>
        <v>Eu odeio Harry Potter, que daniel wotshisface precisa de um tapa porra ...</v>
      </c>
      <c r="B10951" s="3">
        <v>0</v>
      </c>
    </row>
    <row r="10952" ht="15.75" customHeight="1" spans="1:2">
      <c r="A10952" s="3" t="str">
        <f>IFERROR(__xludf.DUMMYFUNCTION("GOOGLETRANSLATE(A10952,""en"",""pt"")"),"Este questionário é uma merda e Harry Potter suga ok bye ..")</f>
        <v>Este questionário é uma merda e Harry Potter suga ok bye ..</v>
      </c>
      <c r="B10952" s="3">
        <v>0</v>
      </c>
    </row>
    <row r="10953" ht="15.75" customHeight="1" spans="1:2">
      <c r="A10953" s="3" t="str">
        <f>IFERROR(__xludf.DUMMYFUNCTION("GOOGLETRANSLATE(A10953,""en"",""pt"")"),"Eu odeio Harry Potter, é retarted, gay e estúpido e só há um cara preta ...")</f>
        <v>Eu odeio Harry Potter, é retarted, gay e estúpido e só há um cara preta ...</v>
      </c>
      <c r="B10953" s="3">
        <v>0</v>
      </c>
    </row>
    <row r="10954" ht="15.75" customHeight="1" spans="1:2">
      <c r="A10954" s="3" t="str">
        <f>IFERROR(__xludf.DUMMYFUNCTION("GOOGLETRANSLATE(A10954,""en"",""pt"")"),"É apenas mim, ou faz Harry Potter chupar? ...")</f>
        <v>É apenas mim, ou faz Harry Potter chupar? ...</v>
      </c>
      <c r="B10954" s="3">
        <v>0</v>
      </c>
    </row>
    <row r="10955" ht="15.75" customHeight="1" spans="1:2">
      <c r="A10955" s="3" t="str">
        <f>IFERROR(__xludf.DUMMYFUNCTION("GOOGLETRANSLATE(A10955,""en"",""pt"")"),"Sempre sabe o que eu quero, não cara louco, odeia Harry Potter ..")</f>
        <v>Sempre sabe o que eu quero, não cara louco, odeia Harry Potter ..</v>
      </c>
      <c r="B10955" s="3">
        <v>0</v>
      </c>
    </row>
    <row r="10956" ht="15.75" customHeight="1" spans="1:2">
      <c r="A10956" s="3" t="str">
        <f>IFERROR(__xludf.DUMMYFUNCTION("GOOGLETRANSLATE(A10956,""en"",""pt"")"),"Eu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56" s="3">
        <v>0</v>
      </c>
    </row>
    <row r="10957" ht="15.75" customHeight="1" spans="1:2">
      <c r="A10957" s="3" t="str">
        <f>IFERROR(__xludf.DUMMYFUNCTION("GOOGLETRANSLATE(A10957,""en"",""pt"")"),"Eu odeio Harry Potter.")</f>
        <v>Eu odeio Harry Potter.</v>
      </c>
      <c r="B10957" s="3">
        <v>0</v>
      </c>
    </row>
    <row r="10958" ht="15.75" customHeight="1" spans="1:2">
      <c r="A10958" s="3" t="str">
        <f>IFERROR(__xludf.DUMMYFUNCTION("GOOGLETRANSLATE(A10958,""en"",""pt"")"),"Não porque eu odeio Harry Potter, mas porque eu sou o tipo de pessoa que gosta quando as principais matrizes de caracteres.")</f>
        <v>Não porque eu odeio Harry Potter, mas porque eu sou o tipo de pessoa que gosta quando as principais matrizes de caracteres.</v>
      </c>
      <c r="B10958" s="3">
        <v>0</v>
      </c>
    </row>
    <row r="10959" ht="15.75" customHeight="1" spans="1:2">
      <c r="A10959" s="3" t="str">
        <f>IFERROR(__xludf.DUMMYFUNCTION("GOOGLETRANSLATE(A10959,""en"",""pt"")"),"Harry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59" s="3">
        <v>0</v>
      </c>
    </row>
    <row r="10960" ht="15.75" customHeight="1" spans="1:2">
      <c r="A10960" s="3" t="str">
        <f>IFERROR(__xludf.DUMMYFUNCTION("GOOGLETRANSLATE(A10960,""en"",""pt"")"),"Estes filmes de Harry Potter realmente chupar.")</f>
        <v>Estes filmes de Harry Potter realmente chupar.</v>
      </c>
      <c r="B10960" s="3">
        <v>0</v>
      </c>
    </row>
    <row r="10961" ht="15.75" customHeight="1" spans="1:2">
      <c r="A10961" s="3" t="str">
        <f>IFERROR(__xludf.DUMMYFUNCTION("GOOGLETRANSLATE(A10961,""en"",""pt"")"),"Eu odeio Harry Potter, que daniel wotshisface precisa de um tapa porra ...")</f>
        <v>Eu odeio Harry Potter, que daniel wotshisface precisa de um tapa porra ...</v>
      </c>
      <c r="B10961" s="3">
        <v>0</v>
      </c>
    </row>
    <row r="10962" ht="15.75" customHeight="1" spans="1:2">
      <c r="A10962" s="3" t="str">
        <f>IFERROR(__xludf.DUMMYFUNCTION("GOOGLETRANSLATE(A10962,""en"",""pt"")"),"Este questionário é uma merda e Harry Potter suga ok bye ..")</f>
        <v>Este questionário é uma merda e Harry Potter suga ok bye ..</v>
      </c>
      <c r="B10962" s="3">
        <v>0</v>
      </c>
    </row>
    <row r="10963" ht="15.75" customHeight="1" spans="1:2">
      <c r="A10963" s="3" t="str">
        <f>IFERROR(__xludf.DUMMYFUNCTION("GOOGLETRANSLATE(A10963,""en"",""pt"")"),"Eu odeio Harry Potter, é retarted, gay e estúpido e só há um cara preta ...")</f>
        <v>Eu odeio Harry Potter, é retarted, gay e estúpido e só há um cara preta ...</v>
      </c>
      <c r="B10963" s="3">
        <v>0</v>
      </c>
    </row>
    <row r="10964" ht="15.75" customHeight="1" spans="1:2">
      <c r="A10964" s="3" t="str">
        <f>IFERROR(__xludf.DUMMYFUNCTION("GOOGLETRANSLATE(A10964,""en"",""pt"")"),"É apenas mim, ou faz Harry Potter chupar? ...")</f>
        <v>É apenas mim, ou faz Harry Potter chupar? ...</v>
      </c>
      <c r="B10964" s="3">
        <v>0</v>
      </c>
    </row>
    <row r="10965" ht="15.75" customHeight="1" spans="1:2">
      <c r="A10965" s="3" t="str">
        <f>IFERROR(__xludf.DUMMYFUNCTION("GOOGLETRANSLATE(A10965,""en"",""pt"")"),"Sempre sabe o que eu quero, não cara louco, odeia Harry Potter ..")</f>
        <v>Sempre sabe o que eu quero, não cara louco, odeia Harry Potter ..</v>
      </c>
      <c r="B10965" s="3">
        <v>0</v>
      </c>
    </row>
    <row r="10966" ht="15.75" customHeight="1" spans="1:2">
      <c r="A10966" s="3" t="str">
        <f>IFERROR(__xludf.DUMMYFUNCTION("GOOGLETRANSLATE(A10966,""en"",""pt"")"),"Eu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66" s="3">
        <v>0</v>
      </c>
    </row>
    <row r="10967" ht="15.75" customHeight="1" spans="1:2">
      <c r="A10967" s="3" t="str">
        <f>IFERROR(__xludf.DUMMYFUNCTION("GOOGLETRANSLATE(A10967,""en"",""pt"")"),"Eu odeio Harry Potter.")</f>
        <v>Eu odeio Harry Potter.</v>
      </c>
      <c r="B10967" s="3">
        <v>0</v>
      </c>
    </row>
    <row r="10968" ht="15.75" customHeight="1" spans="1:2">
      <c r="A10968" s="3" t="str">
        <f>IFERROR(__xludf.DUMMYFUNCTION("GOOGLETRANSLATE(A10968,""en"",""pt"")"),"Não porque eu odeio Harry Potter, mas porque eu sou o tipo de pessoa que gosta quando as principais matrizes de caracteres.")</f>
        <v>Não porque eu odeio Harry Potter, mas porque eu sou o tipo de pessoa que gosta quando as principais matrizes de caracteres.</v>
      </c>
      <c r="B10968" s="3">
        <v>0</v>
      </c>
    </row>
    <row r="10969" ht="15.75" customHeight="1" spans="1:2">
      <c r="A10969" s="3" t="str">
        <f>IFERROR(__xludf.DUMMYFUNCTION("GOOGLETRANSLATE(A10969,""en"",""pt"")"),"Harry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69" s="3">
        <v>0</v>
      </c>
    </row>
    <row r="10970" ht="15.75" customHeight="1" spans="1:2">
      <c r="A10970" s="3" t="str">
        <f>IFERROR(__xludf.DUMMYFUNCTION("GOOGLETRANSLATE(A10970,""en"",""pt"")"),"Estes filmes de Harry Potter realmente chupar.")</f>
        <v>Estes filmes de Harry Potter realmente chupar.</v>
      </c>
      <c r="B10970" s="3">
        <v>0</v>
      </c>
    </row>
    <row r="10971" ht="15.75" customHeight="1" spans="1:2">
      <c r="A10971" s="3" t="str">
        <f>IFERROR(__xludf.DUMMYFUNCTION("GOOGLETRANSLATE(A10971,""en"",""pt"")"),"Eu odeio Harry Potter, que daniel wotshisface precisa de um tapa porra ...")</f>
        <v>Eu odeio Harry Potter, que daniel wotshisface precisa de um tapa porra ...</v>
      </c>
      <c r="B10971" s="3">
        <v>0</v>
      </c>
    </row>
    <row r="10972" ht="15.75" customHeight="1" spans="1:2">
      <c r="A10972" s="3" t="str">
        <f>IFERROR(__xludf.DUMMYFUNCTION("GOOGLETRANSLATE(A10972,""en"",""pt"")"),"Este questionário é uma merda e Harry Potter suga ok bye ..")</f>
        <v>Este questionário é uma merda e Harry Potter suga ok bye ..</v>
      </c>
      <c r="B10972" s="3">
        <v>0</v>
      </c>
    </row>
    <row r="10973" ht="15.75" customHeight="1" spans="1:2">
      <c r="A10973" s="3" t="str">
        <f>IFERROR(__xludf.DUMMYFUNCTION("GOOGLETRANSLATE(A10973,""en"",""pt"")"),"Eu odeio Harry Potter, é retarted, gay e estúpido e só há um cara preta ...")</f>
        <v>Eu odeio Harry Potter, é retarted, gay e estúpido e só há um cara preta ...</v>
      </c>
      <c r="B10973" s="3">
        <v>0</v>
      </c>
    </row>
    <row r="10974" ht="15.75" customHeight="1" spans="1:2">
      <c r="A10974" s="3" t="str">
        <f>IFERROR(__xludf.DUMMYFUNCTION("GOOGLETRANSLATE(A10974,""en"",""pt"")"),"É apenas mim, ou faz Harry Potter chupar? ...")</f>
        <v>É apenas mim, ou faz Harry Potter chupar? ...</v>
      </c>
      <c r="B10974" s="3">
        <v>0</v>
      </c>
    </row>
    <row r="10975" ht="15.75" customHeight="1" spans="1:2">
      <c r="A10975" s="3" t="str">
        <f>IFERROR(__xludf.DUMMYFUNCTION("GOOGLETRANSLATE(A10975,""en"",""pt"")"),"Sempre sabe o que eu quero, não cara louco, odeia Harry Potter ..")</f>
        <v>Sempre sabe o que eu quero, não cara louco, odeia Harry Potter ..</v>
      </c>
      <c r="B10975" s="3">
        <v>0</v>
      </c>
    </row>
    <row r="10976" ht="15.75" customHeight="1" spans="1:2">
      <c r="A10976" s="3" t="str">
        <f>IFERROR(__xludf.DUMMYFUNCTION("GOOGLETRANSLATE(A10976,""en"",""pt"")"),"Eu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76" s="3">
        <v>0</v>
      </c>
    </row>
    <row r="10977" ht="15.75" customHeight="1" spans="1:2">
      <c r="A10977" s="3" t="str">
        <f>IFERROR(__xludf.DUMMYFUNCTION("GOOGLETRANSLATE(A10977,""en"",""pt"")"),"Eu odeio Harry Potter.")</f>
        <v>Eu odeio Harry Potter.</v>
      </c>
      <c r="B10977" s="3">
        <v>0</v>
      </c>
    </row>
    <row r="10978" ht="15.75" customHeight="1" spans="1:2">
      <c r="A10978" s="3" t="str">
        <f>IFERROR(__xludf.DUMMYFUNCTION("GOOGLETRANSLATE(A10978,""en"",""pt"")"),"Não porque eu odeio Harry Potter, mas porque eu sou o tipo de pessoa que gosta quando as principais matrizes de caracteres.")</f>
        <v>Não porque eu odeio Harry Potter, mas porque eu sou o tipo de pessoa que gosta quando as principais matrizes de caracteres.</v>
      </c>
      <c r="B10978" s="3">
        <v>0</v>
      </c>
    </row>
    <row r="10979" ht="15.75" customHeight="1" spans="1:2">
      <c r="A10979" s="3" t="str">
        <f>IFERROR(__xludf.DUMMYFUNCTION("GOOGLETRANSLATE(A10979,""en"",""pt"")"),"Harry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79" s="3">
        <v>0</v>
      </c>
    </row>
    <row r="10980" ht="15.75" customHeight="1" spans="1:2">
      <c r="A10980" s="3" t="str">
        <f>IFERROR(__xludf.DUMMYFUNCTION("GOOGLETRANSLATE(A10980,""en"",""pt"")"),"Estes filmes de Harry Potter realmente chupar.")</f>
        <v>Estes filmes de Harry Potter realmente chupar.</v>
      </c>
      <c r="B10980" s="3">
        <v>0</v>
      </c>
    </row>
    <row r="10981" ht="15.75" customHeight="1" spans="1:2">
      <c r="A10981" s="3" t="str">
        <f>IFERROR(__xludf.DUMMYFUNCTION("GOOGLETRANSLATE(A10981,""en"",""pt"")"),"Eu odeio Harry Potter, que daniel wotshisface precisa de um tapa porra ...")</f>
        <v>Eu odeio Harry Potter, que daniel wotshisface precisa de um tapa porra ...</v>
      </c>
      <c r="B10981" s="3">
        <v>0</v>
      </c>
    </row>
    <row r="10982" ht="15.75" customHeight="1" spans="1:2">
      <c r="A10982" s="3" t="str">
        <f>IFERROR(__xludf.DUMMYFUNCTION("GOOGLETRANSLATE(A10982,""en"",""pt"")"),"Este questionário é uma merda e Harry Potter suga ok bye ..")</f>
        <v>Este questionário é uma merda e Harry Potter suga ok bye ..</v>
      </c>
      <c r="B10982" s="3">
        <v>0</v>
      </c>
    </row>
    <row r="10983" ht="15.75" customHeight="1" spans="1:2">
      <c r="A10983" s="3" t="str">
        <f>IFERROR(__xludf.DUMMYFUNCTION("GOOGLETRANSLATE(A10983,""en"",""pt"")"),"Eu odeio Harry Potter, é retarted, gay e estúpido e só há um cara preta ...")</f>
        <v>Eu odeio Harry Potter, é retarted, gay e estúpido e só há um cara preta ...</v>
      </c>
      <c r="B10983" s="3">
        <v>0</v>
      </c>
    </row>
    <row r="10984" ht="15.75" customHeight="1" spans="1:2">
      <c r="A10984" s="3" t="str">
        <f>IFERROR(__xludf.DUMMYFUNCTION("GOOGLETRANSLATE(A10984,""en"",""pt"")"),"É apenas mim, ou faz Harry Potter chupar? ...")</f>
        <v>É apenas mim, ou faz Harry Potter chupar? ...</v>
      </c>
      <c r="B10984" s="3">
        <v>0</v>
      </c>
    </row>
    <row r="10985" ht="15.75" customHeight="1" spans="1:2">
      <c r="A10985" s="3" t="str">
        <f>IFERROR(__xludf.DUMMYFUNCTION("GOOGLETRANSLATE(A10985,""en"",""pt"")"),"Sempre sabe o que eu quero, não cara louco, odeia Harry Potter ..")</f>
        <v>Sempre sabe o que eu quero, não cara louco, odeia Harry Potter ..</v>
      </c>
      <c r="B10985" s="3">
        <v>0</v>
      </c>
    </row>
    <row r="10986" ht="15.75" customHeight="1" spans="1:2">
      <c r="A10986" s="3" t="str">
        <f>IFERROR(__xludf.DUMMYFUNCTION("GOOGLETRANSLATE(A10986,""en"",""pt"")"),"Eu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86" s="3">
        <v>0</v>
      </c>
    </row>
    <row r="10987" ht="15.75" customHeight="1" spans="1:2">
      <c r="A10987" s="3" t="str">
        <f>IFERROR(__xludf.DUMMYFUNCTION("GOOGLETRANSLATE(A10987,""en"",""pt"")"),"Eu odeio Harry Potter.")</f>
        <v>Eu odeio Harry Potter.</v>
      </c>
      <c r="B10987" s="3">
        <v>0</v>
      </c>
    </row>
    <row r="10988" ht="15.75" customHeight="1" spans="1:2">
      <c r="A10988" s="3" t="str">
        <f>IFERROR(__xludf.DUMMYFUNCTION("GOOGLETRANSLATE(A10988,""en"",""pt"")"),"Não porque eu odeio Harry Potter, mas porque eu sou o tipo de pessoa que gosta quando as principais matrizes de caracteres.")</f>
        <v>Não porque eu odeio Harry Potter, mas porque eu sou o tipo de pessoa que gosta quando as principais matrizes de caracteres.</v>
      </c>
      <c r="B10988" s="3">
        <v>0</v>
      </c>
    </row>
    <row r="10989" ht="15.75" customHeight="1" spans="1:2">
      <c r="A10989" s="3" t="str">
        <f>IFERROR(__xludf.DUMMYFUNCTION("GOOGLETRANSLATE(A10989,""en"",""pt"")"),"Harry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89" s="3">
        <v>0</v>
      </c>
    </row>
    <row r="10990" ht="15.75" customHeight="1" spans="1:2">
      <c r="A10990" s="3" t="str">
        <f>IFERROR(__xludf.DUMMYFUNCTION("GOOGLETRANSLATE(A10990,""en"",""pt"")"),"Estes filmes de Harry Potter realmente chupar.")</f>
        <v>Estes filmes de Harry Potter realmente chupar.</v>
      </c>
      <c r="B10990" s="3">
        <v>0</v>
      </c>
    </row>
    <row r="10991" ht="15.75" customHeight="1" spans="1:2">
      <c r="A10991" s="3" t="str">
        <f>IFERROR(__xludf.DUMMYFUNCTION("GOOGLETRANSLATE(A10991,""en"",""pt"")"),"Eu odeio Harry Potter, que daniel wotshisface precisa de um tapa porra ...")</f>
        <v>Eu odeio Harry Potter, que daniel wotshisface precisa de um tapa porra ...</v>
      </c>
      <c r="B10991" s="3">
        <v>0</v>
      </c>
    </row>
    <row r="10992" ht="15.75" customHeight="1" spans="1:2">
      <c r="A10992" s="3" t="str">
        <f>IFERROR(__xludf.DUMMYFUNCTION("GOOGLETRANSLATE(A10992,""en"",""pt"")"),"Este questionário é uma merda e Harry Potter suga ok bye ..")</f>
        <v>Este questionário é uma merda e Harry Potter suga ok bye ..</v>
      </c>
      <c r="B10992" s="3">
        <v>0</v>
      </c>
    </row>
    <row r="10993" ht="15.75" customHeight="1" spans="1:2">
      <c r="A10993" s="3" t="str">
        <f>IFERROR(__xludf.DUMMYFUNCTION("GOOGLETRANSLATE(A10993,""en"",""pt"")"),"Eu odeio Harry Potter, é retarted, gay e estúpido e só há um cara preta ...")</f>
        <v>Eu odeio Harry Potter, é retarted, gay e estúpido e só há um cara preta ...</v>
      </c>
      <c r="B10993" s="3">
        <v>0</v>
      </c>
    </row>
    <row r="10994" ht="15.75" customHeight="1" spans="1:2">
      <c r="A10994" s="3" t="str">
        <f>IFERROR(__xludf.DUMMYFUNCTION("GOOGLETRANSLATE(A10994,""en"",""pt"")"),"É apenas mim, ou faz Harry Potter chupar? ...")</f>
        <v>É apenas mim, ou faz Harry Potter chupar? ...</v>
      </c>
      <c r="B10994" s="3">
        <v>0</v>
      </c>
    </row>
    <row r="10995" ht="15.75" customHeight="1" spans="1:2">
      <c r="A10995" s="3" t="str">
        <f>IFERROR(__xludf.DUMMYFUNCTION("GOOGLETRANSLATE(A10995,""en"",""pt"")"),"Sempre sabe o que eu quero, não cara louco, odeia Harry Potter ..")</f>
        <v>Sempre sabe o que eu quero, não cara louco, odeia Harry Potter ..</v>
      </c>
      <c r="B10995" s="3">
        <v>0</v>
      </c>
    </row>
    <row r="10996" ht="15.75" customHeight="1" spans="1:2">
      <c r="A10996" s="3" t="str">
        <f>IFERROR(__xludf.DUMMYFUNCTION("GOOGLETRANSLATE(A10996,""en"",""pt"")"),"Eu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0996" s="3">
        <v>0</v>
      </c>
    </row>
    <row r="10997" ht="15.75" customHeight="1" spans="1:2">
      <c r="A10997" s="3" t="str">
        <f>IFERROR(__xludf.DUMMYFUNCTION("GOOGLETRANSLATE(A10997,""en"",""pt"")"),"Eu odeio Harry Potter.")</f>
        <v>Eu odeio Harry Potter.</v>
      </c>
      <c r="B10997" s="3">
        <v>0</v>
      </c>
    </row>
    <row r="10998" ht="15.75" customHeight="1" spans="1:2">
      <c r="A10998" s="3" t="str">
        <f>IFERROR(__xludf.DUMMYFUNCTION("GOOGLETRANSLATE(A10998,""en"",""pt"")"),"Não porque eu odeio Harry Potter, mas porque eu sou o tipo de pessoa que gosta quando as principais matrizes de caracteres.")</f>
        <v>Não porque eu odeio Harry Potter, mas porque eu sou o tipo de pessoa que gosta quando as principais matrizes de caracteres.</v>
      </c>
      <c r="B10998" s="3">
        <v>0</v>
      </c>
    </row>
    <row r="10999" ht="15.75" customHeight="1" spans="1:2">
      <c r="A10999" s="3" t="str">
        <f>IFERROR(__xludf.DUMMYFUNCTION("GOOGLETRANSLATE(A10999,""en"",""pt"")"),"Harry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0999" s="3">
        <v>0</v>
      </c>
    </row>
    <row r="11000" ht="15.75" customHeight="1" spans="1:2">
      <c r="A11000" s="3" t="str">
        <f>IFERROR(__xludf.DUMMYFUNCTION("GOOGLETRANSLATE(A11000,""en"",""pt"")"),"Estes filmes de Harry Potter realmente chupar.")</f>
        <v>Estes filmes de Harry Potter realmente chupar.</v>
      </c>
      <c r="B11000" s="3">
        <v>0</v>
      </c>
    </row>
    <row r="11001" ht="15.75" customHeight="1" spans="1:2">
      <c r="A11001" s="3" t="str">
        <f>IFERROR(__xludf.DUMMYFUNCTION("GOOGLETRANSLATE(A11001,""en"",""pt"")"),"Eu odeio Harry Potter, que daniel wotshisface precisa de um tapa porra ...")</f>
        <v>Eu odeio Harry Potter, que daniel wotshisface precisa de um tapa porra ...</v>
      </c>
      <c r="B11001" s="3">
        <v>0</v>
      </c>
    </row>
    <row r="11002" ht="15.75" customHeight="1" spans="1:2">
      <c r="A11002" s="3" t="str">
        <f>IFERROR(__xludf.DUMMYFUNCTION("GOOGLETRANSLATE(A11002,""en"",""pt"")"),"Este questionário é uma merda e Harry Potter suga ok bye ..")</f>
        <v>Este questionário é uma merda e Harry Potter suga ok bye ..</v>
      </c>
      <c r="B11002" s="3">
        <v>0</v>
      </c>
    </row>
    <row r="11003" ht="15.75" customHeight="1" spans="1:2">
      <c r="A11003" s="3" t="str">
        <f>IFERROR(__xludf.DUMMYFUNCTION("GOOGLETRANSLATE(A11003,""en"",""pt"")"),"Eu odeio Harry Potter, é retarted, gay e estúpido e só há um cara preta ...")</f>
        <v>Eu odeio Harry Potter, é retarted, gay e estúpido e só há um cara preta ...</v>
      </c>
      <c r="B11003" s="3">
        <v>0</v>
      </c>
    </row>
    <row r="11004" ht="15.75" customHeight="1" spans="1:2">
      <c r="A11004" s="3" t="str">
        <f>IFERROR(__xludf.DUMMYFUNCTION("GOOGLETRANSLATE(A11004,""en"",""pt"")"),"É apenas mim, ou faz Harry Potter chupar? ...")</f>
        <v>É apenas mim, ou faz Harry Potter chupar? ...</v>
      </c>
      <c r="B11004" s="3">
        <v>0</v>
      </c>
    </row>
    <row r="11005" ht="15.75" customHeight="1" spans="1:2">
      <c r="A11005" s="3" t="str">
        <f>IFERROR(__xludf.DUMMYFUNCTION("GOOGLETRANSLATE(A11005,""en"",""pt"")"),"Sempre sabe o que eu quero, não cara louco, odeia Harry Potter ..")</f>
        <v>Sempre sabe o que eu quero, não cara louco, odeia Harry Potter ..</v>
      </c>
      <c r="B11005" s="3">
        <v>0</v>
      </c>
    </row>
    <row r="11006" ht="15.75" customHeight="1" spans="1:2">
      <c r="A11006" s="3" t="str">
        <f>IFERROR(__xludf.DUMMYFUNCTION("GOOGLETRANSLATE(A11006,""en"",""pt"")"),"Eu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1006" s="3">
        <v>0</v>
      </c>
    </row>
    <row r="11007" ht="15.75" customHeight="1" spans="1:2">
      <c r="A11007" s="3" t="str">
        <f>IFERROR(__xludf.DUMMYFUNCTION("GOOGLETRANSLATE(A11007,""en"",""pt"")"),"Eu odeio Harry Potter.")</f>
        <v>Eu odeio Harry Potter.</v>
      </c>
      <c r="B11007" s="3">
        <v>0</v>
      </c>
    </row>
    <row r="11008" ht="15.75" customHeight="1" spans="1:2">
      <c r="A11008" s="3" t="str">
        <f>IFERROR(__xludf.DUMMYFUNCTION("GOOGLETRANSLATE(A11008,""en"",""pt"")"),"Não porque eu odeio Harry Potter, mas porque eu sou o tipo de pessoa que gosta quando as principais matrizes de caracteres.")</f>
        <v>Não porque eu odeio Harry Potter, mas porque eu sou o tipo de pessoa que gosta quando as principais matrizes de caracteres.</v>
      </c>
      <c r="B11008" s="3">
        <v>0</v>
      </c>
    </row>
    <row r="11009" ht="15.75" customHeight="1" spans="1:2">
      <c r="A11009" s="3" t="str">
        <f>IFERROR(__xludf.DUMMYFUNCTION("GOOGLETRANSLATE(A11009,""en"",""pt"")"),"Harry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1009" s="3">
        <v>0</v>
      </c>
    </row>
    <row r="11010" ht="15.75" customHeight="1" spans="1:2">
      <c r="A11010" s="3" t="str">
        <f>IFERROR(__xludf.DUMMYFUNCTION("GOOGLETRANSLATE(A11010,""en"",""pt"")"),"Estes filmes de Harry Potter realmente chupar.")</f>
        <v>Estes filmes de Harry Potter realmente chupar.</v>
      </c>
      <c r="B11010" s="3">
        <v>0</v>
      </c>
    </row>
    <row r="11011" ht="15.75" customHeight="1" spans="1:2">
      <c r="A11011" s="3" t="str">
        <f>IFERROR(__xludf.DUMMYFUNCTION("GOOGLETRANSLATE(A11011,""en"",""pt"")"),"Eu odeio Harry Potter, que daniel wotshisface precisa de um tapa porra ...")</f>
        <v>Eu odeio Harry Potter, que daniel wotshisface precisa de um tapa porra ...</v>
      </c>
      <c r="B11011" s="3">
        <v>0</v>
      </c>
    </row>
    <row r="11012" ht="15.75" customHeight="1" spans="1:2">
      <c r="A11012" s="3" t="str">
        <f>IFERROR(__xludf.DUMMYFUNCTION("GOOGLETRANSLATE(A11012,""en"",""pt"")"),"Este questionário é uma merda e Harry Potter suga ok bye ..")</f>
        <v>Este questionário é uma merda e Harry Potter suga ok bye ..</v>
      </c>
      <c r="B11012" s="3">
        <v>0</v>
      </c>
    </row>
    <row r="11013" ht="15.75" customHeight="1" spans="1:2">
      <c r="A11013" s="3" t="str">
        <f>IFERROR(__xludf.DUMMYFUNCTION("GOOGLETRANSLATE(A11013,""en"",""pt"")"),"Eu odeio Harry Potter, é retarted, gay e estúpido e só há um cara preta ...")</f>
        <v>Eu odeio Harry Potter, é retarted, gay e estúpido e só há um cara preta ...</v>
      </c>
      <c r="B11013" s="3">
        <v>0</v>
      </c>
    </row>
    <row r="11014" ht="15.75" customHeight="1" spans="1:2">
      <c r="A11014" s="3" t="str">
        <f>IFERROR(__xludf.DUMMYFUNCTION("GOOGLETRANSLATE(A11014,""en"",""pt"")"),"É apenas mim, ou faz Harry Potter chupar? ...")</f>
        <v>É apenas mim, ou faz Harry Potter chupar? ...</v>
      </c>
      <c r="B11014" s="3">
        <v>0</v>
      </c>
    </row>
    <row r="11015" ht="15.75" customHeight="1" spans="1:2">
      <c r="A11015" s="3" t="str">
        <f>IFERROR(__xludf.DUMMYFUNCTION("GOOGLETRANSLATE(A11015,""en"",""pt"")"),"Sempre sabe o que eu quero, não cara louco, odeia Harry Potter ..")</f>
        <v>Sempre sabe o que eu quero, não cara louco, odeia Harry Potter ..</v>
      </c>
      <c r="B11015" s="3">
        <v>0</v>
      </c>
    </row>
    <row r="11016" ht="15.75" customHeight="1" spans="1:2">
      <c r="A11016" s="3" t="str">
        <f>IFERROR(__xludf.DUMMYFUNCTION("GOOGLETRANSLATE(A11016,""en"",""pt"")"),"Eu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1016" s="3">
        <v>0</v>
      </c>
    </row>
    <row r="11017" ht="15.75" customHeight="1" spans="1:2">
      <c r="A11017" s="3" t="str">
        <f>IFERROR(__xludf.DUMMYFUNCTION("GOOGLETRANSLATE(A11017,""en"",""pt"")"),"Eu odeio Harry Potter.")</f>
        <v>Eu odeio Harry Potter.</v>
      </c>
      <c r="B11017" s="3">
        <v>0</v>
      </c>
    </row>
    <row r="11018" ht="15.75" customHeight="1" spans="1:2">
      <c r="A11018" s="3" t="str">
        <f>IFERROR(__xludf.DUMMYFUNCTION("GOOGLETRANSLATE(A11018,""en"",""pt"")"),"Não porque eu odeio Harry Potter, mas porque eu sou o tipo de pessoa que gosta quando as principais matrizes de caracteres.")</f>
        <v>Não porque eu odeio Harry Potter, mas porque eu sou o tipo de pessoa que gosta quando as principais matrizes de caracteres.</v>
      </c>
      <c r="B11018" s="3">
        <v>0</v>
      </c>
    </row>
    <row r="11019" ht="15.75" customHeight="1" spans="1:2">
      <c r="A11019" s="3" t="str">
        <f>IFERROR(__xludf.DUMMYFUNCTION("GOOGLETRANSLATE(A11019,""en"",""pt"")"),"Harry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1019" s="3">
        <v>0</v>
      </c>
    </row>
    <row r="11020" ht="15.75" customHeight="1" spans="1:2">
      <c r="A11020" s="3" t="str">
        <f>IFERROR(__xludf.DUMMYFUNCTION("GOOGLETRANSLATE(A11020,""en"",""pt"")"),"Estes filmes de Harry Potter realmente chupar.")</f>
        <v>Estes filmes de Harry Potter realmente chupar.</v>
      </c>
      <c r="B11020" s="3">
        <v>0</v>
      </c>
    </row>
    <row r="11021" ht="15.75" customHeight="1" spans="1:2">
      <c r="A11021" s="3" t="str">
        <f>IFERROR(__xludf.DUMMYFUNCTION("GOOGLETRANSLATE(A11021,""en"",""pt"")"),"Eu odeio Harry Potter, que daniel wotshisface precisa de um tapa porra ...")</f>
        <v>Eu odeio Harry Potter, que daniel wotshisface precisa de um tapa porra ...</v>
      </c>
      <c r="B11021" s="3">
        <v>0</v>
      </c>
    </row>
    <row r="11022" ht="15.75" customHeight="1" spans="1:2">
      <c r="A11022" s="3" t="str">
        <f>IFERROR(__xludf.DUMMYFUNCTION("GOOGLETRANSLATE(A11022,""en"",""pt"")"),"Este questionário é uma merda e Harry Potter suga ok bye ..")</f>
        <v>Este questionário é uma merda e Harry Potter suga ok bye ..</v>
      </c>
      <c r="B11022" s="3">
        <v>0</v>
      </c>
    </row>
    <row r="11023" ht="15.75" customHeight="1" spans="1:2">
      <c r="A11023" s="3" t="str">
        <f>IFERROR(__xludf.DUMMYFUNCTION("GOOGLETRANSLATE(A11023,""en"",""pt"")"),"Eu odeio Harry Potter, é retarted, gay e estúpido e só há um cara preta ...")</f>
        <v>Eu odeio Harry Potter, é retarted, gay e estúpido e só há um cara preta ...</v>
      </c>
      <c r="B11023" s="3">
        <v>0</v>
      </c>
    </row>
    <row r="11024" ht="15.75" customHeight="1" spans="1:2">
      <c r="A11024" s="3" t="str">
        <f>IFERROR(__xludf.DUMMYFUNCTION("GOOGLETRANSLATE(A11024,""en"",""pt"")"),"É apenas mim, ou faz Harry Potter chupar? ...")</f>
        <v>É apenas mim, ou faz Harry Potter chupar? ...</v>
      </c>
      <c r="B11024" s="3">
        <v>0</v>
      </c>
    </row>
    <row r="11025" ht="15.75" customHeight="1" spans="1:2">
      <c r="A11025" s="3" t="str">
        <f>IFERROR(__xludf.DUMMYFUNCTION("GOOGLETRANSLATE(A11025,""en"",""pt"")"),"Sempre sabe o que eu quero, não cara louco, odeia Harry Potter ..")</f>
        <v>Sempre sabe o que eu quero, não cara louco, odeia Harry Potter ..</v>
      </c>
      <c r="B11025" s="3">
        <v>0</v>
      </c>
    </row>
    <row r="11026" ht="15.75" customHeight="1" spans="1:2">
      <c r="A11026" s="3" t="str">
        <f>IFERROR(__xludf.DUMMYFUNCTION("GOOGLETRANSLATE(A11026,""en"",""pt"")"),"Eu acho que eu odeio Harry Potter porque ele supera muito melhor leitura de material de lá e os filmes são simplesmente estúpido para começar.")</f>
        <v>Eu acho que eu odeio Harry Potter porque ele supera muito melhor leitura de material de lá e os filmes são simplesmente estúpido para começar.</v>
      </c>
      <c r="B11026" s="3">
        <v>0</v>
      </c>
    </row>
    <row r="11027" ht="15.75" customHeight="1" spans="1:2">
      <c r="A11027" s="3" t="str">
        <f>IFERROR(__xludf.DUMMYFUNCTION("GOOGLETRANSLATE(A11027,""en"",""pt"")"),"Eu odeio Harry Potter.")</f>
        <v>Eu odeio Harry Potter.</v>
      </c>
      <c r="B11027" s="3">
        <v>0</v>
      </c>
    </row>
    <row r="11028" ht="15.75" customHeight="1" spans="1:2">
      <c r="A11028" s="3" t="str">
        <f>IFERROR(__xludf.DUMMYFUNCTION("GOOGLETRANSLATE(A11028,""en"",""pt"")"),"Não porque eu odeio Harry Potter, mas porque eu sou o tipo de pessoa que gosta quando as principais matrizes de caracteres.")</f>
        <v>Não porque eu odeio Harry Potter, mas porque eu sou o tipo de pessoa que gosta quando as principais matrizes de caracteres.</v>
      </c>
      <c r="B11028" s="3">
        <v>0</v>
      </c>
    </row>
    <row r="11029" ht="15.75" customHeight="1" spans="1:2">
      <c r="A11029" s="3" t="str">
        <f>IFERROR(__xludf.DUMMYFUNCTION("GOOGLETRANSLATE(A11029,""en"",""pt"")"),"Harry Potter arrastou Draco Malfoy â € ™ s calças para baixo após os quadris e chupou-o em sua garganta com vigor, fazendo barulhos choramingando e ofegante e gemendo em torno das loiras hard-rock, dores pau ...")</f>
        <v>Harry Potter arrastou Draco Malfoy â € ™ s calças para baixo após os quadris e chupou-o em sua garganta com vigor, fazendo barulhos choramingando e ofegante e gemendo em torno das loiras hard-rock, dores pau ...</v>
      </c>
      <c r="B11029" s="3">
        <v>0</v>
      </c>
    </row>
    <row r="11030" ht="15.75" customHeight="1" spans="1:2">
      <c r="A11030" s="3" t="str">
        <f>IFERROR(__xludf.DUMMYFUNCTION("GOOGLETRANSLATE(A11030,""en"",""pt"")"),"Estes filmes de Harry Potter realmente chupar.")</f>
        <v>Estes filmes de Harry Potter realmente chupar.</v>
      </c>
      <c r="B11030" s="3">
        <v>0</v>
      </c>
    </row>
    <row r="11031" ht="15.75" customHeight="1" spans="1:2">
      <c r="A11031" s="3" t="str">
        <f>IFERROR(__xludf.DUMMYFUNCTION("GOOGLETRANSLATE(A11031,""en"",""pt"")"),"Eu odeio Harry Potter, que daniel wotshisface precisa de um tapa porra ...")</f>
        <v>Eu odeio Harry Potter, que daniel wotshisface precisa de um tapa porra ...</v>
      </c>
      <c r="B11031" s="3">
        <v>0</v>
      </c>
    </row>
    <row r="11032" ht="15.75" customHeight="1" spans="1:2">
      <c r="A11032" s="3" t="str">
        <f>IFERROR(__xludf.DUMMYFUNCTION("GOOGLETRANSLATE(A11032,""en"",""pt"")")," Brokeback Mountain é trágico, mas imensamente bem executado, nunca sensação moralista.")</f>
        <v> Brokeback Mountain é trágico, mas imensamente bem executado, nunca sensação moralista.</v>
      </c>
      <c r="B11032" s="3">
        <v>0</v>
      </c>
    </row>
    <row r="11033" ht="15.75" customHeight="1" spans="1:2">
      <c r="A11033" s="3" t="str">
        <f>IFERROR(__xludf.DUMMYFUNCTION("GOOGLETRANSLATE(A11033,""en"",""pt"")"),"Eu sou a única pessoa no mundo que pensou Brokeback Mountain sugado. (-Sucked).")</f>
        <v>Eu sou a única pessoa no mundo que pensou Brokeback Mountain sugado. (-Sucked).</v>
      </c>
      <c r="B11033" s="3">
        <v>0</v>
      </c>
    </row>
    <row r="11034" ht="15.75" customHeight="1" spans="1:2">
      <c r="A11034" s="3" t="str">
        <f>IFERROR(__xludf.DUMMYFUNCTION("GOOGLETRANSLATE(A11034,""en"",""pt"")"),"Brokeback Mountain foi um chato mostram um € | bem, pelo menos eles tinham de super os atores bonito Uma € | ..")</f>
        <v>Brokeback Mountain foi um chato mostram um € | bem, pelo menos eles tinham de super os atores bonito Uma € | ..</v>
      </c>
      <c r="B11034" s="3">
        <v>0</v>
      </c>
    </row>
    <row r="11035" ht="15.75" customHeight="1" spans="1:2">
      <c r="A11035" s="3" t="str">
        <f>IFERROR(__xludf.DUMMYFUNCTION("GOOGLETRANSLATE(A11035,""en"",""pt"")"),"Mas Brokeback Mountain é um dos filmes mais chato que eu já vi.")</f>
        <v>Mas Brokeback Mountain é um dos filmes mais chato que eu já vi.</v>
      </c>
      <c r="B11035" s="3">
        <v>0</v>
      </c>
    </row>
    <row r="11036" ht="15.75" customHeight="1" spans="1:2">
      <c r="A11036" s="3" t="str">
        <f>IFERROR(__xludf.DUMMYFUNCTION("GOOGLETRANSLATE(A11036,""en"",""pt"")"),"Acho RENT / Brokeback Mountain pode ser muito estranho e juntos terrível .....")</f>
        <v>Acho RENT / Brokeback Mountain pode ser muito estranho e juntos terrível .....</v>
      </c>
      <c r="B11036" s="3">
        <v>0</v>
      </c>
    </row>
    <row r="11037" ht="15.75" customHeight="1" spans="1:2">
      <c r="A11037" s="3" t="str">
        <f>IFERROR(__xludf.DUMMYFUNCTION("GOOGLETRANSLATE(A11037,""en"",""pt"")"),"montanha Brokeback suga ...")</f>
        <v>montanha Brokeback suga ...</v>
      </c>
      <c r="B11037" s="3">
        <v>0</v>
      </c>
    </row>
    <row r="11038" ht="15.75" customHeight="1" spans="1:2">
      <c r="A11038" s="3" t="str">
        <f>IFERROR(__xludf.DUMMYFUNCTION("GOOGLETRANSLATE(A11038,""en"",""pt"")"),"eu odeio montanha Brokeback !!")</f>
        <v>eu odeio montanha Brokeback !!</v>
      </c>
      <c r="B11038" s="3">
        <v>0</v>
      </c>
    </row>
    <row r="11039" ht="15.75" customHeight="1" spans="1:2">
      <c r="A11039" s="3" t="str">
        <f>IFERROR(__xludf.DUMMYFUNCTION("GOOGLETRANSLATE(A11039,""en"",""pt"")"),"Brokeback Mountain sugado ..")</f>
        <v>Brokeback Mountain sugado ..</v>
      </c>
      <c r="B11039" s="3">
        <v>0</v>
      </c>
    </row>
    <row r="11040" ht="15.75" customHeight="1" spans="1:2">
      <c r="A11040" s="3" t="str">
        <f>IFERROR(__xludf.DUMMYFUNCTION("GOOGLETRANSLATE(A11040,""en"",""pt"")"),"Brokeback Mountain sugado.")</f>
        <v>Brokeback Mountain sugado.</v>
      </c>
      <c r="B11040" s="3">
        <v>0</v>
      </c>
    </row>
    <row r="11041" ht="15.75" customHeight="1" spans="1:2">
      <c r="A11041" s="3" t="str">
        <f>IFERROR(__xludf.DUMMYFUNCTION("GOOGLETRANSLATE(A11041,""en"",""pt"")"),"Então, quem mais odeia Brokeback Mountain? ..")</f>
        <v>Então, quem mais odeia Brokeback Mountain? ..</v>
      </c>
      <c r="B11041" s="3">
        <v>0</v>
      </c>
    </row>
    <row r="11042" ht="15.75" customHeight="1" spans="1:2">
      <c r="A11042" s="3" t="str">
        <f>IFERROR(__xludf.DUMMYFUNCTION("GOOGLETRANSLATE(A11042,""en"",""pt"")"),"Também fomos a ver Brokeback Mountain, que totalmente viciado !!!")</f>
        <v>Também fomos a ver Brokeback Mountain, que totalmente viciado !!!</v>
      </c>
      <c r="B11042" s="3">
        <v>0</v>
      </c>
    </row>
    <row r="11043" ht="15.75" customHeight="1" spans="1:2">
      <c r="A11043" s="3" t="str">
        <f>IFERROR(__xludf.DUMMYFUNCTION("GOOGLETRANSLATE(A11043,""en"",""pt"")"),"montanha Brokeback suga ..")</f>
        <v>montanha Brokeback suga ..</v>
      </c>
      <c r="B11043" s="3">
        <v>0</v>
      </c>
    </row>
    <row r="11044" ht="15.75" customHeight="1" spans="1:2">
      <c r="A11044" s="3" t="str">
        <f>IFERROR(__xludf.DUMMYFUNCTION("GOOGLETRANSLATE(A11044,""en"",""pt"")"),"Eu sou a única pessoa no mundo que pensou Brokeback Mountain sugado. (")</f>
        <v>Eu sou a única pessoa no mundo que pensou Brokeback Mountain sugado. (</v>
      </c>
      <c r="B11044" s="3">
        <v>0</v>
      </c>
    </row>
    <row r="11045" ht="15.75" customHeight="1" spans="1:2">
      <c r="A11045" s="3" t="str">
        <f>IFERROR(__xludf.DUMMYFUNCTION("GOOGLETRANSLATE(A11045,""en"",""pt"")"),"Mas se Bater ganhou o Oscar, Brokeback Mountain deve ter sugado mais difícil do que cowboys em um filhote de cachorro-tent ...")</f>
        <v>Mas se Bater ganhou o Oscar, Brokeback Mountain deve ter sugado mais difícil do que cowboys em um filhote de cachorro-tent ...</v>
      </c>
      <c r="B11045" s="3">
        <v>0</v>
      </c>
    </row>
    <row r="11046" ht="15.75" customHeight="1" spans="1:2">
      <c r="A11046" s="3" t="str">
        <f>IFERROR(__xludf.DUMMYFUNCTION("GOOGLETRANSLATE(A11046,""en"",""pt"")"),"montanha Brokeback sugado bolas da mãe de todos.")</f>
        <v>montanha Brokeback sugado bolas da mãe de todos.</v>
      </c>
      <c r="B11046" s="3">
        <v>0</v>
      </c>
    </row>
    <row r="11047" ht="15.75" customHeight="1" spans="1:2">
      <c r="A11047" s="3" t="str">
        <f>IFERROR(__xludf.DUMMYFUNCTION("GOOGLETRANSLATE(A11047,""en"",""pt"")"),"i odiado montanha Brokeback.")</f>
        <v>i odiado montanha Brokeback.</v>
      </c>
      <c r="B11047" s="3">
        <v>0</v>
      </c>
    </row>
    <row r="11048" ht="15.75" customHeight="1" spans="1:2">
      <c r="A11048" s="3" t="str">
        <f>IFERROR(__xludf.DUMMYFUNCTION("GOOGLETRANSLATE(A11048,""en"",""pt"")"),"eu amo meninos gays, mas eu acho brokeback mountain sugado ..")</f>
        <v>eu amo meninos gays, mas eu acho brokeback mountain sugado ..</v>
      </c>
      <c r="B11048" s="3">
        <v>0</v>
      </c>
    </row>
    <row r="11049" ht="15.75" customHeight="1" spans="1:2">
      <c r="A11049" s="3" t="str">
        <f>IFERROR(__xludf.DUMMYFUNCTION("GOOGLETRANSLATE(A11049,""en"",""pt"")"),"Brokeback Mountain sugado.")</f>
        <v>Brokeback Mountain sugado.</v>
      </c>
      <c r="B11049" s="3">
        <v>0</v>
      </c>
    </row>
    <row r="11050" ht="15.75" customHeight="1" spans="1:2">
      <c r="A11050" s="3" t="str">
        <f>IFERROR(__xludf.DUMMYFUNCTION("GOOGLETRANSLATE(A11050,""en"",""pt"")"),"Como, para mim, Brokeback Mountain sugado porque eu não tenho o preenchimento de seus espaços em branco ...")</f>
        <v>Como, para mim, Brokeback Mountain sugado porque eu não tenho o preenchimento de seus espaços em branco ...</v>
      </c>
      <c r="B11050" s="3">
        <v>0</v>
      </c>
    </row>
    <row r="11051" ht="15.75" customHeight="1" spans="1:2">
      <c r="A11051" s="3" t="str">
        <f>IFERROR(__xludf.DUMMYFUNCTION("GOOGLETRANSLATE(A11051,""en"",""pt"")"),"i odiado montanha Brokeback ..")</f>
        <v>i odiado montanha Brokeback ..</v>
      </c>
      <c r="B11051" s="3">
        <v>0</v>
      </c>
    </row>
    <row r="11052" ht="15.75" customHeight="1" spans="1:2">
      <c r="A11052" s="3" t="str">
        <f>IFERROR(__xludf.DUMMYFUNCTION("GOOGLETRANSLATE(A11052,""en"",""pt"")"),"Brokeback Mountain sugado Ass ..")</f>
        <v>Brokeback Mountain sugado Ass ..</v>
      </c>
      <c r="B11052" s="3">
        <v>0</v>
      </c>
    </row>
    <row r="11053" ht="15.75" customHeight="1" spans="1:2">
      <c r="A11053" s="3" t="str">
        <f>IFERROR(__xludf.DUMMYFUNCTION("GOOGLETRANSLATE(A11053,""en"",""pt"")"),"e Joan vive me dizendo como Brokeback Mountain suga muito, mas todo mundo gostou, então eu acho que vou vê-lo.")</f>
        <v>e Joan vive me dizendo como Brokeback Mountain suga muito, mas todo mundo gostou, então eu acho que vou vê-lo.</v>
      </c>
      <c r="B11053" s="3">
        <v>0</v>
      </c>
    </row>
    <row r="11054" ht="15.75" customHeight="1" spans="1:2">
      <c r="A11054" s="3" t="str">
        <f>IFERROR(__xludf.DUMMYFUNCTION("GOOGLETRANSLATE(A11054,""en"",""pt"")"),"Brokeback mountain suga bolas ....")</f>
        <v>Brokeback mountain suga bolas ....</v>
      </c>
      <c r="B11054" s="3">
        <v>0</v>
      </c>
    </row>
    <row r="11055" ht="15.75" customHeight="1" spans="1:2">
      <c r="A11055" s="3" t="str">
        <f>IFERROR(__xludf.DUMMYFUNCTION("GOOGLETRANSLATE(A11055,""en"",""pt"")"),"Brokeback Mountain sugado .....")</f>
        <v>Brokeback Mountain sugado .....</v>
      </c>
      <c r="B11055" s="3">
        <v>0</v>
      </c>
    </row>
    <row r="11056" ht="15.75" customHeight="1" spans="1:2">
      <c r="A11056" s="3" t="str">
        <f>IFERROR(__xludf.DUMMYFUNCTION("GOOGLETRANSLATE(A11056,""en"",""pt"")"),"Eu odiava ""Brokeback Mountain"", e não porque os personagens principais eram gays.")</f>
        <v>Eu odiava "Brokeback Mountain", e não porque os personagens principais eram gays.</v>
      </c>
      <c r="B11056" s="3">
        <v>0</v>
      </c>
    </row>
    <row r="11057" ht="15.75" customHeight="1" spans="1:2">
      <c r="A11057" s="3" t="str">
        <f>IFERROR(__xludf.DUMMYFUNCTION("GOOGLETRANSLATE(A11057,""en"",""pt"")"),"Brokeback Mountain SUGADO ...")</f>
        <v>Brokeback Mountain SUGADO ...</v>
      </c>
      <c r="B11057" s="3">
        <v>0</v>
      </c>
    </row>
    <row r="11058" ht="15.75" customHeight="1" spans="1:2">
      <c r="A11058" s="3" t="str">
        <f>IFERROR(__xludf.DUMMYFUNCTION("GOOGLETRANSLATE(A11058,""en"",""pt"")"),"Brokeback Mountain sugado ...")</f>
        <v>Brokeback Mountain sugado ...</v>
      </c>
      <c r="B11058" s="3">
        <v>0</v>
      </c>
    </row>
    <row r="11059" ht="15.75" customHeight="1" spans="1:2">
      <c r="A11059" s="3" t="str">
        <f>IFERROR(__xludf.DUMMYFUNCTION("GOOGLETRANSLATE(A11059,""en"",""pt"")"),"Eu odeio Brokeback Mountain.")</f>
        <v>Eu odeio Brokeback Mountain.</v>
      </c>
      <c r="B11059" s="3">
        <v>0</v>
      </c>
    </row>
    <row r="11060" ht="15.75" customHeight="1" spans="1:2">
      <c r="A11060" s="3" t="str">
        <f>IFERROR(__xludf.DUMMYFUNCTION("GOOGLETRANSLATE(A11060,""en"",""pt"")"),"Brokeback Mountain praticamente sugado.")</f>
        <v>Brokeback Mountain praticamente sugado.</v>
      </c>
      <c r="B11060" s="3">
        <v>0</v>
      </c>
    </row>
    <row r="11061" ht="15.75" customHeight="1" spans="1:2">
      <c r="A11061" s="3" t="str">
        <f>IFERROR(__xludf.DUMMYFUNCTION("GOOGLETRANSLATE(A11061,""en"",""pt"")"),"brokeback mountain praticamente sugado ..")</f>
        <v>brokeback mountain praticamente sugado ..</v>
      </c>
      <c r="B11061" s="3">
        <v>0</v>
      </c>
    </row>
    <row r="11062" ht="15.75" customHeight="1" spans="1:2">
      <c r="A11062" s="3" t="s">
        <v>50</v>
      </c>
      <c r="B11062" s="3">
        <v>0</v>
      </c>
    </row>
    <row r="11063" ht="15.75" customHeight="1" spans="1:2">
      <c r="A11063" s="3" t="str">
        <f>IFERROR(__xludf.DUMMYFUNCTION("GOOGLETRANSLATE(A11063,""en"",""pt"")"),"Brokeback Mountain sugado.")</f>
        <v>Brokeback Mountain sugado.</v>
      </c>
      <c r="B11063" s="3">
        <v>0</v>
      </c>
    </row>
    <row r="11064" ht="15.75" customHeight="1" spans="1:2">
      <c r="A11064" s="3" t="str">
        <f>IFERROR(__xludf.DUMMYFUNCTION("GOOGLETRANSLATE(A11064,""en"",""pt"")"),"Eu odiava Brokeback Mountain.")</f>
        <v>Eu odiava Brokeback Mountain.</v>
      </c>
      <c r="B11064" s="3">
        <v>0</v>
      </c>
    </row>
    <row r="11065" ht="15.75" customHeight="1" spans="1:2">
      <c r="A11065" s="3" t="str">
        <f>IFERROR(__xludf.DUMMYFUNCTION("GOOGLETRANSLATE(A11065,""en"",""pt"")"),"Brokeback Mountain é uma porcaria !!! .. &lt;_ &lt;..&gt; _&gt; ...")</f>
        <v>Brokeback Mountain é uma porcaria !!! .. &lt;_ &lt;..&gt; _&gt; ...</v>
      </c>
      <c r="B11065" s="3">
        <v>0</v>
      </c>
    </row>
    <row r="11066" ht="15.75" customHeight="1" spans="1:2">
      <c r="A11066" s="3" t="str">
        <f>IFERROR(__xludf.DUMMYFUNCTION("GOOGLETRANSLATE(A11066,""en"",""pt"")"),"Além disso, Brokeback Mountain é uma porcaria.")</f>
        <v>Além disso, Brokeback Mountain é uma porcaria.</v>
      </c>
      <c r="B11066" s="3">
        <v>0</v>
      </c>
    </row>
    <row r="11067" ht="15.75" customHeight="1" spans="1:2">
      <c r="A11067" s="3" t="str">
        <f>IFERROR(__xludf.DUMMYFUNCTION("GOOGLETRANSLATE(A11067,""en"",""pt"")"),"eu odeio montanha Brokeback.")</f>
        <v>eu odeio montanha Brokeback.</v>
      </c>
      <c r="B11067" s="3">
        <v>0</v>
      </c>
    </row>
    <row r="11068" ht="15.75" customHeight="1" spans="1:2">
      <c r="A11068" s="3" t="str">
        <f>IFERROR(__xludf.DUMMYFUNCTION("GOOGLETRANSLATE(A11068,""en"",""pt"")"),"eu odeio Brokeback Mountain !!!!!!! ..")</f>
        <v>eu odeio Brokeback Mountain !!!!!!! ..</v>
      </c>
      <c r="B11068" s="3">
        <v>0</v>
      </c>
    </row>
    <row r="11069" ht="15.75" customHeight="1" spans="1:2">
      <c r="A11069" s="3" t="str">
        <f>IFERROR(__xludf.DUMMYFUNCTION("GOOGLETRANSLATE(A11069,""en"",""pt"")"),"Eu tenho que dizer, eu odiava Brokeback Mountain, no entanto.")</f>
        <v>Eu tenho que dizer, eu odiava Brokeback Mountain, no entanto.</v>
      </c>
      <c r="B11069" s="3">
        <v>0</v>
      </c>
    </row>
    <row r="11070" ht="15.75" customHeight="1" spans="1:2">
      <c r="A11070" s="3" t="str">
        <f>IFERROR(__xludf.DUMMYFUNCTION("GOOGLETRANSLATE(A11070,""en"",""pt"")"),"Brokeback Mountain SUGADO suculento grande ASNO bolas ...")</f>
        <v>Brokeback Mountain SUGADO suculento grande ASNO bolas ...</v>
      </c>
      <c r="B11070" s="3">
        <v>0</v>
      </c>
    </row>
    <row r="11071" ht="15.75" customHeight="1" spans="1:2">
      <c r="A11071" s="3" t="str">
        <f>IFERROR(__xludf.DUMMYFUNCTION("GOOGLETRANSLATE(A11071,""en"",""pt"")"),"Eu odiava Brokeback Mountain.")</f>
        <v>Eu odiava Brokeback Mountain.</v>
      </c>
      <c r="B11071" s="3">
        <v>0</v>
      </c>
    </row>
    <row r="11072" ht="15.75" customHeight="1" spans="1:2">
      <c r="A11072" s="3" t="str">
        <f>IFERROR(__xludf.DUMMYFUNCTION("GOOGLETRANSLATE(A11072,""en"",""pt"")"),"Brokeback Mountain fez chupar, e foi um caminho muito longo.")</f>
        <v>Brokeback Mountain fez chupar, e foi um caminho muito longo.</v>
      </c>
      <c r="B11072" s="3">
        <v>0</v>
      </c>
    </row>
    <row r="11073" ht="15.75" customHeight="1" spans="1:2">
      <c r="A11073" s="3" t="str">
        <f>IFERROR(__xludf.DUMMYFUNCTION("GOOGLETRANSLATE(A11073,""en"",""pt"")"),"Um cara gay postou em Livejournal sobre o quanto ele pensou Brokeback Mountain sugado.")</f>
        <v>Um cara gay postou em Livejournal sobre o quanto ele pensou Brokeback Mountain sugado.</v>
      </c>
      <c r="B11073" s="3">
        <v>0</v>
      </c>
    </row>
    <row r="11074" ht="15.75" customHeight="1" spans="1:2">
      <c r="A11074" s="3" t="str">
        <f>IFERROR(__xludf.DUMMYFUNCTION("GOOGLETRANSLATE(A11074,""en"",""pt"")"),"E brokeback mountain pode chupar meu pau ...")</f>
        <v>E brokeback mountain pode chupar meu pau ...</v>
      </c>
      <c r="B11074" s="3">
        <v>0</v>
      </c>
    </row>
    <row r="11075" ht="15.75" customHeight="1" spans="1:2">
      <c r="A11075" s="3" t="str">
        <f>IFERROR(__xludf.DUMMYFUNCTION("GOOGLETRANSLATE(A11075,""en"",""pt"")"),"Brokeback Mountain sugado!")</f>
        <v>Brokeback Mountain sugado!</v>
      </c>
      <c r="B11075" s="3">
        <v>0</v>
      </c>
    </row>
    <row r="11076" ht="15.75" customHeight="1" spans="1:2">
      <c r="A11076" s="3" t="str">
        <f>IFERROR(__xludf.DUMMYFUNCTION("GOOGLETRANSLATE(A11076,""en"",""pt"")"),"Brokeback Mountain é chato ..")</f>
        <v>Brokeback Mountain é chato ..</v>
      </c>
      <c r="B11076" s="3">
        <v>0</v>
      </c>
    </row>
    <row r="11077" ht="15.75" customHeight="1" spans="1:2">
      <c r="A11077" s="3" t="str">
        <f>IFERROR(__xludf.DUMMYFUNCTION("GOOGLETRANSLATE(A11077,""en"",""pt"")"),"Brokeback Mountain é uma porcaria também ...")</f>
        <v>Brokeback Mountain é uma porcaria também ...</v>
      </c>
      <c r="B11077" s="3">
        <v>0</v>
      </c>
    </row>
    <row r="11078" ht="15.75" customHeight="1" spans="1:2">
      <c r="A11078" s="3" t="str">
        <f>IFERROR(__xludf.DUMMYFUNCTION("GOOGLETRANSLATE(A11078,""en"",""pt"")"),"Brokeback Mountain é uma porcaria ...")</f>
        <v>Brokeback Mountain é uma porcaria ...</v>
      </c>
      <c r="B11078" s="3">
        <v>0</v>
      </c>
    </row>
    <row r="11079" ht="15.75" customHeight="1" spans="1:2">
      <c r="A11079" s="3" t="str">
        <f>IFERROR(__xludf.DUMMYFUNCTION("GOOGLETRANSLATE(A11079,""en"",""pt"")"),"Brokeback mountain SUGA ..")</f>
        <v>Brokeback mountain SUGA ..</v>
      </c>
      <c r="B11079" s="3">
        <v>0</v>
      </c>
    </row>
    <row r="11080" ht="15.75" customHeight="1" spans="1:2">
      <c r="A11080" s="3" t="str">
        <f>IFERROR(__xludf.DUMMYFUNCTION("GOOGLETRANSLATE(A11080,""en"",""pt"")"),"EU ODEIO Brokeback Mountain !!!!!")</f>
        <v>EU ODEIO Brokeback Mountain !!!!!</v>
      </c>
      <c r="B11080" s="3">
        <v>0</v>
      </c>
    </row>
    <row r="11081" ht="15.75" customHeight="1" spans="1:2">
      <c r="A11081" s="3" t="str">
        <f>IFERROR(__xludf.DUMMYFUNCTION("GOOGLETRANSLATE(A11081,""en"",""pt"")"),"ÂμÂª """" = 0 = I HATE Brokeback Mountain ..")</f>
        <v>ÂμÂª "" = 0 = I HATE Brokeback Mountain ..</v>
      </c>
      <c r="B11081" s="3">
        <v>0</v>
      </c>
    </row>
    <row r="11082" ht="15.75" customHeight="1" spans="1:2">
      <c r="A11082" s="3" t="str">
        <f>IFERROR(__xludf.DUMMYFUNCTION("GOOGLETRANSLATE(A11082,""en"",""pt"")"),"Boa Noite e Boa Sorte é um segundo próximo, mas eu que Freaking o odiava Brokeback Mountain.")</f>
        <v>Boa Noite e Boa Sorte é um segundo próximo, mas eu que Freaking o odiava Brokeback Mountain.</v>
      </c>
      <c r="B11082" s="3">
        <v>0</v>
      </c>
    </row>
    <row r="11083" ht="15.75" customHeight="1" spans="1:2">
      <c r="A11083" s="3" t="str">
        <f>IFERROR(__xludf.DUMMYFUNCTION("GOOGLETRANSLATE(A11083,""en"",""pt"")"),"O Gayness não foi o que fez montanha Brokeback chupar.")</f>
        <v>O Gayness não foi o que fez montanha Brokeback chupar.</v>
      </c>
      <c r="B11083" s="3">
        <v>0</v>
      </c>
    </row>
    <row r="11084" ht="15.75" customHeight="1" spans="1:2">
      <c r="A11084" s="3" t="str">
        <f>IFERROR(__xludf.DUMMYFUNCTION("GOOGLETRANSLATE(A11084,""en"",""pt"")"),"Eu realmente odeio Brokeback Mountain.")</f>
        <v>Eu realmente odeio Brokeback Mountain.</v>
      </c>
      <c r="B11084" s="3">
        <v>0</v>
      </c>
    </row>
    <row r="11085" ht="15.75" customHeight="1" spans="1:2">
      <c r="A11085" s="3" t="str">
        <f>IFERROR(__xludf.DUMMYFUNCTION("GOOGLETRANSLATE(A11085,""en"",""pt"")"),"WAAAAAAAAAAAAAAAAAAAAAAAAAAAAAAAAAAAAAAAAAAAAAAAAAAAAAAAAAAAAA bem eles podem TODOS MORRER Brokeback Mountain SUGA.")</f>
        <v>WAAAAAAAAAAAAAAAAAAAAAAAAAAAAAAAAAAAAAAAAAAAAAAAAAAAAAAAAAAAAA bem eles podem TODOS MORRER Brokeback Mountain SUGA.</v>
      </c>
      <c r="B11085" s="3">
        <v>0</v>
      </c>
    </row>
    <row r="11086" ht="15.75" customHeight="1" spans="1:2">
      <c r="A11086" s="3" t="str">
        <f>IFERROR(__xludf.DUMMYFUNCTION("GOOGLETRANSLATE(A11086,""en"",""pt"")"),"Brokeback Mountain SUGA ....")</f>
        <v>Brokeback Mountain SUGA ....</v>
      </c>
      <c r="B11086" s="3">
        <v>0</v>
      </c>
    </row>
    <row r="11087" ht="15.75" customHeight="1" spans="1:2">
      <c r="A11087" s="3" t="str">
        <f>IFERROR(__xludf.DUMMYFUNCTION("GOOGLETRANSLATE(A11087,""en"",""pt"")"),"eu odeio montanha Brokeback ...")</f>
        <v>eu odeio montanha Brokeback ...</v>
      </c>
      <c r="B11087" s="3">
        <v>0</v>
      </c>
    </row>
    <row r="11088" ht="15.75" customHeight="1" spans="1:2">
      <c r="A11088" s="3" t="str">
        <f>IFERROR(__xludf.DUMMYFUNCTION("GOOGLETRANSLATE(A11088,""en"",""pt"")"),"OMG EU ODEIO Brokeback Mountain.")</f>
        <v>OMG EU ODEIO Brokeback Mountain.</v>
      </c>
      <c r="B11088" s="3">
        <v>0</v>
      </c>
    </row>
    <row r="11089" ht="15.75" customHeight="1" spans="1:2">
      <c r="A11089" s="3" t="str">
        <f>IFERROR(__xludf.DUMMYFUNCTION("GOOGLETRANSLATE(A11089,""en"",""pt"")"),"mas eu também odeio montanha Brokeback e sou tipo de prazer que ele perdeu.")</f>
        <v>mas eu também odeio montanha Brokeback e sou tipo de prazer que ele perdeu.</v>
      </c>
      <c r="B11089" s="3">
        <v>0</v>
      </c>
    </row>
    <row r="11090" ht="15.75" customHeight="1" spans="1:2">
      <c r="A11090" s="3" t="str">
        <f>IFERROR(__xludf.DUMMYFUNCTION("GOOGLETRANSLATE(A11090,""en"",""pt"")"),"brokeback mountain suga ânus, e isso é um fato ...")</f>
        <v>brokeback mountain suga ânus, e isso é um fato ...</v>
      </c>
      <c r="B11090" s="3">
        <v>0</v>
      </c>
    </row>
    <row r="11091" ht="15.75" customHeight="1" spans="1:2">
      <c r="A11091" s="3" t="str">
        <f>IFERROR(__xludf.DUMMYFUNCTION("GOOGLETRANSLATE(A11091,""en"",""pt"")"),"Brokeback Mountain, Larry McMurtry e Diana Ossana-o livro sugado, filme foi muito melhor, eles tinham um monte de trabalho a fazer ..")</f>
        <v>Brokeback Mountain, Larry McMurtry e Diana Ossana-o livro sugado, filme foi muito melhor, eles tinham um monte de trabalho a fazer ..</v>
      </c>
      <c r="B11091" s="3">
        <v>0</v>
      </c>
    </row>
    <row r="11092" ht="15.75" customHeight="1" spans="1:2">
      <c r="A11092" s="3" t="str">
        <f>IFERROR(__xludf.DUMMYFUNCTION("GOOGLETRANSLATE(A11092,""en"",""pt"")"),"Sua frio lá em cima! -......- Depois de assistir a montanha Brokeback que suga grande momento, quase adormeceu.")</f>
        <v>Sua frio lá em cima! -......- Depois de assistir a montanha Brokeback que suga grande momento, quase adormeceu.</v>
      </c>
      <c r="B11092" s="3">
        <v>0</v>
      </c>
    </row>
    <row r="11093" ht="15.75" customHeight="1" spans="1:2">
      <c r="A11093" s="3" t="str">
        <f>IFERROR(__xludf.DUMMYFUNCTION("GOOGLETRANSLATE(A11093,""en"",""pt"")"),"EVILPINKMUNKY é gay e Brokeback Mountain SUGA !.")</f>
        <v>EVILPINKMUNKY é gay e Brokeback Mountain SUGA !.</v>
      </c>
      <c r="B11093" s="3">
        <v>0</v>
      </c>
    </row>
    <row r="11094" ht="15.75" customHeight="1" spans="1:2">
      <c r="A11094" s="3" t="str">
        <f>IFERROR(__xludf.DUMMYFUNCTION("GOOGLETRANSLATE(A11094,""en"",""pt"")"),"I SOOOO ODIAVA Brokeback Mountain !! ..")</f>
        <v>I SOOOO ODIAVA Brokeback Mountain !! ..</v>
      </c>
      <c r="B11094" s="3">
        <v>0</v>
      </c>
    </row>
    <row r="11095" ht="15.75" customHeight="1" spans="1:2">
      <c r="A11095" s="3" t="str">
        <f>IFERROR(__xludf.DUMMYFUNCTION("GOOGLETRANSLATE(A11095,""en"",""pt"")")," Brokeback Mountain sugado!")</f>
        <v> Brokeback Mountain sugado!</v>
      </c>
      <c r="B11095" s="3">
        <v>0</v>
      </c>
    </row>
    <row r="11096" ht="15.75" customHeight="1" spans="1:2">
      <c r="A11096" s="3" t="str">
        <f>IFERROR(__xludf.DUMMYFUNCTION("GOOGLETRANSLATE(A11096,""en"",""pt"")"),"eu odeio montanha Brokeback ...")</f>
        <v>eu odeio montanha Brokeback ...</v>
      </c>
      <c r="B11096" s="3">
        <v>0</v>
      </c>
    </row>
    <row r="11097" ht="15.75" customHeight="1" spans="1:2">
      <c r="A11097" s="3" t="str">
        <f>IFERROR(__xludf.DUMMYFUNCTION("GOOGLETRANSLATE(A11097,""en"",""pt"")"),"I UNIFORMIZADO * ÓDIO * Brokeback Mountain !!!!!!!!!!!")</f>
        <v>I UNIFORMIZADO * ÓDIO * Brokeback Mountain !!!!!!!!!!!</v>
      </c>
      <c r="B11097" s="3">
        <v>0</v>
      </c>
    </row>
    <row r="11098" ht="15.75" customHeight="1" spans="1:2">
      <c r="A11098" s="3" t="str">
        <f>IFERROR(__xludf.DUMMYFUNCTION("GOOGLETRANSLATE(A11098,""en"",""pt"")"),"É vergonhoso que eu odeio Brokeback Mountain é apenas porque é mais popular do que Capote, mas eu odeio isso ...")</f>
        <v>É vergonhoso que eu odeio Brokeback Mountain é apenas porque é mais popular do que Capote, mas eu odeio isso ...</v>
      </c>
      <c r="B11098" s="3">
        <v>0</v>
      </c>
    </row>
    <row r="11099" ht="15.75" customHeight="1" spans="1:2">
      <c r="A11099" s="3" t="str">
        <f>IFERROR(__xludf.DUMMYFUNCTION("GOOGLETRANSLATE(A11099,""en"",""pt"")"),"Eu odiava &lt;/ b&gt; Segredo de Brokeback Mountain &lt;/ b&gt;!")</f>
        <v>Eu odiava &lt;/ b&gt; Segredo de Brokeback Mountain &lt;/ b&gt;!</v>
      </c>
      <c r="B11099" s="3">
        <v>0</v>
      </c>
    </row>
    <row r="11100" ht="15.75" customHeight="1" spans="1:2">
      <c r="A11100" s="3" t="str">
        <f>IFERROR(__xludf.DUMMYFUNCTION("GOOGLETRANSLATE(A11100,""en"",""pt"")"),"Eu absolutamente odiava Brokeback Mountain ...")</f>
        <v>Eu absolutamente odiava Brokeback Mountain ...</v>
      </c>
      <c r="B11100" s="3">
        <v>0</v>
      </c>
    </row>
    <row r="11101" ht="15.75" customHeight="1" spans="1:2">
      <c r="A11101" s="3" t="str">
        <f>IFERROR(__xludf.DUMMYFUNCTION("GOOGLETRANSLATE(A11101,""en"",""pt"")"),"Pelo próprio mestre, o homem sentado à cabeceira da mesa, é um discurso retórico sobre como Brokeback Mountain fez gayness tão mainstream, que, bem, tipo de porcaria ...")</f>
        <v>Pelo próprio mestre, o homem sentado à cabeceira da mesa, é um discurso retórico sobre como Brokeback Mountain fez gayness tão mainstream, que, bem, tipo de porcaria ...</v>
      </c>
      <c r="B11101" s="3">
        <v>0</v>
      </c>
    </row>
    <row r="11102" ht="15.75" customHeight="1" spans="1:2">
      <c r="A11102" s="3" t="str">
        <f>IFERROR(__xludf.DUMMYFUNCTION("GOOGLETRANSLATE(A11102,""en"",""pt"")"),"Brokeback mountain SUGADO.")</f>
        <v>Brokeback mountain SUGADO.</v>
      </c>
      <c r="B11102" s="3">
        <v>0</v>
      </c>
    </row>
    <row r="11103" ht="15.75" customHeight="1" spans="1:2">
      <c r="A11103" s="3" t="str">
        <f>IFERROR(__xludf.DUMMYFUNCTION("GOOGLETRANSLATE(A11103,""en"",""pt"")"),"Brokeback Mountain STINKS ..")</f>
        <v>Brokeback Mountain STINKS ..</v>
      </c>
      <c r="B11103" s="3">
        <v>0</v>
      </c>
    </row>
    <row r="11104" ht="15.75" customHeight="1" spans="1:2">
      <c r="A11104" s="3" t="str">
        <f>IFERROR(__xludf.DUMMYFUNCTION("GOOGLETRANSLATE(A11104,""en"",""pt"")"),"Eu acho que a Academia era muito frango para dar o melhor filme para O Segredo de Brokeback Mountain, e que é uma porcaria.")</f>
        <v>Eu acho que a Academia era muito frango para dar o melhor filme para O Segredo de Brokeback Mountain, e que é uma porcaria.</v>
      </c>
      <c r="B11104" s="3">
        <v>0</v>
      </c>
    </row>
    <row r="11105" ht="15.75" customHeight="1" spans="1:2">
      <c r="A11105" s="3" t="str">
        <f>IFERROR(__xludf.DUMMYFUNCTION("GOOGLETRANSLATE(A11105,""en"",""pt"")"),"eu odeio montanha Brokeback ...")</f>
        <v>eu odeio montanha Brokeback ...</v>
      </c>
      <c r="B11105" s="3">
        <v>0</v>
      </c>
    </row>
    <row r="11106" ht="15.75" customHeight="1" spans="1:2">
      <c r="A11106" s="3" t="str">
        <f>IFERROR(__xludf.DUMMYFUNCTION("GOOGLETRANSLATE(A11106,""en"",""pt"")"),"I UNIFORMIZADO * ÓDIO * Brokeback Mountain !!!!!!!!!!!")</f>
        <v>I UNIFORMIZADO * ÓDIO * Brokeback Mountain !!!!!!!!!!!</v>
      </c>
      <c r="B11106" s="3">
        <v>0</v>
      </c>
    </row>
    <row r="11107" ht="15.75" customHeight="1" spans="1:2">
      <c r="A11107" s="3" t="str">
        <f>IFERROR(__xludf.DUMMYFUNCTION("GOOGLETRANSLATE(A11107,""en"",""pt"")"),"Eu não odeio tanto quanto eu odiava Brokeback Mountain, mas eu fiz ódio Sam com uma paixão.")</f>
        <v>Eu não odeio tanto quanto eu odiava Brokeback Mountain, mas eu fiz ódio Sam com uma paixão.</v>
      </c>
      <c r="B11107" s="3">
        <v>0</v>
      </c>
    </row>
    <row r="11108" ht="15.75" customHeight="1" spans="1:2">
      <c r="A11108" s="3" t="str">
        <f>IFERROR(__xludf.DUMMYFUNCTION("GOOGLETRANSLATE(A11108,""en"",""pt"")"),"Brokeback Mountain foi estúpido, mais ou menos, mas tinha muito boas cenas de montanha e o pano de fundo para o filme era bom no geral.")</f>
        <v>Brokeback Mountain foi estúpido, mais ou menos, mas tinha muito boas cenas de montanha e o pano de fundo para o filme era bom no geral.</v>
      </c>
      <c r="B11108" s="3">
        <v>0</v>
      </c>
    </row>
    <row r="11109" ht="15.75" customHeight="1" spans="1:2">
      <c r="A11109" s="3" t="str">
        <f>IFERROR(__xludf.DUMMYFUNCTION("GOOGLETRANSLATE(A11109,""en"",""pt"")"),"Eu assisti Brokeback Mountain e tentei o meu melhor para odiar a coisa.")</f>
        <v>Eu assisti Brokeback Mountain e tentei o meu melhor para odiar a coisa.</v>
      </c>
      <c r="B11109" s="3">
        <v>0</v>
      </c>
    </row>
    <row r="11110" ht="15.75" customHeight="1" spans="1:2">
      <c r="A11110" s="3" t="str">
        <f>IFERROR(__xludf.DUMMYFUNCTION("GOOGLETRANSLATE(A11110,""en"",""pt"")"),"Eu absolutamente odiava Brokeback Mountain ...")</f>
        <v>Eu absolutamente odiava Brokeback Mountain ...</v>
      </c>
      <c r="B11110" s="3">
        <v>0</v>
      </c>
    </row>
    <row r="11111" ht="15.75" customHeight="1" spans="1:2">
      <c r="A11111" s="3" t="str">
        <f>IFERROR(__xludf.DUMMYFUNCTION("GOOGLETRANSLATE(A11111,""en"",""pt"")"),"Ah era nada que eu amo ela está Heather grande e eu odeio Will Brokeback Mountain Stites.")</f>
        <v>Ah era nada que eu amo ela está Heather grande e eu odeio Will Brokeback Mountain Stites.</v>
      </c>
      <c r="B11111" s="3">
        <v>0</v>
      </c>
    </row>
    <row r="11112" ht="15.75" customHeight="1" spans="1:2">
      <c r="A11112" s="3" t="str">
        <f>IFERROR(__xludf.DUMMYFUNCTION("GOOGLETRANSLATE(A11112,""en"",""pt"")"),"Por que eu odeio Brokeback Mountain tanto? ..")</f>
        <v>Por que eu odeio Brokeback Mountain tanto? ..</v>
      </c>
      <c r="B11112" s="3">
        <v>0</v>
      </c>
    </row>
    <row r="11113" ht="15.75" customHeight="1" spans="1:2">
      <c r="A11113" s="3" t="str">
        <f>IFERROR(__xludf.DUMMYFUNCTION("GOOGLETRANSLATE(A11113,""en"",""pt"")"),"ok, então todos os outros eu fui com parecia odiar montanha Brokeback, ou pelo menos Josie e Zach fez e eles foram os criticizers mais altos.")</f>
        <v>ok, então todos os outros eu fui com parecia odiar montanha Brokeback, ou pelo menos Josie e Zach fez e eles foram os criticizers mais altos.</v>
      </c>
      <c r="B11113" s="3">
        <v>0</v>
      </c>
    </row>
    <row r="11114" ht="15.75" customHeight="1" spans="1:2">
      <c r="A11114" s="3" t="str">
        <f>IFERROR(__xludf.DUMMYFUNCTION("GOOGLETRANSLATE(A11114,""en"",""pt"")"),"Didnâ ¢ Â € Â ™ t vê-lo, mas muito parecido com O Segredo de Brokeback Mountain, dona ¢ Â € Â ™ t necessidade de vê-lo para saber que suga ass.")</f>
        <v>Didnâ ¢ Â € Â ™ t vê-lo, mas muito parecido com O Segredo de Brokeback Mountain, dona ¢ Â € Â ™ t necessidade de vê-lo para saber que suga ass.</v>
      </c>
      <c r="B11114" s="3">
        <v>0</v>
      </c>
    </row>
    <row r="11115" ht="15.75" customHeight="1" spans="1:2">
      <c r="A11115" s="3" t="str">
        <f>IFERROR(__xludf.DUMMYFUNCTION("GOOGLETRANSLATE(A11115,""en"",""pt"")"),"PS-Brokeback Mountain porra sugado.")</f>
        <v>PS-Brokeback Mountain porra sugado.</v>
      </c>
      <c r="B11115" s="3">
        <v>0</v>
      </c>
    </row>
    <row r="11116" ht="15.75" customHeight="1" spans="1:2">
      <c r="A11116" s="3" t="str">
        <f>IFERROR(__xludf.DUMMYFUNCTION("GOOGLETRANSLATE(A11116,""en"",""pt"")"),"Eu odeio Nanny McPhee e Brokeback Mountain.")</f>
        <v>Eu odeio Nanny McPhee e Brokeback Mountain.</v>
      </c>
      <c r="B11116" s="3">
        <v>0</v>
      </c>
    </row>
    <row r="11117" ht="15.75" customHeight="1" spans="1:2">
      <c r="A11117" s="3" t="str">
        <f>IFERROR(__xludf.DUMMYFUNCTION("GOOGLETRANSLATE(A11117,""en"",""pt"")"),"Talvez eu devesse rever a minha opinião para ""Eu odeio piadas Brokeback Mountain, a menos que eles são cuidadosamente preparados e envolvem um dos meus amores da cultura pop.")</f>
        <v>Talvez eu devesse rever a minha opinião para "Eu odeio piadas Brokeback Mountain, a menos que eles são cuidadosamente preparados e envolvem um dos meus amores da cultura pop.</v>
      </c>
      <c r="B11117" s="3">
        <v>0</v>
      </c>
    </row>
    <row r="11118" ht="15.75" customHeight="1" spans="1:2">
      <c r="A11118" s="3" t="str">
        <f>IFERROR(__xludf.DUMMYFUNCTION("GOOGLETRANSLATE(A11118,""en"",""pt"")"),"Eu odeio essa merda Brokeback Mountain.")</f>
        <v>Eu odeio essa merda Brokeback Mountain.</v>
      </c>
      <c r="B11118" s="3">
        <v>0</v>
      </c>
    </row>
    <row r="11119" ht="15.75" customHeight="1" spans="1:2">
      <c r="A11119" s="3" t="str">
        <f>IFERROR(__xludf.DUMMYFUNCTION("GOOGLETRANSLATE(A11119,""en"",""pt"")"),"Brokeback Mountain foi o filme mais terrível que eu já vi.")</f>
        <v>Brokeback Mountain foi o filme mais terrível que eu já vi.</v>
      </c>
      <c r="B11119" s="3">
        <v>0</v>
      </c>
    </row>
    <row r="11120" ht="15.75" customHeight="1" spans="1:2">
      <c r="A11120" s="3" t="str">
        <f>IFERROR(__xludf.DUMMYFUNCTION("GOOGLETRANSLATE(A11120,""en"",""pt"")"),"eles estavam dizendo quão terrível Brokeback Mountain foi.")</f>
        <v>eles estavam dizendo quão terrível Brokeback Mountain foi.</v>
      </c>
      <c r="B11120" s="3">
        <v>0</v>
      </c>
    </row>
    <row r="11121" ht="15.75" customHeight="1" spans="1:2">
      <c r="A11121" s="3" t="str">
        <f>IFERROR(__xludf.DUMMYFUNCTION("GOOGLETRANSLATE(A11121,""en"",""pt"")"),"Eu odeio essa merda Brokeback Mountain.")</f>
        <v>Eu odeio essa merda Brokeback Mountain.</v>
      </c>
      <c r="B11121" s="3">
        <v>0</v>
      </c>
    </row>
    <row r="11122" ht="15.75" customHeight="1" spans="1:2">
      <c r="A11122" s="3" t="str">
        <f>IFERROR(__xludf.DUMMYFUNCTION("GOOGLETRANSLATE(A11122,""en"",""pt"")"),"As queixas que eu vi sobre o ""Vito-estar-gay"" reviravolta na história, com comparsions fáceis para Brokeback Mountain são tão estúpidos.")</f>
        <v>As queixas que eu vi sobre o "Vito-estar-gay" reviravolta na história, com comparsions fáceis para Brokeback Mountain são tão estúpidos.</v>
      </c>
      <c r="B11122" s="3">
        <v>0</v>
      </c>
    </row>
    <row r="11123" ht="15.75" customHeight="1" spans="1:2">
      <c r="A11123" s="3" t="str">
        <f>IFERROR(__xludf.DUMMYFUNCTION("GOOGLETRANSLATE(A11123,""en"",""pt"")"),"Segredo de Brokeback Mountain, um filme sobre dois caubóis gays superar a adversidade é o filme ESTÚPIDO e mais ofensivo hollywood foi inventado ainda.")</f>
        <v>Segredo de Brokeback Mountain, um filme sobre dois caubóis gays superar a adversidade é o filme ESTÚPIDO e mais ofensivo hollywood foi inventado ainda.</v>
      </c>
      <c r="B11123" s="3">
        <v>0</v>
      </c>
    </row>
    <row r="11124" ht="15.75" customHeight="1" spans="1:2">
      <c r="A11124" s="3" t="str">
        <f>IFERROR(__xludf.DUMMYFUNCTION("GOOGLETRANSLATE(A11124,""en"",""pt"")"),"depois jantar com min e Rosie e montanha Brokeback, que era um filme horrível.")</f>
        <v>depois jantar com min e Rosie e montanha Brokeback, que era um filme horrível.</v>
      </c>
      <c r="B11124" s="3">
        <v>0</v>
      </c>
    </row>
    <row r="11125" ht="15.75" customHeight="1" spans="1:2">
      <c r="A11125" s="3" t="str">
        <f>IFERROR(__xludf.DUMMYFUNCTION("GOOGLETRANSLATE(A11125,""en"",""pt"")"),"Brokeback Mountain foi um filme tão estúpido ...")</f>
        <v>Brokeback Mountain foi um filme tão estúpido ...</v>
      </c>
      <c r="B11125" s="3">
        <v>0</v>
      </c>
    </row>
    <row r="11126" ht="15.75" customHeight="1" spans="1:2">
      <c r="A11126" s="3" t="str">
        <f>IFERROR(__xludf.DUMMYFUNCTION("GOOGLETRANSLATE(A11126,""en"",""pt"")"),"E para que conste, eu pensei Brokeback Mountain era um filme estúpido, o que realmente se encaixam nos ""filmes Independant sempre cowboys gays comer pudim"" categoria (")</f>
        <v>E para que conste, eu pensei Brokeback Mountain era um filme estúpido, o que realmente se encaixam nos "filmes Independant sempre cowboys gays comer pudim" categoria (</v>
      </c>
      <c r="B11126" s="3">
        <v>0</v>
      </c>
    </row>
    <row r="11127" ht="15.75" customHeight="1" spans="1:2">
      <c r="A11127" s="3" t="str">
        <f>IFERROR(__xludf.DUMMYFUNCTION("GOOGLETRANSLATE(A11127,""en"",""pt"")")," Ou que torcer Goth terrível em Brokeback Mountain ""a"" Shattered-Spine Emo-Monte de bosta de vaca.")</f>
        <v> Ou que torcer Goth terrível em Brokeback Mountain "a" Shattered-Spine Emo-Monte de bosta de vaca.</v>
      </c>
      <c r="B11127" s="3">
        <v>0</v>
      </c>
    </row>
    <row r="11128" ht="15.75" customHeight="1" spans="1:2">
      <c r="A11128" s="3" t="str">
        <f>IFERROR(__xludf.DUMMYFUNCTION("GOOGLETRANSLATE(A11128,""en"",""pt"")"),"montanha Brokeback estúpido.")</f>
        <v>montanha Brokeback estúpido.</v>
      </c>
      <c r="B11128" s="3">
        <v>0</v>
      </c>
    </row>
    <row r="11129" ht="15.75" customHeight="1" spans="1:2">
      <c r="A11129" s="3" t="str">
        <f>IFERROR(__xludf.DUMMYFUNCTION("GOOGLETRANSLATE(A11129,""en"",""pt"")"),"montanha Brokeback estúpido. (")</f>
        <v>montanha Brokeback estúpido. (</v>
      </c>
      <c r="B11129" s="3">
        <v>0</v>
      </c>
    </row>
    <row r="11130" ht="15.75" customHeight="1" spans="1:2">
      <c r="A11130" s="3" t="str">
        <f>IFERROR(__xludf.DUMMYFUNCTION("GOOGLETRANSLATE(A11130,""en"",""pt"")"),"Eu gostaria de matar os escritores de Brokeback Mountain por arruinar a minha imagem de cowboys! ..")</f>
        <v>Eu gostaria de matar os escritores de Brokeback Mountain por arruinar a minha imagem de cowboys! ..</v>
      </c>
      <c r="B11130" s="3">
        <v>0</v>
      </c>
    </row>
    <row r="11131" ht="15.75" customHeight="1" spans="1:2">
      <c r="A11131" s="3" t="str">
        <f>IFERROR(__xludf.DUMMYFUNCTION("GOOGLETRANSLATE(A11131,""en"",""pt"")"),"Pensei Brokeback Mountain era um filme horrível.")</f>
        <v>Pensei Brokeback Mountain era um filme horrível.</v>
      </c>
      <c r="B11131" s="3">
        <v>0</v>
      </c>
    </row>
    <row r="11132" ht="15.75" customHeight="1" spans="1:2">
      <c r="A11132" s="3" t="str">
        <f>IFERROR(__xludf.DUMMYFUNCTION("GOOGLETRANSLATE(A11132,""en"",""pt"")"),"estúpida montanha Brokeback Você arruinou-lo para mim!")</f>
        <v>estúpida montanha Brokeback Você arruinou-lo para mim!</v>
      </c>
      <c r="B11132" s="3">
        <v>0</v>
      </c>
    </row>
    <row r="11133" ht="15.75" customHeight="1" spans="1:2">
      <c r="A11133" s="3" t="str">
        <f>IFERROR(__xludf.DUMMYFUNCTION("GOOGLETRANSLATE(A11133,""en"",""pt"")"),"Brokeback Mountain era tão estúpido.")</f>
        <v>Brokeback Mountain era tão estúpido.</v>
      </c>
      <c r="B11133" s="3">
        <v>0</v>
      </c>
    </row>
    <row r="11134" ht="15.75" customHeight="1" spans="1:2">
      <c r="A11134" s="3" t="str">
        <f>IFERROR(__xludf.DUMMYFUNCTION("GOOGLETRANSLATE(A11134,""en"",""pt"")"),"Todo mundo sabe Brokeback Mountain vai ganhar tudo por causa dos cowboys gays estúpidas.")</f>
        <v>Todo mundo sabe Brokeback Mountain vai ganhar tudo por causa dos cowboys gays estúpidas.</v>
      </c>
      <c r="B11134" s="3">
        <v>0</v>
      </c>
    </row>
    <row r="11135" ht="15.75" customHeight="1" spans="1:2">
      <c r="A11135" s="3" t="str">
        <f>IFERROR(__xludf.DUMMYFUNCTION("GOOGLETRANSLATE(A11135,""en"",""pt"")"),"Brokeback Mountain foi estúpido ...")</f>
        <v>Brokeback Mountain foi estúpido ...</v>
      </c>
      <c r="B11135" s="3">
        <v>0</v>
      </c>
    </row>
    <row r="11136" ht="15.75" customHeight="1" spans="1:2">
      <c r="A11136" s="3" t="str">
        <f>IFERROR(__xludf.DUMMYFUNCTION("GOOGLETRANSLATE(A11136,""en"",""pt"")"),"Tome isso, montanha de brokeback estúpido ... (")</f>
        <v>Tome isso, montanha de brokeback estúpido ... (</v>
      </c>
      <c r="B11136" s="3">
        <v>0</v>
      </c>
    </row>
    <row r="11137" ht="15.75" customHeight="1" spans="1:2">
      <c r="A11137" s="3" t="str">
        <f>IFERROR(__xludf.DUMMYFUNCTION("GOOGLETRANSLATE(A11137,""en"",""pt"")")," Um casal de pessoas muito liberais que eu conheço pensou Brokeback Mountain foi a exploração estúpido.")</f>
        <v> Um casal de pessoas muito liberais que eu conheço pensou Brokeback Mountain foi a exploração estúpido.</v>
      </c>
      <c r="B11137" s="3">
        <v>0</v>
      </c>
    </row>
    <row r="11138" ht="15.75" customHeight="1" spans="1:2">
      <c r="A11138" s="3" t="str">
        <f>IFERROR(__xludf.DUMMYFUNCTION("GOOGLETRANSLATE(A11138,""en"",""pt"")"),"e estúpido Brokeback Mountain não estava mostrando uma noite / tempo nós tentamos ir vê-lo, eles tinham que alugou o teatro para outra coisa.")</f>
        <v>e estúpido Brokeback Mountain não estava mostrando uma noite / tempo nós tentamos ir vê-lo, eles tinham que alugou o teatro para outra coisa.</v>
      </c>
      <c r="B11138" s="3">
        <v>0</v>
      </c>
    </row>
    <row r="11139" ht="15.75" customHeight="1" spans="1:2">
      <c r="A11139" s="3" t="str">
        <f>IFERROR(__xludf.DUMMYFUNCTION("GOOGLETRANSLATE(A11139,""en"",""pt"")"),"Brokeback Mountain BOYY hahahahahaha EU SUGO WEINERS !!")</f>
        <v>Brokeback Mountain BOYY hahahahahaha EU SUGO WEINERS !!</v>
      </c>
      <c r="B11139" s="3">
        <v>0</v>
      </c>
    </row>
    <row r="11140" ht="15.75" customHeight="1" spans="1:2">
      <c r="A11140" s="3" t="str">
        <f>IFERROR(__xludf.DUMMYFUNCTION("GOOGLETRANSLATE(A11140,""en"",""pt"")"),"Murderball-Imediatamente após Bater ganhou o Oscar, houve um monte de besteira sobre como Brokeback Mountain foi roubado em favor de um filme estúpido que nos disse que ""o racismo é ruim.")</f>
        <v>Murderball-Imediatamente após Bater ganhou o Oscar, houve um monte de besteira sobre como Brokeback Mountain foi roubado em favor de um filme estúpido que nos disse que "o racismo é ruim.</v>
      </c>
      <c r="B11140" s="3">
        <v>0</v>
      </c>
    </row>
    <row r="11141" ht="15.75" customHeight="1" spans="1:2">
      <c r="A11141" s="3" t="str">
        <f>IFERROR(__xludf.DUMMYFUNCTION("GOOGLETRANSLATE(A11141,""en"",""pt"")"),"Em seu discurso, com a condenação generalizada de toda a indústria de Hollywood, as pessoas que realmente votaram em ""Brokeback Mountain"" são direcionados como parte da mesma turba estúpida ...")</f>
        <v>Em seu discurso, com a condenação generalizada de toda a indústria de Hollywood, as pessoas que realmente votaram em "Brokeback Mountain" são direcionados como parte da mesma turba estúpida ...</v>
      </c>
      <c r="B11141" s="3">
        <v>0</v>
      </c>
    </row>
    <row r="11142" ht="15.75" customHeight="1" spans="1:2">
      <c r="A11142" s="3" t="str">
        <f>IFERROR(__xludf.DUMMYFUNCTION("GOOGLETRANSLATE(A11142,""en"",""pt"")"),"Pensei Brokeback Mountain era um filme horrível.")</f>
        <v>Pensei Brokeback Mountain era um filme horrível.</v>
      </c>
      <c r="B11142" s="3">
        <v>0</v>
      </c>
    </row>
    <row r="11143" ht="15.75" customHeight="1" spans="1:2">
      <c r="A11143" s="3" t="str">
        <f>IFERROR(__xludf.DUMMYFUNCTION("GOOGLETRANSLATE(A11143,""en"",""pt"")"),"Eu odiava o fim para Segredo de Brokeback Mountain ...")</f>
        <v>Eu odiava o fim para Segredo de Brokeback Mountain ...</v>
      </c>
      <c r="B11143" s="3">
        <v>0</v>
      </c>
    </row>
    <row r="11144" ht="15.75" customHeight="1" spans="1:2">
      <c r="A11144" s="3" t="str">
        <f>IFERROR(__xludf.DUMMYFUNCTION("GOOGLETRANSLATE(A11144,""en"",""pt"")"),"Mas eu pensei que Brokeback Mountain ia ser um filme estúpido ..")</f>
        <v>Mas eu pensei que Brokeback Mountain ia ser um filme estúpido ..</v>
      </c>
      <c r="B11144" s="3">
        <v>0</v>
      </c>
    </row>
    <row r="11145" ht="15.75" customHeight="1" spans="1:2">
      <c r="A11145" s="3" t="str">
        <f>IFERROR(__xludf.DUMMYFUNCTION("GOOGLETRANSLATE(A11145,""en"",""pt"")"),"Você sabe Brokeback Mountain era um filme estúpido, porque se fosse sobre um cara e uma menina, ninguém dá a mínima para isso ..")</f>
        <v>Você sabe Brokeback Mountain era um filme estúpido, porque se fosse sobre um cara e uma menina, ninguém dá a mínima para isso ..</v>
      </c>
      <c r="B11145" s="3">
        <v>0</v>
      </c>
    </row>
    <row r="11146" ht="15.75" customHeight="1" spans="1:2">
      <c r="A11146" s="3" t="str">
        <f>IFERROR(__xludf.DUMMYFUNCTION("GOOGLETRANSLATE(A11146,""en"",""pt"")"),"Murderball-Imediatamente após Bater ganhou o Oscar, houve um monte de besteira sobre como Brokeback Mountain foi roubado em favor de um filme estúpido que nos disse que ""o racismo é ruim.")</f>
        <v>Murderball-Imediatamente após Bater ganhou o Oscar, houve um monte de besteira sobre como Brokeback Mountain foi roubado em favor de um filme estúpido que nos disse que "o racismo é ruim.</v>
      </c>
      <c r="B11146" s="3">
        <v>0</v>
      </c>
    </row>
    <row r="11147" ht="15.75" customHeight="1" spans="1:2">
      <c r="A11147" s="3" t="str">
        <f>IFERROR(__xludf.DUMMYFUNCTION("GOOGLETRANSLATE(A11147,""en"",""pt"")"),"Pensei Brokeback Mountain era um filme horrível.")</f>
        <v>Pensei Brokeback Mountain era um filme horrível.</v>
      </c>
      <c r="B11147" s="3">
        <v>0</v>
      </c>
    </row>
    <row r="11148" ht="15.75" customHeight="1" spans="1:2">
      <c r="A11148" s="3" t="str">
        <f>IFERROR(__xludf.DUMMYFUNCTION("GOOGLETRANSLATE(A11148,""en"",""pt"")"),"Eu estou contente que estúpido Brokeback Mountain não ganhar ..")</f>
        <v>Eu estou contente que estúpido Brokeback Mountain não ganhar ..</v>
      </c>
      <c r="B11148" s="3">
        <v>0</v>
      </c>
    </row>
    <row r="11149" ht="15.75" customHeight="1" spans="1:2">
      <c r="A11149" s="3" t="str">
        <f>IFERROR(__xludf.DUMMYFUNCTION("GOOGLETRANSLATE(A11149,""en"",""pt"")"),"Watched'10 coisas que eu odeio em you'and 03/02 montanha of'brokeback'.")</f>
        <v>Watched'10 coisas que eu odeio em you'and 03/02 montanha of'brokeback'.</v>
      </c>
      <c r="B11149" s="3">
        <v>0</v>
      </c>
    </row>
    <row r="11150" ht="15.75" customHeight="1" spans="1:2">
      <c r="A11150" s="3" t="str">
        <f>IFERROR(__xludf.DUMMYFUNCTION("GOOGLETRANSLATE(A11150,""en"",""pt"")"),"Eu odeio o remix da canção tema Brokeback Mountain.")</f>
        <v>Eu odeio o remix da canção tema Brokeback Mountain.</v>
      </c>
      <c r="B11150" s="3">
        <v>0</v>
      </c>
    </row>
    <row r="11151" ht="15.75" customHeight="1" spans="1:2">
      <c r="A11151" s="3" t="str">
        <f>IFERROR(__xludf.DUMMYFUNCTION("GOOGLETRANSLATE(A11151,""en"",""pt"")"),"Mais uma vez, eu odeio esses críticos homofóbicos que não gostam de Brokeback Mountain.")</f>
        <v>Mais uma vez, eu odeio esses críticos homofóbicos que não gostam de Brokeback Mountain.</v>
      </c>
      <c r="B11151" s="3">
        <v>0</v>
      </c>
    </row>
    <row r="11152" ht="15.75" customHeight="1" spans="1:2">
      <c r="A11152" s="3" t="str">
        <f>IFERROR(__xludf.DUMMYFUNCTION("GOOGLETRANSLATE(A11152,""en"",""pt"")"),"E Brokeback Mountain ERA tão triste e tão chato e JACK não quero esconder, mas uma vez ele tentou viver uma VIDA REAL morreu.")</f>
        <v>E Brokeback Mountain ERA tão triste e tão chato e JACK não quero esconder, mas uma vez ele tentou viver uma VIDA REAL morreu.</v>
      </c>
      <c r="B11152" s="3">
        <v>0</v>
      </c>
    </row>
    <row r="11153" ht="15.75" customHeight="1" spans="1:2">
      <c r="A11153" s="3" t="str">
        <f>IFERROR(__xludf.DUMMYFUNCTION("GOOGLETRANSLATE(A11153,""en"",""pt"")"),"não pegar o jogo França e Portugal, no final, observou os dvds Brokeback Mountain estúpidas em vez ..")</f>
        <v>não pegar o jogo França e Portugal, no final, observou os dvds Brokeback Mountain estúpidas em vez ..</v>
      </c>
      <c r="B11153" s="3">
        <v>0</v>
      </c>
    </row>
    <row r="11154" ht="15.75" customHeight="1" spans="1:2">
      <c r="A11154" s="3" t="str">
        <f>IFERROR(__xludf.DUMMYFUNCTION("GOOGLETRANSLATE(A11154,""en"",""pt"")"),"além disso estúpido porcaria Brokeback Mountain) ..")</f>
        <v>além disso estúpido porcaria Brokeback Mountain) ..</v>
      </c>
      <c r="B11154" s="3">
        <v>0</v>
      </c>
    </row>
    <row r="11155" ht="15.75" customHeight="1" spans="1:2">
      <c r="A11155" s="3" t="str">
        <f>IFERROR(__xludf.DUMMYFUNCTION("GOOGLETRANSLATE(A11155,""en"",""pt"")"),"Eu lhe daria mais Kudos sobre este blog, mas você tinha que ir e falar sobre montanha Brokeback TERRÍVEL ...")</f>
        <v>Eu lhe daria mais Kudos sobre este blog, mas você tinha que ir e falar sobre montanha Brokeback TERRÍVEL ...</v>
      </c>
      <c r="B11155" s="3">
        <v>0</v>
      </c>
    </row>
    <row r="11156" ht="15.75" customHeight="1" spans="1:2">
      <c r="A11156" s="3" t="str">
        <f>IFERROR(__xludf.DUMMYFUNCTION("GOOGLETRANSLATE(A11156,""en"",""pt"")"),"Acho que o filme ""Brokeback Mountain"" foi estúpido e overexagerated ...")</f>
        <v>Acho que o filme "Brokeback Mountain" foi estúpido e overexagerated ...</v>
      </c>
      <c r="B11156" s="3">
        <v>0</v>
      </c>
    </row>
    <row r="11157" ht="15.75" customHeight="1" spans="1:2">
      <c r="A11157" s="3" t="str">
        <f>IFERROR(__xludf.DUMMYFUNCTION("GOOGLETRANSLATE(A11157,""en"",""pt"")"),"Brokeback Mountain e Requiem for a Dream tanto chupar igualmente ...")</f>
        <v>Brokeback Mountain e Requiem for a Dream tanto chupar igualmente ...</v>
      </c>
      <c r="B11157" s="3">
        <v>0</v>
      </c>
    </row>
    <row r="11158" ht="15.75" customHeight="1" spans="1:2">
      <c r="A11158" s="3" t="str">
        <f>IFERROR(__xludf.DUMMYFUNCTION("GOOGLETRANSLATE(A11158,""en"",""pt"")"),"montanha Brokeback é muito deprimente.")</f>
        <v>montanha Brokeback é muito deprimente.</v>
      </c>
      <c r="B11158" s="3">
        <v>0</v>
      </c>
    </row>
    <row r="11159" ht="15.75" customHeight="1" spans="1:2">
      <c r="A11159" s="3" t="str">
        <f>IFERROR(__xludf.DUMMYFUNCTION("GOOGLETRANSLATE(A11159,""en"",""pt"")"),"Vê-lo: 10 coisas que eu odeio em você, O Patirot, Coração de Cavaleiro, as penas Quatro, Casanova, Reis de Dogtown, Bola de Monstros, ou Brokeback Mountain ...")</f>
        <v>Vê-lo: 10 coisas que eu odeio em você, O Patirot, Coração de Cavaleiro, as penas Quatro, Casanova, Reis de Dogtown, Bola de Monstros, ou Brokeback Mountain ...</v>
      </c>
      <c r="B11159" s="3">
        <v>0</v>
      </c>
    </row>
    <row r="11160" ht="15.75" customHeight="1" spans="1:2">
      <c r="A11160" s="3" t="str">
        <f>IFERROR(__xludf.DUMMYFUNCTION("GOOGLETRANSLATE(A11160,""en"",""pt"")"),"Eu só tenho que dizer que Brokeback Mountain, enquanto visualmente incrível e extremamente bem dirigido, foi um filme de baixa qualidade.")</f>
        <v>Eu só tenho que dizer que Brokeback Mountain, enquanto visualmente incrível e extremamente bem dirigido, foi um filme de baixa qualidade.</v>
      </c>
      <c r="B11160" s="3">
        <v>0</v>
      </c>
    </row>
    <row r="11161" ht="15.75" customHeight="1" spans="1:2">
      <c r="A11161" s="3" t="str">
        <f>IFERROR(__xludf.DUMMYFUNCTION("GOOGLETRANSLATE(A11161,""en"",""pt"")"),"Eu fiz lapso de uma vez, criou uma nova conta, e deixou dois comentários estúpidos / curtos na placa Brokeback Mountain.")</f>
        <v>Eu fiz lapso de uma vez, criou uma nova conta, e deixou dois comentários estúpidos / curtos na placa Brokeback Mountain.</v>
      </c>
      <c r="B11161" s="3">
        <v>0</v>
      </c>
    </row>
    <row r="11162" ht="15.75" customHeight="1" spans="1:2">
      <c r="A11162" s="3" t="str">
        <f>IFERROR(__xludf.DUMMYFUNCTION("GOOGLETRANSLATE(A11162,""en"",""pt"")"),"becuase que o filme Brokeback Mountain estúpido.")</f>
        <v>becuase que o filme Brokeback Mountain estúpido.</v>
      </c>
      <c r="B11162" s="3">
        <v>0</v>
      </c>
    </row>
    <row r="11163" ht="15.75" customHeight="1" spans="1:2">
      <c r="A11163" s="3" t="str">
        <f>IFERROR(__xludf.DUMMYFUNCTION("GOOGLETRANSLATE(A11163,""en"",""pt"")"),"Brokeback Mountain foi deprimente.")</f>
        <v>Brokeback Mountain foi deprimente.</v>
      </c>
      <c r="B11163" s="3">
        <v>0</v>
      </c>
    </row>
    <row r="11164" ht="15.75" customHeight="1" spans="1:2">
      <c r="A11164" s="3" t="str">
        <f>IFERROR(__xludf.DUMMYFUNCTION("GOOGLETRANSLATE(A11164,""en"",""pt"")"),"Agora eu não sei se eu considerar Brokeback Mountain ser o filme shittiest ive assistiu recentemente.")</f>
        <v>Agora eu não sei se eu considerar Brokeback Mountain ser o filme shittiest ive assistiu recentemente.</v>
      </c>
      <c r="B11164" s="3">
        <v>0</v>
      </c>
    </row>
    <row r="11165" ht="15.75" customHeight="1" spans="1:2">
      <c r="A11165" s="3" t="str">
        <f>IFERROR(__xludf.DUMMYFUNCTION("GOOGLETRANSLATE(A11165,""en"",""pt"")"),"Eu também não gostava de Brokeback Mountain.")</f>
        <v>Eu também não gostava de Brokeback Mountain.</v>
      </c>
      <c r="B11165" s="3">
        <v>0</v>
      </c>
    </row>
    <row r="11166" ht="15.75" customHeight="1" spans="1:2">
      <c r="A11166" s="3" t="str">
        <f>IFERROR(__xludf.DUMMYFUNCTION("GOOGLETRANSLATE(A11166,""en"",""pt"")"),"que é provavelmente por isso que eu não gostava de Brokeback Mountain ...")</f>
        <v>que é provavelmente por isso que eu não gostava de Brokeback Mountain ...</v>
      </c>
      <c r="B11166" s="3">
        <v>0</v>
      </c>
    </row>
    <row r="11167" ht="15.75" customHeight="1" spans="1:2">
      <c r="A11167" s="3" t="str">
        <f>IFERROR(__xludf.DUMMYFUNCTION("GOOGLETRANSLATE(A11167,""en"",""pt"")"),"referência brokeback mountain estúpida que eu fiz.")</f>
        <v>referência brokeback mountain estúpida que eu fiz.</v>
      </c>
      <c r="B11167" s="3">
        <v>0</v>
      </c>
    </row>
    <row r="11168" ht="15.75" customHeight="1" spans="1:2">
      <c r="A11168" s="3" t="str">
        <f>IFERROR(__xludf.DUMMYFUNCTION("GOOGLETRANSLATE(A11168,""en"",""pt"")"),"Pensei Brokeback Mountain era um filme terrível.")</f>
        <v>Pensei Brokeback Mountain era um filme terrível.</v>
      </c>
      <c r="B11168" s="3">
        <v>0</v>
      </c>
    </row>
    <row r="11169" ht="15.75" customHeight="1" spans="1:2">
      <c r="A11169" s="3" t="str">
        <f>IFERROR(__xludf.DUMMYFUNCTION("GOOGLETRANSLATE(A11169,""en"",""pt"")"),"E eu ainda acho que ""O Segredo de Brokeback Mountain"" era um filme horrível.")</f>
        <v>E eu ainda acho que "O Segredo de Brokeback Mountain" era um filme horrível.</v>
      </c>
      <c r="B11169" s="3">
        <v>0</v>
      </c>
    </row>
    <row r="11170" ht="15.75" customHeight="1" spans="1:2">
      <c r="A11170" s="3" t="str">
        <f>IFERROR(__xludf.DUMMYFUNCTION("GOOGLETRANSLATE(A11170,""en"",""pt"")"),"Apenas para o registro, Brokeback Mountain era um filme terrível.")</f>
        <v>Apenas para o registro, Brokeback Mountain era um filme terrível.</v>
      </c>
      <c r="B11170" s="3">
        <v>0</v>
      </c>
    </row>
    <row r="11171" ht="15.75" customHeight="1" spans="1:2">
      <c r="A11171" s="3" t="str">
        <f>IFERROR(__xludf.DUMMYFUNCTION("GOOGLETRANSLATE(A11171,""en"",""pt"")"),"Nós assistimos Brokeback Mountain, que foi bastante horrível.")</f>
        <v>Nós assistimos Brokeback Mountain, que foi bastante horrível.</v>
      </c>
      <c r="B11171" s="3">
        <v>0</v>
      </c>
    </row>
    <row r="11172" ht="15.75" customHeight="1" spans="1:2">
      <c r="A11172" s="3" t="str">
        <f>IFERROR(__xludf.DUMMYFUNCTION("GOOGLETRANSLATE(A11172,""en"",""pt"")"),"Brokeback Mountain é tão deprimente. (")</f>
        <v>Brokeback Mountain é tão deprimente. (</v>
      </c>
      <c r="B11172" s="3">
        <v>0</v>
      </c>
    </row>
    <row r="11173" ht="15.75" customHeight="1" spans="1:2">
      <c r="A11173" s="3" t="str">
        <f>IFERROR(__xludf.DUMMYFUNCTION("GOOGLETRANSLATE(A11173,""en"",""pt"")"),"Pensei Brokeback Mountain foi incrivelmente deprimente ...")</f>
        <v>Pensei Brokeback Mountain foi incrivelmente deprimente ...</v>
      </c>
      <c r="B11173" s="3">
        <v>0</v>
      </c>
    </row>
    <row r="11174" ht="15.75" customHeight="1" spans="1:2">
      <c r="A11174" s="3" t="str">
        <f>IFERROR(__xludf.DUMMYFUNCTION("GOOGLETRANSLATE(A11174,""en"",""pt"")"),"Que responde por isso que eu não gosto de montanha Brokeback ...")</f>
        <v>Que responde por isso que eu não gosto de montanha Brokeback ...</v>
      </c>
      <c r="B11174" s="3">
        <v>0</v>
      </c>
    </row>
    <row r="11175" ht="15.75" customHeight="1" spans="1:2">
      <c r="A11175" s="3" t="str">
        <f>IFERROR(__xludf.DUMMYFUNCTION("GOOGLETRANSLATE(A11175,""en"",""pt"")"),"Eu não me importo o que alguém diz, Brokeback Mountain era um filme de merda ...")</f>
        <v>Eu não me importo o que alguém diz, Brokeback Mountain era um filme de merda ...</v>
      </c>
      <c r="B11175" s="3">
        <v>0</v>
      </c>
    </row>
    <row r="11176" ht="15.75" customHeight="1" spans="1:2">
      <c r="A11176" s="3" t="str">
        <f>IFERROR(__xludf.DUMMYFUNCTION("GOOGLETRANSLATE(A11176,""en"",""pt"")"),"Porque, esse garoto escreveu uma carta para o editor escola sobre como Brokeback Mountain é um filme horrível (")</f>
        <v>Porque, esse garoto escreveu uma carta para o editor escola sobre como Brokeback Mountain é um filme horrível (</v>
      </c>
      <c r="B11176" s="3">
        <v>0</v>
      </c>
    </row>
    <row r="11177" ht="15.75" customHeight="1" spans="1:2">
      <c r="A11177" s="3" t="str">
        <f>IFERROR(__xludf.DUMMYFUNCTION("GOOGLETRANSLATE(A11177,""en"",""pt"")"),"Brokeback Mountain era tão deprimente como a primeira vez, mas estou feliz que eu fui para vê-lo novamente.")</f>
        <v>Brokeback Mountain era tão deprimente como a primeira vez, mas estou feliz que eu fui para vê-lo novamente.</v>
      </c>
      <c r="B11177" s="3">
        <v>0</v>
      </c>
    </row>
    <row r="11178" ht="15.75" customHeight="1" spans="1:2">
      <c r="A11178" s="3" t="str">
        <f>IFERROR(__xludf.DUMMYFUNCTION("GOOGLETRANSLATE(A11178,""en"",""pt"")"),"Brokeback Mountain é oficialmente o filme mais deprimente que tenho visto nos últimos 6 meses ...")</f>
        <v>Brokeback Mountain é oficialmente o filme mais deprimente que tenho visto nos últimos 6 meses ...</v>
      </c>
      <c r="B11178" s="3">
        <v>0</v>
      </c>
    </row>
    <row r="11179" ht="15.75" customHeight="1" spans="1:2">
      <c r="A11179" s="3" t="str">
        <f>IFERROR(__xludf.DUMMYFUNCTION("GOOGLETRANSLATE(A11179,""en"",""pt"")"),"montanha Brokeback é tão deprimente.")</f>
        <v>montanha Brokeback é tão deprimente.</v>
      </c>
      <c r="B11179" s="3">
        <v>0</v>
      </c>
    </row>
    <row r="11180" ht="15.75" customHeight="1" spans="1:2">
      <c r="A11180" s="3" t="str">
        <f>IFERROR(__xludf.DUMMYFUNCTION("GOOGLETRANSLATE(A11180,""en"",""pt"")"),"Então, alguns dias atrás, havia estes povos Asian Christian no noticiário falando sobre como Brokeback Mountain é mau e ruim para famílias e deve ser boicotado ...")</f>
        <v>Então, alguns dias atrás, havia estes povos Asian Christian no noticiário falando sobre como Brokeback Mountain é mau e ruim para famílias e deve ser boicotado ...</v>
      </c>
      <c r="B11180" s="3">
        <v>0</v>
      </c>
    </row>
    <row r="11181" ht="15.75" customHeight="1" spans="1:2">
      <c r="A11181" s="3" t="str">
        <f>IFERROR(__xludf.DUMMYFUNCTION("GOOGLETRANSLATE(A11181,""en"",""pt"")"),"Após a festa, madre e vi Brokeback Mountain que foi ótimo ainda deprimente tudo de uma vez.")</f>
        <v>Após a festa, madre e vi Brokeback Mountain que foi ótimo ainda deprimente tudo de uma vez.</v>
      </c>
      <c r="B11181" s="3">
        <v>0</v>
      </c>
    </row>
    <row r="11182" ht="15.75" customHeight="1" spans="1:2">
      <c r="A11182" s="3" t="str">
        <f>IFERROR(__xludf.DUMMYFUNCTION("GOOGLETRANSLATE(A11182,""en"",""pt"")"),"Brokeback Mountain foi incrivelmente deprimente, eu gostei, mas foi bastante deprimente.")</f>
        <v>Brokeback Mountain foi incrivelmente deprimente, eu gostei, mas foi bastante deprimente.</v>
      </c>
      <c r="B11182" s="3">
        <v>0</v>
      </c>
    </row>
    <row r="11183" ht="15.75" customHeight="1" spans="1:2">
      <c r="A11183" s="3" t="str">
        <f>IFERROR(__xludf.DUMMYFUNCTION("GOOGLETRANSLATE(A11183,""en"",""pt"")"),"Brokeback Mountain é Horrível.")</f>
        <v>Brokeback Mountain é Horrível.</v>
      </c>
      <c r="B11183" s="3">
        <v>0</v>
      </c>
    </row>
    <row r="11184" ht="15.75" customHeight="1" spans="1:2">
      <c r="A11184" s="3" t="str">
        <f>IFERROR(__xludf.DUMMYFUNCTION("GOOGLETRANSLATE(A11184,""en"",""pt"")"),"Brokeback Mountain foi deprimente ....")</f>
        <v>Brokeback Mountain foi deprimente ....</v>
      </c>
      <c r="B11184" s="3">
        <v>0</v>
      </c>
    </row>
    <row r="11185" ht="15.75" customHeight="1" spans="1:2">
      <c r="A11185" s="3" t="str">
        <f>IFERROR(__xludf.DUMMYFUNCTION("GOOGLETRANSLATE(A11185,""en"",""pt"")")," Brokeback Mountain foi deprimente, mas foi realmente bom.")</f>
        <v> Brokeback Mountain foi deprimente, mas foi realmente bom.</v>
      </c>
      <c r="B11185" s="3">
        <v>0</v>
      </c>
    </row>
    <row r="11186" ht="15.75" customHeight="1" spans="1:2">
      <c r="A11186" s="3" t="str">
        <f>IFERROR(__xludf.DUMMYFUNCTION("GOOGLETRANSLATE(A11186,""en"",""pt"")"),"Brokeback Mountain é um filme realmente deprimente ...")</f>
        <v>Brokeback Mountain é um filme realmente deprimente ...</v>
      </c>
      <c r="B11186" s="3">
        <v>0</v>
      </c>
    </row>
    <row r="11187" ht="15.75" customHeight="1" spans="1:2">
      <c r="A11187" s="3" t="str">
        <f>IFERROR(__xludf.DUMMYFUNCTION("GOOGLETRANSLATE(A11187,""en"",""pt"")"),"mas ""Brokeback Mountain"" realmente era um filme ruim ....")</f>
        <v>mas "Brokeback Mountain" realmente era um filme ruim ....</v>
      </c>
      <c r="B11187" s="3">
        <v>0</v>
      </c>
    </row>
    <row r="11188" ht="15.75" customHeight="1" spans="1:2">
      <c r="A11188" s="3" t="str">
        <f>IFERROR(__xludf.DUMMYFUNCTION("GOOGLETRANSLATE(A11188,""en"",""pt"")"),"mas então quando cheguei em casa tiffani nos fez todos montanha relógio brokeback que foi Horrível ...")</f>
        <v>mas então quando cheguei em casa tiffani nos fez todos montanha relógio brokeback que foi Horrível ...</v>
      </c>
      <c r="B11188" s="3">
        <v>0</v>
      </c>
    </row>
    <row r="11189" ht="15.75" customHeight="1" spans="1:2">
      <c r="A11189" s="3" t="str">
        <f>IFERROR(__xludf.DUMMYFUNCTION("GOOGLETRANSLATE(A11189,""en"",""pt"")"),"Brokeback Mountain é horrível.")</f>
        <v>Brokeback Mountain é horrível.</v>
      </c>
      <c r="B11189" s="3">
        <v>0</v>
      </c>
    </row>
    <row r="11190" ht="15.75" customHeight="1" spans="1:2">
      <c r="A11190" s="3" t="str">
        <f>IFERROR(__xludf.DUMMYFUNCTION("GOOGLETRANSLATE(A11190,""en"",""pt"")"),"Eu assisti uma Brokeback Mountain pirateado / ilegalmente apresentados com horríveis legendas em chinês.")</f>
        <v>Eu assisti uma Brokeback Mountain pirateado / ilegalmente apresentados com horríveis legendas em chinês.</v>
      </c>
      <c r="B11190" s="3">
        <v>0</v>
      </c>
    </row>
    <row r="11191" ht="15.75" customHeight="1" spans="1:2">
      <c r="A11191" s="3" t="str">
        <f>IFERROR(__xludf.DUMMYFUNCTION("GOOGLETRANSLATE(A11191,""en"",""pt"")"),"Eu não quero ouvir de alguns mormon bunda para trás, Brokeback Mountain é um filme terrível, porque a notícia (")</f>
        <v>Eu não quero ouvir de alguns mormon bunda para trás, Brokeback Mountain é um filme terrível, porque a notícia (</v>
      </c>
      <c r="B11191" s="3">
        <v>0</v>
      </c>
    </row>
    <row r="11192" ht="15.75" customHeight="1" spans="1:2">
      <c r="A11192" s="3" t="str">
        <f>IFERROR(__xludf.DUMMYFUNCTION("GOOGLETRANSLATE(A11192,""en"",""pt"")"),"e, danielle, o que a merda você está falando montanha Brokeback era terrível !!!! ..")</f>
        <v>e, danielle, o que a merda você está falando montanha Brokeback era terrível !!!! ..</v>
      </c>
      <c r="B11192" s="3">
        <v>0</v>
      </c>
    </row>
    <row r="11193" ht="15.75" customHeight="1" spans="1:2">
      <c r="A11193" s="3" t="str">
        <f>IFERROR(__xludf.DUMMYFUNCTION("GOOGLETRANSLATE(A11193,""en"",""pt"")")," Brokeback Mountain foi extremamente deprimente.")</f>
        <v> Brokeback Mountain foi extremamente deprimente.</v>
      </c>
      <c r="B11193" s="3">
        <v>0</v>
      </c>
    </row>
    <row r="11194" ht="15.75" customHeight="1" spans="1:2">
      <c r="A11194" s="3" t="str">
        <f>IFERROR(__xludf.DUMMYFUNCTION("GOOGLETRANSLATE(A11194,""en"",""pt"")")," montanha Brokeback era terrível.")</f>
        <v> montanha Brokeback era terrível.</v>
      </c>
      <c r="B11194" s="3">
        <v>0</v>
      </c>
    </row>
    <row r="11195" ht="15.75" customHeight="1" spans="1:2">
      <c r="A11195" s="3" t="str">
        <f>IFERROR(__xludf.DUMMYFUNCTION("GOOGLETRANSLATE(A11195,""en"",""pt"")"),"Principalmente tirando sarro de Brokeback Mountain, que para ser honesto é um filme terrível.")</f>
        <v>Principalmente tirando sarro de Brokeback Mountain, que para ser honesto é um filme terrível.</v>
      </c>
      <c r="B11195" s="3">
        <v>0</v>
      </c>
    </row>
    <row r="11196" ht="15.75" customHeight="1" spans="1:2">
      <c r="A11196" s="3" t="str">
        <f>IFERROR(__xludf.DUMMYFUNCTION("GOOGLETRANSLATE(A11196,""en"",""pt"")"),"A lição horrível de Brokeback Mountain foi a de que se você não pode consertar algo que você só tem que viver com ela.")</f>
        <v>A lição horrível de Brokeback Mountain foi a de que se você não pode consertar algo que você só tem que viver com ela.</v>
      </c>
      <c r="B11196" s="3">
        <v>0</v>
      </c>
    </row>
    <row r="11197" ht="15.75" customHeight="1" spans="1:2">
      <c r="A11197" s="3" t="str">
        <f>IFERROR(__xludf.DUMMYFUNCTION("GOOGLETRANSLATE(A11197,""en"",""pt"")"),"Brokeback Mountain foi deprimente!")</f>
        <v>Brokeback Mountain foi deprimente!</v>
      </c>
      <c r="B11197" s="3">
        <v>0</v>
      </c>
    </row>
    <row r="11198" ht="15.75" customHeight="1" spans="1:2">
      <c r="A11198" s="3" t="str">
        <f>IFERROR(__xludf.DUMMYFUNCTION("GOOGLETRANSLATE(A11198,""en"",""pt"")"),"montanha Brokeback é um filme deprimente.")</f>
        <v>montanha Brokeback é um filme deprimente.</v>
      </c>
      <c r="B11198" s="3">
        <v>0</v>
      </c>
    </row>
    <row r="11199" ht="15.75" customHeight="1" spans="1:2">
      <c r="A11199" s="3" t="str">
        <f>IFERROR(__xludf.DUMMYFUNCTION("GOOGLETRANSLATE(A11199,""en"",""pt"")"),"talk shows estúpidos que falam sobre ""vida real histórias Brokeback Mountain.")</f>
        <v>talk shows estúpidos que falam sobre "vida real histórias Brokeback Mountain.</v>
      </c>
      <c r="B11199" s="3">
        <v>0</v>
      </c>
    </row>
    <row r="11200" ht="15.75" customHeight="1" spans="1:2">
      <c r="A11200" s="3" t="str">
        <f>IFERROR(__xludf.DUMMYFUNCTION("GOOGLETRANSLATE(A11200,""en"",""pt"")"),"nós assistimos filmes horríveis, como a montanha Brokeback e apenas a minha sorte.")</f>
        <v>nós assistimos filmes horríveis, como a montanha Brokeback e apenas a minha sorte.</v>
      </c>
      <c r="B11200" s="3">
        <v>0</v>
      </c>
    </row>
    <row r="11201" ht="15.75" customHeight="1" spans="1:2">
      <c r="A11201" s="3" t="str">
        <f>IFERROR(__xludf.DUMMYFUNCTION("GOOGLETRANSLATE(A11201,""en"",""pt"")"),"Eu não concordo com homofóbicos, mas eles têm todo o direito de dizer coisas horríveis sobre Brokeback Mountain e como ele está corrompendo o mundo.")</f>
        <v>Eu não concordo com homofóbicos, mas eles têm todo o direito de dizer coisas horríveis sobre Brokeback Mountain e como ele está corrompendo o mundo.</v>
      </c>
      <c r="B11201" s="3">
        <v>0</v>
      </c>
    </row>
    <row r="11202" ht="15.75" customHeight="1" spans="1:2">
      <c r="A11202" s="3" t="str">
        <f>IFERROR(__xludf.DUMMYFUNCTION("GOOGLETRANSLATE(A11202,""en"",""pt"")"),"Brokeback Mountain era um filme horrível ...")</f>
        <v>Brokeback Mountain era um filme horrível ...</v>
      </c>
      <c r="B11202" s="3">
        <v>0</v>
      </c>
    </row>
    <row r="11203" ht="15.75" customHeight="1" spans="1:2">
      <c r="A11203" s="3" t="str">
        <f>IFERROR(__xludf.DUMMYFUNCTION("GOOGLETRANSLATE(A11203,""en"",""pt"")"),"fomos ver montanha-que brokeback foi meio horrível lol ...")</f>
        <v>fomos ver montanha-que brokeback foi meio horrível lol ...</v>
      </c>
      <c r="B11203" s="3">
        <v>0</v>
      </c>
    </row>
    <row r="11204" ht="15.75" customHeight="1" spans="1:2">
      <c r="A11204" s="3" t="str">
        <f>IFERROR(__xludf.DUMMYFUNCTION("GOOGLETRANSLATE(A11204,""en"",""pt"")"),"montanha Brokeback é tão deprimente.")</f>
        <v>montanha Brokeback é tão deprimente.</v>
      </c>
      <c r="B11204" s="3">
        <v>0</v>
      </c>
    </row>
    <row r="11205" ht="15.75" customHeight="1" spans="1:2">
      <c r="A11205" s="3" t="str">
        <f>IFERROR(__xludf.DUMMYFUNCTION("GOOGLETRANSLATE(A11205,""en"",""pt"")"),"O filme quinta-feira foi Brokeback Mountain, que foi realmente muito terrível.")</f>
        <v>O filme quinta-feira foi Brokeback Mountain, que foi realmente muito terrível.</v>
      </c>
      <c r="B11205" s="3">
        <v>0</v>
      </c>
    </row>
    <row r="11206" ht="15.75" customHeight="1" spans="1:2">
      <c r="A11206" s="3" t="str">
        <f>IFERROR(__xludf.DUMMYFUNCTION("GOOGLETRANSLATE(A11206,""en"",""pt"")"),"Ouvi Brokeback Mountain foi terrível.")</f>
        <v>Ouvi Brokeback Mountain foi terrível.</v>
      </c>
      <c r="B11206" s="3">
        <v>0</v>
      </c>
    </row>
    <row r="11207" ht="15.75" customHeight="1" spans="1:2">
      <c r="A11207" s="3" t="str">
        <f>IFERROR(__xludf.DUMMYFUNCTION("GOOGLETRANSLATE(A11207,""en"",""pt"")"),"Brokeback Mountain era um filme horrível, eu quero dizer como os aquelas pessoas hollywoord até mesmo fazer um filme sobre dois gays ..")</f>
        <v>Brokeback Mountain era um filme horrível, eu quero dizer como os aquelas pessoas hollywoord até mesmo fazer um filme sobre dois gays ..</v>
      </c>
      <c r="B11207" s="3">
        <v>0</v>
      </c>
    </row>
    <row r="11208" ht="15.75" customHeight="1" spans="1:2">
      <c r="A11208" s="3" t="str">
        <f>IFERROR(__xludf.DUMMYFUNCTION("GOOGLETRANSLATE(A11208,""en"",""pt"")"),"talk shows estúpidos que falam sobre ""vida real histórias Brokeback Mountain.")</f>
        <v>talk shows estúpidos que falam sobre "vida real histórias Brokeback Mountain.</v>
      </c>
      <c r="B11208" s="3">
        <v>0</v>
      </c>
    </row>
    <row r="11209" ht="15.75" customHeight="1" spans="1:2">
      <c r="A11209" s="3" t="str">
        <f>IFERROR(__xludf.DUMMYFUNCTION("GOOGLETRANSLATE(A11209,""en"",""pt"")"),"Dos comentários que eu li, ouvi dizer que ""Brokeback Mountain"" é extremamente deprimente.")</f>
        <v>Dos comentários que eu li, ouvi dizer que "Brokeback Mountain" é extremamente deprimente.</v>
      </c>
      <c r="B11209" s="3">
        <v>0</v>
      </c>
    </row>
    <row r="11210" ht="15.75" customHeight="1" spans="1:2">
      <c r="A11210" s="3" t="str">
        <f>IFERROR(__xludf.DUMMYFUNCTION("GOOGLETRANSLATE(A11210,""en"",""pt"")"),"Então, nós vimos Brokeback Mountain, que está apenas deprimindo a segunda vez ...")</f>
        <v>Então, nós vimos Brokeback Mountain, que está apenas deprimindo a segunda vez ...</v>
      </c>
      <c r="B11210" s="3">
        <v>0</v>
      </c>
    </row>
    <row r="11211" ht="15.75" customHeight="1" spans="1:2">
      <c r="A11211" s="3" t="str">
        <f>IFERROR(__xludf.DUMMYFUNCTION("GOOGLETRANSLATE(A11211,""en"",""pt"")"),"Apesar de Brokeback Mountain é um dos filmes mais deprimente, sempre ...")</f>
        <v>Apesar de Brokeback Mountain é um dos filmes mais deprimente, sempre ...</v>
      </c>
      <c r="B11211" s="3">
        <v>0</v>
      </c>
    </row>
    <row r="11212" ht="15.75" customHeight="1" spans="1:2">
      <c r="A11212" s="3" t="str">
        <f>IFERROR(__xludf.DUMMYFUNCTION("GOOGLETRANSLATE(A11212,""en"",""pt"")"),"Brokeback Mountain é um inferno de um filme deprimente.")</f>
        <v>Brokeback Mountain é um inferno de um filme deprimente.</v>
      </c>
      <c r="B11212" s="3">
        <v>0</v>
      </c>
    </row>
    <row r="11213" ht="15.75" customHeight="1" spans="1:2">
      <c r="A11213" s="3" t="str">
        <f>IFERROR(__xludf.DUMMYFUNCTION("GOOGLETRANSLATE(A11213,""en"",""pt"")"),"Também posso dizer que montanha Brokeback é praticamente o filme mais deprimente que eu já vi ..")</f>
        <v>Também posso dizer que montanha Brokeback é praticamente o filme mais deprimente que eu já vi ..</v>
      </c>
      <c r="B11213" s="3">
        <v>0</v>
      </c>
    </row>
    <row r="11214" ht="15.75" customHeight="1" spans="1:2">
      <c r="A11214" s="3" t="str">
        <f>IFERROR(__xludf.DUMMYFUNCTION("GOOGLETRANSLATE(A11214,""en"",""pt"")"),"Eu não gostava de ""Brokeback Mountain"".")</f>
        <v>Eu não gostava de "Brokeback Mountain".</v>
      </c>
      <c r="B11214" s="3">
        <v>0</v>
      </c>
    </row>
    <row r="11215" ht="15.75" customHeight="1" spans="1:2">
      <c r="A11215" s="3" t="s">
        <v>51</v>
      </c>
      <c r="B11215" s="3">
        <v>0</v>
      </c>
    </row>
    <row r="11216" ht="15.75" customHeight="1" spans="1:2">
      <c r="A11216" s="3" t="str">
        <f>IFERROR(__xludf.DUMMYFUNCTION("GOOGLETRANSLATE(A11216,""en"",""pt"")"),"Brokeback Mountain foi o filme mais horrível que eu já vi durante todo o ano ...")</f>
        <v>Brokeback Mountain foi o filme mais horrível que eu já vi durante todo o ano ...</v>
      </c>
      <c r="B11216" s="3">
        <v>0</v>
      </c>
    </row>
    <row r="11217" ht="15.75" customHeight="1" spans="1:2">
      <c r="A11217" s="3" t="str">
        <f>IFERROR(__xludf.DUMMYFUNCTION("GOOGLETRANSLATE(A11217,""en"",""pt"")"),"Brokeback Mountain é a melhor combonation dos melhores / filme mais deprimente que nunca.")</f>
        <v>Brokeback Mountain é a melhor combonation dos melhores / filme mais deprimente que nunca.</v>
      </c>
      <c r="B11217" s="3">
        <v>0</v>
      </c>
    </row>
    <row r="11218" ht="15.75" customHeight="1" spans="1:2">
      <c r="A11218" s="3" t="str">
        <f>IFERROR(__xludf.DUMMYFUNCTION("GOOGLETRANSLATE(A11218,""en"",""pt"")"),"Brokeback Mountain era um filme de merda.")</f>
        <v>Brokeback Mountain era um filme de merda.</v>
      </c>
      <c r="B11218" s="3">
        <v>0</v>
      </c>
    </row>
    <row r="11219" ht="15.75" customHeight="1" spans="1:2">
      <c r="A11219" s="3" t="str">
        <f>IFERROR(__xludf.DUMMYFUNCTION("GOOGLETRANSLATE(A11219,""en"",""pt"")"),"Eu apenas gostaria de dizer que Brokeback Mountain é um filme muito deprimente.")</f>
        <v>Eu apenas gostaria de dizer que Brokeback Mountain é um filme muito deprimente.</v>
      </c>
      <c r="B11219" s="3">
        <v>0</v>
      </c>
    </row>
    <row r="11220" ht="15.75" customHeight="1" spans="1:2">
      <c r="A11220" s="3" t="str">
        <f>IFERROR(__xludf.DUMMYFUNCTION("GOOGLETRANSLATE(A11220,""en"",""pt"")"),"Brokeback Mountain era tão deprimente como a primeira vez, mas estou feliz que eu fui para vê-lo novamente.")</f>
        <v>Brokeback Mountain era tão deprimente como a primeira vez, mas estou feliz que eu fui para vê-lo novamente.</v>
      </c>
      <c r="B11220" s="3">
        <v>0</v>
      </c>
    </row>
    <row r="11221" ht="15.75" customHeight="1" spans="1:2">
      <c r="A11221" s="3" t="str">
        <f>IFERROR(__xludf.DUMMYFUNCTION("GOOGLETRANSLATE(A11221,""en"",""pt"")"),"Brokeback Mountain é tão deprimente! (")</f>
        <v>Brokeback Mountain é tão deprimente! (</v>
      </c>
      <c r="B11221" s="3">
        <v>0</v>
      </c>
    </row>
    <row r="11222" ht="15.75" customHeight="1" spans="1:2">
      <c r="A11222" s="3" t="str">
        <f>IFERROR(__xludf.DUMMYFUNCTION("GOOGLETRANSLATE(A11222,""en"",""pt"")"),"Não estou mesmo a meio deste filme, mas acho que Brokeback Mountain é terrível ..")</f>
        <v>Não estou mesmo a meio deste filme, mas acho que Brokeback Mountain é terrível ..</v>
      </c>
      <c r="B11222" s="3">
        <v>0</v>
      </c>
    </row>
    <row r="11223" ht="15.75" customHeight="1" spans="1:2">
      <c r="A11223" s="3" t="str">
        <f>IFERROR(__xludf.DUMMYFUNCTION("GOOGLETRANSLATE(A11223,""en"",""pt"")"),"Brokeback mountain ainda é deprimente, eu ainda tenho a van que o seguro é executado em breve, o quarto é confuso novamente depois de ter sido limpo.")</f>
        <v>Brokeback mountain ainda é deprimente, eu ainda tenho a van que o seguro é executado em breve, o quarto é confuso novamente depois de ter sido limpo.</v>
      </c>
      <c r="B11223" s="3">
        <v>0</v>
      </c>
    </row>
    <row r="11224" ht="15.75" customHeight="1" spans="1:2">
      <c r="A11224" s="3" t="str">
        <f>IFERROR(__xludf.DUMMYFUNCTION("GOOGLETRANSLATE(A11224,""en"",""pt"")"),"Brokeback Mountain FOI O shittiest filme que eu já vi .....")</f>
        <v>Brokeback Mountain FOI O shittiest filme que eu já vi .....</v>
      </c>
      <c r="B11224" s="3">
        <v>0</v>
      </c>
    </row>
    <row r="11225" ht="15.75" customHeight="1" spans="1:2">
      <c r="A11225" s="3" t="str">
        <f>IFERROR(__xludf.DUMMYFUNCTION("GOOGLETRANSLATE(A11225,""en"",""pt"")"),"Brokeback Mountain é foda horrível ..")</f>
        <v>Brokeback Mountain é foda horrível ..</v>
      </c>
      <c r="B11225" s="3">
        <v>0</v>
      </c>
    </row>
    <row r="11226" ht="15.75" customHeight="1" spans="1:2">
      <c r="A11226" s="3" t="str">
        <f>IFERROR(__xludf.DUMMYFUNCTION("GOOGLETRANSLATE(A11226,""en"",""pt"")"),"Então escapado em Brokeback Mountain, que é o filme mais deprimente que eu já vi ..")</f>
        <v>Então escapado em Brokeback Mountain, que é o filme mais deprimente que eu já vi ..</v>
      </c>
      <c r="B11226" s="3">
        <v>0</v>
      </c>
    </row>
    <row r="11227" ht="15.75" customHeight="1" spans="1:2">
      <c r="A11227" s="3" t="str">
        <f>IFERROR(__xludf.DUMMYFUNCTION("GOOGLETRANSLATE(A11227,""en"",""pt"")"),"Meu pai está sendo estúpido sobre montanha Brokeback ...")</f>
        <v>Meu pai está sendo estúpido sobre montanha Brokeback ...</v>
      </c>
      <c r="B11227" s="3">
        <v>0</v>
      </c>
    </row>
    <row r="11228" ht="15.75" customHeight="1" spans="1:2">
      <c r="A11228" s="3" t="str">
        <f>IFERROR(__xludf.DUMMYFUNCTION("GOOGLETRANSLATE(A11228,""en"",""pt"")"),"Ah, e Brokeback Mountain é um filme terrível ...")</f>
        <v>Ah, e Brokeback Mountain é um filme terrível ...</v>
      </c>
      <c r="B11228" s="3">
        <v>0</v>
      </c>
    </row>
    <row r="11229" ht="15.75" customHeight="1" spans="1:2">
      <c r="A11229" s="3" t="str">
        <f>IFERROR(__xludf.DUMMYFUNCTION("GOOGLETRANSLATE(A11229,""en"",""pt"")"),"Brokeback Mountain foi chato.")</f>
        <v>Brokeback Mountain foi chato.</v>
      </c>
      <c r="B11229" s="3">
        <v>0</v>
      </c>
    </row>
    <row r="11230" ht="15.75" customHeight="1" spans="1:2">
      <c r="A11230" s="3" t="str">
        <f>IFERROR(__xludf.DUMMYFUNCTION("GOOGLETRANSLATE(A11230,""en"",""pt"")"),"Então Brokeback Mountain foi realmente deprimente.")</f>
        <v>Então Brokeback Mountain foi realmente deprimente.</v>
      </c>
      <c r="B11230" s="3">
        <v>0</v>
      </c>
    </row>
    <row r="11231" ht="15.75" customHeight="1" spans="1:2">
      <c r="A11231" s="3" t="str">
        <f>IFERROR(__xludf.DUMMYFUNCTION("GOOGLETRANSLATE(A11231,""en"",""pt"")"),"Quando eu sento aqui, observando o MTV Movie Awards, lembro-me do quanto eu desprezava o filme Brokeback Mountain.")</f>
        <v>Quando eu sento aqui, observando o MTV Movie Awards, lembro-me do quanto eu desprezava o filme Brokeback Mountain.</v>
      </c>
      <c r="B11231" s="3">
        <v>0</v>
      </c>
    </row>
    <row r="11232" ht="15.75" customHeight="1" spans="1:2">
      <c r="A11232" s="3" t="str">
        <f>IFERROR(__xludf.DUMMYFUNCTION("GOOGLETRANSLATE(A11232,""en"",""pt"")"),"montanha Brokeback Ok é um filme horrível.")</f>
        <v>montanha Brokeback Ok é um filme horrível.</v>
      </c>
      <c r="B11232" s="3">
        <v>0</v>
      </c>
    </row>
    <row r="11233" ht="15.75" customHeight="1" spans="1:2">
      <c r="A11233" s="3" t="str">
        <f>IFERROR(__xludf.DUMMYFUNCTION("GOOGLETRANSLATE(A11233,""en"",""pt"")"),"Ah, e Brokeback Mountain era um filme terrível.")</f>
        <v>Ah, e Brokeback Mountain era um filme terrível.</v>
      </c>
      <c r="B11233" s="3">
        <v>0</v>
      </c>
    </row>
    <row r="11234" ht="15.75" customHeight="1" spans="1:2">
      <c r="A11234" s="3" t="str">
        <f>IFERROR(__xludf.DUMMYFUNCTION("GOOGLETRANSLATE(A11234,""en"",""pt"")"),"Brokeback Mountain é foda horrível ..")</f>
        <v>Brokeback Mountain é foda horrível ..</v>
      </c>
      <c r="B11234" s="3">
        <v>0</v>
      </c>
    </row>
    <row r="11235" ht="15.75" customHeight="1" spans="1:2">
      <c r="A11235" s="3" t="str">
        <f>IFERROR(__xludf.DUMMYFUNCTION("GOOGLETRANSLATE(A11235,""en"",""pt"")"),"Então escapado em Brokeback Mountain, que é o filme mais deprimente que eu já vi ..")</f>
        <v>Então escapado em Brokeback Mountain, que é o filme mais deprimente que eu já vi ..</v>
      </c>
      <c r="B11235" s="3">
        <v>0</v>
      </c>
    </row>
    <row r="11236" ht="15.75" customHeight="1" spans="1:2">
      <c r="A11236" s="3" t="str">
        <f>IFERROR(__xludf.DUMMYFUNCTION("GOOGLETRANSLATE(A11236,""en"",""pt"")"),"Meu pai está sendo estúpido sobre montanha Brokeback ...")</f>
        <v>Meu pai está sendo estúpido sobre montanha Brokeback ...</v>
      </c>
      <c r="B11236" s="3">
        <v>0</v>
      </c>
    </row>
    <row r="11237" ht="15.75" customHeight="1" spans="1:2">
      <c r="A11237" s="3" t="str">
        <f>IFERROR(__xludf.DUMMYFUNCTION("GOOGLETRANSLATE(A11237,""en"",""pt"")"),"Ah, e Brokeback Mountain é um filme terrível ...")</f>
        <v>Ah, e Brokeback Mountain é um filme terrível ...</v>
      </c>
      <c r="B11237" s="3">
        <v>0</v>
      </c>
    </row>
    <row r="11238" ht="15.75" customHeight="1" spans="1:2">
      <c r="A11238" s="3" t="str">
        <f>IFERROR(__xludf.DUMMYFUNCTION("GOOGLETRANSLATE(A11238,""en"",""pt"")"),"Brokeback Mountain foi chato.")</f>
        <v>Brokeback Mountain foi chato.</v>
      </c>
      <c r="B11238" s="3">
        <v>0</v>
      </c>
    </row>
    <row r="11239" ht="15.75" customHeight="1" spans="1:2">
      <c r="A11239" s="3" t="str">
        <f>IFERROR(__xludf.DUMMYFUNCTION("GOOGLETRANSLATE(A11239,""en"",""pt"")"),"Então Brokeback Mountain foi realmente deprimente.")</f>
        <v>Então Brokeback Mountain foi realmente deprimente.</v>
      </c>
      <c r="B11239" s="3">
        <v>0</v>
      </c>
    </row>
    <row r="11240" ht="15.75" customHeight="1" spans="1:2">
      <c r="A11240" s="3" t="str">
        <f>IFERROR(__xludf.DUMMYFUNCTION("GOOGLETRANSLATE(A11240,""en"",""pt"")"),"Quando eu sento aqui, observando o MTV Movie Awards, lembro-me do quanto eu desprezava o filme Brokeback Mountain.")</f>
        <v>Quando eu sento aqui, observando o MTV Movie Awards, lembro-me do quanto eu desprezava o filme Brokeback Mountain.</v>
      </c>
      <c r="B11240" s="3">
        <v>0</v>
      </c>
    </row>
    <row r="11241" ht="15.75" customHeight="1" spans="1:2">
      <c r="A11241" s="3" t="str">
        <f>IFERROR(__xludf.DUMMYFUNCTION("GOOGLETRANSLATE(A11241,""en"",""pt"")"),"montanha Brokeback Ok é um filme horrível.")</f>
        <v>montanha Brokeback Ok é um filme horrível.</v>
      </c>
      <c r="B11241" s="3">
        <v>0</v>
      </c>
    </row>
    <row r="11242" ht="15.75" customHeight="1" spans="1:2">
      <c r="A11242" s="3" t="str">
        <f>IFERROR(__xludf.DUMMYFUNCTION("GOOGLETRANSLATE(A11242,""en"",""pt"")"),"Ah, e Brokeback Mountain era um filme terrível.")</f>
        <v>Ah, e Brokeback Mountain era um filme terrível.</v>
      </c>
      <c r="B11242" s="3">
        <v>0</v>
      </c>
    </row>
    <row r="11243" ht="15.75" customHeight="1" spans="1:2">
      <c r="A11243" s="3" t="str">
        <f>IFERROR(__xludf.DUMMYFUNCTION("GOOGLETRANSLATE(A11243,""en"",""pt"")"),"Brokeback Mountain é foda horrível ..")</f>
        <v>Brokeback Mountain é foda horrível ..</v>
      </c>
      <c r="B11243" s="3">
        <v>0</v>
      </c>
    </row>
    <row r="11244" ht="15.75" customHeight="1" spans="1:2">
      <c r="A11244" s="3" t="str">
        <f>IFERROR(__xludf.DUMMYFUNCTION("GOOGLETRANSLATE(A11244,""en"",""pt"")"),"Então escapado em Brokeback Mountain, que é o filme mais deprimente que eu já vi ..")</f>
        <v>Então escapado em Brokeback Mountain, que é o filme mais deprimente que eu já vi ..</v>
      </c>
      <c r="B11244" s="3">
        <v>0</v>
      </c>
    </row>
    <row r="11245" ht="15.75" customHeight="1" spans="1:2">
      <c r="A11245" s="3" t="str">
        <f>IFERROR(__xludf.DUMMYFUNCTION("GOOGLETRANSLATE(A11245,""en"",""pt"")"),"Meu pai está sendo estúpido sobre montanha Brokeback ...")</f>
        <v>Meu pai está sendo estúpido sobre montanha Brokeback ...</v>
      </c>
      <c r="B11245" s="3">
        <v>0</v>
      </c>
    </row>
    <row r="11246" ht="15.75" customHeight="1" spans="1:2">
      <c r="A11246" s="3" t="str">
        <f>IFERROR(__xludf.DUMMYFUNCTION("GOOGLETRANSLATE(A11246,""en"",""pt"")"),"Ah, e Brokeback Mountain é um filme terrível ...")</f>
        <v>Ah, e Brokeback Mountain é um filme terrível ...</v>
      </c>
      <c r="B11246" s="3">
        <v>0</v>
      </c>
    </row>
    <row r="11247" ht="15.75" customHeight="1" spans="1:2">
      <c r="A11247" s="3" t="str">
        <f>IFERROR(__xludf.DUMMYFUNCTION("GOOGLETRANSLATE(A11247,""en"",""pt"")"),"Brokeback Mountain foi chato.")</f>
        <v>Brokeback Mountain foi chato.</v>
      </c>
      <c r="B11247" s="3">
        <v>0</v>
      </c>
    </row>
    <row r="11248" ht="15.75" customHeight="1" spans="1:2">
      <c r="A11248" s="3" t="str">
        <f>IFERROR(__xludf.DUMMYFUNCTION("GOOGLETRANSLATE(A11248,""en"",""pt"")"),"Então Brokeback Mountain foi realmente deprimente.")</f>
        <v>Então Brokeback Mountain foi realmente deprimente.</v>
      </c>
      <c r="B11248" s="3">
        <v>0</v>
      </c>
    </row>
    <row r="11249" ht="15.75" customHeight="1" spans="1:2">
      <c r="A11249" s="3" t="str">
        <f>IFERROR(__xludf.DUMMYFUNCTION("GOOGLETRANSLATE(A11249,""en"",""pt"")"),"Quando eu sento aqui, observando o MTV Movie Awards, lembro-me do quanto eu desprezava o filme Brokeback Mountain.")</f>
        <v>Quando eu sento aqui, observando o MTV Movie Awards, lembro-me do quanto eu desprezava o filme Brokeback Mountain.</v>
      </c>
      <c r="B11249" s="3">
        <v>0</v>
      </c>
    </row>
    <row r="11250" ht="15.75" customHeight="1" spans="1:2">
      <c r="A11250" s="3" t="str">
        <f>IFERROR(__xludf.DUMMYFUNCTION("GOOGLETRANSLATE(A11250,""en"",""pt"")"),"montanha Brokeback Ok é um filme horrível.")</f>
        <v>montanha Brokeback Ok é um filme horrível.</v>
      </c>
      <c r="B11250" s="3">
        <v>0</v>
      </c>
    </row>
    <row r="11251" ht="15.75" customHeight="1" spans="1:2">
      <c r="A11251" s="3" t="str">
        <f>IFERROR(__xludf.DUMMYFUNCTION("GOOGLETRANSLATE(A11251,""en"",""pt"")"),"Ah, e Brokeback Mountain era um filme terrível.")</f>
        <v>Ah, e Brokeback Mountain era um filme terrível.</v>
      </c>
      <c r="B11251" s="3">
        <v>0</v>
      </c>
    </row>
    <row r="11252" ht="15.75" customHeight="1" spans="1:2">
      <c r="A11252" s="3" t="str">
        <f>IFERROR(__xludf.DUMMYFUNCTION("GOOGLETRANSLATE(A11252,""en"",""pt"")"),"Brokeback Mountain é foda horrível ..")</f>
        <v>Brokeback Mountain é foda horrível ..</v>
      </c>
      <c r="B11252" s="3">
        <v>0</v>
      </c>
    </row>
    <row r="11253" ht="15.75" customHeight="1" spans="1:2">
      <c r="A11253" s="3" t="str">
        <f>IFERROR(__xludf.DUMMYFUNCTION("GOOGLETRANSLATE(A11253,""en"",""pt"")"),"Então escapado em Brokeback Mountain, que é o filme mais deprimente que eu já vi ..")</f>
        <v>Então escapado em Brokeback Mountain, que é o filme mais deprimente que eu já vi ..</v>
      </c>
      <c r="B11253" s="3">
        <v>0</v>
      </c>
    </row>
    <row r="11254" ht="15.75" customHeight="1" spans="1:2">
      <c r="A11254" s="3" t="str">
        <f>IFERROR(__xludf.DUMMYFUNCTION("GOOGLETRANSLATE(A11254,""en"",""pt"")"),"Meu pai está sendo estúpido sobre montanha Brokeback ...")</f>
        <v>Meu pai está sendo estúpido sobre montanha Brokeback ...</v>
      </c>
      <c r="B11254" s="3">
        <v>0</v>
      </c>
    </row>
    <row r="11255" ht="15.75" customHeight="1" spans="1:2">
      <c r="A11255" s="3" t="str">
        <f>IFERROR(__xludf.DUMMYFUNCTION("GOOGLETRANSLATE(A11255,""en"",""pt"")"),"Ah, e Brokeback Mountain é um filme terrível ...")</f>
        <v>Ah, e Brokeback Mountain é um filme terrível ...</v>
      </c>
      <c r="B11255" s="3">
        <v>0</v>
      </c>
    </row>
    <row r="11256" ht="15.75" customHeight="1" spans="1:2">
      <c r="A11256" s="3" t="str">
        <f>IFERROR(__xludf.DUMMYFUNCTION("GOOGLETRANSLATE(A11256,""en"",""pt"")"),"Brokeback Mountain foi chato.")</f>
        <v>Brokeback Mountain foi chato.</v>
      </c>
      <c r="B11256" s="3">
        <v>0</v>
      </c>
    </row>
    <row r="11257" ht="15.75" customHeight="1" spans="1:2">
      <c r="A11257" s="3" t="str">
        <f>IFERROR(__xludf.DUMMYFUNCTION("GOOGLETRANSLATE(A11257,""en"",""pt"")"),"Então Brokeback Mountain foi realmente deprimente.")</f>
        <v>Então Brokeback Mountain foi realmente deprimente.</v>
      </c>
      <c r="B11257" s="3">
        <v>0</v>
      </c>
    </row>
    <row r="11258" ht="15.75" customHeight="1" spans="1:2">
      <c r="A11258" s="3" t="str">
        <f>IFERROR(__xludf.DUMMYFUNCTION("GOOGLETRANSLATE(A11258,""en"",""pt"")"),"Quando eu sento aqui, observando o MTV Movie Awards, lembro-me do quanto eu desprezava o filme Brokeback Mountain.")</f>
        <v>Quando eu sento aqui, observando o MTV Movie Awards, lembro-me do quanto eu desprezava o filme Brokeback Mountain.</v>
      </c>
      <c r="B11258" s="3">
        <v>0</v>
      </c>
    </row>
    <row r="11259" ht="15.75" customHeight="1" spans="1:2">
      <c r="A11259" s="3" t="str">
        <f>IFERROR(__xludf.DUMMYFUNCTION("GOOGLETRANSLATE(A11259,""en"",""pt"")"),"montanha Brokeback Ok é um filme horrível.")</f>
        <v>montanha Brokeback Ok é um filme horrível.</v>
      </c>
      <c r="B11259" s="3">
        <v>0</v>
      </c>
    </row>
    <row r="11260" ht="15.75" customHeight="1" spans="1:2">
      <c r="A11260" s="3" t="str">
        <f>IFERROR(__xludf.DUMMYFUNCTION("GOOGLETRANSLATE(A11260,""en"",""pt"")"),"Ah, e Brokeback Mountain era um filme terrível.")</f>
        <v>Ah, e Brokeback Mountain era um filme terrível.</v>
      </c>
      <c r="B11260" s="3">
        <v>0</v>
      </c>
    </row>
    <row r="11261" ht="15.75" customHeight="1" spans="1:2">
      <c r="A11261" s="3" t="str">
        <f>IFERROR(__xludf.DUMMYFUNCTION("GOOGLETRANSLATE(A11261,""en"",""pt"")"),"Brokeback Mountain é foda horrível ..")</f>
        <v>Brokeback Mountain é foda horrível ..</v>
      </c>
      <c r="B11261" s="3">
        <v>0</v>
      </c>
    </row>
    <row r="11262" ht="15.75" customHeight="1" spans="1:2">
      <c r="A11262" s="3" t="str">
        <f>IFERROR(__xludf.DUMMYFUNCTION("GOOGLETRANSLATE(A11262,""en"",""pt"")"),"Então escapado em Brokeback Mountain, que é o filme mais deprimente que eu já vi ..")</f>
        <v>Então escapado em Brokeback Mountain, que é o filme mais deprimente que eu já vi ..</v>
      </c>
      <c r="B11262" s="3">
        <v>0</v>
      </c>
    </row>
    <row r="11263" ht="15.75" customHeight="1" spans="1:2">
      <c r="A11263" s="3" t="str">
        <f>IFERROR(__xludf.DUMMYFUNCTION("GOOGLETRANSLATE(A11263,""en"",""pt"")"),"Meu pai está sendo estúpido sobre montanha Brokeback ...")</f>
        <v>Meu pai está sendo estúpido sobre montanha Brokeback ...</v>
      </c>
      <c r="B11263" s="3">
        <v>0</v>
      </c>
    </row>
    <row r="11264" ht="15.75" customHeight="1" spans="1:2">
      <c r="A11264" s="3" t="str">
        <f>IFERROR(__xludf.DUMMYFUNCTION("GOOGLETRANSLATE(A11264,""en"",""pt"")"),"Ah, e Brokeback Mountain é um filme terrível ...")</f>
        <v>Ah, e Brokeback Mountain é um filme terrível ...</v>
      </c>
      <c r="B11264" s="3">
        <v>0</v>
      </c>
    </row>
    <row r="11265" ht="15.75" customHeight="1" spans="1:2">
      <c r="A11265" s="3" t="str">
        <f>IFERROR(__xludf.DUMMYFUNCTION("GOOGLETRANSLATE(A11265,""en"",""pt"")"),"Brokeback Mountain foi chato.")</f>
        <v>Brokeback Mountain foi chato.</v>
      </c>
      <c r="B11265" s="3">
        <v>0</v>
      </c>
    </row>
    <row r="11266" ht="15.75" customHeight="1" spans="1:2">
      <c r="A11266" s="3" t="str">
        <f>IFERROR(__xludf.DUMMYFUNCTION("GOOGLETRANSLATE(A11266,""en"",""pt"")"),"Então Brokeback Mountain foi realmente deprimente.")</f>
        <v>Então Brokeback Mountain foi realmente deprimente.</v>
      </c>
      <c r="B11266" s="3">
        <v>0</v>
      </c>
    </row>
    <row r="11267" ht="15.75" customHeight="1" spans="1:2">
      <c r="A11267" s="3" t="str">
        <f>IFERROR(__xludf.DUMMYFUNCTION("GOOGLETRANSLATE(A11267,""en"",""pt"")"),"Quando eu sento aqui, observando o MTV Movie Awards, lembro-me do quanto eu desprezava o filme Brokeback Mountain.")</f>
        <v>Quando eu sento aqui, observando o MTV Movie Awards, lembro-me do quanto eu desprezava o filme Brokeback Mountain.</v>
      </c>
      <c r="B11267" s="3">
        <v>0</v>
      </c>
    </row>
    <row r="11268" ht="15.75" customHeight="1" spans="1:2">
      <c r="A11268" s="3" t="str">
        <f>IFERROR(__xludf.DUMMYFUNCTION("GOOGLETRANSLATE(A11268,""en"",""pt"")"),"montanha Brokeback Ok é um filme horrível.")</f>
        <v>montanha Brokeback Ok é um filme horrível.</v>
      </c>
      <c r="B11268" s="3">
        <v>0</v>
      </c>
    </row>
    <row r="11269" ht="15.75" customHeight="1" spans="1:2">
      <c r="A11269" s="3" t="str">
        <f>IFERROR(__xludf.DUMMYFUNCTION("GOOGLETRANSLATE(A11269,""en"",""pt"")"),"Ah, e Brokeback Mountain era um filme terrível.")</f>
        <v>Ah, e Brokeback Mountain era um filme terrível.</v>
      </c>
      <c r="B11269" s="3">
        <v>0</v>
      </c>
    </row>
    <row r="11270" ht="15.75" customHeight="1" spans="1:2">
      <c r="A11270" s="3" t="str">
        <f>IFERROR(__xludf.DUMMYFUNCTION("GOOGLETRANSLATE(A11270,""en"",""pt"")"),"Brokeback Mountain é foda horrível ..")</f>
        <v>Brokeback Mountain é foda horrível ..</v>
      </c>
      <c r="B11270" s="3">
        <v>0</v>
      </c>
    </row>
    <row r="11271" ht="15.75" customHeight="1" spans="1:2">
      <c r="A11271" s="3" t="str">
        <f>IFERROR(__xludf.DUMMYFUNCTION("GOOGLETRANSLATE(A11271,""en"",""pt"")"),"Então escapado em Brokeback Mountain, que é o filme mais deprimente que eu já vi ..")</f>
        <v>Então escapado em Brokeback Mountain, que é o filme mais deprimente que eu já vi ..</v>
      </c>
      <c r="B11271" s="3">
        <v>0</v>
      </c>
    </row>
    <row r="11272" ht="15.75" customHeight="1" spans="1:2">
      <c r="A11272" s="3" t="str">
        <f>IFERROR(__xludf.DUMMYFUNCTION("GOOGLETRANSLATE(A11272,""en"",""pt"")"),"Meu pai está sendo estúpido sobre montanha Brokeback ...")</f>
        <v>Meu pai está sendo estúpido sobre montanha Brokeback ...</v>
      </c>
      <c r="B11272" s="3">
        <v>0</v>
      </c>
    </row>
    <row r="11273" ht="15.75" customHeight="1" spans="1:2">
      <c r="A11273" s="3" t="str">
        <f>IFERROR(__xludf.DUMMYFUNCTION("GOOGLETRANSLATE(A11273,""en"",""pt"")"),"Ah, e Brokeback Mountain é um filme terrível ...")</f>
        <v>Ah, e Brokeback Mountain é um filme terrível ...</v>
      </c>
      <c r="B11273" s="3">
        <v>0</v>
      </c>
    </row>
    <row r="11274" ht="15.75" customHeight="1" spans="1:2">
      <c r="A11274" s="3" t="str">
        <f>IFERROR(__xludf.DUMMYFUNCTION("GOOGLETRANSLATE(A11274,""en"",""pt"")"),"Brokeback Mountain foi chato.")</f>
        <v>Brokeback Mountain foi chato.</v>
      </c>
      <c r="B11274" s="3">
        <v>0</v>
      </c>
    </row>
    <row r="11275" ht="15.75" customHeight="1" spans="1:2">
      <c r="A11275" s="3" t="str">
        <f>IFERROR(__xludf.DUMMYFUNCTION("GOOGLETRANSLATE(A11275,""en"",""pt"")"),"Então Brokeback Mountain foi realmente deprimente.")</f>
        <v>Então Brokeback Mountain foi realmente deprimente.</v>
      </c>
      <c r="B11275" s="3">
        <v>0</v>
      </c>
    </row>
    <row r="11276" ht="15.75" customHeight="1" spans="1:2">
      <c r="A11276" s="3" t="str">
        <f>IFERROR(__xludf.DUMMYFUNCTION("GOOGLETRANSLATE(A11276,""en"",""pt"")"),"Quando eu sento aqui, observando o MTV Movie Awards, lembro-me do quanto eu desprezava o filme Brokeback Mountain.")</f>
        <v>Quando eu sento aqui, observando o MTV Movie Awards, lembro-me do quanto eu desprezava o filme Brokeback Mountain.</v>
      </c>
      <c r="B11276" s="3">
        <v>0</v>
      </c>
    </row>
    <row r="11277" ht="15.75" customHeight="1" spans="1:2">
      <c r="A11277" s="3" t="str">
        <f>IFERROR(__xludf.DUMMYFUNCTION("GOOGLETRANSLATE(A11277,""en"",""pt"")"),"montanha Brokeback Ok é um filme horrível.")</f>
        <v>montanha Brokeback Ok é um filme horrível.</v>
      </c>
      <c r="B11277" s="3">
        <v>0</v>
      </c>
    </row>
    <row r="11278" ht="15.75" customHeight="1" spans="1:2">
      <c r="A11278" s="3" t="str">
        <f>IFERROR(__xludf.DUMMYFUNCTION("GOOGLETRANSLATE(A11278,""en"",""pt"")"),"Ah, e Brokeback Mountain era um filme terrível.")</f>
        <v>Ah, e Brokeback Mountain era um filme terrível.</v>
      </c>
      <c r="B11278" s="3">
        <v>0</v>
      </c>
    </row>
    <row r="11279" ht="15.75" customHeight="1" spans="1:2">
      <c r="A11279" s="3" t="str">
        <f>IFERROR(__xludf.DUMMYFUNCTION("GOOGLETRANSLATE(A11279,""en"",""pt"")"),"Brokeback Mountain é foda horrível ..")</f>
        <v>Brokeback Mountain é foda horrível ..</v>
      </c>
      <c r="B11279" s="3">
        <v>0</v>
      </c>
    </row>
    <row r="11280" ht="15.75" customHeight="1" spans="1:2">
      <c r="A11280" s="3" t="str">
        <f>IFERROR(__xludf.DUMMYFUNCTION("GOOGLETRANSLATE(A11280,""en"",""pt"")"),"Então escapado em Brokeback Mountain, que é o filme mais deprimente que eu já vi ..")</f>
        <v>Então escapado em Brokeback Mountain, que é o filme mais deprimente que eu já vi ..</v>
      </c>
      <c r="B11280" s="3">
        <v>0</v>
      </c>
    </row>
    <row r="11281" ht="15.75" customHeight="1" spans="1:2">
      <c r="A11281" s="3" t="str">
        <f>IFERROR(__xludf.DUMMYFUNCTION("GOOGLETRANSLATE(A11281,""en"",""pt"")"),"Meu pai está sendo estúpido sobre montanha Brokeback ...")</f>
        <v>Meu pai está sendo estúpido sobre montanha Brokeback ...</v>
      </c>
      <c r="B11281" s="3">
        <v>0</v>
      </c>
    </row>
    <row r="11282" ht="15.75" customHeight="1" spans="1:2">
      <c r="A11282" s="3" t="str">
        <f>IFERROR(__xludf.DUMMYFUNCTION("GOOGLETRANSLATE(A11282,""en"",""pt"")"),"Ah, e Brokeback Mountain é um filme terrível ...")</f>
        <v>Ah, e Brokeback Mountain é um filme terrível ...</v>
      </c>
      <c r="B11282" s="3">
        <v>0</v>
      </c>
    </row>
    <row r="11283" ht="15.75" customHeight="1" spans="1:2">
      <c r="A11283" s="3" t="str">
        <f>IFERROR(__xludf.DUMMYFUNCTION("GOOGLETRANSLATE(A11283,""en"",""pt"")"),"Brokeback Mountain foi chato.")</f>
        <v>Brokeback Mountain foi chato.</v>
      </c>
      <c r="B11283" s="3">
        <v>0</v>
      </c>
    </row>
    <row r="11284" ht="15.75" customHeight="1" spans="1:2">
      <c r="A11284" s="3" t="str">
        <f>IFERROR(__xludf.DUMMYFUNCTION("GOOGLETRANSLATE(A11284,""en"",""pt"")"),"Então Brokeback Mountain foi realmente deprimente.")</f>
        <v>Então Brokeback Mountain foi realmente deprimente.</v>
      </c>
      <c r="B11284" s="3">
        <v>0</v>
      </c>
    </row>
    <row r="11285" ht="15.75" customHeight="1" spans="1:2">
      <c r="A11285" s="3" t="str">
        <f>IFERROR(__xludf.DUMMYFUNCTION("GOOGLETRANSLATE(A11285,""en"",""pt"")"),"Quando eu sento aqui, observando o MTV Movie Awards, lembro-me do quanto eu desprezava o filme Brokeback Mountain.")</f>
        <v>Quando eu sento aqui, observando o MTV Movie Awards, lembro-me do quanto eu desprezava o filme Brokeback Mountain.</v>
      </c>
      <c r="B11285" s="3">
        <v>0</v>
      </c>
    </row>
    <row r="11286" ht="15.75" customHeight="1" spans="1:2">
      <c r="A11286" s="3" t="str">
        <f>IFERROR(__xludf.DUMMYFUNCTION("GOOGLETRANSLATE(A11286,""en"",""pt"")"),"montanha Brokeback Ok é um filme horrível.")</f>
        <v>montanha Brokeback Ok é um filme horrível.</v>
      </c>
      <c r="B11286" s="3">
        <v>0</v>
      </c>
    </row>
    <row r="11287" ht="15.75" customHeight="1" spans="1:2">
      <c r="A11287" s="3" t="str">
        <f>IFERROR(__xludf.DUMMYFUNCTION("GOOGLETRANSLATE(A11287,""en"",""pt"")"),"Ah, e Brokeback Mountain era um filme terrível.")</f>
        <v>Ah, e Brokeback Mountain era um filme terrível.</v>
      </c>
      <c r="B11287" s="3">
        <v>0</v>
      </c>
    </row>
    <row r="11288" ht="15.75" customHeight="1" spans="1:2">
      <c r="A11288" s="3" t="str">
        <f>IFERROR(__xludf.DUMMYFUNCTION("GOOGLETRANSLATE(A11288,""en"",""pt"")"),"Brokeback Mountain é foda horrível ..")</f>
        <v>Brokeback Mountain é foda horrível ..</v>
      </c>
      <c r="B11288" s="3">
        <v>0</v>
      </c>
    </row>
    <row r="11289" ht="15.75" customHeight="1" spans="1:2">
      <c r="A11289" s="3" t="str">
        <f>IFERROR(__xludf.DUMMYFUNCTION("GOOGLETRANSLATE(A11289,""en"",""pt"")"),"Então escapado em Brokeback Mountain, que é o filme mais deprimente que eu já vi ..")</f>
        <v>Então escapado em Brokeback Mountain, que é o filme mais deprimente que eu já vi ..</v>
      </c>
      <c r="B11289" s="3">
        <v>0</v>
      </c>
    </row>
    <row r="11290" ht="15.75" customHeight="1" spans="1:2">
      <c r="A11290" s="3" t="str">
        <f>IFERROR(__xludf.DUMMYFUNCTION("GOOGLETRANSLATE(A11290,""en"",""pt"")"),"Meu pai está sendo estúpido sobre montanha Brokeback ...")</f>
        <v>Meu pai está sendo estúpido sobre montanha Brokeback ...</v>
      </c>
      <c r="B11290" s="3">
        <v>0</v>
      </c>
    </row>
    <row r="11291" ht="15.75" customHeight="1" spans="1:2">
      <c r="A11291" s="3" t="str">
        <f>IFERROR(__xludf.DUMMYFUNCTION("GOOGLETRANSLATE(A11291,""en"",""pt"")"),"Ah, e Brokeback Mountain é um filme terrível ...")</f>
        <v>Ah, e Brokeback Mountain é um filme terrível ...</v>
      </c>
      <c r="B11291" s="3">
        <v>0</v>
      </c>
    </row>
    <row r="11292" ht="15.75" customHeight="1" spans="1:2">
      <c r="A11292" s="3" t="str">
        <f>IFERROR(__xludf.DUMMYFUNCTION("GOOGLETRANSLATE(A11292,""en"",""pt"")"),"Brokeback Mountain foi chato.")</f>
        <v>Brokeback Mountain foi chato.</v>
      </c>
      <c r="B11292" s="3">
        <v>0</v>
      </c>
    </row>
    <row r="11293" ht="15.75" customHeight="1" spans="1:2">
      <c r="A11293" s="3" t="str">
        <f>IFERROR(__xludf.DUMMYFUNCTION("GOOGLETRANSLATE(A11293,""en"",""pt"")"),"Então Brokeback Mountain foi realmente deprimente.")</f>
        <v>Então Brokeback Mountain foi realmente deprimente.</v>
      </c>
      <c r="B11293" s="3">
        <v>0</v>
      </c>
    </row>
    <row r="11294" ht="15.75" customHeight="1" spans="1:2">
      <c r="A11294" s="3" t="str">
        <f>IFERROR(__xludf.DUMMYFUNCTION("GOOGLETRANSLATE(A11294,""en"",""pt"")"),"Quando eu sento aqui, observando o MTV Movie Awards, lembro-me do quanto eu desprezava o filme Brokeback Mountain.")</f>
        <v>Quando eu sento aqui, observando o MTV Movie Awards, lembro-me do quanto eu desprezava o filme Brokeback Mountain.</v>
      </c>
      <c r="B11294" s="3">
        <v>0</v>
      </c>
    </row>
    <row r="11295" ht="15.75" customHeight="1" spans="1:2">
      <c r="A11295" s="3" t="str">
        <f>IFERROR(__xludf.DUMMYFUNCTION("GOOGLETRANSLATE(A11295,""en"",""pt"")"),"montanha Brokeback Ok é um filme horrível.")</f>
        <v>montanha Brokeback Ok é um filme horrível.</v>
      </c>
      <c r="B11295" s="3">
        <v>0</v>
      </c>
    </row>
    <row r="11296" ht="15.75" customHeight="1" spans="1:2">
      <c r="A11296" s="3" t="str">
        <f>IFERROR(__xludf.DUMMYFUNCTION("GOOGLETRANSLATE(A11296,""en"",""pt"")"),"Ah, e Brokeback Mountain era um filme terrível.")</f>
        <v>Ah, e Brokeback Mountain era um filme terrível.</v>
      </c>
      <c r="B11296" s="3">
        <v>0</v>
      </c>
    </row>
    <row r="11297" ht="15.75" customHeight="1" spans="1:2">
      <c r="A11297" s="3" t="str">
        <f>IFERROR(__xludf.DUMMYFUNCTION("GOOGLETRANSLATE(A11297,""en"",""pt"")"),"Brokeback Mountain é foda horrível ..")</f>
        <v>Brokeback Mountain é foda horrível ..</v>
      </c>
      <c r="B11297" s="3">
        <v>0</v>
      </c>
    </row>
    <row r="11298" ht="15.75" customHeight="1" spans="1:2">
      <c r="A11298" s="3" t="str">
        <f>IFERROR(__xludf.DUMMYFUNCTION("GOOGLETRANSLATE(A11298,""en"",""pt"")"),"Então escapado em Brokeback Mountain, que é o filme mais deprimente que eu já vi ..")</f>
        <v>Então escapado em Brokeback Mountain, que é o filme mais deprimente que eu já vi ..</v>
      </c>
      <c r="B11298" s="3">
        <v>0</v>
      </c>
    </row>
    <row r="11299" ht="15.75" customHeight="1" spans="1:2">
      <c r="A11299" s="3" t="str">
        <f>IFERROR(__xludf.DUMMYFUNCTION("GOOGLETRANSLATE(A11299,""en"",""pt"")"),"Meu pai está sendo estúpido sobre montanha Brokeback ...")</f>
        <v>Meu pai está sendo estúpido sobre montanha Brokeback ...</v>
      </c>
      <c r="B11299" s="3">
        <v>0</v>
      </c>
    </row>
    <row r="11300" ht="15.75" customHeight="1" spans="1:2">
      <c r="A11300" s="3" t="str">
        <f>IFERROR(__xludf.DUMMYFUNCTION("GOOGLETRANSLATE(A11300,""en"",""pt"")"),"Ah, e Brokeback Mountain é um filme terrível ...")</f>
        <v>Ah, e Brokeback Mountain é um filme terrível ...</v>
      </c>
      <c r="B11300" s="3">
        <v>0</v>
      </c>
    </row>
    <row r="11301" ht="15.75" customHeight="1" spans="1:2">
      <c r="A11301" s="3" t="str">
        <f>IFERROR(__xludf.DUMMYFUNCTION("GOOGLETRANSLATE(A11301,""en"",""pt"")"),"Brokeback Mountain foi chato.")</f>
        <v>Brokeback Mountain foi chato.</v>
      </c>
      <c r="B11301" s="3">
        <v>0</v>
      </c>
    </row>
    <row r="11302" ht="15.75" customHeight="1" spans="1:2">
      <c r="A11302" s="3" t="str">
        <f>IFERROR(__xludf.DUMMYFUNCTION("GOOGLETRANSLATE(A11302,""en"",""pt"")"),"Então Brokeback Mountain foi realmente deprimente.")</f>
        <v>Então Brokeback Mountain foi realmente deprimente.</v>
      </c>
      <c r="B11302" s="3">
        <v>0</v>
      </c>
    </row>
    <row r="11303" ht="15.75" customHeight="1" spans="1:2">
      <c r="A11303" s="3" t="str">
        <f>IFERROR(__xludf.DUMMYFUNCTION("GOOGLETRANSLATE(A11303,""en"",""pt"")"),"Quando eu sento aqui, observando o MTV Movie Awards, lembro-me do quanto eu desprezava o filme Brokeback Mountain.")</f>
        <v>Quando eu sento aqui, observando o MTV Movie Awards, lembro-me do quanto eu desprezava o filme Brokeback Mountain.</v>
      </c>
      <c r="B11303" s="3">
        <v>0</v>
      </c>
    </row>
    <row r="11304" ht="15.75" customHeight="1" spans="1:2">
      <c r="A11304" s="3" t="str">
        <f>IFERROR(__xludf.DUMMYFUNCTION("GOOGLETRANSLATE(A11304,""en"",""pt"")"),"montanha Brokeback Ok é um filme horrível.")</f>
        <v>montanha Brokeback Ok é um filme horrível.</v>
      </c>
      <c r="B11304" s="3">
        <v>0</v>
      </c>
    </row>
    <row r="11305" ht="15.75" customHeight="1" spans="1:2">
      <c r="A11305" s="3" t="str">
        <f>IFERROR(__xludf.DUMMYFUNCTION("GOOGLETRANSLATE(A11305,""en"",""pt"")"),"Ah, e Brokeback Mountain era um filme terrível.")</f>
        <v>Ah, e Brokeback Mountain era um filme terrível.</v>
      </c>
      <c r="B11305" s="3">
        <v>0</v>
      </c>
    </row>
    <row r="11306" ht="15.75" customHeight="1" spans="1:2">
      <c r="A11306" s="3" t="str">
        <f>IFERROR(__xludf.DUMMYFUNCTION("GOOGLETRANSLATE(A11306,""en"",""pt"")"),"Brokeback Mountain é foda horrível ..")</f>
        <v>Brokeback Mountain é foda horrível ..</v>
      </c>
      <c r="B11306" s="3">
        <v>0</v>
      </c>
    </row>
    <row r="11307" ht="15.75" customHeight="1" spans="1:2">
      <c r="A11307" s="3" t="str">
        <f>IFERROR(__xludf.DUMMYFUNCTION("GOOGLETRANSLATE(A11307,""en"",""pt"")"),"Então escapado em Brokeback Mountain, que é o filme mais deprimente que eu já vi ..")</f>
        <v>Então escapado em Brokeback Mountain, que é o filme mais deprimente que eu já vi ..</v>
      </c>
      <c r="B11307" s="3">
        <v>0</v>
      </c>
    </row>
    <row r="11308" ht="15.75" customHeight="1" spans="1:2">
      <c r="A11308" s="3" t="str">
        <f>IFERROR(__xludf.DUMMYFUNCTION("GOOGLETRANSLATE(A11308,""en"",""pt"")"),"Meu pai está sendo estúpido sobre montanha Brokeback ...")</f>
        <v>Meu pai está sendo estúpido sobre montanha Brokeback ...</v>
      </c>
      <c r="B11308" s="3">
        <v>0</v>
      </c>
    </row>
    <row r="11309" ht="15.75" customHeight="1" spans="1:2">
      <c r="A11309" s="3" t="str">
        <f>IFERROR(__xludf.DUMMYFUNCTION("GOOGLETRANSLATE(A11309,""en"",""pt"")"),"Ah, e Brokeback Mountain é um filme terrível ...")</f>
        <v>Ah, e Brokeback Mountain é um filme terrível ...</v>
      </c>
      <c r="B11309" s="3">
        <v>0</v>
      </c>
    </row>
    <row r="11310" ht="15.75" customHeight="1" spans="1:2">
      <c r="A11310" s="3" t="str">
        <f>IFERROR(__xludf.DUMMYFUNCTION("GOOGLETRANSLATE(A11310,""en"",""pt"")"),"Brokeback Mountain foi chato.")</f>
        <v>Brokeback Mountain foi chato.</v>
      </c>
      <c r="B11310" s="3">
        <v>0</v>
      </c>
    </row>
    <row r="11311" ht="15.75" customHeight="1" spans="1:2">
      <c r="A11311" s="3" t="str">
        <f>IFERROR(__xludf.DUMMYFUNCTION("GOOGLETRANSLATE(A11311,""en"",""pt"")"),"Então Brokeback Mountain foi realmente deprimente.")</f>
        <v>Então Brokeback Mountain foi realmente deprimente.</v>
      </c>
      <c r="B11311" s="3">
        <v>0</v>
      </c>
    </row>
    <row r="11312" ht="15.75" customHeight="1" spans="1:2">
      <c r="A11312" s="3" t="str">
        <f>IFERROR(__xludf.DUMMYFUNCTION("GOOGLETRANSLATE(A11312,""en"",""pt"")"),"Quando eu sento aqui, observando o MTV Movie Awards, lembro-me do quanto eu desprezava o filme Brokeback Mountain.")</f>
        <v>Quando eu sento aqui, observando o MTV Movie Awards, lembro-me do quanto eu desprezava o filme Brokeback Mountain.</v>
      </c>
      <c r="B11312" s="3">
        <v>0</v>
      </c>
    </row>
    <row r="11313" ht="15.75" customHeight="1" spans="1:2">
      <c r="A11313" s="3" t="str">
        <f>IFERROR(__xludf.DUMMYFUNCTION("GOOGLETRANSLATE(A11313,""en"",""pt"")"),"montanha Brokeback Ok é um filme horrível.")</f>
        <v>montanha Brokeback Ok é um filme horrível.</v>
      </c>
      <c r="B11313" s="3">
        <v>0</v>
      </c>
    </row>
    <row r="11314" ht="15.75" customHeight="1" spans="1:2">
      <c r="A11314" s="3" t="str">
        <f>IFERROR(__xludf.DUMMYFUNCTION("GOOGLETRANSLATE(A11314,""en"",""pt"")"),"Ah, e Brokeback Mountain era um filme terrível.")</f>
        <v>Ah, e Brokeback Mountain era um filme terrível.</v>
      </c>
      <c r="B11314" s="3">
        <v>0</v>
      </c>
    </row>
    <row r="11315" ht="15.75" customHeight="1" spans="1:2">
      <c r="A11315" s="3" t="str">
        <f>IFERROR(__xludf.DUMMYFUNCTION("GOOGLETRANSLATE(A11315,""en"",""pt"")"),"Brokeback Mountain é foda horrível ..")</f>
        <v>Brokeback Mountain é foda horrível ..</v>
      </c>
      <c r="B11315" s="3">
        <v>0</v>
      </c>
    </row>
    <row r="11316" ht="15.75" customHeight="1" spans="1:2">
      <c r="A11316" s="3" t="str">
        <f>IFERROR(__xludf.DUMMYFUNCTION("GOOGLETRANSLATE(A11316,""en"",""pt"")"),"Então escapado em Brokeback Mountain, que é o filme mais deprimente que eu já vi ..")</f>
        <v>Então escapado em Brokeback Mountain, que é o filme mais deprimente que eu já vi ..</v>
      </c>
      <c r="B11316" s="3">
        <v>0</v>
      </c>
    </row>
    <row r="11317" ht="15.75" customHeight="1" spans="1:2">
      <c r="A11317" s="3" t="str">
        <f>IFERROR(__xludf.DUMMYFUNCTION("GOOGLETRANSLATE(A11317,""en"",""pt"")"),"Meu pai está sendo estúpido sobre montanha Brokeback ...")</f>
        <v>Meu pai está sendo estúpido sobre montanha Brokeback ...</v>
      </c>
      <c r="B11317" s="3">
        <v>0</v>
      </c>
    </row>
    <row r="11318" ht="15.75" customHeight="1" spans="1:2">
      <c r="A11318" s="3" t="str">
        <f>IFERROR(__xludf.DUMMYFUNCTION("GOOGLETRANSLATE(A11318,""en"",""pt"")"),"Ah, e Brokeback Mountain é um filme terrível ...")</f>
        <v>Ah, e Brokeback Mountain é um filme terrível ...</v>
      </c>
      <c r="B11318" s="3">
        <v>0</v>
      </c>
    </row>
    <row r="11319" ht="15.75" customHeight="1" spans="1:2">
      <c r="A11319" s="3" t="str">
        <f>IFERROR(__xludf.DUMMYFUNCTION("GOOGLETRANSLATE(A11319,""en"",""pt"")"),"Brokeback Mountain foi chato.")</f>
        <v>Brokeback Mountain foi chato.</v>
      </c>
      <c r="B11319" s="3">
        <v>0</v>
      </c>
    </row>
    <row r="11320" ht="15.75" customHeight="1" spans="1:2">
      <c r="A11320" s="3" t="str">
        <f>IFERROR(__xludf.DUMMYFUNCTION("GOOGLETRANSLATE(A11320,""en"",""pt"")"),"Então Brokeback Mountain foi realmente deprimente.")</f>
        <v>Então Brokeback Mountain foi realmente deprimente.</v>
      </c>
      <c r="B11320" s="3">
        <v>0</v>
      </c>
    </row>
    <row r="11321" ht="15.75" customHeight="1" spans="1:2">
      <c r="A11321" s="3" t="str">
        <f>IFERROR(__xludf.DUMMYFUNCTION("GOOGLETRANSLATE(A11321,""en"",""pt"")"),"Quando eu sento aqui, observando o MTV Movie Awards, lembro-me do quanto eu desprezava o filme Brokeback Mountain.")</f>
        <v>Quando eu sento aqui, observando o MTV Movie Awards, lembro-me do quanto eu desprezava o filme Brokeback Mountain.</v>
      </c>
      <c r="B11321" s="3">
        <v>0</v>
      </c>
    </row>
    <row r="11322" ht="15.75" customHeight="1" spans="1:2">
      <c r="A11322" s="3" t="str">
        <f>IFERROR(__xludf.DUMMYFUNCTION("GOOGLETRANSLATE(A11322,""en"",""pt"")"),"montanha Brokeback Ok é um filme horrível.")</f>
        <v>montanha Brokeback Ok é um filme horrível.</v>
      </c>
      <c r="B11322" s="3">
        <v>0</v>
      </c>
    </row>
    <row r="11323" ht="15.75" customHeight="1" spans="1:2">
      <c r="A11323" s="3" t="str">
        <f>IFERROR(__xludf.DUMMYFUNCTION("GOOGLETRANSLATE(A11323,""en"",""pt"")"),"Ah, e Brokeback Mountain era um filme terrível.")</f>
        <v>Ah, e Brokeback Mountain era um filme terrível.</v>
      </c>
      <c r="B11323" s="3">
        <v>0</v>
      </c>
    </row>
    <row r="11324" ht="15.75" customHeight="1" spans="1:2">
      <c r="A11324" s="3" t="str">
        <f>IFERROR(__xludf.DUMMYFUNCTION("GOOGLETRANSLATE(A11324,""en"",""pt"")"),"Brokeback Mountain é foda horrível ..")</f>
        <v>Brokeback Mountain é foda horrível ..</v>
      </c>
      <c r="B11324" s="3">
        <v>0</v>
      </c>
    </row>
    <row r="11325" ht="15.75" customHeight="1" spans="1:2">
      <c r="A11325" s="3" t="s">
        <v>52</v>
      </c>
      <c r="B11325" s="3">
        <v>0</v>
      </c>
    </row>
    <row r="11326" ht="15.75" customHeight="1" spans="1:2">
      <c r="A11326" s="3" t="str">
        <f>IFERROR(__xludf.DUMMYFUNCTION("GOOGLETRANSLATE(A11326,""en"",""pt"")"),"Meu pai está sendo estúpido sobre montanha Brokeback ...")</f>
        <v>Meu pai está sendo estúpido sobre montanha Brokeback ...</v>
      </c>
      <c r="B11326" s="3">
        <v>0</v>
      </c>
    </row>
    <row r="11327" ht="15.75" customHeight="1" spans="1:2">
      <c r="A11327" s="3" t="str">
        <f>IFERROR(__xludf.DUMMYFUNCTION("GOOGLETRANSLATE(A11327,""en"",""pt"")"),"Ah, e Brokeback Mountain é um filme terrível ...")</f>
        <v>Ah, e Brokeback Mountain é um filme terrível ...</v>
      </c>
      <c r="B11327" s="3">
        <v>0</v>
      </c>
    </row>
    <row r="11328" ht="15.75" customHeight="1" spans="1:2">
      <c r="A11328" s="3" t="str">
        <f>IFERROR(__xludf.DUMMYFUNCTION("GOOGLETRANSLATE(A11328,""en"",""pt"")"),"Brokeback Mountain foi chato.")</f>
        <v>Brokeback Mountain foi chato.</v>
      </c>
      <c r="B11328" s="3">
        <v>0</v>
      </c>
    </row>
    <row r="11329" ht="15.75" customHeight="1" spans="1:2">
      <c r="A11329" s="3" t="str">
        <f>IFERROR(__xludf.DUMMYFUNCTION("GOOGLETRANSLATE(A11329,""en"",""pt"")"),"Então Brokeback Mountain foi realmente deprimente.")</f>
        <v>Então Brokeback Mountain foi realmente deprimente.</v>
      </c>
      <c r="B11329" s="3">
        <v>0</v>
      </c>
    </row>
    <row r="11330" ht="15.75" customHeight="1" spans="1:2">
      <c r="A11330" s="3" t="str">
        <f>IFERROR(__xludf.DUMMYFUNCTION("GOOGLETRANSLATE(A11330,""en"",""pt"")"),"Quando eu sento aqui, observando o MTV Movie Awards, lembro-me do quanto eu desprezava o filme Brokeback Mountain.")</f>
        <v>Quando eu sento aqui, observando o MTV Movie Awards, lembro-me do quanto eu desprezava o filme Brokeback Mountain.</v>
      </c>
      <c r="B11330" s="3">
        <v>0</v>
      </c>
    </row>
    <row r="11331" ht="15.75" customHeight="1" spans="1:2">
      <c r="A11331" s="3" t="str">
        <f>IFERROR(__xludf.DUMMYFUNCTION("GOOGLETRANSLATE(A11331,""en"",""pt"")"),"montanha Brokeback Ok é um filme horrível.")</f>
        <v>montanha Brokeback Ok é um filme horrível.</v>
      </c>
      <c r="B11331" s="3">
        <v>0</v>
      </c>
    </row>
    <row r="11332" ht="15.75" customHeight="1" spans="1:2">
      <c r="A11332" s="3" t="str">
        <f>IFERROR(__xludf.DUMMYFUNCTION("GOOGLETRANSLATE(A11332,""en"",""pt"")"),"Ah, e Brokeback Mountain era um filme terrível.")</f>
        <v>Ah, e Brokeback Mountain era um filme terrível.</v>
      </c>
      <c r="B11332" s="3">
        <v>0</v>
      </c>
    </row>
    <row r="11333" ht="15.75" customHeight="1" spans="1:2">
      <c r="A11333" s="3" t="str">
        <f>IFERROR(__xludf.DUMMYFUNCTION("GOOGLETRANSLATE(A11333,""en"",""pt"")"),"Brokeback Mountain é foda horrível ..")</f>
        <v>Brokeback Mountain é foda horrível ..</v>
      </c>
      <c r="B11333" s="3">
        <v>0</v>
      </c>
    </row>
    <row r="11334" ht="15.75" customHeight="1" spans="1:2">
      <c r="A11334" s="3" t="str">
        <f>IFERROR(__xludf.DUMMYFUNCTION("GOOGLETRANSLATE(A11334,""en"",""pt"")"),"Então escapado em Brokeback Mountain, que é o filme mais deprimente que eu já vi ..")</f>
        <v>Então escapado em Brokeback Mountain, que é o filme mais deprimente que eu já vi ..</v>
      </c>
      <c r="B11334" s="3">
        <v>0</v>
      </c>
    </row>
    <row r="11335" ht="15.75" customHeight="1" spans="1:2">
      <c r="A11335" s="3" t="str">
        <f>IFERROR(__xludf.DUMMYFUNCTION("GOOGLETRANSLATE(A11335,""en"",""pt"")"),"Meu pai está sendo estúpido sobre montanha Brokeback ...")</f>
        <v>Meu pai está sendo estúpido sobre montanha Brokeback ...</v>
      </c>
      <c r="B11335" s="3">
        <v>0</v>
      </c>
    </row>
    <row r="11336" ht="15.75" customHeight="1" spans="1:2">
      <c r="A11336" s="3" t="str">
        <f>IFERROR(__xludf.DUMMYFUNCTION("GOOGLETRANSLATE(A11336,""en"",""pt"")"),"Ah, e Brokeback Mountain é um filme terrível ...")</f>
        <v>Ah, e Brokeback Mountain é um filme terrível ...</v>
      </c>
      <c r="B11336" s="3">
        <v>0</v>
      </c>
    </row>
    <row r="11337" ht="15.75" customHeight="1" spans="1:2">
      <c r="A11337" s="3" t="str">
        <f>IFERROR(__xludf.DUMMYFUNCTION("GOOGLETRANSLATE(A11337,""en"",""pt"")"),"Brokeback Mountain foi chato.")</f>
        <v>Brokeback Mountain foi chato.</v>
      </c>
      <c r="B11337" s="3">
        <v>0</v>
      </c>
    </row>
    <row r="11338" ht="15.75" customHeight="1" spans="1:2">
      <c r="A11338" s="3" t="str">
        <f>IFERROR(__xludf.DUMMYFUNCTION("GOOGLETRANSLATE(A11338,""en"",""pt"")"),"Então Brokeback Mountain foi realmente deprimente.")</f>
        <v>Então Brokeback Mountain foi realmente deprimente.</v>
      </c>
      <c r="B11338" s="3">
        <v>0</v>
      </c>
    </row>
    <row r="11339" ht="15.75" customHeight="1" spans="1:2">
      <c r="A11339" s="3" t="str">
        <f>IFERROR(__xludf.DUMMYFUNCTION("GOOGLETRANSLATE(A11339,""en"",""pt"")"),"Quando eu sento aqui, observando o MTV Movie Awards, lembro-me do quanto eu desprezava o filme Brokeback Mountain.")</f>
        <v>Quando eu sento aqui, observando o MTV Movie Awards, lembro-me do quanto eu desprezava o filme Brokeback Mountain.</v>
      </c>
      <c r="B11339" s="3">
        <v>0</v>
      </c>
    </row>
    <row r="11340" ht="15.75" customHeight="1" spans="1:2">
      <c r="A11340" s="3" t="str">
        <f>IFERROR(__xludf.DUMMYFUNCTION("GOOGLETRANSLATE(A11340,""en"",""pt"")"),"montanha Brokeback Ok é um filme horrível.")</f>
        <v>montanha Brokeback Ok é um filme horrível.</v>
      </c>
      <c r="B11340" s="3">
        <v>0</v>
      </c>
    </row>
    <row r="11341" ht="15.75" customHeight="1" spans="1:2">
      <c r="A11341" s="3" t="str">
        <f>IFERROR(__xludf.DUMMYFUNCTION("GOOGLETRANSLATE(A11341,""en"",""pt"")"),"Ah, e Brokeback Mountain era um filme terrível.")</f>
        <v>Ah, e Brokeback Mountain era um filme terrível.</v>
      </c>
      <c r="B11341" s="3">
        <v>0</v>
      </c>
    </row>
    <row r="11342" ht="15.75" customHeight="1" spans="1:2">
      <c r="A11342" s="3" t="str">
        <f>IFERROR(__xludf.DUMMYFUNCTION("GOOGLETRANSLATE(A11342,""en"",""pt"")"),"Brokeback Mountain é foda horrível ..")</f>
        <v>Brokeback Mountain é foda horrível ..</v>
      </c>
      <c r="B11342" s="3">
        <v>0</v>
      </c>
    </row>
    <row r="11343" ht="15.75" customHeight="1" spans="1:2">
      <c r="A11343" s="3" t="str">
        <f>IFERROR(__xludf.DUMMYFUNCTION("GOOGLETRANSLATE(A11343,""en"",""pt"")"),"Então escapado em Brokeback Mountain, que é o filme mais deprimente que eu já vi ..")</f>
        <v>Então escapado em Brokeback Mountain, que é o filme mais deprimente que eu já vi ..</v>
      </c>
      <c r="B11343" s="3">
        <v>0</v>
      </c>
    </row>
    <row r="11344" ht="15.75" customHeight="1" spans="1:2">
      <c r="A11344" s="3" t="str">
        <f>IFERROR(__xludf.DUMMYFUNCTION("GOOGLETRANSLATE(A11344,""en"",""pt"")"),"Meu pai está sendo estúpido sobre montanha Brokeback ...")</f>
        <v>Meu pai está sendo estúpido sobre montanha Brokeback ...</v>
      </c>
      <c r="B11344" s="3">
        <v>0</v>
      </c>
    </row>
    <row r="11345" ht="15.75" customHeight="1" spans="1:2">
      <c r="A11345" s="3" t="str">
        <f>IFERROR(__xludf.DUMMYFUNCTION("GOOGLETRANSLATE(A11345,""en"",""pt"")"),"Ah, e Brokeback Mountain é um filme terrível ...")</f>
        <v>Ah, e Brokeback Mountain é um filme terrível ...</v>
      </c>
      <c r="B11345" s="3">
        <v>0</v>
      </c>
    </row>
    <row r="11346" ht="15.75" customHeight="1" spans="1:2">
      <c r="A11346" s="3" t="str">
        <f>IFERROR(__xludf.DUMMYFUNCTION("GOOGLETRANSLATE(A11346,""en"",""pt"")"),"Brokeback Mountain foi chato.")</f>
        <v>Brokeback Mountain foi chato.</v>
      </c>
      <c r="B11346" s="3">
        <v>0</v>
      </c>
    </row>
    <row r="11347" ht="15.75" customHeight="1" spans="1:2">
      <c r="A11347" s="3" t="str">
        <f>IFERROR(__xludf.DUMMYFUNCTION("GOOGLETRANSLATE(A11347,""en"",""pt"")"),"Então Brokeback Mountain foi realmente deprimente.")</f>
        <v>Então Brokeback Mountain foi realmente deprimente.</v>
      </c>
      <c r="B11347" s="3">
        <v>0</v>
      </c>
    </row>
    <row r="11348" ht="15.75" customHeight="1" spans="1:2">
      <c r="A11348" s="3" t="str">
        <f>IFERROR(__xludf.DUMMYFUNCTION("GOOGLETRANSLATE(A11348,""en"",""pt"")"),"Quando eu sento aqui, observando o MTV Movie Awards, lembro-me do quanto eu desprezava o filme Brokeback Mountain.")</f>
        <v>Quando eu sento aqui, observando o MTV Movie Awards, lembro-me do quanto eu desprezava o filme Brokeback Mountain.</v>
      </c>
      <c r="B11348" s="3">
        <v>0</v>
      </c>
    </row>
    <row r="11349" ht="15.75" customHeight="1" spans="1:2">
      <c r="A11349" s="3" t="str">
        <f>IFERROR(__xludf.DUMMYFUNCTION("GOOGLETRANSLATE(A11349,""en"",""pt"")"),"montanha Brokeback Ok é um filme horrível.")</f>
        <v>montanha Brokeback Ok é um filme horrível.</v>
      </c>
      <c r="B11349" s="3">
        <v>0</v>
      </c>
    </row>
    <row r="11350" ht="15.75" customHeight="1" spans="1:2">
      <c r="A11350" s="3" t="s">
        <v>53</v>
      </c>
      <c r="B11350" s="3">
        <v>0</v>
      </c>
    </row>
    <row r="11351" ht="15.75" customHeight="1" spans="1:2">
      <c r="A11351" s="3" t="str">
        <f>IFERROR(__xludf.DUMMYFUNCTION("GOOGLETRANSLATE(A11351,""en"",""pt"")"),"Brokeback Mountain é foda horrível ..")</f>
        <v>Brokeback Mountain é foda horrível ..</v>
      </c>
      <c r="B11351" s="3">
        <v>0</v>
      </c>
    </row>
    <row r="11352" ht="15.75" customHeight="1" spans="1:2">
      <c r="A11352" s="3" t="str">
        <f>IFERROR(__xludf.DUMMYFUNCTION("GOOGLETRANSLATE(A11352,""en"",""pt"")"),"Então escapado em Brokeback Mountain, que é o filme mais deprimente que eu já vi ..")</f>
        <v>Então escapado em Brokeback Mountain, que é o filme mais deprimente que eu já vi ..</v>
      </c>
      <c r="B11352" s="3">
        <v>0</v>
      </c>
    </row>
    <row r="11353" ht="15.75" customHeight="1" spans="1:2">
      <c r="A11353" s="3" t="str">
        <f>IFERROR(__xludf.DUMMYFUNCTION("GOOGLETRANSLATE(A11353,""en"",""pt"")"),"Meu pai está sendo estúpido sobre montanha Brokeback ...")</f>
        <v>Meu pai está sendo estúpido sobre montanha Brokeback ...</v>
      </c>
      <c r="B11353" s="3">
        <v>0</v>
      </c>
    </row>
    <row r="11354" ht="15.75" customHeight="1" spans="1:2">
      <c r="A11354" s="3" t="str">
        <f>IFERROR(__xludf.DUMMYFUNCTION("GOOGLETRANSLATE(A11354,""en"",""pt"")"),"Ah, e Brokeback Mountain é um filme terrível ...")</f>
        <v>Ah, e Brokeback Mountain é um filme terrível ...</v>
      </c>
      <c r="B11354" s="3">
        <v>0</v>
      </c>
    </row>
    <row r="11355" ht="15.75" customHeight="1" spans="1:2">
      <c r="A11355" s="3" t="s">
        <v>54</v>
      </c>
      <c r="B11355" s="3">
        <v>0</v>
      </c>
    </row>
    <row r="11356" ht="15.75" customHeight="1" spans="1:2">
      <c r="A11356" s="3" t="str">
        <f>IFERROR(__xludf.DUMMYFUNCTION("GOOGLETRANSLATE(A11356,""en"",""pt"")"),"Então Brokeback Mountain foi realmente deprimente.")</f>
        <v>Então Brokeback Mountain foi realmente deprimente.</v>
      </c>
      <c r="B11356" s="3">
        <v>0</v>
      </c>
    </row>
    <row r="11357" ht="15.75" customHeight="1" spans="1:2">
      <c r="A11357" s="3" t="str">
        <f>IFERROR(__xludf.DUMMYFUNCTION("GOOGLETRANSLATE(A11357,""en"",""pt"")"),"Quando eu sento aqui, observando o MTV Movie Awards, lembro-me do quanto eu desprezava o filme Brokeback Mountain.")</f>
        <v>Quando eu sento aqui, observando o MTV Movie Awards, lembro-me do quanto eu desprezava o filme Brokeback Mountain.</v>
      </c>
      <c r="B11357" s="3">
        <v>0</v>
      </c>
    </row>
    <row r="11358" ht="15.75" customHeight="1" spans="1:2">
      <c r="A11358" s="3" t="str">
        <f>IFERROR(__xludf.DUMMYFUNCTION("GOOGLETRANSLATE(A11358,""en"",""pt"")"),"montanha Brokeback Ok é um filme horrível.")</f>
        <v>montanha Brokeback Ok é um filme horrível.</v>
      </c>
      <c r="B11358" s="3">
        <v>0</v>
      </c>
    </row>
    <row r="11359" ht="15.75" customHeight="1" spans="1:2">
      <c r="A11359" s="3" t="str">
        <f>IFERROR(__xludf.DUMMYFUNCTION("GOOGLETRANSLATE(A11359,""en"",""pt"")"),"Ah, e Brokeback Mountain era um filme terrível.")</f>
        <v>Ah, e Brokeback Mountain era um filme terrível.</v>
      </c>
      <c r="B11359" s="3">
        <v>0</v>
      </c>
    </row>
    <row r="11360" ht="15.75" customHeight="1" spans="1:2">
      <c r="A11360" s="3" t="str">
        <f>IFERROR(__xludf.DUMMYFUNCTION("GOOGLETRANSLATE(A11360,""en"",""pt"")"),"Brokeback Mountain é foda horrível ..")</f>
        <v>Brokeback Mountain é foda horrível ..</v>
      </c>
      <c r="B11360" s="3">
        <v>0</v>
      </c>
    </row>
    <row r="11361" ht="15.75" customHeight="1" spans="1:2">
      <c r="A11361" s="3" t="str">
        <f>IFERROR(__xludf.DUMMYFUNCTION("GOOGLETRANSLATE(A11361,""en"",""pt"")"),"Então escapado em Brokeback Mountain, que é o filme mais deprimente que eu já vi ..")</f>
        <v>Então escapado em Brokeback Mountain, que é o filme mais deprimente que eu já vi ..</v>
      </c>
      <c r="B11361" s="3">
        <v>0</v>
      </c>
    </row>
    <row r="11362" ht="15.75" customHeight="1" spans="1:2">
      <c r="A11362" s="3" t="str">
        <f>IFERROR(__xludf.DUMMYFUNCTION("GOOGLETRANSLATE(A11362,""en"",""pt"")"),"Meu pai está sendo estúpido sobre montanha Brokeback ...")</f>
        <v>Meu pai está sendo estúpido sobre montanha Brokeback ...</v>
      </c>
      <c r="B11362" s="3">
        <v>0</v>
      </c>
    </row>
    <row r="11363" ht="15.75" customHeight="1" spans="1:2">
      <c r="A11363" s="3" t="str">
        <f>IFERROR(__xludf.DUMMYFUNCTION("GOOGLETRANSLATE(A11363,""en"",""pt"")"),"Ah, e Brokeback Mountain é um filme terrível ...")</f>
        <v>Ah, e Brokeback Mountain é um filme terrível ...</v>
      </c>
      <c r="B11363" s="3">
        <v>0</v>
      </c>
    </row>
    <row r="11364" ht="15.75" customHeight="1" spans="1:2">
      <c r="A11364" s="3" t="str">
        <f>IFERROR(__xludf.DUMMYFUNCTION("GOOGLETRANSLATE(A11364,""en"",""pt"")"),"Brokeback Mountain foi chato.")</f>
        <v>Brokeback Mountain foi chato.</v>
      </c>
      <c r="B11364" s="3">
        <v>0</v>
      </c>
    </row>
    <row r="11365" ht="15.75" customHeight="1" spans="1:2">
      <c r="A11365" s="3" t="str">
        <f>IFERROR(__xludf.DUMMYFUNCTION("GOOGLETRANSLATE(A11365,""en"",""pt"")"),"Então Brokeback Mountain foi realmente deprimente.")</f>
        <v>Então Brokeback Mountain foi realmente deprimente.</v>
      </c>
      <c r="B11365" s="3">
        <v>0</v>
      </c>
    </row>
    <row r="11366" ht="15.75" customHeight="1" spans="1:2">
      <c r="A11366" s="3" t="str">
        <f>IFERROR(__xludf.DUMMYFUNCTION("GOOGLETRANSLATE(A11366,""en"",""pt"")"),"Quando eu sento aqui, observando o MTV Movie Awards, lembro-me do quanto eu desprezava o filme Brokeback Mountain.")</f>
        <v>Quando eu sento aqui, observando o MTV Movie Awards, lembro-me do quanto eu desprezava o filme Brokeback Mountain.</v>
      </c>
      <c r="B11366" s="3">
        <v>0</v>
      </c>
    </row>
    <row r="11367" ht="15.75" customHeight="1" spans="1:2">
      <c r="A11367" s="3" t="str">
        <f>IFERROR(__xludf.DUMMYFUNCTION("GOOGLETRANSLATE(A11367,""en"",""pt"")"),"montanha Brokeback Ok é um filme horrível.")</f>
        <v>montanha Brokeback Ok é um filme horrível.</v>
      </c>
      <c r="B11367" s="3">
        <v>0</v>
      </c>
    </row>
    <row r="11368" ht="15.75" customHeight="1" spans="1:2">
      <c r="A11368" s="3" t="str">
        <f>IFERROR(__xludf.DUMMYFUNCTION("GOOGLETRANSLATE(A11368,""en"",""pt"")"),"Ah, e Brokeback Mountain era um filme terrível.")</f>
        <v>Ah, e Brokeback Mountain era um filme terrível.</v>
      </c>
      <c r="B11368" s="3">
        <v>0</v>
      </c>
    </row>
    <row r="11369" ht="15.75" customHeight="1" spans="1:2">
      <c r="A11369" s="3" t="str">
        <f>IFERROR(__xludf.DUMMYFUNCTION("GOOGLETRANSLATE(A11369,""en"",""pt"")"),"Brokeback Mountain é foda horrível ..")</f>
        <v>Brokeback Mountain é foda horrível ..</v>
      </c>
      <c r="B11369" s="3">
        <v>0</v>
      </c>
    </row>
    <row r="11370" ht="15.75" customHeight="1" spans="1:2">
      <c r="A11370" s="3" t="str">
        <f>IFERROR(__xludf.DUMMYFUNCTION("GOOGLETRANSLATE(A11370,""en"",""pt"")"),"Então escapado em Brokeback Mountain, que é o filme mais deprimente que eu já vi ..")</f>
        <v>Então escapado em Brokeback Mountain, que é o filme mais deprimente que eu já vi ..</v>
      </c>
      <c r="B11370" s="3">
        <v>0</v>
      </c>
    </row>
    <row r="11371" ht="15.75" customHeight="1" spans="1:2">
      <c r="A11371" s="3" t="str">
        <f>IFERROR(__xludf.DUMMYFUNCTION("GOOGLETRANSLATE(A11371,""en"",""pt"")"),"Meu pai está sendo estúpido sobre montanha Brokeback ...")</f>
        <v>Meu pai está sendo estúpido sobre montanha Brokeback ...</v>
      </c>
      <c r="B11371" s="3">
        <v>0</v>
      </c>
    </row>
    <row r="11372" ht="15.75" customHeight="1" spans="1:2">
      <c r="A11372" s="3" t="str">
        <f>IFERROR(__xludf.DUMMYFUNCTION("GOOGLETRANSLATE(A11372,""en"",""pt"")"),"Ah, e Brokeback Mountain é um filme terrível ...")</f>
        <v>Ah, e Brokeback Mountain é um filme terrível ...</v>
      </c>
      <c r="B11372" s="3">
        <v>0</v>
      </c>
    </row>
    <row r="11373" ht="15.75" customHeight="1" spans="1:2">
      <c r="A11373" s="3" t="str">
        <f>IFERROR(__xludf.DUMMYFUNCTION("GOOGLETRANSLATE(A11373,""en"",""pt"")"),"Brokeback Mountain foi chato.")</f>
        <v>Brokeback Mountain foi chato.</v>
      </c>
      <c r="B11373" s="3">
        <v>0</v>
      </c>
    </row>
    <row r="11374" ht="15.75" customHeight="1" spans="1:2">
      <c r="A11374" s="3" t="str">
        <f>IFERROR(__xludf.DUMMYFUNCTION("GOOGLETRANSLATE(A11374,""en"",""pt"")"),"Então Brokeback Mountain foi realmente deprimente.")</f>
        <v>Então Brokeback Mountain foi realmente deprimente.</v>
      </c>
      <c r="B11374" s="3">
        <v>0</v>
      </c>
    </row>
    <row r="11375" ht="15.75" customHeight="1" spans="1:2">
      <c r="A11375" s="3" t="str">
        <f>IFERROR(__xludf.DUMMYFUNCTION("GOOGLETRANSLATE(A11375,""en"",""pt"")"),"Quando eu sento aqui, observando o MTV Movie Awards, lembro-me do quanto eu desprezava o filme Brokeback Mountain.")</f>
        <v>Quando eu sento aqui, observando o MTV Movie Awards, lembro-me do quanto eu desprezava o filme Brokeback Mountain.</v>
      </c>
      <c r="B11375" s="3">
        <v>0</v>
      </c>
    </row>
    <row r="11376" ht="15.75" customHeight="1" spans="1:2">
      <c r="A11376" s="3" t="str">
        <f>IFERROR(__xludf.DUMMYFUNCTION("GOOGLETRANSLATE(A11376,""en"",""pt"")"),"montanha Brokeback Ok é um filme horrível.")</f>
        <v>montanha Brokeback Ok é um filme horrível.</v>
      </c>
      <c r="B11376" s="3">
        <v>0</v>
      </c>
    </row>
    <row r="11377" ht="15.75" customHeight="1" spans="1:2">
      <c r="A11377" s="3" t="str">
        <f>IFERROR(__xludf.DUMMYFUNCTION("GOOGLETRANSLATE(A11377,""en"",""pt"")"),"Ah, e Brokeback Mountain era um filme terrível.")</f>
        <v>Ah, e Brokeback Mountain era um filme terrível.</v>
      </c>
      <c r="B11377" s="3">
        <v>0</v>
      </c>
    </row>
    <row r="11378" ht="15.75" customHeight="1" spans="1:2">
      <c r="A11378" s="3" t="str">
        <f>IFERROR(__xludf.DUMMYFUNCTION("GOOGLETRANSLATE(A11378,""en"",""pt"")"),"Brokeback Mountain é foda horrível ..")</f>
        <v>Brokeback Mountain é foda horrível ..</v>
      </c>
      <c r="B11378" s="3">
        <v>0</v>
      </c>
    </row>
    <row r="11379" ht="15.75" customHeight="1" spans="1:2">
      <c r="A11379" s="3" t="str">
        <f>IFERROR(__xludf.DUMMYFUNCTION("GOOGLETRANSLATE(A11379,""en"",""pt"")"),"Então escapado em Brokeback Mountain, que é o filme mais deprimente que eu já vi ..")</f>
        <v>Então escapado em Brokeback Mountain, que é o filme mais deprimente que eu já vi ..</v>
      </c>
      <c r="B11379" s="3">
        <v>0</v>
      </c>
    </row>
    <row r="11380" ht="15.75" customHeight="1" spans="1:2">
      <c r="A11380" s="3" t="str">
        <f>IFERROR(__xludf.DUMMYFUNCTION("GOOGLETRANSLATE(A11380,""en"",""pt"")"),"Meu pai está sendo estúpido sobre montanha Brokeback ...")</f>
        <v>Meu pai está sendo estúpido sobre montanha Brokeback ...</v>
      </c>
      <c r="B11380" s="3">
        <v>0</v>
      </c>
    </row>
    <row r="11381" ht="15.75" customHeight="1" spans="1:2">
      <c r="A11381" s="3" t="str">
        <f>IFERROR(__xludf.DUMMYFUNCTION("GOOGLETRANSLATE(A11381,""en"",""pt"")"),"Ah, e Brokeback Mountain é um filme terrível ...")</f>
        <v>Ah, e Brokeback Mountain é um filme terrível ...</v>
      </c>
      <c r="B11381" s="3">
        <v>0</v>
      </c>
    </row>
    <row r="11382" ht="15.75" customHeight="1" spans="1:2">
      <c r="A11382" s="3" t="str">
        <f>IFERROR(__xludf.DUMMYFUNCTION("GOOGLETRANSLATE(A11382,""en"",""pt"")"),"Brokeback Mountain foi chato.")</f>
        <v>Brokeback Mountain foi chato.</v>
      </c>
      <c r="B11382" s="3">
        <v>0</v>
      </c>
    </row>
    <row r="11383" ht="15.75" customHeight="1" spans="1:2">
      <c r="A11383" s="3" t="str">
        <f>IFERROR(__xludf.DUMMYFUNCTION("GOOGLETRANSLATE(A11383,""en"",""pt"")"),"Então Brokeback Mountain foi realmente deprimente.")</f>
        <v>Então Brokeback Mountain foi realmente deprimente.</v>
      </c>
      <c r="B11383" s="3">
        <v>0</v>
      </c>
    </row>
    <row r="11384" ht="15.75" customHeight="1" spans="1:2">
      <c r="A11384" s="3" t="str">
        <f>IFERROR(__xludf.DUMMYFUNCTION("GOOGLETRANSLATE(A11384,""en"",""pt"")"),"Quando eu sento aqui, observando o MTV Movie Awards, lembro-me do quanto eu desprezava o filme Brokeback Mountain.")</f>
        <v>Quando eu sento aqui, observando o MTV Movie Awards, lembro-me do quanto eu desprezava o filme Brokeback Mountain.</v>
      </c>
      <c r="B11384" s="3">
        <v>0</v>
      </c>
    </row>
    <row r="11385" ht="15.75" customHeight="1" spans="1:2">
      <c r="A11385" s="3" t="str">
        <f>IFERROR(__xludf.DUMMYFUNCTION("GOOGLETRANSLATE(A11385,""en"",""pt"")"),"montanha Brokeback Ok é um filme horrível.")</f>
        <v>montanha Brokeback Ok é um filme horrível.</v>
      </c>
      <c r="B11385" s="3">
        <v>0</v>
      </c>
    </row>
    <row r="11386" ht="15.75" customHeight="1" spans="1:2">
      <c r="A11386" s="3" t="str">
        <f>IFERROR(__xludf.DUMMYFUNCTION("GOOGLETRANSLATE(A11386,""en"",""pt"")"),"Ah, e Brokeback Mountain era um filme terrível.")</f>
        <v>Ah, e Brokeback Mountain era um filme terrível.</v>
      </c>
      <c r="B11386" s="3">
        <v>0</v>
      </c>
    </row>
    <row r="11387" ht="15.75" customHeight="1" spans="1:2">
      <c r="A11387" s="3" t="str">
        <f>IFERROR(__xludf.DUMMYFUNCTION("GOOGLETRANSLATE(A11387,""en"",""pt"")"),"Brokeback Mountain é foda horrível ..")</f>
        <v>Brokeback Mountain é foda horrível ..</v>
      </c>
      <c r="B11387" s="3">
        <v>0</v>
      </c>
    </row>
    <row r="11388" ht="15.75" customHeight="1" spans="1:2">
      <c r="A11388" s="3" t="str">
        <f>IFERROR(__xludf.DUMMYFUNCTION("GOOGLETRANSLATE(A11388,""en"",""pt"")"),"Então escapado em Brokeback Mountain, que é o filme mais deprimente que eu já vi ..")</f>
        <v>Então escapado em Brokeback Mountain, que é o filme mais deprimente que eu já vi ..</v>
      </c>
      <c r="B11388" s="3">
        <v>0</v>
      </c>
    </row>
    <row r="11389" ht="15.75" customHeight="1" spans="1:2">
      <c r="A11389" s="3" t="str">
        <f>IFERROR(__xludf.DUMMYFUNCTION("GOOGLETRANSLATE(A11389,""en"",""pt"")"),"Meu pai está sendo estúpido sobre montanha Brokeback ...")</f>
        <v>Meu pai está sendo estúpido sobre montanha Brokeback ...</v>
      </c>
      <c r="B11389" s="3">
        <v>0</v>
      </c>
    </row>
    <row r="11390" ht="15.75" customHeight="1" spans="1:2">
      <c r="A11390" s="3" t="str">
        <f>IFERROR(__xludf.DUMMYFUNCTION("GOOGLETRANSLATE(A11390,""en"",""pt"")"),"Ah, e Brokeback Mountain é um filme terrível ...")</f>
        <v>Ah, e Brokeback Mountain é um filme terrível ...</v>
      </c>
      <c r="B11390" s="3">
        <v>0</v>
      </c>
    </row>
    <row r="11391" ht="15.75" customHeight="1" spans="1:2">
      <c r="A11391" s="3" t="str">
        <f>IFERROR(__xludf.DUMMYFUNCTION("GOOGLETRANSLATE(A11391,""en"",""pt"")"),"Brokeback Mountain foi chato.")</f>
        <v>Brokeback Mountain foi chato.</v>
      </c>
      <c r="B11391" s="3">
        <v>0</v>
      </c>
    </row>
    <row r="11392" ht="15.75" customHeight="1" spans="1:2">
      <c r="A11392" s="3" t="str">
        <f>IFERROR(__xludf.DUMMYFUNCTION("GOOGLETRANSLATE(A11392,""en"",""pt"")"),"Então Brokeback Mountain foi realmente deprimente.")</f>
        <v>Então Brokeback Mountain foi realmente deprimente.</v>
      </c>
      <c r="B11392" s="3">
        <v>0</v>
      </c>
    </row>
    <row r="11393" ht="15.75" customHeight="1" spans="1:2">
      <c r="A11393" s="3" t="str">
        <f>IFERROR(__xludf.DUMMYFUNCTION("GOOGLETRANSLATE(A11393,""en"",""pt"")"),"Quando eu sento aqui, observando o MTV Movie Awards, lembro-me do quanto eu desprezava o filme Brokeback Mountain.")</f>
        <v>Quando eu sento aqui, observando o MTV Movie Awards, lembro-me do quanto eu desprezava o filme Brokeback Mountain.</v>
      </c>
      <c r="B11393" s="3">
        <v>0</v>
      </c>
    </row>
    <row r="11394" ht="15.75" customHeight="1" spans="1:2">
      <c r="A11394" s="3" t="str">
        <f>IFERROR(__xludf.DUMMYFUNCTION("GOOGLETRANSLATE(A11394,""en"",""pt"")"),"montanha Brokeback Ok é um filme horrível.")</f>
        <v>montanha Brokeback Ok é um filme horrível.</v>
      </c>
      <c r="B11394" s="3">
        <v>0</v>
      </c>
    </row>
    <row r="11395" ht="15.75" customHeight="1" spans="1:2">
      <c r="A11395" s="3" t="str">
        <f>IFERROR(__xludf.DUMMYFUNCTION("GOOGLETRANSLATE(A11395,""en"",""pt"")"),"Ah, e Brokeback Mountain era um filme terrível.")</f>
        <v>Ah, e Brokeback Mountain era um filme terrível.</v>
      </c>
      <c r="B11395" s="3">
        <v>0</v>
      </c>
    </row>
    <row r="11396" ht="15.75" customHeight="1" spans="1:2">
      <c r="A11396" s="3" t="str">
        <f>IFERROR(__xludf.DUMMYFUNCTION("GOOGLETRANSLATE(A11396,""en"",""pt"")"),"Brokeback Mountain é foda horrível ..")</f>
        <v>Brokeback Mountain é foda horrível ..</v>
      </c>
      <c r="B11396" s="3">
        <v>0</v>
      </c>
    </row>
    <row r="11397" ht="15.75" customHeight="1" spans="1:2">
      <c r="A11397" s="3" t="str">
        <f>IFERROR(__xludf.DUMMYFUNCTION("GOOGLETRANSLATE(A11397,""en"",""pt"")"),"Então escapado em Brokeback Mountain, que é o filme mais deprimente que eu já vi ..")</f>
        <v>Então escapado em Brokeback Mountain, que é o filme mais deprimente que eu já vi ..</v>
      </c>
      <c r="B11397" s="3">
        <v>0</v>
      </c>
    </row>
    <row r="11398" ht="15.75" customHeight="1" spans="1:2">
      <c r="A11398" s="3" t="str">
        <f>IFERROR(__xludf.DUMMYFUNCTION("GOOGLETRANSLATE(A11398,""en"",""pt"")"),"Meu pai está sendo estúpido sobre montanha Brokeback ...")</f>
        <v>Meu pai está sendo estúpido sobre montanha Brokeback ...</v>
      </c>
      <c r="B11398" s="3">
        <v>0</v>
      </c>
    </row>
    <row r="11399" ht="15.75" customHeight="1" spans="1:2">
      <c r="A11399" s="3" t="str">
        <f>IFERROR(__xludf.DUMMYFUNCTION("GOOGLETRANSLATE(A11399,""en"",""pt"")"),"Ah, e Brokeback Mountain é um filme terrível ...")</f>
        <v>Ah, e Brokeback Mountain é um filme terrível ...</v>
      </c>
      <c r="B11399" s="3">
        <v>0</v>
      </c>
    </row>
    <row r="11400" ht="15.75" customHeight="1" spans="1:2">
      <c r="A11400" s="3" t="str">
        <f>IFERROR(__xludf.DUMMYFUNCTION("GOOGLETRANSLATE(A11400,""en"",""pt"")"),"Brokeback Mountain foi chato.")</f>
        <v>Brokeback Mountain foi chato.</v>
      </c>
      <c r="B11400" s="3">
        <v>0</v>
      </c>
    </row>
    <row r="11401" ht="15.75" customHeight="1" spans="1:2">
      <c r="A11401" s="3" t="str">
        <f>IFERROR(__xludf.DUMMYFUNCTION("GOOGLETRANSLATE(A11401,""en"",""pt"")"),"Então Brokeback Mountain foi realmente deprimente.")</f>
        <v>Então Brokeback Mountain foi realmente deprimente.</v>
      </c>
      <c r="B11401" s="3">
        <v>0</v>
      </c>
    </row>
    <row r="11402" ht="15.75" customHeight="1" spans="1:2">
      <c r="A11402" s="3" t="str">
        <f>IFERROR(__xludf.DUMMYFUNCTION("GOOGLETRANSLATE(A11402,""en"",""pt"")"),"Quando eu sento aqui, observando o MTV Movie Awards, lembro-me do quanto eu desprezava o filme Brokeback Mountain.")</f>
        <v>Quando eu sento aqui, observando o MTV Movie Awards, lembro-me do quanto eu desprezava o filme Brokeback Mountain.</v>
      </c>
      <c r="B11402" s="3">
        <v>0</v>
      </c>
    </row>
    <row r="11403" ht="15.75" customHeight="1" spans="1:2">
      <c r="A11403" s="3" t="str">
        <f>IFERROR(__xludf.DUMMYFUNCTION("GOOGLETRANSLATE(A11403,""en"",""pt"")"),"montanha Brokeback Ok é um filme horrível.")</f>
        <v>montanha Brokeback Ok é um filme horrível.</v>
      </c>
      <c r="B11403" s="3">
        <v>0</v>
      </c>
    </row>
    <row r="11404" ht="15.75" customHeight="1" spans="1:2">
      <c r="A11404" s="3" t="str">
        <f>IFERROR(__xludf.DUMMYFUNCTION("GOOGLETRANSLATE(A11404,""en"",""pt"")"),"Ah, e Brokeback Mountain era um filme terrível.")</f>
        <v>Ah, e Brokeback Mountain era um filme terrível.</v>
      </c>
      <c r="B11404" s="3">
        <v>0</v>
      </c>
    </row>
    <row r="11405" ht="15.75" customHeight="1" spans="1:2">
      <c r="A11405" s="3" t="str">
        <f>IFERROR(__xludf.DUMMYFUNCTION("GOOGLETRANSLATE(A11405,""en"",""pt"")"),"Brokeback Mountain é foda horrível ..")</f>
        <v>Brokeback Mountain é foda horrível ..</v>
      </c>
      <c r="B11405" s="3">
        <v>0</v>
      </c>
    </row>
    <row r="11406" ht="15.75" customHeight="1" spans="1:2">
      <c r="A11406" s="3" t="str">
        <f>IFERROR(__xludf.DUMMYFUNCTION("GOOGLETRANSLATE(A11406,""en"",""pt"")"),"Então escapado em Brokeback Mountain, que é o filme mais deprimente que eu já vi ..")</f>
        <v>Então escapado em Brokeback Mountain, que é o filme mais deprimente que eu já vi ..</v>
      </c>
      <c r="B11406" s="3">
        <v>0</v>
      </c>
    </row>
    <row r="11407" ht="15.75" customHeight="1" spans="1:2">
      <c r="A11407" s="3" t="str">
        <f>IFERROR(__xludf.DUMMYFUNCTION("GOOGLETRANSLATE(A11407,""en"",""pt"")"),"Meu pai está sendo estúpido sobre montanha Brokeback ...")</f>
        <v>Meu pai está sendo estúpido sobre montanha Brokeback ...</v>
      </c>
      <c r="B11407" s="3">
        <v>0</v>
      </c>
    </row>
    <row r="11408" ht="15.75" customHeight="1" spans="1:2">
      <c r="A11408" s="3" t="str">
        <f>IFERROR(__xludf.DUMMYFUNCTION("GOOGLETRANSLATE(A11408,""en"",""pt"")"),"Ah, e Brokeback Mountain é um filme terrível ...")</f>
        <v>Ah, e Brokeback Mountain é um filme terrível ...</v>
      </c>
      <c r="B11408" s="3">
        <v>0</v>
      </c>
    </row>
    <row r="11409" ht="15.75" customHeight="1" spans="1:2">
      <c r="A11409" s="3" t="str">
        <f>IFERROR(__xludf.DUMMYFUNCTION("GOOGLETRANSLATE(A11409,""en"",""pt"")"),"Brokeback Mountain foi chato.")</f>
        <v>Brokeback Mountain foi chato.</v>
      </c>
      <c r="B11409" s="3">
        <v>0</v>
      </c>
    </row>
    <row r="11410" ht="15.75" customHeight="1" spans="1:2">
      <c r="A11410" s="3" t="str">
        <f>IFERROR(__xludf.DUMMYFUNCTION("GOOGLETRANSLATE(A11410,""en"",""pt"")"),"Então Brokeback Mountain foi realmente deprimente.")</f>
        <v>Então Brokeback Mountain foi realmente deprimente.</v>
      </c>
      <c r="B11410" s="3">
        <v>0</v>
      </c>
    </row>
    <row r="11411" ht="15.75" customHeight="1" spans="1:2">
      <c r="A11411" s="3" t="str">
        <f>IFERROR(__xludf.DUMMYFUNCTION("GOOGLETRANSLATE(A11411,""en"",""pt"")"),"Quando eu sento aqui, observando o MTV Movie Awards, lembro-me do quanto eu desprezava o filme Brokeback Mountain.")</f>
        <v>Quando eu sento aqui, observando o MTV Movie Awards, lembro-me do quanto eu desprezava o filme Brokeback Mountain.</v>
      </c>
      <c r="B11411" s="3">
        <v>0</v>
      </c>
    </row>
    <row r="11412" ht="15.75" customHeight="1" spans="1:2">
      <c r="A11412" s="3" t="str">
        <f>IFERROR(__xludf.DUMMYFUNCTION("GOOGLETRANSLATE(A11412,""en"",""pt"")"),"montanha Brokeback Ok é um filme horrível.")</f>
        <v>montanha Brokeback Ok é um filme horrível.</v>
      </c>
      <c r="B11412" s="3">
        <v>0</v>
      </c>
    </row>
    <row r="11413" ht="15.75" customHeight="1" spans="1:2">
      <c r="A11413" s="3" t="str">
        <f>IFERROR(__xludf.DUMMYFUNCTION("GOOGLETRANSLATE(A11413,""en"",""pt"")"),"Ah, e Brokeback Mountain era um filme terrível.")</f>
        <v>Ah, e Brokeback Mountain era um filme terrível.</v>
      </c>
      <c r="B11413" s="3">
        <v>0</v>
      </c>
    </row>
    <row r="11414" ht="15.75" customHeight="1" spans="1:2">
      <c r="A11414" s="3" t="str">
        <f>IFERROR(__xludf.DUMMYFUNCTION("GOOGLETRANSLATE(A11414,""en"",""pt"")"),"Brokeback Mountain é foda horrível ..")</f>
        <v>Brokeback Mountain é foda horrível ..</v>
      </c>
      <c r="B11414" s="3">
        <v>0</v>
      </c>
    </row>
    <row r="11415" ht="15.75" customHeight="1" spans="1:2">
      <c r="A11415" s="3" t="str">
        <f>IFERROR(__xludf.DUMMYFUNCTION("GOOGLETRANSLATE(A11415,""en"",""pt"")"),"Então escapado em Brokeback Mountain, que é o filme mais deprimente que eu já vi ..")</f>
        <v>Então escapado em Brokeback Mountain, que é o filme mais deprimente que eu já vi ..</v>
      </c>
      <c r="B11415" s="3">
        <v>0</v>
      </c>
    </row>
    <row r="11416" ht="15.75" customHeight="1" spans="1:2">
      <c r="A11416" s="3" t="str">
        <f>IFERROR(__xludf.DUMMYFUNCTION("GOOGLETRANSLATE(A11416,""en"",""pt"")"),"Meu pai está sendo estúpido sobre montanha Brokeback ...")</f>
        <v>Meu pai está sendo estúpido sobre montanha Brokeback ...</v>
      </c>
      <c r="B11416" s="3">
        <v>0</v>
      </c>
    </row>
    <row r="11417" ht="15.75" customHeight="1" spans="1:2">
      <c r="A11417" s="3" t="str">
        <f>IFERROR(__xludf.DUMMYFUNCTION("GOOGLETRANSLATE(A11417,""en"",""pt"")"),"Ah, e Brokeback Mountain é um filme terrível ...")</f>
        <v>Ah, e Brokeback Mountain é um filme terrível ...</v>
      </c>
      <c r="B11417" s="3">
        <v>0</v>
      </c>
    </row>
    <row r="11418" ht="15.75" customHeight="1" spans="1:2">
      <c r="A11418" s="3" t="str">
        <f>IFERROR(__xludf.DUMMYFUNCTION("GOOGLETRANSLATE(A11418,""en"",""pt"")"),"Brokeback Mountain foi chato.")</f>
        <v>Brokeback Mountain foi chato.</v>
      </c>
      <c r="B11418" s="3">
        <v>0</v>
      </c>
    </row>
    <row r="11419" ht="15.75" customHeight="1" spans="1:2">
      <c r="A11419" s="3" t="str">
        <f>IFERROR(__xludf.DUMMYFUNCTION("GOOGLETRANSLATE(A11419,""en"",""pt"")"),"Então Brokeback Mountain foi realmente deprimente.")</f>
        <v>Então Brokeback Mountain foi realmente deprimente.</v>
      </c>
      <c r="B11419" s="3">
        <v>0</v>
      </c>
    </row>
    <row r="11420" ht="15.75" customHeight="1" spans="1:2">
      <c r="A11420" s="3" t="str">
        <f>IFERROR(__xludf.DUMMYFUNCTION("GOOGLETRANSLATE(A11420,""en"",""pt"")"),"Quando eu sento aqui, observando o MTV Movie Awards, lembro-me do quanto eu desprezava o filme Brokeback Mountain.")</f>
        <v>Quando eu sento aqui, observando o MTV Movie Awards, lembro-me do quanto eu desprezava o filme Brokeback Mountain.</v>
      </c>
      <c r="B11420" s="3">
        <v>0</v>
      </c>
    </row>
    <row r="11421" ht="15.75" customHeight="1" spans="1:2">
      <c r="A11421" s="3" t="str">
        <f>IFERROR(__xludf.DUMMYFUNCTION("GOOGLETRANSLATE(A11421,""en"",""pt"")"),"montanha Brokeback Ok é um filme horrível.")</f>
        <v>montanha Brokeback Ok é um filme horrível.</v>
      </c>
      <c r="B11421" s="3">
        <v>0</v>
      </c>
    </row>
    <row r="11422" ht="15.75" customHeight="1" spans="1:2">
      <c r="A11422" s="3" t="str">
        <f>IFERROR(__xludf.DUMMYFUNCTION("GOOGLETRANSLATE(A11422,""en"",""pt"")"),"Ah, e Brokeback Mountain era um filme terrível.")</f>
        <v>Ah, e Brokeback Mountain era um filme terrível.</v>
      </c>
      <c r="B11422" s="3">
        <v>0</v>
      </c>
    </row>
    <row r="11423" ht="15.75" customHeight="1" spans="1:2">
      <c r="A11423" s="3" t="str">
        <f>IFERROR(__xludf.DUMMYFUNCTION("GOOGLETRANSLATE(A11423,""en"",""pt"")"),"Brokeback Mountain é foda horrível ..")</f>
        <v>Brokeback Mountain é foda horrível ..</v>
      </c>
      <c r="B11423" s="3">
        <v>0</v>
      </c>
    </row>
    <row r="11424" ht="15.75" customHeight="1" spans="1:2">
      <c r="A11424" s="3" t="str">
        <f>IFERROR(__xludf.DUMMYFUNCTION("GOOGLETRANSLATE(A11424,""en"",""pt"")"),"Então escapado em Brokeback Mountain, que é o filme mais deprimente que eu já vi ..")</f>
        <v>Então escapado em Brokeback Mountain, que é o filme mais deprimente que eu já vi ..</v>
      </c>
      <c r="B11424" s="3">
        <v>0</v>
      </c>
    </row>
    <row r="11425" ht="15.75" customHeight="1" spans="1:2">
      <c r="A11425" s="3" t="str">
        <f>IFERROR(__xludf.DUMMYFUNCTION("GOOGLETRANSLATE(A11425,""en"",""pt"")"),"Meu pai está sendo estúpido sobre montanha Brokeback ...")</f>
        <v>Meu pai está sendo estúpido sobre montanha Brokeback ...</v>
      </c>
      <c r="B11425" s="3">
        <v>0</v>
      </c>
    </row>
    <row r="11426" ht="15.75" customHeight="1" spans="1:2">
      <c r="A11426" s="3" t="str">
        <f>IFERROR(__xludf.DUMMYFUNCTION("GOOGLETRANSLATE(A11426,""en"",""pt"")"),"Ah, e Brokeback Mountain é um filme terrível ...")</f>
        <v>Ah, e Brokeback Mountain é um filme terrível ...</v>
      </c>
      <c r="B11426" s="3">
        <v>0</v>
      </c>
    </row>
    <row r="11427" ht="15.75" customHeight="1" spans="1:2">
      <c r="A11427" s="3" t="str">
        <f>IFERROR(__xludf.DUMMYFUNCTION("GOOGLETRANSLATE(A11427,""en"",""pt"")"),"Brokeback Mountain foi chato.")</f>
        <v>Brokeback Mountain foi chato.</v>
      </c>
      <c r="B11427" s="3">
        <v>0</v>
      </c>
    </row>
    <row r="11428" ht="15.75" customHeight="1" spans="1:2">
      <c r="A11428" s="3" t="str">
        <f>IFERROR(__xludf.DUMMYFUNCTION("GOOGLETRANSLATE(A11428,""en"",""pt"")"),"Então Brokeback Mountain foi realmente deprimente.")</f>
        <v>Então Brokeback Mountain foi realmente deprimente.</v>
      </c>
      <c r="B11428" s="3">
        <v>0</v>
      </c>
    </row>
    <row r="11429" ht="15.75" customHeight="1" spans="1:2">
      <c r="A11429" s="3" t="str">
        <f>IFERROR(__xludf.DUMMYFUNCTION("GOOGLETRANSLATE(A11429,""en"",""pt"")"),"Quando eu sento aqui, observando o MTV Movie Awards, lembro-me do quanto eu desprezava o filme Brokeback Mountain.")</f>
        <v>Quando eu sento aqui, observando o MTV Movie Awards, lembro-me do quanto eu desprezava o filme Brokeback Mountain.</v>
      </c>
      <c r="B11429" s="3">
        <v>0</v>
      </c>
    </row>
    <row r="11430" ht="15.75" customHeight="1" spans="1:2">
      <c r="A11430" s="3" t="str">
        <f>IFERROR(__xludf.DUMMYFUNCTION("GOOGLETRANSLATE(A11430,""en"",""pt"")"),"montanha Brokeback Ok é um filme horrível.")</f>
        <v>montanha Brokeback Ok é um filme horrível.</v>
      </c>
      <c r="B11430" s="3">
        <v>0</v>
      </c>
    </row>
    <row r="11431" ht="15.75" customHeight="1" spans="1:2">
      <c r="A11431" s="3" t="str">
        <f>IFERROR(__xludf.DUMMYFUNCTION("GOOGLETRANSLATE(A11431,""en"",""pt"")"),"Ah, e Brokeback Mountain era um filme terrível.")</f>
        <v>Ah, e Brokeback Mountain era um filme terrível.</v>
      </c>
      <c r="B11431" s="3">
        <v>0</v>
      </c>
    </row>
    <row r="11432" ht="15.75" customHeight="1" spans="1:2">
      <c r="A11432" s="3" t="str">
        <f>IFERROR(__xludf.DUMMYFUNCTION("GOOGLETRANSLATE(A11432,""en"",""pt"")"),"Brokeback Mountain é foda horrível ..")</f>
        <v>Brokeback Mountain é foda horrível ..</v>
      </c>
      <c r="B11432" s="3">
        <v>0</v>
      </c>
    </row>
    <row r="11433" ht="15.75" customHeight="1" spans="1:2">
      <c r="A11433" s="3" t="str">
        <f>IFERROR(__xludf.DUMMYFUNCTION("GOOGLETRANSLATE(A11433,""en"",""pt"")"),"Então escapado em Brokeback Mountain, que é o filme mais deprimente que eu já vi ..")</f>
        <v>Então escapado em Brokeback Mountain, que é o filme mais deprimente que eu já vi ..</v>
      </c>
      <c r="B11433" s="3">
        <v>0</v>
      </c>
    </row>
    <row r="11434" ht="15.75" customHeight="1" spans="1:2">
      <c r="A11434" s="3" t="str">
        <f>IFERROR(__xludf.DUMMYFUNCTION("GOOGLETRANSLATE(A11434,""en"",""pt"")"),"Meu pai está sendo estúpido sobre montanha Brokeback ...")</f>
        <v>Meu pai está sendo estúpido sobre montanha Brokeback ...</v>
      </c>
      <c r="B11434" s="3">
        <v>0</v>
      </c>
    </row>
    <row r="11435" ht="15.75" customHeight="1" spans="1:2">
      <c r="A11435" s="3" t="str">
        <f>IFERROR(__xludf.DUMMYFUNCTION("GOOGLETRANSLATE(A11435,""en"",""pt"")"),"Ah, e Brokeback Mountain é um filme terrível ...")</f>
        <v>Ah, e Brokeback Mountain é um filme terrível ...</v>
      </c>
      <c r="B11435" s="3">
        <v>0</v>
      </c>
    </row>
    <row r="11436" ht="15.75" customHeight="1" spans="1:2">
      <c r="A11436" s="3" t="str">
        <f>IFERROR(__xludf.DUMMYFUNCTION("GOOGLETRANSLATE(A11436,""en"",""pt"")"),"Brokeback Mountain foi chato.")</f>
        <v>Brokeback Mountain foi chato.</v>
      </c>
      <c r="B11436" s="3">
        <v>0</v>
      </c>
    </row>
    <row r="11437" ht="15.75" customHeight="1" spans="1:2">
      <c r="A11437" s="3" t="str">
        <f>IFERROR(__xludf.DUMMYFUNCTION("GOOGLETRANSLATE(A11437,""en"",""pt"")"),"Então Brokeback Mountain foi realmente deprimente.")</f>
        <v>Então Brokeback Mountain foi realmente deprimente.</v>
      </c>
      <c r="B11437" s="3">
        <v>0</v>
      </c>
    </row>
    <row r="11438" ht="15.75" customHeight="1" spans="1:2">
      <c r="A11438" s="3" t="str">
        <f>IFERROR(__xludf.DUMMYFUNCTION("GOOGLETRANSLATE(A11438,""en"",""pt"")"),"Quando eu sento aqui, observando o MTV Movie Awards, lembro-me do quanto eu desprezava o filme Brokeback Mountain.")</f>
        <v>Quando eu sento aqui, observando o MTV Movie Awards, lembro-me do quanto eu desprezava o filme Brokeback Mountain.</v>
      </c>
      <c r="B11438" s="3">
        <v>0</v>
      </c>
    </row>
    <row r="11439" ht="15.75" customHeight="1" spans="1:2">
      <c r="A11439" s="3" t="str">
        <f>IFERROR(__xludf.DUMMYFUNCTION("GOOGLETRANSLATE(A11439,""en"",""pt"")"),"montanha Brokeback Ok é um filme horrível.")</f>
        <v>montanha Brokeback Ok é um filme horrível.</v>
      </c>
      <c r="B11439" s="3">
        <v>0</v>
      </c>
    </row>
    <row r="11440" ht="15.75" customHeight="1" spans="1:2">
      <c r="A11440" s="3" t="str">
        <f>IFERROR(__xludf.DUMMYFUNCTION("GOOGLETRANSLATE(A11440,""en"",""pt"")"),"Ah, e Brokeback Mountain era um filme terrível.")</f>
        <v>Ah, e Brokeback Mountain era um filme terrível.</v>
      </c>
      <c r="B11440" s="3">
        <v>0</v>
      </c>
    </row>
    <row r="11441" ht="15.75" customHeight="1" spans="1:2">
      <c r="A11441" s="3" t="str">
        <f>IFERROR(__xludf.DUMMYFUNCTION("GOOGLETRANSLATE(A11441,""en"",""pt"")"),"Brokeback Mountain é foda horrível ..")</f>
        <v>Brokeback Mountain é foda horrível ..</v>
      </c>
      <c r="B11441" s="3">
        <v>0</v>
      </c>
    </row>
    <row r="11442" ht="15.75" customHeight="1" spans="1:2">
      <c r="A11442" s="3" t="str">
        <f>IFERROR(__xludf.DUMMYFUNCTION("GOOGLETRANSLATE(A11442,""en"",""pt"")"),"Então escapado em Brokeback Mountain, que é o filme mais deprimente que eu já vi ..")</f>
        <v>Então escapado em Brokeback Mountain, que é o filme mais deprimente que eu já vi ..</v>
      </c>
      <c r="B11442" s="3">
        <v>0</v>
      </c>
    </row>
    <row r="11443" ht="15.75" customHeight="1" spans="1:2">
      <c r="A11443" s="3" t="str">
        <f>IFERROR(__xludf.DUMMYFUNCTION("GOOGLETRANSLATE(A11443,""en"",""pt"")"),"Meu pai está sendo estúpido sobre montanha Brokeback ...")</f>
        <v>Meu pai está sendo estúpido sobre montanha Brokeback ...</v>
      </c>
      <c r="B11443" s="3">
        <v>0</v>
      </c>
    </row>
    <row r="11444" ht="15.75" customHeight="1" spans="1:2">
      <c r="A11444" s="3" t="str">
        <f>IFERROR(__xludf.DUMMYFUNCTION("GOOGLETRANSLATE(A11444,""en"",""pt"")"),"Ah, e Brokeback Mountain é um filme terrível ...")</f>
        <v>Ah, e Brokeback Mountain é um filme terrível ...</v>
      </c>
      <c r="B11444" s="3">
        <v>0</v>
      </c>
    </row>
    <row r="11445" ht="15.75" customHeight="1" spans="1:2">
      <c r="A11445" s="3" t="str">
        <f>IFERROR(__xludf.DUMMYFUNCTION("GOOGLETRANSLATE(A11445,""en"",""pt"")"),"Brokeback Mountain foi chato.")</f>
        <v>Brokeback Mountain foi chato.</v>
      </c>
      <c r="B11445" s="3">
        <v>0</v>
      </c>
    </row>
    <row r="11446" ht="15.75" customHeight="1" spans="1:2">
      <c r="A11446" s="3" t="str">
        <f>IFERROR(__xludf.DUMMYFUNCTION("GOOGLETRANSLATE(A11446,""en"",""pt"")"),"Então Brokeback Mountain foi realmente deprimente.")</f>
        <v>Então Brokeback Mountain foi realmente deprimente.</v>
      </c>
      <c r="B11446" s="3">
        <v>0</v>
      </c>
    </row>
    <row r="11447" ht="15.75" customHeight="1" spans="1:2">
      <c r="A11447" s="3" t="str">
        <f>IFERROR(__xludf.DUMMYFUNCTION("GOOGLETRANSLATE(A11447,""en"",""pt"")"),"Quando eu sento aqui, observando o MTV Movie Awards, lembro-me do quanto eu desprezava o filme Brokeback Mountain.")</f>
        <v>Quando eu sento aqui, observando o MTV Movie Awards, lembro-me do quanto eu desprezava o filme Brokeback Mountain.</v>
      </c>
      <c r="B11447" s="3">
        <v>0</v>
      </c>
    </row>
    <row r="11448" ht="15.75" customHeight="1" spans="1:2">
      <c r="A11448" s="3" t="str">
        <f>IFERROR(__xludf.DUMMYFUNCTION("GOOGLETRANSLATE(A11448,""en"",""pt"")"),"montanha Brokeback Ok é um filme horrível.")</f>
        <v>montanha Brokeback Ok é um filme horrível.</v>
      </c>
      <c r="B11448" s="3">
        <v>0</v>
      </c>
    </row>
    <row r="11449" ht="15.75" customHeight="1" spans="1:2">
      <c r="A11449" s="3" t="str">
        <f>IFERROR(__xludf.DUMMYFUNCTION("GOOGLETRANSLATE(A11449,""en"",""pt"")"),"Ah, e Brokeback Mountain era um filme terrível.")</f>
        <v>Ah, e Brokeback Mountain era um filme terrível.</v>
      </c>
      <c r="B11449" s="3">
        <v>0</v>
      </c>
    </row>
    <row r="11450" ht="15.75" customHeight="1" spans="1:2">
      <c r="A11450" s="3" t="str">
        <f>IFERROR(__xludf.DUMMYFUNCTION("GOOGLETRANSLATE(A11450,""en"",""pt"")"),"Brokeback Mountain é foda horrível ..")</f>
        <v>Brokeback Mountain é foda horrível ..</v>
      </c>
      <c r="B11450" s="3">
        <v>0</v>
      </c>
    </row>
    <row r="11451" ht="15.75" customHeight="1" spans="1:2">
      <c r="A11451" s="3" t="str">
        <f>IFERROR(__xludf.DUMMYFUNCTION("GOOGLETRANSLATE(A11451,""en"",""pt"")"),"Então escapado em Brokeback Mountain, que é o filme mais deprimente que eu já vi ..")</f>
        <v>Então escapado em Brokeback Mountain, que é o filme mais deprimente que eu já vi ..</v>
      </c>
      <c r="B11451" s="3">
        <v>0</v>
      </c>
    </row>
    <row r="11452" ht="15.75" customHeight="1" spans="1:2">
      <c r="A11452" s="3" t="s">
        <v>55</v>
      </c>
      <c r="B11452" s="3">
        <v>0</v>
      </c>
    </row>
    <row r="11453" ht="15.75" customHeight="1" spans="1:2">
      <c r="A11453" s="3" t="str">
        <f>IFERROR(__xludf.DUMMYFUNCTION("GOOGLETRANSLATE(A11453,""en"",""pt"")"),"Ah, e Brokeback Mountain é um filme terrível ...")</f>
        <v>Ah, e Brokeback Mountain é um filme terrível ...</v>
      </c>
      <c r="B11453" s="3">
        <v>0</v>
      </c>
    </row>
    <row r="11454" ht="15.75" customHeight="1" spans="1:2">
      <c r="A11454" s="3" t="str">
        <f>IFERROR(__xludf.DUMMYFUNCTION("GOOGLETRANSLATE(A11454,""en"",""pt"")"),"Brokeback Mountain foi chato.")</f>
        <v>Brokeback Mountain foi chato.</v>
      </c>
      <c r="B11454" s="3">
        <v>0</v>
      </c>
    </row>
    <row r="11455" ht="15.75" customHeight="1" spans="1:2">
      <c r="A11455" s="3" t="str">
        <f>IFERROR(__xludf.DUMMYFUNCTION("GOOGLETRANSLATE(A11455,""en"",""pt"")"),"Então Brokeback Mountain foi realmente deprimente.")</f>
        <v>Então Brokeback Mountain foi realmente deprimente.</v>
      </c>
      <c r="B11455" s="3">
        <v>0</v>
      </c>
    </row>
    <row r="11456" ht="15.75" customHeight="1" spans="1:2">
      <c r="A11456" s="3" t="str">
        <f>IFERROR(__xludf.DUMMYFUNCTION("GOOGLETRANSLATE(A11456,""en"",""pt"")"),"Quando eu sento aqui, observando o MTV Movie Awards, lembro-me do quanto eu desprezava o filme Brokeback Mountain.")</f>
        <v>Quando eu sento aqui, observando o MTV Movie Awards, lembro-me do quanto eu desprezava o filme Brokeback Mountain.</v>
      </c>
      <c r="B11456" s="3">
        <v>0</v>
      </c>
    </row>
    <row r="11457" ht="15.75" customHeight="1" spans="1:2">
      <c r="A11457" s="3" t="str">
        <f>IFERROR(__xludf.DUMMYFUNCTION("GOOGLETRANSLATE(A11457,""en"",""pt"")"),"montanha Brokeback Ok é um filme horrível.")</f>
        <v>montanha Brokeback Ok é um filme horrível.</v>
      </c>
      <c r="B11457" s="3">
        <v>0</v>
      </c>
    </row>
    <row r="11458" ht="15.75" customHeight="1" spans="1:2">
      <c r="A11458" s="3" t="str">
        <f>IFERROR(__xludf.DUMMYFUNCTION("GOOGLETRANSLATE(A11458,""en"",""pt"")"),"Ah, e Brokeback Mountain era um filme terrível.")</f>
        <v>Ah, e Brokeback Mountain era um filme terrível.</v>
      </c>
      <c r="B11458" s="3">
        <v>0</v>
      </c>
    </row>
    <row r="11459" ht="15.75" customHeight="1" spans="1:2">
      <c r="A11459" s="3" t="str">
        <f>IFERROR(__xludf.DUMMYFUNCTION("GOOGLETRANSLATE(A11459,""en"",""pt"")"),"Brokeback Mountain é foda horrível ..")</f>
        <v>Brokeback Mountain é foda horrível ..</v>
      </c>
      <c r="B11459" s="3">
        <v>0</v>
      </c>
    </row>
    <row r="11460" ht="15.75" customHeight="1" spans="1:2">
      <c r="A11460" s="3" t="str">
        <f>IFERROR(__xludf.DUMMYFUNCTION("GOOGLETRANSLATE(A11460,""en"",""pt"")"),"Então escapado em Brokeback Mountain, que é o filme mais deprimente que eu já vi ..")</f>
        <v>Então escapado em Brokeback Mountain, que é o filme mais deprimente que eu já vi ..</v>
      </c>
      <c r="B11460" s="3">
        <v>0</v>
      </c>
    </row>
    <row r="11461" ht="15.75" customHeight="1" spans="1:2">
      <c r="A11461" s="3" t="str">
        <f>IFERROR(__xludf.DUMMYFUNCTION("GOOGLETRANSLATE(A11461,""en"",""pt"")"),"Meu pai está sendo estúpido sobre montanha Brokeback ...")</f>
        <v>Meu pai está sendo estúpido sobre montanha Brokeback ...</v>
      </c>
      <c r="B11461" s="3">
        <v>0</v>
      </c>
    </row>
    <row r="11462" ht="15.75" customHeight="1" spans="1:2">
      <c r="A11462" s="3" t="str">
        <f>IFERROR(__xludf.DUMMYFUNCTION("GOOGLETRANSLATE(A11462,""en"",""pt"")"),"Ah, e Brokeback Mountain é um filme terrível ...")</f>
        <v>Ah, e Brokeback Mountain é um filme terrível ...</v>
      </c>
      <c r="B11462" s="3">
        <v>0</v>
      </c>
    </row>
    <row r="11463" ht="15.75" customHeight="1" spans="1:2">
      <c r="A11463" s="3" t="str">
        <f>IFERROR(__xludf.DUMMYFUNCTION("GOOGLETRANSLATE(A11463,""en"",""pt"")"),"Brokeback Mountain foi chato.")</f>
        <v>Brokeback Mountain foi chato.</v>
      </c>
      <c r="B11463" s="3">
        <v>0</v>
      </c>
    </row>
    <row r="11464" ht="15.75" customHeight="1" spans="1:2">
      <c r="A11464" s="3" t="str">
        <f>IFERROR(__xludf.DUMMYFUNCTION("GOOGLETRANSLATE(A11464,""en"",""pt"")"),"Então Brokeback Mountain foi realmente deprimente.")</f>
        <v>Então Brokeback Mountain foi realmente deprimente.</v>
      </c>
      <c r="B11464" s="3">
        <v>0</v>
      </c>
    </row>
    <row r="11465" ht="15.75" customHeight="1" spans="1:2">
      <c r="A11465" s="3" t="str">
        <f>IFERROR(__xludf.DUMMYFUNCTION("GOOGLETRANSLATE(A11465,""en"",""pt"")"),"Quando eu sento aqui, observando o MTV Movie Awards, lembro-me do quanto eu desprezava o filme Brokeback Mountain.")</f>
        <v>Quando eu sento aqui, observando o MTV Movie Awards, lembro-me do quanto eu desprezava o filme Brokeback Mountain.</v>
      </c>
      <c r="B11465" s="3">
        <v>0</v>
      </c>
    </row>
    <row r="11466" ht="15.75" customHeight="1" spans="1:2">
      <c r="A11466" s="3" t="str">
        <f>IFERROR(__xludf.DUMMYFUNCTION("GOOGLETRANSLATE(A11466,""en"",""pt"")"),"montanha Brokeback Ok é um filme horrível.")</f>
        <v>montanha Brokeback Ok é um filme horrível.</v>
      </c>
      <c r="B11466" s="3">
        <v>0</v>
      </c>
    </row>
    <row r="11467" ht="15.75" customHeight="1" spans="1:2">
      <c r="A11467" s="3" t="str">
        <f>IFERROR(__xludf.DUMMYFUNCTION("GOOGLETRANSLATE(A11467,""en"",""pt"")"),"Ah, e Brokeback Mountain era um filme terrível.")</f>
        <v>Ah, e Brokeback Mountain era um filme terrível.</v>
      </c>
      <c r="B11467" s="3">
        <v>0</v>
      </c>
    </row>
    <row r="11468" ht="15.75" customHeight="1" spans="1:2">
      <c r="A11468" s="3" t="str">
        <f>IFERROR(__xludf.DUMMYFUNCTION("GOOGLETRANSLATE(A11468,""en"",""pt"")"),"Brokeback Mountain é foda horrível ..")</f>
        <v>Brokeback Mountain é foda horrível ..</v>
      </c>
      <c r="B11468" s="3">
        <v>0</v>
      </c>
    </row>
    <row r="11469" ht="15.75" customHeight="1" spans="1:2">
      <c r="A11469" s="3" t="str">
        <f>IFERROR(__xludf.DUMMYFUNCTION("GOOGLETRANSLATE(A11469,""en"",""pt"")"),"Então escapado em Brokeback Mountain, que é o filme mais deprimente que eu já vi ..")</f>
        <v>Então escapado em Brokeback Mountain, que é o filme mais deprimente que eu já vi ..</v>
      </c>
      <c r="B11469" s="3">
        <v>0</v>
      </c>
    </row>
    <row r="11470" ht="15.75" customHeight="1" spans="1:2">
      <c r="A11470" s="3" t="str">
        <f>IFERROR(__xludf.DUMMYFUNCTION("GOOGLETRANSLATE(A11470,""en"",""pt"")"),"Meu pai está sendo estúpido sobre montanha Brokeback ...")</f>
        <v>Meu pai está sendo estúpido sobre montanha Brokeback ...</v>
      </c>
      <c r="B11470" s="3">
        <v>0</v>
      </c>
    </row>
    <row r="11471" ht="15.75" customHeight="1" spans="1:2">
      <c r="A11471" s="3" t="str">
        <f>IFERROR(__xludf.DUMMYFUNCTION("GOOGLETRANSLATE(A11471,""en"",""pt"")"),"Ah, e Brokeback Mountain é um filme terrível ...")</f>
        <v>Ah, e Brokeback Mountain é um filme terrível ...</v>
      </c>
      <c r="B11471" s="3">
        <v>0</v>
      </c>
    </row>
    <row r="11472" ht="15.75" customHeight="1" spans="1:2">
      <c r="A11472" s="3" t="str">
        <f>IFERROR(__xludf.DUMMYFUNCTION("GOOGLETRANSLATE(A11472,""en"",""pt"")"),"Brokeback Mountain foi chato.")</f>
        <v>Brokeback Mountain foi chato.</v>
      </c>
      <c r="B11472" s="3">
        <v>0</v>
      </c>
    </row>
    <row r="11473" ht="15.75" customHeight="1" spans="1:2">
      <c r="A11473" s="3" t="str">
        <f>IFERROR(__xludf.DUMMYFUNCTION("GOOGLETRANSLATE(A11473,""en"",""pt"")"),"Então Brokeback Mountain foi realmente deprimente.")</f>
        <v>Então Brokeback Mountain foi realmente deprimente.</v>
      </c>
      <c r="B11473" s="3">
        <v>0</v>
      </c>
    </row>
    <row r="11474" ht="15.75" customHeight="1" spans="1:2">
      <c r="A11474" s="3" t="str">
        <f>IFERROR(__xludf.DUMMYFUNCTION("GOOGLETRANSLATE(A11474,""en"",""pt"")"),"Quando eu sento aqui, observando o MTV Movie Awards, lembro-me do quanto eu desprezava o filme Brokeback Mountain.")</f>
        <v>Quando eu sento aqui, observando o MTV Movie Awards, lembro-me do quanto eu desprezava o filme Brokeback Mountain.</v>
      </c>
      <c r="B11474" s="3">
        <v>0</v>
      </c>
    </row>
    <row r="11475" ht="15.75" customHeight="1" spans="1:2">
      <c r="A11475" s="3" t="str">
        <f>IFERROR(__xludf.DUMMYFUNCTION("GOOGLETRANSLATE(A11475,""en"",""pt"")"),"montanha Brokeback Ok é um filme horrível.")</f>
        <v>montanha Brokeback Ok é um filme horrível.</v>
      </c>
      <c r="B11475" s="3">
        <v>0</v>
      </c>
    </row>
    <row r="11476" ht="15.75" customHeight="1" spans="1:2">
      <c r="A11476" s="3" t="str">
        <f>IFERROR(__xludf.DUMMYFUNCTION("GOOGLETRANSLATE(A11476,""en"",""pt"")"),"Ah, e Brokeback Mountain era um filme terrível.")</f>
        <v>Ah, e Brokeback Mountain era um filme terrível.</v>
      </c>
      <c r="B11476" s="3">
        <v>0</v>
      </c>
    </row>
    <row r="11477" ht="15.75" customHeight="1" spans="1:2">
      <c r="A11477" s="3" t="str">
        <f>IFERROR(__xludf.DUMMYFUNCTION("GOOGLETRANSLATE(A11477,""en"",""pt"")"),"Brokeback Mountain é foda horrível ..")</f>
        <v>Brokeback Mountain é foda horrível ..</v>
      </c>
      <c r="B11477" s="3">
        <v>0</v>
      </c>
    </row>
    <row r="11478" ht="15.75" customHeight="1" spans="1:2">
      <c r="A11478" s="3" t="str">
        <f>IFERROR(__xludf.DUMMYFUNCTION("GOOGLETRANSLATE(A11478,""en"",""pt"")"),"Então escapado em Brokeback Mountain, que é o filme mais deprimente que eu já vi ..")</f>
        <v>Então escapado em Brokeback Mountain, que é o filme mais deprimente que eu já vi ..</v>
      </c>
      <c r="B11478" s="3">
        <v>0</v>
      </c>
    </row>
    <row r="11479" ht="15.75" customHeight="1" spans="1:2">
      <c r="A11479" s="3" t="str">
        <f>IFERROR(__xludf.DUMMYFUNCTION("GOOGLETRANSLATE(A11479,""en"",""pt"")"),"Meu pai está sendo estúpido sobre montanha Brokeback ...")</f>
        <v>Meu pai está sendo estúpido sobre montanha Brokeback ...</v>
      </c>
      <c r="B11479" s="3">
        <v>0</v>
      </c>
    </row>
    <row r="11480" ht="15.75" customHeight="1" spans="1:2">
      <c r="A11480" s="3" t="str">
        <f>IFERROR(__xludf.DUMMYFUNCTION("GOOGLETRANSLATE(A11480,""en"",""pt"")"),"Ah, e Brokeback Mountain é um filme terrível ...")</f>
        <v>Ah, e Brokeback Mountain é um filme terrível ...</v>
      </c>
      <c r="B11480" s="3">
        <v>0</v>
      </c>
    </row>
    <row r="11481" ht="15.75" customHeight="1" spans="1:2">
      <c r="A11481" s="3" t="str">
        <f>IFERROR(__xludf.DUMMYFUNCTION("GOOGLETRANSLATE(A11481,""en"",""pt"")"),"Brokeback Mountain foi chato.")</f>
        <v>Brokeback Mountain foi chato.</v>
      </c>
      <c r="B11481" s="3">
        <v>0</v>
      </c>
    </row>
    <row r="11482" ht="15.75" customHeight="1" spans="1:2">
      <c r="A11482" s="3" t="str">
        <f>IFERROR(__xludf.DUMMYFUNCTION("GOOGLETRANSLATE(A11482,""en"",""pt"")"),"Então Brokeback Mountain foi realmente deprimente.")</f>
        <v>Então Brokeback Mountain foi realmente deprimente.</v>
      </c>
      <c r="B11482" s="3">
        <v>0</v>
      </c>
    </row>
    <row r="11483" ht="15.75" customHeight="1" spans="1:2">
      <c r="A11483" s="3" t="str">
        <f>IFERROR(__xludf.DUMMYFUNCTION("GOOGLETRANSLATE(A11483,""en"",""pt"")"),"Quando eu sento aqui, observando o MTV Movie Awards, lembro-me do quanto eu desprezava o filme Brokeback Mountain.")</f>
        <v>Quando eu sento aqui, observando o MTV Movie Awards, lembro-me do quanto eu desprezava o filme Brokeback Mountain.</v>
      </c>
      <c r="B11483" s="3">
        <v>0</v>
      </c>
    </row>
    <row r="11484" ht="15.75" customHeight="1" spans="1:2">
      <c r="A11484" s="3" t="str">
        <f>IFERROR(__xludf.DUMMYFUNCTION("GOOGLETRANSLATE(A11484,""en"",""pt"")"),"montanha Brokeback Ok é um filme horrível.")</f>
        <v>montanha Brokeback Ok é um filme horrível.</v>
      </c>
      <c r="B11484" s="3">
        <v>0</v>
      </c>
    </row>
    <row r="11485" ht="15.75" customHeight="1" spans="1:2">
      <c r="A11485" s="3" t="str">
        <f>IFERROR(__xludf.DUMMYFUNCTION("GOOGLETRANSLATE(A11485,""en"",""pt"")"),"Ah, e Brokeback Mountain era um filme terrível.")</f>
        <v>Ah, e Brokeback Mountain era um filme terrível.</v>
      </c>
      <c r="B11485" s="3">
        <v>0</v>
      </c>
    </row>
    <row r="11486" ht="15.75" customHeight="1" spans="1:2">
      <c r="A11486" s="3" t="str">
        <f>IFERROR(__xludf.DUMMYFUNCTION("GOOGLETRANSLATE(A11486,""en"",""pt"")"),"Brokeback Mountain é foda horrível ..")</f>
        <v>Brokeback Mountain é foda horrível ..</v>
      </c>
      <c r="B11486" s="3">
        <v>0</v>
      </c>
    </row>
    <row r="11487" ht="15.75" customHeight="1" spans="1:2">
      <c r="A11487" s="3" t="str">
        <f>IFERROR(__xludf.DUMMYFUNCTION("GOOGLETRANSLATE(A11487,""en"",""pt"")"),"Então escapado em Brokeback Mountain, que é o filme mais deprimente que eu já vi ..")</f>
        <v>Então escapado em Brokeback Mountain, que é o filme mais deprimente que eu já vi ..</v>
      </c>
      <c r="B11487" s="3">
        <v>0</v>
      </c>
    </row>
    <row r="11488" ht="15.75" customHeight="1" spans="1:2">
      <c r="A11488" s="3" t="str">
        <f>IFERROR(__xludf.DUMMYFUNCTION("GOOGLETRANSLATE(A11488,""en"",""pt"")"),"Meu pai está sendo estúpido sobre montanha Brokeback ...")</f>
        <v>Meu pai está sendo estúpido sobre montanha Brokeback ...</v>
      </c>
      <c r="B11488" s="3">
        <v>0</v>
      </c>
    </row>
    <row r="11489" ht="15.75" customHeight="1" spans="1:2">
      <c r="A11489" s="3" t="str">
        <f>IFERROR(__xludf.DUMMYFUNCTION("GOOGLETRANSLATE(A11489,""en"",""pt"")"),"Ah, e Brokeback Mountain é um filme terrível ...")</f>
        <v>Ah, e Brokeback Mountain é um filme terrível ...</v>
      </c>
      <c r="B11489" s="3">
        <v>0</v>
      </c>
    </row>
    <row r="11490" ht="15.75" customHeight="1" spans="1:2">
      <c r="A11490" s="3" t="str">
        <f>IFERROR(__xludf.DUMMYFUNCTION("GOOGLETRANSLATE(A11490,""en"",""pt"")"),"Brokeback Mountain foi chato.")</f>
        <v>Brokeback Mountain foi chato.</v>
      </c>
      <c r="B11490" s="3">
        <v>0</v>
      </c>
    </row>
    <row r="11491" ht="15.75" customHeight="1" spans="1:2">
      <c r="A11491" s="3" t="str">
        <f>IFERROR(__xludf.DUMMYFUNCTION("GOOGLETRANSLATE(A11491,""en"",""pt"")"),"Então Brokeback Mountain foi realmente deprimente.")</f>
        <v>Então Brokeback Mountain foi realmente deprimente.</v>
      </c>
      <c r="B11491" s="3">
        <v>0</v>
      </c>
    </row>
    <row r="11492" ht="15.75" customHeight="1" spans="1:2">
      <c r="A11492" s="3" t="str">
        <f>IFERROR(__xludf.DUMMYFUNCTION("GOOGLETRANSLATE(A11492,""en"",""pt"")"),"Quando eu sento aqui, observando o MTV Movie Awards, lembro-me do quanto eu desprezava o filme Brokeback Mountain.")</f>
        <v>Quando eu sento aqui, observando o MTV Movie Awards, lembro-me do quanto eu desprezava o filme Brokeback Mountain.</v>
      </c>
      <c r="B11492" s="3">
        <v>0</v>
      </c>
    </row>
    <row r="11493" ht="15.75" customHeight="1" spans="1:2">
      <c r="A11493" s="3" t="str">
        <f>IFERROR(__xludf.DUMMYFUNCTION("GOOGLETRANSLATE(A11493,""en"",""pt"")"),"montanha Brokeback Ok é um filme horrível.")</f>
        <v>montanha Brokeback Ok é um filme horrível.</v>
      </c>
      <c r="B11493" s="3">
        <v>0</v>
      </c>
    </row>
    <row r="11494" ht="15.75" customHeight="1" spans="1:2">
      <c r="A11494" s="3" t="str">
        <f>IFERROR(__xludf.DUMMYFUNCTION("GOOGLETRANSLATE(A11494,""en"",""pt"")"),"Ah, e Brokeback Mountain era um filme terrível.")</f>
        <v>Ah, e Brokeback Mountain era um filme terrível.</v>
      </c>
      <c r="B11494" s="3">
        <v>0</v>
      </c>
    </row>
    <row r="11495" ht="15.75" customHeight="1" spans="1:2">
      <c r="A11495" s="3" t="str">
        <f>IFERROR(__xludf.DUMMYFUNCTION("GOOGLETRANSLATE(A11495,""en"",""pt"")"),"Brokeback Mountain é foda horrível ..")</f>
        <v>Brokeback Mountain é foda horrível ..</v>
      </c>
      <c r="B11495" s="3">
        <v>0</v>
      </c>
    </row>
    <row r="11496" ht="15.75" customHeight="1" spans="1:2">
      <c r="A11496" s="3" t="str">
        <f>IFERROR(__xludf.DUMMYFUNCTION("GOOGLETRANSLATE(A11496,""en"",""pt"")"),"Então escapado em Brokeback Mountain, que é o filme mais deprimente que eu já vi ..")</f>
        <v>Então escapado em Brokeback Mountain, que é o filme mais deprimente que eu já vi ..</v>
      </c>
      <c r="B11496" s="3">
        <v>0</v>
      </c>
    </row>
    <row r="11497" ht="15.75" customHeight="1" spans="1:2">
      <c r="A11497" s="3" t="str">
        <f>IFERROR(__xludf.DUMMYFUNCTION("GOOGLETRANSLATE(A11497,""en"",""pt"")"),"Meu pai está sendo estúpido sobre montanha Brokeback ...")</f>
        <v>Meu pai está sendo estúpido sobre montanha Brokeback ...</v>
      </c>
      <c r="B11497" s="3">
        <v>0</v>
      </c>
    </row>
    <row r="11498" ht="15.75" customHeight="1" spans="1:2">
      <c r="A11498" s="3" t="str">
        <f>IFERROR(__xludf.DUMMYFUNCTION("GOOGLETRANSLATE(A11498,""en"",""pt"")"),"Ah, e Brokeback Mountain é um filme terrível ...")</f>
        <v>Ah, e Brokeback Mountain é um filme terrível ...</v>
      </c>
      <c r="B11498" s="3">
        <v>0</v>
      </c>
    </row>
    <row r="11499" ht="15.75" customHeight="1" spans="1:2">
      <c r="A11499" s="3" t="str">
        <f>IFERROR(__xludf.DUMMYFUNCTION("GOOGLETRANSLATE(A11499,""en"",""pt"")"),"Brokeback Mountain foi chato.")</f>
        <v>Brokeback Mountain foi chato.</v>
      </c>
      <c r="B11499" s="3">
        <v>0</v>
      </c>
    </row>
    <row r="11500" ht="15.75" customHeight="1" spans="1:2">
      <c r="A11500" s="3" t="str">
        <f>IFERROR(__xludf.DUMMYFUNCTION("GOOGLETRANSLATE(A11500,""en"",""pt"")"),"Então Brokeback Mountain foi realmente deprimente.")</f>
        <v>Então Brokeback Mountain foi realmente deprimente.</v>
      </c>
      <c r="B11500" s="3">
        <v>0</v>
      </c>
    </row>
    <row r="11501" ht="15.75" customHeight="1" spans="1:2">
      <c r="A11501" s="3" t="str">
        <f>IFERROR(__xludf.DUMMYFUNCTION("GOOGLETRANSLATE(A11501,""en"",""pt"")"),"Quando eu sento aqui, observando o MTV Movie Awards, lembro-me do quanto eu desprezava o filme Brokeback Mountain.")</f>
        <v>Quando eu sento aqui, observando o MTV Movie Awards, lembro-me do quanto eu desprezava o filme Brokeback Mountain.</v>
      </c>
      <c r="B11501" s="3">
        <v>0</v>
      </c>
    </row>
    <row r="11502" ht="15.75" customHeight="1" spans="1:2">
      <c r="A11502" s="3" t="str">
        <f>IFERROR(__xludf.DUMMYFUNCTION("GOOGLETRANSLATE(A11502,""en"",""pt"")"),"montanha Brokeback Ok é um filme horrível.")</f>
        <v>montanha Brokeback Ok é um filme horrível.</v>
      </c>
      <c r="B11502" s="3">
        <v>0</v>
      </c>
    </row>
    <row r="11503" ht="15.75" customHeight="1" spans="1:2">
      <c r="A11503" s="3" t="str">
        <f>IFERROR(__xludf.DUMMYFUNCTION("GOOGLETRANSLATE(A11503,""en"",""pt"")"),"Ah, e Brokeback Mountain era um filme terrível.")</f>
        <v>Ah, e Brokeback Mountain era um filme terrível.</v>
      </c>
      <c r="B11503" s="3">
        <v>0</v>
      </c>
    </row>
    <row r="11504" ht="15.75" customHeight="1" spans="1:2">
      <c r="A11504" s="3" t="str">
        <f>IFERROR(__xludf.DUMMYFUNCTION("GOOGLETRANSLATE(A11504,""en"",""pt"")"),"Brokeback Mountain é foda horrível ..")</f>
        <v>Brokeback Mountain é foda horrível ..</v>
      </c>
      <c r="B11504" s="3">
        <v>0</v>
      </c>
    </row>
    <row r="11505" ht="15.75" customHeight="1" spans="1:2">
      <c r="A11505" s="3" t="str">
        <f>IFERROR(__xludf.DUMMYFUNCTION("GOOGLETRANSLATE(A11505,""en"",""pt"")"),"Então escapado em Brokeback Mountain, que é o filme mais deprimente que eu já vi ..")</f>
        <v>Então escapado em Brokeback Mountain, que é o filme mais deprimente que eu já vi ..</v>
      </c>
      <c r="B11505" s="3">
        <v>0</v>
      </c>
    </row>
    <row r="11506" ht="15.75" customHeight="1" spans="1:2">
      <c r="A11506" s="3" t="str">
        <f>IFERROR(__xludf.DUMMYFUNCTION("GOOGLETRANSLATE(A11506,""en"",""pt"")"),"Meu pai está sendo estúpido sobre montanha Brokeback ...")</f>
        <v>Meu pai está sendo estúpido sobre montanha Brokeback ...</v>
      </c>
      <c r="B11506" s="3">
        <v>0</v>
      </c>
    </row>
    <row r="11507" ht="15.75" customHeight="1" spans="1:2">
      <c r="A11507" s="3" t="str">
        <f>IFERROR(__xludf.DUMMYFUNCTION("GOOGLETRANSLATE(A11507,""en"",""pt"")"),"Ah, e Brokeback Mountain é um filme terrível ...")</f>
        <v>Ah, e Brokeback Mountain é um filme terrível ...</v>
      </c>
      <c r="B11507" s="3">
        <v>0</v>
      </c>
    </row>
    <row r="11508" ht="15.75" customHeight="1" spans="1:2">
      <c r="A11508" s="3" t="str">
        <f>IFERROR(__xludf.DUMMYFUNCTION("GOOGLETRANSLATE(A11508,""en"",""pt"")"),"Brokeback Mountain foi chato.")</f>
        <v>Brokeback Mountain foi chato.</v>
      </c>
      <c r="B11508" s="3">
        <v>0</v>
      </c>
    </row>
    <row r="11509" ht="15.75" customHeight="1" spans="1:2">
      <c r="A11509" s="3" t="str">
        <f>IFERROR(__xludf.DUMMYFUNCTION("GOOGLETRANSLATE(A11509,""en"",""pt"")"),"Então Brokeback Mountain foi realmente deprimente.")</f>
        <v>Então Brokeback Mountain foi realmente deprimente.</v>
      </c>
      <c r="B11509" s="3">
        <v>0</v>
      </c>
    </row>
    <row r="11510" ht="15.75" customHeight="1" spans="1:2">
      <c r="A11510" s="3" t="str">
        <f>IFERROR(__xludf.DUMMYFUNCTION("GOOGLETRANSLATE(A11510,""en"",""pt"")"),"Quando eu sento aqui, observando o MTV Movie Awards, lembro-me do quanto eu desprezava o filme Brokeback Mountain.")</f>
        <v>Quando eu sento aqui, observando o MTV Movie Awards, lembro-me do quanto eu desprezava o filme Brokeback Mountain.</v>
      </c>
      <c r="B11510" s="3">
        <v>0</v>
      </c>
    </row>
    <row r="11511" ht="15.75" customHeight="1" spans="1:2">
      <c r="A11511" s="3" t="str">
        <f>IFERROR(__xludf.DUMMYFUNCTION("GOOGLETRANSLATE(A11511,""en"",""pt"")"),"montanha Brokeback Ok é um filme horrível.")</f>
        <v>montanha Brokeback Ok é um filme horrível.</v>
      </c>
      <c r="B11511" s="3">
        <v>0</v>
      </c>
    </row>
    <row r="11512" ht="15.75" customHeight="1" spans="1:2">
      <c r="A11512" s="3" t="str">
        <f>IFERROR(__xludf.DUMMYFUNCTION("GOOGLETRANSLATE(A11512,""en"",""pt"")"),"Ah, e Brokeback Mountain era um filme terrível.")</f>
        <v>Ah, e Brokeback Mountain era um filme terrível.</v>
      </c>
      <c r="B11512" s="3">
        <v>0</v>
      </c>
    </row>
    <row r="11513" ht="15.75" customHeight="1" spans="1:2">
      <c r="A11513" s="3" t="str">
        <f>IFERROR(__xludf.DUMMYFUNCTION("GOOGLETRANSLATE(A11513,""en"",""pt"")"),"Brokeback Mountain é foda horrível ..")</f>
        <v>Brokeback Mountain é foda horrível ..</v>
      </c>
      <c r="B11513" s="3">
        <v>0</v>
      </c>
    </row>
    <row r="11514" ht="15.75" customHeight="1" spans="1:2">
      <c r="A11514" s="3" t="str">
        <f>IFERROR(__xludf.DUMMYFUNCTION("GOOGLETRANSLATE(A11514,""en"",""pt"")"),"Então escapado em Brokeback Mountain, que é o filme mais deprimente que eu já vi ..")</f>
        <v>Então escapado em Brokeback Mountain, que é o filme mais deprimente que eu já vi ..</v>
      </c>
      <c r="B11514" s="3">
        <v>0</v>
      </c>
    </row>
    <row r="11515" ht="15.75" customHeight="1" spans="1:2">
      <c r="A11515" s="3" t="str">
        <f>IFERROR(__xludf.DUMMYFUNCTION("GOOGLETRANSLATE(A11515,""en"",""pt"")"),"Meu pai está sendo estúpido sobre montanha Brokeback ...")</f>
        <v>Meu pai está sendo estúpido sobre montanha Brokeback ...</v>
      </c>
      <c r="B11515" s="3">
        <v>0</v>
      </c>
    </row>
    <row r="11516" ht="15.75" customHeight="1" spans="1:2">
      <c r="A11516" s="3" t="str">
        <f>IFERROR(__xludf.DUMMYFUNCTION("GOOGLETRANSLATE(A11516,""en"",""pt"")"),"Ah, e Brokeback Mountain é um filme terrível ...")</f>
        <v>Ah, e Brokeback Mountain é um filme terrível ...</v>
      </c>
      <c r="B11516" s="3">
        <v>0</v>
      </c>
    </row>
    <row r="11517" ht="15.75" customHeight="1" spans="1:2">
      <c r="A11517" s="3" t="str">
        <f>IFERROR(__xludf.DUMMYFUNCTION("GOOGLETRANSLATE(A11517,""en"",""pt"")"),"Brokeback Mountain foi chato.")</f>
        <v>Brokeback Mountain foi chato.</v>
      </c>
      <c r="B11517" s="3">
        <v>0</v>
      </c>
    </row>
    <row r="11518" ht="15.75" customHeight="1" spans="1:2">
      <c r="A11518" s="3" t="str">
        <f>IFERROR(__xludf.DUMMYFUNCTION("GOOGLETRANSLATE(A11518,""en"",""pt"")"),"Então Brokeback Mountain foi realmente deprimente.")</f>
        <v>Então Brokeback Mountain foi realmente deprimente.</v>
      </c>
      <c r="B11518" s="3">
        <v>0</v>
      </c>
    </row>
    <row r="11519" ht="15.75" customHeight="1" spans="1:2">
      <c r="A11519" s="3" t="str">
        <f>IFERROR(__xludf.DUMMYFUNCTION("GOOGLETRANSLATE(A11519,""en"",""pt"")"),"Quando eu sento aqui, observando o MTV Movie Awards, lembro-me do quanto eu desprezava o filme Brokeback Mountain.")</f>
        <v>Quando eu sento aqui, observando o MTV Movie Awards, lembro-me do quanto eu desprezava o filme Brokeback Mountain.</v>
      </c>
      <c r="B11519" s="3">
        <v>0</v>
      </c>
    </row>
    <row r="11520" ht="15.75" customHeight="1" spans="1:2">
      <c r="A11520" s="3" t="str">
        <f>IFERROR(__xludf.DUMMYFUNCTION("GOOGLETRANSLATE(A11520,""en"",""pt"")"),"montanha Brokeback Ok é um filme horrível.")</f>
        <v>montanha Brokeback Ok é um filme horrível.</v>
      </c>
      <c r="B11520" s="3">
        <v>0</v>
      </c>
    </row>
    <row r="11521" ht="15.75" customHeight="1" spans="1:2">
      <c r="A11521" s="3" t="str">
        <f>IFERROR(__xludf.DUMMYFUNCTION("GOOGLETRANSLATE(A11521,""en"",""pt"")"),"Ah, e Brokeback Mountain era um filme terrível.")</f>
        <v>Ah, e Brokeback Mountain era um filme terrível.</v>
      </c>
      <c r="B11521" s="3">
        <v>0</v>
      </c>
    </row>
    <row r="11522" ht="15.75" customHeight="1" spans="1:2">
      <c r="A11522" s="3" t="str">
        <f>IFERROR(__xludf.DUMMYFUNCTION("GOOGLETRANSLATE(A11522,""en"",""pt"")"),"Brokeback Mountain é foda horrível ..")</f>
        <v>Brokeback Mountain é foda horrível ..</v>
      </c>
      <c r="B11522" s="3">
        <v>0</v>
      </c>
    </row>
    <row r="11523" ht="15.75" customHeight="1" spans="1:2">
      <c r="A11523" s="3" t="str">
        <f>IFERROR(__xludf.DUMMYFUNCTION("GOOGLETRANSLATE(A11523,""en"",""pt"")"),"Então escapado em Brokeback Mountain, que é o filme mais deprimente que eu já vi ..")</f>
        <v>Então escapado em Brokeback Mountain, que é o filme mais deprimente que eu já vi ..</v>
      </c>
      <c r="B11523" s="3">
        <v>0</v>
      </c>
    </row>
    <row r="11524" ht="15.75" customHeight="1" spans="1:2">
      <c r="A11524" s="3" t="str">
        <f>IFERROR(__xludf.DUMMYFUNCTION("GOOGLETRANSLATE(A11524,""en"",""pt"")"),"Meu pai está sendo estúpido sobre montanha Brokeback ...")</f>
        <v>Meu pai está sendo estúpido sobre montanha Brokeback ...</v>
      </c>
      <c r="B11524" s="3">
        <v>0</v>
      </c>
    </row>
    <row r="11525" ht="15.75" customHeight="1" spans="1:2">
      <c r="A11525" s="3" t="str">
        <f>IFERROR(__xludf.DUMMYFUNCTION("GOOGLETRANSLATE(A11525,""en"",""pt"")"),"Ah, e Brokeback Mountain é um filme terrível ...")</f>
        <v>Ah, e Brokeback Mountain é um filme terrível ...</v>
      </c>
      <c r="B11525" s="3">
        <v>0</v>
      </c>
    </row>
    <row r="11526" ht="15.75" customHeight="1" spans="1:2">
      <c r="A11526" s="3" t="str">
        <f>IFERROR(__xludf.DUMMYFUNCTION("GOOGLETRANSLATE(A11526,""en"",""pt"")"),"Brokeback Mountain foi chato.")</f>
        <v>Brokeback Mountain foi chato.</v>
      </c>
      <c r="B11526" s="3">
        <v>0</v>
      </c>
    </row>
    <row r="11527" ht="15.75" customHeight="1" spans="1:2">
      <c r="A11527" s="3" t="str">
        <f>IFERROR(__xludf.DUMMYFUNCTION("GOOGLETRANSLATE(A11527,""en"",""pt"")"),"Então Brokeback Mountain foi realmente deprimente.")</f>
        <v>Então Brokeback Mountain foi realmente deprimente.</v>
      </c>
      <c r="B11527" s="3">
        <v>0</v>
      </c>
    </row>
    <row r="11528" ht="15.75" customHeight="1" spans="1:2">
      <c r="A11528" s="3" t="str">
        <f>IFERROR(__xludf.DUMMYFUNCTION("GOOGLETRANSLATE(A11528,""en"",""pt"")"),"Quando eu sento aqui, observando o MTV Movie Awards, lembro-me do quanto eu desprezava o filme Brokeback Mountain.")</f>
        <v>Quando eu sento aqui, observando o MTV Movie Awards, lembro-me do quanto eu desprezava o filme Brokeback Mountain.</v>
      </c>
      <c r="B11528" s="3">
        <v>0</v>
      </c>
    </row>
    <row r="11529" ht="15.75" customHeight="1" spans="1:2">
      <c r="A11529" s="3" t="str">
        <f>IFERROR(__xludf.DUMMYFUNCTION("GOOGLETRANSLATE(A11529,""en"",""pt"")"),"montanha Brokeback Ok é um filme horrível.")</f>
        <v>montanha Brokeback Ok é um filme horrível.</v>
      </c>
      <c r="B11529" s="3">
        <v>0</v>
      </c>
    </row>
    <row r="11530" ht="15.75" customHeight="1" spans="1:2">
      <c r="A11530" s="3" t="str">
        <f>IFERROR(__xludf.DUMMYFUNCTION("GOOGLETRANSLATE(A11530,""en"",""pt"")"),"Ah, e Brokeback Mountain era um filme terrível.")</f>
        <v>Ah, e Brokeback Mountain era um filme terrível.</v>
      </c>
      <c r="B11530" s="3">
        <v>0</v>
      </c>
    </row>
    <row r="11531" ht="15.75" customHeight="1" spans="1:2">
      <c r="A11531" s="3" t="str">
        <f>IFERROR(__xludf.DUMMYFUNCTION("GOOGLETRANSLATE(A11531,""en"",""pt"")"),"Brokeback Mountain é foda horrível ..")</f>
        <v>Brokeback Mountain é foda horrível ..</v>
      </c>
      <c r="B11531" s="3">
        <v>0</v>
      </c>
    </row>
    <row r="11532" ht="15.75" customHeight="1" spans="1:2">
      <c r="A11532" s="3" t="str">
        <f>IFERROR(__xludf.DUMMYFUNCTION("GOOGLETRANSLATE(A11532,""en"",""pt"")"),"Então escapado em Brokeback Mountain, que é o filme mais deprimente que eu já vi ..")</f>
        <v>Então escapado em Brokeback Mountain, que é o filme mais deprimente que eu já vi ..</v>
      </c>
      <c r="B11532" s="3">
        <v>0</v>
      </c>
    </row>
    <row r="11533" ht="15.75" customHeight="1" spans="1:2">
      <c r="A11533" s="3" t="str">
        <f>IFERROR(__xludf.DUMMYFUNCTION("GOOGLETRANSLATE(A11533,""en"",""pt"")"),"Meu pai está sendo estúpido sobre montanha Brokeback ...")</f>
        <v>Meu pai está sendo estúpido sobre montanha Brokeback ...</v>
      </c>
      <c r="B11533" s="3">
        <v>0</v>
      </c>
    </row>
    <row r="11534" ht="15.75" customHeight="1" spans="1:2">
      <c r="A11534" s="3" t="str">
        <f>IFERROR(__xludf.DUMMYFUNCTION("GOOGLETRANSLATE(A11534,""en"",""pt"")"),"Ah, e Brokeback Mountain é um filme terrível ...")</f>
        <v>Ah, e Brokeback Mountain é um filme terrível ...</v>
      </c>
      <c r="B11534" s="3">
        <v>0</v>
      </c>
    </row>
    <row r="11535" ht="15.75" customHeight="1" spans="1:2">
      <c r="A11535" s="3" t="str">
        <f>IFERROR(__xludf.DUMMYFUNCTION("GOOGLETRANSLATE(A11535,""en"",""pt"")"),"Brokeback Mountain foi chato.")</f>
        <v>Brokeback Mountain foi chato.</v>
      </c>
      <c r="B11535" s="3">
        <v>0</v>
      </c>
    </row>
    <row r="11536" ht="15.75" customHeight="1" spans="1:2">
      <c r="A11536" s="3" t="str">
        <f>IFERROR(__xludf.DUMMYFUNCTION("GOOGLETRANSLATE(A11536,""en"",""pt"")"),"Então Brokeback Mountain foi realmente deprimente.")</f>
        <v>Então Brokeback Mountain foi realmente deprimente.</v>
      </c>
      <c r="B11536" s="3">
        <v>0</v>
      </c>
    </row>
    <row r="11537" ht="15.75" customHeight="1" spans="1:2">
      <c r="A11537" s="3" t="str">
        <f>IFERROR(__xludf.DUMMYFUNCTION("GOOGLETRANSLATE(A11537,""en"",""pt"")"),"Quando eu sento aqui, observando o MTV Movie Awards, lembro-me do quanto eu desprezava o filme Brokeback Mountain.")</f>
        <v>Quando eu sento aqui, observando o MTV Movie Awards, lembro-me do quanto eu desprezava o filme Brokeback Mountain.</v>
      </c>
      <c r="B11537" s="3">
        <v>0</v>
      </c>
    </row>
    <row r="11538" ht="15.75" customHeight="1" spans="1:2">
      <c r="A11538" s="3" t="str">
        <f>IFERROR(__xludf.DUMMYFUNCTION("GOOGLETRANSLATE(A11538,""en"",""pt"")"),"montanha Brokeback Ok é um filme horrível.")</f>
        <v>montanha Brokeback Ok é um filme horrível.</v>
      </c>
      <c r="B11538" s="3">
        <v>0</v>
      </c>
    </row>
    <row r="11539" ht="15.75" customHeight="1" spans="1:2">
      <c r="A11539" s="3" t="str">
        <f>IFERROR(__xludf.DUMMYFUNCTION("GOOGLETRANSLATE(A11539,""en"",""pt"")"),"Ah, e Brokeback Mountain era um filme terrível.")</f>
        <v>Ah, e Brokeback Mountain era um filme terrível.</v>
      </c>
      <c r="B11539" s="3">
        <v>0</v>
      </c>
    </row>
    <row r="11540" ht="15.75" customHeight="1" spans="1:2">
      <c r="A11540" s="3" t="str">
        <f>IFERROR(__xludf.DUMMYFUNCTION("GOOGLETRANSLATE(A11540,""en"",""pt"")"),"Brokeback Mountain é foda horrível ..")</f>
        <v>Brokeback Mountain é foda horrível ..</v>
      </c>
      <c r="B11540" s="3">
        <v>0</v>
      </c>
    </row>
    <row r="11541" ht="15.75" customHeight="1" spans="1:2">
      <c r="A11541" s="3" t="str">
        <f>IFERROR(__xludf.DUMMYFUNCTION("GOOGLETRANSLATE(A11541,""en"",""pt"")"),"Então escapado em Brokeback Mountain, que é o filme mais deprimente que eu já vi ..")</f>
        <v>Então escapado em Brokeback Mountain, que é o filme mais deprimente que eu já vi ..</v>
      </c>
      <c r="B11541" s="3">
        <v>0</v>
      </c>
    </row>
    <row r="11542" ht="15.75" customHeight="1" spans="1:2">
      <c r="A11542" s="3" t="str">
        <f>IFERROR(__xludf.DUMMYFUNCTION("GOOGLETRANSLATE(A11542,""en"",""pt"")"),"Meu pai está sendo estúpido sobre montanha Brokeback ...")</f>
        <v>Meu pai está sendo estúpido sobre montanha Brokeback ...</v>
      </c>
      <c r="B11542" s="3">
        <v>0</v>
      </c>
    </row>
    <row r="11543" ht="15.75" customHeight="1" spans="1:2">
      <c r="A11543" s="3" t="str">
        <f>IFERROR(__xludf.DUMMYFUNCTION("GOOGLETRANSLATE(A11543,""en"",""pt"")"),"Ah, e Brokeback Mountain é um filme terrível ...")</f>
        <v>Ah, e Brokeback Mountain é um filme terrível ...</v>
      </c>
      <c r="B11543" s="3">
        <v>0</v>
      </c>
    </row>
    <row r="11544" ht="15.75" customHeight="1" spans="1:2">
      <c r="A11544" s="3" t="str">
        <f>IFERROR(__xludf.DUMMYFUNCTION("GOOGLETRANSLATE(A11544,""en"",""pt"")"),"Brokeback Mountain foi chato.")</f>
        <v>Brokeback Mountain foi chato.</v>
      </c>
      <c r="B11544" s="3">
        <v>0</v>
      </c>
    </row>
    <row r="11545" ht="15.75" customHeight="1" spans="1:2">
      <c r="A11545" s="3" t="str">
        <f>IFERROR(__xludf.DUMMYFUNCTION("GOOGLETRANSLATE(A11545,""en"",""pt"")"),"Então Brokeback Mountain foi realmente deprimente.")</f>
        <v>Então Brokeback Mountain foi realmente deprimente.</v>
      </c>
      <c r="B11545" s="3">
        <v>0</v>
      </c>
    </row>
    <row r="11546" ht="15.75" customHeight="1" spans="1:2">
      <c r="A11546" s="3" t="str">
        <f>IFERROR(__xludf.DUMMYFUNCTION("GOOGLETRANSLATE(A11546,""en"",""pt"")"),"Quando eu sento aqui, observando o MTV Movie Awards, lembro-me do quanto eu desprezava o filme Brokeback Mountain.")</f>
        <v>Quando eu sento aqui, observando o MTV Movie Awards, lembro-me do quanto eu desprezava o filme Brokeback Mountain.</v>
      </c>
      <c r="B11546" s="3">
        <v>0</v>
      </c>
    </row>
    <row r="11547" ht="15.75" customHeight="1" spans="1:2">
      <c r="A11547" s="3" t="str">
        <f>IFERROR(__xludf.DUMMYFUNCTION("GOOGLETRANSLATE(A11547,""en"",""pt"")"),"montanha Brokeback Ok é um filme horrível.")</f>
        <v>montanha Brokeback Ok é um filme horrível.</v>
      </c>
      <c r="B11547" s="3">
        <v>0</v>
      </c>
    </row>
    <row r="11548" ht="15.75" customHeight="1" spans="1:2">
      <c r="A11548" s="3" t="str">
        <f>IFERROR(__xludf.DUMMYFUNCTION("GOOGLETRANSLATE(A11548,""en"",""pt"")"),"Ah, e Brokeback Mountain era um filme terrível.")</f>
        <v>Ah, e Brokeback Mountain era um filme terrível.</v>
      </c>
      <c r="B11548" s="3">
        <v>0</v>
      </c>
    </row>
    <row r="11549" ht="15.75" customHeight="1" spans="1:2">
      <c r="A11549" s="3" t="str">
        <f>IFERROR(__xludf.DUMMYFUNCTION("GOOGLETRANSLATE(A11549,""en"",""pt"")"),"Brokeback Mountain é foda horrível ..")</f>
        <v>Brokeback Mountain é foda horrível ..</v>
      </c>
      <c r="B11549" s="3">
        <v>0</v>
      </c>
    </row>
    <row r="11550" ht="15.75" customHeight="1" spans="1:2">
      <c r="A11550" s="3" t="str">
        <f>IFERROR(__xludf.DUMMYFUNCTION("GOOGLETRANSLATE(A11550,""en"",""pt"")"),"Então escapado em Brokeback Mountain, que é o filme mais deprimente que eu já vi ..")</f>
        <v>Então escapado em Brokeback Mountain, que é o filme mais deprimente que eu já vi ..</v>
      </c>
      <c r="B11550" s="3">
        <v>0</v>
      </c>
    </row>
    <row r="11551" ht="15.75" customHeight="1" spans="1:2">
      <c r="A11551" s="3" t="str">
        <f>IFERROR(__xludf.DUMMYFUNCTION("GOOGLETRANSLATE(A11551,""en"",""pt"")"),"Meu pai está sendo estúpido sobre montanha Brokeback ...")</f>
        <v>Meu pai está sendo estúpido sobre montanha Brokeback ...</v>
      </c>
      <c r="B11551" s="3">
        <v>0</v>
      </c>
    </row>
    <row r="11552" ht="15.75" customHeight="1" spans="1:2">
      <c r="A11552" s="3" t="str">
        <f>IFERROR(__xludf.DUMMYFUNCTION("GOOGLETRANSLATE(A11552,""en"",""pt"")"),"Ah, e Brokeback Mountain é um filme terrível ...")</f>
        <v>Ah, e Brokeback Mountain é um filme terrível ...</v>
      </c>
      <c r="B11552" s="3">
        <v>0</v>
      </c>
    </row>
    <row r="11553" ht="15.75" customHeight="1" spans="1:2">
      <c r="A11553" s="3" t="str">
        <f>IFERROR(__xludf.DUMMYFUNCTION("GOOGLETRANSLATE(A11553,""en"",""pt"")"),"Brokeback Mountain foi chato.")</f>
        <v>Brokeback Mountain foi chato.</v>
      </c>
      <c r="B11553" s="3">
        <v>0</v>
      </c>
    </row>
    <row r="11554" ht="15.75" customHeight="1" spans="1:2">
      <c r="A11554" s="3" t="str">
        <f>IFERROR(__xludf.DUMMYFUNCTION("GOOGLETRANSLATE(A11554,""en"",""pt"")"),"Então Brokeback Mountain foi realmente deprimente.")</f>
        <v>Então Brokeback Mountain foi realmente deprimente.</v>
      </c>
      <c r="B11554" s="3">
        <v>0</v>
      </c>
    </row>
    <row r="11555" ht="15.75" customHeight="1" spans="1:2">
      <c r="A11555" s="3" t="str">
        <f>IFERROR(__xludf.DUMMYFUNCTION("GOOGLETRANSLATE(A11555,""en"",""pt"")"),"Quando eu sento aqui, observando o MTV Movie Awards, lembro-me do quanto eu desprezava o filme Brokeback Mountain.")</f>
        <v>Quando eu sento aqui, observando o MTV Movie Awards, lembro-me do quanto eu desprezava o filme Brokeback Mountain.</v>
      </c>
      <c r="B11555" s="3">
        <v>0</v>
      </c>
    </row>
    <row r="11556" ht="15.75" customHeight="1" spans="1:2">
      <c r="A11556" s="3" t="str">
        <f>IFERROR(__xludf.DUMMYFUNCTION("GOOGLETRANSLATE(A11556,""en"",""pt"")"),"montanha Brokeback Ok é um filme horrível.")</f>
        <v>montanha Brokeback Ok é um filme horrível.</v>
      </c>
      <c r="B11556" s="3">
        <v>0</v>
      </c>
    </row>
    <row r="11557" ht="15.75" customHeight="1" spans="1:2">
      <c r="A11557" s="3" t="str">
        <f>IFERROR(__xludf.DUMMYFUNCTION("GOOGLETRANSLATE(A11557,""en"",""pt"")"),"Ah, e Brokeback Mountain era um filme terrível.")</f>
        <v>Ah, e Brokeback Mountain era um filme terrível.</v>
      </c>
      <c r="B11557" s="3">
        <v>0</v>
      </c>
    </row>
    <row r="11558" ht="15.75" customHeight="1" spans="1:2">
      <c r="A11558" s="3" t="str">
        <f>IFERROR(__xludf.DUMMYFUNCTION("GOOGLETRANSLATE(A11558,""en"",""pt"")"),"Brokeback Mountain é foda horrível ..")</f>
        <v>Brokeback Mountain é foda horrível ..</v>
      </c>
      <c r="B11558" s="3">
        <v>0</v>
      </c>
    </row>
    <row r="11559" ht="15.75" customHeight="1" spans="1:2">
      <c r="A11559" s="3" t="str">
        <f>IFERROR(__xludf.DUMMYFUNCTION("GOOGLETRANSLATE(A11559,""en"",""pt"")"),"Então escapado em Brokeback Mountain, que é o filme mais deprimente que eu já vi ..")</f>
        <v>Então escapado em Brokeback Mountain, que é o filme mais deprimente que eu já vi ..</v>
      </c>
      <c r="B11559" s="3">
        <v>0</v>
      </c>
    </row>
    <row r="11560" ht="15.75" customHeight="1" spans="1:2">
      <c r="A11560" s="3" t="str">
        <f>IFERROR(__xludf.DUMMYFUNCTION("GOOGLETRANSLATE(A11560,""en"",""pt"")"),"Meu pai está sendo estúpido sobre montanha Brokeback ...")</f>
        <v>Meu pai está sendo estúpido sobre montanha Brokeback ...</v>
      </c>
      <c r="B11560" s="3">
        <v>0</v>
      </c>
    </row>
    <row r="11561" ht="15.75" customHeight="1" spans="1:2">
      <c r="A11561" s="3" t="str">
        <f>IFERROR(__xludf.DUMMYFUNCTION("GOOGLETRANSLATE(A11561,""en"",""pt"")"),"Ah, e Brokeback Mountain é um filme terrível ...")</f>
        <v>Ah, e Brokeback Mountain é um filme terrível ...</v>
      </c>
      <c r="B11561" s="3">
        <v>0</v>
      </c>
    </row>
    <row r="11562" ht="15.75" customHeight="1" spans="1:2">
      <c r="A11562" s="3" t="str">
        <f>IFERROR(__xludf.DUMMYFUNCTION("GOOGLETRANSLATE(A11562,""en"",""pt"")"),"Brokeback Mountain foi chato.")</f>
        <v>Brokeback Mountain foi chato.</v>
      </c>
      <c r="B11562" s="3">
        <v>0</v>
      </c>
    </row>
    <row r="11563" ht="15.75" customHeight="1" spans="1:2">
      <c r="A11563" s="3" t="str">
        <f>IFERROR(__xludf.DUMMYFUNCTION("GOOGLETRANSLATE(A11563,""en"",""pt"")"),"Então Brokeback Mountain foi realmente deprimente.")</f>
        <v>Então Brokeback Mountain foi realmente deprimente.</v>
      </c>
      <c r="B11563" s="3">
        <v>0</v>
      </c>
    </row>
    <row r="11564" ht="15.75" customHeight="1" spans="1:2">
      <c r="A11564" s="3" t="str">
        <f>IFERROR(__xludf.DUMMYFUNCTION("GOOGLETRANSLATE(A11564,""en"",""pt"")"),"Quando eu sento aqui, observando o MTV Movie Awards, lembro-me do quanto eu desprezava o filme Brokeback Mountain.")</f>
        <v>Quando eu sento aqui, observando o MTV Movie Awards, lembro-me do quanto eu desprezava o filme Brokeback Mountain.</v>
      </c>
      <c r="B11564" s="3">
        <v>0</v>
      </c>
    </row>
    <row r="11565" ht="15.75" customHeight="1" spans="1:2">
      <c r="A11565" s="3" t="str">
        <f>IFERROR(__xludf.DUMMYFUNCTION("GOOGLETRANSLATE(A11565,""en"",""pt"")"),"montanha Brokeback Ok é um filme horrível.")</f>
        <v>montanha Brokeback Ok é um filme horrível.</v>
      </c>
      <c r="B11565" s="3">
        <v>0</v>
      </c>
    </row>
    <row r="11566" ht="15.75" customHeight="1" spans="1:2">
      <c r="A11566" s="3" t="str">
        <f>IFERROR(__xludf.DUMMYFUNCTION("GOOGLETRANSLATE(A11566,""en"",""pt"")"),"Ah, e Brokeback Mountain era um filme terrível.")</f>
        <v>Ah, e Brokeback Mountain era um filme terrível.</v>
      </c>
      <c r="B11566" s="3">
        <v>0</v>
      </c>
    </row>
    <row r="11567" ht="15.75" customHeight="1" spans="1:2">
      <c r="A11567" s="3" t="str">
        <f>IFERROR(__xludf.DUMMYFUNCTION("GOOGLETRANSLATE(A11567,""en"",""pt"")"),"Brokeback Mountain é foda horrível ..")</f>
        <v>Brokeback Mountain é foda horrível ..</v>
      </c>
      <c r="B11567" s="3">
        <v>0</v>
      </c>
    </row>
    <row r="11568" ht="15.75" customHeight="1" spans="1:2">
      <c r="A11568" s="3" t="str">
        <f>IFERROR(__xludf.DUMMYFUNCTION("GOOGLETRANSLATE(A11568,""en"",""pt"")"),"Então escapado em Brokeback Mountain, que é o filme mais deprimente que eu já vi ..")</f>
        <v>Então escapado em Brokeback Mountain, que é o filme mais deprimente que eu já vi ..</v>
      </c>
      <c r="B11568" s="3">
        <v>0</v>
      </c>
    </row>
    <row r="11569" ht="15.75" customHeight="1" spans="1:2">
      <c r="A11569" s="3" t="str">
        <f>IFERROR(__xludf.DUMMYFUNCTION("GOOGLETRANSLATE(A11569,""en"",""pt"")"),"Meu pai está sendo estúpido sobre montanha Brokeback ...")</f>
        <v>Meu pai está sendo estúpido sobre montanha Brokeback ...</v>
      </c>
      <c r="B11569" s="3">
        <v>0</v>
      </c>
    </row>
    <row r="11570" ht="15.75" customHeight="1" spans="1:2">
      <c r="A11570" s="3" t="str">
        <f>IFERROR(__xludf.DUMMYFUNCTION("GOOGLETRANSLATE(A11570,""en"",""pt"")"),"Ah, e Brokeback Mountain é um filme terrível ...")</f>
        <v>Ah, e Brokeback Mountain é um filme terrível ...</v>
      </c>
      <c r="B11570" s="3">
        <v>0</v>
      </c>
    </row>
    <row r="11571" ht="15.75" customHeight="1" spans="1:2">
      <c r="A11571" s="3" t="str">
        <f>IFERROR(__xludf.DUMMYFUNCTION("GOOGLETRANSLATE(A11571,""en"",""pt"")"),"Brokeback Mountain foi chato.")</f>
        <v>Brokeback Mountain foi chato.</v>
      </c>
      <c r="B11571" s="3">
        <v>0</v>
      </c>
    </row>
    <row r="11572" ht="15.75" customHeight="1" spans="1:2">
      <c r="A11572" s="3" t="str">
        <f>IFERROR(__xludf.DUMMYFUNCTION("GOOGLETRANSLATE(A11572,""en"",""pt"")"),"Então Brokeback Mountain foi realmente deprimente.")</f>
        <v>Então Brokeback Mountain foi realmente deprimente.</v>
      </c>
      <c r="B11572" s="3">
        <v>0</v>
      </c>
    </row>
    <row r="11573" ht="15.75" customHeight="1" spans="1:2">
      <c r="A11573" s="3" t="str">
        <f>IFERROR(__xludf.DUMMYFUNCTION("GOOGLETRANSLATE(A11573,""en"",""pt"")"),"Quando eu sento aqui, observando o MTV Movie Awards, lembro-me do quanto eu desprezava o filme Brokeback Mountain.")</f>
        <v>Quando eu sento aqui, observando o MTV Movie Awards, lembro-me do quanto eu desprezava o filme Brokeback Mountain.</v>
      </c>
      <c r="B11573" s="3">
        <v>0</v>
      </c>
    </row>
    <row r="11574" ht="15.75" customHeight="1" spans="1:2">
      <c r="A11574" s="3" t="str">
        <f>IFERROR(__xludf.DUMMYFUNCTION("GOOGLETRANSLATE(A11574,""en"",""pt"")"),"montanha Brokeback Ok é um filme horrível.")</f>
        <v>montanha Brokeback Ok é um filme horrível.</v>
      </c>
      <c r="B11574" s="3">
        <v>0</v>
      </c>
    </row>
    <row r="11575" ht="15.75" customHeight="1" spans="1:2">
      <c r="A11575" s="3" t="str">
        <f>IFERROR(__xludf.DUMMYFUNCTION("GOOGLETRANSLATE(A11575,""en"",""pt"")"),"Ah, e Brokeback Mountain era um filme terrível.")</f>
        <v>Ah, e Brokeback Mountain era um filme terrível.</v>
      </c>
      <c r="B11575" s="3">
        <v>0</v>
      </c>
    </row>
    <row r="11576" ht="15.75" customHeight="1" spans="1:2">
      <c r="A11576" s="3" t="str">
        <f>IFERROR(__xludf.DUMMYFUNCTION("GOOGLETRANSLATE(A11576,""en"",""pt"")"),"Brokeback Mountain é foda horrível ..")</f>
        <v>Brokeback Mountain é foda horrível ..</v>
      </c>
      <c r="B11576" s="3">
        <v>0</v>
      </c>
    </row>
    <row r="11577" ht="15.75" customHeight="1" spans="1:2">
      <c r="A11577" s="3" t="str">
        <f>IFERROR(__xludf.DUMMYFUNCTION("GOOGLETRANSLATE(A11577,""en"",""pt"")"),"Então escapado em Brokeback Mountain, que é o filme mais deprimente que eu já vi ..")</f>
        <v>Então escapado em Brokeback Mountain, que é o filme mais deprimente que eu já vi ..</v>
      </c>
      <c r="B11577" s="3">
        <v>0</v>
      </c>
    </row>
    <row r="11578" ht="15.75" customHeight="1" spans="1:2">
      <c r="A11578" s="3" t="str">
        <f>IFERROR(__xludf.DUMMYFUNCTION("GOOGLETRANSLATE(A11578,""en"",""pt"")"),"Meu pai está sendo estúpido sobre montanha Brokeback ...")</f>
        <v>Meu pai está sendo estúpido sobre montanha Brokeback ...</v>
      </c>
      <c r="B11578" s="3">
        <v>0</v>
      </c>
    </row>
    <row r="11579" ht="15.75" customHeight="1" spans="1:2">
      <c r="A11579" s="3" t="str">
        <f>IFERROR(__xludf.DUMMYFUNCTION("GOOGLETRANSLATE(A11579,""en"",""pt"")"),"Ah, e Brokeback Mountain é um filme terrível ...")</f>
        <v>Ah, e Brokeback Mountain é um filme terrível ...</v>
      </c>
      <c r="B11579" s="3">
        <v>0</v>
      </c>
    </row>
    <row r="11580" ht="15.75" customHeight="1" spans="1:2">
      <c r="A11580" s="3" t="str">
        <f>IFERROR(__xludf.DUMMYFUNCTION("GOOGLETRANSLATE(A11580,""en"",""pt"")"),"Brokeback Mountain foi chato.")</f>
        <v>Brokeback Mountain foi chato.</v>
      </c>
      <c r="B11580" s="3">
        <v>0</v>
      </c>
    </row>
    <row r="11581" ht="15.75" customHeight="1" spans="1:2">
      <c r="A11581" s="3" t="str">
        <f>IFERROR(__xludf.DUMMYFUNCTION("GOOGLETRANSLATE(A11581,""en"",""pt"")"),"Então Brokeback Mountain foi realmente deprimente.")</f>
        <v>Então Brokeback Mountain foi realmente deprimente.</v>
      </c>
      <c r="B11581" s="3">
        <v>0</v>
      </c>
    </row>
    <row r="11582" ht="15.75" customHeight="1" spans="1:2">
      <c r="A11582" s="3" t="str">
        <f>IFERROR(__xludf.DUMMYFUNCTION("GOOGLETRANSLATE(A11582,""en"",""pt"")"),"Quando eu sento aqui, observando o MTV Movie Awards, lembro-me do quanto eu desprezava o filme Brokeback Mountain.")</f>
        <v>Quando eu sento aqui, observando o MTV Movie Awards, lembro-me do quanto eu desprezava o filme Brokeback Mountain.</v>
      </c>
      <c r="B11582" s="3">
        <v>0</v>
      </c>
    </row>
    <row r="11583" ht="15.75" customHeight="1" spans="1:2">
      <c r="A11583" s="3" t="str">
        <f>IFERROR(__xludf.DUMMYFUNCTION("GOOGLETRANSLATE(A11583,""en"",""pt"")"),"montanha Brokeback Ok é um filme horrível.")</f>
        <v>montanha Brokeback Ok é um filme horrível.</v>
      </c>
      <c r="B11583" s="3">
        <v>0</v>
      </c>
    </row>
    <row r="11584" ht="15.75" customHeight="1" spans="1:2">
      <c r="A11584" s="3" t="str">
        <f>IFERROR(__xludf.DUMMYFUNCTION("GOOGLETRANSLATE(A11584,""en"",""pt"")"),"Ah, e Brokeback Mountain era um filme terrível.")</f>
        <v>Ah, e Brokeback Mountain era um filme terrível.</v>
      </c>
      <c r="B11584" s="3">
        <v>0</v>
      </c>
    </row>
    <row r="11585" ht="15.75" customHeight="1" spans="1:2">
      <c r="A11585" s="3" t="str">
        <f>IFERROR(__xludf.DUMMYFUNCTION("GOOGLETRANSLATE(A11585,""en"",""pt"")"),"Brokeback Mountain é foda horrível ..")</f>
        <v>Brokeback Mountain é foda horrível ..</v>
      </c>
      <c r="B11585" s="3">
        <v>0</v>
      </c>
    </row>
    <row r="11586" ht="15.75" customHeight="1" spans="1:2">
      <c r="A11586" s="3" t="str">
        <f>IFERROR(__xludf.DUMMYFUNCTION("GOOGLETRANSLATE(A11586,""en"",""pt"")"),"Então escapado em Brokeback Mountain, que é o filme mais deprimente que eu já vi ..")</f>
        <v>Então escapado em Brokeback Mountain, que é o filme mais deprimente que eu já vi ..</v>
      </c>
      <c r="B11586" s="3">
        <v>0</v>
      </c>
    </row>
    <row r="11587" ht="15.75" customHeight="1" spans="1:2">
      <c r="A11587" s="3" t="str">
        <f>IFERROR(__xludf.DUMMYFUNCTION("GOOGLETRANSLATE(A11587,""en"",""pt"")"),"Meu pai está sendo estúpido sobre montanha Brokeback ...")</f>
        <v>Meu pai está sendo estúpido sobre montanha Brokeback ...</v>
      </c>
      <c r="B11587" s="3">
        <v>0</v>
      </c>
    </row>
    <row r="11588" ht="15.75" customHeight="1" spans="1:2">
      <c r="A11588" s="3" t="str">
        <f>IFERROR(__xludf.DUMMYFUNCTION("GOOGLETRANSLATE(A11588,""en"",""pt"")"),"Ah, e Brokeback Mountain é um filme terrível ...")</f>
        <v>Ah, e Brokeback Mountain é um filme terrível ...</v>
      </c>
      <c r="B11588" s="3">
        <v>0</v>
      </c>
    </row>
    <row r="11589" ht="15.75" customHeight="1" spans="1:2">
      <c r="A11589" s="3" t="str">
        <f>IFERROR(__xludf.DUMMYFUNCTION("GOOGLETRANSLATE(A11589,""en"",""pt"")"),"Brokeback Mountain foi chato.")</f>
        <v>Brokeback Mountain foi chato.</v>
      </c>
      <c r="B11589" s="3">
        <v>0</v>
      </c>
    </row>
    <row r="11590" ht="15.75" customHeight="1" spans="1:2">
      <c r="A11590" s="3" t="str">
        <f>IFERROR(__xludf.DUMMYFUNCTION("GOOGLETRANSLATE(A11590,""en"",""pt"")"),"Então Brokeback Mountain foi realmente deprimente.")</f>
        <v>Então Brokeback Mountain foi realmente deprimente.</v>
      </c>
      <c r="B11590" s="3">
        <v>0</v>
      </c>
    </row>
    <row r="11591" ht="15.75" customHeight="1" spans="1:2">
      <c r="A11591" s="3" t="str">
        <f>IFERROR(__xludf.DUMMYFUNCTION("GOOGLETRANSLATE(A11591,""en"",""pt"")"),"Quando eu sento aqui, observando o MTV Movie Awards, lembro-me do quanto eu desprezava o filme Brokeback Mountain.")</f>
        <v>Quando eu sento aqui, observando o MTV Movie Awards, lembro-me do quanto eu desprezava o filme Brokeback Mountain.</v>
      </c>
      <c r="B11591" s="3">
        <v>0</v>
      </c>
    </row>
    <row r="11592" ht="15.75" customHeight="1" spans="1:2">
      <c r="A11592" s="3" t="str">
        <f>IFERROR(__xludf.DUMMYFUNCTION("GOOGLETRANSLATE(A11592,""en"",""pt"")"),"montanha Brokeback Ok é um filme horrível.")</f>
        <v>montanha Brokeback Ok é um filme horrível.</v>
      </c>
      <c r="B11592" s="3">
        <v>0</v>
      </c>
    </row>
    <row r="11593" ht="15.75" customHeight="1" spans="1:2">
      <c r="A11593" s="3" t="str">
        <f>IFERROR(__xludf.DUMMYFUNCTION("GOOGLETRANSLATE(A11593,""en"",""pt"")"),"Ah, e Brokeback Mountain era um filme terrível.")</f>
        <v>Ah, e Brokeback Mountain era um filme terrível.</v>
      </c>
      <c r="B11593" s="3">
        <v>0</v>
      </c>
    </row>
    <row r="11594" ht="15.75" customHeight="1" spans="1:2">
      <c r="A11594" s="3" t="str">
        <f>IFERROR(__xludf.DUMMYFUNCTION("GOOGLETRANSLATE(A11594,""en"",""pt"")"),"Brokeback Mountain é foda horrível ..")</f>
        <v>Brokeback Mountain é foda horrível ..</v>
      </c>
      <c r="B11594" s="3">
        <v>0</v>
      </c>
    </row>
    <row r="11595" ht="15.75" customHeight="1" spans="1:2">
      <c r="A11595" s="3" t="str">
        <f>IFERROR(__xludf.DUMMYFUNCTION("GOOGLETRANSLATE(A11595,""en"",""pt"")"),"Então escapado em Brokeback Mountain, que é o filme mais deprimente que eu já vi ..")</f>
        <v>Então escapado em Brokeback Mountain, que é o filme mais deprimente que eu já vi ..</v>
      </c>
      <c r="B11595" s="3">
        <v>0</v>
      </c>
    </row>
    <row r="11596" ht="15.75" customHeight="1" spans="1:2">
      <c r="A11596" s="3" t="str">
        <f>IFERROR(__xludf.DUMMYFUNCTION("GOOGLETRANSLATE(A11596,""en"",""pt"")"),"Meu pai está sendo estúpido sobre montanha Brokeback ...")</f>
        <v>Meu pai está sendo estúpido sobre montanha Brokeback ...</v>
      </c>
      <c r="B11596" s="3">
        <v>0</v>
      </c>
    </row>
    <row r="11597" ht="15.75" customHeight="1" spans="1:2">
      <c r="A11597" s="3" t="str">
        <f>IFERROR(__xludf.DUMMYFUNCTION("GOOGLETRANSLATE(A11597,""en"",""pt"")"),"Ah, e Brokeback Mountain é um filme terrível ...")</f>
        <v>Ah, e Brokeback Mountain é um filme terrível ...</v>
      </c>
      <c r="B11597" s="3">
        <v>0</v>
      </c>
    </row>
    <row r="11598" ht="15.75" customHeight="1" spans="1:2">
      <c r="A11598" s="3" t="str">
        <f>IFERROR(__xludf.DUMMYFUNCTION("GOOGLETRANSLATE(A11598,""en"",""pt"")"),"Brokeback Mountain foi chato.")</f>
        <v>Brokeback Mountain foi chato.</v>
      </c>
      <c r="B11598" s="3">
        <v>0</v>
      </c>
    </row>
    <row r="11599" ht="15.75" customHeight="1" spans="1:2">
      <c r="A11599" s="3" t="str">
        <f>IFERROR(__xludf.DUMMYFUNCTION("GOOGLETRANSLATE(A11599,""en"",""pt"")"),"Então Brokeback Mountain foi realmente deprimente.")</f>
        <v>Então Brokeback Mountain foi realmente deprimente.</v>
      </c>
      <c r="B11599" s="3">
        <v>0</v>
      </c>
    </row>
    <row r="11600" ht="15.75" customHeight="1" spans="1:2">
      <c r="A11600" s="3" t="str">
        <f>IFERROR(__xludf.DUMMYFUNCTION("GOOGLETRANSLATE(A11600,""en"",""pt"")"),"Quando eu sento aqui, observando o MTV Movie Awards, lembro-me do quanto eu desprezava o filme Brokeback Mountain.")</f>
        <v>Quando eu sento aqui, observando o MTV Movie Awards, lembro-me do quanto eu desprezava o filme Brokeback Mountain.</v>
      </c>
      <c r="B11600" s="3">
        <v>0</v>
      </c>
    </row>
    <row r="11601" ht="15.75" customHeight="1" spans="1:2">
      <c r="A11601" s="3" t="str">
        <f>IFERROR(__xludf.DUMMYFUNCTION("GOOGLETRANSLATE(A11601,""en"",""pt"")"),"montanha Brokeback Ok é um filme horrível.")</f>
        <v>montanha Brokeback Ok é um filme horrível.</v>
      </c>
      <c r="B11601" s="3">
        <v>0</v>
      </c>
    </row>
    <row r="11602" ht="15.75" customHeight="1" spans="1:2">
      <c r="A11602" s="3" t="str">
        <f>IFERROR(__xludf.DUMMYFUNCTION("GOOGLETRANSLATE(A11602,""en"",""pt"")"),"Ah, e Brokeback Mountain era um filme terrível.")</f>
        <v>Ah, e Brokeback Mountain era um filme terrível.</v>
      </c>
      <c r="B11602" s="3">
        <v>0</v>
      </c>
    </row>
    <row r="11603" ht="15.75" customHeight="1" spans="1:2">
      <c r="A11603" s="3" t="str">
        <f>IFERROR(__xludf.DUMMYFUNCTION("GOOGLETRANSLATE(A11603,""en"",""pt"")"),"Brokeback Mountain é foda horrível ..")</f>
        <v>Brokeback Mountain é foda horrível ..</v>
      </c>
      <c r="B11603" s="3">
        <v>0</v>
      </c>
    </row>
    <row r="11604" ht="15.75" customHeight="1" spans="1:2">
      <c r="A11604" s="3" t="str">
        <f>IFERROR(__xludf.DUMMYFUNCTION("GOOGLETRANSLATE(A11604,""en"",""pt"")"),"Então escapado em Brokeback Mountain, que é o filme mais deprimente que eu já vi ..")</f>
        <v>Então escapado em Brokeback Mountain, que é o filme mais deprimente que eu já vi ..</v>
      </c>
      <c r="B11604" s="3">
        <v>0</v>
      </c>
    </row>
    <row r="11605" ht="15.75" customHeight="1" spans="1:2">
      <c r="A11605" s="3" t="str">
        <f>IFERROR(__xludf.DUMMYFUNCTION("GOOGLETRANSLATE(A11605,""en"",""pt"")"),"Meu pai está sendo estúpido sobre montanha Brokeback ...")</f>
        <v>Meu pai está sendo estúpido sobre montanha Brokeback ...</v>
      </c>
      <c r="B11605" s="3">
        <v>0</v>
      </c>
    </row>
    <row r="11606" ht="15.75" customHeight="1" spans="1:2">
      <c r="A11606" s="3" t="str">
        <f>IFERROR(__xludf.DUMMYFUNCTION("GOOGLETRANSLATE(A11606,""en"",""pt"")"),"Ah, e Brokeback Mountain é um filme terrível ...")</f>
        <v>Ah, e Brokeback Mountain é um filme terrível ...</v>
      </c>
      <c r="B11606" s="3">
        <v>0</v>
      </c>
    </row>
    <row r="11607" ht="15.75" customHeight="1" spans="1:2">
      <c r="A11607" s="3" t="str">
        <f>IFERROR(__xludf.DUMMYFUNCTION("GOOGLETRANSLATE(A11607,""en"",""pt"")"),"Brokeback Mountain foi chato.")</f>
        <v>Brokeback Mountain foi chato.</v>
      </c>
      <c r="B11607" s="3">
        <v>0</v>
      </c>
    </row>
    <row r="11608" ht="15.75" customHeight="1" spans="1:2">
      <c r="A11608" s="3" t="str">
        <f>IFERROR(__xludf.DUMMYFUNCTION("GOOGLETRANSLATE(A11608,""en"",""pt"")"),"Então Brokeback Mountain foi realmente deprimente.")</f>
        <v>Então Brokeback Mountain foi realmente deprimente.</v>
      </c>
      <c r="B11608" s="3">
        <v>0</v>
      </c>
    </row>
    <row r="11609" ht="15.75" customHeight="1" spans="1:2">
      <c r="A11609" s="3" t="str">
        <f>IFERROR(__xludf.DUMMYFUNCTION("GOOGLETRANSLATE(A11609,""en"",""pt"")"),"Quando eu sento aqui, observando o MTV Movie Awards, lembro-me do quanto eu desprezava o filme Brokeback Mountain.")</f>
        <v>Quando eu sento aqui, observando o MTV Movie Awards, lembro-me do quanto eu desprezava o filme Brokeback Mountain.</v>
      </c>
      <c r="B11609" s="3">
        <v>0</v>
      </c>
    </row>
    <row r="11610" ht="15.75" customHeight="1" spans="1:2">
      <c r="A11610" s="3" t="str">
        <f>IFERROR(__xludf.DUMMYFUNCTION("GOOGLETRANSLATE(A11610,""en"",""pt"")"),"montanha Brokeback Ok é um filme horrível.")</f>
        <v>montanha Brokeback Ok é um filme horrível.</v>
      </c>
      <c r="B11610" s="3">
        <v>0</v>
      </c>
    </row>
    <row r="11611" ht="15.75" customHeight="1" spans="1:2">
      <c r="A11611" s="3" t="str">
        <f>IFERROR(__xludf.DUMMYFUNCTION("GOOGLETRANSLATE(A11611,""en"",""pt"")"),"Ah, e Brokeback Mountain era um filme terrível.")</f>
        <v>Ah, e Brokeback Mountain era um filme terrível.</v>
      </c>
      <c r="B11611" s="3">
        <v>0</v>
      </c>
    </row>
    <row r="11612" ht="15.75" customHeight="1" spans="1:2">
      <c r="A11612" s="3" t="str">
        <f>IFERROR(__xludf.DUMMYFUNCTION("GOOGLETRANSLATE(A11612,""en"",""pt"")"),"Brokeback Mountain é foda horrível ..")</f>
        <v>Brokeback Mountain é foda horrível ..</v>
      </c>
      <c r="B11612" s="3">
        <v>0</v>
      </c>
    </row>
    <row r="11613" ht="15.75" customHeight="1" spans="1:2">
      <c r="A11613" s="3" t="str">
        <f>IFERROR(__xludf.DUMMYFUNCTION("GOOGLETRANSLATE(A11613,""en"",""pt"")"),"Então escapado em Brokeback Mountain, que é o filme mais deprimente que eu já vi ..")</f>
        <v>Então escapado em Brokeback Mountain, que é o filme mais deprimente que eu já vi ..</v>
      </c>
      <c r="B11613" s="3">
        <v>0</v>
      </c>
    </row>
    <row r="11614" ht="15.75" customHeight="1" spans="1:2">
      <c r="A11614" s="3" t="str">
        <f>IFERROR(__xludf.DUMMYFUNCTION("GOOGLETRANSLATE(A11614,""en"",""pt"")"),"Meu pai está sendo estúpido sobre montanha Brokeback ...")</f>
        <v>Meu pai está sendo estúpido sobre montanha Brokeback ...</v>
      </c>
      <c r="B11614" s="3">
        <v>0</v>
      </c>
    </row>
    <row r="11615" ht="15.75" customHeight="1" spans="1:2">
      <c r="A11615" s="3" t="str">
        <f>IFERROR(__xludf.DUMMYFUNCTION("GOOGLETRANSLATE(A11615,""en"",""pt"")"),"Ah, e Brokeback Mountain é um filme terrível ...")</f>
        <v>Ah, e Brokeback Mountain é um filme terrível ...</v>
      </c>
      <c r="B11615" s="3">
        <v>0</v>
      </c>
    </row>
    <row r="11616" ht="15.75" customHeight="1" spans="1:2">
      <c r="A11616" s="3" t="str">
        <f>IFERROR(__xludf.DUMMYFUNCTION("GOOGLETRANSLATE(A11616,""en"",""pt"")"),"Brokeback Mountain foi chato.")</f>
        <v>Brokeback Mountain foi chato.</v>
      </c>
      <c r="B11616" s="3">
        <v>0</v>
      </c>
    </row>
    <row r="11617" ht="15.75" customHeight="1" spans="1:2">
      <c r="A11617" s="3" t="str">
        <f>IFERROR(__xludf.DUMMYFUNCTION("GOOGLETRANSLATE(A11617,""en"",""pt"")"),"Então Brokeback Mountain foi realmente deprimente.")</f>
        <v>Então Brokeback Mountain foi realmente deprimente.</v>
      </c>
      <c r="B11617" s="3">
        <v>0</v>
      </c>
    </row>
    <row r="11618" ht="15.75" customHeight="1" spans="1:2">
      <c r="A11618" s="3" t="str">
        <f>IFERROR(__xludf.DUMMYFUNCTION("GOOGLETRANSLATE(A11618,""en"",""pt"")"),"Quando eu sento aqui, observando o MTV Movie Awards, lembro-me do quanto eu desprezava o filme Brokeback Mountain.")</f>
        <v>Quando eu sento aqui, observando o MTV Movie Awards, lembro-me do quanto eu desprezava o filme Brokeback Mountain.</v>
      </c>
      <c r="B11618" s="3">
        <v>0</v>
      </c>
    </row>
    <row r="11619" ht="15.75" customHeight="1" spans="1:2">
      <c r="A11619" s="3" t="str">
        <f>IFERROR(__xludf.DUMMYFUNCTION("GOOGLETRANSLATE(A11619,""en"",""pt"")"),"montanha Brokeback Ok é um filme horrível.")</f>
        <v>montanha Brokeback Ok é um filme horrível.</v>
      </c>
      <c r="B11619" s="3">
        <v>0</v>
      </c>
    </row>
    <row r="11620" ht="15.75" customHeight="1" spans="1:2">
      <c r="A11620" s="3" t="str">
        <f>IFERROR(__xludf.DUMMYFUNCTION("GOOGLETRANSLATE(A11620,""en"",""pt"")"),"Ah, e Brokeback Mountain era um filme terrível.")</f>
        <v>Ah, e Brokeback Mountain era um filme terrível.</v>
      </c>
      <c r="B11620" s="3">
        <v>0</v>
      </c>
    </row>
    <row r="11621" ht="15.75" customHeight="1" spans="1:2">
      <c r="A11621" s="3" t="str">
        <f>IFERROR(__xludf.DUMMYFUNCTION("GOOGLETRANSLATE(A11621,""en"",""pt"")"),"Brokeback Mountain é foda horrível ..")</f>
        <v>Brokeback Mountain é foda horrível ..</v>
      </c>
      <c r="B11621" s="3">
        <v>0</v>
      </c>
    </row>
    <row r="11622" ht="15.75" customHeight="1" spans="1:2">
      <c r="A11622" s="3" t="s">
        <v>52</v>
      </c>
      <c r="B11622" s="3">
        <v>0</v>
      </c>
    </row>
    <row r="11623" ht="15.75" customHeight="1" spans="1:2">
      <c r="A11623" s="3" t="str">
        <f>IFERROR(__xludf.DUMMYFUNCTION("GOOGLETRANSLATE(A11623,""en"",""pt"")"),"Meu pai está sendo estúpido sobre montanha Brokeback ...")</f>
        <v>Meu pai está sendo estúpido sobre montanha Brokeback ...</v>
      </c>
      <c r="B11623" s="3">
        <v>0</v>
      </c>
    </row>
    <row r="11624" ht="15.75" customHeight="1" spans="1:2">
      <c r="A11624" s="3" t="str">
        <f>IFERROR(__xludf.DUMMYFUNCTION("GOOGLETRANSLATE(A11624,""en"",""pt"")"),"Ah, e Brokeback Mountain é um filme terrível ...")</f>
        <v>Ah, e Brokeback Mountain é um filme terrível ...</v>
      </c>
      <c r="B11624" s="3">
        <v>0</v>
      </c>
    </row>
    <row r="11625" ht="15.75" customHeight="1" spans="1:2">
      <c r="A11625" s="3" t="str">
        <f>IFERROR(__xludf.DUMMYFUNCTION("GOOGLETRANSLATE(A11625,""en"",""pt"")"),"Brokeback Mountain foi chato.")</f>
        <v>Brokeback Mountain foi chato.</v>
      </c>
      <c r="B11625" s="3">
        <v>0</v>
      </c>
    </row>
    <row r="11626" ht="15.75" customHeight="1" spans="1:2">
      <c r="A11626" s="3" t="str">
        <f>IFERROR(__xludf.DUMMYFUNCTION("GOOGLETRANSLATE(A11626,""en"",""pt"")"),"Então Brokeback Mountain foi realmente deprimente.")</f>
        <v>Então Brokeback Mountain foi realmente deprimente.</v>
      </c>
      <c r="B11626" s="3">
        <v>0</v>
      </c>
    </row>
    <row r="11627" ht="15.75" customHeight="1" spans="1:2">
      <c r="A11627" s="3" t="str">
        <f>IFERROR(__xludf.DUMMYFUNCTION("GOOGLETRANSLATE(A11627,""en"",""pt"")"),"Quando eu sento aqui, observando o MTV Movie Awards, lembro-me do quanto eu desprezava o filme Brokeback Mountain.")</f>
        <v>Quando eu sento aqui, observando o MTV Movie Awards, lembro-me do quanto eu desprezava o filme Brokeback Mountain.</v>
      </c>
      <c r="B11627" s="3">
        <v>0</v>
      </c>
    </row>
    <row r="11628" ht="15.75" customHeight="1" spans="1:2">
      <c r="A11628" s="3" t="str">
        <f>IFERROR(__xludf.DUMMYFUNCTION("GOOGLETRANSLATE(A11628,""en"",""pt"")"),"montanha Brokeback Ok é um filme horrível.")</f>
        <v>montanha Brokeback Ok é um filme horrível.</v>
      </c>
      <c r="B11628" s="3">
        <v>0</v>
      </c>
    </row>
    <row r="11629" ht="15.75" customHeight="1" spans="1:2">
      <c r="A11629" s="3" t="str">
        <f>IFERROR(__xludf.DUMMYFUNCTION("GOOGLETRANSLATE(A11629,""en"",""pt"")"),"Ah, e Brokeback Mountain era um filme terrível.")</f>
        <v>Ah, e Brokeback Mountain era um filme terrível.</v>
      </c>
      <c r="B11629" s="3">
        <v>0</v>
      </c>
    </row>
    <row r="11630" ht="15.75" customHeight="1" spans="1:2">
      <c r="A11630" s="3" t="str">
        <f>IFERROR(__xludf.DUMMYFUNCTION("GOOGLETRANSLATE(A11630,""en"",""pt"")"),"Brokeback Mountain é foda horrível ..")</f>
        <v>Brokeback Mountain é foda horrível ..</v>
      </c>
      <c r="B11630" s="3">
        <v>0</v>
      </c>
    </row>
    <row r="11631" ht="15.75" customHeight="1" spans="1:2">
      <c r="A11631" s="3" t="str">
        <f>IFERROR(__xludf.DUMMYFUNCTION("GOOGLETRANSLATE(A11631,""en"",""pt"")"),"Então escapado em Brokeback Mountain, que é o filme mais deprimente que eu já vi ..")</f>
        <v>Então escapado em Brokeback Mountain, que é o filme mais deprimente que eu já vi ..</v>
      </c>
      <c r="B11631" s="3">
        <v>0</v>
      </c>
    </row>
    <row r="11632" ht="15.75" customHeight="1" spans="1:2">
      <c r="A11632" s="3" t="str">
        <f>IFERROR(__xludf.DUMMYFUNCTION("GOOGLETRANSLATE(A11632,""en"",""pt"")"),"Meu pai está sendo estúpido sobre montanha Brokeback ...")</f>
        <v>Meu pai está sendo estúpido sobre montanha Brokeback ...</v>
      </c>
      <c r="B11632" s="3">
        <v>0</v>
      </c>
    </row>
    <row r="11633" ht="15.75" customHeight="1" spans="1:2">
      <c r="A11633" s="3" t="str">
        <f>IFERROR(__xludf.DUMMYFUNCTION("GOOGLETRANSLATE(A11633,""en"",""pt"")"),"Ah, e Brokeback Mountain é um filme terrível ...")</f>
        <v>Ah, e Brokeback Mountain é um filme terrível ...</v>
      </c>
      <c r="B11633" s="3">
        <v>0</v>
      </c>
    </row>
    <row r="11634" ht="15.75" customHeight="1" spans="1:2">
      <c r="A11634" s="3" t="str">
        <f>IFERROR(__xludf.DUMMYFUNCTION("GOOGLETRANSLATE(A11634,""en"",""pt"")"),"Brokeback Mountain foi chato.")</f>
        <v>Brokeback Mountain foi chato.</v>
      </c>
      <c r="B11634" s="3">
        <v>0</v>
      </c>
    </row>
    <row r="11635" ht="15.75" customHeight="1" spans="1:2">
      <c r="A11635" s="3" t="str">
        <f>IFERROR(__xludf.DUMMYFUNCTION("GOOGLETRANSLATE(A11635,""en"",""pt"")"),"Então Brokeback Mountain foi realmente deprimente.")</f>
        <v>Então Brokeback Mountain foi realmente deprimente.</v>
      </c>
      <c r="B11635" s="3">
        <v>0</v>
      </c>
    </row>
    <row r="11636" ht="15.75" customHeight="1" spans="1:2">
      <c r="A11636" s="3" t="str">
        <f>IFERROR(__xludf.DUMMYFUNCTION("GOOGLETRANSLATE(A11636,""en"",""pt"")"),"Quando eu sento aqui, observando o MTV Movie Awards, lembro-me do quanto eu desprezava o filme Brokeback Mountain.")</f>
        <v>Quando eu sento aqui, observando o MTV Movie Awards, lembro-me do quanto eu desprezava o filme Brokeback Mountain.</v>
      </c>
      <c r="B11636" s="3">
        <v>0</v>
      </c>
    </row>
    <row r="11637" ht="15.75" customHeight="1" spans="1:2">
      <c r="A11637" s="3" t="str">
        <f>IFERROR(__xludf.DUMMYFUNCTION("GOOGLETRANSLATE(A11637,""en"",""pt"")"),"montanha Brokeback Ok é um filme horrível.")</f>
        <v>montanha Brokeback Ok é um filme horrível.</v>
      </c>
      <c r="B11637" s="3">
        <v>0</v>
      </c>
    </row>
    <row r="11638" ht="15.75" customHeight="1" spans="1:2">
      <c r="A11638" s="3" t="str">
        <f>IFERROR(__xludf.DUMMYFUNCTION("GOOGLETRANSLATE(A11638,""en"",""pt"")"),"Ah, e Brokeback Mountain era um filme terrível.")</f>
        <v>Ah, e Brokeback Mountain era um filme terrível.</v>
      </c>
      <c r="B11638" s="3">
        <v>0</v>
      </c>
    </row>
    <row r="11639" ht="15.75" customHeight="1" spans="1:2">
      <c r="A11639" s="3" t="str">
        <f>IFERROR(__xludf.DUMMYFUNCTION("GOOGLETRANSLATE(A11639,""en"",""pt"")"),"Brokeback Mountain é foda horrível ..")</f>
        <v>Brokeback Mountain é foda horrível ..</v>
      </c>
      <c r="B11639" s="3">
        <v>0</v>
      </c>
    </row>
    <row r="11640" ht="15.75" customHeight="1" spans="1:2">
      <c r="A11640" s="3" t="str">
        <f>IFERROR(__xludf.DUMMYFUNCTION("GOOGLETRANSLATE(A11640,""en"",""pt"")"),"Então escapado em Brokeback Mountain, que é o filme mais deprimente que eu já vi ..")</f>
        <v>Então escapado em Brokeback Mountain, que é o filme mais deprimente que eu já vi ..</v>
      </c>
      <c r="B11640" s="3">
        <v>0</v>
      </c>
    </row>
    <row r="11641" ht="15.75" customHeight="1" spans="1:2">
      <c r="A11641" s="3" t="str">
        <f>IFERROR(__xludf.DUMMYFUNCTION("GOOGLETRANSLATE(A11641,""en"",""pt"")"),"Meu pai está sendo estúpido sobre montanha Brokeback ...")</f>
        <v>Meu pai está sendo estúpido sobre montanha Brokeback ...</v>
      </c>
      <c r="B11641" s="3">
        <v>0</v>
      </c>
    </row>
    <row r="11642" ht="15.75" customHeight="1" spans="1:2">
      <c r="A11642" s="3" t="str">
        <f>IFERROR(__xludf.DUMMYFUNCTION("GOOGLETRANSLATE(A11642,""en"",""pt"")"),"Ah, e Brokeback Mountain é um filme terrível ...")</f>
        <v>Ah, e Brokeback Mountain é um filme terrível ...</v>
      </c>
      <c r="B11642" s="3">
        <v>0</v>
      </c>
    </row>
    <row r="11643" ht="15.75" customHeight="1" spans="1:2">
      <c r="A11643" s="3" t="str">
        <f>IFERROR(__xludf.DUMMYFUNCTION("GOOGLETRANSLATE(A11643,""en"",""pt"")"),"Brokeback Mountain foi chato.")</f>
        <v>Brokeback Mountain foi chato.</v>
      </c>
      <c r="B11643" s="3">
        <v>0</v>
      </c>
    </row>
    <row r="11644" ht="15.75" customHeight="1" spans="1:2">
      <c r="A11644" s="3" t="str">
        <f>IFERROR(__xludf.DUMMYFUNCTION("GOOGLETRANSLATE(A11644,""en"",""pt"")"),"Então Brokeback Mountain foi realmente deprimente.")</f>
        <v>Então Brokeback Mountain foi realmente deprimente.</v>
      </c>
      <c r="B11644" s="3">
        <v>0</v>
      </c>
    </row>
    <row r="11645" ht="15.75" customHeight="1" spans="1:2">
      <c r="A11645" s="3" t="str">
        <f>IFERROR(__xludf.DUMMYFUNCTION("GOOGLETRANSLATE(A11645,""en"",""pt"")"),"Quando eu sento aqui, observando o MTV Movie Awards, lembro-me do quanto eu desprezava o filme Brokeback Mountain.")</f>
        <v>Quando eu sento aqui, observando o MTV Movie Awards, lembro-me do quanto eu desprezava o filme Brokeback Mountain.</v>
      </c>
      <c r="B11645" s="3">
        <v>0</v>
      </c>
    </row>
    <row r="11646" ht="15.75" customHeight="1" spans="1:2">
      <c r="A11646" s="3" t="str">
        <f>IFERROR(__xludf.DUMMYFUNCTION("GOOGLETRANSLATE(A11646,""en"",""pt"")"),"montanha Brokeback Ok é um filme horrível.")</f>
        <v>montanha Brokeback Ok é um filme horrível.</v>
      </c>
      <c r="B11646" s="3">
        <v>0</v>
      </c>
    </row>
    <row r="11647" ht="15.75" customHeight="1" spans="1:2">
      <c r="A11647" s="3" t="str">
        <f>IFERROR(__xludf.DUMMYFUNCTION("GOOGLETRANSLATE(A11647,""en"",""pt"")"),"Ah, e Brokeback Mountain era um filme terrível.")</f>
        <v>Ah, e Brokeback Mountain era um filme terrível.</v>
      </c>
      <c r="B11647" s="3">
        <v>0</v>
      </c>
    </row>
    <row r="11648" ht="15.75" customHeight="1" spans="1:2">
      <c r="A11648" s="3" t="str">
        <f>IFERROR(__xludf.DUMMYFUNCTION("GOOGLETRANSLATE(A11648,""en"",""pt"")"),"Brokeback Mountain é foda horrível ..")</f>
        <v>Brokeback Mountain é foda horrível ..</v>
      </c>
      <c r="B11648" s="3">
        <v>0</v>
      </c>
    </row>
    <row r="11649" ht="15.75" customHeight="1" spans="1:2">
      <c r="A11649" s="3" t="str">
        <f>IFERROR(__xludf.DUMMYFUNCTION("GOOGLETRANSLATE(A11649,""en"",""pt"")"),"Então escapado em Brokeback Mountain, que é o filme mais deprimente que eu já vi ..")</f>
        <v>Então escapado em Brokeback Mountain, que é o filme mais deprimente que eu já vi ..</v>
      </c>
      <c r="B11649" s="3">
        <v>0</v>
      </c>
    </row>
    <row r="11650" ht="15.75" customHeight="1" spans="1:2">
      <c r="A11650" s="3" t="s">
        <v>55</v>
      </c>
      <c r="B11650" s="3">
        <v>0</v>
      </c>
    </row>
    <row r="11651" ht="15.75" customHeight="1" spans="1:2">
      <c r="A11651" s="3" t="str">
        <f>IFERROR(__xludf.DUMMYFUNCTION("GOOGLETRANSLATE(A11651,""en"",""pt"")"),"Ah, e Brokeback Mountain é um filme terrível ...")</f>
        <v>Ah, e Brokeback Mountain é um filme terrível ...</v>
      </c>
      <c r="B11651" s="3">
        <v>0</v>
      </c>
    </row>
    <row r="11652" ht="15.75" customHeight="1" spans="1:2">
      <c r="A11652" s="3" t="str">
        <f>IFERROR(__xludf.DUMMYFUNCTION("GOOGLETRANSLATE(A11652,""en"",""pt"")"),"Brokeback Mountain foi chato.")</f>
        <v>Brokeback Mountain foi chato.</v>
      </c>
      <c r="B11652" s="3">
        <v>0</v>
      </c>
    </row>
    <row r="11653" ht="15.75" customHeight="1" spans="1:2">
      <c r="A11653" s="3" t="str">
        <f>IFERROR(__xludf.DUMMYFUNCTION("GOOGLETRANSLATE(A11653,""en"",""pt"")"),"Então Brokeback Mountain foi realmente deprimente.")</f>
        <v>Então Brokeback Mountain foi realmente deprimente.</v>
      </c>
      <c r="B11653" s="3">
        <v>0</v>
      </c>
    </row>
    <row r="11654" ht="15.75" customHeight="1" spans="1:2">
      <c r="A11654" s="3" t="str">
        <f>IFERROR(__xludf.DUMMYFUNCTION("GOOGLETRANSLATE(A11654,""en"",""pt"")"),"Quando eu sento aqui, observando o MTV Movie Awards, lembro-me do quanto eu desprezava o filme Brokeback Mountain.")</f>
        <v>Quando eu sento aqui, observando o MTV Movie Awards, lembro-me do quanto eu desprezava o filme Brokeback Mountain.</v>
      </c>
      <c r="B11654" s="3">
        <v>0</v>
      </c>
    </row>
    <row r="11655" ht="15.75" customHeight="1" spans="1:2">
      <c r="A11655" s="3" t="str">
        <f>IFERROR(__xludf.DUMMYFUNCTION("GOOGLETRANSLATE(A11655,""en"",""pt"")"),"montanha Brokeback Ok é um filme horrível.")</f>
        <v>montanha Brokeback Ok é um filme horrível.</v>
      </c>
      <c r="B11655" s="3">
        <v>0</v>
      </c>
    </row>
    <row r="11656" ht="15.75" customHeight="1" spans="1:2">
      <c r="A11656" s="3" t="str">
        <f>IFERROR(__xludf.DUMMYFUNCTION("GOOGLETRANSLATE(A11656,""en"",""pt"")"),"Ah, e Brokeback Mountain era um filme terrível.")</f>
        <v>Ah, e Brokeback Mountain era um filme terrível.</v>
      </c>
      <c r="B11656" s="3">
        <v>0</v>
      </c>
    </row>
    <row r="11657" ht="15.75" customHeight="1" spans="1:2">
      <c r="A11657" s="3" t="str">
        <f>IFERROR(__xludf.DUMMYFUNCTION("GOOGLETRANSLATE(A11657,""en"",""pt"")"),"Brokeback Mountain é foda horrível ..")</f>
        <v>Brokeback Mountain é foda horrível ..</v>
      </c>
      <c r="B11657" s="3">
        <v>0</v>
      </c>
    </row>
    <row r="11658" ht="15.75" customHeight="1" spans="1:2">
      <c r="A11658" s="3" t="str">
        <f>IFERROR(__xludf.DUMMYFUNCTION("GOOGLETRANSLATE(A11658,""en"",""pt"")"),"Então escapado em Brokeback Mountain, que é o filme mais deprimente que eu já vi ..")</f>
        <v>Então escapado em Brokeback Mountain, que é o filme mais deprimente que eu já vi ..</v>
      </c>
      <c r="B11658" s="3">
        <v>0</v>
      </c>
    </row>
    <row r="11659" ht="15.75" customHeight="1" spans="1:2">
      <c r="A11659" s="3" t="str">
        <f>IFERROR(__xludf.DUMMYFUNCTION("GOOGLETRANSLATE(A11659,""en"",""pt"")"),"Meu pai está sendo estúpido sobre montanha Brokeback ...")</f>
        <v>Meu pai está sendo estúpido sobre montanha Brokeback ...</v>
      </c>
      <c r="B11659" s="3">
        <v>0</v>
      </c>
    </row>
    <row r="11660" ht="15.75" customHeight="1" spans="1:2">
      <c r="A11660" s="3" t="str">
        <f>IFERROR(__xludf.DUMMYFUNCTION("GOOGLETRANSLATE(A11660,""en"",""pt"")"),"Ah, e Brokeback Mountain é um filme terrível ...")</f>
        <v>Ah, e Brokeback Mountain é um filme terrível ...</v>
      </c>
      <c r="B11660" s="3">
        <v>0</v>
      </c>
    </row>
    <row r="11661" ht="15.75" customHeight="1" spans="1:2">
      <c r="A11661" s="3" t="str">
        <f>IFERROR(__xludf.DUMMYFUNCTION("GOOGLETRANSLATE(A11661,""en"",""pt"")"),"Brokeback Mountain foi chato.")</f>
        <v>Brokeback Mountain foi chato.</v>
      </c>
      <c r="B11661" s="3">
        <v>0</v>
      </c>
    </row>
    <row r="11662" ht="15.75" customHeight="1" spans="1:2">
      <c r="A11662" s="3" t="str">
        <f>IFERROR(__xludf.DUMMYFUNCTION("GOOGLETRANSLATE(A11662,""en"",""pt"")"),"Então Brokeback Mountain foi realmente deprimente.")</f>
        <v>Então Brokeback Mountain foi realmente deprimente.</v>
      </c>
      <c r="B11662" s="3">
        <v>0</v>
      </c>
    </row>
    <row r="11663" ht="15.75" customHeight="1" spans="1:2">
      <c r="A11663" s="3" t="str">
        <f>IFERROR(__xludf.DUMMYFUNCTION("GOOGLETRANSLATE(A11663,""en"",""pt"")"),"Quando eu sento aqui, observando o MTV Movie Awards, lembro-me do quanto eu desprezava o filme Brokeback Mountain.")</f>
        <v>Quando eu sento aqui, observando o MTV Movie Awards, lembro-me do quanto eu desprezava o filme Brokeback Mountain.</v>
      </c>
      <c r="B11663" s="3">
        <v>0</v>
      </c>
    </row>
    <row r="11664" ht="15.75" customHeight="1" spans="1:2">
      <c r="A11664" s="3" t="str">
        <f>IFERROR(__xludf.DUMMYFUNCTION("GOOGLETRANSLATE(A11664,""en"",""pt"")"),"montanha Brokeback Ok é um filme horrível.")</f>
        <v>montanha Brokeback Ok é um filme horrível.</v>
      </c>
      <c r="B11664" s="3">
        <v>0</v>
      </c>
    </row>
    <row r="11665" ht="15.75" customHeight="1" spans="1:2">
      <c r="A11665" s="3" t="str">
        <f>IFERROR(__xludf.DUMMYFUNCTION("GOOGLETRANSLATE(A11665,""en"",""pt"")"),"Ah, e Brokeback Mountain era um filme terrível.")</f>
        <v>Ah, e Brokeback Mountain era um filme terrível.</v>
      </c>
      <c r="B11665" s="3">
        <v>0</v>
      </c>
    </row>
    <row r="11666" ht="15.75" customHeight="1" spans="1:2">
      <c r="A11666" s="3" t="str">
        <f>IFERROR(__xludf.DUMMYFUNCTION("GOOGLETRANSLATE(A11666,""en"",""pt"")"),"Brokeback Mountain é foda horrível ..")</f>
        <v>Brokeback Mountain é foda horrível ..</v>
      </c>
      <c r="B11666" s="3">
        <v>0</v>
      </c>
    </row>
    <row r="11667" ht="15.75" customHeight="1" spans="1:2">
      <c r="A11667" s="3" t="str">
        <f>IFERROR(__xludf.DUMMYFUNCTION("GOOGLETRANSLATE(A11667,""en"",""pt"")"),"Então escapado em Brokeback Mountain, que é o filme mais deprimente que eu já vi ..")</f>
        <v>Então escapado em Brokeback Mountain, que é o filme mais deprimente que eu já vi ..</v>
      </c>
      <c r="B11667" s="3">
        <v>0</v>
      </c>
    </row>
    <row r="11668" ht="15.75" customHeight="1" spans="1:2">
      <c r="A11668" s="3" t="str">
        <f>IFERROR(__xludf.DUMMYFUNCTION("GOOGLETRANSLATE(A11668,""en"",""pt"")"),"Meu pai está sendo estúpido sobre montanha Brokeback ...")</f>
        <v>Meu pai está sendo estúpido sobre montanha Brokeback ...</v>
      </c>
      <c r="B11668" s="3">
        <v>0</v>
      </c>
    </row>
    <row r="11669" ht="15.75" customHeight="1" spans="1:2">
      <c r="A11669" s="3" t="str">
        <f>IFERROR(__xludf.DUMMYFUNCTION("GOOGLETRANSLATE(A11669,""en"",""pt"")"),"Ah, e Brokeback Mountain é um filme terrível ...")</f>
        <v>Ah, e Brokeback Mountain é um filme terrível ...</v>
      </c>
      <c r="B11669" s="3">
        <v>0</v>
      </c>
    </row>
    <row r="11670" ht="15.75" customHeight="1" spans="1:2">
      <c r="A11670" s="3" t="str">
        <f>IFERROR(__xludf.DUMMYFUNCTION("GOOGLETRANSLATE(A11670,""en"",""pt"")"),"Brokeback Mountain foi chato.")</f>
        <v>Brokeback Mountain foi chato.</v>
      </c>
      <c r="B11670" s="3">
        <v>0</v>
      </c>
    </row>
    <row r="11671" ht="15.75" customHeight="1" spans="1:2">
      <c r="A11671" s="3" t="str">
        <f>IFERROR(__xludf.DUMMYFUNCTION("GOOGLETRANSLATE(A11671,""en"",""pt"")"),"Então Brokeback Mountain foi realmente deprimente.")</f>
        <v>Então Brokeback Mountain foi realmente deprimente.</v>
      </c>
      <c r="B11671" s="3">
        <v>0</v>
      </c>
    </row>
    <row r="11672" ht="15.75" customHeight="1" spans="1:2">
      <c r="A11672" s="3" t="str">
        <f>IFERROR(__xludf.DUMMYFUNCTION("GOOGLETRANSLATE(A11672,""en"",""pt"")"),"Quando eu sento aqui, observando o MTV Movie Awards, lembro-me do quanto eu desprezava o filme Brokeback Mountain.")</f>
        <v>Quando eu sento aqui, observando o MTV Movie Awards, lembro-me do quanto eu desprezava o filme Brokeback Mountain.</v>
      </c>
      <c r="B11672" s="3">
        <v>0</v>
      </c>
    </row>
    <row r="11673" ht="15.75" customHeight="1" spans="1:2">
      <c r="A11673" s="3" t="str">
        <f>IFERROR(__xludf.DUMMYFUNCTION("GOOGLETRANSLATE(A11673,""en"",""pt"")"),"montanha Brokeback Ok é um filme horrível.")</f>
        <v>montanha Brokeback Ok é um filme horrível.</v>
      </c>
      <c r="B11673" s="3">
        <v>0</v>
      </c>
    </row>
    <row r="11674" ht="15.75" customHeight="1" spans="1:2">
      <c r="A11674" s="3" t="str">
        <f>IFERROR(__xludf.DUMMYFUNCTION("GOOGLETRANSLATE(A11674,""en"",""pt"")"),"Ah, e Brokeback Mountain era um filme terrível.")</f>
        <v>Ah, e Brokeback Mountain era um filme terrível.</v>
      </c>
      <c r="B11674" s="3">
        <v>0</v>
      </c>
    </row>
    <row r="11675" ht="15.75" customHeight="1" spans="1:2">
      <c r="A11675" s="3" t="str">
        <f>IFERROR(__xludf.DUMMYFUNCTION("GOOGLETRANSLATE(A11675,""en"",""pt"")"),"Brokeback Mountain é foda horrível ..")</f>
        <v>Brokeback Mountain é foda horrível ..</v>
      </c>
      <c r="B11675" s="3">
        <v>0</v>
      </c>
    </row>
    <row r="11676" ht="15.75" customHeight="1" spans="1:2">
      <c r="A11676" s="3" t="str">
        <f>IFERROR(__xludf.DUMMYFUNCTION("GOOGLETRANSLATE(A11676,""en"",""pt"")"),"Então escapado em Brokeback Mountain, que é o filme mais deprimente que eu já vi ..")</f>
        <v>Então escapado em Brokeback Mountain, que é o filme mais deprimente que eu já vi ..</v>
      </c>
      <c r="B11676" s="3">
        <v>0</v>
      </c>
    </row>
    <row r="11677" ht="15.75" customHeight="1" spans="1:2">
      <c r="A11677" s="3" t="str">
        <f>IFERROR(__xludf.DUMMYFUNCTION("GOOGLETRANSLATE(A11677,""en"",""pt"")"),"Meu pai está sendo estúpido sobre montanha Brokeback ...")</f>
        <v>Meu pai está sendo estúpido sobre montanha Brokeback ...</v>
      </c>
      <c r="B11677" s="3">
        <v>0</v>
      </c>
    </row>
    <row r="11678" ht="15.75" customHeight="1" spans="1:2">
      <c r="A11678" s="3" t="str">
        <f>IFERROR(__xludf.DUMMYFUNCTION("GOOGLETRANSLATE(A11678,""en"",""pt"")"),"Ah, e Brokeback Mountain é um filme terrível ...")</f>
        <v>Ah, e Brokeback Mountain é um filme terrível ...</v>
      </c>
      <c r="B11678" s="3">
        <v>0</v>
      </c>
    </row>
    <row r="11679" ht="15.75" customHeight="1" spans="1:2">
      <c r="A11679" s="3" t="str">
        <f>IFERROR(__xludf.DUMMYFUNCTION("GOOGLETRANSLATE(A11679,""en"",""pt"")"),"Brokeback Mountain foi chato.")</f>
        <v>Brokeback Mountain foi chato.</v>
      </c>
      <c r="B11679" s="3">
        <v>0</v>
      </c>
    </row>
    <row r="11680" ht="15.75" customHeight="1" spans="1:2">
      <c r="A11680" s="3" t="str">
        <f>IFERROR(__xludf.DUMMYFUNCTION("GOOGLETRANSLATE(A11680,""en"",""pt"")"),"Então Brokeback Mountain foi realmente deprimente.")</f>
        <v>Então Brokeback Mountain foi realmente deprimente.</v>
      </c>
      <c r="B11680" s="3">
        <v>0</v>
      </c>
    </row>
    <row r="11681" ht="15.75" customHeight="1" spans="1:2">
      <c r="A11681" s="3" t="str">
        <f>IFERROR(__xludf.DUMMYFUNCTION("GOOGLETRANSLATE(A11681,""en"",""pt"")"),"Quando eu sento aqui, observando o MTV Movie Awards, lembro-me do quanto eu desprezava o filme Brokeback Mountain.")</f>
        <v>Quando eu sento aqui, observando o MTV Movie Awards, lembro-me do quanto eu desprezava o filme Brokeback Mountain.</v>
      </c>
      <c r="B11681" s="3">
        <v>0</v>
      </c>
    </row>
    <row r="11682" ht="15.75" customHeight="1" spans="1:2">
      <c r="A11682" s="3" t="str">
        <f>IFERROR(__xludf.DUMMYFUNCTION("GOOGLETRANSLATE(A11682,""en"",""pt"")"),"montanha Brokeback Ok é um filme horrível.")</f>
        <v>montanha Brokeback Ok é um filme horrível.</v>
      </c>
      <c r="B11682" s="3">
        <v>0</v>
      </c>
    </row>
    <row r="11683" ht="15.75" customHeight="1" spans="1:2">
      <c r="A11683" s="3" t="str">
        <f>IFERROR(__xludf.DUMMYFUNCTION("GOOGLETRANSLATE(A11683,""en"",""pt"")"),"Ah, e Brokeback Mountain era um filme terrível.")</f>
        <v>Ah, e Brokeback Mountain era um filme terrível.</v>
      </c>
      <c r="B11683" s="3">
        <v>0</v>
      </c>
    </row>
    <row r="11684" ht="15.75" customHeight="1" spans="1:2">
      <c r="A11684" s="3" t="str">
        <f>IFERROR(__xludf.DUMMYFUNCTION("GOOGLETRANSLATE(A11684,""en"",""pt"")"),"Brokeback Mountain é foda horrível ..")</f>
        <v>Brokeback Mountain é foda horrível ..</v>
      </c>
      <c r="B11684" s="3">
        <v>0</v>
      </c>
    </row>
    <row r="11685" ht="15.75" customHeight="1" spans="1:2">
      <c r="A11685" s="3" t="str">
        <f>IFERROR(__xludf.DUMMYFUNCTION("GOOGLETRANSLATE(A11685,""en"",""pt"")"),"Então escapado em Brokeback Mountain, que é o filme mais deprimente que eu já vi ..")</f>
        <v>Então escapado em Brokeback Mountain, que é o filme mais deprimente que eu já vi ..</v>
      </c>
      <c r="B11685" s="3">
        <v>0</v>
      </c>
    </row>
    <row r="11686" ht="15.75" customHeight="1" spans="1:2">
      <c r="A11686" s="3" t="str">
        <f>IFERROR(__xludf.DUMMYFUNCTION("GOOGLETRANSLATE(A11686,""en"",""pt"")"),"Meu pai está sendo estúpido sobre montanha Brokeback ...")</f>
        <v>Meu pai está sendo estúpido sobre montanha Brokeback ...</v>
      </c>
      <c r="B11686" s="3">
        <v>0</v>
      </c>
    </row>
    <row r="11687" ht="15.75" customHeight="1" spans="1:2">
      <c r="A11687" s="3" t="str">
        <f>IFERROR(__xludf.DUMMYFUNCTION("GOOGLETRANSLATE(A11687,""en"",""pt"")"),"Ah, e Brokeback Mountain é um filme terrível ...")</f>
        <v>Ah, e Brokeback Mountain é um filme terrível ...</v>
      </c>
      <c r="B11687" s="3">
        <v>0</v>
      </c>
    </row>
    <row r="11688" ht="15.75" customHeight="1" spans="1:2">
      <c r="A11688" s="3" t="str">
        <f>IFERROR(__xludf.DUMMYFUNCTION("GOOGLETRANSLATE(A11688,""en"",""pt"")"),"Brokeback Mountain foi chato.")</f>
        <v>Brokeback Mountain foi chato.</v>
      </c>
      <c r="B11688" s="3">
        <v>0</v>
      </c>
    </row>
    <row r="11689" ht="15.75" customHeight="1" spans="1:2">
      <c r="A11689" s="3" t="str">
        <f>IFERROR(__xludf.DUMMYFUNCTION("GOOGLETRANSLATE(A11689,""en"",""pt"")"),"Então Brokeback Mountain foi realmente deprimente.")</f>
        <v>Então Brokeback Mountain foi realmente deprimente.</v>
      </c>
      <c r="B11689" s="3">
        <v>0</v>
      </c>
    </row>
    <row r="11690" ht="15.75" customHeight="1" spans="1:2">
      <c r="A11690" s="3" t="str">
        <f>IFERROR(__xludf.DUMMYFUNCTION("GOOGLETRANSLATE(A11690,""en"",""pt"")"),"Quando eu sento aqui, observando o MTV Movie Awards, lembro-me do quanto eu desprezava o filme Brokeback Mountain.")</f>
        <v>Quando eu sento aqui, observando o MTV Movie Awards, lembro-me do quanto eu desprezava o filme Brokeback Mountain.</v>
      </c>
      <c r="B11690" s="3">
        <v>0</v>
      </c>
    </row>
    <row r="11691" ht="15.75" customHeight="1" spans="1:2">
      <c r="A11691" s="3" t="str">
        <f>IFERROR(__xludf.DUMMYFUNCTION("GOOGLETRANSLATE(A11691,""en"",""pt"")"),"montanha Brokeback Ok é um filme horrível.")</f>
        <v>montanha Brokeback Ok é um filme horrível.</v>
      </c>
      <c r="B11691" s="3">
        <v>0</v>
      </c>
    </row>
    <row r="11692" ht="15.75" customHeight="1" spans="1:2">
      <c r="A11692" s="3" t="str">
        <f>IFERROR(__xludf.DUMMYFUNCTION("GOOGLETRANSLATE(A11692,""en"",""pt"")"),"Ah, e Brokeback Mountain era um filme terrível.")</f>
        <v>Ah, e Brokeback Mountain era um filme terrível.</v>
      </c>
      <c r="B11692" s="3">
        <v>0</v>
      </c>
    </row>
    <row r="11693" ht="15.75" customHeight="1" spans="1:2">
      <c r="A11693" s="3" t="str">
        <f>IFERROR(__xludf.DUMMYFUNCTION("GOOGLETRANSLATE(A11693,""en"",""pt"")"),"Brokeback Mountain é foda horrível ..")</f>
        <v>Brokeback Mountain é foda horrível ..</v>
      </c>
      <c r="B11693" s="3">
        <v>0</v>
      </c>
    </row>
    <row r="11694" ht="15.75" customHeight="1" spans="1:2">
      <c r="A11694" s="3" t="str">
        <f>IFERROR(__xludf.DUMMYFUNCTION("GOOGLETRANSLATE(A11694,""en"",""pt"")"),"Então escapado em Brokeback Mountain, que é o filme mais deprimente que eu já vi ..")</f>
        <v>Então escapado em Brokeback Mountain, que é o filme mais deprimente que eu já vi ..</v>
      </c>
      <c r="B11694" s="3">
        <v>0</v>
      </c>
    </row>
    <row r="11695" ht="15.75" customHeight="1" spans="1:2">
      <c r="A11695" s="3" t="str">
        <f>IFERROR(__xludf.DUMMYFUNCTION("GOOGLETRANSLATE(A11695,""en"",""pt"")"),"Meu pai está sendo estúpido sobre montanha Brokeback ...")</f>
        <v>Meu pai está sendo estúpido sobre montanha Brokeback ...</v>
      </c>
      <c r="B11695" s="3">
        <v>0</v>
      </c>
    </row>
    <row r="11696" ht="15.75" customHeight="1" spans="1:2">
      <c r="A11696" s="3" t="str">
        <f>IFERROR(__xludf.DUMMYFUNCTION("GOOGLETRANSLATE(A11696,""en"",""pt"")"),"Ah, e Brokeback Mountain é um filme terrível ...")</f>
        <v>Ah, e Brokeback Mountain é um filme terrível ...</v>
      </c>
      <c r="B11696" s="3">
        <v>0</v>
      </c>
    </row>
    <row r="11697" ht="15.75" customHeight="1" spans="1:2">
      <c r="A11697" s="3" t="str">
        <f>IFERROR(__xludf.DUMMYFUNCTION("GOOGLETRANSLATE(A11697,""en"",""pt"")"),"Brokeback Mountain foi chato.")</f>
        <v>Brokeback Mountain foi chato.</v>
      </c>
      <c r="B11697" s="3">
        <v>0</v>
      </c>
    </row>
    <row r="11698" ht="15.75" customHeight="1" spans="1:2">
      <c r="A11698" s="3" t="str">
        <f>IFERROR(__xludf.DUMMYFUNCTION("GOOGLETRANSLATE(A11698,""en"",""pt"")"),"Então Brokeback Mountain foi realmente deprimente.")</f>
        <v>Então Brokeback Mountain foi realmente deprimente.</v>
      </c>
      <c r="B11698" s="3">
        <v>0</v>
      </c>
    </row>
    <row r="11699" ht="15.75" customHeight="1" spans="1:2">
      <c r="A11699" s="3" t="str">
        <f>IFERROR(__xludf.DUMMYFUNCTION("GOOGLETRANSLATE(A11699,""en"",""pt"")"),"Quando eu sento aqui, observando o MTV Movie Awards, lembro-me do quanto eu desprezava o filme Brokeback Mountain.")</f>
        <v>Quando eu sento aqui, observando o MTV Movie Awards, lembro-me do quanto eu desprezava o filme Brokeback Mountain.</v>
      </c>
      <c r="B11699" s="3">
        <v>0</v>
      </c>
    </row>
    <row r="11700" ht="15.75" customHeight="1" spans="1:2">
      <c r="A11700" s="3" t="str">
        <f>IFERROR(__xludf.DUMMYFUNCTION("GOOGLETRANSLATE(A11700,""en"",""pt"")"),"montanha Brokeback Ok é um filme horrível.")</f>
        <v>montanha Brokeback Ok é um filme horrível.</v>
      </c>
      <c r="B11700" s="3">
        <v>0</v>
      </c>
    </row>
    <row r="11701" ht="15.75" customHeight="1" spans="1:2">
      <c r="A11701" s="3" t="str">
        <f>IFERROR(__xludf.DUMMYFUNCTION("GOOGLETRANSLATE(A11701,""en"",""pt"")"),"Ah, e Brokeback Mountain era um filme terrível.")</f>
        <v>Ah, e Brokeback Mountain era um filme terrível.</v>
      </c>
      <c r="B11701" s="3">
        <v>0</v>
      </c>
    </row>
    <row r="11702" ht="15.75" customHeight="1" spans="1:2">
      <c r="A11702" s="3" t="str">
        <f>IFERROR(__xludf.DUMMYFUNCTION("GOOGLETRANSLATE(A11702,""en"",""pt"")"),"Brokeback Mountain é foda horrível ..")</f>
        <v>Brokeback Mountain é foda horrível ..</v>
      </c>
      <c r="B11702" s="3">
        <v>0</v>
      </c>
    </row>
    <row r="11703" ht="15.75" customHeight="1" spans="1:2">
      <c r="A11703" s="3" t="str">
        <f>IFERROR(__xludf.DUMMYFUNCTION("GOOGLETRANSLATE(A11703,""en"",""pt"")"),"Então escapado em Brokeback Mountain, que é o filme mais deprimente que eu já vi ..")</f>
        <v>Então escapado em Brokeback Mountain, que é o filme mais deprimente que eu já vi ..</v>
      </c>
      <c r="B11703" s="3">
        <v>0</v>
      </c>
    </row>
    <row r="11704" ht="15.75" customHeight="1" spans="1:2">
      <c r="A11704" s="3" t="str">
        <f>IFERROR(__xludf.DUMMYFUNCTION("GOOGLETRANSLATE(A11704,""en"",""pt"")"),"Meu pai está sendo estúpido sobre montanha Brokeback ...")</f>
        <v>Meu pai está sendo estúpido sobre montanha Brokeback ...</v>
      </c>
      <c r="B11704" s="3">
        <v>0</v>
      </c>
    </row>
    <row r="11705" ht="15.75" customHeight="1" spans="1:2">
      <c r="A11705" s="3" t="str">
        <f>IFERROR(__xludf.DUMMYFUNCTION("GOOGLETRANSLATE(A11705,""en"",""pt"")"),"Ah, e Brokeback Mountain é um filme terrível ...")</f>
        <v>Ah, e Brokeback Mountain é um filme terrível ...</v>
      </c>
      <c r="B11705" s="3">
        <v>0</v>
      </c>
    </row>
    <row r="11706" ht="15.75" customHeight="1" spans="1:2">
      <c r="A11706" s="3" t="str">
        <f>IFERROR(__xludf.DUMMYFUNCTION("GOOGLETRANSLATE(A11706,""en"",""pt"")"),"Brokeback Mountain foi chato.")</f>
        <v>Brokeback Mountain foi chato.</v>
      </c>
      <c r="B11706" s="3">
        <v>0</v>
      </c>
    </row>
    <row r="11707" ht="15.75" customHeight="1" spans="1:2">
      <c r="A11707" s="3" t="str">
        <f>IFERROR(__xludf.DUMMYFUNCTION("GOOGLETRANSLATE(A11707,""en"",""pt"")"),"Então Brokeback Mountain foi realmente deprimente.")</f>
        <v>Então Brokeback Mountain foi realmente deprimente.</v>
      </c>
      <c r="B11707" s="3">
        <v>0</v>
      </c>
    </row>
    <row r="11708" ht="15.75" customHeight="1" spans="1:2">
      <c r="A11708" s="3" t="str">
        <f>IFERROR(__xludf.DUMMYFUNCTION("GOOGLETRANSLATE(A11708,""en"",""pt"")"),"Quando eu sento aqui, observando o MTV Movie Awards, lembro-me do quanto eu desprezava o filme Brokeback Mountain.")</f>
        <v>Quando eu sento aqui, observando o MTV Movie Awards, lembro-me do quanto eu desprezava o filme Brokeback Mountain.</v>
      </c>
      <c r="B11708" s="3">
        <v>0</v>
      </c>
    </row>
    <row r="11709" ht="15.75" customHeight="1" spans="1:2">
      <c r="A11709" s="3" t="str">
        <f>IFERROR(__xludf.DUMMYFUNCTION("GOOGLETRANSLATE(A11709,""en"",""pt"")"),"montanha Brokeback Ok é um filme horrível.")</f>
        <v>montanha Brokeback Ok é um filme horrível.</v>
      </c>
      <c r="B11709" s="3">
        <v>0</v>
      </c>
    </row>
    <row r="11710" ht="15.75" customHeight="1" spans="1:2">
      <c r="A11710" s="3" t="str">
        <f>IFERROR(__xludf.DUMMYFUNCTION("GOOGLETRANSLATE(A11710,""en"",""pt"")"),"Ah, e Brokeback Mountain era um filme terrível.")</f>
        <v>Ah, e Brokeback Mountain era um filme terrível.</v>
      </c>
      <c r="B11710" s="3">
        <v>0</v>
      </c>
    </row>
    <row r="11711" ht="15.75" customHeight="1" spans="1:2">
      <c r="A11711" s="3" t="str">
        <f>IFERROR(__xludf.DUMMYFUNCTION("GOOGLETRANSLATE(A11711,""en"",""pt"")"),"Brokeback Mountain é foda horrível ..")</f>
        <v>Brokeback Mountain é foda horrível ..</v>
      </c>
      <c r="B11711" s="3">
        <v>0</v>
      </c>
    </row>
    <row r="11712" ht="15.75" customHeight="1" spans="1:2">
      <c r="A11712" s="3" t="str">
        <f>IFERROR(__xludf.DUMMYFUNCTION("GOOGLETRANSLATE(A11712,""en"",""pt"")"),"Então escapado em Brokeback Mountain, que é o filme mais deprimente que eu já vi ..")</f>
        <v>Então escapado em Brokeback Mountain, que é o filme mais deprimente que eu já vi ..</v>
      </c>
      <c r="B11712" s="3">
        <v>0</v>
      </c>
    </row>
    <row r="11713" ht="15.75" customHeight="1" spans="1:2">
      <c r="A11713" s="3" t="str">
        <f>IFERROR(__xludf.DUMMYFUNCTION("GOOGLETRANSLATE(A11713,""en"",""pt"")"),"Meu pai está sendo estúpido sobre montanha Brokeback ...")</f>
        <v>Meu pai está sendo estúpido sobre montanha Brokeback ...</v>
      </c>
      <c r="B11713" s="3">
        <v>0</v>
      </c>
    </row>
    <row r="11714" ht="15.75" customHeight="1" spans="1:2">
      <c r="A11714" s="3" t="str">
        <f>IFERROR(__xludf.DUMMYFUNCTION("GOOGLETRANSLATE(A11714,""en"",""pt"")"),"Ah, e Brokeback Mountain é um filme terrível ...")</f>
        <v>Ah, e Brokeback Mountain é um filme terrível ...</v>
      </c>
      <c r="B11714" s="3">
        <v>0</v>
      </c>
    </row>
    <row r="11715" ht="15.75" customHeight="1" spans="1:2">
      <c r="A11715" s="3" t="str">
        <f>IFERROR(__xludf.DUMMYFUNCTION("GOOGLETRANSLATE(A11715,""en"",""pt"")"),"Brokeback Mountain foi chato.")</f>
        <v>Brokeback Mountain foi chato.</v>
      </c>
      <c r="B11715" s="3">
        <v>0</v>
      </c>
    </row>
    <row r="11716" ht="15.75" customHeight="1" spans="1:2">
      <c r="A11716" s="3" t="str">
        <f>IFERROR(__xludf.DUMMYFUNCTION("GOOGLETRANSLATE(A11716,""en"",""pt"")"),"Então Brokeback Mountain foi realmente deprimente.")</f>
        <v>Então Brokeback Mountain foi realmente deprimente.</v>
      </c>
      <c r="B11716" s="3">
        <v>0</v>
      </c>
    </row>
    <row r="11717" ht="15.75" customHeight="1" spans="1:2">
      <c r="A11717" s="3" t="str">
        <f>IFERROR(__xludf.DUMMYFUNCTION("GOOGLETRANSLATE(A11717,""en"",""pt"")"),"Quando eu sento aqui, observando o MTV Movie Awards, lembro-me do quanto eu desprezava o filme Brokeback Mountain.")</f>
        <v>Quando eu sento aqui, observando o MTV Movie Awards, lembro-me do quanto eu desprezava o filme Brokeback Mountain.</v>
      </c>
      <c r="B11717" s="3">
        <v>0</v>
      </c>
    </row>
    <row r="11718" ht="15.75" customHeight="1" spans="1:2">
      <c r="A11718" s="3" t="str">
        <f>IFERROR(__xludf.DUMMYFUNCTION("GOOGLETRANSLATE(A11718,""en"",""pt"")"),"montanha Brokeback Ok é um filme horrível.")</f>
        <v>montanha Brokeback Ok é um filme horrível.</v>
      </c>
      <c r="B11718" s="3">
        <v>0</v>
      </c>
    </row>
    <row r="11719" ht="15.75" customHeight="1" spans="1:2">
      <c r="A11719" s="3" t="str">
        <f>IFERROR(__xludf.DUMMYFUNCTION("GOOGLETRANSLATE(A11719,""en"",""pt"")"),"Ah, e Brokeback Mountain era um filme terrível.")</f>
        <v>Ah, e Brokeback Mountain era um filme terrível.</v>
      </c>
      <c r="B11719" s="3">
        <v>0</v>
      </c>
    </row>
    <row r="11720" ht="15.75" customHeight="1" spans="1:2">
      <c r="A11720" s="3" t="str">
        <f>IFERROR(__xludf.DUMMYFUNCTION("GOOGLETRANSLATE(A11720,""en"",""pt"")"),"Brokeback Mountain é foda horrível ..")</f>
        <v>Brokeback Mountain é foda horrível ..</v>
      </c>
      <c r="B11720" s="3">
        <v>0</v>
      </c>
    </row>
    <row r="11721" ht="15.75" customHeight="1" spans="1:2">
      <c r="A11721" s="3" t="str">
        <f>IFERROR(__xludf.DUMMYFUNCTION("GOOGLETRANSLATE(A11721,""en"",""pt"")"),"Então escapado em Brokeback Mountain, que é o filme mais deprimente que eu já vi ..")</f>
        <v>Então escapado em Brokeback Mountain, que é o filme mais deprimente que eu já vi ..</v>
      </c>
      <c r="B11721" s="3">
        <v>0</v>
      </c>
    </row>
    <row r="11722" ht="15.75" customHeight="1" spans="1:2">
      <c r="A11722" s="3" t="str">
        <f>IFERROR(__xludf.DUMMYFUNCTION("GOOGLETRANSLATE(A11722,""en"",""pt"")"),"Meu pai está sendo estúpido sobre montanha Brokeback ...")</f>
        <v>Meu pai está sendo estúpido sobre montanha Brokeback ...</v>
      </c>
      <c r="B11722" s="3">
        <v>0</v>
      </c>
    </row>
    <row r="11723" ht="15.75" customHeight="1" spans="1:2">
      <c r="A11723" s="3" t="str">
        <f>IFERROR(__xludf.DUMMYFUNCTION("GOOGLETRANSLATE(A11723,""en"",""pt"")"),"Ah, e Brokeback Mountain é um filme terrível ...")</f>
        <v>Ah, e Brokeback Mountain é um filme terrível ...</v>
      </c>
      <c r="B11723" s="3">
        <v>0</v>
      </c>
    </row>
    <row r="11724" ht="15.75" customHeight="1" spans="1:2">
      <c r="A11724" s="3" t="str">
        <f>IFERROR(__xludf.DUMMYFUNCTION("GOOGLETRANSLATE(A11724,""en"",""pt"")"),"Brokeback Mountain foi chato.")</f>
        <v>Brokeback Mountain foi chato.</v>
      </c>
      <c r="B11724" s="3">
        <v>0</v>
      </c>
    </row>
    <row r="11725" ht="15.75" customHeight="1" spans="1:2">
      <c r="A11725" s="3" t="str">
        <f>IFERROR(__xludf.DUMMYFUNCTION("GOOGLETRANSLATE(A11725,""en"",""pt"")"),"Então Brokeback Mountain foi realmente deprimente.")</f>
        <v>Então Brokeback Mountain foi realmente deprimente.</v>
      </c>
      <c r="B11725" s="3">
        <v>0</v>
      </c>
    </row>
    <row r="11726" ht="15.75" customHeight="1" spans="1:2">
      <c r="A11726" s="3" t="str">
        <f>IFERROR(__xludf.DUMMYFUNCTION("GOOGLETRANSLATE(A11726,""en"",""pt"")"),"Quando eu sento aqui, observando o MTV Movie Awards, lembro-me do quanto eu desprezava o filme Brokeback Mountain.")</f>
        <v>Quando eu sento aqui, observando o MTV Movie Awards, lembro-me do quanto eu desprezava o filme Brokeback Mountain.</v>
      </c>
      <c r="B11726" s="3">
        <v>0</v>
      </c>
    </row>
    <row r="11727" ht="15.75" customHeight="1" spans="1:2">
      <c r="A11727" s="3" t="str">
        <f>IFERROR(__xludf.DUMMYFUNCTION("GOOGLETRANSLATE(A11727,""en"",""pt"")"),"montanha Brokeback Ok é um filme horrível.")</f>
        <v>montanha Brokeback Ok é um filme horrível.</v>
      </c>
      <c r="B11727" s="3">
        <v>0</v>
      </c>
    </row>
    <row r="11728" ht="15.75" customHeight="1" spans="1:2">
      <c r="A11728" s="3" t="str">
        <f>IFERROR(__xludf.DUMMYFUNCTION("GOOGLETRANSLATE(A11728,""en"",""pt"")"),"Ah, e Brokeback Mountain era um filme terrível.")</f>
        <v>Ah, e Brokeback Mountain era um filme terrível.</v>
      </c>
      <c r="B11728" s="3">
        <v>0</v>
      </c>
    </row>
    <row r="11729" ht="15.75" customHeight="1" spans="1:2">
      <c r="A11729" s="3" t="str">
        <f>IFERROR(__xludf.DUMMYFUNCTION("GOOGLETRANSLATE(A11729,""en"",""pt"")"),"Brokeback Mountain é foda horrível ..")</f>
        <v>Brokeback Mountain é foda horrível ..</v>
      </c>
      <c r="B11729" s="3">
        <v>0</v>
      </c>
    </row>
    <row r="11730" ht="15.75" customHeight="1" spans="1:2">
      <c r="A11730" s="3" t="str">
        <f>IFERROR(__xludf.DUMMYFUNCTION("GOOGLETRANSLATE(A11730,""en"",""pt"")"),"Então escapado em Brokeback Mountain, que é o filme mais deprimente que eu já vi ..")</f>
        <v>Então escapado em Brokeback Mountain, que é o filme mais deprimente que eu já vi ..</v>
      </c>
      <c r="B11730" s="3">
        <v>0</v>
      </c>
    </row>
    <row r="11731" ht="15.75" customHeight="1" spans="1:2">
      <c r="A11731" s="3" t="str">
        <f>IFERROR(__xludf.DUMMYFUNCTION("GOOGLETRANSLATE(A11731,""en"",""pt"")"),"Meu pai está sendo estúpido sobre montanha Brokeback ...")</f>
        <v>Meu pai está sendo estúpido sobre montanha Brokeback ...</v>
      </c>
      <c r="B11731" s="3">
        <v>0</v>
      </c>
    </row>
    <row r="11732" ht="15.75" customHeight="1" spans="1:2">
      <c r="A11732" s="3" t="str">
        <f>IFERROR(__xludf.DUMMYFUNCTION("GOOGLETRANSLATE(A11732,""en"",""pt"")"),"Ah, e Brokeback Mountain é um filme terrível ...")</f>
        <v>Ah, e Brokeback Mountain é um filme terrível ...</v>
      </c>
      <c r="B11732" s="3">
        <v>0</v>
      </c>
    </row>
    <row r="11733" ht="15.75" customHeight="1" spans="1:2">
      <c r="A11733" s="3" t="str">
        <f>IFERROR(__xludf.DUMMYFUNCTION("GOOGLETRANSLATE(A11733,""en"",""pt"")"),"Brokeback Mountain foi chato.")</f>
        <v>Brokeback Mountain foi chato.</v>
      </c>
      <c r="B11733" s="3">
        <v>0</v>
      </c>
    </row>
    <row r="11734" ht="15.75" customHeight="1" spans="1:2">
      <c r="A11734" s="3" t="str">
        <f>IFERROR(__xludf.DUMMYFUNCTION("GOOGLETRANSLATE(A11734,""en"",""pt"")"),"Então Brokeback Mountain foi realmente deprimente.")</f>
        <v>Então Brokeback Mountain foi realmente deprimente.</v>
      </c>
      <c r="B11734" s="3">
        <v>0</v>
      </c>
    </row>
    <row r="11735" ht="15.75" customHeight="1" spans="1:2">
      <c r="A11735" s="3" t="str">
        <f>IFERROR(__xludf.DUMMYFUNCTION("GOOGLETRANSLATE(A11735,""en"",""pt"")"),"Quando eu sento aqui, observando o MTV Movie Awards, lembro-me do quanto eu desprezava o filme Brokeback Mountain.")</f>
        <v>Quando eu sento aqui, observando o MTV Movie Awards, lembro-me do quanto eu desprezava o filme Brokeback Mountain.</v>
      </c>
      <c r="B11735" s="3">
        <v>0</v>
      </c>
    </row>
    <row r="11736" ht="15.75" customHeight="1" spans="1:2">
      <c r="A11736" s="3" t="str">
        <f>IFERROR(__xludf.DUMMYFUNCTION("GOOGLETRANSLATE(A11736,""en"",""pt"")"),"montanha Brokeback Ok é um filme horrível.")</f>
        <v>montanha Brokeback Ok é um filme horrível.</v>
      </c>
      <c r="B11736" s="3">
        <v>0</v>
      </c>
    </row>
    <row r="11737" ht="15.75" customHeight="1" spans="1:2">
      <c r="A11737" s="3" t="str">
        <f>IFERROR(__xludf.DUMMYFUNCTION("GOOGLETRANSLATE(A11737,""en"",""pt"")"),"Ah, e Brokeback Mountain era um filme terrível.")</f>
        <v>Ah, e Brokeback Mountain era um filme terrível.</v>
      </c>
      <c r="B11737" s="3">
        <v>0</v>
      </c>
    </row>
    <row r="11738" ht="15.75" customHeight="1" spans="1:2">
      <c r="A11738" s="3" t="str">
        <f>IFERROR(__xludf.DUMMYFUNCTION("GOOGLETRANSLATE(A11738,""en"",""pt"")"),"Brokeback Mountain é foda horrível ..")</f>
        <v>Brokeback Mountain é foda horrível ..</v>
      </c>
      <c r="B11738" s="3">
        <v>0</v>
      </c>
    </row>
    <row r="11739" ht="15.75" customHeight="1" spans="1:2">
      <c r="A11739" s="3" t="str">
        <f>IFERROR(__xludf.DUMMYFUNCTION("GOOGLETRANSLATE(A11739,""en"",""pt"")"),"Então escapado em Brokeback Mountain, que é o filme mais deprimente que eu já vi ..")</f>
        <v>Então escapado em Brokeback Mountain, que é o filme mais deprimente que eu já vi ..</v>
      </c>
      <c r="B11739" s="3">
        <v>0</v>
      </c>
    </row>
    <row r="11740" ht="15.75" customHeight="1" spans="1:2">
      <c r="A11740" s="3" t="str">
        <f>IFERROR(__xludf.DUMMYFUNCTION("GOOGLETRANSLATE(A11740,""en"",""pt"")"),"Meu pai está sendo estúpido sobre montanha Brokeback ...")</f>
        <v>Meu pai está sendo estúpido sobre montanha Brokeback ...</v>
      </c>
      <c r="B11740" s="3">
        <v>0</v>
      </c>
    </row>
    <row r="11741" ht="15.75" customHeight="1" spans="1:2">
      <c r="A11741" s="3" t="str">
        <f>IFERROR(__xludf.DUMMYFUNCTION("GOOGLETRANSLATE(A11741,""en"",""pt"")"),"Ah, e Brokeback Mountain é um filme terrível ...")</f>
        <v>Ah, e Brokeback Mountain é um filme terrível ...</v>
      </c>
      <c r="B11741" s="3">
        <v>0</v>
      </c>
    </row>
    <row r="11742" ht="15.75" customHeight="1" spans="1:2">
      <c r="A11742" s="3" t="str">
        <f>IFERROR(__xludf.DUMMYFUNCTION("GOOGLETRANSLATE(A11742,""en"",""pt"")"),"Brokeback Mountain foi chato.")</f>
        <v>Brokeback Mountain foi chato.</v>
      </c>
      <c r="B11742" s="3">
        <v>0</v>
      </c>
    </row>
    <row r="11743" ht="15.75" customHeight="1" spans="1:2">
      <c r="A11743" s="3" t="str">
        <f>IFERROR(__xludf.DUMMYFUNCTION("GOOGLETRANSLATE(A11743,""en"",""pt"")"),"Então Brokeback Mountain foi realmente deprimente.")</f>
        <v>Então Brokeback Mountain foi realmente deprimente.</v>
      </c>
      <c r="B11743" s="3">
        <v>0</v>
      </c>
    </row>
    <row r="11744" ht="15.75" customHeight="1" spans="1:2">
      <c r="A11744" s="3" t="str">
        <f>IFERROR(__xludf.DUMMYFUNCTION("GOOGLETRANSLATE(A11744,""en"",""pt"")"),"Quando eu sento aqui, observando o MTV Movie Awards, lembro-me do quanto eu desprezava o filme Brokeback Mountain.")</f>
        <v>Quando eu sento aqui, observando o MTV Movie Awards, lembro-me do quanto eu desprezava o filme Brokeback Mountain.</v>
      </c>
      <c r="B11744" s="3">
        <v>0</v>
      </c>
    </row>
    <row r="11745" ht="15.75" customHeight="1" spans="1:2">
      <c r="A11745" s="3" t="str">
        <f>IFERROR(__xludf.DUMMYFUNCTION("GOOGLETRANSLATE(A11745,""en"",""pt"")"),"montanha Brokeback Ok é um filme horrível.")</f>
        <v>montanha Brokeback Ok é um filme horrível.</v>
      </c>
      <c r="B11745" s="3">
        <v>0</v>
      </c>
    </row>
    <row r="11746" ht="15.75" customHeight="1" spans="1:2">
      <c r="A11746" s="3" t="str">
        <f>IFERROR(__xludf.DUMMYFUNCTION("GOOGLETRANSLATE(A11746,""en"",""pt"")"),"Ah, e Brokeback Mountain era um filme terrível.")</f>
        <v>Ah, e Brokeback Mountain era um filme terrível.</v>
      </c>
      <c r="B11746" s="3">
        <v>0</v>
      </c>
    </row>
    <row r="11747" ht="15.75" customHeight="1" spans="1:2">
      <c r="A11747" s="3" t="str">
        <f>IFERROR(__xludf.DUMMYFUNCTION("GOOGLETRANSLATE(A11747,""en"",""pt"")"),"Brokeback Mountain é foda horrível ..")</f>
        <v>Brokeback Mountain é foda horrível ..</v>
      </c>
      <c r="B11747" s="3">
        <v>0</v>
      </c>
    </row>
    <row r="11748" ht="15.75" customHeight="1" spans="1:2">
      <c r="A11748" s="3" t="str">
        <f>IFERROR(__xludf.DUMMYFUNCTION("GOOGLETRANSLATE(A11748,""en"",""pt"")"),"Então escapado em Brokeback Mountain, que é o filme mais deprimente que eu já vi ..")</f>
        <v>Então escapado em Brokeback Mountain, que é o filme mais deprimente que eu já vi ..</v>
      </c>
      <c r="B11748" s="3">
        <v>0</v>
      </c>
    </row>
    <row r="11749" ht="15.75" customHeight="1" spans="1:2">
      <c r="A11749" s="3" t="str">
        <f>IFERROR(__xludf.DUMMYFUNCTION("GOOGLETRANSLATE(A11749,""en"",""pt"")"),"Meu pai está sendo estúpido sobre montanha Brokeback ...")</f>
        <v>Meu pai está sendo estúpido sobre montanha Brokeback ...</v>
      </c>
      <c r="B11749" s="3">
        <v>0</v>
      </c>
    </row>
    <row r="11750" ht="15.75" customHeight="1" spans="1:2">
      <c r="A11750" s="3" t="str">
        <f>IFERROR(__xludf.DUMMYFUNCTION("GOOGLETRANSLATE(A11750,""en"",""pt"")"),"Ah, e Brokeback Mountain é um filme terrível ...")</f>
        <v>Ah, e Brokeback Mountain é um filme terrível ...</v>
      </c>
      <c r="B11750" s="3">
        <v>0</v>
      </c>
    </row>
    <row r="11751" ht="15.75" customHeight="1" spans="1:2">
      <c r="A11751" s="3" t="str">
        <f>IFERROR(__xludf.DUMMYFUNCTION("GOOGLETRANSLATE(A11751,""en"",""pt"")"),"Brokeback Mountain foi chato.")</f>
        <v>Brokeback Mountain foi chato.</v>
      </c>
      <c r="B11751" s="3">
        <v>0</v>
      </c>
    </row>
    <row r="11752" ht="15.75" customHeight="1" spans="1:2">
      <c r="A11752" s="3" t="str">
        <f>IFERROR(__xludf.DUMMYFUNCTION("GOOGLETRANSLATE(A11752,""en"",""pt"")"),"Então Brokeback Mountain foi realmente deprimente.")</f>
        <v>Então Brokeback Mountain foi realmente deprimente.</v>
      </c>
      <c r="B11752" s="3">
        <v>0</v>
      </c>
    </row>
    <row r="11753" ht="15.75" customHeight="1" spans="1:2">
      <c r="A11753" s="3" t="str">
        <f>IFERROR(__xludf.DUMMYFUNCTION("GOOGLETRANSLATE(A11753,""en"",""pt"")"),"Quando eu sento aqui, observando o MTV Movie Awards, lembro-me do quanto eu desprezava o filme Brokeback Mountain.")</f>
        <v>Quando eu sento aqui, observando o MTV Movie Awards, lembro-me do quanto eu desprezava o filme Brokeback Mountain.</v>
      </c>
      <c r="B11753" s="3">
        <v>0</v>
      </c>
    </row>
    <row r="11754" ht="15.75" customHeight="1" spans="1:2">
      <c r="A11754" s="3" t="str">
        <f>IFERROR(__xludf.DUMMYFUNCTION("GOOGLETRANSLATE(A11754,""en"",""pt"")"),"montanha Brokeback Ok é um filme horrível.")</f>
        <v>montanha Brokeback Ok é um filme horrível.</v>
      </c>
      <c r="B11754" s="3">
        <v>0</v>
      </c>
    </row>
    <row r="11755" ht="15.75" customHeight="1" spans="1:2">
      <c r="A11755" s="3" t="str">
        <f>IFERROR(__xludf.DUMMYFUNCTION("GOOGLETRANSLATE(A11755,""en"",""pt"")"),"Ah, e Brokeback Mountain era um filme terrível.")</f>
        <v>Ah, e Brokeback Mountain era um filme terrível.</v>
      </c>
      <c r="B11755" s="3">
        <v>0</v>
      </c>
    </row>
    <row r="11756" ht="15.75" customHeight="1" spans="1:2">
      <c r="A11756" s="3" t="str">
        <f>IFERROR(__xludf.DUMMYFUNCTION("GOOGLETRANSLATE(A11756,""en"",""pt"")"),"Brokeback Mountain é foda horrível ..")</f>
        <v>Brokeback Mountain é foda horrível ..</v>
      </c>
      <c r="B11756" s="3">
        <v>0</v>
      </c>
    </row>
    <row r="11757" ht="15.75" customHeight="1" spans="1:2">
      <c r="A11757" s="3" t="str">
        <f>IFERROR(__xludf.DUMMYFUNCTION("GOOGLETRANSLATE(A11757,""en"",""pt"")"),"Então escapado em Brokeback Mountain, que é o filme mais deprimente que eu já vi ..")</f>
        <v>Então escapado em Brokeback Mountain, que é o filme mais deprimente que eu já vi ..</v>
      </c>
      <c r="B11757" s="3">
        <v>0</v>
      </c>
    </row>
    <row r="11758" ht="15.75" customHeight="1" spans="1:2">
      <c r="A11758" s="3" t="str">
        <f>IFERROR(__xludf.DUMMYFUNCTION("GOOGLETRANSLATE(A11758,""en"",""pt"")"),"Meu pai está sendo estúpido sobre montanha Brokeback ...")</f>
        <v>Meu pai está sendo estúpido sobre montanha Brokeback ...</v>
      </c>
      <c r="B11758" s="3">
        <v>0</v>
      </c>
    </row>
    <row r="11759" ht="15.75" customHeight="1" spans="1:2">
      <c r="A11759" s="3" t="str">
        <f>IFERROR(__xludf.DUMMYFUNCTION("GOOGLETRANSLATE(A11759,""en"",""pt"")"),"Ah, e Brokeback Mountain é um filme terrível ...")</f>
        <v>Ah, e Brokeback Mountain é um filme terrível ...</v>
      </c>
      <c r="B11759" s="3">
        <v>0</v>
      </c>
    </row>
    <row r="11760" ht="15.75" customHeight="1" spans="1:2">
      <c r="A11760" s="3" t="str">
        <f>IFERROR(__xludf.DUMMYFUNCTION("GOOGLETRANSLATE(A11760,""en"",""pt"")"),"Brokeback Mountain foi chato.")</f>
        <v>Brokeback Mountain foi chato.</v>
      </c>
      <c r="B11760" s="3">
        <v>0</v>
      </c>
    </row>
    <row r="11761" ht="15.75" customHeight="1" spans="1:2">
      <c r="A11761" s="3" t="str">
        <f>IFERROR(__xludf.DUMMYFUNCTION("GOOGLETRANSLATE(A11761,""en"",""pt"")"),"Então Brokeback Mountain foi realmente deprimente.")</f>
        <v>Então Brokeback Mountain foi realmente deprimente.</v>
      </c>
      <c r="B11761" s="3">
        <v>0</v>
      </c>
    </row>
    <row r="11762" ht="15.75" customHeight="1" spans="1:2">
      <c r="A11762" s="3" t="str">
        <f>IFERROR(__xludf.DUMMYFUNCTION("GOOGLETRANSLATE(A11762,""en"",""pt"")"),"Quando eu sento aqui, observando o MTV Movie Awards, lembro-me do quanto eu desprezava o filme Brokeback Mountain.")</f>
        <v>Quando eu sento aqui, observando o MTV Movie Awards, lembro-me do quanto eu desprezava o filme Brokeback Mountain.</v>
      </c>
      <c r="B11762" s="3">
        <v>0</v>
      </c>
    </row>
    <row r="11763" ht="15.75" customHeight="1" spans="1:2">
      <c r="A11763" s="3" t="str">
        <f>IFERROR(__xludf.DUMMYFUNCTION("GOOGLETRANSLATE(A11763,""en"",""pt"")"),"montanha Brokeback Ok é um filme horrível.")</f>
        <v>montanha Brokeback Ok é um filme horrível.</v>
      </c>
      <c r="B11763" s="3">
        <v>0</v>
      </c>
    </row>
    <row r="11764" ht="15.75" customHeight="1" spans="1:2">
      <c r="A11764" s="3" t="str">
        <f>IFERROR(__xludf.DUMMYFUNCTION("GOOGLETRANSLATE(A11764,""en"",""pt"")"),"Ah, e Brokeback Mountain era um filme terrível.")</f>
        <v>Ah, e Brokeback Mountain era um filme terrível.</v>
      </c>
      <c r="B11764" s="3">
        <v>0</v>
      </c>
    </row>
    <row r="11765" ht="15.75" customHeight="1" spans="1:2">
      <c r="A11765" s="3" t="str">
        <f>IFERROR(__xludf.DUMMYFUNCTION("GOOGLETRANSLATE(A11765,""en"",""pt"")"),"Brokeback Mountain é foda horrível ..")</f>
        <v>Brokeback Mountain é foda horrível ..</v>
      </c>
      <c r="B11765" s="3">
        <v>0</v>
      </c>
    </row>
    <row r="11766" ht="15.75" customHeight="1" spans="1:2">
      <c r="A11766" s="3" t="str">
        <f>IFERROR(__xludf.DUMMYFUNCTION("GOOGLETRANSLATE(A11766,""en"",""pt"")"),"Então escapado em Brokeback Mountain, que é o filme mais deprimente que eu já vi ..")</f>
        <v>Então escapado em Brokeback Mountain, que é o filme mais deprimente que eu já vi ..</v>
      </c>
      <c r="B11766" s="3">
        <v>0</v>
      </c>
    </row>
    <row r="11767" ht="15.75" customHeight="1" spans="1:2">
      <c r="A11767" s="3" t="str">
        <f>IFERROR(__xludf.DUMMYFUNCTION("GOOGLETRANSLATE(A11767,""en"",""pt"")"),"Meu pai está sendo estúpido sobre montanha Brokeback ...")</f>
        <v>Meu pai está sendo estúpido sobre montanha Brokeback ...</v>
      </c>
      <c r="B11767" s="3">
        <v>0</v>
      </c>
    </row>
    <row r="11768" ht="15.75" customHeight="1" spans="1:2">
      <c r="A11768" s="3" t="str">
        <f>IFERROR(__xludf.DUMMYFUNCTION("GOOGLETRANSLATE(A11768,""en"",""pt"")"),"Ah, e Brokeback Mountain é um filme terrível ...")</f>
        <v>Ah, e Brokeback Mountain é um filme terrível ...</v>
      </c>
      <c r="B11768" s="3">
        <v>0</v>
      </c>
    </row>
    <row r="11769" ht="15.75" customHeight="1" spans="1:2">
      <c r="A11769" s="3" t="str">
        <f>IFERROR(__xludf.DUMMYFUNCTION("GOOGLETRANSLATE(A11769,""en"",""pt"")"),"Brokeback Mountain foi chato.")</f>
        <v>Brokeback Mountain foi chato.</v>
      </c>
      <c r="B11769" s="3">
        <v>0</v>
      </c>
    </row>
    <row r="11770" ht="15.75" customHeight="1" spans="1:2">
      <c r="A11770" s="3" t="str">
        <f>IFERROR(__xludf.DUMMYFUNCTION("GOOGLETRANSLATE(A11770,""en"",""pt"")"),"Então Brokeback Mountain foi realmente deprimente.")</f>
        <v>Então Brokeback Mountain foi realmente deprimente.</v>
      </c>
      <c r="B11770" s="3">
        <v>0</v>
      </c>
    </row>
    <row r="11771" ht="15.75" customHeight="1" spans="1:2">
      <c r="A11771" s="3" t="str">
        <f>IFERROR(__xludf.DUMMYFUNCTION("GOOGLETRANSLATE(A11771,""en"",""pt"")"),"Quando eu sento aqui, observando o MTV Movie Awards, lembro-me do quanto eu desprezava o filme Brokeback Mountain.")</f>
        <v>Quando eu sento aqui, observando o MTV Movie Awards, lembro-me do quanto eu desprezava o filme Brokeback Mountain.</v>
      </c>
      <c r="B11771" s="3">
        <v>0</v>
      </c>
    </row>
    <row r="11772" ht="15.75" customHeight="1" spans="1:2">
      <c r="A11772" s="3" t="str">
        <f>IFERROR(__xludf.DUMMYFUNCTION("GOOGLETRANSLATE(A11772,""en"",""pt"")"),"montanha Brokeback Ok é um filme horrível.")</f>
        <v>montanha Brokeback Ok é um filme horrível.</v>
      </c>
      <c r="B11772" s="3">
        <v>0</v>
      </c>
    </row>
    <row r="11773" ht="15.75" customHeight="1" spans="1:2">
      <c r="A11773" s="3" t="str">
        <f>IFERROR(__xludf.DUMMYFUNCTION("GOOGLETRANSLATE(A11773,""en"",""pt"")"),"Ah, e Brokeback Mountain era um filme terrível.")</f>
        <v>Ah, e Brokeback Mountain era um filme terrível.</v>
      </c>
      <c r="B11773" s="3">
        <v>0</v>
      </c>
    </row>
    <row r="11774" ht="15.75" customHeight="1" spans="1:2">
      <c r="A11774" s="3" t="str">
        <f>IFERROR(__xludf.DUMMYFUNCTION("GOOGLETRANSLATE(A11774,""en"",""pt"")"),"Brokeback Mountain é foda horrível ..")</f>
        <v>Brokeback Mountain é foda horrível ..</v>
      </c>
      <c r="B11774" s="3">
        <v>0</v>
      </c>
    </row>
    <row r="11775" ht="15.75" customHeight="1" spans="1:2">
      <c r="A11775" s="3" t="str">
        <f>IFERROR(__xludf.DUMMYFUNCTION("GOOGLETRANSLATE(A11775,""en"",""pt"")"),"Então escapado em Brokeback Mountain, que é o filme mais deprimente que eu já vi ..")</f>
        <v>Então escapado em Brokeback Mountain, que é o filme mais deprimente que eu já vi ..</v>
      </c>
      <c r="B11775" s="3">
        <v>0</v>
      </c>
    </row>
    <row r="11776" ht="15.75" customHeight="1" spans="1:2">
      <c r="A11776" s="3" t="str">
        <f>IFERROR(__xludf.DUMMYFUNCTION("GOOGLETRANSLATE(A11776,""en"",""pt"")"),"Meu pai está sendo estúpido sobre montanha Brokeback ...")</f>
        <v>Meu pai está sendo estúpido sobre montanha Brokeback ...</v>
      </c>
      <c r="B11776" s="3">
        <v>0</v>
      </c>
    </row>
    <row r="11777" ht="15.75" customHeight="1" spans="1:2">
      <c r="A11777" s="3" t="str">
        <f>IFERROR(__xludf.DUMMYFUNCTION("GOOGLETRANSLATE(A11777,""en"",""pt"")"),"Ah, e Brokeback Mountain é um filme terrível ...")</f>
        <v>Ah, e Brokeback Mountain é um filme terrível ...</v>
      </c>
      <c r="B11777" s="3">
        <v>0</v>
      </c>
    </row>
    <row r="11778" ht="15.75" customHeight="1" spans="1:2">
      <c r="A11778" s="3" t="str">
        <f>IFERROR(__xludf.DUMMYFUNCTION("GOOGLETRANSLATE(A11778,""en"",""pt"")"),"Brokeback Mountain foi chato.")</f>
        <v>Brokeback Mountain foi chato.</v>
      </c>
      <c r="B11778" s="3">
        <v>0</v>
      </c>
    </row>
    <row r="11779" ht="15.75" customHeight="1" spans="1:2">
      <c r="A11779" s="3" t="str">
        <f>IFERROR(__xludf.DUMMYFUNCTION("GOOGLETRANSLATE(A11779,""en"",""pt"")"),"Então Brokeback Mountain foi realmente deprimente.")</f>
        <v>Então Brokeback Mountain foi realmente deprimente.</v>
      </c>
      <c r="B11779" s="3">
        <v>0</v>
      </c>
    </row>
    <row r="11780" ht="15.75" customHeight="1" spans="1:2">
      <c r="A11780" s="3" t="str">
        <f>IFERROR(__xludf.DUMMYFUNCTION("GOOGLETRANSLATE(A11780,""en"",""pt"")"),"Quando eu sento aqui, observando o MTV Movie Awards, lembro-me do quanto eu desprezava o filme Brokeback Mountain.")</f>
        <v>Quando eu sento aqui, observando o MTV Movie Awards, lembro-me do quanto eu desprezava o filme Brokeback Mountain.</v>
      </c>
      <c r="B11780" s="3">
        <v>0</v>
      </c>
    </row>
    <row r="11781" ht="15.75" customHeight="1" spans="1:2">
      <c r="A11781" s="3" t="str">
        <f>IFERROR(__xludf.DUMMYFUNCTION("GOOGLETRANSLATE(A11781,""en"",""pt"")"),"montanha Brokeback Ok é um filme horrível.")</f>
        <v>montanha Brokeback Ok é um filme horrível.</v>
      </c>
      <c r="B11781" s="3">
        <v>0</v>
      </c>
    </row>
    <row r="11782" ht="15.75" customHeight="1" spans="1:2">
      <c r="A11782" s="3" t="str">
        <f>IFERROR(__xludf.DUMMYFUNCTION("GOOGLETRANSLATE(A11782,""en"",""pt"")"),"Ah, e Brokeback Mountain era um filme terrível.")</f>
        <v>Ah, e Brokeback Mountain era um filme terrível.</v>
      </c>
      <c r="B11782" s="3">
        <v>0</v>
      </c>
    </row>
    <row r="11783" ht="15.75" customHeight="1" spans="1:2">
      <c r="A11783" s="3" t="str">
        <f>IFERROR(__xludf.DUMMYFUNCTION("GOOGLETRANSLATE(A11783,""en"",""pt"")"),"Brokeback Mountain é foda horrível ..")</f>
        <v>Brokeback Mountain é foda horrível ..</v>
      </c>
      <c r="B11783" s="3">
        <v>0</v>
      </c>
    </row>
    <row r="11784" ht="15.75" customHeight="1" spans="1:2">
      <c r="A11784" s="3" t="str">
        <f>IFERROR(__xludf.DUMMYFUNCTION("GOOGLETRANSLATE(A11784,""en"",""pt"")"),"Então escapado em Brokeback Mountain, que é o filme mais deprimente que eu já vi ..")</f>
        <v>Então escapado em Brokeback Mountain, que é o filme mais deprimente que eu já vi ..</v>
      </c>
      <c r="B11784" s="3">
        <v>0</v>
      </c>
    </row>
    <row r="11785" ht="15.75" customHeight="1" spans="1:2">
      <c r="A11785" s="3" t="str">
        <f>IFERROR(__xludf.DUMMYFUNCTION("GOOGLETRANSLATE(A11785,""en"",""pt"")"),"Meu pai está sendo estúpido sobre montanha Brokeback ...")</f>
        <v>Meu pai está sendo estúpido sobre montanha Brokeback ...</v>
      </c>
      <c r="B11785" s="3">
        <v>0</v>
      </c>
    </row>
    <row r="11786" ht="15.75" customHeight="1" spans="1:2">
      <c r="A11786" s="3" t="str">
        <f>IFERROR(__xludf.DUMMYFUNCTION("GOOGLETRANSLATE(A11786,""en"",""pt"")"),"Ah, e Brokeback Mountain é um filme terrível ...")</f>
        <v>Ah, e Brokeback Mountain é um filme terrível ...</v>
      </c>
      <c r="B11786" s="3">
        <v>0</v>
      </c>
    </row>
    <row r="11787" ht="15.75" customHeight="1" spans="1:2">
      <c r="A11787" s="3" t="str">
        <f>IFERROR(__xludf.DUMMYFUNCTION("GOOGLETRANSLATE(A11787,""en"",""pt"")"),"Brokeback Mountain foi chato.")</f>
        <v>Brokeback Mountain foi chato.</v>
      </c>
      <c r="B11787" s="3">
        <v>0</v>
      </c>
    </row>
    <row r="11788" ht="15.75" customHeight="1" spans="1:2">
      <c r="A11788" s="3" t="str">
        <f>IFERROR(__xludf.DUMMYFUNCTION("GOOGLETRANSLATE(A11788,""en"",""pt"")"),"Então Brokeback Mountain foi realmente deprimente.")</f>
        <v>Então Brokeback Mountain foi realmente deprimente.</v>
      </c>
      <c r="B11788" s="3">
        <v>0</v>
      </c>
    </row>
    <row r="11789" ht="15.75" customHeight="1" spans="1:2">
      <c r="A11789" s="3" t="str">
        <f>IFERROR(__xludf.DUMMYFUNCTION("GOOGLETRANSLATE(A11789,""en"",""pt"")"),"Quando eu sento aqui, observando o MTV Movie Awards, lembro-me do quanto eu desprezava o filme Brokeback Mountain.")</f>
        <v>Quando eu sento aqui, observando o MTV Movie Awards, lembro-me do quanto eu desprezava o filme Brokeback Mountain.</v>
      </c>
      <c r="B11789" s="3">
        <v>0</v>
      </c>
    </row>
    <row r="11790" ht="15.75" customHeight="1" spans="1:2">
      <c r="A11790" s="3" t="str">
        <f>IFERROR(__xludf.DUMMYFUNCTION("GOOGLETRANSLATE(A11790,""en"",""pt"")"),"montanha Brokeback Ok é um filme horrível.")</f>
        <v>montanha Brokeback Ok é um filme horrível.</v>
      </c>
      <c r="B11790" s="3">
        <v>0</v>
      </c>
    </row>
    <row r="11791" ht="15.75" customHeight="1" spans="1:2">
      <c r="A11791" s="3" t="str">
        <f>IFERROR(__xludf.DUMMYFUNCTION("GOOGLETRANSLATE(A11791,""en"",""pt"")"),"Ah, e Brokeback Mountain era um filme terrível.")</f>
        <v>Ah, e Brokeback Mountain era um filme terrível.</v>
      </c>
      <c r="B11791" s="3">
        <v>0</v>
      </c>
    </row>
    <row r="11792" ht="15.75" customHeight="1" spans="1:2">
      <c r="A11792" s="3" t="str">
        <f>IFERROR(__xludf.DUMMYFUNCTION("GOOGLETRANSLATE(A11792,""en"",""pt"")"),"Brokeback Mountain é foda horrível ..")</f>
        <v>Brokeback Mountain é foda horrível ..</v>
      </c>
      <c r="B11792" s="3">
        <v>0</v>
      </c>
    </row>
    <row r="11793" ht="15.75" customHeight="1" spans="1:2">
      <c r="A11793" s="3" t="str">
        <f>IFERROR(__xludf.DUMMYFUNCTION("GOOGLETRANSLATE(A11793,""en"",""pt"")"),"Então escapado em Brokeback Mountain, que é o filme mais deprimente que eu já vi ..")</f>
        <v>Então escapado em Brokeback Mountain, que é o filme mais deprimente que eu já vi ..</v>
      </c>
      <c r="B11793" s="3">
        <v>0</v>
      </c>
    </row>
    <row r="11794" ht="15.75" customHeight="1" spans="1:2">
      <c r="A11794" s="3" t="str">
        <f>IFERROR(__xludf.DUMMYFUNCTION("GOOGLETRANSLATE(A11794,""en"",""pt"")"),"Meu pai está sendo estúpido sobre montanha Brokeback ...")</f>
        <v>Meu pai está sendo estúpido sobre montanha Brokeback ...</v>
      </c>
      <c r="B11794" s="3">
        <v>0</v>
      </c>
    </row>
    <row r="11795" ht="15.75" customHeight="1" spans="1:2">
      <c r="A11795" s="3" t="str">
        <f>IFERROR(__xludf.DUMMYFUNCTION("GOOGLETRANSLATE(A11795,""en"",""pt"")"),"Ah, e Brokeback Mountain é um filme terrível ...")</f>
        <v>Ah, e Brokeback Mountain é um filme terrível ...</v>
      </c>
      <c r="B11795" s="3">
        <v>0</v>
      </c>
    </row>
    <row r="11796" ht="15.75" customHeight="1" spans="1:2">
      <c r="A11796" s="3" t="str">
        <f>IFERROR(__xludf.DUMMYFUNCTION("GOOGLETRANSLATE(A11796,""en"",""pt"")"),"Brokeback Mountain foi chato.")</f>
        <v>Brokeback Mountain foi chato.</v>
      </c>
      <c r="B11796" s="3">
        <v>0</v>
      </c>
    </row>
    <row r="11797" ht="15.75" customHeight="1" spans="1:2">
      <c r="A11797" s="3" t="str">
        <f>IFERROR(__xludf.DUMMYFUNCTION("GOOGLETRANSLATE(A11797,""en"",""pt"")"),"Então Brokeback Mountain foi realmente deprimente.")</f>
        <v>Então Brokeback Mountain foi realmente deprimente.</v>
      </c>
      <c r="B11797" s="3">
        <v>0</v>
      </c>
    </row>
    <row r="11798" ht="15.75" customHeight="1" spans="1:2">
      <c r="A11798" s="3" t="str">
        <f>IFERROR(__xludf.DUMMYFUNCTION("GOOGLETRANSLATE(A11798,""en"",""pt"")"),"Quando eu sento aqui, observando o MTV Movie Awards, lembro-me do quanto eu desprezava o filme Brokeback Mountain.")</f>
        <v>Quando eu sento aqui, observando o MTV Movie Awards, lembro-me do quanto eu desprezava o filme Brokeback Mountain.</v>
      </c>
      <c r="B11798" s="3">
        <v>0</v>
      </c>
    </row>
    <row r="11799" ht="15.75" customHeight="1" spans="1:2">
      <c r="A11799" s="3" t="str">
        <f>IFERROR(__xludf.DUMMYFUNCTION("GOOGLETRANSLATE(A11799,""en"",""pt"")"),"montanha Brokeback Ok é um filme horrível.")</f>
        <v>montanha Brokeback Ok é um filme horrível.</v>
      </c>
      <c r="B11799" s="3">
        <v>0</v>
      </c>
    </row>
    <row r="11800" ht="15.75" customHeight="1" spans="1:2">
      <c r="A11800" s="3" t="str">
        <f>IFERROR(__xludf.DUMMYFUNCTION("GOOGLETRANSLATE(A11800,""en"",""pt"")"),"Ah, e Brokeback Mountain era um filme terrível.")</f>
        <v>Ah, e Brokeback Mountain era um filme terrível.</v>
      </c>
      <c r="B11800" s="3">
        <v>0</v>
      </c>
    </row>
    <row r="11801" ht="15.75" customHeight="1" spans="1:2">
      <c r="A11801" s="3" t="str">
        <f>IFERROR(__xludf.DUMMYFUNCTION("GOOGLETRANSLATE(A11801,""en"",""pt"")"),"Brokeback Mountain é foda horrível ..")</f>
        <v>Brokeback Mountain é foda horrível ..</v>
      </c>
      <c r="B11801" s="3">
        <v>0</v>
      </c>
    </row>
    <row r="11802" ht="15.75" customHeight="1" spans="1:2">
      <c r="A11802" s="3" t="str">
        <f>IFERROR(__xludf.DUMMYFUNCTION("GOOGLETRANSLATE(A11802,""en"",""pt"")"),"Então escapado em Brokeback Mountain, que é o filme mais deprimente que eu já vi ..")</f>
        <v>Então escapado em Brokeback Mountain, que é o filme mais deprimente que eu já vi ..</v>
      </c>
      <c r="B11802" s="3">
        <v>0</v>
      </c>
    </row>
    <row r="11803" ht="15.75" customHeight="1" spans="1:2">
      <c r="A11803" s="3" t="str">
        <f>IFERROR(__xludf.DUMMYFUNCTION("GOOGLETRANSLATE(A11803,""en"",""pt"")"),"Meu pai está sendo estúpido sobre montanha Brokeback ...")</f>
        <v>Meu pai está sendo estúpido sobre montanha Brokeback ...</v>
      </c>
      <c r="B11803" s="3">
        <v>0</v>
      </c>
    </row>
    <row r="11804" ht="15.75" customHeight="1" spans="1:2">
      <c r="A11804" s="3" t="str">
        <f>IFERROR(__xludf.DUMMYFUNCTION("GOOGLETRANSLATE(A11804,""en"",""pt"")"),"Ah, e Brokeback Mountain é um filme terrível ...")</f>
        <v>Ah, e Brokeback Mountain é um filme terrível ...</v>
      </c>
      <c r="B11804" s="3">
        <v>0</v>
      </c>
    </row>
    <row r="11805" ht="15.75" customHeight="1" spans="1:2">
      <c r="A11805" s="3" t="str">
        <f>IFERROR(__xludf.DUMMYFUNCTION("GOOGLETRANSLATE(A11805,""en"",""pt"")"),"Brokeback Mountain foi chato.")</f>
        <v>Brokeback Mountain foi chato.</v>
      </c>
      <c r="B11805" s="3">
        <v>0</v>
      </c>
    </row>
    <row r="11806" ht="15.75" customHeight="1" spans="1:2">
      <c r="A11806" s="3" t="str">
        <f>IFERROR(__xludf.DUMMYFUNCTION("GOOGLETRANSLATE(A11806,""en"",""pt"")"),"Então Brokeback Mountain foi realmente deprimente.")</f>
        <v>Então Brokeback Mountain foi realmente deprimente.</v>
      </c>
      <c r="B11806" s="3">
        <v>0</v>
      </c>
    </row>
    <row r="11807" ht="15.75" customHeight="1" spans="1:2">
      <c r="A11807" s="3" t="str">
        <f>IFERROR(__xludf.DUMMYFUNCTION("GOOGLETRANSLATE(A11807,""en"",""pt"")"),"Quando eu sento aqui, observando o MTV Movie Awards, lembro-me do quanto eu desprezava o filme Brokeback Mountain.")</f>
        <v>Quando eu sento aqui, observando o MTV Movie Awards, lembro-me do quanto eu desprezava o filme Brokeback Mountain.</v>
      </c>
      <c r="B11807" s="3">
        <v>0</v>
      </c>
    </row>
    <row r="11808" ht="15.75" customHeight="1" spans="1:2">
      <c r="A11808" s="3" t="str">
        <f>IFERROR(__xludf.DUMMYFUNCTION("GOOGLETRANSLATE(A11808,""en"",""pt"")"),"montanha Brokeback Ok é um filme horrível.")</f>
        <v>montanha Brokeback Ok é um filme horrível.</v>
      </c>
      <c r="B11808" s="3">
        <v>0</v>
      </c>
    </row>
    <row r="11809" ht="15.75" customHeight="1" spans="1:2">
      <c r="A11809" s="3" t="str">
        <f>IFERROR(__xludf.DUMMYFUNCTION("GOOGLETRANSLATE(A11809,""en"",""pt"")"),"Ah, e Brokeback Mountain era um filme terrível.")</f>
        <v>Ah, e Brokeback Mountain era um filme terrível.</v>
      </c>
      <c r="B11809" s="3">
        <v>0</v>
      </c>
    </row>
    <row r="11810" ht="15.75" customHeight="1" spans="1:2">
      <c r="A11810" s="3" t="str">
        <f>IFERROR(__xludf.DUMMYFUNCTION("GOOGLETRANSLATE(A11810,""en"",""pt"")"),"Brokeback Mountain é foda horrível ..")</f>
        <v>Brokeback Mountain é foda horrível ..</v>
      </c>
      <c r="B11810" s="3">
        <v>0</v>
      </c>
    </row>
    <row r="11811" ht="15.75" customHeight="1" spans="1:2">
      <c r="A11811" s="3" t="str">
        <f>IFERROR(__xludf.DUMMYFUNCTION("GOOGLETRANSLATE(A11811,""en"",""pt"")"),"Então escapado em Brokeback Mountain, que é o filme mais deprimente que eu já vi ..")</f>
        <v>Então escapado em Brokeback Mountain, que é o filme mais deprimente que eu já vi ..</v>
      </c>
      <c r="B11811" s="3">
        <v>0</v>
      </c>
    </row>
    <row r="11812" ht="15.75" customHeight="1" spans="1:2">
      <c r="A11812" s="3" t="str">
        <f>IFERROR(__xludf.DUMMYFUNCTION("GOOGLETRANSLATE(A11812,""en"",""pt"")"),"Meu pai está sendo estúpido sobre montanha Brokeback ...")</f>
        <v>Meu pai está sendo estúpido sobre montanha Brokeback ...</v>
      </c>
      <c r="B11812" s="3">
        <v>0</v>
      </c>
    </row>
    <row r="11813" ht="15.75" customHeight="1" spans="1:2">
      <c r="A11813" s="3" t="str">
        <f>IFERROR(__xludf.DUMMYFUNCTION("GOOGLETRANSLATE(A11813,""en"",""pt"")"),"Ah, e Brokeback Mountain é um filme terrível ...")</f>
        <v>Ah, e Brokeback Mountain é um filme terrível ...</v>
      </c>
      <c r="B11813" s="3">
        <v>0</v>
      </c>
    </row>
    <row r="11814" ht="15.75" customHeight="1" spans="1:2">
      <c r="A11814" s="3" t="str">
        <f>IFERROR(__xludf.DUMMYFUNCTION("GOOGLETRANSLATE(A11814,""en"",""pt"")"),"Brokeback Mountain foi chato.")</f>
        <v>Brokeback Mountain foi chato.</v>
      </c>
      <c r="B11814" s="3">
        <v>0</v>
      </c>
    </row>
    <row r="11815" ht="15.75" customHeight="1" spans="1:2">
      <c r="A11815" s="3" t="str">
        <f>IFERROR(__xludf.DUMMYFUNCTION("GOOGLETRANSLATE(A11815,""en"",""pt"")"),"Então Brokeback Mountain foi realmente deprimente.")</f>
        <v>Então Brokeback Mountain foi realmente deprimente.</v>
      </c>
      <c r="B11815" s="3">
        <v>0</v>
      </c>
    </row>
    <row r="11816" ht="15.75" customHeight="1" spans="1:2">
      <c r="A11816" s="3" t="str">
        <f>IFERROR(__xludf.DUMMYFUNCTION("GOOGLETRANSLATE(A11816,""en"",""pt"")"),"Quando eu sento aqui, observando o MTV Movie Awards, lembro-me do quanto eu desprezava o filme Brokeback Mountain.")</f>
        <v>Quando eu sento aqui, observando o MTV Movie Awards, lembro-me do quanto eu desprezava o filme Brokeback Mountain.</v>
      </c>
      <c r="B11816" s="3">
        <v>0</v>
      </c>
    </row>
    <row r="11817" ht="15.75" customHeight="1" spans="1:2">
      <c r="A11817" s="3" t="str">
        <f>IFERROR(__xludf.DUMMYFUNCTION("GOOGLETRANSLATE(A11817,""en"",""pt"")"),"montanha Brokeback Ok é um filme horrível.")</f>
        <v>montanha Brokeback Ok é um filme horrível.</v>
      </c>
      <c r="B11817" s="3">
        <v>0</v>
      </c>
    </row>
    <row r="11818" ht="15.75" customHeight="1" spans="1:2">
      <c r="A11818" s="3" t="str">
        <f>IFERROR(__xludf.DUMMYFUNCTION("GOOGLETRANSLATE(A11818,""en"",""pt"")"),"Ah, e Brokeback Mountain era um filme terrível.")</f>
        <v>Ah, e Brokeback Mountain era um filme terrível.</v>
      </c>
      <c r="B11818" s="3">
        <v>0</v>
      </c>
    </row>
    <row r="11819" ht="15.75" customHeight="1" spans="1:2">
      <c r="A11819" s="3" t="str">
        <f>IFERROR(__xludf.DUMMYFUNCTION("GOOGLETRANSLATE(A11819,""en"",""pt"")"),"Brokeback Mountain é foda horrível ..")</f>
        <v>Brokeback Mountain é foda horrível ..</v>
      </c>
      <c r="B11819" s="3">
        <v>0</v>
      </c>
    </row>
    <row r="11820" ht="15.75" customHeight="1" spans="1:2">
      <c r="A11820" s="3" t="str">
        <f>IFERROR(__xludf.DUMMYFUNCTION("GOOGLETRANSLATE(A11820,""en"",""pt"")"),"Então escapado em Brokeback Mountain, que é o filme mais deprimente que eu já vi ..")</f>
        <v>Então escapado em Brokeback Mountain, que é o filme mais deprimente que eu já vi ..</v>
      </c>
      <c r="B11820" s="3">
        <v>0</v>
      </c>
    </row>
    <row r="11821" ht="15.75" customHeight="1" spans="1:2">
      <c r="A11821" s="3" t="str">
        <f>IFERROR(__xludf.DUMMYFUNCTION("GOOGLETRANSLATE(A11821,""en"",""pt"")"),"Meu pai está sendo estúpido sobre montanha Brokeback ...")</f>
        <v>Meu pai está sendo estúpido sobre montanha Brokeback ...</v>
      </c>
      <c r="B11821" s="3">
        <v>0</v>
      </c>
    </row>
    <row r="11822" ht="15.75" customHeight="1" spans="1:2">
      <c r="A11822" s="3" t="str">
        <f>IFERROR(__xludf.DUMMYFUNCTION("GOOGLETRANSLATE(A11822,""en"",""pt"")"),"Ah, e Brokeback Mountain é um filme terrível ...")</f>
        <v>Ah, e Brokeback Mountain é um filme terrível ...</v>
      </c>
      <c r="B11822" s="3">
        <v>0</v>
      </c>
    </row>
    <row r="11823" ht="15.75" customHeight="1" spans="1:2">
      <c r="A11823" s="3" t="str">
        <f>IFERROR(__xludf.DUMMYFUNCTION("GOOGLETRANSLATE(A11823,""en"",""pt"")"),"Brokeback Mountain foi chato.")</f>
        <v>Brokeback Mountain foi chato.</v>
      </c>
      <c r="B11823" s="3">
        <v>0</v>
      </c>
    </row>
    <row r="11824" ht="15.75" customHeight="1" spans="1:2">
      <c r="A11824" s="3" t="str">
        <f>IFERROR(__xludf.DUMMYFUNCTION("GOOGLETRANSLATE(A11824,""en"",""pt"")"),"Então Brokeback Mountain foi realmente deprimente.")</f>
        <v>Então Brokeback Mountain foi realmente deprimente.</v>
      </c>
      <c r="B11824" s="3">
        <v>0</v>
      </c>
    </row>
    <row r="11825" ht="15.75" customHeight="1" spans="1:2">
      <c r="A11825" s="3" t="str">
        <f>IFERROR(__xludf.DUMMYFUNCTION("GOOGLETRANSLATE(A11825,""en"",""pt"")"),"Quando eu sento aqui, observando o MTV Movie Awards, lembro-me do quanto eu desprezava o filme Brokeback Mountain.")</f>
        <v>Quando eu sento aqui, observando o MTV Movie Awards, lembro-me do quanto eu desprezava o filme Brokeback Mountain.</v>
      </c>
      <c r="B11825" s="3">
        <v>0</v>
      </c>
    </row>
    <row r="11826" ht="15.75" customHeight="1" spans="1:2">
      <c r="A11826" s="3" t="str">
        <f>IFERROR(__xludf.DUMMYFUNCTION("GOOGLETRANSLATE(A11826,""en"",""pt"")"),"montanha Brokeback Ok é um filme horrível.")</f>
        <v>montanha Brokeback Ok é um filme horrível.</v>
      </c>
      <c r="B11826" s="3">
        <v>0</v>
      </c>
    </row>
    <row r="11827" ht="15.75" customHeight="1" spans="1:2">
      <c r="A11827" s="3" t="str">
        <f>IFERROR(__xludf.DUMMYFUNCTION("GOOGLETRANSLATE(A11827,""en"",""pt"")"),"Ah, e Brokeback Mountain era um filme terrível.")</f>
        <v>Ah, e Brokeback Mountain era um filme terrível.</v>
      </c>
      <c r="B11827" s="3">
        <v>0</v>
      </c>
    </row>
    <row r="11828" ht="15.75" customHeight="1" spans="1:2">
      <c r="A11828" s="3" t="str">
        <f>IFERROR(__xludf.DUMMYFUNCTION("GOOGLETRANSLATE(A11828,""en"",""pt"")"),"Brokeback Mountain é foda horrível ..")</f>
        <v>Brokeback Mountain é foda horrível ..</v>
      </c>
      <c r="B11828" s="3">
        <v>0</v>
      </c>
    </row>
    <row r="11829" ht="15.75" customHeight="1" spans="1:2">
      <c r="A11829" s="3" t="str">
        <f>IFERROR(__xludf.DUMMYFUNCTION("GOOGLETRANSLATE(A11829,""en"",""pt"")"),"Então escapado em Brokeback Mountain, que é o filme mais deprimente que eu já vi ..")</f>
        <v>Então escapado em Brokeback Mountain, que é o filme mais deprimente que eu já vi ..</v>
      </c>
      <c r="B11829" s="3">
        <v>0</v>
      </c>
    </row>
    <row r="11830" ht="15.75" customHeight="1" spans="1:2">
      <c r="A11830" s="3" t="str">
        <f>IFERROR(__xludf.DUMMYFUNCTION("GOOGLETRANSLATE(A11830,""en"",""pt"")"),"Meu pai está sendo estúpido sobre montanha Brokeback ...")</f>
        <v>Meu pai está sendo estúpido sobre montanha Brokeback ...</v>
      </c>
      <c r="B11830" s="3">
        <v>0</v>
      </c>
    </row>
    <row r="11831" ht="15.75" customHeight="1" spans="1:2">
      <c r="A11831" s="3" t="str">
        <f>IFERROR(__xludf.DUMMYFUNCTION("GOOGLETRANSLATE(A11831,""en"",""pt"")"),"Ah, e Brokeback Mountain é um filme terrível ...")</f>
        <v>Ah, e Brokeback Mountain é um filme terrível ...</v>
      </c>
      <c r="B11831" s="3">
        <v>0</v>
      </c>
    </row>
    <row r="11832" ht="15.75" customHeight="1" spans="1:2">
      <c r="A11832" s="3" t="str">
        <f>IFERROR(__xludf.DUMMYFUNCTION("GOOGLETRANSLATE(A11832,""en"",""pt"")"),"Brokeback Mountain foi chato.")</f>
        <v>Brokeback Mountain foi chato.</v>
      </c>
      <c r="B11832" s="3">
        <v>0</v>
      </c>
    </row>
    <row r="11833" ht="15.75" customHeight="1" spans="1:2">
      <c r="A11833" s="3" t="str">
        <f>IFERROR(__xludf.DUMMYFUNCTION("GOOGLETRANSLATE(A11833,""en"",""pt"")"),"Então Brokeback Mountain foi realmente deprimente.")</f>
        <v>Então Brokeback Mountain foi realmente deprimente.</v>
      </c>
      <c r="B11833" s="3">
        <v>0</v>
      </c>
    </row>
    <row r="11834" ht="15.75" customHeight="1" spans="1:2">
      <c r="A11834" s="3" t="str">
        <f>IFERROR(__xludf.DUMMYFUNCTION("GOOGLETRANSLATE(A11834,""en"",""pt"")"),"Quando eu sento aqui, observando o MTV Movie Awards, lembro-me do quanto eu desprezava o filme Brokeback Mountain.")</f>
        <v>Quando eu sento aqui, observando o MTV Movie Awards, lembro-me do quanto eu desprezava o filme Brokeback Mountain.</v>
      </c>
      <c r="B11834" s="3">
        <v>0</v>
      </c>
    </row>
    <row r="11835" ht="15.75" customHeight="1" spans="1:2">
      <c r="A11835" s="3" t="str">
        <f>IFERROR(__xludf.DUMMYFUNCTION("GOOGLETRANSLATE(A11835,""en"",""pt"")"),"montanha Brokeback Ok é um filme horrível.")</f>
        <v>montanha Brokeback Ok é um filme horrível.</v>
      </c>
      <c r="B11835" s="3">
        <v>0</v>
      </c>
    </row>
    <row r="11836" ht="15.75" customHeight="1" spans="1:2">
      <c r="A11836" s="3" t="str">
        <f>IFERROR(__xludf.DUMMYFUNCTION("GOOGLETRANSLATE(A11836,""en"",""pt"")"),"Ah, e Brokeback Mountain era um filme terrível.")</f>
        <v>Ah, e Brokeback Mountain era um filme terrível.</v>
      </c>
      <c r="B11836" s="3">
        <v>0</v>
      </c>
    </row>
    <row r="11837" ht="15.75" customHeight="1" spans="1:2">
      <c r="A11837" s="3" t="str">
        <f>IFERROR(__xludf.DUMMYFUNCTION("GOOGLETRANSLATE(A11837,""en"",""pt"")"),"Brokeback Mountain é foda horrível ..")</f>
        <v>Brokeback Mountain é foda horrível ..</v>
      </c>
      <c r="B11837" s="3">
        <v>0</v>
      </c>
    </row>
    <row r="11838" ht="15.75" customHeight="1" spans="1:2">
      <c r="A11838" s="3" t="str">
        <f>IFERROR(__xludf.DUMMYFUNCTION("GOOGLETRANSLATE(A11838,""en"",""pt"")"),"Então escapado em Brokeback Mountain, que é o filme mais deprimente que eu já vi ..")</f>
        <v>Então escapado em Brokeback Mountain, que é o filme mais deprimente que eu já vi ..</v>
      </c>
      <c r="B11838" s="3">
        <v>0</v>
      </c>
    </row>
    <row r="11839" ht="15.75" customHeight="1" spans="1:2">
      <c r="A11839" s="3" t="str">
        <f>IFERROR(__xludf.DUMMYFUNCTION("GOOGLETRANSLATE(A11839,""en"",""pt"")"),"Meu pai está sendo estúpido sobre montanha Brokeback ...")</f>
        <v>Meu pai está sendo estúpido sobre montanha Brokeback ...</v>
      </c>
      <c r="B11839" s="3">
        <v>0</v>
      </c>
    </row>
    <row r="11840" ht="15.75" customHeight="1" spans="1:2">
      <c r="A11840" s="3" t="str">
        <f>IFERROR(__xludf.DUMMYFUNCTION("GOOGLETRANSLATE(A11840,""en"",""pt"")"),"Ah, e Brokeback Mountain é um filme terrível ...")</f>
        <v>Ah, e Brokeback Mountain é um filme terrível ...</v>
      </c>
      <c r="B11840" s="3">
        <v>0</v>
      </c>
    </row>
    <row r="11841" ht="15.75" customHeight="1" spans="1:2">
      <c r="A11841" s="3" t="str">
        <f>IFERROR(__xludf.DUMMYFUNCTION("GOOGLETRANSLATE(A11841,""en"",""pt"")"),"Brokeback Mountain foi chato.")</f>
        <v>Brokeback Mountain foi chato.</v>
      </c>
      <c r="B11841" s="3">
        <v>0</v>
      </c>
    </row>
    <row r="11842" ht="15.75" customHeight="1" spans="1:2">
      <c r="A11842" s="3" t="str">
        <f>IFERROR(__xludf.DUMMYFUNCTION("GOOGLETRANSLATE(A11842,""en"",""pt"")"),"Então Brokeback Mountain foi realmente deprimente.")</f>
        <v>Então Brokeback Mountain foi realmente deprimente.</v>
      </c>
      <c r="B11842" s="3">
        <v>0</v>
      </c>
    </row>
    <row r="11843" ht="15.75" customHeight="1" spans="1:2">
      <c r="A11843" s="3" t="str">
        <f>IFERROR(__xludf.DUMMYFUNCTION("GOOGLETRANSLATE(A11843,""en"",""pt"")"),"Quando eu sento aqui, observando o MTV Movie Awards, lembro-me do quanto eu desprezava o filme Brokeback Mountain.")</f>
        <v>Quando eu sento aqui, observando o MTV Movie Awards, lembro-me do quanto eu desprezava o filme Brokeback Mountain.</v>
      </c>
      <c r="B11843" s="3">
        <v>0</v>
      </c>
    </row>
    <row r="11844" ht="15.75" customHeight="1" spans="1:2">
      <c r="A11844" s="3" t="str">
        <f>IFERROR(__xludf.DUMMYFUNCTION("GOOGLETRANSLATE(A11844,""en"",""pt"")"),"montanha Brokeback Ok é um filme horrível.")</f>
        <v>montanha Brokeback Ok é um filme horrível.</v>
      </c>
      <c r="B11844" s="3">
        <v>0</v>
      </c>
    </row>
    <row r="11845" ht="15.75" customHeight="1" spans="1:2">
      <c r="A11845" s="3" t="str">
        <f>IFERROR(__xludf.DUMMYFUNCTION("GOOGLETRANSLATE(A11845,""en"",""pt"")"),"Ah, e Brokeback Mountain era um filme terrível.")</f>
        <v>Ah, e Brokeback Mountain era um filme terrível.</v>
      </c>
      <c r="B11845" s="3">
        <v>0</v>
      </c>
    </row>
    <row r="11846" ht="15.75" customHeight="1" spans="1:2">
      <c r="A11846" s="3" t="str">
        <f>IFERROR(__xludf.DUMMYFUNCTION("GOOGLETRANSLATE(A11846,""en"",""pt"")"),"Brokeback Mountain é foda horrível ..")</f>
        <v>Brokeback Mountain é foda horrível ..</v>
      </c>
      <c r="B11846" s="3">
        <v>0</v>
      </c>
    </row>
    <row r="11847" ht="15.75" customHeight="1" spans="1:2">
      <c r="A11847" s="3" t="str">
        <f>IFERROR(__xludf.DUMMYFUNCTION("GOOGLETRANSLATE(A11847,""en"",""pt"")"),"Então escapado em Brokeback Mountain, que é o filme mais deprimente que eu já vi ..")</f>
        <v>Então escapado em Brokeback Mountain, que é o filme mais deprimente que eu já vi ..</v>
      </c>
      <c r="B11847" s="3">
        <v>0</v>
      </c>
    </row>
    <row r="11848" ht="15.75" customHeight="1" spans="1:2">
      <c r="A11848" s="3" t="str">
        <f>IFERROR(__xludf.DUMMYFUNCTION("GOOGLETRANSLATE(A11848,""en"",""pt"")"),"Meu pai está sendo estúpido sobre montanha Brokeback ...")</f>
        <v>Meu pai está sendo estúpido sobre montanha Brokeback ...</v>
      </c>
      <c r="B11848" s="3">
        <v>0</v>
      </c>
    </row>
    <row r="11849" ht="15.75" customHeight="1" spans="1:2">
      <c r="A11849" s="3" t="str">
        <f>IFERROR(__xludf.DUMMYFUNCTION("GOOGLETRANSLATE(A11849,""en"",""pt"")"),"Ah, e Brokeback Mountain é um filme terrível ...")</f>
        <v>Ah, e Brokeback Mountain é um filme terrível ...</v>
      </c>
      <c r="B11849" s="3">
        <v>0</v>
      </c>
    </row>
    <row r="11850" ht="15.75" customHeight="1" spans="1:2">
      <c r="A11850" s="3" t="str">
        <f>IFERROR(__xludf.DUMMYFUNCTION("GOOGLETRANSLATE(A11850,""en"",""pt"")"),"Brokeback Mountain foi chato.")</f>
        <v>Brokeback Mountain foi chato.</v>
      </c>
      <c r="B11850" s="3">
        <v>0</v>
      </c>
    </row>
    <row r="11851" ht="15.75" customHeight="1" spans="1:2">
      <c r="A11851" s="3" t="str">
        <f>IFERROR(__xludf.DUMMYFUNCTION("GOOGLETRANSLATE(A11851,""en"",""pt"")"),"Então Brokeback Mountain foi realmente deprimente.")</f>
        <v>Então Brokeback Mountain foi realmente deprimente.</v>
      </c>
      <c r="B11851" s="3">
        <v>0</v>
      </c>
    </row>
    <row r="11852" ht="15.75" customHeight="1" spans="1:2">
      <c r="A11852" s="3" t="str">
        <f>IFERROR(__xludf.DUMMYFUNCTION("GOOGLETRANSLATE(A11852,""en"",""pt"")"),"Quando eu sento aqui, observando o MTV Movie Awards, lembro-me do quanto eu desprezava o filme Brokeback Mountain.")</f>
        <v>Quando eu sento aqui, observando o MTV Movie Awards, lembro-me do quanto eu desprezava o filme Brokeback Mountain.</v>
      </c>
      <c r="B11852" s="3">
        <v>0</v>
      </c>
    </row>
    <row r="11853" ht="15.75" customHeight="1" spans="1:2">
      <c r="A11853" s="3" t="str">
        <f>IFERROR(__xludf.DUMMYFUNCTION("GOOGLETRANSLATE(A11853,""en"",""pt"")"),"montanha Brokeback Ok é um filme horrível.")</f>
        <v>montanha Brokeback Ok é um filme horrível.</v>
      </c>
      <c r="B11853" s="3">
        <v>0</v>
      </c>
    </row>
    <row r="11854" ht="15.75" customHeight="1" spans="1:2">
      <c r="A11854" s="3" t="str">
        <f>IFERROR(__xludf.DUMMYFUNCTION("GOOGLETRANSLATE(A11854,""en"",""pt"")"),"Ah, e Brokeback Mountain era um filme terrível.")</f>
        <v>Ah, e Brokeback Mountain era um filme terrível.</v>
      </c>
      <c r="B11854" s="3">
        <v>0</v>
      </c>
    </row>
    <row r="11855" ht="15.75" customHeight="1" spans="1:2">
      <c r="A11855" s="3" t="str">
        <f>IFERROR(__xludf.DUMMYFUNCTION("GOOGLETRANSLATE(A11855,""en"",""pt"")"),"Brokeback Mountain é foda horrível ..")</f>
        <v>Brokeback Mountain é foda horrível ..</v>
      </c>
      <c r="B11855" s="3">
        <v>0</v>
      </c>
    </row>
    <row r="11856" ht="15.75" customHeight="1" spans="1:2">
      <c r="A11856" s="3" t="str">
        <f>IFERROR(__xludf.DUMMYFUNCTION("GOOGLETRANSLATE(A11856,""en"",""pt"")"),"Então escapado em Brokeback Mountain, que é o filme mais deprimente que eu já vi ..")</f>
        <v>Então escapado em Brokeback Mountain, que é o filme mais deprimente que eu já vi ..</v>
      </c>
      <c r="B11856" s="3">
        <v>0</v>
      </c>
    </row>
    <row r="11857" ht="15.75" customHeight="1" spans="1:2">
      <c r="A11857" s="3" t="str">
        <f>IFERROR(__xludf.DUMMYFUNCTION("GOOGLETRANSLATE(A11857,""en"",""pt"")"),"Meu pai está sendo estúpido sobre montanha Brokeback ...")</f>
        <v>Meu pai está sendo estúpido sobre montanha Brokeback ...</v>
      </c>
      <c r="B11857" s="3">
        <v>0</v>
      </c>
    </row>
    <row r="11858" ht="15.75" customHeight="1" spans="1:2">
      <c r="A11858" s="3" t="str">
        <f>IFERROR(__xludf.DUMMYFUNCTION("GOOGLETRANSLATE(A11858,""en"",""pt"")"),"Ah, e Brokeback Mountain é um filme terrível ...")</f>
        <v>Ah, e Brokeback Mountain é um filme terrível ...</v>
      </c>
      <c r="B11858" s="3">
        <v>0</v>
      </c>
    </row>
    <row r="11859" ht="15.75" customHeight="1" spans="1:2">
      <c r="A11859" s="3" t="str">
        <f>IFERROR(__xludf.DUMMYFUNCTION("GOOGLETRANSLATE(A11859,""en"",""pt"")"),"Brokeback Mountain foi chato.")</f>
        <v>Brokeback Mountain foi chato.</v>
      </c>
      <c r="B11859" s="3">
        <v>0</v>
      </c>
    </row>
    <row r="11860" ht="15.75" customHeight="1" spans="1:2">
      <c r="A11860" s="3" t="str">
        <f>IFERROR(__xludf.DUMMYFUNCTION("GOOGLETRANSLATE(A11860,""en"",""pt"")"),"Então Brokeback Mountain foi realmente deprimente.")</f>
        <v>Então Brokeback Mountain foi realmente deprimente.</v>
      </c>
      <c r="B11860" s="3">
        <v>0</v>
      </c>
    </row>
    <row r="11861" ht="15.75" customHeight="1" spans="1:2">
      <c r="A11861" s="3" t="str">
        <f>IFERROR(__xludf.DUMMYFUNCTION("GOOGLETRANSLATE(A11861,""en"",""pt"")"),"Quando eu sento aqui, observando o MTV Movie Awards, lembro-me do quanto eu desprezava o filme Brokeback Mountain.")</f>
        <v>Quando eu sento aqui, observando o MTV Movie Awards, lembro-me do quanto eu desprezava o filme Brokeback Mountain.</v>
      </c>
      <c r="B11861" s="3">
        <v>0</v>
      </c>
    </row>
    <row r="11862" ht="15.75" customHeight="1" spans="1:2">
      <c r="A11862" s="3" t="str">
        <f>IFERROR(__xludf.DUMMYFUNCTION("GOOGLETRANSLATE(A11862,""en"",""pt"")"),"montanha Brokeback Ok é um filme horrível.")</f>
        <v>montanha Brokeback Ok é um filme horrível.</v>
      </c>
      <c r="B11862" s="3">
        <v>0</v>
      </c>
    </row>
    <row r="11863" ht="15.75" customHeight="1" spans="1:2">
      <c r="A11863" s="3" t="str">
        <f>IFERROR(__xludf.DUMMYFUNCTION("GOOGLETRANSLATE(A11863,""en"",""pt"")"),"Ah, e Brokeback Mountain era um filme terrível.")</f>
        <v>Ah, e Brokeback Mountain era um filme terrível.</v>
      </c>
      <c r="B11863" s="3">
        <v>0</v>
      </c>
    </row>
    <row r="11864" ht="15.75" customHeight="1" spans="1:2">
      <c r="A11864" s="3" t="str">
        <f>IFERROR(__xludf.DUMMYFUNCTION("GOOGLETRANSLATE(A11864,""en"",""pt"")"),"Brokeback Mountain é foda horrível ..")</f>
        <v>Brokeback Mountain é foda horrível ..</v>
      </c>
      <c r="B11864" s="3">
        <v>0</v>
      </c>
    </row>
    <row r="11865" ht="15.75" customHeight="1" spans="1:2">
      <c r="A11865" s="3" t="str">
        <f>IFERROR(__xludf.DUMMYFUNCTION("GOOGLETRANSLATE(A11865,""en"",""pt"")"),"Então escapado em Brokeback Mountain, que é o filme mais deprimente que eu já vi ..")</f>
        <v>Então escapado em Brokeback Mountain, que é o filme mais deprimente que eu já vi ..</v>
      </c>
      <c r="B11865" s="3">
        <v>0</v>
      </c>
    </row>
    <row r="11866" ht="15.75" customHeight="1" spans="1:2">
      <c r="A11866" s="3" t="str">
        <f>IFERROR(__xludf.DUMMYFUNCTION("GOOGLETRANSLATE(A11866,""en"",""pt"")"),"Meu pai está sendo estúpido sobre montanha Brokeback ...")</f>
        <v>Meu pai está sendo estúpido sobre montanha Brokeback ...</v>
      </c>
      <c r="B11866" s="3">
        <v>0</v>
      </c>
    </row>
    <row r="11867" ht="15.75" customHeight="1" spans="1:2">
      <c r="A11867" s="3" t="str">
        <f>IFERROR(__xludf.DUMMYFUNCTION("GOOGLETRANSLATE(A11867,""en"",""pt"")"),"Ah, e Brokeback Mountain é um filme terrível ...")</f>
        <v>Ah, e Brokeback Mountain é um filme terrível ...</v>
      </c>
      <c r="B11867" s="3">
        <v>0</v>
      </c>
    </row>
    <row r="11868" ht="15.75" customHeight="1" spans="1:2">
      <c r="A11868" s="3" t="str">
        <f>IFERROR(__xludf.DUMMYFUNCTION("GOOGLETRANSLATE(A11868,""en"",""pt"")"),"Brokeback Mountain foi chato.")</f>
        <v>Brokeback Mountain foi chato.</v>
      </c>
      <c r="B11868" s="3">
        <v>0</v>
      </c>
    </row>
    <row r="11869" ht="15.75" customHeight="1" spans="1:2">
      <c r="A11869" s="3" t="str">
        <f>IFERROR(__xludf.DUMMYFUNCTION("GOOGLETRANSLATE(A11869,""en"",""pt"")"),"Então Brokeback Mountain foi realmente deprimente.")</f>
        <v>Então Brokeback Mountain foi realmente deprimente.</v>
      </c>
      <c r="B11869" s="3">
        <v>0</v>
      </c>
    </row>
    <row r="11870" ht="15.75" customHeight="1" spans="1:2">
      <c r="A11870" s="3" t="str">
        <f>IFERROR(__xludf.DUMMYFUNCTION("GOOGLETRANSLATE(A11870,""en"",""pt"")"),"Quando eu sento aqui, observando o MTV Movie Awards, lembro-me do quanto eu desprezava o filme Brokeback Mountain.")</f>
        <v>Quando eu sento aqui, observando o MTV Movie Awards, lembro-me do quanto eu desprezava o filme Brokeback Mountain.</v>
      </c>
      <c r="B11870" s="3">
        <v>0</v>
      </c>
    </row>
    <row r="11871" ht="15.75" customHeight="1" spans="1:2">
      <c r="A11871" s="3" t="str">
        <f>IFERROR(__xludf.DUMMYFUNCTION("GOOGLETRANSLATE(A11871,""en"",""pt"")"),"montanha Brokeback Ok é um filme horrível.")</f>
        <v>montanha Brokeback Ok é um filme horrível.</v>
      </c>
      <c r="B11871" s="3">
        <v>0</v>
      </c>
    </row>
    <row r="11872" ht="15.75" customHeight="1" spans="1:2">
      <c r="A11872" s="3" t="str">
        <f>IFERROR(__xludf.DUMMYFUNCTION("GOOGLETRANSLATE(A11872,""en"",""pt"")"),"Ah, e Brokeback Mountain era um filme terrível.")</f>
        <v>Ah, e Brokeback Mountain era um filme terrível.</v>
      </c>
      <c r="B11872" s="3">
        <v>0</v>
      </c>
    </row>
    <row r="11873" ht="15.75" customHeight="1" spans="1:2">
      <c r="A11873" s="3" t="str">
        <f>IFERROR(__xludf.DUMMYFUNCTION("GOOGLETRANSLATE(A11873,""en"",""pt"")"),"Brokeback Mountain é foda horrível ..")</f>
        <v>Brokeback Mountain é foda horrível ..</v>
      </c>
      <c r="B11873" s="3">
        <v>0</v>
      </c>
    </row>
    <row r="11874" ht="15.75" customHeight="1" spans="1:2">
      <c r="A11874" s="3" t="str">
        <f>IFERROR(__xludf.DUMMYFUNCTION("GOOGLETRANSLATE(A11874,""en"",""pt"")"),"Então escapado em Brokeback Mountain, que é o filme mais deprimente que eu já vi ..")</f>
        <v>Então escapado em Brokeback Mountain, que é o filme mais deprimente que eu já vi ..</v>
      </c>
      <c r="B11874" s="3">
        <v>0</v>
      </c>
    </row>
    <row r="11875" ht="15.75" customHeight="1" spans="1:2">
      <c r="A11875" s="3" t="str">
        <f>IFERROR(__xludf.DUMMYFUNCTION("GOOGLETRANSLATE(A11875,""en"",""pt"")"),"Meu pai está sendo estúpido sobre montanha Brokeback ...")</f>
        <v>Meu pai está sendo estúpido sobre montanha Brokeback ...</v>
      </c>
      <c r="B11875" s="3">
        <v>0</v>
      </c>
    </row>
    <row r="11876" ht="15.75" customHeight="1" spans="1:2">
      <c r="A11876" s="3" t="str">
        <f>IFERROR(__xludf.DUMMYFUNCTION("GOOGLETRANSLATE(A11876,""en"",""pt"")"),"Ah, e Brokeback Mountain é um filme terrível ...")</f>
        <v>Ah, e Brokeback Mountain é um filme terrível ...</v>
      </c>
      <c r="B11876" s="3">
        <v>0</v>
      </c>
    </row>
    <row r="11877" ht="15.75" customHeight="1" spans="1:2">
      <c r="A11877" s="3" t="str">
        <f>IFERROR(__xludf.DUMMYFUNCTION("GOOGLETRANSLATE(A11877,""en"",""pt"")"),"Brokeback Mountain foi chato.")</f>
        <v>Brokeback Mountain foi chato.</v>
      </c>
      <c r="B11877" s="3">
        <v>0</v>
      </c>
    </row>
    <row r="11878" ht="15.75" customHeight="1" spans="1:2">
      <c r="A11878" s="3" t="str">
        <f>IFERROR(__xludf.DUMMYFUNCTION("GOOGLETRANSLATE(A11878,""en"",""pt"")"),"Então Brokeback Mountain foi realmente deprimente.")</f>
        <v>Então Brokeback Mountain foi realmente deprimente.</v>
      </c>
      <c r="B11878" s="3">
        <v>0</v>
      </c>
    </row>
    <row r="11879" ht="15.75" customHeight="1" spans="1:2">
      <c r="A11879" s="3" t="str">
        <f>IFERROR(__xludf.DUMMYFUNCTION("GOOGLETRANSLATE(A11879,""en"",""pt"")"),"Quando eu sento aqui, observando o MTV Movie Awards, lembro-me do quanto eu desprezava o filme Brokeback Mountain.")</f>
        <v>Quando eu sento aqui, observando o MTV Movie Awards, lembro-me do quanto eu desprezava o filme Brokeback Mountain.</v>
      </c>
      <c r="B11879" s="3">
        <v>0</v>
      </c>
    </row>
    <row r="11880" ht="15.75" customHeight="1" spans="1:2">
      <c r="A11880" s="3" t="str">
        <f>IFERROR(__xludf.DUMMYFUNCTION("GOOGLETRANSLATE(A11880,""en"",""pt"")"),"montanha Brokeback Ok é um filme horrível.")</f>
        <v>montanha Brokeback Ok é um filme horrível.</v>
      </c>
      <c r="B11880" s="3">
        <v>0</v>
      </c>
    </row>
    <row r="11881" ht="15.75" customHeight="1" spans="1:2">
      <c r="A11881" s="3" t="str">
        <f>IFERROR(__xludf.DUMMYFUNCTION("GOOGLETRANSLATE(A11881,""en"",""pt"")"),"Ah, e Brokeback Mountain era um filme terrível.")</f>
        <v>Ah, e Brokeback Mountain era um filme terrível.</v>
      </c>
      <c r="B11881" s="3">
        <v>0</v>
      </c>
    </row>
    <row r="11882" ht="15.75" customHeight="1" spans="1:2">
      <c r="A11882" s="3" t="str">
        <f>IFERROR(__xludf.DUMMYFUNCTION("GOOGLETRANSLATE(A11882,""en"",""pt"")"),"Brokeback Mountain é foda horrível ..")</f>
        <v>Brokeback Mountain é foda horrível ..</v>
      </c>
      <c r="B11882" s="3">
        <v>0</v>
      </c>
    </row>
    <row r="11883" ht="15.75" customHeight="1" spans="1:2">
      <c r="A11883" s="3" t="str">
        <f>IFERROR(__xludf.DUMMYFUNCTION("GOOGLETRANSLATE(A11883,""en"",""pt"")"),"Então escapado em Brokeback Mountain, que é o filme mais deprimente que eu já vi ..")</f>
        <v>Então escapado em Brokeback Mountain, que é o filme mais deprimente que eu já vi ..</v>
      </c>
      <c r="B11883" s="3">
        <v>0</v>
      </c>
    </row>
    <row r="11884" ht="15.75" customHeight="1" spans="1:2">
      <c r="A11884" s="3" t="str">
        <f>IFERROR(__xludf.DUMMYFUNCTION("GOOGLETRANSLATE(A11884,""en"",""pt"")"),"Meu pai está sendo estúpido sobre montanha Brokeback ...")</f>
        <v>Meu pai está sendo estúpido sobre montanha Brokeback ...</v>
      </c>
      <c r="B11884" s="3">
        <v>0</v>
      </c>
    </row>
    <row r="11885" ht="15.75" customHeight="1" spans="1:2">
      <c r="A11885" s="3" t="str">
        <f>IFERROR(__xludf.DUMMYFUNCTION("GOOGLETRANSLATE(A11885,""en"",""pt"")"),"Ah, e Brokeback Mountain é um filme terrível ...")</f>
        <v>Ah, e Brokeback Mountain é um filme terrível ...</v>
      </c>
      <c r="B11885" s="3">
        <v>0</v>
      </c>
    </row>
    <row r="11886" ht="15.75" customHeight="1" spans="1:2">
      <c r="A11886" s="3" t="str">
        <f>IFERROR(__xludf.DUMMYFUNCTION("GOOGLETRANSLATE(A11886,""en"",""pt"")"),"Brokeback Mountain foi chato.")</f>
        <v>Brokeback Mountain foi chato.</v>
      </c>
      <c r="B11886" s="3">
        <v>0</v>
      </c>
    </row>
    <row r="11887" ht="15.75" customHeight="1" spans="1:2">
      <c r="A11887" s="3" t="str">
        <f>IFERROR(__xludf.DUMMYFUNCTION("GOOGLETRANSLATE(A11887,""en"",""pt"")"),"Então Brokeback Mountain foi realmente deprimente.")</f>
        <v>Então Brokeback Mountain foi realmente deprimente.</v>
      </c>
      <c r="B11887" s="3">
        <v>0</v>
      </c>
    </row>
    <row r="11888" ht="15.75" customHeight="1" spans="1:2">
      <c r="A11888" s="3" t="str">
        <f>IFERROR(__xludf.DUMMYFUNCTION("GOOGLETRANSLATE(A11888,""en"",""pt"")"),"Quando eu sento aqui, observando o MTV Movie Awards, lembro-me do quanto eu desprezava o filme Brokeback Mountain.")</f>
        <v>Quando eu sento aqui, observando o MTV Movie Awards, lembro-me do quanto eu desprezava o filme Brokeback Mountain.</v>
      </c>
      <c r="B11888" s="3">
        <v>0</v>
      </c>
    </row>
    <row r="11889" ht="15.75" customHeight="1" spans="1:2">
      <c r="A11889" s="3" t="str">
        <f>IFERROR(__xludf.DUMMYFUNCTION("GOOGLETRANSLATE(A11889,""en"",""pt"")"),"montanha Brokeback Ok é um filme horrível.")</f>
        <v>montanha Brokeback Ok é um filme horrível.</v>
      </c>
      <c r="B11889" s="3">
        <v>0</v>
      </c>
    </row>
    <row r="11890" ht="15.75" customHeight="1" spans="1:2">
      <c r="A11890" s="3" t="str">
        <f>IFERROR(__xludf.DUMMYFUNCTION("GOOGLETRANSLATE(A11890,""en"",""pt"")"),"Ah, e Brokeback Mountain era um filme terrível.")</f>
        <v>Ah, e Brokeback Mountain era um filme terrível.</v>
      </c>
      <c r="B11890" s="3">
        <v>0</v>
      </c>
    </row>
    <row r="11891" ht="15.75" customHeight="1" spans="1:2">
      <c r="A11891" s="3" t="str">
        <f>IFERROR(__xludf.DUMMYFUNCTION("GOOGLETRANSLATE(A11891,""en"",""pt"")"),"Brokeback Mountain é foda horrível ..")</f>
        <v>Brokeback Mountain é foda horrível ..</v>
      </c>
      <c r="B11891" s="3">
        <v>0</v>
      </c>
    </row>
    <row r="11892" ht="15.75" customHeight="1" spans="1:2">
      <c r="A11892" s="3" t="str">
        <f>IFERROR(__xludf.DUMMYFUNCTION("GOOGLETRANSLATE(A11892,""en"",""pt"")"),"Então escapado em Brokeback Mountain, que é o filme mais deprimente que eu já vi ..")</f>
        <v>Então escapado em Brokeback Mountain, que é o filme mais deprimente que eu já vi ..</v>
      </c>
      <c r="B11892" s="3">
        <v>0</v>
      </c>
    </row>
    <row r="11893" ht="15.75" customHeight="1" spans="1:2">
      <c r="A11893" s="3" t="str">
        <f>IFERROR(__xludf.DUMMYFUNCTION("GOOGLETRANSLATE(A11893,""en"",""pt"")"),"Meu pai está sendo estúpido sobre montanha Brokeback ...")</f>
        <v>Meu pai está sendo estúpido sobre montanha Brokeback ...</v>
      </c>
      <c r="B11893" s="3">
        <v>0</v>
      </c>
    </row>
    <row r="11894" ht="15.75" customHeight="1" spans="1:2">
      <c r="A11894" s="3" t="str">
        <f>IFERROR(__xludf.DUMMYFUNCTION("GOOGLETRANSLATE(A11894,""en"",""pt"")"),"Ah, e Brokeback Mountain é um filme terrível ...")</f>
        <v>Ah, e Brokeback Mountain é um filme terrível ...</v>
      </c>
      <c r="B11894" s="3">
        <v>0</v>
      </c>
    </row>
    <row r="11895" ht="15.75" customHeight="1" spans="1:2">
      <c r="A11895" s="3" t="str">
        <f>IFERROR(__xludf.DUMMYFUNCTION("GOOGLETRANSLATE(A11895,""en"",""pt"")"),"Brokeback Mountain foi chato.")</f>
        <v>Brokeback Mountain foi chato.</v>
      </c>
      <c r="B11895" s="3">
        <v>0</v>
      </c>
    </row>
    <row r="11896" ht="15.75" customHeight="1" spans="1:2">
      <c r="A11896" s="3" t="str">
        <f>IFERROR(__xludf.DUMMYFUNCTION("GOOGLETRANSLATE(A11896,""en"",""pt"")"),"Então Brokeback Mountain foi realmente deprimente.")</f>
        <v>Então Brokeback Mountain foi realmente deprimente.</v>
      </c>
      <c r="B11896" s="3">
        <v>0</v>
      </c>
    </row>
    <row r="11897" ht="15.75" customHeight="1" spans="1:2">
      <c r="A11897" s="3" t="str">
        <f>IFERROR(__xludf.DUMMYFUNCTION("GOOGLETRANSLATE(A11897,""en"",""pt"")"),"Quando eu sento aqui, observando o MTV Movie Awards, lembro-me do quanto eu desprezava o filme Brokeback Mountain.")</f>
        <v>Quando eu sento aqui, observando o MTV Movie Awards, lembro-me do quanto eu desprezava o filme Brokeback Mountain.</v>
      </c>
      <c r="B11897" s="3">
        <v>0</v>
      </c>
    </row>
    <row r="11898" ht="15.75" customHeight="1" spans="1:2">
      <c r="A11898" s="3" t="str">
        <f>IFERROR(__xludf.DUMMYFUNCTION("GOOGLETRANSLATE(A11898,""en"",""pt"")"),"montanha Brokeback Ok é um filme horrível.")</f>
        <v>montanha Brokeback Ok é um filme horrível.</v>
      </c>
      <c r="B11898" s="3">
        <v>0</v>
      </c>
    </row>
    <row r="11899" ht="15.75" customHeight="1" spans="1:2">
      <c r="A11899" s="3" t="str">
        <f>IFERROR(__xludf.DUMMYFUNCTION("GOOGLETRANSLATE(A11899,""en"",""pt"")"),"Ah, e Brokeback Mountain era um filme terrível.")</f>
        <v>Ah, e Brokeback Mountain era um filme terrível.</v>
      </c>
      <c r="B11899" s="3">
        <v>0</v>
      </c>
    </row>
    <row r="11900" ht="15.75" customHeight="1" spans="1:2">
      <c r="A11900" s="3" t="str">
        <f>IFERROR(__xludf.DUMMYFUNCTION("GOOGLETRANSLATE(A11900,""en"",""pt"")"),"Brokeback Mountain é foda horrível ..")</f>
        <v>Brokeback Mountain é foda horrível ..</v>
      </c>
      <c r="B11900" s="3">
        <v>0</v>
      </c>
    </row>
    <row r="11901" ht="15.75" customHeight="1" spans="1:2">
      <c r="A11901" s="3" t="str">
        <f>IFERROR(__xludf.DUMMYFUNCTION("GOOGLETRANSLATE(A11901,""en"",""pt"")"),"Então escapado em Brokeback Mountain, que é o filme mais deprimente que eu já vi ..")</f>
        <v>Então escapado em Brokeback Mountain, que é o filme mais deprimente que eu já vi ..</v>
      </c>
      <c r="B11901" s="3">
        <v>0</v>
      </c>
    </row>
    <row r="11902" ht="15.75" customHeight="1" spans="1:2">
      <c r="A11902" s="3" t="str">
        <f>IFERROR(__xludf.DUMMYFUNCTION("GOOGLETRANSLATE(A11902,""en"",""pt"")"),"Meu pai está sendo estúpido sobre montanha Brokeback ...")</f>
        <v>Meu pai está sendo estúpido sobre montanha Brokeback ...</v>
      </c>
      <c r="B11902" s="3">
        <v>0</v>
      </c>
    </row>
    <row r="11903" ht="15.75" customHeight="1" spans="1:2">
      <c r="A11903" s="3" t="str">
        <f>IFERROR(__xludf.DUMMYFUNCTION("GOOGLETRANSLATE(A11903,""en"",""pt"")"),"Ah, e Brokeback Mountain é um filme terrível ...")</f>
        <v>Ah, e Brokeback Mountain é um filme terrível ...</v>
      </c>
      <c r="B11903" s="3">
        <v>0</v>
      </c>
    </row>
    <row r="11904" ht="15.75" customHeight="1" spans="1:2">
      <c r="A11904" s="3" t="str">
        <f>IFERROR(__xludf.DUMMYFUNCTION("GOOGLETRANSLATE(A11904,""en"",""pt"")"),"Brokeback Mountain foi chato.")</f>
        <v>Brokeback Mountain foi chato.</v>
      </c>
      <c r="B11904" s="3">
        <v>0</v>
      </c>
    </row>
    <row r="11905" ht="15.75" customHeight="1" spans="1:2">
      <c r="A11905" s="3" t="str">
        <f>IFERROR(__xludf.DUMMYFUNCTION("GOOGLETRANSLATE(A11905,""en"",""pt"")"),"Então Brokeback Mountain foi realmente deprimente.")</f>
        <v>Então Brokeback Mountain foi realmente deprimente.</v>
      </c>
      <c r="B11905" s="3">
        <v>0</v>
      </c>
    </row>
    <row r="11906" ht="15.75" customHeight="1" spans="1:2">
      <c r="A11906" s="3" t="str">
        <f>IFERROR(__xludf.DUMMYFUNCTION("GOOGLETRANSLATE(A11906,""en"",""pt"")"),"Quando eu sento aqui, observando o MTV Movie Awards, lembro-me do quanto eu desprezava o filme Brokeback Mountain.")</f>
        <v>Quando eu sento aqui, observando o MTV Movie Awards, lembro-me do quanto eu desprezava o filme Brokeback Mountain.</v>
      </c>
      <c r="B11906" s="3">
        <v>0</v>
      </c>
    </row>
    <row r="11907" ht="15.75" customHeight="1" spans="1:2">
      <c r="A11907" s="3" t="str">
        <f>IFERROR(__xludf.DUMMYFUNCTION("GOOGLETRANSLATE(A11907,""en"",""pt"")"),"montanha Brokeback Ok é um filme horrível.")</f>
        <v>montanha Brokeback Ok é um filme horrível.</v>
      </c>
      <c r="B11907" s="3">
        <v>0</v>
      </c>
    </row>
    <row r="11908" ht="15.75" customHeight="1" spans="1:2">
      <c r="A11908" s="3" t="str">
        <f>IFERROR(__xludf.DUMMYFUNCTION("GOOGLETRANSLATE(A11908,""en"",""pt"")"),"Ah, e Brokeback Mountain era um filme terrível.")</f>
        <v>Ah, e Brokeback Mountain era um filme terrível.</v>
      </c>
      <c r="B11908" s="3">
        <v>0</v>
      </c>
    </row>
    <row r="11909" ht="15.75" customHeight="1" spans="1:2">
      <c r="A11909" s="3" t="str">
        <f>IFERROR(__xludf.DUMMYFUNCTION("GOOGLETRANSLATE(A11909,""en"",""pt"")"),"Brokeback Mountain é foda horrível ..")</f>
        <v>Brokeback Mountain é foda horrível ..</v>
      </c>
      <c r="B11909" s="3">
        <v>0</v>
      </c>
    </row>
    <row r="11910" ht="15.75" customHeight="1" spans="1:2">
      <c r="A11910" s="3" t="str">
        <f>IFERROR(__xludf.DUMMYFUNCTION("GOOGLETRANSLATE(A11910,""en"",""pt"")"),"Então escapado em Brokeback Mountain, que é o filme mais deprimente que eu já vi ..")</f>
        <v>Então escapado em Brokeback Mountain, que é o filme mais deprimente que eu já vi ..</v>
      </c>
      <c r="B11910" s="3">
        <v>0</v>
      </c>
    </row>
    <row r="11911" ht="15.75" customHeight="1" spans="1:2">
      <c r="A11911" s="3" t="str">
        <f>IFERROR(__xludf.DUMMYFUNCTION("GOOGLETRANSLATE(A11911,""en"",""pt"")"),"Meu pai está sendo estúpido sobre montanha Brokeback ...")</f>
        <v>Meu pai está sendo estúpido sobre montanha Brokeback ...</v>
      </c>
      <c r="B11911" s="3">
        <v>0</v>
      </c>
    </row>
    <row r="11912" ht="15.75" customHeight="1" spans="1:2">
      <c r="A11912" s="3" t="str">
        <f>IFERROR(__xludf.DUMMYFUNCTION("GOOGLETRANSLATE(A11912,""en"",""pt"")"),"Ah, e Brokeback Mountain é um filme terrível ...")</f>
        <v>Ah, e Brokeback Mountain é um filme terrível ...</v>
      </c>
      <c r="B11912" s="3">
        <v>0</v>
      </c>
    </row>
    <row r="11913" ht="15.75" customHeight="1" spans="1:2">
      <c r="A11913" s="3" t="str">
        <f>IFERROR(__xludf.DUMMYFUNCTION("GOOGLETRANSLATE(A11913,""en"",""pt"")"),"Brokeback Mountain foi chato.")</f>
        <v>Brokeback Mountain foi chato.</v>
      </c>
      <c r="B11913" s="3">
        <v>0</v>
      </c>
    </row>
    <row r="11914" ht="15.75" customHeight="1" spans="1:2">
      <c r="A11914" s="3" t="str">
        <f>IFERROR(__xludf.DUMMYFUNCTION("GOOGLETRANSLATE(A11914,""en"",""pt"")"),"Então Brokeback Mountain foi realmente deprimente.")</f>
        <v>Então Brokeback Mountain foi realmente deprimente.</v>
      </c>
      <c r="B11914" s="3">
        <v>0</v>
      </c>
    </row>
    <row r="11915" ht="15.75" customHeight="1" spans="1:2">
      <c r="A11915" s="3" t="str">
        <f>IFERROR(__xludf.DUMMYFUNCTION("GOOGLETRANSLATE(A11915,""en"",""pt"")"),"Quando eu sento aqui, observando o MTV Movie Awards, lembro-me do quanto eu desprezava o filme Brokeback Mountain.")</f>
        <v>Quando eu sento aqui, observando o MTV Movie Awards, lembro-me do quanto eu desprezava o filme Brokeback Mountain.</v>
      </c>
      <c r="B11915" s="3">
        <v>0</v>
      </c>
    </row>
    <row r="11916" ht="15.75" customHeight="1" spans="1:2">
      <c r="A11916" s="3" t="str">
        <f>IFERROR(__xludf.DUMMYFUNCTION("GOOGLETRANSLATE(A11916,""en"",""pt"")"),"montanha Brokeback Ok é um filme horrível.")</f>
        <v>montanha Brokeback Ok é um filme horrível.</v>
      </c>
      <c r="B11916" s="3">
        <v>0</v>
      </c>
    </row>
    <row r="11917" ht="15.75" customHeight="1" spans="1:2">
      <c r="A11917" s="3" t="str">
        <f>IFERROR(__xludf.DUMMYFUNCTION("GOOGLETRANSLATE(A11917,""en"",""pt"")"),"Ah, e Brokeback Mountain era um filme terrível.")</f>
        <v>Ah, e Brokeback Mountain era um filme terrível.</v>
      </c>
      <c r="B11917" s="3">
        <v>0</v>
      </c>
    </row>
    <row r="11918" ht="15.75" customHeight="1" spans="1:2">
      <c r="A11918" s="3" t="str">
        <f>IFERROR(__xludf.DUMMYFUNCTION("GOOGLETRANSLATE(A11918,""en"",""pt"")"),"Brokeback Mountain é foda horrível ..")</f>
        <v>Brokeback Mountain é foda horrível ..</v>
      </c>
      <c r="B11918" s="3">
        <v>0</v>
      </c>
    </row>
    <row r="11919" ht="15.75" customHeight="1" spans="1:2">
      <c r="A11919" s="3" t="str">
        <f>IFERROR(__xludf.DUMMYFUNCTION("GOOGLETRANSLATE(A11919,""en"",""pt"")"),"Então escapado em Brokeback Mountain, que é o filme mais deprimente que eu já vi ..")</f>
        <v>Então escapado em Brokeback Mountain, que é o filme mais deprimente que eu já vi ..</v>
      </c>
      <c r="B11919" s="3">
        <v>0</v>
      </c>
    </row>
    <row r="11920" ht="15.75" customHeight="1" spans="1:2">
      <c r="A11920" s="3" t="str">
        <f>IFERROR(__xludf.DUMMYFUNCTION("GOOGLETRANSLATE(A11920,""en"",""pt"")"),"Meu pai está sendo estúpido sobre montanha Brokeback ...")</f>
        <v>Meu pai está sendo estúpido sobre montanha Brokeback ...</v>
      </c>
      <c r="B11920" s="3">
        <v>0</v>
      </c>
    </row>
    <row r="11921" ht="15.75" customHeight="1" spans="1:2">
      <c r="A11921" s="3" t="str">
        <f>IFERROR(__xludf.DUMMYFUNCTION("GOOGLETRANSLATE(A11921,""en"",""pt"")"),"Ah, e Brokeback Mountain é um filme terrível ...")</f>
        <v>Ah, e Brokeback Mountain é um filme terrível ...</v>
      </c>
      <c r="B11921" s="3">
        <v>0</v>
      </c>
    </row>
    <row r="11922" ht="15.75" customHeight="1" spans="1:2">
      <c r="A11922" s="3" t="str">
        <f>IFERROR(__xludf.DUMMYFUNCTION("GOOGLETRANSLATE(A11922,""en"",""pt"")"),"Brokeback Mountain foi chato.")</f>
        <v>Brokeback Mountain foi chato.</v>
      </c>
      <c r="B11922" s="3">
        <v>0</v>
      </c>
    </row>
    <row r="11923" ht="15.75" customHeight="1" spans="1:2">
      <c r="A11923" s="3" t="str">
        <f>IFERROR(__xludf.DUMMYFUNCTION("GOOGLETRANSLATE(A11923,""en"",""pt"")"),"Então Brokeback Mountain foi realmente deprimente.")</f>
        <v>Então Brokeback Mountain foi realmente deprimente.</v>
      </c>
      <c r="B11923" s="3">
        <v>0</v>
      </c>
    </row>
    <row r="11924" ht="15.75" customHeight="1" spans="1:2">
      <c r="A11924" s="3" t="str">
        <f>IFERROR(__xludf.DUMMYFUNCTION("GOOGLETRANSLATE(A11924,""en"",""pt"")"),"Quando eu sento aqui, observando o MTV Movie Awards, lembro-me do quanto eu desprezava o filme Brokeback Mountain.")</f>
        <v>Quando eu sento aqui, observando o MTV Movie Awards, lembro-me do quanto eu desprezava o filme Brokeback Mountain.</v>
      </c>
      <c r="B11924" s="3">
        <v>0</v>
      </c>
    </row>
    <row r="11925" ht="15.75" customHeight="1" spans="1:2">
      <c r="A11925" s="3" t="str">
        <f>IFERROR(__xludf.DUMMYFUNCTION("GOOGLETRANSLATE(A11925,""en"",""pt"")"),"montanha Brokeback Ok é um filme horrível.")</f>
        <v>montanha Brokeback Ok é um filme horrível.</v>
      </c>
      <c r="B11925" s="3">
        <v>0</v>
      </c>
    </row>
    <row r="11926" ht="15.75" customHeight="1" spans="1:2">
      <c r="A11926" s="3" t="str">
        <f>IFERROR(__xludf.DUMMYFUNCTION("GOOGLETRANSLATE(A11926,""en"",""pt"")"),"Ah, e Brokeback Mountain era um filme terrível.")</f>
        <v>Ah, e Brokeback Mountain era um filme terrível.</v>
      </c>
      <c r="B11926" s="3">
        <v>0</v>
      </c>
    </row>
    <row r="11927" ht="15.75" customHeight="1" spans="1:2">
      <c r="A11927" s="3" t="str">
        <f>IFERROR(__xludf.DUMMYFUNCTION("GOOGLETRANSLATE(A11927,""en"",""pt"")"),"Brokeback Mountain é foda horrível ..")</f>
        <v>Brokeback Mountain é foda horrível ..</v>
      </c>
      <c r="B11927" s="3">
        <v>0</v>
      </c>
    </row>
    <row r="11928" ht="15.75" customHeight="1" spans="1:2">
      <c r="A11928" s="3" t="str">
        <f>IFERROR(__xludf.DUMMYFUNCTION("GOOGLETRANSLATE(A11928,""en"",""pt"")"),"Então escapado em Brokeback Mountain, que é o filme mais deprimente que eu já vi ..")</f>
        <v>Então escapado em Brokeback Mountain, que é o filme mais deprimente que eu já vi ..</v>
      </c>
      <c r="B11928" s="3">
        <v>0</v>
      </c>
    </row>
    <row r="11929" ht="15.75" customHeight="1" spans="1:2">
      <c r="A11929" s="3" t="str">
        <f>IFERROR(__xludf.DUMMYFUNCTION("GOOGLETRANSLATE(A11929,""en"",""pt"")"),"Meu pai está sendo estúpido sobre montanha Brokeback ...")</f>
        <v>Meu pai está sendo estúpido sobre montanha Brokeback ...</v>
      </c>
      <c r="B11929" s="3">
        <v>0</v>
      </c>
    </row>
    <row r="11930" ht="15.75" customHeight="1" spans="1:2">
      <c r="A11930" s="3" t="str">
        <f>IFERROR(__xludf.DUMMYFUNCTION("GOOGLETRANSLATE(A11930,""en"",""pt"")"),"Ah, e Brokeback Mountain é um filme terrível ...")</f>
        <v>Ah, e Brokeback Mountain é um filme terrível ...</v>
      </c>
      <c r="B11930" s="3">
        <v>0</v>
      </c>
    </row>
    <row r="11931" ht="15.75" customHeight="1" spans="1:2">
      <c r="A11931" s="3" t="str">
        <f>IFERROR(__xludf.DUMMYFUNCTION("GOOGLETRANSLATE(A11931,""en"",""pt"")"),"Brokeback Mountain foi chato.")</f>
        <v>Brokeback Mountain foi chato.</v>
      </c>
      <c r="B11931" s="3">
        <v>0</v>
      </c>
    </row>
    <row r="11932" ht="15.75" customHeight="1" spans="1:2">
      <c r="A11932" s="3" t="str">
        <f>IFERROR(__xludf.DUMMYFUNCTION("GOOGLETRANSLATE(A11932,""en"",""pt"")"),"Então Brokeback Mountain foi realmente deprimente.")</f>
        <v>Então Brokeback Mountain foi realmente deprimente.</v>
      </c>
      <c r="B11932" s="3">
        <v>0</v>
      </c>
    </row>
    <row r="11933" ht="15.75" customHeight="1" spans="1:2">
      <c r="A11933" s="3" t="str">
        <f>IFERROR(__xludf.DUMMYFUNCTION("GOOGLETRANSLATE(A11933,""en"",""pt"")"),"Quando eu sento aqui, observando o MTV Movie Awards, lembro-me do quanto eu desprezava o filme Brokeback Mountain.")</f>
        <v>Quando eu sento aqui, observando o MTV Movie Awards, lembro-me do quanto eu desprezava o filme Brokeback Mountain.</v>
      </c>
      <c r="B11933" s="3">
        <v>0</v>
      </c>
    </row>
    <row r="11934" ht="15.75" customHeight="1" spans="1:2">
      <c r="A11934" s="3" t="str">
        <f>IFERROR(__xludf.DUMMYFUNCTION("GOOGLETRANSLATE(A11934,""en"",""pt"")"),"montanha Brokeback Ok é um filme horrível.")</f>
        <v>montanha Brokeback Ok é um filme horrível.</v>
      </c>
      <c r="B11934" s="3">
        <v>0</v>
      </c>
    </row>
    <row r="11935" ht="15.75" customHeight="1" spans="1:2">
      <c r="A11935" s="3" t="str">
        <f>IFERROR(__xludf.DUMMYFUNCTION("GOOGLETRANSLATE(A11935,""en"",""pt"")"),"Ah, e Brokeback Mountain era um filme terrível.")</f>
        <v>Ah, e Brokeback Mountain era um filme terrível.</v>
      </c>
      <c r="B11935" s="3">
        <v>0</v>
      </c>
    </row>
    <row r="11936" ht="15.75" customHeight="1" spans="1:2">
      <c r="A11936" s="3" t="str">
        <f>IFERROR(__xludf.DUMMYFUNCTION("GOOGLETRANSLATE(A11936,""en"",""pt"")"),"Brokeback Mountain é foda horrível ..")</f>
        <v>Brokeback Mountain é foda horrível ..</v>
      </c>
      <c r="B11936" s="3">
        <v>0</v>
      </c>
    </row>
    <row r="11937" ht="15.75" customHeight="1" spans="1:2">
      <c r="A11937" s="3" t="str">
        <f>IFERROR(__xludf.DUMMYFUNCTION("GOOGLETRANSLATE(A11937,""en"",""pt"")"),"Então escapado em Brokeback Mountain, que é o filme mais deprimente que eu já vi ..")</f>
        <v>Então escapado em Brokeback Mountain, que é o filme mais deprimente que eu já vi ..</v>
      </c>
      <c r="B11937" s="3">
        <v>0</v>
      </c>
    </row>
    <row r="11938" ht="15.75" customHeight="1" spans="1:2">
      <c r="A11938" s="3" t="str">
        <f>IFERROR(__xludf.DUMMYFUNCTION("GOOGLETRANSLATE(A11938,""en"",""pt"")"),"Meu pai está sendo estúpido sobre montanha Brokeback ...")</f>
        <v>Meu pai está sendo estúpido sobre montanha Brokeback ...</v>
      </c>
      <c r="B11938" s="3">
        <v>0</v>
      </c>
    </row>
    <row r="11939" ht="15.75" customHeight="1" spans="1:2">
      <c r="A11939" s="3" t="str">
        <f>IFERROR(__xludf.DUMMYFUNCTION("GOOGLETRANSLATE(A11939,""en"",""pt"")"),"Ah, e Brokeback Mountain é um filme terrível ...")</f>
        <v>Ah, e Brokeback Mountain é um filme terrível ...</v>
      </c>
      <c r="B11939" s="3">
        <v>0</v>
      </c>
    </row>
    <row r="11940" ht="15.75" customHeight="1" spans="1:2">
      <c r="A11940" s="3" t="str">
        <f>IFERROR(__xludf.DUMMYFUNCTION("GOOGLETRANSLATE(A11940,""en"",""pt"")"),"Brokeback Mountain foi chato.")</f>
        <v>Brokeback Mountain foi chato.</v>
      </c>
      <c r="B11940" s="3">
        <v>0</v>
      </c>
    </row>
    <row r="11941" ht="15.75" customHeight="1" spans="1:2">
      <c r="A11941" s="3" t="str">
        <f>IFERROR(__xludf.DUMMYFUNCTION("GOOGLETRANSLATE(A11941,""en"",""pt"")"),"Então Brokeback Mountain foi realmente deprimente.")</f>
        <v>Então Brokeback Mountain foi realmente deprimente.</v>
      </c>
      <c r="B11941" s="3">
        <v>0</v>
      </c>
    </row>
    <row r="11942" ht="15.75" customHeight="1" spans="1:2">
      <c r="A11942" s="3" t="str">
        <f>IFERROR(__xludf.DUMMYFUNCTION("GOOGLETRANSLATE(A11942,""en"",""pt"")"),"Quando eu sento aqui, observando o MTV Movie Awards, lembro-me do quanto eu desprezava o filme Brokeback Mountain.")</f>
        <v>Quando eu sento aqui, observando o MTV Movie Awards, lembro-me do quanto eu desprezava o filme Brokeback Mountain.</v>
      </c>
      <c r="B11942" s="3">
        <v>0</v>
      </c>
    </row>
    <row r="11943" ht="15.75" customHeight="1" spans="1:2">
      <c r="A11943" s="3" t="str">
        <f>IFERROR(__xludf.DUMMYFUNCTION("GOOGLETRANSLATE(A11943,""en"",""pt"")"),"montanha Brokeback Ok é um filme horrível.")</f>
        <v>montanha Brokeback Ok é um filme horrível.</v>
      </c>
      <c r="B11943" s="3">
        <v>0</v>
      </c>
    </row>
    <row r="11944" ht="15.75" customHeight="1" spans="1:2">
      <c r="A11944" s="3" t="str">
        <f>IFERROR(__xludf.DUMMYFUNCTION("GOOGLETRANSLATE(A11944,""en"",""pt"")"),"Ah, e Brokeback Mountain era um filme terrível.")</f>
        <v>Ah, e Brokeback Mountain era um filme terrível.</v>
      </c>
      <c r="B11944" s="3">
        <v>0</v>
      </c>
    </row>
    <row r="11945" ht="15.75" customHeight="1" spans="1:2">
      <c r="A11945" s="3" t="str">
        <f>IFERROR(__xludf.DUMMYFUNCTION("GOOGLETRANSLATE(A11945,""en"",""pt"")"),"anormal")</f>
        <v>anormal</v>
      </c>
      <c r="B11945" s="3">
        <v>0</v>
      </c>
    </row>
    <row r="11946" ht="15.75" customHeight="1" spans="1:2">
      <c r="A11946" s="3" t="str">
        <f>IFERROR(__xludf.DUMMYFUNCTION("GOOGLETRANSLATE(A11946,""en"",""pt"")"),"abolir")</f>
        <v>abolir</v>
      </c>
      <c r="B11946" s="3">
        <v>0</v>
      </c>
    </row>
    <row r="11947" ht="15.75" customHeight="1" spans="1:2">
      <c r="A11947" s="3" t="str">
        <f>IFERROR(__xludf.DUMMYFUNCTION("GOOGLETRANSLATE(A11947,""en"",""pt"")"),"abominável")</f>
        <v>abominável</v>
      </c>
      <c r="B11947" s="3">
        <v>0</v>
      </c>
    </row>
    <row r="11948" ht="15.75" customHeight="1" spans="1:2">
      <c r="A11948" s="3" t="str">
        <f>IFERROR(__xludf.DUMMYFUNCTION("GOOGLETRANSLATE(A11948,""en"",""pt"")"),"abominavelmente")</f>
        <v>abominavelmente</v>
      </c>
      <c r="B11948" s="3">
        <v>0</v>
      </c>
    </row>
    <row r="11949" ht="15.75" customHeight="1" spans="1:2">
      <c r="A11949" s="3" t="str">
        <f>IFERROR(__xludf.DUMMYFUNCTION("GOOGLETRANSLATE(A11949,""en"",""pt"")"),"abominar")</f>
        <v>abominar</v>
      </c>
      <c r="B11949" s="3">
        <v>0</v>
      </c>
    </row>
    <row r="11950" ht="15.75" customHeight="1" spans="1:2">
      <c r="A11950" s="3" t="str">
        <f>IFERROR(__xludf.DUMMYFUNCTION("GOOGLETRANSLATE(A11950,""en"",""pt"")"),"abominação")</f>
        <v>abominação</v>
      </c>
      <c r="B11950" s="3">
        <v>0</v>
      </c>
    </row>
    <row r="11951" ht="15.75" customHeight="1" spans="1:2">
      <c r="A11951" s="3" t="str">
        <f>IFERROR(__xludf.DUMMYFUNCTION("GOOGLETRANSLATE(A11951,""en"",""pt"")"),"abortar")</f>
        <v>abortar</v>
      </c>
      <c r="B11951" s="3">
        <v>0</v>
      </c>
    </row>
    <row r="11952" ht="15.75" customHeight="1" spans="1:2">
      <c r="A11952" s="3" t="str">
        <f>IFERROR(__xludf.DUMMYFUNCTION("GOOGLETRANSLATE(A11952,""en"",""pt"")"),"abortado")</f>
        <v>abortado</v>
      </c>
      <c r="B11952" s="3">
        <v>0</v>
      </c>
    </row>
    <row r="11953" ht="15.75" customHeight="1" spans="1:2">
      <c r="A11953" s="3" t="str">
        <f>IFERROR(__xludf.DUMMYFUNCTION("GOOGLETRANSLATE(A11953,""en"",""pt"")"),"aborts")</f>
        <v>aborts</v>
      </c>
      <c r="B11953" s="3">
        <v>0</v>
      </c>
    </row>
    <row r="11954" ht="15.75" customHeight="1" spans="1:2">
      <c r="A11954" s="3" t="str">
        <f>IFERROR(__xludf.DUMMYFUNCTION("GOOGLETRANSLATE(A11954,""en"",""pt"")"),"abrade")</f>
        <v>abrade</v>
      </c>
      <c r="B11954" s="3">
        <v>0</v>
      </c>
    </row>
    <row r="11955" ht="15.75" customHeight="1" spans="1:2">
      <c r="A11955" s="3" t="str">
        <f>IFERROR(__xludf.DUMMYFUNCTION("GOOGLETRANSLATE(A11955,""en"",""pt"")"),"abrasivo")</f>
        <v>abrasivo</v>
      </c>
      <c r="B11955" s="3">
        <v>0</v>
      </c>
    </row>
    <row r="11956" ht="15.75" customHeight="1" spans="1:2">
      <c r="A11956" s="3" t="str">
        <f>IFERROR(__xludf.DUMMYFUNCTION("GOOGLETRANSLATE(A11956,""en"",""pt"")"),"abrupto")</f>
        <v>abrupto</v>
      </c>
      <c r="B11956" s="3">
        <v>0</v>
      </c>
    </row>
    <row r="11957" ht="15.75" customHeight="1" spans="1:2">
      <c r="A11957" s="3" t="str">
        <f>IFERROR(__xludf.DUMMYFUNCTION("GOOGLETRANSLATE(A11957,""en"",""pt"")"),"abruptamente")</f>
        <v>abruptamente</v>
      </c>
      <c r="B11957" s="3">
        <v>0</v>
      </c>
    </row>
    <row r="11958" ht="15.75" customHeight="1" spans="1:2">
      <c r="A11958" s="3" t="str">
        <f>IFERROR(__xludf.DUMMYFUNCTION("GOOGLETRANSLATE(A11958,""en"",""pt"")"),"fugir")</f>
        <v>fugir</v>
      </c>
      <c r="B11958" s="3">
        <v>0</v>
      </c>
    </row>
    <row r="11959" ht="15.75" customHeight="1" spans="1:2">
      <c r="A11959" s="3" t="str">
        <f>IFERROR(__xludf.DUMMYFUNCTION("GOOGLETRANSLATE(A11959,""en"",""pt"")"),"ausência")</f>
        <v>ausência</v>
      </c>
      <c r="B11959" s="3">
        <v>0</v>
      </c>
    </row>
    <row r="11960" ht="15.75" customHeight="1" spans="1:2">
      <c r="A11960" s="3" t="str">
        <f>IFERROR(__xludf.DUMMYFUNCTION("GOOGLETRANSLATE(A11960,""en"",""pt"")"),"distraído")</f>
        <v>distraído</v>
      </c>
      <c r="B11960" s="3">
        <v>0</v>
      </c>
    </row>
    <row r="11961" ht="15.75" customHeight="1" spans="1:2">
      <c r="A11961" s="3" t="str">
        <f>IFERROR(__xludf.DUMMYFUNCTION("GOOGLETRANSLATE(A11961,""en"",""pt"")"),"absentista")</f>
        <v>absentista</v>
      </c>
      <c r="B11961" s="3">
        <v>0</v>
      </c>
    </row>
    <row r="11962" ht="15.75" customHeight="1" spans="1:2">
      <c r="A11962" s="3" t="str">
        <f>IFERROR(__xludf.DUMMYFUNCTION("GOOGLETRANSLATE(A11962,""en"",""pt"")"),"absurdo")</f>
        <v>absurdo</v>
      </c>
      <c r="B11962" s="3">
        <v>0</v>
      </c>
    </row>
    <row r="11963" ht="15.75" customHeight="1" spans="1:2">
      <c r="A11963" s="3" t="str">
        <f>IFERROR(__xludf.DUMMYFUNCTION("GOOGLETRANSLATE(A11963,""en"",""pt"")"),"absurdo")</f>
        <v>absurdo</v>
      </c>
      <c r="B11963" s="3">
        <v>0</v>
      </c>
    </row>
    <row r="11964" ht="15.75" customHeight="1" spans="1:2">
      <c r="A11964" s="3" t="str">
        <f>IFERROR(__xludf.DUMMYFUNCTION("GOOGLETRANSLATE(A11964,""en"",""pt"")"),"absurdamente")</f>
        <v>absurdamente</v>
      </c>
      <c r="B11964" s="3">
        <v>0</v>
      </c>
    </row>
    <row r="11965" ht="15.75" customHeight="1" spans="1:2">
      <c r="A11965" s="3" t="str">
        <f>IFERROR(__xludf.DUMMYFUNCTION("GOOGLETRANSLATE(A11965,""en"",""pt"")"),"absurdness")</f>
        <v>absurdness</v>
      </c>
      <c r="B11965" s="3">
        <v>0</v>
      </c>
    </row>
    <row r="11966" ht="15.75" customHeight="1" spans="1:2">
      <c r="A11966" s="3" t="str">
        <f>IFERROR(__xludf.DUMMYFUNCTION("GOOGLETRANSLATE(A11966,""en"",""pt"")"),"Abuso")</f>
        <v>Abuso</v>
      </c>
      <c r="B11966" s="3">
        <v>0</v>
      </c>
    </row>
    <row r="11967" ht="15.75" customHeight="1" spans="1:2">
      <c r="A11967" s="3" t="str">
        <f>IFERROR(__xludf.DUMMYFUNCTION("GOOGLETRANSLATE(A11967,""en"",""pt"")"),"abusado")</f>
        <v>abusado</v>
      </c>
      <c r="B11967" s="3">
        <v>0</v>
      </c>
    </row>
    <row r="11968" ht="15.75" customHeight="1" spans="1:2">
      <c r="A11968" s="3" t="str">
        <f>IFERROR(__xludf.DUMMYFUNCTION("GOOGLETRANSLATE(A11968,""en"",""pt"")"),"abusos")</f>
        <v>abusos</v>
      </c>
      <c r="B11968" s="3">
        <v>0</v>
      </c>
    </row>
    <row r="11969" ht="15.75" customHeight="1" spans="1:2">
      <c r="A11969" s="3" t="str">
        <f>IFERROR(__xludf.DUMMYFUNCTION("GOOGLETRANSLATE(A11969,""en"",""pt"")"),"abusivo")</f>
        <v>abusivo</v>
      </c>
      <c r="B11969" s="3">
        <v>0</v>
      </c>
    </row>
    <row r="11970" ht="15.75" customHeight="1" spans="1:2">
      <c r="A11970" s="3" t="str">
        <f>IFERROR(__xludf.DUMMYFUNCTION("GOOGLETRANSLATE(A11970,""en"",""pt"")"),"abismal")</f>
        <v>abismal</v>
      </c>
      <c r="B11970" s="3">
        <v>0</v>
      </c>
    </row>
    <row r="11971" ht="15.75" customHeight="1" spans="1:2">
      <c r="A11971" s="3" t="str">
        <f>IFERROR(__xludf.DUMMYFUNCTION("GOOGLETRANSLATE(A11971,""en"",""pt"")"),"abysmally")</f>
        <v>abysmally</v>
      </c>
      <c r="B11971" s="3">
        <v>0</v>
      </c>
    </row>
    <row r="11972" ht="15.75" customHeight="1" spans="1:2">
      <c r="A11972" s="3" t="str">
        <f>IFERROR(__xludf.DUMMYFUNCTION("GOOGLETRANSLATE(A11972,""en"",""pt"")"),"abismo")</f>
        <v>abismo</v>
      </c>
      <c r="B11972" s="3">
        <v>0</v>
      </c>
    </row>
    <row r="11973" ht="15.75" customHeight="1" spans="1:2">
      <c r="A11973" s="3" t="str">
        <f>IFERROR(__xludf.DUMMYFUNCTION("GOOGLETRANSLATE(A11973,""en"",""pt"")"),"acidental")</f>
        <v>acidental</v>
      </c>
      <c r="B11973" s="3">
        <v>0</v>
      </c>
    </row>
    <row r="11974" ht="15.75" customHeight="1" spans="1:2">
      <c r="A11974" s="3" t="str">
        <f>IFERROR(__xludf.DUMMYFUNCTION("GOOGLETRANSLATE(A11974,""en"",""pt"")"),"accost")</f>
        <v>accost</v>
      </c>
      <c r="B11974" s="3">
        <v>0</v>
      </c>
    </row>
    <row r="11975" ht="15.75" customHeight="1" spans="1:2">
      <c r="A11975" s="3" t="str">
        <f>IFERROR(__xludf.DUMMYFUNCTION("GOOGLETRANSLATE(A11975,""en"",""pt"")"),"amaldiçoado")</f>
        <v>amaldiçoado</v>
      </c>
      <c r="B11975" s="3">
        <v>0</v>
      </c>
    </row>
    <row r="11976" ht="15.75" customHeight="1" spans="1:2">
      <c r="A11976" s="3" t="str">
        <f>IFERROR(__xludf.DUMMYFUNCTION("GOOGLETRANSLATE(A11976,""en"",""pt"")"),"acusação")</f>
        <v>acusação</v>
      </c>
      <c r="B11976" s="3">
        <v>0</v>
      </c>
    </row>
    <row r="11977" ht="15.75" customHeight="1" spans="1:2">
      <c r="A11977" s="3" t="str">
        <f>IFERROR(__xludf.DUMMYFUNCTION("GOOGLETRANSLATE(A11977,""en"",""pt"")"),"acusações")</f>
        <v>acusações</v>
      </c>
      <c r="B11977" s="3">
        <v>0</v>
      </c>
    </row>
    <row r="11978" ht="15.75" customHeight="1" spans="1:2">
      <c r="A11978" s="3" t="str">
        <f>IFERROR(__xludf.DUMMYFUNCTION("GOOGLETRANSLATE(A11978,""en"",""pt"")"),"acusar")</f>
        <v>acusar</v>
      </c>
      <c r="B11978" s="3">
        <v>0</v>
      </c>
    </row>
    <row r="11979" ht="15.75" customHeight="1" spans="1:2">
      <c r="A11979" s="3" t="str">
        <f>IFERROR(__xludf.DUMMYFUNCTION("GOOGLETRANSLATE(A11979,""en"",""pt"")"),"acusa")</f>
        <v>acusa</v>
      </c>
      <c r="B11979" s="3">
        <v>0</v>
      </c>
    </row>
    <row r="11980" ht="15.75" customHeight="1" spans="1:2">
      <c r="A11980" s="3" t="str">
        <f>IFERROR(__xludf.DUMMYFUNCTION("GOOGLETRANSLATE(A11980,""en"",""pt"")"),"acusador")</f>
        <v>acusador</v>
      </c>
      <c r="B11980" s="3">
        <v>0</v>
      </c>
    </row>
    <row r="11981" ht="15.75" customHeight="1" spans="1:2">
      <c r="A11981" s="3" t="str">
        <f>IFERROR(__xludf.DUMMYFUNCTION("GOOGLETRANSLATE(A11981,""en"",""pt"")"),"acusatoriamente")</f>
        <v>acusatoriamente</v>
      </c>
      <c r="B11981" s="3">
        <v>0</v>
      </c>
    </row>
    <row r="11982" ht="15.75" customHeight="1" spans="1:2">
      <c r="A11982" s="3" t="str">
        <f>IFERROR(__xludf.DUMMYFUNCTION("GOOGLETRANSLATE(A11982,""en"",""pt"")"),"exacerbar")</f>
        <v>exacerbar</v>
      </c>
      <c r="B11982" s="3">
        <v>0</v>
      </c>
    </row>
    <row r="11983" ht="15.75" customHeight="1" spans="1:2">
      <c r="A11983" s="3" t="str">
        <f>IFERROR(__xludf.DUMMYFUNCTION("GOOGLETRANSLATE(A11983,""en"",""pt"")"),"acerbic")</f>
        <v>acerbic</v>
      </c>
      <c r="B11983" s="3">
        <v>0</v>
      </c>
    </row>
    <row r="11984" ht="15.75" customHeight="1" spans="1:2">
      <c r="A11984" s="3" t="str">
        <f>IFERROR(__xludf.DUMMYFUNCTION("GOOGLETRANSLATE(A11984,""en"",""pt"")"),"acerbamente")</f>
        <v>acerbamente</v>
      </c>
      <c r="B11984" s="3">
        <v>0</v>
      </c>
    </row>
    <row r="11985" ht="15.75" customHeight="1" spans="1:2">
      <c r="A11985" s="3" t="str">
        <f>IFERROR(__xludf.DUMMYFUNCTION("GOOGLETRANSLATE(A11985,""en"",""pt"")"),"dor")</f>
        <v>dor</v>
      </c>
      <c r="B11985" s="3">
        <v>0</v>
      </c>
    </row>
    <row r="11986" ht="15.75" customHeight="1" spans="1:2">
      <c r="A11986" s="3" t="str">
        <f>IFERROR(__xludf.DUMMYFUNCTION("GOOGLETRANSLATE(A11986,""en"",""pt"")"),"doía")</f>
        <v>doía</v>
      </c>
      <c r="B11986" s="3">
        <v>0</v>
      </c>
    </row>
    <row r="11987" ht="15.75" customHeight="1" spans="1:2">
      <c r="A11987" s="3" t="str">
        <f>IFERROR(__xludf.DUMMYFUNCTION("GOOGLETRANSLATE(A11987,""en"",""pt"")"),"dores")</f>
        <v>dores</v>
      </c>
      <c r="B11987" s="3">
        <v>0</v>
      </c>
    </row>
    <row r="11988" ht="15.75" customHeight="1" spans="1:2">
      <c r="A11988" s="3" t="str">
        <f>IFERROR(__xludf.DUMMYFUNCTION("GOOGLETRANSLATE(A11988,""en"",""pt"")"),"achey")</f>
        <v>achey</v>
      </c>
      <c r="B11988" s="3">
        <v>0</v>
      </c>
    </row>
    <row r="11989" ht="15.75" customHeight="1" spans="1:2">
      <c r="A11989" s="3" t="str">
        <f>IFERROR(__xludf.DUMMYFUNCTION("GOOGLETRANSLATE(A11989,""en"",""pt"")"),"doendo")</f>
        <v>doendo</v>
      </c>
      <c r="B11989" s="3">
        <v>0</v>
      </c>
    </row>
    <row r="11990" ht="15.75" customHeight="1" spans="1:2">
      <c r="A11990" s="3" t="str">
        <f>IFERROR(__xludf.DUMMYFUNCTION("GOOGLETRANSLATE(A11990,""en"",""pt"")"),"acre")</f>
        <v>acre</v>
      </c>
      <c r="B11990" s="3">
        <v>0</v>
      </c>
    </row>
    <row r="11991" ht="15.75" customHeight="1" spans="1:2">
      <c r="A11991" s="3" t="str">
        <f>IFERROR(__xludf.DUMMYFUNCTION("GOOGLETRANSLATE(A11991,""en"",""pt"")"),"acridly")</f>
        <v>acridly</v>
      </c>
      <c r="B11991" s="3">
        <v>0</v>
      </c>
    </row>
    <row r="11992" ht="15.75" customHeight="1" spans="1:2">
      <c r="A11992" s="3" t="str">
        <f>IFERROR(__xludf.DUMMYFUNCTION("GOOGLETRANSLATE(A11992,""en"",""pt"")"),"acridness")</f>
        <v>acridness</v>
      </c>
      <c r="B11992" s="3">
        <v>0</v>
      </c>
    </row>
    <row r="11993" ht="15.75" customHeight="1" spans="1:2">
      <c r="A11993" s="3" t="str">
        <f>IFERROR(__xludf.DUMMYFUNCTION("GOOGLETRANSLATE(A11993,""en"",""pt"")"),"acrimonioso")</f>
        <v>acrimonioso</v>
      </c>
      <c r="B11993" s="3">
        <v>0</v>
      </c>
    </row>
    <row r="11994" ht="15.75" customHeight="1" spans="1:2">
      <c r="A11994" s="3" t="str">
        <f>IFERROR(__xludf.DUMMYFUNCTION("GOOGLETRANSLATE(A11994,""en"",""pt"")"),"acrimoniosamente")</f>
        <v>acrimoniosamente</v>
      </c>
      <c r="B11994" s="3">
        <v>0</v>
      </c>
    </row>
    <row r="11995" ht="15.75" customHeight="1" spans="1:2">
      <c r="A11995" s="3" t="str">
        <f>IFERROR(__xludf.DUMMYFUNCTION("GOOGLETRANSLATE(A11995,""en"",""pt"")"),"acrimônia")</f>
        <v>acrimônia</v>
      </c>
      <c r="B11995" s="3">
        <v>0</v>
      </c>
    </row>
    <row r="11996" ht="15.75" customHeight="1" spans="1:2">
      <c r="A11996" s="3" t="str">
        <f>IFERROR(__xludf.DUMMYFUNCTION("GOOGLETRANSLATE(A11996,""en"",""pt"")"),"diamante")</f>
        <v>diamante</v>
      </c>
      <c r="B11996" s="3">
        <v>0</v>
      </c>
    </row>
    <row r="11997" ht="15.75" customHeight="1" spans="1:2">
      <c r="A11997" s="3" t="str">
        <f>IFERROR(__xludf.DUMMYFUNCTION("GOOGLETRANSLATE(A11997,""en"",""pt"")"),"inflexível")</f>
        <v>inflexível</v>
      </c>
      <c r="B11997" s="3">
        <v>0</v>
      </c>
    </row>
    <row r="11998" ht="15.75" customHeight="1" spans="1:2">
      <c r="A11998" s="3" t="str">
        <f>IFERROR(__xludf.DUMMYFUNCTION("GOOGLETRANSLATE(A11998,""en"",""pt"")"),"viciado")</f>
        <v>viciado</v>
      </c>
      <c r="B11998" s="3">
        <v>0</v>
      </c>
    </row>
    <row r="11999" ht="15.75" customHeight="1" spans="1:2">
      <c r="A11999" s="3" t="str">
        <f>IFERROR(__xludf.DUMMYFUNCTION("GOOGLETRANSLATE(A11999,""en"",""pt"")"),"viciado")</f>
        <v>viciado</v>
      </c>
      <c r="B11999" s="3">
        <v>0</v>
      </c>
    </row>
    <row r="12000" ht="15.75" customHeight="1" spans="1:2">
      <c r="A12000" s="3" t="str">
        <f>IFERROR(__xludf.DUMMYFUNCTION("GOOGLETRANSLATE(A12000,""en"",""pt"")"),"viciante")</f>
        <v>viciante</v>
      </c>
      <c r="B12000" s="3">
        <v>0</v>
      </c>
    </row>
    <row r="12001" ht="15.75" customHeight="1" spans="1:2">
      <c r="A12001" s="3" t="str">
        <f>IFERROR(__xludf.DUMMYFUNCTION("GOOGLETRANSLATE(A12001,""en"",""pt"")"),"viciados")</f>
        <v>viciados</v>
      </c>
      <c r="B12001" s="3">
        <v>0</v>
      </c>
    </row>
    <row r="12002" ht="15.75" customHeight="1" spans="1:2">
      <c r="A12002" s="3" t="str">
        <f>IFERROR(__xludf.DUMMYFUNCTION("GOOGLETRANSLATE(A12002,""en"",""pt"")"),"admoestar")</f>
        <v>admoestar</v>
      </c>
      <c r="B12002" s="3">
        <v>0</v>
      </c>
    </row>
    <row r="12003" ht="15.75" customHeight="1" spans="1:2">
      <c r="A12003" s="3" t="str">
        <f>IFERROR(__xludf.DUMMYFUNCTION("GOOGLETRANSLATE(A12003,""en"",""pt"")"),"admoestador")</f>
        <v>admoestador</v>
      </c>
      <c r="B12003" s="3">
        <v>0</v>
      </c>
    </row>
    <row r="12004" ht="15.75" customHeight="1" spans="1:2">
      <c r="A12004" s="3" t="str">
        <f>IFERROR(__xludf.DUMMYFUNCTION("GOOGLETRANSLATE(A12004,""en"",""pt"")"),"admonishingly")</f>
        <v>admonishingly</v>
      </c>
      <c r="B12004" s="3">
        <v>0</v>
      </c>
    </row>
    <row r="12005" ht="15.75" customHeight="1" spans="1:2">
      <c r="A12005" s="3" t="str">
        <f>IFERROR(__xludf.DUMMYFUNCTION("GOOGLETRANSLATE(A12005,""en"",""pt"")"),"admoestação")</f>
        <v>admoestação</v>
      </c>
      <c r="B12005" s="3">
        <v>0</v>
      </c>
    </row>
    <row r="12006" ht="15.75" customHeight="1" spans="1:2">
      <c r="A12006" s="3" t="str">
        <f>IFERROR(__xludf.DUMMYFUNCTION("GOOGLETRANSLATE(A12006,""en"",""pt"")"),"admoestação")</f>
        <v>admoestação</v>
      </c>
      <c r="B12006" s="3">
        <v>0</v>
      </c>
    </row>
    <row r="12007" ht="15.75" customHeight="1" spans="1:2">
      <c r="A12007" s="3" t="str">
        <f>IFERROR(__xludf.DUMMYFUNCTION("GOOGLETRANSLATE(A12007,""en"",""pt"")"),"adulterar")</f>
        <v>adulterar</v>
      </c>
      <c r="B12007" s="3">
        <v>0</v>
      </c>
    </row>
    <row r="12008" ht="15.75" customHeight="1" spans="1:2">
      <c r="A12008" s="3" t="str">
        <f>IFERROR(__xludf.DUMMYFUNCTION("GOOGLETRANSLATE(A12008,""en"",""pt"")"),"adulterado")</f>
        <v>adulterado</v>
      </c>
      <c r="B12008" s="3">
        <v>0</v>
      </c>
    </row>
    <row r="12009" ht="15.75" customHeight="1" spans="1:2">
      <c r="A12009" s="3" t="str">
        <f>IFERROR(__xludf.DUMMYFUNCTION("GOOGLETRANSLATE(A12009,""en"",""pt"")"),"adulteração")</f>
        <v>adulteração</v>
      </c>
      <c r="B12009" s="3">
        <v>0</v>
      </c>
    </row>
    <row r="12010" ht="15.75" customHeight="1" spans="1:2">
      <c r="A12010" s="3" t="str">
        <f>IFERROR(__xludf.DUMMYFUNCTION("GOOGLETRANSLATE(A12010,""en"",""pt"")"),"adulterier")</f>
        <v>adulterier</v>
      </c>
      <c r="B12010" s="3">
        <v>0</v>
      </c>
    </row>
    <row r="12011" ht="15.75" customHeight="1" spans="1:2">
      <c r="A12011" s="3" t="str">
        <f>IFERROR(__xludf.DUMMYFUNCTION("GOOGLETRANSLATE(A12011,""en"",""pt"")"),"adversarial")</f>
        <v>adversarial</v>
      </c>
      <c r="B12011" s="3">
        <v>0</v>
      </c>
    </row>
    <row r="12012" ht="15.75" customHeight="1" spans="1:2">
      <c r="A12012" s="3" t="str">
        <f>IFERROR(__xludf.DUMMYFUNCTION("GOOGLETRANSLATE(A12012,""en"",""pt"")"),"adversário")</f>
        <v>adversário</v>
      </c>
      <c r="B12012" s="3">
        <v>0</v>
      </c>
    </row>
    <row r="12013" ht="15.75" customHeight="1" spans="1:2">
      <c r="A12013" s="3" t="str">
        <f>IFERROR(__xludf.DUMMYFUNCTION("GOOGLETRANSLATE(A12013,""en"",""pt"")"),"desfavoraveis")</f>
        <v>desfavoraveis</v>
      </c>
      <c r="B12013" s="3">
        <v>0</v>
      </c>
    </row>
    <row r="12014" ht="15.75" customHeight="1" spans="1:2">
      <c r="A12014" s="3" t="str">
        <f>IFERROR(__xludf.DUMMYFUNCTION("GOOGLETRANSLATE(A12014,""en"",""pt"")"),"adversidade")</f>
        <v>adversidade</v>
      </c>
      <c r="B12014" s="3">
        <v>0</v>
      </c>
    </row>
    <row r="12015" ht="15.75" customHeight="1" spans="1:2">
      <c r="A12015" s="3" t="str">
        <f>IFERROR(__xludf.DUMMYFUNCTION("GOOGLETRANSLATE(A12015,""en"",""pt"")"),"afligir")</f>
        <v>afligir</v>
      </c>
      <c r="B12015" s="3">
        <v>0</v>
      </c>
    </row>
    <row r="12016" ht="15.75" customHeight="1" spans="1:2">
      <c r="A12016" s="3" t="str">
        <f>IFERROR(__xludf.DUMMYFUNCTION("GOOGLETRANSLATE(A12016,""en"",""pt"")"),"aflição")</f>
        <v>aflição</v>
      </c>
      <c r="B12016" s="3">
        <v>0</v>
      </c>
    </row>
    <row r="12017" ht="15.75" customHeight="1" spans="1:2">
      <c r="A12017" s="3" t="str">
        <f>IFERROR(__xludf.DUMMYFUNCTION("GOOGLETRANSLATE(A12017,""en"",""pt"")"),"aflitivo")</f>
        <v>aflitivo</v>
      </c>
      <c r="B12017" s="3">
        <v>0</v>
      </c>
    </row>
    <row r="12018" ht="15.75" customHeight="1" spans="1:2">
      <c r="A12018" s="3" t="str">
        <f>IFERROR(__xludf.DUMMYFUNCTION("GOOGLETRANSLATE(A12018,""en"",""pt"")"),"afronta")</f>
        <v>afronta</v>
      </c>
      <c r="B12018" s="3">
        <v>0</v>
      </c>
    </row>
    <row r="12019" ht="15.75" customHeight="1" spans="1:2">
      <c r="A12019" s="3" t="str">
        <f>IFERROR(__xludf.DUMMYFUNCTION("GOOGLETRANSLATE(A12019,""en"",""pt"")"),"receoso")</f>
        <v>receoso</v>
      </c>
      <c r="B12019" s="3">
        <v>0</v>
      </c>
    </row>
    <row r="12020" ht="15.75" customHeight="1" spans="1:2">
      <c r="A12020" s="3" t="str">
        <f>IFERROR(__xludf.DUMMYFUNCTION("GOOGLETRANSLATE(A12020,""en"",""pt"")"),"agravar")</f>
        <v>agravar</v>
      </c>
      <c r="B12020" s="3">
        <v>0</v>
      </c>
    </row>
    <row r="12021" ht="15.75" customHeight="1" spans="1:2">
      <c r="A12021" s="3" t="str">
        <f>IFERROR(__xludf.DUMMYFUNCTION("GOOGLETRANSLATE(A12021,""en"",""pt"")"),"agravante")</f>
        <v>agravante</v>
      </c>
      <c r="B12021" s="3">
        <v>0</v>
      </c>
    </row>
    <row r="12022" ht="15.75" customHeight="1" spans="1:2">
      <c r="A12022" s="3" t="str">
        <f>IFERROR(__xludf.DUMMYFUNCTION("GOOGLETRANSLATE(A12022,""en"",""pt"")"),"agravamento")</f>
        <v>agravamento</v>
      </c>
      <c r="B12022" s="3">
        <v>0</v>
      </c>
    </row>
    <row r="12023" ht="15.75" customHeight="1" spans="1:2">
      <c r="A12023" s="3" t="str">
        <f>IFERROR(__xludf.DUMMYFUNCTION("GOOGLETRANSLATE(A12023,""en"",""pt"")"),"agressão")</f>
        <v>agressão</v>
      </c>
      <c r="B12023" s="3">
        <v>0</v>
      </c>
    </row>
    <row r="12024" ht="15.75" customHeight="1" spans="1:2">
      <c r="A12024" s="3" t="str">
        <f>IFERROR(__xludf.DUMMYFUNCTION("GOOGLETRANSLATE(A12024,""en"",""pt"")"),"agressivo")</f>
        <v>agressivo</v>
      </c>
      <c r="B12024" s="3">
        <v>0</v>
      </c>
    </row>
    <row r="12025" ht="15.75" customHeight="1" spans="1:2">
      <c r="A12025" s="3" t="str">
        <f>IFERROR(__xludf.DUMMYFUNCTION("GOOGLETRANSLATE(A12025,""en"",""pt"")"),"agressividade")</f>
        <v>agressividade</v>
      </c>
      <c r="B12025" s="3">
        <v>0</v>
      </c>
    </row>
    <row r="12026" ht="15.75" customHeight="1" spans="1:2">
      <c r="A12026" s="3" t="str">
        <f>IFERROR(__xludf.DUMMYFUNCTION("GOOGLETRANSLATE(A12026,""en"",""pt"")"),"agressor")</f>
        <v>agressor</v>
      </c>
      <c r="B12026" s="3">
        <v>0</v>
      </c>
    </row>
    <row r="12027" ht="15.75" customHeight="1" spans="1:2">
      <c r="A12027" s="3" t="str">
        <f>IFERROR(__xludf.DUMMYFUNCTION("GOOGLETRANSLATE(A12027,""en"",""pt"")"),"afligir")</f>
        <v>afligir</v>
      </c>
      <c r="B12027" s="3">
        <v>0</v>
      </c>
    </row>
    <row r="12028" ht="15.75" customHeight="1" spans="1:2">
      <c r="A12028" s="3" t="str">
        <f>IFERROR(__xludf.DUMMYFUNCTION("GOOGLETRANSLATE(A12028,""en"",""pt"")"),"ofendido")</f>
        <v>ofendido</v>
      </c>
      <c r="B12028" s="3">
        <v>0</v>
      </c>
    </row>
    <row r="12029" ht="15.75" customHeight="1" spans="1:2">
      <c r="A12029" s="3" t="str">
        <f>IFERROR(__xludf.DUMMYFUNCTION("GOOGLETRANSLATE(A12029,""en"",""pt"")"),"aggrivation")</f>
        <v>aggrivation</v>
      </c>
      <c r="B12029" s="3">
        <v>0</v>
      </c>
    </row>
    <row r="12030" ht="15.75" customHeight="1" spans="1:2">
      <c r="A12030" s="3" t="str">
        <f>IFERROR(__xludf.DUMMYFUNCTION("GOOGLETRANSLATE(A12030,""en"",""pt"")"),"horrorizado")</f>
        <v>horrorizado</v>
      </c>
      <c r="B12030" s="3">
        <v>0</v>
      </c>
    </row>
    <row r="12031" ht="15.75" customHeight="1" spans="1:2">
      <c r="A12031" s="3" t="str">
        <f>IFERROR(__xludf.DUMMYFUNCTION("GOOGLETRANSLATE(A12031,""en"",""pt"")"),"agonias")</f>
        <v>agonias</v>
      </c>
      <c r="B12031" s="3">
        <v>0</v>
      </c>
    </row>
    <row r="12032" ht="15.75" customHeight="1" spans="1:2">
      <c r="A12032" s="3" t="str">
        <f>IFERROR(__xludf.DUMMYFUNCTION("GOOGLETRANSLATE(A12032,""en"",""pt"")"),"agonizar")</f>
        <v>agonizar</v>
      </c>
      <c r="B12032" s="3">
        <v>0</v>
      </c>
    </row>
    <row r="12033" ht="15.75" customHeight="1" spans="1:2">
      <c r="A12033" s="3" t="str">
        <f>IFERROR(__xludf.DUMMYFUNCTION("GOOGLETRANSLATE(A12033,""en"",""pt"")"),"agonizante")</f>
        <v>agonizante</v>
      </c>
      <c r="B12033" s="3">
        <v>0</v>
      </c>
    </row>
    <row r="12034" ht="15.75" customHeight="1" spans="1:2">
      <c r="A12034" s="3" t="str">
        <f>IFERROR(__xludf.DUMMYFUNCTION("GOOGLETRANSLATE(A12034,""en"",""pt"")"),"agonizantemente")</f>
        <v>agonizantemente</v>
      </c>
      <c r="B12034" s="3">
        <v>0</v>
      </c>
    </row>
    <row r="12035" ht="15.75" customHeight="1" spans="1:2">
      <c r="A12035" s="3" t="str">
        <f>IFERROR(__xludf.DUMMYFUNCTION("GOOGLETRANSLATE(A12035,""en"",""pt"")"),"agonia")</f>
        <v>agonia</v>
      </c>
      <c r="B12035" s="3">
        <v>0</v>
      </c>
    </row>
    <row r="12036" ht="15.75" customHeight="1" spans="1:2">
      <c r="A12036" s="3" t="str">
        <f>IFERROR(__xludf.DUMMYFUNCTION("GOOGLETRANSLATE(A12036,""en"",""pt"")"),"encalhado")</f>
        <v>encalhado</v>
      </c>
      <c r="B12036" s="3">
        <v>0</v>
      </c>
    </row>
    <row r="12037" ht="15.75" customHeight="1" spans="1:2">
      <c r="A12037" s="3" t="str">
        <f>IFERROR(__xludf.DUMMYFUNCTION("GOOGLETRANSLATE(A12037,""en"",""pt"")"),"afligir")</f>
        <v>afligir</v>
      </c>
      <c r="B12037" s="3">
        <v>0</v>
      </c>
    </row>
    <row r="12038" ht="15.75" customHeight="1" spans="1:2">
      <c r="A12038" s="3" t="str">
        <f>IFERROR(__xludf.DUMMYFUNCTION("GOOGLETRANSLATE(A12038,""en"",""pt"")"),"doente")</f>
        <v>doente</v>
      </c>
      <c r="B12038" s="3">
        <v>0</v>
      </c>
    </row>
    <row r="12039" ht="15.75" customHeight="1" spans="1:2">
      <c r="A12039" s="3" t="str">
        <f>IFERROR(__xludf.DUMMYFUNCTION("GOOGLETRANSLATE(A12039,""en"",""pt"")"),"doença")</f>
        <v>doença</v>
      </c>
      <c r="B12039" s="3">
        <v>0</v>
      </c>
    </row>
    <row r="12040" ht="15.75" customHeight="1" spans="1:2">
      <c r="A12040" s="3" t="str">
        <f>IFERROR(__xludf.DUMMYFUNCTION("GOOGLETRANSLATE(A12040,""en"",""pt"")"),"sem objetivo")</f>
        <v>sem objetivo</v>
      </c>
      <c r="B12040" s="3">
        <v>0</v>
      </c>
    </row>
    <row r="12041" ht="15.75" customHeight="1" spans="1:2">
      <c r="A12041" s="3" t="str">
        <f>IFERROR(__xludf.DUMMYFUNCTION("GOOGLETRANSLATE(A12041,""en"",""pt"")"),"alarme")</f>
        <v>alarme</v>
      </c>
      <c r="B12041" s="3">
        <v>0</v>
      </c>
    </row>
    <row r="12042" ht="15.75" customHeight="1" spans="1:2">
      <c r="A12042" s="3" t="str">
        <f>IFERROR(__xludf.DUMMYFUNCTION("GOOGLETRANSLATE(A12042,""en"",""pt"")"),"alarmada")</f>
        <v>alarmada</v>
      </c>
      <c r="B12042" s="3">
        <v>0</v>
      </c>
    </row>
    <row r="12043" ht="15.75" customHeight="1" spans="1:2">
      <c r="A12043" s="3" t="str">
        <f>IFERROR(__xludf.DUMMYFUNCTION("GOOGLETRANSLATE(A12043,""en"",""pt"")"),"alarmante")</f>
        <v>alarmante</v>
      </c>
      <c r="B12043" s="3">
        <v>0</v>
      </c>
    </row>
    <row r="12044" ht="15.75" customHeight="1" spans="1:2">
      <c r="A12044" s="3" t="str">
        <f>IFERROR(__xludf.DUMMYFUNCTION("GOOGLETRANSLATE(A12044,""en"",""pt"")"),"alarmantemente")</f>
        <v>alarmantemente</v>
      </c>
      <c r="B12044" s="3">
        <v>0</v>
      </c>
    </row>
    <row r="12045" ht="15.75" customHeight="1" spans="1:2">
      <c r="A12045" s="3" t="str">
        <f>IFERROR(__xludf.DUMMYFUNCTION("GOOGLETRANSLATE(A12045,""en"",""pt"")"),"alienar")</f>
        <v>alienar</v>
      </c>
      <c r="B12045" s="3">
        <v>0</v>
      </c>
    </row>
    <row r="12046" ht="15.75" customHeight="1" spans="1:2">
      <c r="A12046" s="3" t="str">
        <f>IFERROR(__xludf.DUMMYFUNCTION("GOOGLETRANSLATE(A12046,""en"",""pt"")"),"alienado")</f>
        <v>alienado</v>
      </c>
      <c r="B12046" s="3">
        <v>0</v>
      </c>
    </row>
    <row r="12047" ht="15.75" customHeight="1" spans="1:2">
      <c r="A12047" s="3" t="str">
        <f>IFERROR(__xludf.DUMMYFUNCTION("GOOGLETRANSLATE(A12047,""en"",""pt"")"),"alienação")</f>
        <v>alienação</v>
      </c>
      <c r="B12047" s="3">
        <v>0</v>
      </c>
    </row>
    <row r="12048" ht="15.75" customHeight="1" spans="1:2">
      <c r="A12048" s="3" t="str">
        <f>IFERROR(__xludf.DUMMYFUNCTION("GOOGLETRANSLATE(A12048,""en"",""pt"")"),"alegação")</f>
        <v>alegação</v>
      </c>
      <c r="B12048" s="3">
        <v>0</v>
      </c>
    </row>
    <row r="12049" ht="15.75" customHeight="1" spans="1:2">
      <c r="A12049" s="3" t="str">
        <f>IFERROR(__xludf.DUMMYFUNCTION("GOOGLETRANSLATE(A12049,""en"",""pt"")"),"alegações")</f>
        <v>alegações</v>
      </c>
      <c r="B12049" s="3">
        <v>0</v>
      </c>
    </row>
    <row r="12050" ht="15.75" customHeight="1" spans="1:2">
      <c r="A12050" s="3" t="str">
        <f>IFERROR(__xludf.DUMMYFUNCTION("GOOGLETRANSLATE(A12050,""en"",""pt"")"),"alegam")</f>
        <v>alegam</v>
      </c>
      <c r="B12050" s="3">
        <v>0</v>
      </c>
    </row>
    <row r="12051" ht="15.75" customHeight="1" spans="1:2">
      <c r="A12051" s="3" t="str">
        <f>IFERROR(__xludf.DUMMYFUNCTION("GOOGLETRANSLATE(A12051,""en"",""pt"")"),"alérgico")</f>
        <v>alérgico</v>
      </c>
      <c r="B12051" s="3">
        <v>0</v>
      </c>
    </row>
    <row r="12052" ht="15.75" customHeight="1" spans="1:2">
      <c r="A12052" s="3" t="str">
        <f>IFERROR(__xludf.DUMMYFUNCTION("GOOGLETRANSLATE(A12052,""en"",""pt"")"),"alergias")</f>
        <v>alergias</v>
      </c>
      <c r="B12052" s="3">
        <v>0</v>
      </c>
    </row>
    <row r="12053" ht="15.75" customHeight="1" spans="1:2">
      <c r="A12053" s="3" t="str">
        <f>IFERROR(__xludf.DUMMYFUNCTION("GOOGLETRANSLATE(A12053,""en"",""pt"")"),"alergia")</f>
        <v>alergia</v>
      </c>
      <c r="B12053" s="3">
        <v>0</v>
      </c>
    </row>
    <row r="12054" ht="15.75" customHeight="1" spans="1:2">
      <c r="A12054" s="3" t="str">
        <f>IFERROR(__xludf.DUMMYFUNCTION("GOOGLETRANSLATE(A12054,""en"",""pt"")"),"indiferente")</f>
        <v>indiferente</v>
      </c>
      <c r="B12054" s="3">
        <v>0</v>
      </c>
    </row>
    <row r="12055" ht="15.75" customHeight="1" spans="1:2">
      <c r="A12055" s="3" t="str">
        <f>IFERROR(__xludf.DUMMYFUNCTION("GOOGLETRANSLATE(A12055,""en"",""pt"")"),"altercação")</f>
        <v>altercação</v>
      </c>
      <c r="B12055" s="3">
        <v>0</v>
      </c>
    </row>
    <row r="12056" ht="15.75" customHeight="1" spans="1:2">
      <c r="A12056" s="3" t="str">
        <f>IFERROR(__xludf.DUMMYFUNCTION("GOOGLETRANSLATE(A12056,""en"",""pt"")"),"ambiguidade")</f>
        <v>ambiguidade</v>
      </c>
      <c r="B12056" s="3">
        <v>0</v>
      </c>
    </row>
    <row r="12057" ht="15.75" customHeight="1" spans="1:2">
      <c r="A12057" s="3" t="str">
        <f>IFERROR(__xludf.DUMMYFUNCTION("GOOGLETRANSLATE(A12057,""en"",""pt"")"),"ambíguo")</f>
        <v>ambíguo</v>
      </c>
      <c r="B12057" s="3">
        <v>0</v>
      </c>
    </row>
    <row r="12058" ht="15.75" customHeight="1" spans="1:2">
      <c r="A12058" s="3" t="str">
        <f>IFERROR(__xludf.DUMMYFUNCTION("GOOGLETRANSLATE(A12058,""en"",""pt"")"),"ambivalência")</f>
        <v>ambivalência</v>
      </c>
      <c r="B12058" s="3">
        <v>0</v>
      </c>
    </row>
    <row r="12059" ht="15.75" customHeight="1" spans="1:2">
      <c r="A12059" s="3" t="str">
        <f>IFERROR(__xludf.DUMMYFUNCTION("GOOGLETRANSLATE(A12059,""en"",""pt"")"),"ambivalente")</f>
        <v>ambivalente</v>
      </c>
      <c r="B12059" s="3">
        <v>0</v>
      </c>
    </row>
    <row r="12060" ht="15.75" customHeight="1" spans="1:2">
      <c r="A12060" s="3" t="str">
        <f>IFERROR(__xludf.DUMMYFUNCTION("GOOGLETRANSLATE(A12060,""en"",""pt"")"),"emboscada")</f>
        <v>emboscada</v>
      </c>
      <c r="B12060" s="3">
        <v>0</v>
      </c>
    </row>
    <row r="12061" ht="15.75" customHeight="1" spans="1:2">
      <c r="A12061" s="3" t="s">
        <v>56</v>
      </c>
      <c r="B12061" s="3">
        <v>0</v>
      </c>
    </row>
    <row r="12062" ht="15.75" customHeight="1" spans="1:2">
      <c r="A12062" s="3" t="str">
        <f>IFERROR(__xludf.DUMMYFUNCTION("GOOGLETRANSLATE(A12062,""en"",""pt"")"),"amputar")</f>
        <v>amputar</v>
      </c>
      <c r="B12062" s="3">
        <v>0</v>
      </c>
    </row>
    <row r="12063" ht="15.75" customHeight="1" spans="1:2">
      <c r="A12063" s="3" t="str">
        <f>IFERROR(__xludf.DUMMYFUNCTION("GOOGLETRANSLATE(A12063,""en"",""pt"")"),"anarquismo")</f>
        <v>anarquismo</v>
      </c>
      <c r="B12063" s="3">
        <v>0</v>
      </c>
    </row>
    <row r="12064" ht="15.75" customHeight="1" spans="1:2">
      <c r="A12064" s="3" t="str">
        <f>IFERROR(__xludf.DUMMYFUNCTION("GOOGLETRANSLATE(A12064,""en"",""pt"")"),"anarquista")</f>
        <v>anarquista</v>
      </c>
      <c r="B12064" s="3">
        <v>0</v>
      </c>
    </row>
    <row r="12065" ht="15.75" customHeight="1" spans="1:2">
      <c r="A12065" s="3" t="str">
        <f>IFERROR(__xludf.DUMMYFUNCTION("GOOGLETRANSLATE(A12065,""en"",""pt"")"),"anárquico")</f>
        <v>anárquico</v>
      </c>
      <c r="B12065" s="3">
        <v>0</v>
      </c>
    </row>
    <row r="12066" ht="15.75" customHeight="1" spans="1:2">
      <c r="A12066" s="3" t="str">
        <f>IFERROR(__xludf.DUMMYFUNCTION("GOOGLETRANSLATE(A12066,""en"",""pt"")"),"anarquia")</f>
        <v>anarquia</v>
      </c>
      <c r="B12066" s="3">
        <v>0</v>
      </c>
    </row>
    <row r="12067" ht="15.75" customHeight="1" spans="1:2">
      <c r="A12067" s="3" t="str">
        <f>IFERROR(__xludf.DUMMYFUNCTION("GOOGLETRANSLATE(A12067,""en"",""pt"")"),"anêmico")</f>
        <v>anêmico</v>
      </c>
      <c r="B12067" s="3">
        <v>0</v>
      </c>
    </row>
    <row r="12068" ht="15.75" customHeight="1" spans="1:2">
      <c r="A12068" s="3" t="str">
        <f>IFERROR(__xludf.DUMMYFUNCTION("GOOGLETRANSLATE(A12068,""en"",""pt"")"),"raiva")</f>
        <v>raiva</v>
      </c>
      <c r="B12068" s="3">
        <v>0</v>
      </c>
    </row>
    <row r="12069" ht="15.75" customHeight="1" spans="1:2">
      <c r="A12069" s="3" t="str">
        <f>IFERROR(__xludf.DUMMYFUNCTION("GOOGLETRANSLATE(A12069,""en"",""pt"")"),"iradamente")</f>
        <v>iradamente</v>
      </c>
      <c r="B12069" s="3">
        <v>0</v>
      </c>
    </row>
    <row r="12070" ht="15.75" customHeight="1" spans="1:2">
      <c r="A12070" s="3" t="str">
        <f>IFERROR(__xludf.DUMMYFUNCTION("GOOGLETRANSLATE(A12070,""en"",""pt"")"),"angriness")</f>
        <v>angriness</v>
      </c>
      <c r="B12070" s="3">
        <v>0</v>
      </c>
    </row>
    <row r="12071" ht="15.75" customHeight="1" spans="1:2">
      <c r="A12071" s="3" t="str">
        <f>IFERROR(__xludf.DUMMYFUNCTION("GOOGLETRANSLATE(A12071,""en"",""pt"")"),"Bravo")</f>
        <v>Bravo</v>
      </c>
      <c r="B12071" s="3">
        <v>0</v>
      </c>
    </row>
    <row r="12072" ht="15.75" customHeight="1" spans="1:2">
      <c r="A12072" s="3" t="str">
        <f>IFERROR(__xludf.DUMMYFUNCTION("GOOGLETRANSLATE(A12072,""en"",""pt"")"),"angústia")</f>
        <v>angústia</v>
      </c>
      <c r="B12072" s="3">
        <v>0</v>
      </c>
    </row>
    <row r="12073" ht="15.75" customHeight="1" spans="1:2">
      <c r="A12073" s="3" t="str">
        <f>IFERROR(__xludf.DUMMYFUNCTION("GOOGLETRANSLATE(A12073,""en"",""pt"")"),"antipatia")</f>
        <v>antipatia</v>
      </c>
      <c r="B12073" s="3">
        <v>0</v>
      </c>
    </row>
    <row r="12074" ht="15.75" customHeight="1" spans="1:2">
      <c r="A12074" s="3" t="str">
        <f>IFERROR(__xludf.DUMMYFUNCTION("GOOGLETRANSLATE(A12074,""en"",""pt"")"),"aniquilar")</f>
        <v>aniquilar</v>
      </c>
      <c r="B12074" s="3">
        <v>0</v>
      </c>
    </row>
    <row r="12075" ht="15.75" customHeight="1" spans="1:2">
      <c r="A12075" s="3" t="str">
        <f>IFERROR(__xludf.DUMMYFUNCTION("GOOGLETRANSLATE(A12075,""en"",""pt"")"),"aniquilação")</f>
        <v>aniquilação</v>
      </c>
      <c r="B12075" s="3">
        <v>0</v>
      </c>
    </row>
    <row r="12076" ht="15.75" customHeight="1" spans="1:2">
      <c r="A12076" s="3" t="str">
        <f>IFERROR(__xludf.DUMMYFUNCTION("GOOGLETRANSLATE(A12076,""en"",""pt"")"),"incomodar")</f>
        <v>incomodar</v>
      </c>
      <c r="B12076" s="3">
        <v>0</v>
      </c>
    </row>
    <row r="12077" ht="15.75" customHeight="1" spans="1:2">
      <c r="A12077" s="3" t="str">
        <f>IFERROR(__xludf.DUMMYFUNCTION("GOOGLETRANSLATE(A12077,""en"",""pt"")"),"aborrecimento")</f>
        <v>aborrecimento</v>
      </c>
      <c r="B12077" s="3">
        <v>0</v>
      </c>
    </row>
    <row r="12078" ht="15.75" customHeight="1" spans="1:2">
      <c r="A12078" s="3" t="str">
        <f>IFERROR(__xludf.DUMMYFUNCTION("GOOGLETRANSLATE(A12078,""en"",""pt"")"),"aborrecimentos")</f>
        <v>aborrecimentos</v>
      </c>
      <c r="B12078" s="3">
        <v>0</v>
      </c>
    </row>
    <row r="12079" ht="15.75" customHeight="1" spans="1:2">
      <c r="A12079" s="3" t="str">
        <f>IFERROR(__xludf.DUMMYFUNCTION("GOOGLETRANSLATE(A12079,""en"",""pt"")"),"aborrecido")</f>
        <v>aborrecido</v>
      </c>
      <c r="B12079" s="3">
        <v>0</v>
      </c>
    </row>
    <row r="12080" ht="15.75" customHeight="1" spans="1:2">
      <c r="A12080" s="3" t="str">
        <f>IFERROR(__xludf.DUMMYFUNCTION("GOOGLETRANSLATE(A12080,""en"",""pt"")"),"irritante")</f>
        <v>irritante</v>
      </c>
      <c r="B12080" s="3">
        <v>0</v>
      </c>
    </row>
    <row r="12081" ht="15.75" customHeight="1" spans="1:2">
      <c r="A12081" s="3" t="str">
        <f>IFERROR(__xludf.DUMMYFUNCTION("GOOGLETRANSLATE(A12081,""en"",""pt"")"),"irritantemente")</f>
        <v>irritantemente</v>
      </c>
      <c r="B12081" s="3">
        <v>0</v>
      </c>
    </row>
    <row r="12082" ht="15.75" customHeight="1" spans="1:2">
      <c r="A12082" s="3" t="str">
        <f>IFERROR(__xludf.DUMMYFUNCTION("GOOGLETRANSLATE(A12082,""en"",""pt"")"),"irrita")</f>
        <v>irrita</v>
      </c>
      <c r="B12082" s="3">
        <v>0</v>
      </c>
    </row>
    <row r="12083" ht="15.75" customHeight="1" spans="1:2">
      <c r="A12083" s="3" t="str">
        <f>IFERROR(__xludf.DUMMYFUNCTION("GOOGLETRANSLATE(A12083,""en"",""pt"")"),"anômalo")</f>
        <v>anômalo</v>
      </c>
      <c r="B12083" s="3">
        <v>0</v>
      </c>
    </row>
    <row r="12084" ht="15.75" customHeight="1" spans="1:2">
      <c r="A12084" s="3" t="str">
        <f>IFERROR(__xludf.DUMMYFUNCTION("GOOGLETRANSLATE(A12084,""en"",""pt"")"),"anomalia")</f>
        <v>anomalia</v>
      </c>
      <c r="B12084" s="3">
        <v>0</v>
      </c>
    </row>
    <row r="12085" ht="15.75" customHeight="1" spans="1:2">
      <c r="A12085" s="3" t="str">
        <f>IFERROR(__xludf.DUMMYFUNCTION("GOOGLETRANSLATE(A12085,""en"",""pt"")"),"antagonismo")</f>
        <v>antagonismo</v>
      </c>
      <c r="B12085" s="3">
        <v>0</v>
      </c>
    </row>
    <row r="12086" ht="15.75" customHeight="1" spans="1:2">
      <c r="A12086" s="3" t="str">
        <f>IFERROR(__xludf.DUMMYFUNCTION("GOOGLETRANSLATE(A12086,""en"",""pt"")"),"antagonista")</f>
        <v>antagonista</v>
      </c>
      <c r="B12086" s="3">
        <v>0</v>
      </c>
    </row>
    <row r="12087" ht="15.75" customHeight="1" spans="1:2">
      <c r="A12087" s="3" t="str">
        <f>IFERROR(__xludf.DUMMYFUNCTION("GOOGLETRANSLATE(A12087,""en"",""pt"")"),"antagônico")</f>
        <v>antagônico</v>
      </c>
      <c r="B12087" s="3">
        <v>0</v>
      </c>
    </row>
    <row r="12088" ht="15.75" customHeight="1" spans="1:2">
      <c r="A12088" s="3" t="str">
        <f>IFERROR(__xludf.DUMMYFUNCTION("GOOGLETRANSLATE(A12088,""en"",""pt"")"),"antagonizar")</f>
        <v>antagonizar</v>
      </c>
      <c r="B12088" s="3">
        <v>0</v>
      </c>
    </row>
    <row r="12089" ht="15.75" customHeight="1" spans="1:2">
      <c r="A12089" s="3" t="str">
        <f>IFERROR(__xludf.DUMMYFUNCTION("GOOGLETRANSLATE(A12089,""en"",""pt"")"),"anti-")</f>
        <v>anti-</v>
      </c>
      <c r="B12089" s="3">
        <v>0</v>
      </c>
    </row>
    <row r="12090" ht="15.75" customHeight="1" spans="1:2">
      <c r="A12090" s="3" t="str">
        <f>IFERROR(__xludf.DUMMYFUNCTION("GOOGLETRANSLATE(A12090,""en"",""pt"")"),"antiamericano")</f>
        <v>antiamericano</v>
      </c>
      <c r="B12090" s="3">
        <v>0</v>
      </c>
    </row>
    <row r="12091" ht="15.75" customHeight="1" spans="1:2">
      <c r="A12091" s="3" t="str">
        <f>IFERROR(__xludf.DUMMYFUNCTION("GOOGLETRANSLATE(A12091,""en"",""pt"")"),"anti-israelita")</f>
        <v>anti-israelita</v>
      </c>
      <c r="B12091" s="3">
        <v>0</v>
      </c>
    </row>
    <row r="12092" ht="15.75" customHeight="1" spans="1:2">
      <c r="A12092" s="3" t="str">
        <f>IFERROR(__xludf.DUMMYFUNCTION("GOOGLETRANSLATE(A12092,""en"",""pt"")"),"anti-ocupação")</f>
        <v>anti-ocupação</v>
      </c>
      <c r="B12092" s="3">
        <v>0</v>
      </c>
    </row>
    <row r="12093" ht="15.75" customHeight="1" spans="1:2">
      <c r="A12093" s="3" t="str">
        <f>IFERROR(__xludf.DUMMYFUNCTION("GOOGLETRANSLATE(A12093,""en"",""pt"")"),"anti-proliferação")</f>
        <v>anti-proliferação</v>
      </c>
      <c r="B12093" s="3">
        <v>0</v>
      </c>
    </row>
    <row r="12094" ht="15.75" customHeight="1" spans="1:2">
      <c r="A12094" s="3" t="str">
        <f>IFERROR(__xludf.DUMMYFUNCTION("GOOGLETRANSLATE(A12094,""en"",""pt"")"),"antisemitas")</f>
        <v>antisemitas</v>
      </c>
      <c r="B12094" s="3">
        <v>0</v>
      </c>
    </row>
    <row r="12095" ht="15.75" customHeight="1" spans="1:2">
      <c r="A12095" s="3" t="str">
        <f>IFERROR(__xludf.DUMMYFUNCTION("GOOGLETRANSLATE(A12095,""en"",""pt"")"),"anti-sociais")</f>
        <v>anti-sociais</v>
      </c>
      <c r="B12095" s="3">
        <v>0</v>
      </c>
    </row>
    <row r="12096" ht="15.75" customHeight="1" spans="1:2">
      <c r="A12096" s="3" t="str">
        <f>IFERROR(__xludf.DUMMYFUNCTION("GOOGLETRANSLATE(A12096,""en"",""pt"")"),"anti-us")</f>
        <v>anti-us</v>
      </c>
      <c r="B12096" s="3">
        <v>0</v>
      </c>
    </row>
    <row r="12097" ht="15.75" customHeight="1" spans="1:2">
      <c r="A12097" s="3" t="str">
        <f>IFERROR(__xludf.DUMMYFUNCTION("GOOGLETRANSLATE(A12097,""en"",""pt"")"),"anti-branco")</f>
        <v>anti-branco</v>
      </c>
      <c r="B12097" s="3">
        <v>0</v>
      </c>
    </row>
    <row r="12098" ht="15.75" customHeight="1" spans="1:2">
      <c r="A12098" s="3" t="str">
        <f>IFERROR(__xludf.DUMMYFUNCTION("GOOGLETRANSLATE(A12098,""en"",""pt"")"),"antipatia")</f>
        <v>antipatia</v>
      </c>
      <c r="B12098" s="3">
        <v>0</v>
      </c>
    </row>
    <row r="12099" ht="15.75" customHeight="1" spans="1:2">
      <c r="A12099" s="3" t="str">
        <f>IFERROR(__xludf.DUMMYFUNCTION("GOOGLETRANSLATE(A12099,""en"",""pt"")"),"antiquado")</f>
        <v>antiquado</v>
      </c>
      <c r="B12099" s="3">
        <v>0</v>
      </c>
    </row>
    <row r="12100" ht="15.75" customHeight="1" spans="1:2">
      <c r="A12100" s="3" t="str">
        <f>IFERROR(__xludf.DUMMYFUNCTION("GOOGLETRANSLATE(A12100,""en"",""pt"")"),"antitético")</f>
        <v>antitético</v>
      </c>
      <c r="B12100" s="3">
        <v>0</v>
      </c>
    </row>
    <row r="12101" ht="15.75" customHeight="1" spans="1:2">
      <c r="A12101" s="3" t="str">
        <f>IFERROR(__xludf.DUMMYFUNCTION("GOOGLETRANSLATE(A12101,""en"",""pt"")"),"ansiedades")</f>
        <v>ansiedades</v>
      </c>
      <c r="B12101" s="3">
        <v>0</v>
      </c>
    </row>
    <row r="12102" ht="15.75" customHeight="1" spans="1:2">
      <c r="A12102" s="3" t="str">
        <f>IFERROR(__xludf.DUMMYFUNCTION("GOOGLETRANSLATE(A12102,""en"",""pt"")"),"ansiedade")</f>
        <v>ansiedade</v>
      </c>
      <c r="B12102" s="3">
        <v>0</v>
      </c>
    </row>
    <row r="12103" ht="15.75" customHeight="1" spans="1:2">
      <c r="A12103" s="3" t="str">
        <f>IFERROR(__xludf.DUMMYFUNCTION("GOOGLETRANSLATE(A12103,""en"",""pt"")"),"ansioso")</f>
        <v>ansioso</v>
      </c>
      <c r="B12103" s="3">
        <v>0</v>
      </c>
    </row>
    <row r="12104" ht="15.75" customHeight="1" spans="1:2">
      <c r="A12104" s="3" t="str">
        <f>IFERROR(__xludf.DUMMYFUNCTION("GOOGLETRANSLATE(A12104,""en"",""pt"")"),"ansiosamente")</f>
        <v>ansiosamente</v>
      </c>
      <c r="B12104" s="3">
        <v>0</v>
      </c>
    </row>
    <row r="12105" ht="15.75" customHeight="1" spans="1:2">
      <c r="A12105" s="3" t="str">
        <f>IFERROR(__xludf.DUMMYFUNCTION("GOOGLETRANSLATE(A12105,""en"",""pt"")"),"ansiedade")</f>
        <v>ansiedade</v>
      </c>
      <c r="B12105" s="3">
        <v>0</v>
      </c>
    </row>
    <row r="12106" ht="15.75" customHeight="1" spans="1:2">
      <c r="A12106" s="3" t="str">
        <f>IFERROR(__xludf.DUMMYFUNCTION("GOOGLETRANSLATE(A12106,""en"",""pt"")"),"apático")</f>
        <v>apático</v>
      </c>
      <c r="B12106" s="3">
        <v>0</v>
      </c>
    </row>
    <row r="12107" ht="15.75" customHeight="1" spans="1:2">
      <c r="A12107" s="3" t="str">
        <f>IFERROR(__xludf.DUMMYFUNCTION("GOOGLETRANSLATE(A12107,""en"",""pt"")"),"apaticamente")</f>
        <v>apaticamente</v>
      </c>
      <c r="B12107" s="3">
        <v>0</v>
      </c>
    </row>
    <row r="12108" ht="15.75" customHeight="1" spans="1:2">
      <c r="A12108" s="3" t="str">
        <f>IFERROR(__xludf.DUMMYFUNCTION("GOOGLETRANSLATE(A12108,""en"",""pt"")"),"apatia")</f>
        <v>apatia</v>
      </c>
      <c r="B12108" s="3">
        <v>0</v>
      </c>
    </row>
    <row r="12109" ht="15.75" customHeight="1" spans="1:2">
      <c r="A12109" s="3" t="str">
        <f>IFERROR(__xludf.DUMMYFUNCTION("GOOGLETRANSLATE(A12109,""en"",""pt"")"),"apocalipse")</f>
        <v>apocalipse</v>
      </c>
      <c r="B12109" s="3">
        <v>0</v>
      </c>
    </row>
    <row r="12110" ht="15.75" customHeight="1" spans="1:2">
      <c r="A12110" s="3" t="str">
        <f>IFERROR(__xludf.DUMMYFUNCTION("GOOGLETRANSLATE(A12110,""en"",""pt"")"),"apocalíptico")</f>
        <v>apocalíptico</v>
      </c>
      <c r="B12110" s="3">
        <v>0</v>
      </c>
    </row>
    <row r="12111" ht="15.75" customHeight="1" spans="1:2">
      <c r="A12111" s="3" t="str">
        <f>IFERROR(__xludf.DUMMYFUNCTION("GOOGLETRANSLATE(A12111,""en"",""pt"")"),"apologista")</f>
        <v>apologista</v>
      </c>
      <c r="B12111" s="3">
        <v>0</v>
      </c>
    </row>
    <row r="12112" ht="15.75" customHeight="1" spans="1:2">
      <c r="A12112" s="3" t="str">
        <f>IFERROR(__xludf.DUMMYFUNCTION("GOOGLETRANSLATE(A12112,""en"",""pt"")"),"apologistas")</f>
        <v>apologistas</v>
      </c>
      <c r="B12112" s="3">
        <v>0</v>
      </c>
    </row>
    <row r="12113" ht="15.75" customHeight="1" spans="1:2">
      <c r="A12113" s="3" t="str">
        <f>IFERROR(__xludf.DUMMYFUNCTION("GOOGLETRANSLATE(A12113,""en"",""pt"")"),"appal")</f>
        <v>appal</v>
      </c>
      <c r="B12113" s="3">
        <v>0</v>
      </c>
    </row>
    <row r="12114" ht="15.75" customHeight="1" spans="1:2">
      <c r="A12114" s="3" t="str">
        <f>IFERROR(__xludf.DUMMYFUNCTION("GOOGLETRANSLATE(A12114,""en"",""pt"")"),"assustar")</f>
        <v>assustar</v>
      </c>
      <c r="B12114" s="3">
        <v>0</v>
      </c>
    </row>
    <row r="12115" ht="15.75" customHeight="1" spans="1:2">
      <c r="A12115" s="3" t="str">
        <f>IFERROR(__xludf.DUMMYFUNCTION("GOOGLETRANSLATE(A12115,""en"",""pt"")"),"chocado")</f>
        <v>chocado</v>
      </c>
      <c r="B12115" s="3">
        <v>0</v>
      </c>
    </row>
    <row r="12116" ht="15.75" customHeight="1" spans="1:2">
      <c r="A12116" s="3" t="str">
        <f>IFERROR(__xludf.DUMMYFUNCTION("GOOGLETRANSLATE(A12116,""en"",""pt"")"),"apavorante")</f>
        <v>apavorante</v>
      </c>
      <c r="B12116" s="3">
        <v>0</v>
      </c>
    </row>
    <row r="12117" ht="15.75" customHeight="1" spans="1:2">
      <c r="A12117" s="3" t="str">
        <f>IFERROR(__xludf.DUMMYFUNCTION("GOOGLETRANSLATE(A12117,""en"",""pt"")"),"terrivelmente")</f>
        <v>terrivelmente</v>
      </c>
      <c r="B12117" s="3">
        <v>0</v>
      </c>
    </row>
    <row r="12118" ht="15.75" customHeight="1" spans="1:2">
      <c r="A12118" s="3" t="str">
        <f>IFERROR(__xludf.DUMMYFUNCTION("GOOGLETRANSLATE(A12118,""en"",""pt"")"),"apreensão")</f>
        <v>apreensão</v>
      </c>
      <c r="B12118" s="3">
        <v>0</v>
      </c>
    </row>
    <row r="12119" ht="15.75" customHeight="1" spans="1:2">
      <c r="A12119" s="3" t="str">
        <f>IFERROR(__xludf.DUMMYFUNCTION("GOOGLETRANSLATE(A12119,""en"",""pt"")"),"apreensões")</f>
        <v>apreensões</v>
      </c>
      <c r="B12119" s="3">
        <v>0</v>
      </c>
    </row>
    <row r="12120" ht="15.75" customHeight="1" spans="1:2">
      <c r="A12120" s="3" t="str">
        <f>IFERROR(__xludf.DUMMYFUNCTION("GOOGLETRANSLATE(A12120,""en"",""pt"")"),"apreensivo")</f>
        <v>apreensivo</v>
      </c>
      <c r="B12120" s="3">
        <v>0</v>
      </c>
    </row>
    <row r="12121" ht="15.75" customHeight="1" spans="1:2">
      <c r="A12121" s="3" t="str">
        <f>IFERROR(__xludf.DUMMYFUNCTION("GOOGLETRANSLATE(A12121,""en"",""pt"")"),"apreensivamente")</f>
        <v>apreensivamente</v>
      </c>
      <c r="B12121" s="3">
        <v>0</v>
      </c>
    </row>
    <row r="12122" ht="15.75" customHeight="1" spans="1:2">
      <c r="A12122" s="3" t="str">
        <f>IFERROR(__xludf.DUMMYFUNCTION("GOOGLETRANSLATE(A12122,""en"",""pt"")"),"arbitrário")</f>
        <v>arbitrário</v>
      </c>
      <c r="B12122" s="3">
        <v>0</v>
      </c>
    </row>
    <row r="12123" ht="15.75" customHeight="1" spans="1:2">
      <c r="A12123" s="3" t="str">
        <f>IFERROR(__xludf.DUMMYFUNCTION("GOOGLETRANSLATE(A12123,""en"",""pt"")"),"misterioso")</f>
        <v>misterioso</v>
      </c>
      <c r="B12123" s="3">
        <v>0</v>
      </c>
    </row>
    <row r="12124" ht="15.75" customHeight="1" spans="1:2">
      <c r="A12124" s="3" t="str">
        <f>IFERROR(__xludf.DUMMYFUNCTION("GOOGLETRANSLATE(A12124,""en"",""pt"")"),"arcaico")</f>
        <v>arcaico</v>
      </c>
      <c r="B12124" s="3">
        <v>0</v>
      </c>
    </row>
    <row r="12125" ht="15.75" customHeight="1" spans="1:2">
      <c r="A12125" s="3" t="str">
        <f>IFERROR(__xludf.DUMMYFUNCTION("GOOGLETRANSLATE(A12125,""en"",""pt"")"),"árduo")</f>
        <v>árduo</v>
      </c>
      <c r="B12125" s="3">
        <v>0</v>
      </c>
    </row>
    <row r="12126" ht="15.75" customHeight="1" spans="1:2">
      <c r="A12126" s="3" t="str">
        <f>IFERROR(__xludf.DUMMYFUNCTION("GOOGLETRANSLATE(A12126,""en"",""pt"")"),"arduously")</f>
        <v>arduously</v>
      </c>
      <c r="B12126" s="3">
        <v>0</v>
      </c>
    </row>
    <row r="12127" ht="15.75" customHeight="1" spans="1:2">
      <c r="A12127" s="3" t="str">
        <f>IFERROR(__xludf.DUMMYFUNCTION("GOOGLETRANSLATE(A12127,""en"",""pt"")"),"argumentativo")</f>
        <v>argumentativo</v>
      </c>
      <c r="B12127" s="3">
        <v>0</v>
      </c>
    </row>
    <row r="12128" ht="15.75" customHeight="1" spans="1:2">
      <c r="A12128" s="3" t="str">
        <f>IFERROR(__xludf.DUMMYFUNCTION("GOOGLETRANSLATE(A12128,""en"",""pt"")"),"arrogância")</f>
        <v>arrogância</v>
      </c>
      <c r="B12128" s="3">
        <v>0</v>
      </c>
    </row>
    <row r="12129" ht="15.75" customHeight="1" spans="1:2">
      <c r="A12129" s="3" t="str">
        <f>IFERROR(__xludf.DUMMYFUNCTION("GOOGLETRANSLATE(A12129,""en"",""pt"")"),"arrogante")</f>
        <v>arrogante</v>
      </c>
      <c r="B12129" s="3">
        <v>0</v>
      </c>
    </row>
    <row r="12130" ht="15.75" customHeight="1" spans="1:2">
      <c r="A12130" s="3" t="str">
        <f>IFERROR(__xludf.DUMMYFUNCTION("GOOGLETRANSLATE(A12130,""en"",""pt"")"),"arrogantemente")</f>
        <v>arrogantemente</v>
      </c>
      <c r="B12130" s="3">
        <v>0</v>
      </c>
    </row>
    <row r="12131" ht="15.75" customHeight="1" spans="1:2">
      <c r="A12131" s="3" t="str">
        <f>IFERROR(__xludf.DUMMYFUNCTION("GOOGLETRANSLATE(A12131,""en"",""pt"")"),"envergonhado")</f>
        <v>envergonhado</v>
      </c>
      <c r="B12131" s="3">
        <v>0</v>
      </c>
    </row>
    <row r="12132" ht="15.75" customHeight="1" spans="1:2">
      <c r="A12132" s="3" t="str">
        <f>IFERROR(__xludf.DUMMYFUNCTION("GOOGLETRANSLATE(A12132,""en"",""pt"")"),"asinino")</f>
        <v>asinino</v>
      </c>
      <c r="B12132" s="3">
        <v>0</v>
      </c>
    </row>
    <row r="12133" ht="15.75" customHeight="1" spans="1:2">
      <c r="A12133" s="3" t="str">
        <f>IFERROR(__xludf.DUMMYFUNCTION("GOOGLETRANSLATE(A12133,""en"",""pt"")"),"asininely")</f>
        <v>asininely</v>
      </c>
      <c r="B12133" s="3">
        <v>0</v>
      </c>
    </row>
    <row r="12134" ht="15.75" customHeight="1" spans="1:2">
      <c r="A12134" s="3" t="str">
        <f>IFERROR(__xludf.DUMMYFUNCTION("GOOGLETRANSLATE(A12134,""en"",""pt"")"),"asinininity")</f>
        <v>asinininity</v>
      </c>
      <c r="B12134" s="3">
        <v>0</v>
      </c>
    </row>
    <row r="12135" ht="15.75" customHeight="1" spans="1:2">
      <c r="A12135" s="3" t="str">
        <f>IFERROR(__xludf.DUMMYFUNCTION("GOOGLETRANSLATE(A12135,""en"",""pt"")"),"desconfiadamente")</f>
        <v>desconfiadamente</v>
      </c>
      <c r="B12135" s="3">
        <v>0</v>
      </c>
    </row>
    <row r="12136" ht="15.75" customHeight="1" spans="1:2">
      <c r="A12136" s="3" t="str">
        <f>IFERROR(__xludf.DUMMYFUNCTION("GOOGLETRANSLATE(A12136,""en"",""pt"")"),"difamar")</f>
        <v>difamar</v>
      </c>
      <c r="B12136" s="3">
        <v>0</v>
      </c>
    </row>
    <row r="12137" ht="15.75" customHeight="1" spans="1:2">
      <c r="A12137" s="3" t="str">
        <f>IFERROR(__xludf.DUMMYFUNCTION("GOOGLETRANSLATE(A12137,""en"",""pt"")"),"aspersão")</f>
        <v>aspersão</v>
      </c>
      <c r="B12137" s="3">
        <v>0</v>
      </c>
    </row>
    <row r="12138" ht="15.75" customHeight="1" spans="1:2">
      <c r="A12138" s="3" t="str">
        <f>IFERROR(__xludf.DUMMYFUNCTION("GOOGLETRANSLATE(A12138,""en"",""pt"")"),"aspersions")</f>
        <v>aspersions</v>
      </c>
      <c r="B12138" s="3">
        <v>0</v>
      </c>
    </row>
    <row r="12139" ht="15.75" customHeight="1" spans="1:2">
      <c r="A12139" s="3" t="str">
        <f>IFERROR(__xludf.DUMMYFUNCTION("GOOGLETRANSLATE(A12139,""en"",""pt"")"),"assaltar")</f>
        <v>assaltar</v>
      </c>
      <c r="B12139" s="3">
        <v>0</v>
      </c>
    </row>
    <row r="12140" ht="15.75" customHeight="1" spans="1:2">
      <c r="A12140" s="3" t="str">
        <f>IFERROR(__xludf.DUMMYFUNCTION("GOOGLETRANSLATE(A12140,""en"",""pt"")"),"assassino")</f>
        <v>assassino</v>
      </c>
      <c r="B12140" s="3">
        <v>0</v>
      </c>
    </row>
    <row r="12141" ht="15.75" customHeight="1" spans="1:2">
      <c r="A12141" s="3" t="str">
        <f>IFERROR(__xludf.DUMMYFUNCTION("GOOGLETRANSLATE(A12141,""en"",""pt"")"),"assassinar")</f>
        <v>assassinar</v>
      </c>
      <c r="B12141" s="3">
        <v>0</v>
      </c>
    </row>
    <row r="12142" ht="15.75" customHeight="1" spans="1:2">
      <c r="A12142" s="3" t="str">
        <f>IFERROR(__xludf.DUMMYFUNCTION("GOOGLETRANSLATE(A12142,""en"",""pt"")"),"assalto")</f>
        <v>assalto</v>
      </c>
      <c r="B12142" s="3">
        <v>0</v>
      </c>
    </row>
    <row r="12143" ht="15.75" customHeight="1" spans="1:2">
      <c r="A12143" s="3" t="str">
        <f>IFERROR(__xludf.DUMMYFUNCTION("GOOGLETRANSLATE(A12143,""en"",""pt"")"),"assult")</f>
        <v>assult</v>
      </c>
      <c r="B12143" s="3">
        <v>0</v>
      </c>
    </row>
    <row r="12144" ht="15.75" customHeight="1" spans="1:2">
      <c r="A12144" s="3" t="str">
        <f>IFERROR(__xludf.DUMMYFUNCTION("GOOGLETRANSLATE(A12144,""en"",""pt"")"),"extraviados")</f>
        <v>extraviados</v>
      </c>
      <c r="B12144" s="3">
        <v>0</v>
      </c>
    </row>
    <row r="12145" ht="15.75" customHeight="1" spans="1:2">
      <c r="A12145" s="3" t="str">
        <f>IFERROR(__xludf.DUMMYFUNCTION("GOOGLETRANSLATE(A12145,""en"",""pt"")"),"separadamente")</f>
        <v>separadamente</v>
      </c>
      <c r="B12145" s="3">
        <v>0</v>
      </c>
    </row>
    <row r="12146" ht="15.75" customHeight="1" spans="1:2">
      <c r="A12146" s="3" t="str">
        <f>IFERROR(__xludf.DUMMYFUNCTION("GOOGLETRANSLATE(A12146,""en"",""pt"")"),"atroz")</f>
        <v>atroz</v>
      </c>
      <c r="B12146" s="3">
        <v>0</v>
      </c>
    </row>
    <row r="12147" ht="15.75" customHeight="1" spans="1:2">
      <c r="A12147" s="3" t="str">
        <f>IFERROR(__xludf.DUMMYFUNCTION("GOOGLETRANSLATE(A12147,""en"",""pt"")"),"atrocidades")</f>
        <v>atrocidades</v>
      </c>
      <c r="B12147" s="3">
        <v>0</v>
      </c>
    </row>
    <row r="12148" ht="15.75" customHeight="1" spans="1:2">
      <c r="A12148" s="3" t="str">
        <f>IFERROR(__xludf.DUMMYFUNCTION("GOOGLETRANSLATE(A12148,""en"",""pt"")"),"atrocidade")</f>
        <v>atrocidade</v>
      </c>
      <c r="B12148" s="3">
        <v>0</v>
      </c>
    </row>
    <row r="12149" ht="15.75" customHeight="1" spans="1:2">
      <c r="A12149" s="3" t="str">
        <f>IFERROR(__xludf.DUMMYFUNCTION("GOOGLETRANSLATE(A12149,""en"",""pt"")"),"atrofia")</f>
        <v>atrofia</v>
      </c>
      <c r="B12149" s="3">
        <v>0</v>
      </c>
    </row>
    <row r="12150" ht="15.75" customHeight="1" spans="1:2">
      <c r="A12150" s="3" t="str">
        <f>IFERROR(__xludf.DUMMYFUNCTION("GOOGLETRANSLATE(A12150,""en"",""pt"")"),"ataque")</f>
        <v>ataque</v>
      </c>
      <c r="B12150" s="3">
        <v>0</v>
      </c>
    </row>
    <row r="12151" ht="15.75" customHeight="1" spans="1:2">
      <c r="A12151" s="3" t="str">
        <f>IFERROR(__xludf.DUMMYFUNCTION("GOOGLETRANSLATE(A12151,""en"",""pt"")"),"ataques")</f>
        <v>ataques</v>
      </c>
      <c r="B12151" s="3">
        <v>0</v>
      </c>
    </row>
    <row r="12152" ht="15.75" customHeight="1" spans="1:2">
      <c r="A12152" s="3" t="str">
        <f>IFERROR(__xludf.DUMMYFUNCTION("GOOGLETRANSLATE(A12152,""en"",""pt"")"),"audacioso")</f>
        <v>audacioso</v>
      </c>
      <c r="B12152" s="3">
        <v>0</v>
      </c>
    </row>
    <row r="12153" ht="15.75" customHeight="1" spans="1:2">
      <c r="A12153" s="3" t="str">
        <f>IFERROR(__xludf.DUMMYFUNCTION("GOOGLETRANSLATE(A12153,""en"",""pt"")"),"audaciosamente")</f>
        <v>audaciosamente</v>
      </c>
      <c r="B12153" s="3">
        <v>0</v>
      </c>
    </row>
    <row r="12154" ht="15.75" customHeight="1" spans="1:2">
      <c r="A12154" s="3" t="str">
        <f>IFERROR(__xludf.DUMMYFUNCTION("GOOGLETRANSLATE(A12154,""en"",""pt"")"),"audácia")</f>
        <v>audácia</v>
      </c>
      <c r="B12154" s="3">
        <v>0</v>
      </c>
    </row>
    <row r="12155" ht="15.75" customHeight="1" spans="1:2">
      <c r="A12155" s="3" t="str">
        <f>IFERROR(__xludf.DUMMYFUNCTION("GOOGLETRANSLATE(A12155,""en"",""pt"")"),"audácia")</f>
        <v>audácia</v>
      </c>
      <c r="B12155" s="3">
        <v>0</v>
      </c>
    </row>
    <row r="12156" ht="15.75" customHeight="1" spans="1:2">
      <c r="A12156" s="3" t="str">
        <f>IFERROR(__xludf.DUMMYFUNCTION("GOOGLETRANSLATE(A12156,""en"",""pt"")"),"audiciously")</f>
        <v>audiciously</v>
      </c>
      <c r="B12156" s="3">
        <v>0</v>
      </c>
    </row>
    <row r="12157" ht="15.75" customHeight="1" spans="1:2">
      <c r="A12157" s="3" t="str">
        <f>IFERROR(__xludf.DUMMYFUNCTION("GOOGLETRANSLATE(A12157,""en"",""pt"")"),"austero")</f>
        <v>austero</v>
      </c>
      <c r="B12157" s="3">
        <v>0</v>
      </c>
    </row>
    <row r="12158" ht="15.75" customHeight="1" spans="1:2">
      <c r="A12158" s="3" t="str">
        <f>IFERROR(__xludf.DUMMYFUNCTION("GOOGLETRANSLATE(A12158,""en"",""pt"")"),"autoritário")</f>
        <v>autoritário</v>
      </c>
      <c r="B12158" s="3">
        <v>0</v>
      </c>
    </row>
    <row r="12159" ht="15.75" customHeight="1" spans="1:2">
      <c r="A12159" s="3" t="str">
        <f>IFERROR(__xludf.DUMMYFUNCTION("GOOGLETRANSLATE(A12159,""en"",""pt"")"),"autocrata")</f>
        <v>autocrata</v>
      </c>
      <c r="B12159" s="3">
        <v>0</v>
      </c>
    </row>
    <row r="12160" ht="15.75" customHeight="1" spans="1:2">
      <c r="A12160" s="3" t="str">
        <f>IFERROR(__xludf.DUMMYFUNCTION("GOOGLETRANSLATE(A12160,""en"",""pt"")"),"autocrático")</f>
        <v>autocrático</v>
      </c>
      <c r="B12160" s="3">
        <v>0</v>
      </c>
    </row>
    <row r="12161" ht="15.75" customHeight="1" spans="1:2">
      <c r="A12161" s="3" t="str">
        <f>IFERROR(__xludf.DUMMYFUNCTION("GOOGLETRANSLATE(A12161,""en"",""pt"")"),"avalanche")</f>
        <v>avalanche</v>
      </c>
      <c r="B12161" s="3">
        <v>0</v>
      </c>
    </row>
    <row r="12162" ht="15.75" customHeight="1" spans="1:2">
      <c r="A12162" s="3" t="str">
        <f>IFERROR(__xludf.DUMMYFUNCTION("GOOGLETRANSLATE(A12162,""en"",""pt"")"),"avareza")</f>
        <v>avareza</v>
      </c>
      <c r="B12162" s="3">
        <v>0</v>
      </c>
    </row>
    <row r="12163" ht="15.75" customHeight="1" spans="1:2">
      <c r="A12163" s="3" t="str">
        <f>IFERROR(__xludf.DUMMYFUNCTION("GOOGLETRANSLATE(A12163,""en"",""pt"")"),"avaro")</f>
        <v>avaro</v>
      </c>
      <c r="B12163" s="3">
        <v>0</v>
      </c>
    </row>
    <row r="12164" ht="15.75" customHeight="1" spans="1:2">
      <c r="A12164" s="3" t="str">
        <f>IFERROR(__xludf.DUMMYFUNCTION("GOOGLETRANSLATE(A12164,""en"",""pt"")"),"avaramente")</f>
        <v>avaramente</v>
      </c>
      <c r="B12164" s="3">
        <v>0</v>
      </c>
    </row>
    <row r="12165" ht="15.75" customHeight="1" spans="1:2">
      <c r="A12165" s="3" t="str">
        <f>IFERROR(__xludf.DUMMYFUNCTION("GOOGLETRANSLATE(A12165,""en"",""pt"")"),"Avenge")</f>
        <v>Avenge</v>
      </c>
      <c r="B12165" s="3">
        <v>0</v>
      </c>
    </row>
    <row r="12166" ht="15.75" customHeight="1" spans="1:2">
      <c r="A12166" s="3" t="str">
        <f>IFERROR(__xludf.DUMMYFUNCTION("GOOGLETRANSLATE(A12166,""en"",""pt"")"),"adverso")</f>
        <v>adverso</v>
      </c>
      <c r="B12166" s="3">
        <v>0</v>
      </c>
    </row>
    <row r="12167" ht="15.75" customHeight="1" spans="1:2">
      <c r="A12167" s="3" t="str">
        <f>IFERROR(__xludf.DUMMYFUNCTION("GOOGLETRANSLATE(A12167,""en"",""pt"")"),"aversão")</f>
        <v>aversão</v>
      </c>
      <c r="B12167" s="3">
        <v>0</v>
      </c>
    </row>
    <row r="12168" ht="15.75" customHeight="1" spans="1:2">
      <c r="A12168" s="3" t="str">
        <f>IFERROR(__xludf.DUMMYFUNCTION("GOOGLETRANSLATE(A12168,""en"",""pt"")"),"aweful")</f>
        <v>aweful</v>
      </c>
      <c r="B12168" s="3">
        <v>0</v>
      </c>
    </row>
    <row r="12169" ht="15.75" customHeight="1" spans="1:2">
      <c r="A12169" s="3" t="str">
        <f>IFERROR(__xludf.DUMMYFUNCTION("GOOGLETRANSLATE(A12169,""en"",""pt"")"),"horrível")</f>
        <v>horrível</v>
      </c>
      <c r="B12169" s="3">
        <v>0</v>
      </c>
    </row>
    <row r="12170" ht="15.75" customHeight="1" spans="1:2">
      <c r="A12170" s="3" t="str">
        <f>IFERROR(__xludf.DUMMYFUNCTION("GOOGLETRANSLATE(A12170,""en"",""pt"")"),"muito")</f>
        <v>muito</v>
      </c>
      <c r="B12170" s="3">
        <v>0</v>
      </c>
    </row>
    <row r="12171" ht="15.75" customHeight="1" spans="1:2">
      <c r="A12171" s="3" t="str">
        <f>IFERROR(__xludf.DUMMYFUNCTION("GOOGLETRANSLATE(A12171,""en"",""pt"")"),"awfulness")</f>
        <v>awfulness</v>
      </c>
      <c r="B12171" s="3">
        <v>0</v>
      </c>
    </row>
    <row r="12172" ht="15.75" customHeight="1" spans="1:2">
      <c r="A12172" s="3" t="str">
        <f>IFERROR(__xludf.DUMMYFUNCTION("GOOGLETRANSLATE(A12172,""en"",""pt"")"),"desajeitado")</f>
        <v>desajeitado</v>
      </c>
      <c r="B12172" s="3">
        <v>0</v>
      </c>
    </row>
    <row r="12173" ht="15.75" customHeight="1" spans="1:2">
      <c r="A12173" s="3" t="str">
        <f>IFERROR(__xludf.DUMMYFUNCTION("GOOGLETRANSLATE(A12173,""en"",""pt"")"),"embaraço")</f>
        <v>embaraço</v>
      </c>
      <c r="B12173" s="3">
        <v>0</v>
      </c>
    </row>
    <row r="12174" ht="15.75" customHeight="1" spans="1:2">
      <c r="A12174" s="3" t="str">
        <f>IFERROR(__xludf.DUMMYFUNCTION("GOOGLETRANSLATE(A12174,""en"",""pt"")"),"machado")</f>
        <v>machado</v>
      </c>
      <c r="B12174" s="3">
        <v>0</v>
      </c>
    </row>
    <row r="12175" ht="15.75" customHeight="1" spans="1:2">
      <c r="A12175" s="3" t="str">
        <f>IFERROR(__xludf.DUMMYFUNCTION("GOOGLETRANSLATE(A12175,""en"",""pt"")"),"balbuciar")</f>
        <v>balbuciar</v>
      </c>
      <c r="B12175" s="3">
        <v>0</v>
      </c>
    </row>
    <row r="12176" ht="15.75" customHeight="1" spans="1:2">
      <c r="A12176" s="3" t="str">
        <f>IFERROR(__xludf.DUMMYFUNCTION("GOOGLETRANSLATE(A12176,""en"",""pt"")"),"-Back logado")</f>
        <v>-Back logado</v>
      </c>
      <c r="B12176" s="3">
        <v>0</v>
      </c>
    </row>
    <row r="12177" ht="15.75" customHeight="1" spans="1:2">
      <c r="A12177" s="3" t="str">
        <f>IFERROR(__xludf.DUMMYFUNCTION("GOOGLETRANSLATE(A12177,""en"",""pt"")"),"volta-madeira")</f>
        <v>volta-madeira</v>
      </c>
      <c r="B12177" s="3">
        <v>0</v>
      </c>
    </row>
    <row r="12178" ht="15.75" customHeight="1" spans="1:2">
      <c r="A12178" s="3" t="str">
        <f>IFERROR(__xludf.DUMMYFUNCTION("GOOGLETRANSLATE(A12178,""en"",""pt"")"),"sertão")</f>
        <v>sertão</v>
      </c>
      <c r="B12178" s="3">
        <v>0</v>
      </c>
    </row>
    <row r="12179" ht="15.75" customHeight="1" spans="1:2">
      <c r="A12179" s="3" t="str">
        <f>IFERROR(__xludf.DUMMYFUNCTION("GOOGLETRANSLATE(A12179,""en"",""pt"")"),"dor lombar")</f>
        <v>dor lombar</v>
      </c>
      <c r="B12179" s="3">
        <v>0</v>
      </c>
    </row>
    <row r="12180" ht="15.75" customHeight="1" spans="1:2">
      <c r="A12180" s="3" t="str">
        <f>IFERROR(__xludf.DUMMYFUNCTION("GOOGLETRANSLATE(A12180,""en"",""pt"")"),"dores nas costas")</f>
        <v>dores nas costas</v>
      </c>
      <c r="B12180" s="3">
        <v>0</v>
      </c>
    </row>
    <row r="12181" ht="15.75" customHeight="1" spans="1:2">
      <c r="A12181" s="3" t="str">
        <f>IFERROR(__xludf.DUMMYFUNCTION("GOOGLETRANSLATE(A12181,""en"",""pt"")"),"backaching")</f>
        <v>backaching</v>
      </c>
      <c r="B12181" s="3">
        <v>0</v>
      </c>
    </row>
    <row r="12182" ht="15.75" customHeight="1" spans="1:2">
      <c r="A12182" s="3" t="str">
        <f>IFERROR(__xludf.DUMMYFUNCTION("GOOGLETRANSLATE(A12182,""en"",""pt"")"),"backbite")</f>
        <v>backbite</v>
      </c>
      <c r="B12182" s="3">
        <v>0</v>
      </c>
    </row>
    <row r="12183" ht="15.75" customHeight="1" spans="1:2">
      <c r="A12183" s="3" t="str">
        <f>IFERROR(__xludf.DUMMYFUNCTION("GOOGLETRANSLATE(A12183,""en"",""pt"")"),"backbiting")</f>
        <v>backbiting</v>
      </c>
      <c r="B12183" s="3">
        <v>0</v>
      </c>
    </row>
    <row r="12184" ht="15.75" customHeight="1" spans="1:2">
      <c r="A12184" s="3" t="str">
        <f>IFERROR(__xludf.DUMMYFUNCTION("GOOGLETRANSLATE(A12184,""en"",""pt"")"),"para trás")</f>
        <v>para trás</v>
      </c>
      <c r="B12184" s="3">
        <v>0</v>
      </c>
    </row>
    <row r="12185" ht="15.75" customHeight="1" spans="1:2">
      <c r="A12185" s="3" t="str">
        <f>IFERROR(__xludf.DUMMYFUNCTION("GOOGLETRANSLATE(A12185,""en"",""pt"")"),"atraso")</f>
        <v>atraso</v>
      </c>
      <c r="B12185" s="3">
        <v>0</v>
      </c>
    </row>
    <row r="12186" ht="15.75" customHeight="1" spans="1:2">
      <c r="A12186" s="3" t="str">
        <f>IFERROR(__xludf.DUMMYFUNCTION("GOOGLETRANSLATE(A12186,""en"",""pt"")"),"Backwood")</f>
        <v>Backwood</v>
      </c>
      <c r="B12186" s="3">
        <v>0</v>
      </c>
    </row>
    <row r="12187" ht="15.75" customHeight="1" spans="1:2">
      <c r="A12187" s="3" t="str">
        <f>IFERROR(__xludf.DUMMYFUNCTION("GOOGLETRANSLATE(A12187,""en"",""pt"")"),"sertão")</f>
        <v>sertão</v>
      </c>
      <c r="B12187" s="3">
        <v>0</v>
      </c>
    </row>
    <row r="12188" ht="15.75" customHeight="1" spans="1:2">
      <c r="A12188" s="3" t="str">
        <f>IFERROR(__xludf.DUMMYFUNCTION("GOOGLETRANSLATE(A12188,""en"",""pt"")"),"ruim")</f>
        <v>ruim</v>
      </c>
      <c r="B12188" s="3">
        <v>0</v>
      </c>
    </row>
    <row r="12189" ht="15.75" customHeight="1" spans="1:2">
      <c r="A12189" s="3" t="str">
        <f>IFERROR(__xludf.DUMMYFUNCTION("GOOGLETRANSLATE(A12189,""en"",""pt"")"),"seriamente")</f>
        <v>seriamente</v>
      </c>
      <c r="B12189" s="3">
        <v>0</v>
      </c>
    </row>
    <row r="12190" ht="15.75" customHeight="1" spans="1:2">
      <c r="A12190" s="3" t="str">
        <f>IFERROR(__xludf.DUMMYFUNCTION("GOOGLETRANSLATE(A12190,""en"",""pt"")"),"despistar")</f>
        <v>despistar</v>
      </c>
      <c r="B12190" s="3">
        <v>0</v>
      </c>
    </row>
    <row r="12191" ht="15.75" customHeight="1" spans="1:2">
      <c r="A12191" s="3" t="str">
        <f>IFERROR(__xludf.DUMMYFUNCTION("GOOGLETRANSLATE(A12191,""en"",""pt"")"),"desconcertado")</f>
        <v>desconcertado</v>
      </c>
      <c r="B12191" s="3">
        <v>0</v>
      </c>
    </row>
    <row r="12192" ht="15.75" customHeight="1" spans="1:2">
      <c r="A12192" s="3" t="str">
        <f>IFERROR(__xludf.DUMMYFUNCTION("GOOGLETRANSLATE(A12192,""en"",""pt"")"),"bafflement")</f>
        <v>bafflement</v>
      </c>
      <c r="B12192" s="3">
        <v>0</v>
      </c>
    </row>
    <row r="12193" ht="15.75" customHeight="1" spans="1:2">
      <c r="A12193" s="3" t="str">
        <f>IFERROR(__xludf.DUMMYFUNCTION("GOOGLETRANSLATE(A12193,""en"",""pt"")"),"desconcertante")</f>
        <v>desconcertante</v>
      </c>
      <c r="B12193" s="3">
        <v>0</v>
      </c>
    </row>
    <row r="12194" ht="15.75" customHeight="1" spans="1:2">
      <c r="A12194" s="3" t="str">
        <f>IFERROR(__xludf.DUMMYFUNCTION("GOOGLETRANSLATE(A12194,""en"",""pt"")"),"isca")</f>
        <v>isca</v>
      </c>
      <c r="B12194" s="3">
        <v>0</v>
      </c>
    </row>
    <row r="12195" ht="15.75" customHeight="1" spans="1:2">
      <c r="A12195" s="3" t="str">
        <f>IFERROR(__xludf.DUMMYFUNCTION("GOOGLETRANSLATE(A12195,""en"",""pt"")"),"tropeço")</f>
        <v>tropeço</v>
      </c>
      <c r="B12195" s="3">
        <v>0</v>
      </c>
    </row>
    <row r="12196" ht="15.75" customHeight="1" spans="1:2">
      <c r="A12196" s="3" t="str">
        <f>IFERROR(__xludf.DUMMYFUNCTION("GOOGLETRANSLATE(A12196,""en"",""pt"")"),"banal")</f>
        <v>banal</v>
      </c>
      <c r="B12196" s="3">
        <v>0</v>
      </c>
    </row>
    <row r="12197" ht="15.75" customHeight="1" spans="1:2">
      <c r="A12197" s="3" t="str">
        <f>IFERROR(__xludf.DUMMYFUNCTION("GOOGLETRANSLATE(A12197,""en"",""pt"")"),"banalizar")</f>
        <v>banalizar</v>
      </c>
      <c r="B12197" s="3">
        <v>0</v>
      </c>
    </row>
    <row r="12198" ht="15.75" customHeight="1" spans="1:2">
      <c r="A12198" s="3" t="str">
        <f>IFERROR(__xludf.DUMMYFUNCTION("GOOGLETRANSLATE(A12198,""en"",""pt"")"),"desgraça")</f>
        <v>desgraça</v>
      </c>
      <c r="B12198" s="3">
        <v>0</v>
      </c>
    </row>
    <row r="12199" ht="15.75" customHeight="1" spans="1:2">
      <c r="A12199" s="3" t="str">
        <f>IFERROR(__xludf.DUMMYFUNCTION("GOOGLETRANSLATE(A12199,""en"",""pt"")"),"banir")</f>
        <v>banir</v>
      </c>
      <c r="B12199" s="3">
        <v>0</v>
      </c>
    </row>
    <row r="12200" ht="15.75" customHeight="1" spans="1:2">
      <c r="A12200" s="3" t="str">
        <f>IFERROR(__xludf.DUMMYFUNCTION("GOOGLETRANSLATE(A12200,""en"",""pt"")"),"banimento")</f>
        <v>banimento</v>
      </c>
      <c r="B12200" s="3">
        <v>0</v>
      </c>
    </row>
    <row r="12201" ht="15.75" customHeight="1" spans="1:2">
      <c r="A12201" s="3" t="str">
        <f>IFERROR(__xludf.DUMMYFUNCTION("GOOGLETRANSLATE(A12201,""en"",""pt"")"),"falido")</f>
        <v>falido</v>
      </c>
      <c r="B12201" s="3">
        <v>0</v>
      </c>
    </row>
    <row r="12202" ht="15.75" customHeight="1" spans="1:2">
      <c r="A12202" s="3" t="str">
        <f>IFERROR(__xludf.DUMMYFUNCTION("GOOGLETRANSLATE(A12202,""en"",""pt"")"),"bárbaro")</f>
        <v>bárbaro</v>
      </c>
      <c r="B12202" s="3">
        <v>0</v>
      </c>
    </row>
    <row r="12203" ht="15.75" customHeight="1" spans="1:2">
      <c r="A12203" s="3" t="str">
        <f>IFERROR(__xludf.DUMMYFUNCTION("GOOGLETRANSLATE(A12203,""en"",""pt"")"),"bárbaro")</f>
        <v>bárbaro</v>
      </c>
      <c r="B12203" s="3">
        <v>0</v>
      </c>
    </row>
    <row r="12204" ht="15.75" customHeight="1" spans="1:2">
      <c r="A12204" s="3" t="str">
        <f>IFERROR(__xludf.DUMMYFUNCTION("GOOGLETRANSLATE(A12204,""en"",""pt"")"),"barbaramente")</f>
        <v>barbaramente</v>
      </c>
      <c r="B12204" s="3">
        <v>0</v>
      </c>
    </row>
    <row r="12205" ht="15.75" customHeight="1" spans="1:2">
      <c r="A12205" s="3" t="str">
        <f>IFERROR(__xludf.DUMMYFUNCTION("GOOGLETRANSLATE(A12205,""en"",""pt"")"),"barbaridade")</f>
        <v>barbaridade</v>
      </c>
      <c r="B12205" s="3">
        <v>0</v>
      </c>
    </row>
    <row r="12206" ht="15.75" customHeight="1" spans="1:2">
      <c r="A12206" s="3" t="str">
        <f>IFERROR(__xludf.DUMMYFUNCTION("GOOGLETRANSLATE(A12206,""en"",""pt"")"),"bárbaro")</f>
        <v>bárbaro</v>
      </c>
      <c r="B12206" s="3">
        <v>0</v>
      </c>
    </row>
    <row r="12207" ht="15.75" customHeight="1" spans="1:2">
      <c r="A12207" s="3" t="str">
        <f>IFERROR(__xludf.DUMMYFUNCTION("GOOGLETRANSLATE(A12207,""en"",""pt"")"),"barbaramente")</f>
        <v>barbaramente</v>
      </c>
      <c r="B12207" s="3">
        <v>0</v>
      </c>
    </row>
    <row r="12208" ht="15.75" customHeight="1" spans="1:2">
      <c r="A12208" s="3" t="str">
        <f>IFERROR(__xludf.DUMMYFUNCTION("GOOGLETRANSLATE(A12208,""en"",""pt"")"),"estéril")</f>
        <v>estéril</v>
      </c>
      <c r="B12208" s="3">
        <v>0</v>
      </c>
    </row>
    <row r="12209" ht="15.75" customHeight="1" spans="1:2">
      <c r="A12209" s="3" t="str">
        <f>IFERROR(__xludf.DUMMYFUNCTION("GOOGLETRANSLATE(A12209,""en"",""pt"")"),"infundado")</f>
        <v>infundado</v>
      </c>
      <c r="B12209" s="3">
        <v>0</v>
      </c>
    </row>
    <row r="12210" ht="15.75" customHeight="1" spans="1:2">
      <c r="A12210" s="3" t="str">
        <f>IFERROR(__xludf.DUMMYFUNCTION("GOOGLETRANSLATE(A12210,""en"",""pt"")"),"bater")</f>
        <v>bater</v>
      </c>
      <c r="B12210" s="3">
        <v>0</v>
      </c>
    </row>
    <row r="12211" ht="15.75" customHeight="1" spans="1:2">
      <c r="A12211" s="3" t="str">
        <f>IFERROR(__xludf.DUMMYFUNCTION("GOOGLETRANSLATE(A12211,""en"",""pt"")"),"bateu")</f>
        <v>bateu</v>
      </c>
      <c r="B12211" s="3">
        <v>0</v>
      </c>
    </row>
    <row r="12212" ht="15.75" customHeight="1" spans="1:2">
      <c r="A12212" s="3" t="str">
        <f>IFERROR(__xludf.DUMMYFUNCTION("GOOGLETRANSLATE(A12212,""en"",""pt"")"),"tímido")</f>
        <v>tímido</v>
      </c>
      <c r="B12212" s="3">
        <v>0</v>
      </c>
    </row>
    <row r="12213" ht="15.75" customHeight="1" spans="1:2">
      <c r="A12213" s="3" t="str">
        <f>IFERROR(__xludf.DUMMYFUNCTION("GOOGLETRANSLATE(A12213,""en"",""pt"")"),"contusão")</f>
        <v>contusão</v>
      </c>
      <c r="B12213" s="3">
        <v>0</v>
      </c>
    </row>
    <row r="12214" ht="15.75" customHeight="1" spans="1:2">
      <c r="A12214" s="3" t="str">
        <f>IFERROR(__xludf.DUMMYFUNCTION("GOOGLETRANSLATE(A12214,""en"",""pt"")"),"Desgraçado")</f>
        <v>Desgraçado</v>
      </c>
      <c r="B12214" s="3">
        <v>0</v>
      </c>
    </row>
    <row r="12215" ht="15.75" customHeight="1" spans="1:2">
      <c r="A12215" s="3" t="str">
        <f>IFERROR(__xludf.DUMMYFUNCTION("GOOGLETRANSLATE(A12215,""en"",""pt"")"),"bastardos")</f>
        <v>bastardos</v>
      </c>
      <c r="B12215" s="3">
        <v>0</v>
      </c>
    </row>
    <row r="12216" ht="15.75" customHeight="1" spans="1:2">
      <c r="A12216" s="3" t="str">
        <f>IFERROR(__xludf.DUMMYFUNCTION("GOOGLETRANSLATE(A12216,""en"",""pt"")"),"agredidas")</f>
        <v>agredidas</v>
      </c>
      <c r="B12216" s="3">
        <v>0</v>
      </c>
    </row>
    <row r="12217" ht="15.75" customHeight="1" spans="1:2">
      <c r="A12217" s="3" t="str">
        <f>IFERROR(__xludf.DUMMYFUNCTION("GOOGLETRANSLATE(A12217,""en"",""pt"")"),"espancamento")</f>
        <v>espancamento</v>
      </c>
      <c r="B12217" s="3">
        <v>0</v>
      </c>
    </row>
    <row r="12218" ht="15.75" customHeight="1" spans="1:2">
      <c r="A12218" s="3" t="str">
        <f>IFERROR(__xludf.DUMMYFUNCTION("GOOGLETRANSLATE(A12218,""en"",""pt"")"),"com deficiência mental")</f>
        <v>com deficiência mental</v>
      </c>
      <c r="B12218" s="3">
        <v>0</v>
      </c>
    </row>
    <row r="12219" ht="15.75" customHeight="1" spans="1:2">
      <c r="A12219" s="3" t="str">
        <f>IFERROR(__xludf.DUMMYFUNCTION("GOOGLETRANSLATE(A12219,""en"",""pt"")"),"grosseiro")</f>
        <v>grosseiro</v>
      </c>
      <c r="B12219" s="3">
        <v>0</v>
      </c>
    </row>
    <row r="12220" ht="15.75" customHeight="1" spans="1:2">
      <c r="A12220" s="3" t="str">
        <f>IFERROR(__xludf.DUMMYFUNCTION("GOOGLETRANSLATE(A12220,""en"",""pt"")"),"bestial")</f>
        <v>bestial</v>
      </c>
      <c r="B12220" s="3">
        <v>0</v>
      </c>
    </row>
    <row r="12221" ht="15.75" customHeight="1" spans="1:2">
      <c r="A12221" s="3" t="str">
        <f>IFERROR(__xludf.DUMMYFUNCTION("GOOGLETRANSLATE(A12221,""en"",""pt"")"),"confusão")</f>
        <v>confusão</v>
      </c>
      <c r="B12221" s="3">
        <v>0</v>
      </c>
    </row>
    <row r="12222" ht="15.75" customHeight="1" spans="1:2">
      <c r="A12222" s="3" t="str">
        <f>IFERROR(__xludf.DUMMYFUNCTION("GOOGLETRANSLATE(A12222,""en"",""pt"")"),"alienado")</f>
        <v>alienado</v>
      </c>
      <c r="B12222" s="3">
        <v>0</v>
      </c>
    </row>
    <row r="12223" ht="15.75" customHeight="1" spans="1:2">
      <c r="A12223" s="3" t="str">
        <f>IFERROR(__xludf.DUMMYFUNCTION("GOOGLETRANSLATE(A12223,""en"",""pt"")"),"sujar")</f>
        <v>sujar</v>
      </c>
      <c r="B12223" s="3">
        <v>0</v>
      </c>
    </row>
    <row r="12224" ht="15.75" customHeight="1" spans="1:2">
      <c r="A12224" s="3" t="str">
        <f>IFERROR(__xludf.DUMMYFUNCTION("GOOGLETRANSLATE(A12224,""en"",""pt"")"),"implorar")</f>
        <v>implorar</v>
      </c>
      <c r="B12224" s="3">
        <v>0</v>
      </c>
    </row>
    <row r="12225" ht="15.75" customHeight="1" spans="1:2">
      <c r="A12225" s="3" t="str">
        <f>IFERROR(__xludf.DUMMYFUNCTION("GOOGLETRANSLATE(A12225,""en"",""pt"")"),"mendigo")</f>
        <v>mendigo</v>
      </c>
      <c r="B12225" s="3">
        <v>0</v>
      </c>
    </row>
    <row r="12226" ht="15.75" customHeight="1" spans="1:2">
      <c r="A12226" s="3" t="str">
        <f>IFERROR(__xludf.DUMMYFUNCTION("GOOGLETRANSLATE(A12226,""en"",""pt"")"),"indigente")</f>
        <v>indigente</v>
      </c>
      <c r="B12226" s="3">
        <v>0</v>
      </c>
    </row>
    <row r="12227" ht="15.75" customHeight="1" spans="1:2">
      <c r="A12227" s="3" t="str">
        <f>IFERROR(__xludf.DUMMYFUNCTION("GOOGLETRANSLATE(A12227,""en"",""pt"")"),"implorando")</f>
        <v>implorando</v>
      </c>
      <c r="B12227" s="3">
        <v>0</v>
      </c>
    </row>
    <row r="12228" ht="15.75" customHeight="1" spans="1:2">
      <c r="A12228" s="3" t="str">
        <f>IFERROR(__xludf.DUMMYFUNCTION("GOOGLETRANSLATE(A12228,""en"",""pt"")"),"beguile")</f>
        <v>beguile</v>
      </c>
      <c r="B12228" s="3">
        <v>0</v>
      </c>
    </row>
    <row r="12229" ht="15.75" customHeight="1" spans="1:2">
      <c r="A12229" s="3" t="str">
        <f>IFERROR(__xludf.DUMMYFUNCTION("GOOGLETRANSLATE(A12229,""en"",""pt"")"),"espancar")</f>
        <v>espancar</v>
      </c>
      <c r="B12229" s="3">
        <v>0</v>
      </c>
    </row>
    <row r="12230" ht="15.75" customHeight="1" spans="1:2">
      <c r="A12230" s="3" t="str">
        <f>IFERROR(__xludf.DUMMYFUNCTION("GOOGLETRANSLATE(A12230,""en"",""pt"")"),"atrasado")</f>
        <v>atrasado</v>
      </c>
      <c r="B12230" s="3">
        <v>0</v>
      </c>
    </row>
    <row r="12231" ht="15.75" customHeight="1" spans="1:2">
      <c r="A12231" s="3" t="str">
        <f>IFERROR(__xludf.DUMMYFUNCTION("GOOGLETRANSLATE(A12231,""en"",""pt"")"),"sitiar")</f>
        <v>sitiar</v>
      </c>
      <c r="B12231" s="3">
        <v>0</v>
      </c>
    </row>
    <row r="12232" ht="15.75" customHeight="1" spans="1:2">
      <c r="A12232" s="3" t="str">
        <f>IFERROR(__xludf.DUMMYFUNCTION("GOOGLETRANSLATE(A12232,""en"",""pt"")"),"desmentir")</f>
        <v>desmentir</v>
      </c>
      <c r="B12232" s="3">
        <v>0</v>
      </c>
    </row>
    <row r="12233" ht="15.75" customHeight="1" spans="1:2">
      <c r="A12233" s="3" t="str">
        <f>IFERROR(__xludf.DUMMYFUNCTION("GOOGLETRANSLATE(A12233,""en"",""pt"")"),"depreciar")</f>
        <v>depreciar</v>
      </c>
      <c r="B12233" s="3">
        <v>0</v>
      </c>
    </row>
    <row r="12234" ht="15.75" customHeight="1" spans="1:2">
      <c r="A12234" s="3" t="str">
        <f>IFERROR(__xludf.DUMMYFUNCTION("GOOGLETRANSLATE(A12234,""en"",""pt"")"),"menosprezado")</f>
        <v>menosprezado</v>
      </c>
      <c r="B12234" s="3">
        <v>0</v>
      </c>
    </row>
    <row r="12235" ht="15.75" customHeight="1" spans="1:2">
      <c r="A12235" s="3" t="str">
        <f>IFERROR(__xludf.DUMMYFUNCTION("GOOGLETRANSLATE(A12235,""en"",""pt"")"),"belittling")</f>
        <v>belittling</v>
      </c>
      <c r="B12235" s="3">
        <v>0</v>
      </c>
    </row>
    <row r="12236" ht="15.75" customHeight="1" spans="1:2">
      <c r="A12236" s="3" t="str">
        <f>IFERROR(__xludf.DUMMYFUNCTION("GOOGLETRANSLATE(A12236,""en"",""pt"")"),"belicoso")</f>
        <v>belicoso</v>
      </c>
      <c r="B12236" s="3">
        <v>0</v>
      </c>
    </row>
    <row r="12237" ht="15.75" customHeight="1" spans="1:2">
      <c r="A12237" s="3" t="str">
        <f>IFERROR(__xludf.DUMMYFUNCTION("GOOGLETRANSLATE(A12237,""en"",""pt"")"),"beligerância")</f>
        <v>beligerância</v>
      </c>
      <c r="B12237" s="3">
        <v>0</v>
      </c>
    </row>
    <row r="12238" ht="15.75" customHeight="1" spans="1:2">
      <c r="A12238" s="3" t="str">
        <f>IFERROR(__xludf.DUMMYFUNCTION("GOOGLETRANSLATE(A12238,""en"",""pt"")"),"beligerante")</f>
        <v>beligerante</v>
      </c>
      <c r="B12238" s="3">
        <v>0</v>
      </c>
    </row>
    <row r="12239" ht="15.75" customHeight="1" spans="1:2">
      <c r="A12239" s="3" t="str">
        <f>IFERROR(__xludf.DUMMYFUNCTION("GOOGLETRANSLATE(A12239,""en"",""pt"")"),"beligerante")</f>
        <v>beligerante</v>
      </c>
      <c r="B12239" s="3">
        <v>0</v>
      </c>
    </row>
    <row r="12240" ht="15.75" customHeight="1" spans="1:2">
      <c r="A12240" s="3" t="str">
        <f>IFERROR(__xludf.DUMMYFUNCTION("GOOGLETRANSLATE(A12240,""en"",""pt"")"),"lamentar")</f>
        <v>lamentar</v>
      </c>
      <c r="B12240" s="3">
        <v>0</v>
      </c>
    </row>
    <row r="12241" ht="15.75" customHeight="1" spans="1:2">
      <c r="A12241" s="3" t="str">
        <f>IFERROR(__xludf.DUMMYFUNCTION("GOOGLETRANSLATE(A12241,""en"",""pt"")"),"lamentando")</f>
        <v>lamentando</v>
      </c>
      <c r="B12241" s="3">
        <v>0</v>
      </c>
    </row>
    <row r="12242" ht="15.75" customHeight="1" spans="1:2">
      <c r="A12242" s="3" t="str">
        <f>IFERROR(__xludf.DUMMYFUNCTION("GOOGLETRANSLATE(A12242,""en"",""pt"")"),"confuso")</f>
        <v>confuso</v>
      </c>
      <c r="B12242" s="3">
        <v>0</v>
      </c>
    </row>
    <row r="12243" ht="15.75" customHeight="1" spans="1:2">
      <c r="A12243" s="3" t="str">
        <f>IFERROR(__xludf.DUMMYFUNCTION("GOOGLETRANSLATE(A12243,""en"",""pt"")"),"dobrado")</f>
        <v>dobrado</v>
      </c>
      <c r="B12243" s="3">
        <v>0</v>
      </c>
    </row>
    <row r="12244" ht="15.75" customHeight="1" spans="1:2">
      <c r="A12244" s="3" t="str">
        <f>IFERROR(__xludf.DUMMYFUNCTION("GOOGLETRANSLATE(A12244,""en"",""pt"")"),"repreender")</f>
        <v>repreender</v>
      </c>
      <c r="B12244" s="3">
        <v>0</v>
      </c>
    </row>
    <row r="12245" ht="15.75" customHeight="1" spans="1:2">
      <c r="A12245" s="3" t="str">
        <f>IFERROR(__xludf.DUMMYFUNCTION("GOOGLETRANSLATE(A12245,""en"",""pt"")"),"privar")</f>
        <v>privar</v>
      </c>
      <c r="B12245" s="3">
        <v>0</v>
      </c>
    </row>
    <row r="12246" ht="15.75" customHeight="1" spans="1:2">
      <c r="A12246" s="3" t="str">
        <f>IFERROR(__xludf.DUMMYFUNCTION("GOOGLETRANSLATE(A12246,""en"",""pt"")"),"privação")</f>
        <v>privação</v>
      </c>
      <c r="B12246" s="3">
        <v>0</v>
      </c>
    </row>
    <row r="12247" ht="15.75" customHeight="1" spans="1:2">
      <c r="A12247" s="3" t="str">
        <f>IFERROR(__xludf.DUMMYFUNCTION("GOOGLETRANSLATE(A12247,""en"",""pt"")"),"desolado")</f>
        <v>desolado</v>
      </c>
      <c r="B12247" s="3">
        <v>0</v>
      </c>
    </row>
    <row r="12248" ht="15.75" customHeight="1" spans="1:2">
      <c r="A12248" s="3" t="str">
        <f>IFERROR(__xludf.DUMMYFUNCTION("GOOGLETRANSLATE(A12248,""en"",""pt"")"),"furioso")</f>
        <v>furioso</v>
      </c>
      <c r="B12248" s="3">
        <v>0</v>
      </c>
    </row>
    <row r="12249" ht="15.75" customHeight="1" spans="1:2">
      <c r="A12249" s="3" t="str">
        <f>IFERROR(__xludf.DUMMYFUNCTION("GOOGLETRANSLATE(A12249,""en"",""pt"")"),"beseech")</f>
        <v>beseech</v>
      </c>
      <c r="B12249" s="3">
        <v>0</v>
      </c>
    </row>
    <row r="12250" ht="15.75" customHeight="1" spans="1:2">
      <c r="A12250" s="3" t="str">
        <f>IFERROR(__xludf.DUMMYFUNCTION("GOOGLETRANSLATE(A12250,""en"",""pt"")"),"assaltar")</f>
        <v>assaltar</v>
      </c>
      <c r="B12250" s="3">
        <v>0</v>
      </c>
    </row>
    <row r="12251" ht="15.75" customHeight="1" spans="1:2">
      <c r="A12251" s="3" t="str">
        <f>IFERROR(__xludf.DUMMYFUNCTION("GOOGLETRANSLATE(A12251,""en"",""pt"")"),"sitio")</f>
        <v>sitio</v>
      </c>
      <c r="B12251" s="3">
        <v>0</v>
      </c>
    </row>
    <row r="12252" ht="15.75" customHeight="1" spans="1:2">
      <c r="A12252" s="3" t="str">
        <f>IFERROR(__xludf.DUMMYFUNCTION("GOOGLETRANSLATE(A12252,""en"",""pt"")"),"besmirch")</f>
        <v>besmirch</v>
      </c>
      <c r="B12252" s="3">
        <v>0</v>
      </c>
    </row>
    <row r="12253" ht="15.75" customHeight="1" spans="1:2">
      <c r="A12253" s="3" t="str">
        <f>IFERROR(__xludf.DUMMYFUNCTION("GOOGLETRANSLATE(A12253,""en"",""pt"")"),"bestial")</f>
        <v>bestial</v>
      </c>
      <c r="B12253" s="3">
        <v>0</v>
      </c>
    </row>
    <row r="12254" ht="15.75" customHeight="1" spans="1:2">
      <c r="A12254" s="3" t="str">
        <f>IFERROR(__xludf.DUMMYFUNCTION("GOOGLETRANSLATE(A12254,""en"",""pt"")"),"trair")</f>
        <v>trair</v>
      </c>
      <c r="B12254" s="3">
        <v>0</v>
      </c>
    </row>
    <row r="12255" ht="15.75" customHeight="1" spans="1:2">
      <c r="A12255" s="3" t="str">
        <f>IFERROR(__xludf.DUMMYFUNCTION("GOOGLETRANSLATE(A12255,""en"",""pt"")"),"traição")</f>
        <v>traição</v>
      </c>
      <c r="B12255" s="3">
        <v>0</v>
      </c>
    </row>
    <row r="12256" ht="15.75" customHeight="1" spans="1:2">
      <c r="A12256" s="3" t="str">
        <f>IFERROR(__xludf.DUMMYFUNCTION("GOOGLETRANSLATE(A12256,""en"",""pt"")"),"traições")</f>
        <v>traições</v>
      </c>
      <c r="B12256" s="3">
        <v>0</v>
      </c>
    </row>
    <row r="12257" ht="15.75" customHeight="1" spans="1:2">
      <c r="A12257" s="3" t="str">
        <f>IFERROR(__xludf.DUMMYFUNCTION("GOOGLETRANSLATE(A12257,""en"",""pt"")"),"traidor")</f>
        <v>traidor</v>
      </c>
      <c r="B12257" s="3">
        <v>0</v>
      </c>
    </row>
    <row r="12258" ht="15.75" customHeight="1" spans="1:2">
      <c r="A12258" s="3" t="str">
        <f>IFERROR(__xludf.DUMMYFUNCTION("GOOGLETRANSLATE(A12258,""en"",""pt"")"),"traindo")</f>
        <v>traindo</v>
      </c>
      <c r="B12258" s="3">
        <v>0</v>
      </c>
    </row>
    <row r="12259" ht="15.75" customHeight="1" spans="1:2">
      <c r="A12259" s="3" t="str">
        <f>IFERROR(__xludf.DUMMYFUNCTION("GOOGLETRANSLATE(A12259,""en"",""pt"")"),"trai")</f>
        <v>trai</v>
      </c>
      <c r="B12259" s="3">
        <v>0</v>
      </c>
    </row>
    <row r="12260" ht="15.75" customHeight="1" spans="1:2">
      <c r="A12260" s="3" t="str">
        <f>IFERROR(__xludf.DUMMYFUNCTION("GOOGLETRANSLATE(A12260,""en"",""pt"")"),"Bewail")</f>
        <v>Bewail</v>
      </c>
      <c r="B12260" s="3">
        <v>0</v>
      </c>
    </row>
    <row r="12261" ht="15.75" customHeight="1" spans="1:2">
      <c r="A12261" s="3" t="str">
        <f>IFERROR(__xludf.DUMMYFUNCTION("GOOGLETRANSLATE(A12261,""en"",""pt"")"),"ter cuidado")</f>
        <v>ter cuidado</v>
      </c>
      <c r="B12261" s="3">
        <v>0</v>
      </c>
    </row>
    <row r="12262" ht="15.75" customHeight="1" spans="1:2">
      <c r="A12262" s="3" t="str">
        <f>IFERROR(__xludf.DUMMYFUNCTION("GOOGLETRANSLATE(A12262,""en"",""pt"")"),"bewilder")</f>
        <v>bewilder</v>
      </c>
      <c r="B12262" s="3">
        <v>0</v>
      </c>
    </row>
    <row r="12263" ht="15.75" customHeight="1" spans="1:2">
      <c r="A12263" s="3" t="str">
        <f>IFERROR(__xludf.DUMMYFUNCTION("GOOGLETRANSLATE(A12263,""en"",""pt"")"),"aturdido")</f>
        <v>aturdido</v>
      </c>
      <c r="B12263" s="3">
        <v>0</v>
      </c>
    </row>
    <row r="12264" ht="15.75" customHeight="1" spans="1:2">
      <c r="A12264" s="3" t="str">
        <f>IFERROR(__xludf.DUMMYFUNCTION("GOOGLETRANSLATE(A12264,""en"",""pt"")"),"desconcertante")</f>
        <v>desconcertante</v>
      </c>
      <c r="B12264" s="3">
        <v>0</v>
      </c>
    </row>
    <row r="12265" ht="15.75" customHeight="1" spans="1:2">
      <c r="A12265" s="3" t="str">
        <f>IFERROR(__xludf.DUMMYFUNCTION("GOOGLETRANSLATE(A12265,""en"",""pt"")"),"bewilderingly")</f>
        <v>bewilderingly</v>
      </c>
      <c r="B12265" s="3">
        <v>0</v>
      </c>
    </row>
    <row r="12266" ht="15.75" customHeight="1" spans="1:2">
      <c r="A12266" s="3" t="str">
        <f>IFERROR(__xludf.DUMMYFUNCTION("GOOGLETRANSLATE(A12266,""en"",""pt"")"),"desnorteamento")</f>
        <v>desnorteamento</v>
      </c>
      <c r="B12266" s="3">
        <v>0</v>
      </c>
    </row>
    <row r="12267" ht="15.75" customHeight="1" spans="1:2">
      <c r="A12267" s="3" t="str">
        <f>IFERROR(__xludf.DUMMYFUNCTION("GOOGLETRANSLATE(A12267,""en"",""pt"")"),"enfeitiçar")</f>
        <v>enfeitiçar</v>
      </c>
      <c r="B12267" s="3">
        <v>0</v>
      </c>
    </row>
    <row r="12268" ht="15.75" customHeight="1" spans="1:2">
      <c r="A12268" s="3" t="str">
        <f>IFERROR(__xludf.DUMMYFUNCTION("GOOGLETRANSLATE(A12268,""en"",""pt"")"),"viés")</f>
        <v>viés</v>
      </c>
      <c r="B12268" s="3">
        <v>0</v>
      </c>
    </row>
    <row r="12269" ht="15.75" customHeight="1" spans="1:2">
      <c r="A12269" s="3" t="str">
        <f>IFERROR(__xludf.DUMMYFUNCTION("GOOGLETRANSLATE(A12269,""en"",""pt"")"),"tendenciosa")</f>
        <v>tendenciosa</v>
      </c>
      <c r="B12269" s="3">
        <v>0</v>
      </c>
    </row>
    <row r="12270" ht="15.75" customHeight="1" spans="1:2">
      <c r="A12270" s="3" t="str">
        <f>IFERROR(__xludf.DUMMYFUNCTION("GOOGLETRANSLATE(A12270,""en"",""pt"")"),"preconceitos")</f>
        <v>preconceitos</v>
      </c>
      <c r="B12270" s="3">
        <v>0</v>
      </c>
    </row>
    <row r="12271" ht="15.75" customHeight="1" spans="1:2">
      <c r="A12271" s="3" t="str">
        <f>IFERROR(__xludf.DUMMYFUNCTION("GOOGLETRANSLATE(A12271,""en"",""pt"")"),"Bicker")</f>
        <v>Bicker</v>
      </c>
      <c r="B12271" s="3">
        <v>0</v>
      </c>
    </row>
    <row r="12272" ht="15.75" customHeight="1" spans="1:2">
      <c r="A12272" s="3" t="str">
        <f>IFERROR(__xludf.DUMMYFUNCTION("GOOGLETRANSLATE(A12272,""en"",""pt"")"),"insignificância")</f>
        <v>insignificância</v>
      </c>
      <c r="B12272" s="3">
        <v>0</v>
      </c>
    </row>
    <row r="12273" ht="15.75" customHeight="1" spans="1:2">
      <c r="A12273" s="3" t="str">
        <f>IFERROR(__xludf.DUMMYFUNCTION("GOOGLETRANSLATE(A12273,""en"",""pt"")"),"licitações fraudulentas")</f>
        <v>licitações fraudulentas</v>
      </c>
      <c r="B12273" s="3">
        <v>0</v>
      </c>
    </row>
    <row r="12274" ht="15.75" customHeight="1" spans="1:2">
      <c r="A12274" s="3" t="str">
        <f>IFERROR(__xludf.DUMMYFUNCTION("GOOGLETRANSLATE(A12274,""en"",""pt"")"),"fanatismos")</f>
        <v>fanatismos</v>
      </c>
      <c r="B12274" s="3">
        <v>0</v>
      </c>
    </row>
    <row r="12275" ht="15.75" customHeight="1" spans="1:2">
      <c r="A12275" s="3" t="str">
        <f>IFERROR(__xludf.DUMMYFUNCTION("GOOGLETRANSLATE(A12275,""en"",""pt"")"),"intolerância")</f>
        <v>intolerância</v>
      </c>
      <c r="B12275" s="3">
        <v>0</v>
      </c>
    </row>
    <row r="12276" ht="15.75" customHeight="1" spans="1:2">
      <c r="A12276" s="3" t="str">
        <f>IFERROR(__xludf.DUMMYFUNCTION("GOOGLETRANSLATE(A12276,""en"",""pt"")"),"cadela")</f>
        <v>cadela</v>
      </c>
      <c r="B12276" s="3">
        <v>0</v>
      </c>
    </row>
    <row r="12277" ht="15.75" customHeight="1" spans="1:2">
      <c r="A12277" s="3" t="str">
        <f>IFERROR(__xludf.DUMMYFUNCTION("GOOGLETRANSLATE(A12277,""en"",""pt"")"),"bitchy")</f>
        <v>bitchy</v>
      </c>
      <c r="B12277" s="3">
        <v>0</v>
      </c>
    </row>
    <row r="12278" ht="15.75" customHeight="1" spans="1:2">
      <c r="A12278" s="3" t="str">
        <f>IFERROR(__xludf.DUMMYFUNCTION("GOOGLETRANSLATE(A12278,""en"",""pt"")"),"mordendo")</f>
        <v>mordendo</v>
      </c>
      <c r="B12278" s="3">
        <v>0</v>
      </c>
    </row>
    <row r="12279" ht="15.75" customHeight="1" spans="1:2">
      <c r="A12279" s="3" t="str">
        <f>IFERROR(__xludf.DUMMYFUNCTION("GOOGLETRANSLATE(A12279,""en"",""pt"")"),"bitingly")</f>
        <v>bitingly</v>
      </c>
      <c r="B12279" s="3">
        <v>0</v>
      </c>
    </row>
    <row r="12280" ht="15.75" customHeight="1" spans="1:2">
      <c r="A12280" s="3" t="str">
        <f>IFERROR(__xludf.DUMMYFUNCTION("GOOGLETRANSLATE(A12280,""en"",""pt"")"),"amargo")</f>
        <v>amargo</v>
      </c>
      <c r="B12280" s="3">
        <v>0</v>
      </c>
    </row>
    <row r="12281" ht="15.75" customHeight="1" spans="1:2">
      <c r="A12281" s="3" t="str">
        <f>IFERROR(__xludf.DUMMYFUNCTION("GOOGLETRANSLATE(A12281,""en"",""pt"")"),"amargamente")</f>
        <v>amargamente</v>
      </c>
      <c r="B12281" s="3">
        <v>0</v>
      </c>
    </row>
    <row r="12282" ht="15.75" customHeight="1" spans="1:2">
      <c r="A12282" s="3" t="str">
        <f>IFERROR(__xludf.DUMMYFUNCTION("GOOGLETRANSLATE(A12282,""en"",""pt"")"),"amargura")</f>
        <v>amargura</v>
      </c>
      <c r="B12282" s="3">
        <v>0</v>
      </c>
    </row>
    <row r="12283" ht="15.75" customHeight="1" spans="1:2">
      <c r="A12283" s="3" t="str">
        <f>IFERROR(__xludf.DUMMYFUNCTION("GOOGLETRANSLATE(A12283,""en"",""pt"")"),"bizarro")</f>
        <v>bizarro</v>
      </c>
      <c r="B12283" s="3">
        <v>0</v>
      </c>
    </row>
    <row r="12284" ht="15.75" customHeight="1" spans="1:2">
      <c r="A12284" s="3" t="str">
        <f>IFERROR(__xludf.DUMMYFUNCTION("GOOGLETRANSLATE(A12284,""en"",""pt"")"),"tagarela")</f>
        <v>tagarela</v>
      </c>
      <c r="B12284" s="3">
        <v>0</v>
      </c>
    </row>
    <row r="12285" ht="15.75" customHeight="1" spans="1:2">
      <c r="A12285" s="3" t="str">
        <f>IFERROR(__xludf.DUMMYFUNCTION("GOOGLETRANSLATE(A12285,""en"",""pt"")"),"indiscreto")</f>
        <v>indiscreto</v>
      </c>
      <c r="B12285" s="3">
        <v>0</v>
      </c>
    </row>
    <row r="12286" ht="15.75" customHeight="1" spans="1:2">
      <c r="A12286" s="3" t="str">
        <f>IFERROR(__xludf.DUMMYFUNCTION("GOOGLETRANSLATE(A12286,""en"",""pt"")"),"chantagem")</f>
        <v>chantagem</v>
      </c>
      <c r="B12286" s="3">
        <v>0</v>
      </c>
    </row>
    <row r="12287" ht="15.75" customHeight="1" spans="1:2">
      <c r="A12287" s="3" t="str">
        <f>IFERROR(__xludf.DUMMYFUNCTION("GOOGLETRANSLATE(A12287,""en"",""pt"")"),"blah")</f>
        <v>blah</v>
      </c>
      <c r="B12287" s="3">
        <v>0</v>
      </c>
    </row>
    <row r="12288" ht="15.75" customHeight="1" spans="1:2">
      <c r="A12288" s="3" t="str">
        <f>IFERROR(__xludf.DUMMYFUNCTION("GOOGLETRANSLATE(A12288,""en"",""pt"")"),"culpa")</f>
        <v>culpa</v>
      </c>
      <c r="B12288" s="3">
        <v>0</v>
      </c>
    </row>
    <row r="12289" ht="15.75" customHeight="1" spans="1:2">
      <c r="A12289" s="3" t="str">
        <f>IFERROR(__xludf.DUMMYFUNCTION("GOOGLETRANSLATE(A12289,""en"",""pt"")"),"condenável")</f>
        <v>condenável</v>
      </c>
      <c r="B12289" s="3">
        <v>0</v>
      </c>
    </row>
    <row r="12290" ht="15.75" customHeight="1" spans="1:2">
      <c r="A12290" s="3" t="str">
        <f>IFERROR(__xludf.DUMMYFUNCTION("GOOGLETRANSLATE(A12290,""en"",""pt"")"),"brando")</f>
        <v>brando</v>
      </c>
      <c r="B12290" s="3">
        <v>0</v>
      </c>
    </row>
    <row r="12291" ht="15.75" customHeight="1" spans="1:2">
      <c r="A12291" s="3" t="str">
        <f>IFERROR(__xludf.DUMMYFUNCTION("GOOGLETRANSLATE(A12291,""en"",""pt"")"),"acariciar")</f>
        <v>acariciar</v>
      </c>
      <c r="B12291" s="3">
        <v>0</v>
      </c>
    </row>
    <row r="12292" ht="15.75" customHeight="1" spans="1:2">
      <c r="A12292" s="3" t="str">
        <f>IFERROR(__xludf.DUMMYFUNCTION("GOOGLETRANSLATE(A12292,""en"",""pt"")"),"blasfemar")</f>
        <v>blasfemar</v>
      </c>
      <c r="B12292" s="3">
        <v>0</v>
      </c>
    </row>
    <row r="12293" ht="15.75" customHeight="1" spans="1:2">
      <c r="A12293" s="3" t="str">
        <f>IFERROR(__xludf.DUMMYFUNCTION("GOOGLETRANSLATE(A12293,""en"",""pt"")"),"blasfemo")</f>
        <v>blasfemo</v>
      </c>
      <c r="B12293" s="3">
        <v>0</v>
      </c>
    </row>
    <row r="12294" ht="15.75" customHeight="1" spans="1:2">
      <c r="A12294" s="3" t="str">
        <f>IFERROR(__xludf.DUMMYFUNCTION("GOOGLETRANSLATE(A12294,""en"",""pt"")"),"blasfêmia")</f>
        <v>blasfêmia</v>
      </c>
      <c r="B12294" s="3">
        <v>0</v>
      </c>
    </row>
    <row r="12295" ht="15.75" customHeight="1" spans="1:2">
      <c r="A12295" s="3" t="str">
        <f>IFERROR(__xludf.DUMMYFUNCTION("GOOGLETRANSLATE(A12295,""en"",""pt"")"),"jateada")</f>
        <v>jateada</v>
      </c>
      <c r="B12295" s="3">
        <v>0</v>
      </c>
    </row>
    <row r="12296" ht="15.75" customHeight="1" spans="1:2">
      <c r="A12296" s="3" t="str">
        <f>IFERROR(__xludf.DUMMYFUNCTION("GOOGLETRANSLATE(A12296,""en"",""pt"")"),"ruidoso")</f>
        <v>ruidoso</v>
      </c>
      <c r="B12296" s="3">
        <v>0</v>
      </c>
    </row>
    <row r="12297" ht="15.75" customHeight="1" spans="1:2">
      <c r="A12297" s="3" t="str">
        <f>IFERROR(__xludf.DUMMYFUNCTION("GOOGLETRANSLATE(A12297,""en"",""pt"")"),"descaradamente")</f>
        <v>descaradamente</v>
      </c>
      <c r="B12297" s="3">
        <v>0</v>
      </c>
    </row>
    <row r="12298" ht="15.75" customHeight="1" spans="1:2">
      <c r="A12298" s="3" t="str">
        <f>IFERROR(__xludf.DUMMYFUNCTION("GOOGLETRANSLATE(A12298,""en"",""pt"")"),"tagarelice")</f>
        <v>tagarelice</v>
      </c>
      <c r="B12298" s="3">
        <v>0</v>
      </c>
    </row>
    <row r="12299" ht="15.75" customHeight="1" spans="1:2">
      <c r="A12299" s="3" t="str">
        <f>IFERROR(__xludf.DUMMYFUNCTION("GOOGLETRANSLATE(A12299,""en"",""pt"")"),"ermo")</f>
        <v>ermo</v>
      </c>
      <c r="B12299" s="3">
        <v>0</v>
      </c>
    </row>
    <row r="12300" ht="15.75" customHeight="1" spans="1:2">
      <c r="A12300" s="3" t="str">
        <f>IFERROR(__xludf.DUMMYFUNCTION("GOOGLETRANSLATE(A12300,""en"",""pt"")"),"tristemente")</f>
        <v>tristemente</v>
      </c>
      <c r="B12300" s="3">
        <v>0</v>
      </c>
    </row>
    <row r="12301" ht="15.75" customHeight="1" spans="1:2">
      <c r="A12301" s="3" t="str">
        <f>IFERROR(__xludf.DUMMYFUNCTION("GOOGLETRANSLATE(A12301,""en"",""pt"")"),"frieza")</f>
        <v>frieza</v>
      </c>
      <c r="B12301" s="3">
        <v>0</v>
      </c>
    </row>
    <row r="12302" ht="15.75" customHeight="1" spans="1:2">
      <c r="A12302" s="3" t="str">
        <f>IFERROR(__xludf.DUMMYFUNCTION("GOOGLETRANSLATE(A12302,""en"",""pt"")"),"sangrar")</f>
        <v>sangrar</v>
      </c>
      <c r="B12302" s="3">
        <v>0</v>
      </c>
    </row>
    <row r="12303" ht="15.75" customHeight="1" spans="1:2">
      <c r="A12303" s="3" t="str">
        <f>IFERROR(__xludf.DUMMYFUNCTION("GOOGLETRANSLATE(A12303,""en"",""pt"")"),"sangramento")</f>
        <v>sangramento</v>
      </c>
      <c r="B12303" s="3">
        <v>0</v>
      </c>
    </row>
    <row r="12304" ht="15.75" customHeight="1" spans="1:2">
      <c r="A12304" s="3" t="str">
        <f>IFERROR(__xludf.DUMMYFUNCTION("GOOGLETRANSLATE(A12304,""en"",""pt"")"),"sangramentos")</f>
        <v>sangramentos</v>
      </c>
      <c r="B12304" s="3">
        <v>0</v>
      </c>
    </row>
    <row r="12305" ht="15.75" customHeight="1" spans="1:2">
      <c r="A12305" s="3" t="str">
        <f>IFERROR(__xludf.DUMMYFUNCTION("GOOGLETRANSLATE(A12305,""en"",""pt"")"),"defeito")</f>
        <v>defeito</v>
      </c>
      <c r="B12305" s="3">
        <v>0</v>
      </c>
    </row>
    <row r="12306" ht="15.75" customHeight="1" spans="1:2">
      <c r="A12306" s="3" t="str">
        <f>IFERROR(__xludf.DUMMYFUNCTION("GOOGLETRANSLATE(A12306,""en"",""pt"")"),"cego")</f>
        <v>cego</v>
      </c>
      <c r="B12306" s="3">
        <v>0</v>
      </c>
    </row>
    <row r="12307" ht="15.75" customHeight="1" spans="1:2">
      <c r="A12307" s="3" t="str">
        <f>IFERROR(__xludf.DUMMYFUNCTION("GOOGLETRANSLATE(A12307,""en"",""pt"")"),"cegando")</f>
        <v>cegando</v>
      </c>
      <c r="B12307" s="3">
        <v>0</v>
      </c>
    </row>
    <row r="12308" ht="15.75" customHeight="1" spans="1:2">
      <c r="A12308" s="3" t="str">
        <f>IFERROR(__xludf.DUMMYFUNCTION("GOOGLETRANSLATE(A12308,""en"",""pt"")"),"blindingly")</f>
        <v>blindingly</v>
      </c>
      <c r="B12308" s="3">
        <v>0</v>
      </c>
    </row>
    <row r="12309" ht="15.75" customHeight="1" spans="1:2">
      <c r="A12309" s="3" t="str">
        <f>IFERROR(__xludf.DUMMYFUNCTION("GOOGLETRANSLATE(A12309,""en"",""pt"")"),"lado Cego")</f>
        <v>lado Cego</v>
      </c>
      <c r="B12309" s="3">
        <v>0</v>
      </c>
    </row>
    <row r="12310" ht="15.75" customHeight="1" spans="1:2">
      <c r="A12310" s="3" t="str">
        <f>IFERROR(__xludf.DUMMYFUNCTION("GOOGLETRANSLATE(A12310,""en"",""pt"")"),"bolha")</f>
        <v>bolha</v>
      </c>
      <c r="B12310" s="3">
        <v>0</v>
      </c>
    </row>
    <row r="12311" ht="15.75" customHeight="1" spans="1:2">
      <c r="A12311" s="3" t="str">
        <f>IFERROR(__xludf.DUMMYFUNCTION("GOOGLETRANSLATE(A12311,""en"",""pt"")"),"formação de bolhas")</f>
        <v>formação de bolhas</v>
      </c>
      <c r="B12311" s="3">
        <v>0</v>
      </c>
    </row>
    <row r="12312" ht="15.75" customHeight="1" spans="1:2">
      <c r="A12312" s="3" t="str">
        <f>IFERROR(__xludf.DUMMYFUNCTION("GOOGLETRANSLATE(A12312,""en"",""pt"")"),"inchado")</f>
        <v>inchado</v>
      </c>
      <c r="B12312" s="3">
        <v>0</v>
      </c>
    </row>
    <row r="12313" ht="15.75" customHeight="1" spans="1:2">
      <c r="A12313" s="3" t="str">
        <f>IFERROR(__xludf.DUMMYFUNCTION("GOOGLETRANSLATE(A12313,""en"",""pt"")"),"bloqueio")</f>
        <v>bloqueio</v>
      </c>
      <c r="B12313" s="3">
        <v>0</v>
      </c>
    </row>
    <row r="12314" ht="15.75" customHeight="1" spans="1:2">
      <c r="A12314" s="3" t="str">
        <f>IFERROR(__xludf.DUMMYFUNCTION("GOOGLETRANSLATE(A12314,""en"",""pt"")"),"cepo")</f>
        <v>cepo</v>
      </c>
      <c r="B12314" s="3">
        <v>0</v>
      </c>
    </row>
    <row r="12315" ht="15.75" customHeight="1" spans="1:2">
      <c r="A12315" s="3" t="str">
        <f>IFERROR(__xludf.DUMMYFUNCTION("GOOGLETRANSLATE(A12315,""en"",""pt"")"),"derramamento de sangue")</f>
        <v>derramamento de sangue</v>
      </c>
      <c r="B12315" s="3">
        <v>0</v>
      </c>
    </row>
    <row r="12316" ht="15.75" customHeight="1" spans="1:2">
      <c r="A12316" s="3" t="str">
        <f>IFERROR(__xludf.DUMMYFUNCTION("GOOGLETRANSLATE(A12316,""en"",""pt"")"),"sanguinário")</f>
        <v>sanguinário</v>
      </c>
      <c r="B12316" s="3">
        <v>0</v>
      </c>
    </row>
    <row r="12317" ht="15.75" customHeight="1" spans="1:2">
      <c r="A12317" s="3" t="str">
        <f>IFERROR(__xludf.DUMMYFUNCTION("GOOGLETRANSLATE(A12317,""en"",""pt"")"),"sangrento")</f>
        <v>sangrento</v>
      </c>
      <c r="B12317" s="3">
        <v>0</v>
      </c>
    </row>
    <row r="12318" ht="15.75" customHeight="1" spans="1:2">
      <c r="A12318" s="3" t="str">
        <f>IFERROR(__xludf.DUMMYFUNCTION("GOOGLETRANSLATE(A12318,""en"",""pt"")"),"manchado")</f>
        <v>manchado</v>
      </c>
      <c r="B12318" s="3">
        <v>0</v>
      </c>
    </row>
    <row r="12319" ht="15.75" customHeight="1" spans="1:2">
      <c r="A12319" s="3" t="str">
        <f>IFERROR(__xludf.DUMMYFUNCTION("GOOGLETRANSLATE(A12319,""en"",""pt"")"),"golpe")</f>
        <v>golpe</v>
      </c>
      <c r="B12319" s="3">
        <v>0</v>
      </c>
    </row>
    <row r="12320" ht="15.75" customHeight="1" spans="1:2">
      <c r="A12320" s="3" t="str">
        <f>IFERROR(__xludf.DUMMYFUNCTION("GOOGLETRANSLATE(A12320,""en"",""pt"")"),"mancada")</f>
        <v>mancada</v>
      </c>
      <c r="B12320" s="3">
        <v>0</v>
      </c>
    </row>
    <row r="12321" ht="15.75" customHeight="1" spans="1:2">
      <c r="A12321" s="3" t="str">
        <f>IFERROR(__xludf.DUMMYFUNCTION("GOOGLETRANSLATE(A12321,""en"",""pt"")"),"desajeitado")</f>
        <v>desajeitado</v>
      </c>
      <c r="B12321" s="3">
        <v>0</v>
      </c>
    </row>
    <row r="12322" ht="15.75" customHeight="1" spans="1:2">
      <c r="A12322" s="3" t="str">
        <f>IFERROR(__xludf.DUMMYFUNCTION("GOOGLETRANSLATE(A12322,""en"",""pt"")"),"erros")</f>
        <v>erros</v>
      </c>
      <c r="B12322" s="3">
        <v>0</v>
      </c>
    </row>
    <row r="12323" ht="15.75" customHeight="1" spans="1:2">
      <c r="A12323" s="3" t="str">
        <f>IFERROR(__xludf.DUMMYFUNCTION("GOOGLETRANSLATE(A12323,""en"",""pt"")"),"brusco")</f>
        <v>brusco</v>
      </c>
      <c r="B12323" s="3">
        <v>0</v>
      </c>
    </row>
    <row r="12324" ht="15.75" customHeight="1" spans="1:2">
      <c r="A12324" s="3" t="str">
        <f>IFERROR(__xludf.DUMMYFUNCTION("GOOGLETRANSLATE(A12324,""en"",""pt"")"),"borrão")</f>
        <v>borrão</v>
      </c>
      <c r="B12324" s="3">
        <v>0</v>
      </c>
    </row>
    <row r="12325" ht="15.75" customHeight="1" spans="1:2">
      <c r="A12325" s="3" t="str">
        <f>IFERROR(__xludf.DUMMYFUNCTION("GOOGLETRANSLATE(A12325,""en"",""pt"")"),"bluring")</f>
        <v>bluring</v>
      </c>
      <c r="B12325" s="3">
        <v>0</v>
      </c>
    </row>
    <row r="12326" ht="15.75" customHeight="1" spans="1:2">
      <c r="A12326" s="3" t="str">
        <f>IFERROR(__xludf.DUMMYFUNCTION("GOOGLETRANSLATE(A12326,""en"",""pt"")"),"borrado")</f>
        <v>borrado</v>
      </c>
      <c r="B12326" s="3">
        <v>0</v>
      </c>
    </row>
    <row r="12327" ht="15.75" customHeight="1" spans="1:2">
      <c r="A12327" s="3" t="str">
        <f>IFERROR(__xludf.DUMMYFUNCTION("GOOGLETRANSLATE(A12327,""en"",""pt"")"),"borrar")</f>
        <v>borrar</v>
      </c>
      <c r="B12327" s="3">
        <v>0</v>
      </c>
    </row>
    <row r="12328" ht="15.75" customHeight="1" spans="1:2">
      <c r="A12328" s="3" t="str">
        <f>IFERROR(__xludf.DUMMYFUNCTION("GOOGLETRANSLATE(A12328,""en"",""pt"")"),"borrada")</f>
        <v>borrada</v>
      </c>
      <c r="B12328" s="3">
        <v>0</v>
      </c>
    </row>
    <row r="12329" ht="15.75" customHeight="1" spans="1:2">
      <c r="A12329" s="3" t="str">
        <f>IFERROR(__xludf.DUMMYFUNCTION("GOOGLETRANSLATE(A12329,""en"",""pt"")"),"borrões")</f>
        <v>borrões</v>
      </c>
      <c r="B12329" s="3">
        <v>0</v>
      </c>
    </row>
    <row r="12330" ht="15.75" customHeight="1" spans="1:2">
      <c r="A12330" s="3" t="str">
        <f>IFERROR(__xludf.DUMMYFUNCTION("GOOGLETRANSLATE(A12330,""en"",""pt"")"),"blurt")</f>
        <v>blurt</v>
      </c>
      <c r="B12330" s="3">
        <v>0</v>
      </c>
    </row>
    <row r="12331" ht="15.75" customHeight="1" spans="1:2">
      <c r="A12331" s="3" t="str">
        <f>IFERROR(__xludf.DUMMYFUNCTION("GOOGLETRANSLATE(A12331,""en"",""pt"")"),"fanfarrão")</f>
        <v>fanfarrão</v>
      </c>
      <c r="B12331" s="3">
        <v>0</v>
      </c>
    </row>
    <row r="12332" ht="15.75" customHeight="1" spans="1:2">
      <c r="A12332" s="3" t="str">
        <f>IFERROR(__xludf.DUMMYFUNCTION("GOOGLETRANSLATE(A12332,""en"",""pt"")"),"vacilação")</f>
        <v>vacilação</v>
      </c>
      <c r="B12332" s="3">
        <v>0</v>
      </c>
    </row>
    <row r="12333" ht="15.75" customHeight="1" spans="1:2">
      <c r="A12333" s="3" t="str">
        <f>IFERROR(__xludf.DUMMYFUNCTION("GOOGLETRANSLATE(A12333,""en"",""pt"")"),"falso")</f>
        <v>falso</v>
      </c>
      <c r="B12333" s="3">
        <v>0</v>
      </c>
    </row>
    <row r="12334" ht="15.75" customHeight="1" spans="1:2">
      <c r="A12334" s="3" t="str">
        <f>IFERROR(__xludf.DUMMYFUNCTION("GOOGLETRANSLATE(A12334,""en"",""pt"")"),"ferver")</f>
        <v>ferver</v>
      </c>
      <c r="B12334" s="3">
        <v>0</v>
      </c>
    </row>
    <row r="12335" ht="15.75" customHeight="1" spans="1:2">
      <c r="A12335" s="3" t="str">
        <f>IFERROR(__xludf.DUMMYFUNCTION("GOOGLETRANSLATE(A12335,""en"",""pt"")"),"ebulição")</f>
        <v>ebulição</v>
      </c>
      <c r="B12335" s="3">
        <v>0</v>
      </c>
    </row>
    <row r="12336" ht="15.75" customHeight="1" spans="1:2">
      <c r="A12336" s="3" t="str">
        <f>IFERROR(__xludf.DUMMYFUNCTION("GOOGLETRANSLATE(A12336,""en"",""pt"")"),"violento")</f>
        <v>violento</v>
      </c>
      <c r="B12336" s="3">
        <v>0</v>
      </c>
    </row>
    <row r="12337" ht="15.75" customHeight="1" spans="1:2">
      <c r="A12337" s="3" t="str">
        <f>IFERROR(__xludf.DUMMYFUNCTION("GOOGLETRANSLATE(A12337,""en"",""pt"")"),"bombear")</f>
        <v>bombear</v>
      </c>
      <c r="B12337" s="3">
        <v>0</v>
      </c>
    </row>
    <row r="12338" ht="15.75" customHeight="1" spans="1:2">
      <c r="A12338" s="3" t="str">
        <f>IFERROR(__xludf.DUMMYFUNCTION("GOOGLETRANSLATE(A12338,""en"",""pt"")"),"bombardear")</f>
        <v>bombardear</v>
      </c>
      <c r="B12338" s="3">
        <v>0</v>
      </c>
    </row>
    <row r="12339" ht="15.75" customHeight="1" spans="1:2">
      <c r="A12339" s="3" t="str">
        <f>IFERROR(__xludf.DUMMYFUNCTION("GOOGLETRANSLATE(A12339,""en"",""pt"")"),"bombardeamento")</f>
        <v>bombardeamento</v>
      </c>
      <c r="B12339" s="3">
        <v>0</v>
      </c>
    </row>
    <row r="12340" ht="15.75" customHeight="1" spans="1:2">
      <c r="A12340" s="3" t="str">
        <f>IFERROR(__xludf.DUMMYFUNCTION("GOOGLETRANSLATE(A12340,""en"",""pt"")"),"bombástico")</f>
        <v>bombástico</v>
      </c>
      <c r="B12340" s="3">
        <v>0</v>
      </c>
    </row>
    <row r="12341" ht="15.75" customHeight="1" spans="1:2">
      <c r="A12341" s="3" t="str">
        <f>IFERROR(__xludf.DUMMYFUNCTION("GOOGLETRANSLATE(A12341,""en"",""pt"")"),"escravidão")</f>
        <v>escravidão</v>
      </c>
      <c r="B12341" s="3">
        <v>0</v>
      </c>
    </row>
    <row r="12342" ht="15.75" customHeight="1" spans="1:2">
      <c r="A12342" s="3" t="str">
        <f>IFERROR(__xludf.DUMMYFUNCTION("GOOGLETRANSLATE(A12342,""en"",""pt"")"),"bonkers")</f>
        <v>bonkers</v>
      </c>
      <c r="B12342" s="3">
        <v>0</v>
      </c>
    </row>
    <row r="12343" ht="15.75" customHeight="1" spans="1:2">
      <c r="A12343" s="3" t="str">
        <f>IFERROR(__xludf.DUMMYFUNCTION("GOOGLETRANSLATE(A12343,""en"",""pt"")"),"perfuração")</f>
        <v>perfuração</v>
      </c>
      <c r="B12343" s="3">
        <v>0</v>
      </c>
    </row>
    <row r="12344" ht="15.75" customHeight="1" spans="1:2">
      <c r="A12344" s="3" t="str">
        <f>IFERROR(__xludf.DUMMYFUNCTION("GOOGLETRANSLATE(A12344,""en"",""pt"")"),"entediado")</f>
        <v>entediado</v>
      </c>
      <c r="B12344" s="3">
        <v>0</v>
      </c>
    </row>
    <row r="12345" ht="15.75" customHeight="1" spans="1:2">
      <c r="A12345" s="3" t="str">
        <f>IFERROR(__xludf.DUMMYFUNCTION("GOOGLETRANSLATE(A12345,""en"",""pt"")"),"tédio")</f>
        <v>tédio</v>
      </c>
      <c r="B12345" s="3">
        <v>0</v>
      </c>
    </row>
    <row r="12346" ht="15.75" customHeight="1" spans="1:2">
      <c r="A12346" s="3" t="str">
        <f>IFERROR(__xludf.DUMMYFUNCTION("GOOGLETRANSLATE(A12346,""en"",""pt"")"),"furos")</f>
        <v>furos</v>
      </c>
      <c r="B12346" s="3">
        <v>0</v>
      </c>
    </row>
    <row r="12347" ht="15.75" customHeight="1" spans="1:2">
      <c r="A12347" s="3" t="str">
        <f>IFERROR(__xludf.DUMMYFUNCTION("GOOGLETRANSLATE(A12347,""en"",""pt"")"),"entediante")</f>
        <v>entediante</v>
      </c>
      <c r="B12347" s="3">
        <v>0</v>
      </c>
    </row>
    <row r="12348" ht="15.75" customHeight="1" spans="1:2">
      <c r="A12348" s="3" t="str">
        <f>IFERROR(__xludf.DUMMYFUNCTION("GOOGLETRANSLATE(A12348,""en"",""pt"")"),"remendo")</f>
        <v>remendo</v>
      </c>
      <c r="B12348" s="3">
        <v>0</v>
      </c>
    </row>
    <row r="12349" ht="15.75" customHeight="1" spans="1:2">
      <c r="A12349" s="3" t="str">
        <f>IFERROR(__xludf.DUMMYFUNCTION("GOOGLETRANSLATE(A12349,""en"",""pt"")"),"incomodar")</f>
        <v>incomodar</v>
      </c>
      <c r="B12349" s="3">
        <v>0</v>
      </c>
    </row>
    <row r="12350" ht="15.75" customHeight="1" spans="1:2">
      <c r="A12350" s="3" t="str">
        <f>IFERROR(__xludf.DUMMYFUNCTION("GOOGLETRANSLATE(A12350,""en"",""pt"")"),"incomodado")</f>
        <v>incomodado</v>
      </c>
      <c r="B12350" s="3">
        <v>0</v>
      </c>
    </row>
    <row r="12351" ht="15.75" customHeight="1" spans="1:2">
      <c r="A12351" s="3" t="str">
        <f>IFERROR(__xludf.DUMMYFUNCTION("GOOGLETRANSLATE(A12351,""en"",""pt"")"),"incomodando")</f>
        <v>incomodando</v>
      </c>
      <c r="B12351" s="3">
        <v>0</v>
      </c>
    </row>
    <row r="12352" ht="15.75" customHeight="1" spans="1:2">
      <c r="A12352" s="3" t="str">
        <f>IFERROR(__xludf.DUMMYFUNCTION("GOOGLETRANSLATE(A12352,""en"",""pt"")"),"incomoda")</f>
        <v>incomoda</v>
      </c>
      <c r="B12352" s="3">
        <v>0</v>
      </c>
    </row>
    <row r="12353" ht="15.75" customHeight="1" spans="1:2">
      <c r="A12353" s="3" t="str">
        <f>IFERROR(__xludf.DUMMYFUNCTION("GOOGLETRANSLATE(A12353,""en"",""pt"")"),"enfadonho")</f>
        <v>enfadonho</v>
      </c>
      <c r="B12353" s="3">
        <v>0</v>
      </c>
    </row>
    <row r="12354" ht="15.75" customHeight="1" spans="1:2">
      <c r="A12354" s="3" t="str">
        <f>IFERROR(__xludf.DUMMYFUNCTION("GOOGLETRANSLATE(A12354,""en"",""pt"")"),"expurgar livros")</f>
        <v>expurgar livros</v>
      </c>
      <c r="B12354" s="3">
        <v>0</v>
      </c>
    </row>
    <row r="12355" ht="15.75" customHeight="1" spans="1:2">
      <c r="A12355" s="3" t="str">
        <f>IFERROR(__xludf.DUMMYFUNCTION("GOOGLETRANSLATE(A12355,""en"",""pt"")"),"boicote")</f>
        <v>boicote</v>
      </c>
      <c r="B12355" s="3">
        <v>0</v>
      </c>
    </row>
    <row r="12356" ht="15.75" customHeight="1" spans="1:2">
      <c r="A12356" s="3" t="str">
        <f>IFERROR(__xludf.DUMMYFUNCTION("GOOGLETRANSLATE(A12356,""en"",""pt"")"),"fanfarrão")</f>
        <v>fanfarrão</v>
      </c>
      <c r="B12356" s="3">
        <v>0</v>
      </c>
    </row>
    <row r="12357" ht="15.75" customHeight="1" spans="1:2">
      <c r="A12357" s="3" t="str">
        <f>IFERROR(__xludf.DUMMYFUNCTION("GOOGLETRANSLATE(A12357,""en"",""pt"")"),"bragger")</f>
        <v>bragger</v>
      </c>
      <c r="B12357" s="3">
        <v>0</v>
      </c>
    </row>
    <row r="12358" ht="15.75" customHeight="1" spans="1:2">
      <c r="A12358" s="3" t="str">
        <f>IFERROR(__xludf.DUMMYFUNCTION("GOOGLETRANSLATE(A12358,""en"",""pt"")"),"sem cérebro")</f>
        <v>sem cérebro</v>
      </c>
      <c r="B12358" s="3">
        <v>0</v>
      </c>
    </row>
    <row r="12359" ht="15.75" customHeight="1" spans="1:2">
      <c r="A12359" s="3" t="str">
        <f>IFERROR(__xludf.DUMMYFUNCTION("GOOGLETRANSLATE(A12359,""en"",""pt"")"),"lavagem cerebral")</f>
        <v>lavagem cerebral</v>
      </c>
      <c r="B12359" s="3">
        <v>0</v>
      </c>
    </row>
    <row r="12360" ht="15.75" customHeight="1" spans="1:2">
      <c r="A12360" s="3" t="str">
        <f>IFERROR(__xludf.DUMMYFUNCTION("GOOGLETRANSLATE(A12360,""en"",""pt"")"),"imprudente")</f>
        <v>imprudente</v>
      </c>
      <c r="B12360" s="3">
        <v>0</v>
      </c>
    </row>
    <row r="12361" ht="15.75" customHeight="1" spans="1:2">
      <c r="A12361" s="3" t="str">
        <f>IFERROR(__xludf.DUMMYFUNCTION("GOOGLETRANSLATE(A12361,""en"",""pt"")"),"impetuosa")</f>
        <v>impetuosa</v>
      </c>
      <c r="B12361" s="3">
        <v>0</v>
      </c>
    </row>
    <row r="12362" ht="15.75" customHeight="1" spans="1:2">
      <c r="A12362" s="3" t="str">
        <f>IFERROR(__xludf.DUMMYFUNCTION("GOOGLETRANSLATE(A12362,""en"",""pt"")"),"brashness")</f>
        <v>brashness</v>
      </c>
      <c r="B12362" s="3">
        <v>0</v>
      </c>
    </row>
    <row r="12363" ht="15.75" customHeight="1" spans="1:2">
      <c r="A12363" s="3" t="str">
        <f>IFERROR(__xludf.DUMMYFUNCTION("GOOGLETRANSLATE(A12363,""en"",""pt"")"),"fedelho")</f>
        <v>fedelho</v>
      </c>
      <c r="B12363" s="3">
        <v>0</v>
      </c>
    </row>
    <row r="12364" ht="15.75" customHeight="1" spans="1:2">
      <c r="A12364" s="3" t="str">
        <f>IFERROR(__xludf.DUMMYFUNCTION("GOOGLETRANSLATE(A12364,""en"",""pt"")"),"bravata")</f>
        <v>bravata</v>
      </c>
      <c r="B12364" s="3">
        <v>0</v>
      </c>
    </row>
    <row r="12365" ht="15.75" customHeight="1" spans="1:2">
      <c r="A12365" s="3" t="str">
        <f>IFERROR(__xludf.DUMMYFUNCTION("GOOGLETRANSLATE(A12365,""en"",""pt"")"),"descarado")</f>
        <v>descarado</v>
      </c>
      <c r="B12365" s="3">
        <v>0</v>
      </c>
    </row>
    <row r="12366" ht="15.75" customHeight="1" spans="1:2">
      <c r="A12366" s="3" t="str">
        <f>IFERROR(__xludf.DUMMYFUNCTION("GOOGLETRANSLATE(A12366,""en"",""pt"")"),"descaradamente")</f>
        <v>descaradamente</v>
      </c>
      <c r="B12366" s="3">
        <v>0</v>
      </c>
    </row>
    <row r="12367" ht="15.75" customHeight="1" spans="1:2">
      <c r="A12367" s="3" t="str">
        <f>IFERROR(__xludf.DUMMYFUNCTION("GOOGLETRANSLATE(A12367,""en"",""pt"")"),"brazenness")</f>
        <v>brazenness</v>
      </c>
      <c r="B12367" s="3">
        <v>0</v>
      </c>
    </row>
    <row r="12368" ht="15.75" customHeight="1" spans="1:2">
      <c r="A12368" s="3" t="str">
        <f>IFERROR(__xludf.DUMMYFUNCTION("GOOGLETRANSLATE(A12368,""en"",""pt"")"),"violação")</f>
        <v>violação</v>
      </c>
      <c r="B12368" s="3">
        <v>0</v>
      </c>
    </row>
    <row r="12369" ht="15.75" customHeight="1" spans="1:2">
      <c r="A12369" s="3" t="str">
        <f>IFERROR(__xludf.DUMMYFUNCTION("GOOGLETRANSLATE(A12369,""en"",""pt"")"),"quebrar")</f>
        <v>quebrar</v>
      </c>
      <c r="B12369" s="3">
        <v>0</v>
      </c>
    </row>
    <row r="12370" ht="15.75" customHeight="1" spans="1:2">
      <c r="A12370" s="3" t="str">
        <f>IFERROR(__xludf.DUMMYFUNCTION("GOOGLETRANSLATE(A12370,""en"",""pt"")"),"rompimento")</f>
        <v>rompimento</v>
      </c>
      <c r="B12370" s="3">
        <v>0</v>
      </c>
    </row>
    <row r="12371" ht="15.75" customHeight="1" spans="1:2">
      <c r="A12371" s="3" t="str">
        <f>IFERROR(__xludf.DUMMYFUNCTION("GOOGLETRANSLATE(A12371,""en"",""pt"")"),"break-ups")</f>
        <v>break-ups</v>
      </c>
      <c r="B12371" s="3">
        <v>0</v>
      </c>
    </row>
    <row r="12372" ht="15.75" customHeight="1" spans="1:2">
      <c r="A12372" s="3" t="str">
        <f>IFERROR(__xludf.DUMMYFUNCTION("GOOGLETRANSLATE(A12372,""en"",""pt"")"),"demolir")</f>
        <v>demolir</v>
      </c>
      <c r="B12372" s="3">
        <v>0</v>
      </c>
    </row>
    <row r="12373" ht="15.75" customHeight="1" spans="1:2">
      <c r="A12373" s="3" t="str">
        <f>IFERROR(__xludf.DUMMYFUNCTION("GOOGLETRANSLATE(A12373,""en"",""pt"")"),"quebra")</f>
        <v>quebra</v>
      </c>
      <c r="B12373" s="3">
        <v>0</v>
      </c>
    </row>
    <row r="12374" ht="15.75" customHeight="1" spans="1:2">
      <c r="A12374" s="3" t="str">
        <f>IFERROR(__xludf.DUMMYFUNCTION("GOOGLETRANSLATE(A12374,""en"",""pt"")"),"rompe")</f>
        <v>rompe</v>
      </c>
      <c r="B12374" s="3">
        <v>0</v>
      </c>
    </row>
    <row r="12375" ht="15.75" customHeight="1" spans="1:2">
      <c r="A12375" s="3" t="str">
        <f>IFERROR(__xludf.DUMMYFUNCTION("GOOGLETRANSLATE(A12375,""en"",""pt"")"),"rompimento")</f>
        <v>rompimento</v>
      </c>
      <c r="B12375" s="3">
        <v>0</v>
      </c>
    </row>
    <row r="12376" ht="15.75" customHeight="1" spans="1:2">
      <c r="A12376" s="3" t="str">
        <f>IFERROR(__xludf.DUMMYFUNCTION("GOOGLETRANSLATE(A12376,""en"",""pt"")"),"rompimentos")</f>
        <v>rompimentos</v>
      </c>
      <c r="B12376" s="3">
        <v>0</v>
      </c>
    </row>
    <row r="12377" ht="15.75" customHeight="1" spans="1:2">
      <c r="A12377" s="3" t="str">
        <f>IFERROR(__xludf.DUMMYFUNCTION("GOOGLETRANSLATE(A12377,""en"",""pt"")"),"suborno")</f>
        <v>suborno</v>
      </c>
      <c r="B12377" s="3">
        <v>0</v>
      </c>
    </row>
    <row r="12378" ht="15.75" customHeight="1" spans="1:2">
      <c r="A12378" s="3" t="str">
        <f>IFERROR(__xludf.DUMMYFUNCTION("GOOGLETRANSLATE(A12378,""en"",""pt"")"),"enxofre")</f>
        <v>enxofre</v>
      </c>
      <c r="B12378" s="3">
        <v>0</v>
      </c>
    </row>
    <row r="12379" ht="15.75" customHeight="1" spans="1:2">
      <c r="A12379" s="3" t="str">
        <f>IFERROR(__xludf.DUMMYFUNCTION("GOOGLETRANSLATE(A12379,""en"",""pt"")"),"cerda")</f>
        <v>cerda</v>
      </c>
      <c r="B12379" s="3">
        <v>0</v>
      </c>
    </row>
    <row r="12380" ht="15.75" customHeight="1" spans="1:2">
      <c r="A12380" s="3" t="str">
        <f>IFERROR(__xludf.DUMMYFUNCTION("GOOGLETRANSLATE(A12380,""en"",""pt"")"),"frágil")</f>
        <v>frágil</v>
      </c>
      <c r="B12380" s="3">
        <v>0</v>
      </c>
    </row>
    <row r="12381" ht="15.75" customHeight="1" spans="1:2">
      <c r="A12381" s="3" t="str">
        <f>IFERROR(__xludf.DUMMYFUNCTION("GOOGLETRANSLATE(A12381,""en"",""pt"")"),"quebrou")</f>
        <v>quebrou</v>
      </c>
      <c r="B12381" s="3">
        <v>0</v>
      </c>
    </row>
    <row r="12382" ht="15.75" customHeight="1" spans="1:2">
      <c r="A12382" s="3" t="str">
        <f>IFERROR(__xludf.DUMMYFUNCTION("GOOGLETRANSLATE(A12382,""en"",""pt"")"),"quebrado")</f>
        <v>quebrado</v>
      </c>
      <c r="B12382" s="3">
        <v>0</v>
      </c>
    </row>
    <row r="12383" ht="15.75" customHeight="1" spans="1:2">
      <c r="A12383" s="3" t="str">
        <f>IFERROR(__xludf.DUMMYFUNCTION("GOOGLETRANSLATE(A12383,""en"",""pt"")"),"coração partido")</f>
        <v>coração partido</v>
      </c>
      <c r="B12383" s="3">
        <v>0</v>
      </c>
    </row>
    <row r="12384" ht="15.75" customHeight="1" spans="1:2">
      <c r="A12384" s="3" t="str">
        <f>IFERROR(__xludf.DUMMYFUNCTION("GOOGLETRANSLATE(A12384,""en"",""pt"")"),"ninhada")</f>
        <v>ninhada</v>
      </c>
      <c r="B12384" s="3">
        <v>0</v>
      </c>
    </row>
    <row r="12385" ht="15.75" customHeight="1" spans="1:2">
      <c r="A12385" s="3" t="str">
        <f>IFERROR(__xludf.DUMMYFUNCTION("GOOGLETRANSLATE(A12385,""en"",""pt"")"),"intimidar")</f>
        <v>intimidar</v>
      </c>
      <c r="B12385" s="3">
        <v>0</v>
      </c>
    </row>
    <row r="12386" ht="15.75" customHeight="1" spans="1:2">
      <c r="A12386" s="3" t="str">
        <f>IFERROR(__xludf.DUMMYFUNCTION("GOOGLETRANSLATE(A12386,""en"",""pt"")"),"ematoma")</f>
        <v>ematoma</v>
      </c>
      <c r="B12386" s="3">
        <v>0</v>
      </c>
    </row>
    <row r="12387" ht="15.75" customHeight="1" spans="1:2">
      <c r="A12387" s="3" t="str">
        <f>IFERROR(__xludf.DUMMYFUNCTION("GOOGLETRANSLATE(A12387,""en"",""pt"")"),"ferido")</f>
        <v>ferido</v>
      </c>
      <c r="B12387" s="3">
        <v>0</v>
      </c>
    </row>
    <row r="12388" ht="15.75" customHeight="1" spans="1:2">
      <c r="A12388" s="3" t="str">
        <f>IFERROR(__xludf.DUMMYFUNCTION("GOOGLETRANSLATE(A12388,""en"",""pt"")"),"contusões")</f>
        <v>contusões</v>
      </c>
      <c r="B12388" s="3">
        <v>0</v>
      </c>
    </row>
    <row r="12389" ht="15.75" customHeight="1" spans="1:2">
      <c r="A12389" s="3" t="str">
        <f>IFERROR(__xludf.DUMMYFUNCTION("GOOGLETRANSLATE(A12389,""en"",""pt"")"),"contundente")</f>
        <v>contundente</v>
      </c>
      <c r="B12389" s="3">
        <v>0</v>
      </c>
    </row>
    <row r="12390" ht="15.75" customHeight="1" spans="1:2">
      <c r="A12390" s="3" t="str">
        <f>IFERROR(__xludf.DUMMYFUNCTION("GOOGLETRANSLATE(A12390,""en"",""pt"")"),"brusco")</f>
        <v>brusco</v>
      </c>
      <c r="B12390" s="3">
        <v>0</v>
      </c>
    </row>
    <row r="12391" ht="15.75" customHeight="1" spans="1:2">
      <c r="A12391" s="3" t="str">
        <f>IFERROR(__xludf.DUMMYFUNCTION("GOOGLETRANSLATE(A12391,""en"",""pt"")"),"brutal")</f>
        <v>brutal</v>
      </c>
      <c r="B12391" s="3">
        <v>0</v>
      </c>
    </row>
    <row r="12392" ht="15.75" customHeight="1" spans="1:2">
      <c r="A12392" s="3" t="str">
        <f>IFERROR(__xludf.DUMMYFUNCTION("GOOGLETRANSLATE(A12392,""en"",""pt"")"),"brutalização")</f>
        <v>brutalização</v>
      </c>
      <c r="B12392" s="3">
        <v>0</v>
      </c>
    </row>
    <row r="12393" ht="15.75" customHeight="1" spans="1:2">
      <c r="A12393" s="3" t="str">
        <f>IFERROR(__xludf.DUMMYFUNCTION("GOOGLETRANSLATE(A12393,""en"",""pt"")"),"brutalidades")</f>
        <v>brutalidades</v>
      </c>
      <c r="B12393" s="3">
        <v>0</v>
      </c>
    </row>
    <row r="12394" ht="15.75" customHeight="1" spans="1:2">
      <c r="A12394" s="3" t="s">
        <v>57</v>
      </c>
      <c r="B12394" s="3">
        <v>0</v>
      </c>
    </row>
    <row r="12395" ht="15.75" customHeight="1" spans="1:2">
      <c r="A12395" s="3" t="str">
        <f>IFERROR(__xludf.DUMMYFUNCTION("GOOGLETRANSLATE(A12395,""en"",""pt"")"),"brutalizar")</f>
        <v>brutalizar</v>
      </c>
      <c r="B12395" s="3">
        <v>0</v>
      </c>
    </row>
    <row r="12396" ht="15.75" customHeight="1" spans="1:2">
      <c r="A12396" s="3" t="str">
        <f>IFERROR(__xludf.DUMMYFUNCTION("GOOGLETRANSLATE(A12396,""en"",""pt"")"),"brutalização")</f>
        <v>brutalização</v>
      </c>
      <c r="B12396" s="3">
        <v>0</v>
      </c>
    </row>
    <row r="12397" ht="15.75" customHeight="1" spans="1:2">
      <c r="A12397" s="3" t="str">
        <f>IFERROR(__xludf.DUMMYFUNCTION("GOOGLETRANSLATE(A12397,""en"",""pt"")"),"brutalmente")</f>
        <v>brutalmente</v>
      </c>
      <c r="B12397" s="3">
        <v>0</v>
      </c>
    </row>
    <row r="12398" ht="15.75" customHeight="1" spans="1:2">
      <c r="A12398" s="3" t="str">
        <f>IFERROR(__xludf.DUMMYFUNCTION("GOOGLETRANSLATE(A12398,""en"",""pt"")"),"bruto")</f>
        <v>bruto</v>
      </c>
      <c r="B12398" s="3">
        <v>0</v>
      </c>
    </row>
    <row r="12399" ht="15.75" customHeight="1" spans="1:2">
      <c r="A12399" s="3" t="str">
        <f>IFERROR(__xludf.DUMMYFUNCTION("GOOGLETRANSLATE(A12399,""en"",""pt"")"),"brutal")</f>
        <v>brutal</v>
      </c>
      <c r="B12399" s="3">
        <v>0</v>
      </c>
    </row>
    <row r="12400" ht="15.75" customHeight="1" spans="1:2">
      <c r="A12400" s="3" t="str">
        <f>IFERROR(__xludf.DUMMYFUNCTION("GOOGLETRANSLATE(A12400,""en"",""pt"")"),"bs")</f>
        <v>bs</v>
      </c>
      <c r="B12400" s="3">
        <v>0</v>
      </c>
    </row>
    <row r="12401" ht="15.75" customHeight="1" spans="1:2">
      <c r="A12401" s="3" t="str">
        <f>IFERROR(__xludf.DUMMYFUNCTION("GOOGLETRANSLATE(A12401,""en"",""pt"")"),"fivela")</f>
        <v>fivela</v>
      </c>
      <c r="B12401" s="3">
        <v>0</v>
      </c>
    </row>
    <row r="12402" ht="15.75" customHeight="1" spans="1:2">
      <c r="A12402" s="3" t="str">
        <f>IFERROR(__xludf.DUMMYFUNCTION("GOOGLETRANSLATE(A12402,""en"",""pt"")"),"erro")</f>
        <v>erro</v>
      </c>
      <c r="B12402" s="3">
        <v>0</v>
      </c>
    </row>
    <row r="12403" ht="15.75" customHeight="1" spans="1:2">
      <c r="A12403" s="3" t="str">
        <f>IFERROR(__xludf.DUMMYFUNCTION("GOOGLETRANSLATE(A12403,""en"",""pt"")"),"escuta")</f>
        <v>escuta</v>
      </c>
      <c r="B12403" s="3">
        <v>0</v>
      </c>
    </row>
    <row r="12404" ht="15.75" customHeight="1" spans="1:2">
      <c r="A12404" s="3" t="str">
        <f>IFERROR(__xludf.DUMMYFUNCTION("GOOGLETRANSLATE(A12404,""en"",""pt"")"),"Buggy")</f>
        <v>Buggy</v>
      </c>
      <c r="B12404" s="3">
        <v>0</v>
      </c>
    </row>
    <row r="12405" ht="15.75" customHeight="1" spans="1:2">
      <c r="A12405" s="3" t="str">
        <f>IFERROR(__xludf.DUMMYFUNCTION("GOOGLETRANSLATE(A12405,""en"",""pt"")"),"insetos")</f>
        <v>insetos</v>
      </c>
      <c r="B12405" s="3">
        <v>0</v>
      </c>
    </row>
    <row r="12406" ht="15.75" customHeight="1" spans="1:2">
      <c r="A12406" s="3" t="str">
        <f>IFERROR(__xludf.DUMMYFUNCTION("GOOGLETRANSLATE(A12406,""en"",""pt"")"),"mais volumoso")</f>
        <v>mais volumoso</v>
      </c>
      <c r="B12406" s="3">
        <v>0</v>
      </c>
    </row>
    <row r="12407" ht="15.75" customHeight="1" spans="1:2">
      <c r="A12407" s="3" t="str">
        <f>IFERROR(__xludf.DUMMYFUNCTION("GOOGLETRANSLATE(A12407,""en"",""pt"")"),"bulkiness")</f>
        <v>bulkiness</v>
      </c>
      <c r="B12407" s="3">
        <v>0</v>
      </c>
    </row>
    <row r="12408" ht="15.75" customHeight="1" spans="1:2">
      <c r="A12408" s="3" t="str">
        <f>IFERROR(__xludf.DUMMYFUNCTION("GOOGLETRANSLATE(A12408,""en"",""pt"")"),"volumoso")</f>
        <v>volumoso</v>
      </c>
      <c r="B12408" s="3">
        <v>0</v>
      </c>
    </row>
    <row r="12409" ht="15.75" customHeight="1" spans="1:2">
      <c r="A12409" s="3" t="str">
        <f>IFERROR(__xludf.DUMMYFUNCTION("GOOGLETRANSLATE(A12409,""en"",""pt"")"),"bulkyness")</f>
        <v>bulkyness</v>
      </c>
      <c r="B12409" s="3">
        <v>0</v>
      </c>
    </row>
    <row r="12410" ht="15.75" customHeight="1" spans="1:2">
      <c r="A12410" s="3" t="str">
        <f>IFERROR(__xludf.DUMMYFUNCTION("GOOGLETRANSLATE(A12410,""en"",""pt"")"),"touro****")</f>
        <v>touro****</v>
      </c>
      <c r="B12410" s="3">
        <v>0</v>
      </c>
    </row>
    <row r="12411" ht="15.75" customHeight="1" spans="1:2">
      <c r="A12411" s="3" t="str">
        <f>IFERROR(__xludf.DUMMYFUNCTION("GOOGLETRANSLATE(A12411,""en"",""pt"")"),"touro----")</f>
        <v>touro----</v>
      </c>
      <c r="B12411" s="3">
        <v>0</v>
      </c>
    </row>
    <row r="12412" ht="15.75" customHeight="1" spans="1:2">
      <c r="A12412" s="3" t="str">
        <f>IFERROR(__xludf.DUMMYFUNCTION("GOOGLETRANSLATE(A12412,""en"",""pt"")"),"valentões")</f>
        <v>valentões</v>
      </c>
      <c r="B12412" s="3">
        <v>0</v>
      </c>
    </row>
    <row r="12413" ht="15.75" customHeight="1" spans="1:2">
      <c r="A12413" s="3" t="str">
        <f>IFERROR(__xludf.DUMMYFUNCTION("GOOGLETRANSLATE(A12413,""en"",""pt"")"),"besteira")</f>
        <v>besteira</v>
      </c>
      <c r="B12413" s="3">
        <v>0</v>
      </c>
    </row>
    <row r="12414" ht="15.75" customHeight="1" spans="1:2">
      <c r="A12414" s="3" t="str">
        <f>IFERROR(__xludf.DUMMYFUNCTION("GOOGLETRANSLATE(A12414,""en"",""pt"")"),"bullshyt")</f>
        <v>bullshyt</v>
      </c>
      <c r="B12414" s="3">
        <v>0</v>
      </c>
    </row>
    <row r="12415" ht="15.75" customHeight="1" spans="1:2">
      <c r="A12415" s="3" t="str">
        <f>IFERROR(__xludf.DUMMYFUNCTION("GOOGLETRANSLATE(A12415,""en"",""pt"")"),"valentão")</f>
        <v>valentão</v>
      </c>
      <c r="B12415" s="3">
        <v>0</v>
      </c>
    </row>
    <row r="12416" ht="15.75" customHeight="1" spans="1:2">
      <c r="A12416" s="3" t="str">
        <f>IFERROR(__xludf.DUMMYFUNCTION("GOOGLETRANSLATE(A12416,""en"",""pt"")"),"assédio moral")</f>
        <v>assédio moral</v>
      </c>
      <c r="B12416" s="3">
        <v>0</v>
      </c>
    </row>
    <row r="12417" ht="15.75" customHeight="1" spans="1:2">
      <c r="A12417" s="3" t="str">
        <f>IFERROR(__xludf.DUMMYFUNCTION("GOOGLETRANSLATE(A12417,""en"",""pt"")"),"bullyingly")</f>
        <v>bullyingly</v>
      </c>
      <c r="B12417" s="3">
        <v>0</v>
      </c>
    </row>
    <row r="12418" ht="15.75" customHeight="1" spans="1:2">
      <c r="A12418" s="3" t="str">
        <f>IFERROR(__xludf.DUMMYFUNCTION("GOOGLETRANSLATE(A12418,""en"",""pt"")"),"vagabundo")</f>
        <v>vagabundo</v>
      </c>
      <c r="B12418" s="3">
        <v>0</v>
      </c>
    </row>
    <row r="12419" ht="15.75" customHeight="1" spans="1:2">
      <c r="A12419" s="3" t="str">
        <f>IFERROR(__xludf.DUMMYFUNCTION("GOOGLETRANSLATE(A12419,""en"",""pt"")"),"colisão")</f>
        <v>colisão</v>
      </c>
      <c r="B12419" s="3">
        <v>0</v>
      </c>
    </row>
    <row r="12420" ht="15.75" customHeight="1" spans="1:2">
      <c r="A12420" s="3" t="str">
        <f>IFERROR(__xludf.DUMMYFUNCTION("GOOGLETRANSLATE(A12420,""en"",""pt"")"),"Bumped")</f>
        <v>Bumped</v>
      </c>
      <c r="B12420" s="3">
        <v>0</v>
      </c>
    </row>
    <row r="12421" ht="15.75" customHeight="1" spans="1:2">
      <c r="A12421" s="3" t="str">
        <f>IFERROR(__xludf.DUMMYFUNCTION("GOOGLETRANSLATE(A12421,""en"",""pt"")"),"bumping")</f>
        <v>bumping</v>
      </c>
      <c r="B12421" s="3">
        <v>0</v>
      </c>
    </row>
    <row r="12422" ht="15.75" customHeight="1" spans="1:2">
      <c r="A12422" s="3" t="str">
        <f>IFERROR(__xludf.DUMMYFUNCTION("GOOGLETRANSLATE(A12422,""en"",""pt"")"),"bumpping")</f>
        <v>bumpping</v>
      </c>
      <c r="B12422" s="3">
        <v>0</v>
      </c>
    </row>
    <row r="12423" ht="15.75" customHeight="1" spans="1:2">
      <c r="A12423" s="3" t="str">
        <f>IFERROR(__xludf.DUMMYFUNCTION("GOOGLETRANSLATE(A12423,""en"",""pt"")"),"solavancos")</f>
        <v>solavancos</v>
      </c>
      <c r="B12423" s="3">
        <v>0</v>
      </c>
    </row>
    <row r="12424" ht="15.75" customHeight="1" spans="1:2">
      <c r="A12424" s="3" t="str">
        <f>IFERROR(__xludf.DUMMYFUNCTION("GOOGLETRANSLATE(A12424,""en"",""pt"")"),"irregular")</f>
        <v>irregular</v>
      </c>
      <c r="B12424" s="3">
        <v>0</v>
      </c>
    </row>
    <row r="12425" ht="15.75" customHeight="1" spans="1:2">
      <c r="A12425" s="3" t="str">
        <f>IFERROR(__xludf.DUMMYFUNCTION("GOOGLETRANSLATE(A12425,""en"",""pt"")"),"estragar")</f>
        <v>estragar</v>
      </c>
      <c r="B12425" s="3">
        <v>0</v>
      </c>
    </row>
    <row r="12426" ht="15.75" customHeight="1" spans="1:2">
      <c r="A12426" s="3" t="str">
        <f>IFERROR(__xludf.DUMMYFUNCTION("GOOGLETRANSLATE(A12426,""en"",""pt"")"),"trapalhão")</f>
        <v>trapalhão</v>
      </c>
      <c r="B12426" s="3">
        <v>0</v>
      </c>
    </row>
    <row r="12427" ht="15.75" customHeight="1" spans="1:2">
      <c r="A12427" s="3" t="str">
        <f>IFERROR(__xludf.DUMMYFUNCTION("GOOGLETRANSLATE(A12427,""en"",""pt"")"),"bungling")</f>
        <v>bungling</v>
      </c>
      <c r="B12427" s="3">
        <v>0</v>
      </c>
    </row>
    <row r="12428" ht="15.75" customHeight="1" spans="1:2">
      <c r="A12428" s="3" t="str">
        <f>IFERROR(__xludf.DUMMYFUNCTION("GOOGLETRANSLATE(A12428,""en"",""pt"")"),"beliche")</f>
        <v>beliche</v>
      </c>
      <c r="B12428" s="3">
        <v>0</v>
      </c>
    </row>
    <row r="12429" ht="15.75" customHeight="1" spans="1:2">
      <c r="A12429" s="3" t="str">
        <f>IFERROR(__xludf.DUMMYFUNCTION("GOOGLETRANSLATE(A12429,""en"",""pt"")"),"fardo")</f>
        <v>fardo</v>
      </c>
      <c r="B12429" s="3">
        <v>0</v>
      </c>
    </row>
    <row r="12430" ht="15.75" customHeight="1" spans="1:2">
      <c r="A12430" s="3" t="str">
        <f>IFERROR(__xludf.DUMMYFUNCTION("GOOGLETRANSLATE(A12430,""en"",""pt"")"),"oneroso")</f>
        <v>oneroso</v>
      </c>
      <c r="B12430" s="3">
        <v>0</v>
      </c>
    </row>
    <row r="12431" ht="15.75" customHeight="1" spans="1:2">
      <c r="A12431" s="3" t="str">
        <f>IFERROR(__xludf.DUMMYFUNCTION("GOOGLETRANSLATE(A12431,""en"",""pt"")"),"onerosamente")</f>
        <v>onerosamente</v>
      </c>
      <c r="B12431" s="3">
        <v>0</v>
      </c>
    </row>
    <row r="12432" ht="15.75" customHeight="1" spans="1:2">
      <c r="A12432" s="3" t="str">
        <f>IFERROR(__xludf.DUMMYFUNCTION("GOOGLETRANSLATE(A12432,""en"",""pt"")"),"queimar")</f>
        <v>queimar</v>
      </c>
      <c r="B12432" s="3">
        <v>0</v>
      </c>
    </row>
    <row r="12433" ht="15.75" customHeight="1" spans="1:2">
      <c r="A12433" s="3" t="str">
        <f>IFERROR(__xludf.DUMMYFUNCTION("GOOGLETRANSLATE(A12433,""en"",""pt"")"),"queimado")</f>
        <v>queimado</v>
      </c>
      <c r="B12433" s="3">
        <v>0</v>
      </c>
    </row>
    <row r="12434" ht="15.75" customHeight="1" spans="1:2">
      <c r="A12434" s="3" t="str">
        <f>IFERROR(__xludf.DUMMYFUNCTION("GOOGLETRANSLATE(A12434,""en"",""pt"")"),"queimando")</f>
        <v>queimando</v>
      </c>
      <c r="B12434" s="3">
        <v>0</v>
      </c>
    </row>
    <row r="12435" ht="15.75" customHeight="1" spans="1:2">
      <c r="A12435" s="3" t="str">
        <f>IFERROR(__xludf.DUMMYFUNCTION("GOOGLETRANSLATE(A12435,""en"",""pt"")"),"queimaduras")</f>
        <v>queimaduras</v>
      </c>
      <c r="B12435" s="3">
        <v>0</v>
      </c>
    </row>
    <row r="12436" ht="15.75" customHeight="1" spans="1:2">
      <c r="A12436" s="3" t="str">
        <f>IFERROR(__xludf.DUMMYFUNCTION("GOOGLETRANSLATE(A12436,""en"",""pt"")"),"busto")</f>
        <v>busto</v>
      </c>
      <c r="B12436" s="3">
        <v>0</v>
      </c>
    </row>
    <row r="12437" ht="15.75" customHeight="1" spans="1:2">
      <c r="A12437" s="3" t="str">
        <f>IFERROR(__xludf.DUMMYFUNCTION("GOOGLETRANSLATE(A12437,""en"",""pt"")"),"bustos")</f>
        <v>bustos</v>
      </c>
      <c r="B12437" s="3">
        <v>0</v>
      </c>
    </row>
    <row r="12438" ht="15.75" customHeight="1" spans="1:2">
      <c r="A12438" s="3" t="str">
        <f>IFERROR(__xludf.DUMMYFUNCTION("GOOGLETRANSLATE(A12438,""en"",""pt"")"),"pessoa intrometida")</f>
        <v>pessoa intrometida</v>
      </c>
      <c r="B12438" s="3">
        <v>0</v>
      </c>
    </row>
    <row r="12439" ht="15.75" customHeight="1" spans="1:2">
      <c r="A12439" s="3" t="str">
        <f>IFERROR(__xludf.DUMMYFUNCTION("GOOGLETRANSLATE(A12439,""en"",""pt"")"),"açougueiro")</f>
        <v>açougueiro</v>
      </c>
      <c r="B12439" s="3">
        <v>0</v>
      </c>
    </row>
    <row r="12440" ht="15.75" customHeight="1" spans="1:2">
      <c r="A12440" s="3" t="str">
        <f>IFERROR(__xludf.DUMMYFUNCTION("GOOGLETRANSLATE(A12440,""en"",""pt"")"),"açougue")</f>
        <v>açougue</v>
      </c>
      <c r="B12440" s="3">
        <v>0</v>
      </c>
    </row>
    <row r="12441" ht="15.75" customHeight="1" spans="1:2">
      <c r="A12441" s="3" t="str">
        <f>IFERROR(__xludf.DUMMYFUNCTION("GOOGLETRANSLATE(A12441,""en"",""pt"")"),"zumbido")</f>
        <v>zumbido</v>
      </c>
      <c r="B12441" s="3">
        <v>0</v>
      </c>
    </row>
    <row r="12442" ht="15.75" customHeight="1" spans="1:2">
      <c r="A12442" s="3" t="str">
        <f>IFERROR(__xludf.DUMMYFUNCTION("GOOGLETRANSLATE(A12442,""en"",""pt"")"),"bizantino")</f>
        <v>bizantino</v>
      </c>
      <c r="B12442" s="3">
        <v>0</v>
      </c>
    </row>
    <row r="12443" ht="15.75" customHeight="1" spans="1:2">
      <c r="A12443" s="3" t="str">
        <f>IFERROR(__xludf.DUMMYFUNCTION("GOOGLETRANSLATE(A12443,""en"",""pt"")"),"cacarejo")</f>
        <v>cacarejo</v>
      </c>
      <c r="B12443" s="3">
        <v>0</v>
      </c>
    </row>
    <row r="12444" ht="15.75" customHeight="1" spans="1:2">
      <c r="A12444" s="3" t="str">
        <f>IFERROR(__xludf.DUMMYFUNCTION("GOOGLETRANSLATE(A12444,""en"",""pt"")"),"calamidades")</f>
        <v>calamidades</v>
      </c>
      <c r="B12444" s="3">
        <v>0</v>
      </c>
    </row>
    <row r="12445" ht="15.75" customHeight="1" spans="1:2">
      <c r="A12445" s="3" t="str">
        <f>IFERROR(__xludf.DUMMYFUNCTION("GOOGLETRANSLATE(A12445,""en"",""pt"")"),"calamitoso")</f>
        <v>calamitoso</v>
      </c>
      <c r="B12445" s="3">
        <v>0</v>
      </c>
    </row>
    <row r="12446" ht="15.75" customHeight="1" spans="1:2">
      <c r="A12446" s="3" t="str">
        <f>IFERROR(__xludf.DUMMYFUNCTION("GOOGLETRANSLATE(A12446,""en"",""pt"")"),"calamitosamente")</f>
        <v>calamitosamente</v>
      </c>
      <c r="B12446" s="3">
        <v>0</v>
      </c>
    </row>
    <row r="12447" ht="15.75" customHeight="1" spans="1:2">
      <c r="A12447" s="3" t="str">
        <f>IFERROR(__xludf.DUMMYFUNCTION("GOOGLETRANSLATE(A12447,""en"",""pt"")"),"calamidade")</f>
        <v>calamidade</v>
      </c>
      <c r="B12447" s="3">
        <v>0</v>
      </c>
    </row>
    <row r="12448" ht="15.75" customHeight="1" spans="1:2">
      <c r="A12448" s="3" t="str">
        <f>IFERROR(__xludf.DUMMYFUNCTION("GOOGLETRANSLATE(A12448,""en"",""pt"")"),"insensível")</f>
        <v>insensível</v>
      </c>
      <c r="B12448" s="3">
        <v>0</v>
      </c>
    </row>
    <row r="12449" ht="15.75" customHeight="1" spans="1:2">
      <c r="A12449" s="3" t="str">
        <f>IFERROR(__xludf.DUMMYFUNCTION("GOOGLETRANSLATE(A12449,""en"",""pt"")"),"caluniar")</f>
        <v>caluniar</v>
      </c>
      <c r="B12449" s="3">
        <v>0</v>
      </c>
    </row>
    <row r="12450" ht="15.75" customHeight="1" spans="1:2">
      <c r="A12450" s="3" t="str">
        <f>IFERROR(__xludf.DUMMYFUNCTION("GOOGLETRANSLATE(A12450,""en"",""pt"")"),"calúnia")</f>
        <v>calúnia</v>
      </c>
      <c r="B12450" s="3">
        <v>0</v>
      </c>
    </row>
    <row r="12451" ht="15.75" customHeight="1" spans="1:2">
      <c r="A12451" s="3" t="str">
        <f>IFERROR(__xludf.DUMMYFUNCTION("GOOGLETRANSLATE(A12451,""en"",""pt"")"),"calúnias")</f>
        <v>calúnias</v>
      </c>
      <c r="B12451" s="3">
        <v>0</v>
      </c>
    </row>
    <row r="12452" ht="15.75" customHeight="1" spans="1:2">
      <c r="A12452" s="3" t="str">
        <f>IFERROR(__xludf.DUMMYFUNCTION("GOOGLETRANSLATE(A12452,""en"",""pt"")"),"calumnious")</f>
        <v>calumnious</v>
      </c>
      <c r="B12452" s="3">
        <v>0</v>
      </c>
    </row>
    <row r="12453" ht="15.75" customHeight="1" spans="1:2">
      <c r="A12453" s="3" t="str">
        <f>IFERROR(__xludf.DUMMYFUNCTION("GOOGLETRANSLATE(A12453,""en"",""pt"")"),"calumniously")</f>
        <v>calumniously</v>
      </c>
      <c r="B12453" s="3">
        <v>0</v>
      </c>
    </row>
    <row r="12454" ht="15.75" customHeight="1" spans="1:2">
      <c r="A12454" s="3" t="str">
        <f>IFERROR(__xludf.DUMMYFUNCTION("GOOGLETRANSLATE(A12454,""en"",""pt"")"),"calúnia")</f>
        <v>calúnia</v>
      </c>
      <c r="B12454" s="3">
        <v>0</v>
      </c>
    </row>
    <row r="12455" ht="15.75" customHeight="1" spans="1:2">
      <c r="A12455" s="3" t="str">
        <f>IFERROR(__xludf.DUMMYFUNCTION("GOOGLETRANSLATE(A12455,""en"",""pt"")"),"Câncer")</f>
        <v>Câncer</v>
      </c>
      <c r="B12455" s="3">
        <v>0</v>
      </c>
    </row>
    <row r="12456" ht="15.75" customHeight="1" spans="1:2">
      <c r="A12456" s="3" t="str">
        <f>IFERROR(__xludf.DUMMYFUNCTION("GOOGLETRANSLATE(A12456,""en"",""pt"")"),"canceroso")</f>
        <v>canceroso</v>
      </c>
      <c r="B12456" s="3">
        <v>0</v>
      </c>
    </row>
    <row r="12457" ht="15.75" customHeight="1" spans="1:2">
      <c r="A12457" s="3" t="str">
        <f>IFERROR(__xludf.DUMMYFUNCTION("GOOGLETRANSLATE(A12457,""en"",""pt"")"),"canibal")</f>
        <v>canibal</v>
      </c>
      <c r="B12457" s="3">
        <v>0</v>
      </c>
    </row>
    <row r="12458" ht="15.75" customHeight="1" spans="1:2">
      <c r="A12458" s="3" t="str">
        <f>IFERROR(__xludf.DUMMYFUNCTION("GOOGLETRANSLATE(A12458,""en"",""pt"")"),"canibalizar")</f>
        <v>canibalizar</v>
      </c>
      <c r="B12458" s="3">
        <v>0</v>
      </c>
    </row>
    <row r="12459" ht="15.75" customHeight="1" spans="1:2">
      <c r="A12459" s="3" t="str">
        <f>IFERROR(__xludf.DUMMYFUNCTION("GOOGLETRANSLATE(A12459,""en"",""pt"")"),"capitular")</f>
        <v>capitular</v>
      </c>
      <c r="B12459" s="3">
        <v>0</v>
      </c>
    </row>
    <row r="12460" ht="15.75" customHeight="1" spans="1:2">
      <c r="A12460" s="3" t="str">
        <f>IFERROR(__xludf.DUMMYFUNCTION("GOOGLETRANSLATE(A12460,""en"",""pt"")"),"caprichoso")</f>
        <v>caprichoso</v>
      </c>
      <c r="B12460" s="3">
        <v>0</v>
      </c>
    </row>
    <row r="12461" ht="15.75" customHeight="1" spans="1:2">
      <c r="A12461" s="3" t="str">
        <f>IFERROR(__xludf.DUMMYFUNCTION("GOOGLETRANSLATE(A12461,""en"",""pt"")"),"caprichosamente")</f>
        <v>caprichosamente</v>
      </c>
      <c r="B12461" s="3">
        <v>0</v>
      </c>
    </row>
    <row r="12462" ht="15.75" customHeight="1" spans="1:2">
      <c r="A12462" s="3" t="str">
        <f>IFERROR(__xludf.DUMMYFUNCTION("GOOGLETRANSLATE(A12462,""en"",""pt"")"),"caprichos")</f>
        <v>caprichos</v>
      </c>
      <c r="B12462" s="3">
        <v>0</v>
      </c>
    </row>
    <row r="12463" ht="15.75" customHeight="1" spans="1:2">
      <c r="A12463" s="3" t="str">
        <f>IFERROR(__xludf.DUMMYFUNCTION("GOOGLETRANSLATE(A12463,""en"",""pt"")"),"virar")</f>
        <v>virar</v>
      </c>
      <c r="B12463" s="3">
        <v>0</v>
      </c>
    </row>
    <row r="12464" ht="15.75" customHeight="1" spans="1:2">
      <c r="A12464" s="3" t="str">
        <f>IFERROR(__xludf.DUMMYFUNCTION("GOOGLETRANSLATE(A12464,""en"",""pt"")"),"descuidado")</f>
        <v>descuidado</v>
      </c>
      <c r="B12464" s="3">
        <v>0</v>
      </c>
    </row>
    <row r="12465" ht="15.75" customHeight="1" spans="1:2">
      <c r="A12465" s="3" t="str">
        <f>IFERROR(__xludf.DUMMYFUNCTION("GOOGLETRANSLATE(A12465,""en"",""pt"")"),"descuido")</f>
        <v>descuido</v>
      </c>
      <c r="B12465" s="3">
        <v>0</v>
      </c>
    </row>
    <row r="12466" ht="15.75" customHeight="1" spans="1:2">
      <c r="A12466" s="3" t="str">
        <f>IFERROR(__xludf.DUMMYFUNCTION("GOOGLETRANSLATE(A12466,""en"",""pt"")"),"caricatura")</f>
        <v>caricatura</v>
      </c>
      <c r="B12466" s="3">
        <v>0</v>
      </c>
    </row>
    <row r="12467" ht="15.75" customHeight="1" spans="1:2">
      <c r="A12467" s="3" t="str">
        <f>IFERROR(__xludf.DUMMYFUNCTION("GOOGLETRANSLATE(A12467,""en"",""pt"")"),"carnificina")</f>
        <v>carnificina</v>
      </c>
      <c r="B12467" s="3">
        <v>0</v>
      </c>
    </row>
    <row r="12468" ht="15.75" customHeight="1" spans="1:2">
      <c r="A12468" s="3" t="str">
        <f>IFERROR(__xludf.DUMMYFUNCTION("GOOGLETRANSLATE(A12468,""en"",""pt"")"),"carpa")</f>
        <v>carpa</v>
      </c>
      <c r="B12468" s="3">
        <v>0</v>
      </c>
    </row>
    <row r="12469" ht="15.75" customHeight="1" spans="1:2">
      <c r="A12469" s="3" t="str">
        <f>IFERROR(__xludf.DUMMYFUNCTION("GOOGLETRANSLATE(A12469,""en"",""pt"")"),"cartoonish")</f>
        <v>cartoonish</v>
      </c>
      <c r="B12469" s="3">
        <v>0</v>
      </c>
    </row>
    <row r="12470" ht="15.75" customHeight="1" spans="1:2">
      <c r="A12470" s="3" t="str">
        <f>IFERROR(__xludf.DUMMYFUNCTION("GOOGLETRANSLATE(A12470,""en"",""pt"")"),"amarrado cash-")</f>
        <v>amarrado cash-</v>
      </c>
      <c r="B12470" s="3">
        <v>0</v>
      </c>
    </row>
    <row r="12471" ht="15.75" customHeight="1" spans="1:2">
      <c r="A12471" s="3" t="str">
        <f>IFERROR(__xludf.DUMMYFUNCTION("GOOGLETRANSLATE(A12471,""en"",""pt"")"),"castigar")</f>
        <v>castigar</v>
      </c>
      <c r="B12471" s="3">
        <v>0</v>
      </c>
    </row>
    <row r="12472" ht="15.75" customHeight="1" spans="1:2">
      <c r="A12472" s="3" t="str">
        <f>IFERROR(__xludf.DUMMYFUNCTION("GOOGLETRANSLATE(A12472,""en"",""pt"")"),"castrado")</f>
        <v>castrado</v>
      </c>
      <c r="B12472" s="3">
        <v>0</v>
      </c>
    </row>
    <row r="12473" ht="15.75" customHeight="1" spans="1:2">
      <c r="A12473" s="3" t="str">
        <f>IFERROR(__xludf.DUMMYFUNCTION("GOOGLETRANSLATE(A12473,""en"",""pt"")"),"acidente")</f>
        <v>acidente</v>
      </c>
      <c r="B12473" s="3">
        <v>0</v>
      </c>
    </row>
    <row r="12474" ht="15.75" customHeight="1" spans="1:2">
      <c r="A12474" s="3" t="str">
        <f>IFERROR(__xludf.DUMMYFUNCTION("GOOGLETRANSLATE(A12474,""en"",""pt"")"),"cataclismo")</f>
        <v>cataclismo</v>
      </c>
      <c r="B12474" s="3">
        <v>0</v>
      </c>
    </row>
    <row r="12475" ht="15.75" customHeight="1" spans="1:2">
      <c r="A12475" s="3" t="str">
        <f>IFERROR(__xludf.DUMMYFUNCTION("GOOGLETRANSLATE(A12475,""en"",""pt"")"),"cataclysmal")</f>
        <v>cataclysmal</v>
      </c>
      <c r="B12475" s="3">
        <v>0</v>
      </c>
    </row>
    <row r="12476" ht="15.75" customHeight="1" spans="1:2">
      <c r="A12476" s="3" t="str">
        <f>IFERROR(__xludf.DUMMYFUNCTION("GOOGLETRANSLATE(A12476,""en"",""pt"")"),"cataclísmico")</f>
        <v>cataclísmico</v>
      </c>
      <c r="B12476" s="3">
        <v>0</v>
      </c>
    </row>
    <row r="12477" ht="15.75" customHeight="1" spans="1:2">
      <c r="A12477" s="3" t="str">
        <f>IFERROR(__xludf.DUMMYFUNCTION("GOOGLETRANSLATE(A12477,""en"",""pt"")"),"cataclismicamente")</f>
        <v>cataclismicamente</v>
      </c>
      <c r="B12477" s="3">
        <v>0</v>
      </c>
    </row>
    <row r="12478" ht="15.75" customHeight="1" spans="1:2">
      <c r="A12478" s="3" t="str">
        <f>IFERROR(__xludf.DUMMYFUNCTION("GOOGLETRANSLATE(A12478,""en"",""pt"")"),"catástrofe")</f>
        <v>catástrofe</v>
      </c>
      <c r="B12478" s="3">
        <v>0</v>
      </c>
    </row>
    <row r="12479" ht="15.75" customHeight="1" spans="1:2">
      <c r="A12479" s="3" t="str">
        <f>IFERROR(__xludf.DUMMYFUNCTION("GOOGLETRANSLATE(A12479,""en"",""pt"")"),"catástrofes")</f>
        <v>catástrofes</v>
      </c>
      <c r="B12479" s="3">
        <v>0</v>
      </c>
    </row>
    <row r="12480" ht="15.75" customHeight="1" spans="1:2">
      <c r="A12480" s="3" t="str">
        <f>IFERROR(__xludf.DUMMYFUNCTION("GOOGLETRANSLATE(A12480,""en"",""pt"")"),"catastrófico")</f>
        <v>catastrófico</v>
      </c>
      <c r="B12480" s="3">
        <v>0</v>
      </c>
    </row>
    <row r="12481" ht="15.75" customHeight="1" spans="1:2">
      <c r="A12481" s="3" t="str">
        <f>IFERROR(__xludf.DUMMYFUNCTION("GOOGLETRANSLATE(A12481,""en"",""pt"")"),"catastroficamente")</f>
        <v>catastroficamente</v>
      </c>
      <c r="B12481" s="3">
        <v>0</v>
      </c>
    </row>
    <row r="12482" ht="15.75" customHeight="1" spans="1:2">
      <c r="A12482" s="3" t="str">
        <f>IFERROR(__xludf.DUMMYFUNCTION("GOOGLETRANSLATE(A12482,""en"",""pt"")"),"catástrofes")</f>
        <v>catástrofes</v>
      </c>
      <c r="B12482" s="3">
        <v>0</v>
      </c>
    </row>
    <row r="12483" ht="15.75" customHeight="1" spans="1:2">
      <c r="A12483" s="3" t="str">
        <f>IFERROR(__xludf.DUMMYFUNCTION("GOOGLETRANSLATE(A12483,""en"",""pt"")"),"cáustico")</f>
        <v>cáustico</v>
      </c>
      <c r="B12483" s="3">
        <v>0</v>
      </c>
    </row>
    <row r="12484" ht="15.75" customHeight="1" spans="1:2">
      <c r="A12484" s="3" t="str">
        <f>IFERROR(__xludf.DUMMYFUNCTION("GOOGLETRANSLATE(A12484,""en"",""pt"")"),"causticamente")</f>
        <v>causticamente</v>
      </c>
      <c r="B12484" s="3">
        <v>0</v>
      </c>
    </row>
    <row r="12485" ht="15.75" customHeight="1" spans="1:2">
      <c r="A12485" s="3" t="str">
        <f>IFERROR(__xludf.DUMMYFUNCTION("GOOGLETRANSLATE(A12485,""en"",""pt"")"),"cauteloso")</f>
        <v>cauteloso</v>
      </c>
      <c r="B12485" s="3">
        <v>0</v>
      </c>
    </row>
    <row r="12486" ht="15.75" customHeight="1" spans="1:2">
      <c r="A12486" s="3" t="str">
        <f>IFERROR(__xludf.DUMMYFUNCTION("GOOGLETRANSLATE(A12486,""en"",""pt"")"),"caverna")</f>
        <v>caverna</v>
      </c>
      <c r="B12486" s="3">
        <v>0</v>
      </c>
    </row>
    <row r="12487" ht="15.75" customHeight="1" spans="1:2">
      <c r="A12487" s="3" t="str">
        <f>IFERROR(__xludf.DUMMYFUNCTION("GOOGLETRANSLATE(A12487,""en"",""pt"")"),"censura")</f>
        <v>censura</v>
      </c>
      <c r="B12487" s="3">
        <v>0</v>
      </c>
    </row>
    <row r="12488" ht="15.75" customHeight="1" spans="1:2">
      <c r="A12488" s="3" t="str">
        <f>IFERROR(__xludf.DUMMYFUNCTION("GOOGLETRANSLATE(A12488,""en"",""pt"")"),"chafe")</f>
        <v>chafe</v>
      </c>
      <c r="B12488" s="3">
        <v>0</v>
      </c>
    </row>
    <row r="12489" ht="15.75" customHeight="1" spans="1:2">
      <c r="A12489" s="3" t="str">
        <f>IFERROR(__xludf.DUMMYFUNCTION("GOOGLETRANSLATE(A12489,""en"",""pt"")"),"palha")</f>
        <v>palha</v>
      </c>
      <c r="B12489" s="3">
        <v>0</v>
      </c>
    </row>
    <row r="12490" ht="15.75" customHeight="1" spans="1:2">
      <c r="A12490" s="3" t="str">
        <f>IFERROR(__xludf.DUMMYFUNCTION("GOOGLETRANSLATE(A12490,""en"",""pt"")"),"desgosto")</f>
        <v>desgosto</v>
      </c>
      <c r="B12490" s="3">
        <v>0</v>
      </c>
    </row>
    <row r="12491" ht="15.75" customHeight="1" spans="1:2">
      <c r="A12491" s="3" t="str">
        <f>IFERROR(__xludf.DUMMYFUNCTION("GOOGLETRANSLATE(A12491,""en"",""pt"")"),"desafiador")</f>
        <v>desafiador</v>
      </c>
      <c r="B12491" s="3">
        <v>0</v>
      </c>
    </row>
    <row r="12492" ht="15.75" customHeight="1" spans="1:2">
      <c r="A12492" s="3" t="str">
        <f>IFERROR(__xludf.DUMMYFUNCTION("GOOGLETRANSLATE(A12492,""en"",""pt"")"),"caos")</f>
        <v>caos</v>
      </c>
      <c r="B12492" s="3">
        <v>0</v>
      </c>
    </row>
    <row r="12493" ht="15.75" customHeight="1" spans="1:2">
      <c r="A12493" s="3" t="str">
        <f>IFERROR(__xludf.DUMMYFUNCTION("GOOGLETRANSLATE(A12493,""en"",""pt"")"),"caótico")</f>
        <v>caótico</v>
      </c>
      <c r="B12493" s="3">
        <v>0</v>
      </c>
    </row>
    <row r="12494" ht="15.75" customHeight="1" spans="1:2">
      <c r="A12494" s="3" t="str">
        <f>IFERROR(__xludf.DUMMYFUNCTION("GOOGLETRANSLATE(A12494,""en"",""pt"")"),"castigar")</f>
        <v>castigar</v>
      </c>
      <c r="B12494" s="3">
        <v>0</v>
      </c>
    </row>
    <row r="12495" ht="15.75" customHeight="1" spans="1:2">
      <c r="A12495" s="3" t="str">
        <f>IFERROR(__xludf.DUMMYFUNCTION("GOOGLETRANSLATE(A12495,""en"",""pt"")"),"Chastise")</f>
        <v>Chastise</v>
      </c>
      <c r="B12495" s="3">
        <v>0</v>
      </c>
    </row>
    <row r="12496" ht="15.75" customHeight="1" spans="1:2">
      <c r="A12496" s="3" t="str">
        <f>IFERROR(__xludf.DUMMYFUNCTION("GOOGLETRANSLATE(A12496,""en"",""pt"")"),"castigo")</f>
        <v>castigo</v>
      </c>
      <c r="B12496" s="3">
        <v>0</v>
      </c>
    </row>
    <row r="12497" ht="15.75" customHeight="1" spans="1:2">
      <c r="A12497" s="3" t="str">
        <f>IFERROR(__xludf.DUMMYFUNCTION("GOOGLETRANSLATE(A12497,""en"",""pt"")"),"tagarelice")</f>
        <v>tagarelice</v>
      </c>
      <c r="B12497" s="3">
        <v>0</v>
      </c>
    </row>
    <row r="12498" ht="15.75" customHeight="1" spans="1:2">
      <c r="A12498" s="3" t="str">
        <f>IFERROR(__xludf.DUMMYFUNCTION("GOOGLETRANSLATE(A12498,""en"",""pt"")"),"tagarela")</f>
        <v>tagarela</v>
      </c>
      <c r="B12498" s="3">
        <v>0</v>
      </c>
    </row>
    <row r="12499" ht="15.75" customHeight="1" spans="1:2">
      <c r="A12499" s="3" t="str">
        <f>IFERROR(__xludf.DUMMYFUNCTION("GOOGLETRANSLATE(A12499,""en"",""pt"")"),"barato")</f>
        <v>barato</v>
      </c>
      <c r="B12499" s="3">
        <v>0</v>
      </c>
    </row>
    <row r="12500" ht="15.75" customHeight="1" spans="1:2">
      <c r="A12500" s="3" t="str">
        <f>IFERROR(__xludf.DUMMYFUNCTION("GOOGLETRANSLATE(A12500,""en"",""pt"")"),"baratear")</f>
        <v>baratear</v>
      </c>
      <c r="B12500" s="3">
        <v>0</v>
      </c>
    </row>
    <row r="12501" ht="15.75" customHeight="1" spans="1:2">
      <c r="A12501" s="3" t="str">
        <f>IFERROR(__xludf.DUMMYFUNCTION("GOOGLETRANSLATE(A12501,""en"",""pt"")"),"barato")</f>
        <v>barato</v>
      </c>
      <c r="B12501" s="3">
        <v>0</v>
      </c>
    </row>
    <row r="12502" ht="15.75" customHeight="1" spans="1:2">
      <c r="A12502" s="3" t="str">
        <f>IFERROR(__xludf.DUMMYFUNCTION("GOOGLETRANSLATE(A12502,""en"",""pt"")"),"enganação")</f>
        <v>enganação</v>
      </c>
      <c r="B12502" s="3">
        <v>0</v>
      </c>
    </row>
    <row r="12503" ht="15.75" customHeight="1" spans="1:2">
      <c r="A12503" s="3" t="str">
        <f>IFERROR(__xludf.DUMMYFUNCTION("GOOGLETRANSLATE(A12503,""en"",""pt"")"),"enganado")</f>
        <v>enganado</v>
      </c>
      <c r="B12503" s="3">
        <v>0</v>
      </c>
    </row>
    <row r="12504" ht="15.75" customHeight="1" spans="1:2">
      <c r="A12504" s="3" t="str">
        <f>IFERROR(__xludf.DUMMYFUNCTION("GOOGLETRANSLATE(A12504,""en"",""pt"")"),"trapaceiro")</f>
        <v>trapaceiro</v>
      </c>
      <c r="B12504" s="3">
        <v>0</v>
      </c>
    </row>
    <row r="12505" ht="15.75" customHeight="1" spans="1:2">
      <c r="A12505" s="3" t="str">
        <f>IFERROR(__xludf.DUMMYFUNCTION("GOOGLETRANSLATE(A12505,""en"",""pt"")"),"traindo")</f>
        <v>traindo</v>
      </c>
      <c r="B12505" s="3">
        <v>0</v>
      </c>
    </row>
    <row r="12506" ht="15.75" customHeight="1" spans="1:2">
      <c r="A12506" s="3" t="str">
        <f>IFERROR(__xludf.DUMMYFUNCTION("GOOGLETRANSLATE(A12506,""en"",""pt"")"),"fraudes")</f>
        <v>fraudes</v>
      </c>
      <c r="B12506" s="3">
        <v>0</v>
      </c>
    </row>
    <row r="12507" ht="15.75" customHeight="1" spans="1:2">
      <c r="A12507" s="3" t="str">
        <f>IFERROR(__xludf.DUMMYFUNCTION("GOOGLETRANSLATE(A12507,""en"",""pt"")"),"quadriculada")</f>
        <v>quadriculada</v>
      </c>
      <c r="B12507" s="3">
        <v>0</v>
      </c>
    </row>
    <row r="12508" ht="15.75" customHeight="1" spans="1:2">
      <c r="A12508" s="3" t="str">
        <f>IFERROR(__xludf.DUMMYFUNCTION("GOOGLETRANSLATE(A12508,""en"",""pt"")"),"triste")</f>
        <v>triste</v>
      </c>
      <c r="B12508" s="3">
        <v>0</v>
      </c>
    </row>
    <row r="12509" ht="15.75" customHeight="1" spans="1:2">
      <c r="A12509" s="3" t="str">
        <f>IFERROR(__xludf.DUMMYFUNCTION("GOOGLETRANSLATE(A12509,""en"",""pt"")"),"caseoso")</f>
        <v>caseoso</v>
      </c>
      <c r="B12509" s="3">
        <v>0</v>
      </c>
    </row>
    <row r="12510" ht="15.75" customHeight="1" spans="1:2">
      <c r="A12510" s="3" t="str">
        <f>IFERROR(__xludf.DUMMYFUNCTION("GOOGLETRANSLATE(A12510,""en"",""pt"")"),"contendeis")</f>
        <v>contendeis</v>
      </c>
      <c r="B12510" s="3">
        <v>0</v>
      </c>
    </row>
    <row r="12511" ht="15.75" customHeight="1" spans="1:2">
      <c r="A12511" s="3" t="str">
        <f>IFERROR(__xludf.DUMMYFUNCTION("GOOGLETRANSLATE(A12511,""en"",""pt"")"),"infantil")</f>
        <v>infantil</v>
      </c>
      <c r="B12511" s="3">
        <v>0</v>
      </c>
    </row>
    <row r="12512" ht="15.75" customHeight="1" spans="1:2">
      <c r="A12512" s="3" t="str">
        <f>IFERROR(__xludf.DUMMYFUNCTION("GOOGLETRANSLATE(A12512,""en"",""pt"")"),"calafrio")</f>
        <v>calafrio</v>
      </c>
      <c r="B12512" s="3">
        <v>0</v>
      </c>
    </row>
    <row r="12513" ht="15.75" customHeight="1" spans="1:2">
      <c r="A12513" s="3" t="str">
        <f>IFERROR(__xludf.DUMMYFUNCTION("GOOGLETRANSLATE(A12513,""en"",""pt"")"),"frio")</f>
        <v>frio</v>
      </c>
      <c r="B12513" s="3">
        <v>0</v>
      </c>
    </row>
    <row r="12514" ht="15.75" customHeight="1" spans="1:2">
      <c r="A12514" s="3" t="str">
        <f>IFERROR(__xludf.DUMMYFUNCTION("GOOGLETRANSLATE(A12514,""en"",""pt"")"),"glamoroso")</f>
        <v>glamoroso</v>
      </c>
      <c r="B12514" s="3">
        <v>0</v>
      </c>
    </row>
    <row r="12515" ht="15.75" customHeight="1" spans="1:2">
      <c r="A12515" s="3" t="str">
        <f>IFERROR(__xludf.DUMMYFUNCTION("GOOGLETRANSLATE(A12515,""en"",""pt"")"),"sufocar")</f>
        <v>sufocar</v>
      </c>
      <c r="B12515" s="3">
        <v>0</v>
      </c>
    </row>
    <row r="12516" ht="15.75" customHeight="1" spans="1:2">
      <c r="A12516" s="3" t="str">
        <f>IFERROR(__xludf.DUMMYFUNCTION("GOOGLETRANSLATE(A12516,""en"",""pt"")"),"colérico")</f>
        <v>colérico</v>
      </c>
      <c r="B12516" s="3">
        <v>0</v>
      </c>
    </row>
    <row r="12517" ht="15.75" customHeight="1" spans="1:2">
      <c r="A12517" s="3" t="str">
        <f>IFERROR(__xludf.DUMMYFUNCTION("GOOGLETRANSLATE(A12517,""en"",""pt"")"),"agitada")</f>
        <v>agitada</v>
      </c>
      <c r="B12517" s="3">
        <v>0</v>
      </c>
    </row>
    <row r="12518" ht="15.75" customHeight="1" spans="1:2">
      <c r="A12518" s="3" t="str">
        <f>IFERROR(__xludf.DUMMYFUNCTION("GOOGLETRANSLATE(A12518,""en"",""pt"")"),"tarefa")</f>
        <v>tarefa</v>
      </c>
      <c r="B12518" s="3">
        <v>0</v>
      </c>
    </row>
    <row r="12519" ht="15.75" customHeight="1" spans="1:2">
      <c r="A12519" s="3" t="str">
        <f>IFERROR(__xludf.DUMMYFUNCTION("GOOGLETRANSLATE(A12519,""en"",""pt"")"),"crônica")</f>
        <v>crônica</v>
      </c>
      <c r="B12519" s="3">
        <v>0</v>
      </c>
    </row>
    <row r="12520" ht="15.75" customHeight="1" spans="1:2">
      <c r="A12520" s="3" t="str">
        <f>IFERROR(__xludf.DUMMYFUNCTION("GOOGLETRANSLATE(A12520,""en"",""pt"")"),"robusto")</f>
        <v>robusto</v>
      </c>
      <c r="B12520" s="3">
        <v>0</v>
      </c>
    </row>
    <row r="12521" ht="15.75" customHeight="1" spans="1:2">
      <c r="A12521" s="3" t="str">
        <f>IFERROR(__xludf.DUMMYFUNCTION("GOOGLETRANSLATE(A12521,""en"",""pt"")"),"clamor")</f>
        <v>clamor</v>
      </c>
      <c r="B12521" s="3">
        <v>0</v>
      </c>
    </row>
    <row r="12522" ht="15.75" customHeight="1" spans="1:2">
      <c r="A12522" s="3" t="str">
        <f>IFERROR(__xludf.DUMMYFUNCTION("GOOGLETRANSLATE(A12522,""en"",""pt"")"),"clamoroso")</f>
        <v>clamoroso</v>
      </c>
      <c r="B12522" s="3">
        <v>0</v>
      </c>
    </row>
    <row r="12523" ht="15.75" customHeight="1" spans="1:2">
      <c r="A12523" s="3" t="str">
        <f>IFERROR(__xludf.DUMMYFUNCTION("GOOGLETRANSLATE(A12523,""en"",""pt"")"),"choque")</f>
        <v>choque</v>
      </c>
      <c r="B12523" s="3">
        <v>0</v>
      </c>
    </row>
    <row r="12524" ht="15.75" customHeight="1" spans="1:2">
      <c r="A12524" s="3" t="str">
        <f>IFERROR(__xludf.DUMMYFUNCTION("GOOGLETRANSLATE(A12524,""en"",""pt"")"),"clichê")</f>
        <v>clichê</v>
      </c>
      <c r="B12524" s="3">
        <v>0</v>
      </c>
    </row>
    <row r="12525" ht="15.75" customHeight="1" spans="1:2">
      <c r="A12525" s="3" t="str">
        <f>IFERROR(__xludf.DUMMYFUNCTION("GOOGLETRANSLATE(A12525,""en"",""pt"")"),"clichê")</f>
        <v>clichê</v>
      </c>
      <c r="B12525" s="3">
        <v>0</v>
      </c>
    </row>
    <row r="12526" ht="15.75" customHeight="1" spans="1:2">
      <c r="A12526" s="3" t="str">
        <f>IFERROR(__xludf.DUMMYFUNCTION("GOOGLETRANSLATE(A12526,""en"",""pt"")"),"panelinha")</f>
        <v>panelinha</v>
      </c>
      <c r="B12526" s="3">
        <v>0</v>
      </c>
    </row>
    <row r="12527" ht="15.75" customHeight="1" spans="1:2">
      <c r="A12527" s="3" t="str">
        <f>IFERROR(__xludf.DUMMYFUNCTION("GOOGLETRANSLATE(A12527,""en"",""pt"")"),"entupir")</f>
        <v>entupir</v>
      </c>
      <c r="B12527" s="3">
        <v>0</v>
      </c>
    </row>
    <row r="12528" ht="15.75" customHeight="1" spans="1:2">
      <c r="A12528" s="3" t="str">
        <f>IFERROR(__xludf.DUMMYFUNCTION("GOOGLETRANSLATE(A12528,""en"",""pt"")"),"entupido")</f>
        <v>entupido</v>
      </c>
      <c r="B12528" s="3">
        <v>0</v>
      </c>
    </row>
    <row r="12529" ht="15.75" customHeight="1" spans="1:2">
      <c r="A12529" s="3" t="str">
        <f>IFERROR(__xludf.DUMMYFUNCTION("GOOGLETRANSLATE(A12529,""en"",""pt"")"),"tamancos")</f>
        <v>tamancos</v>
      </c>
      <c r="B12529" s="3">
        <v>0</v>
      </c>
    </row>
    <row r="12530" ht="15.75" customHeight="1" spans="1:2">
      <c r="A12530" s="3" t="str">
        <f>IFERROR(__xludf.DUMMYFUNCTION("GOOGLETRANSLATE(A12530,""en"",""pt"")"),"nuvem")</f>
        <v>nuvem</v>
      </c>
      <c r="B12530" s="3">
        <v>0</v>
      </c>
    </row>
    <row r="12531" ht="15.75" customHeight="1" spans="1:2">
      <c r="A12531" s="3" t="str">
        <f>IFERROR(__xludf.DUMMYFUNCTION("GOOGLETRANSLATE(A12531,""en"",""pt"")"),"opacificação")</f>
        <v>opacificação</v>
      </c>
      <c r="B12531" s="3">
        <v>0</v>
      </c>
    </row>
    <row r="12532" ht="15.75" customHeight="1" spans="1:2">
      <c r="A12532" s="3" t="str">
        <f>IFERROR(__xludf.DUMMYFUNCTION("GOOGLETRANSLATE(A12532,""en"",""pt"")"),"nublado")</f>
        <v>nublado</v>
      </c>
      <c r="B12532" s="3">
        <v>0</v>
      </c>
    </row>
    <row r="12533" ht="15.75" customHeight="1" spans="1:2">
      <c r="A12533" s="3" t="str">
        <f>IFERROR(__xludf.DUMMYFUNCTION("GOOGLETRANSLATE(A12533,""en"",""pt"")"),"sem noção")</f>
        <v>sem noção</v>
      </c>
      <c r="B12533" s="3">
        <v>0</v>
      </c>
    </row>
    <row r="12534" ht="15.75" customHeight="1" spans="1:2">
      <c r="A12534" s="3" t="str">
        <f>IFERROR(__xludf.DUMMYFUNCTION("GOOGLETRANSLATE(A12534,""en"",""pt"")"),"desajeitado")</f>
        <v>desajeitado</v>
      </c>
      <c r="B12534" s="3">
        <v>0</v>
      </c>
    </row>
    <row r="12535" ht="15.75" customHeight="1" spans="1:2">
      <c r="A12535" s="3" t="str">
        <f>IFERROR(__xludf.DUMMYFUNCTION("GOOGLETRANSLATE(A12535,""en"",""pt"")"),"desajeitado")</f>
        <v>desajeitado</v>
      </c>
      <c r="B12535" s="3">
        <v>0</v>
      </c>
    </row>
    <row r="12536" ht="15.75" customHeight="1" spans="1:2">
      <c r="A12536" s="3" t="str">
        <f>IFERROR(__xludf.DUMMYFUNCTION("GOOGLETRANSLATE(A12536,""en"",""pt"")"),"grosseiro")</f>
        <v>grosseiro</v>
      </c>
      <c r="B12536" s="3">
        <v>0</v>
      </c>
    </row>
    <row r="12537" ht="15.75" customHeight="1" spans="1:2">
      <c r="A12537" s="3" t="str">
        <f>IFERROR(__xludf.DUMMYFUNCTION("GOOGLETRANSLATE(A12537,""en"",""pt"")"),"pretensioso")</f>
        <v>pretensioso</v>
      </c>
      <c r="B12537" s="3">
        <v>0</v>
      </c>
    </row>
    <row r="12538" ht="15.75" customHeight="1" spans="1:2">
      <c r="A12538" s="3" t="str">
        <f>IFERROR(__xludf.DUMMYFUNCTION("GOOGLETRANSLATE(A12538,""en"",""pt"")"),"coagir")</f>
        <v>coagir</v>
      </c>
      <c r="B12538" s="3">
        <v>0</v>
      </c>
    </row>
    <row r="12539" ht="15.75" customHeight="1" spans="1:2">
      <c r="A12539" s="3" t="str">
        <f>IFERROR(__xludf.DUMMYFUNCTION("GOOGLETRANSLATE(A12539,""en"",""pt"")"),"coerção")</f>
        <v>coerção</v>
      </c>
      <c r="B12539" s="3">
        <v>0</v>
      </c>
    </row>
    <row r="12540" ht="15.75" customHeight="1" spans="1:2">
      <c r="A12540" s="3" t="str">
        <f>IFERROR(__xludf.DUMMYFUNCTION("GOOGLETRANSLATE(A12540,""en"",""pt"")"),"coercivo")</f>
        <v>coercivo</v>
      </c>
      <c r="B12540" s="3">
        <v>0</v>
      </c>
    </row>
    <row r="12541" ht="15.75" customHeight="1" spans="1:2">
      <c r="A12541" s="3" t="str">
        <f>IFERROR(__xludf.DUMMYFUNCTION("GOOGLETRANSLATE(A12541,""en"",""pt"")"),"frio")</f>
        <v>frio</v>
      </c>
      <c r="B12541" s="3">
        <v>0</v>
      </c>
    </row>
    <row r="12542" ht="15.75" customHeight="1" spans="1:2">
      <c r="A12542" s="3" t="str">
        <f>IFERROR(__xludf.DUMMYFUNCTION("GOOGLETRANSLATE(A12542,""en"",""pt"")"),"friamente")</f>
        <v>friamente</v>
      </c>
      <c r="B12542" s="3">
        <v>0</v>
      </c>
    </row>
    <row r="12543" ht="15.75" customHeight="1" spans="1:2">
      <c r="A12543" s="3" t="str">
        <f>IFERROR(__xludf.DUMMYFUNCTION("GOOGLETRANSLATE(A12543,""en"",""pt"")"),"colapso")</f>
        <v>colapso</v>
      </c>
      <c r="B12543" s="3">
        <v>0</v>
      </c>
    </row>
    <row r="12544" ht="15.75" customHeight="1" spans="1:2">
      <c r="A12544" s="3" t="str">
        <f>IFERROR(__xludf.DUMMYFUNCTION("GOOGLETRANSLATE(A12544,""en"",""pt"")"),"conluio")</f>
        <v>conluio</v>
      </c>
      <c r="B12544" s="3">
        <v>0</v>
      </c>
    </row>
    <row r="12545" ht="15.75" customHeight="1" spans="1:2">
      <c r="A12545" s="3" t="str">
        <f>IFERROR(__xludf.DUMMYFUNCTION("GOOGLETRANSLATE(A12545,""en"",""pt"")"),"conluio")</f>
        <v>conluio</v>
      </c>
      <c r="B12545" s="3">
        <v>0</v>
      </c>
    </row>
    <row r="12546" ht="15.75" customHeight="1" spans="1:2">
      <c r="A12546" s="3" t="str">
        <f>IFERROR(__xludf.DUMMYFUNCTION("GOOGLETRANSLATE(A12546,""en"",""pt"")"),"combativo")</f>
        <v>combativo</v>
      </c>
      <c r="B12546" s="3">
        <v>0</v>
      </c>
    </row>
    <row r="12547" ht="15.75" customHeight="1" spans="1:2">
      <c r="A12547" s="3" t="str">
        <f>IFERROR(__xludf.DUMMYFUNCTION("GOOGLETRANSLATE(A12547,""en"",""pt"")"),"combust")</f>
        <v>combust</v>
      </c>
      <c r="B12547" s="3">
        <v>0</v>
      </c>
    </row>
    <row r="12548" ht="15.75" customHeight="1" spans="1:2">
      <c r="A12548" s="3" t="str">
        <f>IFERROR(__xludf.DUMMYFUNCTION("GOOGLETRANSLATE(A12548,""en"",""pt"")"),"cômico")</f>
        <v>cômico</v>
      </c>
      <c r="B12548" s="3">
        <v>0</v>
      </c>
    </row>
    <row r="12549" ht="15.75" customHeight="1" spans="1:2">
      <c r="A12549" s="3" t="str">
        <f>IFERROR(__xludf.DUMMYFUNCTION("GOOGLETRANSLATE(A12549,""en"",""pt"")"),"commiserate")</f>
        <v>commiserate</v>
      </c>
      <c r="B12549" s="3">
        <v>0</v>
      </c>
    </row>
    <row r="12550" ht="15.75" customHeight="1" spans="1:2">
      <c r="A12550" s="3" t="str">
        <f>IFERROR(__xludf.DUMMYFUNCTION("GOOGLETRANSLATE(A12550,""en"",""pt"")"),"comum")</f>
        <v>comum</v>
      </c>
      <c r="B12550" s="3">
        <v>0</v>
      </c>
    </row>
    <row r="12551" ht="15.75" customHeight="1" spans="1:2">
      <c r="A12551" s="3" t="str">
        <f>IFERROR(__xludf.DUMMYFUNCTION("GOOGLETRANSLATE(A12551,""en"",""pt"")"),"comoção")</f>
        <v>comoção</v>
      </c>
      <c r="B12551" s="3">
        <v>0</v>
      </c>
    </row>
    <row r="12552" ht="15.75" customHeight="1" spans="1:2">
      <c r="A12552" s="3" t="str">
        <f>IFERROR(__xludf.DUMMYFUNCTION("GOOGLETRANSLATE(A12552,""en"",""pt"")"),"comoções")</f>
        <v>comoções</v>
      </c>
      <c r="B12552" s="3">
        <v>0</v>
      </c>
    </row>
    <row r="12553" ht="15.75" customHeight="1" spans="1:2">
      <c r="A12553" s="3" t="str">
        <f>IFERROR(__xludf.DUMMYFUNCTION("GOOGLETRANSLATE(A12553,""en"",""pt"")"),"complacente")</f>
        <v>complacente</v>
      </c>
      <c r="B12553" s="3">
        <v>0</v>
      </c>
    </row>
    <row r="12554" ht="15.75" customHeight="1" spans="1:2">
      <c r="A12554" s="3" t="str">
        <f>IFERROR(__xludf.DUMMYFUNCTION("GOOGLETRANSLATE(A12554,""en"",""pt"")"),"queixar-se")</f>
        <v>queixar-se</v>
      </c>
      <c r="B12554" s="3">
        <v>0</v>
      </c>
    </row>
    <row r="12555" ht="15.75" customHeight="1" spans="1:2">
      <c r="A12555" s="3" t="str">
        <f>IFERROR(__xludf.DUMMYFUNCTION("GOOGLETRANSLATE(A12555,""en"",""pt"")"),"queixaram")</f>
        <v>queixaram</v>
      </c>
      <c r="B12555" s="3">
        <v>0</v>
      </c>
    </row>
    <row r="12556" ht="15.75" customHeight="1" spans="1:2">
      <c r="A12556" s="3" t="str">
        <f>IFERROR(__xludf.DUMMYFUNCTION("GOOGLETRANSLATE(A12556,""en"",""pt"")"),"queixando")</f>
        <v>queixando</v>
      </c>
      <c r="B12556" s="3">
        <v>0</v>
      </c>
    </row>
    <row r="12557" ht="15.75" customHeight="1" spans="1:2">
      <c r="A12557" s="3" t="str">
        <f>IFERROR(__xludf.DUMMYFUNCTION("GOOGLETRANSLATE(A12557,""en"",""pt"")"),"reclama")</f>
        <v>reclama</v>
      </c>
      <c r="B12557" s="3">
        <v>0</v>
      </c>
    </row>
    <row r="12558" ht="15.75" customHeight="1" spans="1:2">
      <c r="A12558" s="3" t="str">
        <f>IFERROR(__xludf.DUMMYFUNCTION("GOOGLETRANSLATE(A12558,""en"",""pt"")"),"queixa")</f>
        <v>queixa</v>
      </c>
      <c r="B12558" s="3">
        <v>0</v>
      </c>
    </row>
    <row r="12559" ht="15.75" customHeight="1" spans="1:2">
      <c r="A12559" s="3" t="str">
        <f>IFERROR(__xludf.DUMMYFUNCTION("GOOGLETRANSLATE(A12559,""en"",""pt"")"),"queixas")</f>
        <v>queixas</v>
      </c>
      <c r="B12559" s="3">
        <v>0</v>
      </c>
    </row>
    <row r="12560" ht="15.75" customHeight="1" spans="1:2">
      <c r="A12560" s="3" t="str">
        <f>IFERROR(__xludf.DUMMYFUNCTION("GOOGLETRANSLATE(A12560,""en"",""pt"")"),"complexo")</f>
        <v>complexo</v>
      </c>
      <c r="B12560" s="3">
        <v>0</v>
      </c>
    </row>
    <row r="12561" ht="15.75" customHeight="1" spans="1:2">
      <c r="A12561" s="3" t="str">
        <f>IFERROR(__xludf.DUMMYFUNCTION("GOOGLETRANSLATE(A12561,""en"",""pt"")"),"complicado")</f>
        <v>complicado</v>
      </c>
      <c r="B12561" s="3">
        <v>0</v>
      </c>
    </row>
    <row r="12562" ht="15.75" customHeight="1" spans="1:2">
      <c r="A12562" s="3" t="str">
        <f>IFERROR(__xludf.DUMMYFUNCTION("GOOGLETRANSLATE(A12562,""en"",""pt"")"),"complicação")</f>
        <v>complicação</v>
      </c>
      <c r="B12562" s="3">
        <v>0</v>
      </c>
    </row>
    <row r="12563" ht="15.75" customHeight="1" spans="1:2">
      <c r="A12563" s="3" t="str">
        <f>IFERROR(__xludf.DUMMYFUNCTION("GOOGLETRANSLATE(A12563,""en"",""pt"")"),"cúmplices")</f>
        <v>cúmplices</v>
      </c>
      <c r="B12563" s="3">
        <v>0</v>
      </c>
    </row>
    <row r="12564" ht="15.75" customHeight="1" spans="1:2">
      <c r="A12564" s="3" t="str">
        <f>IFERROR(__xludf.DUMMYFUNCTION("GOOGLETRANSLATE(A12564,""en"",""pt"")"),"compulsão")</f>
        <v>compulsão</v>
      </c>
      <c r="B12564" s="3">
        <v>0</v>
      </c>
    </row>
    <row r="12565" ht="15.75" customHeight="1" spans="1:2">
      <c r="A12565" s="3" t="str">
        <f>IFERROR(__xludf.DUMMYFUNCTION("GOOGLETRANSLATE(A12565,""en"",""pt"")"),"compulsivo")</f>
        <v>compulsivo</v>
      </c>
      <c r="B12565" s="3">
        <v>0</v>
      </c>
    </row>
    <row r="12566" ht="15.75" customHeight="1" spans="1:2">
      <c r="A12566" s="3" t="str">
        <f>IFERROR(__xludf.DUMMYFUNCTION("GOOGLETRANSLATE(A12566,""en"",""pt"")"),"conceder")</f>
        <v>conceder</v>
      </c>
      <c r="B12566" s="3">
        <v>0</v>
      </c>
    </row>
    <row r="12567" ht="15.75" customHeight="1" spans="1:2">
      <c r="A12567" s="3" t="str">
        <f>IFERROR(__xludf.DUMMYFUNCTION("GOOGLETRANSLATE(A12567,""en"",""pt"")"),"admitiu")</f>
        <v>admitiu</v>
      </c>
      <c r="B12567" s="3">
        <v>0</v>
      </c>
    </row>
    <row r="12568" ht="15.75" customHeight="1" spans="1:2">
      <c r="A12568" s="3" t="str">
        <f>IFERROR(__xludf.DUMMYFUNCTION("GOOGLETRANSLATE(A12568,""en"",""pt"")"),"presunção")</f>
        <v>presunção</v>
      </c>
      <c r="B12568" s="3">
        <v>0</v>
      </c>
    </row>
    <row r="12569" ht="15.75" customHeight="1" spans="1:2">
      <c r="A12569" s="3" t="str">
        <f>IFERROR(__xludf.DUMMYFUNCTION("GOOGLETRANSLATE(A12569,""en"",""pt"")"),"pretensioso")</f>
        <v>pretensioso</v>
      </c>
      <c r="B12569" s="3">
        <v>0</v>
      </c>
    </row>
    <row r="12570" ht="15.75" customHeight="1" spans="1:2">
      <c r="A12570" s="3" t="str">
        <f>IFERROR(__xludf.DUMMYFUNCTION("GOOGLETRANSLATE(A12570,""en"",""pt"")"),"concen")</f>
        <v>concen</v>
      </c>
      <c r="B12570" s="3">
        <v>0</v>
      </c>
    </row>
    <row r="12571" ht="15.75" customHeight="1" spans="1:2">
      <c r="A12571" s="3" t="str">
        <f>IFERROR(__xludf.DUMMYFUNCTION("GOOGLETRANSLATE(A12571,""en"",""pt"")"),"concens")</f>
        <v>concens</v>
      </c>
      <c r="B12571" s="3">
        <v>0</v>
      </c>
    </row>
    <row r="12572" ht="15.75" customHeight="1" spans="1:2">
      <c r="A12572" s="3" t="str">
        <f>IFERROR(__xludf.DUMMYFUNCTION("GOOGLETRANSLATE(A12572,""en"",""pt"")"),"preocupação")</f>
        <v>preocupação</v>
      </c>
      <c r="B12572" s="3">
        <v>0</v>
      </c>
    </row>
    <row r="12573" ht="15.75" customHeight="1" spans="1:2">
      <c r="A12573" s="3" t="str">
        <f>IFERROR(__xludf.DUMMYFUNCTION("GOOGLETRANSLATE(A12573,""en"",""pt"")"),"em causa")</f>
        <v>em causa</v>
      </c>
      <c r="B12573" s="3">
        <v>0</v>
      </c>
    </row>
    <row r="12574" ht="15.75" customHeight="1" spans="1:2">
      <c r="A12574" s="3" t="str">
        <f>IFERROR(__xludf.DUMMYFUNCTION("GOOGLETRANSLATE(A12574,""en"",""pt"")"),"preocupações")</f>
        <v>preocupações</v>
      </c>
      <c r="B12574" s="3">
        <v>0</v>
      </c>
    </row>
    <row r="12575" ht="15.75" customHeight="1" spans="1:2">
      <c r="A12575" s="3" t="str">
        <f>IFERROR(__xludf.DUMMYFUNCTION("GOOGLETRANSLATE(A12575,""en"",""pt"")"),"concessão")</f>
        <v>concessão</v>
      </c>
      <c r="B12575" s="3">
        <v>0</v>
      </c>
    </row>
    <row r="12576" ht="15.75" customHeight="1" spans="1:2">
      <c r="A12576" s="3" t="str">
        <f>IFERROR(__xludf.DUMMYFUNCTION("GOOGLETRANSLATE(A12576,""en"",""pt"")"),"concessões")</f>
        <v>concessões</v>
      </c>
      <c r="B12576" s="3">
        <v>0</v>
      </c>
    </row>
    <row r="12577" ht="15.75" customHeight="1" spans="1:2">
      <c r="A12577" s="3" t="str">
        <f>IFERROR(__xludf.DUMMYFUNCTION("GOOGLETRANSLATE(A12577,""en"",""pt"")"),"condenar")</f>
        <v>condenar</v>
      </c>
      <c r="B12577" s="3">
        <v>0</v>
      </c>
    </row>
    <row r="12578" ht="15.75" customHeight="1" spans="1:2">
      <c r="A12578" s="3" t="str">
        <f>IFERROR(__xludf.DUMMYFUNCTION("GOOGLETRANSLATE(A12578,""en"",""pt"")"),"condenável")</f>
        <v>condenável</v>
      </c>
      <c r="B12578" s="3">
        <v>0</v>
      </c>
    </row>
    <row r="12579" ht="15.75" customHeight="1" spans="1:2">
      <c r="A12579" s="3" t="str">
        <f>IFERROR(__xludf.DUMMYFUNCTION("GOOGLETRANSLATE(A12579,""en"",""pt"")"),"condenação")</f>
        <v>condenação</v>
      </c>
      <c r="B12579" s="3">
        <v>0</v>
      </c>
    </row>
    <row r="12580" ht="15.75" customHeight="1" spans="1:2">
      <c r="A12580" s="3" t="str">
        <f>IFERROR(__xludf.DUMMYFUNCTION("GOOGLETRANSLATE(A12580,""en"",""pt"")"),"condenado")</f>
        <v>condenado</v>
      </c>
      <c r="B12580" s="3">
        <v>0</v>
      </c>
    </row>
    <row r="12581" ht="15.75" customHeight="1" spans="1:2">
      <c r="A12581" s="3" t="str">
        <f>IFERROR(__xludf.DUMMYFUNCTION("GOOGLETRANSLATE(A12581,""en"",""pt"")"),"Condena")</f>
        <v>Condena</v>
      </c>
      <c r="B12581" s="3">
        <v>0</v>
      </c>
    </row>
    <row r="12582" ht="15.75" customHeight="1" spans="1:2">
      <c r="A12582" s="3" t="str">
        <f>IFERROR(__xludf.DUMMYFUNCTION("GOOGLETRANSLATE(A12582,""en"",""pt"")"),"condescend")</f>
        <v>condescend</v>
      </c>
      <c r="B12582" s="3">
        <v>0</v>
      </c>
    </row>
    <row r="12583" ht="15.75" customHeight="1" spans="1:2">
      <c r="A12583" s="3" t="str">
        <f>IFERROR(__xludf.DUMMYFUNCTION("GOOGLETRANSLATE(A12583,""en"",""pt"")"),"condescendente")</f>
        <v>condescendente</v>
      </c>
      <c r="B12583" s="3">
        <v>0</v>
      </c>
    </row>
    <row r="12584" ht="15.75" customHeight="1" spans="1:2">
      <c r="A12584" s="3" t="str">
        <f>IFERROR(__xludf.DUMMYFUNCTION("GOOGLETRANSLATE(A12584,""en"",""pt"")"),"condescendingly")</f>
        <v>condescendingly</v>
      </c>
      <c r="B12584" s="3">
        <v>0</v>
      </c>
    </row>
    <row r="12585" ht="15.75" customHeight="1" spans="1:2">
      <c r="A12585" s="3" t="str">
        <f>IFERROR(__xludf.DUMMYFUNCTION("GOOGLETRANSLATE(A12585,""en"",""pt"")"),"condescendência")</f>
        <v>condescendência</v>
      </c>
      <c r="B12585" s="3">
        <v>0</v>
      </c>
    </row>
    <row r="12586" ht="15.75" customHeight="1" spans="1:2">
      <c r="A12586" s="3" t="str">
        <f>IFERROR(__xludf.DUMMYFUNCTION("GOOGLETRANSLATE(A12586,""en"",""pt"")"),"confessar")</f>
        <v>confessar</v>
      </c>
      <c r="B12586" s="3">
        <v>0</v>
      </c>
    </row>
    <row r="12587" ht="15.75" customHeight="1" spans="1:2">
      <c r="A12587" s="3" t="str">
        <f>IFERROR(__xludf.DUMMYFUNCTION("GOOGLETRANSLATE(A12587,""en"",""pt"")"),"confissão")</f>
        <v>confissão</v>
      </c>
      <c r="B12587" s="3">
        <v>0</v>
      </c>
    </row>
    <row r="12588" ht="15.75" customHeight="1" spans="1:2">
      <c r="A12588" s="3" t="str">
        <f>IFERROR(__xludf.DUMMYFUNCTION("GOOGLETRANSLATE(A12588,""en"",""pt"")"),"confissões")</f>
        <v>confissões</v>
      </c>
      <c r="B12588" s="3">
        <v>0</v>
      </c>
    </row>
    <row r="12589" ht="15.75" customHeight="1" spans="1:2">
      <c r="A12589" s="3" t="str">
        <f>IFERROR(__xludf.DUMMYFUNCTION("GOOGLETRANSLATE(A12589,""en"",""pt"")"),"confinado")</f>
        <v>confinado</v>
      </c>
      <c r="B12589" s="3">
        <v>0</v>
      </c>
    </row>
    <row r="12590" ht="15.75" customHeight="1" spans="1:2">
      <c r="A12590" s="3" t="str">
        <f>IFERROR(__xludf.DUMMYFUNCTION("GOOGLETRANSLATE(A12590,""en"",""pt"")"),"conflito")</f>
        <v>conflito</v>
      </c>
      <c r="B12590" s="3">
        <v>0</v>
      </c>
    </row>
    <row r="12591" ht="15.75" customHeight="1" spans="1:2">
      <c r="A12591" s="3" t="str">
        <f>IFERROR(__xludf.DUMMYFUNCTION("GOOGLETRANSLATE(A12591,""en"",""pt"")"),"conflituosa")</f>
        <v>conflituosa</v>
      </c>
      <c r="B12591" s="3">
        <v>0</v>
      </c>
    </row>
    <row r="12592" ht="15.75" customHeight="1" spans="1:2">
      <c r="A12592" s="3" t="str">
        <f>IFERROR(__xludf.DUMMYFUNCTION("GOOGLETRANSLATE(A12592,""en"",""pt"")"),"conflitantes")</f>
        <v>conflitantes</v>
      </c>
      <c r="B12592" s="3">
        <v>0</v>
      </c>
    </row>
    <row r="12593" ht="15.75" customHeight="1" spans="1:2">
      <c r="A12593" s="3" t="str">
        <f>IFERROR(__xludf.DUMMYFUNCTION("GOOGLETRANSLATE(A12593,""en"",""pt"")"),"conflitos")</f>
        <v>conflitos</v>
      </c>
      <c r="B12593" s="3">
        <v>0</v>
      </c>
    </row>
    <row r="12594" ht="15.75" customHeight="1" spans="1:2">
      <c r="A12594" s="3" t="str">
        <f>IFERROR(__xludf.DUMMYFUNCTION("GOOGLETRANSLATE(A12594,""en"",""pt"")"),"confundir")</f>
        <v>confundir</v>
      </c>
      <c r="B12594" s="3">
        <v>0</v>
      </c>
    </row>
    <row r="12595" ht="15.75" customHeight="1" spans="1:2">
      <c r="A12595" s="3" t="str">
        <f>IFERROR(__xludf.DUMMYFUNCTION("GOOGLETRANSLATE(A12595,""en"",""pt"")"),"desconcertado")</f>
        <v>desconcertado</v>
      </c>
      <c r="B12595" s="3">
        <v>0</v>
      </c>
    </row>
    <row r="12596" ht="15.75" customHeight="1" spans="1:2">
      <c r="A12596" s="3" t="str">
        <f>IFERROR(__xludf.DUMMYFUNCTION("GOOGLETRANSLATE(A12596,""en"",""pt"")"),"confusão")</f>
        <v>confusão</v>
      </c>
      <c r="B12596" s="3">
        <v>0</v>
      </c>
    </row>
    <row r="12597" ht="15.75" customHeight="1" spans="1:2">
      <c r="A12597" s="3" t="str">
        <f>IFERROR(__xludf.DUMMYFUNCTION("GOOGLETRANSLATE(A12597,""en"",""pt"")"),"enfrentar")</f>
        <v>enfrentar</v>
      </c>
      <c r="B12597" s="3">
        <v>0</v>
      </c>
    </row>
    <row r="12598" ht="15.75" customHeight="1" spans="1:2">
      <c r="A12598" s="3" t="str">
        <f>IFERROR(__xludf.DUMMYFUNCTION("GOOGLETRANSLATE(A12598,""en"",""pt"")"),"confronto")</f>
        <v>confronto</v>
      </c>
      <c r="B12598" s="3">
        <v>0</v>
      </c>
    </row>
    <row r="12599" ht="15.75" customHeight="1" spans="1:2">
      <c r="A12599" s="3" t="str">
        <f>IFERROR(__xludf.DUMMYFUNCTION("GOOGLETRANSLATE(A12599,""en"",""pt"")"),"conflituosa")</f>
        <v>conflituosa</v>
      </c>
      <c r="B12599" s="3">
        <v>0</v>
      </c>
    </row>
    <row r="12600" ht="15.75" customHeight="1" spans="1:2">
      <c r="A12600" s="3" t="str">
        <f>IFERROR(__xludf.DUMMYFUNCTION("GOOGLETRANSLATE(A12600,""en"",""pt"")"),"confundir")</f>
        <v>confundir</v>
      </c>
      <c r="B12600" s="3">
        <v>0</v>
      </c>
    </row>
    <row r="12601" ht="15.75" customHeight="1" spans="1:2">
      <c r="A12601" s="3" t="str">
        <f>IFERROR(__xludf.DUMMYFUNCTION("GOOGLETRANSLATE(A12601,""en"",""pt"")"),"confuso")</f>
        <v>confuso</v>
      </c>
      <c r="B12601" s="3">
        <v>0</v>
      </c>
    </row>
    <row r="12602" ht="15.75" customHeight="1" spans="1:2">
      <c r="A12602" s="3" t="str">
        <f>IFERROR(__xludf.DUMMYFUNCTION("GOOGLETRANSLATE(A12602,""en"",""pt"")"),"confunde")</f>
        <v>confunde</v>
      </c>
      <c r="B12602" s="3">
        <v>0</v>
      </c>
    </row>
    <row r="12603" ht="15.75" customHeight="1" spans="1:2">
      <c r="A12603" s="3" t="str">
        <f>IFERROR(__xludf.DUMMYFUNCTION("GOOGLETRANSLATE(A12603,""en"",""pt"")"),"confundindo")</f>
        <v>confundindo</v>
      </c>
      <c r="B12603" s="3">
        <v>0</v>
      </c>
    </row>
    <row r="12604" ht="15.75" customHeight="1" spans="1:2">
      <c r="A12604" s="3" t="str">
        <f>IFERROR(__xludf.DUMMYFUNCTION("GOOGLETRANSLATE(A12604,""en"",""pt"")"),"confusão")</f>
        <v>confusão</v>
      </c>
      <c r="B12604" s="3">
        <v>0</v>
      </c>
    </row>
    <row r="12605" ht="15.75" customHeight="1" spans="1:2">
      <c r="A12605" s="3" t="str">
        <f>IFERROR(__xludf.DUMMYFUNCTION("GOOGLETRANSLATE(A12605,""en"",""pt"")"),"confusões")</f>
        <v>confusões</v>
      </c>
      <c r="B12605" s="3">
        <v>0</v>
      </c>
    </row>
    <row r="12606" ht="15.75" customHeight="1" spans="1:2">
      <c r="A12606" s="3" t="str">
        <f>IFERROR(__xludf.DUMMYFUNCTION("GOOGLETRANSLATE(A12606,""en"",""pt"")"),"congestionado")</f>
        <v>congestionado</v>
      </c>
      <c r="B12606" s="3">
        <v>0</v>
      </c>
    </row>
    <row r="12607" ht="15.75" customHeight="1" spans="1:2">
      <c r="A12607" s="3" t="str">
        <f>IFERROR(__xludf.DUMMYFUNCTION("GOOGLETRANSLATE(A12607,""en"",""pt"")"),"congestionamento")</f>
        <v>congestionamento</v>
      </c>
      <c r="B12607" s="3">
        <v>0</v>
      </c>
    </row>
    <row r="12608" ht="15.75" customHeight="1" spans="1:2">
      <c r="A12608" s="3" t="str">
        <f>IFERROR(__xludf.DUMMYFUNCTION("GOOGLETRANSLATE(A12608,""en"",""pt"")"),"contras")</f>
        <v>contras</v>
      </c>
      <c r="B12608" s="3">
        <v>0</v>
      </c>
    </row>
    <row r="12609" ht="15.75" customHeight="1" spans="1:2">
      <c r="A12609" s="3" t="str">
        <f>IFERROR(__xludf.DUMMYFUNCTION("GOOGLETRANSLATE(A12609,""en"",""pt"")"),"conscons")</f>
        <v>conscons</v>
      </c>
      <c r="B12609" s="3">
        <v>0</v>
      </c>
    </row>
    <row r="12610" ht="15.75" customHeight="1" spans="1:2">
      <c r="A12610" s="3" t="str">
        <f>IFERROR(__xludf.DUMMYFUNCTION("GOOGLETRANSLATE(A12610,""en"",""pt"")"),"conservador")</f>
        <v>conservador</v>
      </c>
      <c r="B12610" s="3">
        <v>0</v>
      </c>
    </row>
    <row r="12611" ht="15.75" customHeight="1" spans="1:2">
      <c r="A12611" s="3" t="str">
        <f>IFERROR(__xludf.DUMMYFUNCTION("GOOGLETRANSLATE(A12611,""en"",""pt"")"),"conspícuo")</f>
        <v>conspícuo</v>
      </c>
      <c r="B12611" s="3">
        <v>0</v>
      </c>
    </row>
    <row r="12612" ht="15.75" customHeight="1" spans="1:2">
      <c r="A12612" s="3" t="str">
        <f>IFERROR(__xludf.DUMMYFUNCTION("GOOGLETRANSLATE(A12612,""en"",""pt"")"),"conspicuamente")</f>
        <v>conspicuamente</v>
      </c>
      <c r="B12612" s="3">
        <v>0</v>
      </c>
    </row>
    <row r="12613" ht="15.75" customHeight="1" spans="1:2">
      <c r="A12613" s="3" t="str">
        <f>IFERROR(__xludf.DUMMYFUNCTION("GOOGLETRANSLATE(A12613,""en"",""pt"")"),"conspirações")</f>
        <v>conspirações</v>
      </c>
      <c r="B12613" s="3">
        <v>0</v>
      </c>
    </row>
    <row r="12614" ht="15.75" customHeight="1" spans="1:2">
      <c r="A12614" s="3" t="str">
        <f>IFERROR(__xludf.DUMMYFUNCTION("GOOGLETRANSLATE(A12614,""en"",""pt"")"),"conspiração")</f>
        <v>conspiração</v>
      </c>
      <c r="B12614" s="3">
        <v>0</v>
      </c>
    </row>
    <row r="12615" ht="15.75" customHeight="1" spans="1:2">
      <c r="A12615" s="3" t="str">
        <f>IFERROR(__xludf.DUMMYFUNCTION("GOOGLETRANSLATE(A12615,""en"",""pt"")"),"conspirador")</f>
        <v>conspirador</v>
      </c>
      <c r="B12615" s="3">
        <v>0</v>
      </c>
    </row>
    <row r="12616" ht="15.75" customHeight="1" spans="1:2">
      <c r="A12616" s="3" t="str">
        <f>IFERROR(__xludf.DUMMYFUNCTION("GOOGLETRANSLATE(A12616,""en"",""pt"")"),"conspiratório")</f>
        <v>conspiratório</v>
      </c>
      <c r="B12616" s="3">
        <v>0</v>
      </c>
    </row>
    <row r="12617" ht="15.75" customHeight="1" spans="1:2">
      <c r="A12617" s="3" t="str">
        <f>IFERROR(__xludf.DUMMYFUNCTION("GOOGLETRANSLATE(A12617,""en"",""pt"")"),"conspirar")</f>
        <v>conspirar</v>
      </c>
      <c r="B12617" s="3">
        <v>0</v>
      </c>
    </row>
    <row r="12618" ht="15.75" customHeight="1" spans="1:2">
      <c r="A12618" s="3" t="str">
        <f>IFERROR(__xludf.DUMMYFUNCTION("GOOGLETRANSLATE(A12618,""en"",""pt"")"),"consternação")</f>
        <v>consternação</v>
      </c>
      <c r="B12618" s="3">
        <v>0</v>
      </c>
    </row>
    <row r="12619" ht="15.75" customHeight="1" spans="1:2">
      <c r="A12619" s="3" t="str">
        <f>IFERROR(__xludf.DUMMYFUNCTION("GOOGLETRANSLATE(A12619,""en"",""pt"")"),"contagioso")</f>
        <v>contagioso</v>
      </c>
      <c r="B12619" s="3">
        <v>0</v>
      </c>
    </row>
    <row r="12620" ht="15.75" customHeight="1" spans="1:2">
      <c r="A12620" s="3" t="str">
        <f>IFERROR(__xludf.DUMMYFUNCTION("GOOGLETRANSLATE(A12620,""en"",""pt"")"),"contaminar")</f>
        <v>contaminar</v>
      </c>
      <c r="B12620" s="3">
        <v>0</v>
      </c>
    </row>
    <row r="12621" ht="15.75" customHeight="1" spans="1:2">
      <c r="A12621" s="3" t="str">
        <f>IFERROR(__xludf.DUMMYFUNCTION("GOOGLETRANSLATE(A12621,""en"",""pt"")"),"contaminado")</f>
        <v>contaminado</v>
      </c>
      <c r="B12621" s="3">
        <v>0</v>
      </c>
    </row>
    <row r="12622" ht="15.75" customHeight="1" spans="1:2">
      <c r="A12622" s="3" t="str">
        <f>IFERROR(__xludf.DUMMYFUNCTION("GOOGLETRANSLATE(A12622,""en"",""pt"")"),"contamina")</f>
        <v>contamina</v>
      </c>
      <c r="B12622" s="3">
        <v>0</v>
      </c>
    </row>
    <row r="12623" ht="15.75" customHeight="1" spans="1:2">
      <c r="A12623" s="3" t="str">
        <f>IFERROR(__xludf.DUMMYFUNCTION("GOOGLETRANSLATE(A12623,""en"",""pt"")"),"contaminação")</f>
        <v>contaminação</v>
      </c>
      <c r="B12623" s="3">
        <v>0</v>
      </c>
    </row>
    <row r="12624" ht="15.75" customHeight="1" spans="1:2">
      <c r="A12624" s="3" t="str">
        <f>IFERROR(__xludf.DUMMYFUNCTION("GOOGLETRANSLATE(A12624,""en"",""pt"")"),"contaminação")</f>
        <v>contaminação</v>
      </c>
      <c r="B12624" s="3">
        <v>0</v>
      </c>
    </row>
    <row r="12625" ht="15.75" customHeight="1" spans="1:2">
      <c r="A12625" s="3" t="str">
        <f>IFERROR(__xludf.DUMMYFUNCTION("GOOGLETRANSLATE(A12625,""en"",""pt"")"),"desprezo")</f>
        <v>desprezo</v>
      </c>
      <c r="B12625" s="3">
        <v>0</v>
      </c>
    </row>
    <row r="12626" ht="15.75" customHeight="1" spans="1:2">
      <c r="A12626" s="3" t="str">
        <f>IFERROR(__xludf.DUMMYFUNCTION("GOOGLETRANSLATE(A12626,""en"",""pt"")"),"desprezível")</f>
        <v>desprezível</v>
      </c>
      <c r="B12626" s="3">
        <v>0</v>
      </c>
    </row>
    <row r="12627" ht="15.75" customHeight="1" spans="1:2">
      <c r="A12627" s="3" t="str">
        <f>IFERROR(__xludf.DUMMYFUNCTION("GOOGLETRANSLATE(A12627,""en"",""pt"")"),"desdenhoso")</f>
        <v>desdenhoso</v>
      </c>
      <c r="B12627" s="3">
        <v>0</v>
      </c>
    </row>
    <row r="12628" ht="15.75" customHeight="1" spans="1:2">
      <c r="A12628" s="3" t="str">
        <f>IFERROR(__xludf.DUMMYFUNCTION("GOOGLETRANSLATE(A12628,""en"",""pt"")"),"desdenhosamente")</f>
        <v>desdenhosamente</v>
      </c>
      <c r="B12628" s="3">
        <v>0</v>
      </c>
    </row>
    <row r="12629" ht="15.75" customHeight="1" spans="1:2">
      <c r="A12629" s="3" t="str">
        <f>IFERROR(__xludf.DUMMYFUNCTION("GOOGLETRANSLATE(A12629,""en"",""pt"")"),"lutar")</f>
        <v>lutar</v>
      </c>
      <c r="B12629" s="3">
        <v>0</v>
      </c>
    </row>
    <row r="12630" ht="15.75" customHeight="1" spans="1:2">
      <c r="A12630" s="3" t="str">
        <f>IFERROR(__xludf.DUMMYFUNCTION("GOOGLETRANSLATE(A12630,""en"",""pt"")"),"contenção")</f>
        <v>contenção</v>
      </c>
      <c r="B12630" s="3">
        <v>0</v>
      </c>
    </row>
    <row r="12631" ht="15.75" customHeight="1" spans="1:2">
      <c r="A12631" s="3" t="str">
        <f>IFERROR(__xludf.DUMMYFUNCTION("GOOGLETRANSLATE(A12631,""en"",""pt"")"),"contencioso")</f>
        <v>contencioso</v>
      </c>
      <c r="B12631" s="3">
        <v>0</v>
      </c>
    </row>
    <row r="12632" ht="15.75" customHeight="1" spans="1:2">
      <c r="A12632" s="3" t="str">
        <f>IFERROR(__xludf.DUMMYFUNCTION("GOOGLETRANSLATE(A12632,""en"",""pt"")"),"contorcer")</f>
        <v>contorcer</v>
      </c>
      <c r="B12632" s="3">
        <v>0</v>
      </c>
    </row>
    <row r="12633" ht="15.75" customHeight="1" spans="1:2">
      <c r="A12633" s="3" t="str">
        <f>IFERROR(__xludf.DUMMYFUNCTION("GOOGLETRANSLATE(A12633,""en"",""pt"")"),"contorções")</f>
        <v>contorções</v>
      </c>
      <c r="B12633" s="3">
        <v>0</v>
      </c>
    </row>
    <row r="12634" ht="15.75" customHeight="1" spans="1:2">
      <c r="A12634" s="3" t="str">
        <f>IFERROR(__xludf.DUMMYFUNCTION("GOOGLETRANSLATE(A12634,""en"",""pt"")"),"contraditório")</f>
        <v>contraditório</v>
      </c>
      <c r="B12634" s="3">
        <v>0</v>
      </c>
    </row>
    <row r="12635" ht="15.75" customHeight="1" spans="1:2">
      <c r="A12635" s="3" t="str">
        <f>IFERROR(__xludf.DUMMYFUNCTION("GOOGLETRANSLATE(A12635,""en"",""pt"")"),"contradição")</f>
        <v>contradição</v>
      </c>
      <c r="B12635" s="3">
        <v>0</v>
      </c>
    </row>
    <row r="12636" ht="15.75" customHeight="1" spans="1:2">
      <c r="A12636" s="3" t="str">
        <f>IFERROR(__xludf.DUMMYFUNCTION("GOOGLETRANSLATE(A12636,""en"",""pt"")"),"contraditório")</f>
        <v>contraditório</v>
      </c>
      <c r="B12636" s="3">
        <v>0</v>
      </c>
    </row>
    <row r="12637" ht="15.75" customHeight="1" spans="1:2">
      <c r="A12637" s="3" t="str">
        <f>IFERROR(__xludf.DUMMYFUNCTION("GOOGLETRANSLATE(A12637,""en"",""pt"")"),"contrariedade")</f>
        <v>contrariedade</v>
      </c>
      <c r="B12637" s="3">
        <v>0</v>
      </c>
    </row>
    <row r="12638" ht="15.75" customHeight="1" spans="1:2">
      <c r="A12638" s="3" t="str">
        <f>IFERROR(__xludf.DUMMYFUNCTION("GOOGLETRANSLATE(A12638,""en"",""pt"")"),"infringir")</f>
        <v>infringir</v>
      </c>
      <c r="B12638" s="3">
        <v>0</v>
      </c>
    </row>
    <row r="12639" ht="15.75" customHeight="1" spans="1:2">
      <c r="A12639" s="3" t="str">
        <f>IFERROR(__xludf.DUMMYFUNCTION("GOOGLETRANSLATE(A12639,""en"",""pt"")"),"contrive")</f>
        <v>contrive</v>
      </c>
      <c r="B12639" s="3">
        <v>0</v>
      </c>
    </row>
    <row r="12640" ht="15.75" customHeight="1" spans="1:2">
      <c r="A12640" s="3" t="str">
        <f>IFERROR(__xludf.DUMMYFUNCTION("GOOGLETRANSLATE(A12640,""en"",""pt"")"),"artificial")</f>
        <v>artificial</v>
      </c>
      <c r="B12640" s="3">
        <v>0</v>
      </c>
    </row>
    <row r="12641" ht="15.75" customHeight="1" spans="1:2">
      <c r="A12641" s="3" t="str">
        <f>IFERROR(__xludf.DUMMYFUNCTION("GOOGLETRANSLATE(A12641,""en"",""pt"")"),"controverso")</f>
        <v>controverso</v>
      </c>
      <c r="B12641" s="3">
        <v>0</v>
      </c>
    </row>
    <row r="12642" ht="15.75" customHeight="1" spans="1:2">
      <c r="A12642" s="3" t="str">
        <f>IFERROR(__xludf.DUMMYFUNCTION("GOOGLETRANSLATE(A12642,""en"",""pt"")"),"controvérsia")</f>
        <v>controvérsia</v>
      </c>
      <c r="B12642" s="3">
        <v>0</v>
      </c>
    </row>
    <row r="12643" ht="15.75" customHeight="1" spans="1:2">
      <c r="A12643" s="3" t="str">
        <f>IFERROR(__xludf.DUMMYFUNCTION("GOOGLETRANSLATE(A12643,""en"",""pt"")"),"circinal")</f>
        <v>circinal</v>
      </c>
      <c r="B12643" s="3">
        <v>0</v>
      </c>
    </row>
    <row r="12644" ht="15.75" customHeight="1" spans="1:2">
      <c r="A12644" s="3" t="str">
        <f>IFERROR(__xludf.DUMMYFUNCTION("GOOGLETRANSLATE(A12644,""en"",""pt"")"),"corroer")</f>
        <v>corroer</v>
      </c>
      <c r="B12644" s="3">
        <v>0</v>
      </c>
    </row>
    <row r="12645" ht="15.75" customHeight="1" spans="1:2">
      <c r="A12645" s="3" t="str">
        <f>IFERROR(__xludf.DUMMYFUNCTION("GOOGLETRANSLATE(A12645,""en"",""pt"")"),"corrosão")</f>
        <v>corrosão</v>
      </c>
      <c r="B12645" s="3">
        <v>0</v>
      </c>
    </row>
    <row r="12646" ht="15.75" customHeight="1" spans="1:2">
      <c r="A12646" s="3" t="str">
        <f>IFERROR(__xludf.DUMMYFUNCTION("GOOGLETRANSLATE(A12646,""en"",""pt"")"),"corrosões")</f>
        <v>corrosões</v>
      </c>
      <c r="B12646" s="3">
        <v>0</v>
      </c>
    </row>
    <row r="12647" ht="15.75" customHeight="1" spans="1:2">
      <c r="A12647" s="3" t="str">
        <f>IFERROR(__xludf.DUMMYFUNCTION("GOOGLETRANSLATE(A12647,""en"",""pt"")"),"corrosivo")</f>
        <v>corrosivo</v>
      </c>
      <c r="B12647" s="3">
        <v>0</v>
      </c>
    </row>
    <row r="12648" ht="15.75" customHeight="1" spans="1:2">
      <c r="A12648" s="3" t="str">
        <f>IFERROR(__xludf.DUMMYFUNCTION("GOOGLETRANSLATE(A12648,""en"",""pt"")"),"corrupto")</f>
        <v>corrupto</v>
      </c>
      <c r="B12648" s="3">
        <v>0</v>
      </c>
    </row>
    <row r="12649" ht="15.75" customHeight="1" spans="1:2">
      <c r="A12649" s="3" t="str">
        <f>IFERROR(__xludf.DUMMYFUNCTION("GOOGLETRANSLATE(A12649,""en"",""pt"")"),"corrompido")</f>
        <v>corrompido</v>
      </c>
      <c r="B12649" s="3">
        <v>0</v>
      </c>
    </row>
    <row r="12650" ht="15.75" customHeight="1" spans="1:2">
      <c r="A12650" s="3" t="str">
        <f>IFERROR(__xludf.DUMMYFUNCTION("GOOGLETRANSLATE(A12650,""en"",""pt"")"),"corrompendo")</f>
        <v>corrompendo</v>
      </c>
      <c r="B12650" s="3">
        <v>0</v>
      </c>
    </row>
    <row r="12651" ht="15.75" customHeight="1" spans="1:2">
      <c r="A12651" s="3" t="str">
        <f>IFERROR(__xludf.DUMMYFUNCTION("GOOGLETRANSLATE(A12651,""en"",""pt"")"),"corrupção")</f>
        <v>corrupção</v>
      </c>
      <c r="B12651" s="3">
        <v>0</v>
      </c>
    </row>
    <row r="12652" ht="15.75" customHeight="1" spans="1:2">
      <c r="A12652" s="3" t="str">
        <f>IFERROR(__xludf.DUMMYFUNCTION("GOOGLETRANSLATE(A12652,""en"",""pt"")"),"corrompe")</f>
        <v>corrompe</v>
      </c>
      <c r="B12652" s="3">
        <v>0</v>
      </c>
    </row>
    <row r="12653" ht="15.75" customHeight="1" spans="1:2">
      <c r="A12653" s="3" t="str">
        <f>IFERROR(__xludf.DUMMYFUNCTION("GOOGLETRANSLATE(A12653,""en"",""pt"")"),"corruptted")</f>
        <v>corruptted</v>
      </c>
      <c r="B12653" s="3">
        <v>0</v>
      </c>
    </row>
    <row r="12654" ht="15.75" customHeight="1" spans="1:2">
      <c r="A12654" s="3" t="str">
        <f>IFERROR(__xludf.DUMMYFUNCTION("GOOGLETRANSLATE(A12654,""en"",""pt"")"),"mais caro")</f>
        <v>mais caro</v>
      </c>
      <c r="B12654" s="3">
        <v>0</v>
      </c>
    </row>
    <row r="12655" ht="15.75" customHeight="1" spans="1:2">
      <c r="A12655" s="3" t="str">
        <f>IFERROR(__xludf.DUMMYFUNCTION("GOOGLETRANSLATE(A12655,""en"",""pt"")"),"dispendioso")</f>
        <v>dispendioso</v>
      </c>
      <c r="B12655" s="3">
        <v>0</v>
      </c>
    </row>
    <row r="12656" ht="15.75" customHeight="1" spans="1:2">
      <c r="A12656" s="3" t="str">
        <f>IFERROR(__xludf.DUMMYFUNCTION("GOOGLETRANSLATE(A12656,""en"",""pt"")"),"contraproducente")</f>
        <v>contraproducente</v>
      </c>
      <c r="B12656" s="3">
        <v>0</v>
      </c>
    </row>
    <row r="12657" ht="15.75" customHeight="1" spans="1:2">
      <c r="A12657" s="3" t="str">
        <f>IFERROR(__xludf.DUMMYFUNCTION("GOOGLETRANSLATE(A12657,""en"",""pt"")"),"contraproducente")</f>
        <v>contraproducente</v>
      </c>
      <c r="B12657" s="3">
        <v>0</v>
      </c>
    </row>
    <row r="12658" ht="15.75" customHeight="1" spans="1:2">
      <c r="A12658" s="3" t="str">
        <f>IFERROR(__xludf.DUMMYFUNCTION("GOOGLETRANSLATE(A12658,""en"",""pt"")"),"golpistas")</f>
        <v>golpistas</v>
      </c>
      <c r="B12658" s="3">
        <v>0</v>
      </c>
    </row>
    <row r="12659" ht="15.75" customHeight="1" spans="1:2">
      <c r="A12659" s="3" t="str">
        <f>IFERROR(__xludf.DUMMYFUNCTION("GOOGLETRANSLATE(A12659,""en"",""pt"")"),"cobiçoso")</f>
        <v>cobiçoso</v>
      </c>
      <c r="B12659" s="3">
        <v>0</v>
      </c>
    </row>
    <row r="12660" ht="15.75" customHeight="1" spans="1:2">
      <c r="A12660" s="3" t="str">
        <f>IFERROR(__xludf.DUMMYFUNCTION("GOOGLETRANSLATE(A12660,""en"",""pt"")"),"covarde")</f>
        <v>covarde</v>
      </c>
      <c r="B12660" s="3">
        <v>0</v>
      </c>
    </row>
    <row r="12661" ht="15.75" customHeight="1" spans="1:2">
      <c r="A12661" s="3" t="str">
        <f>IFERROR(__xludf.DUMMYFUNCTION("GOOGLETRANSLATE(A12661,""en"",""pt"")"),"covardemente")</f>
        <v>covardemente</v>
      </c>
      <c r="B12661" s="3">
        <v>0</v>
      </c>
    </row>
    <row r="12662" ht="15.75" customHeight="1" spans="1:2">
      <c r="A12662" s="3" t="str">
        <f>IFERROR(__xludf.DUMMYFUNCTION("GOOGLETRANSLATE(A12662,""en"",""pt"")"),"ranzinza")</f>
        <v>ranzinza</v>
      </c>
      <c r="B12662" s="3">
        <v>0</v>
      </c>
    </row>
    <row r="12663" ht="15.75" customHeight="1" spans="1:2">
      <c r="A12663" s="3" t="str">
        <f>IFERROR(__xludf.DUMMYFUNCTION("GOOGLETRANSLATE(A12663,""en"",""pt"")"),"fenda")</f>
        <v>fenda</v>
      </c>
      <c r="B12663" s="3">
        <v>0</v>
      </c>
    </row>
    <row r="12664" ht="15.75" customHeight="1" spans="1:2">
      <c r="A12664" s="3" t="str">
        <f>IFERROR(__xludf.DUMMYFUNCTION("GOOGLETRANSLATE(A12664,""en"",""pt"")"),"rachado")</f>
        <v>rachado</v>
      </c>
      <c r="B12664" s="3">
        <v>0</v>
      </c>
    </row>
    <row r="12665" ht="15.75" customHeight="1" spans="1:2">
      <c r="A12665" s="3" t="str">
        <f>IFERROR(__xludf.DUMMYFUNCTION("GOOGLETRANSLATE(A12665,""en"",""pt"")"),"rachaduras")</f>
        <v>rachaduras</v>
      </c>
      <c r="B12665" s="3">
        <v>0</v>
      </c>
    </row>
    <row r="12666" ht="15.75" customHeight="1" spans="1:2">
      <c r="A12666" s="3" t="str">
        <f>IFERROR(__xludf.DUMMYFUNCTION("GOOGLETRANSLATE(A12666,""en"",""pt"")"),"astuciosamente")</f>
        <v>astuciosamente</v>
      </c>
      <c r="B12666" s="3">
        <v>0</v>
      </c>
    </row>
    <row r="12667" ht="15.75" customHeight="1" spans="1:2">
      <c r="A12667" s="3" t="str">
        <f>IFERROR(__xludf.DUMMYFUNCTION("GOOGLETRANSLATE(A12667,""en"",""pt"")"),"craftly")</f>
        <v>craftly</v>
      </c>
      <c r="B12667" s="3">
        <v>0</v>
      </c>
    </row>
    <row r="12668" ht="15.75" customHeight="1" spans="1:2">
      <c r="A12668" s="3" t="str">
        <f>IFERROR(__xludf.DUMMYFUNCTION("GOOGLETRANSLATE(A12668,""en"",""pt"")"),"astuto")</f>
        <v>astuto</v>
      </c>
      <c r="B12668" s="3">
        <v>0</v>
      </c>
    </row>
    <row r="12669" ht="15.75" customHeight="1" spans="1:2">
      <c r="A12669" s="3" t="str">
        <f>IFERROR(__xludf.DUMMYFUNCTION("GOOGLETRANSLATE(A12669,""en"",""pt"")"),"cãibra")</f>
        <v>cãibra</v>
      </c>
      <c r="B12669" s="3">
        <v>0</v>
      </c>
    </row>
    <row r="12670" ht="15.75" customHeight="1" spans="1:2">
      <c r="A12670" s="3" t="str">
        <f>IFERROR(__xludf.DUMMYFUNCTION("GOOGLETRANSLATE(A12670,""en"",""pt"")"),"espasmódico")</f>
        <v>espasmódico</v>
      </c>
      <c r="B12670" s="3">
        <v>0</v>
      </c>
    </row>
    <row r="12671" ht="15.75" customHeight="1" spans="1:2">
      <c r="A12671" s="3" t="str">
        <f>IFERROR(__xludf.DUMMYFUNCTION("GOOGLETRANSLATE(A12671,""en"",""pt"")"),"cólicas")</f>
        <v>cólicas</v>
      </c>
      <c r="B12671" s="3">
        <v>0</v>
      </c>
    </row>
    <row r="12672" ht="15.75" customHeight="1" spans="1:2">
      <c r="A12672" s="3" t="str">
        <f>IFERROR(__xludf.DUMMYFUNCTION("GOOGLETRANSLATE(A12672,""en"",""pt"")"),"adoentado")</f>
        <v>adoentado</v>
      </c>
      <c r="B12672" s="3">
        <v>0</v>
      </c>
    </row>
    <row r="12673" ht="15.75" customHeight="1" spans="1:2">
      <c r="A12673" s="3" t="str">
        <f>IFERROR(__xludf.DUMMYFUNCTION("GOOGLETRANSLATE(A12673,""en"",""pt"")"),"porcaria")</f>
        <v>porcaria</v>
      </c>
      <c r="B12673" s="3">
        <v>0</v>
      </c>
    </row>
    <row r="12674" ht="15.75" customHeight="1" spans="1:2">
      <c r="A12674" s="3" t="str">
        <f>IFERROR(__xludf.DUMMYFUNCTION("GOOGLETRANSLATE(A12674,""en"",""pt"")"),"de baixa qualidade")</f>
        <v>de baixa qualidade</v>
      </c>
      <c r="B12674" s="3">
        <v>0</v>
      </c>
    </row>
    <row r="12675" ht="15.75" customHeight="1" spans="1:2">
      <c r="A12675" s="3" t="str">
        <f>IFERROR(__xludf.DUMMYFUNCTION("GOOGLETRANSLATE(A12675,""en"",""pt"")"),"jogo de dados")</f>
        <v>jogo de dados</v>
      </c>
      <c r="B12675" s="3">
        <v>0</v>
      </c>
    </row>
    <row r="12676" ht="15.75" customHeight="1" spans="1:2">
      <c r="A12676" s="3" t="str">
        <f>IFERROR(__xludf.DUMMYFUNCTION("GOOGLETRANSLATE(A12676,""en"",""pt"")"),"batida")</f>
        <v>batida</v>
      </c>
      <c r="B12676" s="3">
        <v>0</v>
      </c>
    </row>
    <row r="12677" ht="15.75" customHeight="1" spans="1:2">
      <c r="A12677" s="3" t="str">
        <f>IFERROR(__xludf.DUMMYFUNCTION("GOOGLETRANSLATE(A12677,""en"",""pt"")"),"caiu")</f>
        <v>caiu</v>
      </c>
      <c r="B12677" s="3">
        <v>0</v>
      </c>
    </row>
    <row r="12678" ht="15.75" customHeight="1" spans="1:2">
      <c r="A12678" s="3" t="str">
        <f>IFERROR(__xludf.DUMMYFUNCTION("GOOGLETRANSLATE(A12678,""en"",""pt"")"),"crashes")</f>
        <v>crashes</v>
      </c>
      <c r="B12678" s="3">
        <v>0</v>
      </c>
    </row>
    <row r="12679" ht="15.75" customHeight="1" spans="1:2">
      <c r="A12679" s="3" t="str">
        <f>IFERROR(__xludf.DUMMYFUNCTION("GOOGLETRANSLATE(A12679,""en"",""pt"")"),"Falhando")</f>
        <v>Falhando</v>
      </c>
      <c r="B12679" s="3">
        <v>0</v>
      </c>
    </row>
    <row r="12680" ht="15.75" customHeight="1" spans="1:2">
      <c r="A12680" s="3" t="str">
        <f>IFERROR(__xludf.DUMMYFUNCTION("GOOGLETRANSLATE(A12680,""en"",""pt"")"),"grosseiro")</f>
        <v>grosseiro</v>
      </c>
      <c r="B12680" s="3">
        <v>0</v>
      </c>
    </row>
    <row r="12681" ht="15.75" customHeight="1" spans="1:2">
      <c r="A12681" s="3" t="str">
        <f>IFERROR(__xludf.DUMMYFUNCTION("GOOGLETRANSLATE(A12681,""en"",""pt"")"),"covarde")</f>
        <v>covarde</v>
      </c>
      <c r="B12681" s="3">
        <v>0</v>
      </c>
    </row>
    <row r="12682" ht="15.75" customHeight="1" spans="1:2">
      <c r="A12682" s="3" t="str">
        <f>IFERROR(__xludf.DUMMYFUNCTION("GOOGLETRANSLATE(A12682,""en"",""pt"")"),"covardemente")</f>
        <v>covardemente</v>
      </c>
      <c r="B12682" s="3">
        <v>0</v>
      </c>
    </row>
    <row r="12683" ht="15.75" customHeight="1" spans="1:2">
      <c r="A12683" s="3" t="str">
        <f>IFERROR(__xludf.DUMMYFUNCTION("GOOGLETRANSLATE(A12683,""en"",""pt"")"),"mania")</f>
        <v>mania</v>
      </c>
      <c r="B12683" s="3">
        <v>0</v>
      </c>
    </row>
    <row r="12684" ht="15.75" customHeight="1" spans="1:2">
      <c r="A12684" s="3" t="str">
        <f>IFERROR(__xludf.DUMMYFUNCTION("GOOGLETRANSLATE(A12684,""en"",""pt"")"),"loucamente")</f>
        <v>loucamente</v>
      </c>
      <c r="B12684" s="3">
        <v>0</v>
      </c>
    </row>
    <row r="12685" ht="15.75" customHeight="1" spans="1:2">
      <c r="A12685" s="3" t="str">
        <f>IFERROR(__xludf.DUMMYFUNCTION("GOOGLETRANSLATE(A12685,""en"",""pt"")"),"loucura")</f>
        <v>loucura</v>
      </c>
      <c r="B12685" s="3">
        <v>0</v>
      </c>
    </row>
    <row r="12686" ht="15.75" customHeight="1" spans="1:2">
      <c r="A12686" s="3" t="str">
        <f>IFERROR(__xludf.DUMMYFUNCTION("GOOGLETRANSLATE(A12686,""en"",""pt"")"),"louco")</f>
        <v>louco</v>
      </c>
      <c r="B12686" s="3">
        <v>0</v>
      </c>
    </row>
    <row r="12687" ht="15.75" customHeight="1" spans="1:2">
      <c r="A12687" s="3" t="str">
        <f>IFERROR(__xludf.DUMMYFUNCTION("GOOGLETRANSLATE(A12687,""en"",""pt"")"),"ranger")</f>
        <v>ranger</v>
      </c>
      <c r="B12687" s="3">
        <v>0</v>
      </c>
    </row>
    <row r="12688" ht="15.75" customHeight="1" spans="1:2">
      <c r="A12688" s="3" t="str">
        <f>IFERROR(__xludf.DUMMYFUNCTION("GOOGLETRANSLATE(A12688,""en"",""pt"")"),"ranger")</f>
        <v>ranger</v>
      </c>
      <c r="B12688" s="3">
        <v>0</v>
      </c>
    </row>
    <row r="12689" ht="15.75" customHeight="1" spans="1:2">
      <c r="A12689" s="3" t="str">
        <f>IFERROR(__xludf.DUMMYFUNCTION("GOOGLETRANSLATE(A12689,""en"",""pt"")"),"rangidos")</f>
        <v>rangidos</v>
      </c>
      <c r="B12689" s="3">
        <v>0</v>
      </c>
    </row>
    <row r="12690" ht="15.75" customHeight="1" spans="1:2">
      <c r="A12690" s="3" t="str">
        <f>IFERROR(__xludf.DUMMYFUNCTION("GOOGLETRANSLATE(A12690,""en"",""pt"")"),"crédulo")</f>
        <v>crédulo</v>
      </c>
      <c r="B12690" s="3">
        <v>0</v>
      </c>
    </row>
    <row r="12691" ht="15.75" customHeight="1" spans="1:2">
      <c r="A12691" s="3" t="str">
        <f>IFERROR(__xludf.DUMMYFUNCTION("GOOGLETRANSLATE(A12691,""en"",""pt"")"),"rastejar")</f>
        <v>rastejar</v>
      </c>
      <c r="B12691" s="3">
        <v>0</v>
      </c>
    </row>
    <row r="12692" ht="15.75" customHeight="1" spans="1:2">
      <c r="A12692" s="3" t="str">
        <f>IFERROR(__xludf.DUMMYFUNCTION("GOOGLETRANSLATE(A12692,""en"",""pt"")"),"rastejante")</f>
        <v>rastejante</v>
      </c>
      <c r="B12692" s="3">
        <v>0</v>
      </c>
    </row>
    <row r="12693" ht="15.75" customHeight="1" spans="1:2">
      <c r="A12693" s="3" t="str">
        <f>IFERROR(__xludf.DUMMYFUNCTION("GOOGLETRANSLATE(A12693,""en"",""pt"")"),"arrepio")</f>
        <v>arrepio</v>
      </c>
      <c r="B12693" s="3">
        <v>0</v>
      </c>
    </row>
    <row r="12694" ht="15.75" customHeight="1" spans="1:2">
      <c r="A12694" s="3" t="str">
        <f>IFERROR(__xludf.DUMMYFUNCTION("GOOGLETRANSLATE(A12694,""en"",""pt"")"),"arrepiante")</f>
        <v>arrepiante</v>
      </c>
      <c r="B12694" s="3">
        <v>0</v>
      </c>
    </row>
    <row r="12695" ht="15.75" customHeight="1" spans="1:2">
      <c r="A12695" s="3" t="str">
        <f>IFERROR(__xludf.DUMMYFUNCTION("GOOGLETRANSLATE(A12695,""en"",""pt"")"),"rastejou")</f>
        <v>rastejou</v>
      </c>
      <c r="B12695" s="3">
        <v>0</v>
      </c>
    </row>
    <row r="12696" ht="15.75" customHeight="1" spans="1:2">
      <c r="A12696" s="3" t="str">
        <f>IFERROR(__xludf.DUMMYFUNCTION("GOOGLETRANSLATE(A12696,""en"",""pt"")"),"crime")</f>
        <v>crime</v>
      </c>
      <c r="B12696" s="3">
        <v>0</v>
      </c>
    </row>
    <row r="12697" ht="15.75" customHeight="1" spans="1:2">
      <c r="A12697" s="3" t="str">
        <f>IFERROR(__xludf.DUMMYFUNCTION("GOOGLETRANSLATE(A12697,""en"",""pt"")"),"Criminoso")</f>
        <v>Criminoso</v>
      </c>
      <c r="B12697" s="3">
        <v>0</v>
      </c>
    </row>
    <row r="12698" ht="15.75" customHeight="1" spans="1:2">
      <c r="A12698" s="3" t="str">
        <f>IFERROR(__xludf.DUMMYFUNCTION("GOOGLETRANSLATE(A12698,""en"",""pt"")"),"encolher")</f>
        <v>encolher</v>
      </c>
      <c r="B12698" s="3">
        <v>0</v>
      </c>
    </row>
    <row r="12699" ht="15.75" customHeight="1" spans="1:2">
      <c r="A12699" s="3" t="str">
        <f>IFERROR(__xludf.DUMMYFUNCTION("GOOGLETRANSLATE(A12699,""en"",""pt"")"),"encolhi")</f>
        <v>encolhi</v>
      </c>
      <c r="B12699" s="3">
        <v>0</v>
      </c>
    </row>
    <row r="12700" ht="15.75" customHeight="1" spans="1:2">
      <c r="A12700" s="3" t="str">
        <f>IFERROR(__xludf.DUMMYFUNCTION("GOOGLETRANSLATE(A12700,""en"",""pt"")"),"cringes")</f>
        <v>cringes</v>
      </c>
      <c r="B12700" s="3">
        <v>0</v>
      </c>
    </row>
    <row r="12701" ht="15.75" customHeight="1" spans="1:2">
      <c r="A12701" s="3" t="str">
        <f>IFERROR(__xludf.DUMMYFUNCTION("GOOGLETRANSLATE(A12701,""en"",""pt"")"),"aleijado")</f>
        <v>aleijado</v>
      </c>
      <c r="B12701" s="3">
        <v>0</v>
      </c>
    </row>
    <row r="12702" ht="15.75" customHeight="1" spans="1:2">
      <c r="A12702" s="3" t="str">
        <f>IFERROR(__xludf.DUMMYFUNCTION("GOOGLETRANSLATE(A12702,""en"",""pt"")"),"aleijado")</f>
        <v>aleijado</v>
      </c>
      <c r="B12702" s="3">
        <v>0</v>
      </c>
    </row>
    <row r="12703" ht="15.75" customHeight="1" spans="1:2">
      <c r="A12703" s="3" t="str">
        <f>IFERROR(__xludf.DUMMYFUNCTION("GOOGLETRANSLATE(A12703,""en"",""pt"")"),"aleijados")</f>
        <v>aleijados</v>
      </c>
      <c r="B12703" s="3">
        <v>0</v>
      </c>
    </row>
    <row r="12704" ht="15.75" customHeight="1" spans="1:2">
      <c r="A12704" s="3" t="str">
        <f>IFERROR(__xludf.DUMMYFUNCTION("GOOGLETRANSLATE(A12704,""en"",""pt"")"),"incapacitante")</f>
        <v>incapacitante</v>
      </c>
      <c r="B12704" s="3">
        <v>0</v>
      </c>
    </row>
    <row r="12705" ht="15.75" customHeight="1" spans="1:2">
      <c r="A12705" s="3" t="str">
        <f>IFERROR(__xludf.DUMMYFUNCTION("GOOGLETRANSLATE(A12705,""en"",""pt"")"),"crise")</f>
        <v>crise</v>
      </c>
      <c r="B12705" s="3">
        <v>0</v>
      </c>
    </row>
    <row r="12706" ht="15.75" customHeight="1" spans="1:2">
      <c r="A12706" s="3" t="str">
        <f>IFERROR(__xludf.DUMMYFUNCTION("GOOGLETRANSLATE(A12706,""en"",""pt"")"),"crítico")</f>
        <v>crítico</v>
      </c>
      <c r="B12706" s="3">
        <v>0</v>
      </c>
    </row>
    <row r="12707" ht="15.75" customHeight="1" spans="1:2">
      <c r="A12707" s="3" t="str">
        <f>IFERROR(__xludf.DUMMYFUNCTION("GOOGLETRANSLATE(A12707,""en"",""pt"")"),"crítico")</f>
        <v>crítico</v>
      </c>
      <c r="B12707" s="3">
        <v>0</v>
      </c>
    </row>
    <row r="12708" ht="15.75" customHeight="1" spans="1:2">
      <c r="A12708" s="3" t="str">
        <f>IFERROR(__xludf.DUMMYFUNCTION("GOOGLETRANSLATE(A12708,""en"",""pt"")"),"crítica")</f>
        <v>crítica</v>
      </c>
      <c r="B12708" s="3">
        <v>0</v>
      </c>
    </row>
    <row r="12709" ht="15.75" customHeight="1" spans="1:2">
      <c r="A12709" s="3" t="str">
        <f>IFERROR(__xludf.DUMMYFUNCTION("GOOGLETRANSLATE(A12709,""en"",""pt"")"),"críticas")</f>
        <v>críticas</v>
      </c>
      <c r="B12709" s="3">
        <v>0</v>
      </c>
    </row>
    <row r="12710" ht="15.75" customHeight="1" spans="1:2">
      <c r="A12710" s="3" t="str">
        <f>IFERROR(__xludf.DUMMYFUNCTION("GOOGLETRANSLATE(A12710,""en"",""pt"")"),"criticar")</f>
        <v>criticar</v>
      </c>
      <c r="B12710" s="3">
        <v>0</v>
      </c>
    </row>
    <row r="12711" ht="15.75" customHeight="1" spans="1:2">
      <c r="A12711" s="3" t="str">
        <f>IFERROR(__xludf.DUMMYFUNCTION("GOOGLETRANSLATE(A12711,""en"",""pt"")"),"criticada")</f>
        <v>criticada</v>
      </c>
      <c r="B12711" s="3">
        <v>0</v>
      </c>
    </row>
    <row r="12712" ht="15.75" customHeight="1" spans="1:2">
      <c r="A12712" s="3" t="str">
        <f>IFERROR(__xludf.DUMMYFUNCTION("GOOGLETRANSLATE(A12712,""en"",""pt"")"),"criticar")</f>
        <v>criticar</v>
      </c>
      <c r="B12712" s="3">
        <v>0</v>
      </c>
    </row>
    <row r="12713" ht="15.75" customHeight="1" spans="1:2">
      <c r="A12713" s="3" t="str">
        <f>IFERROR(__xludf.DUMMYFUNCTION("GOOGLETRANSLATE(A12713,""en"",""pt"")"),"críticos")</f>
        <v>críticos</v>
      </c>
      <c r="B12713" s="3">
        <v>0</v>
      </c>
    </row>
    <row r="12714" ht="15.75" customHeight="1" spans="1:2">
      <c r="A12714" s="3" t="str">
        <f>IFERROR(__xludf.DUMMYFUNCTION("GOOGLETRANSLATE(A12714,""en"",""pt"")"),"cronyism")</f>
        <v>cronyism</v>
      </c>
      <c r="B12714" s="3">
        <v>0</v>
      </c>
    </row>
    <row r="12715" ht="15.75" customHeight="1" spans="1:2">
      <c r="A12715" s="3" t="str">
        <f>IFERROR(__xludf.DUMMYFUNCTION("GOOGLETRANSLATE(A12715,""en"",""pt"")"),"trapaceiro")</f>
        <v>trapaceiro</v>
      </c>
      <c r="B12715" s="3">
        <v>0</v>
      </c>
    </row>
    <row r="12716" ht="15.75" customHeight="1" spans="1:2">
      <c r="A12716" s="3" t="str">
        <f>IFERROR(__xludf.DUMMYFUNCTION("GOOGLETRANSLATE(A12716,""en"",""pt"")"),"torto")</f>
        <v>torto</v>
      </c>
      <c r="B12716" s="3">
        <v>0</v>
      </c>
    </row>
    <row r="12717" ht="15.75" customHeight="1" spans="1:2">
      <c r="A12717" s="3" t="str">
        <f>IFERROR(__xludf.DUMMYFUNCTION("GOOGLETRANSLATE(A12717,""en"",""pt"")"),"bandidos")</f>
        <v>bandidos</v>
      </c>
      <c r="B12717" s="3">
        <v>0</v>
      </c>
    </row>
    <row r="12718" ht="15.75" customHeight="1" spans="1:2">
      <c r="A12718" s="3" t="str">
        <f>IFERROR(__xludf.DUMMYFUNCTION("GOOGLETRANSLATE(A12718,""en"",""pt"")"),"lotado")</f>
        <v>lotado</v>
      </c>
      <c r="B12718" s="3">
        <v>0</v>
      </c>
    </row>
    <row r="12719" ht="15.75" customHeight="1" spans="1:2">
      <c r="A12719" s="3" t="str">
        <f>IFERROR(__xludf.DUMMYFUNCTION("GOOGLETRANSLATE(A12719,""en"",""pt"")"),"crowdedness")</f>
        <v>crowdedness</v>
      </c>
      <c r="B12719" s="3">
        <v>0</v>
      </c>
    </row>
    <row r="12720" ht="15.75" customHeight="1" spans="1:2">
      <c r="A12720" s="3" t="str">
        <f>IFERROR(__xludf.DUMMYFUNCTION("GOOGLETRANSLATE(A12720,""en"",""pt"")"),"bruto")</f>
        <v>bruto</v>
      </c>
      <c r="B12720" s="3">
        <v>0</v>
      </c>
    </row>
    <row r="12721" ht="15.75" customHeight="1" spans="1:2">
      <c r="A12721" s="3" t="str">
        <f>IFERROR(__xludf.DUMMYFUNCTION("GOOGLETRANSLATE(A12721,""en"",""pt"")"),"cruel")</f>
        <v>cruel</v>
      </c>
      <c r="B12721" s="3">
        <v>0</v>
      </c>
    </row>
    <row r="12722" ht="15.75" customHeight="1" spans="1:2">
      <c r="A12722" s="3" t="str">
        <f>IFERROR(__xludf.DUMMYFUNCTION("GOOGLETRANSLATE(A12722,""en"",""pt"")"),"mais cruel")</f>
        <v>mais cruel</v>
      </c>
      <c r="B12722" s="3">
        <v>0</v>
      </c>
    </row>
    <row r="12723" ht="15.75" customHeight="1" spans="1:2">
      <c r="A12723" s="3" t="str">
        <f>IFERROR(__xludf.DUMMYFUNCTION("GOOGLETRANSLATE(A12723,""en"",""pt"")"),"cruelest")</f>
        <v>cruelest</v>
      </c>
      <c r="B12723" s="3">
        <v>0</v>
      </c>
    </row>
    <row r="12724" ht="15.75" customHeight="1" spans="1:2">
      <c r="A12724" s="3" t="str">
        <f>IFERROR(__xludf.DUMMYFUNCTION("GOOGLETRANSLATE(A12724,""en"",""pt"")"),"cruelmente")</f>
        <v>cruelmente</v>
      </c>
      <c r="B12724" s="3">
        <v>0</v>
      </c>
    </row>
    <row r="12725" ht="15.75" customHeight="1" spans="1:2">
      <c r="A12725" s="3" t="str">
        <f>IFERROR(__xludf.DUMMYFUNCTION("GOOGLETRANSLATE(A12725,""en"",""pt"")"),"cruelness")</f>
        <v>cruelness</v>
      </c>
      <c r="B12725" s="3">
        <v>0</v>
      </c>
    </row>
    <row r="12726" ht="15.75" customHeight="1" spans="1:2">
      <c r="A12726" s="3" t="str">
        <f>IFERROR(__xludf.DUMMYFUNCTION("GOOGLETRANSLATE(A12726,""en"",""pt"")"),"crueldades")</f>
        <v>crueldades</v>
      </c>
      <c r="B12726" s="3">
        <v>0</v>
      </c>
    </row>
    <row r="12727" ht="15.75" customHeight="1" spans="1:2">
      <c r="A12727" s="3" t="str">
        <f>IFERROR(__xludf.DUMMYFUNCTION("GOOGLETRANSLATE(A12727,""en"",""pt"")"),"crueldade")</f>
        <v>crueldade</v>
      </c>
      <c r="B12727" s="3">
        <v>0</v>
      </c>
    </row>
    <row r="12728" ht="15.75" customHeight="1" spans="1:2">
      <c r="A12728" s="3" t="str">
        <f>IFERROR(__xludf.DUMMYFUNCTION("GOOGLETRANSLATE(A12728,""en"",""pt"")"),"desmoronar")</f>
        <v>desmoronar</v>
      </c>
      <c r="B12728" s="3">
        <v>0</v>
      </c>
    </row>
    <row r="12729" ht="15.75" customHeight="1" spans="1:2">
      <c r="A12729" s="3" t="str">
        <f>IFERROR(__xludf.DUMMYFUNCTION("GOOGLETRANSLATE(A12729,""en"",""pt"")"),"desintegrando")</f>
        <v>desintegrando</v>
      </c>
      <c r="B12729" s="3">
        <v>0</v>
      </c>
    </row>
    <row r="12730" ht="15.75" customHeight="1" spans="1:2">
      <c r="A12730" s="3" t="str">
        <f>IFERROR(__xludf.DUMMYFUNCTION("GOOGLETRANSLATE(A12730,""en"",""pt"")"),"sujo")</f>
        <v>sujo</v>
      </c>
      <c r="B12730" s="3">
        <v>0</v>
      </c>
    </row>
    <row r="12731" ht="15.75" customHeight="1" spans="1:2">
      <c r="A12731" s="3" t="str">
        <f>IFERROR(__xludf.DUMMYFUNCTION("GOOGLETRANSLATE(A12731,""en"",""pt"")"),"amarrotar")</f>
        <v>amarrotar</v>
      </c>
      <c r="B12731" s="3">
        <v>0</v>
      </c>
    </row>
    <row r="12732" ht="15.75" customHeight="1" spans="1:2">
      <c r="A12732" s="3" t="str">
        <f>IFERROR(__xludf.DUMMYFUNCTION("GOOGLETRANSLATE(A12732,""en"",""pt"")"),"amassado")</f>
        <v>amassado</v>
      </c>
      <c r="B12732" s="3">
        <v>0</v>
      </c>
    </row>
    <row r="12733" ht="15.75" customHeight="1" spans="1:2">
      <c r="A12733" s="3" t="str">
        <f>IFERROR(__xludf.DUMMYFUNCTION("GOOGLETRANSLATE(A12733,""en"",""pt"")"),"crumples")</f>
        <v>crumples</v>
      </c>
      <c r="B12733" s="3">
        <v>0</v>
      </c>
    </row>
    <row r="12734" ht="15.75" customHeight="1" spans="1:2">
      <c r="A12734" s="3" t="str">
        <f>IFERROR(__xludf.DUMMYFUNCTION("GOOGLETRANSLATE(A12734,""en"",""pt"")"),"A paixão súbita")</f>
        <v>A paixão súbita</v>
      </c>
      <c r="B12734" s="3">
        <v>0</v>
      </c>
    </row>
    <row r="12735" ht="15.75" customHeight="1" spans="1:2">
      <c r="A12735" s="3" t="str">
        <f>IFERROR(__xludf.DUMMYFUNCTION("GOOGLETRANSLATE(A12735,""en"",""pt"")"),"esmagado")</f>
        <v>esmagado</v>
      </c>
      <c r="B12735" s="3">
        <v>0</v>
      </c>
    </row>
    <row r="12736" ht="15.75" customHeight="1" spans="1:2">
      <c r="A12736" s="3" t="str">
        <f>IFERROR(__xludf.DUMMYFUNCTION("GOOGLETRANSLATE(A12736,""en"",""pt"")"),"esmagador")</f>
        <v>esmagador</v>
      </c>
      <c r="B12736" s="3">
        <v>0</v>
      </c>
    </row>
    <row r="12737" ht="15.75" customHeight="1" spans="1:2">
      <c r="A12737" s="3" t="str">
        <f>IFERROR(__xludf.DUMMYFUNCTION("GOOGLETRANSLATE(A12737,""en"",""pt"")"),"chorar")</f>
        <v>chorar</v>
      </c>
      <c r="B12737" s="3">
        <v>0</v>
      </c>
    </row>
    <row r="12738" ht="15.75" customHeight="1" spans="1:2">
      <c r="A12738" s="3" t="str">
        <f>IFERROR(__xludf.DUMMYFUNCTION("GOOGLETRANSLATE(A12738,""en"",""pt"")"),"culpável")</f>
        <v>culpável</v>
      </c>
      <c r="B12738" s="3">
        <v>0</v>
      </c>
    </row>
    <row r="12739" ht="15.75" customHeight="1" spans="1:2">
      <c r="A12739" s="3" t="str">
        <f>IFERROR(__xludf.DUMMYFUNCTION("GOOGLETRANSLATE(A12739,""en"",""pt"")"),"culpado")</f>
        <v>culpado</v>
      </c>
      <c r="B12739" s="3">
        <v>0</v>
      </c>
    </row>
    <row r="12740" ht="15.75" customHeight="1" spans="1:2">
      <c r="A12740" s="3" t="str">
        <f>IFERROR(__xludf.DUMMYFUNCTION("GOOGLETRANSLATE(A12740,""en"",""pt"")"),"pesado")</f>
        <v>pesado</v>
      </c>
      <c r="B12740" s="3">
        <v>0</v>
      </c>
    </row>
    <row r="12741" ht="15.75" customHeight="1" spans="1:2">
      <c r="A12741" s="3" t="str">
        <f>IFERROR(__xludf.DUMMYFUNCTION("GOOGLETRANSLATE(A12741,""en"",""pt"")"),"cona")</f>
        <v>cona</v>
      </c>
      <c r="B12741" s="3">
        <v>0</v>
      </c>
    </row>
    <row r="12742" ht="15.75" customHeight="1" spans="1:2">
      <c r="A12742" s="3" t="str">
        <f>IFERROR(__xludf.DUMMYFUNCTION("GOOGLETRANSLATE(A12742,""en"",""pt"")"),"cunts")</f>
        <v>cunts</v>
      </c>
      <c r="B12742" s="3">
        <v>0</v>
      </c>
    </row>
    <row r="12743" ht="15.75" customHeight="1" spans="1:2">
      <c r="A12743" s="3" t="str">
        <f>IFERROR(__xludf.DUMMYFUNCTION("GOOGLETRANSLATE(A12743,""en"",""pt"")"),"cuplrit")</f>
        <v>cuplrit</v>
      </c>
      <c r="B12743" s="3">
        <v>0</v>
      </c>
    </row>
    <row r="12744" ht="15.75" customHeight="1" spans="1:2">
      <c r="A12744" s="3" t="str">
        <f>IFERROR(__xludf.DUMMYFUNCTION("GOOGLETRANSLATE(A12744,""en"",""pt"")"),"maldição")</f>
        <v>maldição</v>
      </c>
      <c r="B12744" s="3">
        <v>0</v>
      </c>
    </row>
    <row r="12745" ht="15.75" customHeight="1" spans="1:2">
      <c r="A12745" s="3" t="str">
        <f>IFERROR(__xludf.DUMMYFUNCTION("GOOGLETRANSLATE(A12745,""en"",""pt"")"),"amaldiçoado")</f>
        <v>amaldiçoado</v>
      </c>
      <c r="B12745" s="3">
        <v>0</v>
      </c>
    </row>
    <row r="12746" ht="15.75" customHeight="1" spans="1:2">
      <c r="A12746" s="3" t="str">
        <f>IFERROR(__xludf.DUMMYFUNCTION("GOOGLETRANSLATE(A12746,""en"",""pt"")"),"maldições")</f>
        <v>maldições</v>
      </c>
      <c r="B12746" s="3">
        <v>0</v>
      </c>
    </row>
    <row r="12747" ht="15.75" customHeight="1" spans="1:2">
      <c r="A12747" s="3" t="str">
        <f>IFERROR(__xludf.DUMMYFUNCTION("GOOGLETRANSLATE(A12747,""en"",""pt"")"),"brusco")</f>
        <v>brusco</v>
      </c>
      <c r="B12747" s="3">
        <v>0</v>
      </c>
    </row>
    <row r="12748" ht="15.75" customHeight="1" spans="1:2">
      <c r="A12748" s="3" t="str">
        <f>IFERROR(__xludf.DUMMYFUNCTION("GOOGLETRANSLATE(A12748,""en"",""pt"")"),"maldição")</f>
        <v>maldição</v>
      </c>
      <c r="B12748" s="3">
        <v>0</v>
      </c>
    </row>
    <row r="12749" ht="15.75" customHeight="1" spans="1:2">
      <c r="A12749" s="3" t="str">
        <f>IFERROR(__xludf.DUMMYFUNCTION("GOOGLETRANSLATE(A12749,""en"",""pt"")"),"maldito")</f>
        <v>maldito</v>
      </c>
      <c r="B12749" s="3">
        <v>0</v>
      </c>
    </row>
    <row r="12750" ht="15.75" customHeight="1" spans="1:2">
      <c r="A12750" s="3" t="str">
        <f>IFERROR(__xludf.DUMMYFUNCTION("GOOGLETRANSLATE(A12750,""en"",""pt"")"),"assassino")</f>
        <v>assassino</v>
      </c>
      <c r="B12750" s="3">
        <v>0</v>
      </c>
    </row>
    <row r="12751" ht="15.75" customHeight="1" spans="1:2">
      <c r="A12751" s="3" t="str">
        <f>IFERROR(__xludf.DUMMYFUNCTION("GOOGLETRANSLATE(A12751,""en"",""pt"")"),"cínico")</f>
        <v>cínico</v>
      </c>
      <c r="B12751" s="3">
        <v>0</v>
      </c>
    </row>
    <row r="12752" ht="15.75" customHeight="1" spans="1:2">
      <c r="A12752" s="3" t="str">
        <f>IFERROR(__xludf.DUMMYFUNCTION("GOOGLETRANSLATE(A12752,""en"",""pt"")"),"cinismo")</f>
        <v>cinismo</v>
      </c>
      <c r="B12752" s="3">
        <v>0</v>
      </c>
    </row>
    <row r="12753" ht="15.75" customHeight="1" spans="1:2">
      <c r="A12753" s="3" t="str">
        <f>IFERROR(__xludf.DUMMYFUNCTION("GOOGLETRANSLATE(A12753,""en"",""pt"")"),"d * mn")</f>
        <v>d * mn</v>
      </c>
      <c r="B12753" s="3">
        <v>0</v>
      </c>
    </row>
    <row r="12754" ht="15.75" customHeight="1" spans="1:2">
      <c r="A12754" s="3" t="str">
        <f>IFERROR(__xludf.DUMMYFUNCTION("GOOGLETRANSLATE(A12754,""en"",""pt"")"),"danificar")</f>
        <v>danificar</v>
      </c>
      <c r="B12754" s="3">
        <v>0</v>
      </c>
    </row>
    <row r="12755" ht="15.75" customHeight="1" spans="1:2">
      <c r="A12755" s="3" t="str">
        <f>IFERROR(__xludf.DUMMYFUNCTION("GOOGLETRANSLATE(A12755,""en"",""pt"")"),"estragado")</f>
        <v>estragado</v>
      </c>
      <c r="B12755" s="3">
        <v>0</v>
      </c>
    </row>
    <row r="12756" ht="15.75" customHeight="1" spans="1:2">
      <c r="A12756" s="3" t="str">
        <f>IFERROR(__xludf.DUMMYFUNCTION("GOOGLETRANSLATE(A12756,""en"",""pt"")"),"danos")</f>
        <v>danos</v>
      </c>
      <c r="B12756" s="3">
        <v>0</v>
      </c>
    </row>
    <row r="12757" ht="15.75" customHeight="1" spans="1:2">
      <c r="A12757" s="3" t="str">
        <f>IFERROR(__xludf.DUMMYFUNCTION("GOOGLETRANSLATE(A12757,""en"",""pt"")"),"danificar")</f>
        <v>danificar</v>
      </c>
      <c r="B12757" s="3">
        <v>0</v>
      </c>
    </row>
    <row r="12758" ht="15.75" customHeight="1" spans="1:2">
      <c r="A12758" s="3" t="str">
        <f>IFERROR(__xludf.DUMMYFUNCTION("GOOGLETRANSLATE(A12758,""en"",""pt"")"),"Droga")</f>
        <v>Droga</v>
      </c>
      <c r="B12758" s="3">
        <v>0</v>
      </c>
    </row>
    <row r="12759" ht="15.75" customHeight="1" spans="1:2">
      <c r="A12759" s="3" t="str">
        <f>IFERROR(__xludf.DUMMYFUNCTION("GOOGLETRANSLATE(A12759,""en"",""pt"")"),"condenável")</f>
        <v>condenável</v>
      </c>
      <c r="B12759" s="3">
        <v>0</v>
      </c>
    </row>
    <row r="12760" ht="15.75" customHeight="1" spans="1:2">
      <c r="A12760" s="3" t="str">
        <f>IFERROR(__xludf.DUMMYFUNCTION("GOOGLETRANSLATE(A12760,""en"",""pt"")"),"odiosamente")</f>
        <v>odiosamente</v>
      </c>
      <c r="B12760" s="3">
        <v>0</v>
      </c>
    </row>
    <row r="12761" ht="15.75" customHeight="1" spans="1:2">
      <c r="A12761" s="3" t="str">
        <f>IFERROR(__xludf.DUMMYFUNCTION("GOOGLETRANSLATE(A12761,""en"",""pt"")"),"condenação")</f>
        <v>condenação</v>
      </c>
      <c r="B12761" s="3">
        <v>0</v>
      </c>
    </row>
    <row r="12762" ht="15.75" customHeight="1" spans="1:2">
      <c r="A12762" s="3" t="str">
        <f>IFERROR(__xludf.DUMMYFUNCTION("GOOGLETRANSLATE(A12762,""en"",""pt"")"),"condenado")</f>
        <v>condenado</v>
      </c>
      <c r="B12762" s="3">
        <v>0</v>
      </c>
    </row>
    <row r="12763" ht="15.75" customHeight="1" spans="1:2">
      <c r="A12763" s="3" t="str">
        <f>IFERROR(__xludf.DUMMYFUNCTION("GOOGLETRANSLATE(A12763,""en"",""pt"")"),"condenatório")</f>
        <v>condenatório</v>
      </c>
      <c r="B12763" s="3">
        <v>0</v>
      </c>
    </row>
    <row r="12764" ht="15.75" customHeight="1" spans="1:2">
      <c r="A12764" s="3" t="str">
        <f>IFERROR(__xludf.DUMMYFUNCTION("GOOGLETRANSLATE(A12764,""en"",""pt"")"),"amortecedor")</f>
        <v>amortecedor</v>
      </c>
      <c r="B12764" s="3">
        <v>0</v>
      </c>
    </row>
    <row r="12765" ht="15.75" customHeight="1" spans="1:2">
      <c r="A12765" s="3" t="str">
        <f>IFERROR(__xludf.DUMMYFUNCTION("GOOGLETRANSLATE(A12765,""en"",""pt"")"),"Perigo")</f>
        <v>Perigo</v>
      </c>
      <c r="B12765" s="3">
        <v>0</v>
      </c>
    </row>
    <row r="12766" ht="15.75" customHeight="1" spans="1:2">
      <c r="A12766" s="3" t="str">
        <f>IFERROR(__xludf.DUMMYFUNCTION("GOOGLETRANSLATE(A12766,""en"",""pt"")"),"perigoso")</f>
        <v>perigoso</v>
      </c>
      <c r="B12766" s="3">
        <v>0</v>
      </c>
    </row>
    <row r="12767" ht="15.75" customHeight="1" spans="1:2">
      <c r="A12767" s="3" t="str">
        <f>IFERROR(__xludf.DUMMYFUNCTION("GOOGLETRANSLATE(A12767,""en"",""pt"")"),"periculosidade")</f>
        <v>periculosidade</v>
      </c>
      <c r="B12767" s="3">
        <v>0</v>
      </c>
    </row>
    <row r="12768" ht="15.75" customHeight="1" spans="1:2">
      <c r="A12768" s="3" t="str">
        <f>IFERROR(__xludf.DUMMYFUNCTION("GOOGLETRANSLATE(A12768,""en"",""pt"")"),"Sombrio")</f>
        <v>Sombrio</v>
      </c>
      <c r="B12768" s="3">
        <v>0</v>
      </c>
    </row>
    <row r="12769" ht="15.75" customHeight="1" spans="1:2">
      <c r="A12769" s="3" t="str">
        <f>IFERROR(__xludf.DUMMYFUNCTION("GOOGLETRANSLATE(A12769,""en"",""pt"")"),"escurecer")</f>
        <v>escurecer</v>
      </c>
      <c r="B12769" s="3">
        <v>0</v>
      </c>
    </row>
    <row r="12770" ht="15.75" customHeight="1" spans="1:2">
      <c r="A12770" s="3" t="str">
        <f>IFERROR(__xludf.DUMMYFUNCTION("GOOGLETRANSLATE(A12770,""en"",""pt"")"),"escurecido")</f>
        <v>escurecido</v>
      </c>
      <c r="B12770" s="3">
        <v>0</v>
      </c>
    </row>
    <row r="12771" ht="15.75" customHeight="1" spans="1:2">
      <c r="A12771" s="3" t="str">
        <f>IFERROR(__xludf.DUMMYFUNCTION("GOOGLETRANSLATE(A12771,""en"",""pt"")"),"mais escuro")</f>
        <v>mais escuro</v>
      </c>
      <c r="B12771" s="3">
        <v>0</v>
      </c>
    </row>
    <row r="12772" ht="15.75" customHeight="1" spans="1:2">
      <c r="A12772" s="3" t="str">
        <f>IFERROR(__xludf.DUMMYFUNCTION("GOOGLETRANSLATE(A12772,""en"",""pt"")"),"Trevas")</f>
        <v>Trevas</v>
      </c>
      <c r="B12772" s="3">
        <v>0</v>
      </c>
    </row>
    <row r="12773" ht="15.75" customHeight="1" spans="1:2">
      <c r="A12773" s="3" t="str">
        <f>IFERROR(__xludf.DUMMYFUNCTION("GOOGLETRANSLATE(A12773,""en"",""pt"")"),"covarde")</f>
        <v>covarde</v>
      </c>
      <c r="B12773" s="3">
        <v>0</v>
      </c>
    </row>
    <row r="12774" ht="15.75" customHeight="1" spans="1:2">
      <c r="A12774" s="3" t="str">
        <f>IFERROR(__xludf.DUMMYFUNCTION("GOOGLETRANSLATE(A12774,""en"",""pt"")"),"covarde")</f>
        <v>covarde</v>
      </c>
      <c r="B12774" s="3">
        <v>0</v>
      </c>
    </row>
    <row r="12775" ht="15.75" customHeight="1" spans="1:2">
      <c r="A12775" s="3" t="str">
        <f>IFERROR(__xludf.DUMMYFUNCTION("GOOGLETRANSLATE(A12775,""en"",""pt"")"),"assustar")</f>
        <v>assustar</v>
      </c>
      <c r="B12775" s="3">
        <v>0</v>
      </c>
    </row>
    <row r="12776" ht="15.75" customHeight="1" spans="1:2">
      <c r="A12776" s="3" t="str">
        <f>IFERROR(__xludf.DUMMYFUNCTION("GOOGLETRANSLATE(A12776,""en"",""pt"")"),"assustadora")</f>
        <v>assustadora</v>
      </c>
      <c r="B12776" s="3">
        <v>0</v>
      </c>
    </row>
    <row r="12777" ht="15.75" customHeight="1" spans="1:2">
      <c r="A12777" s="3" t="str">
        <f>IFERROR(__xludf.DUMMYFUNCTION("GOOGLETRANSLATE(A12777,""en"",""pt"")"),"dauntingly")</f>
        <v>dauntingly</v>
      </c>
      <c r="B12777" s="3">
        <v>0</v>
      </c>
    </row>
    <row r="12778" ht="15.75" customHeight="1" spans="1:2">
      <c r="A12778" s="3" t="str">
        <f>IFERROR(__xludf.DUMMYFUNCTION("GOOGLETRANSLATE(A12778,""en"",""pt"")"),"ociosidade")</f>
        <v>ociosidade</v>
      </c>
      <c r="B12778" s="3">
        <v>0</v>
      </c>
    </row>
    <row r="12779" ht="15.75" customHeight="1" spans="1:2">
      <c r="A12779" s="3" t="str">
        <f>IFERROR(__xludf.DUMMYFUNCTION("GOOGLETRANSLATE(A12779,""en"",""pt"")"),"torpor")</f>
        <v>torpor</v>
      </c>
      <c r="B12779" s="3">
        <v>0</v>
      </c>
    </row>
    <row r="12780" ht="15.75" customHeight="1" spans="1:2">
      <c r="A12780" s="3" t="str">
        <f>IFERROR(__xludf.DUMMYFUNCTION("GOOGLETRANSLATE(A12780,""en"",""pt"")"),"atordoado")</f>
        <v>atordoado</v>
      </c>
      <c r="B12780" s="3">
        <v>0</v>
      </c>
    </row>
    <row r="12781" ht="15.75" customHeight="1" spans="1:2">
      <c r="A12781" s="3" t="str">
        <f>IFERROR(__xludf.DUMMYFUNCTION("GOOGLETRANSLATE(A12781,""en"",""pt"")"),"morto")</f>
        <v>morto</v>
      </c>
      <c r="B12781" s="3">
        <v>0</v>
      </c>
    </row>
    <row r="12782" ht="15.75" customHeight="1" spans="1:2">
      <c r="A12782" s="3" t="str">
        <f>IFERROR(__xludf.DUMMYFUNCTION("GOOGLETRANSLATE(A12782,""en"",""pt"")"),"caloteiro")</f>
        <v>caloteiro</v>
      </c>
      <c r="B12782" s="3">
        <v>0</v>
      </c>
    </row>
    <row r="12783" ht="15.75" customHeight="1" spans="1:2">
      <c r="A12783" s="3" t="str">
        <f>IFERROR(__xludf.DUMMYFUNCTION("GOOGLETRANSLATE(A12783,""en"",""pt"")"),"impasse")</f>
        <v>impasse</v>
      </c>
      <c r="B12783" s="3">
        <v>0</v>
      </c>
    </row>
    <row r="12784" ht="15.75" customHeight="1" spans="1:2">
      <c r="A12784" s="3" t="str">
        <f>IFERROR(__xludf.DUMMYFUNCTION("GOOGLETRANSLATE(A12784,""en"",""pt"")"),"mortal")</f>
        <v>mortal</v>
      </c>
      <c r="B12784" s="3">
        <v>0</v>
      </c>
    </row>
    <row r="12785" ht="15.75" customHeight="1" spans="1:2">
      <c r="A12785" s="3" t="str">
        <f>IFERROR(__xludf.DUMMYFUNCTION("GOOGLETRANSLATE(A12785,""en"",""pt"")"),"peso morto")</f>
        <v>peso morto</v>
      </c>
      <c r="B12785" s="3">
        <v>0</v>
      </c>
    </row>
    <row r="12786" ht="15.75" customHeight="1" spans="1:2">
      <c r="A12786" s="3" t="str">
        <f>IFERROR(__xludf.DUMMYFUNCTION("GOOGLETRANSLATE(A12786,""en"",""pt"")"),"surdo")</f>
        <v>surdo</v>
      </c>
      <c r="B12786" s="3">
        <v>0</v>
      </c>
    </row>
    <row r="12787" ht="15.75" customHeight="1" spans="1:2">
      <c r="A12787" s="3" t="str">
        <f>IFERROR(__xludf.DUMMYFUNCTION("GOOGLETRANSLATE(A12787,""en"",""pt"")"),"escassez")</f>
        <v>escassez</v>
      </c>
      <c r="B12787" s="3">
        <v>0</v>
      </c>
    </row>
    <row r="12788" ht="15.75" customHeight="1" spans="1:2">
      <c r="A12788" s="3" t="str">
        <f>IFERROR(__xludf.DUMMYFUNCTION("GOOGLETRANSLATE(A12788,""en"",""pt"")"),"morte")</f>
        <v>morte</v>
      </c>
      <c r="B12788" s="3">
        <v>0</v>
      </c>
    </row>
    <row r="12789" ht="15.75" customHeight="1" spans="1:2">
      <c r="A12789" s="3" t="str">
        <f>IFERROR(__xludf.DUMMYFUNCTION("GOOGLETRANSLATE(A12789,""en"",""pt"")"),"desastre")</f>
        <v>desastre</v>
      </c>
      <c r="B12789" s="3">
        <v>0</v>
      </c>
    </row>
    <row r="12790" ht="15.75" customHeight="1" spans="1:2">
      <c r="A12790" s="3" t="str">
        <f>IFERROR(__xludf.DUMMYFUNCTION("GOOGLETRANSLATE(A12790,""en"",""pt"")"),"aviltar")</f>
        <v>aviltar</v>
      </c>
      <c r="B12790" s="3">
        <v>0</v>
      </c>
    </row>
    <row r="12791" ht="15.75" customHeight="1" spans="1:2">
      <c r="A12791" s="3" t="str">
        <f>IFERROR(__xludf.DUMMYFUNCTION("GOOGLETRANSLATE(A12791,""en"",""pt"")"),"aviltamento")</f>
        <v>aviltamento</v>
      </c>
      <c r="B12791" s="3">
        <v>0</v>
      </c>
    </row>
    <row r="12792" ht="15.75" customHeight="1" spans="1:2">
      <c r="A12792" s="3" t="str">
        <f>IFERROR(__xludf.DUMMYFUNCTION("GOOGLETRANSLATE(A12792,""en"",""pt"")"),"debaser")</f>
        <v>debaser</v>
      </c>
      <c r="B12792" s="3">
        <v>0</v>
      </c>
    </row>
    <row r="12793" ht="15.75" customHeight="1" spans="1:2">
      <c r="A12793" s="3" t="str">
        <f>IFERROR(__xludf.DUMMYFUNCTION("GOOGLETRANSLATE(A12793,""en"",""pt"")"),"discutível")</f>
        <v>discutível</v>
      </c>
      <c r="B12793" s="3">
        <v>0</v>
      </c>
    </row>
    <row r="12794" ht="15.75" customHeight="1" spans="1:2">
      <c r="A12794" s="3" t="str">
        <f>IFERROR(__xludf.DUMMYFUNCTION("GOOGLETRANSLATE(A12794,""en"",""pt"")"),"deboche")</f>
        <v>deboche</v>
      </c>
      <c r="B12794" s="3">
        <v>0</v>
      </c>
    </row>
    <row r="12795" ht="15.75" customHeight="1" spans="1:2">
      <c r="A12795" s="3" t="str">
        <f>IFERROR(__xludf.DUMMYFUNCTION("GOOGLETRANSLATE(A12795,""en"",""pt"")"),"devasso")</f>
        <v>devasso</v>
      </c>
      <c r="B12795" s="3">
        <v>0</v>
      </c>
    </row>
    <row r="12796" ht="15.75" customHeight="1" spans="1:2">
      <c r="A12796" s="3" t="str">
        <f>IFERROR(__xludf.DUMMYFUNCTION("GOOGLETRANSLATE(A12796,""en"",""pt"")"),"deboche")</f>
        <v>deboche</v>
      </c>
      <c r="B12796" s="3">
        <v>0</v>
      </c>
    </row>
    <row r="12797" ht="15.75" customHeight="1" spans="1:2">
      <c r="A12797" s="3" t="str">
        <f>IFERROR(__xludf.DUMMYFUNCTION("GOOGLETRANSLATE(A12797,""en"",""pt"")"),"debilitar")</f>
        <v>debilitar</v>
      </c>
      <c r="B12797" s="3">
        <v>0</v>
      </c>
    </row>
    <row r="12798" ht="15.75" customHeight="1" spans="1:2">
      <c r="A12798" s="3" t="str">
        <f>IFERROR(__xludf.DUMMYFUNCTION("GOOGLETRANSLATE(A12798,""en"",""pt"")"),"debilitante")</f>
        <v>debilitante</v>
      </c>
      <c r="B12798" s="3">
        <v>0</v>
      </c>
    </row>
    <row r="12799" ht="15.75" customHeight="1" spans="1:2">
      <c r="A12799" s="3" t="str">
        <f>IFERROR(__xludf.DUMMYFUNCTION("GOOGLETRANSLATE(A12799,""en"",""pt"")"),"debilidade")</f>
        <v>debilidade</v>
      </c>
      <c r="B12799" s="3">
        <v>0</v>
      </c>
    </row>
    <row r="12800" ht="15.75" customHeight="1" spans="1:2">
      <c r="A12800" s="3" t="str">
        <f>IFERROR(__xludf.DUMMYFUNCTION("GOOGLETRANSLATE(A12800,""en"",""pt"")"),"dívida")</f>
        <v>dívida</v>
      </c>
      <c r="B12800" s="3">
        <v>0</v>
      </c>
    </row>
    <row r="12801" ht="15.75" customHeight="1" spans="1:2">
      <c r="A12801" s="3" t="str">
        <f>IFERROR(__xludf.DUMMYFUNCTION("GOOGLETRANSLATE(A12801,""en"",""pt"")"),"dívidas")</f>
        <v>dívidas</v>
      </c>
      <c r="B12801" s="3">
        <v>0</v>
      </c>
    </row>
    <row r="12802" ht="15.75" customHeight="1" spans="1:2">
      <c r="A12802" s="3" t="str">
        <f>IFERROR(__xludf.DUMMYFUNCTION("GOOGLETRANSLATE(A12802,""en"",""pt"")"),"decadência")</f>
        <v>decadência</v>
      </c>
      <c r="B12802" s="3">
        <v>0</v>
      </c>
    </row>
    <row r="12803" ht="15.75" customHeight="1" spans="1:2">
      <c r="A12803" s="3" t="str">
        <f>IFERROR(__xludf.DUMMYFUNCTION("GOOGLETRANSLATE(A12803,""en"",""pt"")"),"decadente")</f>
        <v>decadente</v>
      </c>
      <c r="B12803" s="3">
        <v>0</v>
      </c>
    </row>
    <row r="12804" ht="15.75" customHeight="1" spans="1:2">
      <c r="A12804" s="3" t="str">
        <f>IFERROR(__xludf.DUMMYFUNCTION("GOOGLETRANSLATE(A12804,""en"",""pt"")"),"decair")</f>
        <v>decair</v>
      </c>
      <c r="B12804" s="3">
        <v>0</v>
      </c>
    </row>
    <row r="12805" ht="15.75" customHeight="1" spans="1:2">
      <c r="A12805" s="3" t="str">
        <f>IFERROR(__xludf.DUMMYFUNCTION("GOOGLETRANSLATE(A12805,""en"",""pt"")"),"cariado")</f>
        <v>cariado</v>
      </c>
      <c r="B12805" s="3">
        <v>0</v>
      </c>
    </row>
    <row r="12806" ht="15.75" customHeight="1" spans="1:2">
      <c r="A12806" s="3" t="str">
        <f>IFERROR(__xludf.DUMMYFUNCTION("GOOGLETRANSLATE(A12806,""en"",""pt"")"),"engano")</f>
        <v>engano</v>
      </c>
      <c r="B12806" s="3">
        <v>0</v>
      </c>
    </row>
    <row r="12807" ht="15.75" customHeight="1" spans="1:2">
      <c r="A12807" s="3" t="str">
        <f>IFERROR(__xludf.DUMMYFUNCTION("GOOGLETRANSLATE(A12807,""en"",""pt"")"),"enganador")</f>
        <v>enganador</v>
      </c>
      <c r="B12807" s="3">
        <v>0</v>
      </c>
    </row>
    <row r="12808" ht="15.75" customHeight="1" spans="1:2">
      <c r="A12808" s="3" t="str">
        <f>IFERROR(__xludf.DUMMYFUNCTION("GOOGLETRANSLATE(A12808,""en"",""pt"")"),"enganosamente")</f>
        <v>enganosamente</v>
      </c>
      <c r="B12808" s="3">
        <v>0</v>
      </c>
    </row>
    <row r="12809" ht="15.75" customHeight="1" spans="1:2">
      <c r="A12809" s="3" t="str">
        <f>IFERROR(__xludf.DUMMYFUNCTION("GOOGLETRANSLATE(A12809,""en"",""pt"")"),"sedução")</f>
        <v>sedução</v>
      </c>
      <c r="B12809" s="3">
        <v>0</v>
      </c>
    </row>
    <row r="12810" ht="15.75" customHeight="1" spans="1:2">
      <c r="A12810" s="3" t="str">
        <f>IFERROR(__xludf.DUMMYFUNCTION("GOOGLETRANSLATE(A12810,""en"",""pt"")"),"enganar")</f>
        <v>enganar</v>
      </c>
      <c r="B12810" s="3">
        <v>0</v>
      </c>
    </row>
    <row r="12811" ht="15.75" customHeight="1" spans="1:2">
      <c r="A12811" s="3" t="str">
        <f>IFERROR(__xludf.DUMMYFUNCTION("GOOGLETRANSLATE(A12811,""en"",""pt"")"),"enganador")</f>
        <v>enganador</v>
      </c>
      <c r="B12811" s="3">
        <v>0</v>
      </c>
    </row>
    <row r="12812" ht="15.75" customHeight="1" spans="1:2">
      <c r="A12812" s="3" t="str">
        <f>IFERROR(__xludf.DUMMYFUNCTION("GOOGLETRANSLATE(A12812,""en"",""pt"")"),"enganadores")</f>
        <v>enganadores</v>
      </c>
      <c r="B12812" s="3">
        <v>0</v>
      </c>
    </row>
    <row r="12813" ht="15.75" customHeight="1" spans="1:2">
      <c r="A12813" s="3" t="str">
        <f>IFERROR(__xludf.DUMMYFUNCTION("GOOGLETRANSLATE(A12813,""en"",""pt"")"),"enganando")</f>
        <v>enganando</v>
      </c>
      <c r="B12813" s="3">
        <v>0</v>
      </c>
    </row>
    <row r="12814" ht="15.75" customHeight="1" spans="1:2">
      <c r="A12814" s="3" t="str">
        <f>IFERROR(__xludf.DUMMYFUNCTION("GOOGLETRANSLATE(A12814,""en"",""pt"")"),"decepção")</f>
        <v>decepção</v>
      </c>
      <c r="B12814" s="3">
        <v>0</v>
      </c>
    </row>
    <row r="12815" ht="15.75" customHeight="1" spans="1:2">
      <c r="A12815" s="3" t="str">
        <f>IFERROR(__xludf.DUMMYFUNCTION("GOOGLETRANSLATE(A12815,""en"",""pt"")"),"enganoso")</f>
        <v>enganoso</v>
      </c>
      <c r="B12815" s="3">
        <v>0</v>
      </c>
    </row>
    <row r="12816" ht="15.75" customHeight="1" spans="1:2">
      <c r="A12816" s="3" t="str">
        <f>IFERROR(__xludf.DUMMYFUNCTION("GOOGLETRANSLATE(A12816,""en"",""pt"")"),"enganosamente")</f>
        <v>enganosamente</v>
      </c>
      <c r="B12816" s="3">
        <v>0</v>
      </c>
    </row>
    <row r="12817" ht="15.75" customHeight="1" spans="1:2">
      <c r="A12817" s="3" t="str">
        <f>IFERROR(__xludf.DUMMYFUNCTION("GOOGLETRANSLATE(A12817,""en"",""pt"")"),"declamar")</f>
        <v>declamar</v>
      </c>
      <c r="B12817" s="3">
        <v>0</v>
      </c>
    </row>
    <row r="12818" ht="15.75" customHeight="1" spans="1:2">
      <c r="A12818" s="3" t="str">
        <f>IFERROR(__xludf.DUMMYFUNCTION("GOOGLETRANSLATE(A12818,""en"",""pt"")"),"declínio")</f>
        <v>declínio</v>
      </c>
      <c r="B12818" s="3">
        <v>0</v>
      </c>
    </row>
    <row r="12819" ht="15.75" customHeight="1" spans="1:2">
      <c r="A12819" s="3" t="str">
        <f>IFERROR(__xludf.DUMMYFUNCTION("GOOGLETRANSLATE(A12819,""en"",""pt"")"),"declínios")</f>
        <v>declínios</v>
      </c>
      <c r="B12819" s="3">
        <v>0</v>
      </c>
    </row>
    <row r="12820" ht="15.75" customHeight="1" spans="1:2">
      <c r="A12820" s="3" t="str">
        <f>IFERROR(__xludf.DUMMYFUNCTION("GOOGLETRANSLATE(A12820,""en"",""pt"")"),"declinante")</f>
        <v>declinante</v>
      </c>
      <c r="B12820" s="3">
        <v>0</v>
      </c>
    </row>
    <row r="12821" ht="15.75" customHeight="1" spans="1:2">
      <c r="A12821" s="3" t="str">
        <f>IFERROR(__xludf.DUMMYFUNCTION("GOOGLETRANSLATE(A12821,""en"",""pt"")"),"diminuição")</f>
        <v>diminuição</v>
      </c>
      <c r="B12821" s="3">
        <v>0</v>
      </c>
    </row>
    <row r="12822" ht="15.75" customHeight="1" spans="1:2">
      <c r="A12822" s="3" t="str">
        <f>IFERROR(__xludf.DUMMYFUNCTION("GOOGLETRANSLATE(A12822,""en"",""pt"")"),"decrépito")</f>
        <v>decrépito</v>
      </c>
      <c r="B12822" s="3">
        <v>0</v>
      </c>
    </row>
    <row r="12823" ht="15.75" customHeight="1" spans="1:2">
      <c r="A12823" s="3" t="str">
        <f>IFERROR(__xludf.DUMMYFUNCTION("GOOGLETRANSLATE(A12823,""en"",""pt"")"),"decrepitude")</f>
        <v>decrepitude</v>
      </c>
      <c r="B12823" s="3">
        <v>0</v>
      </c>
    </row>
    <row r="12824" ht="15.75" customHeight="1" spans="1:2">
      <c r="A12824" s="3" t="str">
        <f>IFERROR(__xludf.DUMMYFUNCTION("GOOGLETRANSLATE(A12824,""en"",""pt"")"),"decry")</f>
        <v>decry</v>
      </c>
      <c r="B12824" s="3">
        <v>0</v>
      </c>
    </row>
    <row r="12825" ht="15.75" customHeight="1" spans="1:2">
      <c r="A12825" s="3" t="str">
        <f>IFERROR(__xludf.DUMMYFUNCTION("GOOGLETRANSLATE(A12825,""en"",""pt"")"),"difamação")</f>
        <v>difamação</v>
      </c>
      <c r="B12825" s="3">
        <v>0</v>
      </c>
    </row>
    <row r="12826" ht="15.75" customHeight="1" spans="1:2">
      <c r="A12826" s="3" t="str">
        <f>IFERROR(__xludf.DUMMYFUNCTION("GOOGLETRANSLATE(A12826,""en"",""pt"")"),"difamações")</f>
        <v>difamações</v>
      </c>
      <c r="B12826" s="3">
        <v>0</v>
      </c>
    </row>
    <row r="12827" ht="15.75" customHeight="1" spans="1:2">
      <c r="A12827" s="3" t="str">
        <f>IFERROR(__xludf.DUMMYFUNCTION("GOOGLETRANSLATE(A12827,""en"",""pt"")"),"difamatório")</f>
        <v>difamatório</v>
      </c>
      <c r="B12827" s="3">
        <v>0</v>
      </c>
    </row>
    <row r="12828" ht="15.75" customHeight="1" spans="1:2">
      <c r="A12828" s="3" t="str">
        <f>IFERROR(__xludf.DUMMYFUNCTION("GOOGLETRANSLATE(A12828,""en"",""pt"")"),"difamar")</f>
        <v>difamar</v>
      </c>
      <c r="B12828" s="3">
        <v>0</v>
      </c>
    </row>
    <row r="12829" ht="15.75" customHeight="1" spans="1:2">
      <c r="A12829" s="3" t="str">
        <f>IFERROR(__xludf.DUMMYFUNCTION("GOOGLETRANSLATE(A12829,""en"",""pt"")"),"defeito")</f>
        <v>defeito</v>
      </c>
      <c r="B12829" s="3">
        <v>0</v>
      </c>
    </row>
    <row r="12830" ht="15.75" customHeight="1" spans="1:2">
      <c r="A12830" s="3" t="str">
        <f>IFERROR(__xludf.DUMMYFUNCTION("GOOGLETRANSLATE(A12830,""en"",""pt"")"),"defeituoso")</f>
        <v>defeituoso</v>
      </c>
      <c r="B12830" s="3">
        <v>0</v>
      </c>
    </row>
    <row r="12831" ht="15.75" customHeight="1" spans="1:2">
      <c r="A12831" s="3" t="str">
        <f>IFERROR(__xludf.DUMMYFUNCTION("GOOGLETRANSLATE(A12831,""en"",""pt"")"),"defeitos")</f>
        <v>defeitos</v>
      </c>
      <c r="B12831" s="3">
        <v>0</v>
      </c>
    </row>
    <row r="12832" ht="15.75" customHeight="1" spans="1:2">
      <c r="A12832" s="3" t="str">
        <f>IFERROR(__xludf.DUMMYFUNCTION("GOOGLETRANSLATE(A12832,""en"",""pt"")"),"defensiva")</f>
        <v>defensiva</v>
      </c>
      <c r="B12832" s="3">
        <v>0</v>
      </c>
    </row>
    <row r="12833" ht="15.75" customHeight="1" spans="1:2">
      <c r="A12833" s="3" t="str">
        <f>IFERROR(__xludf.DUMMYFUNCTION("GOOGLETRANSLATE(A12833,""en"",""pt"")"),"desafio")</f>
        <v>desafio</v>
      </c>
      <c r="B12833" s="3">
        <v>0</v>
      </c>
    </row>
    <row r="12834" ht="15.75" customHeight="1" spans="1:2">
      <c r="A12834" s="3" t="str">
        <f>IFERROR(__xludf.DUMMYFUNCTION("GOOGLETRANSLATE(A12834,""en"",""pt"")"),"desafiador")</f>
        <v>desafiador</v>
      </c>
      <c r="B12834" s="3">
        <v>0</v>
      </c>
    </row>
    <row r="12835" ht="15.75" customHeight="1" spans="1:2">
      <c r="A12835" s="3" t="str">
        <f>IFERROR(__xludf.DUMMYFUNCTION("GOOGLETRANSLATE(A12835,""en"",""pt"")"),"desafiadoramente")</f>
        <v>desafiadoramente</v>
      </c>
      <c r="B12835" s="3">
        <v>0</v>
      </c>
    </row>
    <row r="12836" ht="15.75" customHeight="1" spans="1:2">
      <c r="A12836" s="3" t="str">
        <f>IFERROR(__xludf.DUMMYFUNCTION("GOOGLETRANSLATE(A12836,""en"",""pt"")"),"deficiências")</f>
        <v>deficiências</v>
      </c>
      <c r="B12836" s="3">
        <v>0</v>
      </c>
    </row>
    <row r="12837" ht="15.75" customHeight="1" spans="1:2">
      <c r="A12837" s="3" t="str">
        <f>IFERROR(__xludf.DUMMYFUNCTION("GOOGLETRANSLATE(A12837,""en"",""pt"")"),"deficiência")</f>
        <v>deficiência</v>
      </c>
      <c r="B12837" s="3">
        <v>0</v>
      </c>
    </row>
    <row r="12838" ht="15.75" customHeight="1" spans="1:2">
      <c r="A12838" s="3" t="str">
        <f>IFERROR(__xludf.DUMMYFUNCTION("GOOGLETRANSLATE(A12838,""en"",""pt"")"),"deficiente")</f>
        <v>deficiente</v>
      </c>
      <c r="B12838" s="3">
        <v>0</v>
      </c>
    </row>
    <row r="12839" ht="15.75" customHeight="1" spans="1:2">
      <c r="A12839" s="3" t="str">
        <f>IFERROR(__xludf.DUMMYFUNCTION("GOOGLETRANSLATE(A12839,""en"",""pt"")"),"desfiladeiro")</f>
        <v>desfiladeiro</v>
      </c>
      <c r="B12839" s="3">
        <v>0</v>
      </c>
    </row>
    <row r="12840" ht="15.75" customHeight="1" spans="1:2">
      <c r="A12840" s="3" t="str">
        <f>IFERROR(__xludf.DUMMYFUNCTION("GOOGLETRANSLATE(A12840,""en"",""pt"")"),"profanador")</f>
        <v>profanador</v>
      </c>
      <c r="B12840" s="3">
        <v>0</v>
      </c>
    </row>
    <row r="12841" ht="15.75" customHeight="1" spans="1:2">
      <c r="A12841" s="3" t="str">
        <f>IFERROR(__xludf.DUMMYFUNCTION("GOOGLETRANSLATE(A12841,""en"",""pt"")"),"deformar")</f>
        <v>deformar</v>
      </c>
      <c r="B12841" s="3">
        <v>0</v>
      </c>
    </row>
    <row r="12842" ht="15.75" customHeight="1" spans="1:2">
      <c r="A12842" s="3" t="str">
        <f>IFERROR(__xludf.DUMMYFUNCTION("GOOGLETRANSLATE(A12842,""en"",""pt"")"),"deformado")</f>
        <v>deformado</v>
      </c>
      <c r="B12842" s="3">
        <v>0</v>
      </c>
    </row>
    <row r="12843" ht="15.75" customHeight="1" spans="1:2">
      <c r="A12843" s="3" t="str">
        <f>IFERROR(__xludf.DUMMYFUNCTION("GOOGLETRANSLATE(A12843,""en"",""pt"")"),"defraudar")</f>
        <v>defraudar</v>
      </c>
      <c r="B12843" s="3">
        <v>0</v>
      </c>
    </row>
    <row r="12844" ht="15.75" customHeight="1" spans="1:2">
      <c r="A12844" s="3" t="str">
        <f>IFERROR(__xludf.DUMMYFUNCTION("GOOGLETRANSLATE(A12844,""en"",""pt"")"),"defunto")</f>
        <v>defunto</v>
      </c>
      <c r="B12844" s="3">
        <v>0</v>
      </c>
    </row>
    <row r="12845" ht="15.75" customHeight="1" spans="1:2">
      <c r="A12845" s="3" t="str">
        <f>IFERROR(__xludf.DUMMYFUNCTION("GOOGLETRANSLATE(A12845,""en"",""pt"")"),"desafiar")</f>
        <v>desafiar</v>
      </c>
      <c r="B12845" s="3">
        <v>0</v>
      </c>
    </row>
    <row r="12846" ht="15.75" customHeight="1" spans="1:2">
      <c r="A12846" s="3" t="str">
        <f>IFERROR(__xludf.DUMMYFUNCTION("GOOGLETRANSLATE(A12846,""en"",""pt"")"),"degenerar")</f>
        <v>degenerar</v>
      </c>
      <c r="B12846" s="3">
        <v>0</v>
      </c>
    </row>
    <row r="12847" ht="15.75" customHeight="1" spans="1:2">
      <c r="A12847" s="3" t="str">
        <f>IFERROR(__xludf.DUMMYFUNCTION("GOOGLETRANSLATE(A12847,""en"",""pt"")"),"degenerately")</f>
        <v>degenerately</v>
      </c>
      <c r="B12847" s="3">
        <v>0</v>
      </c>
    </row>
    <row r="12848" ht="15.75" customHeight="1" spans="1:2">
      <c r="A12848" s="3" t="str">
        <f>IFERROR(__xludf.DUMMYFUNCTION("GOOGLETRANSLATE(A12848,""en"",""pt"")"),"degeneração")</f>
        <v>degeneração</v>
      </c>
      <c r="B12848" s="3">
        <v>0</v>
      </c>
    </row>
    <row r="12849" ht="15.75" customHeight="1" spans="1:2">
      <c r="A12849" s="3" t="str">
        <f>IFERROR(__xludf.DUMMYFUNCTION("GOOGLETRANSLATE(A12849,""en"",""pt"")"),"degradação")</f>
        <v>degradação</v>
      </c>
      <c r="B12849" s="3">
        <v>0</v>
      </c>
    </row>
    <row r="12850" ht="15.75" customHeight="1" spans="1:2">
      <c r="A12850" s="3" t="str">
        <f>IFERROR(__xludf.DUMMYFUNCTION("GOOGLETRANSLATE(A12850,""en"",""pt"")"),"degradar")</f>
        <v>degradar</v>
      </c>
      <c r="B12850" s="3">
        <v>0</v>
      </c>
    </row>
    <row r="12851" ht="15.75" customHeight="1" spans="1:2">
      <c r="A12851" s="3" t="str">
        <f>IFERROR(__xludf.DUMMYFUNCTION("GOOGLETRANSLATE(A12851,""en"",""pt"")"),"aviltante")</f>
        <v>aviltante</v>
      </c>
      <c r="B12851" s="3">
        <v>0</v>
      </c>
    </row>
    <row r="12852" ht="15.75" customHeight="1" spans="1:2">
      <c r="A12852" s="3" t="str">
        <f>IFERROR(__xludf.DUMMYFUNCTION("GOOGLETRANSLATE(A12852,""en"",""pt"")"),"intuito de degradar")</f>
        <v>intuito de degradar</v>
      </c>
      <c r="B12852" s="3">
        <v>0</v>
      </c>
    </row>
    <row r="12853" ht="15.75" customHeight="1" spans="1:2">
      <c r="A12853" s="3" t="str">
        <f>IFERROR(__xludf.DUMMYFUNCTION("GOOGLETRANSLATE(A12853,""en"",""pt"")"),"desumanização")</f>
        <v>desumanização</v>
      </c>
      <c r="B12853" s="3">
        <v>0</v>
      </c>
    </row>
    <row r="12854" ht="15.75" customHeight="1" spans="1:2">
      <c r="A12854" s="3" t="str">
        <f>IFERROR(__xludf.DUMMYFUNCTION("GOOGLETRANSLATE(A12854,""en"",""pt"")"),"desumanizar")</f>
        <v>desumanizar</v>
      </c>
      <c r="B12854" s="3">
        <v>0</v>
      </c>
    </row>
    <row r="12855" ht="15.75" customHeight="1" spans="1:2">
      <c r="A12855" s="3" t="str">
        <f>IFERROR(__xludf.DUMMYFUNCTION("GOOGLETRANSLATE(A12855,""en"",""pt"")"),"deign")</f>
        <v>deign</v>
      </c>
      <c r="B12855" s="3">
        <v>0</v>
      </c>
    </row>
    <row r="12856" ht="15.75" customHeight="1" spans="1:2">
      <c r="A12856" s="3" t="str">
        <f>IFERROR(__xludf.DUMMYFUNCTION("GOOGLETRANSLATE(A12856,""en"",""pt"")"),"deprimir")</f>
        <v>deprimir</v>
      </c>
      <c r="B12856" s="3">
        <v>0</v>
      </c>
    </row>
    <row r="12857" ht="15.75" customHeight="1" spans="1:2">
      <c r="A12857" s="3" t="str">
        <f>IFERROR(__xludf.DUMMYFUNCTION("GOOGLETRANSLATE(A12857,""en"",""pt"")"),"abatido")</f>
        <v>abatido</v>
      </c>
      <c r="B12857" s="3">
        <v>0</v>
      </c>
    </row>
    <row r="12858" ht="15.75" customHeight="1" spans="1:2">
      <c r="A12858" s="3" t="str">
        <f>IFERROR(__xludf.DUMMYFUNCTION("GOOGLETRANSLATE(A12858,""en"",""pt"")"),"dejectedly")</f>
        <v>dejectedly</v>
      </c>
      <c r="B12858" s="3">
        <v>0</v>
      </c>
    </row>
    <row r="12859" ht="15.75" customHeight="1" spans="1:2">
      <c r="A12859" s="3" t="str">
        <f>IFERROR(__xludf.DUMMYFUNCTION("GOOGLETRANSLATE(A12859,""en"",""pt"")"),"abatimento")</f>
        <v>abatimento</v>
      </c>
      <c r="B12859" s="3">
        <v>0</v>
      </c>
    </row>
    <row r="12860" ht="15.75" customHeight="1" spans="1:2">
      <c r="A12860" s="3" t="str">
        <f>IFERROR(__xludf.DUMMYFUNCTION("GOOGLETRANSLATE(A12860,""en"",""pt"")"),"demora")</f>
        <v>demora</v>
      </c>
      <c r="B12860" s="3">
        <v>0</v>
      </c>
    </row>
    <row r="12861" ht="15.75" customHeight="1" spans="1:2">
      <c r="A12861" s="3" t="str">
        <f>IFERROR(__xludf.DUMMYFUNCTION("GOOGLETRANSLATE(A12861,""en"",""pt"")"),"atrasado")</f>
        <v>atrasado</v>
      </c>
      <c r="B12861" s="3">
        <v>0</v>
      </c>
    </row>
    <row r="12862" ht="15.75" customHeight="1" spans="1:2">
      <c r="A12862" s="3" t="str">
        <f>IFERROR(__xludf.DUMMYFUNCTION("GOOGLETRANSLATE(A12862,""en"",""pt"")"),"dilatória")</f>
        <v>dilatória</v>
      </c>
      <c r="B12862" s="3">
        <v>0</v>
      </c>
    </row>
    <row r="12863" ht="15.75" customHeight="1" spans="1:2">
      <c r="A12863" s="3" t="str">
        <f>IFERROR(__xludf.DUMMYFUNCTION("GOOGLETRANSLATE(A12863,""en"",""pt"")"),"atrasos")</f>
        <v>atrasos</v>
      </c>
      <c r="B12863" s="3">
        <v>0</v>
      </c>
    </row>
    <row r="12864" ht="15.75" customHeight="1" spans="1:2">
      <c r="A12864" s="3" t="str">
        <f>IFERROR(__xludf.DUMMYFUNCTION("GOOGLETRANSLATE(A12864,""en"",""pt"")"),"delinquência")</f>
        <v>delinquência</v>
      </c>
      <c r="B12864" s="3">
        <v>0</v>
      </c>
    </row>
    <row r="12865" ht="15.75" customHeight="1" spans="1:2">
      <c r="A12865" s="3" t="str">
        <f>IFERROR(__xludf.DUMMYFUNCTION("GOOGLETRANSLATE(A12865,""en"",""pt"")"),"delinquente")</f>
        <v>delinquente</v>
      </c>
      <c r="B12865" s="3">
        <v>0</v>
      </c>
    </row>
    <row r="12866" ht="15.75" customHeight="1" spans="1:2">
      <c r="A12866" s="3" t="str">
        <f>IFERROR(__xludf.DUMMYFUNCTION("GOOGLETRANSLATE(A12866,""en"",""pt"")"),"delirante")</f>
        <v>delirante</v>
      </c>
      <c r="B12866" s="3">
        <v>0</v>
      </c>
    </row>
    <row r="12867" ht="15.75" customHeight="1" spans="1:2">
      <c r="A12867" s="3" t="str">
        <f>IFERROR(__xludf.DUMMYFUNCTION("GOOGLETRANSLATE(A12867,""en"",""pt"")"),"delírio")</f>
        <v>delírio</v>
      </c>
      <c r="B12867" s="3">
        <v>0</v>
      </c>
    </row>
    <row r="12868" ht="15.75" customHeight="1" spans="1:2">
      <c r="A12868" s="3" t="str">
        <f>IFERROR(__xludf.DUMMYFUNCTION("GOOGLETRANSLATE(A12868,""en"",""pt"")"),"iludir")</f>
        <v>iludir</v>
      </c>
      <c r="B12868" s="3">
        <v>0</v>
      </c>
    </row>
    <row r="12869" ht="15.75" customHeight="1" spans="1:2">
      <c r="A12869" s="3" t="str">
        <f>IFERROR(__xludf.DUMMYFUNCTION("GOOGLETRANSLATE(A12869,""en"",""pt"")"),"iludida")</f>
        <v>iludida</v>
      </c>
      <c r="B12869" s="3">
        <v>0</v>
      </c>
    </row>
    <row r="12870" ht="15.75" customHeight="1" spans="1:2">
      <c r="A12870" s="3" t="str">
        <f>IFERROR(__xludf.DUMMYFUNCTION("GOOGLETRANSLATE(A12870,""en"",""pt"")"),"dilúvio")</f>
        <v>dilúvio</v>
      </c>
      <c r="B12870" s="3">
        <v>0</v>
      </c>
    </row>
    <row r="12871" ht="15.75" customHeight="1" spans="1:2">
      <c r="A12871" s="3" t="str">
        <f>IFERROR(__xludf.DUMMYFUNCTION("GOOGLETRANSLATE(A12871,""en"",""pt"")"),"ilusão")</f>
        <v>ilusão</v>
      </c>
      <c r="B12871" s="3">
        <v>0</v>
      </c>
    </row>
    <row r="12872" ht="15.75" customHeight="1" spans="1:2">
      <c r="A12872" s="3" t="str">
        <f>IFERROR(__xludf.DUMMYFUNCTION("GOOGLETRANSLATE(A12872,""en"",""pt"")"),"delirante")</f>
        <v>delirante</v>
      </c>
      <c r="B12872" s="3">
        <v>0</v>
      </c>
    </row>
    <row r="12873" ht="15.75" customHeight="1" spans="1:2">
      <c r="A12873" s="3" t="str">
        <f>IFERROR(__xludf.DUMMYFUNCTION("GOOGLETRANSLATE(A12873,""en"",""pt"")"),"delírios")</f>
        <v>delírios</v>
      </c>
      <c r="B12873" s="3">
        <v>0</v>
      </c>
    </row>
    <row r="12874" ht="15.75" customHeight="1" spans="1:2">
      <c r="A12874" s="3" t="str">
        <f>IFERROR(__xludf.DUMMYFUNCTION("GOOGLETRANSLATE(A12874,""en"",""pt"")"),"aviltar")</f>
        <v>aviltar</v>
      </c>
      <c r="B12874" s="3">
        <v>0</v>
      </c>
    </row>
    <row r="12875" ht="15.75" customHeight="1" spans="1:2">
      <c r="A12875" s="3" t="str">
        <f>IFERROR(__xludf.DUMMYFUNCTION("GOOGLETRANSLATE(A12875,""en"",""pt"")"),"degradante")</f>
        <v>degradante</v>
      </c>
      <c r="B12875" s="3">
        <v>0</v>
      </c>
    </row>
    <row r="12876" ht="15.75" customHeight="1" spans="1:2">
      <c r="A12876" s="3" t="str">
        <f>IFERROR(__xludf.DUMMYFUNCTION("GOOGLETRANSLATE(A12876,""en"",""pt"")"),"falecimento")</f>
        <v>falecimento</v>
      </c>
      <c r="B12876" s="3">
        <v>0</v>
      </c>
    </row>
    <row r="12877" ht="15.75" customHeight="1" spans="1:2">
      <c r="A12877" s="3" t="str">
        <f>IFERROR(__xludf.DUMMYFUNCTION("GOOGLETRANSLATE(A12877,""en"",""pt"")"),"demolir")</f>
        <v>demolir</v>
      </c>
      <c r="B12877" s="3">
        <v>0</v>
      </c>
    </row>
    <row r="12878" ht="15.75" customHeight="1" spans="1:2">
      <c r="A12878" s="3" t="str">
        <f>IFERROR(__xludf.DUMMYFUNCTION("GOOGLETRANSLATE(A12878,""en"",""pt"")"),"demolidor")</f>
        <v>demolidor</v>
      </c>
      <c r="B12878" s="3">
        <v>0</v>
      </c>
    </row>
    <row r="12879" ht="15.75" customHeight="1" spans="1:2">
      <c r="A12879" s="3" t="str">
        <f>IFERROR(__xludf.DUMMYFUNCTION("GOOGLETRANSLATE(A12879,""en"",""pt"")"),"demônio")</f>
        <v>demônio</v>
      </c>
      <c r="B12879" s="3">
        <v>0</v>
      </c>
    </row>
    <row r="12880" ht="15.75" customHeight="1" spans="1:2">
      <c r="A12880" s="3" t="str">
        <f>IFERROR(__xludf.DUMMYFUNCTION("GOOGLETRANSLATE(A12880,""en"",""pt"")"),"demoníaco")</f>
        <v>demoníaco</v>
      </c>
      <c r="B12880" s="3">
        <v>0</v>
      </c>
    </row>
    <row r="12881" ht="15.75" customHeight="1" spans="1:2">
      <c r="A12881" s="3" t="str">
        <f>IFERROR(__xludf.DUMMYFUNCTION("GOOGLETRANSLATE(A12881,""en"",""pt"")"),"demonizam")</f>
        <v>demonizam</v>
      </c>
      <c r="B12881" s="3">
        <v>0</v>
      </c>
    </row>
    <row r="12882" ht="15.75" customHeight="1" spans="1:2">
      <c r="A12882" s="3" t="str">
        <f>IFERROR(__xludf.DUMMYFUNCTION("GOOGLETRANSLATE(A12882,""en"",""pt"")"),"demonizado")</f>
        <v>demonizado</v>
      </c>
      <c r="B12882" s="3">
        <v>0</v>
      </c>
    </row>
    <row r="12883" ht="15.75" customHeight="1" spans="1:2">
      <c r="A12883" s="3" t="str">
        <f>IFERROR(__xludf.DUMMYFUNCTION("GOOGLETRANSLATE(A12883,""en"",""pt"")"),"demoniza")</f>
        <v>demoniza</v>
      </c>
      <c r="B12883" s="3">
        <v>0</v>
      </c>
    </row>
    <row r="12884" ht="15.75" customHeight="1" spans="1:2">
      <c r="A12884" s="3" t="str">
        <f>IFERROR(__xludf.DUMMYFUNCTION("GOOGLETRANSLATE(A12884,""en"",""pt"")"),"demonização")</f>
        <v>demonização</v>
      </c>
      <c r="B12884" s="3">
        <v>0</v>
      </c>
    </row>
    <row r="12885" ht="15.75" customHeight="1" spans="1:2">
      <c r="A12885" s="3" t="str">
        <f>IFERROR(__xludf.DUMMYFUNCTION("GOOGLETRANSLATE(A12885,""en"",""pt"")"),"desmoralizar")</f>
        <v>desmoralizar</v>
      </c>
      <c r="B12885" s="3">
        <v>0</v>
      </c>
    </row>
    <row r="12886" ht="15.75" customHeight="1" spans="1:2">
      <c r="A12886" s="3" t="str">
        <f>IFERROR(__xludf.DUMMYFUNCTION("GOOGLETRANSLATE(A12886,""en"",""pt"")"),"desmoralizante")</f>
        <v>desmoralizante</v>
      </c>
      <c r="B12886" s="3">
        <v>0</v>
      </c>
    </row>
    <row r="12887" ht="15.75" customHeight="1" spans="1:2">
      <c r="A12887" s="3" t="str">
        <f>IFERROR(__xludf.DUMMYFUNCTION("GOOGLETRANSLATE(A12887,""en"",""pt"")"),"demoralizingly")</f>
        <v>demoralizingly</v>
      </c>
      <c r="B12887" s="3">
        <v>0</v>
      </c>
    </row>
    <row r="12888" ht="15.75" customHeight="1" spans="1:2">
      <c r="A12888" s="3" t="str">
        <f>IFERROR(__xludf.DUMMYFUNCTION("GOOGLETRANSLATE(A12888,""en"",""pt"")"),"negação")</f>
        <v>negação</v>
      </c>
      <c r="B12888" s="3">
        <v>0</v>
      </c>
    </row>
    <row r="12889" ht="15.75" customHeight="1" spans="1:2">
      <c r="A12889" s="3" t="str">
        <f>IFERROR(__xludf.DUMMYFUNCTION("GOOGLETRANSLATE(A12889,""en"",""pt"")"),"negado")</f>
        <v>negado</v>
      </c>
      <c r="B12889" s="3">
        <v>0</v>
      </c>
    </row>
    <row r="12890" ht="15.75" customHeight="1" spans="1:2">
      <c r="A12890" s="3" t="str">
        <f>IFERROR(__xludf.DUMMYFUNCTION("GOOGLETRANSLATE(A12890,""en"",""pt"")"),"nega")</f>
        <v>nega</v>
      </c>
      <c r="B12890" s="3">
        <v>0</v>
      </c>
    </row>
    <row r="12891" ht="15.75" customHeight="1" spans="1:2">
      <c r="A12891" s="3" t="str">
        <f>IFERROR(__xludf.DUMMYFUNCTION("GOOGLETRANSLATE(A12891,""en"",""pt"")"),"denegrir")</f>
        <v>denegrir</v>
      </c>
      <c r="B12891" s="3">
        <v>0</v>
      </c>
    </row>
    <row r="12892" ht="15.75" customHeight="1" spans="1:2">
      <c r="A12892" s="3" t="str">
        <f>IFERROR(__xludf.DUMMYFUNCTION("GOOGLETRANSLATE(A12892,""en"",""pt"")"),"denunciar")</f>
        <v>denunciar</v>
      </c>
      <c r="B12892" s="3">
        <v>0</v>
      </c>
    </row>
    <row r="12893" ht="15.75" customHeight="1" spans="1:2">
      <c r="A12893" s="3" t="str">
        <f>IFERROR(__xludf.DUMMYFUNCTION("GOOGLETRANSLATE(A12893,""en"",""pt"")"),"denso")</f>
        <v>denso</v>
      </c>
      <c r="B12893" s="3">
        <v>0</v>
      </c>
    </row>
    <row r="12894" ht="15.75" customHeight="1" spans="1:2">
      <c r="A12894" s="3" t="str">
        <f>IFERROR(__xludf.DUMMYFUNCTION("GOOGLETRANSLATE(A12894,""en"",""pt"")"),"dente")</f>
        <v>dente</v>
      </c>
      <c r="B12894" s="3">
        <v>0</v>
      </c>
    </row>
    <row r="12895" ht="15.75" customHeight="1" spans="1:2">
      <c r="A12895" s="3" t="str">
        <f>IFERROR(__xludf.DUMMYFUNCTION("GOOGLETRANSLATE(A12895,""en"",""pt"")"),"amolgado")</f>
        <v>amolgado</v>
      </c>
      <c r="B12895" s="3">
        <v>0</v>
      </c>
    </row>
    <row r="12896" ht="15.75" customHeight="1" spans="1:2">
      <c r="A12896" s="3" t="str">
        <f>IFERROR(__xludf.DUMMYFUNCTION("GOOGLETRANSLATE(A12896,""en"",""pt"")"),"mossas")</f>
        <v>mossas</v>
      </c>
      <c r="B12896" s="3">
        <v>0</v>
      </c>
    </row>
    <row r="12897" ht="15.75" customHeight="1" spans="1:2">
      <c r="A12897" s="3" t="str">
        <f>IFERROR(__xludf.DUMMYFUNCTION("GOOGLETRANSLATE(A12897,""en"",""pt"")"),"denunciar")</f>
        <v>denunciar</v>
      </c>
      <c r="B12897" s="3">
        <v>0</v>
      </c>
    </row>
    <row r="12898" ht="15.75" customHeight="1" spans="1:2">
      <c r="A12898" s="3" t="str">
        <f>IFERROR(__xludf.DUMMYFUNCTION("GOOGLETRANSLATE(A12898,""en"",""pt"")"),"denúncia")</f>
        <v>denúncia</v>
      </c>
      <c r="B12898" s="3">
        <v>0</v>
      </c>
    </row>
    <row r="12899" ht="15.75" customHeight="1" spans="1:2">
      <c r="A12899" s="3" t="str">
        <f>IFERROR(__xludf.DUMMYFUNCTION("GOOGLETRANSLATE(A12899,""en"",""pt"")"),"denúncias")</f>
        <v>denúncias</v>
      </c>
      <c r="B12899" s="3">
        <v>0</v>
      </c>
    </row>
    <row r="12900" ht="15.75" customHeight="1" spans="1:2">
      <c r="A12900" s="3" t="str">
        <f>IFERROR(__xludf.DUMMYFUNCTION("GOOGLETRANSLATE(A12900,""en"",""pt"")"),"negar")</f>
        <v>negar</v>
      </c>
      <c r="B12900" s="3">
        <v>0</v>
      </c>
    </row>
    <row r="12901" ht="15.75" customHeight="1" spans="1:2">
      <c r="A12901" s="3" t="str">
        <f>IFERROR(__xludf.DUMMYFUNCTION("GOOGLETRANSLATE(A12901,""en"",""pt"")"),"negando")</f>
        <v>negando</v>
      </c>
      <c r="B12901" s="3">
        <v>0</v>
      </c>
    </row>
    <row r="12902" ht="15.75" customHeight="1" spans="1:2">
      <c r="A12902" s="3" t="str">
        <f>IFERROR(__xludf.DUMMYFUNCTION("GOOGLETRANSLATE(A12902,""en"",""pt"")"),"esgotar")</f>
        <v>esgotar</v>
      </c>
      <c r="B12902" s="3">
        <v>0</v>
      </c>
    </row>
    <row r="12903" ht="15.75" customHeight="1" spans="1:2">
      <c r="A12903" s="3" t="str">
        <f>IFERROR(__xludf.DUMMYFUNCTION("GOOGLETRANSLATE(A12903,""en"",""pt"")"),"deplorável")</f>
        <v>deplorável</v>
      </c>
      <c r="B12903" s="3">
        <v>0</v>
      </c>
    </row>
    <row r="12904" ht="15.75" customHeight="1" spans="1:2">
      <c r="A12904" s="3" t="str">
        <f>IFERROR(__xludf.DUMMYFUNCTION("GOOGLETRANSLATE(A12904,""en"",""pt"")"),"deplorável")</f>
        <v>deplorável</v>
      </c>
      <c r="B12904" s="3">
        <v>0</v>
      </c>
    </row>
    <row r="12905" ht="15.75" customHeight="1" spans="1:2">
      <c r="A12905" s="3" t="str">
        <f>IFERROR(__xludf.DUMMYFUNCTION("GOOGLETRANSLATE(A12905,""en"",""pt"")"),"deplorar")</f>
        <v>deplorar</v>
      </c>
      <c r="B12905" s="3">
        <v>0</v>
      </c>
    </row>
    <row r="12906" ht="15.75" customHeight="1" spans="1:2">
      <c r="A12906" s="3" t="str">
        <f>IFERROR(__xludf.DUMMYFUNCTION("GOOGLETRANSLATE(A12906,""en"",""pt"")"),"deplorando")</f>
        <v>deplorando</v>
      </c>
      <c r="B12906" s="3">
        <v>0</v>
      </c>
    </row>
    <row r="12907" ht="15.75" customHeight="1" spans="1:2">
      <c r="A12907" s="3" t="str">
        <f>IFERROR(__xludf.DUMMYFUNCTION("GOOGLETRANSLATE(A12907,""en"",""pt"")"),"deploringly")</f>
        <v>deploringly</v>
      </c>
      <c r="B12907" s="3">
        <v>0</v>
      </c>
    </row>
    <row r="12908" ht="15.75" customHeight="1" spans="1:2">
      <c r="A12908" s="3" t="str">
        <f>IFERROR(__xludf.DUMMYFUNCTION("GOOGLETRANSLATE(A12908,""en"",""pt"")"),"depravar")</f>
        <v>depravar</v>
      </c>
      <c r="B12908" s="3">
        <v>0</v>
      </c>
    </row>
    <row r="12909" ht="15.75" customHeight="1" spans="1:2">
      <c r="A12909" s="3" t="str">
        <f>IFERROR(__xludf.DUMMYFUNCTION("GOOGLETRANSLATE(A12909,""en"",""pt"")"),"depravado")</f>
        <v>depravado</v>
      </c>
      <c r="B12909" s="3">
        <v>0</v>
      </c>
    </row>
    <row r="12910" ht="15.75" customHeight="1" spans="1:2">
      <c r="A12910" s="3" t="str">
        <f>IFERROR(__xludf.DUMMYFUNCTION("GOOGLETRANSLATE(A12910,""en"",""pt"")"),"depravedly")</f>
        <v>depravedly</v>
      </c>
      <c r="B12910" s="3">
        <v>0</v>
      </c>
    </row>
    <row r="12911" ht="15.75" customHeight="1" spans="1:2">
      <c r="A12911" s="3" t="str">
        <f>IFERROR(__xludf.DUMMYFUNCTION("GOOGLETRANSLATE(A12911,""en"",""pt"")"),"deprecate")</f>
        <v>deprecate</v>
      </c>
      <c r="B12911" s="3">
        <v>0</v>
      </c>
    </row>
    <row r="12912" ht="15.75" customHeight="1" spans="1:2">
      <c r="A12912" s="3" t="str">
        <f>IFERROR(__xludf.DUMMYFUNCTION("GOOGLETRANSLATE(A12912,""en"",""pt"")"),"deprimir")</f>
        <v>deprimir</v>
      </c>
      <c r="B12912" s="3">
        <v>0</v>
      </c>
    </row>
    <row r="12913" ht="15.75" customHeight="1" spans="1:2">
      <c r="A12913" s="3" t="str">
        <f>IFERROR(__xludf.DUMMYFUNCTION("GOOGLETRANSLATE(A12913,""en"",""pt"")"),"depressivo")</f>
        <v>depressivo</v>
      </c>
      <c r="B12913" s="3">
        <v>0</v>
      </c>
    </row>
    <row r="12914" ht="15.75" customHeight="1" spans="1:2">
      <c r="A12914" s="3" t="str">
        <f>IFERROR(__xludf.DUMMYFUNCTION("GOOGLETRANSLATE(A12914,""en"",""pt"")"),"deprimente")</f>
        <v>deprimente</v>
      </c>
      <c r="B12914" s="3">
        <v>0</v>
      </c>
    </row>
    <row r="12915" ht="15.75" customHeight="1" spans="1:2">
      <c r="A12915" s="3" t="str">
        <f>IFERROR(__xludf.DUMMYFUNCTION("GOOGLETRANSLATE(A12915,""en"",""pt"")"),"deprimentemente")</f>
        <v>deprimentemente</v>
      </c>
      <c r="B12915" s="3">
        <v>0</v>
      </c>
    </row>
    <row r="12916" ht="15.75" customHeight="1" spans="1:2">
      <c r="A12916" s="3" t="str">
        <f>IFERROR(__xludf.DUMMYFUNCTION("GOOGLETRANSLATE(A12916,""en"",""pt"")"),"depressão")</f>
        <v>depressão</v>
      </c>
      <c r="B12916" s="3">
        <v>0</v>
      </c>
    </row>
    <row r="12917" ht="15.75" customHeight="1" spans="1:2">
      <c r="A12917" s="3" t="str">
        <f>IFERROR(__xludf.DUMMYFUNCTION("GOOGLETRANSLATE(A12917,""en"",""pt"")"),"depressões")</f>
        <v>depressões</v>
      </c>
      <c r="B12917" s="3">
        <v>0</v>
      </c>
    </row>
    <row r="12918" ht="15.75" customHeight="1" spans="1:2">
      <c r="A12918" s="3" t="str">
        <f>IFERROR(__xludf.DUMMYFUNCTION("GOOGLETRANSLATE(A12918,""en"",""pt"")"),"privar")</f>
        <v>privar</v>
      </c>
      <c r="B12918" s="3">
        <v>0</v>
      </c>
    </row>
    <row r="12919" ht="15.75" customHeight="1" spans="1:2">
      <c r="A12919" s="3" t="str">
        <f>IFERROR(__xludf.DUMMYFUNCTION("GOOGLETRANSLATE(A12919,""en"",""pt"")"),"privado")</f>
        <v>privado</v>
      </c>
      <c r="B12919" s="3">
        <v>0</v>
      </c>
    </row>
    <row r="12920" ht="15.75" customHeight="1" spans="1:2">
      <c r="A12920" s="3" t="str">
        <f>IFERROR(__xludf.DUMMYFUNCTION("GOOGLETRANSLATE(A12920,""en"",""pt"")"),"deride")</f>
        <v>deride</v>
      </c>
      <c r="B12920" s="3">
        <v>0</v>
      </c>
    </row>
    <row r="12921" ht="15.75" customHeight="1" spans="1:2">
      <c r="A12921" s="3" t="str">
        <f>IFERROR(__xludf.DUMMYFUNCTION("GOOGLETRANSLATE(A12921,""en"",""pt"")"),"escárnio")</f>
        <v>escárnio</v>
      </c>
      <c r="B12921" s="3">
        <v>0</v>
      </c>
    </row>
    <row r="12922" ht="15.75" customHeight="1" spans="1:2">
      <c r="A12922" s="3" t="str">
        <f>IFERROR(__xludf.DUMMYFUNCTION("GOOGLETRANSLATE(A12922,""en"",""pt"")"),"irrisório")</f>
        <v>irrisório</v>
      </c>
      <c r="B12922" s="3">
        <v>0</v>
      </c>
    </row>
    <row r="12923" ht="15.75" customHeight="1" spans="1:2">
      <c r="A12923" s="3" t="str">
        <f>IFERROR(__xludf.DUMMYFUNCTION("GOOGLETRANSLATE(A12923,""en"",""pt"")"),"zombeteiramente")</f>
        <v>zombeteiramente</v>
      </c>
      <c r="B12923" s="3">
        <v>0</v>
      </c>
    </row>
    <row r="12924" ht="15.75" customHeight="1" spans="1:2">
      <c r="A12924" s="3" t="str">
        <f>IFERROR(__xludf.DUMMYFUNCTION("GOOGLETRANSLATE(A12924,""en"",""pt"")"),"derisiveness")</f>
        <v>derisiveness</v>
      </c>
      <c r="B12924" s="3">
        <v>0</v>
      </c>
    </row>
    <row r="12925" ht="15.75" customHeight="1" spans="1:2">
      <c r="A12925" s="3" t="str">
        <f>IFERROR(__xludf.DUMMYFUNCTION("GOOGLETRANSLATE(A12925,""en"",""pt"")"),"depreciativo")</f>
        <v>depreciativo</v>
      </c>
      <c r="B12925" s="3">
        <v>0</v>
      </c>
    </row>
    <row r="12926" ht="15.75" customHeight="1" spans="1:2">
      <c r="A12926" s="3" t="str">
        <f>IFERROR(__xludf.DUMMYFUNCTION("GOOGLETRANSLATE(A12926,""en"",""pt"")"),"profanar")</f>
        <v>profanar</v>
      </c>
      <c r="B12926" s="3">
        <v>0</v>
      </c>
    </row>
    <row r="12927" ht="15.75" customHeight="1" spans="1:2">
      <c r="A12927" s="3" t="str">
        <f>IFERROR(__xludf.DUMMYFUNCTION("GOOGLETRANSLATE(A12927,""en"",""pt"")"),"deserto")</f>
        <v>deserto</v>
      </c>
      <c r="B12927" s="3">
        <v>0</v>
      </c>
    </row>
    <row r="12928" ht="15.75" customHeight="1" spans="1:2">
      <c r="A12928" s="3" t="str">
        <f>IFERROR(__xludf.DUMMYFUNCTION("GOOGLETRANSLATE(A12928,""en"",""pt"")"),"deserção")</f>
        <v>deserção</v>
      </c>
      <c r="B12928" s="3">
        <v>0</v>
      </c>
    </row>
    <row r="12929" ht="15.75" customHeight="1" spans="1:2">
      <c r="A12929" s="3" t="str">
        <f>IFERROR(__xludf.DUMMYFUNCTION("GOOGLETRANSLATE(A12929,""en"",""pt"")"),"dessecar")</f>
        <v>dessecar</v>
      </c>
      <c r="B12929" s="3">
        <v>0</v>
      </c>
    </row>
    <row r="12930" ht="15.75" customHeight="1" spans="1:2">
      <c r="A12930" s="3" t="str">
        <f>IFERROR(__xludf.DUMMYFUNCTION("GOOGLETRANSLATE(A12930,""en"",""pt"")"),"dessecada")</f>
        <v>dessecada</v>
      </c>
      <c r="B12930" s="3">
        <v>0</v>
      </c>
    </row>
    <row r="12931" ht="15.75" customHeight="1" spans="1:2">
      <c r="A12931" s="3" t="str">
        <f>IFERROR(__xludf.DUMMYFUNCTION("GOOGLETRANSLATE(A12931,""en"",""pt"")"),"desititute")</f>
        <v>desititute</v>
      </c>
      <c r="B12931" s="3">
        <v>0</v>
      </c>
    </row>
    <row r="12932" ht="15.75" customHeight="1" spans="1:2">
      <c r="A12932" s="3" t="str">
        <f>IFERROR(__xludf.DUMMYFUNCTION("GOOGLETRANSLATE(A12932,""en"",""pt"")"),"desolado")</f>
        <v>desolado</v>
      </c>
      <c r="B12932" s="3">
        <v>0</v>
      </c>
    </row>
    <row r="12933" ht="15.75" customHeight="1" spans="1:2">
      <c r="A12933" s="3" t="str">
        <f>IFERROR(__xludf.DUMMYFUNCTION("GOOGLETRANSLATE(A12933,""en"",""pt"")"),"desoladamente")</f>
        <v>desoladamente</v>
      </c>
      <c r="B12933" s="3">
        <v>0</v>
      </c>
    </row>
    <row r="12934" ht="15.75" customHeight="1" spans="1:2">
      <c r="A12934" s="3" t="str">
        <f>IFERROR(__xludf.DUMMYFUNCTION("GOOGLETRANSLATE(A12934,""en"",""pt"")"),"desolação")</f>
        <v>desolação</v>
      </c>
      <c r="B12934" s="3">
        <v>0</v>
      </c>
    </row>
    <row r="12935" ht="15.75" customHeight="1" spans="1:2">
      <c r="A12935" s="3" t="str">
        <f>IFERROR(__xludf.DUMMYFUNCTION("GOOGLETRANSLATE(A12935,""en"",""pt"")"),"desespero")</f>
        <v>desespero</v>
      </c>
      <c r="B12935" s="3">
        <v>0</v>
      </c>
    </row>
    <row r="12936" ht="15.75" customHeight="1" spans="1:2">
      <c r="A12936" s="3" t="str">
        <f>IFERROR(__xludf.DUMMYFUNCTION("GOOGLETRANSLATE(A12936,""en"",""pt"")"),"desesperada")</f>
        <v>desesperada</v>
      </c>
      <c r="B12936" s="3">
        <v>0</v>
      </c>
    </row>
    <row r="12937" ht="15.75" customHeight="1" spans="1:2">
      <c r="A12937" s="3" t="str">
        <f>IFERROR(__xludf.DUMMYFUNCTION("GOOGLETRANSLATE(A12937,""en"",""pt"")"),"desesperadamente")</f>
        <v>desesperadamente</v>
      </c>
      <c r="B12937" s="3">
        <v>0</v>
      </c>
    </row>
    <row r="12938" ht="15.75" customHeight="1" spans="1:2">
      <c r="A12938" s="3" t="str">
        <f>IFERROR(__xludf.DUMMYFUNCTION("GOOGLETRANSLATE(A12938,""en"",""pt"")"),"desesperado")</f>
        <v>desesperado</v>
      </c>
      <c r="B12938" s="3">
        <v>0</v>
      </c>
    </row>
    <row r="12939" ht="15.75" customHeight="1" spans="1:2">
      <c r="A12939" s="3" t="str">
        <f>IFERROR(__xludf.DUMMYFUNCTION("GOOGLETRANSLATE(A12939,""en"",""pt"")"),"desesperadamente")</f>
        <v>desesperadamente</v>
      </c>
      <c r="B12939" s="3">
        <v>0</v>
      </c>
    </row>
    <row r="12940" ht="15.75" customHeight="1" spans="1:2">
      <c r="A12940" s="3" t="str">
        <f>IFERROR(__xludf.DUMMYFUNCTION("GOOGLETRANSLATE(A12940,""en"",""pt"")"),"desespero")</f>
        <v>desespero</v>
      </c>
      <c r="B12940" s="3">
        <v>0</v>
      </c>
    </row>
    <row r="12941" ht="15.75" customHeight="1" spans="1:2">
      <c r="A12941" s="3" t="str">
        <f>IFERROR(__xludf.DUMMYFUNCTION("GOOGLETRANSLATE(A12941,""en"",""pt"")"),"desprezível")</f>
        <v>desprezível</v>
      </c>
      <c r="B12941" s="3">
        <v>0</v>
      </c>
    </row>
    <row r="12942" ht="15.75" customHeight="1" spans="1:2">
      <c r="A12942" s="3" t="str">
        <f>IFERROR(__xludf.DUMMYFUNCTION("GOOGLETRANSLATE(A12942,""en"",""pt"")"),"vilmente")</f>
        <v>vilmente</v>
      </c>
      <c r="B12942" s="3">
        <v>0</v>
      </c>
    </row>
    <row r="12943" ht="15.75" customHeight="1" spans="1:2">
      <c r="A12943" s="3" t="str">
        <f>IFERROR(__xludf.DUMMYFUNCTION("GOOGLETRANSLATE(A12943,""en"",""pt"")"),"desprezam")</f>
        <v>desprezam</v>
      </c>
      <c r="B12943" s="3">
        <v>0</v>
      </c>
    </row>
    <row r="12944" ht="15.75" customHeight="1" spans="1:2">
      <c r="A12944" s="3" t="str">
        <f>IFERROR(__xludf.DUMMYFUNCTION("GOOGLETRANSLATE(A12944,""en"",""pt"")"),"desprezado")</f>
        <v>desprezado</v>
      </c>
      <c r="B12944" s="3">
        <v>0</v>
      </c>
    </row>
    <row r="12945" ht="15.75" customHeight="1" spans="1:2">
      <c r="A12945" s="3" t="str">
        <f>IFERROR(__xludf.DUMMYFUNCTION("GOOGLETRANSLATE(A12945,""en"",""pt"")"),"despojar")</f>
        <v>despojar</v>
      </c>
      <c r="B12945" s="3">
        <v>0</v>
      </c>
    </row>
    <row r="12946" ht="15.75" customHeight="1" spans="1:2">
      <c r="A12946" s="3" t="str">
        <f>IFERROR(__xludf.DUMMYFUNCTION("GOOGLETRANSLATE(A12946,""en"",""pt"")"),"despoiler")</f>
        <v>despoiler</v>
      </c>
      <c r="B12946" s="3">
        <v>0</v>
      </c>
    </row>
    <row r="12947" ht="15.75" customHeight="1" spans="1:2">
      <c r="A12947" s="3" t="str">
        <f>IFERROR(__xludf.DUMMYFUNCTION("GOOGLETRANSLATE(A12947,""en"",""pt"")"),"despondence")</f>
        <v>despondence</v>
      </c>
      <c r="B12947" s="3">
        <v>0</v>
      </c>
    </row>
    <row r="12948" ht="15.75" customHeight="1" spans="1:2">
      <c r="A12948" s="3" t="str">
        <f>IFERROR(__xludf.DUMMYFUNCTION("GOOGLETRANSLATE(A12948,""en"",""pt"")"),"desânimo")</f>
        <v>desânimo</v>
      </c>
      <c r="B12948" s="3">
        <v>0</v>
      </c>
    </row>
    <row r="12949" ht="15.75" customHeight="1" spans="1:2">
      <c r="A12949" s="3" t="str">
        <f>IFERROR(__xludf.DUMMYFUNCTION("GOOGLETRANSLATE(A12949,""en"",""pt"")"),"desanimado")</f>
        <v>desanimado</v>
      </c>
      <c r="B12949" s="3">
        <v>0</v>
      </c>
    </row>
    <row r="12950" ht="15.75" customHeight="1" spans="1:2">
      <c r="A12950" s="3" t="str">
        <f>IFERROR(__xludf.DUMMYFUNCTION("GOOGLETRANSLATE(A12950,""en"",""pt"")"),"despondently")</f>
        <v>despondently</v>
      </c>
      <c r="B12950" s="3">
        <v>0</v>
      </c>
    </row>
    <row r="12951" ht="15.75" customHeight="1" spans="1:2">
      <c r="A12951" s="3" t="str">
        <f>IFERROR(__xludf.DUMMYFUNCTION("GOOGLETRANSLATE(A12951,""en"",""pt"")"),"déspota")</f>
        <v>déspota</v>
      </c>
      <c r="B12951" s="3">
        <v>0</v>
      </c>
    </row>
    <row r="12952" ht="15.75" customHeight="1" spans="1:2">
      <c r="A12952" s="3" t="str">
        <f>IFERROR(__xludf.DUMMYFUNCTION("GOOGLETRANSLATE(A12952,""en"",""pt"")"),"despótico")</f>
        <v>despótico</v>
      </c>
      <c r="B12952" s="3">
        <v>0</v>
      </c>
    </row>
    <row r="12953" ht="15.75" customHeight="1" spans="1:2">
      <c r="A12953" s="3" t="str">
        <f>IFERROR(__xludf.DUMMYFUNCTION("GOOGLETRANSLATE(A12953,""en"",""pt"")"),"despotismo")</f>
        <v>despotismo</v>
      </c>
      <c r="B12953" s="3">
        <v>0</v>
      </c>
    </row>
    <row r="12954" ht="15.75" customHeight="1" spans="1:2">
      <c r="A12954" s="3" t="str">
        <f>IFERROR(__xludf.DUMMYFUNCTION("GOOGLETRANSLATE(A12954,""en"",""pt"")"),"desestabilização")</f>
        <v>desestabilização</v>
      </c>
      <c r="B12954" s="3">
        <v>0</v>
      </c>
    </row>
    <row r="12955" ht="15.75" customHeight="1" spans="1:2">
      <c r="A12955" s="3" t="str">
        <f>IFERROR(__xludf.DUMMYFUNCTION("GOOGLETRANSLATE(A12955,""en"",""pt"")"),"destains")</f>
        <v>destains</v>
      </c>
      <c r="B12955" s="3">
        <v>0</v>
      </c>
    </row>
    <row r="12956" ht="15.75" customHeight="1" spans="1:2">
      <c r="A12956" s="3" t="str">
        <f>IFERROR(__xludf.DUMMYFUNCTION("GOOGLETRANSLATE(A12956,""en"",""pt"")"),"destituído")</f>
        <v>destituído</v>
      </c>
      <c r="B12956" s="3">
        <v>0</v>
      </c>
    </row>
    <row r="12957" ht="15.75" customHeight="1" spans="1:2">
      <c r="A12957" s="3" t="str">
        <f>IFERROR(__xludf.DUMMYFUNCTION("GOOGLETRANSLATE(A12957,""en"",""pt"")"),"indigência")</f>
        <v>indigência</v>
      </c>
      <c r="B12957" s="3">
        <v>0</v>
      </c>
    </row>
    <row r="12958" ht="15.75" customHeight="1" spans="1:2">
      <c r="A12958" s="3" t="str">
        <f>IFERROR(__xludf.DUMMYFUNCTION("GOOGLETRANSLATE(A12958,""en"",""pt"")"),"destruir")</f>
        <v>destruir</v>
      </c>
      <c r="B12958" s="3">
        <v>0</v>
      </c>
    </row>
    <row r="12959" ht="15.75" customHeight="1" spans="1:2">
      <c r="A12959" s="3" t="str">
        <f>IFERROR(__xludf.DUMMYFUNCTION("GOOGLETRANSLATE(A12959,""en"",""pt"")"),"destruidor")</f>
        <v>destruidor</v>
      </c>
      <c r="B12959" s="3">
        <v>0</v>
      </c>
    </row>
    <row r="12960" ht="15.75" customHeight="1" spans="1:2">
      <c r="A12960" s="3" t="str">
        <f>IFERROR(__xludf.DUMMYFUNCTION("GOOGLETRANSLATE(A12960,""en"",""pt"")"),"destruição")</f>
        <v>destruição</v>
      </c>
      <c r="B12960" s="3">
        <v>0</v>
      </c>
    </row>
    <row r="12961" ht="15.75" customHeight="1" spans="1:2">
      <c r="A12961" s="3" t="str">
        <f>IFERROR(__xludf.DUMMYFUNCTION("GOOGLETRANSLATE(A12961,""en"",""pt"")"),"destrutivo")</f>
        <v>destrutivo</v>
      </c>
      <c r="B12961" s="3">
        <v>0</v>
      </c>
    </row>
    <row r="12962" ht="15.75" customHeight="1" spans="1:2">
      <c r="A12962" s="3" t="str">
        <f>IFERROR(__xludf.DUMMYFUNCTION("GOOGLETRANSLATE(A12962,""en"",""pt"")"),"desconexo")</f>
        <v>desconexo</v>
      </c>
      <c r="B12962" s="3">
        <v>0</v>
      </c>
    </row>
    <row r="12963" ht="15.75" customHeight="1" spans="1:2">
      <c r="A12963" s="3" t="str">
        <f>IFERROR(__xludf.DUMMYFUNCTION("GOOGLETRANSLATE(A12963,""en"",""pt"")"),"dissuadir")</f>
        <v>dissuadir</v>
      </c>
      <c r="B12963" s="3">
        <v>0</v>
      </c>
    </row>
    <row r="12964" ht="15.75" customHeight="1" spans="1:2">
      <c r="A12964" s="3" t="str">
        <f>IFERROR(__xludf.DUMMYFUNCTION("GOOGLETRANSLATE(A12964,""en"",""pt"")"),"deteriorar")</f>
        <v>deteriorar</v>
      </c>
      <c r="B12964" s="3">
        <v>0</v>
      </c>
    </row>
    <row r="12965" ht="15.75" customHeight="1" spans="1:2">
      <c r="A12965" s="3" t="str">
        <f>IFERROR(__xludf.DUMMYFUNCTION("GOOGLETRANSLATE(A12965,""en"",""pt"")"),"deteriorando")</f>
        <v>deteriorando</v>
      </c>
      <c r="B12965" s="3">
        <v>0</v>
      </c>
    </row>
    <row r="12966" ht="15.75" customHeight="1" spans="1:2">
      <c r="A12966" s="3" t="str">
        <f>IFERROR(__xludf.DUMMYFUNCTION("GOOGLETRANSLATE(A12966,""en"",""pt"")"),"deterioração")</f>
        <v>deterioração</v>
      </c>
      <c r="B12966" s="3">
        <v>0</v>
      </c>
    </row>
    <row r="12967" ht="15.75" customHeight="1" spans="1:2">
      <c r="A12967" s="3" t="str">
        <f>IFERROR(__xludf.DUMMYFUNCTION("GOOGLETRANSLATE(A12967,""en"",""pt"")"),"impedimento")</f>
        <v>impedimento</v>
      </c>
      <c r="B12967" s="3">
        <v>0</v>
      </c>
    </row>
    <row r="12968" ht="15.75" customHeight="1" spans="1:2">
      <c r="A12968" s="3" t="str">
        <f>IFERROR(__xludf.DUMMYFUNCTION("GOOGLETRANSLATE(A12968,""en"",""pt"")"),"detestam")</f>
        <v>detestam</v>
      </c>
      <c r="B12968" s="3">
        <v>0</v>
      </c>
    </row>
    <row r="12969" ht="15.75" customHeight="1" spans="1:2">
      <c r="A12969" s="3" t="str">
        <f>IFERROR(__xludf.DUMMYFUNCTION("GOOGLETRANSLATE(A12969,""en"",""pt"")"),"detestável")</f>
        <v>detestável</v>
      </c>
      <c r="B12969" s="3">
        <v>0</v>
      </c>
    </row>
    <row r="12970" ht="15.75" customHeight="1" spans="1:2">
      <c r="A12970" s="3" t="str">
        <f>IFERROR(__xludf.DUMMYFUNCTION("GOOGLETRANSLATE(A12970,""en"",""pt"")"),"detestável")</f>
        <v>detestável</v>
      </c>
      <c r="B12970" s="3">
        <v>0</v>
      </c>
    </row>
    <row r="12971" ht="15.75" customHeight="1" spans="1:2">
      <c r="A12971" s="3" t="str">
        <f>IFERROR(__xludf.DUMMYFUNCTION("GOOGLETRANSLATE(A12971,""en"",""pt"")"),"detestada")</f>
        <v>detestada</v>
      </c>
      <c r="B12971" s="3">
        <v>0</v>
      </c>
    </row>
    <row r="12972" ht="15.75" customHeight="1" spans="1:2">
      <c r="A12972" s="3" t="str">
        <f>IFERROR(__xludf.DUMMYFUNCTION("GOOGLETRANSLATE(A12972,""en"",""pt"")"),"detestando")</f>
        <v>detestando</v>
      </c>
      <c r="B12972" s="3">
        <v>0</v>
      </c>
    </row>
    <row r="12973" ht="15.75" customHeight="1" spans="1:2">
      <c r="A12973" s="3" t="str">
        <f>IFERROR(__xludf.DUMMYFUNCTION("GOOGLETRANSLATE(A12973,""en"",""pt"")"),"detesta")</f>
        <v>detesta</v>
      </c>
      <c r="B12973" s="3">
        <v>0</v>
      </c>
    </row>
    <row r="12974" ht="15.75" customHeight="1" spans="1:2">
      <c r="A12974" s="3" t="str">
        <f>IFERROR(__xludf.DUMMYFUNCTION("GOOGLETRANSLATE(A12974,""en"",""pt"")"),"diminuí")</f>
        <v>diminuí</v>
      </c>
      <c r="B12974" s="3">
        <v>0</v>
      </c>
    </row>
    <row r="12975" ht="15.75" customHeight="1" spans="1:2">
      <c r="A12975" s="3" t="str">
        <f>IFERROR(__xludf.DUMMYFUNCTION("GOOGLETRANSLATE(A12975,""en"",""pt"")"),"prejudicou")</f>
        <v>prejudicou</v>
      </c>
      <c r="B12975" s="3">
        <v>0</v>
      </c>
    </row>
    <row r="12976" ht="15.75" customHeight="1" spans="1:2">
      <c r="A12976" s="3" t="str">
        <f>IFERROR(__xludf.DUMMYFUNCTION("GOOGLETRANSLATE(A12976,""en"",""pt"")"),"diminuir")</f>
        <v>diminuir</v>
      </c>
      <c r="B12976" s="3">
        <v>0</v>
      </c>
    </row>
    <row r="12977" ht="15.75" customHeight="1" spans="1:2">
      <c r="A12977" s="3" t="str">
        <f>IFERROR(__xludf.DUMMYFUNCTION("GOOGLETRANSLATE(A12977,""en"",""pt"")"),"detração")</f>
        <v>detração</v>
      </c>
      <c r="B12977" s="3">
        <v>0</v>
      </c>
    </row>
    <row r="12978" ht="15.75" customHeight="1" spans="1:2">
      <c r="A12978" s="3" t="str">
        <f>IFERROR(__xludf.DUMMYFUNCTION("GOOGLETRANSLATE(A12978,""en"",""pt"")"),"lhes retirar")</f>
        <v>lhes retirar</v>
      </c>
      <c r="B12978" s="3">
        <v>0</v>
      </c>
    </row>
    <row r="12979" ht="15.75" customHeight="1" spans="1:2">
      <c r="A12979" s="3" t="str">
        <f>IFERROR(__xludf.DUMMYFUNCTION("GOOGLETRANSLATE(A12979,""en"",""pt"")"),"detrimento")</f>
        <v>detrimento</v>
      </c>
      <c r="B12979" s="3">
        <v>0</v>
      </c>
    </row>
    <row r="12980" ht="15.75" customHeight="1" spans="1:2">
      <c r="A12980" s="3" t="str">
        <f>IFERROR(__xludf.DUMMYFUNCTION("GOOGLETRANSLATE(A12980,""en"",""pt"")"),"prejudicial")</f>
        <v>prejudicial</v>
      </c>
      <c r="B12980" s="3">
        <v>0</v>
      </c>
    </row>
    <row r="12981" ht="15.75" customHeight="1" spans="1:2">
      <c r="A12981" s="3" t="str">
        <f>IFERROR(__xludf.DUMMYFUNCTION("GOOGLETRANSLATE(A12981,""en"",""pt"")"),"devastar")</f>
        <v>devastar</v>
      </c>
      <c r="B12981" s="3">
        <v>0</v>
      </c>
    </row>
    <row r="12982" ht="15.75" customHeight="1" spans="1:2">
      <c r="A12982" s="3" t="str">
        <f>IFERROR(__xludf.DUMMYFUNCTION("GOOGLETRANSLATE(A12982,""en"",""pt"")"),"devastado")</f>
        <v>devastado</v>
      </c>
      <c r="B12982" s="3">
        <v>0</v>
      </c>
    </row>
    <row r="12983" ht="15.75" customHeight="1" spans="1:2">
      <c r="A12983" s="3" t="str">
        <f>IFERROR(__xludf.DUMMYFUNCTION("GOOGLETRANSLATE(A12983,""en"",""pt"")"),"devasta")</f>
        <v>devasta</v>
      </c>
      <c r="B12983" s="3">
        <v>0</v>
      </c>
    </row>
    <row r="12984" ht="15.75" customHeight="1" spans="1:2">
      <c r="A12984" s="3" t="str">
        <f>IFERROR(__xludf.DUMMYFUNCTION("GOOGLETRANSLATE(A12984,""en"",""pt"")"),"devastador")</f>
        <v>devastador</v>
      </c>
      <c r="B12984" s="3">
        <v>0</v>
      </c>
    </row>
    <row r="12985" ht="15.75" customHeight="1" spans="1:2">
      <c r="A12985" s="3" t="str">
        <f>IFERROR(__xludf.DUMMYFUNCTION("GOOGLETRANSLATE(A12985,""en"",""pt"")"),"devastadoramente")</f>
        <v>devastadoramente</v>
      </c>
      <c r="B12985" s="3">
        <v>0</v>
      </c>
    </row>
    <row r="12986" ht="15.75" customHeight="1" spans="1:2">
      <c r="A12986" s="3" t="str">
        <f>IFERROR(__xludf.DUMMYFUNCTION("GOOGLETRANSLATE(A12986,""en"",""pt"")"),"devastação")</f>
        <v>devastação</v>
      </c>
      <c r="B12986" s="3">
        <v>0</v>
      </c>
    </row>
    <row r="12987" ht="15.75" customHeight="1" spans="1:2">
      <c r="A12987" s="3" t="str">
        <f>IFERROR(__xludf.DUMMYFUNCTION("GOOGLETRANSLATE(A12987,""en"",""pt"")"),"desviam")</f>
        <v>desviam</v>
      </c>
      <c r="B12987" s="3">
        <v>0</v>
      </c>
    </row>
    <row r="12988" ht="15.75" customHeight="1" spans="1:2">
      <c r="A12988" s="3" t="str">
        <f>IFERROR(__xludf.DUMMYFUNCTION("GOOGLETRANSLATE(A12988,""en"",""pt"")"),"desvio")</f>
        <v>desvio</v>
      </c>
      <c r="B12988" s="3">
        <v>0</v>
      </c>
    </row>
    <row r="12989" ht="15.75" customHeight="1" spans="1:2">
      <c r="A12989" s="3" t="str">
        <f>IFERROR(__xludf.DUMMYFUNCTION("GOOGLETRANSLATE(A12989,""en"",""pt"")"),"diabo")</f>
        <v>diabo</v>
      </c>
      <c r="B12989" s="3">
        <v>0</v>
      </c>
    </row>
    <row r="12990" ht="15.75" customHeight="1" spans="1:2">
      <c r="A12990" s="3" t="str">
        <f>IFERROR(__xludf.DUMMYFUNCTION("GOOGLETRANSLATE(A12990,""en"",""pt"")"),"diabólico")</f>
        <v>diabólico</v>
      </c>
      <c r="B12990" s="3">
        <v>0</v>
      </c>
    </row>
    <row r="12991" ht="15.75" customHeight="1" spans="1:2">
      <c r="A12991" s="3" t="str">
        <f>IFERROR(__xludf.DUMMYFUNCTION("GOOGLETRANSLATE(A12991,""en"",""pt"")"),"diabolicamente")</f>
        <v>diabolicamente</v>
      </c>
      <c r="B12991" s="3">
        <v>0</v>
      </c>
    </row>
    <row r="12992" ht="15.75" customHeight="1" spans="1:2">
      <c r="A12992" s="3" t="str">
        <f>IFERROR(__xludf.DUMMYFUNCTION("GOOGLETRANSLATE(A12992,""en"",""pt"")"),"coisa diabólica")</f>
        <v>coisa diabólica</v>
      </c>
      <c r="B12992" s="3">
        <v>0</v>
      </c>
    </row>
    <row r="12993" ht="15.75" customHeight="1" spans="1:2">
      <c r="A12993" s="3" t="str">
        <f>IFERROR(__xludf.DUMMYFUNCTION("GOOGLETRANSLATE(A12993,""en"",""pt"")"),"diabrura")</f>
        <v>diabrura</v>
      </c>
      <c r="B12993" s="3">
        <v>0</v>
      </c>
    </row>
    <row r="12994" ht="15.75" customHeight="1" spans="1:2">
      <c r="A12994" s="3" t="str">
        <f>IFERROR(__xludf.DUMMYFUNCTION("GOOGLETRANSLATE(A12994,""en"",""pt"")"),"desonesto")</f>
        <v>desonesto</v>
      </c>
      <c r="B12994" s="3">
        <v>0</v>
      </c>
    </row>
    <row r="12995" ht="15.75" customHeight="1" spans="1:2">
      <c r="A12995" s="3" t="str">
        <f>IFERROR(__xludf.DUMMYFUNCTION("GOOGLETRANSLATE(A12995,""en"",""pt"")"),"deviously")</f>
        <v>deviously</v>
      </c>
      <c r="B12995" s="3">
        <v>0</v>
      </c>
    </row>
    <row r="12996" ht="15.75" customHeight="1" spans="1:2">
      <c r="A12996" s="3" t="str">
        <f>IFERROR(__xludf.DUMMYFUNCTION("GOOGLETRANSLATE(A12996,""en"",""pt"")"),"desvio")</f>
        <v>desvio</v>
      </c>
      <c r="B12996" s="3">
        <v>0</v>
      </c>
    </row>
    <row r="12997" ht="15.75" customHeight="1" spans="1:2">
      <c r="A12997" s="3" t="str">
        <f>IFERROR(__xludf.DUMMYFUNCTION("GOOGLETRANSLATE(A12997,""en"",""pt"")"),"desprovido")</f>
        <v>desprovido</v>
      </c>
      <c r="B12997" s="3">
        <v>0</v>
      </c>
    </row>
    <row r="12998" ht="15.75" customHeight="1" spans="1:2">
      <c r="A12998" s="3" t="str">
        <f>IFERROR(__xludf.DUMMYFUNCTION("GOOGLETRANSLATE(A12998,""en"",""pt"")"),"diabólico")</f>
        <v>diabólico</v>
      </c>
      <c r="B12998" s="3">
        <v>0</v>
      </c>
    </row>
    <row r="12999" ht="15.75" customHeight="1" spans="1:2">
      <c r="A12999" s="3" t="str">
        <f>IFERROR(__xludf.DUMMYFUNCTION("GOOGLETRANSLATE(A12999,""en"",""pt"")"),"diabólico")</f>
        <v>diabólico</v>
      </c>
      <c r="B12999" s="3">
        <v>0</v>
      </c>
    </row>
    <row r="13000" ht="15.75" customHeight="1" spans="1:2">
      <c r="A13000" s="3" t="str">
        <f>IFERROR(__xludf.DUMMYFUNCTION("GOOGLETRANSLATE(A13000,""en"",""pt"")"),"diabolicamente")</f>
        <v>diabolicamente</v>
      </c>
      <c r="B13000" s="3">
        <v>0</v>
      </c>
    </row>
    <row r="13001" ht="15.75" customHeight="1" spans="1:2">
      <c r="A13001" s="3" t="str">
        <f>IFERROR(__xludf.DUMMYFUNCTION("GOOGLETRANSLATE(A13001,""en"",""pt"")"),"diametralmente")</f>
        <v>diametralmente</v>
      </c>
      <c r="B13001" s="3">
        <v>0</v>
      </c>
    </row>
    <row r="13002" ht="15.75" customHeight="1" spans="1:2">
      <c r="A13002" s="3" t="str">
        <f>IFERROR(__xludf.DUMMYFUNCTION("GOOGLETRANSLATE(A13002,""en"",""pt"")"),"diappointed")</f>
        <v>diappointed</v>
      </c>
      <c r="B13002" s="3">
        <v>0</v>
      </c>
    </row>
    <row r="13003" ht="15.75" customHeight="1" spans="1:2">
      <c r="A13003" s="3" t="str">
        <f>IFERROR(__xludf.DUMMYFUNCTION("GOOGLETRANSLATE(A13003,""en"",""pt"")"),"diatribe")</f>
        <v>diatribe</v>
      </c>
      <c r="B13003" s="3">
        <v>0</v>
      </c>
    </row>
    <row r="13004" ht="15.75" customHeight="1" spans="1:2">
      <c r="A13004" s="3" t="str">
        <f>IFERROR(__xludf.DUMMYFUNCTION("GOOGLETRANSLATE(A13004,""en"",""pt"")"),"diatribes")</f>
        <v>diatribes</v>
      </c>
      <c r="B13004" s="3">
        <v>0</v>
      </c>
    </row>
    <row r="13005" ht="15.75" customHeight="1" spans="1:2">
      <c r="A13005" s="3" t="str">
        <f>IFERROR(__xludf.DUMMYFUNCTION("GOOGLETRANSLATE(A13005,""en"",""pt"")"),"pênis")</f>
        <v>pênis</v>
      </c>
      <c r="B13005" s="3">
        <v>0</v>
      </c>
    </row>
    <row r="13006" ht="15.75" customHeight="1" spans="1:2">
      <c r="A13006" s="3" t="str">
        <f>IFERROR(__xludf.DUMMYFUNCTION("GOOGLETRANSLATE(A13006,""en"",""pt"")"),"ditador")</f>
        <v>ditador</v>
      </c>
      <c r="B13006" s="3">
        <v>0</v>
      </c>
    </row>
    <row r="13007" ht="15.75" customHeight="1" spans="1:2">
      <c r="A13007" s="3" t="str">
        <f>IFERROR(__xludf.DUMMYFUNCTION("GOOGLETRANSLATE(A13007,""en"",""pt"")"),"ditatorial")</f>
        <v>ditatorial</v>
      </c>
      <c r="B13007" s="3">
        <v>0</v>
      </c>
    </row>
    <row r="13008" ht="15.75" customHeight="1" spans="1:2">
      <c r="A13008" s="3" t="str">
        <f>IFERROR(__xludf.DUMMYFUNCTION("GOOGLETRANSLATE(A13008,""en"",""pt"")"),"morrer")</f>
        <v>morrer</v>
      </c>
      <c r="B13008" s="3">
        <v>0</v>
      </c>
    </row>
    <row r="13009" ht="15.75" customHeight="1" spans="1:2">
      <c r="A13009" s="3" t="str">
        <f>IFERROR(__xludf.DUMMYFUNCTION("GOOGLETRANSLATE(A13009,""en"",""pt"")"),"duro de Matar")</f>
        <v>duro de Matar</v>
      </c>
      <c r="B13009" s="3">
        <v>0</v>
      </c>
    </row>
    <row r="13010" ht="15.75" customHeight="1" spans="1:2">
      <c r="A13010" s="3" t="str">
        <f>IFERROR(__xludf.DUMMYFUNCTION("GOOGLETRANSLATE(A13010,""en"",""pt"")"),"morreu")</f>
        <v>morreu</v>
      </c>
      <c r="B13010" s="3">
        <v>0</v>
      </c>
    </row>
    <row r="13011" ht="15.75" customHeight="1" spans="1:2">
      <c r="A13011" s="3" t="str">
        <f>IFERROR(__xludf.DUMMYFUNCTION("GOOGLETRANSLATE(A13011,""en"",""pt"")"),"morre")</f>
        <v>morre</v>
      </c>
      <c r="B13011" s="3">
        <v>0</v>
      </c>
    </row>
    <row r="13012" ht="15.75" customHeight="1" spans="1:2">
      <c r="A13012" s="3" t="str">
        <f>IFERROR(__xludf.DUMMYFUNCTION("GOOGLETRANSLATE(A13012,""en"",""pt"")"),"difícil")</f>
        <v>difícil</v>
      </c>
      <c r="B13012" s="3">
        <v>0</v>
      </c>
    </row>
    <row r="13013" ht="15.75" customHeight="1" spans="1:2">
      <c r="A13013" s="3" t="str">
        <f>IFERROR(__xludf.DUMMYFUNCTION("GOOGLETRANSLATE(A13013,""en"",""pt"")"),"dificuldades")</f>
        <v>dificuldades</v>
      </c>
      <c r="B13013" s="3">
        <v>0</v>
      </c>
    </row>
    <row r="13014" ht="15.75" customHeight="1" spans="1:2">
      <c r="A13014" s="3" t="str">
        <f>IFERROR(__xludf.DUMMYFUNCTION("GOOGLETRANSLATE(A13014,""en"",""pt"")"),"dificuldade")</f>
        <v>dificuldade</v>
      </c>
      <c r="B13014" s="3">
        <v>0</v>
      </c>
    </row>
    <row r="13015" ht="15.75" customHeight="1" spans="1:2">
      <c r="A13015" s="3" t="str">
        <f>IFERROR(__xludf.DUMMYFUNCTION("GOOGLETRANSLATE(A13015,""en"",""pt"")"),"desconfiança")</f>
        <v>desconfiança</v>
      </c>
      <c r="B13015" s="3">
        <v>0</v>
      </c>
    </row>
    <row r="13016" ht="15.75" customHeight="1" spans="1:2">
      <c r="A13016" s="3" t="str">
        <f>IFERROR(__xludf.DUMMYFUNCTION("GOOGLETRANSLATE(A13016,""en"",""pt"")"),"dilapidado")</f>
        <v>dilapidado</v>
      </c>
      <c r="B13016" s="3">
        <v>0</v>
      </c>
    </row>
    <row r="13017" ht="15.75" customHeight="1" spans="1:2">
      <c r="A13017" s="3" t="str">
        <f>IFERROR(__xludf.DUMMYFUNCTION("GOOGLETRANSLATE(A13017,""en"",""pt"")"),"dilema")</f>
        <v>dilema</v>
      </c>
      <c r="B13017" s="3">
        <v>0</v>
      </c>
    </row>
    <row r="13018" ht="15.75" customHeight="1" spans="1:2">
      <c r="A13018" s="3" t="str">
        <f>IFERROR(__xludf.DUMMYFUNCTION("GOOGLETRANSLATE(A13018,""en"",""pt"")"),"vadiar")</f>
        <v>vadiar</v>
      </c>
      <c r="B13018" s="3">
        <v>0</v>
      </c>
    </row>
    <row r="13019" ht="15.75" customHeight="1" spans="1:2">
      <c r="A13019" s="3" t="str">
        <f>IFERROR(__xludf.DUMMYFUNCTION("GOOGLETRANSLATE(A13019,""en"",""pt"")"),"escurecer")</f>
        <v>escurecer</v>
      </c>
      <c r="B13019" s="3">
        <v>0</v>
      </c>
    </row>
    <row r="13020" ht="15.75" customHeight="1" spans="1:2">
      <c r="A13020" s="3" t="str">
        <f>IFERROR(__xludf.DUMMYFUNCTION("GOOGLETRANSLATE(A13020,""en"",""pt"")"),"obscuro")</f>
        <v>obscuro</v>
      </c>
      <c r="B13020" s="3">
        <v>0</v>
      </c>
    </row>
    <row r="13021" ht="15.75" customHeight="1" spans="1:2">
      <c r="A13021" s="3" t="str">
        <f>IFERROR(__xludf.DUMMYFUNCTION("GOOGLETRANSLATE(A13021,""en"",""pt"")"),"barulho")</f>
        <v>barulho</v>
      </c>
      <c r="B13021" s="3">
        <v>0</v>
      </c>
    </row>
    <row r="13022" ht="15.75" customHeight="1" spans="1:2">
      <c r="A13022" s="3" t="str">
        <f>IFERROR(__xludf.DUMMYFUNCTION("GOOGLETRANSLATE(A13022,""en"",""pt"")"),"ding")</f>
        <v>ding</v>
      </c>
      <c r="B13022" s="3">
        <v>0</v>
      </c>
    </row>
    <row r="13023" ht="15.75" customHeight="1" spans="1:2">
      <c r="A13023" s="3" t="str">
        <f>IFERROR(__xludf.DUMMYFUNCTION("GOOGLETRANSLATE(A13023,""en"",""pt"")"),"dings")</f>
        <v>dings</v>
      </c>
      <c r="B13023" s="3">
        <v>0</v>
      </c>
    </row>
    <row r="13024" ht="15.75" customHeight="1" spans="1:2">
      <c r="A13024" s="3" t="str">
        <f>IFERROR(__xludf.DUMMYFUNCTION("GOOGLETRANSLATE(A13024,""en"",""pt"")"),"gentil")</f>
        <v>gentil</v>
      </c>
      <c r="B13024" s="3">
        <v>0</v>
      </c>
    </row>
    <row r="13025" ht="15.75" customHeight="1" spans="1:2">
      <c r="A13025" s="3" t="str">
        <f>IFERROR(__xludf.DUMMYFUNCTION("GOOGLETRANSLATE(A13025,""en"",""pt"")"),"terrível")</f>
        <v>terrível</v>
      </c>
      <c r="B13025" s="3">
        <v>0</v>
      </c>
    </row>
    <row r="13026" ht="15.75" customHeight="1" spans="1:2">
      <c r="A13026" s="3" t="str">
        <f>IFERROR(__xludf.DUMMYFUNCTION("GOOGLETRANSLATE(A13026,""en"",""pt"")"),"direly")</f>
        <v>direly</v>
      </c>
      <c r="B13026" s="3">
        <v>0</v>
      </c>
    </row>
    <row r="13027" ht="15.75" customHeight="1" spans="1:2">
      <c r="A13027" s="3" t="str">
        <f>IFERROR(__xludf.DUMMYFUNCTION("GOOGLETRANSLATE(A13027,""en"",""pt"")"),"direness")</f>
        <v>direness</v>
      </c>
      <c r="B13027" s="3">
        <v>0</v>
      </c>
    </row>
    <row r="13028" ht="15.75" customHeight="1" spans="1:2">
      <c r="A13028" s="3" t="str">
        <f>IFERROR(__xludf.DUMMYFUNCTION("GOOGLETRANSLATE(A13028,""en"",""pt"")"),"sujeira")</f>
        <v>sujeira</v>
      </c>
      <c r="B13028" s="3">
        <v>0</v>
      </c>
    </row>
    <row r="13029" ht="15.75" customHeight="1" spans="1:2">
      <c r="A13029" s="3" t="str">
        <f>IFERROR(__xludf.DUMMYFUNCTION("GOOGLETRANSLATE(A13029,""en"",""pt"")"),"canalha")</f>
        <v>canalha</v>
      </c>
      <c r="B13029" s="3">
        <v>0</v>
      </c>
    </row>
    <row r="13030" ht="15.75" customHeight="1" spans="1:2">
      <c r="A13030" s="3" t="str">
        <f>IFERROR(__xludf.DUMMYFUNCTION("GOOGLETRANSLATE(A13030,""en"",""pt"")"),"dirtbags")</f>
        <v>dirtbags</v>
      </c>
      <c r="B13030" s="3">
        <v>0</v>
      </c>
    </row>
    <row r="13031" ht="15.75" customHeight="1" spans="1:2">
      <c r="A13031" s="3" t="str">
        <f>IFERROR(__xludf.DUMMYFUNCTION("GOOGLETRANSLATE(A13031,""en"",""pt"")"),"dirts")</f>
        <v>dirts</v>
      </c>
      <c r="B13031" s="3">
        <v>0</v>
      </c>
    </row>
    <row r="13032" ht="15.75" customHeight="1" spans="1:2">
      <c r="A13032" s="3" t="str">
        <f>IFERROR(__xludf.DUMMYFUNCTION("GOOGLETRANSLATE(A13032,""en"",""pt"")"),"sujo")</f>
        <v>sujo</v>
      </c>
      <c r="B13032" s="3">
        <v>0</v>
      </c>
    </row>
    <row r="13033" ht="15.75" customHeight="1" spans="1:2">
      <c r="A13033" s="3" t="str">
        <f>IFERROR(__xludf.DUMMYFUNCTION("GOOGLETRANSLATE(A13033,""en"",""pt"")"),"disable")</f>
        <v>disable</v>
      </c>
      <c r="B13033" s="3">
        <v>0</v>
      </c>
    </row>
    <row r="13034" ht="15.75" customHeight="1" spans="1:2">
      <c r="A13034" s="3" t="str">
        <f>IFERROR(__xludf.DUMMYFUNCTION("GOOGLETRANSLATE(A13034,""en"",""pt"")"),"Desativado")</f>
        <v>Desativado</v>
      </c>
      <c r="B13034" s="3">
        <v>0</v>
      </c>
    </row>
    <row r="13035" ht="15.75" customHeight="1" spans="1:2">
      <c r="A13035" s="3" t="str">
        <f>IFERROR(__xludf.DUMMYFUNCTION("GOOGLETRANSLATE(A13035,""en"",""pt"")"),"desacordo")</f>
        <v>desacordo</v>
      </c>
      <c r="B13035" s="3">
        <v>0</v>
      </c>
    </row>
    <row r="13036" ht="15.75" customHeight="1" spans="1:2">
      <c r="A13036" s="3" t="str">
        <f>IFERROR(__xludf.DUMMYFUNCTION("GOOGLETRANSLATE(A13036,""en"",""pt"")"),"desvantagem")</f>
        <v>desvantagem</v>
      </c>
      <c r="B13036" s="3">
        <v>0</v>
      </c>
    </row>
    <row r="13037" ht="15.75" customHeight="1" spans="1:2">
      <c r="A13037" s="3" t="str">
        <f>IFERROR(__xludf.DUMMYFUNCTION("GOOGLETRANSLATE(A13037,""en"",""pt"")"),"desfavorecidos")</f>
        <v>desfavorecidos</v>
      </c>
      <c r="B13037" s="3">
        <v>0</v>
      </c>
    </row>
    <row r="13038" ht="15.75" customHeight="1" spans="1:2">
      <c r="A13038" s="3" t="str">
        <f>IFERROR(__xludf.DUMMYFUNCTION("GOOGLETRANSLATE(A13038,""en"",""pt"")"),"desvantajoso")</f>
        <v>desvantajoso</v>
      </c>
      <c r="B13038" s="3">
        <v>0</v>
      </c>
    </row>
    <row r="13039" ht="15.75" customHeight="1" spans="1:2">
      <c r="A13039" s="3" t="str">
        <f>IFERROR(__xludf.DUMMYFUNCTION("GOOGLETRANSLATE(A13039,""en"",""pt"")"),"desvantagens")</f>
        <v>desvantagens</v>
      </c>
      <c r="B13039" s="3">
        <v>0</v>
      </c>
    </row>
    <row r="13040" ht="15.75" customHeight="1" spans="1:2">
      <c r="A13040" s="3" t="str">
        <f>IFERROR(__xludf.DUMMYFUNCTION("GOOGLETRANSLATE(A13040,""en"",""pt"")"),"desafeiçoar")</f>
        <v>desafeiçoar</v>
      </c>
      <c r="B13040" s="3">
        <v>0</v>
      </c>
    </row>
    <row r="13041" ht="15.75" customHeight="1" spans="1:2">
      <c r="A13041" s="3" t="str">
        <f>IFERROR(__xludf.DUMMYFUNCTION("GOOGLETRANSLATE(A13041,""en"",""pt"")"),"desafeto")</f>
        <v>desafeto</v>
      </c>
      <c r="B13041" s="3">
        <v>0</v>
      </c>
    </row>
    <row r="13042" ht="15.75" customHeight="1" spans="1:2">
      <c r="A13042" s="3" t="str">
        <f>IFERROR(__xludf.DUMMYFUNCTION("GOOGLETRANSLATE(A13042,""en"",""pt"")"),"contradizer")</f>
        <v>contradizer</v>
      </c>
      <c r="B13042" s="3">
        <v>0</v>
      </c>
    </row>
    <row r="13043" ht="15.75" customHeight="1" spans="1:2">
      <c r="A13043" s="3" t="str">
        <f>IFERROR(__xludf.DUMMYFUNCTION("GOOGLETRANSLATE(A13043,""en"",""pt"")"),"discordar")</f>
        <v>discordar</v>
      </c>
      <c r="B13043" s="3">
        <v>0</v>
      </c>
    </row>
    <row r="13044" ht="15.75" customHeight="1" spans="1:2">
      <c r="A13044" s="3" t="str">
        <f>IFERROR(__xludf.DUMMYFUNCTION("GOOGLETRANSLATE(A13044,""en"",""pt"")"),"desagradável")</f>
        <v>desagradável</v>
      </c>
      <c r="B13044" s="3">
        <v>0</v>
      </c>
    </row>
    <row r="13045" ht="15.75" customHeight="1" spans="1:2">
      <c r="A13045" s="3" t="str">
        <f>IFERROR(__xludf.DUMMYFUNCTION("GOOGLETRANSLATE(A13045,""en"",""pt"")"),"desagradavelmente")</f>
        <v>desagradavelmente</v>
      </c>
      <c r="B13045" s="3">
        <v>0</v>
      </c>
    </row>
    <row r="13046" ht="15.75" customHeight="1" spans="1:2">
      <c r="A13046" s="3" t="str">
        <f>IFERROR(__xludf.DUMMYFUNCTION("GOOGLETRANSLATE(A13046,""en"",""pt"")"),"discordaram")</f>
        <v>discordaram</v>
      </c>
      <c r="B13046" s="3">
        <v>0</v>
      </c>
    </row>
    <row r="13047" ht="15.75" customHeight="1" spans="1:2">
      <c r="A13047" s="3" t="str">
        <f>IFERROR(__xludf.DUMMYFUNCTION("GOOGLETRANSLATE(A13047,""en"",""pt"")"),"discordando")</f>
        <v>discordando</v>
      </c>
      <c r="B13047" s="3">
        <v>0</v>
      </c>
    </row>
    <row r="13048" ht="15.75" customHeight="1" spans="1:2">
      <c r="A13048" s="3" t="str">
        <f>IFERROR(__xludf.DUMMYFUNCTION("GOOGLETRANSLATE(A13048,""en"",""pt"")"),"desacordo")</f>
        <v>desacordo</v>
      </c>
      <c r="B13048" s="3">
        <v>0</v>
      </c>
    </row>
    <row r="13049" ht="15.75" customHeight="1" spans="1:2">
      <c r="A13049" s="3" t="str">
        <f>IFERROR(__xludf.DUMMYFUNCTION("GOOGLETRANSLATE(A13049,""en"",""pt"")"),"discorda")</f>
        <v>discorda</v>
      </c>
      <c r="B13049" s="3">
        <v>0</v>
      </c>
    </row>
    <row r="13050" ht="15.75" customHeight="1" spans="1:2">
      <c r="A13050" s="3" t="s">
        <v>58</v>
      </c>
      <c r="B13050" s="3">
        <v>0</v>
      </c>
    </row>
    <row r="13051" ht="15.75" customHeight="1" spans="1:2">
      <c r="A13051" s="3" t="str">
        <f>IFERROR(__xludf.DUMMYFUNCTION("GOOGLETRANSLATE(A13051,""en"",""pt"")"),"decepcionamos")</f>
        <v>decepcionamos</v>
      </c>
      <c r="B13051" s="3">
        <v>0</v>
      </c>
    </row>
    <row r="13052" ht="15.75" customHeight="1" spans="1:2">
      <c r="A13052" s="3" t="str">
        <f>IFERROR(__xludf.DUMMYFUNCTION("GOOGLETRANSLATE(A13052,""en"",""pt"")"),"disapointing")</f>
        <v>disapointing</v>
      </c>
      <c r="B13052" s="3">
        <v>0</v>
      </c>
    </row>
    <row r="13053" ht="15.75" customHeight="1" spans="1:2">
      <c r="A13053" s="3" t="str">
        <f>IFERROR(__xludf.DUMMYFUNCTION("GOOGLETRANSLATE(A13053,""en"",""pt"")"),"disapointment")</f>
        <v>disapointment</v>
      </c>
      <c r="B13053" s="3">
        <v>0</v>
      </c>
    </row>
    <row r="13054" ht="15.75" customHeight="1" spans="1:2">
      <c r="A13054" s="3" t="str">
        <f>IFERROR(__xludf.DUMMYFUNCTION("GOOGLETRANSLATE(A13054,""en"",""pt"")"),"decepcionar")</f>
        <v>decepcionar</v>
      </c>
      <c r="B13054" s="3">
        <v>0</v>
      </c>
    </row>
    <row r="13055" ht="15.75" customHeight="1" spans="1:2">
      <c r="A13055" s="3" t="str">
        <f>IFERROR(__xludf.DUMMYFUNCTION("GOOGLETRANSLATE(A13055,""en"",""pt"")"),"desapontado")</f>
        <v>desapontado</v>
      </c>
      <c r="B13055" s="3">
        <v>0</v>
      </c>
    </row>
    <row r="13056" ht="15.75" customHeight="1" spans="1:2">
      <c r="A13056" s="3" t="str">
        <f>IFERROR(__xludf.DUMMYFUNCTION("GOOGLETRANSLATE(A13056,""en"",""pt"")"),"decepcionante")</f>
        <v>decepcionante</v>
      </c>
      <c r="B13056" s="3">
        <v>0</v>
      </c>
    </row>
    <row r="13057" ht="15.75" customHeight="1" spans="1:2">
      <c r="A13057" s="3" t="str">
        <f>IFERROR(__xludf.DUMMYFUNCTION("GOOGLETRANSLATE(A13057,""en"",""pt"")"),"decepcionantemente")</f>
        <v>decepcionantemente</v>
      </c>
      <c r="B13057" s="3">
        <v>0</v>
      </c>
    </row>
    <row r="13058" ht="15.75" customHeight="1" spans="1:2">
      <c r="A13058" s="3" t="str">
        <f>IFERROR(__xludf.DUMMYFUNCTION("GOOGLETRANSLATE(A13058,""en"",""pt"")"),"desapontamento")</f>
        <v>desapontamento</v>
      </c>
      <c r="B13058" s="3">
        <v>0</v>
      </c>
    </row>
    <row r="13059" ht="15.75" customHeight="1" spans="1:2">
      <c r="A13059" s="3" t="str">
        <f>IFERROR(__xludf.DUMMYFUNCTION("GOOGLETRANSLATE(A13059,""en"",""pt"")"),"decepções")</f>
        <v>decepções</v>
      </c>
      <c r="B13059" s="3">
        <v>0</v>
      </c>
    </row>
    <row r="13060" ht="15.75" customHeight="1" spans="1:2">
      <c r="A13060" s="3" t="str">
        <f>IFERROR(__xludf.DUMMYFUNCTION("GOOGLETRANSLATE(A13060,""en"",""pt"")"),"decepciona")</f>
        <v>decepciona</v>
      </c>
      <c r="B13060" s="3">
        <v>0</v>
      </c>
    </row>
    <row r="13061" ht="15.75" customHeight="1" spans="1:2">
      <c r="A13061" s="3" t="str">
        <f>IFERROR(__xludf.DUMMYFUNCTION("GOOGLETRANSLATE(A13061,""en"",""pt"")"),"desaprovação")</f>
        <v>desaprovação</v>
      </c>
      <c r="B13061" s="3">
        <v>0</v>
      </c>
    </row>
    <row r="13062" ht="15.75" customHeight="1" spans="1:2">
      <c r="A13062" s="3" t="str">
        <f>IFERROR(__xludf.DUMMYFUNCTION("GOOGLETRANSLATE(A13062,""en"",""pt"")"),"desaprovação")</f>
        <v>desaprovação</v>
      </c>
      <c r="B13062" s="3">
        <v>0</v>
      </c>
    </row>
    <row r="13063" ht="15.75" customHeight="1" spans="1:2">
      <c r="A13063" s="3" t="str">
        <f>IFERROR(__xludf.DUMMYFUNCTION("GOOGLETRANSLATE(A13063,""en"",""pt"")"),"desaprovam")</f>
        <v>desaprovam</v>
      </c>
      <c r="B13063" s="3">
        <v>0</v>
      </c>
    </row>
    <row r="13064" ht="15.75" customHeight="1" spans="1:2">
      <c r="A13064" s="3" t="str">
        <f>IFERROR(__xludf.DUMMYFUNCTION("GOOGLETRANSLATE(A13064,""en"",""pt"")"),"desaprovação")</f>
        <v>desaprovação</v>
      </c>
      <c r="B13064" s="3">
        <v>0</v>
      </c>
    </row>
    <row r="13065" ht="15.75" customHeight="1" spans="1:2">
      <c r="A13065" s="3" t="str">
        <f>IFERROR(__xludf.DUMMYFUNCTION("GOOGLETRANSLATE(A13065,""en"",""pt"")"),"desarmar")</f>
        <v>desarmar</v>
      </c>
      <c r="B13065" s="3">
        <v>0</v>
      </c>
    </row>
    <row r="13066" ht="15.75" customHeight="1" spans="1:2">
      <c r="A13066" s="3" t="str">
        <f>IFERROR(__xludf.DUMMYFUNCTION("GOOGLETRANSLATE(A13066,""en"",""pt"")"),"desordem")</f>
        <v>desordem</v>
      </c>
      <c r="B13066" s="3">
        <v>0</v>
      </c>
    </row>
    <row r="13067" ht="15.75" customHeight="1" spans="1:2">
      <c r="A13067" s="3" t="str">
        <f>IFERROR(__xludf.DUMMYFUNCTION("GOOGLETRANSLATE(A13067,""en"",""pt"")"),"desastre")</f>
        <v>desastre</v>
      </c>
      <c r="B13067" s="3">
        <v>0</v>
      </c>
    </row>
    <row r="13068" ht="15.75" customHeight="1" spans="1:2">
      <c r="A13068" s="3" t="str">
        <f>IFERROR(__xludf.DUMMYFUNCTION("GOOGLETRANSLATE(A13068,""en"",""pt"")"),"desastroso")</f>
        <v>desastroso</v>
      </c>
      <c r="B13068" s="3">
        <v>0</v>
      </c>
    </row>
    <row r="13069" ht="15.75" customHeight="1" spans="1:2">
      <c r="A13069" s="3" t="str">
        <f>IFERROR(__xludf.DUMMYFUNCTION("GOOGLETRANSLATE(A13069,""en"",""pt"")"),"desastroso")</f>
        <v>desastroso</v>
      </c>
      <c r="B13069" s="3">
        <v>0</v>
      </c>
    </row>
    <row r="13070" ht="15.75" customHeight="1" spans="1:2">
      <c r="A13070" s="3" t="str">
        <f>IFERROR(__xludf.DUMMYFUNCTION("GOOGLETRANSLATE(A13070,""en"",""pt"")"),"desastrosamente")</f>
        <v>desastrosamente</v>
      </c>
      <c r="B13070" s="3">
        <v>0</v>
      </c>
    </row>
    <row r="13071" ht="15.75" customHeight="1" spans="1:2">
      <c r="A13071" s="3" t="str">
        <f>IFERROR(__xludf.DUMMYFUNCTION("GOOGLETRANSLATE(A13071,""en"",""pt"")"),"de rejeição")</f>
        <v>de rejeição</v>
      </c>
      <c r="B13071" s="3">
        <v>0</v>
      </c>
    </row>
    <row r="13072" ht="15.75" customHeight="1" spans="1:2">
      <c r="A13072" s="3" t="str">
        <f>IFERROR(__xludf.DUMMYFUNCTION("GOOGLETRANSLATE(A13072,""en"",""pt"")"),"repúdio")</f>
        <v>repúdio</v>
      </c>
      <c r="B13072" s="3">
        <v>0</v>
      </c>
    </row>
    <row r="13073" ht="15.75" customHeight="1" spans="1:2">
      <c r="A13073" s="3" t="str">
        <f>IFERROR(__xludf.DUMMYFUNCTION("GOOGLETRANSLATE(A13073,""en"",""pt"")"),"descrença")</f>
        <v>descrença</v>
      </c>
      <c r="B13073" s="3">
        <v>0</v>
      </c>
    </row>
    <row r="13074" ht="15.75" customHeight="1" spans="1:2">
      <c r="A13074" s="3" t="str">
        <f>IFERROR(__xludf.DUMMYFUNCTION("GOOGLETRANSLATE(A13074,""en"",""pt"")"),"descrer")</f>
        <v>descrer</v>
      </c>
      <c r="B13074" s="3">
        <v>0</v>
      </c>
    </row>
    <row r="13075" ht="15.75" customHeight="1" spans="1:2">
      <c r="A13075" s="3" t="str">
        <f>IFERROR(__xludf.DUMMYFUNCTION("GOOGLETRANSLATE(A13075,""en"",""pt"")"),"descrente")</f>
        <v>descrente</v>
      </c>
      <c r="B13075" s="3">
        <v>0</v>
      </c>
    </row>
    <row r="13076" ht="15.75" customHeight="1" spans="1:2">
      <c r="A13076" s="3" t="str">
        <f>IFERROR(__xludf.DUMMYFUNCTION("GOOGLETRANSLATE(A13076,""en"",""pt"")"),"REJEITAM")</f>
        <v>REJEITAM</v>
      </c>
      <c r="B13076" s="3">
        <v>0</v>
      </c>
    </row>
    <row r="13077" ht="15.75" customHeight="1" spans="1:2">
      <c r="A13077" s="3" t="str">
        <f>IFERROR(__xludf.DUMMYFUNCTION("GOOGLETRANSLATE(A13077,""en"",""pt"")"),"discombobulate")</f>
        <v>discombobulate</v>
      </c>
      <c r="B13077" s="3">
        <v>0</v>
      </c>
    </row>
    <row r="13078" ht="15.75" customHeight="1" spans="1:2">
      <c r="A13078" s="3" t="str">
        <f>IFERROR(__xludf.DUMMYFUNCTION("GOOGLETRANSLATE(A13078,""en"",""pt"")"),"discomfit")</f>
        <v>discomfit</v>
      </c>
      <c r="B13078" s="3">
        <v>0</v>
      </c>
    </row>
    <row r="13079" ht="15.75" customHeight="1" spans="1:2">
      <c r="A13079" s="3" t="str">
        <f>IFERROR(__xludf.DUMMYFUNCTION("GOOGLETRANSLATE(A13079,""en"",""pt"")"),"discomfititure")</f>
        <v>discomfititure</v>
      </c>
      <c r="B13079" s="3">
        <v>0</v>
      </c>
    </row>
    <row r="13080" ht="15.75" customHeight="1" spans="1:2">
      <c r="A13080" s="3" t="str">
        <f>IFERROR(__xludf.DUMMYFUNCTION("GOOGLETRANSLATE(A13080,""en"",""pt"")"),"desconforto")</f>
        <v>desconforto</v>
      </c>
      <c r="B13080" s="3">
        <v>0</v>
      </c>
    </row>
    <row r="13081" ht="15.75" customHeight="1" spans="1:2">
      <c r="A13081" s="3" t="str">
        <f>IFERROR(__xludf.DUMMYFUNCTION("GOOGLETRANSLATE(A13081,""en"",""pt"")"),"descompor")</f>
        <v>descompor</v>
      </c>
      <c r="B13081" s="3">
        <v>0</v>
      </c>
    </row>
    <row r="13082" ht="15.75" customHeight="1" spans="1:2">
      <c r="A13082" s="3" t="str">
        <f>IFERROR(__xludf.DUMMYFUNCTION("GOOGLETRANSLATE(A13082,""en"",""pt"")"),"desconcertar")</f>
        <v>desconcertar</v>
      </c>
      <c r="B13082" s="3">
        <v>0</v>
      </c>
    </row>
    <row r="13083" ht="15.75" customHeight="1" spans="1:2">
      <c r="A13083" s="3" t="str">
        <f>IFERROR(__xludf.DUMMYFUNCTION("GOOGLETRANSLATE(A13083,""en"",""pt"")"),"desconcertado")</f>
        <v>desconcertado</v>
      </c>
      <c r="B13083" s="3">
        <v>0</v>
      </c>
    </row>
    <row r="13084" ht="15.75" customHeight="1" spans="1:2">
      <c r="A13084" s="3" t="str">
        <f>IFERROR(__xludf.DUMMYFUNCTION("GOOGLETRANSLATE(A13084,""en"",""pt"")"),"desconcertante")</f>
        <v>desconcertante</v>
      </c>
      <c r="B13084" s="3">
        <v>0</v>
      </c>
    </row>
    <row r="13085" ht="15.75" customHeight="1" spans="1:2">
      <c r="A13085" s="3" t="str">
        <f>IFERROR(__xludf.DUMMYFUNCTION("GOOGLETRANSLATE(A13085,""en"",""pt"")"),"desconcertantemente")</f>
        <v>desconcertantemente</v>
      </c>
      <c r="B13085" s="3">
        <v>0</v>
      </c>
    </row>
    <row r="13086" ht="15.75" customHeight="1" spans="1:2">
      <c r="A13086" s="3" t="str">
        <f>IFERROR(__xludf.DUMMYFUNCTION("GOOGLETRANSLATE(A13086,""en"",""pt"")"),"desconsolado")</f>
        <v>desconsolado</v>
      </c>
      <c r="B13086" s="3">
        <v>0</v>
      </c>
    </row>
    <row r="13087" ht="15.75" customHeight="1" spans="1:2">
      <c r="A13087" s="3" t="str">
        <f>IFERROR(__xludf.DUMMYFUNCTION("GOOGLETRANSLATE(A13087,""en"",""pt"")"),"desconsoladamente")</f>
        <v>desconsoladamente</v>
      </c>
      <c r="B13087" s="3">
        <v>0</v>
      </c>
    </row>
    <row r="13088" ht="15.75" customHeight="1" spans="1:2">
      <c r="A13088" s="3" t="str">
        <f>IFERROR(__xludf.DUMMYFUNCTION("GOOGLETRANSLATE(A13088,""en"",""pt"")"),"desconsolo")</f>
        <v>desconsolo</v>
      </c>
      <c r="B13088" s="3">
        <v>0</v>
      </c>
    </row>
    <row r="13089" ht="15.75" customHeight="1" spans="1:2">
      <c r="A13089" s="3" t="str">
        <f>IFERROR(__xludf.DUMMYFUNCTION("GOOGLETRANSLATE(A13089,""en"",""pt"")"),"descontentamento")</f>
        <v>descontentamento</v>
      </c>
      <c r="B13089" s="3">
        <v>0</v>
      </c>
    </row>
    <row r="13090" ht="15.75" customHeight="1" spans="1:2">
      <c r="A13090" s="3" t="str">
        <f>IFERROR(__xludf.DUMMYFUNCTION("GOOGLETRANSLATE(A13090,""en"",""pt"")"),"descontente")</f>
        <v>descontente</v>
      </c>
      <c r="B13090" s="3">
        <v>0</v>
      </c>
    </row>
    <row r="13091" ht="15.75" customHeight="1" spans="1:2">
      <c r="A13091" s="3" t="str">
        <f>IFERROR(__xludf.DUMMYFUNCTION("GOOGLETRANSLATE(A13091,""en"",""pt"")"),"insatisfeita")</f>
        <v>insatisfeita</v>
      </c>
      <c r="B13091" s="3">
        <v>0</v>
      </c>
    </row>
    <row r="13092" ht="15.75" customHeight="1" spans="1:2">
      <c r="A13092" s="3" t="str">
        <f>IFERROR(__xludf.DUMMYFUNCTION("GOOGLETRANSLATE(A13092,""en"",""pt"")"),"interrompido")</f>
        <v>interrompido</v>
      </c>
      <c r="B13092" s="3">
        <v>0</v>
      </c>
    </row>
    <row r="13093" ht="15.75" customHeight="1" spans="1:2">
      <c r="A13093" s="3" t="str">
        <f>IFERROR(__xludf.DUMMYFUNCTION("GOOGLETRANSLATE(A13093,""en"",""pt"")"),"descontinuidade")</f>
        <v>descontinuidade</v>
      </c>
      <c r="B13093" s="3">
        <v>0</v>
      </c>
    </row>
    <row r="13094" ht="15.75" customHeight="1" spans="1:2">
      <c r="A13094" s="3" t="str">
        <f>IFERROR(__xludf.DUMMYFUNCTION("GOOGLETRANSLATE(A13094,""en"",""pt"")"),"descontínuo")</f>
        <v>descontínuo</v>
      </c>
      <c r="B13094" s="3">
        <v>0</v>
      </c>
    </row>
    <row r="13095" ht="15.75" customHeight="1" spans="1:2">
      <c r="A13095" s="3" t="str">
        <f>IFERROR(__xludf.DUMMYFUNCTION("GOOGLETRANSLATE(A13095,""en"",""pt"")"),"discórdia")</f>
        <v>discórdia</v>
      </c>
      <c r="B13095" s="3">
        <v>0</v>
      </c>
    </row>
    <row r="13096" ht="15.75" customHeight="1" spans="1:2">
      <c r="A13096" s="3" t="str">
        <f>IFERROR(__xludf.DUMMYFUNCTION("GOOGLETRANSLATE(A13096,""en"",""pt"")"),"discordância")</f>
        <v>discordância</v>
      </c>
      <c r="B13096" s="3">
        <v>0</v>
      </c>
    </row>
    <row r="13097" ht="15.75" customHeight="1" spans="1:2">
      <c r="A13097" s="3" t="str">
        <f>IFERROR(__xludf.DUMMYFUNCTION("GOOGLETRANSLATE(A13097,""en"",""pt"")"),"discordante")</f>
        <v>discordante</v>
      </c>
      <c r="B13097" s="3">
        <v>0</v>
      </c>
    </row>
    <row r="13098" ht="15.75" customHeight="1" spans="1:2">
      <c r="A13098" s="3" t="s">
        <v>59</v>
      </c>
      <c r="B13098" s="3">
        <v>0</v>
      </c>
    </row>
    <row r="13099" ht="15.75" customHeight="1" spans="1:2">
      <c r="A13099" s="3" t="s">
        <v>60</v>
      </c>
      <c r="B13099" s="3">
        <v>0</v>
      </c>
    </row>
    <row r="13100" ht="15.75" customHeight="1" spans="1:2">
      <c r="A13100" s="3" t="str">
        <f>IFERROR(__xludf.DUMMYFUNCTION("GOOGLETRANSLATE(A13100,""en"",""pt"")"),"desânimo")</f>
        <v>desânimo</v>
      </c>
      <c r="B13100" s="3">
        <v>0</v>
      </c>
    </row>
    <row r="13101" ht="15.75" customHeight="1" spans="1:2">
      <c r="A13101" s="3" t="str">
        <f>IFERROR(__xludf.DUMMYFUNCTION("GOOGLETRANSLATE(A13101,""en"",""pt"")"),"desencorajando")</f>
        <v>desencorajando</v>
      </c>
      <c r="B13101" s="3">
        <v>0</v>
      </c>
    </row>
    <row r="13102" ht="15.75" customHeight="1" spans="1:2">
      <c r="A13102" s="3" t="str">
        <f>IFERROR(__xludf.DUMMYFUNCTION("GOOGLETRANSLATE(A13102,""en"",""pt"")"),"desencorajadoramente")</f>
        <v>desencorajadoramente</v>
      </c>
      <c r="B13102" s="3">
        <v>0</v>
      </c>
    </row>
    <row r="13103" ht="15.75" customHeight="1" spans="1:2">
      <c r="A13103" s="3" t="str">
        <f>IFERROR(__xludf.DUMMYFUNCTION("GOOGLETRANSLATE(A13103,""en"",""pt"")"),"descortês")</f>
        <v>descortês</v>
      </c>
      <c r="B13103" s="3">
        <v>0</v>
      </c>
    </row>
    <row r="13104" ht="15.75" customHeight="1" spans="1:2">
      <c r="A13104" s="3" t="str">
        <f>IFERROR(__xludf.DUMMYFUNCTION("GOOGLETRANSLATE(A13104,""en"",""pt"")"),"discourteously")</f>
        <v>discourteously</v>
      </c>
      <c r="B13104" s="3">
        <v>0</v>
      </c>
    </row>
    <row r="13105" ht="15.75" customHeight="1" spans="1:2">
      <c r="A13105" s="3" t="str">
        <f>IFERROR(__xludf.DUMMYFUNCTION("GOOGLETRANSLATE(A13105,""en"",""pt"")"),"discoutinous")</f>
        <v>discoutinous</v>
      </c>
      <c r="B13105" s="3">
        <v>0</v>
      </c>
    </row>
    <row r="13106" ht="15.75" customHeight="1" spans="1:2">
      <c r="A13106" s="3" t="str">
        <f>IFERROR(__xludf.DUMMYFUNCTION("GOOGLETRANSLATE(A13106,""en"",""pt"")"),"desacreditar")</f>
        <v>desacreditar</v>
      </c>
      <c r="B13106" s="3">
        <v>0</v>
      </c>
    </row>
    <row r="13107" ht="15.75" customHeight="1" spans="1:2">
      <c r="A13107" s="3" t="str">
        <f>IFERROR(__xludf.DUMMYFUNCTION("GOOGLETRANSLATE(A13107,""en"",""pt"")"),"discrepante")</f>
        <v>discrepante</v>
      </c>
      <c r="B13107" s="3">
        <v>0</v>
      </c>
    </row>
    <row r="13108" ht="15.75" customHeight="1" spans="1:2">
      <c r="A13108" s="3" t="str">
        <f>IFERROR(__xludf.DUMMYFUNCTION("GOOGLETRANSLATE(A13108,""en"",""pt"")"),"discriminar")</f>
        <v>discriminar</v>
      </c>
      <c r="B13108" s="3">
        <v>0</v>
      </c>
    </row>
    <row r="13109" ht="15.75" customHeight="1" spans="1:2">
      <c r="A13109" s="3" t="str">
        <f>IFERROR(__xludf.DUMMYFUNCTION("GOOGLETRANSLATE(A13109,""en"",""pt"")"),"discriminação")</f>
        <v>discriminação</v>
      </c>
      <c r="B13109" s="3">
        <v>0</v>
      </c>
    </row>
    <row r="13110" ht="15.75" customHeight="1" spans="1:2">
      <c r="A13110" s="3" t="str">
        <f>IFERROR(__xludf.DUMMYFUNCTION("GOOGLETRANSLATE(A13110,""en"",""pt"")"),"discriminatória")</f>
        <v>discriminatória</v>
      </c>
      <c r="B13110" s="3">
        <v>0</v>
      </c>
    </row>
    <row r="13111" ht="15.75" customHeight="1" spans="1:2">
      <c r="A13111" s="3" t="str">
        <f>IFERROR(__xludf.DUMMYFUNCTION("GOOGLETRANSLATE(A13111,""en"",""pt"")"),"desdém")</f>
        <v>desdém</v>
      </c>
      <c r="B13111" s="3">
        <v>0</v>
      </c>
    </row>
    <row r="13112" ht="15.75" customHeight="1" spans="1:2">
      <c r="A13112" s="3" t="str">
        <f>IFERROR(__xludf.DUMMYFUNCTION("GOOGLETRANSLATE(A13112,""en"",""pt"")"),"desdenhado")</f>
        <v>desdenhado</v>
      </c>
      <c r="B13112" s="3">
        <v>0</v>
      </c>
    </row>
    <row r="13113" ht="15.75" customHeight="1" spans="1:2">
      <c r="A13113" s="3" t="str">
        <f>IFERROR(__xludf.DUMMYFUNCTION("GOOGLETRANSLATE(A13113,""en"",""pt"")"),"desdenhoso")</f>
        <v>desdenhoso</v>
      </c>
      <c r="B13113" s="3">
        <v>0</v>
      </c>
    </row>
    <row r="13114" ht="15.75" customHeight="1" spans="1:2">
      <c r="A13114" s="3" t="str">
        <f>IFERROR(__xludf.DUMMYFUNCTION("GOOGLETRANSLATE(A13114,""en"",""pt"")"),"desdenhosamente")</f>
        <v>desdenhosamente</v>
      </c>
      <c r="B13114" s="3">
        <v>0</v>
      </c>
    </row>
    <row r="13115" ht="15.75" customHeight="1" spans="1:2">
      <c r="A13115" s="3" t="str">
        <f>IFERROR(__xludf.DUMMYFUNCTION("GOOGLETRANSLATE(A13115,""en"",""pt"")"),"desfavor")</f>
        <v>desfavor</v>
      </c>
      <c r="B13115" s="3">
        <v>0</v>
      </c>
    </row>
    <row r="13116" ht="15.75" customHeight="1" spans="1:2">
      <c r="A13116" s="3" t="str">
        <f>IFERROR(__xludf.DUMMYFUNCTION("GOOGLETRANSLATE(A13116,""en"",""pt"")"),"desgraça")</f>
        <v>desgraça</v>
      </c>
      <c r="B13116" s="3">
        <v>0</v>
      </c>
    </row>
    <row r="13117" ht="15.75" customHeight="1" spans="1:2">
      <c r="A13117" s="3" t="str">
        <f>IFERROR(__xludf.DUMMYFUNCTION("GOOGLETRANSLATE(A13117,""en"",""pt"")"),"desonrado")</f>
        <v>desonrado</v>
      </c>
      <c r="B13117" s="3">
        <v>0</v>
      </c>
    </row>
    <row r="13118" ht="15.75" customHeight="1" spans="1:2">
      <c r="A13118" s="3" t="str">
        <f>IFERROR(__xludf.DUMMYFUNCTION("GOOGLETRANSLATE(A13118,""en"",""pt"")"),"vergonhoso")</f>
        <v>vergonhoso</v>
      </c>
      <c r="B13118" s="3">
        <v>0</v>
      </c>
    </row>
    <row r="13119" ht="15.75" customHeight="1" spans="1:2">
      <c r="A13119" s="3" t="str">
        <f>IFERROR(__xludf.DUMMYFUNCTION("GOOGLETRANSLATE(A13119,""en"",""pt"")"),"desgraçadamente")</f>
        <v>desgraçadamente</v>
      </c>
      <c r="B13119" s="3">
        <v>0</v>
      </c>
    </row>
    <row r="13120" ht="15.75" customHeight="1" spans="1:2">
      <c r="A13120" s="3" t="str">
        <f>IFERROR(__xludf.DUMMYFUNCTION("GOOGLETRANSLATE(A13120,""en"",""pt"")"),"enfadar")</f>
        <v>enfadar</v>
      </c>
      <c r="B13120" s="3">
        <v>0</v>
      </c>
    </row>
    <row r="13121" ht="15.75" customHeight="1" spans="1:2">
      <c r="A13121" s="3" t="str">
        <f>IFERROR(__xludf.DUMMYFUNCTION("GOOGLETRANSLATE(A13121,""en"",""pt"")"),"desapontado")</f>
        <v>desapontado</v>
      </c>
      <c r="B13121" s="3">
        <v>0</v>
      </c>
    </row>
    <row r="13122" ht="15.75" customHeight="1" spans="1:2">
      <c r="A13122" s="3" t="str">
        <f>IFERROR(__xludf.DUMMYFUNCTION("GOOGLETRANSLATE(A13122,""en"",""pt"")"),"desgosto")</f>
        <v>desgosto</v>
      </c>
      <c r="B13122" s="3">
        <v>0</v>
      </c>
    </row>
    <row r="13123" ht="15.75" customHeight="1" spans="1:2">
      <c r="A13123" s="3" t="str">
        <f>IFERROR(__xludf.DUMMYFUNCTION("GOOGLETRANSLATE(A13123,""en"",""pt"")"),"com nojo")</f>
        <v>com nojo</v>
      </c>
      <c r="B13123" s="3">
        <v>0</v>
      </c>
    </row>
    <row r="13124" ht="15.75" customHeight="1" spans="1:2">
      <c r="A13124" s="3" t="str">
        <f>IFERROR(__xludf.DUMMYFUNCTION("GOOGLETRANSLATE(A13124,""en"",""pt"")"),"desgostoso")</f>
        <v>desgostoso</v>
      </c>
      <c r="B13124" s="3">
        <v>0</v>
      </c>
    </row>
    <row r="13125" ht="15.75" customHeight="1" spans="1:2">
      <c r="A13125" s="3" t="str">
        <f>IFERROR(__xludf.DUMMYFUNCTION("GOOGLETRANSLATE(A13125,""en"",""pt"")"),"desgostoso")</f>
        <v>desgostoso</v>
      </c>
      <c r="B13125" s="3">
        <v>0</v>
      </c>
    </row>
    <row r="13126" ht="15.75" customHeight="1" spans="1:2">
      <c r="A13126" s="3" t="str">
        <f>IFERROR(__xludf.DUMMYFUNCTION("GOOGLETRANSLATE(A13126,""en"",""pt"")"),"disgustfully")</f>
        <v>disgustfully</v>
      </c>
      <c r="B13126" s="3">
        <v>0</v>
      </c>
    </row>
    <row r="13127" ht="15.75" customHeight="1" spans="1:2">
      <c r="A13127" s="3" t="str">
        <f>IFERROR(__xludf.DUMMYFUNCTION("GOOGLETRANSLATE(A13127,""en"",""pt"")"),"repugnante")</f>
        <v>repugnante</v>
      </c>
      <c r="B13127" s="3">
        <v>0</v>
      </c>
    </row>
    <row r="13128" ht="15.75" customHeight="1" spans="1:2">
      <c r="A13128" s="3" t="str">
        <f>IFERROR(__xludf.DUMMYFUNCTION("GOOGLETRANSLATE(A13128,""en"",""pt"")"),"repugnantemente")</f>
        <v>repugnantemente</v>
      </c>
      <c r="B13128" s="3">
        <v>0</v>
      </c>
    </row>
    <row r="13129" ht="15.75" customHeight="1" spans="1:2">
      <c r="A13129" s="3" t="str">
        <f>IFERROR(__xludf.DUMMYFUNCTION("GOOGLETRANSLATE(A13129,""en"",""pt"")"),"desanimador")</f>
        <v>desanimador</v>
      </c>
      <c r="B13129" s="3">
        <v>0</v>
      </c>
    </row>
    <row r="13130" ht="15.75" customHeight="1" spans="1:2">
      <c r="A13130" s="3" t="str">
        <f>IFERROR(__xludf.DUMMYFUNCTION("GOOGLETRANSLATE(A13130,""en"",""pt"")"),"desanimador")</f>
        <v>desanimador</v>
      </c>
      <c r="B13130" s="3">
        <v>0</v>
      </c>
    </row>
    <row r="13131" ht="15.75" customHeight="1" spans="1:2">
      <c r="A13131" s="3" t="str">
        <f>IFERROR(__xludf.DUMMYFUNCTION("GOOGLETRANSLATE(A13131,""en"",""pt"")"),"dishearteningly")</f>
        <v>dishearteningly</v>
      </c>
      <c r="B13131" s="3">
        <v>0</v>
      </c>
    </row>
    <row r="13132" ht="15.75" customHeight="1" spans="1:2">
      <c r="A13132" s="3" t="str">
        <f>IFERROR(__xludf.DUMMYFUNCTION("GOOGLETRANSLATE(A13132,""en"",""pt"")"),"desonesto")</f>
        <v>desonesto</v>
      </c>
      <c r="B13132" s="3">
        <v>0</v>
      </c>
    </row>
    <row r="13133" ht="15.75" customHeight="1" spans="1:2">
      <c r="A13133" s="3" t="str">
        <f>IFERROR(__xludf.DUMMYFUNCTION("GOOGLETRANSLATE(A13133,""en"",""pt"")"),"desonestamente")</f>
        <v>desonestamente</v>
      </c>
      <c r="B13133" s="3">
        <v>0</v>
      </c>
    </row>
    <row r="13134" ht="15.75" customHeight="1" spans="1:2">
      <c r="A13134" s="3" t="str">
        <f>IFERROR(__xludf.DUMMYFUNCTION("GOOGLETRANSLATE(A13134,""en"",""pt"")"),"desonestidade")</f>
        <v>desonestidade</v>
      </c>
      <c r="B13134" s="3">
        <v>0</v>
      </c>
    </row>
    <row r="13135" ht="15.75" customHeight="1" spans="1:2">
      <c r="A13135" s="3" t="s">
        <v>61</v>
      </c>
      <c r="B13135" s="3">
        <v>0</v>
      </c>
    </row>
    <row r="13136" ht="15.75" customHeight="1" spans="1:2">
      <c r="A13136" s="3" t="str">
        <f>IFERROR(__xludf.DUMMYFUNCTION("GOOGLETRANSLATE(A13136,""en"",""pt"")"),"desonroso")</f>
        <v>desonroso</v>
      </c>
      <c r="B13136" s="3">
        <v>0</v>
      </c>
    </row>
    <row r="13137" ht="15.75" customHeight="1" spans="1:2">
      <c r="A13137" s="3" t="s">
        <v>62</v>
      </c>
      <c r="B13137" s="3">
        <v>0</v>
      </c>
    </row>
    <row r="13138" ht="15.75" customHeight="1" spans="1:2">
      <c r="A13138" s="3" t="str">
        <f>IFERROR(__xludf.DUMMYFUNCTION("GOOGLETRANSLATE(A13138,""en"",""pt"")"),"desilusão")</f>
        <v>desilusão</v>
      </c>
      <c r="B13138" s="3">
        <v>0</v>
      </c>
    </row>
    <row r="13139" ht="15.75" customHeight="1" spans="1:2">
      <c r="A13139" s="3" t="str">
        <f>IFERROR(__xludf.DUMMYFUNCTION("GOOGLETRANSLATE(A13139,""en"",""pt"")"),"desiludidos")</f>
        <v>desiludidos</v>
      </c>
      <c r="B13139" s="3">
        <v>0</v>
      </c>
    </row>
    <row r="13140" ht="15.75" customHeight="1" spans="1:2">
      <c r="A13140" s="3" t="str">
        <f>IFERROR(__xludf.DUMMYFUNCTION("GOOGLETRANSLATE(A13140,""en"",""pt"")"),"desilusão")</f>
        <v>desilusão</v>
      </c>
      <c r="B13140" s="3">
        <v>0</v>
      </c>
    </row>
    <row r="13141" ht="15.75" customHeight="1" spans="1:2">
      <c r="A13141" s="3" t="str">
        <f>IFERROR(__xludf.DUMMYFUNCTION("GOOGLETRANSLATE(A13141,""en"",""pt"")"),"desilusões")</f>
        <v>desilusões</v>
      </c>
      <c r="B13141" s="3">
        <v>0</v>
      </c>
    </row>
    <row r="13142" ht="15.75" customHeight="1" spans="1:2">
      <c r="A13142" s="3" t="str">
        <f>IFERROR(__xludf.DUMMYFUNCTION("GOOGLETRANSLATE(A13142,""en"",""pt"")"),"aversão")</f>
        <v>aversão</v>
      </c>
      <c r="B13142" s="3">
        <v>0</v>
      </c>
    </row>
    <row r="13143" ht="15.75" customHeight="1" spans="1:2">
      <c r="A13143" s="3" t="str">
        <f>IFERROR(__xludf.DUMMYFUNCTION("GOOGLETRANSLATE(A13143,""en"",""pt"")"),"inclinado")</f>
        <v>inclinado</v>
      </c>
      <c r="B13143" s="3">
        <v>0</v>
      </c>
    </row>
    <row r="13144" ht="15.75" customHeight="1" spans="1:2">
      <c r="A13144" s="3" t="str">
        <f>IFERROR(__xludf.DUMMYFUNCTION("GOOGLETRANSLATE(A13144,""en"",""pt"")"),"dissimulado")</f>
        <v>dissimulado</v>
      </c>
      <c r="B13144" s="3">
        <v>0</v>
      </c>
    </row>
    <row r="13145" ht="15.75" customHeight="1" spans="1:2">
      <c r="A13145" s="3" t="str">
        <f>IFERROR(__xludf.DUMMYFUNCTION("GOOGLETRANSLATE(A13145,""en"",""pt"")"),"disingenuously")</f>
        <v>disingenuously</v>
      </c>
      <c r="B13145" s="3">
        <v>0</v>
      </c>
    </row>
    <row r="13146" ht="15.75" customHeight="1" spans="1:2">
      <c r="A13146" s="3" t="s">
        <v>63</v>
      </c>
      <c r="B13146" s="3">
        <v>0</v>
      </c>
    </row>
    <row r="13147" ht="15.75" customHeight="1" spans="1:2">
      <c r="A13147" s="3" t="str">
        <f>IFERROR(__xludf.DUMMYFUNCTION("GOOGLETRANSLATE(A13147,""en"",""pt"")"),"desintegrado")</f>
        <v>desintegrado</v>
      </c>
      <c r="B13147" s="3">
        <v>0</v>
      </c>
    </row>
    <row r="13148" ht="15.75" customHeight="1" spans="1:2">
      <c r="A13148" s="3" t="str">
        <f>IFERROR(__xludf.DUMMYFUNCTION("GOOGLETRANSLATE(A13148,""en"",""pt"")"),"desintegra")</f>
        <v>desintegra</v>
      </c>
      <c r="B13148" s="3">
        <v>0</v>
      </c>
    </row>
    <row r="13149" ht="15.75" customHeight="1" spans="1:2">
      <c r="A13149" s="3" t="str">
        <f>IFERROR(__xludf.DUMMYFUNCTION("GOOGLETRANSLATE(A13149,""en"",""pt"")"),"desintegração")</f>
        <v>desintegração</v>
      </c>
      <c r="B13149" s="3">
        <v>0</v>
      </c>
    </row>
    <row r="13150" ht="15.75" customHeight="1" spans="1:2">
      <c r="A13150" s="3" t="str">
        <f>IFERROR(__xludf.DUMMYFUNCTION("GOOGLETRANSLATE(A13150,""en"",""pt"")"),"desinteresse")</f>
        <v>desinteresse</v>
      </c>
      <c r="B13150" s="3">
        <v>0</v>
      </c>
    </row>
    <row r="13151" ht="15.75" customHeight="1" spans="1:2">
      <c r="A13151" s="3" t="str">
        <f>IFERROR(__xludf.DUMMYFUNCTION("GOOGLETRANSLATE(A13151,""en"",""pt"")"),"desinteressado")</f>
        <v>desinteressado</v>
      </c>
      <c r="B13151" s="3">
        <v>0</v>
      </c>
    </row>
    <row r="13152" ht="15.75" customHeight="1" spans="1:2">
      <c r="A13152" s="3" t="str">
        <f>IFERROR(__xludf.DUMMYFUNCTION("GOOGLETRANSLATE(A13152,""en"",""pt"")"),"antipatia")</f>
        <v>antipatia</v>
      </c>
      <c r="B13152" s="3">
        <v>0</v>
      </c>
    </row>
    <row r="13153" ht="15.75" customHeight="1" spans="1:2">
      <c r="A13153" s="3" t="str">
        <f>IFERROR(__xludf.DUMMYFUNCTION("GOOGLETRANSLATE(A13153,""en"",""pt"")"),"não gostei")</f>
        <v>não gostei</v>
      </c>
      <c r="B13153" s="3">
        <v>0</v>
      </c>
    </row>
    <row r="13154" ht="15.75" customHeight="1" spans="1:2">
      <c r="A13154" s="3" t="str">
        <f>IFERROR(__xludf.DUMMYFUNCTION("GOOGLETRANSLATE(A13154,""en"",""pt"")"),"desgostos")</f>
        <v>desgostos</v>
      </c>
      <c r="B13154" s="3">
        <v>0</v>
      </c>
    </row>
    <row r="13155" ht="15.75" customHeight="1" spans="1:2">
      <c r="A13155" s="3" t="str">
        <f>IFERROR(__xludf.DUMMYFUNCTION("GOOGLETRANSLATE(A13155,""en"",""pt"")"),"disliking")</f>
        <v>disliking</v>
      </c>
      <c r="B13155" s="3">
        <v>0</v>
      </c>
    </row>
    <row r="13156" ht="15.75" customHeight="1" spans="1:2">
      <c r="A13156" s="3" t="str">
        <f>IFERROR(__xludf.DUMMYFUNCTION("GOOGLETRANSLATE(A13156,""en"",""pt"")"),"deslocado")</f>
        <v>deslocado</v>
      </c>
      <c r="B13156" s="3">
        <v>0</v>
      </c>
    </row>
    <row r="13157" ht="15.75" customHeight="1" spans="1:2">
      <c r="A13157" s="3" t="str">
        <f>IFERROR(__xludf.DUMMYFUNCTION("GOOGLETRANSLATE(A13157,""en"",""pt"")"),"desleal")</f>
        <v>desleal</v>
      </c>
      <c r="B13157" s="3">
        <v>0</v>
      </c>
    </row>
    <row r="13158" ht="15.75" customHeight="1" spans="1:2">
      <c r="A13158" s="3" t="str">
        <f>IFERROR(__xludf.DUMMYFUNCTION("GOOGLETRANSLATE(A13158,""en"",""pt"")"),"deslealdade")</f>
        <v>deslealdade</v>
      </c>
      <c r="B13158" s="3">
        <v>0</v>
      </c>
    </row>
    <row r="13159" ht="15.75" customHeight="1" spans="1:2">
      <c r="A13159" s="3" t="str">
        <f>IFERROR(__xludf.DUMMYFUNCTION("GOOGLETRANSLATE(A13159,""en"",""pt"")"),"sombrio")</f>
        <v>sombrio</v>
      </c>
      <c r="B13159" s="3">
        <v>0</v>
      </c>
    </row>
    <row r="13160" ht="15.75" customHeight="1" spans="1:2">
      <c r="A13160" s="3" t="str">
        <f>IFERROR(__xludf.DUMMYFUNCTION("GOOGLETRANSLATE(A13160,""en"",""pt"")"),"dismally")</f>
        <v>dismally</v>
      </c>
      <c r="B13160" s="3">
        <v>0</v>
      </c>
    </row>
    <row r="13161" ht="15.75" customHeight="1" spans="1:2">
      <c r="A13161" s="3" t="str">
        <f>IFERROR(__xludf.DUMMYFUNCTION("GOOGLETRANSLATE(A13161,""en"",""pt"")"),"dismalness")</f>
        <v>dismalness</v>
      </c>
      <c r="B13161" s="3">
        <v>0</v>
      </c>
    </row>
    <row r="13162" ht="15.75" customHeight="1" spans="1:2">
      <c r="A13162" s="3" t="str">
        <f>IFERROR(__xludf.DUMMYFUNCTION("GOOGLETRANSLATE(A13162,""en"",""pt"")"),"desânimo")</f>
        <v>desânimo</v>
      </c>
      <c r="B13162" s="3">
        <v>0</v>
      </c>
    </row>
    <row r="13163" ht="15.75" customHeight="1" spans="1:2">
      <c r="A13163" s="3" t="str">
        <f>IFERROR(__xludf.DUMMYFUNCTION("GOOGLETRANSLATE(A13163,""en"",""pt"")"),"consternado")</f>
        <v>consternado</v>
      </c>
      <c r="B13163" s="3">
        <v>0</v>
      </c>
    </row>
    <row r="13164" ht="15.75" customHeight="1" spans="1:2">
      <c r="A13164" s="3" t="str">
        <f>IFERROR(__xludf.DUMMYFUNCTION("GOOGLETRANSLATE(A13164,""en"",""pt"")"),"dismaying")</f>
        <v>dismaying</v>
      </c>
      <c r="B13164" s="3">
        <v>0</v>
      </c>
    </row>
    <row r="13165" ht="15.75" customHeight="1" spans="1:2">
      <c r="A13165" s="3" t="str">
        <f>IFERROR(__xludf.DUMMYFUNCTION("GOOGLETRANSLATE(A13165,""en"",""pt"")"),"assustadoramente")</f>
        <v>assustadoramente</v>
      </c>
      <c r="B13165" s="3">
        <v>0</v>
      </c>
    </row>
    <row r="13166" ht="15.75" customHeight="1" spans="1:2">
      <c r="A13166" s="3" t="str">
        <f>IFERROR(__xludf.DUMMYFUNCTION("GOOGLETRANSLATE(A13166,""en"",""pt"")"),"desconsiderado")</f>
        <v>desconsiderado</v>
      </c>
      <c r="B13166" s="3">
        <v>0</v>
      </c>
    </row>
    <row r="13167" ht="15.75" customHeight="1" spans="1:2">
      <c r="A13167" s="3" t="str">
        <f>IFERROR(__xludf.DUMMYFUNCTION("GOOGLETRANSLATE(A13167,""en"",""pt"")"),"dismissively")</f>
        <v>dismissively</v>
      </c>
      <c r="B13167" s="3">
        <v>0</v>
      </c>
    </row>
    <row r="13168" ht="15.75" customHeight="1" spans="1:2">
      <c r="A13168" s="3" t="str">
        <f>IFERROR(__xludf.DUMMYFUNCTION("GOOGLETRANSLATE(A13168,""en"",""pt"")"),"desobediência")</f>
        <v>desobediência</v>
      </c>
      <c r="B13168" s="3">
        <v>0</v>
      </c>
    </row>
    <row r="13169" ht="15.75" customHeight="1" spans="1:2">
      <c r="A13169" s="3" t="str">
        <f>IFERROR(__xludf.DUMMYFUNCTION("GOOGLETRANSLATE(A13169,""en"",""pt"")"),"desobediente")</f>
        <v>desobediente</v>
      </c>
      <c r="B13169" s="3">
        <v>0</v>
      </c>
    </row>
    <row r="13170" ht="15.75" customHeight="1" spans="1:2">
      <c r="A13170" s="3" t="str">
        <f>IFERROR(__xludf.DUMMYFUNCTION("GOOGLETRANSLATE(A13170,""en"",""pt"")"),"desobedecer")</f>
        <v>desobedecer</v>
      </c>
      <c r="B13170" s="3">
        <v>0</v>
      </c>
    </row>
    <row r="13171" ht="15.75" customHeight="1" spans="1:2">
      <c r="A13171" s="3" t="str">
        <f>IFERROR(__xludf.DUMMYFUNCTION("GOOGLETRANSLATE(A13171,""en"",""pt"")"),"disoobedient")</f>
        <v>disoobedient</v>
      </c>
      <c r="B13171" s="3">
        <v>0</v>
      </c>
    </row>
    <row r="13172" ht="15.75" customHeight="1" spans="1:2">
      <c r="A13172" s="3" t="str">
        <f>IFERROR(__xludf.DUMMYFUNCTION("GOOGLETRANSLATE(A13172,""en"",""pt"")"),"desordem")</f>
        <v>desordem</v>
      </c>
      <c r="B13172" s="3">
        <v>0</v>
      </c>
    </row>
    <row r="13173" ht="15.75" customHeight="1" spans="1:2">
      <c r="A13173" s="3" t="str">
        <f>IFERROR(__xludf.DUMMYFUNCTION("GOOGLETRANSLATE(A13173,""en"",""pt"")"),"desordenado")</f>
        <v>desordenado</v>
      </c>
      <c r="B13173" s="3">
        <v>0</v>
      </c>
    </row>
    <row r="13174" ht="15.75" customHeight="1" spans="1:2">
      <c r="A13174" s="3" t="str">
        <f>IFERROR(__xludf.DUMMYFUNCTION("GOOGLETRANSLATE(A13174,""en"",""pt"")"),"desordenado")</f>
        <v>desordenado</v>
      </c>
      <c r="B13174" s="3">
        <v>0</v>
      </c>
    </row>
    <row r="13175" ht="15.75" customHeight="1" spans="1:2">
      <c r="A13175" s="3" t="str">
        <f>IFERROR(__xludf.DUMMYFUNCTION("GOOGLETRANSLATE(A13175,""en"",""pt"")"),"desorganizado")</f>
        <v>desorganizado</v>
      </c>
      <c r="B13175" s="3">
        <v>0</v>
      </c>
    </row>
    <row r="13176" ht="15.75" customHeight="1" spans="1:2">
      <c r="A13176" s="3" t="str">
        <f>IFERROR(__xludf.DUMMYFUNCTION("GOOGLETRANSLATE(A13176,""en"",""pt"")"),"desorientar")</f>
        <v>desorientar</v>
      </c>
      <c r="B13176" s="3">
        <v>0</v>
      </c>
    </row>
    <row r="13177" ht="15.75" customHeight="1" spans="1:2">
      <c r="A13177" s="3" t="str">
        <f>IFERROR(__xludf.DUMMYFUNCTION("GOOGLETRANSLATE(A13177,""en"",""pt"")"),"desorientado")</f>
        <v>desorientado</v>
      </c>
      <c r="B13177" s="3">
        <v>0</v>
      </c>
    </row>
    <row r="13178" ht="15.75" customHeight="1" spans="1:2">
      <c r="A13178" s="3" t="str">
        <f>IFERROR(__xludf.DUMMYFUNCTION("GOOGLETRANSLATE(A13178,""en"",""pt"")"),"disown")</f>
        <v>disown</v>
      </c>
      <c r="B13178" s="3">
        <v>0</v>
      </c>
    </row>
    <row r="13179" ht="15.75" customHeight="1" spans="1:2">
      <c r="A13179" s="3" t="str">
        <f>IFERROR(__xludf.DUMMYFUNCTION("GOOGLETRANSLATE(A13179,""en"",""pt"")"),"rebaixar")</f>
        <v>rebaixar</v>
      </c>
      <c r="B13179" s="3">
        <v>0</v>
      </c>
    </row>
    <row r="13180" ht="15.75" customHeight="1" spans="1:2">
      <c r="A13180" s="3" t="str">
        <f>IFERROR(__xludf.DUMMYFUNCTION("GOOGLETRANSLATE(A13180,""en"",""pt"")"),"depreciativo")</f>
        <v>depreciativo</v>
      </c>
      <c r="B13180" s="3">
        <v>0</v>
      </c>
    </row>
    <row r="13181" ht="15.75" customHeight="1" spans="1:2">
      <c r="A13181" s="3" t="str">
        <f>IFERROR(__xludf.DUMMYFUNCTION("GOOGLETRANSLATE(A13181,""en"",""pt"")"),"depreciativamente")</f>
        <v>depreciativamente</v>
      </c>
      <c r="B13181" s="3">
        <v>0</v>
      </c>
    </row>
    <row r="13182" ht="15.75" customHeight="1" spans="1:2">
      <c r="A13182" s="3" t="str">
        <f>IFERROR(__xludf.DUMMYFUNCTION("GOOGLETRANSLATE(A13182,""en"",""pt"")"),"dispensável")</f>
        <v>dispensável</v>
      </c>
      <c r="B13182" s="3">
        <v>0</v>
      </c>
    </row>
    <row r="13183" ht="15.75" customHeight="1" spans="1:2">
      <c r="A13183" s="3" t="str">
        <f>IFERROR(__xludf.DUMMYFUNCTION("GOOGLETRANSLATE(A13183,""en"",""pt"")"),"desanimar")</f>
        <v>desanimar</v>
      </c>
      <c r="B13183" s="3">
        <v>0</v>
      </c>
    </row>
    <row r="13184" ht="15.75" customHeight="1" spans="1:2">
      <c r="A13184" s="3" t="str">
        <f>IFERROR(__xludf.DUMMYFUNCTION("GOOGLETRANSLATE(A13184,""en"",""pt"")"),"desanimado")</f>
        <v>desanimado</v>
      </c>
      <c r="B13184" s="3">
        <v>0</v>
      </c>
    </row>
    <row r="13185" ht="15.75" customHeight="1" spans="1:2">
      <c r="A13185" s="3" t="str">
        <f>IFERROR(__xludf.DUMMYFUNCTION("GOOGLETRANSLATE(A13185,""en"",""pt"")"),"desanimada")</f>
        <v>desanimada</v>
      </c>
      <c r="B13185" s="3">
        <v>0</v>
      </c>
    </row>
    <row r="13186" ht="15.75" customHeight="1" spans="1:2">
      <c r="A13186" s="3" t="str">
        <f>IFERROR(__xludf.DUMMYFUNCTION("GOOGLETRANSLATE(A13186,""en"",""pt"")"),"dispiriting")</f>
        <v>dispiriting</v>
      </c>
      <c r="B13186" s="3">
        <v>0</v>
      </c>
    </row>
    <row r="13187" ht="15.75" customHeight="1" spans="1:2">
      <c r="A13187" s="3" t="str">
        <f>IFERROR(__xludf.DUMMYFUNCTION("GOOGLETRANSLATE(A13187,""en"",""pt"")"),"deslocar")</f>
        <v>deslocar</v>
      </c>
      <c r="B13187" s="3">
        <v>0</v>
      </c>
    </row>
    <row r="13188" ht="15.75" customHeight="1" spans="1:2">
      <c r="A13188" s="3" t="str">
        <f>IFERROR(__xludf.DUMMYFUNCTION("GOOGLETRANSLATE(A13188,""en"",""pt"")"),"deslocado")</f>
        <v>deslocado</v>
      </c>
      <c r="B13188" s="3">
        <v>0</v>
      </c>
    </row>
    <row r="13189" ht="15.75" customHeight="1" spans="1:2">
      <c r="A13189" s="3" t="str">
        <f>IFERROR(__xludf.DUMMYFUNCTION("GOOGLETRANSLATE(A13189,""en"",""pt"")"),"desagradam")</f>
        <v>desagradam</v>
      </c>
      <c r="B13189" s="3">
        <v>0</v>
      </c>
    </row>
    <row r="13190" ht="15.75" customHeight="1" spans="1:2">
      <c r="A13190" s="3" t="str">
        <f>IFERROR(__xludf.DUMMYFUNCTION("GOOGLETRANSLATE(A13190,""en"",""pt"")"),"Descontente")</f>
        <v>Descontente</v>
      </c>
      <c r="B13190" s="3">
        <v>0</v>
      </c>
    </row>
    <row r="13191" ht="15.75" customHeight="1" spans="1:2">
      <c r="A13191" s="3" t="str">
        <f>IFERROR(__xludf.DUMMYFUNCTION("GOOGLETRANSLATE(A13191,""en"",""pt"")"),"desagradável")</f>
        <v>desagradável</v>
      </c>
      <c r="B13191" s="3">
        <v>0</v>
      </c>
    </row>
    <row r="13192" ht="15.75" customHeight="1" spans="1:2">
      <c r="A13192" s="3" t="str">
        <f>IFERROR(__xludf.DUMMYFUNCTION("GOOGLETRANSLATE(A13192,""en"",""pt"")"),"descontentamento")</f>
        <v>descontentamento</v>
      </c>
      <c r="B13192" s="3">
        <v>0</v>
      </c>
    </row>
    <row r="13193" ht="15.75" customHeight="1" spans="1:2">
      <c r="A13193" s="3" t="str">
        <f>IFERROR(__xludf.DUMMYFUNCTION("GOOGLETRANSLATE(A13193,""en"",""pt"")"),"desproporcional")</f>
        <v>desproporcional</v>
      </c>
      <c r="B13193" s="3">
        <v>0</v>
      </c>
    </row>
    <row r="13194" ht="15.75" customHeight="1" spans="1:2">
      <c r="A13194" s="3" t="str">
        <f>IFERROR(__xludf.DUMMYFUNCTION("GOOGLETRANSLATE(A13194,""en"",""pt"")"),"refutar")</f>
        <v>refutar</v>
      </c>
      <c r="B13194" s="3">
        <v>0</v>
      </c>
    </row>
    <row r="13195" ht="15.75" customHeight="1" spans="1:2">
      <c r="A13195" s="3" t="str">
        <f>IFERROR(__xludf.DUMMYFUNCTION("GOOGLETRANSLATE(A13195,""en"",""pt"")"),"disputável")</f>
        <v>disputável</v>
      </c>
      <c r="B13195" s="3">
        <v>0</v>
      </c>
    </row>
    <row r="13196" ht="15.75" customHeight="1" spans="1:2">
      <c r="A13196" s="3" t="str">
        <f>IFERROR(__xludf.DUMMYFUNCTION("GOOGLETRANSLATE(A13196,""en"",""pt"")"),"disputa")</f>
        <v>disputa</v>
      </c>
      <c r="B13196" s="3">
        <v>0</v>
      </c>
    </row>
    <row r="13197" ht="15.75" customHeight="1" spans="1:2">
      <c r="A13197" s="3" t="str">
        <f>IFERROR(__xludf.DUMMYFUNCTION("GOOGLETRANSLATE(A13197,""en"",""pt"")"),"disputado")</f>
        <v>disputado</v>
      </c>
      <c r="B13197" s="3">
        <v>0</v>
      </c>
    </row>
    <row r="13198" ht="15.75" customHeight="1" spans="1:2">
      <c r="A13198" s="3" t="str">
        <f>IFERROR(__xludf.DUMMYFUNCTION("GOOGLETRANSLATE(A13198,""en"",""pt"")"),"inquietação")</f>
        <v>inquietação</v>
      </c>
      <c r="B13198" s="3">
        <v>0</v>
      </c>
    </row>
    <row r="13199" ht="15.75" customHeight="1" spans="1:2">
      <c r="A13199" s="3" t="str">
        <f>IFERROR(__xludf.DUMMYFUNCTION("GOOGLETRANSLATE(A13199,""en"",""pt"")"),"inquietante")</f>
        <v>inquietante</v>
      </c>
      <c r="B13199" s="3">
        <v>0</v>
      </c>
    </row>
    <row r="13200" ht="15.75" customHeight="1" spans="1:2">
      <c r="A13200" s="3" t="str">
        <f>IFERROR(__xludf.DUMMYFUNCTION("GOOGLETRANSLATE(A13200,""en"",""pt"")"),"inquietantemente")</f>
        <v>inquietantemente</v>
      </c>
      <c r="B13200" s="3">
        <v>0</v>
      </c>
    </row>
    <row r="13201" ht="15.75" customHeight="1" spans="1:2">
      <c r="A13201" s="3" t="str">
        <f>IFERROR(__xludf.DUMMYFUNCTION("GOOGLETRANSLATE(A13201,""en"",""pt"")"),"inquietação")</f>
        <v>inquietação</v>
      </c>
      <c r="B13201" s="3">
        <v>0</v>
      </c>
    </row>
    <row r="13202" ht="15.75" customHeight="1" spans="1:2">
      <c r="A13202" s="3" t="str">
        <f>IFERROR(__xludf.DUMMYFUNCTION("GOOGLETRANSLATE(A13202,""en"",""pt"")"),"desprezo")</f>
        <v>desprezo</v>
      </c>
      <c r="B13202" s="3">
        <v>0</v>
      </c>
    </row>
    <row r="13203" ht="15.75" customHeight="1" spans="1:2">
      <c r="A13203" s="3" t="str">
        <f>IFERROR(__xludf.DUMMYFUNCTION("GOOGLETRANSLATE(A13203,""en"",""pt"")"),"desatenciosos")</f>
        <v>desatenciosos</v>
      </c>
      <c r="B13203" s="3">
        <v>0</v>
      </c>
    </row>
    <row r="13204" ht="15.75" customHeight="1" spans="1:2">
      <c r="A13204" s="3" t="str">
        <f>IFERROR(__xludf.DUMMYFUNCTION("GOOGLETRANSLATE(A13204,""en"",""pt"")"),"vergonhoso")</f>
        <v>vergonhoso</v>
      </c>
      <c r="B13204" s="3">
        <v>0</v>
      </c>
    </row>
    <row r="13205" ht="15.75" customHeight="1" spans="1:2">
      <c r="A13205" s="3" t="str">
        <f>IFERROR(__xludf.DUMMYFUNCTION("GOOGLETRANSLATE(A13205,""en"",""pt"")"),"descrédito")</f>
        <v>descrédito</v>
      </c>
      <c r="B13205" s="3">
        <v>0</v>
      </c>
    </row>
    <row r="13206" ht="15.75" customHeight="1" spans="1:2">
      <c r="A13206" s="3" t="str">
        <f>IFERROR(__xludf.DUMMYFUNCTION("GOOGLETRANSLATE(A13206,""en"",""pt"")"),"desrespeito")</f>
        <v>desrespeito</v>
      </c>
      <c r="B13206" s="3">
        <v>0</v>
      </c>
    </row>
    <row r="13207" ht="15.75" customHeight="1" spans="1:2">
      <c r="A13207" s="3" t="str">
        <f>IFERROR(__xludf.DUMMYFUNCTION("GOOGLETRANSLATE(A13207,""en"",""pt"")"),"desrespeitoso")</f>
        <v>desrespeitoso</v>
      </c>
      <c r="B13207" s="3">
        <v>0</v>
      </c>
    </row>
    <row r="13208" ht="15.75" customHeight="1" spans="1:2">
      <c r="A13208" s="3" t="str">
        <f>IFERROR(__xludf.DUMMYFUNCTION("GOOGLETRANSLATE(A13208,""en"",""pt"")"),"disrespectablity")</f>
        <v>disrespectablity</v>
      </c>
      <c r="B13208" s="3">
        <v>0</v>
      </c>
    </row>
    <row r="13209" ht="15.75" customHeight="1" spans="1:2">
      <c r="A13209" s="3" t="str">
        <f>IFERROR(__xludf.DUMMYFUNCTION("GOOGLETRANSLATE(A13209,""en"",""pt"")"),"desrespeitoso")</f>
        <v>desrespeitoso</v>
      </c>
      <c r="B13209" s="3">
        <v>0</v>
      </c>
    </row>
    <row r="13210" ht="15.75" customHeight="1" spans="1:2">
      <c r="A13210" s="3" t="str">
        <f>IFERROR(__xludf.DUMMYFUNCTION("GOOGLETRANSLATE(A13210,""en"",""pt"")"),"desrespeitosamente")</f>
        <v>desrespeitosamente</v>
      </c>
      <c r="B13210" s="3">
        <v>0</v>
      </c>
    </row>
    <row r="13211" ht="15.75" customHeight="1" spans="1:2">
      <c r="A13211" s="3" t="str">
        <f>IFERROR(__xludf.DUMMYFUNCTION("GOOGLETRANSLATE(A13211,""en"",""pt"")"),"disrespectfulness")</f>
        <v>disrespectfulness</v>
      </c>
      <c r="B13211" s="3">
        <v>0</v>
      </c>
    </row>
    <row r="13212" ht="15.75" customHeight="1" spans="1:2">
      <c r="A13212" s="3" t="str">
        <f>IFERROR(__xludf.DUMMYFUNCTION("GOOGLETRANSLATE(A13212,""en"",""pt"")"),"desrespeitando")</f>
        <v>desrespeitando</v>
      </c>
      <c r="B13212" s="3">
        <v>0</v>
      </c>
    </row>
    <row r="13213" ht="15.75" customHeight="1" spans="1:2">
      <c r="A13213" s="3" t="str">
        <f>IFERROR(__xludf.DUMMYFUNCTION("GOOGLETRANSLATE(A13213,""en"",""pt"")"),"perturbe")</f>
        <v>perturbe</v>
      </c>
      <c r="B13213" s="3">
        <v>0</v>
      </c>
    </row>
    <row r="13214" ht="15.75" customHeight="1" spans="1:2">
      <c r="A13214" s="3" t="str">
        <f>IFERROR(__xludf.DUMMYFUNCTION("GOOGLETRANSLATE(A13214,""en"",""pt"")"),"rompimento")</f>
        <v>rompimento</v>
      </c>
      <c r="B13214" s="3">
        <v>0</v>
      </c>
    </row>
    <row r="13215" ht="15.75" customHeight="1" spans="1:2">
      <c r="A13215" s="3" t="str">
        <f>IFERROR(__xludf.DUMMYFUNCTION("GOOGLETRANSLATE(A13215,""en"",""pt"")"),"disruptivo")</f>
        <v>disruptivo</v>
      </c>
      <c r="B13215" s="3">
        <v>0</v>
      </c>
    </row>
    <row r="13216" ht="15.75" customHeight="1" spans="1:2">
      <c r="A13216" s="3" t="str">
        <f>IFERROR(__xludf.DUMMYFUNCTION("GOOGLETRANSLATE(A13216,""en"",""pt"")"),"Diss")</f>
        <v>Diss</v>
      </c>
      <c r="B13216" s="3">
        <v>0</v>
      </c>
    </row>
    <row r="13217" ht="15.75" customHeight="1" spans="1:2">
      <c r="A13217" s="3" t="str">
        <f>IFERROR(__xludf.DUMMYFUNCTION("GOOGLETRANSLATE(A13217,""en"",""pt"")"),"desapontado")</f>
        <v>desapontado</v>
      </c>
      <c r="B13217" s="3">
        <v>0</v>
      </c>
    </row>
    <row r="13218" ht="15.75" customHeight="1" spans="1:2">
      <c r="A13218" s="3" t="str">
        <f>IFERROR(__xludf.DUMMYFUNCTION("GOOGLETRANSLATE(A13218,""en"",""pt"")"),"dissappointed")</f>
        <v>dissappointed</v>
      </c>
      <c r="B13218" s="3">
        <v>0</v>
      </c>
    </row>
    <row r="13219" ht="15.75" customHeight="1" spans="1:2">
      <c r="A13219" s="3" t="str">
        <f>IFERROR(__xludf.DUMMYFUNCTION("GOOGLETRANSLATE(A13219,""en"",""pt"")"),"dissappointing")</f>
        <v>dissappointing</v>
      </c>
      <c r="B13219" s="3">
        <v>0</v>
      </c>
    </row>
    <row r="13220" ht="15.75" customHeight="1" spans="1:2">
      <c r="A13220" s="3" t="str">
        <f>IFERROR(__xludf.DUMMYFUNCTION("GOOGLETRANSLATE(A13220,""en"",""pt"")"),"descontentamento")</f>
        <v>descontentamento</v>
      </c>
      <c r="B13220" s="3">
        <v>0</v>
      </c>
    </row>
    <row r="13221" ht="15.75" customHeight="1" spans="1:2">
      <c r="A13221" s="3" t="str">
        <f>IFERROR(__xludf.DUMMYFUNCTION("GOOGLETRANSLATE(A13221,""en"",""pt"")"),"insatisfeito")</f>
        <v>insatisfeito</v>
      </c>
      <c r="B13221" s="3">
        <v>0</v>
      </c>
    </row>
    <row r="13222" ht="15.75" customHeight="1" spans="1:2">
      <c r="A13222" s="3" t="str">
        <f>IFERROR(__xludf.DUMMYFUNCTION("GOOGLETRANSLATE(A13222,""en"",""pt"")"),"insatisfeito")</f>
        <v>insatisfeito</v>
      </c>
      <c r="B13222" s="3">
        <v>0</v>
      </c>
    </row>
    <row r="13223" ht="15.75" customHeight="1" spans="1:2">
      <c r="A13223" s="3" t="str">
        <f>IFERROR(__xludf.DUMMYFUNCTION("GOOGLETRANSLATE(A13223,""en"",""pt"")"),"descontenta")</f>
        <v>descontenta</v>
      </c>
      <c r="B13223" s="3">
        <v>0</v>
      </c>
    </row>
    <row r="13224" ht="15.75" customHeight="1" spans="1:2">
      <c r="A13224" s="3" t="str">
        <f>IFERROR(__xludf.DUMMYFUNCTION("GOOGLETRANSLATE(A13224,""en"",""pt"")"),"desagradar")</f>
        <v>desagradar</v>
      </c>
      <c r="B13224" s="3">
        <v>0</v>
      </c>
    </row>
    <row r="13225" ht="15.75" customHeight="1" spans="1:2">
      <c r="A13225" s="3" t="str">
        <f>IFERROR(__xludf.DUMMYFUNCTION("GOOGLETRANSLATE(A13225,""en"",""pt"")"),"dissatisfying")</f>
        <v>dissatisfying</v>
      </c>
      <c r="B13225" s="3">
        <v>0</v>
      </c>
    </row>
    <row r="13226" ht="15.75" customHeight="1" spans="1:2">
      <c r="A13226" s="3" t="str">
        <f>IFERROR(__xludf.DUMMYFUNCTION("GOOGLETRANSLATE(A13226,""en"",""pt"")"),"humilhado")</f>
        <v>humilhado</v>
      </c>
      <c r="B13226" s="3">
        <v>0</v>
      </c>
    </row>
    <row r="13227" ht="15.75" customHeight="1" spans="1:2">
      <c r="A13227" s="3" t="str">
        <f>IFERROR(__xludf.DUMMYFUNCTION("GOOGLETRANSLATE(A13227,""en"",""pt"")"),"dissimular")</f>
        <v>dissimular</v>
      </c>
      <c r="B13227" s="3">
        <v>0</v>
      </c>
    </row>
    <row r="13228" ht="15.75" customHeight="1" spans="1:2">
      <c r="A13228" s="3" t="str">
        <f>IFERROR(__xludf.DUMMYFUNCTION("GOOGLETRANSLATE(A13228,""en"",""pt"")"),"dissimulador")</f>
        <v>dissimulador</v>
      </c>
      <c r="B13228" s="3">
        <v>0</v>
      </c>
    </row>
    <row r="13229" ht="15.75" customHeight="1" spans="1:2">
      <c r="A13229" s="3" t="str">
        <f>IFERROR(__xludf.DUMMYFUNCTION("GOOGLETRANSLATE(A13229,""en"",""pt"")"),"dissensão")</f>
        <v>dissensão</v>
      </c>
      <c r="B13229" s="3">
        <v>0</v>
      </c>
    </row>
    <row r="13230" ht="15.75" customHeight="1" spans="1:2">
      <c r="A13230" s="3" t="str">
        <f>IFERROR(__xludf.DUMMYFUNCTION("GOOGLETRANSLATE(A13230,""en"",""pt"")"),"dissidência")</f>
        <v>dissidência</v>
      </c>
      <c r="B13230" s="3">
        <v>0</v>
      </c>
    </row>
    <row r="13231" ht="15.75" customHeight="1" spans="1:2">
      <c r="A13231" s="3" t="str">
        <f>IFERROR(__xludf.DUMMYFUNCTION("GOOGLETRANSLATE(A13231,""en"",""pt"")"),"dissidente")</f>
        <v>dissidente</v>
      </c>
      <c r="B13231" s="3">
        <v>0</v>
      </c>
    </row>
    <row r="13232" ht="15.75" customHeight="1" spans="1:2">
      <c r="A13232" s="3" t="str">
        <f>IFERROR(__xludf.DUMMYFUNCTION("GOOGLETRANSLATE(A13232,""en"",""pt"")"),"dissention")</f>
        <v>dissention</v>
      </c>
      <c r="B13232" s="3">
        <v>0</v>
      </c>
    </row>
    <row r="13233" ht="15.75" customHeight="1" spans="1:2">
      <c r="A13233" s="3" t="str">
        <f>IFERROR(__xludf.DUMMYFUNCTION("GOOGLETRANSLATE(A13233,""en"",""pt"")"),"desserviço")</f>
        <v>desserviço</v>
      </c>
      <c r="B13233" s="3">
        <v>0</v>
      </c>
    </row>
    <row r="13234" ht="15.75" customHeight="1" spans="1:2">
      <c r="A13234" s="3" t="str">
        <f>IFERROR(__xludf.DUMMYFUNCTION("GOOGLETRANSLATE(A13234,""en"",""pt"")"),"disses")</f>
        <v>disses</v>
      </c>
      <c r="B13234" s="3">
        <v>0</v>
      </c>
    </row>
    <row r="13235" ht="15.75" customHeight="1" spans="1:2">
      <c r="A13235" s="3" t="str">
        <f>IFERROR(__xludf.DUMMYFUNCTION("GOOGLETRANSLATE(A13235,""en"",""pt"")"),"dissidência")</f>
        <v>dissidência</v>
      </c>
      <c r="B13235" s="3">
        <v>0</v>
      </c>
    </row>
    <row r="13236" ht="15.75" customHeight="1" spans="1:2">
      <c r="A13236" s="3" t="str">
        <f>IFERROR(__xludf.DUMMYFUNCTION("GOOGLETRANSLATE(A13236,""en"",""pt"")"),"dissidente")</f>
        <v>dissidente</v>
      </c>
      <c r="B13236" s="3">
        <v>0</v>
      </c>
    </row>
    <row r="13237" ht="15.75" customHeight="1" spans="1:2">
      <c r="A13237" s="3" t="str">
        <f>IFERROR(__xludf.DUMMYFUNCTION("GOOGLETRANSLATE(A13237,""en"",""pt"")"),"dissidentes")</f>
        <v>dissidentes</v>
      </c>
      <c r="B13237" s="3">
        <v>0</v>
      </c>
    </row>
    <row r="13238" ht="15.75" customHeight="1" spans="1:2">
      <c r="A13238" s="3" t="str">
        <f>IFERROR(__xludf.DUMMYFUNCTION("GOOGLETRANSLATE(A13238,""en"",""pt"")"),"Dissing")</f>
        <v>Dissing</v>
      </c>
      <c r="B13238" s="3">
        <v>0</v>
      </c>
    </row>
    <row r="13239" ht="15.75" customHeight="1" spans="1:2">
      <c r="A13239" s="3" t="str">
        <f>IFERROR(__xludf.DUMMYFUNCTION("GOOGLETRANSLATE(A13239,""en"",""pt"")"),"separável")</f>
        <v>separável</v>
      </c>
      <c r="B13239" s="3">
        <v>0</v>
      </c>
    </row>
    <row r="13240" ht="15.75" customHeight="1" spans="1:2">
      <c r="A13240" s="3" t="str">
        <f>IFERROR(__xludf.DUMMYFUNCTION("GOOGLETRANSLATE(A13240,""en"",""pt"")"),"dissoluto")</f>
        <v>dissoluto</v>
      </c>
      <c r="B13240" s="3">
        <v>0</v>
      </c>
    </row>
    <row r="13241" ht="15.75" customHeight="1" spans="1:2">
      <c r="A13241" s="3" t="str">
        <f>IFERROR(__xludf.DUMMYFUNCTION("GOOGLETRANSLATE(A13241,""en"",""pt"")"),"dissolução")</f>
        <v>dissolução</v>
      </c>
      <c r="B13241" s="3">
        <v>0</v>
      </c>
    </row>
    <row r="13242" ht="15.75" customHeight="1" spans="1:2">
      <c r="A13242" s="3" t="str">
        <f>IFERROR(__xludf.DUMMYFUNCTION("GOOGLETRANSLATE(A13242,""en"",""pt"")"),"dissonância")</f>
        <v>dissonância</v>
      </c>
      <c r="B13242" s="3">
        <v>0</v>
      </c>
    </row>
    <row r="13243" ht="15.75" customHeight="1" spans="1:2">
      <c r="A13243" s="3" t="str">
        <f>IFERROR(__xludf.DUMMYFUNCTION("GOOGLETRANSLATE(A13243,""en"",""pt"")"),"dissonante")</f>
        <v>dissonante</v>
      </c>
      <c r="B13243" s="3">
        <v>0</v>
      </c>
    </row>
    <row r="13244" ht="15.75" customHeight="1" spans="1:2">
      <c r="A13244" s="3" t="str">
        <f>IFERROR(__xludf.DUMMYFUNCTION("GOOGLETRANSLATE(A13244,""en"",""pt"")"),"desafinação")</f>
        <v>desafinação</v>
      </c>
      <c r="B13244" s="3">
        <v>0</v>
      </c>
    </row>
    <row r="13245" ht="15.75" customHeight="1" spans="1:2">
      <c r="A13245" s="3" t="str">
        <f>IFERROR(__xludf.DUMMYFUNCTION("GOOGLETRANSLATE(A13245,""en"",""pt"")"),"dissuadir")</f>
        <v>dissuadir</v>
      </c>
      <c r="B13245" s="3">
        <v>0</v>
      </c>
    </row>
    <row r="13246" ht="15.75" customHeight="1" spans="1:2">
      <c r="A13246" s="3" t="str">
        <f>IFERROR(__xludf.DUMMYFUNCTION("GOOGLETRANSLATE(A13246,""en"",""pt"")"),"dissuasivo")</f>
        <v>dissuasivo</v>
      </c>
      <c r="B13246" s="3">
        <v>0</v>
      </c>
    </row>
    <row r="13247" ht="15.75" customHeight="1" spans="1:2">
      <c r="A13247" s="3" t="str">
        <f>IFERROR(__xludf.DUMMYFUNCTION("GOOGLETRANSLATE(A13247,""en"",""pt"")"),"distains")</f>
        <v>distains</v>
      </c>
      <c r="B13247" s="3">
        <v>0</v>
      </c>
    </row>
    <row r="13248" ht="15.75" customHeight="1" spans="1:2">
      <c r="A13248" s="3" t="str">
        <f>IFERROR(__xludf.DUMMYFUNCTION("GOOGLETRANSLATE(A13248,""en"",""pt"")"),"aversão")</f>
        <v>aversão</v>
      </c>
      <c r="B13248" s="3">
        <v>0</v>
      </c>
    </row>
    <row r="13249" ht="15.75" customHeight="1" spans="1:2">
      <c r="A13249" s="3" t="str">
        <f>IFERROR(__xludf.DUMMYFUNCTION("GOOGLETRANSLATE(A13249,""en"",""pt"")"),"desagradável")</f>
        <v>desagradável</v>
      </c>
      <c r="B13249" s="3">
        <v>0</v>
      </c>
    </row>
    <row r="13250" ht="15.75" customHeight="1" spans="1:2">
      <c r="A13250" s="3" t="str">
        <f>IFERROR(__xludf.DUMMYFUNCTION("GOOGLETRANSLATE(A13250,""en"",""pt"")"),"distastefully")</f>
        <v>distastefully</v>
      </c>
      <c r="B13250" s="3">
        <v>0</v>
      </c>
    </row>
    <row r="13251" ht="15.75" customHeight="1" spans="1:2">
      <c r="A13251" s="3" t="str">
        <f>IFERROR(__xludf.DUMMYFUNCTION("GOOGLETRANSLATE(A13251,""en"",""pt"")"),"distorcer")</f>
        <v>distorcer</v>
      </c>
      <c r="B13251" s="3">
        <v>0</v>
      </c>
    </row>
    <row r="13252" ht="15.75" customHeight="1" spans="1:2">
      <c r="A13252" s="3" t="str">
        <f>IFERROR(__xludf.DUMMYFUNCTION("GOOGLETRANSLATE(A13252,""en"",""pt"")"),"distorcida")</f>
        <v>distorcida</v>
      </c>
      <c r="B13252" s="3">
        <v>0</v>
      </c>
    </row>
    <row r="13253" ht="15.75" customHeight="1" spans="1:2">
      <c r="A13253" s="3" t="str">
        <f>IFERROR(__xludf.DUMMYFUNCTION("GOOGLETRANSLATE(A13253,""en"",""pt"")"),"distorção")</f>
        <v>distorção</v>
      </c>
      <c r="B13253" s="3">
        <v>0</v>
      </c>
    </row>
    <row r="13254" ht="15.75" customHeight="1" spans="1:2">
      <c r="A13254" s="3" t="str">
        <f>IFERROR(__xludf.DUMMYFUNCTION("GOOGLETRANSLATE(A13254,""en"",""pt"")"),"distorce")</f>
        <v>distorce</v>
      </c>
      <c r="B13254" s="3">
        <v>0</v>
      </c>
    </row>
    <row r="13255" ht="15.75" customHeight="1" spans="1:2">
      <c r="A13255" s="3" t="str">
        <f>IFERROR(__xludf.DUMMYFUNCTION("GOOGLETRANSLATE(A13255,""en"",""pt"")"),"distrair")</f>
        <v>distrair</v>
      </c>
      <c r="B13255" s="3">
        <v>0</v>
      </c>
    </row>
    <row r="13256" ht="15.75" customHeight="1" spans="1:2">
      <c r="A13256" s="3" t="str">
        <f>IFERROR(__xludf.DUMMYFUNCTION("GOOGLETRANSLATE(A13256,""en"",""pt"")"),"perturbador")</f>
        <v>perturbador</v>
      </c>
      <c r="B13256" s="3">
        <v>0</v>
      </c>
    </row>
    <row r="13257" ht="15.75" customHeight="1" spans="1:2">
      <c r="A13257" s="3" t="str">
        <f>IFERROR(__xludf.DUMMYFUNCTION("GOOGLETRANSLATE(A13257,""en"",""pt"")"),"Distração")</f>
        <v>Distração</v>
      </c>
      <c r="B13257" s="3">
        <v>0</v>
      </c>
    </row>
    <row r="13258" ht="15.75" customHeight="1" spans="1:2">
      <c r="A13258" s="3" t="str">
        <f>IFERROR(__xludf.DUMMYFUNCTION("GOOGLETRANSLATE(A13258,""en"",""pt"")"),"perturbado")</f>
        <v>perturbado</v>
      </c>
      <c r="B13258" s="3">
        <v>0</v>
      </c>
    </row>
    <row r="13259" ht="15.75" customHeight="1" spans="1:2">
      <c r="A13259" s="3" t="str">
        <f>IFERROR(__xludf.DUMMYFUNCTION("GOOGLETRANSLATE(A13259,""en"",""pt"")"),"distraughtly")</f>
        <v>distraughtly</v>
      </c>
      <c r="B13259" s="3">
        <v>0</v>
      </c>
    </row>
    <row r="13260" ht="15.75" customHeight="1" spans="1:2">
      <c r="A13260" s="3" t="str">
        <f>IFERROR(__xludf.DUMMYFUNCTION("GOOGLETRANSLATE(A13260,""en"",""pt"")"),"distraughtness")</f>
        <v>distraughtness</v>
      </c>
      <c r="B13260" s="3">
        <v>0</v>
      </c>
    </row>
    <row r="13261" ht="15.75" customHeight="1" spans="1:2">
      <c r="A13261" s="3" t="str">
        <f>IFERROR(__xludf.DUMMYFUNCTION("GOOGLETRANSLATE(A13261,""en"",""pt"")"),"aflição")</f>
        <v>aflição</v>
      </c>
      <c r="B13261" s="3">
        <v>0</v>
      </c>
    </row>
    <row r="13262" ht="15.75" customHeight="1" spans="1:2">
      <c r="A13262" s="3" t="str">
        <f>IFERROR(__xludf.DUMMYFUNCTION("GOOGLETRANSLATE(A13262,""en"",""pt"")"),"angustiado")</f>
        <v>angustiado</v>
      </c>
      <c r="B13262" s="3">
        <v>0</v>
      </c>
    </row>
    <row r="13263" ht="15.75" customHeight="1" spans="1:2">
      <c r="A13263" s="3" t="str">
        <f>IFERROR(__xludf.DUMMYFUNCTION("GOOGLETRANSLATE(A13263,""en"",""pt"")"),"aflitivo")</f>
        <v>aflitivo</v>
      </c>
      <c r="B13263" s="3">
        <v>0</v>
      </c>
    </row>
    <row r="13264" ht="15.75" customHeight="1" spans="1:2">
      <c r="A13264" s="3" t="str">
        <f>IFERROR(__xludf.DUMMYFUNCTION("GOOGLETRANSLATE(A13264,""en"",""pt"")"),"distressingly")</f>
        <v>distressingly</v>
      </c>
      <c r="B13264" s="3">
        <v>0</v>
      </c>
    </row>
    <row r="13265" ht="15.75" customHeight="1" spans="1:2">
      <c r="A13265" s="3" t="str">
        <f>IFERROR(__xludf.DUMMYFUNCTION("GOOGLETRANSLATE(A13265,""en"",""pt"")"),"desconfiança")</f>
        <v>desconfiança</v>
      </c>
      <c r="B13265" s="3">
        <v>0</v>
      </c>
    </row>
    <row r="13266" ht="15.75" customHeight="1" spans="1:2">
      <c r="A13266" s="3" t="str">
        <f>IFERROR(__xludf.DUMMYFUNCTION("GOOGLETRANSLATE(A13266,""en"",""pt"")"),"desconfiado")</f>
        <v>desconfiado</v>
      </c>
      <c r="B13266" s="3">
        <v>0</v>
      </c>
    </row>
    <row r="13267" ht="15.75" customHeight="1" spans="1:2">
      <c r="A13267" s="3" t="str">
        <f>IFERROR(__xludf.DUMMYFUNCTION("GOOGLETRANSLATE(A13267,""en"",""pt"")"),"desconfiando")</f>
        <v>desconfiando</v>
      </c>
      <c r="B13267" s="3">
        <v>0</v>
      </c>
    </row>
    <row r="13268" ht="15.75" customHeight="1" spans="1:2">
      <c r="A13268" s="3" t="str">
        <f>IFERROR(__xludf.DUMMYFUNCTION("GOOGLETRANSLATE(A13268,""en"",""pt"")"),"perturbar")</f>
        <v>perturbar</v>
      </c>
      <c r="B13268" s="3">
        <v>0</v>
      </c>
    </row>
    <row r="13269" ht="15.75" customHeight="1" spans="1:2">
      <c r="A13269" s="3" t="str">
        <f>IFERROR(__xludf.DUMMYFUNCTION("GOOGLETRANSLATE(A13269,""en"",""pt"")"),"perturbação")</f>
        <v>perturbação</v>
      </c>
      <c r="B13269" s="3">
        <v>0</v>
      </c>
    </row>
    <row r="13270" ht="15.75" customHeight="1" spans="1:2">
      <c r="A13270" s="3" t="str">
        <f>IFERROR(__xludf.DUMMYFUNCTION("GOOGLETRANSLATE(A13270,""en"",""pt"")"),"perturbado")</f>
        <v>perturbado</v>
      </c>
      <c r="B13270" s="3">
        <v>0</v>
      </c>
    </row>
    <row r="13271" ht="15.75" customHeight="1" spans="1:2">
      <c r="A13271" s="3" t="str">
        <f>IFERROR(__xludf.DUMMYFUNCTION("GOOGLETRANSLATE(A13271,""en"",""pt"")"),"perturbando")</f>
        <v>perturbando</v>
      </c>
      <c r="B13271" s="3">
        <v>0</v>
      </c>
    </row>
    <row r="13272" ht="15.75" customHeight="1" spans="1:2">
      <c r="A13272" s="3" t="str">
        <f>IFERROR(__xludf.DUMMYFUNCTION("GOOGLETRANSLATE(A13272,""en"",""pt"")"),"perturbadoramente")</f>
        <v>perturbadoramente</v>
      </c>
      <c r="B13272" s="3">
        <v>0</v>
      </c>
    </row>
    <row r="13273" ht="15.75" customHeight="1" spans="1:2">
      <c r="A13273" s="3" t="str">
        <f>IFERROR(__xludf.DUMMYFUNCTION("GOOGLETRANSLATE(A13273,""en"",""pt"")"),"desunião")</f>
        <v>desunião</v>
      </c>
      <c r="B13273" s="3">
        <v>0</v>
      </c>
    </row>
    <row r="13274" ht="15.75" customHeight="1" spans="1:2">
      <c r="A13274" s="3" t="str">
        <f>IFERROR(__xludf.DUMMYFUNCTION("GOOGLETRANSLATE(A13274,""en"",""pt"")"),"desvalor")</f>
        <v>desvalor</v>
      </c>
      <c r="B13274" s="3">
        <v>0</v>
      </c>
    </row>
    <row r="13275" ht="15.75" customHeight="1" spans="1:2">
      <c r="A13275" s="3" t="str">
        <f>IFERROR(__xludf.DUMMYFUNCTION("GOOGLETRANSLATE(A13275,""en"",""pt"")"),"divergente")</f>
        <v>divergente</v>
      </c>
      <c r="B13275" s="3">
        <v>0</v>
      </c>
    </row>
    <row r="13276" ht="15.75" customHeight="1" spans="1:2">
      <c r="A13276" s="3" t="str">
        <f>IFERROR(__xludf.DUMMYFUNCTION("GOOGLETRANSLATE(A13276,""en"",""pt"")"),"divisionista")</f>
        <v>divisionista</v>
      </c>
      <c r="B13276" s="3">
        <v>0</v>
      </c>
    </row>
    <row r="13277" ht="15.75" customHeight="1" spans="1:2">
      <c r="A13277" s="3" t="str">
        <f>IFERROR(__xludf.DUMMYFUNCTION("GOOGLETRANSLATE(A13277,""en"",""pt"")"),"malícia")</f>
        <v>malícia</v>
      </c>
      <c r="B13277" s="3">
        <v>0</v>
      </c>
    </row>
    <row r="13278" ht="15.75" customHeight="1" spans="1:2">
      <c r="A13278" s="3" t="str">
        <f>IFERROR(__xludf.DUMMYFUNCTION("GOOGLETRANSLATE(A13278,""en"",""pt"")"),"divisão")</f>
        <v>divisão</v>
      </c>
      <c r="B13278" s="3">
        <v>0</v>
      </c>
    </row>
    <row r="13279" ht="15.75" customHeight="1" spans="1:2">
      <c r="A13279" s="3" t="str">
        <f>IFERROR(__xludf.DUMMYFUNCTION("GOOGLETRANSLATE(A13279,""en"",""pt"")"),"dizzing")</f>
        <v>dizzing</v>
      </c>
      <c r="B13279" s="3">
        <v>0</v>
      </c>
    </row>
    <row r="13280" ht="15.75" customHeight="1" spans="1:2">
      <c r="A13280" s="3" t="str">
        <f>IFERROR(__xludf.DUMMYFUNCTION("GOOGLETRANSLATE(A13280,""en"",""pt"")"),"dizzingly")</f>
        <v>dizzingly</v>
      </c>
      <c r="B13280" s="3">
        <v>0</v>
      </c>
    </row>
    <row r="13281" ht="15.75" customHeight="1" spans="1:2">
      <c r="A13281" s="3" t="str">
        <f>IFERROR(__xludf.DUMMYFUNCTION("GOOGLETRANSLATE(A13281,""en"",""pt"")"),"tonto")</f>
        <v>tonto</v>
      </c>
      <c r="B13281" s="3">
        <v>0</v>
      </c>
    </row>
    <row r="13282" ht="15.75" customHeight="1" spans="1:2">
      <c r="A13282" s="3" t="str">
        <f>IFERROR(__xludf.DUMMYFUNCTION("GOOGLETRANSLATE(A13282,""en"",""pt"")"),"trêmulo")</f>
        <v>trêmulo</v>
      </c>
      <c r="B13282" s="3">
        <v>0</v>
      </c>
    </row>
    <row r="13283" ht="15.75" customHeight="1" spans="1:2">
      <c r="A13283" s="3" t="str">
        <f>IFERROR(__xludf.DUMMYFUNCTION("GOOGLETRANSLATE(A13283,""en"",""pt"")"),"dodgey")</f>
        <v>dodgey</v>
      </c>
      <c r="B13283" s="3">
        <v>0</v>
      </c>
    </row>
    <row r="13284" ht="15.75" customHeight="1" spans="1:2">
      <c r="A13284" s="3" t="str">
        <f>IFERROR(__xludf.DUMMYFUNCTION("GOOGLETRANSLATE(A13284,""en"",""pt"")"),"obstinada")</f>
        <v>obstinada</v>
      </c>
      <c r="B13284" s="3">
        <v>0</v>
      </c>
    </row>
    <row r="13285" ht="15.75" customHeight="1" spans="1:2">
      <c r="A13285" s="3" t="str">
        <f>IFERROR(__xludf.DUMMYFUNCTION("GOOGLETRANSLATE(A13285,""en"",""pt"")"),"obstinadamente")</f>
        <v>obstinadamente</v>
      </c>
      <c r="B13285" s="3">
        <v>0</v>
      </c>
    </row>
    <row r="13286" ht="15.75" customHeight="1" spans="1:2">
      <c r="A13286" s="3" t="str">
        <f>IFERROR(__xludf.DUMMYFUNCTION("GOOGLETRANSLATE(A13286,""en"",""pt"")"),"dogmático")</f>
        <v>dogmático</v>
      </c>
      <c r="B13286" s="3">
        <v>0</v>
      </c>
    </row>
    <row r="13287" ht="15.75" customHeight="1" spans="1:2">
      <c r="A13287" s="3" t="str">
        <f>IFERROR(__xludf.DUMMYFUNCTION("GOOGLETRANSLATE(A13287,""en"",""pt"")"),"calmarias")</f>
        <v>calmarias</v>
      </c>
      <c r="B13287" s="3">
        <v>0</v>
      </c>
    </row>
    <row r="13288" ht="15.75" customHeight="1" spans="1:2">
      <c r="A13288" s="3" t="str">
        <f>IFERROR(__xludf.DUMMYFUNCTION("GOOGLETRANSLATE(A13288,""en"",""pt"")"),"dominar")</f>
        <v>dominar</v>
      </c>
      <c r="B13288" s="3">
        <v>0</v>
      </c>
    </row>
    <row r="13289" ht="15.75" customHeight="1" spans="1:2">
      <c r="A13289" s="3" t="str">
        <f>IFERROR(__xludf.DUMMYFUNCTION("GOOGLETRANSLATE(A13289,""en"",""pt"")"),"autoritário")</f>
        <v>autoritário</v>
      </c>
      <c r="B13289" s="3">
        <v>0</v>
      </c>
    </row>
    <row r="13290" ht="15.75" customHeight="1" spans="1:2">
      <c r="A13290" s="3" t="str">
        <f>IFERROR(__xludf.DUMMYFUNCTION("GOOGLETRANSLATE(A13290,""en"",""pt"")"),"donside")</f>
        <v>donside</v>
      </c>
      <c r="B13290" s="3">
        <v>0</v>
      </c>
    </row>
    <row r="13291" ht="15.75" customHeight="1" spans="1:2">
      <c r="A13291" s="3" t="str">
        <f>IFERROR(__xludf.DUMMYFUNCTION("GOOGLETRANSLATE(A13291,""en"",""pt"")"),"destruição")</f>
        <v>destruição</v>
      </c>
      <c r="B13291" s="3">
        <v>0</v>
      </c>
    </row>
    <row r="13292" ht="15.75" customHeight="1" spans="1:2">
      <c r="A13292" s="3" t="str">
        <f>IFERROR(__xludf.DUMMYFUNCTION("GOOGLETRANSLATE(A13292,""en"",""pt"")"),"condenado")</f>
        <v>condenado</v>
      </c>
      <c r="B13292" s="3">
        <v>0</v>
      </c>
    </row>
    <row r="13293" ht="15.75" customHeight="1" spans="1:2">
      <c r="A13293" s="3" t="str">
        <f>IFERROR(__xludf.DUMMYFUNCTION("GOOGLETRANSLATE(A13293,""en"",""pt"")"),"Apocalipse")</f>
        <v>Apocalipse</v>
      </c>
      <c r="B13293" s="3">
        <v>0</v>
      </c>
    </row>
    <row r="13294" ht="15.75" customHeight="1" spans="1:2">
      <c r="A13294" s="3" t="str">
        <f>IFERROR(__xludf.DUMMYFUNCTION("GOOGLETRANSLATE(A13294,""en"",""pt"")"),"narcótico")</f>
        <v>narcótico</v>
      </c>
      <c r="B13294" s="3">
        <v>0</v>
      </c>
    </row>
    <row r="13295" ht="15.75" customHeight="1" spans="1:2">
      <c r="A13295" s="3" t="str">
        <f>IFERROR(__xludf.DUMMYFUNCTION("GOOGLETRANSLATE(A13295,""en"",""pt"")"),"dúvida")</f>
        <v>dúvida</v>
      </c>
      <c r="B13295" s="3">
        <v>0</v>
      </c>
    </row>
    <row r="13296" ht="15.75" customHeight="1" spans="1:2">
      <c r="A13296" s="3" t="str">
        <f>IFERROR(__xludf.DUMMYFUNCTION("GOOGLETRANSLATE(A13296,""en"",""pt"")"),"duvidoso")</f>
        <v>duvidoso</v>
      </c>
      <c r="B13296" s="3">
        <v>0</v>
      </c>
    </row>
    <row r="13297" ht="15.75" customHeight="1" spans="1:2">
      <c r="A13297" s="3" t="str">
        <f>IFERROR(__xludf.DUMMYFUNCTION("GOOGLETRANSLATE(A13297,""en"",""pt"")"),"duvidosamente")</f>
        <v>duvidosamente</v>
      </c>
      <c r="B13297" s="3">
        <v>0</v>
      </c>
    </row>
    <row r="13298" ht="15.75" customHeight="1" spans="1:2">
      <c r="A13298" s="3" t="str">
        <f>IFERROR(__xludf.DUMMYFUNCTION("GOOGLETRANSLATE(A13298,""en"",""pt"")"),"dúvidas")</f>
        <v>dúvidas</v>
      </c>
      <c r="B13298" s="3">
        <v>0</v>
      </c>
    </row>
    <row r="13299" ht="15.75" customHeight="1" spans="1:2">
      <c r="A13299" s="3" t="str">
        <f>IFERROR(__xludf.DUMMYFUNCTION("GOOGLETRANSLATE(A13299,""en"",""pt"")"),"douchbag")</f>
        <v>douchbag</v>
      </c>
      <c r="B13299" s="3">
        <v>0</v>
      </c>
    </row>
    <row r="13300" ht="15.75" customHeight="1" spans="1:2">
      <c r="A13300" s="3" t="str">
        <f>IFERROR(__xludf.DUMMYFUNCTION("GOOGLETRANSLATE(A13300,""en"",""pt"")"),"babaca")</f>
        <v>babaca</v>
      </c>
      <c r="B13300" s="3">
        <v>0</v>
      </c>
    </row>
    <row r="13301" ht="15.75" customHeight="1" spans="1:2">
      <c r="A13301" s="3" t="str">
        <f>IFERROR(__xludf.DUMMYFUNCTION("GOOGLETRANSLATE(A13301,""en"",""pt"")"),"Idiotas")</f>
        <v>Idiotas</v>
      </c>
      <c r="B13301" s="3">
        <v>0</v>
      </c>
    </row>
    <row r="13302" ht="15.75" customHeight="1" spans="1:2">
      <c r="A13302" s="3" t="str">
        <f>IFERROR(__xludf.DUMMYFUNCTION("GOOGLETRANSLATE(A13302,""en"",""pt"")"),"downbeat")</f>
        <v>downbeat</v>
      </c>
      <c r="B13302" s="3">
        <v>0</v>
      </c>
    </row>
    <row r="13303" ht="15.75" customHeight="1" spans="1:2">
      <c r="A13303" s="3" t="str">
        <f>IFERROR(__xludf.DUMMYFUNCTION("GOOGLETRANSLATE(A13303,""en"",""pt"")"),"abatido")</f>
        <v>abatido</v>
      </c>
      <c r="B13303" s="3">
        <v>0</v>
      </c>
    </row>
    <row r="13304" ht="15.75" customHeight="1" spans="1:2">
      <c r="A13304" s="3" t="str">
        <f>IFERROR(__xludf.DUMMYFUNCTION("GOOGLETRANSLATE(A13304,""en"",""pt"")"),"Downer")</f>
        <v>Downer</v>
      </c>
      <c r="B13304" s="3">
        <v>0</v>
      </c>
    </row>
    <row r="13305" ht="15.75" customHeight="1" spans="1:2">
      <c r="A13305" s="3" t="str">
        <f>IFERROR(__xludf.DUMMYFUNCTION("GOOGLETRANSLATE(A13305,""en"",""pt"")"),"queda")</f>
        <v>queda</v>
      </c>
      <c r="B13305" s="3">
        <v>0</v>
      </c>
    </row>
    <row r="13306" ht="15.75" customHeight="1" spans="1:2">
      <c r="A13306" s="3" t="str">
        <f>IFERROR(__xludf.DUMMYFUNCTION("GOOGLETRANSLATE(A13306,""en"",""pt"")"),"downfallen")</f>
        <v>downfallen</v>
      </c>
      <c r="B13306" s="3">
        <v>0</v>
      </c>
    </row>
    <row r="13307" ht="15.75" customHeight="1" spans="1:2">
      <c r="A13307" s="3" t="str">
        <f>IFERROR(__xludf.DUMMYFUNCTION("GOOGLETRANSLATE(A13307,""en"",""pt"")"),"rebaixamento")</f>
        <v>rebaixamento</v>
      </c>
      <c r="B13307" s="3">
        <v>0</v>
      </c>
    </row>
    <row r="13308" ht="15.75" customHeight="1" spans="1:2">
      <c r="A13308" s="3" t="str">
        <f>IFERROR(__xludf.DUMMYFUNCTION("GOOGLETRANSLATE(A13308,""en"",""pt"")"),"downhearted")</f>
        <v>downhearted</v>
      </c>
      <c r="B13308" s="3">
        <v>0</v>
      </c>
    </row>
    <row r="13309" ht="15.75" customHeight="1" spans="1:2">
      <c r="A13309" s="3" t="str">
        <f>IFERROR(__xludf.DUMMYFUNCTION("GOOGLETRANSLATE(A13309,""en"",""pt"")"),"downheartedly")</f>
        <v>downheartedly</v>
      </c>
      <c r="B13309" s="3">
        <v>0</v>
      </c>
    </row>
    <row r="13310" ht="15.75" customHeight="1" spans="1:2">
      <c r="A13310" s="3" t="str">
        <f>IFERROR(__xludf.DUMMYFUNCTION("GOOGLETRANSLATE(A13310,""en"",""pt"")"),"descida")</f>
        <v>descida</v>
      </c>
      <c r="B13310" s="3">
        <v>0</v>
      </c>
    </row>
    <row r="13311" ht="15.75" customHeight="1" spans="1:2">
      <c r="A13311" s="3" t="str">
        <f>IFERROR(__xludf.DUMMYFUNCTION("GOOGLETRANSLATE(A13311,""en"",""pt"")"),"desvantagem")</f>
        <v>desvantagem</v>
      </c>
      <c r="B13311" s="3">
        <v>0</v>
      </c>
    </row>
    <row r="13312" ht="15.75" customHeight="1" spans="1:2">
      <c r="A13312" s="3" t="str">
        <f>IFERROR(__xludf.DUMMYFUNCTION("GOOGLETRANSLATE(A13312,""en"",""pt"")"),"desvantagens")</f>
        <v>desvantagens</v>
      </c>
      <c r="B13312" s="3">
        <v>0</v>
      </c>
    </row>
    <row r="13313" ht="15.75" customHeight="1" spans="1:2">
      <c r="A13313" s="3" t="str">
        <f>IFERROR(__xludf.DUMMYFUNCTION("GOOGLETRANSLATE(A13313,""en"",""pt"")"),"desaceleração")</f>
        <v>desaceleração</v>
      </c>
      <c r="B13313" s="3">
        <v>0</v>
      </c>
    </row>
    <row r="13314" ht="15.75" customHeight="1" spans="1:2">
      <c r="A13314" s="3" t="str">
        <f>IFERROR(__xludf.DUMMYFUNCTION("GOOGLETRANSLATE(A13314,""en"",""pt"")"),"downturns")</f>
        <v>downturns</v>
      </c>
      <c r="B13314" s="3">
        <v>0</v>
      </c>
    </row>
    <row r="13315" ht="15.75" customHeight="1" spans="1:2">
      <c r="A13315" s="3" t="str">
        <f>IFERROR(__xludf.DUMMYFUNCTION("GOOGLETRANSLATE(A13315,""en"",""pt"")"),"monótono")</f>
        <v>monótono</v>
      </c>
      <c r="B13315" s="3">
        <v>0</v>
      </c>
    </row>
    <row r="13316" ht="15.75" customHeight="1" spans="1:2">
      <c r="A13316" s="3" t="str">
        <f>IFERROR(__xludf.DUMMYFUNCTION("GOOGLETRANSLATE(A13316,""en"",""pt"")"),"draconiana")</f>
        <v>draconiana</v>
      </c>
      <c r="B13316" s="3">
        <v>0</v>
      </c>
    </row>
    <row r="13317" ht="15.75" customHeight="1" spans="1:2">
      <c r="A13317" s="3" t="str">
        <f>IFERROR(__xludf.DUMMYFUNCTION("GOOGLETRANSLATE(A13317,""en"",""pt"")"),"draconic")</f>
        <v>draconic</v>
      </c>
      <c r="B13317" s="3">
        <v>0</v>
      </c>
    </row>
    <row r="13318" ht="15.75" customHeight="1" spans="1:2">
      <c r="A13318" s="3" t="str">
        <f>IFERROR(__xludf.DUMMYFUNCTION("GOOGLETRANSLATE(A13318,""en"",""pt"")"),"arrasto")</f>
        <v>arrasto</v>
      </c>
      <c r="B13318" s="3">
        <v>0</v>
      </c>
    </row>
    <row r="13319" ht="15.75" customHeight="1" spans="1:2">
      <c r="A13319" s="3" t="str">
        <f>IFERROR(__xludf.DUMMYFUNCTION("GOOGLETRANSLATE(A13319,""en"",""pt"")"),"arrastado")</f>
        <v>arrastado</v>
      </c>
      <c r="B13319" s="3">
        <v>0</v>
      </c>
    </row>
    <row r="13320" ht="15.75" customHeight="1" spans="1:2">
      <c r="A13320" s="3" t="str">
        <f>IFERROR(__xludf.DUMMYFUNCTION("GOOGLETRANSLATE(A13320,""en"",""pt"")"),"arrasto")</f>
        <v>arrasto</v>
      </c>
      <c r="B13320" s="3">
        <v>0</v>
      </c>
    </row>
    <row r="13321" ht="15.75" customHeight="1" spans="1:2">
      <c r="A13321" s="3" t="str">
        <f>IFERROR(__xludf.DUMMYFUNCTION("GOOGLETRANSLATE(A13321,""en"",""pt"")"),"dragão")</f>
        <v>dragão</v>
      </c>
      <c r="B13321" s="3">
        <v>0</v>
      </c>
    </row>
    <row r="13322" ht="15.75" customHeight="1" spans="1:2">
      <c r="A13322" s="3" t="str">
        <f>IFERROR(__xludf.DUMMYFUNCTION("GOOGLETRANSLATE(A13322,""en"",""pt"")"),"drags")</f>
        <v>drags</v>
      </c>
      <c r="B13322" s="3">
        <v>0</v>
      </c>
    </row>
    <row r="13323" ht="15.75" customHeight="1" spans="1:2">
      <c r="A13323" s="3" t="str">
        <f>IFERROR(__xludf.DUMMYFUNCTION("GOOGLETRANSLATE(A13323,""en"",""pt"")"),"drenar")</f>
        <v>drenar</v>
      </c>
      <c r="B13323" s="3">
        <v>0</v>
      </c>
    </row>
    <row r="13324" ht="15.75" customHeight="1" spans="1:2">
      <c r="A13324" s="3" t="str">
        <f>IFERROR(__xludf.DUMMYFUNCTION("GOOGLETRANSLATE(A13324,""en"",""pt"")"),"drenado")</f>
        <v>drenado</v>
      </c>
      <c r="B13324" s="3">
        <v>0</v>
      </c>
    </row>
    <row r="13325" ht="15.75" customHeight="1" spans="1:2">
      <c r="A13325" s="3" t="str">
        <f>IFERROR(__xludf.DUMMYFUNCTION("GOOGLETRANSLATE(A13325,""en"",""pt"")"),"drenando")</f>
        <v>drenando</v>
      </c>
      <c r="B13325" s="3">
        <v>0</v>
      </c>
    </row>
    <row r="13326" ht="15.75" customHeight="1" spans="1:2">
      <c r="A13326" s="3" t="str">
        <f>IFERROR(__xludf.DUMMYFUNCTION("GOOGLETRANSLATE(A13326,""en"",""pt"")"),"drenos")</f>
        <v>drenos</v>
      </c>
      <c r="B13326" s="3">
        <v>0</v>
      </c>
    </row>
    <row r="13327" ht="15.75" customHeight="1" spans="1:2">
      <c r="A13327" s="3" t="str">
        <f>IFERROR(__xludf.DUMMYFUNCTION("GOOGLETRANSLATE(A13327,""en"",""pt"")"),"drástico")</f>
        <v>drástico</v>
      </c>
      <c r="B13327" s="3">
        <v>0</v>
      </c>
    </row>
    <row r="13328" ht="15.75" customHeight="1" spans="1:2">
      <c r="A13328" s="3" t="str">
        <f>IFERROR(__xludf.DUMMYFUNCTION("GOOGLETRANSLATE(A13328,""en"",""pt"")"),"drasticamente")</f>
        <v>drasticamente</v>
      </c>
      <c r="B13328" s="3">
        <v>0</v>
      </c>
    </row>
    <row r="13329" ht="15.75" customHeight="1" spans="1:2">
      <c r="A13329" s="3" t="str">
        <f>IFERROR(__xludf.DUMMYFUNCTION("GOOGLETRANSLATE(A13329,""en"",""pt"")"),"recua")</f>
        <v>recua</v>
      </c>
      <c r="B13329" s="3">
        <v>0</v>
      </c>
    </row>
    <row r="13330" ht="15.75" customHeight="1" spans="1:2">
      <c r="A13330" s="3" t="str">
        <f>IFERROR(__xludf.DUMMYFUNCTION("GOOGLETRANSLATE(A13330,""en"",""pt"")"),"inconvenientes")</f>
        <v>inconvenientes</v>
      </c>
      <c r="B13330" s="3">
        <v>0</v>
      </c>
    </row>
    <row r="13331" ht="15.75" customHeight="1" spans="1:2">
      <c r="A13331" s="3" t="str">
        <f>IFERROR(__xludf.DUMMYFUNCTION("GOOGLETRANSLATE(A13331,""en"",""pt"")"),"pavor")</f>
        <v>pavor</v>
      </c>
      <c r="B13331" s="3">
        <v>0</v>
      </c>
    </row>
    <row r="13332" ht="15.75" customHeight="1" spans="1:2">
      <c r="A13332" s="3" t="str">
        <f>IFERROR(__xludf.DUMMYFUNCTION("GOOGLETRANSLATE(A13332,""en"",""pt"")"),"terrível")</f>
        <v>terrível</v>
      </c>
      <c r="B13332" s="3">
        <v>0</v>
      </c>
    </row>
    <row r="13333" ht="15.75" customHeight="1" spans="1:2">
      <c r="A13333" s="3" t="str">
        <f>IFERROR(__xludf.DUMMYFUNCTION("GOOGLETRANSLATE(A13333,""en"",""pt"")"),"terrivelmente")</f>
        <v>terrivelmente</v>
      </c>
      <c r="B13333" s="3">
        <v>0</v>
      </c>
    </row>
    <row r="13334" ht="15.75" customHeight="1" spans="1:2">
      <c r="A13334" s="3" t="str">
        <f>IFERROR(__xludf.DUMMYFUNCTION("GOOGLETRANSLATE(A13334,""en"",""pt"")"),"dreadfulness")</f>
        <v>dreadfulness</v>
      </c>
      <c r="B13334" s="3">
        <v>0</v>
      </c>
    </row>
    <row r="13335" ht="15.75" customHeight="1" spans="1:2">
      <c r="A13335" s="3" t="str">
        <f>IFERROR(__xludf.DUMMYFUNCTION("GOOGLETRANSLATE(A13335,""en"",""pt"")"),"aborrecido")</f>
        <v>aborrecido</v>
      </c>
      <c r="B13335" s="3">
        <v>0</v>
      </c>
    </row>
    <row r="13336" ht="15.75" customHeight="1" spans="1:2">
      <c r="A13336" s="3" t="str">
        <f>IFERROR(__xludf.DUMMYFUNCTION("GOOGLETRANSLATE(A13336,""en"",""pt"")"),"gotejado")</f>
        <v>gotejado</v>
      </c>
      <c r="B13336" s="3">
        <v>0</v>
      </c>
    </row>
    <row r="13337" ht="15.75" customHeight="1" spans="1:2">
      <c r="A13337" s="3" t="str">
        <f>IFERROR(__xludf.DUMMYFUNCTION("GOOGLETRANSLATE(A13337,""en"",""pt"")"),"gotejamento")</f>
        <v>gotejamento</v>
      </c>
      <c r="B13337" s="3">
        <v>0</v>
      </c>
    </row>
    <row r="13338" ht="15.75" customHeight="1" spans="1:2">
      <c r="A13338" s="3" t="str">
        <f>IFERROR(__xludf.DUMMYFUNCTION("GOOGLETRANSLATE(A13338,""en"",""pt"")"),"drippy")</f>
        <v>drippy</v>
      </c>
      <c r="B13338" s="3">
        <v>0</v>
      </c>
    </row>
    <row r="13339" ht="15.75" customHeight="1" spans="1:2">
      <c r="A13339" s="3" t="str">
        <f>IFERROR(__xludf.DUMMYFUNCTION("GOOGLETRANSLATE(A13339,""en"",""pt"")"),"pinga")</f>
        <v>pinga</v>
      </c>
      <c r="B13339" s="3">
        <v>0</v>
      </c>
    </row>
    <row r="13340" ht="15.75" customHeight="1" spans="1:2">
      <c r="A13340" s="3" t="str">
        <f>IFERROR(__xludf.DUMMYFUNCTION("GOOGLETRANSLATE(A13340,""en"",""pt"")"),"drones")</f>
        <v>drones</v>
      </c>
      <c r="B13340" s="3">
        <v>0</v>
      </c>
    </row>
    <row r="13341" ht="15.75" customHeight="1" spans="1:2">
      <c r="A13341" s="3" t="str">
        <f>IFERROR(__xludf.DUMMYFUNCTION("GOOGLETRANSLATE(A13341,""en"",""pt"")"),"pender")</f>
        <v>pender</v>
      </c>
      <c r="B13341" s="3">
        <v>0</v>
      </c>
    </row>
    <row r="13342" ht="15.75" customHeight="1" spans="1:2">
      <c r="A13342" s="3" t="str">
        <f>IFERROR(__xludf.DUMMYFUNCTION("GOOGLETRANSLATE(A13342,""en"",""pt"")"),"droops")</f>
        <v>droops</v>
      </c>
      <c r="B13342" s="3">
        <v>0</v>
      </c>
    </row>
    <row r="13343" ht="15.75" customHeight="1" spans="1:2">
      <c r="A13343" s="3" t="str">
        <f>IFERROR(__xludf.DUMMYFUNCTION("GOOGLETRANSLATE(A13343,""en"",""pt"")"),"cair fora")</f>
        <v>cair fora</v>
      </c>
      <c r="B13343" s="3">
        <v>0</v>
      </c>
    </row>
    <row r="13344" ht="15.75" customHeight="1" spans="1:2">
      <c r="A13344" s="3" t="str">
        <f>IFERROR(__xludf.DUMMYFUNCTION("GOOGLETRANSLATE(A13344,""en"",""pt"")"),"desistências")</f>
        <v>desistências</v>
      </c>
      <c r="B13344" s="3">
        <v>0</v>
      </c>
    </row>
    <row r="13345" ht="15.75" customHeight="1" spans="1:2">
      <c r="A13345" s="3" t="str">
        <f>IFERROR(__xludf.DUMMYFUNCTION("GOOGLETRANSLATE(A13345,""en"",""pt"")"),"cair fora")</f>
        <v>cair fora</v>
      </c>
      <c r="B13345" s="3">
        <v>0</v>
      </c>
    </row>
    <row r="13346" ht="15.75" customHeight="1" spans="1:2">
      <c r="A13346" s="3" t="str">
        <f>IFERROR(__xludf.DUMMYFUNCTION("GOOGLETRANSLATE(A13346,""en"",""pt"")"),"desistências")</f>
        <v>desistências</v>
      </c>
      <c r="B13346" s="3">
        <v>0</v>
      </c>
    </row>
    <row r="13347" ht="15.75" customHeight="1" spans="1:2">
      <c r="A13347" s="3" t="str">
        <f>IFERROR(__xludf.DUMMYFUNCTION("GOOGLETRANSLATE(A13347,""en"",""pt"")"),"seca")</f>
        <v>seca</v>
      </c>
      <c r="B13347" s="3">
        <v>0</v>
      </c>
    </row>
    <row r="13348" ht="15.75" customHeight="1" spans="1:2">
      <c r="A13348" s="3" t="str">
        <f>IFERROR(__xludf.DUMMYFUNCTION("GOOGLETRANSLATE(A13348,""en"",""pt"")"),"afogamento")</f>
        <v>afogamento</v>
      </c>
      <c r="B13348" s="3">
        <v>0</v>
      </c>
    </row>
    <row r="13349" ht="15.75" customHeight="1" spans="1:2">
      <c r="A13349" s="3" t="str">
        <f>IFERROR(__xludf.DUMMYFUNCTION("GOOGLETRANSLATE(A13349,""en"",""pt"")"),"bêbado")</f>
        <v>bêbado</v>
      </c>
      <c r="B13349" s="3">
        <v>0</v>
      </c>
    </row>
    <row r="13350" ht="15.75" customHeight="1" spans="1:2">
      <c r="A13350" s="3" t="str">
        <f>IFERROR(__xludf.DUMMYFUNCTION("GOOGLETRANSLATE(A13350,""en"",""pt"")"),"bêbado")</f>
        <v>bêbado</v>
      </c>
      <c r="B13350" s="3">
        <v>0</v>
      </c>
    </row>
    <row r="13351" ht="15.75" customHeight="1" spans="1:2">
      <c r="A13351" s="3" t="str">
        <f>IFERROR(__xludf.DUMMYFUNCTION("GOOGLETRANSLATE(A13351,""en"",""pt"")"),"embriagado")</f>
        <v>embriagado</v>
      </c>
      <c r="B13351" s="3">
        <v>0</v>
      </c>
    </row>
    <row r="13352" ht="15.75" customHeight="1" spans="1:2">
      <c r="A13352" s="3" t="str">
        <f>IFERROR(__xludf.DUMMYFUNCTION("GOOGLETRANSLATE(A13352,""en"",""pt"")"),"duvidoso")</f>
        <v>duvidoso</v>
      </c>
      <c r="B13352" s="3">
        <v>0</v>
      </c>
    </row>
    <row r="13353" ht="15.75" customHeight="1" spans="1:2">
      <c r="A13353" s="3" t="str">
        <f>IFERROR(__xludf.DUMMYFUNCTION("GOOGLETRANSLATE(A13353,""en"",""pt"")"),"dubiously")</f>
        <v>dubiously</v>
      </c>
      <c r="B13353" s="3">
        <v>0</v>
      </c>
    </row>
    <row r="13354" ht="15.75" customHeight="1" spans="1:2">
      <c r="A13354" s="3" t="str">
        <f>IFERROR(__xludf.DUMMYFUNCTION("GOOGLETRANSLATE(A13354,""en"",""pt"")"),"dubitable")</f>
        <v>dubitable</v>
      </c>
      <c r="B13354" s="3">
        <v>0</v>
      </c>
    </row>
    <row r="13355" ht="15.75" customHeight="1" spans="1:2">
      <c r="A13355" s="3" t="str">
        <f>IFERROR(__xludf.DUMMYFUNCTION("GOOGLETRANSLATE(A13355,""en"",""pt"")"),"boato")</f>
        <v>boato</v>
      </c>
      <c r="B13355" s="3">
        <v>0</v>
      </c>
    </row>
    <row r="13356" ht="15.75" customHeight="1" spans="1:2">
      <c r="A13356" s="3" t="str">
        <f>IFERROR(__xludf.DUMMYFUNCTION("GOOGLETRANSLATE(A13356,""en"",""pt"")"),"maçante")</f>
        <v>maçante</v>
      </c>
      <c r="B13356" s="3">
        <v>0</v>
      </c>
    </row>
    <row r="13357" ht="15.75" customHeight="1" spans="1:2">
      <c r="A13357" s="3" t="str">
        <f>IFERROR(__xludf.DUMMYFUNCTION("GOOGLETRANSLATE(A13357,""en"",""pt"")"),"bronco")</f>
        <v>bronco</v>
      </c>
      <c r="B13357" s="3">
        <v>0</v>
      </c>
    </row>
    <row r="13358" ht="15.75" customHeight="1" spans="1:2">
      <c r="A13358" s="3" t="str">
        <f>IFERROR(__xludf.DUMMYFUNCTION("GOOGLETRANSLATE(A13358,""en"",""pt"")"),"burro")</f>
        <v>burro</v>
      </c>
      <c r="B13358" s="3">
        <v>0</v>
      </c>
    </row>
    <row r="13359" ht="15.75" customHeight="1" spans="1:2">
      <c r="A13359" s="3" t="str">
        <f>IFERROR(__xludf.DUMMYFUNCTION("GOOGLETRANSLATE(A13359,""en"",""pt"")"),"emudecer")</f>
        <v>emudecer</v>
      </c>
      <c r="B13359" s="3">
        <v>0</v>
      </c>
    </row>
    <row r="13360" ht="15.75" customHeight="1" spans="1:2">
      <c r="A13360" s="3" t="str">
        <f>IFERROR(__xludf.DUMMYFUNCTION("GOOGLETRANSLATE(A13360,""en"",""pt"")"),"lixeira")</f>
        <v>lixeira</v>
      </c>
      <c r="B13360" s="3">
        <v>0</v>
      </c>
    </row>
    <row r="13361" ht="15.75" customHeight="1" spans="1:2">
      <c r="A13361" s="3" t="str">
        <f>IFERROR(__xludf.DUMMYFUNCTION("GOOGLETRANSLATE(A13361,""en"",""pt"")"),"despejado")</f>
        <v>despejado</v>
      </c>
      <c r="B13361" s="3">
        <v>0</v>
      </c>
    </row>
    <row r="13362" ht="15.75" customHeight="1" spans="1:2">
      <c r="A13362" s="3" t="str">
        <f>IFERROR(__xludf.DUMMYFUNCTION("GOOGLETRANSLATE(A13362,""en"",""pt"")"),"despejo")</f>
        <v>despejo</v>
      </c>
      <c r="B13362" s="3">
        <v>0</v>
      </c>
    </row>
    <row r="13363" ht="15.75" customHeight="1" spans="1:2">
      <c r="A13363" s="3" t="str">
        <f>IFERROR(__xludf.DUMMYFUNCTION("GOOGLETRANSLATE(A13363,""en"",""pt"")"),"lixões")</f>
        <v>lixões</v>
      </c>
      <c r="B13363" s="3">
        <v>0</v>
      </c>
    </row>
    <row r="13364" ht="15.75" customHeight="1" spans="1:2">
      <c r="A13364" s="3" t="str">
        <f>IFERROR(__xludf.DUMMYFUNCTION("GOOGLETRANSLATE(A13364,""en"",""pt"")"),"ignorante")</f>
        <v>ignorante</v>
      </c>
      <c r="B13364" s="3">
        <v>0</v>
      </c>
    </row>
    <row r="13365" ht="15.75" customHeight="1" spans="1:2">
      <c r="A13365" s="3" t="str">
        <f>IFERROR(__xludf.DUMMYFUNCTION("GOOGLETRANSLATE(A13365,""en"",""pt"")"),"masmorra")</f>
        <v>masmorra</v>
      </c>
      <c r="B13365" s="3">
        <v>0</v>
      </c>
    </row>
    <row r="13366" ht="15.75" customHeight="1" spans="1:2">
      <c r="A13366" s="3" t="str">
        <f>IFERROR(__xludf.DUMMYFUNCTION("GOOGLETRANSLATE(A13366,""en"",""pt"")"),"masmorras")</f>
        <v>masmorras</v>
      </c>
      <c r="B13366" s="3">
        <v>0</v>
      </c>
    </row>
    <row r="13367" ht="15.75" customHeight="1" spans="1:2">
      <c r="A13367" s="3" t="str">
        <f>IFERROR(__xludf.DUMMYFUNCTION("GOOGLETRANSLATE(A13367,""en"",""pt"")"),"enganar")</f>
        <v>enganar</v>
      </c>
      <c r="B13367" s="3">
        <v>0</v>
      </c>
    </row>
    <row r="13368" ht="15.75" customHeight="1" spans="1:2">
      <c r="A13368" s="3" t="str">
        <f>IFERROR(__xludf.DUMMYFUNCTION("GOOGLETRANSLATE(A13368,""en"",""pt"")"),"poeira")</f>
        <v>poeira</v>
      </c>
      <c r="B13368" s="3">
        <v>0</v>
      </c>
    </row>
    <row r="13369" ht="15.75" customHeight="1" spans="1:2">
      <c r="A13369" s="3" t="str">
        <f>IFERROR(__xludf.DUMMYFUNCTION("GOOGLETRANSLATE(A13369,""en"",""pt"")"),"empoeirado")</f>
        <v>empoeirado</v>
      </c>
      <c r="B13369" s="3">
        <v>0</v>
      </c>
    </row>
    <row r="13370" ht="15.75" customHeight="1" spans="1:2">
      <c r="A13370" s="3" t="str">
        <f>IFERROR(__xludf.DUMMYFUNCTION("GOOGLETRANSLATE(A13370,""en"",""pt"")"),"diminuindo")</f>
        <v>diminuindo</v>
      </c>
      <c r="B13370" s="3">
        <v>0</v>
      </c>
    </row>
    <row r="13371" ht="15.75" customHeight="1" spans="1:2">
      <c r="A13371" s="3" t="str">
        <f>IFERROR(__xludf.DUMMYFUNCTION("GOOGLETRANSLATE(A13371,""en"",""pt"")"),"morrendo")</f>
        <v>morrendo</v>
      </c>
      <c r="B13371" s="3">
        <v>0</v>
      </c>
    </row>
    <row r="13372" ht="15.75" customHeight="1" spans="1:2">
      <c r="A13372" s="3" t="str">
        <f>IFERROR(__xludf.DUMMYFUNCTION("GOOGLETRANSLATE(A13372,""en"",""pt"")"),"earsplitting")</f>
        <v>earsplitting</v>
      </c>
      <c r="B13372" s="3">
        <v>0</v>
      </c>
    </row>
    <row r="13373" ht="15.75" customHeight="1" spans="1:2">
      <c r="A13373" s="3" t="str">
        <f>IFERROR(__xludf.DUMMYFUNCTION("GOOGLETRANSLATE(A13373,""en"",""pt"")"),"excêntrico")</f>
        <v>excêntrico</v>
      </c>
      <c r="B13373" s="3">
        <v>0</v>
      </c>
    </row>
    <row r="13374" ht="15.75" customHeight="1" spans="1:2">
      <c r="A13374" s="3" t="str">
        <f>IFERROR(__xludf.DUMMYFUNCTION("GOOGLETRANSLATE(A13374,""en"",""pt"")"),"excentricidade")</f>
        <v>excentricidade</v>
      </c>
      <c r="B13374" s="3">
        <v>0</v>
      </c>
    </row>
    <row r="13375" ht="15.75" customHeight="1" spans="1:2">
      <c r="A13375" s="3" t="str">
        <f>IFERROR(__xludf.DUMMYFUNCTION("GOOGLETRANSLATE(A13375,""en"",""pt"")"),"efígie")</f>
        <v>efígie</v>
      </c>
      <c r="B13375" s="3">
        <v>0</v>
      </c>
    </row>
    <row r="13376" ht="15.75" customHeight="1" spans="1:2">
      <c r="A13376" s="3" t="str">
        <f>IFERROR(__xludf.DUMMYFUNCTION("GOOGLETRANSLATE(A13376,""en"",""pt"")"),"descaramento")</f>
        <v>descaramento</v>
      </c>
      <c r="B13376" s="3">
        <v>0</v>
      </c>
    </row>
    <row r="13377" ht="15.75" customHeight="1" spans="1:2">
      <c r="A13377" s="3" t="str">
        <f>IFERROR(__xludf.DUMMYFUNCTION("GOOGLETRANSLATE(A13377,""en"",""pt"")"),"egocêntrico")</f>
        <v>egocêntrico</v>
      </c>
      <c r="B13377" s="3">
        <v>0</v>
      </c>
    </row>
    <row r="13378" ht="15.75" customHeight="1" spans="1:2">
      <c r="A13378" s="3" t="str">
        <f>IFERROR(__xludf.DUMMYFUNCTION("GOOGLETRANSLATE(A13378,""en"",""pt"")"),"egomania")</f>
        <v>egomania</v>
      </c>
      <c r="B13378" s="3">
        <v>0</v>
      </c>
    </row>
    <row r="13379" ht="15.75" customHeight="1" spans="1:2">
      <c r="A13379" s="3" t="str">
        <f>IFERROR(__xludf.DUMMYFUNCTION("GOOGLETRANSLATE(A13379,""en"",""pt"")"),"egotismo")</f>
        <v>egotismo</v>
      </c>
      <c r="B13379" s="3">
        <v>0</v>
      </c>
    </row>
    <row r="13380" ht="15.75" customHeight="1" spans="1:2">
      <c r="A13380" s="3" t="str">
        <f>IFERROR(__xludf.DUMMYFUNCTION("GOOGLETRANSLATE(A13380,""en"",""pt"")"),"egoísta")</f>
        <v>egoísta</v>
      </c>
      <c r="B13380" s="3">
        <v>0</v>
      </c>
    </row>
    <row r="13381" ht="15.75" customHeight="1" spans="1:2">
      <c r="A13381" s="3" t="str">
        <f>IFERROR(__xludf.DUMMYFUNCTION("GOOGLETRANSLATE(A13381,""en"",""pt"")"),"egotisticamente")</f>
        <v>egotisticamente</v>
      </c>
      <c r="B13381" s="3">
        <v>0</v>
      </c>
    </row>
    <row r="13382" ht="15.75" customHeight="1" spans="1:2">
      <c r="A13382" s="3" t="str">
        <f>IFERROR(__xludf.DUMMYFUNCTION("GOOGLETRANSLATE(A13382,""en"",""pt"")"),"egrégio")</f>
        <v>egrégio</v>
      </c>
      <c r="B13382" s="3">
        <v>0</v>
      </c>
    </row>
    <row r="13383" ht="15.75" customHeight="1" spans="1:2">
      <c r="A13383" s="3" t="str">
        <f>IFERROR(__xludf.DUMMYFUNCTION("GOOGLETRANSLATE(A13383,""en"",""pt"")"),"egregiously")</f>
        <v>egregiously</v>
      </c>
      <c r="B13383" s="3">
        <v>0</v>
      </c>
    </row>
    <row r="13384" ht="15.75" customHeight="1" spans="1:2">
      <c r="A13384" s="3" t="str">
        <f>IFERROR(__xludf.DUMMYFUNCTION("GOOGLETRANSLATE(A13384,""en"",""pt"")"),"eleição-rigger")</f>
        <v>eleição-rigger</v>
      </c>
      <c r="B13384" s="3">
        <v>0</v>
      </c>
    </row>
    <row r="13385" ht="15.75" customHeight="1" spans="1:2">
      <c r="A13385" s="3" t="str">
        <f>IFERROR(__xludf.DUMMYFUNCTION("GOOGLETRANSLATE(A13385,""en"",""pt"")"),"eliminação")</f>
        <v>eliminação</v>
      </c>
      <c r="B13385" s="3">
        <v>0</v>
      </c>
    </row>
    <row r="13386" ht="15.75" customHeight="1" spans="1:2">
      <c r="A13386" s="3" t="str">
        <f>IFERROR(__xludf.DUMMYFUNCTION("GOOGLETRANSLATE(A13386,""en"",""pt"")"),"emaciado")</f>
        <v>emaciado</v>
      </c>
      <c r="B13386" s="3">
        <v>0</v>
      </c>
    </row>
    <row r="13387" ht="15.75" customHeight="1" spans="1:2">
      <c r="A13387" s="3" t="str">
        <f>IFERROR(__xludf.DUMMYFUNCTION("GOOGLETRANSLATE(A13387,""en"",""pt"")"),"castrar")</f>
        <v>castrar</v>
      </c>
      <c r="B13387" s="3">
        <v>0</v>
      </c>
    </row>
    <row r="13388" ht="15.75" customHeight="1" spans="1:2">
      <c r="A13388" s="3" t="str">
        <f>IFERROR(__xludf.DUMMYFUNCTION("GOOGLETRANSLATE(A13388,""en"",""pt"")"),"embaraçar")</f>
        <v>embaraçar</v>
      </c>
      <c r="B13388" s="3">
        <v>0</v>
      </c>
    </row>
    <row r="13389" ht="15.75" customHeight="1" spans="1:2">
      <c r="A13389" s="3" t="str">
        <f>IFERROR(__xludf.DUMMYFUNCTION("GOOGLETRANSLATE(A13389,""en"",""pt"")"),"embaraçoso")</f>
        <v>embaraçoso</v>
      </c>
      <c r="B13389" s="3">
        <v>0</v>
      </c>
    </row>
    <row r="13390" ht="15.75" customHeight="1" spans="1:2">
      <c r="A13390" s="3" t="str">
        <f>IFERROR(__xludf.DUMMYFUNCTION("GOOGLETRANSLATE(A13390,""en"",""pt"")"),"embaraçosamente")</f>
        <v>embaraçosamente</v>
      </c>
      <c r="B13390" s="3">
        <v>0</v>
      </c>
    </row>
    <row r="13391" ht="15.75" customHeight="1" spans="1:2">
      <c r="A13391" s="3" t="str">
        <f>IFERROR(__xludf.DUMMYFUNCTION("GOOGLETRANSLATE(A13391,""en"",""pt"")"),"embaraço")</f>
        <v>embaraço</v>
      </c>
      <c r="B13391" s="3">
        <v>0</v>
      </c>
    </row>
    <row r="13392" ht="15.75" customHeight="1" spans="1:2">
      <c r="A13392" s="3" t="str">
        <f>IFERROR(__xludf.DUMMYFUNCTION("GOOGLETRANSLATE(A13392,""en"",""pt"")"),"preparado para combate")</f>
        <v>preparado para combate</v>
      </c>
      <c r="B13392" s="3">
        <v>0</v>
      </c>
    </row>
    <row r="13393" ht="15.75" customHeight="1" spans="1:2">
      <c r="A13393" s="3" t="str">
        <f>IFERROR(__xludf.DUMMYFUNCTION("GOOGLETRANSLATE(A13393,""en"",""pt"")"),"embroil")</f>
        <v>embroil</v>
      </c>
      <c r="B13393" s="3">
        <v>0</v>
      </c>
    </row>
    <row r="13394" ht="15.75" customHeight="1" spans="1:2">
      <c r="A13394" s="3" t="str">
        <f>IFERROR(__xludf.DUMMYFUNCTION("GOOGLETRANSLATE(A13394,""en"",""pt"")"),"enredado")</f>
        <v>enredado</v>
      </c>
      <c r="B13394" s="3">
        <v>0</v>
      </c>
    </row>
    <row r="13395" ht="15.75" customHeight="1" spans="1:2">
      <c r="A13395" s="3" t="str">
        <f>IFERROR(__xludf.DUMMYFUNCTION("GOOGLETRANSLATE(A13395,""en"",""pt"")"),"embrulhada")</f>
        <v>embrulhada</v>
      </c>
      <c r="B13395" s="3">
        <v>0</v>
      </c>
    </row>
    <row r="13396" ht="15.75" customHeight="1" spans="1:2">
      <c r="A13396" s="3" t="str">
        <f>IFERROR(__xludf.DUMMYFUNCTION("GOOGLETRANSLATE(A13396,""en"",""pt"")"),"emergência")</f>
        <v>emergência</v>
      </c>
      <c r="B13396" s="3">
        <v>0</v>
      </c>
    </row>
    <row r="13397" ht="15.75" customHeight="1" spans="1:2">
      <c r="A13397" s="3" t="str">
        <f>IFERROR(__xludf.DUMMYFUNCTION("GOOGLETRANSLATE(A13397,""en"",""pt"")"),"enfático")</f>
        <v>enfático</v>
      </c>
      <c r="B13397" s="3">
        <v>0</v>
      </c>
    </row>
    <row r="13398" ht="15.75" customHeight="1" spans="1:2">
      <c r="A13398" s="3" t="str">
        <f>IFERROR(__xludf.DUMMYFUNCTION("GOOGLETRANSLATE(A13398,""en"",""pt"")"),"enfaticamente")</f>
        <v>enfaticamente</v>
      </c>
      <c r="B13398" s="3">
        <v>0</v>
      </c>
    </row>
    <row r="13399" ht="15.75" customHeight="1" spans="1:2">
      <c r="A13399" s="3" t="str">
        <f>IFERROR(__xludf.DUMMYFUNCTION("GOOGLETRANSLATE(A13399,""en"",""pt"")"),"vazio")</f>
        <v>vazio</v>
      </c>
      <c r="B13399" s="3">
        <v>0</v>
      </c>
    </row>
    <row r="13400" ht="15.75" customHeight="1" spans="1:2">
      <c r="A13400" s="3" t="str">
        <f>IFERROR(__xludf.DUMMYFUNCTION("GOOGLETRANSLATE(A13400,""en"",""pt"")"),"encroach")</f>
        <v>encroach</v>
      </c>
      <c r="B13400" s="3">
        <v>0</v>
      </c>
    </row>
    <row r="13401" ht="15.75" customHeight="1" spans="1:2">
      <c r="A13401" s="3" t="str">
        <f>IFERROR(__xludf.DUMMYFUNCTION("GOOGLETRANSLATE(A13401,""en"",""pt"")"),"invasão")</f>
        <v>invasão</v>
      </c>
      <c r="B13401" s="3">
        <v>0</v>
      </c>
    </row>
    <row r="13402" ht="15.75" customHeight="1" spans="1:2">
      <c r="A13402" s="3" t="str">
        <f>IFERROR(__xludf.DUMMYFUNCTION("GOOGLETRANSLATE(A13402,""en"",""pt"")"),"pôr em perigo")</f>
        <v>pôr em perigo</v>
      </c>
      <c r="B13402" s="3">
        <v>0</v>
      </c>
    </row>
    <row r="13403" ht="15.75" customHeight="1" spans="1:2">
      <c r="A13403" s="3" t="str">
        <f>IFERROR(__xludf.DUMMYFUNCTION("GOOGLETRANSLATE(A13403,""en"",""pt"")"),"inimigos")</f>
        <v>inimigos</v>
      </c>
      <c r="B13403" s="3">
        <v>0</v>
      </c>
    </row>
    <row r="13404" ht="15.75" customHeight="1" spans="1:2">
      <c r="A13404" s="3" t="str">
        <f>IFERROR(__xludf.DUMMYFUNCTION("GOOGLETRANSLATE(A13404,""en"",""pt"")"),"inimigo")</f>
        <v>inimigo</v>
      </c>
      <c r="B13404" s="3">
        <v>0</v>
      </c>
    </row>
    <row r="13405" ht="15.75" customHeight="1" spans="1:2">
      <c r="A13405" s="3" t="str">
        <f>IFERROR(__xludf.DUMMYFUNCTION("GOOGLETRANSLATE(A13405,""en"",""pt"")"),"enervar")</f>
        <v>enervar</v>
      </c>
      <c r="B13405" s="3">
        <v>0</v>
      </c>
    </row>
    <row r="13406" ht="15.75" customHeight="1" spans="1:2">
      <c r="A13406" s="3" t="str">
        <f>IFERROR(__xludf.DUMMYFUNCTION("GOOGLETRANSLATE(A13406,""en"",""pt"")"),"Enfeeble")</f>
        <v>Enfeeble</v>
      </c>
      <c r="B13406" s="3">
        <v>0</v>
      </c>
    </row>
    <row r="13407" ht="15.75" customHeight="1" spans="1:2">
      <c r="A13407" s="3" t="str">
        <f>IFERROR(__xludf.DUMMYFUNCTION("GOOGLETRANSLATE(A13407,""en"",""pt"")"),"enflame")</f>
        <v>enflame</v>
      </c>
      <c r="B13407" s="3">
        <v>0</v>
      </c>
    </row>
    <row r="13408" ht="15.75" customHeight="1" spans="1:2">
      <c r="A13408" s="3" t="str">
        <f>IFERROR(__xludf.DUMMYFUNCTION("GOOGLETRANSLATE(A13408,""en"",""pt"")"),"engulf")</f>
        <v>engulf</v>
      </c>
      <c r="B13408" s="3">
        <v>0</v>
      </c>
    </row>
    <row r="13409" ht="15.75" customHeight="1" spans="1:2">
      <c r="A13409" s="3" t="str">
        <f>IFERROR(__xludf.DUMMYFUNCTION("GOOGLETRANSLATE(A13409,""en"",""pt"")"),"enjoin")</f>
        <v>enjoin</v>
      </c>
      <c r="B13409" s="3">
        <v>0</v>
      </c>
    </row>
    <row r="13410" ht="15.75" customHeight="1" spans="1:2">
      <c r="A13410" s="3" t="str">
        <f>IFERROR(__xludf.DUMMYFUNCTION("GOOGLETRANSLATE(A13410,""en"",""pt"")"),"inimizade")</f>
        <v>inimizade</v>
      </c>
      <c r="B13410" s="3">
        <v>0</v>
      </c>
    </row>
    <row r="13411" ht="15.75" customHeight="1" spans="1:2">
      <c r="A13411" s="3" t="str">
        <f>IFERROR(__xludf.DUMMYFUNCTION("GOOGLETRANSLATE(A13411,""en"",""pt"")"),"enrage")</f>
        <v>enrage</v>
      </c>
      <c r="B13411" s="3">
        <v>0</v>
      </c>
    </row>
    <row r="13412" ht="15.75" customHeight="1" spans="1:2">
      <c r="A13412" s="3" t="str">
        <f>IFERROR(__xludf.DUMMYFUNCTION("GOOGLETRANSLATE(A13412,""en"",""pt"")"),"enfurecido")</f>
        <v>enfurecido</v>
      </c>
      <c r="B13412" s="3">
        <v>0</v>
      </c>
    </row>
    <row r="13413" ht="15.75" customHeight="1" spans="1:2">
      <c r="A13413" s="3" t="str">
        <f>IFERROR(__xludf.DUMMYFUNCTION("GOOGLETRANSLATE(A13413,""en"",""pt"")"),"enraging")</f>
        <v>enraging</v>
      </c>
      <c r="B13413" s="3">
        <v>0</v>
      </c>
    </row>
    <row r="13414" ht="15.75" customHeight="1" spans="1:2">
      <c r="A13414" s="3" t="str">
        <f>IFERROR(__xludf.DUMMYFUNCTION("GOOGLETRANSLATE(A13414,""en"",""pt"")"),"escravizar")</f>
        <v>escravizar</v>
      </c>
      <c r="B13414" s="3">
        <v>0</v>
      </c>
    </row>
    <row r="13415" ht="15.75" customHeight="1" spans="1:2">
      <c r="A13415" s="3" t="str">
        <f>IFERROR(__xludf.DUMMYFUNCTION("GOOGLETRANSLATE(A13415,""en"",""pt"")"),"entangle")</f>
        <v>entangle</v>
      </c>
      <c r="B13415" s="3">
        <v>0</v>
      </c>
    </row>
    <row r="13416" ht="15.75" customHeight="1" spans="1:2">
      <c r="A13416" s="3" t="str">
        <f>IFERROR(__xludf.DUMMYFUNCTION("GOOGLETRANSLATE(A13416,""en"",""pt"")"),"emaranhamento")</f>
        <v>emaranhamento</v>
      </c>
      <c r="B13416" s="3">
        <v>0</v>
      </c>
    </row>
    <row r="13417" ht="15.75" customHeight="1" spans="1:2">
      <c r="A13417" s="3" t="str">
        <f>IFERROR(__xludf.DUMMYFUNCTION("GOOGLETRANSLATE(A13417,""en"",""pt"")"),"entrap")</f>
        <v>entrap</v>
      </c>
      <c r="B13417" s="3">
        <v>0</v>
      </c>
    </row>
    <row r="13418" ht="15.75" customHeight="1" spans="1:2">
      <c r="A13418" s="3" t="str">
        <f>IFERROR(__xludf.DUMMYFUNCTION("GOOGLETRANSLATE(A13418,""en"",""pt"")"),"aprisionamento")</f>
        <v>aprisionamento</v>
      </c>
      <c r="B13418" s="3">
        <v>0</v>
      </c>
    </row>
    <row r="13419" ht="15.75" customHeight="1" spans="1:2">
      <c r="A13419" s="3" t="str">
        <f>IFERROR(__xludf.DUMMYFUNCTION("GOOGLETRANSLATE(A13419,""en"",""pt"")"),"invejoso")</f>
        <v>invejoso</v>
      </c>
      <c r="B13419" s="3">
        <v>0</v>
      </c>
    </row>
    <row r="13420" ht="15.75" customHeight="1" spans="1:2">
      <c r="A13420" s="3" t="str">
        <f>IFERROR(__xludf.DUMMYFUNCTION("GOOGLETRANSLATE(A13420,""en"",""pt"")"),"enviously")</f>
        <v>enviously</v>
      </c>
      <c r="B13420" s="3">
        <v>0</v>
      </c>
    </row>
    <row r="13421" ht="15.75" customHeight="1" spans="1:2">
      <c r="A13421" s="3" t="str">
        <f>IFERROR(__xludf.DUMMYFUNCTION("GOOGLETRANSLATE(A13421,""en"",""pt"")"),"enviousness")</f>
        <v>enviousness</v>
      </c>
      <c r="B13421" s="3">
        <v>0</v>
      </c>
    </row>
    <row r="13422" ht="15.75" customHeight="1" spans="1:2">
      <c r="A13422" s="3" t="str">
        <f>IFERROR(__xludf.DUMMYFUNCTION("GOOGLETRANSLATE(A13422,""en"",""pt"")"),"epidemia")</f>
        <v>epidemia</v>
      </c>
      <c r="B13422" s="3">
        <v>0</v>
      </c>
    </row>
    <row r="13423" ht="15.75" customHeight="1" spans="1:2">
      <c r="A13423" s="3" t="str">
        <f>IFERROR(__xludf.DUMMYFUNCTION("GOOGLETRANSLATE(A13423,""en"",""pt"")"),"equívoco")</f>
        <v>equívoco</v>
      </c>
      <c r="B13423" s="3">
        <v>0</v>
      </c>
    </row>
    <row r="13424" ht="15.75" customHeight="1" spans="1:2">
      <c r="A13424" s="3" t="str">
        <f>IFERROR(__xludf.DUMMYFUNCTION("GOOGLETRANSLATE(A13424,""en"",""pt"")"),"apagar")</f>
        <v>apagar</v>
      </c>
      <c r="B13424" s="3">
        <v>0</v>
      </c>
    </row>
    <row r="13425" ht="15.75" customHeight="1" spans="1:2">
      <c r="A13425" s="3" t="str">
        <f>IFERROR(__xludf.DUMMYFUNCTION("GOOGLETRANSLATE(A13425,""en"",""pt"")"),"corroer")</f>
        <v>corroer</v>
      </c>
      <c r="B13425" s="3">
        <v>0</v>
      </c>
    </row>
    <row r="13426" ht="15.75" customHeight="1" spans="1:2">
      <c r="A13426" s="3" t="str">
        <f>IFERROR(__xludf.DUMMYFUNCTION("GOOGLETRANSLATE(A13426,""en"",""pt"")"),"corrói")</f>
        <v>corrói</v>
      </c>
      <c r="B13426" s="3">
        <v>0</v>
      </c>
    </row>
    <row r="13427" ht="15.75" customHeight="1" spans="1:2">
      <c r="A13427" s="3" t="str">
        <f>IFERROR(__xludf.DUMMYFUNCTION("GOOGLETRANSLATE(A13427,""en"",""pt"")"),"erosão")</f>
        <v>erosão</v>
      </c>
      <c r="B13427" s="3">
        <v>0</v>
      </c>
    </row>
    <row r="13428" ht="15.75" customHeight="1" spans="1:2">
      <c r="A13428" s="3" t="str">
        <f>IFERROR(__xludf.DUMMYFUNCTION("GOOGLETRANSLATE(A13428,""en"",""pt"")"),"errar")</f>
        <v>errar</v>
      </c>
      <c r="B13428" s="3">
        <v>0</v>
      </c>
    </row>
    <row r="13429" ht="15.75" customHeight="1" spans="1:2">
      <c r="A13429" s="3" t="str">
        <f>IFERROR(__xludf.DUMMYFUNCTION("GOOGLETRANSLATE(A13429,""en"",""pt"")"),"errante")</f>
        <v>errante</v>
      </c>
      <c r="B13429" s="3">
        <v>0</v>
      </c>
    </row>
    <row r="13430" ht="15.75" customHeight="1" spans="1:2">
      <c r="A13430" s="3" t="str">
        <f>IFERROR(__xludf.DUMMYFUNCTION("GOOGLETRANSLATE(A13430,""en"",""pt"")"),"errático")</f>
        <v>errático</v>
      </c>
      <c r="B13430" s="3">
        <v>0</v>
      </c>
    </row>
    <row r="13431" ht="15.75" customHeight="1" spans="1:2">
      <c r="A13431" s="3" t="str">
        <f>IFERROR(__xludf.DUMMYFUNCTION("GOOGLETRANSLATE(A13431,""en"",""pt"")"),"erraticamente")</f>
        <v>erraticamente</v>
      </c>
      <c r="B13431" s="3">
        <v>0</v>
      </c>
    </row>
    <row r="13432" ht="15.75" customHeight="1" spans="1:2">
      <c r="A13432" s="3" t="str">
        <f>IFERROR(__xludf.DUMMYFUNCTION("GOOGLETRANSLATE(A13432,""en"",""pt"")"),"errôneo")</f>
        <v>errôneo</v>
      </c>
      <c r="B13432" s="3">
        <v>0</v>
      </c>
    </row>
    <row r="13433" ht="15.75" customHeight="1" spans="1:2">
      <c r="A13433" s="3" t="str">
        <f>IFERROR(__xludf.DUMMYFUNCTION("GOOGLETRANSLATE(A13433,""en"",""pt"")"),"erroneamente")</f>
        <v>erroneamente</v>
      </c>
      <c r="B13433" s="3">
        <v>0</v>
      </c>
    </row>
    <row r="13434" ht="15.75" customHeight="1" spans="1:2">
      <c r="A13434" s="3" t="str">
        <f>IFERROR(__xludf.DUMMYFUNCTION("GOOGLETRANSLATE(A13434,""en"",""pt"")"),"erro")</f>
        <v>erro</v>
      </c>
      <c r="B13434" s="3">
        <v>0</v>
      </c>
    </row>
    <row r="13435" ht="15.75" customHeight="1" spans="1:2">
      <c r="A13435" s="3" t="str">
        <f>IFERROR(__xludf.DUMMYFUNCTION("GOOGLETRANSLATE(A13435,""en"",""pt"")"),"erros")</f>
        <v>erros</v>
      </c>
      <c r="B13435" s="3">
        <v>0</v>
      </c>
    </row>
    <row r="13436" ht="15.75" customHeight="1" spans="1:2">
      <c r="A13436" s="3" t="str">
        <f>IFERROR(__xludf.DUMMYFUNCTION("GOOGLETRANSLATE(A13436,""en"",""pt"")"),"erupções")</f>
        <v>erupções</v>
      </c>
      <c r="B13436" s="3">
        <v>0</v>
      </c>
    </row>
    <row r="13437" ht="15.75" customHeight="1" spans="1:2">
      <c r="A13437" s="3" t="str">
        <f>IFERROR(__xludf.DUMMYFUNCTION("GOOGLETRANSLATE(A13437,""en"",""pt"")"),"escapada")</f>
        <v>escapada</v>
      </c>
      <c r="B13437" s="3">
        <v>0</v>
      </c>
    </row>
    <row r="13438" ht="15.75" customHeight="1" spans="1:2">
      <c r="A13438" s="3" t="str">
        <f>IFERROR(__xludf.DUMMYFUNCTION("GOOGLETRANSLATE(A13438,""en"",""pt"")"),"eschew")</f>
        <v>eschew</v>
      </c>
      <c r="B13438" s="3">
        <v>0</v>
      </c>
    </row>
    <row r="13439" ht="15.75" customHeight="1" spans="1:2">
      <c r="A13439" s="3" t="str">
        <f>IFERROR(__xludf.DUMMYFUNCTION("GOOGLETRANSLATE(A13439,""en"",""pt"")"),"distante")</f>
        <v>distante</v>
      </c>
      <c r="B13439" s="3">
        <v>0</v>
      </c>
    </row>
    <row r="13440" ht="15.75" customHeight="1" spans="1:2">
      <c r="A13440" s="3" t="str">
        <f>IFERROR(__xludf.DUMMYFUNCTION("GOOGLETRANSLATE(A13440,""en"",""pt"")"),"evade")</f>
        <v>evade</v>
      </c>
      <c r="B13440" s="3">
        <v>0</v>
      </c>
    </row>
    <row r="13441" ht="15.75" customHeight="1" spans="1:2">
      <c r="A13441" s="3" t="str">
        <f>IFERROR(__xludf.DUMMYFUNCTION("GOOGLETRANSLATE(A13441,""en"",""pt"")"),"evasão")</f>
        <v>evasão</v>
      </c>
      <c r="B13441" s="3">
        <v>0</v>
      </c>
    </row>
    <row r="13442" ht="15.75" customHeight="1" spans="1:2">
      <c r="A13442" s="3" t="str">
        <f>IFERROR(__xludf.DUMMYFUNCTION("GOOGLETRANSLATE(A13442,""en"",""pt"")"),"evasivo")</f>
        <v>evasivo</v>
      </c>
      <c r="B13442" s="3">
        <v>0</v>
      </c>
    </row>
    <row r="13443" ht="15.75" customHeight="1" spans="1:2">
      <c r="A13443" s="3" t="str">
        <f>IFERROR(__xludf.DUMMYFUNCTION("GOOGLETRANSLATE(A13443,""en"",""pt"")"),"mal")</f>
        <v>mal</v>
      </c>
      <c r="B13443" s="3">
        <v>0</v>
      </c>
    </row>
    <row r="13444" ht="15.75" customHeight="1" spans="1:2">
      <c r="A13444" s="3" t="str">
        <f>IFERROR(__xludf.DUMMYFUNCTION("GOOGLETRANSLATE(A13444,""en"",""pt"")"),"malfeitor")</f>
        <v>malfeitor</v>
      </c>
      <c r="B13444" s="3">
        <v>0</v>
      </c>
    </row>
    <row r="13445" ht="15.75" customHeight="1" spans="1:2">
      <c r="A13445" s="3" t="str">
        <f>IFERROR(__xludf.DUMMYFUNCTION("GOOGLETRANSLATE(A13445,""en"",""pt"")"),"males")</f>
        <v>males</v>
      </c>
      <c r="B13445" s="3">
        <v>0</v>
      </c>
    </row>
    <row r="13446" ht="15.75" customHeight="1" spans="1:2">
      <c r="A13446" s="3" t="str">
        <f>IFERROR(__xludf.DUMMYFUNCTION("GOOGLETRANSLATE(A13446,""en"",""pt"")"),"Eviscerate")</f>
        <v>Eviscerate</v>
      </c>
      <c r="B13446" s="3">
        <v>0</v>
      </c>
    </row>
    <row r="13447" ht="15.75" customHeight="1" spans="1:2">
      <c r="A13447" s="3" t="str">
        <f>IFERROR(__xludf.DUMMYFUNCTION("GOOGLETRANSLATE(A13447,""en"",""pt"")"),"exacerbar")</f>
        <v>exacerbar</v>
      </c>
      <c r="B13447" s="3">
        <v>0</v>
      </c>
    </row>
    <row r="13448" ht="15.75" customHeight="1" spans="1:2">
      <c r="A13448" s="3" t="str">
        <f>IFERROR(__xludf.DUMMYFUNCTION("GOOGLETRANSLATE(A13448,""en"",""pt"")"),"exagerate")</f>
        <v>exagerate</v>
      </c>
      <c r="B13448" s="3">
        <v>0</v>
      </c>
    </row>
    <row r="13449" ht="15.75" customHeight="1" spans="1:2">
      <c r="A13449" s="3" t="str">
        <f>IFERROR(__xludf.DUMMYFUNCTION("GOOGLETRANSLATE(A13449,""en"",""pt"")"),"exagerado")</f>
        <v>exagerado</v>
      </c>
      <c r="B13449" s="3">
        <v>0</v>
      </c>
    </row>
    <row r="13450" ht="15.75" customHeight="1" spans="1:2">
      <c r="A13450" s="3" t="str">
        <f>IFERROR(__xludf.DUMMYFUNCTION("GOOGLETRANSLATE(A13450,""en"",""pt"")"),"exagerates")</f>
        <v>exagerates</v>
      </c>
      <c r="B13450" s="3">
        <v>0</v>
      </c>
    </row>
    <row r="13451" ht="15.75" customHeight="1" spans="1:2">
      <c r="A13451" s="3" t="str">
        <f>IFERROR(__xludf.DUMMYFUNCTION("GOOGLETRANSLATE(A13451,""en"",""pt"")"),"exagerar")</f>
        <v>exagerar</v>
      </c>
      <c r="B13451" s="3">
        <v>0</v>
      </c>
    </row>
    <row r="13452" ht="15.75" customHeight="1" spans="1:2">
      <c r="A13452" s="3" t="str">
        <f>IFERROR(__xludf.DUMMYFUNCTION("GOOGLETRANSLATE(A13452,""en"",""pt"")"),"exagero")</f>
        <v>exagero</v>
      </c>
      <c r="B13452" s="3">
        <v>0</v>
      </c>
    </row>
    <row r="13453" ht="15.75" customHeight="1" spans="1:2">
      <c r="A13453" s="3" t="str">
        <f>IFERROR(__xludf.DUMMYFUNCTION("GOOGLETRANSLATE(A13453,""en"",""pt"")"),"exasperar")</f>
        <v>exasperar</v>
      </c>
      <c r="B13453" s="3">
        <v>0</v>
      </c>
    </row>
    <row r="13454" ht="15.75" customHeight="1" spans="1:2">
      <c r="A13454" s="3" t="str">
        <f>IFERROR(__xludf.DUMMYFUNCTION("GOOGLETRANSLATE(A13454,""en"",""pt"")"),"exasperado")</f>
        <v>exasperado</v>
      </c>
      <c r="B13454" s="3">
        <v>0</v>
      </c>
    </row>
    <row r="13455" ht="15.75" customHeight="1" spans="1:2">
      <c r="A13455" s="3" t="str">
        <f>IFERROR(__xludf.DUMMYFUNCTION("GOOGLETRANSLATE(A13455,""en"",""pt"")"),"exasperante")</f>
        <v>exasperante</v>
      </c>
      <c r="B13455" s="3">
        <v>0</v>
      </c>
    </row>
    <row r="13456" ht="15.75" customHeight="1" spans="1:2">
      <c r="A13456" s="3" t="str">
        <f>IFERROR(__xludf.DUMMYFUNCTION("GOOGLETRANSLATE(A13456,""en"",""pt"")"),"exasperatingly")</f>
        <v>exasperatingly</v>
      </c>
      <c r="B13456" s="3">
        <v>0</v>
      </c>
    </row>
    <row r="13457" ht="15.75" customHeight="1" spans="1:2">
      <c r="A13457" s="3" t="str">
        <f>IFERROR(__xludf.DUMMYFUNCTION("GOOGLETRANSLATE(A13457,""en"",""pt"")"),"exasperação")</f>
        <v>exasperação</v>
      </c>
      <c r="B13457" s="3">
        <v>0</v>
      </c>
    </row>
    <row r="13458" ht="15.75" customHeight="1" spans="1:2">
      <c r="A13458" s="3" t="str">
        <f>IFERROR(__xludf.DUMMYFUNCTION("GOOGLETRANSLATE(A13458,""en"",""pt"")"),"excessivo")</f>
        <v>excessivo</v>
      </c>
      <c r="B13458" s="3">
        <v>0</v>
      </c>
    </row>
    <row r="13459" ht="15.75" customHeight="1" spans="1:2">
      <c r="A13459" s="3" t="str">
        <f>IFERROR(__xludf.DUMMYFUNCTION("GOOGLETRANSLATE(A13459,""en"",""pt"")"),"excessivamente")</f>
        <v>excessivamente</v>
      </c>
      <c r="B13459" s="3">
        <v>0</v>
      </c>
    </row>
    <row r="13460" ht="15.75" customHeight="1" spans="1:2">
      <c r="A13460" s="3" t="str">
        <f>IFERROR(__xludf.DUMMYFUNCTION("GOOGLETRANSLATE(A13460,""en"",""pt"")"),"exclusão")</f>
        <v>exclusão</v>
      </c>
      <c r="B13460" s="3">
        <v>0</v>
      </c>
    </row>
    <row r="13461" ht="15.75" customHeight="1" spans="1:2">
      <c r="A13461" s="3" t="str">
        <f>IFERROR(__xludf.DUMMYFUNCTION("GOOGLETRANSLATE(A13461,""en"",""pt"")"),"excoriate")</f>
        <v>excoriate</v>
      </c>
      <c r="B13461" s="3">
        <v>0</v>
      </c>
    </row>
    <row r="13462" ht="15.75" customHeight="1" spans="1:2">
      <c r="A13462" s="3" t="str">
        <f>IFERROR(__xludf.DUMMYFUNCTION("GOOGLETRANSLATE(A13462,""en"",""pt"")"),"excruciante")</f>
        <v>excruciante</v>
      </c>
      <c r="B13462" s="3">
        <v>0</v>
      </c>
    </row>
    <row r="13463" ht="15.75" customHeight="1" spans="1:2">
      <c r="A13463" s="3" t="str">
        <f>IFERROR(__xludf.DUMMYFUNCTION("GOOGLETRANSLATE(A13463,""en"",""pt"")"),"dolorosamente")</f>
        <v>dolorosamente</v>
      </c>
      <c r="B13463" s="3">
        <v>0</v>
      </c>
    </row>
    <row r="13464" ht="15.75" customHeight="1" spans="1:2">
      <c r="A13464" s="3" t="str">
        <f>IFERROR(__xludf.DUMMYFUNCTION("GOOGLETRANSLATE(A13464,""en"",""pt"")"),"com licença")</f>
        <v>com licença</v>
      </c>
      <c r="B13464" s="3">
        <v>0</v>
      </c>
    </row>
    <row r="13465" ht="15.75" customHeight="1" spans="1:2">
      <c r="A13465" s="3" t="str">
        <f>IFERROR(__xludf.DUMMYFUNCTION("GOOGLETRANSLATE(A13465,""en"",""pt"")"),"desculpas")</f>
        <v>desculpas</v>
      </c>
      <c r="B13465" s="3">
        <v>0</v>
      </c>
    </row>
    <row r="13466" ht="15.75" customHeight="1" spans="1:2">
      <c r="A13466" s="3" t="str">
        <f>IFERROR(__xludf.DUMMYFUNCTION("GOOGLETRANSLATE(A13466,""en"",""pt"")"),"execrar")</f>
        <v>execrar</v>
      </c>
      <c r="B13466" s="3">
        <v>0</v>
      </c>
    </row>
    <row r="13467" ht="15.75" customHeight="1" spans="1:2">
      <c r="A13467" s="3" t="str">
        <f>IFERROR(__xludf.DUMMYFUNCTION("GOOGLETRANSLATE(A13467,""en"",""pt"")"),"escape")</f>
        <v>escape</v>
      </c>
      <c r="B13467" s="3">
        <v>0</v>
      </c>
    </row>
    <row r="13468" ht="15.75" customHeight="1" spans="1:2">
      <c r="A13468" s="3" t="str">
        <f>IFERROR(__xludf.DUMMYFUNCTION("GOOGLETRANSLATE(A13468,""en"",""pt"")"),"Exausta")</f>
        <v>Exausta</v>
      </c>
      <c r="B13468" s="3">
        <v>0</v>
      </c>
    </row>
    <row r="13469" ht="15.75" customHeight="1" spans="1:2">
      <c r="A13469" s="3" t="str">
        <f>IFERROR(__xludf.DUMMYFUNCTION("GOOGLETRANSLATE(A13469,""en"",""pt"")"),"exaustão")</f>
        <v>exaustão</v>
      </c>
      <c r="B13469" s="3">
        <v>0</v>
      </c>
    </row>
    <row r="13470" ht="15.75" customHeight="1" spans="1:2">
      <c r="A13470" s="3" t="str">
        <f>IFERROR(__xludf.DUMMYFUNCTION("GOOGLETRANSLATE(A13470,""en"",""pt"")"),"escapamentos")</f>
        <v>escapamentos</v>
      </c>
      <c r="B13470" s="3">
        <v>0</v>
      </c>
    </row>
    <row r="13471" ht="15.75" customHeight="1" spans="1:2">
      <c r="A13471" s="3" t="str">
        <f>IFERROR(__xludf.DUMMYFUNCTION("GOOGLETRANSLATE(A13471,""en"",""pt"")"),"exhorbitant")</f>
        <v>exhorbitant</v>
      </c>
      <c r="B13471" s="3">
        <v>0</v>
      </c>
    </row>
    <row r="13472" ht="15.75" customHeight="1" spans="1:2">
      <c r="A13472" s="3" t="str">
        <f>IFERROR(__xludf.DUMMYFUNCTION("GOOGLETRANSLATE(A13472,""en"",""pt"")"),"exortar")</f>
        <v>exortar</v>
      </c>
      <c r="B13472" s="3">
        <v>0</v>
      </c>
    </row>
    <row r="13473" ht="15.75" customHeight="1" spans="1:2">
      <c r="A13473" s="3" t="str">
        <f>IFERROR(__xludf.DUMMYFUNCTION("GOOGLETRANSLATE(A13473,""en"",""pt"")"),"exílio")</f>
        <v>exílio</v>
      </c>
      <c r="B13473" s="3">
        <v>0</v>
      </c>
    </row>
    <row r="13474" ht="15.75" customHeight="1" spans="1:2">
      <c r="A13474" s="3" t="str">
        <f>IFERROR(__xludf.DUMMYFUNCTION("GOOGLETRANSLATE(A13474,""en"",""pt"")"),"exorbitante")</f>
        <v>exorbitante</v>
      </c>
      <c r="B13474" s="3">
        <v>0</v>
      </c>
    </row>
    <row r="13475" ht="15.75" customHeight="1" spans="1:2">
      <c r="A13475" s="3" t="str">
        <f>IFERROR(__xludf.DUMMYFUNCTION("GOOGLETRANSLATE(A13475,""en"",""pt"")"),"exorbitantance")</f>
        <v>exorbitantance</v>
      </c>
      <c r="B13475" s="3">
        <v>0</v>
      </c>
    </row>
    <row r="13476" ht="15.75" customHeight="1" spans="1:2">
      <c r="A13476" s="3" t="str">
        <f>IFERROR(__xludf.DUMMYFUNCTION("GOOGLETRANSLATE(A13476,""en"",""pt"")"),"exorbitantemente")</f>
        <v>exorbitantemente</v>
      </c>
      <c r="B13476" s="3">
        <v>0</v>
      </c>
    </row>
    <row r="13477" ht="15.75" customHeight="1" spans="1:2">
      <c r="A13477" s="3" t="str">
        <f>IFERROR(__xludf.DUMMYFUNCTION("GOOGLETRANSLATE(A13477,""en"",""pt"")"),"expulsar")</f>
        <v>expulsar</v>
      </c>
      <c r="B13477" s="3">
        <v>0</v>
      </c>
    </row>
    <row r="13478" ht="15.75" customHeight="1" spans="1:2">
      <c r="A13478" s="3" t="str">
        <f>IFERROR(__xludf.DUMMYFUNCTION("GOOGLETRANSLATE(A13478,""en"",""pt"")"),"caro")</f>
        <v>caro</v>
      </c>
      <c r="B13478" s="3">
        <v>0</v>
      </c>
    </row>
    <row r="13479" ht="15.75" customHeight="1" spans="1:2">
      <c r="A13479" s="3" t="str">
        <f>IFERROR(__xludf.DUMMYFUNCTION("GOOGLETRANSLATE(A13479,""en"",""pt"")"),"expirar")</f>
        <v>expirar</v>
      </c>
      <c r="B13479" s="3">
        <v>0</v>
      </c>
    </row>
    <row r="13480" ht="15.75" customHeight="1" spans="1:2">
      <c r="A13480" s="3" t="str">
        <f>IFERROR(__xludf.DUMMYFUNCTION("GOOGLETRANSLATE(A13480,""en"",""pt"")"),"expirado")</f>
        <v>expirado</v>
      </c>
      <c r="B13480" s="3">
        <v>0</v>
      </c>
    </row>
    <row r="13481" ht="15.75" customHeight="1" spans="1:2">
      <c r="A13481" s="3" t="str">
        <f>IFERROR(__xludf.DUMMYFUNCTION("GOOGLETRANSLATE(A13481,""en"",""pt"")"),"explodir")</f>
        <v>explodir</v>
      </c>
      <c r="B13481" s="3">
        <v>0</v>
      </c>
    </row>
    <row r="13482" ht="15.75" customHeight="1" spans="1:2">
      <c r="A13482" s="3" t="str">
        <f>IFERROR(__xludf.DUMMYFUNCTION("GOOGLETRANSLATE(A13482,""en"",""pt"")"),"explorar")</f>
        <v>explorar</v>
      </c>
      <c r="B13482" s="3">
        <v>0</v>
      </c>
    </row>
    <row r="13483" ht="15.75" customHeight="1" spans="1:2">
      <c r="A13483" s="3" t="str">
        <f>IFERROR(__xludf.DUMMYFUNCTION("GOOGLETRANSLATE(A13483,""en"",""pt"")"),"exploração")</f>
        <v>exploração</v>
      </c>
      <c r="B13483" s="3">
        <v>0</v>
      </c>
    </row>
    <row r="13484" ht="15.75" customHeight="1" spans="1:2">
      <c r="A13484" s="3" t="str">
        <f>IFERROR(__xludf.DUMMYFUNCTION("GOOGLETRANSLATE(A13484,""en"",""pt"")"),"explosivo")</f>
        <v>explosivo</v>
      </c>
      <c r="B13484" s="3">
        <v>0</v>
      </c>
    </row>
    <row r="13485" ht="15.75" customHeight="1" spans="1:2">
      <c r="A13485" s="3" t="str">
        <f>IFERROR(__xludf.DUMMYFUNCTION("GOOGLETRANSLATE(A13485,""en"",""pt"")"),"expropriar")</f>
        <v>expropriar</v>
      </c>
      <c r="B13485" s="3">
        <v>0</v>
      </c>
    </row>
    <row r="13486" ht="15.75" customHeight="1" spans="1:2">
      <c r="A13486" s="3" t="str">
        <f>IFERROR(__xludf.DUMMYFUNCTION("GOOGLETRANSLATE(A13486,""en"",""pt"")"),"expropriação")</f>
        <v>expropriação</v>
      </c>
      <c r="B13486" s="3">
        <v>0</v>
      </c>
    </row>
    <row r="13487" ht="15.75" customHeight="1" spans="1:2">
      <c r="A13487" s="3" t="str">
        <f>IFERROR(__xludf.DUMMYFUNCTION("GOOGLETRANSLATE(A13487,""en"",""pt"")"),"expulse")</f>
        <v>expulse</v>
      </c>
      <c r="B13487" s="3">
        <v>0</v>
      </c>
    </row>
    <row r="13488" ht="15.75" customHeight="1" spans="1:2">
      <c r="A13488" s="3" t="str">
        <f>IFERROR(__xludf.DUMMYFUNCTION("GOOGLETRANSLATE(A13488,""en"",""pt"")"),"expurgar")</f>
        <v>expurgar</v>
      </c>
      <c r="B13488" s="3">
        <v>0</v>
      </c>
    </row>
    <row r="13489" ht="15.75" customHeight="1" spans="1:2">
      <c r="A13489" s="3" t="str">
        <f>IFERROR(__xludf.DUMMYFUNCTION("GOOGLETRANSLATE(A13489,""en"",""pt"")"),"exterminar")</f>
        <v>exterminar</v>
      </c>
      <c r="B13489" s="3">
        <v>0</v>
      </c>
    </row>
    <row r="13490" ht="15.75" customHeight="1" spans="1:2">
      <c r="A13490" s="3" t="str">
        <f>IFERROR(__xludf.DUMMYFUNCTION("GOOGLETRANSLATE(A13490,""en"",""pt"")"),"exterminação")</f>
        <v>exterminação</v>
      </c>
      <c r="B13490" s="3">
        <v>0</v>
      </c>
    </row>
    <row r="13491" ht="15.75" customHeight="1" spans="1:2">
      <c r="A13491" s="3" t="str">
        <f>IFERROR(__xludf.DUMMYFUNCTION("GOOGLETRANSLATE(A13491,""en"",""pt"")"),"extinguir")</f>
        <v>extinguir</v>
      </c>
      <c r="B13491" s="3">
        <v>0</v>
      </c>
    </row>
    <row r="13492" ht="15.75" customHeight="1" spans="1:2">
      <c r="A13492" s="3" t="str">
        <f>IFERROR(__xludf.DUMMYFUNCTION("GOOGLETRANSLATE(A13492,""en"",""pt"")"),"extorquir")</f>
        <v>extorquir</v>
      </c>
      <c r="B13492" s="3">
        <v>0</v>
      </c>
    </row>
    <row r="13493" ht="15.75" customHeight="1" spans="1:2">
      <c r="A13493" s="3" t="str">
        <f>IFERROR(__xludf.DUMMYFUNCTION("GOOGLETRANSLATE(A13493,""en"",""pt"")"),"extorsão")</f>
        <v>extorsão</v>
      </c>
      <c r="B13493" s="3">
        <v>0</v>
      </c>
    </row>
    <row r="13494" ht="15.75" customHeight="1" spans="1:2">
      <c r="A13494" s="3" t="str">
        <f>IFERROR(__xludf.DUMMYFUNCTION("GOOGLETRANSLATE(A13494,""en"",""pt"")"),"estranho")</f>
        <v>estranho</v>
      </c>
      <c r="B13494" s="3">
        <v>0</v>
      </c>
    </row>
    <row r="13495" ht="15.75" customHeight="1" spans="1:2">
      <c r="A13495" s="3" t="str">
        <f>IFERROR(__xludf.DUMMYFUNCTION("GOOGLETRANSLATE(A13495,""en"",""pt"")"),"extravagância")</f>
        <v>extravagância</v>
      </c>
      <c r="B13495" s="3">
        <v>0</v>
      </c>
    </row>
    <row r="13496" ht="15.75" customHeight="1" spans="1:2">
      <c r="A13496" s="3" t="str">
        <f>IFERROR(__xludf.DUMMYFUNCTION("GOOGLETRANSLATE(A13496,""en"",""pt"")"),"extravagante")</f>
        <v>extravagante</v>
      </c>
      <c r="B13496" s="3">
        <v>0</v>
      </c>
    </row>
    <row r="13497" ht="15.75" customHeight="1" spans="1:2">
      <c r="A13497" s="3" t="str">
        <f>IFERROR(__xludf.DUMMYFUNCTION("GOOGLETRANSLATE(A13497,""en"",""pt"")"),"extravagantemente")</f>
        <v>extravagantemente</v>
      </c>
      <c r="B13497" s="3">
        <v>0</v>
      </c>
    </row>
    <row r="13498" ht="15.75" customHeight="1" spans="1:2">
      <c r="A13498" s="3" t="str">
        <f>IFERROR(__xludf.DUMMYFUNCTION("GOOGLETRANSLATE(A13498,""en"",""pt"")"),"extremismo")</f>
        <v>extremismo</v>
      </c>
      <c r="B13498" s="3">
        <v>0</v>
      </c>
    </row>
    <row r="13499" ht="15.75" customHeight="1" spans="1:2">
      <c r="A13499" s="3" t="str">
        <f>IFERROR(__xludf.DUMMYFUNCTION("GOOGLETRANSLATE(A13499,""en"",""pt"")"),"extremista")</f>
        <v>extremista</v>
      </c>
      <c r="B13499" s="3">
        <v>0</v>
      </c>
    </row>
    <row r="13500" ht="15.75" customHeight="1" spans="1:2">
      <c r="A13500" s="3" t="str">
        <f>IFERROR(__xludf.DUMMYFUNCTION("GOOGLETRANSLATE(A13500,""en"",""pt"")"),"extremistas")</f>
        <v>extremistas</v>
      </c>
      <c r="B13500" s="3">
        <v>0</v>
      </c>
    </row>
    <row r="13501" ht="15.75" customHeight="1" spans="1:2">
      <c r="A13501" s="3" t="str">
        <f>IFERROR(__xludf.DUMMYFUNCTION("GOOGLETRANSLATE(A13501,""en"",""pt"")"),"monstruosidade")</f>
        <v>monstruosidade</v>
      </c>
      <c r="B13501" s="3">
        <v>0</v>
      </c>
    </row>
    <row r="13502" ht="15.75" customHeight="1" spans="1:2">
      <c r="A13502" s="3" t="str">
        <f>IFERROR(__xludf.DUMMYFUNCTION("GOOGLETRANSLATE(A13502,""en"",""pt"")"),"f ** k")</f>
        <v>f ** k</v>
      </c>
      <c r="B13502" s="3">
        <v>0</v>
      </c>
    </row>
    <row r="13503" ht="15.75" customHeight="1" spans="1:2">
      <c r="A13503" s="3" t="str">
        <f>IFERROR(__xludf.DUMMYFUNCTION("GOOGLETRANSLATE(A13503,""en"",""pt"")"),"fabricar")</f>
        <v>fabricar</v>
      </c>
      <c r="B13503" s="3">
        <v>0</v>
      </c>
    </row>
    <row r="13504" ht="15.75" customHeight="1" spans="1:2">
      <c r="A13504" s="3" t="str">
        <f>IFERROR(__xludf.DUMMYFUNCTION("GOOGLETRANSLATE(A13504,""en"",""pt"")"),"fabricação")</f>
        <v>fabricação</v>
      </c>
      <c r="B13504" s="3">
        <v>0</v>
      </c>
    </row>
    <row r="13505" ht="15.75" customHeight="1" spans="1:2">
      <c r="A13505" s="3" t="str">
        <f>IFERROR(__xludf.DUMMYFUNCTION("GOOGLETRANSLATE(A13505,""en"",""pt"")"),"faceto")</f>
        <v>faceto</v>
      </c>
      <c r="B13505" s="3">
        <v>0</v>
      </c>
    </row>
    <row r="13506" ht="15.75" customHeight="1" spans="1:2">
      <c r="A13506" s="3" t="str">
        <f>IFERROR(__xludf.DUMMYFUNCTION("GOOGLETRANSLATE(A13506,""en"",""pt"")"),"facetiously")</f>
        <v>facetiously</v>
      </c>
      <c r="B13506" s="3">
        <v>0</v>
      </c>
    </row>
    <row r="13507" ht="15.75" customHeight="1" spans="1:2">
      <c r="A13507" s="3" t="str">
        <f>IFERROR(__xludf.DUMMYFUNCTION("GOOGLETRANSLATE(A13507,""en"",""pt"")"),"falhou")</f>
        <v>falhou</v>
      </c>
      <c r="B13507" s="3">
        <v>0</v>
      </c>
    </row>
    <row r="13508" ht="15.75" customHeight="1" spans="1:2">
      <c r="A13508" s="3" t="str">
        <f>IFERROR(__xludf.DUMMYFUNCTION("GOOGLETRANSLATE(A13508,""en"",""pt"")"),"fracassado")</f>
        <v>fracassado</v>
      </c>
      <c r="B13508" s="3">
        <v>0</v>
      </c>
    </row>
    <row r="13509" ht="15.75" customHeight="1" spans="1:2">
      <c r="A13509" s="3" t="str">
        <f>IFERROR(__xludf.DUMMYFUNCTION("GOOGLETRANSLATE(A13509,""en"",""pt"")"),"falta")</f>
        <v>falta</v>
      </c>
      <c r="B13509" s="3">
        <v>0</v>
      </c>
    </row>
    <row r="13510" ht="15.75" customHeight="1" spans="1:2">
      <c r="A13510" s="3" t="str">
        <f>IFERROR(__xludf.DUMMYFUNCTION("GOOGLETRANSLATE(A13510,""en"",""pt"")"),"falhar")</f>
        <v>falhar</v>
      </c>
      <c r="B13510" s="3">
        <v>0</v>
      </c>
    </row>
    <row r="13511" ht="15.75" customHeight="1" spans="1:2">
      <c r="A13511" s="3" t="str">
        <f>IFERROR(__xludf.DUMMYFUNCTION("GOOGLETRANSLATE(A13511,""en"",""pt"")"),"falha")</f>
        <v>falha</v>
      </c>
      <c r="B13511" s="3">
        <v>0</v>
      </c>
    </row>
    <row r="13512" ht="15.75" customHeight="1" spans="1:2">
      <c r="A13512" s="3" t="str">
        <f>IFERROR(__xludf.DUMMYFUNCTION("GOOGLETRANSLATE(A13512,""en"",""pt"")"),"falhas")</f>
        <v>falhas</v>
      </c>
      <c r="B13512" s="3">
        <v>0</v>
      </c>
    </row>
    <row r="13513" ht="15.75" customHeight="1" spans="1:2">
      <c r="A13513" s="3" t="str">
        <f>IFERROR(__xludf.DUMMYFUNCTION("GOOGLETRANSLATE(A13513,""en"",""pt"")"),"desmaiar")</f>
        <v>desmaiar</v>
      </c>
      <c r="B13513" s="3">
        <v>0</v>
      </c>
    </row>
    <row r="13514" ht="15.75" customHeight="1" spans="1:2">
      <c r="A13514" s="3" t="str">
        <f>IFERROR(__xludf.DUMMYFUNCTION("GOOGLETRANSLATE(A13514,""en"",""pt"")"),"fainthearted")</f>
        <v>fainthearted</v>
      </c>
      <c r="B13514" s="3">
        <v>0</v>
      </c>
    </row>
    <row r="13515" ht="15.75" customHeight="1" spans="1:2">
      <c r="A13515" s="3" t="str">
        <f>IFERROR(__xludf.DUMMYFUNCTION("GOOGLETRANSLATE(A13515,""en"",""pt"")"),"Sem fé")</f>
        <v>Sem fé</v>
      </c>
      <c r="B13515" s="3">
        <v>0</v>
      </c>
    </row>
    <row r="13516" ht="15.75" customHeight="1" spans="1:2">
      <c r="A13516" s="3" t="str">
        <f>IFERROR(__xludf.DUMMYFUNCTION("GOOGLETRANSLATE(A13516,""en"",""pt"")"),"falsificação")</f>
        <v>falsificação</v>
      </c>
      <c r="B13516" s="3">
        <v>0</v>
      </c>
    </row>
    <row r="13517" ht="15.75" customHeight="1" spans="1:2">
      <c r="A13517" s="3" t="str">
        <f>IFERROR(__xludf.DUMMYFUNCTION("GOOGLETRANSLATE(A13517,""en"",""pt"")"),"outono")</f>
        <v>outono</v>
      </c>
      <c r="B13517" s="3">
        <v>0</v>
      </c>
    </row>
    <row r="13518" ht="15.75" customHeight="1" spans="1:2">
      <c r="A13518" s="3" t="str">
        <f>IFERROR(__xludf.DUMMYFUNCTION("GOOGLETRANSLATE(A13518,""en"",""pt"")"),"falácias")</f>
        <v>falácias</v>
      </c>
      <c r="B13518" s="3">
        <v>0</v>
      </c>
    </row>
    <row r="13519" ht="15.75" customHeight="1" spans="1:2">
      <c r="A13519" s="3" t="str">
        <f>IFERROR(__xludf.DUMMYFUNCTION("GOOGLETRANSLATE(A13519,""en"",""pt"")"),"falaz")</f>
        <v>falaz</v>
      </c>
      <c r="B13519" s="3">
        <v>0</v>
      </c>
    </row>
    <row r="13520" ht="15.75" customHeight="1" spans="1:2">
      <c r="A13520" s="3" t="str">
        <f>IFERROR(__xludf.DUMMYFUNCTION("GOOGLETRANSLATE(A13520,""en"",""pt"")"),"falaciosamente")</f>
        <v>falaciosamente</v>
      </c>
      <c r="B13520" s="3">
        <v>0</v>
      </c>
    </row>
    <row r="13521" ht="15.75" customHeight="1" spans="1:2">
      <c r="A13521" s="3" t="str">
        <f>IFERROR(__xludf.DUMMYFUNCTION("GOOGLETRANSLATE(A13521,""en"",""pt"")"),"falácia")</f>
        <v>falácia</v>
      </c>
      <c r="B13521" s="3">
        <v>0</v>
      </c>
    </row>
    <row r="13522" ht="15.75" customHeight="1" spans="1:2">
      <c r="A13522" s="3" t="str">
        <f>IFERROR(__xludf.DUMMYFUNCTION("GOOGLETRANSLATE(A13522,""en"",""pt"")"),"falácia")</f>
        <v>falácia</v>
      </c>
      <c r="B13522" s="3">
        <v>0</v>
      </c>
    </row>
    <row r="13523" ht="15.75" customHeight="1" spans="1:2">
      <c r="A13523" s="3" t="str">
        <f>IFERROR(__xludf.DUMMYFUNCTION("GOOGLETRANSLATE(A13523,""en"",""pt"")"),"caído")</f>
        <v>caído</v>
      </c>
      <c r="B13523" s="3">
        <v>0</v>
      </c>
    </row>
    <row r="13524" ht="15.75" customHeight="1" spans="1:2">
      <c r="A13524" s="3" t="str">
        <f>IFERROR(__xludf.DUMMYFUNCTION("GOOGLETRANSLATE(A13524,""en"",""pt"")"),"queda")</f>
        <v>queda</v>
      </c>
      <c r="B13524" s="3">
        <v>0</v>
      </c>
    </row>
    <row r="13525" ht="15.75" customHeight="1" spans="1:2">
      <c r="A13525" s="3" t="str">
        <f>IFERROR(__xludf.DUMMYFUNCTION("GOOGLETRANSLATE(A13525,""en"",""pt"")"),"cair")</f>
        <v>cair</v>
      </c>
      <c r="B13525" s="3">
        <v>0</v>
      </c>
    </row>
    <row r="13526" ht="15.75" customHeight="1" spans="1:2">
      <c r="A13526" s="3" t="str">
        <f>IFERROR(__xludf.DUMMYFUNCTION("GOOGLETRANSLATE(A13526,""en"",""pt"")"),"quedas")</f>
        <v>quedas</v>
      </c>
      <c r="B13526" s="3">
        <v>0</v>
      </c>
    </row>
    <row r="13527" ht="15.75" customHeight="1" spans="1:2">
      <c r="A13527" s="3" t="str">
        <f>IFERROR(__xludf.DUMMYFUNCTION("GOOGLETRANSLATE(A13527,""en"",""pt"")"),"falso")</f>
        <v>falso</v>
      </c>
      <c r="B13527" s="3">
        <v>0</v>
      </c>
    </row>
    <row r="13528" ht="15.75" customHeight="1" spans="1:2">
      <c r="A13528" s="3" t="str">
        <f>IFERROR(__xludf.DUMMYFUNCTION("GOOGLETRANSLATE(A13528,""en"",""pt"")"),"falsidade")</f>
        <v>falsidade</v>
      </c>
      <c r="B13528" s="3">
        <v>0</v>
      </c>
    </row>
    <row r="13529" ht="15.75" customHeight="1" spans="1:2">
      <c r="A13529" s="3" t="str">
        <f>IFERROR(__xludf.DUMMYFUNCTION("GOOGLETRANSLATE(A13529,""en"",""pt"")"),"falsamente")</f>
        <v>falsamente</v>
      </c>
      <c r="B13529" s="3">
        <v>0</v>
      </c>
    </row>
    <row r="13530" ht="15.75" customHeight="1" spans="1:2">
      <c r="A13530" s="3" t="str">
        <f>IFERROR(__xludf.DUMMYFUNCTION("GOOGLETRANSLATE(A13530,""en"",""pt"")"),"falsificar")</f>
        <v>falsificar</v>
      </c>
      <c r="B13530" s="3">
        <v>0</v>
      </c>
    </row>
    <row r="13531" ht="15.75" customHeight="1" spans="1:2">
      <c r="A13531" s="3" t="str">
        <f>IFERROR(__xludf.DUMMYFUNCTION("GOOGLETRANSLATE(A13531,""en"",""pt"")"),"Falter")</f>
        <v>Falter</v>
      </c>
      <c r="B13531" s="3">
        <v>0</v>
      </c>
    </row>
    <row r="13532" ht="15.75" customHeight="1" spans="1:2">
      <c r="A13532" s="3" t="str">
        <f>IFERROR(__xludf.DUMMYFUNCTION("GOOGLETRANSLATE(A13532,""en"",""pt"")"),"vacilou")</f>
        <v>vacilou</v>
      </c>
      <c r="B13532" s="3">
        <v>0</v>
      </c>
    </row>
    <row r="13533" ht="15.75" customHeight="1" spans="1:2">
      <c r="A13533" s="3" t="str">
        <f>IFERROR(__xludf.DUMMYFUNCTION("GOOGLETRANSLATE(A13533,""en"",""pt"")"),"fome")</f>
        <v>fome</v>
      </c>
      <c r="B13533" s="3">
        <v>0</v>
      </c>
    </row>
    <row r="13534" ht="15.75" customHeight="1" spans="1:2">
      <c r="A13534" s="3" t="str">
        <f>IFERROR(__xludf.DUMMYFUNCTION("GOOGLETRANSLATE(A13534,""en"",""pt"")"),"faminto")</f>
        <v>faminto</v>
      </c>
      <c r="B13534" s="3">
        <v>0</v>
      </c>
    </row>
    <row r="13535" ht="15.75" customHeight="1" spans="1:2">
      <c r="A13535" s="3" t="str">
        <f>IFERROR(__xludf.DUMMYFUNCTION("GOOGLETRANSLATE(A13535,""en"",""pt"")"),"fanático")</f>
        <v>fanático</v>
      </c>
      <c r="B13535" s="3">
        <v>0</v>
      </c>
    </row>
    <row r="13536" ht="15.75" customHeight="1" spans="1:2">
      <c r="A13536" s="3" t="str">
        <f>IFERROR(__xludf.DUMMYFUNCTION("GOOGLETRANSLATE(A13536,""en"",""pt"")"),"fanático")</f>
        <v>fanático</v>
      </c>
      <c r="B13536" s="3">
        <v>0</v>
      </c>
    </row>
    <row r="13537" ht="15.75" customHeight="1" spans="1:2">
      <c r="A13537" s="3" t="str">
        <f>IFERROR(__xludf.DUMMYFUNCTION("GOOGLETRANSLATE(A13537,""en"",""pt"")"),"fanaticamente")</f>
        <v>fanaticamente</v>
      </c>
      <c r="B13537" s="3">
        <v>0</v>
      </c>
    </row>
    <row r="13538" ht="15.75" customHeight="1" spans="1:2">
      <c r="A13538" s="3" t="str">
        <f>IFERROR(__xludf.DUMMYFUNCTION("GOOGLETRANSLATE(A13538,""en"",""pt"")"),"fanatismo")</f>
        <v>fanatismo</v>
      </c>
      <c r="B13538" s="3">
        <v>0</v>
      </c>
    </row>
    <row r="13539" ht="15.75" customHeight="1" spans="1:2">
      <c r="A13539" s="3" t="str">
        <f>IFERROR(__xludf.DUMMYFUNCTION("GOOGLETRANSLATE(A13539,""en"",""pt"")"),"fanáticos")</f>
        <v>fanáticos</v>
      </c>
      <c r="B13539" s="3">
        <v>0</v>
      </c>
    </row>
    <row r="13540" ht="15.75" customHeight="1" spans="1:2">
      <c r="A13540" s="3" t="str">
        <f>IFERROR(__xludf.DUMMYFUNCTION("GOOGLETRANSLATE(A13540,""en"",""pt"")"),"caprichoso")</f>
        <v>caprichoso</v>
      </c>
      <c r="B13540" s="3">
        <v>0</v>
      </c>
    </row>
    <row r="13541" ht="15.75" customHeight="1" spans="1:2">
      <c r="A13541" s="3" t="str">
        <f>IFERROR(__xludf.DUMMYFUNCTION("GOOGLETRANSLATE(A13541,""en"",""pt"")"),"rebuscado")</f>
        <v>rebuscado</v>
      </c>
      <c r="B13541" s="3">
        <v>0</v>
      </c>
    </row>
    <row r="13542" ht="15.75" customHeight="1" spans="1:2">
      <c r="A13542" s="3" t="str">
        <f>IFERROR(__xludf.DUMMYFUNCTION("GOOGLETRANSLATE(A13542,""en"",""pt"")"),"farsa")</f>
        <v>farsa</v>
      </c>
      <c r="B13542" s="3">
        <v>0</v>
      </c>
    </row>
    <row r="13543" ht="15.75" customHeight="1" spans="1:2">
      <c r="A13543" s="3" t="str">
        <f>IFERROR(__xludf.DUMMYFUNCTION("GOOGLETRANSLATE(A13543,""en"",""pt"")"),"burlesco")</f>
        <v>burlesco</v>
      </c>
      <c r="B13543" s="3">
        <v>0</v>
      </c>
    </row>
    <row r="13544" ht="15.75" customHeight="1" spans="1:2">
      <c r="A13544" s="3" t="str">
        <f>IFERROR(__xludf.DUMMYFUNCTION("GOOGLETRANSLATE(A13544,""en"",""pt"")"),"farcical-ainda-provocativo")</f>
        <v>farcical-ainda-provocativo</v>
      </c>
      <c r="B13544" s="3">
        <v>0</v>
      </c>
    </row>
    <row r="13545" ht="15.75" customHeight="1" spans="1:2">
      <c r="A13545" s="3" t="str">
        <f>IFERROR(__xludf.DUMMYFUNCTION("GOOGLETRANSLATE(A13545,""en"",""pt"")"),"farcically")</f>
        <v>farcically</v>
      </c>
      <c r="B13545" s="3">
        <v>0</v>
      </c>
    </row>
    <row r="13546" ht="15.75" customHeight="1" spans="1:2">
      <c r="A13546" s="3" t="str">
        <f>IFERROR(__xludf.DUMMYFUNCTION("GOOGLETRANSLATE(A13546,""en"",""pt"")"),"farfetched")</f>
        <v>farfetched</v>
      </c>
      <c r="B13546" s="3">
        <v>0</v>
      </c>
    </row>
    <row r="13547" ht="15.75" customHeight="1" spans="1:2">
      <c r="A13547" s="3" t="str">
        <f>IFERROR(__xludf.DUMMYFUNCTION("GOOGLETRANSLATE(A13547,""en"",""pt"")"),"fascismo")</f>
        <v>fascismo</v>
      </c>
      <c r="B13547" s="3">
        <v>0</v>
      </c>
    </row>
    <row r="13548" ht="15.75" customHeight="1" spans="1:2">
      <c r="A13548" s="3" t="str">
        <f>IFERROR(__xludf.DUMMYFUNCTION("GOOGLETRANSLATE(A13548,""en"",""pt"")"),"fascista")</f>
        <v>fascista</v>
      </c>
      <c r="B13548" s="3">
        <v>0</v>
      </c>
    </row>
    <row r="13549" ht="15.75" customHeight="1" spans="1:2">
      <c r="A13549" s="3" t="str">
        <f>IFERROR(__xludf.DUMMYFUNCTION("GOOGLETRANSLATE(A13549,""en"",""pt"")"),"fastidioso")</f>
        <v>fastidioso</v>
      </c>
      <c r="B13549" s="3">
        <v>0</v>
      </c>
    </row>
    <row r="13550" ht="15.75" customHeight="1" spans="1:2">
      <c r="A13550" s="3" t="str">
        <f>IFERROR(__xludf.DUMMYFUNCTION("GOOGLETRANSLATE(A13550,""en"",""pt"")"),"fastidiously")</f>
        <v>fastidiously</v>
      </c>
      <c r="B13550" s="3">
        <v>0</v>
      </c>
    </row>
    <row r="13551" ht="15.75" customHeight="1" spans="1:2">
      <c r="A13551" s="3" t="str">
        <f>IFERROR(__xludf.DUMMYFUNCTION("GOOGLETRANSLATE(A13551,""en"",""pt"")"),"fastuous")</f>
        <v>fastuous</v>
      </c>
      <c r="B13551" s="3">
        <v>0</v>
      </c>
    </row>
    <row r="13552" ht="15.75" customHeight="1" spans="1:2">
      <c r="A13552" s="3" t="str">
        <f>IFERROR(__xludf.DUMMYFUNCTION("GOOGLETRANSLATE(A13552,""en"",""pt"")"),"gordura")</f>
        <v>gordura</v>
      </c>
      <c r="B13552" s="3">
        <v>0</v>
      </c>
    </row>
    <row r="13553" ht="15.75" customHeight="1" spans="1:2">
      <c r="A13553" s="3" t="str">
        <f>IFERROR(__xludf.DUMMYFUNCTION("GOOGLETRANSLATE(A13553,""en"",""pt"")"),"gato gordo")</f>
        <v>gato gordo</v>
      </c>
      <c r="B13553" s="3">
        <v>0</v>
      </c>
    </row>
    <row r="13554" ht="15.75" customHeight="1" spans="1:2">
      <c r="A13554" s="3" t="str">
        <f>IFERROR(__xludf.DUMMYFUNCTION("GOOGLETRANSLATE(A13554,""en"",""pt"")"),"gatos gordos")</f>
        <v>gatos gordos</v>
      </c>
      <c r="B13554" s="3">
        <v>0</v>
      </c>
    </row>
    <row r="13555" ht="15.75" customHeight="1" spans="1:2">
      <c r="A13555" s="3" t="str">
        <f>IFERROR(__xludf.DUMMYFUNCTION("GOOGLETRANSLATE(A13555,""en"",""pt"")"),"fatal")</f>
        <v>fatal</v>
      </c>
      <c r="B13555" s="3">
        <v>0</v>
      </c>
    </row>
    <row r="13556" ht="15.75" customHeight="1" spans="1:2">
      <c r="A13556" s="3" t="str">
        <f>IFERROR(__xludf.DUMMYFUNCTION("GOOGLETRANSLATE(A13556,""en"",""pt"")"),"fatalista")</f>
        <v>fatalista</v>
      </c>
      <c r="B13556" s="3">
        <v>0</v>
      </c>
    </row>
    <row r="13557" ht="15.75" customHeight="1" spans="1:2">
      <c r="A13557" s="3" t="str">
        <f>IFERROR(__xludf.DUMMYFUNCTION("GOOGLETRANSLATE(A13557,""en"",""pt"")"),"fatalista")</f>
        <v>fatalista</v>
      </c>
      <c r="B13557" s="3">
        <v>0</v>
      </c>
    </row>
    <row r="13558" ht="15.75" customHeight="1" spans="1:2">
      <c r="A13558" s="3" t="str">
        <f>IFERROR(__xludf.DUMMYFUNCTION("GOOGLETRANSLATE(A13558,""en"",""pt"")"),"fatalmente")</f>
        <v>fatalmente</v>
      </c>
      <c r="B13558" s="3">
        <v>0</v>
      </c>
    </row>
    <row r="13559" ht="15.75" customHeight="1" spans="1:2">
      <c r="A13559" s="3" t="str">
        <f>IFERROR(__xludf.DUMMYFUNCTION("GOOGLETRANSLATE(A13559,""en"",""pt"")"),"gato gordo")</f>
        <v>gato gordo</v>
      </c>
      <c r="B13559" s="3">
        <v>0</v>
      </c>
    </row>
    <row r="13560" ht="15.75" customHeight="1" spans="1:2">
      <c r="A13560" s="3" t="str">
        <f>IFERROR(__xludf.DUMMYFUNCTION("GOOGLETRANSLATE(A13560,""en"",""pt"")"),"gatos gordos")</f>
        <v>gatos gordos</v>
      </c>
      <c r="B13560" s="3">
        <v>0</v>
      </c>
    </row>
    <row r="13561" ht="15.75" customHeight="1" spans="1:2">
      <c r="A13561" s="3" t="str">
        <f>IFERROR(__xludf.DUMMYFUNCTION("GOOGLETRANSLATE(A13561,""en"",""pt"")"),"fatídico")</f>
        <v>fatídico</v>
      </c>
      <c r="B13561" s="3">
        <v>0</v>
      </c>
    </row>
    <row r="13562" ht="15.75" customHeight="1" spans="1:2">
      <c r="A13562" s="3" t="str">
        <f>IFERROR(__xludf.DUMMYFUNCTION("GOOGLETRANSLATE(A13562,""en"",""pt"")"),"fatalmente")</f>
        <v>fatalmente</v>
      </c>
      <c r="B13562" s="3">
        <v>0</v>
      </c>
    </row>
    <row r="13563" ht="15.75" customHeight="1" spans="1:2">
      <c r="A13563" s="3" t="str">
        <f>IFERROR(__xludf.DUMMYFUNCTION("GOOGLETRANSLATE(A13563,""en"",""pt"")"),"insondável")</f>
        <v>insondável</v>
      </c>
      <c r="B13563" s="3">
        <v>0</v>
      </c>
    </row>
    <row r="13564" ht="15.75" customHeight="1" spans="1:2">
      <c r="A13564" s="3" t="str">
        <f>IFERROR(__xludf.DUMMYFUNCTION("GOOGLETRANSLATE(A13564,""en"",""pt"")"),"fadiga")</f>
        <v>fadiga</v>
      </c>
      <c r="B13564" s="3">
        <v>0</v>
      </c>
    </row>
    <row r="13565" ht="15.75" customHeight="1" spans="1:2">
      <c r="A13565" s="3" t="str">
        <f>IFERROR(__xludf.DUMMYFUNCTION("GOOGLETRANSLATE(A13565,""en"",""pt"")"),"fatigado")</f>
        <v>fatigado</v>
      </c>
      <c r="B13565" s="3">
        <v>0</v>
      </c>
    </row>
    <row r="13566" ht="15.75" customHeight="1" spans="1:2">
      <c r="A13566" s="3" t="str">
        <f>IFERROR(__xludf.DUMMYFUNCTION("GOOGLETRANSLATE(A13566,""en"",""pt"")"),"fatique")</f>
        <v>fatique</v>
      </c>
      <c r="B13566" s="3">
        <v>0</v>
      </c>
    </row>
    <row r="13567" ht="15.75" customHeight="1" spans="1:2">
      <c r="A13567" s="3" t="str">
        <f>IFERROR(__xludf.DUMMYFUNCTION("GOOGLETRANSLATE(A13567,""en"",""pt"")"),"gordinho")</f>
        <v>gordinho</v>
      </c>
      <c r="B13567" s="3">
        <v>0</v>
      </c>
    </row>
    <row r="13568" ht="15.75" customHeight="1" spans="1:2">
      <c r="A13568" s="3" t="str">
        <f>IFERROR(__xludf.DUMMYFUNCTION("GOOGLETRANSLATE(A13568,""en"",""pt"")"),"estupidez")</f>
        <v>estupidez</v>
      </c>
      <c r="B13568" s="3">
        <v>0</v>
      </c>
    </row>
    <row r="13569" ht="15.75" customHeight="1" spans="1:2">
      <c r="A13569" s="3" t="str">
        <f>IFERROR(__xludf.DUMMYFUNCTION("GOOGLETRANSLATE(A13569,""en"",""pt"")"),"fátuo")</f>
        <v>fátuo</v>
      </c>
      <c r="B13569" s="3">
        <v>0</v>
      </c>
    </row>
    <row r="13570" ht="15.75" customHeight="1" spans="1:2">
      <c r="A13570" s="3" t="str">
        <f>IFERROR(__xludf.DUMMYFUNCTION("GOOGLETRANSLATE(A13570,""en"",""pt"")"),"fatuously")</f>
        <v>fatuously</v>
      </c>
      <c r="B13570" s="3">
        <v>0</v>
      </c>
    </row>
    <row r="13571" ht="15.75" customHeight="1" spans="1:2">
      <c r="A13571" s="3" t="str">
        <f>IFERROR(__xludf.DUMMYFUNCTION("GOOGLETRANSLATE(A13571,""en"",""pt"")"),"culpa")</f>
        <v>culpa</v>
      </c>
      <c r="B13571" s="3">
        <v>0</v>
      </c>
    </row>
    <row r="13572" ht="15.75" customHeight="1" spans="1:2">
      <c r="A13572" s="3" t="str">
        <f>IFERROR(__xludf.DUMMYFUNCTION("GOOGLETRANSLATE(A13572,""en"",""pt"")"),"falhas, panes")</f>
        <v>falhas, panes</v>
      </c>
      <c r="B13572" s="3">
        <v>0</v>
      </c>
    </row>
    <row r="13573" ht="15.75" customHeight="1" spans="1:2">
      <c r="A13573" s="3" t="str">
        <f>IFERROR(__xludf.DUMMYFUNCTION("GOOGLETRANSLATE(A13573,""en"",""pt"")"),"defeituoso")</f>
        <v>defeituoso</v>
      </c>
      <c r="B13573" s="3">
        <v>0</v>
      </c>
    </row>
    <row r="13574" ht="15.75" customHeight="1" spans="1:2">
      <c r="A13574" s="3" t="str">
        <f>IFERROR(__xludf.DUMMYFUNCTION("GOOGLETRANSLATE(A13574,""en"",""pt"")"),"fawningly")</f>
        <v>fawningly</v>
      </c>
      <c r="B13574" s="3">
        <v>0</v>
      </c>
    </row>
    <row r="13575" ht="15.75" customHeight="1" spans="1:2">
      <c r="A13575" s="3" t="str">
        <f>IFERROR(__xludf.DUMMYFUNCTION("GOOGLETRANSLATE(A13575,""en"",""pt"")"),"faze")</f>
        <v>faze</v>
      </c>
      <c r="B13575" s="3">
        <v>0</v>
      </c>
    </row>
    <row r="13576" ht="15.75" customHeight="1" spans="1:2">
      <c r="A13576" s="3" t="str">
        <f>IFERROR(__xludf.DUMMYFUNCTION("GOOGLETRANSLATE(A13576,""en"",""pt"")"),"medo")</f>
        <v>medo</v>
      </c>
      <c r="B13576" s="3">
        <v>0</v>
      </c>
    </row>
    <row r="13577" ht="15.75" customHeight="1" spans="1:2">
      <c r="A13577" s="3" t="str">
        <f>IFERROR(__xludf.DUMMYFUNCTION("GOOGLETRANSLATE(A13577,""en"",""pt"")"),"temeroso")</f>
        <v>temeroso</v>
      </c>
      <c r="B13577" s="3">
        <v>0</v>
      </c>
    </row>
    <row r="13578" ht="15.75" customHeight="1" spans="1:2">
      <c r="A13578" s="3" t="str">
        <f>IFERROR(__xludf.DUMMYFUNCTION("GOOGLETRANSLATE(A13578,""en"",""pt"")"),"medrosamente")</f>
        <v>medrosamente</v>
      </c>
      <c r="B13578" s="3">
        <v>0</v>
      </c>
    </row>
    <row r="13579" ht="15.75" customHeight="1" spans="1:2">
      <c r="A13579" s="3" t="str">
        <f>IFERROR(__xludf.DUMMYFUNCTION("GOOGLETRANSLATE(A13579,""en"",""pt"")"),"medos")</f>
        <v>medos</v>
      </c>
      <c r="B13579" s="3">
        <v>0</v>
      </c>
    </row>
    <row r="13580" ht="15.75" customHeight="1" spans="1:2">
      <c r="A13580" s="3" t="str">
        <f>IFERROR(__xludf.DUMMYFUNCTION("GOOGLETRANSLATE(A13580,""en"",""pt"")"),"assustador")</f>
        <v>assustador</v>
      </c>
      <c r="B13580" s="3">
        <v>0</v>
      </c>
    </row>
    <row r="13581" ht="15.75" customHeight="1" spans="1:2">
      <c r="A13581" s="3" t="str">
        <f>IFERROR(__xludf.DUMMYFUNCTION("GOOGLETRANSLATE(A13581,""en"",""pt"")"),"ineficaz")</f>
        <v>ineficaz</v>
      </c>
      <c r="B13581" s="3">
        <v>0</v>
      </c>
    </row>
    <row r="13582" ht="15.75" customHeight="1" spans="1:2">
      <c r="A13582" s="3" t="str">
        <f>IFERROR(__xludf.DUMMYFUNCTION("GOOGLETRANSLATE(A13582,""en"",""pt"")"),"débil")</f>
        <v>débil</v>
      </c>
      <c r="B13582" s="3">
        <v>0</v>
      </c>
    </row>
    <row r="13583" ht="15.75" customHeight="1" spans="1:2">
      <c r="A13583" s="3" t="str">
        <f>IFERROR(__xludf.DUMMYFUNCTION("GOOGLETRANSLATE(A13583,""en"",""pt"")"),"feeblely")</f>
        <v>feeblely</v>
      </c>
      <c r="B13583" s="3">
        <v>0</v>
      </c>
    </row>
    <row r="13584" ht="15.75" customHeight="1" spans="1:2">
      <c r="A13584" s="3" t="str">
        <f>IFERROR(__xludf.DUMMYFUNCTION("GOOGLETRANSLATE(A13584,""en"",""pt"")"),"mente fraca")</f>
        <v>mente fraca</v>
      </c>
      <c r="B13584" s="3">
        <v>0</v>
      </c>
    </row>
    <row r="13585" ht="15.75" customHeight="1" spans="1:2">
      <c r="A13585" s="3" t="str">
        <f>IFERROR(__xludf.DUMMYFUNCTION("GOOGLETRANSLATE(A13585,""en"",""pt"")"),"fingir")</f>
        <v>fingir</v>
      </c>
      <c r="B13585" s="3">
        <v>0</v>
      </c>
    </row>
    <row r="13586" ht="15.75" customHeight="1" spans="1:2">
      <c r="A13586" s="3" t="str">
        <f>IFERROR(__xludf.DUMMYFUNCTION("GOOGLETRANSLATE(A13586,""en"",""pt"")"),"estratagema")</f>
        <v>estratagema</v>
      </c>
      <c r="B13586" s="3">
        <v>0</v>
      </c>
    </row>
    <row r="13587" ht="15.75" customHeight="1" spans="1:2">
      <c r="A13587" s="3" t="str">
        <f>IFERROR(__xludf.DUMMYFUNCTION("GOOGLETRANSLATE(A13587,""en"",""pt"")"),"caiu")</f>
        <v>caiu</v>
      </c>
      <c r="B13587" s="3">
        <v>0</v>
      </c>
    </row>
    <row r="13588" ht="15.75" customHeight="1" spans="1:2">
      <c r="A13588" s="3" t="str">
        <f>IFERROR(__xludf.DUMMYFUNCTION("GOOGLETRANSLATE(A13588,""en"",""pt"")"),"criminoso")</f>
        <v>criminoso</v>
      </c>
      <c r="B13588" s="3">
        <v>0</v>
      </c>
    </row>
    <row r="13589" ht="15.75" customHeight="1" spans="1:2">
      <c r="A13589" s="3" t="str">
        <f>IFERROR(__xludf.DUMMYFUNCTION("GOOGLETRANSLATE(A13589,""en"",""pt"")"),"criminoso")</f>
        <v>criminoso</v>
      </c>
      <c r="B13589" s="3">
        <v>0</v>
      </c>
    </row>
    <row r="13590" ht="15.75" customHeight="1" spans="1:2">
      <c r="A13590" s="3" t="str">
        <f>IFERROR(__xludf.DUMMYFUNCTION("GOOGLETRANSLATE(A13590,""en"",""pt"")"),"ferozmente")</f>
        <v>ferozmente</v>
      </c>
      <c r="B13590" s="3">
        <v>0</v>
      </c>
    </row>
    <row r="13591" ht="15.75" customHeight="1" spans="1:2">
      <c r="A13591" s="3" t="str">
        <f>IFERROR(__xludf.DUMMYFUNCTION("GOOGLETRANSLATE(A13591,""en"",""pt"")"),"ferocidade")</f>
        <v>ferocidade</v>
      </c>
      <c r="B13591" s="3">
        <v>0</v>
      </c>
    </row>
    <row r="13592" ht="15.75" customHeight="1" spans="1:2">
      <c r="A13592" s="3" t="str">
        <f>IFERROR(__xludf.DUMMYFUNCTION("GOOGLETRANSLATE(A13592,""en"",""pt"")"),"fétido")</f>
        <v>fétido</v>
      </c>
      <c r="B13592" s="3">
        <v>0</v>
      </c>
    </row>
    <row r="13593" ht="15.75" customHeight="1" spans="1:2">
      <c r="A13593" s="3" t="str">
        <f>IFERROR(__xludf.DUMMYFUNCTION("GOOGLETRANSLATE(A13593,""en"",""pt"")"),"febre")</f>
        <v>febre</v>
      </c>
      <c r="B13593" s="3">
        <v>0</v>
      </c>
    </row>
    <row r="13594" ht="15.75" customHeight="1" spans="1:2">
      <c r="A13594" s="3" t="str">
        <f>IFERROR(__xludf.DUMMYFUNCTION("GOOGLETRANSLATE(A13594,""en"",""pt"")"),"febril")</f>
        <v>febril</v>
      </c>
      <c r="B13594" s="3">
        <v>0</v>
      </c>
    </row>
    <row r="13595" ht="15.75" customHeight="1" spans="1:2">
      <c r="A13595" s="3" t="str">
        <f>IFERROR(__xludf.DUMMYFUNCTION("GOOGLETRANSLATE(A13595,""en"",""pt"")"),"febres")</f>
        <v>febres</v>
      </c>
      <c r="B13595" s="3">
        <v>0</v>
      </c>
    </row>
    <row r="13596" ht="15.75" customHeight="1" spans="1:2">
      <c r="A13596" s="3" t="str">
        <f>IFERROR(__xludf.DUMMYFUNCTION("GOOGLETRANSLATE(A13596,""en"",""pt"")"),"fiasco")</f>
        <v>fiasco</v>
      </c>
      <c r="B13596" s="3">
        <v>0</v>
      </c>
    </row>
    <row r="13597" ht="15.75" customHeight="1" spans="1:2">
      <c r="A13597" s="3" t="str">
        <f>IFERROR(__xludf.DUMMYFUNCTION("GOOGLETRANSLATE(A13597,""en"",""pt"")"),"gracejar")</f>
        <v>gracejar</v>
      </c>
      <c r="B13597" s="3">
        <v>0</v>
      </c>
    </row>
    <row r="13598" ht="15.75" customHeight="1" spans="1:2">
      <c r="A13598" s="3" t="str">
        <f>IFERROR(__xludf.DUMMYFUNCTION("GOOGLETRANSLATE(A13598,""en"",""pt"")"),"gracejador")</f>
        <v>gracejador</v>
      </c>
      <c r="B13598" s="3">
        <v>0</v>
      </c>
    </row>
    <row r="13599" ht="15.75" customHeight="1" spans="1:2">
      <c r="A13599" s="3" t="str">
        <f>IFERROR(__xludf.DUMMYFUNCTION("GOOGLETRANSLATE(A13599,""en"",""pt"")"),"inconstante")</f>
        <v>inconstante</v>
      </c>
      <c r="B13599" s="3">
        <v>0</v>
      </c>
    </row>
    <row r="13600" ht="15.75" customHeight="1" spans="1:2">
      <c r="A13600" s="3" t="str">
        <f>IFERROR(__xludf.DUMMYFUNCTION("GOOGLETRANSLATE(A13600,""en"",""pt"")"),"ficção")</f>
        <v>ficção</v>
      </c>
      <c r="B13600" s="3">
        <v>0</v>
      </c>
    </row>
    <row r="13601" ht="15.75" customHeight="1" spans="1:2">
      <c r="A13601" s="3" t="str">
        <f>IFERROR(__xludf.DUMMYFUNCTION("GOOGLETRANSLATE(A13601,""en"",""pt"")"),"imaginário")</f>
        <v>imaginário</v>
      </c>
      <c r="B13601" s="3">
        <v>0</v>
      </c>
    </row>
    <row r="13602" ht="15.75" customHeight="1" spans="1:2">
      <c r="A13602" s="3" t="str">
        <f>IFERROR(__xludf.DUMMYFUNCTION("GOOGLETRANSLATE(A13602,""en"",""pt"")"),"fictício")</f>
        <v>fictício</v>
      </c>
      <c r="B13602" s="3">
        <v>0</v>
      </c>
    </row>
    <row r="13603" ht="15.75" customHeight="1" spans="1:2">
      <c r="A13603" s="3" t="str">
        <f>IFERROR(__xludf.DUMMYFUNCTION("GOOGLETRANSLATE(A13603,""en"",""pt"")"),"inquietação")</f>
        <v>inquietação</v>
      </c>
      <c r="B13603" s="3">
        <v>0</v>
      </c>
    </row>
    <row r="13604" ht="15.75" customHeight="1" spans="1:2">
      <c r="A13604" s="3" t="str">
        <f>IFERROR(__xludf.DUMMYFUNCTION("GOOGLETRANSLATE(A13604,""en"",""pt"")"),"inquieto")</f>
        <v>inquieto</v>
      </c>
      <c r="B13604" s="3">
        <v>0</v>
      </c>
    </row>
    <row r="13605" ht="15.75" customHeight="1" spans="1:2">
      <c r="A13605" s="3" t="str">
        <f>IFERROR(__xludf.DUMMYFUNCTION("GOOGLETRANSLATE(A13605,""en"",""pt"")"),"demônio")</f>
        <v>demônio</v>
      </c>
      <c r="B13605" s="3">
        <v>0</v>
      </c>
    </row>
    <row r="13606" ht="15.75" customHeight="1" spans="1:2">
      <c r="A13606" s="3" t="str">
        <f>IFERROR(__xludf.DUMMYFUNCTION("GOOGLETRANSLATE(A13606,""en"",""pt"")"),"demoníaco")</f>
        <v>demoníaco</v>
      </c>
      <c r="B13606" s="3">
        <v>0</v>
      </c>
    </row>
    <row r="13607" ht="15.75" customHeight="1" spans="1:2">
      <c r="A13607" s="3" t="str">
        <f>IFERROR(__xludf.DUMMYFUNCTION("GOOGLETRANSLATE(A13607,""en"",""pt"")"),"feroz")</f>
        <v>feroz</v>
      </c>
      <c r="B13607" s="3">
        <v>0</v>
      </c>
    </row>
    <row r="13608" ht="15.75" customHeight="1" spans="1:2">
      <c r="A13608" s="3" t="str">
        <f>IFERROR(__xludf.DUMMYFUNCTION("GOOGLETRANSLATE(A13608,""en"",""pt"")"),"pessoa representativa")</f>
        <v>pessoa representativa</v>
      </c>
      <c r="B13608" s="3">
        <v>0</v>
      </c>
    </row>
    <row r="13609" ht="15.75" customHeight="1" spans="1:2">
      <c r="A13609" s="3" t="str">
        <f>IFERROR(__xludf.DUMMYFUNCTION("GOOGLETRANSLATE(A13609,""en"",""pt"")"),"sujeira")</f>
        <v>sujeira</v>
      </c>
      <c r="B13609" s="3">
        <v>0</v>
      </c>
    </row>
    <row r="13610" ht="15.75" customHeight="1" spans="1:2">
      <c r="A13610" s="3" t="str">
        <f>IFERROR(__xludf.DUMMYFUNCTION("GOOGLETRANSLATE(A13610,""en"",""pt"")"),"imundo")</f>
        <v>imundo</v>
      </c>
      <c r="B13610" s="3">
        <v>0</v>
      </c>
    </row>
    <row r="13611" ht="15.75" customHeight="1" spans="1:2">
      <c r="A13611" s="3" t="str">
        <f>IFERROR(__xludf.DUMMYFUNCTION("GOOGLETRANSLATE(A13611,""en"",""pt"")"),"finagle")</f>
        <v>finagle</v>
      </c>
      <c r="B13611" s="3">
        <v>0</v>
      </c>
    </row>
    <row r="13612" ht="15.75" customHeight="1" spans="1:2">
      <c r="A13612" s="3" t="str">
        <f>IFERROR(__xludf.DUMMYFUNCTION("GOOGLETRANSLATE(A13612,""en"",""pt"")"),"mimado")</f>
        <v>mimado</v>
      </c>
      <c r="B13612" s="3">
        <v>0</v>
      </c>
    </row>
    <row r="13613" ht="15.75" customHeight="1" spans="1:2">
      <c r="A13613" s="3" t="str">
        <f>IFERROR(__xludf.DUMMYFUNCTION("GOOGLETRANSLATE(A13613,""en"",""pt"")"),"fissuras")</f>
        <v>fissuras</v>
      </c>
      <c r="B13613" s="3">
        <v>0</v>
      </c>
    </row>
    <row r="13614" ht="15.75" customHeight="1" spans="1:2">
      <c r="A13614" s="3" t="str">
        <f>IFERROR(__xludf.DUMMYFUNCTION("GOOGLETRANSLATE(A13614,""en"",""pt"")"),"punho")</f>
        <v>punho</v>
      </c>
      <c r="B13614" s="3">
        <v>0</v>
      </c>
    </row>
    <row r="13615" ht="15.75" customHeight="1" spans="1:2">
      <c r="A13615" s="3" t="str">
        <f>IFERROR(__xludf.DUMMYFUNCTION("GOOGLETRANSLATE(A13615,""en"",""pt"")"),"flabbergast")</f>
        <v>flabbergast</v>
      </c>
      <c r="B13615" s="3">
        <v>0</v>
      </c>
    </row>
    <row r="13616" ht="15.75" customHeight="1" spans="1:2">
      <c r="A13616" s="3" t="str">
        <f>IFERROR(__xludf.DUMMYFUNCTION("GOOGLETRANSLATE(A13616,""en"",""pt"")"),"boquiabertos")</f>
        <v>boquiabertos</v>
      </c>
      <c r="B13616" s="3">
        <v>0</v>
      </c>
    </row>
    <row r="13617" ht="15.75" customHeight="1" spans="1:2">
      <c r="A13617" s="3" t="str">
        <f>IFERROR(__xludf.DUMMYFUNCTION("GOOGLETRANSLATE(A13617,""en"",""pt"")"),"sinalização")</f>
        <v>sinalização</v>
      </c>
      <c r="B13617" s="3">
        <v>0</v>
      </c>
    </row>
    <row r="13618" ht="15.75" customHeight="1" spans="1:2">
      <c r="A13618" s="3" t="str">
        <f>IFERROR(__xludf.DUMMYFUNCTION("GOOGLETRANSLATE(A13618,""en"",""pt"")"),"flagrante")</f>
        <v>flagrante</v>
      </c>
      <c r="B13618" s="3">
        <v>0</v>
      </c>
    </row>
    <row r="13619" ht="15.75" customHeight="1" spans="1:2">
      <c r="A13619" s="3" t="str">
        <f>IFERROR(__xludf.DUMMYFUNCTION("GOOGLETRANSLATE(A13619,""en"",""pt"")"),"flagrantemente")</f>
        <v>flagrantemente</v>
      </c>
      <c r="B13619" s="3">
        <v>0</v>
      </c>
    </row>
    <row r="13620" ht="15.75" customHeight="1" spans="1:2">
      <c r="A13620" s="3" t="str">
        <f>IFERROR(__xludf.DUMMYFUNCTION("GOOGLETRANSLATE(A13620,""en"",""pt"")"),"faro")</f>
        <v>faro</v>
      </c>
      <c r="B13620" s="3">
        <v>0</v>
      </c>
    </row>
    <row r="13621" ht="15.75" customHeight="1" spans="1:2">
      <c r="A13621" s="3" t="str">
        <f>IFERROR(__xludf.DUMMYFUNCTION("GOOGLETRANSLATE(A13621,""en"",""pt"")"),"flairs")</f>
        <v>flairs</v>
      </c>
      <c r="B13621" s="3">
        <v>0</v>
      </c>
    </row>
    <row r="13622" ht="15.75" customHeight="1" spans="1:2">
      <c r="A13622" s="3" t="str">
        <f>IFERROR(__xludf.DUMMYFUNCTION("GOOGLETRANSLATE(A13622,""en"",""pt"")"),"críticas")</f>
        <v>críticas</v>
      </c>
      <c r="B13622" s="3">
        <v>0</v>
      </c>
    </row>
    <row r="13623" ht="15.75" customHeight="1" spans="1:2">
      <c r="A13623" s="3" t="str">
        <f>IFERROR(__xludf.DUMMYFUNCTION("GOOGLETRANSLATE(A13623,""en"",""pt"")"),"Floco")</f>
        <v>Floco</v>
      </c>
      <c r="B13623" s="3">
        <v>0</v>
      </c>
    </row>
    <row r="13624" ht="15.75" customHeight="1" spans="1:2">
      <c r="A13624" s="3" t="str">
        <f>IFERROR(__xludf.DUMMYFUNCTION("GOOGLETRANSLATE(A13624,""en"",""pt"")"),"flakey")</f>
        <v>flakey</v>
      </c>
      <c r="B13624" s="3">
        <v>0</v>
      </c>
    </row>
    <row r="13625" ht="15.75" customHeight="1" spans="1:2">
      <c r="A13625" s="3" t="str">
        <f>IFERROR(__xludf.DUMMYFUNCTION("GOOGLETRANSLATE(A13625,""en"",""pt"")"),"flakieness")</f>
        <v>flakieness</v>
      </c>
      <c r="B13625" s="3">
        <v>0</v>
      </c>
    </row>
    <row r="13626" ht="15.75" customHeight="1" spans="1:2">
      <c r="A13626" s="3" t="str">
        <f>IFERROR(__xludf.DUMMYFUNCTION("GOOGLETRANSLATE(A13626,""en"",""pt"")"),"descamação")</f>
        <v>descamação</v>
      </c>
      <c r="B13626" s="3">
        <v>0</v>
      </c>
    </row>
    <row r="13627" ht="15.75" customHeight="1" spans="1:2">
      <c r="A13627" s="3" t="str">
        <f>IFERROR(__xludf.DUMMYFUNCTION("GOOGLETRANSLATE(A13627,""en"",""pt"")"),"escamoso")</f>
        <v>escamoso</v>
      </c>
      <c r="B13627" s="3">
        <v>0</v>
      </c>
    </row>
    <row r="13628" ht="15.75" customHeight="1" spans="1:2">
      <c r="A13628" s="3" t="str">
        <f>IFERROR(__xludf.DUMMYFUNCTION("GOOGLETRANSLATE(A13628,""en"",""pt"")"),"alargamento")</f>
        <v>alargamento</v>
      </c>
      <c r="B13628" s="3">
        <v>0</v>
      </c>
    </row>
    <row r="13629" ht="15.75" customHeight="1" spans="1:2">
      <c r="A13629" s="3" t="str">
        <f>IFERROR(__xludf.DUMMYFUNCTION("GOOGLETRANSLATE(A13629,""en"",""pt"")"),"flares")</f>
        <v>flares</v>
      </c>
      <c r="B13629" s="3">
        <v>0</v>
      </c>
    </row>
    <row r="13630" ht="15.75" customHeight="1" spans="1:2">
      <c r="A13630" s="3" t="str">
        <f>IFERROR(__xludf.DUMMYFUNCTION("GOOGLETRANSLATE(A13630,""en"",""pt"")"),"flareup")</f>
        <v>flareup</v>
      </c>
      <c r="B13630" s="3">
        <v>0</v>
      </c>
    </row>
    <row r="13631" ht="15.75" customHeight="1" spans="1:2">
      <c r="A13631" s="3" t="str">
        <f>IFERROR(__xludf.DUMMYFUNCTION("GOOGLETRANSLATE(A13631,""en"",""pt"")"),"flareups")</f>
        <v>flareups</v>
      </c>
      <c r="B13631" s="3">
        <v>0</v>
      </c>
    </row>
    <row r="13632" ht="15.75" customHeight="1" spans="1:2">
      <c r="A13632" s="3" t="str">
        <f>IFERROR(__xludf.DUMMYFUNCTION("GOOGLETRANSLATE(A13632,""en"",""pt"")"),"flat-out")</f>
        <v>flat-out</v>
      </c>
      <c r="B13632" s="3">
        <v>0</v>
      </c>
    </row>
    <row r="13633" ht="15.75" customHeight="1" spans="1:2">
      <c r="A13633" s="3" t="str">
        <f>IFERROR(__xludf.DUMMYFUNCTION("GOOGLETRANSLATE(A13633,""en"",""pt"")"),"Flaunt")</f>
        <v>Flaunt</v>
      </c>
      <c r="B13633" s="3">
        <v>0</v>
      </c>
    </row>
    <row r="13634" ht="15.75" customHeight="1" spans="1:2">
      <c r="A13634" s="3" t="str">
        <f>IFERROR(__xludf.DUMMYFUNCTION("GOOGLETRANSLATE(A13634,""en"",""pt"")"),"falha")</f>
        <v>falha</v>
      </c>
      <c r="B13634" s="3">
        <v>0</v>
      </c>
    </row>
    <row r="13635" ht="15.75" customHeight="1" spans="1:2">
      <c r="A13635" s="3" t="str">
        <f>IFERROR(__xludf.DUMMYFUNCTION("GOOGLETRANSLATE(A13635,""en"",""pt"")"),"falho")</f>
        <v>falho</v>
      </c>
      <c r="B13635" s="3">
        <v>0</v>
      </c>
    </row>
    <row r="13636" ht="15.75" customHeight="1" spans="1:2">
      <c r="A13636" s="3" t="str">
        <f>IFERROR(__xludf.DUMMYFUNCTION("GOOGLETRANSLATE(A13636,""en"",""pt"")"),"falhas")</f>
        <v>falhas</v>
      </c>
      <c r="B13636" s="3">
        <v>0</v>
      </c>
    </row>
    <row r="13637" ht="15.75" customHeight="1" spans="1:2">
      <c r="A13637" s="3" t="str">
        <f>IFERROR(__xludf.DUMMYFUNCTION("GOOGLETRANSLATE(A13637,""en"",""pt"")"),"fugir")</f>
        <v>fugir</v>
      </c>
      <c r="B13637" s="3">
        <v>0</v>
      </c>
    </row>
    <row r="13638" ht="15.75" customHeight="1" spans="1:2">
      <c r="A13638" s="3" t="str">
        <f>IFERROR(__xludf.DUMMYFUNCTION("GOOGLETRANSLATE(A13638,""en"",""pt"")"),"fugiu")</f>
        <v>fugiu</v>
      </c>
      <c r="B13638" s="3">
        <v>0</v>
      </c>
    </row>
    <row r="13639" ht="15.75" customHeight="1" spans="1:2">
      <c r="A13639" s="3" t="str">
        <f>IFERROR(__xludf.DUMMYFUNCTION("GOOGLETRANSLATE(A13639,""en"",""pt"")"),"fuga")</f>
        <v>fuga</v>
      </c>
      <c r="B13639" s="3">
        <v>0</v>
      </c>
    </row>
    <row r="13640" ht="15.75" customHeight="1" spans="1:2">
      <c r="A13640" s="3" t="str">
        <f>IFERROR(__xludf.DUMMYFUNCTION("GOOGLETRANSLATE(A13640,""en"",""pt"")"),"fugitivo")</f>
        <v>fugitivo</v>
      </c>
      <c r="B13640" s="3">
        <v>0</v>
      </c>
    </row>
    <row r="13641" ht="15.75" customHeight="1" spans="1:2">
      <c r="A13641" s="3" t="str">
        <f>IFERROR(__xludf.DUMMYFUNCTION("GOOGLETRANSLATE(A13641,""en"",""pt"")"),"foge")</f>
        <v>foge</v>
      </c>
      <c r="B13641" s="3">
        <v>0</v>
      </c>
    </row>
    <row r="13642" ht="15.75" customHeight="1" spans="1:2">
      <c r="A13642" s="3" t="str">
        <f>IFERROR(__xludf.DUMMYFUNCTION("GOOGLETRANSLATE(A13642,""en"",""pt"")"),"fugaz")</f>
        <v>fugaz</v>
      </c>
      <c r="B13642" s="3">
        <v>0</v>
      </c>
    </row>
    <row r="13643" ht="15.75" customHeight="1" spans="1:2">
      <c r="A13643" s="3" t="str">
        <f>IFERROR(__xludf.DUMMYFUNCTION("GOOGLETRANSLATE(A13643,""en"",""pt"")"),"flicering")</f>
        <v>flicering</v>
      </c>
      <c r="B13643" s="3">
        <v>0</v>
      </c>
    </row>
    <row r="13644" ht="15.75" customHeight="1" spans="1:2">
      <c r="A13644" s="3" t="str">
        <f>IFERROR(__xludf.DUMMYFUNCTION("GOOGLETRANSLATE(A13644,""en"",""pt"")"),"tremulação")</f>
        <v>tremulação</v>
      </c>
      <c r="B13644" s="3">
        <v>0</v>
      </c>
    </row>
    <row r="13645" ht="15.75" customHeight="1" spans="1:2">
      <c r="A13645" s="3" t="str">
        <f>IFERROR(__xludf.DUMMYFUNCTION("GOOGLETRANSLATE(A13645,""en"",""pt"")"),"vacilante")</f>
        <v>vacilante</v>
      </c>
      <c r="B13645" s="3">
        <v>0</v>
      </c>
    </row>
    <row r="13646" ht="15.75" customHeight="1" spans="1:2">
      <c r="A13646" s="3" t="str">
        <f>IFERROR(__xludf.DUMMYFUNCTION("GOOGLETRANSLATE(A13646,""en"",""pt"")"),"cintilações")</f>
        <v>cintilações</v>
      </c>
      <c r="B13646" s="3">
        <v>0</v>
      </c>
    </row>
    <row r="13647" ht="15.75" customHeight="1" spans="1:2">
      <c r="A13647" s="3" t="str">
        <f>IFERROR(__xludf.DUMMYFUNCTION("GOOGLETRANSLATE(A13647,""en"",""pt"")"),"volúvel")</f>
        <v>volúvel</v>
      </c>
      <c r="B13647" s="3">
        <v>0</v>
      </c>
    </row>
    <row r="13648" ht="15.75" customHeight="1" spans="1:2">
      <c r="A13648" s="3" t="str">
        <f>IFERROR(__xludf.DUMMYFUNCTION("GOOGLETRANSLATE(A13648,""en"",""pt"")"),"enganar")</f>
        <v>enganar</v>
      </c>
      <c r="B13648" s="3">
        <v>0</v>
      </c>
    </row>
    <row r="13649" ht="15.75" customHeight="1" spans="1:2">
      <c r="A13649" s="3" t="str">
        <f>IFERROR(__xludf.DUMMYFUNCTION("GOOGLETRANSLATE(A13649,""en"",""pt"")"),"inconsistente")</f>
        <v>inconsistente</v>
      </c>
      <c r="B13649" s="3">
        <v>0</v>
      </c>
    </row>
    <row r="13650" ht="15.75" customHeight="1" spans="1:2">
      <c r="A13650" s="3" t="str">
        <f>IFERROR(__xludf.DUMMYFUNCTION("GOOGLETRANSLATE(A13650,""en"",""pt"")"),"flerte")</f>
        <v>flerte</v>
      </c>
      <c r="B13650" s="3">
        <v>0</v>
      </c>
    </row>
    <row r="13651" ht="15.75" customHeight="1" spans="1:2">
      <c r="A13651" s="3" t="str">
        <f>IFERROR(__xludf.DUMMYFUNCTION("GOOGLETRANSLATE(A13651,""en"",""pt"")"),"Glamour")</f>
        <v>Glamour</v>
      </c>
      <c r="B13651" s="3">
        <v>0</v>
      </c>
    </row>
    <row r="13652" ht="15.75" customHeight="1" spans="1:2">
      <c r="A13652" s="3" t="str">
        <f>IFERROR(__xludf.DUMMYFUNCTION("GOOGLETRANSLATE(A13652,""en"",""pt"")"),"piso")</f>
        <v>piso</v>
      </c>
      <c r="B13652" s="3">
        <v>0</v>
      </c>
    </row>
    <row r="13653" ht="15.75" customHeight="1" spans="1:2">
      <c r="A13653" s="3" t="str">
        <f>IFERROR(__xludf.DUMMYFUNCTION("GOOGLETRANSLATE(A13653,""en"",""pt"")"),"linguado")</f>
        <v>linguado</v>
      </c>
      <c r="B13653" s="3">
        <v>0</v>
      </c>
    </row>
    <row r="13654" ht="15.75" customHeight="1" spans="1:2">
      <c r="A13654" s="3" t="str">
        <f>IFERROR(__xludf.DUMMYFUNCTION("GOOGLETRANSLATE(A13654,""en"",""pt"")"),"debatendo")</f>
        <v>debatendo</v>
      </c>
      <c r="B13654" s="3">
        <v>0</v>
      </c>
    </row>
    <row r="13655" ht="15.75" customHeight="1" spans="1:2">
      <c r="A13655" s="3" t="str">
        <f>IFERROR(__xludf.DUMMYFUNCTION("GOOGLETRANSLATE(A13655,""en"",""pt"")"),"desprezar")</f>
        <v>desprezar</v>
      </c>
      <c r="B13655" s="3">
        <v>0</v>
      </c>
    </row>
    <row r="13656" ht="15.75" customHeight="1" spans="1:2">
      <c r="A13656" s="3" t="str">
        <f>IFERROR(__xludf.DUMMYFUNCTION("GOOGLETRANSLATE(A13656,""en"",""pt"")"),"fluster")</f>
        <v>fluster</v>
      </c>
      <c r="B13656" s="3">
        <v>0</v>
      </c>
    </row>
    <row r="13657" ht="15.75" customHeight="1" spans="1:2">
      <c r="A13657" s="3" t="str">
        <f>IFERROR(__xludf.DUMMYFUNCTION("GOOGLETRANSLATE(A13657,""en"",""pt"")"),"inimigo")</f>
        <v>inimigo</v>
      </c>
      <c r="B13657" s="3">
        <v>0</v>
      </c>
    </row>
    <row r="13658" ht="15.75" customHeight="1" spans="1:2">
      <c r="A13658" s="3" t="str">
        <f>IFERROR(__xludf.DUMMYFUNCTION("GOOGLETRANSLATE(A13658,""en"",""pt"")"),"idiota")</f>
        <v>idiota</v>
      </c>
      <c r="B13658" s="3">
        <v>0</v>
      </c>
    </row>
    <row r="13659" ht="15.75" customHeight="1" spans="1:2">
      <c r="A13659" s="3" t="str">
        <f>IFERROR(__xludf.DUMMYFUNCTION("GOOGLETRANSLATE(A13659,""en"",""pt"")"),"Fooled")</f>
        <v>Fooled</v>
      </c>
      <c r="B13659" s="3">
        <v>0</v>
      </c>
    </row>
    <row r="13660" ht="15.75" customHeight="1" spans="1:2">
      <c r="A13660" s="3" t="str">
        <f>IFERROR(__xludf.DUMMYFUNCTION("GOOGLETRANSLATE(A13660,""en"",""pt"")"),"temerário")</f>
        <v>temerário</v>
      </c>
      <c r="B13660" s="3">
        <v>0</v>
      </c>
    </row>
    <row r="13661" ht="15.75" customHeight="1" spans="1:2">
      <c r="A13661" s="3" t="str">
        <f>IFERROR(__xludf.DUMMYFUNCTION("GOOGLETRANSLATE(A13661,""en"",""pt"")"),"Insensato")</f>
        <v>Insensato</v>
      </c>
      <c r="B13661" s="3">
        <v>0</v>
      </c>
    </row>
    <row r="13662" ht="15.75" customHeight="1" spans="1:2">
      <c r="A13662" s="3" t="str">
        <f>IFERROR(__xludf.DUMMYFUNCTION("GOOGLETRANSLATE(A13662,""en"",""pt"")"),"tolamente")</f>
        <v>tolamente</v>
      </c>
      <c r="B13662" s="3">
        <v>0</v>
      </c>
    </row>
    <row r="13663" ht="15.75" customHeight="1" spans="1:2">
      <c r="A13663" s="3" t="str">
        <f>IFERROR(__xludf.DUMMYFUNCTION("GOOGLETRANSLATE(A13663,""en"",""pt"")"),"loucura")</f>
        <v>loucura</v>
      </c>
      <c r="B13663" s="3">
        <v>0</v>
      </c>
    </row>
    <row r="13664" ht="15.75" customHeight="1" spans="1:2">
      <c r="A13664" s="3" t="str">
        <f>IFERROR(__xludf.DUMMYFUNCTION("GOOGLETRANSLATE(A13664,""en"",""pt"")"),"proibir")</f>
        <v>proibir</v>
      </c>
      <c r="B13664" s="3">
        <v>0</v>
      </c>
    </row>
    <row r="13665" ht="15.75" customHeight="1" spans="1:2">
      <c r="A13665" s="3" t="str">
        <f>IFERROR(__xludf.DUMMYFUNCTION("GOOGLETRANSLATE(A13665,""en"",""pt"")"),"proibido")</f>
        <v>proibido</v>
      </c>
      <c r="B13665" s="3">
        <v>0</v>
      </c>
    </row>
    <row r="13666" ht="15.75" customHeight="1" spans="1:2">
      <c r="A13666" s="3" t="str">
        <f>IFERROR(__xludf.DUMMYFUNCTION("GOOGLETRANSLATE(A13666,""en"",""pt"")"),"ameaçador")</f>
        <v>ameaçador</v>
      </c>
      <c r="B13666" s="3">
        <v>0</v>
      </c>
    </row>
    <row r="13667" ht="15.75" customHeight="1" spans="1:2">
      <c r="A13667" s="3" t="str">
        <f>IFERROR(__xludf.DUMMYFUNCTION("GOOGLETRANSLATE(A13667,""en"",""pt"")"),"forte")</f>
        <v>forte</v>
      </c>
      <c r="B13667" s="3">
        <v>0</v>
      </c>
    </row>
    <row r="13668" ht="15.75" customHeight="1" spans="1:2">
      <c r="A13668" s="3" t="str">
        <f>IFERROR(__xludf.DUMMYFUNCTION("GOOGLETRANSLATE(A13668,""en"",""pt"")"),"pressentimento")</f>
        <v>pressentimento</v>
      </c>
      <c r="B13668" s="3">
        <v>0</v>
      </c>
    </row>
    <row r="13669" ht="15.75" customHeight="1" spans="1:2">
      <c r="A13669" s="3" t="str">
        <f>IFERROR(__xludf.DUMMYFUNCTION("GOOGLETRANSLATE(A13669,""en"",""pt"")"),"forebodingly")</f>
        <v>forebodingly</v>
      </c>
      <c r="B13669" s="3">
        <v>0</v>
      </c>
    </row>
    <row r="13670" ht="15.75" customHeight="1" spans="1:2">
      <c r="A13670" s="3" t="str">
        <f>IFERROR(__xludf.DUMMYFUNCTION("GOOGLETRANSLATE(A13670,""en"",""pt"")"),"forfetada")</f>
        <v>forfetada</v>
      </c>
      <c r="B13670" s="3">
        <v>0</v>
      </c>
    </row>
    <row r="13671" ht="15.75" customHeight="1" spans="1:2">
      <c r="A13671" s="3" t="str">
        <f>IFERROR(__xludf.DUMMYFUNCTION("GOOGLETRANSLATE(A13671,""en"",""pt"")"),"forjado")</f>
        <v>forjado</v>
      </c>
      <c r="B13671" s="3">
        <v>0</v>
      </c>
    </row>
    <row r="13672" ht="15.75" customHeight="1" spans="1:2">
      <c r="A13672" s="3" t="str">
        <f>IFERROR(__xludf.DUMMYFUNCTION("GOOGLETRANSLATE(A13672,""en"",""pt"")"),"esquecido")</f>
        <v>esquecido</v>
      </c>
      <c r="B13672" s="3">
        <v>0</v>
      </c>
    </row>
    <row r="13673" ht="15.75" customHeight="1" spans="1:2">
      <c r="A13673" s="3" t="str">
        <f>IFERROR(__xludf.DUMMYFUNCTION("GOOGLETRANSLATE(A13673,""en"",""pt"")"),"forgetfully")</f>
        <v>forgetfully</v>
      </c>
      <c r="B13673" s="3">
        <v>0</v>
      </c>
    </row>
    <row r="13674" ht="15.75" customHeight="1" spans="1:2">
      <c r="A13674" s="3" t="str">
        <f>IFERROR(__xludf.DUMMYFUNCTION("GOOGLETRANSLATE(A13674,""en"",""pt"")"),"esquecimento")</f>
        <v>esquecimento</v>
      </c>
      <c r="B13674" s="3">
        <v>0</v>
      </c>
    </row>
    <row r="13675" ht="15.75" customHeight="1" spans="1:2">
      <c r="A13675" s="3" t="s">
        <v>64</v>
      </c>
      <c r="B13675" s="3">
        <v>0</v>
      </c>
    </row>
    <row r="13676" ht="15.75" customHeight="1" spans="1:2">
      <c r="A13676" s="3" t="str">
        <f>IFERROR(__xludf.DUMMYFUNCTION("GOOGLETRANSLATE(A13676,""en"",""pt"")"),"forlornly")</f>
        <v>forlornly</v>
      </c>
      <c r="B13676" s="3">
        <v>0</v>
      </c>
    </row>
    <row r="13677" ht="15.75" customHeight="1" spans="1:2">
      <c r="A13677" s="3" t="str">
        <f>IFERROR(__xludf.DUMMYFUNCTION("GOOGLETRANSLATE(A13677,""en"",""pt"")"),"forsake")</f>
        <v>forsake</v>
      </c>
      <c r="B13677" s="3">
        <v>0</v>
      </c>
    </row>
    <row r="13678" ht="15.75" customHeight="1" spans="1:2">
      <c r="A13678" s="3" t="str">
        <f>IFERROR(__xludf.DUMMYFUNCTION("GOOGLETRANSLATE(A13678,""en"",""pt"")"),"Forsaken")</f>
        <v>Forsaken</v>
      </c>
      <c r="B13678" s="3">
        <v>0</v>
      </c>
    </row>
    <row r="13679" ht="15.75" customHeight="1" spans="1:2">
      <c r="A13679" s="3" t="str">
        <f>IFERROR(__xludf.DUMMYFUNCTION("GOOGLETRANSLATE(A13679,""en"",""pt"")"),"renegar")</f>
        <v>renegar</v>
      </c>
      <c r="B13679" s="3">
        <v>0</v>
      </c>
    </row>
    <row r="13680" ht="15.75" customHeight="1" spans="1:2">
      <c r="A13680" s="3" t="str">
        <f>IFERROR(__xludf.DUMMYFUNCTION("GOOGLETRANSLATE(A13680,""en"",""pt"")"),"falta")</f>
        <v>falta</v>
      </c>
      <c r="B13680" s="3">
        <v>0</v>
      </c>
    </row>
    <row r="13681" ht="15.75" customHeight="1" spans="1:2">
      <c r="A13681" s="3" t="str">
        <f>IFERROR(__xludf.DUMMYFUNCTION("GOOGLETRANSLATE(A13681,""en"",""pt"")"),"abominavelmente")</f>
        <v>abominavelmente</v>
      </c>
      <c r="B13681" s="3">
        <v>0</v>
      </c>
    </row>
    <row r="13682" ht="15.75" customHeight="1" spans="1:2">
      <c r="A13682" s="3" t="str">
        <f>IFERROR(__xludf.DUMMYFUNCTION("GOOGLETRANSLATE(A13682,""en"",""pt"")"),"impureza")</f>
        <v>impureza</v>
      </c>
      <c r="B13682" s="3">
        <v>0</v>
      </c>
    </row>
    <row r="13683" ht="15.75" customHeight="1" spans="1:2">
      <c r="A13683" s="3" t="str">
        <f>IFERROR(__xludf.DUMMYFUNCTION("GOOGLETRANSLATE(A13683,""en"",""pt"")"),"irascível")</f>
        <v>irascível</v>
      </c>
      <c r="B13683" s="3">
        <v>0</v>
      </c>
    </row>
    <row r="13684" ht="15.75" customHeight="1" spans="1:2">
      <c r="A13684" s="3" t="str">
        <f>IFERROR(__xludf.DUMMYFUNCTION("GOOGLETRANSLATE(A13684,""en"",""pt"")"),"fractiously")</f>
        <v>fractiously</v>
      </c>
      <c r="B13684" s="3">
        <v>0</v>
      </c>
    </row>
    <row r="13685" ht="15.75" customHeight="1" spans="1:2">
      <c r="A13685" s="3" t="str">
        <f>IFERROR(__xludf.DUMMYFUNCTION("GOOGLETRANSLATE(A13685,""en"",""pt"")"),"fratura")</f>
        <v>fratura</v>
      </c>
      <c r="B13685" s="3">
        <v>0</v>
      </c>
    </row>
    <row r="13686" ht="15.75" customHeight="1" spans="1:2">
      <c r="A13686" s="3" t="str">
        <f>IFERROR(__xludf.DUMMYFUNCTION("GOOGLETRANSLATE(A13686,""en"",""pt"")"),"frágil")</f>
        <v>frágil</v>
      </c>
      <c r="B13686" s="3">
        <v>0</v>
      </c>
    </row>
    <row r="13687" ht="15.75" customHeight="1" spans="1:2">
      <c r="A13687" s="3" t="str">
        <f>IFERROR(__xludf.DUMMYFUNCTION("GOOGLETRANSLATE(A13687,""en"",""pt"")"),"fragmentado")</f>
        <v>fragmentado</v>
      </c>
      <c r="B13687" s="3">
        <v>0</v>
      </c>
    </row>
    <row r="13688" ht="15.75" customHeight="1" spans="1:2">
      <c r="A13688" s="3" t="str">
        <f>IFERROR(__xludf.DUMMYFUNCTION("GOOGLETRANSLATE(A13688,""en"",""pt"")"),"frágil")</f>
        <v>frágil</v>
      </c>
      <c r="B13688" s="3">
        <v>0</v>
      </c>
    </row>
    <row r="13689" ht="15.75" customHeight="1" spans="1:2">
      <c r="A13689" s="3" t="str">
        <f>IFERROR(__xludf.DUMMYFUNCTION("GOOGLETRANSLATE(A13689,""en"",""pt"")"),"frenético")</f>
        <v>frenético</v>
      </c>
      <c r="B13689" s="3">
        <v>0</v>
      </c>
    </row>
    <row r="13690" ht="15.75" customHeight="1" spans="1:2">
      <c r="A13690" s="3" t="str">
        <f>IFERROR(__xludf.DUMMYFUNCTION("GOOGLETRANSLATE(A13690,""en"",""pt"")"),"freneticamente")</f>
        <v>freneticamente</v>
      </c>
      <c r="B13690" s="3">
        <v>0</v>
      </c>
    </row>
    <row r="13691" ht="15.75" customHeight="1" spans="1:2">
      <c r="A13691" s="3" t="str">
        <f>IFERROR(__xludf.DUMMYFUNCTION("GOOGLETRANSLATE(A13691,""en"",""pt"")"),"franticly")</f>
        <v>franticly</v>
      </c>
      <c r="B13691" s="3">
        <v>0</v>
      </c>
    </row>
    <row r="13692" ht="15.75" customHeight="1" spans="1:2">
      <c r="A13692" s="3" t="str">
        <f>IFERROR(__xludf.DUMMYFUNCTION("GOOGLETRANSLATE(A13692,""en"",""pt"")"),"fraude")</f>
        <v>fraude</v>
      </c>
      <c r="B13692" s="3">
        <v>0</v>
      </c>
    </row>
    <row r="13693" ht="15.75" customHeight="1" spans="1:2">
      <c r="A13693" s="3" t="str">
        <f>IFERROR(__xludf.DUMMYFUNCTION("GOOGLETRANSLATE(A13693,""en"",""pt"")"),"fraudulento")</f>
        <v>fraudulento</v>
      </c>
      <c r="B13693" s="3">
        <v>0</v>
      </c>
    </row>
    <row r="13694" ht="15.75" customHeight="1" spans="1:2">
      <c r="A13694" s="3" t="str">
        <f>IFERROR(__xludf.DUMMYFUNCTION("GOOGLETRANSLATE(A13694,""en"",""pt"")"),"cheio")</f>
        <v>cheio</v>
      </c>
      <c r="B13694" s="3">
        <v>0</v>
      </c>
    </row>
    <row r="13695" ht="15.75" customHeight="1" spans="1:2">
      <c r="A13695" s="3" t="str">
        <f>IFERROR(__xludf.DUMMYFUNCTION("GOOGLETRANSLATE(A13695,""en"",""pt"")"),"trapo")</f>
        <v>trapo</v>
      </c>
      <c r="B13695" s="3">
        <v>0</v>
      </c>
    </row>
    <row r="13696" ht="15.75" customHeight="1" spans="1:2">
      <c r="A13696" s="3" t="str">
        <f>IFERROR(__xludf.DUMMYFUNCTION("GOOGLETRANSLATE(A13696,""en"",""pt"")"),"frazzled")</f>
        <v>frazzled</v>
      </c>
      <c r="B13696" s="3">
        <v>0</v>
      </c>
    </row>
    <row r="13697" ht="15.75" customHeight="1" spans="1:2">
      <c r="A13697" s="3" t="str">
        <f>IFERROR(__xludf.DUMMYFUNCTION("GOOGLETRANSLATE(A13697,""en"",""pt"")"),"aberração")</f>
        <v>aberração</v>
      </c>
      <c r="B13697" s="3">
        <v>0</v>
      </c>
    </row>
    <row r="13698" ht="15.75" customHeight="1" spans="1:2">
      <c r="A13698" s="3" t="str">
        <f>IFERROR(__xludf.DUMMYFUNCTION("GOOGLETRANSLATE(A13698,""en"",""pt"")"),"parvos")</f>
        <v>parvos</v>
      </c>
      <c r="B13698" s="3">
        <v>0</v>
      </c>
    </row>
    <row r="13699" ht="15.75" customHeight="1" spans="1:2">
      <c r="A13699" s="3" t="str">
        <f>IFERROR(__xludf.DUMMYFUNCTION("GOOGLETRANSLATE(A13699,""en"",""pt"")"),"bizarro")</f>
        <v>bizarro</v>
      </c>
      <c r="B13699" s="3">
        <v>0</v>
      </c>
    </row>
    <row r="13700" ht="15.75" customHeight="1" spans="1:2">
      <c r="A13700" s="3" t="str">
        <f>IFERROR(__xludf.DUMMYFUNCTION("GOOGLETRANSLATE(A13700,""en"",""pt"")"),"freakishly")</f>
        <v>freakishly</v>
      </c>
      <c r="B13700" s="3">
        <v>0</v>
      </c>
    </row>
    <row r="13701" ht="15.75" customHeight="1" spans="1:2">
      <c r="A13701" s="3" t="str">
        <f>IFERROR(__xludf.DUMMYFUNCTION("GOOGLETRANSLATE(A13701,""en"",""pt"")"),"malucos")</f>
        <v>malucos</v>
      </c>
      <c r="B13701" s="3">
        <v>0</v>
      </c>
    </row>
    <row r="13702" ht="15.75" customHeight="1" spans="1:2">
      <c r="A13702" s="3" t="str">
        <f>IFERROR(__xludf.DUMMYFUNCTION("GOOGLETRANSLATE(A13702,""en"",""pt"")"),"congelar")</f>
        <v>congelar</v>
      </c>
      <c r="B13702" s="3">
        <v>0</v>
      </c>
    </row>
    <row r="13703" ht="15.75" customHeight="1" spans="1:2">
      <c r="A13703" s="3" t="str">
        <f>IFERROR(__xludf.DUMMYFUNCTION("GOOGLETRANSLATE(A13703,""en"",""pt"")"),"congela")</f>
        <v>congela</v>
      </c>
      <c r="B13703" s="3">
        <v>0</v>
      </c>
    </row>
    <row r="13704" ht="15.75" customHeight="1" spans="1:2">
      <c r="A13704" s="3" t="str">
        <f>IFERROR(__xludf.DUMMYFUNCTION("GOOGLETRANSLATE(A13704,""en"",""pt"")"),"congelando")</f>
        <v>congelando</v>
      </c>
      <c r="B13704" s="3">
        <v>0</v>
      </c>
    </row>
    <row r="13705" ht="15.75" customHeight="1" spans="1:2">
      <c r="A13705" s="3" t="str">
        <f>IFERROR(__xludf.DUMMYFUNCTION("GOOGLETRANSLATE(A13705,""en"",""pt"")"),"frenético")</f>
        <v>frenético</v>
      </c>
      <c r="B13705" s="3">
        <v>0</v>
      </c>
    </row>
    <row r="13706" ht="15.75" customHeight="1" spans="1:2">
      <c r="A13706" s="3" t="str">
        <f>IFERROR(__xludf.DUMMYFUNCTION("GOOGLETRANSLATE(A13706,""en"",""pt"")"),"frenetically")</f>
        <v>frenetically</v>
      </c>
      <c r="B13706" s="3">
        <v>0</v>
      </c>
    </row>
    <row r="13707" ht="15.75" customHeight="1" spans="1:2">
      <c r="A13707" s="3" t="str">
        <f>IFERROR(__xludf.DUMMYFUNCTION("GOOGLETRANSLATE(A13707,""en"",""pt"")"),"frenético")</f>
        <v>frenético</v>
      </c>
      <c r="B13707" s="3">
        <v>0</v>
      </c>
    </row>
    <row r="13708" ht="15.75" customHeight="1" spans="1:2">
      <c r="A13708" s="3" t="str">
        <f>IFERROR(__xludf.DUMMYFUNCTION("GOOGLETRANSLATE(A13708,""en"",""pt"")"),"frenesi")</f>
        <v>frenesi</v>
      </c>
      <c r="B13708" s="3">
        <v>0</v>
      </c>
    </row>
    <row r="13709" ht="15.75" customHeight="1" spans="1:2">
      <c r="A13709" s="3" t="str">
        <f>IFERROR(__xludf.DUMMYFUNCTION("GOOGLETRANSLATE(A13709,""en"",""pt"")"),"fricção")</f>
        <v>fricção</v>
      </c>
      <c r="B13709" s="3">
        <v>0</v>
      </c>
    </row>
    <row r="13710" ht="15.75" customHeight="1" spans="1:2">
      <c r="A13710" s="3" t="str">
        <f>IFERROR(__xludf.DUMMYFUNCTION("GOOGLETRANSLATE(A13710,""en"",""pt"")"),"irritável")</f>
        <v>irritável</v>
      </c>
      <c r="B13710" s="3">
        <v>0</v>
      </c>
    </row>
    <row r="13711" ht="15.75" customHeight="1" spans="1:2">
      <c r="A13711" s="3" t="str">
        <f>IFERROR(__xludf.DUMMYFUNCTION("GOOGLETRANSLATE(A13711,""en"",""pt"")"),"trastes")</f>
        <v>trastes</v>
      </c>
      <c r="B13711" s="3">
        <v>0</v>
      </c>
    </row>
    <row r="13712" ht="15.75" customHeight="1" spans="1:2">
      <c r="A13712" s="3" t="str">
        <f>IFERROR(__xludf.DUMMYFUNCTION("GOOGLETRANSLATE(A13712,""en"",""pt"")"),"atrito")</f>
        <v>atrito</v>
      </c>
      <c r="B13712" s="3">
        <v>0</v>
      </c>
    </row>
    <row r="13713" ht="15.75" customHeight="1" spans="1:2">
      <c r="A13713" s="3" t="str">
        <f>IFERROR(__xludf.DUMMYFUNCTION("GOOGLETRANSLATE(A13713,""en"",""pt"")"),"atritos")</f>
        <v>atritos</v>
      </c>
      <c r="B13713" s="3">
        <v>0</v>
      </c>
    </row>
    <row r="13714" ht="15.75" customHeight="1" spans="1:2">
      <c r="A13714" s="3" t="str">
        <f>IFERROR(__xludf.DUMMYFUNCTION("GOOGLETRANSLATE(A13714,""en"",""pt"")"),"frito")</f>
        <v>frito</v>
      </c>
      <c r="B13714" s="3">
        <v>0</v>
      </c>
    </row>
    <row r="13715" ht="15.75" customHeight="1" spans="1:2">
      <c r="A13715" s="3" t="str">
        <f>IFERROR(__xludf.DUMMYFUNCTION("GOOGLETRANSLATE(A13715,""en"",""pt"")"),"friggin")</f>
        <v>friggin</v>
      </c>
      <c r="B13715" s="3">
        <v>0</v>
      </c>
    </row>
    <row r="13716" ht="15.75" customHeight="1" spans="1:2">
      <c r="A13716" s="3" t="str">
        <f>IFERROR(__xludf.DUMMYFUNCTION("GOOGLETRANSLATE(A13716,""en"",""pt"")"),"frigging")</f>
        <v>frigging</v>
      </c>
      <c r="B13716" s="3">
        <v>0</v>
      </c>
    </row>
    <row r="13717" ht="15.75" customHeight="1" spans="1:2">
      <c r="A13717" s="3" t="str">
        <f>IFERROR(__xludf.DUMMYFUNCTION("GOOGLETRANSLATE(A13717,""en"",""pt"")"),"susto")</f>
        <v>susto</v>
      </c>
      <c r="B13717" s="3">
        <v>0</v>
      </c>
    </row>
    <row r="13718" ht="15.75" customHeight="1" spans="1:2">
      <c r="A13718" s="3" t="str">
        <f>IFERROR(__xludf.DUMMYFUNCTION("GOOGLETRANSLATE(A13718,""en"",""pt"")"),"amedrontar")</f>
        <v>amedrontar</v>
      </c>
      <c r="B13718" s="3">
        <v>0</v>
      </c>
    </row>
    <row r="13719" ht="15.75" customHeight="1" spans="1:2">
      <c r="A13719" s="3" t="str">
        <f>IFERROR(__xludf.DUMMYFUNCTION("GOOGLETRANSLATE(A13719,""en"",""pt"")"),"assustador")</f>
        <v>assustador</v>
      </c>
      <c r="B13719" s="3">
        <v>0</v>
      </c>
    </row>
    <row r="13720" ht="15.75" customHeight="1" spans="1:2">
      <c r="A13720" s="3" t="str">
        <f>IFERROR(__xludf.DUMMYFUNCTION("GOOGLETRANSLATE(A13720,""en"",""pt"")"),"assustadoramente")</f>
        <v>assustadoramente</v>
      </c>
      <c r="B13720" s="3">
        <v>0</v>
      </c>
    </row>
    <row r="13721" ht="15.75" customHeight="1" spans="1:2">
      <c r="A13721" s="3" t="str">
        <f>IFERROR(__xludf.DUMMYFUNCTION("GOOGLETRANSLATE(A13721,""en"",""pt"")"),"medonho")</f>
        <v>medonho</v>
      </c>
      <c r="B13721" s="3">
        <v>0</v>
      </c>
    </row>
    <row r="13722" ht="15.75" customHeight="1" spans="1:2">
      <c r="A13722" s="3" t="str">
        <f>IFERROR(__xludf.DUMMYFUNCTION("GOOGLETRANSLATE(A13722,""en"",""pt"")"),"frightfully")</f>
        <v>frightfully</v>
      </c>
      <c r="B13722" s="3">
        <v>0</v>
      </c>
    </row>
    <row r="13723" ht="15.75" customHeight="1" spans="1:2">
      <c r="A13723" s="3" t="str">
        <f>IFERROR(__xludf.DUMMYFUNCTION("GOOGLETRANSLATE(A13723,""en"",""pt"")"),"frígido")</f>
        <v>frígido</v>
      </c>
      <c r="B13723" s="3">
        <v>0</v>
      </c>
    </row>
    <row r="13724" ht="15.75" customHeight="1" spans="1:2">
      <c r="A13724" s="3" t="str">
        <f>IFERROR(__xludf.DUMMYFUNCTION("GOOGLETRANSLATE(A13724,""en"",""pt"")"),"geada")</f>
        <v>geada</v>
      </c>
      <c r="B13724" s="3">
        <v>0</v>
      </c>
    </row>
    <row r="13725" ht="15.75" customHeight="1" spans="1:2">
      <c r="A13725" s="3" t="str">
        <f>IFERROR(__xludf.DUMMYFUNCTION("GOOGLETRANSLATE(A13725,""en"",""pt"")"),"olhar severo")</f>
        <v>olhar severo</v>
      </c>
      <c r="B13725" s="3">
        <v>0</v>
      </c>
    </row>
    <row r="13726" ht="15.75" customHeight="1" spans="1:2">
      <c r="A13726" s="3" t="str">
        <f>IFERROR(__xludf.DUMMYFUNCTION("GOOGLETRANSLATE(A13726,""en"",""pt"")"),"congelou")</f>
        <v>congelou</v>
      </c>
      <c r="B13726" s="3">
        <v>0</v>
      </c>
    </row>
    <row r="13727" ht="15.75" customHeight="1" spans="1:2">
      <c r="A13727" s="3" t="str">
        <f>IFERROR(__xludf.DUMMYFUNCTION("GOOGLETRANSLATE(A13727,""en"",""pt"")"),"congeladas")</f>
        <v>congeladas</v>
      </c>
      <c r="B13727" s="3">
        <v>0</v>
      </c>
    </row>
    <row r="13728" ht="15.75" customHeight="1" spans="1:2">
      <c r="A13728" s="3" t="str">
        <f>IFERROR(__xludf.DUMMYFUNCTION("GOOGLETRANSLATE(A13728,""en"",""pt"")"),"infrutífero")</f>
        <v>infrutífero</v>
      </c>
      <c r="B13728" s="3">
        <v>0</v>
      </c>
    </row>
    <row r="13729" ht="15.75" customHeight="1" spans="1:2">
      <c r="A13729" s="3" t="str">
        <f>IFERROR(__xludf.DUMMYFUNCTION("GOOGLETRANSLATE(A13729,""en"",""pt"")"),"fruitlessly")</f>
        <v>fruitlessly</v>
      </c>
      <c r="B13729" s="3">
        <v>0</v>
      </c>
    </row>
    <row r="13730" ht="15.75" customHeight="1" spans="1:2">
      <c r="A13730" s="3" t="str">
        <f>IFERROR(__xludf.DUMMYFUNCTION("GOOGLETRANSLATE(A13730,""en"",""pt"")"),"frustrar")</f>
        <v>frustrar</v>
      </c>
      <c r="B13730" s="3">
        <v>0</v>
      </c>
    </row>
    <row r="13731" ht="15.75" customHeight="1" spans="1:2">
      <c r="A13731" s="3" t="str">
        <f>IFERROR(__xludf.DUMMYFUNCTION("GOOGLETRANSLATE(A13731,""en"",""pt"")"),"frustrado")</f>
        <v>frustrado</v>
      </c>
      <c r="B13731" s="3">
        <v>0</v>
      </c>
    </row>
    <row r="13732" ht="15.75" customHeight="1" spans="1:2">
      <c r="A13732" s="3" t="str">
        <f>IFERROR(__xludf.DUMMYFUNCTION("GOOGLETRANSLATE(A13732,""en"",""pt"")"),"frustra")</f>
        <v>frustra</v>
      </c>
      <c r="B13732" s="3">
        <v>0</v>
      </c>
    </row>
    <row r="13733" ht="15.75" customHeight="1" spans="1:2">
      <c r="A13733" s="3" t="str">
        <f>IFERROR(__xludf.DUMMYFUNCTION("GOOGLETRANSLATE(A13733,""en"",""pt"")"),"frustrante")</f>
        <v>frustrante</v>
      </c>
      <c r="B13733" s="3">
        <v>0</v>
      </c>
    </row>
    <row r="13734" ht="15.75" customHeight="1" spans="1:2">
      <c r="A13734" s="3" t="str">
        <f>IFERROR(__xludf.DUMMYFUNCTION("GOOGLETRANSLATE(A13734,""en"",""pt"")"),"frustrantemente")</f>
        <v>frustrantemente</v>
      </c>
      <c r="B13734" s="3">
        <v>0</v>
      </c>
    </row>
    <row r="13735" ht="15.75" customHeight="1" spans="1:2">
      <c r="A13735" s="3" t="str">
        <f>IFERROR(__xludf.DUMMYFUNCTION("GOOGLETRANSLATE(A13735,""en"",""pt"")"),"frustração")</f>
        <v>frustração</v>
      </c>
      <c r="B13735" s="3">
        <v>0</v>
      </c>
    </row>
    <row r="13736" ht="15.75" customHeight="1" spans="1:2">
      <c r="A13736" s="3" t="str">
        <f>IFERROR(__xludf.DUMMYFUNCTION("GOOGLETRANSLATE(A13736,""en"",""pt"")"),"frustrações")</f>
        <v>frustrações</v>
      </c>
      <c r="B13736" s="3">
        <v>0</v>
      </c>
    </row>
    <row r="13737" ht="15.75" customHeight="1" spans="1:2">
      <c r="A13737" s="3" t="str">
        <f>IFERROR(__xludf.DUMMYFUNCTION("GOOGLETRANSLATE(A13737,""en"",""pt"")"),"Porra")</f>
        <v>Porra</v>
      </c>
      <c r="B13737" s="3">
        <v>0</v>
      </c>
    </row>
    <row r="13738" ht="15.75" customHeight="1" spans="1:2">
      <c r="A13738" s="3" t="str">
        <f>IFERROR(__xludf.DUMMYFUNCTION("GOOGLETRANSLATE(A13738,""en"",""pt"")"),"maldito")</f>
        <v>maldito</v>
      </c>
      <c r="B13738" s="3">
        <v>0</v>
      </c>
    </row>
    <row r="13739" ht="15.75" customHeight="1" spans="1:2">
      <c r="A13739" s="3" t="str">
        <f>IFERROR(__xludf.DUMMYFUNCTION("GOOGLETRANSLATE(A13739,""en"",""pt"")"),"lorota")</f>
        <v>lorota</v>
      </c>
      <c r="B13739" s="3">
        <v>0</v>
      </c>
    </row>
    <row r="13740" ht="15.75" customHeight="1" spans="1:2">
      <c r="A13740" s="3" t="str">
        <f>IFERROR(__xludf.DUMMYFUNCTION("GOOGLETRANSLATE(A13740,""en"",""pt"")"),"fugitivo")</f>
        <v>fugitivo</v>
      </c>
      <c r="B13740" s="3">
        <v>0</v>
      </c>
    </row>
    <row r="13741" ht="15.75" customHeight="1" spans="1:2">
      <c r="A13741" s="3" t="str">
        <f>IFERROR(__xludf.DUMMYFUNCTION("GOOGLETRANSLATE(A13741,""en"",""pt"")"),"em pleno desenvolvimento")</f>
        <v>em pleno desenvolvimento</v>
      </c>
      <c r="B13741" s="3">
        <v>0</v>
      </c>
    </row>
    <row r="13742" ht="15.75" customHeight="1" spans="1:2">
      <c r="A13742" s="3" t="str">
        <f>IFERROR(__xludf.DUMMYFUNCTION("GOOGLETRANSLATE(A13742,""en"",""pt"")"),"fulminate")</f>
        <v>fulminate</v>
      </c>
      <c r="B13742" s="3">
        <v>0</v>
      </c>
    </row>
    <row r="13743" ht="15.75" customHeight="1" spans="1:2">
      <c r="A13743" s="3" t="str">
        <f>IFERROR(__xludf.DUMMYFUNCTION("GOOGLETRANSLATE(A13743,""en"",""pt"")"),"inépcia")</f>
        <v>inépcia</v>
      </c>
      <c r="B13743" s="3">
        <v>0</v>
      </c>
    </row>
    <row r="13744" ht="15.75" customHeight="1" spans="1:2">
      <c r="A13744" s="3" t="str">
        <f>IFERROR(__xludf.DUMMYFUNCTION("GOOGLETRANSLATE(A13744,""en"",""pt"")"),"fumo")</f>
        <v>fumo</v>
      </c>
      <c r="B13744" s="3">
        <v>0</v>
      </c>
    </row>
    <row r="13745" ht="15.75" customHeight="1" spans="1:2">
      <c r="A13745" s="3" t="str">
        <f>IFERROR(__xludf.DUMMYFUNCTION("GOOGLETRANSLATE(A13745,""en"",""pt"")"),"fumos")</f>
        <v>fumos</v>
      </c>
      <c r="B13745" s="3">
        <v>0</v>
      </c>
    </row>
    <row r="13746" ht="15.75" customHeight="1" spans="1:2">
      <c r="A13746" s="3" t="str">
        <f>IFERROR(__xludf.DUMMYFUNCTION("GOOGLETRANSLATE(A13746,""en"",""pt"")"),"fundamentalismo")</f>
        <v>fundamentalismo</v>
      </c>
      <c r="B13746" s="3">
        <v>0</v>
      </c>
    </row>
    <row r="13747" ht="15.75" customHeight="1" spans="1:2">
      <c r="A13747" s="3" t="str">
        <f>IFERROR(__xludf.DUMMYFUNCTION("GOOGLETRANSLATE(A13747,""en"",""pt"")"),"descolados")</f>
        <v>descolados</v>
      </c>
      <c r="B13747" s="3">
        <v>0</v>
      </c>
    </row>
    <row r="13748" ht="15.75" customHeight="1" spans="1:2">
      <c r="A13748" s="3" t="str">
        <f>IFERROR(__xludf.DUMMYFUNCTION("GOOGLETRANSLATE(A13748,""en"",""pt"")"),"de maneira engraçada")</f>
        <v>de maneira engraçada</v>
      </c>
      <c r="B13748" s="3">
        <v>0</v>
      </c>
    </row>
    <row r="13749" ht="15.75" customHeight="1" spans="1:2">
      <c r="A13749" s="3" t="str">
        <f>IFERROR(__xludf.DUMMYFUNCTION("GOOGLETRANSLATE(A13749,""en"",""pt"")"),"engraçado")</f>
        <v>engraçado</v>
      </c>
      <c r="B13749" s="3">
        <v>0</v>
      </c>
    </row>
    <row r="13750" ht="15.75" customHeight="1" spans="1:2">
      <c r="A13750" s="3" t="str">
        <f>IFERROR(__xludf.DUMMYFUNCTION("GOOGLETRANSLATE(A13750,""en"",""pt"")"),"furioso")</f>
        <v>furioso</v>
      </c>
      <c r="B13750" s="3">
        <v>0</v>
      </c>
    </row>
    <row r="13751" ht="15.75" customHeight="1" spans="1:2">
      <c r="A13751" s="3" t="str">
        <f>IFERROR(__xludf.DUMMYFUNCTION("GOOGLETRANSLATE(A13751,""en"",""pt"")"),"furiosamente")</f>
        <v>furiosamente</v>
      </c>
      <c r="B13751" s="3">
        <v>0</v>
      </c>
    </row>
    <row r="13752" ht="15.75" customHeight="1" spans="1:2">
      <c r="A13752" s="3" t="str">
        <f>IFERROR(__xludf.DUMMYFUNCTION("GOOGLETRANSLATE(A13752,""en"",""pt"")"),"furor")</f>
        <v>furor</v>
      </c>
      <c r="B13752" s="3">
        <v>0</v>
      </c>
    </row>
    <row r="13753" ht="15.75" customHeight="1" spans="1:2">
      <c r="A13753" s="3" t="str">
        <f>IFERROR(__xludf.DUMMYFUNCTION("GOOGLETRANSLATE(A13753,""en"",""pt"")"),"fúria")</f>
        <v>fúria</v>
      </c>
      <c r="B13753" s="3">
        <v>0</v>
      </c>
    </row>
    <row r="13754" ht="15.75" customHeight="1" spans="1:2">
      <c r="A13754" s="3" t="str">
        <f>IFERROR(__xludf.DUMMYFUNCTION("GOOGLETRANSLATE(A13754,""en"",""pt"")"),"discutir")</f>
        <v>discutir</v>
      </c>
      <c r="B13754" s="3">
        <v>0</v>
      </c>
    </row>
    <row r="13755" ht="15.75" customHeight="1" spans="1:2">
      <c r="A13755" s="3" t="str">
        <f>IFERROR(__xludf.DUMMYFUNCTION("GOOGLETRANSLATE(A13755,""en"",""pt"")"),"espalhafatoso")</f>
        <v>espalhafatoso</v>
      </c>
      <c r="B13755" s="3">
        <v>0</v>
      </c>
    </row>
    <row r="13756" ht="15.75" customHeight="1" spans="1:2">
      <c r="A13756" s="3" t="str">
        <f>IFERROR(__xludf.DUMMYFUNCTION("GOOGLETRANSLATE(A13756,""en"",""pt"")"),"fustigar")</f>
        <v>fustigar</v>
      </c>
      <c r="B13756" s="3">
        <v>0</v>
      </c>
    </row>
    <row r="13757" ht="15.75" customHeight="1" spans="1:2">
      <c r="A13757" s="3" t="str">
        <f>IFERROR(__xludf.DUMMYFUNCTION("GOOGLETRANSLATE(A13757,""en"",""pt"")"),"bolorento")</f>
        <v>bolorento</v>
      </c>
      <c r="B13757" s="3">
        <v>0</v>
      </c>
    </row>
    <row r="13758" ht="15.75" customHeight="1" spans="1:2">
      <c r="A13758" s="3" t="str">
        <f>IFERROR(__xludf.DUMMYFUNCTION("GOOGLETRANSLATE(A13758,""en"",""pt"")"),"inútil")</f>
        <v>inútil</v>
      </c>
      <c r="B13758" s="3">
        <v>0</v>
      </c>
    </row>
    <row r="13759" ht="15.75" customHeight="1" spans="1:2">
      <c r="A13759" s="3" t="str">
        <f>IFERROR(__xludf.DUMMYFUNCTION("GOOGLETRANSLATE(A13759,""en"",""pt"")"),"inutilmente")</f>
        <v>inutilmente</v>
      </c>
      <c r="B13759" s="3">
        <v>0</v>
      </c>
    </row>
    <row r="13760" ht="15.75" customHeight="1" spans="1:2">
      <c r="A13760" s="3" t="str">
        <f>IFERROR(__xludf.DUMMYFUNCTION("GOOGLETRANSLATE(A13760,""en"",""pt"")"),"futilidade")</f>
        <v>futilidade</v>
      </c>
      <c r="B13760" s="3">
        <v>0</v>
      </c>
    </row>
    <row r="13761" ht="15.75" customHeight="1" spans="1:2">
      <c r="A13761" s="3" t="str">
        <f>IFERROR(__xludf.DUMMYFUNCTION("GOOGLETRANSLATE(A13761,""en"",""pt"")"),"felpudo")</f>
        <v>felpudo</v>
      </c>
      <c r="B13761" s="3">
        <v>0</v>
      </c>
    </row>
    <row r="13762" ht="15.75" customHeight="1" spans="1:2">
      <c r="A13762" s="3" t="str">
        <f>IFERROR(__xludf.DUMMYFUNCTION("GOOGLETRANSLATE(A13762,""en"",""pt"")"),"tagarelice")</f>
        <v>tagarelice</v>
      </c>
      <c r="B13762" s="3">
        <v>0</v>
      </c>
    </row>
    <row r="13763" ht="15.75" customHeight="1" spans="1:2">
      <c r="A13763" s="3" t="str">
        <f>IFERROR(__xludf.DUMMYFUNCTION("GOOGLETRANSLATE(A13763,""en"",""pt"")"),"arpão")</f>
        <v>arpão</v>
      </c>
      <c r="B13763" s="3">
        <v>0</v>
      </c>
    </row>
    <row r="13764" ht="15.75" customHeight="1" spans="1:2">
      <c r="A13764" s="3" t="str">
        <f>IFERROR(__xludf.DUMMYFUNCTION("GOOGLETRANSLATE(A13764,""en"",""pt"")"),"gafe")</f>
        <v>gafe</v>
      </c>
      <c r="B13764" s="3">
        <v>0</v>
      </c>
    </row>
    <row r="13765" ht="15.75" customHeight="1" spans="1:2">
      <c r="A13765" s="3" t="str">
        <f>IFERROR(__xludf.DUMMYFUNCTION("GOOGLETRANSLATE(A13765,""en"",""pt"")"),"contradizer")</f>
        <v>contradizer</v>
      </c>
      <c r="B13765" s="3">
        <v>0</v>
      </c>
    </row>
    <row r="13766" ht="15.75" customHeight="1" spans="1:2">
      <c r="A13766" s="3" t="str">
        <f>IFERROR(__xludf.DUMMYFUNCTION("GOOGLETRANSLATE(A13766,""en"",""pt"")"),"gainsayer")</f>
        <v>gainsayer</v>
      </c>
      <c r="B13766" s="3">
        <v>0</v>
      </c>
    </row>
    <row r="13767" ht="15.75" customHeight="1" spans="1:2">
      <c r="A13767" s="3" t="str">
        <f>IFERROR(__xludf.DUMMYFUNCTION("GOOGLETRANSLATE(A13767,""en"",""pt"")"),"fel")</f>
        <v>fel</v>
      </c>
      <c r="B13767" s="3">
        <v>0</v>
      </c>
    </row>
    <row r="13768" ht="15.75" customHeight="1" spans="1:2">
      <c r="A13768" s="3" t="str">
        <f>IFERROR(__xludf.DUMMYFUNCTION("GOOGLETRANSLATE(A13768,""en"",""pt"")"),"irritante")</f>
        <v>irritante</v>
      </c>
      <c r="B13768" s="3">
        <v>0</v>
      </c>
    </row>
    <row r="13769" ht="15.75" customHeight="1" spans="1:2">
      <c r="A13769" s="3" t="str">
        <f>IFERROR(__xludf.DUMMYFUNCTION("GOOGLETRANSLATE(A13769,""en"",""pt"")"),"gallingly")</f>
        <v>gallingly</v>
      </c>
      <c r="B13769" s="3">
        <v>0</v>
      </c>
    </row>
    <row r="13770" ht="15.75" customHeight="1" spans="1:2">
      <c r="A13770" s="3" t="str">
        <f>IFERROR(__xludf.DUMMYFUNCTION("GOOGLETRANSLATE(A13770,""en"",""pt"")"),"galhas")</f>
        <v>galhas</v>
      </c>
      <c r="B13770" s="3">
        <v>0</v>
      </c>
    </row>
    <row r="13771" ht="15.75" customHeight="1" spans="1:2">
      <c r="A13771" s="3" t="str">
        <f>IFERROR(__xludf.DUMMYFUNCTION("GOOGLETRANSLATE(A13771,""en"",""pt"")"),"bandido")</f>
        <v>bandido</v>
      </c>
      <c r="B13771" s="3">
        <v>0</v>
      </c>
    </row>
    <row r="13772" ht="15.75" customHeight="1" spans="1:2">
      <c r="A13772" s="3" t="str">
        <f>IFERROR(__xludf.DUMMYFUNCTION("GOOGLETRANSLATE(A13772,""en"",""pt"")"),"bocejar")</f>
        <v>bocejar</v>
      </c>
      <c r="B13772" s="3">
        <v>0</v>
      </c>
    </row>
    <row r="13773" ht="15.75" customHeight="1" spans="1:2">
      <c r="A13773" s="3" t="str">
        <f>IFERROR(__xludf.DUMMYFUNCTION("GOOGLETRANSLATE(A13773,""en"",""pt"")"),"lixo")</f>
        <v>lixo</v>
      </c>
      <c r="B13773" s="3">
        <v>0</v>
      </c>
    </row>
    <row r="13774" ht="15.75" customHeight="1" spans="1:2">
      <c r="A13774" s="3" t="str">
        <f>IFERROR(__xludf.DUMMYFUNCTION("GOOGLETRANSLATE(A13774,""en"",""pt"")"),"berrante")</f>
        <v>berrante</v>
      </c>
      <c r="B13774" s="3">
        <v>0</v>
      </c>
    </row>
    <row r="13775" ht="15.75" customHeight="1" spans="1:2">
      <c r="A13775" s="3" t="str">
        <f>IFERROR(__xludf.DUMMYFUNCTION("GOOGLETRANSLATE(A13775,""en"",""pt"")"),"suspiro")</f>
        <v>suspiro</v>
      </c>
      <c r="B13775" s="3">
        <v>0</v>
      </c>
    </row>
    <row r="13776" ht="15.75" customHeight="1" spans="1:2">
      <c r="A13776" s="3" t="str">
        <f>IFERROR(__xludf.DUMMYFUNCTION("GOOGLETRANSLATE(A13776,""en"",""pt"")"),"acanhado")</f>
        <v>acanhado</v>
      </c>
      <c r="B13776" s="3">
        <v>0</v>
      </c>
    </row>
    <row r="13777" ht="15.75" customHeight="1" spans="1:2">
      <c r="A13777" s="3" t="str">
        <f>IFERROR(__xludf.DUMMYFUNCTION("GOOGLETRANSLATE(A13777,""en"",""pt"")"),"berrante")</f>
        <v>berrante</v>
      </c>
      <c r="B13777" s="3">
        <v>0</v>
      </c>
    </row>
    <row r="13778" ht="15.75" customHeight="1" spans="1:2">
      <c r="A13778" s="3" t="str">
        <f>IFERROR(__xludf.DUMMYFUNCTION("GOOGLETRANSLATE(A13778,""en"",""pt"")"),"gawk")</f>
        <v>gawk</v>
      </c>
      <c r="B13778" s="3">
        <v>0</v>
      </c>
    </row>
    <row r="13779" ht="15.75" customHeight="1" spans="1:2">
      <c r="A13779" s="3" t="str">
        <f>IFERROR(__xludf.DUMMYFUNCTION("GOOGLETRANSLATE(A13779,""en"",""pt"")"),"desajeitado")</f>
        <v>desajeitado</v>
      </c>
      <c r="B13779" s="3">
        <v>0</v>
      </c>
    </row>
    <row r="13780" ht="15.75" customHeight="1" spans="1:2">
      <c r="A13780" s="3" t="str">
        <f>IFERROR(__xludf.DUMMYFUNCTION("GOOGLETRANSLATE(A13780,""en"",""pt"")"),"velhote")</f>
        <v>velhote</v>
      </c>
      <c r="B13780" s="3">
        <v>0</v>
      </c>
    </row>
    <row r="13781" ht="15.75" customHeight="1" spans="1:2">
      <c r="A13781" s="3" t="str">
        <f>IFERROR(__xludf.DUMMYFUNCTION("GOOGLETRANSLATE(A13781,""en"",""pt"")"),"genocídio")</f>
        <v>genocídio</v>
      </c>
      <c r="B13781" s="3">
        <v>0</v>
      </c>
    </row>
    <row r="13782" ht="15.75" customHeight="1" spans="1:2">
      <c r="A13782" s="3" t="str">
        <f>IFERROR(__xludf.DUMMYFUNCTION("GOOGLETRANSLATE(A13782,""en"",""pt"")"),"ficar rico")</f>
        <v>ficar rico</v>
      </c>
      <c r="B13782" s="3">
        <v>0</v>
      </c>
    </row>
    <row r="13783" ht="15.75" customHeight="1" spans="1:2">
      <c r="A13783" s="3" t="str">
        <f>IFERROR(__xludf.DUMMYFUNCTION("GOOGLETRANSLATE(A13783,""en"",""pt"")"),"medonho")</f>
        <v>medonho</v>
      </c>
      <c r="B13783" s="3">
        <v>0</v>
      </c>
    </row>
    <row r="13784" ht="15.75" customHeight="1" spans="1:2">
      <c r="A13784" s="3" t="str">
        <f>IFERROR(__xludf.DUMMYFUNCTION("GOOGLETRANSLATE(A13784,""en"",""pt"")"),"gueto")</f>
        <v>gueto</v>
      </c>
      <c r="B13784" s="3">
        <v>0</v>
      </c>
    </row>
    <row r="13785" ht="15.75" customHeight="1" spans="1:2">
      <c r="A13785" s="3" t="str">
        <f>IFERROR(__xludf.DUMMYFUNCTION("GOOGLETRANSLATE(A13785,""en"",""pt"")"),"ghosting")</f>
        <v>ghosting</v>
      </c>
      <c r="B13785" s="3">
        <v>0</v>
      </c>
    </row>
    <row r="13786" ht="15.75" customHeight="1" spans="1:2">
      <c r="A13786" s="3" t="str">
        <f>IFERROR(__xludf.DUMMYFUNCTION("GOOGLETRANSLATE(A13786,""en"",""pt"")"),"algaravia")</f>
        <v>algaravia</v>
      </c>
      <c r="B13786" s="3">
        <v>0</v>
      </c>
    </row>
    <row r="13787" ht="15.75" customHeight="1" spans="1:2">
      <c r="A13787" s="3" t="str">
        <f>IFERROR(__xludf.DUMMYFUNCTION("GOOGLETRANSLATE(A13787,""en"",""pt"")"),"jargão")</f>
        <v>jargão</v>
      </c>
      <c r="B13787" s="3">
        <v>0</v>
      </c>
    </row>
    <row r="13788" ht="15.75" customHeight="1" spans="1:2">
      <c r="A13788" s="3" t="str">
        <f>IFERROR(__xludf.DUMMYFUNCTION("GOOGLETRANSLATE(A13788,""en"",""pt"")"),"escárnio")</f>
        <v>escárnio</v>
      </c>
      <c r="B13788" s="3">
        <v>0</v>
      </c>
    </row>
    <row r="13789" ht="15.75" customHeight="1" spans="1:2">
      <c r="A13789" s="3" t="str">
        <f>IFERROR(__xludf.DUMMYFUNCTION("GOOGLETRANSLATE(A13789,""en"",""pt"")"),"vertiginoso")</f>
        <v>vertiginoso</v>
      </c>
      <c r="B13789" s="3">
        <v>0</v>
      </c>
    </row>
    <row r="13790" ht="15.75" customHeight="1" spans="1:2">
      <c r="A13790" s="3" t="str">
        <f>IFERROR(__xludf.DUMMYFUNCTION("GOOGLETRANSLATE(A13790,""en"",""pt"")"),"artifício")</f>
        <v>artifício</v>
      </c>
      <c r="B13790" s="3">
        <v>0</v>
      </c>
    </row>
    <row r="13791" ht="15.75" customHeight="1" spans="1:2">
      <c r="A13791" s="3" t="str">
        <f>IFERROR(__xludf.DUMMYFUNCTION("GOOGLETRANSLATE(A13791,""en"",""pt"")"),"gimmicked")</f>
        <v>gimmicked</v>
      </c>
      <c r="B13791" s="3">
        <v>0</v>
      </c>
    </row>
    <row r="13792" ht="15.75" customHeight="1" spans="1:2">
      <c r="A13792" s="3" t="str">
        <f>IFERROR(__xludf.DUMMYFUNCTION("GOOGLETRANSLATE(A13792,""en"",""pt"")"),"gimmicking")</f>
        <v>gimmicking</v>
      </c>
      <c r="B13792" s="3">
        <v>0</v>
      </c>
    </row>
    <row r="13793" ht="15.75" customHeight="1" spans="1:2">
      <c r="A13793" s="3" t="str">
        <f>IFERROR(__xludf.DUMMYFUNCTION("GOOGLETRANSLATE(A13793,""en"",""pt"")"),"gimmicks")</f>
        <v>gimmicks</v>
      </c>
      <c r="B13793" s="3">
        <v>0</v>
      </c>
    </row>
    <row r="13794" ht="15.75" customHeight="1" spans="1:2">
      <c r="A13794" s="3" t="str">
        <f>IFERROR(__xludf.DUMMYFUNCTION("GOOGLETRANSLATE(A13794,""en"",""pt"")"),"enigmático")</f>
        <v>enigmático</v>
      </c>
      <c r="B13794" s="3">
        <v>0</v>
      </c>
    </row>
    <row r="13795" ht="15.75" customHeight="1" spans="1:2">
      <c r="A13795" s="3" t="str">
        <f>IFERROR(__xludf.DUMMYFUNCTION("GOOGLETRANSLATE(A13795,""en"",""pt"")"),"brilho intenso")</f>
        <v>brilho intenso</v>
      </c>
      <c r="B13795" s="3">
        <v>0</v>
      </c>
    </row>
    <row r="13796" ht="15.75" customHeight="1" spans="1:2">
      <c r="A13796" s="3" t="str">
        <f>IFERROR(__xludf.DUMMYFUNCTION("GOOGLETRANSLATE(A13796,""en"",""pt"")"),"notoriamente")</f>
        <v>notoriamente</v>
      </c>
      <c r="B13796" s="3">
        <v>0</v>
      </c>
    </row>
    <row r="13797" ht="15.75" customHeight="1" spans="1:2">
      <c r="A13797" s="3" t="str">
        <f>IFERROR(__xludf.DUMMYFUNCTION("GOOGLETRANSLATE(A13797,""en"",""pt"")"),"loquaz")</f>
        <v>loquaz</v>
      </c>
      <c r="B13797" s="3">
        <v>0</v>
      </c>
    </row>
    <row r="13798" ht="15.75" customHeight="1" spans="1:2">
      <c r="A13798" s="3" t="str">
        <f>IFERROR(__xludf.DUMMYFUNCTION("GOOGLETRANSLATE(A13798,""en"",""pt"")"),"fluentemente")</f>
        <v>fluentemente</v>
      </c>
      <c r="B13798" s="3">
        <v>0</v>
      </c>
    </row>
    <row r="13799" ht="15.75" customHeight="1" spans="1:2">
      <c r="A13799" s="3" t="str">
        <f>IFERROR(__xludf.DUMMYFUNCTION("GOOGLETRANSLATE(A13799,""en"",""pt"")"),"falha")</f>
        <v>falha</v>
      </c>
      <c r="B13799" s="3">
        <v>0</v>
      </c>
    </row>
    <row r="13800" ht="15.75" customHeight="1" spans="1:2">
      <c r="A13800" s="3" t="str">
        <f>IFERROR(__xludf.DUMMYFUNCTION("GOOGLETRANSLATE(A13800,""en"",""pt"")"),"falhas")</f>
        <v>falhas</v>
      </c>
      <c r="B13800" s="3">
        <v>0</v>
      </c>
    </row>
    <row r="13801" ht="15.75" customHeight="1" spans="1:2">
      <c r="A13801" s="3" t="str">
        <f>IFERROR(__xludf.DUMMYFUNCTION("GOOGLETRANSLATE(A13801,""en"",""pt"")"),"maldosamente")</f>
        <v>maldosamente</v>
      </c>
      <c r="B13801" s="3">
        <v>0</v>
      </c>
    </row>
    <row r="13802" ht="15.75" customHeight="1" spans="1:2">
      <c r="A13802" s="3" t="str">
        <f>IFERROR(__xludf.DUMMYFUNCTION("GOOGLETRANSLATE(A13802,""en"",""pt"")"),"melancolia")</f>
        <v>melancolia</v>
      </c>
      <c r="B13802" s="3">
        <v>0</v>
      </c>
    </row>
    <row r="13803" ht="15.75" customHeight="1" spans="1:2">
      <c r="A13803" s="3" t="str">
        <f>IFERROR(__xludf.DUMMYFUNCTION("GOOGLETRANSLATE(A13803,""en"",""pt"")"),"sombrio")</f>
        <v>sombrio</v>
      </c>
      <c r="B13803" s="3">
        <v>0</v>
      </c>
    </row>
    <row r="13804" ht="15.75" customHeight="1" spans="1:2">
      <c r="A13804" s="3" t="str">
        <f>IFERROR(__xludf.DUMMYFUNCTION("GOOGLETRANSLATE(A13804,""en"",""pt"")"),"glower")</f>
        <v>glower</v>
      </c>
      <c r="B13804" s="3">
        <v>0</v>
      </c>
    </row>
    <row r="13805" ht="15.75" customHeight="1" spans="1:2">
      <c r="A13805" s="3" t="str">
        <f>IFERROR(__xludf.DUMMYFUNCTION("GOOGLETRANSLATE(A13805,""en"",""pt"")"),"carrancudo")</f>
        <v>carrancudo</v>
      </c>
      <c r="B13805" s="3">
        <v>0</v>
      </c>
    </row>
    <row r="13806" ht="15.75" customHeight="1" spans="1:2">
      <c r="A13806" s="3" t="str">
        <f>IFERROR(__xludf.DUMMYFUNCTION("GOOGLETRANSLATE(A13806,""en"",""pt"")"),"excesso")</f>
        <v>excesso</v>
      </c>
      <c r="B13806" s="3">
        <v>0</v>
      </c>
    </row>
    <row r="13807" ht="15.75" customHeight="1" spans="1:2">
      <c r="A13807" s="3" t="str">
        <f>IFERROR(__xludf.DUMMYFUNCTION("GOOGLETRANSLATE(A13807,""en"",""pt"")"),"roer")</f>
        <v>roer</v>
      </c>
      <c r="B13807" s="3">
        <v>0</v>
      </c>
    </row>
    <row r="13808" ht="15.75" customHeight="1" spans="1:2">
      <c r="A13808" s="3" t="str">
        <f>IFERROR(__xludf.DUMMYFUNCTION("GOOGLETRANSLATE(A13808,""en"",""pt"")"),"incitar")</f>
        <v>incitar</v>
      </c>
      <c r="B13808" s="3">
        <v>0</v>
      </c>
    </row>
    <row r="13809" ht="15.75" customHeight="1" spans="1:2">
      <c r="A13809" s="3" t="str">
        <f>IFERROR(__xludf.DUMMYFUNCTION("GOOGLETRANSLATE(A13809,""en"",""pt"")"),"goading")</f>
        <v>goading</v>
      </c>
      <c r="B13809" s="3">
        <v>0</v>
      </c>
    </row>
    <row r="13810" ht="15.75" customHeight="1" spans="1:2">
      <c r="A13810" s="3" t="str">
        <f>IFERROR(__xludf.DUMMYFUNCTION("GOOGLETRANSLATE(A13810,""en"",""pt"")"),"horrível")</f>
        <v>horrível</v>
      </c>
      <c r="B13810" s="3">
        <v>0</v>
      </c>
    </row>
    <row r="13811" ht="15.75" customHeight="1" spans="1:2">
      <c r="A13811" s="3" t="str">
        <f>IFERROR(__xludf.DUMMYFUNCTION("GOOGLETRANSLATE(A13811,""en"",""pt"")"),"pateta")</f>
        <v>pateta</v>
      </c>
      <c r="B13811" s="3">
        <v>0</v>
      </c>
    </row>
    <row r="13812" ht="15.75" customHeight="1" spans="1:2">
      <c r="A13812" s="3" t="str">
        <f>IFERROR(__xludf.DUMMYFUNCTION("GOOGLETRANSLATE(A13812,""en"",""pt"")"),"pateta")</f>
        <v>pateta</v>
      </c>
      <c r="B13812" s="3">
        <v>0</v>
      </c>
    </row>
    <row r="13813" ht="15.75" customHeight="1" spans="1:2">
      <c r="A13813" s="3" t="str">
        <f>IFERROR(__xludf.DUMMYFUNCTION("GOOGLETRANSLATE(A13813,""en"",""pt"")"),"continue")</f>
        <v>continue</v>
      </c>
      <c r="B13813" s="3">
        <v>0</v>
      </c>
    </row>
    <row r="13814" ht="15.75" customHeight="1" spans="1:2">
      <c r="A13814" s="3" t="str">
        <f>IFERROR(__xludf.DUMMYFUNCTION("GOOGLETRANSLATE(A13814,""en"",""pt"")"),"fofoca")</f>
        <v>fofoca</v>
      </c>
      <c r="B13814" s="3">
        <v>0</v>
      </c>
    </row>
    <row r="13815" ht="15.75" customHeight="1" spans="1:2">
      <c r="A13815" s="3" t="str">
        <f>IFERROR(__xludf.DUMMYFUNCTION("GOOGLETRANSLATE(A13815,""en"",""pt"")"),"sem graça")</f>
        <v>sem graça</v>
      </c>
      <c r="B13815" s="3">
        <v>0</v>
      </c>
    </row>
    <row r="13816" ht="15.75" customHeight="1" spans="1:2">
      <c r="A13816" s="3" t="str">
        <f>IFERROR(__xludf.DUMMYFUNCTION("GOOGLETRANSLATE(A13816,""en"",""pt"")"),"gracelessly")</f>
        <v>gracelessly</v>
      </c>
      <c r="B13816" s="3">
        <v>0</v>
      </c>
    </row>
    <row r="13817" ht="15.75" customHeight="1" spans="1:2">
      <c r="A13817" s="3" t="str">
        <f>IFERROR(__xludf.DUMMYFUNCTION("GOOGLETRANSLATE(A13817,""en"",""pt"")"),"enxerto")</f>
        <v>enxerto</v>
      </c>
      <c r="B13817" s="3">
        <v>0</v>
      </c>
    </row>
    <row r="13818" ht="15.75" customHeight="1" spans="1:2">
      <c r="A13818" s="3" t="str">
        <f>IFERROR(__xludf.DUMMYFUNCTION("GOOGLETRANSLATE(A13818,""en"",""pt"")"),"granulado")</f>
        <v>granulado</v>
      </c>
      <c r="B13818" s="3">
        <v>0</v>
      </c>
    </row>
    <row r="13819" ht="15.75" customHeight="1" spans="1:2">
      <c r="A13819" s="3" t="str">
        <f>IFERROR(__xludf.DUMMYFUNCTION("GOOGLETRANSLATE(A13819,""en"",""pt"")"),"grapple")</f>
        <v>grapple</v>
      </c>
      <c r="B13819" s="3">
        <v>0</v>
      </c>
    </row>
    <row r="13820" ht="15.75" customHeight="1" spans="1:2">
      <c r="A13820" s="3" t="str">
        <f>IFERROR(__xludf.DUMMYFUNCTION("GOOGLETRANSLATE(A13820,""en"",""pt"")"),"grato")</f>
        <v>grato</v>
      </c>
      <c r="B13820" s="3">
        <v>0</v>
      </c>
    </row>
    <row r="13821" ht="15.75" customHeight="1" spans="1:2">
      <c r="A13821" s="3" t="str">
        <f>IFERROR(__xludf.DUMMYFUNCTION("GOOGLETRANSLATE(A13821,""en"",""pt"")"),"grade")</f>
        <v>grade</v>
      </c>
      <c r="B13821" s="3">
        <v>0</v>
      </c>
    </row>
    <row r="13822" ht="15.75" customHeight="1" spans="1:2">
      <c r="A13822" s="3" t="str">
        <f>IFERROR(__xludf.DUMMYFUNCTION("GOOGLETRANSLATE(A13822,""en"",""pt"")"),"gravemente")</f>
        <v>gravemente</v>
      </c>
      <c r="B13822" s="3">
        <v>0</v>
      </c>
    </row>
    <row r="13823" ht="15.75" customHeight="1" spans="1:2">
      <c r="A13823" s="3" t="str">
        <f>IFERROR(__xludf.DUMMYFUNCTION("GOOGLETRANSLATE(A13823,""en"",""pt"")"),"gorduroso")</f>
        <v>gorduroso</v>
      </c>
      <c r="B13823" s="3">
        <v>0</v>
      </c>
    </row>
    <row r="13824" ht="15.75" customHeight="1" spans="1:2">
      <c r="A13824" s="3" t="str">
        <f>IFERROR(__xludf.DUMMYFUNCTION("GOOGLETRANSLATE(A13824,""en"",""pt"")"),"ganância")</f>
        <v>ganância</v>
      </c>
      <c r="B13824" s="3">
        <v>0</v>
      </c>
    </row>
    <row r="13825" ht="15.75" customHeight="1" spans="1:2">
      <c r="A13825" s="3" t="str">
        <f>IFERROR(__xludf.DUMMYFUNCTION("GOOGLETRANSLATE(A13825,""en"",""pt"")"),"ávido")</f>
        <v>ávido</v>
      </c>
      <c r="B13825" s="3">
        <v>0</v>
      </c>
    </row>
    <row r="13826" ht="15.75" customHeight="1" spans="1:2">
      <c r="A13826" s="3" t="str">
        <f>IFERROR(__xludf.DUMMYFUNCTION("GOOGLETRANSLATE(A13826,""en"",""pt"")"),"aflição")</f>
        <v>aflição</v>
      </c>
      <c r="B13826" s="3">
        <v>0</v>
      </c>
    </row>
    <row r="13827" ht="15.75" customHeight="1" spans="1:2">
      <c r="A13827" s="3" t="str">
        <f>IFERROR(__xludf.DUMMYFUNCTION("GOOGLETRANSLATE(A13827,""en"",""pt"")"),"queixa")</f>
        <v>queixa</v>
      </c>
      <c r="B13827" s="3">
        <v>0</v>
      </c>
    </row>
    <row r="13828" ht="15.75" customHeight="1" spans="1:2">
      <c r="A13828" s="3" t="str">
        <f>IFERROR(__xludf.DUMMYFUNCTION("GOOGLETRANSLATE(A13828,""en"",""pt"")"),"queixas")</f>
        <v>queixas</v>
      </c>
      <c r="B13828" s="3">
        <v>0</v>
      </c>
    </row>
    <row r="13829" ht="15.75" customHeight="1" spans="1:2">
      <c r="A13829" s="3" t="str">
        <f>IFERROR(__xludf.DUMMYFUNCTION("GOOGLETRANSLATE(A13829,""en"",""pt"")"),"Grieve")</f>
        <v>Grieve</v>
      </c>
      <c r="B13829" s="3">
        <v>0</v>
      </c>
    </row>
    <row r="13830" ht="15.75" customHeight="1" spans="1:2">
      <c r="A13830" s="3" t="str">
        <f>IFERROR(__xludf.DUMMYFUNCTION("GOOGLETRANSLATE(A13830,""en"",""pt"")"),"luto")</f>
        <v>luto</v>
      </c>
      <c r="B13830" s="3">
        <v>0</v>
      </c>
    </row>
    <row r="13831" ht="15.75" customHeight="1" spans="1:2">
      <c r="A13831" s="3" t="str">
        <f>IFERROR(__xludf.DUMMYFUNCTION("GOOGLETRANSLATE(A13831,""en"",""pt"")"),"grave")</f>
        <v>grave</v>
      </c>
      <c r="B13831" s="3">
        <v>0</v>
      </c>
    </row>
    <row r="13832" ht="15.75" customHeight="1" spans="1:2">
      <c r="A13832" s="3" t="str">
        <f>IFERROR(__xludf.DUMMYFUNCTION("GOOGLETRANSLATE(A13832,""en"",""pt"")"),"gravemente")</f>
        <v>gravemente</v>
      </c>
      <c r="B13832" s="3">
        <v>0</v>
      </c>
    </row>
    <row r="13833" ht="15.75" customHeight="1" spans="1:2">
      <c r="A13833" s="3" t="str">
        <f>IFERROR(__xludf.DUMMYFUNCTION("GOOGLETRANSLATE(A13833,""en"",""pt"")"),"severo")</f>
        <v>severo</v>
      </c>
      <c r="B13833" s="3">
        <v>0</v>
      </c>
    </row>
    <row r="13834" ht="15.75" customHeight="1" spans="1:2">
      <c r="A13834" s="3" t="str">
        <f>IFERROR(__xludf.DUMMYFUNCTION("GOOGLETRANSLATE(A13834,""en"",""pt"")"),"careta")</f>
        <v>careta</v>
      </c>
      <c r="B13834" s="3">
        <v>0</v>
      </c>
    </row>
    <row r="13835" ht="15.75" customHeight="1" spans="1:2">
      <c r="A13835" s="3" t="str">
        <f>IFERROR(__xludf.DUMMYFUNCTION("GOOGLETRANSLATE(A13835,""en"",""pt"")"),"moer")</f>
        <v>moer</v>
      </c>
      <c r="B13835" s="3">
        <v>0</v>
      </c>
    </row>
    <row r="13836" ht="15.75" customHeight="1" spans="1:2">
      <c r="A13836" s="3" t="str">
        <f>IFERROR(__xludf.DUMMYFUNCTION("GOOGLETRANSLATE(A13836,""en"",""pt"")"),"agarramento")</f>
        <v>agarramento</v>
      </c>
      <c r="B13836" s="3">
        <v>0</v>
      </c>
    </row>
    <row r="13837" ht="15.75" customHeight="1" spans="1:2">
      <c r="A13837" s="3" t="str">
        <f>IFERROR(__xludf.DUMMYFUNCTION("GOOGLETRANSLATE(A13837,""en"",""pt"")"),"cólicas")</f>
        <v>cólicas</v>
      </c>
      <c r="B13837" s="3">
        <v>0</v>
      </c>
    </row>
    <row r="13838" ht="15.75" customHeight="1" spans="1:2">
      <c r="A13838" s="3" t="str">
        <f>IFERROR(__xludf.DUMMYFUNCTION("GOOGLETRANSLATE(A13838,""en"",""pt"")"),"macabro")</f>
        <v>macabro</v>
      </c>
      <c r="B13838" s="3">
        <v>0</v>
      </c>
    </row>
    <row r="13839" ht="15.75" customHeight="1" spans="1:2">
      <c r="A13839" s="3" t="str">
        <f>IFERROR(__xludf.DUMMYFUNCTION("GOOGLETRANSLATE(A13839,""en"",""pt"")"),"arenoso")</f>
        <v>arenoso</v>
      </c>
      <c r="B13839" s="3">
        <v>0</v>
      </c>
    </row>
    <row r="13840" ht="15.75" customHeight="1" spans="1:2">
      <c r="A13840" s="3" t="str">
        <f>IFERROR(__xludf.DUMMYFUNCTION("GOOGLETRANSLATE(A13840,""en"",""pt"")"),"Bruto")</f>
        <v>Bruto</v>
      </c>
      <c r="B13840" s="3">
        <v>0</v>
      </c>
    </row>
    <row r="13841" ht="15.75" customHeight="1" spans="1:2">
      <c r="A13841" s="3" t="str">
        <f>IFERROR(__xludf.DUMMYFUNCTION("GOOGLETRANSLATE(A13841,""en"",""pt"")"),"grosseiramente")</f>
        <v>grosseiramente</v>
      </c>
      <c r="B13841" s="3">
        <v>0</v>
      </c>
    </row>
    <row r="13842" ht="15.75" customHeight="1" spans="1:2">
      <c r="A13842" s="3" t="str">
        <f>IFERROR(__xludf.DUMMYFUNCTION("GOOGLETRANSLATE(A13842,""en"",""pt"")"),"grotesco")</f>
        <v>grotesco</v>
      </c>
      <c r="B13842" s="3">
        <v>0</v>
      </c>
    </row>
    <row r="13843" ht="15.75" customHeight="1" spans="1:2">
      <c r="A13843" s="3" t="str">
        <f>IFERROR(__xludf.DUMMYFUNCTION("GOOGLETRANSLATE(A13843,""en"",""pt"")"),"resmungão")</f>
        <v>resmungão</v>
      </c>
      <c r="B13843" s="3">
        <v>0</v>
      </c>
    </row>
    <row r="13844" ht="15.75" customHeight="1" spans="1:2">
      <c r="A13844" s="3" t="str">
        <f>IFERROR(__xludf.DUMMYFUNCTION("GOOGLETRANSLATE(A13844,""en"",""pt"")"),"aborrecido")</f>
        <v>aborrecido</v>
      </c>
      <c r="B13844" s="3">
        <v>0</v>
      </c>
    </row>
    <row r="13845" ht="15.75" customHeight="1" spans="1:2">
      <c r="A13845" s="3" t="str">
        <f>IFERROR(__xludf.DUMMYFUNCTION("GOOGLETRANSLATE(A13845,""en"",""pt"")"),"infundado")</f>
        <v>infundado</v>
      </c>
      <c r="B13845" s="3">
        <v>0</v>
      </c>
    </row>
    <row r="13846" ht="15.75" customHeight="1" spans="1:2">
      <c r="A13846" s="3" t="str">
        <f>IFERROR(__xludf.DUMMYFUNCTION("GOOGLETRANSLATE(A13846,""en"",""pt"")"),"lamentação")</f>
        <v>lamentação</v>
      </c>
      <c r="B13846" s="3">
        <v>0</v>
      </c>
    </row>
    <row r="13847" ht="15.75" customHeight="1" spans="1:2">
      <c r="A13847" s="3" t="str">
        <f>IFERROR(__xludf.DUMMYFUNCTION("GOOGLETRANSLATE(A13847,""en"",""pt"")"),"rosnar")</f>
        <v>rosnar</v>
      </c>
      <c r="B13847" s="3">
        <v>0</v>
      </c>
    </row>
    <row r="13848" ht="15.75" customHeight="1" spans="1:2">
      <c r="A13848" s="3" t="str">
        <f>IFERROR(__xludf.DUMMYFUNCTION("GOOGLETRANSLATE(A13848,""en"",""pt"")"),"rancor")</f>
        <v>rancor</v>
      </c>
      <c r="B13848" s="3">
        <v>0</v>
      </c>
    </row>
    <row r="13849" ht="15.75" customHeight="1" spans="1:2">
      <c r="A13849" s="3" t="str">
        <f>IFERROR(__xludf.DUMMYFUNCTION("GOOGLETRANSLATE(A13849,""en"",""pt"")"),"rancores")</f>
        <v>rancores</v>
      </c>
      <c r="B13849" s="3">
        <v>0</v>
      </c>
    </row>
    <row r="13850" ht="15.75" customHeight="1" spans="1:2">
      <c r="A13850" s="3" t="str">
        <f>IFERROR(__xludf.DUMMYFUNCTION("GOOGLETRANSLATE(A13850,""en"",""pt"")"),"invejoso")</f>
        <v>invejoso</v>
      </c>
      <c r="B13850" s="3">
        <v>0</v>
      </c>
    </row>
    <row r="13851" ht="15.75" customHeight="1" spans="1:2">
      <c r="A13851" s="3" t="str">
        <f>IFERROR(__xludf.DUMMYFUNCTION("GOOGLETRANSLATE(A13851,""en"",""pt"")"),"de má vontade")</f>
        <v>de má vontade</v>
      </c>
      <c r="B13851" s="3">
        <v>0</v>
      </c>
    </row>
    <row r="13852" ht="15.75" customHeight="1" spans="1:2">
      <c r="A13852" s="3" t="str">
        <f>IFERROR(__xludf.DUMMYFUNCTION("GOOGLETRANSLATE(A13852,""en"",""pt"")"),"horrível")</f>
        <v>horrível</v>
      </c>
      <c r="B13852" s="3">
        <v>0</v>
      </c>
    </row>
    <row r="13853" ht="15.75" customHeight="1" spans="1:2">
      <c r="A13853" s="3" t="str">
        <f>IFERROR(__xludf.DUMMYFUNCTION("GOOGLETRANSLATE(A13853,""en"",""pt"")"),"gruesomely")</f>
        <v>gruesomely</v>
      </c>
      <c r="B13853" s="3">
        <v>0</v>
      </c>
    </row>
    <row r="13854" ht="15.75" customHeight="1" spans="1:2">
      <c r="A13854" s="3" t="str">
        <f>IFERROR(__xludf.DUMMYFUNCTION("GOOGLETRANSLATE(A13854,""en"",""pt"")"),"áspero")</f>
        <v>áspero</v>
      </c>
      <c r="B13854" s="3">
        <v>0</v>
      </c>
    </row>
    <row r="13855" ht="15.75" customHeight="1" spans="1:2">
      <c r="A13855" s="3" t="str">
        <f>IFERROR(__xludf.DUMMYFUNCTION("GOOGLETRANSLATE(A13855,""en"",""pt"")"),"resmungar")</f>
        <v>resmungar</v>
      </c>
      <c r="B13855" s="3">
        <v>0</v>
      </c>
    </row>
    <row r="13856" ht="15.75" customHeight="1" spans="1:2">
      <c r="A13856" s="3" t="str">
        <f>IFERROR(__xludf.DUMMYFUNCTION("GOOGLETRANSLATE(A13856,""en"",""pt"")"),"grumpier")</f>
        <v>grumpier</v>
      </c>
      <c r="B13856" s="3">
        <v>0</v>
      </c>
    </row>
    <row r="13857" ht="15.75" customHeight="1" spans="1:2">
      <c r="A13857" s="3" t="str">
        <f>IFERROR(__xludf.DUMMYFUNCTION("GOOGLETRANSLATE(A13857,""en"",""pt"")"),"grumpiest")</f>
        <v>grumpiest</v>
      </c>
      <c r="B13857" s="3">
        <v>0</v>
      </c>
    </row>
    <row r="13858" ht="15.75" customHeight="1" spans="1:2">
      <c r="A13858" s="3" t="str">
        <f>IFERROR(__xludf.DUMMYFUNCTION("GOOGLETRANSLATE(A13858,""en"",""pt"")"),"grumpily")</f>
        <v>grumpily</v>
      </c>
      <c r="B13858" s="3">
        <v>0</v>
      </c>
    </row>
    <row r="13859" ht="15.75" customHeight="1" spans="1:2">
      <c r="A13859" s="3" t="str">
        <f>IFERROR(__xludf.DUMMYFUNCTION("GOOGLETRANSLATE(A13859,""en"",""pt"")"),"grumpish")</f>
        <v>grumpish</v>
      </c>
      <c r="B13859" s="3">
        <v>0</v>
      </c>
    </row>
    <row r="13860" ht="15.75" customHeight="1" spans="1:2">
      <c r="A13860" s="3" t="str">
        <f>IFERROR(__xludf.DUMMYFUNCTION("GOOGLETRANSLATE(A13860,""en"",""pt"")"),"mal humorado")</f>
        <v>mal humorado</v>
      </c>
      <c r="B13860" s="3">
        <v>0</v>
      </c>
    </row>
    <row r="13861" ht="15.75" customHeight="1" spans="1:2">
      <c r="A13861" s="3" t="str">
        <f>IFERROR(__xludf.DUMMYFUNCTION("GOOGLETRANSLATE(A13861,""en"",""pt"")"),"astúcia")</f>
        <v>astúcia</v>
      </c>
      <c r="B13861" s="3">
        <v>0</v>
      </c>
    </row>
    <row r="13862" ht="15.75" customHeight="1" spans="1:2">
      <c r="A13862" s="3" t="str">
        <f>IFERROR(__xludf.DUMMYFUNCTION("GOOGLETRANSLATE(A13862,""en"",""pt"")"),"culpa")</f>
        <v>culpa</v>
      </c>
      <c r="B13862" s="3">
        <v>0</v>
      </c>
    </row>
    <row r="13863" ht="15.75" customHeight="1" spans="1:2">
      <c r="A13863" s="3" t="str">
        <f>IFERROR(__xludf.DUMMYFUNCTION("GOOGLETRANSLATE(A13863,""en"",""pt"")"),"culposamente")</f>
        <v>culposamente</v>
      </c>
      <c r="B13863" s="3">
        <v>0</v>
      </c>
    </row>
    <row r="13864" ht="15.75" customHeight="1" spans="1:2">
      <c r="A13864" s="3" t="str">
        <f>IFERROR(__xludf.DUMMYFUNCTION("GOOGLETRANSLATE(A13864,""en"",""pt"")"),"culpado")</f>
        <v>culpado</v>
      </c>
      <c r="B13864" s="3">
        <v>0</v>
      </c>
    </row>
    <row r="13865" ht="15.75" customHeight="1" spans="1:2">
      <c r="A13865" s="3" t="str">
        <f>IFERROR(__xludf.DUMMYFUNCTION("GOOGLETRANSLATE(A13865,""en"",""pt"")"),"crédulo")</f>
        <v>crédulo</v>
      </c>
      <c r="B13865" s="3">
        <v>0</v>
      </c>
    </row>
    <row r="13866" ht="15.75" customHeight="1" spans="1:2">
      <c r="A13866" s="3" t="str">
        <f>IFERROR(__xludf.DUMMYFUNCTION("GOOGLETRANSLATE(A13866,""en"",""pt"")"),"gutless")</f>
        <v>gutless</v>
      </c>
      <c r="B13866" s="3">
        <v>0</v>
      </c>
    </row>
    <row r="13867" ht="15.75" customHeight="1" spans="1:2">
      <c r="A13867" s="3" t="str">
        <f>IFERROR(__xludf.DUMMYFUNCTION("GOOGLETRANSLATE(A13867,""en"",""pt"")"),"calha")</f>
        <v>calha</v>
      </c>
      <c r="B13867" s="3">
        <v>0</v>
      </c>
    </row>
    <row r="13868" ht="15.75" customHeight="1" spans="1:2">
      <c r="A13868" s="3" t="str">
        <f>IFERROR(__xludf.DUMMYFUNCTION("GOOGLETRANSLATE(A13868,""en"",""pt"")"),"picareta")</f>
        <v>picareta</v>
      </c>
      <c r="B13868" s="3">
        <v>0</v>
      </c>
    </row>
    <row r="13869" ht="15.75" customHeight="1" spans="1:2">
      <c r="A13869" s="3" t="str">
        <f>IFERROR(__xludf.DUMMYFUNCTION("GOOGLETRANSLATE(A13869,""en"",""pt"")"),"hacks")</f>
        <v>hacks</v>
      </c>
      <c r="B13869" s="3">
        <v>0</v>
      </c>
    </row>
    <row r="13870" ht="15.75" customHeight="1" spans="1:2">
      <c r="A13870" s="3" t="str">
        <f>IFERROR(__xludf.DUMMYFUNCTION("GOOGLETRANSLATE(A13870,""en"",""pt"")"),"desfigurado")</f>
        <v>desfigurado</v>
      </c>
      <c r="B13870" s="3">
        <v>0</v>
      </c>
    </row>
    <row r="13871" ht="15.75" customHeight="1" spans="1:2">
      <c r="A13871" s="3" t="str">
        <f>IFERROR(__xludf.DUMMYFUNCTION("GOOGLETRANSLATE(A13871,""en"",""pt"")"),"pechinchar")</f>
        <v>pechinchar</v>
      </c>
      <c r="B13871" s="3">
        <v>0</v>
      </c>
    </row>
    <row r="13872" ht="15.75" customHeight="1" spans="1:2">
      <c r="A13872" s="3" t="str">
        <f>IFERROR(__xludf.DUMMYFUNCTION("GOOGLETRANSLATE(A13872,""en"",""pt"")"),"perda de cabelo")</f>
        <v>perda de cabelo</v>
      </c>
      <c r="B13872" s="3">
        <v>0</v>
      </c>
    </row>
    <row r="13873" ht="15.75" customHeight="1" spans="1:2">
      <c r="A13873" s="3" t="str">
        <f>IFERROR(__xludf.DUMMYFUNCTION("GOOGLETRANSLATE(A13873,""en"",""pt"")"),"halfhearted")</f>
        <v>halfhearted</v>
      </c>
      <c r="B13873" s="3">
        <v>0</v>
      </c>
    </row>
    <row r="13874" ht="15.75" customHeight="1" spans="1:2">
      <c r="A13874" s="3" t="str">
        <f>IFERROR(__xludf.DUMMYFUNCTION("GOOGLETRANSLATE(A13874,""en"",""pt"")"),"halfheartedly")</f>
        <v>halfheartedly</v>
      </c>
      <c r="B13874" s="3">
        <v>0</v>
      </c>
    </row>
    <row r="13875" ht="15.75" customHeight="1" spans="1:2">
      <c r="A13875" s="3" t="str">
        <f>IFERROR(__xludf.DUMMYFUNCTION("GOOGLETRANSLATE(A13875,""en"",""pt"")"),"alucinar")</f>
        <v>alucinar</v>
      </c>
      <c r="B13875" s="3">
        <v>0</v>
      </c>
    </row>
    <row r="13876" ht="15.75" customHeight="1" spans="1:2">
      <c r="A13876" s="3" t="str">
        <f>IFERROR(__xludf.DUMMYFUNCTION("GOOGLETRANSLATE(A13876,""en"",""pt"")"),"alucinação")</f>
        <v>alucinação</v>
      </c>
      <c r="B13876" s="3">
        <v>0</v>
      </c>
    </row>
    <row r="13877" ht="15.75" customHeight="1" spans="1:2">
      <c r="A13877" s="3" t="str">
        <f>IFERROR(__xludf.DUMMYFUNCTION("GOOGLETRANSLATE(A13877,""en"",""pt"")"),"cesto")</f>
        <v>cesto</v>
      </c>
      <c r="B13877" s="3">
        <v>0</v>
      </c>
    </row>
    <row r="13878" ht="15.75" customHeight="1" spans="1:2">
      <c r="A13878" s="3" t="str">
        <f>IFERROR(__xludf.DUMMYFUNCTION("GOOGLETRANSLATE(A13878,""en"",""pt"")"),"dificultada")</f>
        <v>dificultada</v>
      </c>
      <c r="B13878" s="3">
        <v>0</v>
      </c>
    </row>
    <row r="13879" ht="15.75" customHeight="1" spans="1:2">
      <c r="A13879" s="3" t="str">
        <f>IFERROR(__xludf.DUMMYFUNCTION("GOOGLETRANSLATE(A13879,""en"",""pt"")"),"deficientes")</f>
        <v>deficientes</v>
      </c>
      <c r="B13879" s="3">
        <v>0</v>
      </c>
    </row>
    <row r="13880" ht="15.75" customHeight="1" spans="1:2">
      <c r="A13880" s="3" t="str">
        <f>IFERROR(__xludf.DUMMYFUNCTION("GOOGLETRANSLATE(A13880,""en"",""pt"")"),"aguentar")</f>
        <v>aguentar</v>
      </c>
      <c r="B13880" s="3">
        <v>0</v>
      </c>
    </row>
    <row r="13881" ht="15.75" customHeight="1" spans="1:2">
      <c r="A13881" s="3" t="str">
        <f>IFERROR(__xludf.DUMMYFUNCTION("GOOGLETRANSLATE(A13881,""en"",""pt"")"),"trava")</f>
        <v>trava</v>
      </c>
      <c r="B13881" s="3">
        <v>0</v>
      </c>
    </row>
    <row r="13882" ht="15.75" customHeight="1" spans="1:2">
      <c r="A13882" s="3" t="str">
        <f>IFERROR(__xludf.DUMMYFUNCTION("GOOGLETRANSLATE(A13882,""en"",""pt"")"),"casual")</f>
        <v>casual</v>
      </c>
      <c r="B13882" s="3">
        <v>0</v>
      </c>
    </row>
    <row r="13883" ht="15.75" customHeight="1" spans="1:2">
      <c r="A13883" s="3" t="str">
        <f>IFERROR(__xludf.DUMMYFUNCTION("GOOGLETRANSLATE(A13883,""en"",""pt"")"),"infeliz")</f>
        <v>infeliz</v>
      </c>
      <c r="B13883" s="3">
        <v>0</v>
      </c>
    </row>
    <row r="13884" ht="15.75" customHeight="1" spans="1:2">
      <c r="A13884" s="3" t="str">
        <f>IFERROR(__xludf.DUMMYFUNCTION("GOOGLETRANSLATE(A13884,""en"",""pt"")"),"arenga")</f>
        <v>arenga</v>
      </c>
      <c r="B13884" s="3">
        <v>0</v>
      </c>
    </row>
    <row r="13885" ht="15.75" customHeight="1" spans="1:2">
      <c r="A13885" s="3" t="str">
        <f>IFERROR(__xludf.DUMMYFUNCTION("GOOGLETRANSLATE(A13885,""en"",""pt"")"),"assediar")</f>
        <v>assediar</v>
      </c>
      <c r="B13885" s="3">
        <v>0</v>
      </c>
    </row>
    <row r="13886" ht="15.75" customHeight="1" spans="1:2">
      <c r="A13886" s="3" t="str">
        <f>IFERROR(__xludf.DUMMYFUNCTION("GOOGLETRANSLATE(A13886,""en"",""pt"")"),"assediado")</f>
        <v>assediado</v>
      </c>
      <c r="B13886" s="3">
        <v>0</v>
      </c>
    </row>
    <row r="13887" ht="15.75" customHeight="1" spans="1:2">
      <c r="A13887" s="3" t="str">
        <f>IFERROR(__xludf.DUMMYFUNCTION("GOOGLETRANSLATE(A13887,""en"",""pt"")"),"harasses")</f>
        <v>harasses</v>
      </c>
      <c r="B13887" s="3">
        <v>0</v>
      </c>
    </row>
    <row r="13888" ht="15.75" customHeight="1" spans="1:2">
      <c r="A13888" s="3" t="str">
        <f>IFERROR(__xludf.DUMMYFUNCTION("GOOGLETRANSLATE(A13888,""en"",""pt"")"),"assédio")</f>
        <v>assédio</v>
      </c>
      <c r="B13888" s="3">
        <v>0</v>
      </c>
    </row>
    <row r="13889" ht="15.75" customHeight="1" spans="1:2">
      <c r="A13889" s="3" t="str">
        <f>IFERROR(__xludf.DUMMYFUNCTION("GOOGLETRANSLATE(A13889,""en"",""pt"")"),"abrigando")</f>
        <v>abrigando</v>
      </c>
      <c r="B13889" s="3">
        <v>0</v>
      </c>
    </row>
    <row r="13890" ht="15.75" customHeight="1" spans="1:2">
      <c r="A13890" s="3" t="str">
        <f>IFERROR(__xludf.DUMMYFUNCTION("GOOGLETRANSLATE(A13890,""en"",""pt"")"),"portos")</f>
        <v>portos</v>
      </c>
      <c r="B13890" s="3">
        <v>0</v>
      </c>
    </row>
    <row r="13891" ht="15.75" customHeight="1" spans="1:2">
      <c r="A13891" s="3" t="str">
        <f>IFERROR(__xludf.DUMMYFUNCTION("GOOGLETRANSLATE(A13891,""en"",""pt"")"),"Difícil")</f>
        <v>Difícil</v>
      </c>
      <c r="B13891" s="3">
        <v>0</v>
      </c>
    </row>
    <row r="13892" ht="15.75" customHeight="1" spans="1:2">
      <c r="A13892" s="3" t="str">
        <f>IFERROR(__xludf.DUMMYFUNCTION("GOOGLETRANSLATE(A13892,""en"",""pt"")"),"golpe duro")</f>
        <v>golpe duro</v>
      </c>
      <c r="B13892" s="3">
        <v>0</v>
      </c>
    </row>
    <row r="13893" ht="15.75" customHeight="1" spans="1:2">
      <c r="A13893" s="3" t="str">
        <f>IFERROR(__xludf.DUMMYFUNCTION("GOOGLETRANSLATE(A13893,""en"",""pt"")"),"linha-dura")</f>
        <v>linha-dura</v>
      </c>
      <c r="B13893" s="3">
        <v>0</v>
      </c>
    </row>
    <row r="13894" ht="15.75" customHeight="1" spans="1:2">
      <c r="A13894" s="3" t="str">
        <f>IFERROR(__xludf.DUMMYFUNCTION("GOOGLETRANSLATE(A13894,""en"",""pt"")"),"Conservador de linha dura")</f>
        <v>Conservador de linha dura</v>
      </c>
      <c r="B13894" s="3">
        <v>0</v>
      </c>
    </row>
    <row r="13895" ht="15.75" customHeight="1" spans="1:2">
      <c r="A13895" s="3" t="str">
        <f>IFERROR(__xludf.DUMMYFUNCTION("GOOGLETRANSLATE(A13895,""en"",""pt"")"),"hardball")</f>
        <v>hardball</v>
      </c>
      <c r="B13895" s="3">
        <v>0</v>
      </c>
    </row>
    <row r="13896" ht="15.75" customHeight="1" spans="1:2">
      <c r="A13896" s="3" t="str">
        <f>IFERROR(__xludf.DUMMYFUNCTION("GOOGLETRANSLATE(A13896,""en"",""pt"")"),"endurecer")</f>
        <v>endurecer</v>
      </c>
      <c r="B13896" s="3">
        <v>0</v>
      </c>
    </row>
    <row r="13897" ht="15.75" customHeight="1" spans="1:2">
      <c r="A13897" s="3" t="str">
        <f>IFERROR(__xludf.DUMMYFUNCTION("GOOGLETRANSLATE(A13897,""en"",""pt"")"),"endurecido")</f>
        <v>endurecido</v>
      </c>
      <c r="B13897" s="3">
        <v>0</v>
      </c>
    </row>
    <row r="13898" ht="15.75" customHeight="1" spans="1:2">
      <c r="A13898" s="3" t="str">
        <f>IFERROR(__xludf.DUMMYFUNCTION("GOOGLETRANSLATE(A13898,""en"",""pt"")"),"hardheaded")</f>
        <v>hardheaded</v>
      </c>
      <c r="B13898" s="3">
        <v>0</v>
      </c>
    </row>
    <row r="13899" ht="15.75" customHeight="1" spans="1:2">
      <c r="A13899" s="3" t="str">
        <f>IFERROR(__xludf.DUMMYFUNCTION("GOOGLETRANSLATE(A13899,""en"",""pt"")"),"hardhearted")</f>
        <v>hardhearted</v>
      </c>
      <c r="B13899" s="3">
        <v>0</v>
      </c>
    </row>
    <row r="13900" ht="15.75" customHeight="1" spans="1:2">
      <c r="A13900" s="3" t="str">
        <f>IFERROR(__xludf.DUMMYFUNCTION("GOOGLETRANSLATE(A13900,""en"",""pt"")"),"hardliner")</f>
        <v>hardliner</v>
      </c>
      <c r="B13900" s="3">
        <v>0</v>
      </c>
    </row>
    <row r="13901" ht="15.75" customHeight="1" spans="1:2">
      <c r="A13901" s="3" t="str">
        <f>IFERROR(__xludf.DUMMYFUNCTION("GOOGLETRANSLATE(A13901,""en"",""pt"")"),"linha dura")</f>
        <v>linha dura</v>
      </c>
      <c r="B13901" s="3">
        <v>0</v>
      </c>
    </row>
    <row r="13902" ht="15.75" customHeight="1" spans="1:2">
      <c r="A13902" s="3" t="str">
        <f>IFERROR(__xludf.DUMMYFUNCTION("GOOGLETRANSLATE(A13902,""en"",""pt"")"),"dificuldade")</f>
        <v>dificuldade</v>
      </c>
      <c r="B13902" s="3">
        <v>0</v>
      </c>
    </row>
    <row r="13903" ht="15.75" customHeight="1" spans="1:2">
      <c r="A13903" s="3" t="str">
        <f>IFERROR(__xludf.DUMMYFUNCTION("GOOGLETRANSLATE(A13903,""en"",""pt"")"),"dificuldades")</f>
        <v>dificuldades</v>
      </c>
      <c r="B13903" s="3">
        <v>0</v>
      </c>
    </row>
    <row r="13904" ht="15.75" customHeight="1" spans="1:2">
      <c r="A13904" s="3" t="str">
        <f>IFERROR(__xludf.DUMMYFUNCTION("GOOGLETRANSLATE(A13904,""en"",""pt"")"),"prejuízo")</f>
        <v>prejuízo</v>
      </c>
      <c r="B13904" s="3">
        <v>0</v>
      </c>
    </row>
    <row r="13905" ht="15.75" customHeight="1" spans="1:2">
      <c r="A13905" s="3" t="str">
        <f>IFERROR(__xludf.DUMMYFUNCTION("GOOGLETRANSLATE(A13905,""en"",""pt"")"),"prejudicado")</f>
        <v>prejudicado</v>
      </c>
      <c r="B13905" s="3">
        <v>0</v>
      </c>
    </row>
    <row r="13906" ht="15.75" customHeight="1" spans="1:2">
      <c r="A13906" s="3" t="str">
        <f>IFERROR(__xludf.DUMMYFUNCTION("GOOGLETRANSLATE(A13906,""en"",""pt"")"),"prejudicial")</f>
        <v>prejudicial</v>
      </c>
      <c r="B13906" s="3">
        <v>0</v>
      </c>
    </row>
    <row r="13907" ht="15.75" customHeight="1" spans="1:2">
      <c r="A13907" s="3" t="str">
        <f>IFERROR(__xludf.DUMMYFUNCTION("GOOGLETRANSLATE(A13907,""en"",""pt"")"),"prejudica")</f>
        <v>prejudica</v>
      </c>
      <c r="B13907" s="3">
        <v>0</v>
      </c>
    </row>
    <row r="13908" ht="15.75" customHeight="1" spans="1:2">
      <c r="A13908" s="3" t="str">
        <f>IFERROR(__xludf.DUMMYFUNCTION("GOOGLETRANSLATE(A13908,""en"",""pt"")"),"harpia")</f>
        <v>harpia</v>
      </c>
      <c r="B13908" s="3">
        <v>0</v>
      </c>
    </row>
    <row r="13909" ht="15.75" customHeight="1" spans="1:2">
      <c r="A13909" s="3" t="str">
        <f>IFERROR(__xludf.DUMMYFUNCTION("GOOGLETRANSLATE(A13909,""en"",""pt"")"),"bruxa")</f>
        <v>bruxa</v>
      </c>
      <c r="B13909" s="3">
        <v>0</v>
      </c>
    </row>
    <row r="13910" ht="15.75" customHeight="1" spans="1:2">
      <c r="A13910" s="3" t="str">
        <f>IFERROR(__xludf.DUMMYFUNCTION("GOOGLETRANSLATE(A13910,""en"",""pt"")"),"atormentado")</f>
        <v>atormentado</v>
      </c>
      <c r="B13910" s="3">
        <v>0</v>
      </c>
    </row>
    <row r="13911" ht="15.75" customHeight="1" spans="1:2">
      <c r="A13911" s="3" t="str">
        <f>IFERROR(__xludf.DUMMYFUNCTION("GOOGLETRANSLATE(A13911,""en"",""pt"")"),"grade")</f>
        <v>grade</v>
      </c>
      <c r="B13911" s="3">
        <v>0</v>
      </c>
    </row>
    <row r="13912" ht="15.75" customHeight="1" spans="1:2">
      <c r="A13912" s="3" t="str">
        <f>IFERROR(__xludf.DUMMYFUNCTION("GOOGLETRANSLATE(A13912,""en"",""pt"")"),"áspero")</f>
        <v>áspero</v>
      </c>
      <c r="B13912" s="3">
        <v>0</v>
      </c>
    </row>
    <row r="13913" ht="15.75" customHeight="1" spans="1:2">
      <c r="A13913" s="3" t="str">
        <f>IFERROR(__xludf.DUMMYFUNCTION("GOOGLETRANSLATE(A13913,""en"",""pt"")"),"severamente")</f>
        <v>severamente</v>
      </c>
      <c r="B13913" s="3">
        <v>0</v>
      </c>
    </row>
    <row r="13914" ht="15.75" customHeight="1" spans="1:2">
      <c r="A13914" s="3" t="str">
        <f>IFERROR(__xludf.DUMMYFUNCTION("GOOGLETRANSLATE(A13914,""en"",""pt"")"),"hasseling")</f>
        <v>hasseling</v>
      </c>
      <c r="B13914" s="3">
        <v>0</v>
      </c>
    </row>
    <row r="13915" ht="15.75" customHeight="1" spans="1:2">
      <c r="A13915" s="3" t="str">
        <f>IFERROR(__xludf.DUMMYFUNCTION("GOOGLETRANSLATE(A13915,""en"",""pt"")"),"aborrecimento")</f>
        <v>aborrecimento</v>
      </c>
      <c r="B13915" s="3">
        <v>0</v>
      </c>
    </row>
    <row r="13916" ht="15.75" customHeight="1" spans="1:2">
      <c r="A13916" s="3" t="str">
        <f>IFERROR(__xludf.DUMMYFUNCTION("GOOGLETRANSLATE(A13916,""en"",""pt"")"),"incomodada")</f>
        <v>incomodada</v>
      </c>
      <c r="B13916" s="3">
        <v>0</v>
      </c>
    </row>
    <row r="13917" ht="15.75" customHeight="1" spans="1:2">
      <c r="A13917" s="3" t="str">
        <f>IFERROR(__xludf.DUMMYFUNCTION("GOOGLETRANSLATE(A13917,""en"",""pt"")"),"aborrecimentos")</f>
        <v>aborrecimentos</v>
      </c>
      <c r="B13917" s="3">
        <v>0</v>
      </c>
    </row>
    <row r="13918" ht="15.75" customHeight="1" spans="1:2">
      <c r="A13918" s="3" t="str">
        <f>IFERROR(__xludf.DUMMYFUNCTION("GOOGLETRANSLATE(A13918,""en"",""pt"")"),"pressa")</f>
        <v>pressa</v>
      </c>
      <c r="B13918" s="3">
        <v>0</v>
      </c>
    </row>
    <row r="13919" ht="15.75" customHeight="1" spans="1:2">
      <c r="A13919" s="3" t="str">
        <f>IFERROR(__xludf.DUMMYFUNCTION("GOOGLETRANSLATE(A13919,""en"",""pt"")"),"precipitadamente")</f>
        <v>precipitadamente</v>
      </c>
      <c r="B13919" s="3">
        <v>0</v>
      </c>
    </row>
    <row r="13920" ht="15.75" customHeight="1" spans="1:2">
      <c r="A13920" s="3" t="str">
        <f>IFERROR(__xludf.DUMMYFUNCTION("GOOGLETRANSLATE(A13920,""en"",""pt"")"),"apressado")</f>
        <v>apressado</v>
      </c>
      <c r="B13920" s="3">
        <v>0</v>
      </c>
    </row>
    <row r="13921" ht="15.75" customHeight="1" spans="1:2">
      <c r="A13921" s="3" t="str">
        <f>IFERROR(__xludf.DUMMYFUNCTION("GOOGLETRANSLATE(A13921,""en"",""pt"")"),"ódio")</f>
        <v>ódio</v>
      </c>
      <c r="B13921" s="3">
        <v>0</v>
      </c>
    </row>
    <row r="13922" ht="15.75" customHeight="1" spans="1:2">
      <c r="A13922" s="3" t="str">
        <f>IFERROR(__xludf.DUMMYFUNCTION("GOOGLETRANSLATE(A13922,""en"",""pt"")"),"odiava")</f>
        <v>odiava</v>
      </c>
      <c r="B13922" s="3">
        <v>0</v>
      </c>
    </row>
    <row r="13923" ht="15.75" customHeight="1" spans="1:2">
      <c r="A13923" s="3" t="str">
        <f>IFERROR(__xludf.DUMMYFUNCTION("GOOGLETRANSLATE(A13923,""en"",""pt"")"),"odioso")</f>
        <v>odioso</v>
      </c>
      <c r="B13923" s="3">
        <v>0</v>
      </c>
    </row>
    <row r="13924" ht="15.75" customHeight="1" spans="1:2">
      <c r="A13924" s="3" t="str">
        <f>IFERROR(__xludf.DUMMYFUNCTION("GOOGLETRANSLATE(A13924,""en"",""pt"")"),"hatefully")</f>
        <v>hatefully</v>
      </c>
      <c r="B13924" s="3">
        <v>0</v>
      </c>
    </row>
    <row r="13925" ht="15.75" customHeight="1" spans="1:2">
      <c r="A13925" s="3" t="str">
        <f>IFERROR(__xludf.DUMMYFUNCTION("GOOGLETRANSLATE(A13925,""en"",""pt"")"),"ódio")</f>
        <v>ódio</v>
      </c>
      <c r="B13925" s="3">
        <v>0</v>
      </c>
    </row>
    <row r="13926" ht="15.75" customHeight="1" spans="1:2">
      <c r="A13926" s="3" t="str">
        <f>IFERROR(__xludf.DUMMYFUNCTION("GOOGLETRANSLATE(A13926,""en"",""pt"")"),"Odiador")</f>
        <v>Odiador</v>
      </c>
      <c r="B13926" s="3">
        <v>0</v>
      </c>
    </row>
    <row r="13927" ht="15.75" customHeight="1" spans="1:2">
      <c r="A13927" s="3" t="str">
        <f>IFERROR(__xludf.DUMMYFUNCTION("GOOGLETRANSLATE(A13927,""en"",""pt"")"),"odiadores")</f>
        <v>odiadores</v>
      </c>
      <c r="B13927" s="3">
        <v>0</v>
      </c>
    </row>
    <row r="13928" ht="15.75" customHeight="1" spans="1:2">
      <c r="A13928" s="3" t="str">
        <f>IFERROR(__xludf.DUMMYFUNCTION("GOOGLETRANSLATE(A13928,""en"",""pt"")"),"ódios")</f>
        <v>ódios</v>
      </c>
      <c r="B13928" s="3">
        <v>0</v>
      </c>
    </row>
    <row r="13929" ht="15.75" customHeight="1" spans="1:2">
      <c r="A13929" s="3" t="str">
        <f>IFERROR(__xludf.DUMMYFUNCTION("GOOGLETRANSLATE(A13929,""en"",""pt"")"),"odiando")</f>
        <v>odiando</v>
      </c>
      <c r="B13929" s="3">
        <v>0</v>
      </c>
    </row>
    <row r="13930" ht="15.75" customHeight="1" spans="1:2">
      <c r="A13930" s="3" t="str">
        <f>IFERROR(__xludf.DUMMYFUNCTION("GOOGLETRANSLATE(A13930,""en"",""pt"")"),"ódio")</f>
        <v>ódio</v>
      </c>
      <c r="B13930" s="3">
        <v>0</v>
      </c>
    </row>
    <row r="13931" ht="15.75" customHeight="1" spans="1:2">
      <c r="A13931" s="3" t="str">
        <f>IFERROR(__xludf.DUMMYFUNCTION("GOOGLETRANSLATE(A13931,""en"",""pt"")"),"altivamente")</f>
        <v>altivamente</v>
      </c>
      <c r="B13931" s="3">
        <v>0</v>
      </c>
    </row>
    <row r="13932" ht="15.75" customHeight="1" spans="1:2">
      <c r="A13932" s="3" t="str">
        <f>IFERROR(__xludf.DUMMYFUNCTION("GOOGLETRANSLATE(A13932,""en"",""pt"")"),"altivo")</f>
        <v>altivo</v>
      </c>
      <c r="B13932" s="3">
        <v>0</v>
      </c>
    </row>
    <row r="13933" ht="15.75" customHeight="1" spans="1:2">
      <c r="A13933" s="3" t="str">
        <f>IFERROR(__xludf.DUMMYFUNCTION("GOOGLETRANSLATE(A13933,""en"",""pt"")"),"assombro")</f>
        <v>assombro</v>
      </c>
      <c r="B13933" s="3">
        <v>0</v>
      </c>
    </row>
    <row r="13934" ht="15.75" customHeight="1" spans="1:2">
      <c r="A13934" s="3" t="str">
        <f>IFERROR(__xludf.DUMMYFUNCTION("GOOGLETRANSLATE(A13934,""en"",""pt"")"),"assombrando")</f>
        <v>assombrando</v>
      </c>
      <c r="B13934" s="3">
        <v>0</v>
      </c>
    </row>
    <row r="13935" ht="15.75" customHeight="1" spans="1:2">
      <c r="A13935" s="3" t="str">
        <f>IFERROR(__xludf.DUMMYFUNCTION("GOOGLETRANSLATE(A13935,""en"",""pt"")"),"destruição")</f>
        <v>destruição</v>
      </c>
      <c r="B13935" s="3">
        <v>0</v>
      </c>
    </row>
    <row r="13936" ht="15.75" customHeight="1" spans="1:2">
      <c r="A13936" s="3" t="str">
        <f>IFERROR(__xludf.DUMMYFUNCTION("GOOGLETRANSLATE(A13936,""en"",""pt"")"),"hawkish")</f>
        <v>hawkish</v>
      </c>
      <c r="B13936" s="3">
        <v>0</v>
      </c>
    </row>
    <row r="13937" ht="15.75" customHeight="1" spans="1:2">
      <c r="A13937" s="3" t="str">
        <f>IFERROR(__xludf.DUMMYFUNCTION("GOOGLETRANSLATE(A13937,""en"",""pt"")"),"haywire")</f>
        <v>haywire</v>
      </c>
      <c r="B13937" s="3">
        <v>0</v>
      </c>
    </row>
    <row r="13938" ht="15.75" customHeight="1" spans="1:2">
      <c r="A13938" s="3" t="str">
        <f>IFERROR(__xludf.DUMMYFUNCTION("GOOGLETRANSLATE(A13938,""en"",""pt"")"),"perigo")</f>
        <v>perigo</v>
      </c>
      <c r="B13938" s="3">
        <v>0</v>
      </c>
    </row>
    <row r="13939" ht="15.75" customHeight="1" spans="1:2">
      <c r="A13939" s="3" t="str">
        <f>IFERROR(__xludf.DUMMYFUNCTION("GOOGLETRANSLATE(A13939,""en"",""pt"")"),"perigoso")</f>
        <v>perigoso</v>
      </c>
      <c r="B13939" s="3">
        <v>0</v>
      </c>
    </row>
    <row r="13940" ht="15.75" customHeight="1" spans="1:2">
      <c r="A13940" s="3" t="str">
        <f>IFERROR(__xludf.DUMMYFUNCTION("GOOGLETRANSLATE(A13940,""en"",""pt"")"),"neblina")</f>
        <v>neblina</v>
      </c>
      <c r="B13940" s="3">
        <v>0</v>
      </c>
    </row>
    <row r="13941" ht="15.75" customHeight="1" spans="1:2">
      <c r="A13941" s="3" t="str">
        <f>IFERROR(__xludf.DUMMYFUNCTION("GOOGLETRANSLATE(A13941,""en"",""pt"")"),"nebuloso")</f>
        <v>nebuloso</v>
      </c>
      <c r="B13941" s="3">
        <v>0</v>
      </c>
    </row>
    <row r="13942" ht="15.75" customHeight="1" spans="1:2">
      <c r="A13942" s="3" t="str">
        <f>IFERROR(__xludf.DUMMYFUNCTION("GOOGLETRANSLATE(A13942,""en"",""pt"")"),"cabeça-dores")</f>
        <v>cabeça-dores</v>
      </c>
      <c r="B13942" s="3">
        <v>0</v>
      </c>
    </row>
    <row r="13943" ht="15.75" customHeight="1" spans="1:2">
      <c r="A13943" s="3" t="str">
        <f>IFERROR(__xludf.DUMMYFUNCTION("GOOGLETRANSLATE(A13943,""en"",""pt"")"),"dor de cabeça")</f>
        <v>dor de cabeça</v>
      </c>
      <c r="B13943" s="3">
        <v>0</v>
      </c>
    </row>
    <row r="13944" ht="15.75" customHeight="1" spans="1:2">
      <c r="A13944" s="3" t="str">
        <f>IFERROR(__xludf.DUMMYFUNCTION("GOOGLETRANSLATE(A13944,""en"",""pt"")"),"dores de cabeça")</f>
        <v>dores de cabeça</v>
      </c>
      <c r="B13944" s="3">
        <v>0</v>
      </c>
    </row>
    <row r="13945" ht="15.75" customHeight="1" spans="1:2">
      <c r="A13945" s="3" t="str">
        <f>IFERROR(__xludf.DUMMYFUNCTION("GOOGLETRANSLATE(A13945,""en"",""pt"")"),"Destruidor de corações")</f>
        <v>Destruidor de corações</v>
      </c>
      <c r="B13945" s="3">
        <v>0</v>
      </c>
    </row>
    <row r="13946" ht="15.75" customHeight="1" spans="1:2">
      <c r="A13946" s="3" t="str">
        <f>IFERROR(__xludf.DUMMYFUNCTION("GOOGLETRANSLATE(A13946,""en"",""pt"")"),"desolador")</f>
        <v>desolador</v>
      </c>
      <c r="B13946" s="3">
        <v>0</v>
      </c>
    </row>
    <row r="13947" ht="15.75" customHeight="1" spans="1:2">
      <c r="A13947" s="3" t="str">
        <f>IFERROR(__xludf.DUMMYFUNCTION("GOOGLETRANSLATE(A13947,""en"",""pt"")"),"heartbreakingly")</f>
        <v>heartbreakingly</v>
      </c>
      <c r="B13947" s="3">
        <v>0</v>
      </c>
    </row>
    <row r="13948" ht="15.75" customHeight="1" spans="1:2">
      <c r="A13948" s="3" t="str">
        <f>IFERROR(__xludf.DUMMYFUNCTION("GOOGLETRANSLATE(A13948,""en"",""pt"")"),"sem coração")</f>
        <v>sem coração</v>
      </c>
      <c r="B13948" s="3">
        <v>0</v>
      </c>
    </row>
    <row r="13949" ht="15.75" customHeight="1" spans="1:2">
      <c r="A13949" s="3" t="str">
        <f>IFERROR(__xludf.DUMMYFUNCTION("GOOGLETRANSLATE(A13949,""en"",""pt"")"),"pagão")</f>
        <v>pagão</v>
      </c>
      <c r="B13949" s="3">
        <v>0</v>
      </c>
    </row>
    <row r="13950" ht="15.75" customHeight="1" spans="1:2">
      <c r="A13950" s="3" t="str">
        <f>IFERROR(__xludf.DUMMYFUNCTION("GOOGLETRANSLATE(A13950,""en"",""pt"")"),"entregou-pesado")</f>
        <v>entregou-pesado</v>
      </c>
      <c r="B13950" s="3">
        <v>0</v>
      </c>
    </row>
    <row r="13951" ht="15.75" customHeight="1" spans="1:2">
      <c r="A13951" s="3" t="str">
        <f>IFERROR(__xludf.DUMMYFUNCTION("GOOGLETRANSLATE(A13951,""en"",""pt"")"),"coração pesado")</f>
        <v>coração pesado</v>
      </c>
      <c r="B13951" s="3">
        <v>0</v>
      </c>
    </row>
    <row r="13952" ht="15.75" customHeight="1" spans="1:2">
      <c r="A13952" s="3" t="str">
        <f>IFERROR(__xludf.DUMMYFUNCTION("GOOGLETRANSLATE(A13952,""en"",""pt"")"),"Parreira")</f>
        <v>Parreira</v>
      </c>
      <c r="B13952" s="3">
        <v>0</v>
      </c>
    </row>
    <row r="13953" ht="15.75" customHeight="1" spans="1:2">
      <c r="A13953" s="3" t="str">
        <f>IFERROR(__xludf.DUMMYFUNCTION("GOOGLETRANSLATE(A13953,""en"",""pt"")"),"espadelar")</f>
        <v>espadelar</v>
      </c>
      <c r="B13953" s="3">
        <v>0</v>
      </c>
    </row>
    <row r="13954" ht="15.75" customHeight="1" spans="1:2">
      <c r="A13954" s="3" t="str">
        <f>IFERROR(__xludf.DUMMYFUNCTION("GOOGLETRANSLATE(A13954,""en"",""pt"")"),"heckled")</f>
        <v>heckled</v>
      </c>
      <c r="B13954" s="3">
        <v>0</v>
      </c>
    </row>
    <row r="13955" ht="15.75" customHeight="1" spans="1:2">
      <c r="A13955" s="3" t="str">
        <f>IFERROR(__xludf.DUMMYFUNCTION("GOOGLETRANSLATE(A13955,""en"",""pt"")"),"heckles")</f>
        <v>heckles</v>
      </c>
      <c r="B13955" s="3">
        <v>0</v>
      </c>
    </row>
    <row r="13956" ht="15.75" customHeight="1" spans="1:2">
      <c r="A13956" s="3" t="str">
        <f>IFERROR(__xludf.DUMMYFUNCTION("GOOGLETRANSLATE(A13956,""en"",""pt"")"),"agitado")</f>
        <v>agitado</v>
      </c>
      <c r="B13956" s="3">
        <v>0</v>
      </c>
    </row>
    <row r="13957" ht="15.75" customHeight="1" spans="1:2">
      <c r="A13957" s="3" t="str">
        <f>IFERROR(__xludf.DUMMYFUNCTION("GOOGLETRANSLATE(A13957,""en"",""pt"")"),"proteção")</f>
        <v>proteção</v>
      </c>
      <c r="B13957" s="3">
        <v>0</v>
      </c>
    </row>
    <row r="13958" ht="15.75" customHeight="1" spans="1:2">
      <c r="A13958" s="3" t="str">
        <f>IFERROR(__xludf.DUMMYFUNCTION("GOOGLETRANSLATE(A13958,""en"",""pt"")"),"hedonista")</f>
        <v>hedonista</v>
      </c>
      <c r="B13958" s="3">
        <v>0</v>
      </c>
    </row>
    <row r="13959" ht="15.75" customHeight="1" spans="1:2">
      <c r="A13959" s="3" t="str">
        <f>IFERROR(__xludf.DUMMYFUNCTION("GOOGLETRANSLATE(A13959,""en"",""pt"")"),"negligente")</f>
        <v>negligente</v>
      </c>
      <c r="B13959" s="3">
        <v>0</v>
      </c>
    </row>
    <row r="13960" ht="15.75" customHeight="1" spans="1:2">
      <c r="A13960" s="3" t="str">
        <f>IFERROR(__xludf.DUMMYFUNCTION("GOOGLETRANSLATE(A13960,""en"",""pt"")"),"robusto")</f>
        <v>robusto</v>
      </c>
      <c r="B13960" s="3">
        <v>0</v>
      </c>
    </row>
    <row r="13961" ht="15.75" customHeight="1" spans="1:2">
      <c r="A13961" s="3" t="str">
        <f>IFERROR(__xludf.DUMMYFUNCTION("GOOGLETRANSLATE(A13961,""en"",""pt"")"),"hegemonismo")</f>
        <v>hegemonismo</v>
      </c>
      <c r="B13961" s="3">
        <v>0</v>
      </c>
    </row>
    <row r="13962" ht="15.75" customHeight="1" spans="1:2">
      <c r="A13962" s="3" t="str">
        <f>IFERROR(__xludf.DUMMYFUNCTION("GOOGLETRANSLATE(A13962,""en"",""pt"")"),"hegemônista")</f>
        <v>hegemônista</v>
      </c>
      <c r="B13962" s="3">
        <v>0</v>
      </c>
    </row>
    <row r="13963" ht="15.75" customHeight="1" spans="1:2">
      <c r="A13963" s="3" t="str">
        <f>IFERROR(__xludf.DUMMYFUNCTION("GOOGLETRANSLATE(A13963,""en"",""pt"")"),"hegemonia")</f>
        <v>hegemonia</v>
      </c>
      <c r="B13963" s="3">
        <v>0</v>
      </c>
    </row>
    <row r="13964" ht="15.75" customHeight="1" spans="1:2">
      <c r="A13964" s="3" t="str">
        <f>IFERROR(__xludf.DUMMYFUNCTION("GOOGLETRANSLATE(A13964,""en"",""pt"")"),"hediondo")</f>
        <v>hediondo</v>
      </c>
      <c r="B13964" s="3">
        <v>0</v>
      </c>
    </row>
    <row r="13965" ht="15.75" customHeight="1" spans="1:2">
      <c r="A13965" s="3" t="str">
        <f>IFERROR(__xludf.DUMMYFUNCTION("GOOGLETRANSLATE(A13965,""en"",""pt"")"),"inferno")</f>
        <v>inferno</v>
      </c>
      <c r="B13965" s="3">
        <v>0</v>
      </c>
    </row>
    <row r="13966" ht="15.75" customHeight="1" spans="1:2">
      <c r="A13966" s="3" t="str">
        <f>IFERROR(__xludf.DUMMYFUNCTION("GOOGLETRANSLATE(A13966,""en"",""pt"")"),"que teimam")</f>
        <v>que teimam</v>
      </c>
      <c r="B13966" s="3">
        <v>0</v>
      </c>
    </row>
    <row r="13967" ht="15.75" customHeight="1" spans="1:2">
      <c r="A13967" s="3" t="str">
        <f>IFERROR(__xludf.DUMMYFUNCTION("GOOGLETRANSLATE(A13967,""en"",""pt"")"),"diabinho")</f>
        <v>diabinho</v>
      </c>
      <c r="B13967" s="3">
        <v>0</v>
      </c>
    </row>
    <row r="13968" ht="15.75" customHeight="1" spans="1:2">
      <c r="A13968" s="3" t="str">
        <f>IFERROR(__xludf.DUMMYFUNCTION("GOOGLETRANSLATE(A13968,""en"",""pt"")"),"infernos")</f>
        <v>infernos</v>
      </c>
      <c r="B13968" s="3">
        <v>0</v>
      </c>
    </row>
    <row r="13969" ht="15.75" customHeight="1" spans="1:2">
      <c r="A13969" s="3" t="str">
        <f>IFERROR(__xludf.DUMMYFUNCTION("GOOGLETRANSLATE(A13969,""en"",""pt"")"),"desamparado")</f>
        <v>desamparado</v>
      </c>
      <c r="B13969" s="3">
        <v>0</v>
      </c>
    </row>
    <row r="13970" ht="15.75" customHeight="1" spans="1:2">
      <c r="A13970" s="3" t="str">
        <f>IFERROR(__xludf.DUMMYFUNCTION("GOOGLETRANSLATE(A13970,""en"",""pt"")"),"impotente")</f>
        <v>impotente</v>
      </c>
      <c r="B13970" s="3">
        <v>0</v>
      </c>
    </row>
    <row r="13971" ht="15.75" customHeight="1" spans="1:2">
      <c r="A13971" s="3" t="str">
        <f>IFERROR(__xludf.DUMMYFUNCTION("GOOGLETRANSLATE(A13971,""en"",""pt"")"),"desamparo")</f>
        <v>desamparo</v>
      </c>
      <c r="B13971" s="3">
        <v>0</v>
      </c>
    </row>
    <row r="13972" ht="15.75" customHeight="1" spans="1:2">
      <c r="A13972" s="3" t="str">
        <f>IFERROR(__xludf.DUMMYFUNCTION("GOOGLETRANSLATE(A13972,""en"",""pt"")"),"heresia")</f>
        <v>heresia</v>
      </c>
      <c r="B13972" s="3">
        <v>0</v>
      </c>
    </row>
    <row r="13973" ht="15.75" customHeight="1" spans="1:2">
      <c r="A13973" s="3" t="str">
        <f>IFERROR(__xludf.DUMMYFUNCTION("GOOGLETRANSLATE(A13973,""en"",""pt"")"),"herege")</f>
        <v>herege</v>
      </c>
      <c r="B13973" s="3">
        <v>0</v>
      </c>
    </row>
    <row r="13974" ht="15.75" customHeight="1" spans="1:2">
      <c r="A13974" s="3" t="str">
        <f>IFERROR(__xludf.DUMMYFUNCTION("GOOGLETRANSLATE(A13974,""en"",""pt"")"),"herético")</f>
        <v>herético</v>
      </c>
      <c r="B13974" s="3">
        <v>0</v>
      </c>
    </row>
    <row r="13975" ht="15.75" customHeight="1" spans="1:2">
      <c r="A13975" s="3" t="str">
        <f>IFERROR(__xludf.DUMMYFUNCTION("GOOGLETRANSLATE(A13975,""en"",""pt"")"),"hesitante")</f>
        <v>hesitante</v>
      </c>
      <c r="B13975" s="3">
        <v>0</v>
      </c>
    </row>
    <row r="13976" ht="15.75" customHeight="1" spans="1:2">
      <c r="A13976" s="3" t="str">
        <f>IFERROR(__xludf.DUMMYFUNCTION("GOOGLETRANSLATE(A13976,""en"",""pt"")"),"hestitant")</f>
        <v>hestitant</v>
      </c>
      <c r="B13976" s="3">
        <v>0</v>
      </c>
    </row>
    <row r="13977" ht="15.75" customHeight="1" spans="1:2">
      <c r="A13977" s="3" t="str">
        <f>IFERROR(__xludf.DUMMYFUNCTION("GOOGLETRANSLATE(A13977,""en"",""pt"")"),"medonho")</f>
        <v>medonho</v>
      </c>
      <c r="B13977" s="3">
        <v>0</v>
      </c>
    </row>
    <row r="13978" ht="15.75" customHeight="1" spans="1:2">
      <c r="A13978" s="3" t="str">
        <f>IFERROR(__xludf.DUMMYFUNCTION("GOOGLETRANSLATE(A13978,""en"",""pt"")"),"hideously")</f>
        <v>hideously</v>
      </c>
      <c r="B13978" s="3">
        <v>0</v>
      </c>
    </row>
    <row r="13979" ht="15.75" customHeight="1" spans="1:2">
      <c r="A13979" s="3" t="str">
        <f>IFERROR(__xludf.DUMMYFUNCTION("GOOGLETRANSLATE(A13979,""en"",""pt"")"),"hediondez")</f>
        <v>hediondez</v>
      </c>
      <c r="B13979" s="3">
        <v>0</v>
      </c>
    </row>
    <row r="13980" ht="15.75" customHeight="1" spans="1:2">
      <c r="A13980" s="3" t="str">
        <f>IFERROR(__xludf.DUMMYFUNCTION("GOOGLETRANSLATE(A13980,""en"",""pt"")"),"caro")</f>
        <v>caro</v>
      </c>
      <c r="B13980" s="3">
        <v>0</v>
      </c>
    </row>
    <row r="13981" ht="15.75" customHeight="1" spans="1:2">
      <c r="A13981" s="3" t="str">
        <f>IFERROR(__xludf.DUMMYFUNCTION("GOOGLETRANSLATE(A13981,""en"",""pt"")"),"hiliarious")</f>
        <v>hiliarious</v>
      </c>
      <c r="B13981" s="3">
        <v>0</v>
      </c>
    </row>
    <row r="13982" ht="15.75" customHeight="1" spans="1:2">
      <c r="A13982" s="3" t="str">
        <f>IFERROR(__xludf.DUMMYFUNCTION("GOOGLETRANSLATE(A13982,""en"",""pt"")"),"Hinder")</f>
        <v>Hinder</v>
      </c>
      <c r="B13982" s="3">
        <v>0</v>
      </c>
    </row>
    <row r="13983" ht="15.75" customHeight="1" spans="1:2">
      <c r="A13983" s="3" t="str">
        <f>IFERROR(__xludf.DUMMYFUNCTION("GOOGLETRANSLATE(A13983,""en"",""pt"")"),"obstáculo")</f>
        <v>obstáculo</v>
      </c>
      <c r="B13983" s="3">
        <v>0</v>
      </c>
    </row>
    <row r="13984" ht="15.75" customHeight="1" spans="1:2">
      <c r="A13984" s="3" t="str">
        <f>IFERROR(__xludf.DUMMYFUNCTION("GOOGLETRANSLATE(A13984,""en"",""pt"")"),"silvo")</f>
        <v>silvo</v>
      </c>
      <c r="B13984" s="3">
        <v>0</v>
      </c>
    </row>
    <row r="13985" ht="15.75" customHeight="1" spans="1:2">
      <c r="A13985" s="3" t="str">
        <f>IFERROR(__xludf.DUMMYFUNCTION("GOOGLETRANSLATE(A13985,""en"",""pt"")"),"assobiou")</f>
        <v>assobiou</v>
      </c>
      <c r="B13985" s="3">
        <v>0</v>
      </c>
    </row>
    <row r="13986" ht="15.75" customHeight="1" spans="1:2">
      <c r="A13986" s="3" t="str">
        <f>IFERROR(__xludf.DUMMYFUNCTION("GOOGLETRANSLATE(A13986,""en"",""pt"")"),"assobio")</f>
        <v>assobio</v>
      </c>
      <c r="B13986" s="3">
        <v>0</v>
      </c>
    </row>
    <row r="13987" ht="15.75" customHeight="1" spans="1:2">
      <c r="A13987" s="3" t="str">
        <f>IFERROR(__xludf.DUMMYFUNCTION("GOOGLETRANSLATE(A13987,""en"",""pt"")"),"ho-hum")</f>
        <v>ho-hum</v>
      </c>
      <c r="B13987" s="3">
        <v>0</v>
      </c>
    </row>
    <row r="13988" ht="15.75" customHeight="1" spans="1:2">
      <c r="A13988" s="3" t="str">
        <f>IFERROR(__xludf.DUMMYFUNCTION("GOOGLETRANSLATE(A13988,""en"",""pt"")"),"Tesouro escondido")</f>
        <v>Tesouro escondido</v>
      </c>
      <c r="B13988" s="3">
        <v>0</v>
      </c>
    </row>
    <row r="13989" ht="15.75" customHeight="1" spans="1:2">
      <c r="A13989" s="3" t="str">
        <f>IFERROR(__xludf.DUMMYFUNCTION("GOOGLETRANSLATE(A13989,""en"",""pt"")"),"engano")</f>
        <v>engano</v>
      </c>
      <c r="B13989" s="3">
        <v>0</v>
      </c>
    </row>
    <row r="13990" ht="15.75" customHeight="1" spans="1:2">
      <c r="A13990" s="3" t="str">
        <f>IFERROR(__xludf.DUMMYFUNCTION("GOOGLETRANSLATE(A13990,""en"",""pt"")"),"mancar")</f>
        <v>mancar</v>
      </c>
      <c r="B13990" s="3">
        <v>0</v>
      </c>
    </row>
    <row r="13991" ht="15.75" customHeight="1" spans="1:2">
      <c r="A13991" s="3" t="str">
        <f>IFERROR(__xludf.DUMMYFUNCTION("GOOGLETRANSLATE(A13991,""en"",""pt"")"),"porcos")</f>
        <v>porcos</v>
      </c>
      <c r="B13991" s="3">
        <v>0</v>
      </c>
    </row>
    <row r="13992" ht="15.75" customHeight="1" spans="1:2">
      <c r="A13992" s="3" t="str">
        <f>IFERROR(__xludf.DUMMYFUNCTION("GOOGLETRANSLATE(A13992,""en"",""pt"")"),"oco")</f>
        <v>oco</v>
      </c>
      <c r="B13992" s="3">
        <v>0</v>
      </c>
    </row>
    <row r="13993" ht="15.75" customHeight="1" spans="1:2">
      <c r="A13993" s="3" t="str">
        <f>IFERROR(__xludf.DUMMYFUNCTION("GOOGLETRANSLATE(A13993,""en"",""pt"")"),"hoodium")</f>
        <v>hoodium</v>
      </c>
      <c r="B13993" s="3">
        <v>0</v>
      </c>
    </row>
    <row r="13994" ht="15.75" customHeight="1" spans="1:2">
      <c r="A13994" s="3" t="str">
        <f>IFERROR(__xludf.DUMMYFUNCTION("GOOGLETRANSLATE(A13994,""en"",""pt"")"),"enganar")</f>
        <v>enganar</v>
      </c>
      <c r="B13994" s="3">
        <v>0</v>
      </c>
    </row>
    <row r="13995" ht="15.75" customHeight="1" spans="1:2">
      <c r="A13995" s="3" t="str">
        <f>IFERROR(__xludf.DUMMYFUNCTION("GOOGLETRANSLATE(A13995,""en"",""pt"")"),"rufião")</f>
        <v>rufião</v>
      </c>
      <c r="B13995" s="3">
        <v>0</v>
      </c>
    </row>
    <row r="13996" ht="15.75" customHeight="1" spans="1:2">
      <c r="A13996" s="3" t="str">
        <f>IFERROR(__xludf.DUMMYFUNCTION("GOOGLETRANSLATE(A13996,""en"",""pt"")"),"sem esperança")</f>
        <v>sem esperança</v>
      </c>
      <c r="B13996" s="3">
        <v>0</v>
      </c>
    </row>
    <row r="13997" ht="15.75" customHeight="1" spans="1:2">
      <c r="A13997" s="3" t="str">
        <f>IFERROR(__xludf.DUMMYFUNCTION("GOOGLETRANSLATE(A13997,""en"",""pt"")"),"desesperadamente")</f>
        <v>desesperadamente</v>
      </c>
      <c r="B13997" s="3">
        <v>0</v>
      </c>
    </row>
    <row r="13998" ht="15.75" customHeight="1" spans="1:2">
      <c r="A13998" s="3" t="str">
        <f>IFERROR(__xludf.DUMMYFUNCTION("GOOGLETRANSLATE(A13998,""en"",""pt"")"),"desespero")</f>
        <v>desespero</v>
      </c>
      <c r="B13998" s="3">
        <v>0</v>
      </c>
    </row>
    <row r="13999" ht="15.75" customHeight="1" spans="1:2">
      <c r="A13999" s="3" t="str">
        <f>IFERROR(__xludf.DUMMYFUNCTION("GOOGLETRANSLATE(A13999,""en"",""pt"")"),"horda")</f>
        <v>horda</v>
      </c>
      <c r="B13999" s="3">
        <v>0</v>
      </c>
    </row>
    <row r="14000" ht="15.75" customHeight="1" spans="1:2">
      <c r="A14000" s="3" t="str">
        <f>IFERROR(__xludf.DUMMYFUNCTION("GOOGLETRANSLATE(A14000,""en"",""pt"")"),"horrendo")</f>
        <v>horrendo</v>
      </c>
      <c r="B14000" s="3">
        <v>0</v>
      </c>
    </row>
    <row r="14001" ht="15.75" customHeight="1" spans="1:2">
      <c r="A14001" s="3" t="str">
        <f>IFERROR(__xludf.DUMMYFUNCTION("GOOGLETRANSLATE(A14001,""en"",""pt"")"),"horrendously")</f>
        <v>horrendously</v>
      </c>
      <c r="B14001" s="3">
        <v>0</v>
      </c>
    </row>
    <row r="14002" ht="15.75" customHeight="1" spans="1:2">
      <c r="A14002" s="3" t="str">
        <f>IFERROR(__xludf.DUMMYFUNCTION("GOOGLETRANSLATE(A14002,""en"",""pt"")"),"horrível")</f>
        <v>horrível</v>
      </c>
      <c r="B14002" s="3">
        <v>0</v>
      </c>
    </row>
    <row r="14003" ht="15.75" customHeight="1" spans="1:2">
      <c r="A14003" s="3" t="str">
        <f>IFERROR(__xludf.DUMMYFUNCTION("GOOGLETRANSLATE(A14003,""en"",""pt"")"),"horrível")</f>
        <v>horrível</v>
      </c>
      <c r="B14003" s="3">
        <v>0</v>
      </c>
    </row>
    <row r="14004" ht="15.75" customHeight="1" spans="1:2">
      <c r="A14004" s="3" t="str">
        <f>IFERROR(__xludf.DUMMYFUNCTION("GOOGLETRANSLATE(A14004,""en"",""pt"")"),"horrível")</f>
        <v>horrível</v>
      </c>
      <c r="B14004" s="3">
        <v>0</v>
      </c>
    </row>
    <row r="14005" ht="15.75" customHeight="1" spans="1:2">
      <c r="A14005" s="3" t="str">
        <f>IFERROR(__xludf.DUMMYFUNCTION("GOOGLETRANSLATE(A14005,""en"",""pt"")"),"horrorizado")</f>
        <v>horrorizado</v>
      </c>
      <c r="B14005" s="3">
        <v>0</v>
      </c>
    </row>
    <row r="14006" ht="15.75" customHeight="1" spans="1:2">
      <c r="A14006" s="3" t="str">
        <f>IFERROR(__xludf.DUMMYFUNCTION("GOOGLETRANSLATE(A14006,""en"",""pt"")"),"horroriza")</f>
        <v>horroriza</v>
      </c>
      <c r="B14006" s="3">
        <v>0</v>
      </c>
    </row>
    <row r="14007" ht="15.75" customHeight="1" spans="1:2">
      <c r="A14007" s="3" t="str">
        <f>IFERROR(__xludf.DUMMYFUNCTION("GOOGLETRANSLATE(A14007,""en"",""pt"")"),"horrorizar")</f>
        <v>horrorizar</v>
      </c>
      <c r="B14007" s="3">
        <v>0</v>
      </c>
    </row>
    <row r="14008" ht="15.75" customHeight="1" spans="1:2">
      <c r="A14008" s="3" t="str">
        <f>IFERROR(__xludf.DUMMYFUNCTION("GOOGLETRANSLATE(A14008,""en"",""pt"")"),"horripilante")</f>
        <v>horripilante</v>
      </c>
      <c r="B14008" s="3">
        <v>0</v>
      </c>
    </row>
    <row r="14009" ht="15.75" customHeight="1" spans="1:2">
      <c r="A14009" s="3" t="str">
        <f>IFERROR(__xludf.DUMMYFUNCTION("GOOGLETRANSLATE(A14009,""en"",""pt"")"),"horrifys")</f>
        <v>horrifys</v>
      </c>
      <c r="B14009" s="3">
        <v>0</v>
      </c>
    </row>
    <row r="14010" ht="15.75" customHeight="1" spans="1:2">
      <c r="A14010" s="3" t="str">
        <f>IFERROR(__xludf.DUMMYFUNCTION("GOOGLETRANSLATE(A14010,""en"",""pt"")"),"refém")</f>
        <v>refém</v>
      </c>
      <c r="B14010" s="3">
        <v>0</v>
      </c>
    </row>
    <row r="14011" ht="15.75" customHeight="1" spans="1:2">
      <c r="A14011" s="3" t="str">
        <f>IFERROR(__xludf.DUMMYFUNCTION("GOOGLETRANSLATE(A14011,""en"",""pt"")"),"hostil")</f>
        <v>hostil</v>
      </c>
      <c r="B14011" s="3">
        <v>0</v>
      </c>
    </row>
    <row r="14012" ht="15.75" customHeight="1" spans="1:2">
      <c r="A14012" s="3" t="str">
        <f>IFERROR(__xludf.DUMMYFUNCTION("GOOGLETRANSLATE(A14012,""en"",""pt"")"),"hostilidades")</f>
        <v>hostilidades</v>
      </c>
      <c r="B14012" s="3">
        <v>0</v>
      </c>
    </row>
    <row r="14013" ht="15.75" customHeight="1" spans="1:2">
      <c r="A14013" s="3" t="str">
        <f>IFERROR(__xludf.DUMMYFUNCTION("GOOGLETRANSLATE(A14013,""en"",""pt"")"),"hostilidade")</f>
        <v>hostilidade</v>
      </c>
      <c r="B14013" s="3">
        <v>0</v>
      </c>
    </row>
    <row r="14014" ht="15.75" customHeight="1" spans="1:2">
      <c r="A14014" s="3" t="str">
        <f>IFERROR(__xludf.DUMMYFUNCTION("GOOGLETRANSLATE(A14014,""en"",""pt"")"),"hotbeds")</f>
        <v>hotbeds</v>
      </c>
      <c r="B14014" s="3">
        <v>0</v>
      </c>
    </row>
    <row r="14015" ht="15.75" customHeight="1" spans="1:2">
      <c r="A14015" s="3" t="str">
        <f>IFERROR(__xludf.DUMMYFUNCTION("GOOGLETRANSLATE(A14015,""en"",""pt"")"),"hothead")</f>
        <v>hothead</v>
      </c>
      <c r="B14015" s="3">
        <v>0</v>
      </c>
    </row>
    <row r="14016" ht="15.75" customHeight="1" spans="1:2">
      <c r="A14016" s="3" t="str">
        <f>IFERROR(__xludf.DUMMYFUNCTION("GOOGLETRANSLATE(A14016,""en"",""pt"")"),"hotheaded")</f>
        <v>hotheaded</v>
      </c>
      <c r="B14016" s="3">
        <v>0</v>
      </c>
    </row>
    <row r="14017" ht="15.75" customHeight="1" spans="1:2">
      <c r="A14017" s="3" t="str">
        <f>IFERROR(__xludf.DUMMYFUNCTION("GOOGLETRANSLATE(A14017,""en"",""pt"")"),"estufa")</f>
        <v>estufa</v>
      </c>
      <c r="B14017" s="3">
        <v>0</v>
      </c>
    </row>
    <row r="14018" ht="15.75" customHeight="1" spans="1:2">
      <c r="A14018" s="3" t="str">
        <f>IFERROR(__xludf.DUMMYFUNCTION("GOOGLETRANSLATE(A14018,""en"",""pt"")"),"arrogância")</f>
        <v>arrogância</v>
      </c>
      <c r="B14018" s="3">
        <v>0</v>
      </c>
    </row>
    <row r="14019" ht="15.75" customHeight="1" spans="1:2">
      <c r="A14019" s="3" t="str">
        <f>IFERROR(__xludf.DUMMYFUNCTION("GOOGLETRANSLATE(A14019,""en"",""pt"")"),"mascate")</f>
        <v>mascate</v>
      </c>
      <c r="B14019" s="3">
        <v>0</v>
      </c>
    </row>
    <row r="14020" ht="15.75" customHeight="1" spans="1:2">
      <c r="A14020" s="3" t="str">
        <f>IFERROR(__xludf.DUMMYFUNCTION("GOOGLETRANSLATE(A14020,""en"",""pt"")"),"cantarolar")</f>
        <v>cantarolar</v>
      </c>
      <c r="B14020" s="3">
        <v>0</v>
      </c>
    </row>
    <row r="14021" ht="15.75" customHeight="1" spans="1:2">
      <c r="A14021" s="3" t="str">
        <f>IFERROR(__xludf.DUMMYFUNCTION("GOOGLETRANSLATE(A14021,""en"",""pt"")"),"úmido")</f>
        <v>úmido</v>
      </c>
      <c r="B14021" s="3">
        <v>0</v>
      </c>
    </row>
    <row r="14022" ht="15.75" customHeight="1" spans="1:2">
      <c r="A14022" s="3" t="str">
        <f>IFERROR(__xludf.DUMMYFUNCTION("GOOGLETRANSLATE(A14022,""en"",""pt"")"),"humilhar")</f>
        <v>humilhar</v>
      </c>
      <c r="B14022" s="3">
        <v>0</v>
      </c>
    </row>
    <row r="14023" ht="15.75" customHeight="1" spans="1:2">
      <c r="A14023" s="3" t="str">
        <f>IFERROR(__xludf.DUMMYFUNCTION("GOOGLETRANSLATE(A14023,""en"",""pt"")"),"humilhante")</f>
        <v>humilhante</v>
      </c>
      <c r="B14023" s="3">
        <v>0</v>
      </c>
    </row>
    <row r="14024" ht="15.75" customHeight="1" spans="1:2">
      <c r="A14024" s="3" t="str">
        <f>IFERROR(__xludf.DUMMYFUNCTION("GOOGLETRANSLATE(A14024,""en"",""pt"")"),"humilhação")</f>
        <v>humilhação</v>
      </c>
      <c r="B14024" s="3">
        <v>0</v>
      </c>
    </row>
    <row r="14025" ht="15.75" customHeight="1" spans="1:2">
      <c r="A14025" s="3" t="str">
        <f>IFERROR(__xludf.DUMMYFUNCTION("GOOGLETRANSLATE(A14025,""en"",""pt"")"),"sussurrante")</f>
        <v>sussurrante</v>
      </c>
      <c r="B14025" s="3">
        <v>0</v>
      </c>
    </row>
    <row r="14026" ht="15.75" customHeight="1" spans="1:2">
      <c r="A14026" s="3" t="str">
        <f>IFERROR(__xludf.DUMMYFUNCTION("GOOGLETRANSLATE(A14026,""en"",""pt"")"),"pendurado")</f>
        <v>pendurado</v>
      </c>
      <c r="B14026" s="3">
        <v>0</v>
      </c>
    </row>
    <row r="14027" ht="15.75" customHeight="1" spans="1:2">
      <c r="A14027" s="3" t="str">
        <f>IFERROR(__xludf.DUMMYFUNCTION("GOOGLETRANSLATE(A14027,""en"",""pt"")"),"doeu")</f>
        <v>doeu</v>
      </c>
      <c r="B14027" s="3">
        <v>0</v>
      </c>
    </row>
    <row r="14028" ht="15.75" customHeight="1" spans="1:2">
      <c r="A14028" s="3" t="str">
        <f>IFERROR(__xludf.DUMMYFUNCTION("GOOGLETRANSLATE(A14028,""en"",""pt"")"),"machucado")</f>
        <v>machucado</v>
      </c>
      <c r="B14028" s="3">
        <v>0</v>
      </c>
    </row>
    <row r="14029" ht="15.75" customHeight="1" spans="1:2">
      <c r="A14029" s="3" t="str">
        <f>IFERROR(__xludf.DUMMYFUNCTION("GOOGLETRANSLATE(A14029,""en"",""pt"")"),"prejudicial")</f>
        <v>prejudicial</v>
      </c>
      <c r="B14029" s="3">
        <v>0</v>
      </c>
    </row>
    <row r="14030" ht="15.75" customHeight="1" spans="1:2">
      <c r="A14030" s="3" t="str">
        <f>IFERROR(__xludf.DUMMYFUNCTION("GOOGLETRANSLATE(A14030,""en"",""pt"")"),"machucando")</f>
        <v>machucando</v>
      </c>
      <c r="B14030" s="3">
        <v>0</v>
      </c>
    </row>
    <row r="14031" ht="15.75" customHeight="1" spans="1:2">
      <c r="A14031" s="3" t="str">
        <f>IFERROR(__xludf.DUMMYFUNCTION("GOOGLETRANSLATE(A14031,""en"",""pt"")"),"dói")</f>
        <v>dói</v>
      </c>
      <c r="B14031" s="3">
        <v>0</v>
      </c>
    </row>
    <row r="14032" ht="15.75" customHeight="1" spans="1:2">
      <c r="A14032" s="3" t="str">
        <f>IFERROR(__xludf.DUMMYFUNCTION("GOOGLETRANSLATE(A14032,""en"",""pt"")"),"pessoa ativa")</f>
        <v>pessoa ativa</v>
      </c>
      <c r="B14032" s="3">
        <v>0</v>
      </c>
    </row>
    <row r="14033" ht="15.75" customHeight="1" spans="1:2">
      <c r="A14033" s="3" t="str">
        <f>IFERROR(__xludf.DUMMYFUNCTION("GOOGLETRANSLATE(A14033,""en"",""pt"")"),"campanha publicitária")</f>
        <v>campanha publicitária</v>
      </c>
      <c r="B14033" s="3">
        <v>0</v>
      </c>
    </row>
    <row r="14034" ht="15.75" customHeight="1" spans="1:2">
      <c r="A14034" s="3" t="s">
        <v>65</v>
      </c>
      <c r="B14034" s="3">
        <v>0</v>
      </c>
    </row>
    <row r="14035" ht="15.75" customHeight="1" spans="1:2">
      <c r="A14035" s="3" t="str">
        <f>IFERROR(__xludf.DUMMYFUNCTION("GOOGLETRANSLATE(A14035,""en"",""pt"")"),"hipocrisia")</f>
        <v>hipocrisia</v>
      </c>
      <c r="B14035" s="3">
        <v>0</v>
      </c>
    </row>
    <row r="14036" ht="15.75" customHeight="1" spans="1:2">
      <c r="A14036" s="3" t="str">
        <f>IFERROR(__xludf.DUMMYFUNCTION("GOOGLETRANSLATE(A14036,""en"",""pt"")"),"hipócrita")</f>
        <v>hipócrita</v>
      </c>
      <c r="B14036" s="3">
        <v>0</v>
      </c>
    </row>
    <row r="14037" ht="15.75" customHeight="1" spans="1:2">
      <c r="A14037" s="3" t="str">
        <f>IFERROR(__xludf.DUMMYFUNCTION("GOOGLETRANSLATE(A14037,""en"",""pt"")"),"hipócritas")</f>
        <v>hipócritas</v>
      </c>
      <c r="B14037" s="3">
        <v>0</v>
      </c>
    </row>
    <row r="14038" ht="15.75" customHeight="1" spans="1:2">
      <c r="A14038" s="3" t="str">
        <f>IFERROR(__xludf.DUMMYFUNCTION("GOOGLETRANSLATE(A14038,""en"",""pt"")"),"hipócrita")</f>
        <v>hipócrita</v>
      </c>
      <c r="B14038" s="3">
        <v>0</v>
      </c>
    </row>
    <row r="14039" ht="15.75" customHeight="1" spans="1:2">
      <c r="A14039" s="3" t="str">
        <f>IFERROR(__xludf.DUMMYFUNCTION("GOOGLETRANSLATE(A14039,""en"",""pt"")"),"hipocritamente")</f>
        <v>hipocritamente</v>
      </c>
      <c r="B14039" s="3">
        <v>0</v>
      </c>
    </row>
    <row r="14040" ht="15.75" customHeight="1" spans="1:2">
      <c r="A14040" s="3" t="str">
        <f>IFERROR(__xludf.DUMMYFUNCTION("GOOGLETRANSLATE(A14040,""en"",""pt"")"),"histeria")</f>
        <v>histeria</v>
      </c>
      <c r="B14040" s="3">
        <v>0</v>
      </c>
    </row>
    <row r="14041" ht="15.75" customHeight="1" spans="1:2">
      <c r="A14041" s="3" t="str">
        <f>IFERROR(__xludf.DUMMYFUNCTION("GOOGLETRANSLATE(A14041,""en"",""pt"")"),"histérico")</f>
        <v>histérico</v>
      </c>
      <c r="B14041" s="3">
        <v>0</v>
      </c>
    </row>
    <row r="14042" ht="15.75" customHeight="1" spans="1:2">
      <c r="A14042" s="3" t="str">
        <f>IFERROR(__xludf.DUMMYFUNCTION("GOOGLETRANSLATE(A14042,""en"",""pt"")"),"histérico")</f>
        <v>histérico</v>
      </c>
      <c r="B14042" s="3">
        <v>0</v>
      </c>
    </row>
    <row r="14043" ht="15.75" customHeight="1" spans="1:2">
      <c r="A14043" s="3" t="str">
        <f>IFERROR(__xludf.DUMMYFUNCTION("GOOGLETRANSLATE(A14043,""en"",""pt"")"),"histericamente")</f>
        <v>histericamente</v>
      </c>
      <c r="B14043" s="3">
        <v>0</v>
      </c>
    </row>
    <row r="14044" ht="15.75" customHeight="1" spans="1:2">
      <c r="A14044" s="3" t="str">
        <f>IFERROR(__xludf.DUMMYFUNCTION("GOOGLETRANSLATE(A14044,""en"",""pt"")"),"ataque de nervos")</f>
        <v>ataque de nervos</v>
      </c>
      <c r="B14044" s="3">
        <v>0</v>
      </c>
    </row>
    <row r="14045" ht="15.75" customHeight="1" spans="1:2">
      <c r="A14045" s="3" t="str">
        <f>IFERROR(__xludf.DUMMYFUNCTION("GOOGLETRANSLATE(A14045,""en"",""pt"")"),"idiotices")</f>
        <v>idiotices</v>
      </c>
      <c r="B14045" s="3">
        <v>0</v>
      </c>
    </row>
    <row r="14046" ht="15.75" customHeight="1" spans="1:2">
      <c r="A14046" s="3" t="str">
        <f>IFERROR(__xludf.DUMMYFUNCTION("GOOGLETRANSLATE(A14046,""en"",""pt"")"),"idiotia")</f>
        <v>idiotia</v>
      </c>
      <c r="B14046" s="3">
        <v>0</v>
      </c>
    </row>
    <row r="14047" ht="15.75" customHeight="1" spans="1:2">
      <c r="A14047" s="3" t="str">
        <f>IFERROR(__xludf.DUMMYFUNCTION("GOOGLETRANSLATE(A14047,""en"",""pt"")"),"idiota")</f>
        <v>idiota</v>
      </c>
      <c r="B14047" s="3">
        <v>0</v>
      </c>
    </row>
    <row r="14048" ht="15.75" customHeight="1" spans="1:2">
      <c r="A14048" s="3" t="str">
        <f>IFERROR(__xludf.DUMMYFUNCTION("GOOGLETRANSLATE(A14048,""en"",""pt"")"),"idiota")</f>
        <v>idiota</v>
      </c>
      <c r="B14048" s="3">
        <v>0</v>
      </c>
    </row>
    <row r="14049" ht="15.75" customHeight="1" spans="1:2">
      <c r="A14049" s="3" t="str">
        <f>IFERROR(__xludf.DUMMYFUNCTION("GOOGLETRANSLATE(A14049,""en"",""pt"")"),"idiotically")</f>
        <v>idiotically</v>
      </c>
      <c r="B14049" s="3">
        <v>0</v>
      </c>
    </row>
    <row r="14050" ht="15.75" customHeight="1" spans="1:2">
      <c r="A14050" s="3" t="str">
        <f>IFERROR(__xludf.DUMMYFUNCTION("GOOGLETRANSLATE(A14050,""en"",""pt"")"),"idiotas")</f>
        <v>idiotas</v>
      </c>
      <c r="B14050" s="3">
        <v>0</v>
      </c>
    </row>
    <row r="14051" ht="15.75" customHeight="1" spans="1:2">
      <c r="A14051" s="3" t="str">
        <f>IFERROR(__xludf.DUMMYFUNCTION("GOOGLETRANSLATE(A14051,""en"",""pt"")"),"inativo")</f>
        <v>inativo</v>
      </c>
      <c r="B14051" s="3">
        <v>0</v>
      </c>
    </row>
    <row r="14052" ht="15.75" customHeight="1" spans="1:2">
      <c r="A14052" s="3" t="str">
        <f>IFERROR(__xludf.DUMMYFUNCTION("GOOGLETRANSLATE(A14052,""en"",""pt"")"),"ignóbil")</f>
        <v>ignóbil</v>
      </c>
      <c r="B14052" s="3">
        <v>0</v>
      </c>
    </row>
    <row r="14053" ht="15.75" customHeight="1" spans="1:2">
      <c r="A14053" s="3" t="str">
        <f>IFERROR(__xludf.DUMMYFUNCTION("GOOGLETRANSLATE(A14053,""en"",""pt"")"),"ignominioso")</f>
        <v>ignominioso</v>
      </c>
      <c r="B14053" s="3">
        <v>0</v>
      </c>
    </row>
    <row r="14054" ht="15.75" customHeight="1" spans="1:2">
      <c r="A14054" s="3" t="str">
        <f>IFERROR(__xludf.DUMMYFUNCTION("GOOGLETRANSLATE(A14054,""en"",""pt"")"),"ignominiosamente")</f>
        <v>ignominiosamente</v>
      </c>
      <c r="B14054" s="3">
        <v>0</v>
      </c>
    </row>
    <row r="14055" ht="15.75" customHeight="1" spans="1:2">
      <c r="A14055" s="3" t="str">
        <f>IFERROR(__xludf.DUMMYFUNCTION("GOOGLETRANSLATE(A14055,""en"",""pt"")"),"infâmia")</f>
        <v>infâmia</v>
      </c>
      <c r="B14055" s="3">
        <v>0</v>
      </c>
    </row>
    <row r="14056" ht="15.75" customHeight="1" spans="1:2">
      <c r="A14056" s="3" t="str">
        <f>IFERROR(__xludf.DUMMYFUNCTION("GOOGLETRANSLATE(A14056,""en"",""pt"")"),"ignorância")</f>
        <v>ignorância</v>
      </c>
      <c r="B14056" s="3">
        <v>0</v>
      </c>
    </row>
    <row r="14057" ht="15.75" customHeight="1" spans="1:2">
      <c r="A14057" s="3" t="str">
        <f>IFERROR(__xludf.DUMMYFUNCTION("GOOGLETRANSLATE(A14057,""en"",""pt"")"),"ignorante")</f>
        <v>ignorante</v>
      </c>
      <c r="B14057" s="3">
        <v>0</v>
      </c>
    </row>
    <row r="14058" ht="15.75" customHeight="1" spans="1:2">
      <c r="A14058" s="3" t="str">
        <f>IFERROR(__xludf.DUMMYFUNCTION("GOOGLETRANSLATE(A14058,""en"",""pt"")"),"ignorar")</f>
        <v>ignorar</v>
      </c>
      <c r="B14058" s="3">
        <v>0</v>
      </c>
    </row>
    <row r="14059" ht="15.75" customHeight="1" spans="1:2">
      <c r="A14059" s="3" t="str">
        <f>IFERROR(__xludf.DUMMYFUNCTION("GOOGLETRANSLATE(A14059,""en"",""pt"")"),"mal-aconselhado")</f>
        <v>mal-aconselhado</v>
      </c>
      <c r="B14059" s="3">
        <v>0</v>
      </c>
    </row>
    <row r="14060" ht="15.75" customHeight="1" spans="1:2">
      <c r="A14060" s="3" t="str">
        <f>IFERROR(__xludf.DUMMYFUNCTION("GOOGLETRANSLATE(A14060,""en"",""pt"")"),"mal concebida")</f>
        <v>mal concebida</v>
      </c>
      <c r="B14060" s="3">
        <v>0</v>
      </c>
    </row>
    <row r="14061" ht="15.75" customHeight="1" spans="1:2">
      <c r="A14061" s="3" t="str">
        <f>IFERROR(__xludf.DUMMYFUNCTION("GOOGLETRANSLATE(A14061,""en"",""pt"")"),"mal definido")</f>
        <v>mal definido</v>
      </c>
      <c r="B14061" s="3">
        <v>0</v>
      </c>
    </row>
    <row r="14062" ht="15.75" customHeight="1" spans="1:2">
      <c r="A14062" s="3" t="str">
        <f>IFERROR(__xludf.DUMMYFUNCTION("GOOGLETRANSLATE(A14062,""en"",""pt"")"),"mal concebida")</f>
        <v>mal concebida</v>
      </c>
      <c r="B14062" s="3">
        <v>0</v>
      </c>
    </row>
    <row r="14063" ht="15.75" customHeight="1" spans="1:2">
      <c r="A14063" s="3" t="str">
        <f>IFERROR(__xludf.DUMMYFUNCTION("GOOGLETRANSLATE(A14063,""en"",""pt"")"),"infeliz")</f>
        <v>infeliz</v>
      </c>
      <c r="B14063" s="3">
        <v>0</v>
      </c>
    </row>
    <row r="14064" ht="15.75" customHeight="1" spans="1:2">
      <c r="A14064" s="3" t="str">
        <f>IFERROR(__xludf.DUMMYFUNCTION("GOOGLETRANSLATE(A14064,""en"",""pt"")"),"feio")</f>
        <v>feio</v>
      </c>
      <c r="B14064" s="3">
        <v>0</v>
      </c>
    </row>
    <row r="14065" ht="15.75" customHeight="1" spans="1:2">
      <c r="A14065" s="3" t="str">
        <f>IFERROR(__xludf.DUMMYFUNCTION("GOOGLETRANSLATE(A14065,""en"",""pt"")"),"mal formado")</f>
        <v>mal formado</v>
      </c>
      <c r="B14065" s="3">
        <v>0</v>
      </c>
    </row>
    <row r="14066" ht="15.75" customHeight="1" spans="1:2">
      <c r="A14066" s="3" t="str">
        <f>IFERROR(__xludf.DUMMYFUNCTION("GOOGLETRANSLATE(A14066,""en"",""pt"")"),"grosseiro")</f>
        <v>grosseiro</v>
      </c>
      <c r="B14066" s="3">
        <v>0</v>
      </c>
    </row>
    <row r="14067" ht="15.75" customHeight="1" spans="1:2">
      <c r="A14067" s="3" t="str">
        <f>IFERROR(__xludf.DUMMYFUNCTION("GOOGLETRANSLATE(A14067,""en"",""pt"")"),"mal-humorado")</f>
        <v>mal-humorado</v>
      </c>
      <c r="B14067" s="3">
        <v>0</v>
      </c>
    </row>
    <row r="14068" ht="15.75" customHeight="1" spans="1:2">
      <c r="A14068" s="3" t="str">
        <f>IFERROR(__xludf.DUMMYFUNCTION("GOOGLETRANSLATE(A14068,""en"",""pt"")"),"mal classificadas")</f>
        <v>mal classificadas</v>
      </c>
      <c r="B14068" s="3">
        <v>0</v>
      </c>
    </row>
    <row r="14069" ht="15.75" customHeight="1" spans="1:2">
      <c r="A14069" s="3" t="str">
        <f>IFERROR(__xludf.DUMMYFUNCTION("GOOGLETRANSLATE(A14069,""en"",""pt"")"),"mal-humorado")</f>
        <v>mal-humorado</v>
      </c>
      <c r="B14069" s="3">
        <v>0</v>
      </c>
    </row>
    <row r="14070" ht="15.75" customHeight="1" spans="1:2">
      <c r="A14070" s="3" t="str">
        <f>IFERROR(__xludf.DUMMYFUNCTION("GOOGLETRANSLATE(A14070,""en"",""pt"")"),"maltratado")</f>
        <v>maltratado</v>
      </c>
      <c r="B14070" s="3">
        <v>0</v>
      </c>
    </row>
    <row r="14071" ht="15.75" customHeight="1" spans="1:2">
      <c r="A14071" s="3" t="str">
        <f>IFERROR(__xludf.DUMMYFUNCTION("GOOGLETRANSLATE(A14071,""en"",""pt"")"),"maus-tratos")</f>
        <v>maus-tratos</v>
      </c>
      <c r="B14071" s="3">
        <v>0</v>
      </c>
    </row>
    <row r="14072" ht="15.75" customHeight="1" spans="1:2">
      <c r="A14072" s="3" t="str">
        <f>IFERROR(__xludf.DUMMYFUNCTION("GOOGLETRANSLATE(A14072,""en"",""pt"")"),"maus tratos")</f>
        <v>maus tratos</v>
      </c>
      <c r="B14072" s="3">
        <v>0</v>
      </c>
    </row>
    <row r="14073" ht="15.75" customHeight="1" spans="1:2">
      <c r="A14073" s="3" t="str">
        <f>IFERROR(__xludf.DUMMYFUNCTION("GOOGLETRANSLATE(A14073,""en"",""pt"")"),"maltratada")</f>
        <v>maltratada</v>
      </c>
      <c r="B14073" s="3">
        <v>0</v>
      </c>
    </row>
    <row r="14074" ht="15.75" customHeight="1" spans="1:2">
      <c r="A14074" s="3" t="s">
        <v>66</v>
      </c>
      <c r="B14074" s="3">
        <v>0</v>
      </c>
    </row>
    <row r="14075" ht="15.75" customHeight="1" spans="1:2">
      <c r="A14075" s="3" t="str">
        <f>IFERROR(__xludf.DUMMYFUNCTION("GOOGLETRANSLATE(A14075,""en"",""pt"")"),"ilegalmente")</f>
        <v>ilegalmente</v>
      </c>
      <c r="B14075" s="3">
        <v>0</v>
      </c>
    </row>
    <row r="14076" ht="15.75" customHeight="1" spans="1:2">
      <c r="A14076" s="3" t="str">
        <f>IFERROR(__xludf.DUMMYFUNCTION("GOOGLETRANSLATE(A14076,""en"",""pt"")"),"ilegítimo")</f>
        <v>ilegítimo</v>
      </c>
      <c r="B14076" s="3">
        <v>0</v>
      </c>
    </row>
    <row r="14077" ht="15.75" customHeight="1" spans="1:2">
      <c r="A14077" s="3" t="str">
        <f>IFERROR(__xludf.DUMMYFUNCTION("GOOGLETRANSLATE(A14077,""en"",""pt"")"),"ilícito")</f>
        <v>ilícito</v>
      </c>
      <c r="B14077" s="3">
        <v>0</v>
      </c>
    </row>
    <row r="14078" ht="15.75" customHeight="1" spans="1:2">
      <c r="A14078" s="3" t="str">
        <f>IFERROR(__xludf.DUMMYFUNCTION("GOOGLETRANSLATE(A14078,""en"",""pt"")"),"analfabeto")</f>
        <v>analfabeto</v>
      </c>
      <c r="B14078" s="3">
        <v>0</v>
      </c>
    </row>
    <row r="14079" ht="15.75" customHeight="1" spans="1:2">
      <c r="A14079" s="3" t="str">
        <f>IFERROR(__xludf.DUMMYFUNCTION("GOOGLETRANSLATE(A14079,""en"",""pt"")"),"doença")</f>
        <v>doença</v>
      </c>
      <c r="B14079" s="3">
        <v>0</v>
      </c>
    </row>
    <row r="14080" ht="15.75" customHeight="1" spans="1:2">
      <c r="A14080" s="3" t="str">
        <f>IFERROR(__xludf.DUMMYFUNCTION("GOOGLETRANSLATE(A14080,""en"",""pt"")"),"illogic")</f>
        <v>illogic</v>
      </c>
      <c r="B14080" s="3">
        <v>0</v>
      </c>
    </row>
    <row r="14081" ht="15.75" customHeight="1" spans="1:2">
      <c r="A14081" s="3" t="str">
        <f>IFERROR(__xludf.DUMMYFUNCTION("GOOGLETRANSLATE(A14081,""en"",""pt"")"),"ilógico")</f>
        <v>ilógico</v>
      </c>
      <c r="B14081" s="3">
        <v>0</v>
      </c>
    </row>
    <row r="14082" ht="15.75" customHeight="1" spans="1:2">
      <c r="A14082" s="3" t="str">
        <f>IFERROR(__xludf.DUMMYFUNCTION("GOOGLETRANSLATE(A14082,""en"",""pt"")"),"ilogicamente")</f>
        <v>ilogicamente</v>
      </c>
      <c r="B14082" s="3">
        <v>0</v>
      </c>
    </row>
    <row r="14083" ht="15.75" customHeight="1" spans="1:2">
      <c r="A14083" s="3" t="str">
        <f>IFERROR(__xludf.DUMMYFUNCTION("GOOGLETRANSLATE(A14083,""en"",""pt"")"),"ilusão")</f>
        <v>ilusão</v>
      </c>
      <c r="B14083" s="3">
        <v>0</v>
      </c>
    </row>
    <row r="14084" ht="15.75" customHeight="1" spans="1:2">
      <c r="A14084" s="3" t="str">
        <f>IFERROR(__xludf.DUMMYFUNCTION("GOOGLETRANSLATE(A14084,""en"",""pt"")"),"ilusões")</f>
        <v>ilusões</v>
      </c>
      <c r="B14084" s="3">
        <v>0</v>
      </c>
    </row>
    <row r="14085" ht="15.75" customHeight="1" spans="1:2">
      <c r="A14085" s="3" t="str">
        <f>IFERROR(__xludf.DUMMYFUNCTION("GOOGLETRANSLATE(A14085,""en"",""pt"")"),"ilusório")</f>
        <v>ilusório</v>
      </c>
      <c r="B14085" s="3">
        <v>0</v>
      </c>
    </row>
    <row r="14086" ht="15.75" customHeight="1" spans="1:2">
      <c r="A14086" s="3" t="str">
        <f>IFERROR(__xludf.DUMMYFUNCTION("GOOGLETRANSLATE(A14086,""en"",""pt"")"),"imaginário")</f>
        <v>imaginário</v>
      </c>
      <c r="B14086" s="3">
        <v>0</v>
      </c>
    </row>
    <row r="14087" ht="15.75" customHeight="1" spans="1:2">
      <c r="A14087" s="3" t="str">
        <f>IFERROR(__xludf.DUMMYFUNCTION("GOOGLETRANSLATE(A14087,""en"",""pt"")"),"desequilíbrio")</f>
        <v>desequilíbrio</v>
      </c>
      <c r="B14087" s="3">
        <v>0</v>
      </c>
    </row>
    <row r="14088" ht="15.75" customHeight="1" spans="1:2">
      <c r="A14088" s="3" t="str">
        <f>IFERROR(__xludf.DUMMYFUNCTION("GOOGLETRANSLATE(A14088,""en"",""pt"")"),"imbecil")</f>
        <v>imbecil</v>
      </c>
      <c r="B14088" s="3">
        <v>0</v>
      </c>
    </row>
    <row r="14089" ht="15.75" customHeight="1" spans="1:2">
      <c r="A14089" s="3" t="str">
        <f>IFERROR(__xludf.DUMMYFUNCTION("GOOGLETRANSLATE(A14089,""en"",""pt"")"),"confusão")</f>
        <v>confusão</v>
      </c>
      <c r="B14089" s="3">
        <v>0</v>
      </c>
    </row>
    <row r="14090" ht="15.75" customHeight="1" spans="1:2">
      <c r="A14090" s="3" t="str">
        <f>IFERROR(__xludf.DUMMYFUNCTION("GOOGLETRANSLATE(A14090,""en"",""pt"")"),"imaterial")</f>
        <v>imaterial</v>
      </c>
      <c r="B14090" s="3">
        <v>0</v>
      </c>
    </row>
    <row r="14091" ht="15.75" customHeight="1" spans="1:2">
      <c r="A14091" s="3" t="str">
        <f>IFERROR(__xludf.DUMMYFUNCTION("GOOGLETRANSLATE(A14091,""en"",""pt"")"),"imaturo")</f>
        <v>imaturo</v>
      </c>
      <c r="B14091" s="3">
        <v>0</v>
      </c>
    </row>
    <row r="14092" ht="15.75" customHeight="1" spans="1:2">
      <c r="A14092" s="3" t="str">
        <f>IFERROR(__xludf.DUMMYFUNCTION("GOOGLETRANSLATE(A14092,""en"",""pt"")"),"iminência")</f>
        <v>iminência</v>
      </c>
      <c r="B14092" s="3">
        <v>0</v>
      </c>
    </row>
    <row r="14093" ht="15.75" customHeight="1" spans="1:2">
      <c r="A14093" s="3" t="str">
        <f>IFERROR(__xludf.DUMMYFUNCTION("GOOGLETRANSLATE(A14093,""en"",""pt"")"),"iminentemente")</f>
        <v>iminentemente</v>
      </c>
      <c r="B14093" s="3">
        <v>0</v>
      </c>
    </row>
    <row r="14094" ht="15.75" customHeight="1" spans="1:2">
      <c r="A14094" s="3" t="str">
        <f>IFERROR(__xludf.DUMMYFUNCTION("GOOGLETRANSLATE(A14094,""en"",""pt"")"),"imobilizada")</f>
        <v>imobilizada</v>
      </c>
      <c r="B14094" s="3">
        <v>0</v>
      </c>
    </row>
    <row r="14095" ht="15.75" customHeight="1" spans="1:2">
      <c r="A14095" s="3" t="str">
        <f>IFERROR(__xludf.DUMMYFUNCTION("GOOGLETRANSLATE(A14095,""en"",""pt"")"),"imoderado")</f>
        <v>imoderado</v>
      </c>
      <c r="B14095" s="3">
        <v>0</v>
      </c>
    </row>
    <row r="14096" ht="15.75" customHeight="1" spans="1:2">
      <c r="A14096" s="3" t="str">
        <f>IFERROR(__xludf.DUMMYFUNCTION("GOOGLETRANSLATE(A14096,""en"",""pt"")"),"imoderadamente")</f>
        <v>imoderadamente</v>
      </c>
      <c r="B14096" s="3">
        <v>0</v>
      </c>
    </row>
    <row r="14097" ht="15.75" customHeight="1" spans="1:2">
      <c r="A14097" s="3" t="str">
        <f>IFERROR(__xludf.DUMMYFUNCTION("GOOGLETRANSLATE(A14097,""en"",""pt"")"),"imodesto")</f>
        <v>imodesto</v>
      </c>
      <c r="B14097" s="3">
        <v>0</v>
      </c>
    </row>
    <row r="14098" ht="15.75" customHeight="1" spans="1:2">
      <c r="A14098" s="3" t="str">
        <f>IFERROR(__xludf.DUMMYFUNCTION("GOOGLETRANSLATE(A14098,""en"",""pt"")"),"imoral")</f>
        <v>imoral</v>
      </c>
      <c r="B14098" s="3">
        <v>0</v>
      </c>
    </row>
    <row r="14099" ht="15.75" customHeight="1" spans="1:2">
      <c r="A14099" s="3" t="str">
        <f>IFERROR(__xludf.DUMMYFUNCTION("GOOGLETRANSLATE(A14099,""en"",""pt"")"),"imoralidade")</f>
        <v>imoralidade</v>
      </c>
      <c r="B14099" s="3">
        <v>0</v>
      </c>
    </row>
    <row r="14100" ht="15.75" customHeight="1" spans="1:2">
      <c r="A14100" s="3" t="str">
        <f>IFERROR(__xludf.DUMMYFUNCTION("GOOGLETRANSLATE(A14100,""en"",""pt"")"),"imoralmente")</f>
        <v>imoralmente</v>
      </c>
      <c r="B14100" s="3">
        <v>0</v>
      </c>
    </row>
    <row r="14101" ht="15.75" customHeight="1" spans="1:2">
      <c r="A14101" s="3" t="str">
        <f>IFERROR(__xludf.DUMMYFUNCTION("GOOGLETRANSLATE(A14101,""en"",""pt"")"),"imóvel")</f>
        <v>imóvel</v>
      </c>
      <c r="B14101" s="3">
        <v>0</v>
      </c>
    </row>
    <row r="14102" ht="15.75" customHeight="1" spans="1:2">
      <c r="A14102" s="3" t="str">
        <f>IFERROR(__xludf.DUMMYFUNCTION("GOOGLETRANSLATE(A14102,""en"",""pt"")"),"prejudicar")</f>
        <v>prejudicar</v>
      </c>
      <c r="B14102" s="3">
        <v>0</v>
      </c>
    </row>
    <row r="14103" ht="15.75" customHeight="1" spans="1:2">
      <c r="A14103" s="3" t="str">
        <f>IFERROR(__xludf.DUMMYFUNCTION("GOOGLETRANSLATE(A14103,""en"",""pt"")"),"prejudicada")</f>
        <v>prejudicada</v>
      </c>
      <c r="B14103" s="3">
        <v>0</v>
      </c>
    </row>
    <row r="14104" ht="15.75" customHeight="1" spans="1:2">
      <c r="A14104" s="3" t="str">
        <f>IFERROR(__xludf.DUMMYFUNCTION("GOOGLETRANSLATE(A14104,""en"",""pt"")"),"impasse")</f>
        <v>impasse</v>
      </c>
      <c r="B14104" s="3">
        <v>0</v>
      </c>
    </row>
    <row r="14105" ht="15.75" customHeight="1" spans="1:2">
      <c r="A14105" s="3" t="str">
        <f>IFERROR(__xludf.DUMMYFUNCTION("GOOGLETRANSLATE(A14105,""en"",""pt"")"),"impaciência")</f>
        <v>impaciência</v>
      </c>
      <c r="B14105" s="3">
        <v>0</v>
      </c>
    </row>
    <row r="14106" ht="15.75" customHeight="1" spans="1:2">
      <c r="A14106" s="3" t="str">
        <f>IFERROR(__xludf.DUMMYFUNCTION("GOOGLETRANSLATE(A14106,""en"",""pt"")"),"impaciente")</f>
        <v>impaciente</v>
      </c>
      <c r="B14106" s="3">
        <v>0</v>
      </c>
    </row>
    <row r="14107" ht="15.75" customHeight="1" spans="1:2">
      <c r="A14107" s="3" t="str">
        <f>IFERROR(__xludf.DUMMYFUNCTION("GOOGLETRANSLATE(A14107,""en"",""pt"")"),"impacientemente")</f>
        <v>impacientemente</v>
      </c>
      <c r="B14107" s="3">
        <v>0</v>
      </c>
    </row>
    <row r="14108" ht="15.75" customHeight="1" spans="1:2">
      <c r="A14108" s="3" t="str">
        <f>IFERROR(__xludf.DUMMYFUNCTION("GOOGLETRANSLATE(A14108,""en"",""pt"")"),"impeach")</f>
        <v>impeach</v>
      </c>
      <c r="B14108" s="3">
        <v>0</v>
      </c>
    </row>
    <row r="14109" ht="15.75" customHeight="1" spans="1:2">
      <c r="A14109" s="3" t="str">
        <f>IFERROR(__xludf.DUMMYFUNCTION("GOOGLETRANSLATE(A14109,""en"",""pt"")"),"impedância")</f>
        <v>impedância</v>
      </c>
      <c r="B14109" s="3">
        <v>0</v>
      </c>
    </row>
    <row r="14110" ht="15.75" customHeight="1" spans="1:2">
      <c r="A14110" s="3" t="str">
        <f>IFERROR(__xludf.DUMMYFUNCTION("GOOGLETRANSLATE(A14110,""en"",""pt"")"),"impedir")</f>
        <v>impedir</v>
      </c>
      <c r="B14110" s="3">
        <v>0</v>
      </c>
    </row>
    <row r="14111" ht="15.75" customHeight="1" spans="1:2">
      <c r="A14111" s="3" t="str">
        <f>IFERROR(__xludf.DUMMYFUNCTION("GOOGLETRANSLATE(A14111,""en"",""pt"")"),"impedimento")</f>
        <v>impedimento</v>
      </c>
      <c r="B14111" s="3">
        <v>0</v>
      </c>
    </row>
    <row r="14112" ht="15.75" customHeight="1" spans="1:2">
      <c r="A14112" s="3" t="str">
        <f>IFERROR(__xludf.DUMMYFUNCTION("GOOGLETRANSLATE(A14112,""en"",""pt"")"),"iminente")</f>
        <v>iminente</v>
      </c>
      <c r="B14112" s="3">
        <v>0</v>
      </c>
    </row>
    <row r="14113" ht="15.75" customHeight="1" spans="1:2">
      <c r="A14113" s="3" t="str">
        <f>IFERROR(__xludf.DUMMYFUNCTION("GOOGLETRANSLATE(A14113,""en"",""pt"")"),"impenitente")</f>
        <v>impenitente</v>
      </c>
      <c r="B14113" s="3">
        <v>0</v>
      </c>
    </row>
    <row r="14114" ht="15.75" customHeight="1" spans="1:2">
      <c r="A14114" s="3" t="str">
        <f>IFERROR(__xludf.DUMMYFUNCTION("GOOGLETRANSLATE(A14114,""en"",""pt"")"),"imperfeita")</f>
        <v>imperfeita</v>
      </c>
      <c r="B14114" s="3">
        <v>0</v>
      </c>
    </row>
    <row r="14115" ht="15.75" customHeight="1" spans="1:2">
      <c r="A14115" s="3" t="str">
        <f>IFERROR(__xludf.DUMMYFUNCTION("GOOGLETRANSLATE(A14115,""en"",""pt"")"),"imperfeição")</f>
        <v>imperfeição</v>
      </c>
      <c r="B14115" s="3">
        <v>0</v>
      </c>
    </row>
    <row r="14116" ht="15.75" customHeight="1" spans="1:2">
      <c r="A14116" s="3" t="str">
        <f>IFERROR(__xludf.DUMMYFUNCTION("GOOGLETRANSLATE(A14116,""en"",""pt"")"),"imperfeições")</f>
        <v>imperfeições</v>
      </c>
      <c r="B14116" s="3">
        <v>0</v>
      </c>
    </row>
    <row r="14117" ht="15.75" customHeight="1" spans="1:2">
      <c r="A14117" s="3" t="str">
        <f>IFERROR(__xludf.DUMMYFUNCTION("GOOGLETRANSLATE(A14117,""en"",""pt"")"),"imperfeitamente")</f>
        <v>imperfeitamente</v>
      </c>
      <c r="B14117" s="3">
        <v>0</v>
      </c>
    </row>
    <row r="14118" ht="15.75" customHeight="1" spans="1:2">
      <c r="A14118" s="3" t="str">
        <f>IFERROR(__xludf.DUMMYFUNCTION("GOOGLETRANSLATE(A14118,""en"",""pt"")"),"imperialista")</f>
        <v>imperialista</v>
      </c>
      <c r="B14118" s="3">
        <v>0</v>
      </c>
    </row>
    <row r="14119" ht="15.75" customHeight="1" spans="1:2">
      <c r="A14119" s="3" t="str">
        <f>IFERROR(__xludf.DUMMYFUNCTION("GOOGLETRANSLATE(A14119,""en"",""pt"")"),"representam um perigo")</f>
        <v>representam um perigo</v>
      </c>
      <c r="B14119" s="3">
        <v>0</v>
      </c>
    </row>
    <row r="14120" ht="15.75" customHeight="1" spans="1:2">
      <c r="A14120" s="3" t="str">
        <f>IFERROR(__xludf.DUMMYFUNCTION("GOOGLETRANSLATE(A14120,""en"",""pt"")"),"imperioso")</f>
        <v>imperioso</v>
      </c>
      <c r="B14120" s="3">
        <v>0</v>
      </c>
    </row>
    <row r="14121" ht="15.75" customHeight="1" spans="1:2">
      <c r="A14121" s="3" t="str">
        <f>IFERROR(__xludf.DUMMYFUNCTION("GOOGLETRANSLATE(A14121,""en"",""pt"")"),"imperiosamente")</f>
        <v>imperiosamente</v>
      </c>
      <c r="B14121" s="3">
        <v>0</v>
      </c>
    </row>
    <row r="14122" ht="15.75" customHeight="1" spans="1:2">
      <c r="A14122" s="3" t="str">
        <f>IFERROR(__xludf.DUMMYFUNCTION("GOOGLETRANSLATE(A14122,""en"",""pt"")"),"impermissible")</f>
        <v>impermissible</v>
      </c>
      <c r="B14122" s="3">
        <v>0</v>
      </c>
    </row>
    <row r="14123" ht="15.75" customHeight="1" spans="1:2">
      <c r="A14123" s="3" t="str">
        <f>IFERROR(__xludf.DUMMYFUNCTION("GOOGLETRANSLATE(A14123,""en"",""pt"")"),"impessoal")</f>
        <v>impessoal</v>
      </c>
      <c r="B14123" s="3">
        <v>0</v>
      </c>
    </row>
    <row r="14124" ht="15.75" customHeight="1" spans="1:2">
      <c r="A14124" s="3" t="str">
        <f>IFERROR(__xludf.DUMMYFUNCTION("GOOGLETRANSLATE(A14124,""en"",""pt"")"),"impertinente")</f>
        <v>impertinente</v>
      </c>
      <c r="B14124" s="3">
        <v>0</v>
      </c>
    </row>
    <row r="14125" ht="15.75" customHeight="1" spans="1:2">
      <c r="A14125" s="3" t="str">
        <f>IFERROR(__xludf.DUMMYFUNCTION("GOOGLETRANSLATE(A14125,""en"",""pt"")"),"impetuoso")</f>
        <v>impetuoso</v>
      </c>
      <c r="B14125" s="3">
        <v>0</v>
      </c>
    </row>
    <row r="14126" ht="15.75" customHeight="1" spans="1:2">
      <c r="A14126" s="3" t="str">
        <f>IFERROR(__xludf.DUMMYFUNCTION("GOOGLETRANSLATE(A14126,""en"",""pt"")"),"impetuosamente")</f>
        <v>impetuosamente</v>
      </c>
      <c r="B14126" s="3">
        <v>0</v>
      </c>
    </row>
    <row r="14127" ht="15.75" customHeight="1" spans="1:2">
      <c r="A14127" s="3" t="str">
        <f>IFERROR(__xludf.DUMMYFUNCTION("GOOGLETRANSLATE(A14127,""en"",""pt"")"),"impiedade")</f>
        <v>impiedade</v>
      </c>
      <c r="B14127" s="3">
        <v>0</v>
      </c>
    </row>
    <row r="14128" ht="15.75" customHeight="1" spans="1:2">
      <c r="A14128" s="3" t="str">
        <f>IFERROR(__xludf.DUMMYFUNCTION("GOOGLETRANSLATE(A14128,""en"",""pt"")"),"impinge")</f>
        <v>impinge</v>
      </c>
      <c r="B14128" s="3">
        <v>0</v>
      </c>
    </row>
    <row r="14129" ht="15.75" customHeight="1" spans="1:2">
      <c r="A14129" s="3" t="str">
        <f>IFERROR(__xludf.DUMMYFUNCTION("GOOGLETRANSLATE(A14129,""en"",""pt"")"),"ímpio")</f>
        <v>ímpio</v>
      </c>
      <c r="B14129" s="3">
        <v>0</v>
      </c>
    </row>
    <row r="14130" ht="15.75" customHeight="1" spans="1:2">
      <c r="A14130" s="3" t="str">
        <f>IFERROR(__xludf.DUMMYFUNCTION("GOOGLETRANSLATE(A14130,""en"",""pt"")"),"implacável")</f>
        <v>implacável</v>
      </c>
      <c r="B14130" s="3">
        <v>0</v>
      </c>
    </row>
    <row r="14131" ht="15.75" customHeight="1" spans="1:2">
      <c r="A14131" s="3" t="str">
        <f>IFERROR(__xludf.DUMMYFUNCTION("GOOGLETRANSLATE(A14131,""en"",""pt"")"),"inverossímil")</f>
        <v>inverossímil</v>
      </c>
      <c r="B14131" s="3">
        <v>0</v>
      </c>
    </row>
    <row r="14132" ht="15.75" customHeight="1" spans="1:2">
      <c r="A14132" s="3" t="str">
        <f>IFERROR(__xludf.DUMMYFUNCTION("GOOGLETRANSLATE(A14132,""en"",""pt"")"),"implausivelmente")</f>
        <v>implausivelmente</v>
      </c>
      <c r="B14132" s="3">
        <v>0</v>
      </c>
    </row>
    <row r="14133" ht="15.75" customHeight="1" spans="1:2">
      <c r="A14133" s="3" t="str">
        <f>IFERROR(__xludf.DUMMYFUNCTION("GOOGLETRANSLATE(A14133,""en"",""pt"")"),"implicada")</f>
        <v>implicada</v>
      </c>
      <c r="B14133" s="3">
        <v>0</v>
      </c>
    </row>
    <row r="14134" ht="15.75" customHeight="1" spans="1:2">
      <c r="A14134" s="3" t="str">
        <f>IFERROR(__xludf.DUMMYFUNCTION("GOOGLETRANSLATE(A14134,""en"",""pt"")"),"implicação")</f>
        <v>implicação</v>
      </c>
      <c r="B14134" s="3">
        <v>0</v>
      </c>
    </row>
    <row r="14135" ht="15.75" customHeight="1" spans="1:2">
      <c r="A14135" s="3" t="str">
        <f>IFERROR(__xludf.DUMMYFUNCTION("GOOGLETRANSLATE(A14135,""en"",""pt"")"),"implodir")</f>
        <v>implodir</v>
      </c>
      <c r="B14135" s="3">
        <v>0</v>
      </c>
    </row>
    <row r="14136" ht="15.75" customHeight="1" spans="1:2">
      <c r="A14136" s="3" t="str">
        <f>IFERROR(__xludf.DUMMYFUNCTION("GOOGLETRANSLATE(A14136,""en"",""pt"")"),"indelicado")</f>
        <v>indelicado</v>
      </c>
      <c r="B14136" s="3">
        <v>0</v>
      </c>
    </row>
    <row r="14137" ht="15.75" customHeight="1" spans="1:2">
      <c r="A14137" s="3" t="str">
        <f>IFERROR(__xludf.DUMMYFUNCTION("GOOGLETRANSLATE(A14137,""en"",""pt"")"),"impolitely")</f>
        <v>impolitely</v>
      </c>
      <c r="B14137" s="3">
        <v>0</v>
      </c>
    </row>
    <row r="14138" ht="15.75" customHeight="1" spans="1:2">
      <c r="A14138" s="3" t="str">
        <f>IFERROR(__xludf.DUMMYFUNCTION("GOOGLETRANSLATE(A14138,""en"",""pt"")"),"imprudente")</f>
        <v>imprudente</v>
      </c>
      <c r="B14138" s="3">
        <v>0</v>
      </c>
    </row>
    <row r="14139" ht="15.75" customHeight="1" spans="1:2">
      <c r="A14139" s="3" t="s">
        <v>67</v>
      </c>
      <c r="B14139" s="3">
        <v>0</v>
      </c>
    </row>
    <row r="14140" ht="15.75" customHeight="1" spans="1:2">
      <c r="A14140" s="3" t="str">
        <f>IFERROR(__xludf.DUMMYFUNCTION("GOOGLETRANSLATE(A14140,""en"",""pt"")"),"importunar")</f>
        <v>importunar</v>
      </c>
      <c r="B14140" s="3">
        <v>0</v>
      </c>
    </row>
    <row r="14141" ht="15.75" customHeight="1" spans="1:2">
      <c r="A14141" s="3" t="str">
        <f>IFERROR(__xludf.DUMMYFUNCTION("GOOGLETRANSLATE(A14141,""en"",""pt"")"),"impor")</f>
        <v>impor</v>
      </c>
      <c r="B14141" s="3">
        <v>0</v>
      </c>
    </row>
    <row r="14142" ht="15.75" customHeight="1" spans="1:2">
      <c r="A14142" s="3" t="str">
        <f>IFERROR(__xludf.DUMMYFUNCTION("GOOGLETRANSLATE(A14142,""en"",""pt"")"),"impostores")</f>
        <v>impostores</v>
      </c>
      <c r="B14142" s="3">
        <v>0</v>
      </c>
    </row>
    <row r="14143" ht="15.75" customHeight="1" spans="1:2">
      <c r="A14143" s="3" t="str">
        <f>IFERROR(__xludf.DUMMYFUNCTION("GOOGLETRANSLATE(A14143,""en"",""pt"")"),"imponente")</f>
        <v>imponente</v>
      </c>
      <c r="B14143" s="3">
        <v>0</v>
      </c>
    </row>
    <row r="14144" ht="15.75" customHeight="1" spans="1:2">
      <c r="A14144" s="3" t="str">
        <f>IFERROR(__xludf.DUMMYFUNCTION("GOOGLETRANSLATE(A14144,""en"",""pt"")"),"imposição")</f>
        <v>imposição</v>
      </c>
      <c r="B14144" s="3">
        <v>0</v>
      </c>
    </row>
    <row r="14145" ht="15.75" customHeight="1" spans="1:2">
      <c r="A14145" s="3" t="str">
        <f>IFERROR(__xludf.DUMMYFUNCTION("GOOGLETRANSLATE(A14145,""en"",""pt"")"),"impossível")</f>
        <v>impossível</v>
      </c>
      <c r="B14145" s="3">
        <v>0</v>
      </c>
    </row>
    <row r="14146" ht="15.75" customHeight="1" spans="1:2">
      <c r="A14146" s="3" t="s">
        <v>68</v>
      </c>
      <c r="B14146" s="3">
        <v>0</v>
      </c>
    </row>
    <row r="14147" ht="15.75" customHeight="1" spans="1:2">
      <c r="A14147" s="3" t="str">
        <f>IFERROR(__xludf.DUMMYFUNCTION("GOOGLETRANSLATE(A14147,""en"",""pt"")"),"impossivel")</f>
        <v>impossivel</v>
      </c>
      <c r="B14147" s="3">
        <v>0</v>
      </c>
    </row>
    <row r="14148" ht="15.75" customHeight="1" spans="1:2">
      <c r="A14148" s="3" t="str">
        <f>IFERROR(__xludf.DUMMYFUNCTION("GOOGLETRANSLATE(A14148,""en"",""pt"")"),"impotente")</f>
        <v>impotente</v>
      </c>
      <c r="B14148" s="3">
        <v>0</v>
      </c>
    </row>
    <row r="14149" ht="15.75" customHeight="1" spans="1:2">
      <c r="A14149" s="3" t="str">
        <f>IFERROR(__xludf.DUMMYFUNCTION("GOOGLETRANSLATE(A14149,""en"",""pt"")"),"empobrecer")</f>
        <v>empobrecer</v>
      </c>
      <c r="B14149" s="3">
        <v>0</v>
      </c>
    </row>
    <row r="14150" ht="15.75" customHeight="1" spans="1:2">
      <c r="A14150" s="3" t="str">
        <f>IFERROR(__xludf.DUMMYFUNCTION("GOOGLETRANSLATE(A14150,""en"",""pt"")"),"empobrecida")</f>
        <v>empobrecida</v>
      </c>
      <c r="B14150" s="3">
        <v>0</v>
      </c>
    </row>
    <row r="14151" ht="15.75" customHeight="1" spans="1:2">
      <c r="A14151" s="3" t="str">
        <f>IFERROR(__xludf.DUMMYFUNCTION("GOOGLETRANSLATE(A14151,""en"",""pt"")"),"impraticável")</f>
        <v>impraticável</v>
      </c>
      <c r="B14151" s="3">
        <v>0</v>
      </c>
    </row>
    <row r="14152" ht="15.75" customHeight="1" spans="1:2">
      <c r="A14152" s="3" t="str">
        <f>IFERROR(__xludf.DUMMYFUNCTION("GOOGLETRANSLATE(A14152,""en"",""pt"")"),"maldizer")</f>
        <v>maldizer</v>
      </c>
      <c r="B14152" s="3">
        <v>0</v>
      </c>
    </row>
    <row r="14153" ht="15.75" customHeight="1" spans="1:2">
      <c r="A14153" s="3" t="str">
        <f>IFERROR(__xludf.DUMMYFUNCTION("GOOGLETRANSLATE(A14153,""en"",""pt"")"),"impreciso")</f>
        <v>impreciso</v>
      </c>
      <c r="B14153" s="3">
        <v>0</v>
      </c>
    </row>
    <row r="14154" ht="15.75" customHeight="1" spans="1:2">
      <c r="A14154" s="3" t="str">
        <f>IFERROR(__xludf.DUMMYFUNCTION("GOOGLETRANSLATE(A14154,""en"",""pt"")"),"imprecisely")</f>
        <v>imprecisely</v>
      </c>
      <c r="B14154" s="3">
        <v>0</v>
      </c>
    </row>
    <row r="14155" ht="15.75" customHeight="1" spans="1:2">
      <c r="A14155" s="3" t="str">
        <f>IFERROR(__xludf.DUMMYFUNCTION("GOOGLETRANSLATE(A14155,""en"",""pt"")"),"imprecisão")</f>
        <v>imprecisão</v>
      </c>
      <c r="B14155" s="3">
        <v>0</v>
      </c>
    </row>
    <row r="14156" ht="15.75" customHeight="1" spans="1:2">
      <c r="A14156" s="3" t="str">
        <f>IFERROR(__xludf.DUMMYFUNCTION("GOOGLETRANSLATE(A14156,""en"",""pt"")"),"aprisionar")</f>
        <v>aprisionar</v>
      </c>
      <c r="B14156" s="3">
        <v>0</v>
      </c>
    </row>
    <row r="14157" ht="15.75" customHeight="1" spans="1:2">
      <c r="A14157" s="3" t="str">
        <f>IFERROR(__xludf.DUMMYFUNCTION("GOOGLETRANSLATE(A14157,""en"",""pt"")"),"prisão")</f>
        <v>prisão</v>
      </c>
      <c r="B14157" s="3">
        <v>0</v>
      </c>
    </row>
    <row r="14158" ht="15.75" customHeight="1" spans="1:2">
      <c r="A14158" s="3" t="str">
        <f>IFERROR(__xludf.DUMMYFUNCTION("GOOGLETRANSLATE(A14158,""en"",""pt"")"),"improbabilidade")</f>
        <v>improbabilidade</v>
      </c>
      <c r="B14158" s="3">
        <v>0</v>
      </c>
    </row>
    <row r="14159" ht="15.75" customHeight="1" spans="1:2">
      <c r="A14159" s="3" t="str">
        <f>IFERROR(__xludf.DUMMYFUNCTION("GOOGLETRANSLATE(A14159,""en"",""pt"")"),"improvável")</f>
        <v>improvável</v>
      </c>
      <c r="B14159" s="3">
        <v>0</v>
      </c>
    </row>
    <row r="14160" ht="15.75" customHeight="1" spans="1:2">
      <c r="A14160" s="3" t="str">
        <f>IFERROR(__xludf.DUMMYFUNCTION("GOOGLETRANSLATE(A14160,""en"",""pt"")"),"improvavelmente")</f>
        <v>improvavelmente</v>
      </c>
      <c r="B14160" s="3">
        <v>0</v>
      </c>
    </row>
    <row r="14161" ht="15.75" customHeight="1" spans="1:2">
      <c r="A14161" s="3" t="str">
        <f>IFERROR(__xludf.DUMMYFUNCTION("GOOGLETRANSLATE(A14161,""en"",""pt"")"),"impróprio")</f>
        <v>impróprio</v>
      </c>
      <c r="B14161" s="3">
        <v>0</v>
      </c>
    </row>
    <row r="14162" ht="15.75" customHeight="1" spans="1:2">
      <c r="A14162" s="3" t="str">
        <f>IFERROR(__xludf.DUMMYFUNCTION("GOOGLETRANSLATE(A14162,""en"",""pt"")"),"impropriamente")</f>
        <v>impropriamente</v>
      </c>
      <c r="B14162" s="3">
        <v>0</v>
      </c>
    </row>
    <row r="14163" ht="15.75" customHeight="1" spans="1:2">
      <c r="A14163" s="3" t="str">
        <f>IFERROR(__xludf.DUMMYFUNCTION("GOOGLETRANSLATE(A14163,""en"",""pt"")"),"impropriedade")</f>
        <v>impropriedade</v>
      </c>
      <c r="B14163" s="3">
        <v>0</v>
      </c>
    </row>
    <row r="14164" ht="15.75" customHeight="1" spans="1:2">
      <c r="A14164" s="3" t="str">
        <f>IFERROR(__xludf.DUMMYFUNCTION("GOOGLETRANSLATE(A14164,""en"",""pt"")"),"imprudência")</f>
        <v>imprudência</v>
      </c>
      <c r="B14164" s="3">
        <v>0</v>
      </c>
    </row>
    <row r="14165" ht="15.75" customHeight="1" spans="1:2">
      <c r="A14165" s="3" t="str">
        <f>IFERROR(__xludf.DUMMYFUNCTION("GOOGLETRANSLATE(A14165,""en"",""pt"")"),"imprudente")</f>
        <v>imprudente</v>
      </c>
      <c r="B14165" s="3">
        <v>0</v>
      </c>
    </row>
    <row r="14166" ht="15.75" customHeight="1" spans="1:2">
      <c r="A14166" s="3" t="str">
        <f>IFERROR(__xludf.DUMMYFUNCTION("GOOGLETRANSLATE(A14166,""en"",""pt"")"),"impudência")</f>
        <v>impudência</v>
      </c>
      <c r="B14166" s="3">
        <v>0</v>
      </c>
    </row>
    <row r="14167" ht="15.75" customHeight="1" spans="1:2">
      <c r="A14167" s="3" t="str">
        <f>IFERROR(__xludf.DUMMYFUNCTION("GOOGLETRANSLATE(A14167,""en"",""pt"")"),"impudente")</f>
        <v>impudente</v>
      </c>
      <c r="B14167" s="3">
        <v>0</v>
      </c>
    </row>
    <row r="14168" ht="15.75" customHeight="1" spans="1:2">
      <c r="A14168" s="3" t="str">
        <f>IFERROR(__xludf.DUMMYFUNCTION("GOOGLETRANSLATE(A14168,""en"",""pt"")"),"impudently")</f>
        <v>impudently</v>
      </c>
      <c r="B14168" s="3">
        <v>0</v>
      </c>
    </row>
    <row r="14169" ht="15.75" customHeight="1" spans="1:2">
      <c r="A14169" s="3" t="str">
        <f>IFERROR(__xludf.DUMMYFUNCTION("GOOGLETRANSLATE(A14169,""en"",""pt"")"),"impugnar")</f>
        <v>impugnar</v>
      </c>
      <c r="B14169" s="3">
        <v>0</v>
      </c>
    </row>
    <row r="14170" ht="15.75" customHeight="1" spans="1:2">
      <c r="A14170" s="3" t="str">
        <f>IFERROR(__xludf.DUMMYFUNCTION("GOOGLETRANSLATE(A14170,""en"",""pt"")"),"impulsivo")</f>
        <v>impulsivo</v>
      </c>
      <c r="B14170" s="3">
        <v>0</v>
      </c>
    </row>
    <row r="14171" ht="15.75" customHeight="1" spans="1:2">
      <c r="A14171" s="3" t="str">
        <f>IFERROR(__xludf.DUMMYFUNCTION("GOOGLETRANSLATE(A14171,""en"",""pt"")"),"impulsivamente")</f>
        <v>impulsivamente</v>
      </c>
      <c r="B14171" s="3">
        <v>0</v>
      </c>
    </row>
    <row r="14172" ht="15.75" customHeight="1" spans="1:2">
      <c r="A14172" s="3" t="str">
        <f>IFERROR(__xludf.DUMMYFUNCTION("GOOGLETRANSLATE(A14172,""en"",""pt"")"),"impunidade")</f>
        <v>impunidade</v>
      </c>
      <c r="B14172" s="3">
        <v>0</v>
      </c>
    </row>
    <row r="14173" ht="15.75" customHeight="1" spans="1:2">
      <c r="A14173" s="3" t="str">
        <f>IFERROR(__xludf.DUMMYFUNCTION("GOOGLETRANSLATE(A14173,""en"",""pt"")"),"impuro")</f>
        <v>impuro</v>
      </c>
      <c r="B14173" s="3">
        <v>0</v>
      </c>
    </row>
    <row r="14174" ht="15.75" customHeight="1" spans="1:2">
      <c r="A14174" s="3" t="str">
        <f>IFERROR(__xludf.DUMMYFUNCTION("GOOGLETRANSLATE(A14174,""en"",""pt"")"),"impureza")</f>
        <v>impureza</v>
      </c>
      <c r="B14174" s="3">
        <v>0</v>
      </c>
    </row>
    <row r="14175" ht="15.75" customHeight="1" spans="1:2">
      <c r="A14175" s="3" t="str">
        <f>IFERROR(__xludf.DUMMYFUNCTION("GOOGLETRANSLATE(A14175,""en"",""pt"")"),"incapacidade")</f>
        <v>incapacidade</v>
      </c>
      <c r="B14175" s="3">
        <v>0</v>
      </c>
    </row>
    <row r="14176" ht="15.75" customHeight="1" spans="1:2">
      <c r="A14176" s="3" t="str">
        <f>IFERROR(__xludf.DUMMYFUNCTION("GOOGLETRANSLATE(A14176,""en"",""pt"")"),"imprecisões")</f>
        <v>imprecisões</v>
      </c>
      <c r="B14176" s="3">
        <v>0</v>
      </c>
    </row>
    <row r="14177" ht="15.75" customHeight="1" spans="1:2">
      <c r="A14177" s="3" t="str">
        <f>IFERROR(__xludf.DUMMYFUNCTION("GOOGLETRANSLATE(A14177,""en"",""pt"")"),"inexatidão")</f>
        <v>inexatidão</v>
      </c>
      <c r="B14177" s="3">
        <v>0</v>
      </c>
    </row>
    <row r="14178" ht="15.75" customHeight="1" spans="1:2">
      <c r="A14178" s="3" t="str">
        <f>IFERROR(__xludf.DUMMYFUNCTION("GOOGLETRANSLATE(A14178,""en"",""pt"")"),"impreciso")</f>
        <v>impreciso</v>
      </c>
      <c r="B14178" s="3">
        <v>0</v>
      </c>
    </row>
    <row r="14179" ht="15.75" customHeight="1" spans="1:2">
      <c r="A14179" s="3" t="str">
        <f>IFERROR(__xludf.DUMMYFUNCTION("GOOGLETRANSLATE(A14179,""en"",""pt"")"),"imprecisamente")</f>
        <v>imprecisamente</v>
      </c>
      <c r="B14179" s="3">
        <v>0</v>
      </c>
    </row>
    <row r="14180" ht="15.75" customHeight="1" spans="1:2">
      <c r="A14180" s="3" t="str">
        <f>IFERROR(__xludf.DUMMYFUNCTION("GOOGLETRANSLATE(A14180,""en"",""pt"")"),"inação")</f>
        <v>inação</v>
      </c>
      <c r="B14180" s="3">
        <v>0</v>
      </c>
    </row>
    <row r="14181" ht="15.75" customHeight="1" spans="1:2">
      <c r="A14181" s="3" t="str">
        <f>IFERROR(__xludf.DUMMYFUNCTION("GOOGLETRANSLATE(A14181,""en"",""pt"")"),"inativo")</f>
        <v>inativo</v>
      </c>
      <c r="B14181" s="3">
        <v>0</v>
      </c>
    </row>
    <row r="14182" ht="15.75" customHeight="1" spans="1:2">
      <c r="A14182" s="3" t="str">
        <f>IFERROR(__xludf.DUMMYFUNCTION("GOOGLETRANSLATE(A14182,""en"",""pt"")"),"inadequação")</f>
        <v>inadequação</v>
      </c>
      <c r="B14182" s="3">
        <v>0</v>
      </c>
    </row>
    <row r="14183" ht="15.75" customHeight="1" spans="1:2">
      <c r="A14183" s="3" t="str">
        <f>IFERROR(__xludf.DUMMYFUNCTION("GOOGLETRANSLATE(A14183,""en"",""pt"")"),"inadequado")</f>
        <v>inadequado</v>
      </c>
      <c r="B14183" s="3">
        <v>0</v>
      </c>
    </row>
    <row r="14184" ht="15.75" customHeight="1" spans="1:2">
      <c r="A14184" s="3" t="str">
        <f>IFERROR(__xludf.DUMMYFUNCTION("GOOGLETRANSLATE(A14184,""en"",""pt"")"),"inadequadamente")</f>
        <v>inadequadamente</v>
      </c>
      <c r="B14184" s="3">
        <v>0</v>
      </c>
    </row>
    <row r="14185" ht="15.75" customHeight="1" spans="1:2">
      <c r="A14185" s="3" t="str">
        <f>IFERROR(__xludf.DUMMYFUNCTION("GOOGLETRANSLATE(A14185,""en"",""pt"")"),"inadverent")</f>
        <v>inadverent</v>
      </c>
      <c r="B14185" s="3">
        <v>0</v>
      </c>
    </row>
    <row r="14186" ht="15.75" customHeight="1" spans="1:2">
      <c r="A14186" s="3" t="str">
        <f>IFERROR(__xludf.DUMMYFUNCTION("GOOGLETRANSLATE(A14186,""en"",""pt"")"),"inadverently")</f>
        <v>inadverently</v>
      </c>
      <c r="B14186" s="3">
        <v>0</v>
      </c>
    </row>
    <row r="14187" ht="15.75" customHeight="1" spans="1:2">
      <c r="A14187" s="3" t="str">
        <f>IFERROR(__xludf.DUMMYFUNCTION("GOOGLETRANSLATE(A14187,""en"",""pt"")"),"inoportuno")</f>
        <v>inoportuno</v>
      </c>
      <c r="B14187" s="3">
        <v>0</v>
      </c>
    </row>
    <row r="14188" ht="15.75" customHeight="1" spans="1:2">
      <c r="A14188" s="3" t="str">
        <f>IFERROR(__xludf.DUMMYFUNCTION("GOOGLETRANSLATE(A14188,""en"",""pt"")"),"inadvisably")</f>
        <v>inadvisably</v>
      </c>
      <c r="B14188" s="3">
        <v>0</v>
      </c>
    </row>
    <row r="14189" ht="15.75" customHeight="1" spans="1:2">
      <c r="A14189" s="3" t="str">
        <f>IFERROR(__xludf.DUMMYFUNCTION("GOOGLETRANSLATE(A14189,""en"",""pt"")"),"fútil")</f>
        <v>fútil</v>
      </c>
      <c r="B14189" s="3">
        <v>0</v>
      </c>
    </row>
    <row r="14190" ht="15.75" customHeight="1" spans="1:2">
      <c r="A14190" s="3" t="str">
        <f>IFERROR(__xludf.DUMMYFUNCTION("GOOGLETRANSLATE(A14190,""en"",""pt"")"),"inanely")</f>
        <v>inanely</v>
      </c>
      <c r="B14190" s="3">
        <v>0</v>
      </c>
    </row>
    <row r="14191" ht="15.75" customHeight="1" spans="1:2">
      <c r="A14191" s="3" t="s">
        <v>69</v>
      </c>
      <c r="B14191" s="3">
        <v>0</v>
      </c>
    </row>
    <row r="14192" ht="15.75" customHeight="1" spans="1:2">
      <c r="A14192" s="3" t="str">
        <f>IFERROR(__xludf.DUMMYFUNCTION("GOOGLETRANSLATE(A14192,""en"",""pt"")"),"inapropriadamente")</f>
        <v>inapropriadamente</v>
      </c>
      <c r="B14192" s="3">
        <v>0</v>
      </c>
    </row>
    <row r="14193" ht="15.75" customHeight="1" spans="1:2">
      <c r="A14193" s="3" t="str">
        <f>IFERROR(__xludf.DUMMYFUNCTION("GOOGLETRANSLATE(A14193,""en"",""pt"")"),"inapto")</f>
        <v>inapto</v>
      </c>
      <c r="B14193" s="3">
        <v>0</v>
      </c>
    </row>
    <row r="14194" ht="15.75" customHeight="1" spans="1:2">
      <c r="A14194" s="3" t="str">
        <f>IFERROR(__xludf.DUMMYFUNCTION("GOOGLETRANSLATE(A14194,""en"",""pt"")"),"inaptidão")</f>
        <v>inaptidão</v>
      </c>
      <c r="B14194" s="3">
        <v>0</v>
      </c>
    </row>
    <row r="14195" ht="15.75" customHeight="1" spans="1:2">
      <c r="A14195" s="3" t="str">
        <f>IFERROR(__xludf.DUMMYFUNCTION("GOOGLETRANSLATE(A14195,""en"",""pt"")"),"inarticulado")</f>
        <v>inarticulado</v>
      </c>
      <c r="B14195" s="3">
        <v>0</v>
      </c>
    </row>
    <row r="14196" ht="15.75" customHeight="1" spans="1:2">
      <c r="A14196" s="3" t="str">
        <f>IFERROR(__xludf.DUMMYFUNCTION("GOOGLETRANSLATE(A14196,""en"",""pt"")"),"desatento")</f>
        <v>desatento</v>
      </c>
      <c r="B14196" s="3">
        <v>0</v>
      </c>
    </row>
    <row r="14197" ht="15.75" customHeight="1" spans="1:2">
      <c r="A14197" s="3" t="str">
        <f>IFERROR(__xludf.DUMMYFUNCTION("GOOGLETRANSLATE(A14197,""en"",""pt"")"),"inaudível")</f>
        <v>inaudível</v>
      </c>
      <c r="B14197" s="3">
        <v>0</v>
      </c>
    </row>
    <row r="14198" ht="15.75" customHeight="1" spans="1:2">
      <c r="A14198" s="3" t="str">
        <f>IFERROR(__xludf.DUMMYFUNCTION("GOOGLETRANSLATE(A14198,""en"",""pt"")"),"incapaz")</f>
        <v>incapaz</v>
      </c>
      <c r="B14198" s="3">
        <v>0</v>
      </c>
    </row>
    <row r="14199" ht="15.75" customHeight="1" spans="1:2">
      <c r="A14199" s="3" t="str">
        <f>IFERROR(__xludf.DUMMYFUNCTION("GOOGLETRANSLATE(A14199,""en"",""pt"")"),"incapably")</f>
        <v>incapably</v>
      </c>
      <c r="B14199" s="3">
        <v>0</v>
      </c>
    </row>
    <row r="14200" ht="15.75" customHeight="1" spans="1:2">
      <c r="A14200" s="3" t="str">
        <f>IFERROR(__xludf.DUMMYFUNCTION("GOOGLETRANSLATE(A14200,""en"",""pt"")"),"descuidado")</f>
        <v>descuidado</v>
      </c>
      <c r="B14200" s="3">
        <v>0</v>
      </c>
    </row>
    <row r="14201" ht="15.75" customHeight="1" spans="1:2">
      <c r="A14201" s="3" t="str">
        <f>IFERROR(__xludf.DUMMYFUNCTION("GOOGLETRANSLATE(A14201,""en"",""pt"")"),"incendiário")</f>
        <v>incendiário</v>
      </c>
      <c r="B14201" s="3">
        <v>0</v>
      </c>
    </row>
    <row r="14202" ht="15.75" customHeight="1" spans="1:2">
      <c r="A14202" s="3" t="str">
        <f>IFERROR(__xludf.DUMMYFUNCTION("GOOGLETRANSLATE(A14202,""en"",""pt"")"),"incenso")</f>
        <v>incenso</v>
      </c>
      <c r="B14202" s="3">
        <v>0</v>
      </c>
    </row>
    <row r="14203" ht="15.75" customHeight="1" spans="1:2">
      <c r="A14203" s="3" t="str">
        <f>IFERROR(__xludf.DUMMYFUNCTION("GOOGLETRANSLATE(A14203,""en"",""pt"")"),"incessante")</f>
        <v>incessante</v>
      </c>
      <c r="B14203" s="3">
        <v>0</v>
      </c>
    </row>
    <row r="14204" ht="15.75" customHeight="1" spans="1:2">
      <c r="A14204" s="3" t="str">
        <f>IFERROR(__xludf.DUMMYFUNCTION("GOOGLETRANSLATE(A14204,""en"",""pt"")"),"incessantemente")</f>
        <v>incessantemente</v>
      </c>
      <c r="B14204" s="3">
        <v>0</v>
      </c>
    </row>
    <row r="14205" ht="15.75" customHeight="1" spans="1:2">
      <c r="A14205" s="3" t="str">
        <f>IFERROR(__xludf.DUMMYFUNCTION("GOOGLETRANSLATE(A14205,""en"",""pt"")"),"incitar")</f>
        <v>incitar</v>
      </c>
      <c r="B14205" s="3">
        <v>0</v>
      </c>
    </row>
    <row r="14206" ht="15.75" customHeight="1" spans="1:2">
      <c r="A14206" s="3" t="str">
        <f>IFERROR(__xludf.DUMMYFUNCTION("GOOGLETRANSLATE(A14206,""en"",""pt"")"),"incitamento")</f>
        <v>incitamento</v>
      </c>
      <c r="B14206" s="3">
        <v>0</v>
      </c>
    </row>
    <row r="14207" ht="15.75" customHeight="1" spans="1:2">
      <c r="A14207" s="3" t="str">
        <f>IFERROR(__xludf.DUMMYFUNCTION("GOOGLETRANSLATE(A14207,""en"",""pt"")"),"incivilidade")</f>
        <v>incivilidade</v>
      </c>
      <c r="B14207" s="3">
        <v>0</v>
      </c>
    </row>
    <row r="14208" ht="15.75" customHeight="1" spans="1:2">
      <c r="A14208" s="3" t="str">
        <f>IFERROR(__xludf.DUMMYFUNCTION("GOOGLETRANSLATE(A14208,""en"",""pt"")"),"inclemente")</f>
        <v>inclemente</v>
      </c>
      <c r="B14208" s="3">
        <v>0</v>
      </c>
    </row>
    <row r="14209" ht="15.75" customHeight="1" spans="1:2">
      <c r="A14209" s="3" t="str">
        <f>IFERROR(__xludf.DUMMYFUNCTION("GOOGLETRANSLATE(A14209,""en"",""pt"")"),"desconhecedor")</f>
        <v>desconhecedor</v>
      </c>
      <c r="B14209" s="3">
        <v>0</v>
      </c>
    </row>
    <row r="14210" ht="15.75" customHeight="1" spans="1:2">
      <c r="A14210" s="3" t="str">
        <f>IFERROR(__xludf.DUMMYFUNCTION("GOOGLETRANSLATE(A14210,""en"",""pt"")"),"incoerência")</f>
        <v>incoerência</v>
      </c>
      <c r="B14210" s="3">
        <v>0</v>
      </c>
    </row>
    <row r="14211" ht="15.75" customHeight="1" spans="1:2">
      <c r="A14211" s="3" t="str">
        <f>IFERROR(__xludf.DUMMYFUNCTION("GOOGLETRANSLATE(A14211,""en"",""pt"")"),"incoerente")</f>
        <v>incoerente</v>
      </c>
      <c r="B14211" s="3">
        <v>0</v>
      </c>
    </row>
    <row r="14212" ht="15.75" customHeight="1" spans="1:2">
      <c r="A14212" s="3" t="str">
        <f>IFERROR(__xludf.DUMMYFUNCTION("GOOGLETRANSLATE(A14212,""en"",""pt"")"),"incoerentemente")</f>
        <v>incoerentemente</v>
      </c>
      <c r="B14212" s="3">
        <v>0</v>
      </c>
    </row>
    <row r="14213" ht="15.75" customHeight="1" spans="1:2">
      <c r="A14213" s="3" t="str">
        <f>IFERROR(__xludf.DUMMYFUNCTION("GOOGLETRANSLATE(A14213,""en"",""pt"")"),"incomensurável")</f>
        <v>incomensurável</v>
      </c>
      <c r="B14213" s="3">
        <v>0</v>
      </c>
    </row>
    <row r="14214" ht="15.75" customHeight="1" spans="1:2">
      <c r="A14214" s="3" t="str">
        <f>IFERROR(__xludf.DUMMYFUNCTION("GOOGLETRANSLATE(A14214,""en"",""pt"")"),"incomparável")</f>
        <v>incomparável</v>
      </c>
      <c r="B14214" s="3">
        <v>0</v>
      </c>
    </row>
    <row r="14215" ht="15.75" customHeight="1" spans="1:2">
      <c r="A14215" s="3" t="str">
        <f>IFERROR(__xludf.DUMMYFUNCTION("GOOGLETRANSLATE(A14215,""en"",""pt"")"),"incomparavelmente")</f>
        <v>incomparavelmente</v>
      </c>
      <c r="B14215" s="3">
        <v>0</v>
      </c>
    </row>
    <row r="14216" ht="15.75" customHeight="1" spans="1:2">
      <c r="A14216" s="3" t="str">
        <f>IFERROR(__xludf.DUMMYFUNCTION("GOOGLETRANSLATE(A14216,""en"",""pt"")"),"incompatability")</f>
        <v>incompatability</v>
      </c>
      <c r="B14216" s="3">
        <v>0</v>
      </c>
    </row>
    <row r="14217" ht="15.75" customHeight="1" spans="1:2">
      <c r="A14217" s="3" t="str">
        <f>IFERROR(__xludf.DUMMYFUNCTION("GOOGLETRANSLATE(A14217,""en"",""pt"")"),"incompatibilidade")</f>
        <v>incompatibilidade</v>
      </c>
      <c r="B14217" s="3">
        <v>0</v>
      </c>
    </row>
    <row r="14218" ht="15.75" customHeight="1" spans="1:2">
      <c r="A14218" s="3" t="str">
        <f>IFERROR(__xludf.DUMMYFUNCTION("GOOGLETRANSLATE(A14218,""en"",""pt"")"),"incompatível")</f>
        <v>incompatível</v>
      </c>
      <c r="B14218" s="3">
        <v>0</v>
      </c>
    </row>
    <row r="14219" ht="15.75" customHeight="1" spans="1:2">
      <c r="A14219" s="3" t="s">
        <v>70</v>
      </c>
      <c r="B14219" s="3">
        <v>0</v>
      </c>
    </row>
    <row r="14220" ht="15.75" customHeight="1" spans="1:2">
      <c r="A14220" s="3" t="str">
        <f>IFERROR(__xludf.DUMMYFUNCTION("GOOGLETRANSLATE(A14220,""en"",""pt"")"),"incompetente")</f>
        <v>incompetente</v>
      </c>
      <c r="B14220" s="3">
        <v>0</v>
      </c>
    </row>
    <row r="14221" ht="15.75" customHeight="1" spans="1:2">
      <c r="A14221" s="3" t="str">
        <f>IFERROR(__xludf.DUMMYFUNCTION("GOOGLETRANSLATE(A14221,""en"",""pt"")"),"incompetently")</f>
        <v>incompetently</v>
      </c>
      <c r="B14221" s="3">
        <v>0</v>
      </c>
    </row>
    <row r="14222" ht="15.75" customHeight="1" spans="1:2">
      <c r="A14222" s="3" t="str">
        <f>IFERROR(__xludf.DUMMYFUNCTION("GOOGLETRANSLATE(A14222,""en"",""pt"")"),"incompleto")</f>
        <v>incompleto</v>
      </c>
      <c r="B14222" s="3">
        <v>0</v>
      </c>
    </row>
    <row r="14223" ht="15.75" customHeight="1" spans="1:2">
      <c r="A14223" s="3" t="str">
        <f>IFERROR(__xludf.DUMMYFUNCTION("GOOGLETRANSLATE(A14223,""en"",""pt"")"),"incompliant")</f>
        <v>incompliant</v>
      </c>
      <c r="B14223" s="3">
        <v>0</v>
      </c>
    </row>
    <row r="14224" ht="15.75" customHeight="1" spans="1:2">
      <c r="A14224" s="3" t="str">
        <f>IFERROR(__xludf.DUMMYFUNCTION("GOOGLETRANSLATE(A14224,""en"",""pt"")"),"incompreensível")</f>
        <v>incompreensível</v>
      </c>
      <c r="B14224" s="3">
        <v>0</v>
      </c>
    </row>
    <row r="14225" ht="15.75" customHeight="1" spans="1:2">
      <c r="A14225" s="3" t="str">
        <f>IFERROR(__xludf.DUMMYFUNCTION("GOOGLETRANSLATE(A14225,""en"",""pt"")"),"incompreensão")</f>
        <v>incompreensão</v>
      </c>
      <c r="B14225" s="3">
        <v>0</v>
      </c>
    </row>
    <row r="14226" ht="15.75" customHeight="1" spans="1:2">
      <c r="A14226" s="3" t="str">
        <f>IFERROR(__xludf.DUMMYFUNCTION("GOOGLETRANSLATE(A14226,""en"",""pt"")"),"inconcebível")</f>
        <v>inconcebível</v>
      </c>
      <c r="B14226" s="3">
        <v>0</v>
      </c>
    </row>
    <row r="14227" ht="15.75" customHeight="1" spans="1:2">
      <c r="A14227" s="3" t="str">
        <f>IFERROR(__xludf.DUMMYFUNCTION("GOOGLETRANSLATE(A14227,""en"",""pt"")"),"inconcebivelmente")</f>
        <v>inconcebivelmente</v>
      </c>
      <c r="B14227" s="3">
        <v>0</v>
      </c>
    </row>
    <row r="14228" ht="15.75" customHeight="1" spans="1:2">
      <c r="A14228" s="3" t="str">
        <f>IFERROR(__xludf.DUMMYFUNCTION("GOOGLETRANSLATE(A14228,""en"",""pt"")"),"incongruente")</f>
        <v>incongruente</v>
      </c>
      <c r="B14228" s="3">
        <v>0</v>
      </c>
    </row>
    <row r="14229" ht="15.75" customHeight="1" spans="1:2">
      <c r="A14229" s="3" t="str">
        <f>IFERROR(__xludf.DUMMYFUNCTION("GOOGLETRANSLATE(A14229,""en"",""pt"")"),"incongruously")</f>
        <v>incongruously</v>
      </c>
      <c r="B14229" s="3">
        <v>0</v>
      </c>
    </row>
    <row r="14230" ht="15.75" customHeight="1" spans="1:2">
      <c r="A14230" s="3" t="str">
        <f>IFERROR(__xludf.DUMMYFUNCTION("GOOGLETRANSLATE(A14230,""en"",""pt"")"),"inconsequente")</f>
        <v>inconsequente</v>
      </c>
      <c r="B14230" s="3">
        <v>0</v>
      </c>
    </row>
    <row r="14231" ht="15.75" customHeight="1" spans="1:2">
      <c r="A14231" s="3" t="str">
        <f>IFERROR(__xludf.DUMMYFUNCTION("GOOGLETRANSLATE(A14231,""en"",""pt"")"),"sem importância")</f>
        <v>sem importância</v>
      </c>
      <c r="B14231" s="3">
        <v>0</v>
      </c>
    </row>
    <row r="14232" ht="15.75" customHeight="1" spans="1:2">
      <c r="A14232" s="3" t="str">
        <f>IFERROR(__xludf.DUMMYFUNCTION("GOOGLETRANSLATE(A14232,""en"",""pt"")"),"inconseqüentemente")</f>
        <v>inconseqüentemente</v>
      </c>
      <c r="B14232" s="3">
        <v>0</v>
      </c>
    </row>
    <row r="14233" ht="15.75" customHeight="1" spans="1:2">
      <c r="A14233" s="3" t="str">
        <f>IFERROR(__xludf.DUMMYFUNCTION("GOOGLETRANSLATE(A14233,""en"",""pt"")"),"inconseqüente")</f>
        <v>inconseqüente</v>
      </c>
      <c r="B14233" s="3">
        <v>0</v>
      </c>
    </row>
    <row r="14234" ht="15.75" customHeight="1" spans="1:2">
      <c r="A14234" s="3" t="str">
        <f>IFERROR(__xludf.DUMMYFUNCTION("GOOGLETRANSLATE(A14234,""en"",""pt"")"),"inconsiderado")</f>
        <v>inconsiderado</v>
      </c>
      <c r="B14234" s="3">
        <v>0</v>
      </c>
    </row>
    <row r="14235" ht="15.75" customHeight="1" spans="1:2">
      <c r="A14235" s="3" t="str">
        <f>IFERROR(__xludf.DUMMYFUNCTION("GOOGLETRANSLATE(A14235,""en"",""pt"")"),"inconsiderately")</f>
        <v>inconsiderately</v>
      </c>
      <c r="B14235" s="3">
        <v>0</v>
      </c>
    </row>
    <row r="14236" ht="15.75" customHeight="1" spans="1:2">
      <c r="A14236" s="3" t="str">
        <f>IFERROR(__xludf.DUMMYFUNCTION("GOOGLETRANSLATE(A14236,""en"",""pt"")"),"inconsistence")</f>
        <v>inconsistence</v>
      </c>
      <c r="B14236" s="3">
        <v>0</v>
      </c>
    </row>
    <row r="14237" ht="15.75" customHeight="1" spans="1:2">
      <c r="A14237" s="3" t="str">
        <f>IFERROR(__xludf.DUMMYFUNCTION("GOOGLETRANSLATE(A14237,""en"",""pt"")"),"inconsistências")</f>
        <v>inconsistências</v>
      </c>
      <c r="B14237" s="3">
        <v>0</v>
      </c>
    </row>
    <row r="14238" ht="15.75" customHeight="1" spans="1:2">
      <c r="A14238" s="3" t="str">
        <f>IFERROR(__xludf.DUMMYFUNCTION("GOOGLETRANSLATE(A14238,""en"",""pt"")"),"inconsistência")</f>
        <v>inconsistência</v>
      </c>
      <c r="B14238" s="3">
        <v>0</v>
      </c>
    </row>
    <row r="14239" ht="15.75" customHeight="1" spans="1:2">
      <c r="A14239" s="3" t="str">
        <f>IFERROR(__xludf.DUMMYFUNCTION("GOOGLETRANSLATE(A14239,""en"",""pt"")"),"inconsistente")</f>
        <v>inconsistente</v>
      </c>
      <c r="B14239" s="3">
        <v>0</v>
      </c>
    </row>
    <row r="14240" ht="15.75" customHeight="1" spans="1:2">
      <c r="A14240" s="3" t="str">
        <f>IFERROR(__xludf.DUMMYFUNCTION("GOOGLETRANSLATE(A14240,""en"",""pt"")"),"inconsolável")</f>
        <v>inconsolável</v>
      </c>
      <c r="B14240" s="3">
        <v>0</v>
      </c>
    </row>
    <row r="14241" ht="15.75" customHeight="1" spans="1:2">
      <c r="A14241" s="3" t="str">
        <f>IFERROR(__xludf.DUMMYFUNCTION("GOOGLETRANSLATE(A14241,""en"",""pt"")"),"inconsolavelmente")</f>
        <v>inconsolavelmente</v>
      </c>
      <c r="B14241" s="3">
        <v>0</v>
      </c>
    </row>
    <row r="14242" ht="15.75" customHeight="1" spans="1:2">
      <c r="A14242" s="3" t="str">
        <f>IFERROR(__xludf.DUMMYFUNCTION("GOOGLETRANSLATE(A14242,""en"",""pt"")"),"inconstante")</f>
        <v>inconstante</v>
      </c>
      <c r="B14242" s="3">
        <v>0</v>
      </c>
    </row>
    <row r="14243" ht="15.75" customHeight="1" spans="1:2">
      <c r="A14243" s="3" t="str">
        <f>IFERROR(__xludf.DUMMYFUNCTION("GOOGLETRANSLATE(A14243,""en"",""pt"")"),"inconveniência")</f>
        <v>inconveniência</v>
      </c>
      <c r="B14243" s="3">
        <v>0</v>
      </c>
    </row>
    <row r="14244" ht="15.75" customHeight="1" spans="1:2">
      <c r="A14244" s="3" t="str">
        <f>IFERROR(__xludf.DUMMYFUNCTION("GOOGLETRANSLATE(A14244,""en"",""pt"")"),"inconvenientemente")</f>
        <v>inconvenientemente</v>
      </c>
      <c r="B14244" s="3">
        <v>0</v>
      </c>
    </row>
    <row r="14245" ht="15.75" customHeight="1" spans="1:2">
      <c r="A14245" s="3" t="str">
        <f>IFERROR(__xludf.DUMMYFUNCTION("GOOGLETRANSLATE(A14245,""en"",""pt"")"),"incorreta")</f>
        <v>incorreta</v>
      </c>
      <c r="B14245" s="3">
        <v>0</v>
      </c>
    </row>
    <row r="14246" ht="15.75" customHeight="1" spans="1:2">
      <c r="A14246" s="3" t="str">
        <f>IFERROR(__xludf.DUMMYFUNCTION("GOOGLETRANSLATE(A14246,""en"",""pt"")"),"incorretamente")</f>
        <v>incorretamente</v>
      </c>
      <c r="B14246" s="3">
        <v>0</v>
      </c>
    </row>
    <row r="14247" ht="15.75" customHeight="1" spans="1:2">
      <c r="A14247" s="3" t="str">
        <f>IFERROR(__xludf.DUMMYFUNCTION("GOOGLETRANSLATE(A14247,""en"",""pt"")"),"incorrigível")</f>
        <v>incorrigível</v>
      </c>
      <c r="B14247" s="3">
        <v>0</v>
      </c>
    </row>
    <row r="14248" ht="15.75" customHeight="1" spans="1:2">
      <c r="A14248" s="3" t="str">
        <f>IFERROR(__xludf.DUMMYFUNCTION("GOOGLETRANSLATE(A14248,""en"",""pt"")"),"incorrigivelmente")</f>
        <v>incorrigivelmente</v>
      </c>
      <c r="B14248" s="3">
        <v>0</v>
      </c>
    </row>
    <row r="14249" ht="15.75" customHeight="1" spans="1:2">
      <c r="A14249" s="3" t="str">
        <f>IFERROR(__xludf.DUMMYFUNCTION("GOOGLETRANSLATE(A14249,""en"",""pt"")"),"incrédulo")</f>
        <v>incrédulo</v>
      </c>
      <c r="B14249" s="3">
        <v>0</v>
      </c>
    </row>
    <row r="14250" ht="15.75" customHeight="1" spans="1:2">
      <c r="A14250" s="3" t="str">
        <f>IFERROR(__xludf.DUMMYFUNCTION("GOOGLETRANSLATE(A14250,""en"",""pt"")"),"incrédulamente")</f>
        <v>incrédulamente</v>
      </c>
      <c r="B14250" s="3">
        <v>0</v>
      </c>
    </row>
    <row r="14251" ht="15.75" customHeight="1" spans="1:2">
      <c r="A14251" s="3" t="str">
        <f>IFERROR(__xludf.DUMMYFUNCTION("GOOGLETRANSLATE(A14251,""en"",""pt"")"),"inculcar")</f>
        <v>inculcar</v>
      </c>
      <c r="B14251" s="3">
        <v>0</v>
      </c>
    </row>
    <row r="14252" ht="15.75" customHeight="1" spans="1:2">
      <c r="A14252" s="3" t="str">
        <f>IFERROR(__xludf.DUMMYFUNCTION("GOOGLETRANSLATE(A14252,""en"",""pt"")"),"indecência")</f>
        <v>indecência</v>
      </c>
      <c r="B14252" s="3">
        <v>0</v>
      </c>
    </row>
    <row r="14253" ht="15.75" customHeight="1" spans="1:2">
      <c r="A14253" s="3" t="str">
        <f>IFERROR(__xludf.DUMMYFUNCTION("GOOGLETRANSLATE(A14253,""en"",""pt"")"),"indecente")</f>
        <v>indecente</v>
      </c>
      <c r="B14253" s="3">
        <v>0</v>
      </c>
    </row>
    <row r="14254" ht="15.75" customHeight="1" spans="1:2">
      <c r="A14254" s="3" t="str">
        <f>IFERROR(__xludf.DUMMYFUNCTION("GOOGLETRANSLATE(A14254,""en"",""pt"")"),"indecente")</f>
        <v>indecente</v>
      </c>
      <c r="B14254" s="3">
        <v>0</v>
      </c>
    </row>
    <row r="14255" ht="15.75" customHeight="1" spans="1:2">
      <c r="A14255" s="3" t="str">
        <f>IFERROR(__xludf.DUMMYFUNCTION("GOOGLETRANSLATE(A14255,""en"",""pt"")"),"indecisão")</f>
        <v>indecisão</v>
      </c>
      <c r="B14255" s="3">
        <v>0</v>
      </c>
    </row>
    <row r="14256" ht="15.75" customHeight="1" spans="1:2">
      <c r="A14256" s="3" t="str">
        <f>IFERROR(__xludf.DUMMYFUNCTION("GOOGLETRANSLATE(A14256,""en"",""pt"")"),"indeciso")</f>
        <v>indeciso</v>
      </c>
      <c r="B14256" s="3">
        <v>0</v>
      </c>
    </row>
    <row r="14257" ht="15.75" customHeight="1" spans="1:2">
      <c r="A14257" s="3" t="str">
        <f>IFERROR(__xludf.DUMMYFUNCTION("GOOGLETRANSLATE(A14257,""en"",""pt"")"),"indecisa")</f>
        <v>indecisa</v>
      </c>
      <c r="B14257" s="3">
        <v>0</v>
      </c>
    </row>
    <row r="14258" ht="15.75" customHeight="1" spans="1:2">
      <c r="A14258" s="3" t="str">
        <f>IFERROR(__xludf.DUMMYFUNCTION("GOOGLETRANSLATE(A14258,""en"",""pt"")"),"indecência")</f>
        <v>indecência</v>
      </c>
      <c r="B14258" s="3">
        <v>0</v>
      </c>
    </row>
    <row r="14259" ht="15.75" customHeight="1" spans="1:2">
      <c r="A14259" s="3" t="str">
        <f>IFERROR(__xludf.DUMMYFUNCTION("GOOGLETRANSLATE(A14259,""en"",""pt"")"),"indefensável")</f>
        <v>indefensável</v>
      </c>
      <c r="B14259" s="3">
        <v>0</v>
      </c>
    </row>
    <row r="14260" ht="15.75" customHeight="1" spans="1:2">
      <c r="A14260" s="3" t="str">
        <f>IFERROR(__xludf.DUMMYFUNCTION("GOOGLETRANSLATE(A14260,""en"",""pt"")"),"indelicado")</f>
        <v>indelicado</v>
      </c>
      <c r="B14260" s="3">
        <v>0</v>
      </c>
    </row>
    <row r="14261" ht="15.75" customHeight="1" spans="1:2">
      <c r="A14261" s="3" t="str">
        <f>IFERROR(__xludf.DUMMYFUNCTION("GOOGLETRANSLATE(A14261,""en"",""pt"")"),"indeterminável")</f>
        <v>indeterminável</v>
      </c>
      <c r="B14261" s="3">
        <v>0</v>
      </c>
    </row>
    <row r="14262" ht="15.75" customHeight="1" spans="1:2">
      <c r="A14262" s="3" t="str">
        <f>IFERROR(__xludf.DUMMYFUNCTION("GOOGLETRANSLATE(A14262,""en"",""pt"")"),"indeterminably")</f>
        <v>indeterminably</v>
      </c>
      <c r="B14262" s="3">
        <v>0</v>
      </c>
    </row>
    <row r="14263" ht="15.75" customHeight="1" spans="1:2">
      <c r="A14263" s="3" t="str">
        <f>IFERROR(__xludf.DUMMYFUNCTION("GOOGLETRANSLATE(A14263,""en"",""pt"")"),"indeterminado")</f>
        <v>indeterminado</v>
      </c>
      <c r="B14263" s="3">
        <v>0</v>
      </c>
    </row>
    <row r="14264" ht="15.75" customHeight="1" spans="1:2">
      <c r="A14264" s="3" t="str">
        <f>IFERROR(__xludf.DUMMYFUNCTION("GOOGLETRANSLATE(A14264,""en"",""pt"")"),"indiferença")</f>
        <v>indiferença</v>
      </c>
      <c r="B14264" s="3">
        <v>0</v>
      </c>
    </row>
    <row r="14265" ht="15.75" customHeight="1" spans="1:2">
      <c r="A14265" s="3" t="str">
        <f>IFERROR(__xludf.DUMMYFUNCTION("GOOGLETRANSLATE(A14265,""en"",""pt"")"),"indiferente")</f>
        <v>indiferente</v>
      </c>
      <c r="B14265" s="3">
        <v>0</v>
      </c>
    </row>
    <row r="14266" ht="15.75" customHeight="1" spans="1:2">
      <c r="A14266" s="3" t="str">
        <f>IFERROR(__xludf.DUMMYFUNCTION("GOOGLETRANSLATE(A14266,""en"",""pt"")"),"indigente")</f>
        <v>indigente</v>
      </c>
      <c r="B14266" s="3">
        <v>0</v>
      </c>
    </row>
    <row r="14267" ht="15.75" customHeight="1" spans="1:2">
      <c r="A14267" s="3" t="str">
        <f>IFERROR(__xludf.DUMMYFUNCTION("GOOGLETRANSLATE(A14267,""en"",""pt"")"),"indignado")</f>
        <v>indignado</v>
      </c>
      <c r="B14267" s="3">
        <v>0</v>
      </c>
    </row>
    <row r="14268" ht="15.75" customHeight="1" spans="1:2">
      <c r="A14268" s="3" t="str">
        <f>IFERROR(__xludf.DUMMYFUNCTION("GOOGLETRANSLATE(A14268,""en"",""pt"")"),"indignadamente")</f>
        <v>indignadamente</v>
      </c>
      <c r="B14268" s="3">
        <v>0</v>
      </c>
    </row>
    <row r="14269" ht="15.75" customHeight="1" spans="1:2">
      <c r="A14269" s="3" t="str">
        <f>IFERROR(__xludf.DUMMYFUNCTION("GOOGLETRANSLATE(A14269,""en"",""pt"")"),"indignação")</f>
        <v>indignação</v>
      </c>
      <c r="B14269" s="3">
        <v>0</v>
      </c>
    </row>
    <row r="14270" ht="15.75" customHeight="1" spans="1:2">
      <c r="A14270" s="3" t="str">
        <f>IFERROR(__xludf.DUMMYFUNCTION("GOOGLETRANSLATE(A14270,""en"",""pt"")"),"indignidade")</f>
        <v>indignidade</v>
      </c>
      <c r="B14270" s="3">
        <v>0</v>
      </c>
    </row>
    <row r="14271" ht="15.75" customHeight="1" spans="1:2">
      <c r="A14271" s="3" t="str">
        <f>IFERROR(__xludf.DUMMYFUNCTION("GOOGLETRANSLATE(A14271,""en"",""pt"")"),"indiscernível")</f>
        <v>indiscernível</v>
      </c>
      <c r="B14271" s="3">
        <v>0</v>
      </c>
    </row>
    <row r="14272" ht="15.75" customHeight="1" spans="1:2">
      <c r="A14272" s="3" t="str">
        <f>IFERROR(__xludf.DUMMYFUNCTION("GOOGLETRANSLATE(A14272,""en"",""pt"")"),"indiscreto")</f>
        <v>indiscreto</v>
      </c>
      <c r="B14272" s="3">
        <v>0</v>
      </c>
    </row>
    <row r="14273" ht="15.75" customHeight="1" spans="1:2">
      <c r="A14273" s="3" t="str">
        <f>IFERROR(__xludf.DUMMYFUNCTION("GOOGLETRANSLATE(A14273,""en"",""pt"")"),"indiscreetly")</f>
        <v>indiscreetly</v>
      </c>
      <c r="B14273" s="3">
        <v>0</v>
      </c>
    </row>
    <row r="14274" ht="15.75" customHeight="1" spans="1:2">
      <c r="A14274" s="3" t="str">
        <f>IFERROR(__xludf.DUMMYFUNCTION("GOOGLETRANSLATE(A14274,""en"",""pt"")"),"indiscrição")</f>
        <v>indiscrição</v>
      </c>
      <c r="B14274" s="3">
        <v>0</v>
      </c>
    </row>
    <row r="14275" ht="15.75" customHeight="1" spans="1:2">
      <c r="A14275" s="3" t="str">
        <f>IFERROR(__xludf.DUMMYFUNCTION("GOOGLETRANSLATE(A14275,""en"",""pt"")"),"indiscriminado")</f>
        <v>indiscriminado</v>
      </c>
      <c r="B14275" s="3">
        <v>0</v>
      </c>
    </row>
    <row r="14276" ht="15.75" customHeight="1" spans="1:2">
      <c r="A14276" s="3" t="str">
        <f>IFERROR(__xludf.DUMMYFUNCTION("GOOGLETRANSLATE(A14276,""en"",""pt"")"),"indiscriminadamente")</f>
        <v>indiscriminadamente</v>
      </c>
      <c r="B14276" s="3">
        <v>0</v>
      </c>
    </row>
    <row r="14277" ht="15.75" customHeight="1" spans="1:2">
      <c r="A14277" s="3" t="str">
        <f>IFERROR(__xludf.DUMMYFUNCTION("GOOGLETRANSLATE(A14277,""en"",""pt"")"),"indiscriminating")</f>
        <v>indiscriminating</v>
      </c>
      <c r="B14277" s="3">
        <v>0</v>
      </c>
    </row>
    <row r="14278" ht="15.75" customHeight="1" spans="1:2">
      <c r="A14278" s="3" t="str">
        <f>IFERROR(__xludf.DUMMYFUNCTION("GOOGLETRANSLATE(A14278,""en"",""pt"")"),"indistinguível")</f>
        <v>indistinguível</v>
      </c>
      <c r="B14278" s="3">
        <v>0</v>
      </c>
    </row>
    <row r="14279" ht="15.75" customHeight="1" spans="1:2">
      <c r="A14279" s="3" t="str">
        <f>IFERROR(__xludf.DUMMYFUNCTION("GOOGLETRANSLATE(A14279,""en"",""pt"")"),"doutrinar")</f>
        <v>doutrinar</v>
      </c>
      <c r="B14279" s="3">
        <v>0</v>
      </c>
    </row>
    <row r="14280" ht="15.75" customHeight="1" spans="1:2">
      <c r="A14280" s="3" t="str">
        <f>IFERROR(__xludf.DUMMYFUNCTION("GOOGLETRANSLATE(A14280,""en"",""pt"")"),"doutrinação")</f>
        <v>doutrinação</v>
      </c>
      <c r="B14280" s="3">
        <v>0</v>
      </c>
    </row>
    <row r="14281" ht="15.75" customHeight="1" spans="1:2">
      <c r="A14281" s="3" t="str">
        <f>IFERROR(__xludf.DUMMYFUNCTION("GOOGLETRANSLATE(A14281,""en"",""pt"")"),"indolente")</f>
        <v>indolente</v>
      </c>
      <c r="B14281" s="3">
        <v>0</v>
      </c>
    </row>
    <row r="14282" ht="15.75" customHeight="1" spans="1:2">
      <c r="A14282" s="3" t="str">
        <f>IFERROR(__xludf.DUMMYFUNCTION("GOOGLETRANSLATE(A14282,""en"",""pt"")"),"Delicie")</f>
        <v>Delicie</v>
      </c>
      <c r="B14282" s="3">
        <v>0</v>
      </c>
    </row>
    <row r="14283" ht="15.75" customHeight="1" spans="1:2">
      <c r="A14283" s="3" t="str">
        <f>IFERROR(__xludf.DUMMYFUNCTION("GOOGLETRANSLATE(A14283,""en"",""pt"")"),"ineficaz")</f>
        <v>ineficaz</v>
      </c>
      <c r="B14283" s="3">
        <v>0</v>
      </c>
    </row>
    <row r="14284" ht="15.75" customHeight="1" spans="1:2">
      <c r="A14284" s="3" t="str">
        <f>IFERROR(__xludf.DUMMYFUNCTION("GOOGLETRANSLATE(A14284,""en"",""pt"")"),"ineficaz")</f>
        <v>ineficaz</v>
      </c>
      <c r="B14284" s="3">
        <v>0</v>
      </c>
    </row>
    <row r="14285" ht="15.75" customHeight="1" spans="1:2">
      <c r="A14285" s="3" t="str">
        <f>IFERROR(__xludf.DUMMYFUNCTION("GOOGLETRANSLATE(A14285,""en"",""pt"")"),"ineficácia")</f>
        <v>ineficácia</v>
      </c>
      <c r="B14285" s="3">
        <v>0</v>
      </c>
    </row>
    <row r="14286" ht="15.75" customHeight="1" spans="1:2">
      <c r="A14286" s="3" t="str">
        <f>IFERROR(__xludf.DUMMYFUNCTION("GOOGLETRANSLATE(A14286,""en"",""pt"")"),"ineficaz")</f>
        <v>ineficaz</v>
      </c>
      <c r="B14286" s="3">
        <v>0</v>
      </c>
    </row>
    <row r="14287" ht="15.75" customHeight="1" spans="1:2">
      <c r="A14287" s="3" t="str">
        <f>IFERROR(__xludf.DUMMYFUNCTION("GOOGLETRANSLATE(A14287,""en"",""pt"")"),"ineficazmente")</f>
        <v>ineficazmente</v>
      </c>
      <c r="B14287" s="3">
        <v>0</v>
      </c>
    </row>
    <row r="14288" ht="15.75" customHeight="1" spans="1:2">
      <c r="A14288" s="3" t="str">
        <f>IFERROR(__xludf.DUMMYFUNCTION("GOOGLETRANSLATE(A14288,""en"",""pt"")"),"ineficácia")</f>
        <v>ineficácia</v>
      </c>
      <c r="B14288" s="3">
        <v>0</v>
      </c>
    </row>
    <row r="14289" ht="15.75" customHeight="1" spans="1:2">
      <c r="A14289" s="3" t="str">
        <f>IFERROR(__xludf.DUMMYFUNCTION("GOOGLETRANSLATE(A14289,""en"",""pt"")"),"ineficaz")</f>
        <v>ineficaz</v>
      </c>
      <c r="B14289" s="3">
        <v>0</v>
      </c>
    </row>
    <row r="14290" ht="15.75" customHeight="1" spans="1:2">
      <c r="A14290" s="3" t="str">
        <f>IFERROR(__xludf.DUMMYFUNCTION("GOOGLETRANSLATE(A14290,""en"",""pt"")"),"ineficácia")</f>
        <v>ineficácia</v>
      </c>
      <c r="B14290" s="3">
        <v>0</v>
      </c>
    </row>
    <row r="14291" ht="15.75" customHeight="1" spans="1:2">
      <c r="A14291" s="3" t="str">
        <f>IFERROR(__xludf.DUMMYFUNCTION("GOOGLETRANSLATE(A14291,""en"",""pt"")"),"ineficiência")</f>
        <v>ineficiência</v>
      </c>
      <c r="B14291" s="3">
        <v>0</v>
      </c>
    </row>
    <row r="14292" ht="15.75" customHeight="1" spans="1:2">
      <c r="A14292" s="3" t="str">
        <f>IFERROR(__xludf.DUMMYFUNCTION("GOOGLETRANSLATE(A14292,""en"",""pt"")"),"ineficiente")</f>
        <v>ineficiente</v>
      </c>
      <c r="B14292" s="3">
        <v>0</v>
      </c>
    </row>
    <row r="14293" ht="15.75" customHeight="1" spans="1:2">
      <c r="A14293" s="3" t="str">
        <f>IFERROR(__xludf.DUMMYFUNCTION("GOOGLETRANSLATE(A14293,""en"",""pt"")"),"ineficientemente")</f>
        <v>ineficientemente</v>
      </c>
      <c r="B14293" s="3">
        <v>0</v>
      </c>
    </row>
    <row r="14294" ht="15.75" customHeight="1" spans="1:2">
      <c r="A14294" s="3" t="str">
        <f>IFERROR(__xludf.DUMMYFUNCTION("GOOGLETRANSLATE(A14294,""en"",""pt"")"),"deselegância")</f>
        <v>deselegância</v>
      </c>
      <c r="B14294" s="3">
        <v>0</v>
      </c>
    </row>
    <row r="14295" ht="15.75" customHeight="1" spans="1:2">
      <c r="A14295" s="3" t="str">
        <f>IFERROR(__xludf.DUMMYFUNCTION("GOOGLETRANSLATE(A14295,""en"",""pt"")"),"deselegante")</f>
        <v>deselegante</v>
      </c>
      <c r="B14295" s="3">
        <v>0</v>
      </c>
    </row>
    <row r="14296" ht="15.75" customHeight="1" spans="1:2">
      <c r="A14296" s="3" t="str">
        <f>IFERROR(__xludf.DUMMYFUNCTION("GOOGLETRANSLATE(A14296,""en"",""pt"")"),"inelegível")</f>
        <v>inelegível</v>
      </c>
      <c r="B14296" s="3">
        <v>0</v>
      </c>
    </row>
    <row r="14297" ht="15.75" customHeight="1" spans="1:2">
      <c r="A14297" s="3" t="str">
        <f>IFERROR(__xludf.DUMMYFUNCTION("GOOGLETRANSLATE(A14297,""en"",""pt"")"),"ineloquent")</f>
        <v>ineloquent</v>
      </c>
      <c r="B14297" s="3">
        <v>0</v>
      </c>
    </row>
    <row r="14298" ht="15.75" customHeight="1" spans="1:2">
      <c r="A14298" s="3" t="str">
        <f>IFERROR(__xludf.DUMMYFUNCTION("GOOGLETRANSLATE(A14298,""en"",""pt"")"),"ineloquently")</f>
        <v>ineloquently</v>
      </c>
      <c r="B14298" s="3">
        <v>0</v>
      </c>
    </row>
    <row r="14299" ht="15.75" customHeight="1" spans="1:2">
      <c r="A14299" s="3" t="str">
        <f>IFERROR(__xludf.DUMMYFUNCTION("GOOGLETRANSLATE(A14299,""en"",""pt"")"),"inepto")</f>
        <v>inepto</v>
      </c>
      <c r="B14299" s="3">
        <v>0</v>
      </c>
    </row>
    <row r="14300" ht="15.75" customHeight="1" spans="1:2">
      <c r="A14300" s="3" t="str">
        <f>IFERROR(__xludf.DUMMYFUNCTION("GOOGLETRANSLATE(A14300,""en"",""pt"")"),"ineptidão")</f>
        <v>ineptidão</v>
      </c>
      <c r="B14300" s="3">
        <v>0</v>
      </c>
    </row>
    <row r="14301" ht="15.75" customHeight="1" spans="1:2">
      <c r="A14301" s="3" t="str">
        <f>IFERROR(__xludf.DUMMYFUNCTION("GOOGLETRANSLATE(A14301,""en"",""pt"")"),"ineptly")</f>
        <v>ineptly</v>
      </c>
      <c r="B14301" s="3">
        <v>0</v>
      </c>
    </row>
    <row r="14302" ht="15.75" customHeight="1" spans="1:2">
      <c r="A14302" s="3" t="str">
        <f>IFERROR(__xludf.DUMMYFUNCTION("GOOGLETRANSLATE(A14302,""en"",""pt"")"),"desigualdades")</f>
        <v>desigualdades</v>
      </c>
      <c r="B14302" s="3">
        <v>0</v>
      </c>
    </row>
    <row r="14303" ht="15.75" customHeight="1" spans="1:2">
      <c r="A14303" s="3" t="str">
        <f>IFERROR(__xludf.DUMMYFUNCTION("GOOGLETRANSLATE(A14303,""en"",""pt"")"),"desigualdade")</f>
        <v>desigualdade</v>
      </c>
      <c r="B14303" s="3">
        <v>0</v>
      </c>
    </row>
    <row r="14304" ht="15.75" customHeight="1" spans="1:2">
      <c r="A14304" s="3" t="str">
        <f>IFERROR(__xludf.DUMMYFUNCTION("GOOGLETRANSLATE(A14304,""en"",""pt"")"),"injusto")</f>
        <v>injusto</v>
      </c>
      <c r="B14304" s="3">
        <v>0</v>
      </c>
    </row>
    <row r="14305" ht="15.75" customHeight="1" spans="1:2">
      <c r="A14305" s="3" t="str">
        <f>IFERROR(__xludf.DUMMYFUNCTION("GOOGLETRANSLATE(A14305,""en"",""pt"")"),"desigualmente")</f>
        <v>desigualmente</v>
      </c>
      <c r="B14305" s="3">
        <v>0</v>
      </c>
    </row>
    <row r="14306" ht="15.75" customHeight="1" spans="1:2">
      <c r="A14306" s="3" t="str">
        <f>IFERROR(__xludf.DUMMYFUNCTION("GOOGLETRANSLATE(A14306,""en"",""pt"")"),"desigualdades")</f>
        <v>desigualdades</v>
      </c>
      <c r="B14306" s="3">
        <v>0</v>
      </c>
    </row>
    <row r="14307" ht="15.75" customHeight="1" spans="1:2">
      <c r="A14307" s="3" t="str">
        <f>IFERROR(__xludf.DUMMYFUNCTION("GOOGLETRANSLATE(A14307,""en"",""pt"")"),"inevitável")</f>
        <v>inevitável</v>
      </c>
      <c r="B14307" s="3">
        <v>0</v>
      </c>
    </row>
    <row r="14308" ht="15.75" customHeight="1" spans="1:2">
      <c r="A14308" s="3" t="str">
        <f>IFERROR(__xludf.DUMMYFUNCTION("GOOGLETRANSLATE(A14308,""en"",""pt"")"),"inescapavelmente")</f>
        <v>inescapavelmente</v>
      </c>
      <c r="B14308" s="3">
        <v>0</v>
      </c>
    </row>
    <row r="14309" ht="15.75" customHeight="1" spans="1:2">
      <c r="A14309" s="3" t="str">
        <f>IFERROR(__xludf.DUMMYFUNCTION("GOOGLETRANSLATE(A14309,""en"",""pt"")"),"não essencial")</f>
        <v>não essencial</v>
      </c>
      <c r="B14309" s="3">
        <v>0</v>
      </c>
    </row>
    <row r="14310" ht="15.75" customHeight="1" spans="1:2">
      <c r="A14310" s="3" t="str">
        <f>IFERROR(__xludf.DUMMYFUNCTION("GOOGLETRANSLATE(A14310,""en"",""pt"")"),"inevitável")</f>
        <v>inevitável</v>
      </c>
      <c r="B14310" s="3">
        <v>0</v>
      </c>
    </row>
    <row r="14311" ht="15.75" customHeight="1" spans="1:2">
      <c r="A14311" s="3" t="str">
        <f>IFERROR(__xludf.DUMMYFUNCTION("GOOGLETRANSLATE(A14311,""en"",""pt"")"),"inevitavelmente")</f>
        <v>inevitavelmente</v>
      </c>
      <c r="B14311" s="3">
        <v>0</v>
      </c>
    </row>
    <row r="14312" ht="15.75" customHeight="1" spans="1:2">
      <c r="A14312" s="3" t="str">
        <f>IFERROR(__xludf.DUMMYFUNCTION("GOOGLETRANSLATE(A14312,""en"",""pt"")"),"imperdoável")</f>
        <v>imperdoável</v>
      </c>
      <c r="B14312" s="3">
        <v>0</v>
      </c>
    </row>
    <row r="14313" ht="15.75" customHeight="1" spans="1:2">
      <c r="A14313" s="3" t="str">
        <f>IFERROR(__xludf.DUMMYFUNCTION("GOOGLETRANSLATE(A14313,""en"",""pt"")"),"inexcusably")</f>
        <v>inexcusably</v>
      </c>
      <c r="B14313" s="3">
        <v>0</v>
      </c>
    </row>
    <row r="14314" ht="15.75" customHeight="1" spans="1:2">
      <c r="A14314" s="3" t="str">
        <f>IFERROR(__xludf.DUMMYFUNCTION("GOOGLETRANSLATE(A14314,""en"",""pt"")"),"inexorável")</f>
        <v>inexorável</v>
      </c>
      <c r="B14314" s="3">
        <v>0</v>
      </c>
    </row>
    <row r="14315" ht="15.75" customHeight="1" spans="1:2">
      <c r="A14315" s="3" t="str">
        <f>IFERROR(__xludf.DUMMYFUNCTION("GOOGLETRANSLATE(A14315,""en"",""pt"")"),"inexoravelmente")</f>
        <v>inexoravelmente</v>
      </c>
      <c r="B14315" s="3">
        <v>0</v>
      </c>
    </row>
    <row r="14316" ht="15.75" customHeight="1" spans="1:2">
      <c r="A14316" s="3" t="str">
        <f>IFERROR(__xludf.DUMMYFUNCTION("GOOGLETRANSLATE(A14316,""en"",""pt"")"),"inexperiência")</f>
        <v>inexperiência</v>
      </c>
      <c r="B14316" s="3">
        <v>0</v>
      </c>
    </row>
    <row r="14317" ht="15.75" customHeight="1" spans="1:2">
      <c r="A14317" s="3" t="str">
        <f>IFERROR(__xludf.DUMMYFUNCTION("GOOGLETRANSLATE(A14317,""en"",""pt"")"),"inexperiente")</f>
        <v>inexperiente</v>
      </c>
      <c r="B14317" s="3">
        <v>0</v>
      </c>
    </row>
    <row r="14318" ht="15.75" customHeight="1" spans="1:2">
      <c r="A14318" s="3" t="str">
        <f>IFERROR(__xludf.DUMMYFUNCTION("GOOGLETRANSLATE(A14318,""en"",""pt"")"),"desajeitado")</f>
        <v>desajeitado</v>
      </c>
      <c r="B14318" s="3">
        <v>0</v>
      </c>
    </row>
    <row r="14319" ht="15.75" customHeight="1" spans="1:2">
      <c r="A14319" s="3" t="str">
        <f>IFERROR(__xludf.DUMMYFUNCTION("GOOGLETRANSLATE(A14319,""en"",""pt"")"),"inexpertly")</f>
        <v>inexpertly</v>
      </c>
      <c r="B14319" s="3">
        <v>0</v>
      </c>
    </row>
    <row r="14320" ht="15.75" customHeight="1" spans="1:2">
      <c r="A14320" s="3" t="str">
        <f>IFERROR(__xludf.DUMMYFUNCTION("GOOGLETRANSLATE(A14320,""en"",""pt"")"),"inexpiável")</f>
        <v>inexpiável</v>
      </c>
      <c r="B14320" s="3">
        <v>0</v>
      </c>
    </row>
    <row r="14321" ht="15.75" customHeight="1" spans="1:2">
      <c r="A14321" s="3" t="str">
        <f>IFERROR(__xludf.DUMMYFUNCTION("GOOGLETRANSLATE(A14321,""en"",""pt"")"),"inexplainable")</f>
        <v>inexplainable</v>
      </c>
      <c r="B14321" s="3">
        <v>0</v>
      </c>
    </row>
    <row r="14322" ht="15.75" customHeight="1" spans="1:2">
      <c r="A14322" s="3" t="str">
        <f>IFERROR(__xludf.DUMMYFUNCTION("GOOGLETRANSLATE(A14322,""en"",""pt"")"),"inextricável")</f>
        <v>inextricável</v>
      </c>
      <c r="B14322" s="3">
        <v>0</v>
      </c>
    </row>
    <row r="14323" ht="15.75" customHeight="1" spans="1:2">
      <c r="A14323" s="3" t="str">
        <f>IFERROR(__xludf.DUMMYFUNCTION("GOOGLETRANSLATE(A14323,""en"",""pt"")"),"inextricavelmente")</f>
        <v>inextricavelmente</v>
      </c>
      <c r="B14323" s="3">
        <v>0</v>
      </c>
    </row>
    <row r="14324" ht="15.75" customHeight="1" spans="1:2">
      <c r="A14324" s="3" t="str">
        <f>IFERROR(__xludf.DUMMYFUNCTION("GOOGLETRANSLATE(A14324,""en"",""pt"")"),"infame")</f>
        <v>infame</v>
      </c>
      <c r="B14324" s="3">
        <v>0</v>
      </c>
    </row>
    <row r="14325" ht="15.75" customHeight="1" spans="1:2">
      <c r="A14325" s="3" t="str">
        <f>IFERROR(__xludf.DUMMYFUNCTION("GOOGLETRANSLATE(A14325,""en"",""pt"")"),"infamously")</f>
        <v>infamously</v>
      </c>
      <c r="B14325" s="3">
        <v>0</v>
      </c>
    </row>
    <row r="14326" ht="15.75" customHeight="1" spans="1:2">
      <c r="A14326" s="3" t="str">
        <f>IFERROR(__xludf.DUMMYFUNCTION("GOOGLETRANSLATE(A14326,""en"",""pt"")"),"infâmia")</f>
        <v>infâmia</v>
      </c>
      <c r="B14326" s="3">
        <v>0</v>
      </c>
    </row>
    <row r="14327" ht="15.75" customHeight="1" spans="1:2">
      <c r="A14327" s="3" t="str">
        <f>IFERROR(__xludf.DUMMYFUNCTION("GOOGLETRANSLATE(A14327,""en"",""pt"")"),"infectado")</f>
        <v>infectado</v>
      </c>
      <c r="B14327" s="3">
        <v>0</v>
      </c>
    </row>
    <row r="14328" ht="15.75" customHeight="1" spans="1:2">
      <c r="A14328" s="3" t="str">
        <f>IFERROR(__xludf.DUMMYFUNCTION("GOOGLETRANSLATE(A14328,""en"",""pt"")"),"infecção")</f>
        <v>infecção</v>
      </c>
      <c r="B14328" s="3">
        <v>0</v>
      </c>
    </row>
    <row r="14329" ht="15.75" customHeight="1" spans="1:2">
      <c r="A14329" s="3" t="str">
        <f>IFERROR(__xludf.DUMMYFUNCTION("GOOGLETRANSLATE(A14329,""en"",""pt"")"),"infecções")</f>
        <v>infecções</v>
      </c>
      <c r="B14329" s="3">
        <v>0</v>
      </c>
    </row>
    <row r="14330" ht="15.75" customHeight="1" spans="1:2">
      <c r="A14330" s="3" t="str">
        <f>IFERROR(__xludf.DUMMYFUNCTION("GOOGLETRANSLATE(A14330,""en"",""pt"")"),"inferior")</f>
        <v>inferior</v>
      </c>
      <c r="B14330" s="3">
        <v>0</v>
      </c>
    </row>
    <row r="14331" ht="15.75" customHeight="1" spans="1:2">
      <c r="A14331" s="3" t="str">
        <f>IFERROR(__xludf.DUMMYFUNCTION("GOOGLETRANSLATE(A14331,""en"",""pt"")"),"inferioridade")</f>
        <v>inferioridade</v>
      </c>
      <c r="B14331" s="3">
        <v>0</v>
      </c>
    </row>
    <row r="14332" ht="15.75" customHeight="1" spans="1:2">
      <c r="A14332" s="3" t="str">
        <f>IFERROR(__xludf.DUMMYFUNCTION("GOOGLETRANSLATE(A14332,""en"",""pt"")"),"infernal")</f>
        <v>infernal</v>
      </c>
      <c r="B14332" s="3">
        <v>0</v>
      </c>
    </row>
    <row r="14333" ht="15.75" customHeight="1" spans="1:2">
      <c r="A14333" s="3" t="str">
        <f>IFERROR(__xludf.DUMMYFUNCTION("GOOGLETRANSLATE(A14333,""en"",""pt"")"),"infestar")</f>
        <v>infestar</v>
      </c>
      <c r="B14333" s="3">
        <v>0</v>
      </c>
    </row>
    <row r="14334" ht="15.75" customHeight="1" spans="1:2">
      <c r="A14334" s="3" t="str">
        <f>IFERROR(__xludf.DUMMYFUNCTION("GOOGLETRANSLATE(A14334,""en"",""pt"")"),"infestado")</f>
        <v>infestado</v>
      </c>
      <c r="B14334" s="3">
        <v>0</v>
      </c>
    </row>
    <row r="14335" ht="15.75" customHeight="1" spans="1:2">
      <c r="A14335" s="3" t="str">
        <f>IFERROR(__xludf.DUMMYFUNCTION("GOOGLETRANSLATE(A14335,""en"",""pt"")"),"infiel")</f>
        <v>infiel</v>
      </c>
      <c r="B14335" s="3">
        <v>0</v>
      </c>
    </row>
    <row r="14336" ht="15.75" customHeight="1" spans="1:2">
      <c r="A14336" s="3" t="str">
        <f>IFERROR(__xludf.DUMMYFUNCTION("GOOGLETRANSLATE(A14336,""en"",""pt"")"),"infiéis")</f>
        <v>infiéis</v>
      </c>
      <c r="B14336" s="3">
        <v>0</v>
      </c>
    </row>
    <row r="14337" ht="15.75" customHeight="1" spans="1:2">
      <c r="A14337" s="3" t="str">
        <f>IFERROR(__xludf.DUMMYFUNCTION("GOOGLETRANSLATE(A14337,""en"",""pt"")"),"infiltrator")</f>
        <v>infiltrator</v>
      </c>
      <c r="B14337" s="3">
        <v>0</v>
      </c>
    </row>
    <row r="14338" ht="15.75" customHeight="1" spans="1:2">
      <c r="A14338" s="3" t="str">
        <f>IFERROR(__xludf.DUMMYFUNCTION("GOOGLETRANSLATE(A14338,""en"",""pt"")"),"infiltrados")</f>
        <v>infiltrados</v>
      </c>
      <c r="B14338" s="3">
        <v>0</v>
      </c>
    </row>
    <row r="14339" ht="15.75" customHeight="1" spans="1:2">
      <c r="A14339" s="3" t="str">
        <f>IFERROR(__xludf.DUMMYFUNCTION("GOOGLETRANSLATE(A14339,""en"",""pt"")"),"enfermo")</f>
        <v>enfermo</v>
      </c>
      <c r="B14339" s="3">
        <v>0</v>
      </c>
    </row>
    <row r="14340" ht="15.75" customHeight="1" spans="1:2">
      <c r="A14340" s="3" t="str">
        <f>IFERROR(__xludf.DUMMYFUNCTION("GOOGLETRANSLATE(A14340,""en"",""pt"")"),"inflamar")</f>
        <v>inflamar</v>
      </c>
      <c r="B14340" s="3">
        <v>0</v>
      </c>
    </row>
    <row r="14341" ht="15.75" customHeight="1" spans="1:2">
      <c r="A14341" s="3" t="str">
        <f>IFERROR(__xludf.DUMMYFUNCTION("GOOGLETRANSLATE(A14341,""en"",""pt"")"),"inflamação")</f>
        <v>inflamação</v>
      </c>
      <c r="B14341" s="3">
        <v>0</v>
      </c>
    </row>
    <row r="14342" ht="15.75" customHeight="1" spans="1:2">
      <c r="A14342" s="3" t="str">
        <f>IFERROR(__xludf.DUMMYFUNCTION("GOOGLETRANSLATE(A14342,""en"",""pt"")"),"inflamatório")</f>
        <v>inflamatório</v>
      </c>
      <c r="B14342" s="3">
        <v>0</v>
      </c>
    </row>
    <row r="14343" ht="15.75" customHeight="1" spans="1:2">
      <c r="A14343" s="3" t="str">
        <f>IFERROR(__xludf.DUMMYFUNCTION("GOOGLETRANSLATE(A14343,""en"",""pt"")"),"inflammed")</f>
        <v>inflammed</v>
      </c>
      <c r="B14343" s="3">
        <v>0</v>
      </c>
    </row>
    <row r="14344" ht="15.75" customHeight="1" spans="1:2">
      <c r="A14344" s="3" t="str">
        <f>IFERROR(__xludf.DUMMYFUNCTION("GOOGLETRANSLATE(A14344,""en"",""pt"")"),"inflado")</f>
        <v>inflado</v>
      </c>
      <c r="B14344" s="3">
        <v>0</v>
      </c>
    </row>
    <row r="14345" ht="15.75" customHeight="1" spans="1:2">
      <c r="A14345" s="3" t="str">
        <f>IFERROR(__xludf.DUMMYFUNCTION("GOOGLETRANSLATE(A14345,""en"",""pt"")"),"inflacionária")</f>
        <v>inflacionária</v>
      </c>
      <c r="B14345" s="3">
        <v>0</v>
      </c>
    </row>
    <row r="14346" ht="15.75" customHeight="1" spans="1:2">
      <c r="A14346" s="3" t="str">
        <f>IFERROR(__xludf.DUMMYFUNCTION("GOOGLETRANSLATE(A14346,""en"",""pt"")"),"inflexível")</f>
        <v>inflexível</v>
      </c>
      <c r="B14346" s="3">
        <v>0</v>
      </c>
    </row>
    <row r="14347" ht="15.75" customHeight="1" spans="1:2">
      <c r="A14347" s="3" t="str">
        <f>IFERROR(__xludf.DUMMYFUNCTION("GOOGLETRANSLATE(A14347,""en"",""pt"")"),"infligir")</f>
        <v>infligir</v>
      </c>
      <c r="B14347" s="3">
        <v>0</v>
      </c>
    </row>
    <row r="14348" ht="15.75" customHeight="1" spans="1:2">
      <c r="A14348" s="3" t="str">
        <f>IFERROR(__xludf.DUMMYFUNCTION("GOOGLETRANSLATE(A14348,""en"",""pt"")"),"infração")</f>
        <v>infração</v>
      </c>
      <c r="B14348" s="3">
        <v>0</v>
      </c>
    </row>
    <row r="14349" ht="15.75" customHeight="1" spans="1:2">
      <c r="A14349" s="3" t="str">
        <f>IFERROR(__xludf.DUMMYFUNCTION("GOOGLETRANSLATE(A14349,""en"",""pt"")"),"infringe")</f>
        <v>infringe</v>
      </c>
      <c r="B14349" s="3">
        <v>0</v>
      </c>
    </row>
    <row r="14350" ht="15.75" customHeight="1" spans="1:2">
      <c r="A14350" s="3" t="str">
        <f>IFERROR(__xludf.DUMMYFUNCTION("GOOGLETRANSLATE(A14350,""en"",""pt"")"),"violação")</f>
        <v>violação</v>
      </c>
      <c r="B14350" s="3">
        <v>0</v>
      </c>
    </row>
    <row r="14351" ht="15.75" customHeight="1" spans="1:2">
      <c r="A14351" s="3" t="str">
        <f>IFERROR(__xludf.DUMMYFUNCTION("GOOGLETRANSLATE(A14351,""en"",""pt"")"),"infracções")</f>
        <v>infracções</v>
      </c>
      <c r="B14351" s="3">
        <v>0</v>
      </c>
    </row>
    <row r="14352" ht="15.75" customHeight="1" spans="1:2">
      <c r="A14352" s="3" t="str">
        <f>IFERROR(__xludf.DUMMYFUNCTION("GOOGLETRANSLATE(A14352,""en"",""pt"")"),"enfurecer")</f>
        <v>enfurecer</v>
      </c>
      <c r="B14352" s="3">
        <v>0</v>
      </c>
    </row>
    <row r="14353" ht="15.75" customHeight="1" spans="1:2">
      <c r="A14353" s="3" t="str">
        <f>IFERROR(__xludf.DUMMYFUNCTION("GOOGLETRANSLATE(A14353,""en"",""pt"")"),"enfurecido")</f>
        <v>enfurecido</v>
      </c>
      <c r="B14353" s="3">
        <v>0</v>
      </c>
    </row>
    <row r="14354" ht="15.75" customHeight="1" spans="1:2">
      <c r="A14354" s="3" t="str">
        <f>IFERROR(__xludf.DUMMYFUNCTION("GOOGLETRANSLATE(A14354,""en"",""pt"")"),"enfurecendo")</f>
        <v>enfurecendo</v>
      </c>
      <c r="B14354" s="3">
        <v>0</v>
      </c>
    </row>
    <row r="14355" ht="15.75" customHeight="1" spans="1:2">
      <c r="A14355" s="3" t="str">
        <f>IFERROR(__xludf.DUMMYFUNCTION("GOOGLETRANSLATE(A14355,""en"",""pt"")"),"irritantemente")</f>
        <v>irritantemente</v>
      </c>
      <c r="B14355" s="3">
        <v>0</v>
      </c>
    </row>
    <row r="14356" ht="15.75" customHeight="1" spans="1:2">
      <c r="A14356" s="3" t="str">
        <f>IFERROR(__xludf.DUMMYFUNCTION("GOOGLETRANSLATE(A14356,""en"",""pt"")"),"inglório")</f>
        <v>inglório</v>
      </c>
      <c r="B14356" s="3">
        <v>0</v>
      </c>
    </row>
    <row r="14357" ht="15.75" customHeight="1" spans="1:2">
      <c r="A14357" s="3" t="str">
        <f>IFERROR(__xludf.DUMMYFUNCTION("GOOGLETRANSLATE(A14357,""en"",""pt"")"),"ingrato")</f>
        <v>ingrato</v>
      </c>
      <c r="B14357" s="3">
        <v>0</v>
      </c>
    </row>
    <row r="14358" ht="15.75" customHeight="1" spans="1:2">
      <c r="A14358" s="3" t="str">
        <f>IFERROR(__xludf.DUMMYFUNCTION("GOOGLETRANSLATE(A14358,""en"",""pt"")"),"ingratidão")</f>
        <v>ingratidão</v>
      </c>
      <c r="B14358" s="3">
        <v>0</v>
      </c>
    </row>
    <row r="14359" ht="15.75" customHeight="1" spans="1:2">
      <c r="A14359" s="3" t="str">
        <f>IFERROR(__xludf.DUMMYFUNCTION("GOOGLETRANSLATE(A14359,""en"",""pt"")"),"inibir")</f>
        <v>inibir</v>
      </c>
      <c r="B14359" s="3">
        <v>0</v>
      </c>
    </row>
    <row r="14360" ht="15.75" customHeight="1" spans="1:2">
      <c r="A14360" s="3" t="str">
        <f>IFERROR(__xludf.DUMMYFUNCTION("GOOGLETRANSLATE(A14360,""en"",""pt"")"),"inibição")</f>
        <v>inibição</v>
      </c>
      <c r="B14360" s="3">
        <v>0</v>
      </c>
    </row>
    <row r="14361" ht="15.75" customHeight="1" spans="1:2">
      <c r="A14361" s="3" t="str">
        <f>IFERROR(__xludf.DUMMYFUNCTION("GOOGLETRANSLATE(A14361,""en"",""pt"")"),"inóspito")</f>
        <v>inóspito</v>
      </c>
      <c r="B14361" s="3">
        <v>0</v>
      </c>
    </row>
    <row r="14362" ht="15.75" customHeight="1" spans="1:2">
      <c r="A14362" s="3" t="str">
        <f>IFERROR(__xludf.DUMMYFUNCTION("GOOGLETRANSLATE(A14362,""en"",""pt"")"),"inhospitality")</f>
        <v>inhospitality</v>
      </c>
      <c r="B14362" s="3">
        <v>0</v>
      </c>
    </row>
    <row r="14363" ht="15.75" customHeight="1" spans="1:2">
      <c r="A14363" s="3" t="str">
        <f>IFERROR(__xludf.DUMMYFUNCTION("GOOGLETRANSLATE(A14363,""en"",""pt"")"),"desumano")</f>
        <v>desumano</v>
      </c>
      <c r="B14363" s="3">
        <v>0</v>
      </c>
    </row>
    <row r="14364" ht="15.75" customHeight="1" spans="1:2">
      <c r="A14364" s="3" t="str">
        <f>IFERROR(__xludf.DUMMYFUNCTION("GOOGLETRANSLATE(A14364,""en"",""pt"")"),"desumano")</f>
        <v>desumano</v>
      </c>
      <c r="B14364" s="3">
        <v>0</v>
      </c>
    </row>
    <row r="14365" ht="15.75" customHeight="1" spans="1:2">
      <c r="A14365" s="3" t="str">
        <f>IFERROR(__xludf.DUMMYFUNCTION("GOOGLETRANSLATE(A14365,""en"",""pt"")"),"desumanidade")</f>
        <v>desumanidade</v>
      </c>
      <c r="B14365" s="3">
        <v>0</v>
      </c>
    </row>
    <row r="14366" ht="15.75" customHeight="1" spans="1:2">
      <c r="A14366" s="3" t="str">
        <f>IFERROR(__xludf.DUMMYFUNCTION("GOOGLETRANSLATE(A14366,""en"",""pt"")"),"hostil")</f>
        <v>hostil</v>
      </c>
      <c r="B14366" s="3">
        <v>0</v>
      </c>
    </row>
    <row r="14367" ht="15.75" customHeight="1" spans="1:2">
      <c r="A14367" s="3" t="str">
        <f>IFERROR(__xludf.DUMMYFUNCTION("GOOGLETRANSLATE(A14367,""en"",""pt"")"),"hostilmente")</f>
        <v>hostilmente</v>
      </c>
      <c r="B14367" s="3">
        <v>0</v>
      </c>
    </row>
    <row r="14368" ht="15.75" customHeight="1" spans="1:2">
      <c r="A14368" s="3" t="str">
        <f>IFERROR(__xludf.DUMMYFUNCTION("GOOGLETRANSLATE(A14368,""en"",""pt"")"),"iníquo")</f>
        <v>iníquo</v>
      </c>
      <c r="B14368" s="3">
        <v>0</v>
      </c>
    </row>
    <row r="14369" ht="15.75" customHeight="1" spans="1:2">
      <c r="A14369" s="3" t="str">
        <f>IFERROR(__xludf.DUMMYFUNCTION("GOOGLETRANSLATE(A14369,""en"",""pt"")"),"iniquidade")</f>
        <v>iniquidade</v>
      </c>
      <c r="B14369" s="3">
        <v>0</v>
      </c>
    </row>
    <row r="14370" ht="15.75" customHeight="1" spans="1:2">
      <c r="A14370" s="3" t="str">
        <f>IFERROR(__xludf.DUMMYFUNCTION("GOOGLETRANSLATE(A14370,""en"",""pt"")"),"imprudente")</f>
        <v>imprudente</v>
      </c>
      <c r="B14370" s="3">
        <v>0</v>
      </c>
    </row>
    <row r="14371" ht="15.75" customHeight="1" spans="1:2">
      <c r="A14371" s="3" t="str">
        <f>IFERROR(__xludf.DUMMYFUNCTION("GOOGLETRANSLATE(A14371,""en"",""pt"")"),"ferir")</f>
        <v>ferir</v>
      </c>
      <c r="B14371" s="3">
        <v>0</v>
      </c>
    </row>
    <row r="14372" ht="15.75" customHeight="1" spans="1:2">
      <c r="A14372" s="3" t="str">
        <f>IFERROR(__xludf.DUMMYFUNCTION("GOOGLETRANSLATE(A14372,""en"",""pt"")"),"prejudicial")</f>
        <v>prejudicial</v>
      </c>
      <c r="B14372" s="3">
        <v>0</v>
      </c>
    </row>
    <row r="14373" ht="15.75" customHeight="1" spans="1:2">
      <c r="A14373" s="3" t="str">
        <f>IFERROR(__xludf.DUMMYFUNCTION("GOOGLETRANSLATE(A14373,""en"",""pt"")"),"prejuízo")</f>
        <v>prejuízo</v>
      </c>
      <c r="B14373" s="3">
        <v>0</v>
      </c>
    </row>
    <row r="14374" ht="15.75" customHeight="1" spans="1:2">
      <c r="A14374" s="3" t="str">
        <f>IFERROR(__xludf.DUMMYFUNCTION("GOOGLETRANSLATE(A14374,""en"",""pt"")"),"injustiça")</f>
        <v>injustiça</v>
      </c>
      <c r="B14374" s="3">
        <v>0</v>
      </c>
    </row>
    <row r="14375" ht="15.75" customHeight="1" spans="1:2">
      <c r="A14375" s="3" t="str">
        <f>IFERROR(__xludf.DUMMYFUNCTION("GOOGLETRANSLATE(A14375,""en"",""pt"")"),"injustiças")</f>
        <v>injustiças</v>
      </c>
      <c r="B14375" s="3">
        <v>0</v>
      </c>
    </row>
    <row r="14376" ht="15.75" customHeight="1" spans="1:2">
      <c r="A14376" s="3" t="str">
        <f>IFERROR(__xludf.DUMMYFUNCTION("GOOGLETRANSLATE(A14376,""en"",""pt"")"),"sugestão")</f>
        <v>sugestão</v>
      </c>
      <c r="B14376" s="3">
        <v>0</v>
      </c>
    </row>
    <row r="14377" ht="15.75" customHeight="1" spans="1:2">
      <c r="A14377" s="3" t="str">
        <f>IFERROR(__xludf.DUMMYFUNCTION("GOOGLETRANSLATE(A14377,""en"",""pt"")"),"inoperável")</f>
        <v>inoperável</v>
      </c>
      <c r="B14377" s="3">
        <v>0</v>
      </c>
    </row>
    <row r="14378" ht="15.75" customHeight="1" spans="1:2">
      <c r="A14378" s="3" t="str">
        <f>IFERROR(__xludf.DUMMYFUNCTION("GOOGLETRANSLATE(A14378,""en"",""pt"")"),"inoportuno")</f>
        <v>inoportuno</v>
      </c>
      <c r="B14378" s="3">
        <v>0</v>
      </c>
    </row>
    <row r="14379" ht="15.75" customHeight="1" spans="1:2">
      <c r="A14379" s="3" t="str">
        <f>IFERROR(__xludf.DUMMYFUNCTION("GOOGLETRANSLATE(A14379,""en"",""pt"")"),"desordenado")</f>
        <v>desordenado</v>
      </c>
      <c r="B14379" s="3">
        <v>0</v>
      </c>
    </row>
    <row r="14380" ht="15.75" customHeight="1" spans="1:2">
      <c r="A14380" s="3" t="str">
        <f>IFERROR(__xludf.DUMMYFUNCTION("GOOGLETRANSLATE(A14380,""en"",""pt"")"),"inordinately")</f>
        <v>inordinately</v>
      </c>
      <c r="B14380" s="3">
        <v>0</v>
      </c>
    </row>
    <row r="14381" ht="15.75" customHeight="1" spans="1:2">
      <c r="A14381" s="3" t="str">
        <f>IFERROR(__xludf.DUMMYFUNCTION("GOOGLETRANSLATE(A14381,""en"",""pt"")"),"insano")</f>
        <v>insano</v>
      </c>
      <c r="B14381" s="3">
        <v>0</v>
      </c>
    </row>
    <row r="14382" ht="15.75" customHeight="1" spans="1:2">
      <c r="A14382" s="3" t="str">
        <f>IFERROR(__xludf.DUMMYFUNCTION("GOOGLETRANSLATE(A14382,""en"",""pt"")"),"insanamente")</f>
        <v>insanamente</v>
      </c>
      <c r="B14382" s="3">
        <v>0</v>
      </c>
    </row>
    <row r="14383" ht="15.75" customHeight="1" spans="1:2">
      <c r="A14383" s="3" t="str">
        <f>IFERROR(__xludf.DUMMYFUNCTION("GOOGLETRANSLATE(A14383,""en"",""pt"")"),"insanidade")</f>
        <v>insanidade</v>
      </c>
      <c r="B14383" s="3">
        <v>0</v>
      </c>
    </row>
    <row r="14384" ht="15.75" customHeight="1" spans="1:2">
      <c r="A14384" s="3" t="str">
        <f>IFERROR(__xludf.DUMMYFUNCTION("GOOGLETRANSLATE(A14384,""en"",""pt"")"),"insaciável")</f>
        <v>insaciável</v>
      </c>
      <c r="B14384" s="3">
        <v>0</v>
      </c>
    </row>
    <row r="14385" ht="15.75" customHeight="1" spans="1:2">
      <c r="A14385" s="3" t="str">
        <f>IFERROR(__xludf.DUMMYFUNCTION("GOOGLETRANSLATE(A14385,""en"",""pt"")"),"inseguro")</f>
        <v>inseguro</v>
      </c>
      <c r="B14385" s="3">
        <v>0</v>
      </c>
    </row>
    <row r="14386" ht="15.75" customHeight="1" spans="1:2">
      <c r="A14386" s="3" t="str">
        <f>IFERROR(__xludf.DUMMYFUNCTION("GOOGLETRANSLATE(A14386,""en"",""pt"")"),"insegurança")</f>
        <v>insegurança</v>
      </c>
      <c r="B14386" s="3">
        <v>0</v>
      </c>
    </row>
    <row r="14387" ht="15.75" customHeight="1" spans="1:2">
      <c r="A14387" s="3" t="str">
        <f>IFERROR(__xludf.DUMMYFUNCTION("GOOGLETRANSLATE(A14387,""en"",""pt"")"),"insensível")</f>
        <v>insensível</v>
      </c>
      <c r="B14387" s="3">
        <v>0</v>
      </c>
    </row>
    <row r="14388" ht="15.75" customHeight="1" spans="1:2">
      <c r="A14388" s="3" t="str">
        <f>IFERROR(__xludf.DUMMYFUNCTION("GOOGLETRANSLATE(A14388,""en"",""pt"")"),"insensível")</f>
        <v>insensível</v>
      </c>
      <c r="B14388" s="3">
        <v>0</v>
      </c>
    </row>
    <row r="14389" ht="15.75" customHeight="1" spans="1:2">
      <c r="A14389" s="3" t="str">
        <f>IFERROR(__xludf.DUMMYFUNCTION("GOOGLETRANSLATE(A14389,""en"",""pt"")"),"insensitively")</f>
        <v>insensitively</v>
      </c>
      <c r="B14389" s="3">
        <v>0</v>
      </c>
    </row>
    <row r="14390" ht="15.75" customHeight="1" spans="1:2">
      <c r="A14390" s="3" t="str">
        <f>IFERROR(__xludf.DUMMYFUNCTION("GOOGLETRANSLATE(A14390,""en"",""pt"")"),"insensividade")</f>
        <v>insensividade</v>
      </c>
      <c r="B14390" s="3">
        <v>0</v>
      </c>
    </row>
    <row r="14391" ht="15.75" customHeight="1" spans="1:2">
      <c r="A14391" s="3" t="str">
        <f>IFERROR(__xludf.DUMMYFUNCTION("GOOGLETRANSLATE(A14391,""en"",""pt"")"),"insidioso")</f>
        <v>insidioso</v>
      </c>
      <c r="B14391" s="3">
        <v>0</v>
      </c>
    </row>
    <row r="14392" ht="15.75" customHeight="1" spans="1:2">
      <c r="A14392" s="3" t="str">
        <f>IFERROR(__xludf.DUMMYFUNCTION("GOOGLETRANSLATE(A14392,""en"",""pt"")"),"insidiosamente")</f>
        <v>insidiosamente</v>
      </c>
      <c r="B14392" s="3">
        <v>0</v>
      </c>
    </row>
    <row r="14393" ht="15.75" customHeight="1" spans="1:2">
      <c r="A14393" s="3" t="str">
        <f>IFERROR(__xludf.DUMMYFUNCTION("GOOGLETRANSLATE(A14393,""en"",""pt"")"),"insignificância")</f>
        <v>insignificância</v>
      </c>
      <c r="B14393" s="3">
        <v>0</v>
      </c>
    </row>
    <row r="14394" ht="15.75" customHeight="1" spans="1:2">
      <c r="A14394" s="3" t="str">
        <f>IFERROR(__xludf.DUMMYFUNCTION("GOOGLETRANSLATE(A14394,""en"",""pt"")"),"insignificante")</f>
        <v>insignificante</v>
      </c>
      <c r="B14394" s="3">
        <v>0</v>
      </c>
    </row>
    <row r="14395" ht="15.75" customHeight="1" spans="1:2">
      <c r="A14395" s="3" t="str">
        <f>IFERROR(__xludf.DUMMYFUNCTION("GOOGLETRANSLATE(A14395,""en"",""pt"")"),"insignificantemente")</f>
        <v>insignificantemente</v>
      </c>
      <c r="B14395" s="3">
        <v>0</v>
      </c>
    </row>
    <row r="14396" ht="15.75" customHeight="1" spans="1:2">
      <c r="A14396" s="3" t="str">
        <f>IFERROR(__xludf.DUMMYFUNCTION("GOOGLETRANSLATE(A14396,""en"",""pt"")"),"insincero")</f>
        <v>insincero</v>
      </c>
      <c r="B14396" s="3">
        <v>0</v>
      </c>
    </row>
    <row r="14397" ht="15.75" customHeight="1" spans="1:2">
      <c r="A14397" s="3" t="str">
        <f>IFERROR(__xludf.DUMMYFUNCTION("GOOGLETRANSLATE(A14397,""en"",""pt"")"),"insinceramente")</f>
        <v>insinceramente</v>
      </c>
      <c r="B14397" s="3">
        <v>0</v>
      </c>
    </row>
    <row r="14398" ht="15.75" customHeight="1" spans="1:2">
      <c r="A14398" s="3" t="str">
        <f>IFERROR(__xludf.DUMMYFUNCTION("GOOGLETRANSLATE(A14398,""en"",""pt"")"),"insinceridade")</f>
        <v>insinceridade</v>
      </c>
      <c r="B14398" s="3">
        <v>0</v>
      </c>
    </row>
    <row r="14399" ht="15.75" customHeight="1" spans="1:2">
      <c r="A14399" s="3" t="str">
        <f>IFERROR(__xludf.DUMMYFUNCTION("GOOGLETRANSLATE(A14399,""en"",""pt"")"),"insinuar")</f>
        <v>insinuar</v>
      </c>
      <c r="B14399" s="3">
        <v>0</v>
      </c>
    </row>
    <row r="14400" ht="15.75" customHeight="1" spans="1:2">
      <c r="A14400" s="3" t="str">
        <f>IFERROR(__xludf.DUMMYFUNCTION("GOOGLETRANSLATE(A14400,""en"",""pt"")"),"insinuante")</f>
        <v>insinuante</v>
      </c>
      <c r="B14400" s="3">
        <v>0</v>
      </c>
    </row>
    <row r="14401" ht="15.75" customHeight="1" spans="1:2">
      <c r="A14401" s="3" t="str">
        <f>IFERROR(__xludf.DUMMYFUNCTION("GOOGLETRANSLATE(A14401,""en"",""pt"")"),"insinuação")</f>
        <v>insinuação</v>
      </c>
      <c r="B14401" s="3">
        <v>0</v>
      </c>
    </row>
    <row r="14402" ht="15.75" customHeight="1" spans="1:2">
      <c r="A14402" s="3" t="str">
        <f>IFERROR(__xludf.DUMMYFUNCTION("GOOGLETRANSLATE(A14402,""en"",""pt"")"),"insociable")</f>
        <v>insociable</v>
      </c>
      <c r="B14402" s="3">
        <v>0</v>
      </c>
    </row>
    <row r="14403" ht="15.75" customHeight="1" spans="1:2">
      <c r="A14403" s="3" t="str">
        <f>IFERROR(__xludf.DUMMYFUNCTION("GOOGLETRANSLATE(A14403,""en"",""pt"")"),"insolência")</f>
        <v>insolência</v>
      </c>
      <c r="B14403" s="3">
        <v>0</v>
      </c>
    </row>
    <row r="14404" ht="15.75" customHeight="1" spans="1:2">
      <c r="A14404" s="3" t="str">
        <f>IFERROR(__xludf.DUMMYFUNCTION("GOOGLETRANSLATE(A14404,""en"",""pt"")"),"insolente")</f>
        <v>insolente</v>
      </c>
      <c r="B14404" s="3">
        <v>0</v>
      </c>
    </row>
    <row r="14405" ht="15.75" customHeight="1" spans="1:2">
      <c r="A14405" s="3" t="str">
        <f>IFERROR(__xludf.DUMMYFUNCTION("GOOGLETRANSLATE(A14405,""en"",""pt"")"),"insolentemente")</f>
        <v>insolentemente</v>
      </c>
      <c r="B14405" s="3">
        <v>0</v>
      </c>
    </row>
    <row r="14406" ht="15.75" customHeight="1" spans="1:2">
      <c r="A14406" s="3" t="str">
        <f>IFERROR(__xludf.DUMMYFUNCTION("GOOGLETRANSLATE(A14406,""en"",""pt"")"),"insolvente")</f>
        <v>insolvente</v>
      </c>
      <c r="B14406" s="3">
        <v>0</v>
      </c>
    </row>
    <row r="14407" ht="15.75" customHeight="1" spans="1:2">
      <c r="A14407" s="3" t="str">
        <f>IFERROR(__xludf.DUMMYFUNCTION("GOOGLETRANSLATE(A14407,""en"",""pt"")"),"despreocupação")</f>
        <v>despreocupação</v>
      </c>
      <c r="B14407" s="3">
        <v>0</v>
      </c>
    </row>
    <row r="14408" ht="15.75" customHeight="1" spans="1:2">
      <c r="A14408" s="3" t="str">
        <f>IFERROR(__xludf.DUMMYFUNCTION("GOOGLETRANSLATE(A14408,""en"",""pt"")"),"instabilidade")</f>
        <v>instabilidade</v>
      </c>
      <c r="B14408" s="3">
        <v>0</v>
      </c>
    </row>
    <row r="14409" ht="15.75" customHeight="1" spans="1:2">
      <c r="A14409" s="3" t="str">
        <f>IFERROR(__xludf.DUMMYFUNCTION("GOOGLETRANSLATE(A14409,""en"",""pt"")"),"instável")</f>
        <v>instável</v>
      </c>
      <c r="B14409" s="3">
        <v>0</v>
      </c>
    </row>
    <row r="14410" ht="15.75" customHeight="1" spans="1:2">
      <c r="A14410" s="3" t="str">
        <f>IFERROR(__xludf.DUMMYFUNCTION("GOOGLETRANSLATE(A14410,""en"",""pt"")"),"instigar")</f>
        <v>instigar</v>
      </c>
      <c r="B14410" s="3">
        <v>0</v>
      </c>
    </row>
    <row r="14411" ht="15.75" customHeight="1" spans="1:2">
      <c r="A14411" s="3" t="str">
        <f>IFERROR(__xludf.DUMMYFUNCTION("GOOGLETRANSLATE(A14411,""en"",""pt"")"),"instigador")</f>
        <v>instigador</v>
      </c>
      <c r="B14411" s="3">
        <v>0</v>
      </c>
    </row>
    <row r="14412" ht="15.75" customHeight="1" spans="1:2">
      <c r="A14412" s="3" t="str">
        <f>IFERROR(__xludf.DUMMYFUNCTION("GOOGLETRANSLATE(A14412,""en"",""pt"")"),"instigadores")</f>
        <v>instigadores</v>
      </c>
      <c r="B14412" s="3">
        <v>0</v>
      </c>
    </row>
    <row r="14413" ht="15.75" customHeight="1" spans="1:2">
      <c r="A14413" s="3" t="str">
        <f>IFERROR(__xludf.DUMMYFUNCTION("GOOGLETRANSLATE(A14413,""en"",""pt"")"),"insubordinado")</f>
        <v>insubordinado</v>
      </c>
      <c r="B14413" s="3">
        <v>0</v>
      </c>
    </row>
    <row r="14414" ht="15.75" customHeight="1" spans="1:2">
      <c r="A14414" s="3" t="str">
        <f>IFERROR(__xludf.DUMMYFUNCTION("GOOGLETRANSLATE(A14414,""en"",""pt"")"),"insubstancial")</f>
        <v>insubstancial</v>
      </c>
      <c r="B14414" s="3">
        <v>0</v>
      </c>
    </row>
    <row r="14415" ht="15.75" customHeight="1" spans="1:2">
      <c r="A14415" s="3" t="str">
        <f>IFERROR(__xludf.DUMMYFUNCTION("GOOGLETRANSLATE(A14415,""en"",""pt"")"),"insubstancialmente")</f>
        <v>insubstancialmente</v>
      </c>
      <c r="B14415" s="3">
        <v>0</v>
      </c>
    </row>
    <row r="14416" ht="15.75" customHeight="1" spans="1:2">
      <c r="A14416" s="3" t="str">
        <f>IFERROR(__xludf.DUMMYFUNCTION("GOOGLETRANSLATE(A14416,""en"",""pt"")"),"insuportável")</f>
        <v>insuportável</v>
      </c>
      <c r="B14416" s="3">
        <v>0</v>
      </c>
    </row>
    <row r="14417" ht="15.75" customHeight="1" spans="1:2">
      <c r="A14417" s="3" t="str">
        <f>IFERROR(__xludf.DUMMYFUNCTION("GOOGLETRANSLATE(A14417,""en"",""pt"")"),"insuportavelmente")</f>
        <v>insuportavelmente</v>
      </c>
      <c r="B14417" s="3">
        <v>0</v>
      </c>
    </row>
    <row r="14418" ht="15.75" customHeight="1" spans="1:2">
      <c r="A14418" s="3" t="str">
        <f>IFERROR(__xludf.DUMMYFUNCTION("GOOGLETRANSLATE(A14418,""en"",""pt"")"),"insuficiência")</f>
        <v>insuficiência</v>
      </c>
      <c r="B14418" s="3">
        <v>0</v>
      </c>
    </row>
    <row r="14419" ht="15.75" customHeight="1" spans="1:2">
      <c r="A14419" s="3" t="str">
        <f>IFERROR(__xludf.DUMMYFUNCTION("GOOGLETRANSLATE(A14419,""en"",""pt"")"),"insuficiente")</f>
        <v>insuficiente</v>
      </c>
      <c r="B14419" s="3">
        <v>0</v>
      </c>
    </row>
    <row r="14420" ht="15.75" customHeight="1" spans="1:2">
      <c r="A14420" s="3" t="str">
        <f>IFERROR(__xludf.DUMMYFUNCTION("GOOGLETRANSLATE(A14420,""en"",""pt"")"),"insuficientemente")</f>
        <v>insuficientemente</v>
      </c>
      <c r="B14420" s="3">
        <v>0</v>
      </c>
    </row>
    <row r="14421" ht="15.75" customHeight="1" spans="1:2">
      <c r="A14421" s="3" t="str">
        <f>IFERROR(__xludf.DUMMYFUNCTION("GOOGLETRANSLATE(A14421,""en"",""pt"")"),"insular")</f>
        <v>insular</v>
      </c>
      <c r="B14421" s="3">
        <v>0</v>
      </c>
    </row>
    <row r="14422" ht="15.75" customHeight="1" spans="1:2">
      <c r="A14422" s="3" t="str">
        <f>IFERROR(__xludf.DUMMYFUNCTION("GOOGLETRANSLATE(A14422,""en"",""pt"")"),"insulto")</f>
        <v>insulto</v>
      </c>
      <c r="B14422" s="3">
        <v>0</v>
      </c>
    </row>
    <row r="14423" ht="15.75" customHeight="1" spans="1:2">
      <c r="A14423" s="3" t="str">
        <f>IFERROR(__xludf.DUMMYFUNCTION("GOOGLETRANSLATE(A14423,""en"",""pt"")"),"insultado")</f>
        <v>insultado</v>
      </c>
      <c r="B14423" s="3">
        <v>0</v>
      </c>
    </row>
    <row r="14424" ht="15.75" customHeight="1" spans="1:2">
      <c r="A14424" s="3" t="str">
        <f>IFERROR(__xludf.DUMMYFUNCTION("GOOGLETRANSLATE(A14424,""en"",""pt"")"),"insultando")</f>
        <v>insultando</v>
      </c>
      <c r="B14424" s="3">
        <v>0</v>
      </c>
    </row>
    <row r="14425" ht="15.75" customHeight="1" spans="1:2">
      <c r="A14425" s="3" t="str">
        <f>IFERROR(__xludf.DUMMYFUNCTION("GOOGLETRANSLATE(A14425,""en"",""pt"")"),"insultingly")</f>
        <v>insultingly</v>
      </c>
      <c r="B14425" s="3">
        <v>0</v>
      </c>
    </row>
    <row r="14426" ht="15.75" customHeight="1" spans="1:2">
      <c r="A14426" s="3" t="str">
        <f>IFERROR(__xludf.DUMMYFUNCTION("GOOGLETRANSLATE(A14426,""en"",""pt"")"),"insultos")</f>
        <v>insultos</v>
      </c>
      <c r="B14426" s="3">
        <v>0</v>
      </c>
    </row>
    <row r="14427" ht="15.75" customHeight="1" spans="1:2">
      <c r="A14427" s="3" t="str">
        <f>IFERROR(__xludf.DUMMYFUNCTION("GOOGLETRANSLATE(A14427,""en"",""pt"")"),"insuportável")</f>
        <v>insuportável</v>
      </c>
      <c r="B14427" s="3">
        <v>0</v>
      </c>
    </row>
    <row r="14428" ht="15.75" customHeight="1" spans="1:2">
      <c r="A14428" s="3" t="str">
        <f>IFERROR(__xludf.DUMMYFUNCTION("GOOGLETRANSLATE(A14428,""en"",""pt"")"),"insuportavelmente")</f>
        <v>insuportavelmente</v>
      </c>
      <c r="B14428" s="3">
        <v>0</v>
      </c>
    </row>
    <row r="14429" ht="15.75" customHeight="1" spans="1:2">
      <c r="A14429" s="3" t="str">
        <f>IFERROR(__xludf.DUMMYFUNCTION("GOOGLETRANSLATE(A14429,""en"",""pt"")"),"intransponível")</f>
        <v>intransponível</v>
      </c>
      <c r="B14429" s="3">
        <v>0</v>
      </c>
    </row>
    <row r="14430" ht="15.75" customHeight="1" spans="1:2">
      <c r="A14430" s="3" t="str">
        <f>IFERROR(__xludf.DUMMYFUNCTION("GOOGLETRANSLATE(A14430,""en"",""pt"")"),"insurmountably")</f>
        <v>insurmountably</v>
      </c>
      <c r="B14430" s="3">
        <v>0</v>
      </c>
    </row>
    <row r="14431" ht="15.75" customHeight="1" spans="1:2">
      <c r="A14431" s="3" t="str">
        <f>IFERROR(__xludf.DUMMYFUNCTION("GOOGLETRANSLATE(A14431,""en"",""pt"")"),"insurreição")</f>
        <v>insurreição</v>
      </c>
      <c r="B14431" s="3">
        <v>0</v>
      </c>
    </row>
    <row r="14432" ht="15.75" customHeight="1" spans="1:2">
      <c r="A14432" s="3" t="str">
        <f>IFERROR(__xludf.DUMMYFUNCTION("GOOGLETRANSLATE(A14432,""en"",""pt"")"),"intefere")</f>
        <v>intefere</v>
      </c>
      <c r="B14432" s="3">
        <v>0</v>
      </c>
    </row>
    <row r="14433" ht="15.75" customHeight="1" spans="1:2">
      <c r="A14433" s="3" t="str">
        <f>IFERROR(__xludf.DUMMYFUNCTION("GOOGLETRANSLATE(A14433,""en"",""pt"")"),"inteferes")</f>
        <v>inteferes</v>
      </c>
      <c r="B14433" s="3">
        <v>0</v>
      </c>
    </row>
    <row r="14434" ht="15.75" customHeight="1" spans="1:2">
      <c r="A14434" s="3" t="str">
        <f>IFERROR(__xludf.DUMMYFUNCTION("GOOGLETRANSLATE(A14434,""en"",""pt"")"),"intenso")</f>
        <v>intenso</v>
      </c>
      <c r="B14434" s="3">
        <v>0</v>
      </c>
    </row>
    <row r="14435" ht="15.75" customHeight="1" spans="1:2">
      <c r="A14435" s="3" t="str">
        <f>IFERROR(__xludf.DUMMYFUNCTION("GOOGLETRANSLATE(A14435,""en"",""pt"")"),"interferir")</f>
        <v>interferir</v>
      </c>
      <c r="B14435" s="3">
        <v>0</v>
      </c>
    </row>
    <row r="14436" ht="15.75" customHeight="1" spans="1:2">
      <c r="A14436" s="3" t="str">
        <f>IFERROR(__xludf.DUMMYFUNCTION("GOOGLETRANSLATE(A14436,""en"",""pt"")"),"interferência")</f>
        <v>interferência</v>
      </c>
      <c r="B14436" s="3">
        <v>0</v>
      </c>
    </row>
    <row r="14437" ht="15.75" customHeight="1" spans="1:2">
      <c r="A14437" s="3" t="str">
        <f>IFERROR(__xludf.DUMMYFUNCTION("GOOGLETRANSLATE(A14437,""en"",""pt"")"),"interfere")</f>
        <v>interfere</v>
      </c>
      <c r="B14437" s="3">
        <v>0</v>
      </c>
    </row>
    <row r="14438" ht="15.75" customHeight="1" spans="1:2">
      <c r="A14438" s="3" t="str">
        <f>IFERROR(__xludf.DUMMYFUNCTION("GOOGLETRANSLATE(A14438,""en"",""pt"")"),"intermitente")</f>
        <v>intermitente</v>
      </c>
      <c r="B14438" s="3">
        <v>0</v>
      </c>
    </row>
    <row r="14439" ht="15.75" customHeight="1" spans="1:2">
      <c r="A14439" s="3" t="str">
        <f>IFERROR(__xludf.DUMMYFUNCTION("GOOGLETRANSLATE(A14439,""en"",""pt"")"),"interromper")</f>
        <v>interromper</v>
      </c>
      <c r="B14439" s="3">
        <v>0</v>
      </c>
    </row>
    <row r="14440" ht="15.75" customHeight="1" spans="1:2">
      <c r="A14440" s="3" t="str">
        <f>IFERROR(__xludf.DUMMYFUNCTION("GOOGLETRANSLATE(A14440,""en"",""pt"")"),"interrupção")</f>
        <v>interrupção</v>
      </c>
      <c r="B14440" s="3">
        <v>0</v>
      </c>
    </row>
    <row r="14441" ht="15.75" customHeight="1" spans="1:2">
      <c r="A14441" s="3" t="str">
        <f>IFERROR(__xludf.DUMMYFUNCTION("GOOGLETRANSLATE(A14441,""en"",""pt"")"),"interrupções")</f>
        <v>interrupções</v>
      </c>
      <c r="B14441" s="3">
        <v>0</v>
      </c>
    </row>
    <row r="14442" ht="15.75" customHeight="1" spans="1:2">
      <c r="A14442" s="3" t="str">
        <f>IFERROR(__xludf.DUMMYFUNCTION("GOOGLETRANSLATE(A14442,""en"",""pt"")"),"intimidar")</f>
        <v>intimidar</v>
      </c>
      <c r="B14442" s="3">
        <v>0</v>
      </c>
    </row>
    <row r="14443" ht="15.75" customHeight="1" spans="1:2">
      <c r="A14443" s="3" t="str">
        <f>IFERROR(__xludf.DUMMYFUNCTION("GOOGLETRANSLATE(A14443,""en"",""pt"")"),"intimidadora")</f>
        <v>intimidadora</v>
      </c>
      <c r="B14443" s="3">
        <v>0</v>
      </c>
    </row>
    <row r="14444" ht="15.75" customHeight="1" spans="1:2">
      <c r="A14444" s="3" t="str">
        <f>IFERROR(__xludf.DUMMYFUNCTION("GOOGLETRANSLATE(A14444,""en"",""pt"")"),"intimidatingly")</f>
        <v>intimidatingly</v>
      </c>
      <c r="B14444" s="3">
        <v>0</v>
      </c>
    </row>
    <row r="14445" ht="15.75" customHeight="1" spans="1:2">
      <c r="A14445" s="3" t="str">
        <f>IFERROR(__xludf.DUMMYFUNCTION("GOOGLETRANSLATE(A14445,""en"",""pt"")"),"intimidação")</f>
        <v>intimidação</v>
      </c>
      <c r="B14445" s="3">
        <v>0</v>
      </c>
    </row>
    <row r="14446" ht="15.75" customHeight="1" spans="1:2">
      <c r="A14446" s="3" t="str">
        <f>IFERROR(__xludf.DUMMYFUNCTION("GOOGLETRANSLATE(A14446,""en"",""pt"")"),"intolerável")</f>
        <v>intolerável</v>
      </c>
      <c r="B14446" s="3">
        <v>0</v>
      </c>
    </row>
    <row r="14447" ht="15.75" customHeight="1" spans="1:2">
      <c r="A14447" s="3" t="str">
        <f>IFERROR(__xludf.DUMMYFUNCTION("GOOGLETRANSLATE(A14447,""en"",""pt"")"),"intolerablely")</f>
        <v>intolerablely</v>
      </c>
      <c r="B14447" s="3">
        <v>0</v>
      </c>
    </row>
    <row r="14448" ht="15.75" customHeight="1" spans="1:2">
      <c r="A14448" s="3" t="str">
        <f>IFERROR(__xludf.DUMMYFUNCTION("GOOGLETRANSLATE(A14448,""en"",""pt"")"),"intolerância")</f>
        <v>intolerância</v>
      </c>
      <c r="B14448" s="3">
        <v>0</v>
      </c>
    </row>
    <row r="14449" ht="15.75" customHeight="1" spans="1:2">
      <c r="A14449" s="3" t="str">
        <f>IFERROR(__xludf.DUMMYFUNCTION("GOOGLETRANSLATE(A14449,""en"",""pt"")"),"intoxicar")</f>
        <v>intoxicar</v>
      </c>
      <c r="B14449" s="3">
        <v>0</v>
      </c>
    </row>
    <row r="14450" ht="15.75" customHeight="1" spans="1:2">
      <c r="A14450" s="3" t="str">
        <f>IFERROR(__xludf.DUMMYFUNCTION("GOOGLETRANSLATE(A14450,""en"",""pt"")"),"intratável")</f>
        <v>intratável</v>
      </c>
      <c r="B14450" s="3">
        <v>0</v>
      </c>
    </row>
    <row r="14451" ht="15.75" customHeight="1" spans="1:2">
      <c r="A14451" s="3" t="str">
        <f>IFERROR(__xludf.DUMMYFUNCTION("GOOGLETRANSLATE(A14451,""en"",""pt"")"),"intransigência")</f>
        <v>intransigência</v>
      </c>
      <c r="B14451" s="3">
        <v>0</v>
      </c>
    </row>
    <row r="14452" ht="15.75" customHeight="1" spans="1:2">
      <c r="A14452" s="3" t="str">
        <f>IFERROR(__xludf.DUMMYFUNCTION("GOOGLETRANSLATE(A14452,""en"",""pt"")"),"intransigente")</f>
        <v>intransigente</v>
      </c>
      <c r="B14452" s="3">
        <v>0</v>
      </c>
    </row>
    <row r="14453" ht="15.75" customHeight="1" spans="1:2">
      <c r="A14453" s="3" t="str">
        <f>IFERROR(__xludf.DUMMYFUNCTION("GOOGLETRANSLATE(A14453,""en"",""pt"")"),"Intromissão")</f>
        <v>Intromissão</v>
      </c>
      <c r="B14453" s="3">
        <v>0</v>
      </c>
    </row>
    <row r="14454" ht="15.75" customHeight="1" spans="1:2">
      <c r="A14454" s="3" t="str">
        <f>IFERROR(__xludf.DUMMYFUNCTION("GOOGLETRANSLATE(A14454,""en"",""pt"")"),"intrusão")</f>
        <v>intrusão</v>
      </c>
      <c r="B14454" s="3">
        <v>0</v>
      </c>
    </row>
    <row r="14455" ht="15.75" customHeight="1" spans="1:2">
      <c r="A14455" s="3" t="str">
        <f>IFERROR(__xludf.DUMMYFUNCTION("GOOGLETRANSLATE(A14455,""en"",""pt"")"),"intrusivo")</f>
        <v>intrusivo</v>
      </c>
      <c r="B14455" s="3">
        <v>0</v>
      </c>
    </row>
    <row r="14456" ht="15.75" customHeight="1" spans="1:2">
      <c r="A14456" s="3" t="str">
        <f>IFERROR(__xludf.DUMMYFUNCTION("GOOGLETRANSLATE(A14456,""en"",""pt"")"),"inundar")</f>
        <v>inundar</v>
      </c>
      <c r="B14456" s="3">
        <v>0</v>
      </c>
    </row>
    <row r="14457" ht="15.75" customHeight="1" spans="1:2">
      <c r="A14457" s="3" t="str">
        <f>IFERROR(__xludf.DUMMYFUNCTION("GOOGLETRANSLATE(A14457,""en"",""pt"")"),"inundados")</f>
        <v>inundados</v>
      </c>
      <c r="B14457" s="3">
        <v>0</v>
      </c>
    </row>
    <row r="14458" ht="15.75" customHeight="1" spans="1:2">
      <c r="A14458" s="3" t="str">
        <f>IFERROR(__xludf.DUMMYFUNCTION("GOOGLETRANSLATE(A14458,""en"",""pt"")"),"invasor")</f>
        <v>invasor</v>
      </c>
      <c r="B14458" s="3">
        <v>0</v>
      </c>
    </row>
    <row r="14459" ht="15.75" customHeight="1" spans="1:2">
      <c r="A14459" s="3" t="str">
        <f>IFERROR(__xludf.DUMMYFUNCTION("GOOGLETRANSLATE(A14459,""en"",""pt"")"),"inválido")</f>
        <v>inválido</v>
      </c>
      <c r="B14459" s="3">
        <v>0</v>
      </c>
    </row>
    <row r="14460" ht="15.75" customHeight="1" spans="1:2">
      <c r="A14460" s="3" t="str">
        <f>IFERROR(__xludf.DUMMYFUNCTION("GOOGLETRANSLATE(A14460,""en"",""pt"")"),"invalidar")</f>
        <v>invalidar</v>
      </c>
      <c r="B14460" s="3">
        <v>0</v>
      </c>
    </row>
    <row r="14461" ht="15.75" customHeight="1" spans="1:2">
      <c r="A14461" s="3" t="str">
        <f>IFERROR(__xludf.DUMMYFUNCTION("GOOGLETRANSLATE(A14461,""en"",""pt"")"),"invalidez")</f>
        <v>invalidez</v>
      </c>
      <c r="B14461" s="3">
        <v>0</v>
      </c>
    </row>
    <row r="14462" ht="15.75" customHeight="1" spans="1:2">
      <c r="A14462" s="3" t="str">
        <f>IFERROR(__xludf.DUMMYFUNCTION("GOOGLETRANSLATE(A14462,""en"",""pt"")"),"invasivo")</f>
        <v>invasivo</v>
      </c>
      <c r="B14462" s="3">
        <v>0</v>
      </c>
    </row>
    <row r="14463" ht="15.75" customHeight="1" spans="1:2">
      <c r="A14463" s="3" t="str">
        <f>IFERROR(__xludf.DUMMYFUNCTION("GOOGLETRANSLATE(A14463,""en"",""pt"")"),"invectivo")</f>
        <v>invectivo</v>
      </c>
      <c r="B14463" s="3">
        <v>0</v>
      </c>
    </row>
    <row r="14464" ht="15.75" customHeight="1" spans="1:2">
      <c r="A14464" s="3" t="str">
        <f>IFERROR(__xludf.DUMMYFUNCTION("GOOGLETRANSLATE(A14464,""en"",""pt"")"),"Iludir")</f>
        <v>Iludir</v>
      </c>
      <c r="B14464" s="3">
        <v>0</v>
      </c>
    </row>
    <row r="14465" ht="15.75" customHeight="1" spans="1:2">
      <c r="A14465" s="3" t="str">
        <f>IFERROR(__xludf.DUMMYFUNCTION("GOOGLETRANSLATE(A14465,""en"",""pt"")"),"desagradável")</f>
        <v>desagradável</v>
      </c>
      <c r="B14465" s="3">
        <v>0</v>
      </c>
    </row>
    <row r="14466" ht="15.75" customHeight="1" spans="1:2">
      <c r="A14466" s="3" t="str">
        <f>IFERROR(__xludf.DUMMYFUNCTION("GOOGLETRANSLATE(A14466,""en"",""pt"")"),"injustamente")</f>
        <v>injustamente</v>
      </c>
      <c r="B14466" s="3">
        <v>0</v>
      </c>
    </row>
    <row r="14467" ht="15.75" customHeight="1" spans="1:2">
      <c r="A14467" s="3" t="str">
        <f>IFERROR(__xludf.DUMMYFUNCTION("GOOGLETRANSLATE(A14467,""en"",""pt"")"),"invidiousness")</f>
        <v>invidiousness</v>
      </c>
      <c r="B14467" s="3">
        <v>0</v>
      </c>
    </row>
    <row r="14468" ht="15.75" customHeight="1" spans="1:2">
      <c r="A14468" s="3" t="str">
        <f>IFERROR(__xludf.DUMMYFUNCTION("GOOGLETRANSLATE(A14468,""en"",""pt"")"),"invisível")</f>
        <v>invisível</v>
      </c>
      <c r="B14468" s="3">
        <v>0</v>
      </c>
    </row>
    <row r="14469" ht="15.75" customHeight="1" spans="1:2">
      <c r="A14469" s="3" t="str">
        <f>IFERROR(__xludf.DUMMYFUNCTION("GOOGLETRANSLATE(A14469,""en"",""pt"")"),"involuntariamente")</f>
        <v>involuntariamente</v>
      </c>
      <c r="B14469" s="3">
        <v>0</v>
      </c>
    </row>
    <row r="14470" ht="15.75" customHeight="1" spans="1:2">
      <c r="A14470" s="3" t="str">
        <f>IFERROR(__xludf.DUMMYFUNCTION("GOOGLETRANSLATE(A14470,""en"",""pt"")"),"involuntário")</f>
        <v>involuntário</v>
      </c>
      <c r="B14470" s="3">
        <v>0</v>
      </c>
    </row>
    <row r="14471" ht="15.75" customHeight="1" spans="1:2">
      <c r="A14471" s="3" t="str">
        <f>IFERROR(__xludf.DUMMYFUNCTION("GOOGLETRANSLATE(A14471,""en"",""pt"")"),"irascível")</f>
        <v>irascível</v>
      </c>
      <c r="B14471" s="3">
        <v>0</v>
      </c>
    </row>
    <row r="14472" ht="15.75" customHeight="1" spans="1:2">
      <c r="A14472" s="3" t="str">
        <f>IFERROR(__xludf.DUMMYFUNCTION("GOOGLETRANSLATE(A14472,""en"",""pt"")"),"enfurecido")</f>
        <v>enfurecido</v>
      </c>
      <c r="B14472" s="3">
        <v>0</v>
      </c>
    </row>
    <row r="14473" ht="15.75" customHeight="1" spans="1:2">
      <c r="A14473" s="3" t="str">
        <f>IFERROR(__xludf.DUMMYFUNCTION("GOOGLETRANSLATE(A14473,""en"",""pt"")"),"irado")</f>
        <v>irado</v>
      </c>
      <c r="B14473" s="3">
        <v>0</v>
      </c>
    </row>
    <row r="14474" ht="15.75" customHeight="1" spans="1:2">
      <c r="A14474" s="3" t="str">
        <f>IFERROR(__xludf.DUMMYFUNCTION("GOOGLETRANSLATE(A14474,""en"",""pt"")"),"ira")</f>
        <v>ira</v>
      </c>
      <c r="B14474" s="3">
        <v>0</v>
      </c>
    </row>
    <row r="14475" ht="15.75" customHeight="1" spans="1:2">
      <c r="A14475" s="3" t="str">
        <f>IFERROR(__xludf.DUMMYFUNCTION("GOOGLETRANSLATE(A14475,""en"",""pt"")"),"IRK")</f>
        <v>IRK</v>
      </c>
      <c r="B14475" s="3">
        <v>0</v>
      </c>
    </row>
    <row r="14476" ht="15.75" customHeight="1" spans="1:2">
      <c r="A14476" s="3" t="str">
        <f>IFERROR(__xludf.DUMMYFUNCTION("GOOGLETRANSLATE(A14476,""en"",""pt"")"),"Irked")</f>
        <v>Irked</v>
      </c>
      <c r="B14476" s="3">
        <v>0</v>
      </c>
    </row>
    <row r="14477" ht="15.75" customHeight="1" spans="1:2">
      <c r="A14477" s="3" t="str">
        <f>IFERROR(__xludf.DUMMYFUNCTION("GOOGLETRANSLATE(A14477,""en"",""pt"")"),"irking")</f>
        <v>irking</v>
      </c>
      <c r="B14477" s="3">
        <v>0</v>
      </c>
    </row>
    <row r="14478" ht="15.75" customHeight="1" spans="1:2">
      <c r="A14478" s="3" t="str">
        <f>IFERROR(__xludf.DUMMYFUNCTION("GOOGLETRANSLATE(A14478,""en"",""pt"")"),"irks")</f>
        <v>irks</v>
      </c>
      <c r="B14478" s="3">
        <v>0</v>
      </c>
    </row>
    <row r="14479" ht="15.75" customHeight="1" spans="1:2">
      <c r="A14479" s="3" t="str">
        <f>IFERROR(__xludf.DUMMYFUNCTION("GOOGLETRANSLATE(A14479,""en"",""pt"")"),"cansativo")</f>
        <v>cansativo</v>
      </c>
      <c r="B14479" s="3">
        <v>0</v>
      </c>
    </row>
    <row r="14480" ht="15.75" customHeight="1" spans="1:2">
      <c r="A14480" s="3" t="str">
        <f>IFERROR(__xludf.DUMMYFUNCTION("GOOGLETRANSLATE(A14480,""en"",""pt"")"),"irritantemente")</f>
        <v>irritantemente</v>
      </c>
      <c r="B14480" s="3">
        <v>0</v>
      </c>
    </row>
    <row r="14481" ht="15.75" customHeight="1" spans="1:2">
      <c r="A14481" s="3" t="str">
        <f>IFERROR(__xludf.DUMMYFUNCTION("GOOGLETRANSLATE(A14481,""en"",""pt"")"),"irksomeness")</f>
        <v>irksomeness</v>
      </c>
      <c r="B14481" s="3">
        <v>0</v>
      </c>
    </row>
    <row r="14482" ht="15.75" customHeight="1" spans="1:2">
      <c r="A14482" s="3" t="str">
        <f>IFERROR(__xludf.DUMMYFUNCTION("GOOGLETRANSLATE(A14482,""en"",""pt"")"),"irksomenesses")</f>
        <v>irksomenesses</v>
      </c>
      <c r="B14482" s="3">
        <v>0</v>
      </c>
    </row>
    <row r="14483" ht="15.75" customHeight="1" spans="1:2">
      <c r="A14483" s="3" t="str">
        <f>IFERROR(__xludf.DUMMYFUNCTION("GOOGLETRANSLATE(A14483,""en"",""pt"")"),"irônico")</f>
        <v>irônico</v>
      </c>
      <c r="B14483" s="3">
        <v>0</v>
      </c>
    </row>
    <row r="14484" ht="15.75" customHeight="1" spans="1:2">
      <c r="A14484" s="3" t="str">
        <f>IFERROR(__xludf.DUMMYFUNCTION("GOOGLETRANSLATE(A14484,""en"",""pt"")"),"irônico")</f>
        <v>irônico</v>
      </c>
      <c r="B14484" s="3">
        <v>0</v>
      </c>
    </row>
    <row r="14485" ht="15.75" customHeight="1" spans="1:2">
      <c r="A14485" s="3" t="str">
        <f>IFERROR(__xludf.DUMMYFUNCTION("GOOGLETRANSLATE(A14485,""en"",""pt"")"),"Ironicamente")</f>
        <v>Ironicamente</v>
      </c>
      <c r="B14485" s="3">
        <v>0</v>
      </c>
    </row>
    <row r="14486" ht="15.75" customHeight="1" spans="1:2">
      <c r="A14486" s="3" t="str">
        <f>IFERROR(__xludf.DUMMYFUNCTION("GOOGLETRANSLATE(A14486,""en"",""pt"")"),"ironias")</f>
        <v>ironias</v>
      </c>
      <c r="B14486" s="3">
        <v>0</v>
      </c>
    </row>
    <row r="14487" ht="15.75" customHeight="1" spans="1:2">
      <c r="A14487" s="3" t="str">
        <f>IFERROR(__xludf.DUMMYFUNCTION("GOOGLETRANSLATE(A14487,""en"",""pt"")"),"ironia")</f>
        <v>ironia</v>
      </c>
      <c r="B14487" s="3">
        <v>0</v>
      </c>
    </row>
    <row r="14488" ht="15.75" customHeight="1" spans="1:2">
      <c r="A14488" s="3" t="str">
        <f>IFERROR(__xludf.DUMMYFUNCTION("GOOGLETRANSLATE(A14488,""en"",""pt"")"),"irragularity")</f>
        <v>irragularity</v>
      </c>
      <c r="B14488" s="3">
        <v>0</v>
      </c>
    </row>
    <row r="14489" ht="15.75" customHeight="1" spans="1:2">
      <c r="A14489" s="3" t="str">
        <f>IFERROR(__xludf.DUMMYFUNCTION("GOOGLETRANSLATE(A14489,""en"",""pt"")"),"irracional")</f>
        <v>irracional</v>
      </c>
      <c r="B14489" s="3">
        <v>0</v>
      </c>
    </row>
    <row r="14490" ht="15.75" customHeight="1" spans="1:2">
      <c r="A14490" s="3" t="str">
        <f>IFERROR(__xludf.DUMMYFUNCTION("GOOGLETRANSLATE(A14490,""en"",""pt"")"),"irracionalidades")</f>
        <v>irracionalidades</v>
      </c>
      <c r="B14490" s="3">
        <v>0</v>
      </c>
    </row>
    <row r="14491" ht="15.75" customHeight="1" spans="1:2">
      <c r="A14491" s="3" t="str">
        <f>IFERROR(__xludf.DUMMYFUNCTION("GOOGLETRANSLATE(A14491,""en"",""pt"")"),"irracionalidade")</f>
        <v>irracionalidade</v>
      </c>
      <c r="B14491" s="3">
        <v>0</v>
      </c>
    </row>
    <row r="14492" ht="15.75" customHeight="1" spans="1:2">
      <c r="A14492" s="3" t="str">
        <f>IFERROR(__xludf.DUMMYFUNCTION("GOOGLETRANSLATE(A14492,""en"",""pt"")"),"irracionalmente")</f>
        <v>irracionalmente</v>
      </c>
      <c r="B14492" s="3">
        <v>0</v>
      </c>
    </row>
    <row r="14493" ht="15.75" customHeight="1" spans="1:2">
      <c r="A14493" s="3" t="str">
        <f>IFERROR(__xludf.DUMMYFUNCTION("GOOGLETRANSLATE(A14493,""en"",""pt"")"),"irracionais")</f>
        <v>irracionais</v>
      </c>
      <c r="B14493" s="3">
        <v>0</v>
      </c>
    </row>
    <row r="14494" ht="15.75" customHeight="1" spans="1:2">
      <c r="A14494" s="3" t="str">
        <f>IFERROR(__xludf.DUMMYFUNCTION("GOOGLETRANSLATE(A14494,""en"",""pt"")"),"irreconciliável")</f>
        <v>irreconciliável</v>
      </c>
      <c r="B14494" s="3">
        <v>0</v>
      </c>
    </row>
    <row r="14495" ht="15.75" customHeight="1" spans="1:2">
      <c r="A14495" s="3" t="str">
        <f>IFERROR(__xludf.DUMMYFUNCTION("GOOGLETRANSLATE(A14495,""en"",""pt"")"),"irrecuperável")</f>
        <v>irrecuperável</v>
      </c>
      <c r="B14495" s="3">
        <v>0</v>
      </c>
    </row>
    <row r="14496" ht="15.75" customHeight="1" spans="1:2">
      <c r="A14496" s="3" t="str">
        <f>IFERROR(__xludf.DUMMYFUNCTION("GOOGLETRANSLATE(A14496,""en"",""pt"")"),"irrecoverableness")</f>
        <v>irrecoverableness</v>
      </c>
      <c r="B14496" s="3">
        <v>0</v>
      </c>
    </row>
    <row r="14497" ht="15.75" customHeight="1" spans="1:2">
      <c r="A14497" s="3" t="str">
        <f>IFERROR(__xludf.DUMMYFUNCTION("GOOGLETRANSLATE(A14497,""en"",""pt"")"),"irrecoverablenesses")</f>
        <v>irrecoverablenesses</v>
      </c>
      <c r="B14497" s="3">
        <v>0</v>
      </c>
    </row>
    <row r="14498" ht="15.75" customHeight="1" spans="1:2">
      <c r="A14498" s="3" t="str">
        <f>IFERROR(__xludf.DUMMYFUNCTION("GOOGLETRANSLATE(A14498,""en"",""pt"")"),"irrecoverably")</f>
        <v>irrecoverably</v>
      </c>
      <c r="B14498" s="3">
        <v>0</v>
      </c>
    </row>
    <row r="14499" ht="15.75" customHeight="1" spans="1:2">
      <c r="A14499" s="3" t="str">
        <f>IFERROR(__xludf.DUMMYFUNCTION("GOOGLETRANSLATE(A14499,""en"",""pt"")"),"irremediável")</f>
        <v>irremediável</v>
      </c>
      <c r="B14499" s="3">
        <v>0</v>
      </c>
    </row>
    <row r="14500" ht="15.75" customHeight="1" spans="1:2">
      <c r="A14500" s="3" t="str">
        <f>IFERROR(__xludf.DUMMYFUNCTION("GOOGLETRANSLATE(A14500,""en"",""pt"")"),"irremediavelmente")</f>
        <v>irremediavelmente</v>
      </c>
      <c r="B14500" s="3">
        <v>0</v>
      </c>
    </row>
    <row r="14501" ht="15.75" customHeight="1" spans="1:2">
      <c r="A14501" s="3" t="str">
        <f>IFERROR(__xludf.DUMMYFUNCTION("GOOGLETRANSLATE(A14501,""en"",""pt"")"),"irreformáveis")</f>
        <v>irreformáveis</v>
      </c>
      <c r="B14501" s="3">
        <v>0</v>
      </c>
    </row>
    <row r="14502" ht="15.75" customHeight="1" spans="1:2">
      <c r="A14502" s="3" t="str">
        <f>IFERROR(__xludf.DUMMYFUNCTION("GOOGLETRANSLATE(A14502,""en"",""pt"")"),"irregular")</f>
        <v>irregular</v>
      </c>
      <c r="B14502" s="3">
        <v>0</v>
      </c>
    </row>
    <row r="14503" ht="15.75" customHeight="1" spans="1:2">
      <c r="A14503" s="3" t="str">
        <f>IFERROR(__xludf.DUMMYFUNCTION("GOOGLETRANSLATE(A14503,""en"",""pt"")"),"irregularidade")</f>
        <v>irregularidade</v>
      </c>
      <c r="B14503" s="3">
        <v>0</v>
      </c>
    </row>
    <row r="14504" ht="15.75" customHeight="1" spans="1:2">
      <c r="A14504" s="3" t="str">
        <f>IFERROR(__xludf.DUMMYFUNCTION("GOOGLETRANSLATE(A14504,""en"",""pt"")"),"irrelevância")</f>
        <v>irrelevância</v>
      </c>
      <c r="B14504" s="3">
        <v>0</v>
      </c>
    </row>
    <row r="14505" ht="15.75" customHeight="1" spans="1:2">
      <c r="A14505" s="3" t="str">
        <f>IFERROR(__xludf.DUMMYFUNCTION("GOOGLETRANSLATE(A14505,""en"",""pt"")"),"irrelevante")</f>
        <v>irrelevante</v>
      </c>
      <c r="B14505" s="3">
        <v>0</v>
      </c>
    </row>
    <row r="14506" ht="15.75" customHeight="1" spans="1:2">
      <c r="A14506" s="3" t="str">
        <f>IFERROR(__xludf.DUMMYFUNCTION("GOOGLETRANSLATE(A14506,""en"",""pt"")"),"irreparável")</f>
        <v>irreparável</v>
      </c>
      <c r="B14506" s="3">
        <v>0</v>
      </c>
    </row>
    <row r="14507" ht="15.75" customHeight="1" spans="1:2">
      <c r="A14507" s="3" t="str">
        <f>IFERROR(__xludf.DUMMYFUNCTION("GOOGLETRANSLATE(A14507,""en"",""pt"")"),"irreplacible")</f>
        <v>irreplacible</v>
      </c>
      <c r="B14507" s="3">
        <v>0</v>
      </c>
    </row>
    <row r="14508" ht="15.75" customHeight="1" spans="1:2">
      <c r="A14508" s="3" t="str">
        <f>IFERROR(__xludf.DUMMYFUNCTION("GOOGLETRANSLATE(A14508,""en"",""pt"")"),"irreprimível")</f>
        <v>irreprimível</v>
      </c>
      <c r="B14508" s="3">
        <v>0</v>
      </c>
    </row>
    <row r="14509" ht="15.75" customHeight="1" spans="1:2">
      <c r="A14509" s="3" t="str">
        <f>IFERROR(__xludf.DUMMYFUNCTION("GOOGLETRANSLATE(A14509,""en"",""pt"")"),"irresoluto")</f>
        <v>irresoluto</v>
      </c>
      <c r="B14509" s="3">
        <v>0</v>
      </c>
    </row>
    <row r="14510" ht="15.75" customHeight="1" spans="1:2">
      <c r="A14510" s="3" t="str">
        <f>IFERROR(__xludf.DUMMYFUNCTION("GOOGLETRANSLATE(A14510,""en"",""pt"")"),"insolúvel")</f>
        <v>insolúvel</v>
      </c>
      <c r="B14510" s="3">
        <v>0</v>
      </c>
    </row>
    <row r="14511" ht="15.75" customHeight="1" spans="1:2">
      <c r="A14511" s="3" t="str">
        <f>IFERROR(__xludf.DUMMYFUNCTION("GOOGLETRANSLATE(A14511,""en"",""pt"")"),"irresponsável")</f>
        <v>irresponsável</v>
      </c>
      <c r="B14511" s="3">
        <v>0</v>
      </c>
    </row>
    <row r="14512" ht="15.75" customHeight="1" spans="1:2">
      <c r="A14512" s="3" t="str">
        <f>IFERROR(__xludf.DUMMYFUNCTION("GOOGLETRANSLATE(A14512,""en"",""pt"")"),"irresponsabilidade")</f>
        <v>irresponsabilidade</v>
      </c>
      <c r="B14512" s="3">
        <v>0</v>
      </c>
    </row>
    <row r="14513" ht="15.75" customHeight="1" spans="1:2">
      <c r="A14513" s="3" t="str">
        <f>IFERROR(__xludf.DUMMYFUNCTION("GOOGLETRANSLATE(A14513,""en"",""pt"")"),"irretating")</f>
        <v>irretating</v>
      </c>
      <c r="B14513" s="3">
        <v>0</v>
      </c>
    </row>
    <row r="14514" ht="15.75" customHeight="1" spans="1:2">
      <c r="A14514" s="3" t="str">
        <f>IFERROR(__xludf.DUMMYFUNCTION("GOOGLETRANSLATE(A14514,""en"",""pt"")"),"irreparável")</f>
        <v>irreparável</v>
      </c>
      <c r="B14514" s="3">
        <v>0</v>
      </c>
    </row>
    <row r="14515" ht="15.75" customHeight="1" spans="1:2">
      <c r="A14515" s="3" t="str">
        <f>IFERROR(__xludf.DUMMYFUNCTION("GOOGLETRANSLATE(A14515,""en"",""pt"")"),"irreversível")</f>
        <v>irreversível</v>
      </c>
      <c r="B14515" s="3">
        <v>0</v>
      </c>
    </row>
    <row r="14516" ht="15.75" customHeight="1" spans="1:2">
      <c r="A14516" s="3" t="str">
        <f>IFERROR(__xludf.DUMMYFUNCTION("GOOGLETRANSLATE(A14516,""en"",""pt"")"),"irritável")</f>
        <v>irritável</v>
      </c>
      <c r="B14516" s="3">
        <v>0</v>
      </c>
    </row>
    <row r="14517" ht="15.75" customHeight="1" spans="1:2">
      <c r="A14517" s="3" t="str">
        <f>IFERROR(__xludf.DUMMYFUNCTION("GOOGLETRANSLATE(A14517,""en"",""pt"")"),"irritada")</f>
        <v>irritada</v>
      </c>
      <c r="B14517" s="3">
        <v>0</v>
      </c>
    </row>
    <row r="14518" ht="15.75" customHeight="1" spans="1:2">
      <c r="A14518" s="3" t="str">
        <f>IFERROR(__xludf.DUMMYFUNCTION("GOOGLETRANSLATE(A14518,""en"",""pt"")"),"irritante")</f>
        <v>irritante</v>
      </c>
      <c r="B14518" s="3">
        <v>0</v>
      </c>
    </row>
    <row r="14519" ht="15.75" customHeight="1" spans="1:2">
      <c r="A14519" s="3" t="str">
        <f>IFERROR(__xludf.DUMMYFUNCTION("GOOGLETRANSLATE(A14519,""en"",""pt"")"),"irritar")</f>
        <v>irritar</v>
      </c>
      <c r="B14519" s="3">
        <v>0</v>
      </c>
    </row>
    <row r="14520" ht="15.75" customHeight="1" spans="1:2">
      <c r="A14520" s="3" t="str">
        <f>IFERROR(__xludf.DUMMYFUNCTION("GOOGLETRANSLATE(A14520,""en"",""pt"")"),"irritado")</f>
        <v>irritado</v>
      </c>
      <c r="B14520" s="3">
        <v>0</v>
      </c>
    </row>
    <row r="14521" ht="15.75" customHeight="1" spans="1:2">
      <c r="A14521" s="3" t="str">
        <f>IFERROR(__xludf.DUMMYFUNCTION("GOOGLETRANSLATE(A14521,""en"",""pt"")"),"irritante")</f>
        <v>irritante</v>
      </c>
      <c r="B14521" s="3">
        <v>0</v>
      </c>
    </row>
    <row r="14522" ht="15.75" customHeight="1" spans="1:2">
      <c r="A14522" s="3" t="str">
        <f>IFERROR(__xludf.DUMMYFUNCTION("GOOGLETRANSLATE(A14522,""en"",""pt"")"),"irritação")</f>
        <v>irritação</v>
      </c>
      <c r="B14522" s="3">
        <v>0</v>
      </c>
    </row>
    <row r="14523" ht="15.75" customHeight="1" spans="1:2">
      <c r="A14523" s="3" t="str">
        <f>IFERROR(__xludf.DUMMYFUNCTION("GOOGLETRANSLATE(A14523,""en"",""pt"")"),"irritações")</f>
        <v>irritações</v>
      </c>
      <c r="B14523" s="3">
        <v>0</v>
      </c>
    </row>
    <row r="14524" ht="15.75" customHeight="1" spans="1:2">
      <c r="A14524" s="3" t="str">
        <f>IFERROR(__xludf.DUMMYFUNCTION("GOOGLETRANSLATE(A14524,""en"",""pt"")"),"isolar")</f>
        <v>isolar</v>
      </c>
      <c r="B14524" s="3">
        <v>0</v>
      </c>
    </row>
    <row r="14525" ht="15.75" customHeight="1" spans="1:2">
      <c r="A14525" s="3" t="str">
        <f>IFERROR(__xludf.DUMMYFUNCTION("GOOGLETRANSLATE(A14525,""en"",""pt"")"),"isolado")</f>
        <v>isolado</v>
      </c>
      <c r="B14525" s="3">
        <v>0</v>
      </c>
    </row>
    <row r="14526" ht="15.75" customHeight="1" spans="1:2">
      <c r="A14526" s="3" t="str">
        <f>IFERROR(__xludf.DUMMYFUNCTION("GOOGLETRANSLATE(A14526,""en"",""pt"")"),"isolamento")</f>
        <v>isolamento</v>
      </c>
      <c r="B14526" s="3">
        <v>0</v>
      </c>
    </row>
    <row r="14527" ht="15.75" customHeight="1" spans="1:2">
      <c r="A14527" s="3" t="str">
        <f>IFERROR(__xludf.DUMMYFUNCTION("GOOGLETRANSLATE(A14527,""en"",""pt"")"),"questão")</f>
        <v>questão</v>
      </c>
      <c r="B14527" s="3">
        <v>0</v>
      </c>
    </row>
    <row r="14528" ht="15.75" customHeight="1" spans="1:2">
      <c r="A14528" s="3" t="str">
        <f>IFERROR(__xludf.DUMMYFUNCTION("GOOGLETRANSLATE(A14528,""en"",""pt"")"),"problemas")</f>
        <v>problemas</v>
      </c>
      <c r="B14528" s="3">
        <v>0</v>
      </c>
    </row>
    <row r="14529" ht="15.75" customHeight="1" spans="1:2">
      <c r="A14529" s="3" t="str">
        <f>IFERROR(__xludf.DUMMYFUNCTION("GOOGLETRANSLATE(A14529,""en"",""pt"")"),"coceira")</f>
        <v>coceira</v>
      </c>
      <c r="B14529" s="3">
        <v>0</v>
      </c>
    </row>
    <row r="14530" ht="15.75" customHeight="1" spans="1:2">
      <c r="A14530" s="3" t="str">
        <f>IFERROR(__xludf.DUMMYFUNCTION("GOOGLETRANSLATE(A14530,""en"",""pt"")"),"coceira")</f>
        <v>coceira</v>
      </c>
      <c r="B14530" s="3">
        <v>0</v>
      </c>
    </row>
    <row r="14531" ht="15.75" customHeight="1" spans="1:2">
      <c r="A14531" s="3" t="str">
        <f>IFERROR(__xludf.DUMMYFUNCTION("GOOGLETRANSLATE(A14531,""en"",""pt"")"),"sarnento")</f>
        <v>sarnento</v>
      </c>
      <c r="B14531" s="3">
        <v>0</v>
      </c>
    </row>
    <row r="14532" ht="15.75" customHeight="1" spans="1:2">
      <c r="A14532" s="3" t="str">
        <f>IFERROR(__xludf.DUMMYFUNCTION("GOOGLETRANSLATE(A14532,""en"",""pt"")"),"tagarelar")</f>
        <v>tagarelar</v>
      </c>
      <c r="B14532" s="3">
        <v>0</v>
      </c>
    </row>
    <row r="14533" ht="15.75" customHeight="1" spans="1:2">
      <c r="A14533" s="3" t="str">
        <f>IFERROR(__xludf.DUMMYFUNCTION("GOOGLETRANSLATE(A14533,""en"",""pt"")"),"cansado")</f>
        <v>cansado</v>
      </c>
      <c r="B14533" s="3">
        <v>0</v>
      </c>
    </row>
    <row r="14534" ht="15.75" customHeight="1" spans="1:2">
      <c r="A14534" s="3" t="str">
        <f>IFERROR(__xludf.DUMMYFUNCTION("GOOGLETRANSLATE(A14534,""en"",""pt"")"),"denteado")</f>
        <v>denteado</v>
      </c>
      <c r="B14534" s="3">
        <v>0</v>
      </c>
    </row>
    <row r="14535" ht="15.75" customHeight="1" spans="1:2">
      <c r="A14535" s="3" t="str">
        <f>IFERROR(__xludf.DUMMYFUNCTION("GOOGLETRANSLATE(A14535,""en"",""pt"")"),"geléia")</f>
        <v>geléia</v>
      </c>
      <c r="B14535" s="3">
        <v>0</v>
      </c>
    </row>
    <row r="14536" ht="15.75" customHeight="1" spans="1:2">
      <c r="A14536" s="3" t="str">
        <f>IFERROR(__xludf.DUMMYFUNCTION("GOOGLETRANSLATE(A14536,""en"",""pt"")"),"chocante")</f>
        <v>chocante</v>
      </c>
      <c r="B14536" s="3">
        <v>0</v>
      </c>
    </row>
    <row r="14537" ht="15.75" customHeight="1" spans="1:2">
      <c r="A14537" s="3" t="str">
        <f>IFERROR(__xludf.DUMMYFUNCTION("GOOGLETRANSLATE(A14537,""en"",""pt"")"),"invejoso")</f>
        <v>invejoso</v>
      </c>
      <c r="B14537" s="3">
        <v>0</v>
      </c>
    </row>
    <row r="14538" ht="15.75" customHeight="1" spans="1:2">
      <c r="A14538" s="3" t="str">
        <f>IFERROR(__xludf.DUMMYFUNCTION("GOOGLETRANSLATE(A14538,""en"",""pt"")"),"com ciumes")</f>
        <v>com ciumes</v>
      </c>
      <c r="B14538" s="3">
        <v>0</v>
      </c>
    </row>
    <row r="14539" ht="15.75" customHeight="1" spans="1:2">
      <c r="A14539" s="3" t="str">
        <f>IFERROR(__xludf.DUMMYFUNCTION("GOOGLETRANSLATE(A14539,""en"",""pt"")"),"ciosamente")</f>
        <v>ciosamente</v>
      </c>
      <c r="B14539" s="3">
        <v>0</v>
      </c>
    </row>
    <row r="14540" ht="15.75" customHeight="1" spans="1:2">
      <c r="A14540" s="3" t="str">
        <f>IFERROR(__xludf.DUMMYFUNCTION("GOOGLETRANSLATE(A14540,""en"",""pt"")"),"jealousness")</f>
        <v>jealousness</v>
      </c>
      <c r="B14540" s="3">
        <v>0</v>
      </c>
    </row>
    <row r="14541" ht="15.75" customHeight="1" spans="1:2">
      <c r="A14541" s="3" t="str">
        <f>IFERROR(__xludf.DUMMYFUNCTION("GOOGLETRANSLATE(A14541,""en"",""pt"")"),"ciúmes")</f>
        <v>ciúmes</v>
      </c>
      <c r="B14541" s="3">
        <v>0</v>
      </c>
    </row>
    <row r="14542" ht="15.75" customHeight="1" spans="1:2">
      <c r="A14542" s="3" t="str">
        <f>IFERROR(__xludf.DUMMYFUNCTION("GOOGLETRANSLATE(A14542,""en"",""pt"")"),"zombaria")</f>
        <v>zombaria</v>
      </c>
      <c r="B14542" s="3">
        <v>0</v>
      </c>
    </row>
    <row r="14543" ht="15.75" customHeight="1" spans="1:2">
      <c r="A14543" s="3" t="str">
        <f>IFERROR(__xludf.DUMMYFUNCTION("GOOGLETRANSLATE(A14543,""en"",""pt"")"),"jeering")</f>
        <v>jeering</v>
      </c>
      <c r="B14543" s="3">
        <v>0</v>
      </c>
    </row>
    <row r="14544" ht="15.75" customHeight="1" spans="1:2">
      <c r="A14544" s="3" t="str">
        <f>IFERROR(__xludf.DUMMYFUNCTION("GOOGLETRANSLATE(A14544,""en"",""pt"")"),"zombeteiramente")</f>
        <v>zombeteiramente</v>
      </c>
      <c r="B14544" s="3">
        <v>0</v>
      </c>
    </row>
    <row r="14545" ht="15.75" customHeight="1" spans="1:2">
      <c r="A14545" s="3" t="str">
        <f>IFERROR(__xludf.DUMMYFUNCTION("GOOGLETRANSLATE(A14545,""en"",""pt"")"),"jeers")</f>
        <v>jeers</v>
      </c>
      <c r="B14545" s="3">
        <v>0</v>
      </c>
    </row>
    <row r="14546" ht="15.75" customHeight="1" spans="1:2">
      <c r="A14546" s="3" t="str">
        <f>IFERROR(__xludf.DUMMYFUNCTION("GOOGLETRANSLATE(A14546,""en"",""pt"")"),"jeopardize")</f>
        <v>jeopardize</v>
      </c>
      <c r="B14546" s="3">
        <v>0</v>
      </c>
    </row>
    <row r="14547" ht="15.75" customHeight="1" spans="1:2">
      <c r="A14547" s="3" t="str">
        <f>IFERROR(__xludf.DUMMYFUNCTION("GOOGLETRANSLATE(A14547,""en"",""pt"")"),"perigo")</f>
        <v>perigo</v>
      </c>
      <c r="B14547" s="3">
        <v>0</v>
      </c>
    </row>
    <row r="14548" ht="15.75" customHeight="1" spans="1:2">
      <c r="A14548" s="3" t="str">
        <f>IFERROR(__xludf.DUMMYFUNCTION("GOOGLETRANSLATE(A14548,""en"",""pt"")"),"empurrão")</f>
        <v>empurrão</v>
      </c>
      <c r="B14548" s="3">
        <v>0</v>
      </c>
    </row>
    <row r="14549" ht="15.75" customHeight="1" spans="1:2">
      <c r="A14549" s="3" t="str">
        <f>IFERROR(__xludf.DUMMYFUNCTION("GOOGLETRANSLATE(A14549,""en"",""pt"")"),"irregular")</f>
        <v>irregular</v>
      </c>
      <c r="B14549" s="3">
        <v>0</v>
      </c>
    </row>
    <row r="14550" ht="15.75" customHeight="1" spans="1:2">
      <c r="A14550" s="3" t="str">
        <f>IFERROR(__xludf.DUMMYFUNCTION("GOOGLETRANSLATE(A14550,""en"",""pt"")"),"jitter")</f>
        <v>jitter</v>
      </c>
      <c r="B14550" s="3">
        <v>0</v>
      </c>
    </row>
    <row r="14551" ht="15.75" customHeight="1" spans="1:2">
      <c r="A14551" s="3" t="str">
        <f>IFERROR(__xludf.DUMMYFUNCTION("GOOGLETRANSLATE(A14551,""en"",""pt"")"),"nervosismo")</f>
        <v>nervosismo</v>
      </c>
      <c r="B14551" s="3">
        <v>0</v>
      </c>
    </row>
    <row r="14552" ht="15.75" customHeight="1" spans="1:2">
      <c r="A14552" s="3" t="str">
        <f>IFERROR(__xludf.DUMMYFUNCTION("GOOGLETRANSLATE(A14552,""en"",""pt"")"),"jittery")</f>
        <v>jittery</v>
      </c>
      <c r="B14552" s="3">
        <v>0</v>
      </c>
    </row>
    <row r="14553" ht="15.75" customHeight="1" spans="1:2">
      <c r="A14553" s="3" t="str">
        <f>IFERROR(__xludf.DUMMYFUNCTION("GOOGLETRANSLATE(A14553,""en"",""pt"")"),"trabalho de assassinato")</f>
        <v>trabalho de assassinato</v>
      </c>
      <c r="B14553" s="3">
        <v>0</v>
      </c>
    </row>
    <row r="14554" ht="15.75" customHeight="1" spans="1:2">
      <c r="A14554" s="3" t="str">
        <f>IFERROR(__xludf.DUMMYFUNCTION("GOOGLETRANSLATE(A14554,""en"",""pt"")"),"desempregado")</f>
        <v>desempregado</v>
      </c>
      <c r="B14554" s="3">
        <v>0</v>
      </c>
    </row>
    <row r="14555" ht="15.75" customHeight="1" spans="1:2">
      <c r="A14555" s="3" t="str">
        <f>IFERROR(__xludf.DUMMYFUNCTION("GOOGLETRANSLATE(A14555,""en"",""pt"")"),"gracejo")</f>
        <v>gracejo</v>
      </c>
      <c r="B14555" s="3">
        <v>0</v>
      </c>
    </row>
    <row r="14556" ht="15.75" customHeight="1" spans="1:2">
      <c r="A14556" s="3" t="str">
        <f>IFERROR(__xludf.DUMMYFUNCTION("GOOGLETRANSLATE(A14556,""en"",""pt"")"),"palhaço")</f>
        <v>palhaço</v>
      </c>
      <c r="B14556" s="3">
        <v>0</v>
      </c>
    </row>
    <row r="14557" ht="15.75" customHeight="1" spans="1:2">
      <c r="A14557" s="3" t="str">
        <f>IFERROR(__xludf.DUMMYFUNCTION("GOOGLETRANSLATE(A14557,""en"",""pt"")"),"solavanco")</f>
        <v>solavanco</v>
      </c>
      <c r="B14557" s="3">
        <v>0</v>
      </c>
    </row>
    <row r="14558" ht="15.75" customHeight="1" spans="1:2">
      <c r="A14558" s="3" t="str">
        <f>IFERROR(__xludf.DUMMYFUNCTION("GOOGLETRANSLATE(A14558,""en"",""pt"")"),"trepidação")</f>
        <v>trepidação</v>
      </c>
      <c r="B14558" s="3">
        <v>0</v>
      </c>
    </row>
    <row r="14559" ht="15.75" customHeight="1" spans="1:2">
      <c r="A14559" s="3" t="str">
        <f>IFERROR(__xludf.DUMMYFUNCTION("GOOGLETRANSLATE(A14559,""en"",""pt"")"),"trepidação")</f>
        <v>trepidação</v>
      </c>
      <c r="B14559" s="3">
        <v>0</v>
      </c>
    </row>
    <row r="14560" ht="15.75" customHeight="1" spans="1:2">
      <c r="A14560" s="3" t="str">
        <f>IFERROR(__xludf.DUMMYFUNCTION("GOOGLETRANSLATE(A14560,""en"",""pt"")"),"trepidações")</f>
        <v>trepidações</v>
      </c>
      <c r="B14560" s="3">
        <v>0</v>
      </c>
    </row>
    <row r="14561" ht="15.75" customHeight="1" spans="1:2">
      <c r="A14561" s="3" t="str">
        <f>IFERROR(__xludf.DUMMYFUNCTION("GOOGLETRANSLATE(A14561,""en"",""pt"")"),"saltitante")</f>
        <v>saltitante</v>
      </c>
      <c r="B14561" s="3">
        <v>0</v>
      </c>
    </row>
    <row r="14562" ht="15.75" customHeight="1" spans="1:2">
      <c r="A14562" s="3" t="str">
        <f>IFERROR(__xludf.DUMMYFUNCTION("GOOGLETRANSLATE(A14562,""en"",""pt"")"),"lixo")</f>
        <v>lixo</v>
      </c>
      <c r="B14562" s="3">
        <v>0</v>
      </c>
    </row>
    <row r="14563" ht="15.75" customHeight="1" spans="1:2">
      <c r="A14563" s="3" t="str">
        <f>IFERROR(__xludf.DUMMYFUNCTION("GOOGLETRANSLATE(A14563,""en"",""pt"")"),"junky")</f>
        <v>junky</v>
      </c>
      <c r="B14563" s="3">
        <v>0</v>
      </c>
    </row>
    <row r="14564" ht="15.75" customHeight="1" spans="1:2">
      <c r="A14564" s="3" t="str">
        <f>IFERROR(__xludf.DUMMYFUNCTION("GOOGLETRANSLATE(A14564,""en"",""pt"")"),"ferro velho")</f>
        <v>ferro velho</v>
      </c>
      <c r="B14564" s="3">
        <v>0</v>
      </c>
    </row>
    <row r="14565" ht="15.75" customHeight="1" spans="1:2">
      <c r="A14565" s="3" t="str">
        <f>IFERROR(__xludf.DUMMYFUNCTION("GOOGLETRANSLATE(A14565,""en"",""pt"")"),"Jutter")</f>
        <v>Jutter</v>
      </c>
      <c r="B14565" s="3">
        <v>0</v>
      </c>
    </row>
    <row r="14566" ht="15.75" customHeight="1" spans="1:2">
      <c r="A14566" s="3" t="str">
        <f>IFERROR(__xludf.DUMMYFUNCTION("GOOGLETRANSLATE(A14566,""en"",""pt"")"),"Jutters")</f>
        <v>Jutters</v>
      </c>
      <c r="B14566" s="3">
        <v>0</v>
      </c>
    </row>
    <row r="14567" ht="15.75" customHeight="1" spans="1:2">
      <c r="A14567" s="3" t="str">
        <f>IFERROR(__xludf.DUMMYFUNCTION("GOOGLETRANSLATE(A14567,""en"",""pt"")"),"arruinado")</f>
        <v>arruinado</v>
      </c>
      <c r="B14567" s="3">
        <v>0</v>
      </c>
    </row>
    <row r="14568" ht="15.75" customHeight="1" spans="1:2">
      <c r="A14568" s="3" t="str">
        <f>IFERROR(__xludf.DUMMYFUNCTION("GOOGLETRANSLATE(A14568,""en"",""pt"")"),"mate")</f>
        <v>mate</v>
      </c>
      <c r="B14568" s="3">
        <v>0</v>
      </c>
    </row>
    <row r="14569" ht="15.75" customHeight="1" spans="1:2">
      <c r="A14569" s="3" t="str">
        <f>IFERROR(__xludf.DUMMYFUNCTION("GOOGLETRANSLATE(A14569,""en"",""pt"")"),"assassinado")</f>
        <v>assassinado</v>
      </c>
      <c r="B14569" s="3">
        <v>0</v>
      </c>
    </row>
    <row r="14570" ht="15.75" customHeight="1" spans="1:2">
      <c r="A14570" s="3" t="str">
        <f>IFERROR(__xludf.DUMMYFUNCTION("GOOGLETRANSLATE(A14570,""en"",""pt"")"),"assassino")</f>
        <v>assassino</v>
      </c>
      <c r="B14570" s="3">
        <v>0</v>
      </c>
    </row>
    <row r="14571" ht="15.75" customHeight="1" spans="1:2">
      <c r="A14571" s="3" t="str">
        <f>IFERROR(__xludf.DUMMYFUNCTION("GOOGLETRANSLATE(A14571,""en"",""pt"")"),"matando")</f>
        <v>matando</v>
      </c>
      <c r="B14571" s="3">
        <v>0</v>
      </c>
    </row>
    <row r="14572" ht="15.75" customHeight="1" spans="1:2">
      <c r="A14572" s="3" t="str">
        <f>IFERROR(__xludf.DUMMYFUNCTION("GOOGLETRANSLATE(A14572,""en"",""pt"")"),"desmancha-prazeres")</f>
        <v>desmancha-prazeres</v>
      </c>
      <c r="B14572" s="3">
        <v>0</v>
      </c>
    </row>
    <row r="14573" ht="15.75" customHeight="1" spans="1:2">
      <c r="A14573" s="3" t="str">
        <f>IFERROR(__xludf.DUMMYFUNCTION("GOOGLETRANSLATE(A14573,""en"",""pt"")"),"kills")</f>
        <v>kills</v>
      </c>
      <c r="B14573" s="3">
        <v>0</v>
      </c>
    </row>
    <row r="14574" ht="15.75" customHeight="1" spans="1:2">
      <c r="A14574" s="3" t="str">
        <f>IFERROR(__xludf.DUMMYFUNCTION("GOOGLETRANSLATE(A14574,""en"",""pt"")"),"valete")</f>
        <v>valete</v>
      </c>
      <c r="B14574" s="3">
        <v>0</v>
      </c>
    </row>
    <row r="14575" ht="15.75" customHeight="1" spans="1:2">
      <c r="A14575" s="3" t="str">
        <f>IFERROR(__xludf.DUMMYFUNCTION("GOOGLETRANSLATE(A14575,""en"",""pt"")"),"faca")</f>
        <v>faca</v>
      </c>
      <c r="B14575" s="3">
        <v>0</v>
      </c>
    </row>
    <row r="14576" ht="15.75" customHeight="1" spans="1:2">
      <c r="A14576" s="3" t="str">
        <f>IFERROR(__xludf.DUMMYFUNCTION("GOOGLETRANSLATE(A14576,""en"",""pt"")"),"batida")</f>
        <v>batida</v>
      </c>
      <c r="B14576" s="3">
        <v>0</v>
      </c>
    </row>
    <row r="14577" ht="15.75" customHeight="1" spans="1:2">
      <c r="A14577" s="3" t="str">
        <f>IFERROR(__xludf.DUMMYFUNCTION("GOOGLETRANSLATE(A14577,""en"",""pt"")"),"nodoso")</f>
        <v>nodoso</v>
      </c>
      <c r="B14577" s="3">
        <v>0</v>
      </c>
    </row>
    <row r="14578" ht="15.75" customHeight="1" spans="1:2">
      <c r="A14578" s="3" t="str">
        <f>IFERROR(__xludf.DUMMYFUNCTION("GOOGLETRANSLATE(A14578,""en"",""pt"")"),"maluco")</f>
        <v>maluco</v>
      </c>
      <c r="B14578" s="3">
        <v>0</v>
      </c>
    </row>
    <row r="14579" ht="15.75" customHeight="1" spans="1:2">
      <c r="A14579" s="3" t="str">
        <f>IFERROR(__xludf.DUMMYFUNCTION("GOOGLETRANSLATE(A14579,""en"",""pt"")"),"kooky")</f>
        <v>kooky</v>
      </c>
      <c r="B14579" s="3">
        <v>0</v>
      </c>
    </row>
    <row r="14580" ht="15.75" customHeight="1" spans="1:2">
      <c r="A14580" s="3" t="str">
        <f>IFERROR(__xludf.DUMMYFUNCTION("GOOGLETRANSLATE(A14580,""en"",""pt"")"),"falta")</f>
        <v>falta</v>
      </c>
      <c r="B14580" s="3">
        <v>0</v>
      </c>
    </row>
    <row r="14581" ht="15.75" customHeight="1" spans="1:2">
      <c r="A14581" s="3" t="str">
        <f>IFERROR(__xludf.DUMMYFUNCTION("GOOGLETRANSLATE(A14581,""en"",""pt"")"),"lackadaisical")</f>
        <v>lackadaisical</v>
      </c>
      <c r="B14581" s="3">
        <v>0</v>
      </c>
    </row>
    <row r="14582" ht="15.75" customHeight="1" spans="1:2">
      <c r="A14582" s="3" t="str">
        <f>IFERROR(__xludf.DUMMYFUNCTION("GOOGLETRANSLATE(A14582,""en"",""pt"")"),"faltava")</f>
        <v>faltava</v>
      </c>
      <c r="B14582" s="3">
        <v>0</v>
      </c>
    </row>
    <row r="14583" ht="15.75" customHeight="1" spans="1:2">
      <c r="A14583" s="3" t="str">
        <f>IFERROR(__xludf.DUMMYFUNCTION("GOOGLETRANSLATE(A14583,""en"",""pt"")"),"lacaio")</f>
        <v>lacaio</v>
      </c>
      <c r="B14583" s="3">
        <v>0</v>
      </c>
    </row>
    <row r="14584" ht="15.75" customHeight="1" spans="1:2">
      <c r="A14584" s="3" t="str">
        <f>IFERROR(__xludf.DUMMYFUNCTION("GOOGLETRANSLATE(A14584,""en"",""pt"")"),"lacaios")</f>
        <v>lacaios</v>
      </c>
      <c r="B14584" s="3">
        <v>0</v>
      </c>
    </row>
    <row r="14585" ht="15.75" customHeight="1" spans="1:2">
      <c r="A14585" s="3" t="str">
        <f>IFERROR(__xludf.DUMMYFUNCTION("GOOGLETRANSLATE(A14585,""en"",""pt"")"),"em falta")</f>
        <v>em falta</v>
      </c>
      <c r="B14585" s="3">
        <v>0</v>
      </c>
    </row>
    <row r="14586" ht="15.75" customHeight="1" spans="1:2">
      <c r="A14586" s="3" t="str">
        <f>IFERROR(__xludf.DUMMYFUNCTION("GOOGLETRANSLATE(A14586,""en"",""pt"")"),"desbotado")</f>
        <v>desbotado</v>
      </c>
      <c r="B14586" s="3">
        <v>0</v>
      </c>
    </row>
    <row r="14587" ht="15.75" customHeight="1" spans="1:2">
      <c r="A14587" s="3" t="str">
        <f>IFERROR(__xludf.DUMMYFUNCTION("GOOGLETRANSLATE(A14587,""en"",""pt"")"),"carece")</f>
        <v>carece</v>
      </c>
      <c r="B14587" s="3">
        <v>0</v>
      </c>
    </row>
    <row r="14588" ht="15.75" customHeight="1" spans="1:2">
      <c r="A14588" s="3" t="str">
        <f>IFERROR(__xludf.DUMMYFUNCTION("GOOGLETRANSLATE(A14588,""en"",""pt"")"),"lacônico")</f>
        <v>lacônico</v>
      </c>
      <c r="B14588" s="3">
        <v>0</v>
      </c>
    </row>
    <row r="14589" ht="15.75" customHeight="1" spans="1:2">
      <c r="A14589" s="3" t="str">
        <f>IFERROR(__xludf.DUMMYFUNCTION("GOOGLETRANSLATE(A14589,""en"",""pt"")"),"atraso")</f>
        <v>atraso</v>
      </c>
      <c r="B14589" s="3">
        <v>0</v>
      </c>
    </row>
    <row r="14590" ht="15.75" customHeight="1" spans="1:2">
      <c r="A14590" s="3" t="str">
        <f>IFERROR(__xludf.DUMMYFUNCTION("GOOGLETRANSLATE(A14590,""en"",""pt"")"),"defasada")</f>
        <v>defasada</v>
      </c>
      <c r="B14590" s="3">
        <v>0</v>
      </c>
    </row>
    <row r="14591" ht="15.75" customHeight="1" spans="1:2">
      <c r="A14591" s="3" t="str">
        <f>IFERROR(__xludf.DUMMYFUNCTION("GOOGLETRANSLATE(A14591,""en"",""pt"")"),"atraso")</f>
        <v>atraso</v>
      </c>
      <c r="B14591" s="3">
        <v>0</v>
      </c>
    </row>
    <row r="14592" ht="15.75" customHeight="1" spans="1:2">
      <c r="A14592" s="3" t="str">
        <f>IFERROR(__xludf.DUMMYFUNCTION("GOOGLETRANSLATE(A14592,""en"",""pt"")"),"laggy")</f>
        <v>laggy</v>
      </c>
      <c r="B14592" s="3">
        <v>0</v>
      </c>
    </row>
    <row r="14593" ht="15.75" customHeight="1" spans="1:2">
      <c r="A14593" s="3" t="str">
        <f>IFERROR(__xludf.DUMMYFUNCTION("GOOGLETRANSLATE(A14593,""en"",""pt"")"),"defasagens")</f>
        <v>defasagens</v>
      </c>
      <c r="B14593" s="3">
        <v>0</v>
      </c>
    </row>
    <row r="14594" ht="15.75" customHeight="1" spans="1:2">
      <c r="A14594" s="3" t="str">
        <f>IFERROR(__xludf.DUMMYFUNCTION("GOOGLETRANSLATE(A14594,""en"",""pt"")"),"demitido")</f>
        <v>demitido</v>
      </c>
      <c r="B14594" s="3">
        <v>0</v>
      </c>
    </row>
    <row r="14595" ht="15.75" customHeight="1" spans="1:2">
      <c r="A14595" s="3" t="str">
        <f>IFERROR(__xludf.DUMMYFUNCTION("GOOGLETRANSLATE(A14595,""en"",""pt"")"),"lambast")</f>
        <v>lambast</v>
      </c>
      <c r="B14595" s="3">
        <v>0</v>
      </c>
    </row>
    <row r="14596" ht="15.75" customHeight="1" spans="1:2">
      <c r="A14596" s="3" t="str">
        <f>IFERROR(__xludf.DUMMYFUNCTION("GOOGLETRANSLATE(A14596,""en"",""pt"")"),"espancar")</f>
        <v>espancar</v>
      </c>
      <c r="B14596" s="3">
        <v>0</v>
      </c>
    </row>
    <row r="14597" ht="15.75" customHeight="1" spans="1:2">
      <c r="A14597" s="3" t="str">
        <f>IFERROR(__xludf.DUMMYFUNCTION("GOOGLETRANSLATE(A14597,""en"",""pt"")"),"coxo")</f>
        <v>coxo</v>
      </c>
      <c r="B14597" s="3">
        <v>0</v>
      </c>
    </row>
    <row r="14598" ht="15.75" customHeight="1" spans="1:2">
      <c r="A14598" s="3" t="str">
        <f>IFERROR(__xludf.DUMMYFUNCTION("GOOGLETRANSLATE(A14598,""en"",""pt"")"),"lame-duck")</f>
        <v>lame-duck</v>
      </c>
      <c r="B14598" s="3">
        <v>0</v>
      </c>
    </row>
    <row r="14599" ht="15.75" customHeight="1" spans="1:2">
      <c r="A14599" s="3" t="str">
        <f>IFERROR(__xludf.DUMMYFUNCTION("GOOGLETRANSLATE(A14599,""en"",""pt"")"),"lamento")</f>
        <v>lamento</v>
      </c>
      <c r="B14599" s="3">
        <v>0</v>
      </c>
    </row>
    <row r="14600" ht="15.75" customHeight="1" spans="1:2">
      <c r="A14600" s="3" t="str">
        <f>IFERROR(__xludf.DUMMYFUNCTION("GOOGLETRANSLATE(A14600,""en"",""pt"")"),"lamentável")</f>
        <v>lamentável</v>
      </c>
      <c r="B14600" s="3">
        <v>0</v>
      </c>
    </row>
    <row r="14601" ht="15.75" customHeight="1" spans="1:2">
      <c r="A14601" s="3" t="str">
        <f>IFERROR(__xludf.DUMMYFUNCTION("GOOGLETRANSLATE(A14601,""en"",""pt"")"),"lamentavelmente")</f>
        <v>lamentavelmente</v>
      </c>
      <c r="B14601" s="3">
        <v>0</v>
      </c>
    </row>
    <row r="14602" ht="15.75" customHeight="1" spans="1:2">
      <c r="A14602" s="3" t="str">
        <f>IFERROR(__xludf.DUMMYFUNCTION("GOOGLETRANSLATE(A14602,""en"",""pt"")"),"lânguido")</f>
        <v>lânguido</v>
      </c>
      <c r="B14602" s="3">
        <v>0</v>
      </c>
    </row>
    <row r="14603" ht="15.75" customHeight="1" spans="1:2">
      <c r="A14603" s="3" t="str">
        <f>IFERROR(__xludf.DUMMYFUNCTION("GOOGLETRANSLATE(A14603,""en"",""pt"")"),"definhar")</f>
        <v>definhar</v>
      </c>
      <c r="B14603" s="3">
        <v>0</v>
      </c>
    </row>
    <row r="14604" ht="15.75" customHeight="1" spans="1:2">
      <c r="A14604" s="3" t="str">
        <f>IFERROR(__xludf.DUMMYFUNCTION("GOOGLETRANSLATE(A14604,""en"",""pt"")"),"langor")</f>
        <v>langor</v>
      </c>
      <c r="B14604" s="3">
        <v>0</v>
      </c>
    </row>
    <row r="14605" ht="15.75" customHeight="1" spans="1:2">
      <c r="A14605" s="3" t="str">
        <f>IFERROR(__xludf.DUMMYFUNCTION("GOOGLETRANSLATE(A14605,""en"",""pt"")"),"langoroso")</f>
        <v>langoroso</v>
      </c>
      <c r="B14605" s="3">
        <v>0</v>
      </c>
    </row>
    <row r="14606" ht="15.75" customHeight="1" spans="1:2">
      <c r="A14606" s="3" t="str">
        <f>IFERROR(__xludf.DUMMYFUNCTION("GOOGLETRANSLATE(A14606,""en"",""pt"")"),"languorously")</f>
        <v>languorously</v>
      </c>
      <c r="B14606" s="3">
        <v>0</v>
      </c>
    </row>
    <row r="14607" ht="15.75" customHeight="1" spans="1:2">
      <c r="A14607" s="3" t="str">
        <f>IFERROR(__xludf.DUMMYFUNCTION("GOOGLETRANSLATE(A14607,""en"",""pt"")"),"esguio")</f>
        <v>esguio</v>
      </c>
      <c r="B14607" s="3">
        <v>0</v>
      </c>
    </row>
    <row r="14608" ht="15.75" customHeight="1" spans="1:2">
      <c r="A14608" s="3" t="str">
        <f>IFERROR(__xludf.DUMMYFUNCTION("GOOGLETRANSLATE(A14608,""en"",""pt"")"),"lapso")</f>
        <v>lapso</v>
      </c>
      <c r="B14608" s="3">
        <v>0</v>
      </c>
    </row>
    <row r="14609" ht="15.75" customHeight="1" spans="1:2">
      <c r="A14609" s="3" t="str">
        <f>IFERROR(__xludf.DUMMYFUNCTION("GOOGLETRANSLATE(A14609,""en"",""pt"")"),"caduco")</f>
        <v>caduco</v>
      </c>
      <c r="B14609" s="3">
        <v>0</v>
      </c>
    </row>
    <row r="14610" ht="15.75" customHeight="1" spans="1:2">
      <c r="A14610" s="3" t="str">
        <f>IFERROR(__xludf.DUMMYFUNCTION("GOOGLETRANSLATE(A14610,""en"",""pt"")"),"lapsos")</f>
        <v>lapsos</v>
      </c>
      <c r="B14610" s="3">
        <v>0</v>
      </c>
    </row>
    <row r="14611" ht="15.75" customHeight="1" spans="1:2">
      <c r="A14611" s="3" t="str">
        <f>IFERROR(__xludf.DUMMYFUNCTION("GOOGLETRANSLATE(A14611,""en"",""pt"")"),"lascivo")</f>
        <v>lascivo</v>
      </c>
      <c r="B14611" s="3">
        <v>0</v>
      </c>
    </row>
    <row r="14612" ht="15.75" customHeight="1" spans="1:2">
      <c r="A14612" s="3" t="str">
        <f>IFERROR(__xludf.DUMMYFUNCTION("GOOGLETRANSLATE(A14612,""en"",""pt"")"),"de última hora")</f>
        <v>de última hora</v>
      </c>
      <c r="B14612" s="3">
        <v>0</v>
      </c>
    </row>
    <row r="14613" ht="15.75" customHeight="1" spans="1:2">
      <c r="A14613" s="3" t="str">
        <f>IFERROR(__xludf.DUMMYFUNCTION("GOOGLETRANSLATE(A14613,""en"",""pt"")"),"latência")</f>
        <v>latência</v>
      </c>
      <c r="B14613" s="3">
        <v>0</v>
      </c>
    </row>
    <row r="14614" ht="15.75" customHeight="1" spans="1:2">
      <c r="A14614" s="3" t="str">
        <f>IFERROR(__xludf.DUMMYFUNCTION("GOOGLETRANSLATE(A14614,""en"",""pt"")"),"risível")</f>
        <v>risível</v>
      </c>
      <c r="B14614" s="3">
        <v>0</v>
      </c>
    </row>
    <row r="14615" ht="15.75" customHeight="1" spans="1:2">
      <c r="A14615" s="3" t="str">
        <f>IFERROR(__xludf.DUMMYFUNCTION("GOOGLETRANSLATE(A14615,""en"",""pt"")"),"laughably")</f>
        <v>laughably</v>
      </c>
      <c r="B14615" s="3">
        <v>0</v>
      </c>
    </row>
    <row r="14616" ht="15.75" customHeight="1" spans="1:2">
      <c r="A14616" s="3" t="str">
        <f>IFERROR(__xludf.DUMMYFUNCTION("GOOGLETRANSLATE(A14616,""en"",""pt"")"),"laughingstock")</f>
        <v>laughingstock</v>
      </c>
      <c r="B14616" s="3">
        <v>0</v>
      </c>
    </row>
    <row r="14617" ht="15.75" customHeight="1" spans="1:2">
      <c r="A14617" s="3" t="str">
        <f>IFERROR(__xludf.DUMMYFUNCTION("GOOGLETRANSLATE(A14617,""en"",""pt"")"),"transgressor")</f>
        <v>transgressor</v>
      </c>
      <c r="B14617" s="3">
        <v>0</v>
      </c>
    </row>
    <row r="14618" ht="15.75" customHeight="1" spans="1:2">
      <c r="A14618" s="3" t="str">
        <f>IFERROR(__xludf.DUMMYFUNCTION("GOOGLETRANSLATE(A14618,""en"",""pt"")"),"lawbreaking")</f>
        <v>lawbreaking</v>
      </c>
      <c r="B14618" s="3">
        <v>0</v>
      </c>
    </row>
    <row r="14619" ht="15.75" customHeight="1" spans="1:2">
      <c r="A14619" s="3" t="str">
        <f>IFERROR(__xludf.DUMMYFUNCTION("GOOGLETRANSLATE(A14619,""en"",""pt"")"),"sem lei")</f>
        <v>sem lei</v>
      </c>
      <c r="B14619" s="3">
        <v>0</v>
      </c>
    </row>
    <row r="14620" ht="15.75" customHeight="1" spans="1:2">
      <c r="A14620" s="3" t="str">
        <f>IFERROR(__xludf.DUMMYFUNCTION("GOOGLETRANSLATE(A14620,""en"",""pt"")"),"ilegalidade")</f>
        <v>ilegalidade</v>
      </c>
      <c r="B14620" s="3">
        <v>0</v>
      </c>
    </row>
    <row r="14621" ht="15.75" customHeight="1" spans="1:2">
      <c r="A14621" s="3" t="str">
        <f>IFERROR(__xludf.DUMMYFUNCTION("GOOGLETRANSLATE(A14621,""en"",""pt"")"),"demitir")</f>
        <v>demitir</v>
      </c>
      <c r="B14621" s="3">
        <v>0</v>
      </c>
    </row>
    <row r="14622" ht="15.75" customHeight="1" spans="1:2">
      <c r="A14622" s="3" t="str">
        <f>IFERROR(__xludf.DUMMYFUNCTION("GOOGLETRANSLATE(A14622,""en"",""pt"")"),"layoff-happy")</f>
        <v>layoff-happy</v>
      </c>
      <c r="B14622" s="3">
        <v>0</v>
      </c>
    </row>
    <row r="14623" ht="15.75" customHeight="1" spans="1:2">
      <c r="A14623" s="3" t="str">
        <f>IFERROR(__xludf.DUMMYFUNCTION("GOOGLETRANSLATE(A14623,""en"",""pt"")"),"preguiçoso")</f>
        <v>preguiçoso</v>
      </c>
      <c r="B14623" s="3">
        <v>0</v>
      </c>
    </row>
    <row r="14624" ht="15.75" customHeight="1" spans="1:2">
      <c r="A14624" s="3" t="str">
        <f>IFERROR(__xludf.DUMMYFUNCTION("GOOGLETRANSLATE(A14624,""en"",""pt"")"),"vazamento")</f>
        <v>vazamento</v>
      </c>
      <c r="B14624" s="3">
        <v>0</v>
      </c>
    </row>
    <row r="14625" ht="15.75" customHeight="1" spans="1:2">
      <c r="A14625" s="3" t="str">
        <f>IFERROR(__xludf.DUMMYFUNCTION("GOOGLETRANSLATE(A14625,""en"",""pt"")"),"vazamento")</f>
        <v>vazamento</v>
      </c>
      <c r="B14625" s="3">
        <v>0</v>
      </c>
    </row>
    <row r="14626" ht="15.75" customHeight="1" spans="1:2">
      <c r="A14626" s="3" t="str">
        <f>IFERROR(__xludf.DUMMYFUNCTION("GOOGLETRANSLATE(A14626,""en"",""pt"")"),"vazamentos")</f>
        <v>vazamentos</v>
      </c>
      <c r="B14626" s="3">
        <v>0</v>
      </c>
    </row>
    <row r="14627" ht="15.75" customHeight="1" spans="1:2">
      <c r="A14627" s="3" t="str">
        <f>IFERROR(__xludf.DUMMYFUNCTION("GOOGLETRANSLATE(A14627,""en"",""pt"")"),"vazando")</f>
        <v>vazando</v>
      </c>
      <c r="B14627" s="3">
        <v>0</v>
      </c>
    </row>
    <row r="14628" ht="15.75" customHeight="1" spans="1:2">
      <c r="A14628" s="3" t="str">
        <f>IFERROR(__xludf.DUMMYFUNCTION("GOOGLETRANSLATE(A14628,""en"",""pt"")"),"vazamentos")</f>
        <v>vazamentos</v>
      </c>
      <c r="B14628" s="3">
        <v>0</v>
      </c>
    </row>
    <row r="14629" ht="15.75" customHeight="1" spans="1:2">
      <c r="A14629" s="3" t="str">
        <f>IFERROR(__xludf.DUMMYFUNCTION("GOOGLETRANSLATE(A14629,""en"",""pt"")"),"que vaza")</f>
        <v>que vaza</v>
      </c>
      <c r="B14629" s="3">
        <v>0</v>
      </c>
    </row>
    <row r="14630" ht="15.75" customHeight="1" spans="1:2">
      <c r="A14630" s="3" t="str">
        <f>IFERROR(__xludf.DUMMYFUNCTION("GOOGLETRANSLATE(A14630,""en"",""pt"")"),"Lech")</f>
        <v>Lech</v>
      </c>
      <c r="B14630" s="3">
        <v>0</v>
      </c>
    </row>
    <row r="14631" ht="15.75" customHeight="1" spans="1:2">
      <c r="A14631" s="3" t="str">
        <f>IFERROR(__xludf.DUMMYFUNCTION("GOOGLETRANSLATE(A14631,""en"",""pt"")"),"lascívia")</f>
        <v>lascívia</v>
      </c>
      <c r="B14631" s="3">
        <v>0</v>
      </c>
    </row>
    <row r="14632" ht="15.75" customHeight="1" spans="1:2">
      <c r="A14632" s="3" t="str">
        <f>IFERROR(__xludf.DUMMYFUNCTION("GOOGLETRANSLATE(A14632,""en"",""pt"")"),"lascivo")</f>
        <v>lascivo</v>
      </c>
      <c r="B14632" s="3">
        <v>0</v>
      </c>
    </row>
    <row r="14633" ht="15.75" customHeight="1" spans="1:2">
      <c r="A14633" s="3" t="str">
        <f>IFERROR(__xludf.DUMMYFUNCTION("GOOGLETRANSLATE(A14633,""en"",""pt"")"),"luxúria")</f>
        <v>luxúria</v>
      </c>
      <c r="B14633" s="3">
        <v>0</v>
      </c>
    </row>
    <row r="14634" ht="15.75" customHeight="1" spans="1:2">
      <c r="A14634" s="3" t="str">
        <f>IFERROR(__xludf.DUMMYFUNCTION("GOOGLETRANSLATE(A14634,""en"",""pt"")"),"sanguessuga")</f>
        <v>sanguessuga</v>
      </c>
      <c r="B14634" s="3">
        <v>0</v>
      </c>
    </row>
    <row r="14635" ht="15.75" customHeight="1" spans="1:2">
      <c r="A14635" s="3" t="str">
        <f>IFERROR(__xludf.DUMMYFUNCTION("GOOGLETRANSLATE(A14635,""en"",""pt"")"),"leer")</f>
        <v>leer</v>
      </c>
      <c r="B14635" s="3">
        <v>0</v>
      </c>
    </row>
    <row r="14636" ht="15.75" customHeight="1" spans="1:2">
      <c r="A14636" s="3" t="str">
        <f>IFERROR(__xludf.DUMMYFUNCTION("GOOGLETRANSLATE(A14636,""en"",""pt"")"),"ardiloso")</f>
        <v>ardiloso</v>
      </c>
      <c r="B14636" s="3">
        <v>0</v>
      </c>
    </row>
    <row r="14637" ht="15.75" customHeight="1" spans="1:2">
      <c r="A14637" s="3" t="str">
        <f>IFERROR(__xludf.DUMMYFUNCTION("GOOGLETRANSLATE(A14637,""en"",""pt"")"),"-esquerda inclinada")</f>
        <v>-esquerda inclinada</v>
      </c>
      <c r="B14637" s="3">
        <v>0</v>
      </c>
    </row>
    <row r="14638" ht="15.75" customHeight="1" spans="1:2">
      <c r="A14638" s="3" t="str">
        <f>IFERROR(__xludf.DUMMYFUNCTION("GOOGLETRANSLATE(A14638,""en"",""pt"")"),"limão")</f>
        <v>limão</v>
      </c>
      <c r="B14638" s="3">
        <v>0</v>
      </c>
    </row>
    <row r="14639" ht="15.75" customHeight="1" spans="1:2">
      <c r="A14639" s="3" t="str">
        <f>IFERROR(__xludf.DUMMYFUNCTION("GOOGLETRANSLATE(A14639,""en"",""pt"")"),"longo")</f>
        <v>longo</v>
      </c>
      <c r="B14639" s="3">
        <v>0</v>
      </c>
    </row>
    <row r="14640" ht="15.75" customHeight="1" spans="1:2">
      <c r="A14640" s="3" t="str">
        <f>IFERROR(__xludf.DUMMYFUNCTION("GOOGLETRANSLATE(A14640,""en"",""pt"")"),"menos desenvolvido")</f>
        <v>menos desenvolvido</v>
      </c>
      <c r="B14640" s="3">
        <v>0</v>
      </c>
    </row>
    <row r="14641" ht="15.75" customHeight="1" spans="1:2">
      <c r="A14641" s="3" t="str">
        <f>IFERROR(__xludf.DUMMYFUNCTION("GOOGLETRANSLATE(A14641,""en"",""pt"")"),"menos conhecido")</f>
        <v>menos conhecido</v>
      </c>
      <c r="B14641" s="3">
        <v>0</v>
      </c>
    </row>
    <row r="14642" ht="15.75" customHeight="1" spans="1:2">
      <c r="A14642" s="3" t="str">
        <f>IFERROR(__xludf.DUMMYFUNCTION("GOOGLETRANSLATE(A14642,""en"",""pt"")"),"letch")</f>
        <v>letch</v>
      </c>
      <c r="B14642" s="3">
        <v>0</v>
      </c>
    </row>
    <row r="14643" ht="15.75" customHeight="1" spans="1:2">
      <c r="A14643" s="3" t="str">
        <f>IFERROR(__xludf.DUMMYFUNCTION("GOOGLETRANSLATE(A14643,""en"",""pt"")"),"letal")</f>
        <v>letal</v>
      </c>
      <c r="B14643" s="3">
        <v>0</v>
      </c>
    </row>
    <row r="14644" ht="15.75" customHeight="1" spans="1:2">
      <c r="A14644" s="3" t="str">
        <f>IFERROR(__xludf.DUMMYFUNCTION("GOOGLETRANSLATE(A14644,""en"",""pt"")"),"letárgico")</f>
        <v>letárgico</v>
      </c>
      <c r="B14644" s="3">
        <v>0</v>
      </c>
    </row>
    <row r="14645" ht="15.75" customHeight="1" spans="1:2">
      <c r="A14645" s="3" t="str">
        <f>IFERROR(__xludf.DUMMYFUNCTION("GOOGLETRANSLATE(A14645,""en"",""pt"")"),"letargia")</f>
        <v>letargia</v>
      </c>
      <c r="B14645" s="3">
        <v>0</v>
      </c>
    </row>
    <row r="14646" ht="15.75" customHeight="1" spans="1:2">
      <c r="A14646" s="3" t="str">
        <f>IFERROR(__xludf.DUMMYFUNCTION("GOOGLETRANSLATE(A14646,""en"",""pt"")"),"sensual")</f>
        <v>sensual</v>
      </c>
      <c r="B14646" s="3">
        <v>0</v>
      </c>
    </row>
    <row r="14647" ht="15.75" customHeight="1" spans="1:2">
      <c r="A14647" s="3" t="str">
        <f>IFERROR(__xludf.DUMMYFUNCTION("GOOGLETRANSLATE(A14647,""en"",""pt"")"),"lewdly")</f>
        <v>lewdly</v>
      </c>
      <c r="B14647" s="3">
        <v>0</v>
      </c>
    </row>
    <row r="14648" ht="15.75" customHeight="1" spans="1:2">
      <c r="A14648" s="3" t="str">
        <f>IFERROR(__xludf.DUMMYFUNCTION("GOOGLETRANSLATE(A14648,""en"",""pt"")"),"lascívia")</f>
        <v>lascívia</v>
      </c>
      <c r="B14648" s="3">
        <v>0</v>
      </c>
    </row>
    <row r="14649" ht="15.75" customHeight="1" spans="1:2">
      <c r="A14649" s="3" t="str">
        <f>IFERROR(__xludf.DUMMYFUNCTION("GOOGLETRANSLATE(A14649,""en"",""pt"")"),"responsabilidade")</f>
        <v>responsabilidade</v>
      </c>
      <c r="B14649" s="3">
        <v>0</v>
      </c>
    </row>
    <row r="14650" ht="15.75" customHeight="1" spans="1:2">
      <c r="A14650" s="3" t="str">
        <f>IFERROR(__xludf.DUMMYFUNCTION("GOOGLETRANSLATE(A14650,""en"",""pt"")"),"passível")</f>
        <v>passível</v>
      </c>
      <c r="B14650" s="3">
        <v>0</v>
      </c>
    </row>
    <row r="14651" ht="15.75" customHeight="1" spans="1:2">
      <c r="A14651" s="3" t="str">
        <f>IFERROR(__xludf.DUMMYFUNCTION("GOOGLETRANSLATE(A14651,""en"",""pt"")"),"mentiroso")</f>
        <v>mentiroso</v>
      </c>
      <c r="B14651" s="3">
        <v>0</v>
      </c>
    </row>
    <row r="14652" ht="15.75" customHeight="1" spans="1:2">
      <c r="A14652" s="3" t="str">
        <f>IFERROR(__xludf.DUMMYFUNCTION("GOOGLETRANSLATE(A14652,""en"",""pt"")"),"mentirosos")</f>
        <v>mentirosos</v>
      </c>
      <c r="B14652" s="3">
        <v>0</v>
      </c>
    </row>
    <row r="14653" ht="15.75" customHeight="1" spans="1:2">
      <c r="A14653" s="3" t="str">
        <f>IFERROR(__xludf.DUMMYFUNCTION("GOOGLETRANSLATE(A14653,""en"",""pt"")"),"licencioso")</f>
        <v>licencioso</v>
      </c>
      <c r="B14653" s="3">
        <v>0</v>
      </c>
    </row>
    <row r="14654" ht="15.75" customHeight="1" spans="1:2">
      <c r="A14654" s="3" t="str">
        <f>IFERROR(__xludf.DUMMYFUNCTION("GOOGLETRANSLATE(A14654,""en"",""pt"")"),"licenciosamente")</f>
        <v>licenciosamente</v>
      </c>
      <c r="B14654" s="3">
        <v>0</v>
      </c>
    </row>
    <row r="14655" ht="15.75" customHeight="1" spans="1:2">
      <c r="A14655" s="3" t="str">
        <f>IFERROR(__xludf.DUMMYFUNCTION("GOOGLETRANSLATE(A14655,""en"",""pt"")"),"licenciosidade")</f>
        <v>licenciosidade</v>
      </c>
      <c r="B14655" s="3">
        <v>0</v>
      </c>
    </row>
    <row r="14656" ht="15.75" customHeight="1" spans="1:2">
      <c r="A14656" s="3" t="str">
        <f>IFERROR(__xludf.DUMMYFUNCTION("GOOGLETRANSLATE(A14656,""en"",""pt"")"),"mentira")</f>
        <v>mentira</v>
      </c>
      <c r="B14656" s="3">
        <v>0</v>
      </c>
    </row>
    <row r="14657" ht="15.75" customHeight="1" spans="1:2">
      <c r="A14657" s="3" t="str">
        <f>IFERROR(__xludf.DUMMYFUNCTION("GOOGLETRANSLATE(A14657,""en"",""pt"")"),"mentiu")</f>
        <v>mentiu</v>
      </c>
      <c r="B14657" s="3">
        <v>0</v>
      </c>
    </row>
    <row r="14658" ht="15.75" customHeight="1" spans="1:2">
      <c r="A14658" s="3" t="str">
        <f>IFERROR(__xludf.DUMMYFUNCTION("GOOGLETRANSLATE(A14658,""en"",""pt"")"),"Lier")</f>
        <v>Lier</v>
      </c>
      <c r="B14658" s="3">
        <v>0</v>
      </c>
    </row>
    <row r="14659" ht="15.75" customHeight="1" spans="1:2">
      <c r="A14659" s="3" t="str">
        <f>IFERROR(__xludf.DUMMYFUNCTION("GOOGLETRANSLATE(A14659,""en"",""pt"")"),"mentiras")</f>
        <v>mentiras</v>
      </c>
      <c r="B14659" s="3">
        <v>0</v>
      </c>
    </row>
    <row r="14660" ht="15.75" customHeight="1" spans="1:2">
      <c r="A14660" s="3" t="str">
        <f>IFERROR(__xludf.DUMMYFUNCTION("GOOGLETRANSLATE(A14660,""en"",""pt"")"),"risco de vida")</f>
        <v>risco de vida</v>
      </c>
      <c r="B14660" s="3">
        <v>0</v>
      </c>
    </row>
    <row r="14661" ht="15.75" customHeight="1" spans="1:2">
      <c r="A14661" s="3" t="str">
        <f>IFERROR(__xludf.DUMMYFUNCTION("GOOGLETRANSLATE(A14661,""en"",""pt"")"),"sem vida")</f>
        <v>sem vida</v>
      </c>
      <c r="B14661" s="3">
        <v>0</v>
      </c>
    </row>
    <row r="14662" ht="15.75" customHeight="1" spans="1:2">
      <c r="A14662" s="3" t="str">
        <f>IFERROR(__xludf.DUMMYFUNCTION("GOOGLETRANSLATE(A14662,""en"",""pt"")"),"limite")</f>
        <v>limite</v>
      </c>
      <c r="B14662" s="3">
        <v>0</v>
      </c>
    </row>
    <row r="14663" ht="15.75" customHeight="1" spans="1:2">
      <c r="A14663" s="3" t="str">
        <f>IFERROR(__xludf.DUMMYFUNCTION("GOOGLETRANSLATE(A14663,""en"",""pt"")"),"limitação")</f>
        <v>limitação</v>
      </c>
      <c r="B14663" s="3">
        <v>0</v>
      </c>
    </row>
    <row r="14664" ht="15.75" customHeight="1" spans="1:2">
      <c r="A14664" s="3" t="str">
        <f>IFERROR(__xludf.DUMMYFUNCTION("GOOGLETRANSLATE(A14664,""en"",""pt"")"),"limitações")</f>
        <v>limitações</v>
      </c>
      <c r="B14664" s="3">
        <v>0</v>
      </c>
    </row>
    <row r="14665" ht="15.75" customHeight="1" spans="1:2">
      <c r="A14665" s="3" t="str">
        <f>IFERROR(__xludf.DUMMYFUNCTION("GOOGLETRANSLATE(A14665,""en"",""pt"")"),"limitado")</f>
        <v>limitado</v>
      </c>
      <c r="B14665" s="3">
        <v>0</v>
      </c>
    </row>
    <row r="14666" ht="15.75" customHeight="1" spans="1:2">
      <c r="A14666" s="3" t="str">
        <f>IFERROR(__xludf.DUMMYFUNCTION("GOOGLETRANSLATE(A14666,""en"",""pt"")"),"limites")</f>
        <v>limites</v>
      </c>
      <c r="B14666" s="3">
        <v>0</v>
      </c>
    </row>
    <row r="14667" ht="15.75" customHeight="1" spans="1:2">
      <c r="A14667" s="3" t="str">
        <f>IFERROR(__xludf.DUMMYFUNCTION("GOOGLETRANSLATE(A14667,""en"",""pt"")"),"flácido")</f>
        <v>flácido</v>
      </c>
      <c r="B14667" s="3">
        <v>0</v>
      </c>
    </row>
    <row r="14668" ht="15.75" customHeight="1" spans="1:2">
      <c r="A14668" s="3" t="str">
        <f>IFERROR(__xludf.DUMMYFUNCTION("GOOGLETRANSLATE(A14668,""en"",""pt"")"),"apático")</f>
        <v>apático</v>
      </c>
      <c r="B14668" s="3">
        <v>0</v>
      </c>
    </row>
    <row r="14669" ht="15.75" customHeight="1" spans="1:2">
      <c r="A14669" s="3" t="str">
        <f>IFERROR(__xludf.DUMMYFUNCTION("GOOGLETRANSLATE(A14669,""en"",""pt"")"),"litigioso")</f>
        <v>litigioso</v>
      </c>
      <c r="B14669" s="3">
        <v>0</v>
      </c>
    </row>
    <row r="14670" ht="15.75" customHeight="1" spans="1:2">
      <c r="A14670" s="3" t="str">
        <f>IFERROR(__xludf.DUMMYFUNCTION("GOOGLETRANSLATE(A14670,""en"",""pt"")"),"pouco conhecido")</f>
        <v>pouco conhecido</v>
      </c>
      <c r="B14670" s="3">
        <v>0</v>
      </c>
    </row>
    <row r="14671" ht="15.75" customHeight="1" spans="1:2">
      <c r="A14671" s="3" t="str">
        <f>IFERROR(__xludf.DUMMYFUNCTION("GOOGLETRANSLATE(A14671,""en"",""pt"")"),"lívido")</f>
        <v>lívido</v>
      </c>
      <c r="B14671" s="3">
        <v>0</v>
      </c>
    </row>
    <row r="14672" ht="15.75" customHeight="1" spans="1:2">
      <c r="A14672" s="3" t="str">
        <f>IFERROR(__xludf.DUMMYFUNCTION("GOOGLETRANSLATE(A14672,""en"",""pt"")"),"lividamente")</f>
        <v>lividamente</v>
      </c>
      <c r="B14672" s="3">
        <v>0</v>
      </c>
    </row>
    <row r="14673" ht="15.75" customHeight="1" spans="1:2">
      <c r="A14673" s="3" t="str">
        <f>IFERROR(__xludf.DUMMYFUNCTION("GOOGLETRANSLATE(A14673,""en"",""pt"")"),"relutante")</f>
        <v>relutante</v>
      </c>
      <c r="B14673" s="3">
        <v>0</v>
      </c>
    </row>
    <row r="14674" ht="15.75" customHeight="1" spans="1:2">
      <c r="A14674" s="3" t="str">
        <f>IFERROR(__xludf.DUMMYFUNCTION("GOOGLETRANSLATE(A14674,""en"",""pt"")"),"detestar")</f>
        <v>detestar</v>
      </c>
      <c r="B14674" s="3">
        <v>0</v>
      </c>
    </row>
    <row r="14675" ht="15.75" customHeight="1" spans="1:2">
      <c r="A14675" s="3" t="str">
        <f>IFERROR(__xludf.DUMMYFUNCTION("GOOGLETRANSLATE(A14675,""en"",""pt"")"),"repugnância")</f>
        <v>repugnância</v>
      </c>
      <c r="B14675" s="3">
        <v>0</v>
      </c>
    </row>
    <row r="14676" ht="15.75" customHeight="1" spans="1:2">
      <c r="A14676" s="3" t="str">
        <f>IFERROR(__xludf.DUMMYFUNCTION("GOOGLETRANSLATE(A14676,""en"",""pt"")"),"repugnante")</f>
        <v>repugnante</v>
      </c>
      <c r="B14676" s="3">
        <v>0</v>
      </c>
    </row>
    <row r="14677" ht="15.75" customHeight="1" spans="1:2">
      <c r="A14677" s="3" t="str">
        <f>IFERROR(__xludf.DUMMYFUNCTION("GOOGLETRANSLATE(A14677,""en"",""pt"")"),"repugnante")</f>
        <v>repugnante</v>
      </c>
      <c r="B14677" s="3">
        <v>0</v>
      </c>
    </row>
    <row r="14678" ht="15.75" customHeight="1" spans="1:2">
      <c r="A14678" s="3" t="str">
        <f>IFERROR(__xludf.DUMMYFUNCTION("GOOGLETRANSLATE(A14678,""en"",""pt"")"),"repugnantemente")</f>
        <v>repugnantemente</v>
      </c>
      <c r="B14678" s="3">
        <v>0</v>
      </c>
    </row>
    <row r="14679" ht="15.75" customHeight="1" spans="1:2">
      <c r="A14679" s="3" t="str">
        <f>IFERROR(__xludf.DUMMYFUNCTION("GOOGLETRANSLATE(A14679,""en"",""pt"")"),"solitário")</f>
        <v>solitário</v>
      </c>
      <c r="B14679" s="3">
        <v>0</v>
      </c>
    </row>
    <row r="14680" ht="15.75" customHeight="1" spans="1:2">
      <c r="A14680" s="3" t="str">
        <f>IFERROR(__xludf.DUMMYFUNCTION("GOOGLETRANSLATE(A14680,""en"",""pt"")"),"solidão")</f>
        <v>solidão</v>
      </c>
      <c r="B14680" s="3">
        <v>0</v>
      </c>
    </row>
    <row r="14681" ht="15.75" customHeight="1" spans="1:2">
      <c r="A14681" s="3" t="str">
        <f>IFERROR(__xludf.DUMMYFUNCTION("GOOGLETRANSLATE(A14681,""en"",""pt"")"),"solitário")</f>
        <v>solitário</v>
      </c>
      <c r="B14681" s="3">
        <v>0</v>
      </c>
    </row>
    <row r="14682" ht="15.75" customHeight="1" spans="1:2">
      <c r="A14682" s="3" t="str">
        <f>IFERROR(__xludf.DUMMYFUNCTION("GOOGLETRANSLATE(A14682,""en"",""pt"")"),"solitário")</f>
        <v>solitário</v>
      </c>
      <c r="B14682" s="3">
        <v>0</v>
      </c>
    </row>
    <row r="14683" ht="15.75" customHeight="1" spans="1:2">
      <c r="A14683" s="3" t="str">
        <f>IFERROR(__xludf.DUMMYFUNCTION("GOOGLETRANSLATE(A14683,""en"",""pt"")"),"solitário")</f>
        <v>solitário</v>
      </c>
      <c r="B14683" s="3">
        <v>0</v>
      </c>
    </row>
    <row r="14684" ht="15.75" customHeight="1" spans="1:2">
      <c r="A14684" s="3" t="str">
        <f>IFERROR(__xludf.DUMMYFUNCTION("GOOGLETRANSLATE(A14684,""en"",""pt"")"),"muito tempo")</f>
        <v>muito tempo</v>
      </c>
      <c r="B14684" s="3">
        <v>0</v>
      </c>
    </row>
    <row r="14685" ht="15.75" customHeight="1" spans="1:2">
      <c r="A14685" s="3" t="str">
        <f>IFERROR(__xludf.DUMMYFUNCTION("GOOGLETRANSLATE(A14685,""en"",""pt"")"),"prolixo")</f>
        <v>prolixo</v>
      </c>
      <c r="B14685" s="3">
        <v>0</v>
      </c>
    </row>
    <row r="14686" ht="15.75" customHeight="1" spans="1:2">
      <c r="A14686" s="3" t="str">
        <f>IFERROR(__xludf.DUMMYFUNCTION("GOOGLETRANSLATE(A14686,""en"",""pt"")"),"saudade")</f>
        <v>saudade</v>
      </c>
      <c r="B14686" s="3">
        <v>0</v>
      </c>
    </row>
    <row r="14687" ht="15.75" customHeight="1" spans="1:2">
      <c r="A14687" s="3" t="str">
        <f>IFERROR(__xludf.DUMMYFUNCTION("GOOGLETRANSLATE(A14687,""en"",""pt"")"),"saudosamente")</f>
        <v>saudosamente</v>
      </c>
      <c r="B14687" s="3">
        <v>0</v>
      </c>
    </row>
    <row r="14688" ht="15.75" customHeight="1" spans="1:2">
      <c r="A14688" s="3" t="str">
        <f>IFERROR(__xludf.DUMMYFUNCTION("GOOGLETRANSLATE(A14688,""en"",""pt"")"),"buraco")</f>
        <v>buraco</v>
      </c>
      <c r="B14688" s="3">
        <v>0</v>
      </c>
    </row>
    <row r="14689" ht="15.75" customHeight="1" spans="1:2">
      <c r="A14689" s="3" t="str">
        <f>IFERROR(__xludf.DUMMYFUNCTION("GOOGLETRANSLATE(A14689,""en"",""pt"")"),"brechas")</f>
        <v>brechas</v>
      </c>
      <c r="B14689" s="3">
        <v>0</v>
      </c>
    </row>
    <row r="14690" ht="15.75" customHeight="1" spans="1:2">
      <c r="A14690" s="3" t="str">
        <f>IFERROR(__xludf.DUMMYFUNCTION("GOOGLETRANSLATE(A14690,""en"",""pt"")"),"solto")</f>
        <v>solto</v>
      </c>
      <c r="B14690" s="3">
        <v>0</v>
      </c>
    </row>
    <row r="14691" ht="15.75" customHeight="1" spans="1:2">
      <c r="A14691" s="3" t="str">
        <f>IFERROR(__xludf.DUMMYFUNCTION("GOOGLETRANSLATE(A14691,""en"",""pt"")"),"saque")</f>
        <v>saque</v>
      </c>
      <c r="B14691" s="3">
        <v>0</v>
      </c>
    </row>
    <row r="14692" ht="15.75" customHeight="1" spans="1:2">
      <c r="A14692" s="3" t="str">
        <f>IFERROR(__xludf.DUMMYFUNCTION("GOOGLETRANSLATE(A14692,""en"",""pt"")"),"abandonado")</f>
        <v>abandonado</v>
      </c>
      <c r="B14692" s="3">
        <v>0</v>
      </c>
    </row>
    <row r="14693" ht="15.75" customHeight="1" spans="1:2">
      <c r="A14693" s="3" t="str">
        <f>IFERROR(__xludf.DUMMYFUNCTION("GOOGLETRANSLATE(A14693,""en"",""pt"")"),"perder")</f>
        <v>perder</v>
      </c>
      <c r="B14693" s="3">
        <v>0</v>
      </c>
    </row>
    <row r="14694" ht="15.75" customHeight="1" spans="1:2">
      <c r="A14694" s="3" t="str">
        <f>IFERROR(__xludf.DUMMYFUNCTION("GOOGLETRANSLATE(A14694,""en"",""pt"")"),"fracassado")</f>
        <v>fracassado</v>
      </c>
      <c r="B14694" s="3">
        <v>0</v>
      </c>
    </row>
    <row r="14695" ht="15.75" customHeight="1" spans="1:2">
      <c r="A14695" s="3" t="str">
        <f>IFERROR(__xludf.DUMMYFUNCTION("GOOGLETRANSLATE(A14695,""en"",""pt"")"),"perdedores")</f>
        <v>perdedores</v>
      </c>
      <c r="B14695" s="3">
        <v>0</v>
      </c>
    </row>
    <row r="14696" ht="15.75" customHeight="1" spans="1:2">
      <c r="A14696" s="3" t="str">
        <f>IFERROR(__xludf.DUMMYFUNCTION("GOOGLETRANSLATE(A14696,""en"",""pt"")"),"perde")</f>
        <v>perde</v>
      </c>
      <c r="B14696" s="3">
        <v>0</v>
      </c>
    </row>
    <row r="14697" ht="15.75" customHeight="1" spans="1:2">
      <c r="A14697" s="3" t="str">
        <f>IFERROR(__xludf.DUMMYFUNCTION("GOOGLETRANSLATE(A14697,""en"",""pt"")"),"perdedor")</f>
        <v>perdedor</v>
      </c>
      <c r="B14697" s="3">
        <v>0</v>
      </c>
    </row>
    <row r="14698" ht="15.75" customHeight="1" spans="1:2">
      <c r="A14698" s="3" t="str">
        <f>IFERROR(__xludf.DUMMYFUNCTION("GOOGLETRANSLATE(A14698,""en"",""pt"")"),"perda")</f>
        <v>perda</v>
      </c>
      <c r="B14698" s="3">
        <v>0</v>
      </c>
    </row>
    <row r="14699" ht="15.75" customHeight="1" spans="1:2">
      <c r="A14699" s="3" t="str">
        <f>IFERROR(__xludf.DUMMYFUNCTION("GOOGLETRANSLATE(A14699,""en"",""pt"")"),"perdas")</f>
        <v>perdas</v>
      </c>
      <c r="B14699" s="3">
        <v>0</v>
      </c>
    </row>
    <row r="14700" ht="15.75" customHeight="1" spans="1:2">
      <c r="A14700" s="3" t="str">
        <f>IFERROR(__xludf.DUMMYFUNCTION("GOOGLETRANSLATE(A14700,""en"",""pt"")"),"perdido")</f>
        <v>perdido</v>
      </c>
      <c r="B14700" s="3">
        <v>0</v>
      </c>
    </row>
    <row r="14701" ht="15.75" customHeight="1" spans="1:2">
      <c r="A14701" s="3" t="str">
        <f>IFERROR(__xludf.DUMMYFUNCTION("GOOGLETRANSLATE(A14701,""en"",""pt"")"),"alto")</f>
        <v>alto</v>
      </c>
      <c r="B14701" s="3">
        <v>0</v>
      </c>
    </row>
    <row r="14702" ht="15.75" customHeight="1" spans="1:2">
      <c r="A14702" s="3" t="str">
        <f>IFERROR(__xludf.DUMMYFUNCTION("GOOGLETRANSLATE(A14702,""en"",""pt"")"),"mais alto")</f>
        <v>mais alto</v>
      </c>
      <c r="B14702" s="3">
        <v>0</v>
      </c>
    </row>
    <row r="14703" ht="15.75" customHeight="1" spans="1:2">
      <c r="A14703" s="3" t="str">
        <f>IFERROR(__xludf.DUMMYFUNCTION("GOOGLETRANSLATE(A14703,""en"",""pt"")"),"nojento")</f>
        <v>nojento</v>
      </c>
      <c r="B14703" s="3">
        <v>0</v>
      </c>
    </row>
    <row r="14704" ht="15.75" customHeight="1" spans="1:2">
      <c r="A14704" s="3" t="str">
        <f>IFERROR(__xludf.DUMMYFUNCTION("GOOGLETRANSLATE(A14704,""en"",""pt"")"),"sem amor")</f>
        <v>sem amor</v>
      </c>
      <c r="B14704" s="3">
        <v>0</v>
      </c>
    </row>
    <row r="14705" ht="15.75" customHeight="1" spans="1:2">
      <c r="A14705" s="3" t="str">
        <f>IFERROR(__xludf.DUMMYFUNCTION("GOOGLETRANSLATE(A14705,""en"",""pt"")"),"lovelorn")</f>
        <v>lovelorn</v>
      </c>
      <c r="B14705" s="3">
        <v>0</v>
      </c>
    </row>
    <row r="14706" ht="15.75" customHeight="1" spans="1:2">
      <c r="A14706" s="3" t="str">
        <f>IFERROR(__xludf.DUMMYFUNCTION("GOOGLETRANSLATE(A14706,""en"",""pt"")"),"-Baixo classificado")</f>
        <v>-Baixo classificado</v>
      </c>
      <c r="B14706" s="3">
        <v>0</v>
      </c>
    </row>
    <row r="14707" ht="15.75" customHeight="1" spans="1:2">
      <c r="A14707" s="3" t="str">
        <f>IFERROR(__xludf.DUMMYFUNCTION("GOOGLETRANSLATE(A14707,""en"",""pt"")"),"humilde")</f>
        <v>humilde</v>
      </c>
      <c r="B14707" s="3">
        <v>0</v>
      </c>
    </row>
    <row r="14708" ht="15.75" customHeight="1" spans="1:2">
      <c r="A14708" s="3" t="str">
        <f>IFERROR(__xludf.DUMMYFUNCTION("GOOGLETRANSLATE(A14708,""en"",""pt"")"),"ridículo")</f>
        <v>ridículo</v>
      </c>
      <c r="B14708" s="3">
        <v>0</v>
      </c>
    </row>
    <row r="14709" ht="15.75" customHeight="1" spans="1:2">
      <c r="A14709" s="3" t="str">
        <f>IFERROR(__xludf.DUMMYFUNCTION("GOOGLETRANSLATE(A14709,""en"",""pt"")"),"ridiculamente")</f>
        <v>ridiculamente</v>
      </c>
      <c r="B14709" s="3">
        <v>0</v>
      </c>
    </row>
    <row r="14710" ht="15.75" customHeight="1" spans="1:2">
      <c r="A14710" s="3" t="str">
        <f>IFERROR(__xludf.DUMMYFUNCTION("GOOGLETRANSLATE(A14710,""en"",""pt"")"),"lúgubre")</f>
        <v>lúgubre</v>
      </c>
      <c r="B14710" s="3">
        <v>0</v>
      </c>
    </row>
    <row r="14711" ht="15.75" customHeight="1" spans="1:2">
      <c r="A14711" s="3" t="str">
        <f>IFERROR(__xludf.DUMMYFUNCTION("GOOGLETRANSLATE(A14711,""en"",""pt"")"),"morno")</f>
        <v>morno</v>
      </c>
      <c r="B14711" s="3">
        <v>0</v>
      </c>
    </row>
    <row r="14712" ht="15.75" customHeight="1" spans="1:2">
      <c r="A14712" s="3" t="str">
        <f>IFERROR(__xludf.DUMMYFUNCTION("GOOGLETRANSLATE(A14712,""en"",""pt"")"),"calmaria")</f>
        <v>calmaria</v>
      </c>
      <c r="B14712" s="3">
        <v>0</v>
      </c>
    </row>
    <row r="14713" ht="15.75" customHeight="1" spans="1:2">
      <c r="A14713" s="3" t="str">
        <f>IFERROR(__xludf.DUMMYFUNCTION("GOOGLETRANSLATE(A14713,""en"",""pt"")"),"grumoso")</f>
        <v>grumoso</v>
      </c>
      <c r="B14713" s="3">
        <v>0</v>
      </c>
    </row>
    <row r="14714" ht="15.75" customHeight="1" spans="1:2">
      <c r="A14714" s="3" t="str">
        <f>IFERROR(__xludf.DUMMYFUNCTION("GOOGLETRANSLATE(A14714,""en"",""pt"")"),"lunático")</f>
        <v>lunático</v>
      </c>
      <c r="B14714" s="3">
        <v>0</v>
      </c>
    </row>
    <row r="14715" ht="15.75" customHeight="1" spans="1:2">
      <c r="A14715" s="3" t="str">
        <f>IFERROR(__xludf.DUMMYFUNCTION("GOOGLETRANSLATE(A14715,""en"",""pt"")"),"lunaticism")</f>
        <v>lunaticism</v>
      </c>
      <c r="B14715" s="3">
        <v>0</v>
      </c>
    </row>
    <row r="14716" ht="15.75" customHeight="1" spans="1:2">
      <c r="A14716" s="3" t="str">
        <f>IFERROR(__xludf.DUMMYFUNCTION("GOOGLETRANSLATE(A14716,""en"",""pt"")"),"guinada")</f>
        <v>guinada</v>
      </c>
      <c r="B14716" s="3">
        <v>0</v>
      </c>
    </row>
    <row r="14717" ht="15.75" customHeight="1" spans="1:2">
      <c r="A14717" s="3" t="str">
        <f>IFERROR(__xludf.DUMMYFUNCTION("GOOGLETRANSLATE(A14717,""en"",""pt"")"),"atrair")</f>
        <v>atrair</v>
      </c>
      <c r="B14717" s="3">
        <v>0</v>
      </c>
    </row>
    <row r="14718" ht="15.75" customHeight="1" spans="1:2">
      <c r="A14718" s="3" t="str">
        <f>IFERROR(__xludf.DUMMYFUNCTION("GOOGLETRANSLATE(A14718,""en"",""pt"")"),"lúgubre")</f>
        <v>lúgubre</v>
      </c>
      <c r="B14718" s="3">
        <v>0</v>
      </c>
    </row>
    <row r="14719" ht="15.75" customHeight="1" spans="1:2">
      <c r="A14719" s="3" t="str">
        <f>IFERROR(__xludf.DUMMYFUNCTION("GOOGLETRANSLATE(A14719,""en"",""pt"")"),"espreitar")</f>
        <v>espreitar</v>
      </c>
      <c r="B14719" s="3">
        <v>0</v>
      </c>
    </row>
    <row r="14720" ht="15.75" customHeight="1" spans="1:2">
      <c r="A14720" s="3" t="str">
        <f>IFERROR(__xludf.DUMMYFUNCTION("GOOGLETRANSLATE(A14720,""en"",""pt"")"),"espreita")</f>
        <v>espreita</v>
      </c>
      <c r="B14720" s="3">
        <v>0</v>
      </c>
    </row>
    <row r="14721" ht="15.75" customHeight="1" spans="1:2">
      <c r="A14721" s="3" t="str">
        <f>IFERROR(__xludf.DUMMYFUNCTION("GOOGLETRANSLATE(A14721,""en"",""pt"")"),"mentindo")</f>
        <v>mentindo</v>
      </c>
      <c r="B14721" s="3">
        <v>0</v>
      </c>
    </row>
    <row r="14722" ht="15.75" customHeight="1" spans="1:2">
      <c r="A14722" s="3" t="str">
        <f>IFERROR(__xludf.DUMMYFUNCTION("GOOGLETRANSLATE(A14722,""en"",""pt"")"),"macabro")</f>
        <v>macabro</v>
      </c>
      <c r="B14722" s="3">
        <v>0</v>
      </c>
    </row>
    <row r="14723" ht="15.75" customHeight="1" spans="1:2">
      <c r="A14723" s="3" t="str">
        <f>IFERROR(__xludf.DUMMYFUNCTION("GOOGLETRANSLATE(A14723,""en"",""pt"")"),"louco")</f>
        <v>louco</v>
      </c>
      <c r="B14723" s="3">
        <v>0</v>
      </c>
    </row>
    <row r="14724" ht="15.75" customHeight="1" spans="1:2">
      <c r="A14724" s="3" t="str">
        <f>IFERROR(__xludf.DUMMYFUNCTION("GOOGLETRANSLATE(A14724,""en"",""pt"")"),"enlouquecer")</f>
        <v>enlouquecer</v>
      </c>
      <c r="B14724" s="3">
        <v>0</v>
      </c>
    </row>
    <row r="14725" ht="15.75" customHeight="1" spans="1:2">
      <c r="A14725" s="3" t="str">
        <f>IFERROR(__xludf.DUMMYFUNCTION("GOOGLETRANSLATE(A14725,""en"",""pt"")"),"enlouquecedor")</f>
        <v>enlouquecedor</v>
      </c>
      <c r="B14725" s="3">
        <v>0</v>
      </c>
    </row>
    <row r="14726" ht="15.75" customHeight="1" spans="1:2">
      <c r="A14726" s="3" t="str">
        <f>IFERROR(__xludf.DUMMYFUNCTION("GOOGLETRANSLATE(A14726,""en"",""pt"")"),"maddeningly")</f>
        <v>maddeningly</v>
      </c>
      <c r="B14726" s="3">
        <v>0</v>
      </c>
    </row>
    <row r="14727" ht="15.75" customHeight="1" spans="1:2">
      <c r="A14727" s="3" t="str">
        <f>IFERROR(__xludf.DUMMYFUNCTION("GOOGLETRANSLATE(A14727,""en"",""pt"")"),"garança")</f>
        <v>garança</v>
      </c>
      <c r="B14727" s="3">
        <v>0</v>
      </c>
    </row>
    <row r="14728" ht="15.75" customHeight="1" spans="1:2">
      <c r="A14728" s="3" t="str">
        <f>IFERROR(__xludf.DUMMYFUNCTION("GOOGLETRANSLATE(A14728,""en"",""pt"")"),"loucamente")</f>
        <v>loucamente</v>
      </c>
      <c r="B14728" s="3">
        <v>0</v>
      </c>
    </row>
    <row r="14729" ht="15.75" customHeight="1" spans="1:2">
      <c r="A14729" s="3" t="str">
        <f>IFERROR(__xludf.DUMMYFUNCTION("GOOGLETRANSLATE(A14729,""en"",""pt"")"),"louco")</f>
        <v>louco</v>
      </c>
      <c r="B14729" s="3">
        <v>0</v>
      </c>
    </row>
    <row r="14730" ht="15.75" customHeight="1" spans="1:2">
      <c r="A14730" s="3" t="str">
        <f>IFERROR(__xludf.DUMMYFUNCTION("GOOGLETRANSLATE(A14730,""en"",""pt"")"),"loucura")</f>
        <v>loucura</v>
      </c>
      <c r="B14730" s="3">
        <v>0</v>
      </c>
    </row>
    <row r="14731" ht="15.75" customHeight="1" spans="1:2">
      <c r="A14731" s="3" t="str">
        <f>IFERROR(__xludf.DUMMYFUNCTION("GOOGLETRANSLATE(A14731,""en"",""pt"")"),"mal ajustado")</f>
        <v>mal ajustado</v>
      </c>
      <c r="B14731" s="3">
        <v>0</v>
      </c>
    </row>
    <row r="14732" ht="15.75" customHeight="1" spans="1:2">
      <c r="A14732" s="3" t="str">
        <f>IFERROR(__xludf.DUMMYFUNCTION("GOOGLETRANSLATE(A14732,""en"",""pt"")"),"desajustamento")</f>
        <v>desajustamento</v>
      </c>
      <c r="B14732" s="3">
        <v>0</v>
      </c>
    </row>
    <row r="14733" ht="15.75" customHeight="1" spans="1:2">
      <c r="A14733" s="3" t="str">
        <f>IFERROR(__xludf.DUMMYFUNCTION("GOOGLETRANSLATE(A14733,""en"",""pt"")"),"doença")</f>
        <v>doença</v>
      </c>
      <c r="B14733" s="3">
        <v>0</v>
      </c>
    </row>
    <row r="14734" ht="15.75" customHeight="1" spans="1:2">
      <c r="A14734" s="3" t="str">
        <f>IFERROR(__xludf.DUMMYFUNCTION("GOOGLETRANSLATE(A14734,""en"",""pt"")"),"Mal-estar")</f>
        <v>Mal-estar</v>
      </c>
      <c r="B14734" s="3">
        <v>0</v>
      </c>
    </row>
    <row r="14735" ht="15.75" customHeight="1" spans="1:2">
      <c r="A14735" s="3" t="str">
        <f>IFERROR(__xludf.DUMMYFUNCTION("GOOGLETRANSLATE(A14735,""en"",""pt"")"),"descontente")</f>
        <v>descontente</v>
      </c>
      <c r="B14735" s="3">
        <v>0</v>
      </c>
    </row>
    <row r="14736" ht="15.75" customHeight="1" spans="1:2">
      <c r="A14736" s="3" t="str">
        <f>IFERROR(__xludf.DUMMYFUNCTION("GOOGLETRANSLATE(A14736,""en"",""pt"")"),"malversada")</f>
        <v>malversada</v>
      </c>
      <c r="B14736" s="3">
        <v>0</v>
      </c>
    </row>
    <row r="14737" ht="15.75" customHeight="1" spans="1:2">
      <c r="A14737" s="3" t="str">
        <f>IFERROR(__xludf.DUMMYFUNCTION("GOOGLETRANSLATE(A14737,""en"",""pt"")"),"maledict")</f>
        <v>maledict</v>
      </c>
      <c r="B14737" s="3">
        <v>0</v>
      </c>
    </row>
    <row r="14738" ht="15.75" customHeight="1" spans="1:2">
      <c r="A14738" s="3" t="str">
        <f>IFERROR(__xludf.DUMMYFUNCTION("GOOGLETRANSLATE(A14738,""en"",""pt"")"),"malevolência")</f>
        <v>malevolência</v>
      </c>
      <c r="B14738" s="3">
        <v>0</v>
      </c>
    </row>
    <row r="14739" ht="15.75" customHeight="1" spans="1:2">
      <c r="A14739" s="3" t="str">
        <f>IFERROR(__xludf.DUMMYFUNCTION("GOOGLETRANSLATE(A14739,""en"",""pt"")"),"malevolente")</f>
        <v>malevolente</v>
      </c>
      <c r="B14739" s="3">
        <v>0</v>
      </c>
    </row>
    <row r="14740" ht="15.75" customHeight="1" spans="1:2">
      <c r="A14740" s="3" t="str">
        <f>IFERROR(__xludf.DUMMYFUNCTION("GOOGLETRANSLATE(A14740,""en"",""pt"")"),"malevolamente")</f>
        <v>malevolamente</v>
      </c>
      <c r="B14740" s="3">
        <v>0</v>
      </c>
    </row>
    <row r="14741" ht="15.75" customHeight="1" spans="1:2">
      <c r="A14741" s="3" t="str">
        <f>IFERROR(__xludf.DUMMYFUNCTION("GOOGLETRANSLATE(A14741,""en"",""pt"")"),"malícia")</f>
        <v>malícia</v>
      </c>
      <c r="B14741" s="3">
        <v>0</v>
      </c>
    </row>
    <row r="14742" ht="15.75" customHeight="1" spans="1:2">
      <c r="A14742" s="3" t="str">
        <f>IFERROR(__xludf.DUMMYFUNCTION("GOOGLETRANSLATE(A14742,""en"",""pt"")"),"malicioso")</f>
        <v>malicioso</v>
      </c>
      <c r="B14742" s="3">
        <v>0</v>
      </c>
    </row>
    <row r="14743" ht="15.75" customHeight="1" spans="1:2">
      <c r="A14743" s="3" t="str">
        <f>IFERROR(__xludf.DUMMYFUNCTION("GOOGLETRANSLATE(A14743,""en"",""pt"")"),"maliciosamente")</f>
        <v>maliciosamente</v>
      </c>
      <c r="B14743" s="3">
        <v>0</v>
      </c>
    </row>
    <row r="14744" ht="15.75" customHeight="1" spans="1:2">
      <c r="A14744" s="3" t="str">
        <f>IFERROR(__xludf.DUMMYFUNCTION("GOOGLETRANSLATE(A14744,""en"",""pt"")"),"malícia")</f>
        <v>malícia</v>
      </c>
      <c r="B14744" s="3">
        <v>0</v>
      </c>
    </row>
    <row r="14745" ht="15.75" customHeight="1" spans="1:2">
      <c r="A14745" s="3" t="str">
        <f>IFERROR(__xludf.DUMMYFUNCTION("GOOGLETRANSLATE(A14745,""en"",""pt"")"),"maligno")</f>
        <v>maligno</v>
      </c>
      <c r="B14745" s="3">
        <v>0</v>
      </c>
    </row>
    <row r="14746" ht="15.75" customHeight="1" spans="1:2">
      <c r="A14746" s="3" t="str">
        <f>IFERROR(__xludf.DUMMYFUNCTION("GOOGLETRANSLATE(A14746,""en"",""pt"")"),"maligno")</f>
        <v>maligno</v>
      </c>
      <c r="B14746" s="3">
        <v>0</v>
      </c>
    </row>
    <row r="14747" ht="15.75" customHeight="1" spans="1:2">
      <c r="A14747" s="3" t="str">
        <f>IFERROR(__xludf.DUMMYFUNCTION("GOOGLETRANSLATE(A14747,""en"",""pt"")"),"malcheiroso")</f>
        <v>malcheiroso</v>
      </c>
      <c r="B14747" s="3">
        <v>0</v>
      </c>
    </row>
    <row r="14748" ht="15.75" customHeight="1" spans="1:2">
      <c r="A14748" s="3" t="str">
        <f>IFERROR(__xludf.DUMMYFUNCTION("GOOGLETRANSLATE(A14748,""en"",""pt"")"),"mau trato")</f>
        <v>mau trato</v>
      </c>
      <c r="B14748" s="3">
        <v>0</v>
      </c>
    </row>
    <row r="14749" ht="15.75" customHeight="1" spans="1:2">
      <c r="A14749" s="3" t="str">
        <f>IFERROR(__xludf.DUMMYFUNCTION("GOOGLETRANSLATE(A14749,""en"",""pt"")"),"calandra")</f>
        <v>calandra</v>
      </c>
      <c r="B14749" s="3">
        <v>0</v>
      </c>
    </row>
    <row r="14750" ht="15.75" customHeight="1" spans="1:2">
      <c r="A14750" s="3" t="str">
        <f>IFERROR(__xludf.DUMMYFUNCTION("GOOGLETRANSLATE(A14750,""en"",""pt"")"),"mutilado")</f>
        <v>mutilado</v>
      </c>
      <c r="B14750" s="3">
        <v>0</v>
      </c>
    </row>
    <row r="14751" ht="15.75" customHeight="1" spans="1:2">
      <c r="A14751" s="3" t="str">
        <f>IFERROR(__xludf.DUMMYFUNCTION("GOOGLETRANSLATE(A14751,""en"",""pt"")"),"mangles")</f>
        <v>mangles</v>
      </c>
      <c r="B14751" s="3">
        <v>0</v>
      </c>
    </row>
    <row r="14752" ht="15.75" customHeight="1" spans="1:2">
      <c r="A14752" s="3" t="str">
        <f>IFERROR(__xludf.DUMMYFUNCTION("GOOGLETRANSLATE(A14752,""en"",""pt"")"),"mangling")</f>
        <v>mangling</v>
      </c>
      <c r="B14752" s="3">
        <v>0</v>
      </c>
    </row>
    <row r="14753" ht="15.75" customHeight="1" spans="1:2">
      <c r="A14753" s="3" t="s">
        <v>71</v>
      </c>
      <c r="B14753" s="3">
        <v>0</v>
      </c>
    </row>
    <row r="14754" ht="15.75" customHeight="1" spans="1:2">
      <c r="A14754" s="3" t="str">
        <f>IFERROR(__xludf.DUMMYFUNCTION("GOOGLETRANSLATE(A14754,""en"",""pt"")"),"maníaco")</f>
        <v>maníaco</v>
      </c>
      <c r="B14754" s="3">
        <v>0</v>
      </c>
    </row>
    <row r="14755" ht="15.75" customHeight="1" spans="1:2">
      <c r="A14755" s="3" t="str">
        <f>IFERROR(__xludf.DUMMYFUNCTION("GOOGLETRANSLATE(A14755,""en"",""pt"")"),"maníaco")</f>
        <v>maníaco</v>
      </c>
      <c r="B14755" s="3">
        <v>0</v>
      </c>
    </row>
    <row r="14756" ht="15.75" customHeight="1" spans="1:2">
      <c r="A14756" s="3" t="str">
        <f>IFERROR(__xludf.DUMMYFUNCTION("GOOGLETRANSLATE(A14756,""en"",""pt"")"),"maníaco")</f>
        <v>maníaco</v>
      </c>
      <c r="B14756" s="3">
        <v>0</v>
      </c>
    </row>
    <row r="14757" ht="15.75" customHeight="1" spans="1:2">
      <c r="A14757" s="3" t="str">
        <f>IFERROR(__xludf.DUMMYFUNCTION("GOOGLETRANSLATE(A14757,""en"",""pt"")"),"manipular")</f>
        <v>manipular</v>
      </c>
      <c r="B14757" s="3">
        <v>0</v>
      </c>
    </row>
    <row r="14758" ht="15.75" customHeight="1" spans="1:2">
      <c r="A14758" s="3" t="str">
        <f>IFERROR(__xludf.DUMMYFUNCTION("GOOGLETRANSLATE(A14758,""en"",""pt"")"),"manipulação")</f>
        <v>manipulação</v>
      </c>
      <c r="B14758" s="3">
        <v>0</v>
      </c>
    </row>
    <row r="14759" ht="15.75" customHeight="1" spans="1:2">
      <c r="A14759" s="3" t="s">
        <v>72</v>
      </c>
      <c r="B14759" s="3">
        <v>0</v>
      </c>
    </row>
    <row r="14760" ht="15.75" customHeight="1" spans="1:2">
      <c r="A14760" s="3" t="str">
        <f>IFERROR(__xludf.DUMMYFUNCTION("GOOGLETRANSLATE(A14760,""en"",""pt"")"),"manipuladores")</f>
        <v>manipuladores</v>
      </c>
      <c r="B14760" s="3">
        <v>0</v>
      </c>
    </row>
    <row r="14761" ht="15.75" customHeight="1" spans="1:2">
      <c r="A14761" s="3" t="str">
        <f>IFERROR(__xludf.DUMMYFUNCTION("GOOGLETRANSLATE(A14761,""en"",""pt"")"),"estragar")</f>
        <v>estragar</v>
      </c>
      <c r="B14761" s="3">
        <v>0</v>
      </c>
    </row>
    <row r="14762" ht="15.75" customHeight="1" spans="1:2">
      <c r="A14762" s="3" t="str">
        <f>IFERROR(__xludf.DUMMYFUNCTION("GOOGLETRANSLATE(A14762,""en"",""pt"")"),"marginal")</f>
        <v>marginal</v>
      </c>
      <c r="B14762" s="3">
        <v>0</v>
      </c>
    </row>
    <row r="14763" ht="15.75" customHeight="1" spans="1:2">
      <c r="A14763" s="3" t="str">
        <f>IFERROR(__xludf.DUMMYFUNCTION("GOOGLETRANSLATE(A14763,""en"",""pt"")"),"marginalmente")</f>
        <v>marginalmente</v>
      </c>
      <c r="B14763" s="3">
        <v>0</v>
      </c>
    </row>
    <row r="14764" ht="15.75" customHeight="1" spans="1:2">
      <c r="A14764" s="3" t="str">
        <f>IFERROR(__xludf.DUMMYFUNCTION("GOOGLETRANSLATE(A14764,""en"",""pt"")"),"martírio")</f>
        <v>martírio</v>
      </c>
      <c r="B14764" s="3">
        <v>0</v>
      </c>
    </row>
    <row r="14765" ht="15.75" customHeight="1" spans="1:2">
      <c r="A14765" s="3" t="str">
        <f>IFERROR(__xludf.DUMMYFUNCTION("GOOGLETRANSLATE(A14765,""en"",""pt"")"),"martírio-seeking")</f>
        <v>martírio-seeking</v>
      </c>
      <c r="B14765" s="3">
        <v>0</v>
      </c>
    </row>
    <row r="14766" ht="15.75" customHeight="1" spans="1:2">
      <c r="A14766" s="3" t="str">
        <f>IFERROR(__xludf.DUMMYFUNCTION("GOOGLETRANSLATE(A14766,""en"",""pt"")"),"purê")</f>
        <v>purê</v>
      </c>
      <c r="B14766" s="3">
        <v>0</v>
      </c>
    </row>
    <row r="14767" ht="15.75" customHeight="1" spans="1:2">
      <c r="A14767" s="3" t="str">
        <f>IFERROR(__xludf.DUMMYFUNCTION("GOOGLETRANSLATE(A14767,""en"",""pt"")"),"massacre")</f>
        <v>massacre</v>
      </c>
      <c r="B14767" s="3">
        <v>0</v>
      </c>
    </row>
    <row r="14768" ht="15.75" customHeight="1" spans="1:2">
      <c r="A14768" s="3" t="str">
        <f>IFERROR(__xludf.DUMMYFUNCTION("GOOGLETRANSLATE(A14768,""en"",""pt"")"),"massacres")</f>
        <v>massacres</v>
      </c>
      <c r="B14768" s="3">
        <v>0</v>
      </c>
    </row>
    <row r="14769" ht="15.75" customHeight="1" spans="1:2">
      <c r="A14769" s="3" t="str">
        <f>IFERROR(__xludf.DUMMYFUNCTION("GOOGLETRANSLATE(A14769,""en"",""pt"")"),"fosco")</f>
        <v>fosco</v>
      </c>
      <c r="B14769" s="3">
        <v>0</v>
      </c>
    </row>
    <row r="14770" ht="15.75" customHeight="1" spans="1:2">
      <c r="A14770" s="3" t="str">
        <f>IFERROR(__xludf.DUMMYFUNCTION("GOOGLETRANSLATE(A14770,""en"",""pt"")"),"insípido")</f>
        <v>insípido</v>
      </c>
      <c r="B14770" s="3">
        <v>0</v>
      </c>
    </row>
    <row r="14771" ht="15.75" customHeight="1" spans="1:2">
      <c r="A14771" s="3" t="str">
        <f>IFERROR(__xludf.DUMMYFUNCTION("GOOGLETRANSLATE(A14771,""en"",""pt"")"),"mawkishly")</f>
        <v>mawkishly</v>
      </c>
      <c r="B14771" s="3">
        <v>0</v>
      </c>
    </row>
    <row r="14772" ht="15.75" customHeight="1" spans="1:2">
      <c r="A14772" s="3" t="str">
        <f>IFERROR(__xludf.DUMMYFUNCTION("GOOGLETRANSLATE(A14772,""en"",""pt"")"),"pieguice")</f>
        <v>pieguice</v>
      </c>
      <c r="B14772" s="3">
        <v>0</v>
      </c>
    </row>
    <row r="14773" ht="15.75" customHeight="1" spans="1:2">
      <c r="A14773" s="3" t="str">
        <f>IFERROR(__xludf.DUMMYFUNCTION("GOOGLETRANSLATE(A14773,""en"",""pt"")"),"escasso")</f>
        <v>escasso</v>
      </c>
      <c r="B14773" s="3">
        <v>0</v>
      </c>
    </row>
    <row r="14774" ht="15.75" customHeight="1" spans="1:2">
      <c r="A14774" s="3" t="str">
        <f>IFERROR(__xludf.DUMMYFUNCTION("GOOGLETRANSLATE(A14774,""en"",""pt"")"),"sem significado")</f>
        <v>sem significado</v>
      </c>
      <c r="B14774" s="3">
        <v>0</v>
      </c>
    </row>
    <row r="14775" ht="15.75" customHeight="1" spans="1:2">
      <c r="A14775" s="3" t="str">
        <f>IFERROR(__xludf.DUMMYFUNCTION("GOOGLETRANSLATE(A14775,""en"",""pt"")"),"mesquinharia")</f>
        <v>mesquinharia</v>
      </c>
      <c r="B14775" s="3">
        <v>0</v>
      </c>
    </row>
    <row r="14776" ht="15.75" customHeight="1" spans="1:2">
      <c r="A14776" s="3" t="str">
        <f>IFERROR(__xludf.DUMMYFUNCTION("GOOGLETRANSLATE(A14776,""en"",""pt"")"),"com sarampo")</f>
        <v>com sarampo</v>
      </c>
      <c r="B14776" s="3">
        <v>0</v>
      </c>
    </row>
    <row r="14777" ht="15.75" customHeight="1" spans="1:2">
      <c r="A14777" s="3" t="str">
        <f>IFERROR(__xludf.DUMMYFUNCTION("GOOGLETRANSLATE(A14777,""en"",""pt"")"),"Meddle")</f>
        <v>Meddle</v>
      </c>
      <c r="B14777" s="3">
        <v>0</v>
      </c>
    </row>
    <row r="14778" ht="15.75" customHeight="1" spans="1:2">
      <c r="A14778" s="3" t="str">
        <f>IFERROR(__xludf.DUMMYFUNCTION("GOOGLETRANSLATE(A14778,""en"",""pt"")"),"intrometido")</f>
        <v>intrometido</v>
      </c>
      <c r="B14778" s="3">
        <v>0</v>
      </c>
    </row>
    <row r="14779" ht="15.75" customHeight="1" spans="1:2">
      <c r="A14779" s="3" t="str">
        <f>IFERROR(__xludf.DUMMYFUNCTION("GOOGLETRANSLATE(A14779,""en"",""pt"")"),"medíocre")</f>
        <v>medíocre</v>
      </c>
      <c r="B14779" s="3">
        <v>0</v>
      </c>
    </row>
    <row r="14780" ht="15.75" customHeight="1" spans="1:2">
      <c r="A14780" s="3" t="str">
        <f>IFERROR(__xludf.DUMMYFUNCTION("GOOGLETRANSLATE(A14780,""en"",""pt"")"),"mediocridade")</f>
        <v>mediocridade</v>
      </c>
      <c r="B14780" s="3">
        <v>0</v>
      </c>
    </row>
    <row r="14781" ht="15.75" customHeight="1" spans="1:2">
      <c r="A14781" s="3" t="str">
        <f>IFERROR(__xludf.DUMMYFUNCTION("GOOGLETRANSLATE(A14781,""en"",""pt"")"),"melancólico")</f>
        <v>melancólico</v>
      </c>
      <c r="B14781" s="3">
        <v>0</v>
      </c>
    </row>
    <row r="14782" ht="15.75" customHeight="1" spans="1:2">
      <c r="A14782" s="3" t="str">
        <f>IFERROR(__xludf.DUMMYFUNCTION("GOOGLETRANSLATE(A14782,""en"",""pt"")"),"melodramático")</f>
        <v>melodramático</v>
      </c>
      <c r="B14782" s="3">
        <v>0</v>
      </c>
    </row>
    <row r="14783" ht="15.75" customHeight="1" spans="1:2">
      <c r="A14783" s="3" t="str">
        <f>IFERROR(__xludf.DUMMYFUNCTION("GOOGLETRANSLATE(A14783,""en"",""pt"")"),"melodramatically")</f>
        <v>melodramatically</v>
      </c>
      <c r="B14783" s="3">
        <v>0</v>
      </c>
    </row>
    <row r="14784" ht="15.75" customHeight="1" spans="1:2">
      <c r="A14784" s="3" t="str">
        <f>IFERROR(__xludf.DUMMYFUNCTION("GOOGLETRANSLATE(A14784,""en"",""pt"")"),"fusão")</f>
        <v>fusão</v>
      </c>
      <c r="B14784" s="3">
        <v>0</v>
      </c>
    </row>
    <row r="14785" ht="15.75" customHeight="1" spans="1:2">
      <c r="A14785" s="3" t="str">
        <f>IFERROR(__xludf.DUMMYFUNCTION("GOOGLETRANSLATE(A14785,""en"",""pt"")"),"ameaça")</f>
        <v>ameaça</v>
      </c>
      <c r="B14785" s="3">
        <v>0</v>
      </c>
    </row>
    <row r="14786" ht="15.75" customHeight="1" spans="1:2">
      <c r="A14786" s="3" t="str">
        <f>IFERROR(__xludf.DUMMYFUNCTION("GOOGLETRANSLATE(A14786,""en"",""pt"")"),"ameaçador")</f>
        <v>ameaçador</v>
      </c>
      <c r="B14786" s="3">
        <v>0</v>
      </c>
    </row>
    <row r="14787" ht="15.75" customHeight="1" spans="1:2">
      <c r="A14787" s="3" t="str">
        <f>IFERROR(__xludf.DUMMYFUNCTION("GOOGLETRANSLATE(A14787,""en"",""pt"")"),"ameaçadoramente")</f>
        <v>ameaçadoramente</v>
      </c>
      <c r="B14787" s="3">
        <v>0</v>
      </c>
    </row>
    <row r="14788" ht="15.75" customHeight="1" spans="1:2">
      <c r="A14788" s="3" t="str">
        <f>IFERROR(__xludf.DUMMYFUNCTION("GOOGLETRANSLATE(A14788,""en"",""pt"")"),"mendaz")</f>
        <v>mendaz</v>
      </c>
      <c r="B14788" s="3">
        <v>0</v>
      </c>
    </row>
    <row r="14789" ht="15.75" customHeight="1" spans="1:2">
      <c r="A14789" s="3" t="str">
        <f>IFERROR(__xludf.DUMMYFUNCTION("GOOGLETRANSLATE(A14789,""en"",""pt"")"),"mentira")</f>
        <v>mentira</v>
      </c>
      <c r="B14789" s="3">
        <v>0</v>
      </c>
    </row>
    <row r="14790" ht="15.75" customHeight="1" spans="1:2">
      <c r="A14790" s="3" t="str">
        <f>IFERROR(__xludf.DUMMYFUNCTION("GOOGLETRANSLATE(A14790,""en"",""pt"")"),"servil")</f>
        <v>servil</v>
      </c>
      <c r="B14790" s="3">
        <v>0</v>
      </c>
    </row>
    <row r="14791" ht="15.75" customHeight="1" spans="1:2">
      <c r="A14791" s="3" t="str">
        <f>IFERROR(__xludf.DUMMYFUNCTION("GOOGLETRANSLATE(A14791,""en"",""pt"")"),"impiedoso")</f>
        <v>impiedoso</v>
      </c>
      <c r="B14791" s="3">
        <v>0</v>
      </c>
    </row>
    <row r="14792" ht="15.75" customHeight="1" spans="1:2">
      <c r="A14792" s="3" t="str">
        <f>IFERROR(__xludf.DUMMYFUNCTION("GOOGLETRANSLATE(A14792,""en"",""pt"")"),"impiedosamente")</f>
        <v>impiedosamente</v>
      </c>
      <c r="B14792" s="3">
        <v>0</v>
      </c>
    </row>
    <row r="14793" ht="15.75" customHeight="1" spans="1:2">
      <c r="A14793" s="3" t="str">
        <f>IFERROR(__xludf.DUMMYFUNCTION("GOOGLETRANSLATE(A14793,""en"",""pt"")"),"bagunça")</f>
        <v>bagunça</v>
      </c>
      <c r="B14793" s="3">
        <v>0</v>
      </c>
    </row>
    <row r="14794" ht="15.75" customHeight="1" spans="1:2">
      <c r="A14794" s="3" t="str">
        <f>IFERROR(__xludf.DUMMYFUNCTION("GOOGLETRANSLATE(A14794,""en"",""pt"")"),"confuso")</f>
        <v>confuso</v>
      </c>
      <c r="B14794" s="3">
        <v>0</v>
      </c>
    </row>
    <row r="14795" ht="15.75" customHeight="1" spans="1:2">
      <c r="A14795" s="3" t="str">
        <f>IFERROR(__xludf.DUMMYFUNCTION("GOOGLETRANSLATE(A14795,""en"",""pt"")"),"messes")</f>
        <v>messes</v>
      </c>
      <c r="B14795" s="3">
        <v>0</v>
      </c>
    </row>
    <row r="14796" ht="15.75" customHeight="1" spans="1:2">
      <c r="A14796" s="3" t="str">
        <f>IFERROR(__xludf.DUMMYFUNCTION("GOOGLETRANSLATE(A14796,""en"",""pt"")"),"Messing")</f>
        <v>Messing</v>
      </c>
      <c r="B14796" s="3">
        <v>0</v>
      </c>
    </row>
    <row r="14797" ht="15.75" customHeight="1" spans="1:2">
      <c r="A14797" s="3" t="str">
        <f>IFERROR(__xludf.DUMMYFUNCTION("GOOGLETRANSLATE(A14797,""en"",""pt"")"),"bagunçado")</f>
        <v>bagunçado</v>
      </c>
      <c r="B14797" s="3">
        <v>0</v>
      </c>
    </row>
    <row r="14798" ht="15.75" customHeight="1" spans="1:2">
      <c r="A14798" s="3" t="str">
        <f>IFERROR(__xludf.DUMMYFUNCTION("GOOGLETRANSLATE(A14798,""en"",""pt"")"),"anão")</f>
        <v>anão</v>
      </c>
      <c r="B14798" s="3">
        <v>0</v>
      </c>
    </row>
    <row r="14799" ht="15.75" customHeight="1" spans="1:2">
      <c r="A14799" s="3" t="str">
        <f>IFERROR(__xludf.DUMMYFUNCTION("GOOGLETRANSLATE(A14799,""en"",""pt"")"),"questiúncula")</f>
        <v>questiúncula</v>
      </c>
      <c r="B14799" s="3">
        <v>0</v>
      </c>
    </row>
    <row r="14800" ht="15.75" customHeight="1" spans="1:2">
      <c r="A14800" s="3" t="str">
        <f>IFERROR(__xludf.DUMMYFUNCTION("GOOGLETRANSLATE(A14800,""en"",""pt"")"),"espírito militante")</f>
        <v>espírito militante</v>
      </c>
      <c r="B14800" s="3">
        <v>0</v>
      </c>
    </row>
    <row r="14801" ht="15.75" customHeight="1" spans="1:2">
      <c r="A14801" s="3" t="str">
        <f>IFERROR(__xludf.DUMMYFUNCTION("GOOGLETRANSLATE(A14801,""en"",""pt"")"),"estúpido")</f>
        <v>estúpido</v>
      </c>
      <c r="B14801" s="3">
        <v>0</v>
      </c>
    </row>
    <row r="14802" ht="15.75" customHeight="1" spans="1:2">
      <c r="A14802" s="3" t="str">
        <f>IFERROR(__xludf.DUMMYFUNCTION("GOOGLETRANSLATE(A14802,""en"",""pt"")"),"negligentemente")</f>
        <v>negligentemente</v>
      </c>
      <c r="B14802" s="3">
        <v>0</v>
      </c>
    </row>
    <row r="14803" ht="15.75" customHeight="1" spans="1:2">
      <c r="A14803" s="3" t="str">
        <f>IFERROR(__xludf.DUMMYFUNCTION("GOOGLETRANSLATE(A14803,""en"",""pt"")"),"miragem")</f>
        <v>miragem</v>
      </c>
      <c r="B14803" s="3">
        <v>0</v>
      </c>
    </row>
    <row r="14804" ht="15.75" customHeight="1" spans="1:2">
      <c r="A14804" s="3" t="str">
        <f>IFERROR(__xludf.DUMMYFUNCTION("GOOGLETRANSLATE(A14804,""en"",""pt"")"),"lama")</f>
        <v>lama</v>
      </c>
      <c r="B14804" s="3">
        <v>0</v>
      </c>
    </row>
    <row r="14805" ht="15.75" customHeight="1" spans="1:2">
      <c r="A14805" s="3" t="str">
        <f>IFERROR(__xludf.DUMMYFUNCTION("GOOGLETRANSLATE(A14805,""en"",""pt"")"),"desalinhar")</f>
        <v>desalinhar</v>
      </c>
      <c r="B14805" s="3">
        <v>0</v>
      </c>
    </row>
    <row r="14806" ht="15.75" customHeight="1" spans="1:2">
      <c r="A14806" s="3" t="str">
        <f>IFERROR(__xludf.DUMMYFUNCTION("GOOGLETRANSLATE(A14806,""en"",""pt"")"),"desalinhado")</f>
        <v>desalinhado</v>
      </c>
      <c r="B14806" s="3">
        <v>0</v>
      </c>
    </row>
    <row r="14807" ht="15.75" customHeight="1" spans="1:2">
      <c r="A14807" s="3" t="str">
        <f>IFERROR(__xludf.DUMMYFUNCTION("GOOGLETRANSLATE(A14807,""en"",""pt"")"),"desalinhada")</f>
        <v>desalinhada</v>
      </c>
      <c r="B14807" s="3">
        <v>0</v>
      </c>
    </row>
    <row r="14808" ht="15.75" customHeight="1" spans="1:2">
      <c r="A14808" s="3" t="str">
        <f>IFERROR(__xludf.DUMMYFUNCTION("GOOGLETRANSLATE(A14808,""en"",""pt"")"),"não entender bem")</f>
        <v>não entender bem</v>
      </c>
      <c r="B14808" s="3">
        <v>0</v>
      </c>
    </row>
    <row r="14809" ht="15.75" customHeight="1" spans="1:2">
      <c r="A14809" s="3" t="str">
        <f>IFERROR(__xludf.DUMMYFUNCTION("GOOGLETRANSLATE(A14809,""en"",""pt"")"),"não convir")</f>
        <v>não convir</v>
      </c>
      <c r="B14809" s="3">
        <v>0</v>
      </c>
    </row>
    <row r="14810" ht="15.75" customHeight="1" spans="1:2">
      <c r="A14810" s="3" t="s">
        <v>73</v>
      </c>
      <c r="B14810" s="3">
        <v>0</v>
      </c>
    </row>
    <row r="14811" ht="15.75" customHeight="1" spans="1:2">
      <c r="A14811" s="3" t="str">
        <f>IFERROR(__xludf.DUMMYFUNCTION("GOOGLETRANSLATE(A14811,""en"",""pt"")"),"ilegítimo")</f>
        <v>ilegítimo</v>
      </c>
      <c r="B14811" s="3">
        <v>0</v>
      </c>
    </row>
    <row r="14812" ht="15.75" customHeight="1" spans="1:2">
      <c r="A14812" s="3" t="str">
        <f>IFERROR(__xludf.DUMMYFUNCTION("GOOGLETRANSLATE(A14812,""en"",""pt"")"),"misbehave")</f>
        <v>misbehave</v>
      </c>
      <c r="B14812" s="3">
        <v>0</v>
      </c>
    </row>
    <row r="14813" ht="15.75" customHeight="1" spans="1:2">
      <c r="A14813" s="3" t="str">
        <f>IFERROR(__xludf.DUMMYFUNCTION("GOOGLETRANSLATE(A14813,""en"",""pt"")"),"mau comportamento")</f>
        <v>mau comportamento</v>
      </c>
      <c r="B14813" s="3">
        <v>0</v>
      </c>
    </row>
    <row r="14814" ht="15.75" customHeight="1" spans="1:2">
      <c r="A14814" s="3" t="str">
        <f>IFERROR(__xludf.DUMMYFUNCTION("GOOGLETRANSLATE(A14814,""en"",""pt"")"),"calcular mal")</f>
        <v>calcular mal</v>
      </c>
      <c r="B14814" s="3">
        <v>0</v>
      </c>
    </row>
    <row r="14815" ht="15.75" customHeight="1" spans="1:2">
      <c r="A14815" s="3" t="str">
        <f>IFERROR(__xludf.DUMMYFUNCTION("GOOGLETRANSLATE(A14815,""en"",""pt"")"),"erro de cálculo")</f>
        <v>erro de cálculo</v>
      </c>
      <c r="B14815" s="3">
        <v>0</v>
      </c>
    </row>
    <row r="14816" ht="15.75" customHeight="1" spans="1:2">
      <c r="A14816" s="3" t="str">
        <f>IFERROR(__xludf.DUMMYFUNCTION("GOOGLETRANSLATE(A14816,""en"",""pt"")"),"Diversos")</f>
        <v>Diversos</v>
      </c>
      <c r="B14816" s="3">
        <v>0</v>
      </c>
    </row>
    <row r="14817" ht="15.75" customHeight="1" spans="1:2">
      <c r="A14817" s="3" t="str">
        <f>IFERROR(__xludf.DUMMYFUNCTION("GOOGLETRANSLATE(A14817,""en"",""pt"")"),"travessura")</f>
        <v>travessura</v>
      </c>
      <c r="B14817" s="3">
        <v>0</v>
      </c>
    </row>
    <row r="14818" ht="15.75" customHeight="1" spans="1:2">
      <c r="A14818" s="3" t="str">
        <f>IFERROR(__xludf.DUMMYFUNCTION("GOOGLETRANSLATE(A14818,""en"",""pt"")"),"pernicioso")</f>
        <v>pernicioso</v>
      </c>
      <c r="B14818" s="3">
        <v>0</v>
      </c>
    </row>
    <row r="14819" ht="15.75" customHeight="1" spans="1:2">
      <c r="A14819" s="3" t="str">
        <f>IFERROR(__xludf.DUMMYFUNCTION("GOOGLETRANSLATE(A14819,""en"",""pt"")"),"maliciosamente")</f>
        <v>maliciosamente</v>
      </c>
      <c r="B14819" s="3">
        <v>0</v>
      </c>
    </row>
    <row r="14820" ht="15.75" customHeight="1" spans="1:2">
      <c r="A14820" s="3" t="str">
        <f>IFERROR(__xludf.DUMMYFUNCTION("GOOGLETRANSLATE(A14820,""en"",""pt"")"),"equívoco")</f>
        <v>equívoco</v>
      </c>
      <c r="B14820" s="3">
        <v>0</v>
      </c>
    </row>
    <row r="14821" ht="15.75" customHeight="1" spans="1:2">
      <c r="A14821" s="3" t="str">
        <f>IFERROR(__xludf.DUMMYFUNCTION("GOOGLETRANSLATE(A14821,""en"",""pt"")"),"equívocos")</f>
        <v>equívocos</v>
      </c>
      <c r="B14821" s="3">
        <v>0</v>
      </c>
    </row>
    <row r="14822" ht="15.75" customHeight="1" spans="1:2">
      <c r="A14822" s="3" t="str">
        <f>IFERROR(__xludf.DUMMYFUNCTION("GOOGLETRANSLATE(A14822,""en"",""pt"")"),"canalha")</f>
        <v>canalha</v>
      </c>
      <c r="B14822" s="3">
        <v>0</v>
      </c>
    </row>
    <row r="14823" ht="15.75" customHeight="1" spans="1:2">
      <c r="A14823" s="3" t="str">
        <f>IFERROR(__xludf.DUMMYFUNCTION("GOOGLETRANSLATE(A14823,""en"",""pt"")"),"meliantes")</f>
        <v>meliantes</v>
      </c>
      <c r="B14823" s="3">
        <v>0</v>
      </c>
    </row>
    <row r="14824" ht="15.75" customHeight="1" spans="1:2">
      <c r="A14824" s="3" t="str">
        <f>IFERROR(__xludf.DUMMYFUNCTION("GOOGLETRANSLATE(A14824,""en"",""pt"")"),"misdirection")</f>
        <v>misdirection</v>
      </c>
      <c r="B14824" s="3">
        <v>0</v>
      </c>
    </row>
    <row r="14825" ht="15.75" customHeight="1" spans="1:2">
      <c r="A14825" s="3" t="str">
        <f>IFERROR(__xludf.DUMMYFUNCTION("GOOGLETRANSLATE(A14825,""en"",""pt"")"),"avarento")</f>
        <v>avarento</v>
      </c>
      <c r="B14825" s="3">
        <v>0</v>
      </c>
    </row>
    <row r="14826" ht="15.75" customHeight="1" spans="1:2">
      <c r="A14826" s="3" t="str">
        <f>IFERROR(__xludf.DUMMYFUNCTION("GOOGLETRANSLATE(A14826,""en"",""pt"")"),"miserável")</f>
        <v>miserável</v>
      </c>
      <c r="B14826" s="3">
        <v>0</v>
      </c>
    </row>
    <row r="14827" ht="15.75" customHeight="1" spans="1:2">
      <c r="A14827" s="3" t="str">
        <f>IFERROR(__xludf.DUMMYFUNCTION("GOOGLETRANSLATE(A14827,""en"",""pt"")"),"miserableness")</f>
        <v>miserableness</v>
      </c>
      <c r="B14827" s="3">
        <v>0</v>
      </c>
    </row>
    <row r="14828" ht="15.75" customHeight="1" spans="1:2">
      <c r="A14828" s="3" t="str">
        <f>IFERROR(__xludf.DUMMYFUNCTION("GOOGLETRANSLATE(A14828,""en"",""pt"")"),"miseravelmente")</f>
        <v>miseravelmente</v>
      </c>
      <c r="B14828" s="3">
        <v>0</v>
      </c>
    </row>
    <row r="14829" ht="15.75" customHeight="1" spans="1:2">
      <c r="A14829" s="3" t="str">
        <f>IFERROR(__xludf.DUMMYFUNCTION("GOOGLETRANSLATE(A14829,""en"",""pt"")"),"misérias")</f>
        <v>misérias</v>
      </c>
      <c r="B14829" s="3">
        <v>0</v>
      </c>
    </row>
    <row r="14830" ht="15.75" customHeight="1" spans="1:2">
      <c r="A14830" s="3" t="str">
        <f>IFERROR(__xludf.DUMMYFUNCTION("GOOGLETRANSLATE(A14830,""en"",""pt"")"),"avarento")</f>
        <v>avarento</v>
      </c>
      <c r="B14830" s="3">
        <v>0</v>
      </c>
    </row>
    <row r="14831" ht="15.75" customHeight="1" spans="1:2">
      <c r="A14831" s="3" t="str">
        <f>IFERROR(__xludf.DUMMYFUNCTION("GOOGLETRANSLATE(A14831,""en"",""pt"")"),"miséria")</f>
        <v>miséria</v>
      </c>
      <c r="B14831" s="3">
        <v>0</v>
      </c>
    </row>
    <row r="14832" ht="15.75" customHeight="1" spans="1:2">
      <c r="A14832" s="3" t="str">
        <f>IFERROR(__xludf.DUMMYFUNCTION("GOOGLETRANSLATE(A14832,""en"",""pt"")"),"pessoa desajeitada")</f>
        <v>pessoa desajeitada</v>
      </c>
      <c r="B14832" s="3">
        <v>0</v>
      </c>
    </row>
    <row r="14833" ht="15.75" customHeight="1" spans="1:2">
      <c r="A14833" s="3" t="str">
        <f>IFERROR(__xludf.DUMMYFUNCTION("GOOGLETRANSLATE(A14833,""en"",""pt"")"),"infortúnio")</f>
        <v>infortúnio</v>
      </c>
      <c r="B14833" s="3">
        <v>0</v>
      </c>
    </row>
    <row r="14834" ht="15.75" customHeight="1" spans="1:2">
      <c r="A14834" s="3" t="str">
        <f>IFERROR(__xludf.DUMMYFUNCTION("GOOGLETRANSLATE(A14834,""en"",""pt"")"),"apreensão")</f>
        <v>apreensão</v>
      </c>
      <c r="B14834" s="3">
        <v>0</v>
      </c>
    </row>
    <row r="14835" ht="15.75" customHeight="1" spans="1:2">
      <c r="A14835" s="3" t="str">
        <f>IFERROR(__xludf.DUMMYFUNCTION("GOOGLETRANSLATE(A14835,""en"",""pt"")"),"misgivings")</f>
        <v>misgivings</v>
      </c>
      <c r="B14835" s="3">
        <v>0</v>
      </c>
    </row>
    <row r="14836" ht="15.75" customHeight="1" spans="1:2">
      <c r="A14836" s="3" t="str">
        <f>IFERROR(__xludf.DUMMYFUNCTION("GOOGLETRANSLATE(A14836,""en"",""pt"")"),"má orientação")</f>
        <v>má orientação</v>
      </c>
      <c r="B14836" s="3">
        <v>0</v>
      </c>
    </row>
    <row r="14837" ht="15.75" customHeight="1" spans="1:2">
      <c r="A14837" s="3" t="str">
        <f>IFERROR(__xludf.DUMMYFUNCTION("GOOGLETRANSLATE(A14837,""en"",""pt"")"),"desencaminhar")</f>
        <v>desencaminhar</v>
      </c>
      <c r="B14837" s="3">
        <v>0</v>
      </c>
    </row>
    <row r="14838" ht="15.75" customHeight="1" spans="1:2">
      <c r="A14838" s="3" t="str">
        <f>IFERROR(__xludf.DUMMYFUNCTION("GOOGLETRANSLATE(A14838,""en"",""pt"")"),"extraviado")</f>
        <v>extraviado</v>
      </c>
      <c r="B14838" s="3">
        <v>0</v>
      </c>
    </row>
    <row r="14839" ht="15.75" customHeight="1" spans="1:2">
      <c r="A14839" s="3" t="str">
        <f>IFERROR(__xludf.DUMMYFUNCTION("GOOGLETRANSLATE(A14839,""en"",""pt"")"),"maltratar")</f>
        <v>maltratar</v>
      </c>
      <c r="B14839" s="3">
        <v>0</v>
      </c>
    </row>
    <row r="14840" ht="15.75" customHeight="1" spans="1:2">
      <c r="A14840" s="3" t="str">
        <f>IFERROR(__xludf.DUMMYFUNCTION("GOOGLETRANSLATE(A14840,""en"",""pt"")"),"acidente")</f>
        <v>acidente</v>
      </c>
      <c r="B14840" s="3">
        <v>0</v>
      </c>
    </row>
    <row r="14841" ht="15.75" customHeight="1" spans="1:2">
      <c r="A14841" s="3" t="str">
        <f>IFERROR(__xludf.DUMMYFUNCTION("GOOGLETRANSLATE(A14841,""en"",""pt"")"),"misinform")</f>
        <v>misinform</v>
      </c>
      <c r="B14841" s="3">
        <v>0</v>
      </c>
    </row>
    <row r="14842" ht="15.75" customHeight="1" spans="1:2">
      <c r="A14842" s="3" t="str">
        <f>IFERROR(__xludf.DUMMYFUNCTION("GOOGLETRANSLATE(A14842,""en"",""pt"")"),"mal informado")</f>
        <v>mal informado</v>
      </c>
      <c r="B14842" s="3">
        <v>0</v>
      </c>
    </row>
    <row r="14843" ht="15.75" customHeight="1" spans="1:2">
      <c r="A14843" s="3" t="str">
        <f>IFERROR(__xludf.DUMMYFUNCTION("GOOGLETRANSLATE(A14843,""en"",""pt"")"),"interpretar mal")</f>
        <v>interpretar mal</v>
      </c>
      <c r="B14843" s="3">
        <v>0</v>
      </c>
    </row>
    <row r="14844" ht="15.75" customHeight="1" spans="1:2">
      <c r="A14844" s="3" t="str">
        <f>IFERROR(__xludf.DUMMYFUNCTION("GOOGLETRANSLATE(A14844,""en"",""pt"")"),"misjudge")</f>
        <v>misjudge</v>
      </c>
      <c r="B14844" s="3">
        <v>0</v>
      </c>
    </row>
    <row r="14845" ht="15.75" customHeight="1" spans="1:2">
      <c r="A14845" s="3" t="str">
        <f>IFERROR(__xludf.DUMMYFUNCTION("GOOGLETRANSLATE(A14845,""en"",""pt"")"),"equívoco")</f>
        <v>equívoco</v>
      </c>
      <c r="B14845" s="3">
        <v>0</v>
      </c>
    </row>
    <row r="14846" ht="15.75" customHeight="1" spans="1:2">
      <c r="A14846" s="3" t="str">
        <f>IFERROR(__xludf.DUMMYFUNCTION("GOOGLETRANSLATE(A14846,""en"",""pt"")"),"enganar")</f>
        <v>enganar</v>
      </c>
      <c r="B14846" s="3">
        <v>0</v>
      </c>
    </row>
    <row r="14847" ht="15.75" customHeight="1" spans="1:2">
      <c r="A14847" s="3" t="str">
        <f>IFERROR(__xludf.DUMMYFUNCTION("GOOGLETRANSLATE(A14847,""en"",""pt"")"),"enganosa")</f>
        <v>enganosa</v>
      </c>
      <c r="B14847" s="3">
        <v>0</v>
      </c>
    </row>
    <row r="14848" ht="15.75" customHeight="1" spans="1:2">
      <c r="A14848" s="3" t="str">
        <f>IFERROR(__xludf.DUMMYFUNCTION("GOOGLETRANSLATE(A14848,""en"",""pt"")"),"misleadingly")</f>
        <v>misleadingly</v>
      </c>
      <c r="B14848" s="3">
        <v>0</v>
      </c>
    </row>
    <row r="14849" ht="15.75" customHeight="1" spans="1:2">
      <c r="A14849" s="3" t="str">
        <f>IFERROR(__xludf.DUMMYFUNCTION("GOOGLETRANSLATE(A14849,""en"",""pt"")"),"mislike")</f>
        <v>mislike</v>
      </c>
      <c r="B14849" s="3">
        <v>0</v>
      </c>
    </row>
    <row r="14850" ht="15.75" customHeight="1" spans="1:2">
      <c r="A14850" s="3" t="str">
        <f>IFERROR(__xludf.DUMMYFUNCTION("GOOGLETRANSLATE(A14850,""en"",""pt"")"),"gerir mal")</f>
        <v>gerir mal</v>
      </c>
      <c r="B14850" s="3">
        <v>0</v>
      </c>
    </row>
    <row r="14851" ht="15.75" customHeight="1" spans="1:2">
      <c r="A14851" s="3" t="str">
        <f>IFERROR(__xludf.DUMMYFUNCTION("GOOGLETRANSLATE(A14851,""en"",""pt"")"),"mispronounce")</f>
        <v>mispronounce</v>
      </c>
      <c r="B14851" s="3">
        <v>0</v>
      </c>
    </row>
    <row r="14852" ht="15.75" customHeight="1" spans="1:2">
      <c r="A14852" s="3" t="str">
        <f>IFERROR(__xludf.DUMMYFUNCTION("GOOGLETRANSLATE(A14852,""en"",""pt"")"),"pronunciada mal")</f>
        <v>pronunciada mal</v>
      </c>
      <c r="B14852" s="3">
        <v>0</v>
      </c>
    </row>
    <row r="14853" ht="15.75" customHeight="1" spans="1:2">
      <c r="A14853" s="3" t="str">
        <f>IFERROR(__xludf.DUMMYFUNCTION("GOOGLETRANSLATE(A14853,""en"",""pt"")"),"mispronounces")</f>
        <v>mispronounces</v>
      </c>
      <c r="B14853" s="3">
        <v>0</v>
      </c>
    </row>
    <row r="14854" ht="15.75" customHeight="1" spans="1:2">
      <c r="A14854" s="3" t="str">
        <f>IFERROR(__xludf.DUMMYFUNCTION("GOOGLETRANSLATE(A14854,""en"",""pt"")"),"interpretar mal")</f>
        <v>interpretar mal</v>
      </c>
      <c r="B14854" s="3">
        <v>0</v>
      </c>
    </row>
    <row r="14855" ht="15.75" customHeight="1" spans="1:2">
      <c r="A14855" s="3" t="str">
        <f>IFERROR(__xludf.DUMMYFUNCTION("GOOGLETRANSLATE(A14855,""en"",""pt"")"),"leitura errada")</f>
        <v>leitura errada</v>
      </c>
      <c r="B14855" s="3">
        <v>0</v>
      </c>
    </row>
    <row r="14856" ht="15.75" customHeight="1" spans="1:2">
      <c r="A14856" s="3" t="str">
        <f>IFERROR(__xludf.DUMMYFUNCTION("GOOGLETRANSLATE(A14856,""en"",""pt"")"),"deturpar")</f>
        <v>deturpar</v>
      </c>
      <c r="B14856" s="3">
        <v>0</v>
      </c>
    </row>
    <row r="14857" ht="15.75" customHeight="1" spans="1:2">
      <c r="A14857" s="3" t="str">
        <f>IFERROR(__xludf.DUMMYFUNCTION("GOOGLETRANSLATE(A14857,""en"",""pt"")"),"deturpação")</f>
        <v>deturpação</v>
      </c>
      <c r="B14857" s="3">
        <v>0</v>
      </c>
    </row>
    <row r="14858" ht="15.75" customHeight="1" spans="1:2">
      <c r="A14858" s="3" t="str">
        <f>IFERROR(__xludf.DUMMYFUNCTION("GOOGLETRANSLATE(A14858,""en"",""pt"")"),"senhorita")</f>
        <v>senhorita</v>
      </c>
      <c r="B14858" s="3">
        <v>0</v>
      </c>
    </row>
    <row r="14859" ht="15.75" customHeight="1" spans="1:2">
      <c r="A14859" s="3" t="str">
        <f>IFERROR(__xludf.DUMMYFUNCTION("GOOGLETRANSLATE(A14859,""en"",""pt"")"),"perdido")</f>
        <v>perdido</v>
      </c>
      <c r="B14859" s="3">
        <v>0</v>
      </c>
    </row>
    <row r="14860" ht="15.75" customHeight="1" spans="1:2">
      <c r="A14860" s="3" t="str">
        <f>IFERROR(__xludf.DUMMYFUNCTION("GOOGLETRANSLATE(A14860,""en"",""pt"")"),"sente falta")</f>
        <v>sente falta</v>
      </c>
      <c r="B14860" s="3">
        <v>0</v>
      </c>
    </row>
    <row r="14861" ht="15.75" customHeight="1" spans="1:2">
      <c r="A14861" s="3" t="str">
        <f>IFERROR(__xludf.DUMMYFUNCTION("GOOGLETRANSLATE(A14861,""en"",""pt"")"),"distorção")</f>
        <v>distorção</v>
      </c>
      <c r="B14861" s="3">
        <v>0</v>
      </c>
    </row>
    <row r="14862" ht="15.75" customHeight="1" spans="1:2">
      <c r="A14862" s="3" t="str">
        <f>IFERROR(__xludf.DUMMYFUNCTION("GOOGLETRANSLATE(A14862,""en"",""pt"")"),"névoa")</f>
        <v>névoa</v>
      </c>
      <c r="B14862" s="3">
        <v>0</v>
      </c>
    </row>
    <row r="14863" ht="15.75" customHeight="1" spans="1:2">
      <c r="A14863" s="3" t="str">
        <f>IFERROR(__xludf.DUMMYFUNCTION("GOOGLETRANSLATE(A14863,""en"",""pt"")"),"erro")</f>
        <v>erro</v>
      </c>
      <c r="B14863" s="3">
        <v>0</v>
      </c>
    </row>
    <row r="14864" ht="15.75" customHeight="1" spans="1:2">
      <c r="A14864" s="3" t="str">
        <f>IFERROR(__xludf.DUMMYFUNCTION("GOOGLETRANSLATE(A14864,""en"",""pt"")"),"enganado")</f>
        <v>enganado</v>
      </c>
      <c r="B14864" s="3">
        <v>0</v>
      </c>
    </row>
    <row r="14865" ht="15.75" customHeight="1" spans="1:2">
      <c r="A14865" s="3" t="str">
        <f>IFERROR(__xludf.DUMMYFUNCTION("GOOGLETRANSLATE(A14865,""en"",""pt"")"),"por engano")</f>
        <v>por engano</v>
      </c>
      <c r="B14865" s="3">
        <v>0</v>
      </c>
    </row>
    <row r="14866" ht="15.75" customHeight="1" spans="1:2">
      <c r="A14866" s="3" t="str">
        <f>IFERROR(__xludf.DUMMYFUNCTION("GOOGLETRANSLATE(A14866,""en"",""pt"")"),"erros")</f>
        <v>erros</v>
      </c>
      <c r="B14866" s="3">
        <v>0</v>
      </c>
    </row>
    <row r="14867" ht="15.75" customHeight="1" spans="1:2">
      <c r="A14867" s="3" t="str">
        <f>IFERROR(__xludf.DUMMYFUNCTION("GOOGLETRANSLATE(A14867,""en"",""pt"")"),"mistified")</f>
        <v>mistified</v>
      </c>
      <c r="B14867" s="3">
        <v>0</v>
      </c>
    </row>
    <row r="14868" ht="15.75" customHeight="1" spans="1:2">
      <c r="A14868" s="3" t="str">
        <f>IFERROR(__xludf.DUMMYFUNCTION("GOOGLETRANSLATE(A14868,""en"",""pt"")"),"amante")</f>
        <v>amante</v>
      </c>
      <c r="B14868" s="3">
        <v>0</v>
      </c>
    </row>
    <row r="14869" ht="15.75" customHeight="1" spans="1:2">
      <c r="A14869" s="3" t="str">
        <f>IFERROR(__xludf.DUMMYFUNCTION("GOOGLETRANSLATE(A14869,""en"",""pt"")"),"desconfiança")</f>
        <v>desconfiança</v>
      </c>
      <c r="B14869" s="3">
        <v>0</v>
      </c>
    </row>
    <row r="14870" ht="15.75" customHeight="1" spans="1:2">
      <c r="A14870" s="3" t="str">
        <f>IFERROR(__xludf.DUMMYFUNCTION("GOOGLETRANSLATE(A14870,""en"",""pt"")"),"desconfiado")</f>
        <v>desconfiado</v>
      </c>
      <c r="B14870" s="3">
        <v>0</v>
      </c>
    </row>
    <row r="14871" ht="15.75" customHeight="1" spans="1:2">
      <c r="A14871" s="3" t="str">
        <f>IFERROR(__xludf.DUMMYFUNCTION("GOOGLETRANSLATE(A14871,""en"",""pt"")"),"desconfiado")</f>
        <v>desconfiado</v>
      </c>
      <c r="B14871" s="3">
        <v>0</v>
      </c>
    </row>
    <row r="14872" ht="15.75" customHeight="1" spans="1:2">
      <c r="A14872" s="3" t="str">
        <f>IFERROR(__xludf.DUMMYFUNCTION("GOOGLETRANSLATE(A14872,""en"",""pt"")"),"névoas")</f>
        <v>névoas</v>
      </c>
      <c r="B14872" s="3">
        <v>0</v>
      </c>
    </row>
    <row r="14873" ht="15.75" customHeight="1" spans="1:2">
      <c r="A14873" s="3" t="str">
        <f>IFERROR(__xludf.DUMMYFUNCTION("GOOGLETRANSLATE(A14873,""en"",""pt"")"),"misunderstand")</f>
        <v>misunderstand</v>
      </c>
      <c r="B14873" s="3">
        <v>0</v>
      </c>
    </row>
    <row r="14874" ht="15.75" customHeight="1" spans="1:2">
      <c r="A14874" s="3" t="str">
        <f>IFERROR(__xludf.DUMMYFUNCTION("GOOGLETRANSLATE(A14874,""en"",""pt"")"),"mal entendido")</f>
        <v>mal entendido</v>
      </c>
      <c r="B14874" s="3">
        <v>0</v>
      </c>
    </row>
    <row r="14875" ht="15.75" customHeight="1" spans="1:2">
      <c r="A14875" s="3" t="str">
        <f>IFERROR(__xludf.DUMMYFUNCTION("GOOGLETRANSLATE(A14875,""en"",""pt"")"),"mal-entendidos")</f>
        <v>mal-entendidos</v>
      </c>
      <c r="B14875" s="3">
        <v>0</v>
      </c>
    </row>
    <row r="14876" ht="15.75" customHeight="1" spans="1:2">
      <c r="A14876" s="3" t="str">
        <f>IFERROR(__xludf.DUMMYFUNCTION("GOOGLETRANSLATE(A14876,""en"",""pt"")"),"incompreendido")</f>
        <v>incompreendido</v>
      </c>
      <c r="B14876" s="3">
        <v>0</v>
      </c>
    </row>
    <row r="14877" ht="15.75" customHeight="1" spans="1:2">
      <c r="A14877" s="3" t="str">
        <f>IFERROR(__xludf.DUMMYFUNCTION("GOOGLETRANSLATE(A14877,""en"",""pt"")"),"abuso")</f>
        <v>abuso</v>
      </c>
      <c r="B14877" s="3">
        <v>0</v>
      </c>
    </row>
    <row r="14878" ht="15.75" customHeight="1" spans="1:2">
      <c r="A14878" s="3" t="str">
        <f>IFERROR(__xludf.DUMMYFUNCTION("GOOGLETRANSLATE(A14878,""en"",""pt"")"),"gemido")</f>
        <v>gemido</v>
      </c>
      <c r="B14878" s="3">
        <v>0</v>
      </c>
    </row>
    <row r="14879" ht="15.75" customHeight="1" spans="1:2">
      <c r="A14879" s="3" t="str">
        <f>IFERROR(__xludf.DUMMYFUNCTION("GOOGLETRANSLATE(A14879,""en"",""pt"")"),"gângster")</f>
        <v>gângster</v>
      </c>
      <c r="B14879" s="3">
        <v>0</v>
      </c>
    </row>
    <row r="14880" ht="15.75" customHeight="1" spans="1:2">
      <c r="A14880" s="3" t="str">
        <f>IFERROR(__xludf.DUMMYFUNCTION("GOOGLETRANSLATE(A14880,""en"",""pt"")"),"zombar")</f>
        <v>zombar</v>
      </c>
      <c r="B14880" s="3">
        <v>0</v>
      </c>
    </row>
    <row r="14881" ht="15.75" customHeight="1" spans="1:2">
      <c r="A14881" s="3" t="str">
        <f>IFERROR(__xludf.DUMMYFUNCTION("GOOGLETRANSLATE(A14881,""en"",""pt"")"),"zombaram")</f>
        <v>zombaram</v>
      </c>
      <c r="B14881" s="3">
        <v>0</v>
      </c>
    </row>
    <row r="14882" ht="15.75" customHeight="1" spans="1:2">
      <c r="A14882" s="3" t="str">
        <f>IFERROR(__xludf.DUMMYFUNCTION("GOOGLETRANSLATE(A14882,""en"",""pt"")"),"zombarias")</f>
        <v>zombarias</v>
      </c>
      <c r="B14882" s="3">
        <v>0</v>
      </c>
    </row>
    <row r="14883" ht="15.75" customHeight="1" spans="1:2">
      <c r="A14883" s="3" t="str">
        <f>IFERROR(__xludf.DUMMYFUNCTION("GOOGLETRANSLATE(A14883,""en"",""pt"")"),"zombaria")</f>
        <v>zombaria</v>
      </c>
      <c r="B14883" s="3">
        <v>0</v>
      </c>
    </row>
    <row r="14884" ht="15.75" customHeight="1" spans="1:2">
      <c r="A14884" s="3" t="str">
        <f>IFERROR(__xludf.DUMMYFUNCTION("GOOGLETRANSLATE(A14884,""en"",""pt"")"),"zombeteiro")</f>
        <v>zombeteiro</v>
      </c>
      <c r="B14884" s="3">
        <v>0</v>
      </c>
    </row>
    <row r="14885" ht="15.75" customHeight="1" spans="1:2">
      <c r="A14885" s="3" t="str">
        <f>IFERROR(__xludf.DUMMYFUNCTION("GOOGLETRANSLATE(A14885,""en"",""pt"")"),"zombeteiramente")</f>
        <v>zombeteiramente</v>
      </c>
      <c r="B14885" s="3">
        <v>0</v>
      </c>
    </row>
    <row r="14886" ht="15.75" customHeight="1" spans="1:2">
      <c r="A14886" s="3" t="str">
        <f>IFERROR(__xludf.DUMMYFUNCTION("GOOGLETRANSLATE(A14886,""en"",""pt"")"),"mocks")</f>
        <v>mocks</v>
      </c>
      <c r="B14886" s="3">
        <v>0</v>
      </c>
    </row>
    <row r="14887" ht="15.75" customHeight="1" spans="1:2">
      <c r="A14887" s="3" t="str">
        <f>IFERROR(__xludf.DUMMYFUNCTION("GOOGLETRANSLATE(A14887,""en"",""pt"")"),"molestar")</f>
        <v>molestar</v>
      </c>
      <c r="B14887" s="3">
        <v>0</v>
      </c>
    </row>
    <row r="14888" ht="15.75" customHeight="1" spans="1:2">
      <c r="A14888" s="3" t="str">
        <f>IFERROR(__xludf.DUMMYFUNCTION("GOOGLETRANSLATE(A14888,""en"",""pt"")"),"molestação")</f>
        <v>molestação</v>
      </c>
      <c r="B14888" s="3">
        <v>0</v>
      </c>
    </row>
    <row r="14889" ht="15.75" customHeight="1" spans="1:2">
      <c r="A14889" s="3" t="str">
        <f>IFERROR(__xludf.DUMMYFUNCTION("GOOGLETRANSLATE(A14889,""en"",""pt"")"),"monótono")</f>
        <v>monótono</v>
      </c>
      <c r="B14889" s="3">
        <v>0</v>
      </c>
    </row>
    <row r="14890" ht="15.75" customHeight="1" spans="1:2">
      <c r="A14890" s="3" t="str">
        <f>IFERROR(__xludf.DUMMYFUNCTION("GOOGLETRANSLATE(A14890,""en"",""pt"")"),"monotonia")</f>
        <v>monotonia</v>
      </c>
      <c r="B14890" s="3">
        <v>0</v>
      </c>
    </row>
    <row r="14891" ht="15.75" customHeight="1" spans="1:2">
      <c r="A14891" s="3" t="str">
        <f>IFERROR(__xludf.DUMMYFUNCTION("GOOGLETRANSLATE(A14891,""en"",""pt"")"),"monstro")</f>
        <v>monstro</v>
      </c>
      <c r="B14891" s="3">
        <v>0</v>
      </c>
    </row>
    <row r="14892" ht="15.75" customHeight="1" spans="1:2">
      <c r="A14892" s="3" t="str">
        <f>IFERROR(__xludf.DUMMYFUNCTION("GOOGLETRANSLATE(A14892,""en"",""pt"")"),"monstruosidades")</f>
        <v>monstruosidades</v>
      </c>
      <c r="B14892" s="3">
        <v>0</v>
      </c>
    </row>
    <row r="14893" ht="15.75" customHeight="1" spans="1:2">
      <c r="A14893" s="3" t="str">
        <f>IFERROR(__xludf.DUMMYFUNCTION("GOOGLETRANSLATE(A14893,""en"",""pt"")"),"monstruosidade")</f>
        <v>monstruosidade</v>
      </c>
      <c r="B14893" s="3">
        <v>0</v>
      </c>
    </row>
    <row r="14894" ht="15.75" customHeight="1" spans="1:2">
      <c r="A14894" s="3" t="str">
        <f>IFERROR(__xludf.DUMMYFUNCTION("GOOGLETRANSLATE(A14894,""en"",""pt"")"),"monstruoso")</f>
        <v>monstruoso</v>
      </c>
      <c r="B14894" s="3">
        <v>0</v>
      </c>
    </row>
    <row r="14895" ht="15.75" customHeight="1" spans="1:2">
      <c r="A14895" s="3" t="str">
        <f>IFERROR(__xludf.DUMMYFUNCTION("GOOGLETRANSLATE(A14895,""en"",""pt"")"),"monstruosamente")</f>
        <v>monstruosamente</v>
      </c>
      <c r="B14895" s="3">
        <v>0</v>
      </c>
    </row>
    <row r="14896" ht="15.75" customHeight="1" spans="1:2">
      <c r="A14896" s="3" t="str">
        <f>IFERROR(__xludf.DUMMYFUNCTION("GOOGLETRANSLATE(A14896,""en"",""pt"")"),"temperamental")</f>
        <v>temperamental</v>
      </c>
      <c r="B14896" s="3">
        <v>0</v>
      </c>
    </row>
    <row r="14897" ht="15.75" customHeight="1" spans="1:2">
      <c r="A14897" s="3" t="str">
        <f>IFERROR(__xludf.DUMMYFUNCTION("GOOGLETRANSLATE(A14897,""en"",""pt"")"),"discutível")</f>
        <v>discutível</v>
      </c>
      <c r="B14897" s="3">
        <v>0</v>
      </c>
    </row>
    <row r="14898" ht="15.75" customHeight="1" spans="1:2">
      <c r="A14898" s="3" t="str">
        <f>IFERROR(__xludf.DUMMYFUNCTION("GOOGLETRANSLATE(A14898,""en"",""pt"")"),"lastimador")</f>
        <v>lastimador</v>
      </c>
      <c r="B14898" s="3">
        <v>0</v>
      </c>
    </row>
    <row r="14899" ht="15.75" customHeight="1" spans="1:2">
      <c r="A14899" s="3" t="str">
        <f>IFERROR(__xludf.DUMMYFUNCTION("GOOGLETRANSLATE(A14899,""en"",""pt"")"),"mórbido")</f>
        <v>mórbido</v>
      </c>
      <c r="B14899" s="3">
        <v>0</v>
      </c>
    </row>
    <row r="14900" ht="15.75" customHeight="1" spans="1:2">
      <c r="A14900" s="3" t="str">
        <f>IFERROR(__xludf.DUMMYFUNCTION("GOOGLETRANSLATE(A14900,""en"",""pt"")"),"morbidamente")</f>
        <v>morbidamente</v>
      </c>
      <c r="B14900" s="3">
        <v>0</v>
      </c>
    </row>
    <row r="14901" ht="15.75" customHeight="1" spans="1:2">
      <c r="A14901" s="3" t="str">
        <f>IFERROR(__xludf.DUMMYFUNCTION("GOOGLETRANSLATE(A14901,""en"",""pt"")"),"mordente")</f>
        <v>mordente</v>
      </c>
      <c r="B14901" s="3">
        <v>0</v>
      </c>
    </row>
    <row r="14902" ht="15.75" customHeight="1" spans="1:2">
      <c r="A14902" s="3" t="str">
        <f>IFERROR(__xludf.DUMMYFUNCTION("GOOGLETRANSLATE(A14902,""en"",""pt"")"),"mordacidade")</f>
        <v>mordacidade</v>
      </c>
      <c r="B14902" s="3">
        <v>0</v>
      </c>
    </row>
    <row r="14903" ht="15.75" customHeight="1" spans="1:2">
      <c r="A14903" s="3" t="str">
        <f>IFERROR(__xludf.DUMMYFUNCTION("GOOGLETRANSLATE(A14903,""en"",""pt"")"),"moribundo")</f>
        <v>moribundo</v>
      </c>
      <c r="B14903" s="3">
        <v>0</v>
      </c>
    </row>
    <row r="14904" ht="15.75" customHeight="1" spans="1:2">
      <c r="A14904" s="3" t="str">
        <f>IFERROR(__xludf.DUMMYFUNCTION("GOOGLETRANSLATE(A14904,""en"",""pt"")"),"Idiota")</f>
        <v>Idiota</v>
      </c>
      <c r="B14904" s="3">
        <v>0</v>
      </c>
    </row>
    <row r="14905" ht="15.75" customHeight="1" spans="1:2">
      <c r="A14905" s="3" t="str">
        <f>IFERROR(__xludf.DUMMYFUNCTION("GOOGLETRANSLATE(A14905,""en"",""pt"")"),"imbecil")</f>
        <v>imbecil</v>
      </c>
      <c r="B14905" s="3">
        <v>0</v>
      </c>
    </row>
    <row r="14906" ht="15.75" customHeight="1" spans="1:2">
      <c r="A14906" s="3" t="str">
        <f>IFERROR(__xludf.DUMMYFUNCTION("GOOGLETRANSLATE(A14906,""en"",""pt"")"),"idiotas")</f>
        <v>idiotas</v>
      </c>
      <c r="B14906" s="3">
        <v>0</v>
      </c>
    </row>
    <row r="14907" ht="15.75" customHeight="1" spans="1:2">
      <c r="A14907" s="3" t="str">
        <f>IFERROR(__xludf.DUMMYFUNCTION("GOOGLETRANSLATE(A14907,""en"",""pt"")"),"mortificação")</f>
        <v>mortificação</v>
      </c>
      <c r="B14907" s="3">
        <v>0</v>
      </c>
    </row>
    <row r="14908" ht="15.75" customHeight="1" spans="1:2">
      <c r="A14908" s="3" t="str">
        <f>IFERROR(__xludf.DUMMYFUNCTION("GOOGLETRANSLATE(A14908,""en"",""pt"")"),"mortificado")</f>
        <v>mortificado</v>
      </c>
      <c r="B14908" s="3">
        <v>0</v>
      </c>
    </row>
    <row r="14909" ht="15.75" customHeight="1" spans="1:2">
      <c r="A14909" s="3" t="str">
        <f>IFERROR(__xludf.DUMMYFUNCTION("GOOGLETRANSLATE(A14909,""en"",""pt"")"),"mortificar")</f>
        <v>mortificar</v>
      </c>
      <c r="B14909" s="3">
        <v>0</v>
      </c>
    </row>
    <row r="14910" ht="15.75" customHeight="1" spans="1:2">
      <c r="A14910" s="3" t="s">
        <v>74</v>
      </c>
      <c r="B14910" s="3">
        <v>0</v>
      </c>
    </row>
    <row r="14911" ht="15.75" customHeight="1" spans="1:2">
      <c r="A14911" s="3" t="str">
        <f>IFERROR(__xludf.DUMMYFUNCTION("GOOGLETRANSLATE(A14911,""en"",""pt"")"),"imóvel")</f>
        <v>imóvel</v>
      </c>
      <c r="B14911" s="3">
        <v>0</v>
      </c>
    </row>
    <row r="14912" ht="15.75" customHeight="1" spans="1:2">
      <c r="A14912" s="3" t="str">
        <f>IFERROR(__xludf.DUMMYFUNCTION("GOOGLETRANSLATE(A14912,""en"",""pt"")"),"variegado")</f>
        <v>variegado</v>
      </c>
      <c r="B14912" s="3">
        <v>0</v>
      </c>
    </row>
    <row r="14913" ht="15.75" customHeight="1" spans="1:2">
      <c r="A14913" s="3" t="str">
        <f>IFERROR(__xludf.DUMMYFUNCTION("GOOGLETRANSLATE(A14913,""en"",""pt"")"),"lamentarão")</f>
        <v>lamentarão</v>
      </c>
      <c r="B14913" s="3">
        <v>0</v>
      </c>
    </row>
    <row r="14914" ht="15.75" customHeight="1" spans="1:2">
      <c r="A14914" s="3" t="str">
        <f>IFERROR(__xludf.DUMMYFUNCTION("GOOGLETRANSLATE(A14914,""en"",""pt"")"),"pranteador")</f>
        <v>pranteador</v>
      </c>
      <c r="B14914" s="3">
        <v>0</v>
      </c>
    </row>
    <row r="14915" ht="15.75" customHeight="1" spans="1:2">
      <c r="A14915" s="3" t="str">
        <f>IFERROR(__xludf.DUMMYFUNCTION("GOOGLETRANSLATE(A14915,""en"",""pt"")"),"fúnebre")</f>
        <v>fúnebre</v>
      </c>
      <c r="B14915" s="3">
        <v>0</v>
      </c>
    </row>
    <row r="14916" ht="15.75" customHeight="1" spans="1:2">
      <c r="A14916" s="3" t="str">
        <f>IFERROR(__xludf.DUMMYFUNCTION("GOOGLETRANSLATE(A14916,""en"",""pt"")"),"pesarosamente")</f>
        <v>pesarosamente</v>
      </c>
      <c r="B14916" s="3">
        <v>0</v>
      </c>
    </row>
    <row r="14917" ht="15.75" customHeight="1" spans="1:2">
      <c r="A14917" s="3" t="str">
        <f>IFERROR(__xludf.DUMMYFUNCTION("GOOGLETRANSLATE(A14917,""en"",""pt"")"),"confusão")</f>
        <v>confusão</v>
      </c>
      <c r="B14917" s="3">
        <v>0</v>
      </c>
    </row>
    <row r="14918" ht="15.75" customHeight="1" spans="1:2">
      <c r="A14918" s="3" t="str">
        <f>IFERROR(__xludf.DUMMYFUNCTION("GOOGLETRANSLATE(A14918,""en"",""pt"")"),"turvar")</f>
        <v>turvar</v>
      </c>
      <c r="B14918" s="3">
        <v>0</v>
      </c>
    </row>
    <row r="14919" ht="15.75" customHeight="1" spans="1:2">
      <c r="A14919" s="3" t="str">
        <f>IFERROR(__xludf.DUMMYFUNCTION("GOOGLETRANSLATE(A14919,""en"",""pt"")"),"Mudslinger")</f>
        <v>Mudslinger</v>
      </c>
      <c r="B14919" s="3">
        <v>0</v>
      </c>
    </row>
    <row r="14920" ht="15.75" customHeight="1" spans="1:2">
      <c r="A14920" s="3" t="str">
        <f>IFERROR(__xludf.DUMMYFUNCTION("GOOGLETRANSLATE(A14920,""en"",""pt"")"),"mudslinging")</f>
        <v>mudslinging</v>
      </c>
      <c r="B14920" s="3">
        <v>0</v>
      </c>
    </row>
    <row r="14921" ht="15.75" customHeight="1" spans="1:2">
      <c r="A14921" s="3" t="str">
        <f>IFERROR(__xludf.DUMMYFUNCTION("GOOGLETRANSLATE(A14921,""en"",""pt"")"),"teimoso")</f>
        <v>teimoso</v>
      </c>
      <c r="B14921" s="3">
        <v>0</v>
      </c>
    </row>
    <row r="14922" ht="15.75" customHeight="1" spans="1:2">
      <c r="A14922" s="3" t="str">
        <f>IFERROR(__xludf.DUMMYFUNCTION("GOOGLETRANSLATE(A14922,""en"",""pt"")"),"multi-polarização")</f>
        <v>multi-polarização</v>
      </c>
      <c r="B14922" s="3">
        <v>0</v>
      </c>
    </row>
    <row r="14923" ht="15.75" customHeight="1" spans="1:2">
      <c r="A14923" s="3" t="str">
        <f>IFERROR(__xludf.DUMMYFUNCTION("GOOGLETRANSLATE(A14923,""en"",""pt"")"),"mundano")</f>
        <v>mundano</v>
      </c>
      <c r="B14923" s="3">
        <v>0</v>
      </c>
    </row>
    <row r="14924" ht="15.75" customHeight="1" spans="1:2">
      <c r="A14924" s="3" t="str">
        <f>IFERROR(__xludf.DUMMYFUNCTION("GOOGLETRANSLATE(A14924,""en"",""pt"")"),"assassinato")</f>
        <v>assassinato</v>
      </c>
      <c r="B14924" s="3">
        <v>0</v>
      </c>
    </row>
    <row r="14925" ht="15.75" customHeight="1" spans="1:2">
      <c r="A14925" s="3" t="str">
        <f>IFERROR(__xludf.DUMMYFUNCTION("GOOGLETRANSLATE(A14925,""en"",""pt"")"),"assassino")</f>
        <v>assassino</v>
      </c>
      <c r="B14925" s="3">
        <v>0</v>
      </c>
    </row>
    <row r="14926" ht="15.75" customHeight="1" spans="1:2">
      <c r="A14926" s="3" t="str">
        <f>IFERROR(__xludf.DUMMYFUNCTION("GOOGLETRANSLATE(A14926,""en"",""pt"")"),"assassino")</f>
        <v>assassino</v>
      </c>
      <c r="B14926" s="3">
        <v>0</v>
      </c>
    </row>
    <row r="14927" ht="15.75" customHeight="1" spans="1:2">
      <c r="A14927" s="3" t="str">
        <f>IFERROR(__xludf.DUMMYFUNCTION("GOOGLETRANSLATE(A14927,""en"",""pt"")"),"murderously")</f>
        <v>murderously</v>
      </c>
      <c r="B14927" s="3">
        <v>0</v>
      </c>
    </row>
    <row r="14928" ht="15.75" customHeight="1" spans="1:2">
      <c r="A14928" s="3" t="str">
        <f>IFERROR(__xludf.DUMMYFUNCTION("GOOGLETRANSLATE(A14928,""en"",""pt"")"),"sombrio")</f>
        <v>sombrio</v>
      </c>
      <c r="B14928" s="3">
        <v>0</v>
      </c>
    </row>
    <row r="14929" ht="15.75" customHeight="1" spans="1:2">
      <c r="A14929" s="3" t="str">
        <f>IFERROR(__xludf.DUMMYFUNCTION("GOOGLETRANSLATE(A14929,""en"",""pt"")"),"músculo-flexão")</f>
        <v>músculo-flexão</v>
      </c>
      <c r="B14929" s="3">
        <v>0</v>
      </c>
    </row>
    <row r="14930" ht="15.75" customHeight="1" spans="1:2">
      <c r="A14930" s="3" t="str">
        <f>IFERROR(__xludf.DUMMYFUNCTION("GOOGLETRANSLATE(A14930,""en"",""pt"")"),"mole")</f>
        <v>mole</v>
      </c>
      <c r="B14930" s="3">
        <v>0</v>
      </c>
    </row>
    <row r="14931" ht="15.75" customHeight="1" spans="1:2">
      <c r="A14931" s="3" t="str">
        <f>IFERROR(__xludf.DUMMYFUNCTION("GOOGLETRANSLATE(A14931,""en"",""pt"")"),"mofado")</f>
        <v>mofado</v>
      </c>
      <c r="B14931" s="3">
        <v>0</v>
      </c>
    </row>
    <row r="14932" ht="15.75" customHeight="1" spans="1:2">
      <c r="A14932" s="3" t="str">
        <f>IFERROR(__xludf.DUMMYFUNCTION("GOOGLETRANSLATE(A14932,""en"",""pt"")"),"misterioso")</f>
        <v>misterioso</v>
      </c>
      <c r="B14932" s="3">
        <v>0</v>
      </c>
    </row>
    <row r="14933" ht="15.75" customHeight="1" spans="1:2">
      <c r="A14933" s="3" t="str">
        <f>IFERROR(__xludf.DUMMYFUNCTION("GOOGLETRANSLATE(A14933,""en"",""pt"")"),"misteriosamente")</f>
        <v>misteriosamente</v>
      </c>
      <c r="B14933" s="3">
        <v>0</v>
      </c>
    </row>
    <row r="14934" ht="15.75" customHeight="1" spans="1:2">
      <c r="A14934" s="3" t="str">
        <f>IFERROR(__xludf.DUMMYFUNCTION("GOOGLETRANSLATE(A14934,""en"",""pt"")"),"mistério")</f>
        <v>mistério</v>
      </c>
      <c r="B14934" s="3">
        <v>0</v>
      </c>
    </row>
    <row r="14935" ht="15.75" customHeight="1" spans="1:2">
      <c r="A14935" s="3" t="str">
        <f>IFERROR(__xludf.DUMMYFUNCTION("GOOGLETRANSLATE(A14935,""en"",""pt"")"),"mistificar")</f>
        <v>mistificar</v>
      </c>
      <c r="B14935" s="3">
        <v>0</v>
      </c>
    </row>
    <row r="14936" ht="15.75" customHeight="1" spans="1:2">
      <c r="A14936" s="3" t="str">
        <f>IFERROR(__xludf.DUMMYFUNCTION("GOOGLETRANSLATE(A14936,""en"",""pt"")"),"mito")</f>
        <v>mito</v>
      </c>
      <c r="B14936" s="3">
        <v>0</v>
      </c>
    </row>
    <row r="14937" ht="15.75" customHeight="1" spans="1:2">
      <c r="A14937" s="3" t="str">
        <f>IFERROR(__xludf.DUMMYFUNCTION("GOOGLETRANSLATE(A14937,""en"",""pt"")"),"cavalo")</f>
        <v>cavalo</v>
      </c>
      <c r="B14937" s="3">
        <v>0</v>
      </c>
    </row>
    <row r="14938" ht="15.75" customHeight="1" spans="1:2">
      <c r="A14938" s="3" t="str">
        <f>IFERROR(__xludf.DUMMYFUNCTION("GOOGLETRANSLATE(A14938,""en"",""pt"")"),"ranzinza")</f>
        <v>ranzinza</v>
      </c>
      <c r="B14938" s="3">
        <v>0</v>
      </c>
    </row>
    <row r="14939" ht="15.75" customHeight="1" spans="1:2">
      <c r="A14939" s="3" t="str">
        <f>IFERROR(__xludf.DUMMYFUNCTION("GOOGLETRANSLATE(A14939,""en"",""pt"")"),"ingênuo")</f>
        <v>ingênuo</v>
      </c>
      <c r="B14939" s="3">
        <v>0</v>
      </c>
    </row>
    <row r="14940" ht="15.75" customHeight="1" spans="1:2">
      <c r="A14940" s="3" t="str">
        <f>IFERROR(__xludf.DUMMYFUNCTION("GOOGLETRANSLATE(A14940,""en"",""pt"")"),"ingenuamente")</f>
        <v>ingenuamente</v>
      </c>
      <c r="B14940" s="3">
        <v>0</v>
      </c>
    </row>
    <row r="14941" ht="15.75" customHeight="1" spans="1:2">
      <c r="A14941" s="3" t="str">
        <f>IFERROR(__xludf.DUMMYFUNCTION("GOOGLETRANSLATE(A14941,""en"",""pt"")"),"mais estreito")</f>
        <v>mais estreito</v>
      </c>
      <c r="B14941" s="3">
        <v>0</v>
      </c>
    </row>
    <row r="14942" ht="15.75" customHeight="1" spans="1:2">
      <c r="A14942" s="3" t="str">
        <f>IFERROR(__xludf.DUMMYFUNCTION("GOOGLETRANSLATE(A14942,""en"",""pt"")"),"sordidamente")</f>
        <v>sordidamente</v>
      </c>
      <c r="B14942" s="3">
        <v>0</v>
      </c>
    </row>
    <row r="14943" ht="15.75" customHeight="1" spans="1:2">
      <c r="A14943" s="3" t="str">
        <f>IFERROR(__xludf.DUMMYFUNCTION("GOOGLETRANSLATE(A14943,""en"",""pt"")"),"sordidez")</f>
        <v>sordidez</v>
      </c>
      <c r="B14943" s="3">
        <v>0</v>
      </c>
    </row>
    <row r="14944" ht="15.75" customHeight="1" spans="1:2">
      <c r="A14944" s="3" t="str">
        <f>IFERROR(__xludf.DUMMYFUNCTION("GOOGLETRANSLATE(A14944,""en"",""pt"")"),"desagradável")</f>
        <v>desagradável</v>
      </c>
      <c r="B14944" s="3">
        <v>0</v>
      </c>
    </row>
    <row r="14945" ht="15.75" customHeight="1" spans="1:2">
      <c r="A14945" s="3" t="str">
        <f>IFERROR(__xludf.DUMMYFUNCTION("GOOGLETRANSLATE(A14945,""en"",""pt"")"),"danadinho")</f>
        <v>danadinho</v>
      </c>
      <c r="B14945" s="3">
        <v>0</v>
      </c>
    </row>
    <row r="14946" ht="15.75" customHeight="1" spans="1:2">
      <c r="A14946" s="3" t="str">
        <f>IFERROR(__xludf.DUMMYFUNCTION("GOOGLETRANSLATE(A14946,""en"",""pt"")"),"enjoar")</f>
        <v>enjoar</v>
      </c>
      <c r="B14946" s="3">
        <v>0</v>
      </c>
    </row>
    <row r="14947" ht="15.75" customHeight="1" spans="1:2">
      <c r="A14947" s="3" t="str">
        <f>IFERROR(__xludf.DUMMYFUNCTION("GOOGLETRANSLATE(A14947,""en"",""pt"")"),"nauseates")</f>
        <v>nauseates</v>
      </c>
      <c r="B14947" s="3">
        <v>0</v>
      </c>
    </row>
    <row r="14948" ht="15.75" customHeight="1" spans="1:2">
      <c r="A14948" s="3" t="str">
        <f>IFERROR(__xludf.DUMMYFUNCTION("GOOGLETRANSLATE(A14948,""en"",""pt"")"),"nauseante")</f>
        <v>nauseante</v>
      </c>
      <c r="B14948" s="3">
        <v>0</v>
      </c>
    </row>
    <row r="14949" ht="15.75" customHeight="1" spans="1:2">
      <c r="A14949" s="3" t="str">
        <f>IFERROR(__xludf.DUMMYFUNCTION("GOOGLETRANSLATE(A14949,""en"",""pt"")"),"nauseatingly")</f>
        <v>nauseatingly</v>
      </c>
      <c r="B14949" s="3">
        <v>0</v>
      </c>
    </row>
    <row r="14950" ht="15.75" customHeight="1" spans="1:2">
      <c r="A14950" s="3" t="str">
        <f>IFERROR(__xludf.DUMMYFUNCTION("GOOGLETRANSLATE(A14950,""en"",""pt"")"),"nave")</f>
        <v>nave</v>
      </c>
      <c r="B14950" s="3">
        <v>0</v>
      </c>
    </row>
    <row r="14951" ht="15.75" customHeight="1" spans="1:2">
      <c r="A14951" s="3" t="str">
        <f>IFERROR(__xludf.DUMMYFUNCTION("GOOGLETRANSLATE(A14951,""en"",""pt"")"),"nebuloso")</f>
        <v>nebuloso</v>
      </c>
      <c r="B14951" s="3">
        <v>0</v>
      </c>
    </row>
    <row r="14952" ht="15.75" customHeight="1" spans="1:2">
      <c r="A14952" s="3" t="str">
        <f>IFERROR(__xludf.DUMMYFUNCTION("GOOGLETRANSLATE(A14952,""en"",""pt"")"),"nebulosamente")</f>
        <v>nebulosamente</v>
      </c>
      <c r="B14952" s="3">
        <v>0</v>
      </c>
    </row>
    <row r="14953" ht="15.75" customHeight="1" spans="1:2">
      <c r="A14953" s="3" t="str">
        <f>IFERROR(__xludf.DUMMYFUNCTION("GOOGLETRANSLATE(A14953,""en"",""pt"")"),"desnecessário")</f>
        <v>desnecessário</v>
      </c>
      <c r="B14953" s="3">
        <v>0</v>
      </c>
    </row>
    <row r="14954" ht="15.75" customHeight="1" spans="1:2">
      <c r="A14954" s="3" t="str">
        <f>IFERROR(__xludf.DUMMYFUNCTION("GOOGLETRANSLATE(A14954,""en"",""pt"")"),"desnecessariamente")</f>
        <v>desnecessariamente</v>
      </c>
      <c r="B14954" s="3">
        <v>0</v>
      </c>
    </row>
    <row r="14955" ht="15.75" customHeight="1" spans="1:2">
      <c r="A14955" s="3" t="str">
        <f>IFERROR(__xludf.DUMMYFUNCTION("GOOGLETRANSLATE(A14955,""en"",""pt"")"),"carente")</f>
        <v>carente</v>
      </c>
      <c r="B14955" s="3">
        <v>0</v>
      </c>
    </row>
    <row r="14956" ht="15.75" customHeight="1" spans="1:2">
      <c r="A14956" s="3" t="str">
        <f>IFERROR(__xludf.DUMMYFUNCTION("GOOGLETRANSLATE(A14956,""en"",""pt"")"),"nefasto")</f>
        <v>nefasto</v>
      </c>
      <c r="B14956" s="3">
        <v>0</v>
      </c>
    </row>
    <row r="14957" ht="15.75" customHeight="1" spans="1:2">
      <c r="A14957" s="3" t="str">
        <f>IFERROR(__xludf.DUMMYFUNCTION("GOOGLETRANSLATE(A14957,""en"",""pt"")"),"nefariously")</f>
        <v>nefariously</v>
      </c>
      <c r="B14957" s="3">
        <v>0</v>
      </c>
    </row>
    <row r="14958" ht="15.75" customHeight="1" spans="1:2">
      <c r="A14958" s="3" t="str">
        <f>IFERROR(__xludf.DUMMYFUNCTION("GOOGLETRANSLATE(A14958,""en"",""pt"")"),"negar")</f>
        <v>negar</v>
      </c>
      <c r="B14958" s="3">
        <v>0</v>
      </c>
    </row>
    <row r="14959" ht="15.75" customHeight="1" spans="1:2">
      <c r="A14959" s="3" t="str">
        <f>IFERROR(__xludf.DUMMYFUNCTION("GOOGLETRANSLATE(A14959,""en"",""pt"")"),"negação")</f>
        <v>negação</v>
      </c>
      <c r="B14959" s="3">
        <v>0</v>
      </c>
    </row>
    <row r="14960" ht="15.75" customHeight="1" spans="1:2">
      <c r="A14960" s="3" t="str">
        <f>IFERROR(__xludf.DUMMYFUNCTION("GOOGLETRANSLATE(A14960,""en"",""pt"")"),"negativo")</f>
        <v>negativo</v>
      </c>
      <c r="B14960" s="3">
        <v>0</v>
      </c>
    </row>
    <row r="14961" ht="15.75" customHeight="1" spans="1:2">
      <c r="A14961" s="3" t="str">
        <f>IFERROR(__xludf.DUMMYFUNCTION("GOOGLETRANSLATE(A14961,""en"",""pt"")"),"negativos")</f>
        <v>negativos</v>
      </c>
      <c r="B14961" s="3">
        <v>0</v>
      </c>
    </row>
    <row r="14962" ht="15.75" customHeight="1" spans="1:2">
      <c r="A14962" s="3" t="str">
        <f>IFERROR(__xludf.DUMMYFUNCTION("GOOGLETRANSLATE(A14962,""en"",""pt"")"),"negatividade")</f>
        <v>negatividade</v>
      </c>
      <c r="B14962" s="3">
        <v>0</v>
      </c>
    </row>
    <row r="14963" ht="15.75" customHeight="1" spans="1:2">
      <c r="A14963" s="3" t="str">
        <f>IFERROR(__xludf.DUMMYFUNCTION("GOOGLETRANSLATE(A14963,""en"",""pt"")"),"negligência")</f>
        <v>negligência</v>
      </c>
      <c r="B14963" s="3">
        <v>0</v>
      </c>
    </row>
    <row r="14964" ht="15.75" customHeight="1" spans="1:2">
      <c r="A14964" s="3" t="str">
        <f>IFERROR(__xludf.DUMMYFUNCTION("GOOGLETRANSLATE(A14964,""en"",""pt"")"),"negligenciada")</f>
        <v>negligenciada</v>
      </c>
      <c r="B14964" s="3">
        <v>0</v>
      </c>
    </row>
    <row r="14965" ht="15.75" customHeight="1" spans="1:2">
      <c r="A14965" s="3" t="str">
        <f>IFERROR(__xludf.DUMMYFUNCTION("GOOGLETRANSLATE(A14965,""en"",""pt"")"),"negligência")</f>
        <v>negligência</v>
      </c>
      <c r="B14965" s="3">
        <v>0</v>
      </c>
    </row>
    <row r="14966" ht="15.75" customHeight="1" spans="1:2">
      <c r="A14966" s="3" t="str">
        <f>IFERROR(__xludf.DUMMYFUNCTION("GOOGLETRANSLATE(A14966,""en"",""pt"")"),"negligente")</f>
        <v>negligente</v>
      </c>
      <c r="B14966" s="3">
        <v>0</v>
      </c>
    </row>
    <row r="14967" ht="15.75" customHeight="1" spans="1:2">
      <c r="A14967" s="3" t="str">
        <f>IFERROR(__xludf.DUMMYFUNCTION("GOOGLETRANSLATE(A14967,""en"",""pt"")"),"Nêmesis")</f>
        <v>Nêmesis</v>
      </c>
      <c r="B14967" s="3">
        <v>0</v>
      </c>
    </row>
    <row r="14968" ht="15.75" customHeight="1" spans="1:2">
      <c r="A14968" s="3" t="str">
        <f>IFERROR(__xludf.DUMMYFUNCTION("GOOGLETRANSLATE(A14968,""en"",""pt"")"),"nepotismo")</f>
        <v>nepotismo</v>
      </c>
      <c r="B14968" s="3">
        <v>0</v>
      </c>
    </row>
    <row r="14969" ht="15.75" customHeight="1" spans="1:2">
      <c r="A14969" s="3" t="str">
        <f>IFERROR(__xludf.DUMMYFUNCTION("GOOGLETRANSLATE(A14969,""en"",""pt"")"),"nervoso")</f>
        <v>nervoso</v>
      </c>
      <c r="B14969" s="3">
        <v>0</v>
      </c>
    </row>
    <row r="14970" ht="15.75" customHeight="1" spans="1:2">
      <c r="A14970" s="3" t="str">
        <f>IFERROR(__xludf.DUMMYFUNCTION("GOOGLETRANSLATE(A14970,""en"",""pt"")"),"nervosamente")</f>
        <v>nervosamente</v>
      </c>
      <c r="B14970" s="3">
        <v>0</v>
      </c>
    </row>
    <row r="14971" ht="15.75" customHeight="1" spans="1:2">
      <c r="A14971" s="3" t="str">
        <f>IFERROR(__xludf.DUMMYFUNCTION("GOOGLETRANSLATE(A14971,""en"",""pt"")"),"nervosismo")</f>
        <v>nervosismo</v>
      </c>
      <c r="B14971" s="3">
        <v>0</v>
      </c>
    </row>
    <row r="14972" ht="15.75" customHeight="1" spans="1:2">
      <c r="A14972" s="3" t="str">
        <f>IFERROR(__xludf.DUMMYFUNCTION("GOOGLETRANSLATE(A14972,""en"",""pt"")"),"urtiga")</f>
        <v>urtiga</v>
      </c>
      <c r="B14972" s="3">
        <v>0</v>
      </c>
    </row>
    <row r="14973" ht="15.75" customHeight="1" spans="1:2">
      <c r="A14973" s="3" t="str">
        <f>IFERROR(__xludf.DUMMYFUNCTION("GOOGLETRANSLATE(A14973,""en"",""pt"")"),"nettlesome")</f>
        <v>nettlesome</v>
      </c>
      <c r="B14973" s="3">
        <v>0</v>
      </c>
    </row>
    <row r="14974" ht="15.75" customHeight="1" spans="1:2">
      <c r="A14974" s="3" t="str">
        <f>IFERROR(__xludf.DUMMYFUNCTION("GOOGLETRANSLATE(A14974,""en"",""pt"")"),"neurótico")</f>
        <v>neurótico</v>
      </c>
      <c r="B14974" s="3">
        <v>0</v>
      </c>
    </row>
    <row r="14975" ht="15.75" customHeight="1" spans="1:2">
      <c r="A14975" s="3" t="str">
        <f>IFERROR(__xludf.DUMMYFUNCTION("GOOGLETRANSLATE(A14975,""en"",""pt"")"),"neuroticamente")</f>
        <v>neuroticamente</v>
      </c>
      <c r="B14975" s="3">
        <v>0</v>
      </c>
    </row>
    <row r="14976" ht="15.75" customHeight="1" spans="1:2">
      <c r="A14976" s="3" t="str">
        <f>IFERROR(__xludf.DUMMYFUNCTION("GOOGLETRANSLATE(A14976,""en"",""pt"")"),"coisinha")</f>
        <v>coisinha</v>
      </c>
      <c r="B14976" s="3">
        <v>0</v>
      </c>
    </row>
    <row r="14977" ht="15.75" customHeight="1" spans="1:2">
      <c r="A14977" s="3" t="str">
        <f>IFERROR(__xludf.DUMMYFUNCTION("GOOGLETRANSLATE(A14977,""en"",""pt"")"),"niggles")</f>
        <v>niggles</v>
      </c>
      <c r="B14977" s="3">
        <v>0</v>
      </c>
    </row>
    <row r="14978" ht="15.75" customHeight="1" spans="1:2">
      <c r="A14978" s="3" t="str">
        <f>IFERROR(__xludf.DUMMYFUNCTION("GOOGLETRANSLATE(A14978,""en"",""pt"")"),"pesadelo")</f>
        <v>pesadelo</v>
      </c>
      <c r="B14978" s="3">
        <v>0</v>
      </c>
    </row>
    <row r="14979" ht="15.75" customHeight="1" spans="1:2">
      <c r="A14979" s="3" t="str">
        <f>IFERROR(__xludf.DUMMYFUNCTION("GOOGLETRANSLATE(A14979,""en"",""pt"")"),"de pesadelo")</f>
        <v>de pesadelo</v>
      </c>
      <c r="B14979" s="3">
        <v>0</v>
      </c>
    </row>
    <row r="14980" ht="15.75" customHeight="1" spans="1:2">
      <c r="A14980" s="3" t="str">
        <f>IFERROR(__xludf.DUMMYFUNCTION("GOOGLETRANSLATE(A14980,""en"",""pt"")"),"nightmarishly")</f>
        <v>nightmarishly</v>
      </c>
      <c r="B14980" s="3">
        <v>0</v>
      </c>
    </row>
    <row r="14981" ht="15.75" customHeight="1" spans="1:2">
      <c r="A14981" s="3" t="str">
        <f>IFERROR(__xludf.DUMMYFUNCTION("GOOGLETRANSLATE(A14981,""en"",""pt"")"),"nitpick")</f>
        <v>nitpick</v>
      </c>
      <c r="B14981" s="3">
        <v>0</v>
      </c>
    </row>
    <row r="14982" ht="15.75" customHeight="1" spans="1:2">
      <c r="A14982" s="3" t="str">
        <f>IFERROR(__xludf.DUMMYFUNCTION("GOOGLETRANSLATE(A14982,""en"",""pt"")"),"picuinhas")</f>
        <v>picuinhas</v>
      </c>
      <c r="B14982" s="3">
        <v>0</v>
      </c>
    </row>
    <row r="14983" ht="15.75" customHeight="1" spans="1:2">
      <c r="A14983" s="3" t="str">
        <f>IFERROR(__xludf.DUMMYFUNCTION("GOOGLETRANSLATE(A14983,""en"",""pt"")"),"barulho")</f>
        <v>barulho</v>
      </c>
      <c r="B14983" s="3">
        <v>0</v>
      </c>
    </row>
    <row r="14984" ht="15.75" customHeight="1" spans="1:2">
      <c r="A14984" s="3" t="s">
        <v>75</v>
      </c>
      <c r="B14984" s="3">
        <v>0</v>
      </c>
    </row>
    <row r="14985" ht="15.75" customHeight="1" spans="1:2">
      <c r="A14985" s="3" t="str">
        <f>IFERROR(__xludf.DUMMYFUNCTION("GOOGLETRANSLATE(A14985,""en"",""pt"")"),"ruidoso")</f>
        <v>ruidoso</v>
      </c>
      <c r="B14985" s="3">
        <v>0</v>
      </c>
    </row>
    <row r="14986" ht="15.75" customHeight="1" spans="1:2">
      <c r="A14986" s="3" t="str">
        <f>IFERROR(__xludf.DUMMYFUNCTION("GOOGLETRANSLATE(A14986,""en"",""pt"")"),"barulhento")</f>
        <v>barulhento</v>
      </c>
      <c r="B14986" s="3">
        <v>0</v>
      </c>
    </row>
    <row r="14987" ht="15.75" customHeight="1" spans="1:2">
      <c r="A14987" s="3" t="str">
        <f>IFERROR(__xludf.DUMMYFUNCTION("GOOGLETRANSLATE(A14987,""en"",""pt"")"),"não-confiança")</f>
        <v>não-confiança</v>
      </c>
      <c r="B14987" s="3">
        <v>0</v>
      </c>
    </row>
    <row r="14988" ht="15.75" customHeight="1" spans="1:2">
      <c r="A14988" s="3" t="str">
        <f>IFERROR(__xludf.DUMMYFUNCTION("GOOGLETRANSLATE(A14988,""en"",""pt"")"),"inexistente")</f>
        <v>inexistente</v>
      </c>
      <c r="B14988" s="3">
        <v>0</v>
      </c>
    </row>
    <row r="14989" ht="15.75" customHeight="1" spans="1:2">
      <c r="A14989" s="3" t="str">
        <f>IFERROR(__xludf.DUMMYFUNCTION("GOOGLETRANSLATE(A14989,""en"",""pt"")"),"nonresponsive")</f>
        <v>nonresponsive</v>
      </c>
      <c r="B14989" s="3">
        <v>0</v>
      </c>
    </row>
    <row r="14990" ht="15.75" customHeight="1" spans="1:2">
      <c r="A14990" s="3" t="s">
        <v>76</v>
      </c>
      <c r="B14990" s="3">
        <v>0</v>
      </c>
    </row>
    <row r="14991" ht="15.75" customHeight="1" spans="1:2">
      <c r="A14991" s="3" t="str">
        <f>IFERROR(__xludf.DUMMYFUNCTION("GOOGLETRANSLATE(A14991,""en"",""pt"")"),"curioso")</f>
        <v>curioso</v>
      </c>
      <c r="B14991" s="3">
        <v>0</v>
      </c>
    </row>
    <row r="14992" ht="15.75" customHeight="1" spans="1:2">
      <c r="A14992" s="3" t="str">
        <f>IFERROR(__xludf.DUMMYFUNCTION("GOOGLETRANSLATE(A14992,""en"",""pt"")"),"notoriedade")</f>
        <v>notoriedade</v>
      </c>
      <c r="B14992" s="3">
        <v>0</v>
      </c>
    </row>
    <row r="14993" ht="15.75" customHeight="1" spans="1:2">
      <c r="A14993" s="3" t="str">
        <f>IFERROR(__xludf.DUMMYFUNCTION("GOOGLETRANSLATE(A14993,""en"",""pt"")"),"notório")</f>
        <v>notório</v>
      </c>
      <c r="B14993" s="3">
        <v>0</v>
      </c>
    </row>
    <row r="14994" ht="15.75" customHeight="1" spans="1:2">
      <c r="A14994" s="3" t="str">
        <f>IFERROR(__xludf.DUMMYFUNCTION("GOOGLETRANSLATE(A14994,""en"",""pt"")"),"notoriamente")</f>
        <v>notoriamente</v>
      </c>
      <c r="B14994" s="3">
        <v>0</v>
      </c>
    </row>
    <row r="14995" ht="15.75" customHeight="1" spans="1:2">
      <c r="A14995" s="3" t="str">
        <f>IFERROR(__xludf.DUMMYFUNCTION("GOOGLETRANSLATE(A14995,""en"",""pt"")"),"nocivo")</f>
        <v>nocivo</v>
      </c>
      <c r="B14995" s="3">
        <v>0</v>
      </c>
    </row>
    <row r="14996" ht="15.75" customHeight="1" spans="1:2">
      <c r="A14996" s="3" t="str">
        <f>IFERROR(__xludf.DUMMYFUNCTION("GOOGLETRANSLATE(A14996,""en"",""pt"")"),"aborrecimento")</f>
        <v>aborrecimento</v>
      </c>
      <c r="B14996" s="3">
        <v>0</v>
      </c>
    </row>
    <row r="14997" ht="15.75" customHeight="1" spans="1:2">
      <c r="A14997" s="3" t="str">
        <f>IFERROR(__xludf.DUMMYFUNCTION("GOOGLETRANSLATE(A14997,""en"",""pt"")"),"entorpecido")</f>
        <v>entorpecido</v>
      </c>
      <c r="B14997" s="3">
        <v>0</v>
      </c>
    </row>
    <row r="14998" ht="15.75" customHeight="1" spans="1:2">
      <c r="A14998" s="3" t="str">
        <f>IFERROR(__xludf.DUMMYFUNCTION("GOOGLETRANSLATE(A14998,""en"",""pt"")"),"obeso")</f>
        <v>obeso</v>
      </c>
      <c r="B14998" s="3">
        <v>0</v>
      </c>
    </row>
    <row r="14999" ht="15.75" customHeight="1" spans="1:2">
      <c r="A14999" s="3" t="str">
        <f>IFERROR(__xludf.DUMMYFUNCTION("GOOGLETRANSLATE(A14999,""en"",""pt"")"),"objeto")</f>
        <v>objeto</v>
      </c>
      <c r="B14999" s="3">
        <v>0</v>
      </c>
    </row>
    <row r="15000" ht="15.75" customHeight="1" spans="1:2">
      <c r="A15000" s="3" t="str">
        <f>IFERROR(__xludf.DUMMYFUNCTION("GOOGLETRANSLATE(A15000,""en"",""pt"")"),"objeção")</f>
        <v>objeção</v>
      </c>
      <c r="B15000" s="3">
        <v>0</v>
      </c>
    </row>
    <row r="15001" ht="15.75" customHeight="1" spans="1:2">
      <c r="A15001" s="3" t="str">
        <f>IFERROR(__xludf.DUMMYFUNCTION("GOOGLETRANSLATE(A15001,""en"",""pt"")"),"censurável")</f>
        <v>censurável</v>
      </c>
      <c r="B15001" s="3">
        <v>0</v>
      </c>
    </row>
    <row r="15002" ht="15.75" customHeight="1" spans="1:2">
      <c r="A15002" s="3" t="str">
        <f>IFERROR(__xludf.DUMMYFUNCTION("GOOGLETRANSLATE(A15002,""en"",""pt"")"),"objeções")</f>
        <v>objeções</v>
      </c>
      <c r="B15002" s="3">
        <v>0</v>
      </c>
    </row>
    <row r="15003" ht="15.75" customHeight="1" spans="1:2">
      <c r="A15003" s="3" t="str">
        <f>IFERROR(__xludf.DUMMYFUNCTION("GOOGLETRANSLATE(A15003,""en"",""pt"")"),"oblíquo")</f>
        <v>oblíquo</v>
      </c>
      <c r="B15003" s="3">
        <v>0</v>
      </c>
    </row>
    <row r="15004" ht="15.75" customHeight="1" spans="1:2">
      <c r="A15004" s="3" t="str">
        <f>IFERROR(__xludf.DUMMYFUNCTION("GOOGLETRANSLATE(A15004,""en"",""pt"")"),"obliterar")</f>
        <v>obliterar</v>
      </c>
      <c r="B15004" s="3">
        <v>0</v>
      </c>
    </row>
    <row r="15005" ht="15.75" customHeight="1" spans="1:2">
      <c r="A15005" s="3" t="str">
        <f>IFERROR(__xludf.DUMMYFUNCTION("GOOGLETRANSLATE(A15005,""en"",""pt"")"),"obliterado")</f>
        <v>obliterado</v>
      </c>
      <c r="B15005" s="3">
        <v>0</v>
      </c>
    </row>
    <row r="15006" ht="15.75" customHeight="1" spans="1:2">
      <c r="A15006" s="3" t="str">
        <f>IFERROR(__xludf.DUMMYFUNCTION("GOOGLETRANSLATE(A15006,""en"",""pt"")"),"desatento")</f>
        <v>desatento</v>
      </c>
      <c r="B15006" s="3">
        <v>0</v>
      </c>
    </row>
    <row r="15007" ht="15.75" customHeight="1" spans="1:2">
      <c r="A15007" s="3" t="str">
        <f>IFERROR(__xludf.DUMMYFUNCTION("GOOGLETRANSLATE(A15007,""en"",""pt"")"),"obnóxio")</f>
        <v>obnóxio</v>
      </c>
      <c r="B15007" s="3">
        <v>0</v>
      </c>
    </row>
    <row r="15008" ht="15.75" customHeight="1" spans="1:2">
      <c r="A15008" s="3" t="str">
        <f>IFERROR(__xludf.DUMMYFUNCTION("GOOGLETRANSLATE(A15008,""en"",""pt"")"),"obnoxiously")</f>
        <v>obnoxiously</v>
      </c>
      <c r="B15008" s="3">
        <v>0</v>
      </c>
    </row>
    <row r="15009" ht="15.75" customHeight="1" spans="1:2">
      <c r="A15009" s="3" t="str">
        <f>IFERROR(__xludf.DUMMYFUNCTION("GOOGLETRANSLATE(A15009,""en"",""pt"")"),"obsceno")</f>
        <v>obsceno</v>
      </c>
      <c r="B15009" s="3">
        <v>0</v>
      </c>
    </row>
    <row r="15010" ht="15.75" customHeight="1" spans="1:2">
      <c r="A15010" s="3" t="str">
        <f>IFERROR(__xludf.DUMMYFUNCTION("GOOGLETRANSLATE(A15010,""en"",""pt"")"),"obscenamente")</f>
        <v>obscenamente</v>
      </c>
      <c r="B15010" s="3">
        <v>0</v>
      </c>
    </row>
    <row r="15011" ht="15.75" customHeight="1" spans="1:2">
      <c r="A15011" s="3" t="str">
        <f>IFERROR(__xludf.DUMMYFUNCTION("GOOGLETRANSLATE(A15011,""en"",""pt"")"),"obscenidade")</f>
        <v>obscenidade</v>
      </c>
      <c r="B15011" s="3">
        <v>0</v>
      </c>
    </row>
    <row r="15012" ht="15.75" customHeight="1" spans="1:2">
      <c r="A15012" s="3" t="str">
        <f>IFERROR(__xludf.DUMMYFUNCTION("GOOGLETRANSLATE(A15012,""en"",""pt"")"),"obscurecer")</f>
        <v>obscurecer</v>
      </c>
      <c r="B15012" s="3">
        <v>0</v>
      </c>
    </row>
    <row r="15013" ht="15.75" customHeight="1" spans="1:2">
      <c r="A15013" s="3" t="str">
        <f>IFERROR(__xludf.DUMMYFUNCTION("GOOGLETRANSLATE(A15013,""en"",""pt"")"),"obscurecida")</f>
        <v>obscurecida</v>
      </c>
      <c r="B15013" s="3">
        <v>0</v>
      </c>
    </row>
    <row r="15014" ht="15.75" customHeight="1" spans="1:2">
      <c r="A15014" s="3" t="str">
        <f>IFERROR(__xludf.DUMMYFUNCTION("GOOGLETRANSLATE(A15014,""en"",""pt"")"),"obscurece")</f>
        <v>obscurece</v>
      </c>
      <c r="B15014" s="3">
        <v>0</v>
      </c>
    </row>
    <row r="15015" ht="15.75" customHeight="1" spans="1:2">
      <c r="A15015" s="3" t="str">
        <f>IFERROR(__xludf.DUMMYFUNCTION("GOOGLETRANSLATE(A15015,""en"",""pt"")"),"obscuridade")</f>
        <v>obscuridade</v>
      </c>
      <c r="B15015" s="3">
        <v>0</v>
      </c>
    </row>
    <row r="15016" ht="15.75" customHeight="1" spans="1:2">
      <c r="A15016" s="3" t="str">
        <f>IFERROR(__xludf.DUMMYFUNCTION("GOOGLETRANSLATE(A15016,""en"",""pt"")"),"obsess")</f>
        <v>obsess</v>
      </c>
      <c r="B15016" s="3">
        <v>0</v>
      </c>
    </row>
    <row r="15017" ht="15.75" customHeight="1" spans="1:2">
      <c r="A15017" s="3" t="str">
        <f>IFERROR(__xludf.DUMMYFUNCTION("GOOGLETRANSLATE(A15017,""en"",""pt"")"),"obsessivo")</f>
        <v>obsessivo</v>
      </c>
      <c r="B15017" s="3">
        <v>0</v>
      </c>
    </row>
    <row r="15018" ht="15.75" customHeight="1" spans="1:2">
      <c r="A15018" s="3" t="s">
        <v>77</v>
      </c>
      <c r="B15018" s="3">
        <v>0</v>
      </c>
    </row>
    <row r="15019" ht="15.75" customHeight="1" spans="1:2">
      <c r="A15019" s="3" t="str">
        <f>IFERROR(__xludf.DUMMYFUNCTION("GOOGLETRANSLATE(A15019,""en"",""pt"")"),"obsessiveness")</f>
        <v>obsessiveness</v>
      </c>
      <c r="B15019" s="3">
        <v>0</v>
      </c>
    </row>
    <row r="15020" ht="15.75" customHeight="1" spans="1:2">
      <c r="A15020" s="3" t="str">
        <f>IFERROR(__xludf.DUMMYFUNCTION("GOOGLETRANSLATE(A15020,""en"",""pt"")"),"obsoleto")</f>
        <v>obsoleto</v>
      </c>
      <c r="B15020" s="3">
        <v>0</v>
      </c>
    </row>
    <row r="15021" ht="15.75" customHeight="1" spans="1:2">
      <c r="A15021" s="3" t="str">
        <f>IFERROR(__xludf.DUMMYFUNCTION("GOOGLETRANSLATE(A15021,""en"",""pt"")"),"obstáculo")</f>
        <v>obstáculo</v>
      </c>
      <c r="B15021" s="3">
        <v>0</v>
      </c>
    </row>
    <row r="15022" ht="15.75" customHeight="1" spans="1:2">
      <c r="A15022" s="3" t="str">
        <f>IFERROR(__xludf.DUMMYFUNCTION("GOOGLETRANSLATE(A15022,""en"",""pt"")"),"obstinado")</f>
        <v>obstinado</v>
      </c>
      <c r="B15022" s="3">
        <v>0</v>
      </c>
    </row>
    <row r="15023" ht="15.75" customHeight="1" spans="1:2">
      <c r="A15023" s="3" t="str">
        <f>IFERROR(__xludf.DUMMYFUNCTION("GOOGLETRANSLATE(A15023,""en"",""pt"")"),"obstinadamente")</f>
        <v>obstinadamente</v>
      </c>
      <c r="B15023" s="3">
        <v>0</v>
      </c>
    </row>
    <row r="15024" ht="15.75" customHeight="1" spans="1:2">
      <c r="A15024" s="3" t="str">
        <f>IFERROR(__xludf.DUMMYFUNCTION("GOOGLETRANSLATE(A15024,""en"",""pt"")"),"obstruir")</f>
        <v>obstruir</v>
      </c>
      <c r="B15024" s="3">
        <v>0</v>
      </c>
    </row>
    <row r="15025" ht="15.75" customHeight="1" spans="1:2">
      <c r="A15025" s="3" t="str">
        <f>IFERROR(__xludf.DUMMYFUNCTION("GOOGLETRANSLATE(A15025,""en"",""pt"")"),"obstruído")</f>
        <v>obstruído</v>
      </c>
      <c r="B15025" s="3">
        <v>0</v>
      </c>
    </row>
    <row r="15026" ht="15.75" customHeight="1" spans="1:2">
      <c r="A15026" s="3" t="str">
        <f>IFERROR(__xludf.DUMMYFUNCTION("GOOGLETRANSLATE(A15026,""en"",""pt"")"),"obstruindo")</f>
        <v>obstruindo</v>
      </c>
      <c r="B15026" s="3">
        <v>0</v>
      </c>
    </row>
    <row r="15027" ht="15.75" customHeight="1" spans="1:2">
      <c r="A15027" s="3" t="str">
        <f>IFERROR(__xludf.DUMMYFUNCTION("GOOGLETRANSLATE(A15027,""en"",""pt"")"),"obstrução")</f>
        <v>obstrução</v>
      </c>
      <c r="B15027" s="3">
        <v>0</v>
      </c>
    </row>
    <row r="15028" ht="15.75" customHeight="1" spans="1:2">
      <c r="A15028" s="3" t="str">
        <f>IFERROR(__xludf.DUMMYFUNCTION("GOOGLETRANSLATE(A15028,""en"",""pt"")"),"obstrua")</f>
        <v>obstrua</v>
      </c>
      <c r="B15028" s="3">
        <v>0</v>
      </c>
    </row>
    <row r="15029" ht="15.75" customHeight="1" spans="1:2">
      <c r="A15029" s="3" t="str">
        <f>IFERROR(__xludf.DUMMYFUNCTION("GOOGLETRANSLATE(A15029,""en"",""pt"")"),"indiscreto")</f>
        <v>indiscreto</v>
      </c>
      <c r="B15029" s="3">
        <v>0</v>
      </c>
    </row>
    <row r="15030" ht="15.75" customHeight="1" spans="1:2">
      <c r="A15030" s="3" t="str">
        <f>IFERROR(__xludf.DUMMYFUNCTION("GOOGLETRANSLATE(A15030,""en"",""pt"")"),"obtuso")</f>
        <v>obtuso</v>
      </c>
      <c r="B15030" s="3">
        <v>0</v>
      </c>
    </row>
    <row r="15031" ht="15.75" customHeight="1" spans="1:2">
      <c r="A15031" s="3" t="str">
        <f>IFERROR(__xludf.DUMMYFUNCTION("GOOGLETRANSLATE(A15031,""en"",""pt"")"),"Ocludir")</f>
        <v>Ocludir</v>
      </c>
      <c r="B15031" s="3">
        <v>0</v>
      </c>
    </row>
    <row r="15032" ht="15.75" customHeight="1" spans="1:2">
      <c r="A15032" s="3" t="str">
        <f>IFERROR(__xludf.DUMMYFUNCTION("GOOGLETRANSLATE(A15032,""en"",""pt"")"),"ocluído")</f>
        <v>ocluído</v>
      </c>
      <c r="B15032" s="3">
        <v>0</v>
      </c>
    </row>
    <row r="15033" ht="15.75" customHeight="1" spans="1:2">
      <c r="A15033" s="3" t="str">
        <f>IFERROR(__xludf.DUMMYFUNCTION("GOOGLETRANSLATE(A15033,""en"",""pt"")"),"occludes")</f>
        <v>occludes</v>
      </c>
      <c r="B15033" s="3">
        <v>0</v>
      </c>
    </row>
    <row r="15034" ht="15.75" customHeight="1" spans="1:2">
      <c r="A15034" s="3" t="str">
        <f>IFERROR(__xludf.DUMMYFUNCTION("GOOGLETRANSLATE(A15034,""en"",""pt"")"),"oclusão")</f>
        <v>oclusão</v>
      </c>
      <c r="B15034" s="3">
        <v>0</v>
      </c>
    </row>
    <row r="15035" ht="15.75" customHeight="1" spans="1:2">
      <c r="A15035" s="3" t="str">
        <f>IFERROR(__xludf.DUMMYFUNCTION("GOOGLETRANSLATE(A15035,""en"",""pt"")"),"ímpar")</f>
        <v>ímpar</v>
      </c>
      <c r="B15035" s="3">
        <v>0</v>
      </c>
    </row>
    <row r="15036" ht="15.75" customHeight="1" spans="1:2">
      <c r="A15036" s="3" t="str">
        <f>IFERROR(__xludf.DUMMYFUNCTION("GOOGLETRANSLATE(A15036,""en"",""pt"")"),"odder")</f>
        <v>odder</v>
      </c>
      <c r="B15036" s="3">
        <v>0</v>
      </c>
    </row>
    <row r="15037" ht="15.75" customHeight="1" spans="1:2">
      <c r="A15037" s="3" t="str">
        <f>IFERROR(__xludf.DUMMYFUNCTION("GOOGLETRANSLATE(A15037,""en"",""pt"")"),"mais estranha")</f>
        <v>mais estranha</v>
      </c>
      <c r="B15037" s="3">
        <v>0</v>
      </c>
    </row>
    <row r="15038" ht="15.75" customHeight="1" spans="1:2">
      <c r="A15038" s="3" t="str">
        <f>IFERROR(__xludf.DUMMYFUNCTION("GOOGLETRANSLATE(A15038,""en"",""pt"")"),"esquisitices")</f>
        <v>esquisitices</v>
      </c>
      <c r="B15038" s="3">
        <v>0</v>
      </c>
    </row>
    <row r="15039" ht="15.75" customHeight="1" spans="1:2">
      <c r="A15039" s="3" t="str">
        <f>IFERROR(__xludf.DUMMYFUNCTION("GOOGLETRANSLATE(A15039,""en"",""pt"")"),"esquisitice")</f>
        <v>esquisitice</v>
      </c>
      <c r="B15039" s="3">
        <v>0</v>
      </c>
    </row>
    <row r="15040" ht="15.75" customHeight="1" spans="1:2">
      <c r="A15040" s="3" t="str">
        <f>IFERROR(__xludf.DUMMYFUNCTION("GOOGLETRANSLATE(A15040,""en"",""pt"")"),"estranhamente")</f>
        <v>estranhamente</v>
      </c>
      <c r="B15040" s="3">
        <v>0</v>
      </c>
    </row>
    <row r="15041" ht="15.75" customHeight="1" spans="1:2">
      <c r="A15041" s="3" t="str">
        <f>IFERROR(__xludf.DUMMYFUNCTION("GOOGLETRANSLATE(A15041,""en"",""pt"")"),"odor")</f>
        <v>odor</v>
      </c>
      <c r="B15041" s="3">
        <v>0</v>
      </c>
    </row>
    <row r="15042" ht="15.75" customHeight="1" spans="1:2">
      <c r="A15042" s="3" t="str">
        <f>IFERROR(__xludf.DUMMYFUNCTION("GOOGLETRANSLATE(A15042,""en"",""pt"")"),"ofensa")</f>
        <v>ofensa</v>
      </c>
      <c r="B15042" s="3">
        <v>0</v>
      </c>
    </row>
    <row r="15043" ht="15.75" customHeight="1" spans="1:2">
      <c r="A15043" s="3" t="str">
        <f>IFERROR(__xludf.DUMMYFUNCTION("GOOGLETRANSLATE(A15043,""en"",""pt"")"),"ofender")</f>
        <v>ofender</v>
      </c>
      <c r="B15043" s="3">
        <v>0</v>
      </c>
    </row>
    <row r="15044" ht="15.75" customHeight="1" spans="1:2">
      <c r="A15044" s="3" t="str">
        <f>IFERROR(__xludf.DUMMYFUNCTION("GOOGLETRANSLATE(A15044,""en"",""pt"")"),"ofensor")</f>
        <v>ofensor</v>
      </c>
      <c r="B15044" s="3">
        <v>0</v>
      </c>
    </row>
    <row r="15045" ht="15.75" customHeight="1" spans="1:2">
      <c r="A15045" s="3" t="str">
        <f>IFERROR(__xludf.DUMMYFUNCTION("GOOGLETRANSLATE(A15045,""en"",""pt"")"),"ofensor")</f>
        <v>ofensor</v>
      </c>
      <c r="B15045" s="3">
        <v>0</v>
      </c>
    </row>
    <row r="15046" ht="15.75" customHeight="1" spans="1:2">
      <c r="A15046" s="3" t="str">
        <f>IFERROR(__xludf.DUMMYFUNCTION("GOOGLETRANSLATE(A15046,""en"",""pt"")"),"ofensas")</f>
        <v>ofensas</v>
      </c>
      <c r="B15046" s="3">
        <v>0</v>
      </c>
    </row>
    <row r="15047" ht="15.75" customHeight="1" spans="1:2">
      <c r="A15047" s="3" t="str">
        <f>IFERROR(__xludf.DUMMYFUNCTION("GOOGLETRANSLATE(A15047,""en"",""pt"")"),"ofensiva")</f>
        <v>ofensiva</v>
      </c>
      <c r="B15047" s="3">
        <v>0</v>
      </c>
    </row>
    <row r="15048" ht="15.75" customHeight="1" spans="1:2">
      <c r="A15048" s="3" t="str">
        <f>IFERROR(__xludf.DUMMYFUNCTION("GOOGLETRANSLATE(A15048,""en"",""pt"")"),"ofensivamente")</f>
        <v>ofensivamente</v>
      </c>
      <c r="B15048" s="3">
        <v>0</v>
      </c>
    </row>
    <row r="15049" ht="15.75" customHeight="1" spans="1:2">
      <c r="A15049" s="3" t="str">
        <f>IFERROR(__xludf.DUMMYFUNCTION("GOOGLETRANSLATE(A15049,""en"",""pt"")"),"ofensividade")</f>
        <v>ofensividade</v>
      </c>
      <c r="B15049" s="3">
        <v>0</v>
      </c>
    </row>
    <row r="15050" ht="15.75" customHeight="1" spans="1:2">
      <c r="A15050" s="3" t="str">
        <f>IFERROR(__xludf.DUMMYFUNCTION("GOOGLETRANSLATE(A15050,""en"",""pt"")"),"oficioso")</f>
        <v>oficioso</v>
      </c>
      <c r="B15050" s="3">
        <v>0</v>
      </c>
    </row>
    <row r="15051" ht="15.75" customHeight="1" spans="1:2">
      <c r="A15051" s="3" t="str">
        <f>IFERROR(__xludf.DUMMYFUNCTION("GOOGLETRANSLATE(A15051,""en"",""pt"")"),"ameaçador")</f>
        <v>ameaçador</v>
      </c>
      <c r="B15051" s="3">
        <v>0</v>
      </c>
    </row>
    <row r="15052" ht="15.75" customHeight="1" spans="1:2">
      <c r="A15052" s="3" t="str">
        <f>IFERROR(__xludf.DUMMYFUNCTION("GOOGLETRANSLATE(A15052,""en"",""pt"")"),"ameaçadoramente")</f>
        <v>ameaçadoramente</v>
      </c>
      <c r="B15052" s="3">
        <v>0</v>
      </c>
    </row>
    <row r="15053" ht="15.75" customHeight="1" spans="1:2">
      <c r="A15053" s="3" t="str">
        <f>IFERROR(__xludf.DUMMYFUNCTION("GOOGLETRANSLATE(A15053,""en"",""pt"")"),"omissão")</f>
        <v>omissão</v>
      </c>
      <c r="B15053" s="3">
        <v>0</v>
      </c>
    </row>
    <row r="15054" ht="15.75" customHeight="1" spans="1:2">
      <c r="A15054" s="3" t="str">
        <f>IFERROR(__xludf.DUMMYFUNCTION("GOOGLETRANSLATE(A15054,""en"",""pt"")"),"omitir")</f>
        <v>omitir</v>
      </c>
      <c r="B15054" s="3">
        <v>0</v>
      </c>
    </row>
    <row r="15055" ht="15.75" customHeight="1" spans="1:2">
      <c r="A15055" s="3" t="str">
        <f>IFERROR(__xludf.DUMMYFUNCTION("GOOGLETRANSLATE(A15055,""en"",""pt"")"),"unilateral")</f>
        <v>unilateral</v>
      </c>
      <c r="B15055" s="3">
        <v>0</v>
      </c>
    </row>
    <row r="15056" ht="15.75" customHeight="1" spans="1:2">
      <c r="A15056" s="3" t="str">
        <f>IFERROR(__xludf.DUMMYFUNCTION("GOOGLETRANSLATE(A15056,""en"",""pt"")"),"oneroso")</f>
        <v>oneroso</v>
      </c>
      <c r="B15056" s="3">
        <v>0</v>
      </c>
    </row>
    <row r="15057" ht="15.75" customHeight="1" spans="1:2">
      <c r="A15057" s="3" t="str">
        <f>IFERROR(__xludf.DUMMYFUNCTION("GOOGLETRANSLATE(A15057,""en"",""pt"")"),"onerosamente")</f>
        <v>onerosamente</v>
      </c>
      <c r="B15057" s="3">
        <v>0</v>
      </c>
    </row>
    <row r="15058" ht="15.75" customHeight="1" spans="1:2">
      <c r="A15058" s="3" t="str">
        <f>IFERROR(__xludf.DUMMYFUNCTION("GOOGLETRANSLATE(A15058,""en"",""pt"")"),"investida")</f>
        <v>investida</v>
      </c>
      <c r="B15058" s="3">
        <v>0</v>
      </c>
    </row>
    <row r="15059" ht="15.75" customHeight="1" spans="1:2">
      <c r="A15059" s="3" t="str">
        <f>IFERROR(__xludf.DUMMYFUNCTION("GOOGLETRANSLATE(A15059,""en"",""pt"")"),"opinativo")</f>
        <v>opinativo</v>
      </c>
      <c r="B15059" s="3">
        <v>0</v>
      </c>
    </row>
    <row r="15060" ht="15.75" customHeight="1" spans="1:2">
      <c r="A15060" s="3" t="str">
        <f>IFERROR(__xludf.DUMMYFUNCTION("GOOGLETRANSLATE(A15060,""en"",""pt"")"),"oponente")</f>
        <v>oponente</v>
      </c>
      <c r="B15060" s="3">
        <v>0</v>
      </c>
    </row>
    <row r="15061" ht="15.75" customHeight="1" spans="1:2">
      <c r="A15061" s="3" t="str">
        <f>IFERROR(__xludf.DUMMYFUNCTION("GOOGLETRANSLATE(A15061,""en"",""pt"")"),"oportunista")</f>
        <v>oportunista</v>
      </c>
      <c r="B15061" s="3">
        <v>0</v>
      </c>
    </row>
    <row r="15062" ht="15.75" customHeight="1" spans="1:2">
      <c r="A15062" s="3" t="str">
        <f>IFERROR(__xludf.DUMMYFUNCTION("GOOGLETRANSLATE(A15062,""en"",""pt"")"),"opor")</f>
        <v>opor</v>
      </c>
      <c r="B15062" s="3">
        <v>0</v>
      </c>
    </row>
    <row r="15063" ht="15.75" customHeight="1" spans="1:2">
      <c r="A15063" s="3" t="str">
        <f>IFERROR(__xludf.DUMMYFUNCTION("GOOGLETRANSLATE(A15063,""en"",""pt"")"),"oposição")</f>
        <v>oposição</v>
      </c>
      <c r="B15063" s="3">
        <v>0</v>
      </c>
    </row>
    <row r="15064" ht="15.75" customHeight="1" spans="1:2">
      <c r="A15064" s="3" t="str">
        <f>IFERROR(__xludf.DUMMYFUNCTION("GOOGLETRANSLATE(A15064,""en"",""pt"")"),"oposições")</f>
        <v>oposições</v>
      </c>
      <c r="B15064" s="3">
        <v>0</v>
      </c>
    </row>
    <row r="15065" ht="15.75" customHeight="1" spans="1:2">
      <c r="A15065" s="3" t="str">
        <f>IFERROR(__xludf.DUMMYFUNCTION("GOOGLETRANSLATE(A15065,""en"",""pt"")"),"oprimir")</f>
        <v>oprimir</v>
      </c>
      <c r="B15065" s="3">
        <v>0</v>
      </c>
    </row>
    <row r="15066" ht="15.75" customHeight="1" spans="1:2">
      <c r="A15066" s="3" t="str">
        <f>IFERROR(__xludf.DUMMYFUNCTION("GOOGLETRANSLATE(A15066,""en"",""pt"")"),"opressão")</f>
        <v>opressão</v>
      </c>
      <c r="B15066" s="3">
        <v>0</v>
      </c>
    </row>
    <row r="15067" ht="15.75" customHeight="1" spans="1:2">
      <c r="A15067" s="3" t="str">
        <f>IFERROR(__xludf.DUMMYFUNCTION("GOOGLETRANSLATE(A15067,""en"",""pt"")"),"opressivo")</f>
        <v>opressivo</v>
      </c>
      <c r="B15067" s="3">
        <v>0</v>
      </c>
    </row>
    <row r="15068" ht="15.75" customHeight="1" spans="1:2">
      <c r="A15068" s="3" t="str">
        <f>IFERROR(__xludf.DUMMYFUNCTION("GOOGLETRANSLATE(A15068,""en"",""pt"")"),"oppressively")</f>
        <v>oppressively</v>
      </c>
      <c r="B15068" s="3">
        <v>0</v>
      </c>
    </row>
    <row r="15069" ht="15.75" customHeight="1" spans="1:2">
      <c r="A15069" s="3" t="str">
        <f>IFERROR(__xludf.DUMMYFUNCTION("GOOGLETRANSLATE(A15069,""en"",""pt"")"),"opressão")</f>
        <v>opressão</v>
      </c>
      <c r="B15069" s="3">
        <v>0</v>
      </c>
    </row>
    <row r="15070" ht="15.75" customHeight="1" spans="1:2">
      <c r="A15070" s="3" t="str">
        <f>IFERROR(__xludf.DUMMYFUNCTION("GOOGLETRANSLATE(A15070,""en"",""pt"")"),"opressores")</f>
        <v>opressores</v>
      </c>
      <c r="B15070" s="3">
        <v>0</v>
      </c>
    </row>
    <row r="15071" ht="15.75" customHeight="1" spans="1:2">
      <c r="A15071" s="3" t="str">
        <f>IFERROR(__xludf.DUMMYFUNCTION("GOOGLETRANSLATE(A15071,""en"",""pt"")"),"provação")</f>
        <v>provação</v>
      </c>
      <c r="B15071" s="3">
        <v>0</v>
      </c>
    </row>
    <row r="15072" ht="15.75" customHeight="1" spans="1:2">
      <c r="A15072" s="3" t="str">
        <f>IFERROR(__xludf.DUMMYFUNCTION("GOOGLETRANSLATE(A15072,""en"",""pt"")"),"órfão")</f>
        <v>órfão</v>
      </c>
      <c r="B15072" s="3">
        <v>0</v>
      </c>
    </row>
    <row r="15073" ht="15.75" customHeight="1" spans="1:2">
      <c r="A15073" s="3" t="str">
        <f>IFERROR(__xludf.DUMMYFUNCTION("GOOGLETRANSLATE(A15073,""en"",""pt"")"),"ostracizar")</f>
        <v>ostracizar</v>
      </c>
      <c r="B15073" s="3">
        <v>0</v>
      </c>
    </row>
    <row r="15074" ht="15.75" customHeight="1" spans="1:2">
      <c r="A15074" s="3" t="str">
        <f>IFERROR(__xludf.DUMMYFUNCTION("GOOGLETRANSLATE(A15074,""en"",""pt"")"),"surto")</f>
        <v>surto</v>
      </c>
      <c r="B15074" s="3">
        <v>0</v>
      </c>
    </row>
    <row r="15075" ht="15.75" customHeight="1" spans="1:2">
      <c r="A15075" s="3" t="str">
        <f>IFERROR(__xludf.DUMMYFUNCTION("GOOGLETRANSLATE(A15075,""en"",""pt"")"),"explosão")</f>
        <v>explosão</v>
      </c>
      <c r="B15075" s="3">
        <v>0</v>
      </c>
    </row>
    <row r="15076" ht="15.75" customHeight="1" spans="1:2">
      <c r="A15076" s="3" t="str">
        <f>IFERROR(__xludf.DUMMYFUNCTION("GOOGLETRANSLATE(A15076,""en"",""pt"")"),"explosões")</f>
        <v>explosões</v>
      </c>
      <c r="B15076" s="3">
        <v>0</v>
      </c>
    </row>
    <row r="15077" ht="15.75" customHeight="1" spans="1:2">
      <c r="A15077" s="3" t="str">
        <f>IFERROR(__xludf.DUMMYFUNCTION("GOOGLETRANSLATE(A15077,""en"",""pt"")"),"exilado")</f>
        <v>exilado</v>
      </c>
      <c r="B15077" s="3">
        <v>0</v>
      </c>
    </row>
    <row r="15078" ht="15.75" customHeight="1" spans="1:2">
      <c r="A15078" s="3" t="str">
        <f>IFERROR(__xludf.DUMMYFUNCTION("GOOGLETRANSLATE(A15078,""en"",""pt"")"),"clamor")</f>
        <v>clamor</v>
      </c>
      <c r="B15078" s="3">
        <v>0</v>
      </c>
    </row>
    <row r="15079" ht="15.75" customHeight="1" spans="1:2">
      <c r="A15079" s="3" t="str">
        <f>IFERROR(__xludf.DUMMYFUNCTION("GOOGLETRANSLATE(A15079,""en"",""pt"")"),"bandido")</f>
        <v>bandido</v>
      </c>
      <c r="B15079" s="3">
        <v>0</v>
      </c>
    </row>
    <row r="15080" ht="15.75" customHeight="1" spans="1:2">
      <c r="A15080" s="3" t="str">
        <f>IFERROR(__xludf.DUMMYFUNCTION("GOOGLETRANSLATE(A15080,""en"",""pt"")"),"fora de moda")</f>
        <v>fora de moda</v>
      </c>
      <c r="B15080" s="3">
        <v>0</v>
      </c>
    </row>
    <row r="15081" ht="15.75" customHeight="1" spans="1:2">
      <c r="A15081" s="3" t="str">
        <f>IFERROR(__xludf.DUMMYFUNCTION("GOOGLETRANSLATE(A15081,""en"",""pt"")"),"ultraje")</f>
        <v>ultraje</v>
      </c>
      <c r="B15081" s="3">
        <v>0</v>
      </c>
    </row>
    <row r="15082" ht="15.75" customHeight="1" spans="1:2">
      <c r="A15082" s="3" t="str">
        <f>IFERROR(__xludf.DUMMYFUNCTION("GOOGLETRANSLATE(A15082,""en"",""pt"")"),"ultrajado")</f>
        <v>ultrajado</v>
      </c>
      <c r="B15082" s="3">
        <v>0</v>
      </c>
    </row>
    <row r="15083" ht="15.75" customHeight="1" spans="1:2">
      <c r="A15083" s="3" t="str">
        <f>IFERROR(__xludf.DUMMYFUNCTION("GOOGLETRANSLATE(A15083,""en"",""pt"")"),"ultrajante, ultrajoso")</f>
        <v>ultrajante, ultrajoso</v>
      </c>
      <c r="B15083" s="3">
        <v>0</v>
      </c>
    </row>
    <row r="15084" ht="15.75" customHeight="1" spans="1:2">
      <c r="A15084" s="3" t="str">
        <f>IFERROR(__xludf.DUMMYFUNCTION("GOOGLETRANSLATE(A15084,""en"",""pt"")"),"escandalosamente")</f>
        <v>escandalosamente</v>
      </c>
      <c r="B15084" s="3">
        <v>0</v>
      </c>
    </row>
    <row r="15085" ht="15.75" customHeight="1" spans="1:2">
      <c r="A15085" s="3" t="str">
        <f>IFERROR(__xludf.DUMMYFUNCTION("GOOGLETRANSLATE(A15085,""en"",""pt"")"),"outrageousness")</f>
        <v>outrageousness</v>
      </c>
      <c r="B15085" s="3">
        <v>0</v>
      </c>
    </row>
    <row r="15086" ht="15.75" customHeight="1" spans="1:2">
      <c r="A15086" s="3" t="str">
        <f>IFERROR(__xludf.DUMMYFUNCTION("GOOGLETRANSLATE(A15086,""en"",""pt"")"),"ultrajes")</f>
        <v>ultrajes</v>
      </c>
      <c r="B15086" s="3">
        <v>0</v>
      </c>
    </row>
    <row r="15087" ht="15.75" customHeight="1" spans="1:2">
      <c r="A15087" s="3" t="str">
        <f>IFERROR(__xludf.DUMMYFUNCTION("GOOGLETRANSLATE(A15087,""en"",""pt"")"),"estranho")</f>
        <v>estranho</v>
      </c>
      <c r="B15087" s="3">
        <v>0</v>
      </c>
    </row>
    <row r="15088" ht="15.75" customHeight="1" spans="1:2">
      <c r="A15088" s="3" t="str">
        <f>IFERROR(__xludf.DUMMYFUNCTION("GOOGLETRANSLATE(A15088,""en"",""pt"")"),"over-actuado")</f>
        <v>over-actuado</v>
      </c>
      <c r="B15088" s="3">
        <v>0</v>
      </c>
    </row>
    <row r="15089" ht="15.75" customHeight="1" spans="1:2">
      <c r="A15089" s="3" t="str">
        <f>IFERROR(__xludf.DUMMYFUNCTION("GOOGLETRANSLATE(A15089,""en"",""pt"")"),"intimidar")</f>
        <v>intimidar</v>
      </c>
      <c r="B15089" s="3">
        <v>0</v>
      </c>
    </row>
    <row r="15090" ht="15.75" customHeight="1" spans="1:2">
      <c r="A15090" s="3" t="str">
        <f>IFERROR(__xludf.DUMMYFUNCTION("GOOGLETRANSLATE(A15090,""en"",""pt"")"),"mais equilibrada")</f>
        <v>mais equilibrada</v>
      </c>
      <c r="B15090" s="3">
        <v>0</v>
      </c>
    </row>
    <row r="15091" ht="15.75" customHeight="1" spans="1:2">
      <c r="A15091" s="3" t="str">
        <f>IFERROR(__xludf.DUMMYFUNCTION("GOOGLETRANSLATE(A15091,""en"",""pt"")"),"mais sensacionalistas")</f>
        <v>mais sensacionalistas</v>
      </c>
      <c r="B15091" s="3">
        <v>0</v>
      </c>
    </row>
    <row r="15092" ht="15.75" customHeight="1" spans="1:2">
      <c r="A15092" s="3" t="str">
        <f>IFERROR(__xludf.DUMMYFUNCTION("GOOGLETRANSLATE(A15092,""en"",""pt"")"),"sobre-preço")</f>
        <v>sobre-preço</v>
      </c>
      <c r="B15092" s="3">
        <v>0</v>
      </c>
    </row>
    <row r="15093" ht="15.75" customHeight="1" spans="1:2">
      <c r="A15093" s="3" t="str">
        <f>IFERROR(__xludf.DUMMYFUNCTION("GOOGLETRANSLATE(A15093,""en"",""pt"")"),"sobrevalorização")</f>
        <v>sobrevalorização</v>
      </c>
      <c r="B15093" s="3">
        <v>0</v>
      </c>
    </row>
    <row r="15094" ht="15.75" customHeight="1" spans="1:2">
      <c r="A15094" s="3" t="str">
        <f>IFERROR(__xludf.DUMMYFUNCTION("GOOGLETRANSLATE(A15094,""en"",""pt"")"),"exagerar")</f>
        <v>exagerar</v>
      </c>
      <c r="B15094" s="3">
        <v>0</v>
      </c>
    </row>
    <row r="15095" ht="15.75" customHeight="1" spans="1:2">
      <c r="A15095" s="3" t="str">
        <f>IFERROR(__xludf.DUMMYFUNCTION("GOOGLETRANSLATE(A15095,""en"",""pt"")"),"overacted")</f>
        <v>overacted</v>
      </c>
      <c r="B15095" s="3">
        <v>0</v>
      </c>
    </row>
    <row r="15096" ht="15.75" customHeight="1" spans="1:2">
      <c r="A15096" s="3" t="str">
        <f>IFERROR(__xludf.DUMMYFUNCTION("GOOGLETRANSLATE(A15096,""en"",""pt"")"),"intimidar")</f>
        <v>intimidar</v>
      </c>
      <c r="B15096" s="3">
        <v>0</v>
      </c>
    </row>
    <row r="15097" ht="15.75" customHeight="1" spans="1:2">
      <c r="A15097" s="3" t="str">
        <f>IFERROR(__xludf.DUMMYFUNCTION("GOOGLETRANSLATE(A15097,""en"",""pt"")"),"desequilibrar")</f>
        <v>desequilibrar</v>
      </c>
      <c r="B15097" s="3">
        <v>0</v>
      </c>
    </row>
    <row r="15098" ht="15.75" customHeight="1" spans="1:2">
      <c r="A15098" s="3" t="str">
        <f>IFERROR(__xludf.DUMMYFUNCTION("GOOGLETRANSLATE(A15098,""en"",""pt"")"),"overbalanced")</f>
        <v>overbalanced</v>
      </c>
      <c r="B15098" s="3">
        <v>0</v>
      </c>
    </row>
    <row r="15099" ht="15.75" customHeight="1" spans="1:2">
      <c r="A15099" s="3" t="str">
        <f>IFERROR(__xludf.DUMMYFUNCTION("GOOGLETRANSLATE(A15099,""en"",""pt"")"),"arrogante")</f>
        <v>arrogante</v>
      </c>
      <c r="B15099" s="3">
        <v>0</v>
      </c>
    </row>
    <row r="15100" ht="15.75" customHeight="1" spans="1:2">
      <c r="A15100" s="3" t="str">
        <f>IFERROR(__xludf.DUMMYFUNCTION("GOOGLETRANSLATE(A15100,""en"",""pt"")"),"overbearingly")</f>
        <v>overbearingly</v>
      </c>
      <c r="B15100" s="3">
        <v>0</v>
      </c>
    </row>
    <row r="15101" ht="15.75" customHeight="1" spans="1:2">
      <c r="A15101" s="3" t="str">
        <f>IFERROR(__xludf.DUMMYFUNCTION("GOOGLETRANSLATE(A15101,""en"",""pt"")"),"que já passou")</f>
        <v>que já passou</v>
      </c>
      <c r="B15101" s="3">
        <v>0</v>
      </c>
    </row>
    <row r="15102" ht="15.75" customHeight="1" spans="1:2">
      <c r="A15102" s="3" t="str">
        <f>IFERROR(__xludf.DUMMYFUNCTION("GOOGLETRANSLATE(A15102,""en"",""pt"")"),"exagerar")</f>
        <v>exagerar</v>
      </c>
      <c r="B15102" s="3">
        <v>0</v>
      </c>
    </row>
    <row r="15103" ht="15.75" customHeight="1" spans="1:2">
      <c r="A15103" s="3" t="str">
        <f>IFERROR(__xludf.DUMMYFUNCTION("GOOGLETRANSLATE(A15103,""en"",""pt"")"),"exagerado")</f>
        <v>exagerado</v>
      </c>
      <c r="B15103" s="3">
        <v>0</v>
      </c>
    </row>
    <row r="15104" ht="15.75" customHeight="1" spans="1:2">
      <c r="A15104" s="3" t="str">
        <f>IFERROR(__xludf.DUMMYFUNCTION("GOOGLETRANSLATE(A15104,""en"",""pt"")"),"atrasado")</f>
        <v>atrasado</v>
      </c>
      <c r="B15104" s="3">
        <v>0</v>
      </c>
    </row>
    <row r="15105" ht="15.75" customHeight="1" spans="1:2">
      <c r="A15105" s="3" t="str">
        <f>IFERROR(__xludf.DUMMYFUNCTION("GOOGLETRANSLATE(A15105,""en"",""pt"")"),"overemphasize")</f>
        <v>overemphasize</v>
      </c>
      <c r="B15105" s="3">
        <v>0</v>
      </c>
    </row>
    <row r="15106" ht="15.75" customHeight="1" spans="1:2">
      <c r="A15106" s="3" t="str">
        <f>IFERROR(__xludf.DUMMYFUNCTION("GOOGLETRANSLATE(A15106,""en"",""pt"")"),"superaquecimento")</f>
        <v>superaquecimento</v>
      </c>
      <c r="B15106" s="3">
        <v>0</v>
      </c>
    </row>
    <row r="15107" ht="15.75" customHeight="1" spans="1:2">
      <c r="A15107" s="3" t="str">
        <f>IFERROR(__xludf.DUMMYFUNCTION("GOOGLETRANSLATE(A15107,""en"",""pt"")"),"exagero")</f>
        <v>exagero</v>
      </c>
      <c r="B15107" s="3">
        <v>0</v>
      </c>
    </row>
    <row r="15108" ht="15.75" customHeight="1" spans="1:2">
      <c r="A15108" s="3" t="str">
        <f>IFERROR(__xludf.DUMMYFUNCTION("GOOGLETRANSLATE(A15108,""en"",""pt"")"),"sobrecarregado")</f>
        <v>sobrecarregado</v>
      </c>
      <c r="B15108" s="3">
        <v>0</v>
      </c>
    </row>
    <row r="15109" ht="15.75" customHeight="1" spans="1:2">
      <c r="A15109" s="3" t="str">
        <f>IFERROR(__xludf.DUMMYFUNCTION("GOOGLETRANSLATE(A15109,""en"",""pt"")"),"negligenciar")</f>
        <v>negligenciar</v>
      </c>
      <c r="B15109" s="3">
        <v>0</v>
      </c>
    </row>
    <row r="15110" ht="15.75" customHeight="1" spans="1:2">
      <c r="A15110" s="3" t="str">
        <f>IFERROR(__xludf.DUMMYFUNCTION("GOOGLETRANSLATE(A15110,""en"",""pt"")"),"excesso")</f>
        <v>excesso</v>
      </c>
      <c r="B15110" s="3">
        <v>0</v>
      </c>
    </row>
    <row r="15111" ht="15.75" customHeight="1" spans="1:2">
      <c r="A15111" s="3" t="str">
        <f>IFERROR(__xludf.DUMMYFUNCTION("GOOGLETRANSLATE(A15111,""en"",""pt"")"),"overpayed")</f>
        <v>overpayed</v>
      </c>
      <c r="B15111" s="3">
        <v>0</v>
      </c>
    </row>
    <row r="15112" ht="15.75" customHeight="1" spans="1:2">
      <c r="A15112" s="3" t="str">
        <f>IFERROR(__xludf.DUMMYFUNCTION("GOOGLETRANSLATE(A15112,""en"",""pt"")"),"Overplay")</f>
        <v>Overplay</v>
      </c>
      <c r="B15112" s="3">
        <v>0</v>
      </c>
    </row>
    <row r="15113" ht="15.75" customHeight="1" spans="1:2">
      <c r="A15113" s="3" t="str">
        <f>IFERROR(__xludf.DUMMYFUNCTION("GOOGLETRANSLATE(A15113,""en"",""pt"")"),"Overpower")</f>
        <v>Overpower</v>
      </c>
      <c r="B15113" s="3">
        <v>0</v>
      </c>
    </row>
    <row r="15114" ht="15.75" customHeight="1" spans="1:2">
      <c r="A15114" s="3" t="str">
        <f>IFERROR(__xludf.DUMMYFUNCTION("GOOGLETRANSLATE(A15114,""en"",""pt"")"),"superfaturada")</f>
        <v>superfaturada</v>
      </c>
      <c r="B15114" s="3">
        <v>0</v>
      </c>
    </row>
    <row r="15115" ht="15.75" customHeight="1" spans="1:2">
      <c r="A15115" s="3" t="str">
        <f>IFERROR(__xludf.DUMMYFUNCTION("GOOGLETRANSLATE(A15115,""en"",""pt"")"),"superestimado")</f>
        <v>superestimado</v>
      </c>
      <c r="B15115" s="3">
        <v>0</v>
      </c>
    </row>
    <row r="15116" ht="15.75" customHeight="1" spans="1:2">
      <c r="A15116" s="3" t="str">
        <f>IFERROR(__xludf.DUMMYFUNCTION("GOOGLETRANSLATE(A15116,""en"",""pt"")"),"enredo")</f>
        <v>enredo</v>
      </c>
      <c r="B15116" s="3">
        <v>0</v>
      </c>
    </row>
    <row r="15117" ht="15.75" customHeight="1" spans="1:2">
      <c r="A15117" s="3" t="str">
        <f>IFERROR(__xludf.DUMMYFUNCTION("GOOGLETRANSLATE(A15117,""en"",""pt"")"),"superação")</f>
        <v>superação</v>
      </c>
      <c r="B15117" s="3">
        <v>0</v>
      </c>
    </row>
    <row r="15118" ht="15.75" customHeight="1" spans="1:2">
      <c r="A15118" s="3" t="str">
        <f>IFERROR(__xludf.DUMMYFUNCTION("GOOGLETRANSLATE(A15118,""en"",""pt"")"),"ofuscar")</f>
        <v>ofuscar</v>
      </c>
      <c r="B15118" s="3">
        <v>0</v>
      </c>
    </row>
    <row r="15119" ht="15.75" customHeight="1" spans="1:2">
      <c r="A15119" s="3" t="str">
        <f>IFERROR(__xludf.DUMMYFUNCTION("GOOGLETRANSLATE(A15119,""en"",""pt"")"),"fiscalização")</f>
        <v>fiscalização</v>
      </c>
      <c r="B15119" s="3">
        <v>0</v>
      </c>
    </row>
    <row r="15120" ht="15.75" customHeight="1" spans="1:2">
      <c r="A15120" s="3" t="str">
        <f>IFERROR(__xludf.DUMMYFUNCTION("GOOGLETRANSLATE(A15120,""en"",""pt"")"),"descuidos")</f>
        <v>descuidos</v>
      </c>
      <c r="B15120" s="3">
        <v>0</v>
      </c>
    </row>
    <row r="15121" ht="15.75" customHeight="1" spans="1:2">
      <c r="A15121" s="3" t="str">
        <f>IFERROR(__xludf.DUMMYFUNCTION("GOOGLETRANSLATE(A15121,""en"",""pt"")"),"oversimplification")</f>
        <v>oversimplification</v>
      </c>
      <c r="B15121" s="3">
        <v>0</v>
      </c>
    </row>
    <row r="15122" ht="15.75" customHeight="1" spans="1:2">
      <c r="A15122" s="3" t="str">
        <f>IFERROR(__xludf.DUMMYFUNCTION("GOOGLETRANSLATE(A15122,""en"",""pt"")"),"simplificado")</f>
        <v>simplificado</v>
      </c>
      <c r="B15122" s="3">
        <v>0</v>
      </c>
    </row>
    <row r="15123" ht="15.75" customHeight="1" spans="1:2">
      <c r="A15123" s="3" t="str">
        <f>IFERROR(__xludf.DUMMYFUNCTION("GOOGLETRANSLATE(A15123,""en"",""pt"")"),"simplificar")</f>
        <v>simplificar</v>
      </c>
      <c r="B15123" s="3">
        <v>0</v>
      </c>
    </row>
    <row r="15124" ht="15.75" customHeight="1" spans="1:2">
      <c r="A15124" s="3" t="str">
        <f>IFERROR(__xludf.DUMMYFUNCTION("GOOGLETRANSLATE(A15124,""en"",""pt"")"),"tamanho desproporcional")</f>
        <v>tamanho desproporcional</v>
      </c>
      <c r="B15124" s="3">
        <v>0</v>
      </c>
    </row>
    <row r="15125" ht="15.75" customHeight="1" spans="1:2">
      <c r="A15125" s="3" t="str">
        <f>IFERROR(__xludf.DUMMYFUNCTION("GOOGLETRANSLATE(A15125,""en"",""pt"")"),"exagerar")</f>
        <v>exagerar</v>
      </c>
      <c r="B15125" s="3">
        <v>0</v>
      </c>
    </row>
    <row r="15126" ht="15.75" customHeight="1" spans="1:2">
      <c r="A15126" s="3" t="str">
        <f>IFERROR(__xludf.DUMMYFUNCTION("GOOGLETRANSLATE(A15126,""en"",""pt"")"),"exagerada")</f>
        <v>exagerada</v>
      </c>
      <c r="B15126" s="3">
        <v>0</v>
      </c>
    </row>
    <row r="15127" ht="15.75" customHeight="1" spans="1:2">
      <c r="A15127" s="3" t="s">
        <v>78</v>
      </c>
      <c r="B15127" s="3">
        <v>0</v>
      </c>
    </row>
    <row r="15128" ht="15.75" customHeight="1" spans="1:2">
      <c r="A15128" s="3" t="str">
        <f>IFERROR(__xludf.DUMMYFUNCTION("GOOGLETRANSLATE(A15128,""en"",""pt"")"),"overstatements")</f>
        <v>overstatements</v>
      </c>
      <c r="B15128" s="3">
        <v>0</v>
      </c>
    </row>
    <row r="15129" ht="15.75" customHeight="1" spans="1:2">
      <c r="A15129" s="3" t="str">
        <f>IFERROR(__xludf.DUMMYFUNCTION("GOOGLETRANSLATE(A15129,""en"",""pt"")"),"exagera")</f>
        <v>exagera</v>
      </c>
      <c r="B15129" s="3">
        <v>0</v>
      </c>
    </row>
    <row r="15130" ht="15.75" customHeight="1" spans="1:2">
      <c r="A15130" s="3" t="str">
        <f>IFERROR(__xludf.DUMMYFUNCTION("GOOGLETRANSLATE(A15130,""en"",""pt"")"),"sobrecarregado")</f>
        <v>sobrecarregado</v>
      </c>
      <c r="B15130" s="3">
        <v>0</v>
      </c>
    </row>
    <row r="15131" ht="15.75" customHeight="1" spans="1:2">
      <c r="A15131" s="3" t="str">
        <f>IFERROR(__xludf.DUMMYFUNCTION("GOOGLETRANSLATE(A15131,""en"",""pt"")"),"derrubar")</f>
        <v>derrubar</v>
      </c>
      <c r="B15131" s="3">
        <v>0</v>
      </c>
    </row>
    <row r="15132" ht="15.75" customHeight="1" spans="1:2">
      <c r="A15132" s="3" t="str">
        <f>IFERROR(__xludf.DUMMYFUNCTION("GOOGLETRANSLATE(A15132,""en"",""pt"")"),"overthrows")</f>
        <v>overthrows</v>
      </c>
      <c r="B15132" s="3">
        <v>0</v>
      </c>
    </row>
    <row r="15133" ht="15.75" customHeight="1" spans="1:2">
      <c r="A15133" s="3" t="str">
        <f>IFERROR(__xludf.DUMMYFUNCTION("GOOGLETRANSLATE(A15133,""en"",""pt"")"),"reviravolta")</f>
        <v>reviravolta</v>
      </c>
      <c r="B15133" s="3">
        <v>0</v>
      </c>
    </row>
    <row r="15134" ht="15.75" customHeight="1" spans="1:2">
      <c r="A15134" s="3" t="str">
        <f>IFERROR(__xludf.DUMMYFUNCTION("GOOGLETRANSLATE(A15134,""en"",""pt"")"),"excesso de peso")</f>
        <v>excesso de peso</v>
      </c>
      <c r="B15134" s="3">
        <v>0</v>
      </c>
    </row>
    <row r="15135" ht="15.75" customHeight="1" spans="1:2">
      <c r="A15135" s="3" t="str">
        <f>IFERROR(__xludf.DUMMYFUNCTION("GOOGLETRANSLATE(A15135,""en"",""pt"")"),"oprimir")</f>
        <v>oprimir</v>
      </c>
      <c r="B15135" s="3">
        <v>0</v>
      </c>
    </row>
    <row r="15136" ht="15.75" customHeight="1" spans="1:2">
      <c r="A15136" s="3" t="str">
        <f>IFERROR(__xludf.DUMMYFUNCTION("GOOGLETRANSLATE(A15136,""en"",""pt"")"),"sobrecarregado")</f>
        <v>sobrecarregado</v>
      </c>
      <c r="B15136" s="3">
        <v>0</v>
      </c>
    </row>
    <row r="15137" ht="15.75" customHeight="1" spans="1:2">
      <c r="A15137" s="3" t="str">
        <f>IFERROR(__xludf.DUMMYFUNCTION("GOOGLETRANSLATE(A15137,""en"",""pt"")"),"esmagadora")</f>
        <v>esmagadora</v>
      </c>
      <c r="B15137" s="3">
        <v>0</v>
      </c>
    </row>
    <row r="15138" ht="15.75" customHeight="1" spans="1:2">
      <c r="A15138" s="3" t="str">
        <f>IFERROR(__xludf.DUMMYFUNCTION("GOOGLETRANSLATE(A15138,""en"",""pt"")"),"esmagadoramente")</f>
        <v>esmagadoramente</v>
      </c>
      <c r="B15138" s="3">
        <v>0</v>
      </c>
    </row>
    <row r="15139" ht="15.75" customHeight="1" spans="1:2">
      <c r="A15139" s="3" t="str">
        <f>IFERROR(__xludf.DUMMYFUNCTION("GOOGLETRANSLATE(A15139,""en"",""pt"")"),"subjuga")</f>
        <v>subjuga</v>
      </c>
      <c r="B15139" s="3">
        <v>0</v>
      </c>
    </row>
    <row r="15140" ht="15.75" customHeight="1" spans="1:2">
      <c r="A15140" s="3" t="str">
        <f>IFERROR(__xludf.DUMMYFUNCTION("GOOGLETRANSLATE(A15140,""en"",""pt"")"),"superzeloso")</f>
        <v>superzeloso</v>
      </c>
      <c r="B15140" s="3">
        <v>0</v>
      </c>
    </row>
    <row r="15141" ht="15.75" customHeight="1" spans="1:2">
      <c r="A15141" s="3" t="str">
        <f>IFERROR(__xludf.DUMMYFUNCTION("GOOGLETRANSLATE(A15141,""en"",""pt"")"),"overzealously")</f>
        <v>overzealously</v>
      </c>
      <c r="B15141" s="3">
        <v>0</v>
      </c>
    </row>
    <row r="15142" ht="15.75" customHeight="1" spans="1:2">
      <c r="A15142" s="3" t="str">
        <f>IFERROR(__xludf.DUMMYFUNCTION("GOOGLETRANSLATE(A15142,""en"",""pt"")"),"overzelous")</f>
        <v>overzelous</v>
      </c>
      <c r="B15142" s="3">
        <v>0</v>
      </c>
    </row>
    <row r="15143" ht="15.75" customHeight="1" spans="1:2">
      <c r="A15143" s="3" t="str">
        <f>IFERROR(__xludf.DUMMYFUNCTION("GOOGLETRANSLATE(A15143,""en"",""pt"")"),"dor")</f>
        <v>dor</v>
      </c>
      <c r="B15143" s="3">
        <v>0</v>
      </c>
    </row>
    <row r="15144" ht="15.75" customHeight="1" spans="1:2">
      <c r="A15144" s="3" t="str">
        <f>IFERROR(__xludf.DUMMYFUNCTION("GOOGLETRANSLATE(A15144,""en"",""pt"")"),"doloroso")</f>
        <v>doloroso</v>
      </c>
      <c r="B15144" s="3">
        <v>0</v>
      </c>
    </row>
    <row r="15145" ht="15.75" customHeight="1" spans="1:2">
      <c r="A15145" s="3" t="str">
        <f>IFERROR(__xludf.DUMMYFUNCTION("GOOGLETRANSLATE(A15145,""en"",""pt"")"),"painfull")</f>
        <v>painfull</v>
      </c>
      <c r="B15145" s="3">
        <v>0</v>
      </c>
    </row>
    <row r="15146" ht="15.75" customHeight="1" spans="1:2">
      <c r="A15146" s="3" t="str">
        <f>IFERROR(__xludf.DUMMYFUNCTION("GOOGLETRANSLATE(A15146,""en"",""pt"")"),"dolorosamente")</f>
        <v>dolorosamente</v>
      </c>
      <c r="B15146" s="3">
        <v>0</v>
      </c>
    </row>
    <row r="15147" ht="15.75" customHeight="1" spans="1:2">
      <c r="A15147" s="3" t="str">
        <f>IFERROR(__xludf.DUMMYFUNCTION("GOOGLETRANSLATE(A15147,""en"",""pt"")"),"dores")</f>
        <v>dores</v>
      </c>
      <c r="B15147" s="3">
        <v>0</v>
      </c>
    </row>
    <row r="15148" ht="15.75" customHeight="1" spans="1:2">
      <c r="A15148" s="3" t="str">
        <f>IFERROR(__xludf.DUMMYFUNCTION("GOOGLETRANSLATE(A15148,""en"",""pt"")"),"pálido")</f>
        <v>pálido</v>
      </c>
      <c r="B15148" s="3">
        <v>0</v>
      </c>
    </row>
    <row r="15149" ht="15.75" customHeight="1" spans="1:2">
      <c r="A15149" s="3" t="str">
        <f>IFERROR(__xludf.DUMMYFUNCTION("GOOGLETRANSLATE(A15149,""en"",""pt"")"),"pales")</f>
        <v>pales</v>
      </c>
      <c r="B15149" s="3">
        <v>0</v>
      </c>
    </row>
    <row r="15150" ht="15.75" customHeight="1" spans="1:2">
      <c r="A15150" s="3" t="str">
        <f>IFERROR(__xludf.DUMMYFUNCTION("GOOGLETRANSLATE(A15150,""en"",""pt"")"),"insignificante")</f>
        <v>insignificante</v>
      </c>
      <c r="B15150" s="3">
        <v>0</v>
      </c>
    </row>
    <row r="15151" ht="15.75" customHeight="1" spans="1:2">
      <c r="A15151" s="3" t="str">
        <f>IFERROR(__xludf.DUMMYFUNCTION("GOOGLETRANSLATE(A15151,""en"",""pt"")"),"panela")</f>
        <v>panela</v>
      </c>
      <c r="B15151" s="3">
        <v>0</v>
      </c>
    </row>
    <row r="15152" ht="15.75" customHeight="1" spans="1:2">
      <c r="A15152" s="3" t="str">
        <f>IFERROR(__xludf.DUMMYFUNCTION("GOOGLETRANSLATE(A15152,""en"",""pt"")"),"pandemônio")</f>
        <v>pandemônio</v>
      </c>
      <c r="B15152" s="3">
        <v>0</v>
      </c>
    </row>
    <row r="15153" ht="15.75" customHeight="1" spans="1:2">
      <c r="A15153" s="3" t="str">
        <f>IFERROR(__xludf.DUMMYFUNCTION("GOOGLETRANSLATE(A15153,""en"",""pt"")"),"Pander")</f>
        <v>Pander</v>
      </c>
      <c r="B15153" s="3">
        <v>0</v>
      </c>
    </row>
    <row r="15154" ht="15.75" customHeight="1" spans="1:2">
      <c r="A15154" s="3" t="str">
        <f>IFERROR(__xludf.DUMMYFUNCTION("GOOGLETRANSLATE(A15154,""en"",""pt"")"),"pandering")</f>
        <v>pandering</v>
      </c>
      <c r="B15154" s="3">
        <v>0</v>
      </c>
    </row>
    <row r="15155" ht="15.75" customHeight="1" spans="1:2">
      <c r="A15155" s="3" t="str">
        <f>IFERROR(__xludf.DUMMYFUNCTION("GOOGLETRANSLATE(A15155,""en"",""pt"")"),"alcoviteiros")</f>
        <v>alcoviteiros</v>
      </c>
      <c r="B15155" s="3">
        <v>0</v>
      </c>
    </row>
    <row r="15156" ht="15.75" customHeight="1" spans="1:2">
      <c r="A15156" s="3" t="str">
        <f>IFERROR(__xludf.DUMMYFUNCTION("GOOGLETRANSLATE(A15156,""en"",""pt"")"),"pânico")</f>
        <v>pânico</v>
      </c>
      <c r="B15156" s="3">
        <v>0</v>
      </c>
    </row>
    <row r="15157" ht="15.75" customHeight="1" spans="1:2">
      <c r="A15157" s="3" t="str">
        <f>IFERROR(__xludf.DUMMYFUNCTION("GOOGLETRANSLATE(A15157,""en"",""pt"")"),"panick")</f>
        <v>panick</v>
      </c>
      <c r="B15157" s="3">
        <v>0</v>
      </c>
    </row>
    <row r="15158" ht="15.75" customHeight="1" spans="1:2">
      <c r="A15158" s="3" t="str">
        <f>IFERROR(__xludf.DUMMYFUNCTION("GOOGLETRANSLATE(A15158,""en"",""pt"")"),"em pânico")</f>
        <v>em pânico</v>
      </c>
      <c r="B15158" s="3">
        <v>0</v>
      </c>
    </row>
    <row r="15159" ht="15.75" customHeight="1" spans="1:2">
      <c r="A15159" s="3" t="str">
        <f>IFERROR(__xludf.DUMMYFUNCTION("GOOGLETRANSLATE(A15159,""en"",""pt"")"),"pânico")</f>
        <v>pânico</v>
      </c>
      <c r="B15159" s="3">
        <v>0</v>
      </c>
    </row>
    <row r="15160" ht="15.75" customHeight="1" spans="1:2">
      <c r="A15160" s="3" t="str">
        <f>IFERROR(__xludf.DUMMYFUNCTION("GOOGLETRANSLATE(A15160,""en"",""pt"")"),"apavorado")</f>
        <v>apavorado</v>
      </c>
      <c r="B15160" s="3">
        <v>0</v>
      </c>
    </row>
    <row r="15161" ht="15.75" customHeight="1" spans="1:2">
      <c r="A15161" s="3" t="str">
        <f>IFERROR(__xludf.DUMMYFUNCTION("GOOGLETRANSLATE(A15161,""en"",""pt"")"),"paradoxal")</f>
        <v>paradoxal</v>
      </c>
      <c r="B15161" s="3">
        <v>0</v>
      </c>
    </row>
    <row r="15162" ht="15.75" customHeight="1" spans="1:2">
      <c r="A15162" s="3" t="str">
        <f>IFERROR(__xludf.DUMMYFUNCTION("GOOGLETRANSLATE(A15162,""en"",""pt"")"),"paradoxalmente")</f>
        <v>paradoxalmente</v>
      </c>
      <c r="B15162" s="3">
        <v>0</v>
      </c>
    </row>
    <row r="15163" ht="15.75" customHeight="1" spans="1:2">
      <c r="A15163" s="3" t="str">
        <f>IFERROR(__xludf.DUMMYFUNCTION("GOOGLETRANSLATE(A15163,""en"",""pt"")"),"paralisar")</f>
        <v>paralisar</v>
      </c>
      <c r="B15163" s="3">
        <v>0</v>
      </c>
    </row>
    <row r="15164" ht="15.75" customHeight="1" spans="1:2">
      <c r="A15164" s="3" t="str">
        <f>IFERROR(__xludf.DUMMYFUNCTION("GOOGLETRANSLATE(A15164,""en"",""pt"")"),"paralisado")</f>
        <v>paralisado</v>
      </c>
      <c r="B15164" s="3">
        <v>0</v>
      </c>
    </row>
    <row r="15165" ht="15.75" customHeight="1" spans="1:2">
      <c r="A15165" s="3" t="str">
        <f>IFERROR(__xludf.DUMMYFUNCTION("GOOGLETRANSLATE(A15165,""en"",""pt"")"),"paranóia")</f>
        <v>paranóia</v>
      </c>
      <c r="B15165" s="3">
        <v>0</v>
      </c>
    </row>
    <row r="15166" ht="15.75" customHeight="1" spans="1:2">
      <c r="A15166" s="3" t="str">
        <f>IFERROR(__xludf.DUMMYFUNCTION("GOOGLETRANSLATE(A15166,""en"",""pt"")"),"paranóia")</f>
        <v>paranóia</v>
      </c>
      <c r="B15166" s="3">
        <v>0</v>
      </c>
    </row>
    <row r="15167" ht="15.75" customHeight="1" spans="1:2">
      <c r="A15167" s="3" t="str">
        <f>IFERROR(__xludf.DUMMYFUNCTION("GOOGLETRANSLATE(A15167,""en"",""pt"")"),"parasita")</f>
        <v>parasita</v>
      </c>
      <c r="B15167" s="3">
        <v>0</v>
      </c>
    </row>
    <row r="15168" ht="15.75" customHeight="1" spans="1:2">
      <c r="A15168" s="3" t="str">
        <f>IFERROR(__xludf.DUMMYFUNCTION("GOOGLETRANSLATE(A15168,""en"",""pt"")"),"pária")</f>
        <v>pária</v>
      </c>
      <c r="B15168" s="3">
        <v>0</v>
      </c>
    </row>
    <row r="15169" ht="15.75" customHeight="1" spans="1:2">
      <c r="A15169" s="3" t="str">
        <f>IFERROR(__xludf.DUMMYFUNCTION("GOOGLETRANSLATE(A15169,""en"",""pt"")"),"paródia")</f>
        <v>paródia</v>
      </c>
      <c r="B15169" s="3">
        <v>0</v>
      </c>
    </row>
    <row r="15170" ht="15.75" customHeight="1" spans="1:2">
      <c r="A15170" s="3" t="str">
        <f>IFERROR(__xludf.DUMMYFUNCTION("GOOGLETRANSLATE(A15170,""en"",""pt"")"),"parcialidade")</f>
        <v>parcialidade</v>
      </c>
      <c r="B15170" s="3">
        <v>0</v>
      </c>
    </row>
    <row r="15171" ht="15.75" customHeight="1" spans="1:2">
      <c r="A15171" s="3" t="str">
        <f>IFERROR(__xludf.DUMMYFUNCTION("GOOGLETRANSLATE(A15171,""en"",""pt"")"),"partidário")</f>
        <v>partidário</v>
      </c>
      <c r="B15171" s="3">
        <v>0</v>
      </c>
    </row>
    <row r="15172" ht="15.75" customHeight="1" spans="1:2">
      <c r="A15172" s="3" t="str">
        <f>IFERROR(__xludf.DUMMYFUNCTION("GOOGLETRANSLATE(A15172,""en"",""pt"")"),"partisans")</f>
        <v>partisans</v>
      </c>
      <c r="B15172" s="3">
        <v>0</v>
      </c>
    </row>
    <row r="15173" ht="15.75" customHeight="1" spans="1:2">
      <c r="A15173" s="3" t="str">
        <f>IFERROR(__xludf.DUMMYFUNCTION("GOOGLETRANSLATE(A15173,""en"",""pt"")"),"fora de moda")</f>
        <v>fora de moda</v>
      </c>
      <c r="B15173" s="3">
        <v>0</v>
      </c>
    </row>
    <row r="15174" ht="15.75" customHeight="1" spans="1:2">
      <c r="A15174" s="3" t="str">
        <f>IFERROR(__xludf.DUMMYFUNCTION("GOOGLETRANSLATE(A15174,""en"",""pt"")"),"passiva")</f>
        <v>passiva</v>
      </c>
      <c r="B15174" s="3">
        <v>0</v>
      </c>
    </row>
    <row r="15175" ht="15.75" customHeight="1" spans="1:2">
      <c r="A15175" s="3" t="str">
        <f>IFERROR(__xludf.DUMMYFUNCTION("GOOGLETRANSLATE(A15175,""en"",""pt"")"),"passividade")</f>
        <v>passividade</v>
      </c>
      <c r="B15175" s="3">
        <v>0</v>
      </c>
    </row>
    <row r="15176" ht="15.75" customHeight="1" spans="1:2">
      <c r="A15176" s="3" t="str">
        <f>IFERROR(__xludf.DUMMYFUNCTION("GOOGLETRANSLATE(A15176,""en"",""pt"")"),"patético")</f>
        <v>patético</v>
      </c>
      <c r="B15176" s="3">
        <v>0</v>
      </c>
    </row>
    <row r="15177" ht="15.75" customHeight="1" spans="1:2">
      <c r="A15177" s="3" t="str">
        <f>IFERROR(__xludf.DUMMYFUNCTION("GOOGLETRANSLATE(A15177,""en"",""pt"")"),"pateticamente")</f>
        <v>pateticamente</v>
      </c>
      <c r="B15177" s="3">
        <v>0</v>
      </c>
    </row>
    <row r="15178" ht="15.75" customHeight="1" spans="1:2">
      <c r="A15178" s="3" t="str">
        <f>IFERROR(__xludf.DUMMYFUNCTION("GOOGLETRANSLATE(A15178,""en"",""pt"")"),"patrocinar")</f>
        <v>patrocinar</v>
      </c>
      <c r="B15178" s="3">
        <v>0</v>
      </c>
    </row>
    <row r="15179" ht="15.75" customHeight="1" spans="1:2">
      <c r="A15179" s="3" t="str">
        <f>IFERROR(__xludf.DUMMYFUNCTION("GOOGLETRANSLATE(A15179,""en"",""pt"")"),"escassez")</f>
        <v>escassez</v>
      </c>
      <c r="B15179" s="3">
        <v>0</v>
      </c>
    </row>
    <row r="15180" ht="15.75" customHeight="1" spans="1:2">
      <c r="A15180" s="3" t="str">
        <f>IFERROR(__xludf.DUMMYFUNCTION("GOOGLETRANSLATE(A15180,""en"",""pt"")"),"pobre")</f>
        <v>pobre</v>
      </c>
      <c r="B15180" s="3">
        <v>0</v>
      </c>
    </row>
    <row r="15181" ht="15.75" customHeight="1" spans="1:2">
      <c r="A15181" s="3" t="str">
        <f>IFERROR(__xludf.DUMMYFUNCTION("GOOGLETRANSLATE(A15181,""en"",""pt"")"),"paupers")</f>
        <v>paupers</v>
      </c>
      <c r="B15181" s="3">
        <v>0</v>
      </c>
    </row>
    <row r="15182" ht="15.75" customHeight="1" spans="1:2">
      <c r="A15182" s="3" t="str">
        <f>IFERROR(__xludf.DUMMYFUNCTION("GOOGLETRANSLATE(A15182,""en"",""pt"")"),"retorno")</f>
        <v>retorno</v>
      </c>
      <c r="B15182" s="3">
        <v>0</v>
      </c>
    </row>
    <row r="15183" ht="15.75" customHeight="1" spans="1:2">
      <c r="A15183" s="3" t="str">
        <f>IFERROR(__xludf.DUMMYFUNCTION("GOOGLETRANSLATE(A15183,""en"",""pt"")"),"peculiar")</f>
        <v>peculiar</v>
      </c>
      <c r="B15183" s="3">
        <v>0</v>
      </c>
    </row>
    <row r="15184" ht="15.75" customHeight="1" spans="1:2">
      <c r="A15184" s="3" t="str">
        <f>IFERROR(__xludf.DUMMYFUNCTION("GOOGLETRANSLATE(A15184,""en"",""pt"")"),"singularmente")</f>
        <v>singularmente</v>
      </c>
      <c r="B15184" s="3">
        <v>0</v>
      </c>
    </row>
    <row r="15185" ht="15.75" customHeight="1" spans="1:2">
      <c r="A15185" s="3" t="str">
        <f>IFERROR(__xludf.DUMMYFUNCTION("GOOGLETRANSLATE(A15185,""en"",""pt"")"),"pedante")</f>
        <v>pedante</v>
      </c>
      <c r="B15185" s="3">
        <v>0</v>
      </c>
    </row>
    <row r="15186" ht="15.75" customHeight="1" spans="1:2">
      <c r="A15186" s="3" t="str">
        <f>IFERROR(__xludf.DUMMYFUNCTION("GOOGLETRANSLATE(A15186,""en"",""pt"")"),"descascado")</f>
        <v>descascado</v>
      </c>
      <c r="B15186" s="3">
        <v>0</v>
      </c>
    </row>
    <row r="15187" ht="15.75" customHeight="1" spans="1:2">
      <c r="A15187" s="3" t="str">
        <f>IFERROR(__xludf.DUMMYFUNCTION("GOOGLETRANSLATE(A15187,""en"",""pt"")"),"gravame")</f>
        <v>gravame</v>
      </c>
      <c r="B15187" s="3">
        <v>0</v>
      </c>
    </row>
    <row r="15188" ht="15.75" customHeight="1" spans="1:2">
      <c r="A15188" s="3" t="str">
        <f>IFERROR(__xludf.DUMMYFUNCTION("GOOGLETRANSLATE(A15188,""en"",""pt"")"),"irritado")</f>
        <v>irritado</v>
      </c>
      <c r="B15188" s="3">
        <v>0</v>
      </c>
    </row>
    <row r="15189" ht="15.75" customHeight="1" spans="1:2">
      <c r="A15189" s="3" t="str">
        <f>IFERROR(__xludf.DUMMYFUNCTION("GOOGLETRANSLATE(A15189,""en"",""pt"")"),"impertinente")</f>
        <v>impertinente</v>
      </c>
      <c r="B15189" s="3">
        <v>0</v>
      </c>
    </row>
    <row r="15190" ht="15.75" customHeight="1" spans="1:2">
      <c r="A15190" s="3" t="str">
        <f>IFERROR(__xludf.DUMMYFUNCTION("GOOGLETRANSLATE(A15190,""en"",""pt"")"),"peevishly")</f>
        <v>peevishly</v>
      </c>
      <c r="B15190" s="3">
        <v>0</v>
      </c>
    </row>
    <row r="15191" ht="15.75" customHeight="1" spans="1:2">
      <c r="A15191" s="3" t="str">
        <f>IFERROR(__xludf.DUMMYFUNCTION("GOOGLETRANSLATE(A15191,""en"",""pt"")"),"penalizar")</f>
        <v>penalizar</v>
      </c>
      <c r="B15191" s="3">
        <v>0</v>
      </c>
    </row>
    <row r="15192" ht="15.75" customHeight="1" spans="1:2">
      <c r="A15192" s="3" t="str">
        <f>IFERROR(__xludf.DUMMYFUNCTION("GOOGLETRANSLATE(A15192,""en"",""pt"")"),"multa")</f>
        <v>multa</v>
      </c>
      <c r="B15192" s="3">
        <v>0</v>
      </c>
    </row>
    <row r="15193" ht="15.75" customHeight="1" spans="1:2">
      <c r="A15193" s="3" t="str">
        <f>IFERROR(__xludf.DUMMYFUNCTION("GOOGLETRANSLATE(A15193,""en"",""pt"")"),"pérfido")</f>
        <v>pérfido</v>
      </c>
      <c r="B15193" s="3">
        <v>0</v>
      </c>
    </row>
    <row r="15194" ht="15.75" customHeight="1" spans="1:2">
      <c r="A15194" s="3" t="str">
        <f>IFERROR(__xludf.DUMMYFUNCTION("GOOGLETRANSLATE(A15194,""en"",""pt"")"),"perfidity")</f>
        <v>perfidity</v>
      </c>
      <c r="B15194" s="3">
        <v>0</v>
      </c>
    </row>
    <row r="15195" ht="15.75" customHeight="1" spans="1:2">
      <c r="A15195" s="3" t="str">
        <f>IFERROR(__xludf.DUMMYFUNCTION("GOOGLETRANSLATE(A15195,""en"",""pt"")"),"superficial")</f>
        <v>superficial</v>
      </c>
      <c r="B15195" s="3">
        <v>0</v>
      </c>
    </row>
    <row r="15196" ht="15.75" customHeight="1" spans="1:2">
      <c r="A15196" s="3" t="str">
        <f>IFERROR(__xludf.DUMMYFUNCTION("GOOGLETRANSLATE(A15196,""en"",""pt"")"),"perigo")</f>
        <v>perigo</v>
      </c>
      <c r="B15196" s="3">
        <v>0</v>
      </c>
    </row>
    <row r="15197" ht="15.75" customHeight="1" spans="1:2">
      <c r="A15197" s="3" t="str">
        <f>IFERROR(__xludf.DUMMYFUNCTION("GOOGLETRANSLATE(A15197,""en"",""pt"")"),"perigoso")</f>
        <v>perigoso</v>
      </c>
      <c r="B15197" s="3">
        <v>0</v>
      </c>
    </row>
    <row r="15198" ht="15.75" customHeight="1" spans="1:2">
      <c r="A15198" s="3" t="str">
        <f>IFERROR(__xludf.DUMMYFUNCTION("GOOGLETRANSLATE(A15198,""en"",""pt"")"),"perigosamente")</f>
        <v>perigosamente</v>
      </c>
      <c r="B15198" s="3">
        <v>0</v>
      </c>
    </row>
    <row r="15199" ht="15.75" customHeight="1" spans="1:2">
      <c r="A15199" s="3" t="str">
        <f>IFERROR(__xludf.DUMMYFUNCTION("GOOGLETRANSLATE(A15199,""en"",""pt"")"),"perecer")</f>
        <v>perecer</v>
      </c>
      <c r="B15199" s="3">
        <v>0</v>
      </c>
    </row>
    <row r="15200" ht="15.75" customHeight="1" spans="1:2">
      <c r="A15200" s="3" t="str">
        <f>IFERROR(__xludf.DUMMYFUNCTION("GOOGLETRANSLATE(A15200,""en"",""pt"")"),"pernicioso")</f>
        <v>pernicioso</v>
      </c>
      <c r="B15200" s="3">
        <v>0</v>
      </c>
    </row>
    <row r="15201" ht="15.75" customHeight="1" spans="1:2">
      <c r="A15201" s="3" t="str">
        <f>IFERROR(__xludf.DUMMYFUNCTION("GOOGLETRANSLATE(A15201,""en"",""pt"")"),"enlear")</f>
        <v>enlear</v>
      </c>
      <c r="B15201" s="3">
        <v>0</v>
      </c>
    </row>
    <row r="15202" ht="15.75" customHeight="1" spans="1:2">
      <c r="A15202" s="3" t="str">
        <f>IFERROR(__xludf.DUMMYFUNCTION("GOOGLETRANSLATE(A15202,""en"",""pt"")"),"perplexo")</f>
        <v>perplexo</v>
      </c>
      <c r="B15202" s="3">
        <v>0</v>
      </c>
    </row>
    <row r="15203" ht="15.75" customHeight="1" spans="1:2">
      <c r="A15203" s="3" t="str">
        <f>IFERROR(__xludf.DUMMYFUNCTION("GOOGLETRANSLATE(A15203,""en"",""pt"")"),"perplexo")</f>
        <v>perplexo</v>
      </c>
      <c r="B15203" s="3">
        <v>0</v>
      </c>
    </row>
    <row r="15204" ht="15.75" customHeight="1" spans="1:2">
      <c r="A15204" s="3" t="str">
        <f>IFERROR(__xludf.DUMMYFUNCTION("GOOGLETRANSLATE(A15204,""en"",""pt"")"),"perplexidade")</f>
        <v>perplexidade</v>
      </c>
      <c r="B15204" s="3">
        <v>0</v>
      </c>
    </row>
    <row r="15205" ht="15.75" customHeight="1" spans="1:2">
      <c r="A15205" s="3" t="str">
        <f>IFERROR(__xludf.DUMMYFUNCTION("GOOGLETRANSLATE(A15205,""en"",""pt"")"),"perseguir")</f>
        <v>perseguir</v>
      </c>
      <c r="B15205" s="3">
        <v>0</v>
      </c>
    </row>
    <row r="15206" ht="15.75" customHeight="1" spans="1:2">
      <c r="A15206" s="3" t="str">
        <f>IFERROR(__xludf.DUMMYFUNCTION("GOOGLETRANSLATE(A15206,""en"",""pt"")"),"perseguição")</f>
        <v>perseguição</v>
      </c>
      <c r="B15206" s="3">
        <v>0</v>
      </c>
    </row>
    <row r="15207" ht="15.75" customHeight="1" spans="1:2">
      <c r="A15207" s="3" t="str">
        <f>IFERROR(__xludf.DUMMYFUNCTION("GOOGLETRANSLATE(A15207,""en"",""pt"")"),"pertinaz")</f>
        <v>pertinaz</v>
      </c>
      <c r="B15207" s="3">
        <v>0</v>
      </c>
    </row>
    <row r="15208" ht="15.75" customHeight="1" spans="1:2">
      <c r="A15208" s="3" t="str">
        <f>IFERROR(__xludf.DUMMYFUNCTION("GOOGLETRANSLATE(A15208,""en"",""pt"")"),"pertinazmente")</f>
        <v>pertinazmente</v>
      </c>
      <c r="B15208" s="3">
        <v>0</v>
      </c>
    </row>
    <row r="15209" ht="15.75" customHeight="1" spans="1:2">
      <c r="A15209" s="3" t="str">
        <f>IFERROR(__xludf.DUMMYFUNCTION("GOOGLETRANSLATE(A15209,""en"",""pt"")"),"pertinácia")</f>
        <v>pertinácia</v>
      </c>
      <c r="B15209" s="3">
        <v>0</v>
      </c>
    </row>
    <row r="15210" ht="15.75" customHeight="1" spans="1:2">
      <c r="A15210" s="3" t="str">
        <f>IFERROR(__xludf.DUMMYFUNCTION("GOOGLETRANSLATE(A15210,""en"",""pt"")"),"perturbar")</f>
        <v>perturbar</v>
      </c>
      <c r="B15210" s="3">
        <v>0</v>
      </c>
    </row>
    <row r="15211" ht="15.75" customHeight="1" spans="1:2">
      <c r="A15211" s="3" t="str">
        <f>IFERROR(__xludf.DUMMYFUNCTION("GOOGLETRANSLATE(A15211,""en"",""pt"")"),"perturbado")</f>
        <v>perturbado</v>
      </c>
      <c r="B15211" s="3">
        <v>0</v>
      </c>
    </row>
    <row r="15212" ht="15.75" customHeight="1" spans="1:2">
      <c r="A15212" s="3" t="str">
        <f>IFERROR(__xludf.DUMMYFUNCTION("GOOGLETRANSLATE(A15212,""en"",""pt"")"),"penetrante")</f>
        <v>penetrante</v>
      </c>
      <c r="B15212" s="3">
        <v>0</v>
      </c>
    </row>
    <row r="15213" ht="15.75" customHeight="1" spans="1:2">
      <c r="A15213" s="3" t="str">
        <f>IFERROR(__xludf.DUMMYFUNCTION("GOOGLETRANSLATE(A15213,""en"",""pt"")"),"perverso")</f>
        <v>perverso</v>
      </c>
      <c r="B15213" s="3">
        <v>0</v>
      </c>
    </row>
    <row r="15214" ht="15.75" customHeight="1" spans="1:2">
      <c r="A15214" s="3" t="str">
        <f>IFERROR(__xludf.DUMMYFUNCTION("GOOGLETRANSLATE(A15214,""en"",""pt"")"),"Perversamente")</f>
        <v>Perversamente</v>
      </c>
      <c r="B15214" s="3">
        <v>0</v>
      </c>
    </row>
    <row r="15215" ht="15.75" customHeight="1" spans="1:2">
      <c r="A15215" s="3" t="str">
        <f>IFERROR(__xludf.DUMMYFUNCTION("GOOGLETRANSLATE(A15215,""en"",""pt"")"),"perversão")</f>
        <v>perversão</v>
      </c>
      <c r="B15215" s="3">
        <v>0</v>
      </c>
    </row>
    <row r="15216" ht="15.75" customHeight="1" spans="1:2">
      <c r="A15216" s="3" t="str">
        <f>IFERROR(__xludf.DUMMYFUNCTION("GOOGLETRANSLATE(A15216,""en"",""pt"")"),"perversidade")</f>
        <v>perversidade</v>
      </c>
      <c r="B15216" s="3">
        <v>0</v>
      </c>
    </row>
    <row r="15217" ht="15.75" customHeight="1" spans="1:2">
      <c r="A15217" s="3" t="str">
        <f>IFERROR(__xludf.DUMMYFUNCTION("GOOGLETRANSLATE(A15217,""en"",""pt"")"),"perverter")</f>
        <v>perverter</v>
      </c>
      <c r="B15217" s="3">
        <v>0</v>
      </c>
    </row>
    <row r="15218" ht="15.75" customHeight="1" spans="1:2">
      <c r="A15218" s="3" t="str">
        <f>IFERROR(__xludf.DUMMYFUNCTION("GOOGLETRANSLATE(A15218,""en"",""pt"")"),"pervertido")</f>
        <v>pervertido</v>
      </c>
      <c r="B15218" s="3">
        <v>0</v>
      </c>
    </row>
    <row r="15219" ht="15.75" customHeight="1" spans="1:2">
      <c r="A15219" s="3" t="str">
        <f>IFERROR(__xludf.DUMMYFUNCTION("GOOGLETRANSLATE(A15219,""en"",""pt"")"),"pervertidos")</f>
        <v>pervertidos</v>
      </c>
      <c r="B15219" s="3">
        <v>0</v>
      </c>
    </row>
    <row r="15220" ht="15.75" customHeight="1" spans="1:2">
      <c r="A15220" s="3" t="str">
        <f>IFERROR(__xludf.DUMMYFUNCTION("GOOGLETRANSLATE(A15220,""en"",""pt"")"),"pessimismo")</f>
        <v>pessimismo</v>
      </c>
      <c r="B15220" s="3">
        <v>0</v>
      </c>
    </row>
    <row r="15221" ht="15.75" customHeight="1" spans="1:2">
      <c r="A15221" s="3" t="str">
        <f>IFERROR(__xludf.DUMMYFUNCTION("GOOGLETRANSLATE(A15221,""en"",""pt"")"),"pessimista")</f>
        <v>pessimista</v>
      </c>
      <c r="B15221" s="3">
        <v>0</v>
      </c>
    </row>
    <row r="15222" ht="15.75" customHeight="1" spans="1:2">
      <c r="A15222" s="3" t="str">
        <f>IFERROR(__xludf.DUMMYFUNCTION("GOOGLETRANSLATE(A15222,""en"",""pt"")"),"pessimistically")</f>
        <v>pessimistically</v>
      </c>
      <c r="B15222" s="3">
        <v>0</v>
      </c>
    </row>
    <row r="15223" ht="15.75" customHeight="1" spans="1:2">
      <c r="A15223" s="3" t="str">
        <f>IFERROR(__xludf.DUMMYFUNCTION("GOOGLETRANSLATE(A15223,""en"",""pt"")"),"praga")</f>
        <v>praga</v>
      </c>
      <c r="B15223" s="3">
        <v>0</v>
      </c>
    </row>
    <row r="15224" ht="15.75" customHeight="1" spans="1:2">
      <c r="A15224" s="3" t="str">
        <f>IFERROR(__xludf.DUMMYFUNCTION("GOOGLETRANSLATE(A15224,""en"",""pt"")"),"pestilento")</f>
        <v>pestilento</v>
      </c>
      <c r="B15224" s="3">
        <v>0</v>
      </c>
    </row>
    <row r="15225" ht="15.75" customHeight="1" spans="1:2">
      <c r="A15225" s="3" t="str">
        <f>IFERROR(__xludf.DUMMYFUNCTION("GOOGLETRANSLATE(A15225,""en"",""pt"")"),"petrificado")</f>
        <v>petrificado</v>
      </c>
      <c r="B15225" s="3">
        <v>0</v>
      </c>
    </row>
    <row r="15226" ht="15.75" customHeight="1" spans="1:2">
      <c r="A15226" s="3" t="str">
        <f>IFERROR(__xludf.DUMMYFUNCTION("GOOGLETRANSLATE(A15226,""en"",""pt"")"),"petrificar")</f>
        <v>petrificar</v>
      </c>
      <c r="B15226" s="3">
        <v>0</v>
      </c>
    </row>
    <row r="15227" ht="15.75" customHeight="1" spans="1:2">
      <c r="A15227" s="3" t="str">
        <f>IFERROR(__xludf.DUMMYFUNCTION("GOOGLETRANSLATE(A15227,""en"",""pt"")"),"chicanar")</f>
        <v>chicanar</v>
      </c>
      <c r="B15227" s="3">
        <v>0</v>
      </c>
    </row>
    <row r="15228" ht="15.75" customHeight="1" spans="1:2">
      <c r="A15228" s="3" t="str">
        <f>IFERROR(__xludf.DUMMYFUNCTION("GOOGLETRANSLATE(A15228,""en"",""pt"")"),"mesquinho")</f>
        <v>mesquinho</v>
      </c>
      <c r="B15228" s="3">
        <v>0</v>
      </c>
    </row>
    <row r="15229" ht="15.75" customHeight="1" spans="1:2">
      <c r="A15229" s="3" t="str">
        <f>IFERROR(__xludf.DUMMYFUNCTION("GOOGLETRANSLATE(A15229,""en"",""pt"")"),"fobia")</f>
        <v>fobia</v>
      </c>
      <c r="B15229" s="3">
        <v>0</v>
      </c>
    </row>
    <row r="15230" ht="15.75" customHeight="1" spans="1:2">
      <c r="A15230" s="3" t="str">
        <f>IFERROR(__xludf.DUMMYFUNCTION("GOOGLETRANSLATE(A15230,""en"",""pt"")"),"fóbica")</f>
        <v>fóbica</v>
      </c>
      <c r="B15230" s="3">
        <v>0</v>
      </c>
    </row>
    <row r="15231" ht="15.75" customHeight="1" spans="1:2">
      <c r="A15231" s="3" t="str">
        <f>IFERROR(__xludf.DUMMYFUNCTION("GOOGLETRANSLATE(A15231,""en"",""pt"")"),"falso")</f>
        <v>falso</v>
      </c>
      <c r="B15231" s="3">
        <v>0</v>
      </c>
    </row>
    <row r="15232" ht="15.75" customHeight="1" spans="1:2">
      <c r="A15232" s="3" t="str">
        <f>IFERROR(__xludf.DUMMYFUNCTION("GOOGLETRANSLATE(A15232,""en"",""pt"")"),"piquete")</f>
        <v>piquete</v>
      </c>
      <c r="B15232" s="3">
        <v>0</v>
      </c>
    </row>
    <row r="15233" ht="15.75" customHeight="1" spans="1:2">
      <c r="A15233" s="3" t="str">
        <f>IFERROR(__xludf.DUMMYFUNCTION("GOOGLETRANSLATE(A15233,""en"",""pt"")"),"picketed")</f>
        <v>picketed</v>
      </c>
      <c r="B15233" s="3">
        <v>0</v>
      </c>
    </row>
    <row r="15234" ht="15.75" customHeight="1" spans="1:2">
      <c r="A15234" s="3" t="str">
        <f>IFERROR(__xludf.DUMMYFUNCTION("GOOGLETRANSLATE(A15234,""en"",""pt"")"),"piquetes")</f>
        <v>piquetes</v>
      </c>
      <c r="B15234" s="3">
        <v>0</v>
      </c>
    </row>
    <row r="15235" ht="15.75" customHeight="1" spans="1:2">
      <c r="A15235" s="3" t="str">
        <f>IFERROR(__xludf.DUMMYFUNCTION("GOOGLETRANSLATE(A15235,""en"",""pt"")"),"piquetes")</f>
        <v>piquetes</v>
      </c>
      <c r="B15235" s="3">
        <v>0</v>
      </c>
    </row>
    <row r="15236" ht="15.75" customHeight="1" spans="1:2">
      <c r="A15236" s="3" t="str">
        <f>IFERROR(__xludf.DUMMYFUNCTION("GOOGLETRANSLATE(A15236,""en"",""pt"")"),"exigente")</f>
        <v>exigente</v>
      </c>
      <c r="B15236" s="3">
        <v>0</v>
      </c>
    </row>
    <row r="15237" ht="15.75" customHeight="1" spans="1:2">
      <c r="A15237" s="3" t="str">
        <f>IFERROR(__xludf.DUMMYFUNCTION("GOOGLETRANSLATE(A15237,""en"",""pt"")"),"porco")</f>
        <v>porco</v>
      </c>
      <c r="B15237" s="3">
        <v>0</v>
      </c>
    </row>
    <row r="15238" ht="15.75" customHeight="1" spans="1:2">
      <c r="A15238" s="3" t="str">
        <f>IFERROR(__xludf.DUMMYFUNCTION("GOOGLETRANSLATE(A15238,""en"",""pt"")"),"porcos")</f>
        <v>porcos</v>
      </c>
      <c r="B15238" s="3">
        <v>0</v>
      </c>
    </row>
    <row r="15239" ht="15.75" customHeight="1" spans="1:2">
      <c r="A15239" s="3" t="str">
        <f>IFERROR(__xludf.DUMMYFUNCTION("GOOGLETRANSLATE(A15239,""en"",""pt"")"),"pilhagem")</f>
        <v>pilhagem</v>
      </c>
      <c r="B15239" s="3">
        <v>0</v>
      </c>
    </row>
    <row r="15240" ht="15.75" customHeight="1" spans="1:2">
      <c r="A15240" s="3" t="str">
        <f>IFERROR(__xludf.DUMMYFUNCTION("GOOGLETRANSLATE(A15240,""en"",""pt"")"),"pelourinho")</f>
        <v>pelourinho</v>
      </c>
      <c r="B15240" s="3">
        <v>0</v>
      </c>
    </row>
    <row r="15241" ht="15.75" customHeight="1" spans="1:2">
      <c r="A15241" s="3" t="str">
        <f>IFERROR(__xludf.DUMMYFUNCTION("GOOGLETRANSLATE(A15241,""en"",""pt"")"),"espinha")</f>
        <v>espinha</v>
      </c>
      <c r="B15241" s="3">
        <v>0</v>
      </c>
    </row>
    <row r="15242" ht="15.75" customHeight="1" spans="1:2">
      <c r="A15242" s="3" t="str">
        <f>IFERROR(__xludf.DUMMYFUNCTION("GOOGLETRANSLATE(A15242,""en"",""pt"")"),"pitada")</f>
        <v>pitada</v>
      </c>
      <c r="B15242" s="3">
        <v>0</v>
      </c>
    </row>
    <row r="15243" ht="15.75" customHeight="1" spans="1:2">
      <c r="A15243" s="3" t="str">
        <f>IFERROR(__xludf.DUMMYFUNCTION("GOOGLETRANSLATE(A15243,""en"",""pt"")"),"melindre")</f>
        <v>melindre</v>
      </c>
      <c r="B15243" s="3">
        <v>0</v>
      </c>
    </row>
    <row r="15244" ht="15.75" customHeight="1" spans="1:2">
      <c r="A15244" s="3" t="str">
        <f>IFERROR(__xludf.DUMMYFUNCTION("GOOGLETRANSLATE(A15244,""en"",""pt"")"),"lamentável")</f>
        <v>lamentável</v>
      </c>
      <c r="B15244" s="3">
        <v>0</v>
      </c>
    </row>
    <row r="15245" ht="15.75" customHeight="1" spans="1:2">
      <c r="A15245" s="3" t="str">
        <f>IFERROR(__xludf.DUMMYFUNCTION("GOOGLETRANSLATE(A15245,""en"",""pt"")"),"lamentável")</f>
        <v>lamentável</v>
      </c>
      <c r="B15245" s="3">
        <v>0</v>
      </c>
    </row>
    <row r="15246" ht="15.75" customHeight="1" spans="1:2">
      <c r="A15246" s="3" t="str">
        <f>IFERROR(__xludf.DUMMYFUNCTION("GOOGLETRANSLATE(A15246,""en"",""pt"")"),"lamentavelmente")</f>
        <v>lamentavelmente</v>
      </c>
      <c r="B15246" s="3">
        <v>0</v>
      </c>
    </row>
    <row r="15247" ht="15.75" customHeight="1" spans="1:2">
      <c r="A15247" s="3" t="str">
        <f>IFERROR(__xludf.DUMMYFUNCTION("GOOGLETRANSLATE(A15247,""en"",""pt"")"),"impiedoso")</f>
        <v>impiedoso</v>
      </c>
      <c r="B15247" s="3">
        <v>0</v>
      </c>
    </row>
    <row r="15248" ht="15.75" customHeight="1" spans="1:2">
      <c r="A15248" s="3" t="str">
        <f>IFERROR(__xludf.DUMMYFUNCTION("GOOGLETRANSLATE(A15248,""en"",""pt"")"),"impiedosamente")</f>
        <v>impiedosamente</v>
      </c>
      <c r="B15248" s="3">
        <v>0</v>
      </c>
    </row>
    <row r="15249" ht="15.75" customHeight="1" spans="1:2">
      <c r="A15249" s="3" t="str">
        <f>IFERROR(__xludf.DUMMYFUNCTION("GOOGLETRANSLATE(A15249,""en"",""pt"")"),"insignificância")</f>
        <v>insignificância</v>
      </c>
      <c r="B15249" s="3">
        <v>0</v>
      </c>
    </row>
    <row r="15250" ht="15.75" customHeight="1" spans="1:2">
      <c r="A15250" s="3" t="str">
        <f>IFERROR(__xludf.DUMMYFUNCTION("GOOGLETRANSLATE(A15250,""en"",""pt"")"),"pena")</f>
        <v>pena</v>
      </c>
      <c r="B15250" s="3">
        <v>0</v>
      </c>
    </row>
    <row r="15251" ht="15.75" customHeight="1" spans="1:2">
      <c r="A15251" s="3" t="str">
        <f>IFERROR(__xludf.DUMMYFUNCTION("GOOGLETRANSLATE(A15251,""en"",""pt"")"),"plagiar")</f>
        <v>plagiar</v>
      </c>
      <c r="B15251" s="3">
        <v>0</v>
      </c>
    </row>
    <row r="15252" ht="15.75" customHeight="1" spans="1:2">
      <c r="A15252" s="3" t="str">
        <f>IFERROR(__xludf.DUMMYFUNCTION("GOOGLETRANSLATE(A15252,""en"",""pt"")"),"praga")</f>
        <v>praga</v>
      </c>
      <c r="B15252" s="3">
        <v>0</v>
      </c>
    </row>
    <row r="15253" ht="15.75" customHeight="1" spans="1:2">
      <c r="A15253" s="3" t="str">
        <f>IFERROR(__xludf.DUMMYFUNCTION("GOOGLETRANSLATE(A15253,""en"",""pt"")"),"plasticky")</f>
        <v>plasticky</v>
      </c>
      <c r="B15253" s="3">
        <v>0</v>
      </c>
    </row>
    <row r="15254" ht="15.75" customHeight="1" spans="1:2">
      <c r="A15254" s="3" t="str">
        <f>IFERROR(__xludf.DUMMYFUNCTION("GOOGLETRANSLATE(A15254,""en"",""pt"")"),"brinquedo")</f>
        <v>brinquedo</v>
      </c>
      <c r="B15254" s="3">
        <v>0</v>
      </c>
    </row>
    <row r="15255" ht="15.75" customHeight="1" spans="1:2">
      <c r="A15255" s="3" t="str">
        <f>IFERROR(__xludf.DUMMYFUNCTION("GOOGLETRANSLATE(A15255,""en"",""pt"")"),"apelo")</f>
        <v>apelo</v>
      </c>
      <c r="B15255" s="3">
        <v>0</v>
      </c>
    </row>
    <row r="15256" ht="15.75" customHeight="1" spans="1:2">
      <c r="A15256" s="3" t="str">
        <f>IFERROR(__xludf.DUMMYFUNCTION("GOOGLETRANSLATE(A15256,""en"",""pt"")"),"súplicas")</f>
        <v>súplicas</v>
      </c>
      <c r="B15256" s="3">
        <v>0</v>
      </c>
    </row>
    <row r="15257" ht="15.75" customHeight="1" spans="1:2">
      <c r="A15257" s="3" t="str">
        <f>IFERROR(__xludf.DUMMYFUNCTION("GOOGLETRANSLATE(A15257,""en"",""pt"")"),"plebeu")</f>
        <v>plebeu</v>
      </c>
      <c r="B15257" s="3">
        <v>0</v>
      </c>
    </row>
    <row r="15258" ht="15.75" customHeight="1" spans="1:2">
      <c r="A15258" s="3" t="str">
        <f>IFERROR(__xludf.DUMMYFUNCTION("GOOGLETRANSLATE(A15258,""en"",""pt"")"),"apuro")</f>
        <v>apuro</v>
      </c>
      <c r="B15258" s="3">
        <v>0</v>
      </c>
    </row>
    <row r="15259" ht="15.75" customHeight="1" spans="1:2">
      <c r="A15259" s="3" t="str">
        <f>IFERROR(__xludf.DUMMYFUNCTION("GOOGLETRANSLATE(A15259,""en"",""pt"")"),"enredo")</f>
        <v>enredo</v>
      </c>
      <c r="B15259" s="3">
        <v>0</v>
      </c>
    </row>
    <row r="15260" ht="15.75" customHeight="1" spans="1:2">
      <c r="A15260" s="3" t="str">
        <f>IFERROR(__xludf.DUMMYFUNCTION("GOOGLETRANSLATE(A15260,""en"",""pt"")"),"plotters")</f>
        <v>plotters</v>
      </c>
      <c r="B15260" s="3">
        <v>0</v>
      </c>
    </row>
    <row r="15261" ht="15.75" customHeight="1" spans="1:2">
      <c r="A15261" s="3" t="str">
        <f>IFERROR(__xludf.DUMMYFUNCTION("GOOGLETRANSLATE(A15261,""en"",""pt"")"),"estratagema")</f>
        <v>estratagema</v>
      </c>
      <c r="B15261" s="3">
        <v>0</v>
      </c>
    </row>
    <row r="15262" ht="15.75" customHeight="1" spans="1:2">
      <c r="A15262" s="3" t="str">
        <f>IFERROR(__xludf.DUMMYFUNCTION("GOOGLETRANSLATE(A15262,""en"",""pt"")"),"pilhagem")</f>
        <v>pilhagem</v>
      </c>
      <c r="B15262" s="3">
        <v>0</v>
      </c>
    </row>
    <row r="15263" ht="15.75" customHeight="1" spans="1:2">
      <c r="A15263" s="3" t="str">
        <f>IFERROR(__xludf.DUMMYFUNCTION("GOOGLETRANSLATE(A15263,""en"",""pt"")"),"saqueador")</f>
        <v>saqueador</v>
      </c>
      <c r="B15263" s="3">
        <v>0</v>
      </c>
    </row>
    <row r="15264" ht="15.75" customHeight="1" spans="1:2">
      <c r="A15264" s="3" t="str">
        <f>IFERROR(__xludf.DUMMYFUNCTION("GOOGLETRANSLATE(A15264,""en"",""pt"")"),"sem sentido")</f>
        <v>sem sentido</v>
      </c>
      <c r="B15264" s="3">
        <v>0</v>
      </c>
    </row>
    <row r="15265" ht="15.75" customHeight="1" spans="1:2">
      <c r="A15265" s="3" t="str">
        <f>IFERROR(__xludf.DUMMYFUNCTION("GOOGLETRANSLATE(A15265,""en"",""pt"")"),"inutilmente")</f>
        <v>inutilmente</v>
      </c>
      <c r="B15265" s="3">
        <v>0</v>
      </c>
    </row>
    <row r="15266" ht="15.75" customHeight="1" spans="1:2">
      <c r="A15266" s="3" t="str">
        <f>IFERROR(__xludf.DUMMYFUNCTION("GOOGLETRANSLATE(A15266,""en"",""pt"")"),"Poção")</f>
        <v>Poção</v>
      </c>
      <c r="B15266" s="3">
        <v>0</v>
      </c>
    </row>
    <row r="15267" ht="15.75" customHeight="1" spans="1:2">
      <c r="A15267" s="3" t="str">
        <f>IFERROR(__xludf.DUMMYFUNCTION("GOOGLETRANSLATE(A15267,""en"",""pt"")"),"venenoso")</f>
        <v>venenoso</v>
      </c>
      <c r="B15267" s="3">
        <v>0</v>
      </c>
    </row>
    <row r="15268" ht="15.75" customHeight="1" spans="1:2">
      <c r="A15268" s="3" t="str">
        <f>IFERROR(__xludf.DUMMYFUNCTION("GOOGLETRANSLATE(A15268,""en"",""pt"")"),"venenosamente")</f>
        <v>venenosamente</v>
      </c>
      <c r="B15268" s="3">
        <v>0</v>
      </c>
    </row>
    <row r="15269" ht="15.75" customHeight="1" spans="1:2">
      <c r="A15269" s="3" t="str">
        <f>IFERROR(__xludf.DUMMYFUNCTION("GOOGLETRANSLATE(A15269,""en"",""pt"")"),"limitado")</f>
        <v>limitado</v>
      </c>
      <c r="B15269" s="3">
        <v>0</v>
      </c>
    </row>
    <row r="15270" ht="15.75" customHeight="1" spans="1:2">
      <c r="A15270" s="3" t="str">
        <f>IFERROR(__xludf.DUMMYFUNCTION("GOOGLETRANSLATE(A15270,""en"",""pt"")"),"pequeno")</f>
        <v>pequeno</v>
      </c>
      <c r="B15270" s="3">
        <v>0</v>
      </c>
    </row>
    <row r="15271" ht="15.75" customHeight="1" spans="1:2">
      <c r="A15271" s="3" t="str">
        <f>IFERROR(__xludf.DUMMYFUNCTION("GOOGLETRANSLATE(A15271,""en"",""pt"")"),"polarização")</f>
        <v>polarização</v>
      </c>
      <c r="B15271" s="3">
        <v>0</v>
      </c>
    </row>
    <row r="15272" ht="15.75" customHeight="1" spans="1:2">
      <c r="A15272" s="3" t="str">
        <f>IFERROR(__xludf.DUMMYFUNCTION("GOOGLETRANSLATE(A15272,""en"",""pt"")"),"polemizar")</f>
        <v>polemizar</v>
      </c>
      <c r="B15272" s="3">
        <v>0</v>
      </c>
    </row>
    <row r="15273" ht="15.75" customHeight="1" spans="1:2">
      <c r="A15273" s="3" t="str">
        <f>IFERROR(__xludf.DUMMYFUNCTION("GOOGLETRANSLATE(A15273,""en"",""pt"")"),"poluir")</f>
        <v>poluir</v>
      </c>
      <c r="B15273" s="3">
        <v>0</v>
      </c>
    </row>
    <row r="15274" ht="15.75" customHeight="1" spans="1:2">
      <c r="A15274" s="3" t="str">
        <f>IFERROR(__xludf.DUMMYFUNCTION("GOOGLETRANSLATE(A15274,""en"",""pt"")"),"poluidor")</f>
        <v>poluidor</v>
      </c>
      <c r="B15274" s="3">
        <v>0</v>
      </c>
    </row>
    <row r="15275" ht="15.75" customHeight="1" spans="1:2">
      <c r="A15275" s="3" t="str">
        <f>IFERROR(__xludf.DUMMYFUNCTION("GOOGLETRANSLATE(A15275,""en"",""pt"")"),"poluidores")</f>
        <v>poluidores</v>
      </c>
      <c r="B15275" s="3">
        <v>0</v>
      </c>
    </row>
    <row r="15276" ht="15.75" customHeight="1" spans="1:2">
      <c r="A15276" s="3" t="str">
        <f>IFERROR(__xludf.DUMMYFUNCTION("GOOGLETRANSLATE(A15276,""en"",""pt"")"),"poluição")</f>
        <v>poluição</v>
      </c>
      <c r="B15276" s="3">
        <v>0</v>
      </c>
    </row>
    <row r="15277" ht="15.75" customHeight="1" spans="1:2">
      <c r="A15277" s="3" t="str">
        <f>IFERROR(__xludf.DUMMYFUNCTION("GOOGLETRANSLATE(A15277,""en"",""pt"")"),"pomposo")</f>
        <v>pomposo</v>
      </c>
      <c r="B15277" s="3">
        <v>0</v>
      </c>
    </row>
    <row r="15278" ht="15.75" customHeight="1" spans="1:2">
      <c r="A15278" s="3" t="str">
        <f>IFERROR(__xludf.DUMMYFUNCTION("GOOGLETRANSLATE(A15278,""en"",""pt"")"),"pobre")</f>
        <v>pobre</v>
      </c>
      <c r="B15278" s="3">
        <v>0</v>
      </c>
    </row>
    <row r="15279" ht="15.75" customHeight="1" spans="1:2">
      <c r="A15279" s="3" t="str">
        <f>IFERROR(__xludf.DUMMYFUNCTION("GOOGLETRANSLATE(A15279,""en"",""pt"")"),"mais pobres")</f>
        <v>mais pobres</v>
      </c>
      <c r="B15279" s="3">
        <v>0</v>
      </c>
    </row>
    <row r="15280" ht="15.75" customHeight="1" spans="1:2">
      <c r="A15280" s="3" t="str">
        <f>IFERROR(__xludf.DUMMYFUNCTION("GOOGLETRANSLATE(A15280,""en"",""pt"")"),"mais pobres")</f>
        <v>mais pobres</v>
      </c>
      <c r="B15280" s="3">
        <v>0</v>
      </c>
    </row>
    <row r="15281" ht="15.75" customHeight="1" spans="1:2">
      <c r="A15281" s="3" t="str">
        <f>IFERROR(__xludf.DUMMYFUNCTION("GOOGLETRANSLATE(A15281,""en"",""pt"")"),"mal")</f>
        <v>mal</v>
      </c>
      <c r="B15281" s="3">
        <v>0</v>
      </c>
    </row>
    <row r="15282" ht="15.75" customHeight="1" spans="1:2">
      <c r="A15282" s="3" t="str">
        <f>IFERROR(__xludf.DUMMYFUNCTION("GOOGLETRANSLATE(A15282,""en"",""pt"")"),"postura")</f>
        <v>postura</v>
      </c>
      <c r="B15282" s="3">
        <v>0</v>
      </c>
    </row>
    <row r="15283" ht="15.75" customHeight="1" spans="1:2">
      <c r="A15283" s="3" t="str">
        <f>IFERROR(__xludf.DUMMYFUNCTION("GOOGLETRANSLATE(A15283,""en"",""pt"")"),"beicinho")</f>
        <v>beicinho</v>
      </c>
      <c r="B15283" s="3">
        <v>0</v>
      </c>
    </row>
    <row r="15284" ht="15.75" customHeight="1" spans="1:2">
      <c r="A15284" s="3" t="str">
        <f>IFERROR(__xludf.DUMMYFUNCTION("GOOGLETRANSLATE(A15284,""en"",""pt"")"),"pobreza")</f>
        <v>pobreza</v>
      </c>
      <c r="B15284" s="3">
        <v>0</v>
      </c>
    </row>
    <row r="15285" ht="15.75" customHeight="1" spans="1:2">
      <c r="A15285" s="3" t="str">
        <f>IFERROR(__xludf.DUMMYFUNCTION("GOOGLETRANSLATE(A15285,""en"",""pt"")"),"impotente")</f>
        <v>impotente</v>
      </c>
      <c r="B15285" s="3">
        <v>0</v>
      </c>
    </row>
    <row r="15286" ht="15.75" customHeight="1" spans="1:2">
      <c r="A15286" s="3" t="str">
        <f>IFERROR(__xludf.DUMMYFUNCTION("GOOGLETRANSLATE(A15286,""en"",""pt"")"),"tagarelice")</f>
        <v>tagarelice</v>
      </c>
      <c r="B15286" s="3">
        <v>0</v>
      </c>
    </row>
    <row r="15287" ht="15.75" customHeight="1" spans="1:2">
      <c r="A15287" s="3" t="str">
        <f>IFERROR(__xludf.DUMMYFUNCTION("GOOGLETRANSLATE(A15287,""en"",""pt"")"),"pratfall")</f>
        <v>pratfall</v>
      </c>
      <c r="B15287" s="3">
        <v>0</v>
      </c>
    </row>
    <row r="15288" ht="15.75" customHeight="1" spans="1:2">
      <c r="A15288" s="3" t="str">
        <f>IFERROR(__xludf.DUMMYFUNCTION("GOOGLETRANSLATE(A15288,""en"",""pt"")"),"cavaqueira")</f>
        <v>cavaqueira</v>
      </c>
      <c r="B15288" s="3">
        <v>0</v>
      </c>
    </row>
    <row r="15289" ht="15.75" customHeight="1" spans="1:2">
      <c r="A15289" s="3" t="str">
        <f>IFERROR(__xludf.DUMMYFUNCTION("GOOGLETRANSLATE(A15289,""en"",""pt"")"),"precário")</f>
        <v>precário</v>
      </c>
      <c r="B15289" s="3">
        <v>0</v>
      </c>
    </row>
    <row r="15290" ht="15.75" customHeight="1" spans="1:2">
      <c r="A15290" s="3" t="str">
        <f>IFERROR(__xludf.DUMMYFUNCTION("GOOGLETRANSLATE(A15290,""en"",""pt"")"),"precariamente")</f>
        <v>precariamente</v>
      </c>
      <c r="B15290" s="3">
        <v>0</v>
      </c>
    </row>
    <row r="15291" ht="15.75" customHeight="1" spans="1:2">
      <c r="A15291" s="3" t="str">
        <f>IFERROR(__xludf.DUMMYFUNCTION("GOOGLETRANSLATE(A15291,""en"",""pt"")"),"precipitado")</f>
        <v>precipitado</v>
      </c>
      <c r="B15291" s="3">
        <v>0</v>
      </c>
    </row>
    <row r="15292" ht="15.75" customHeight="1" spans="1:2">
      <c r="A15292" s="3" t="str">
        <f>IFERROR(__xludf.DUMMYFUNCTION("GOOGLETRANSLATE(A15292,""en"",""pt"")"),"íngreme")</f>
        <v>íngreme</v>
      </c>
      <c r="B15292" s="3">
        <v>0</v>
      </c>
    </row>
    <row r="15293" ht="15.75" customHeight="1" spans="1:2">
      <c r="A15293" s="3" t="str">
        <f>IFERROR(__xludf.DUMMYFUNCTION("GOOGLETRANSLATE(A15293,""en"",""pt"")"),"predatório")</f>
        <v>predatório</v>
      </c>
      <c r="B15293" s="3">
        <v>0</v>
      </c>
    </row>
    <row r="15294" ht="15.75" customHeight="1" spans="1:2">
      <c r="A15294" s="3" t="str">
        <f>IFERROR(__xludf.DUMMYFUNCTION("GOOGLETRANSLATE(A15294,""en"",""pt"")"),"dilema")</f>
        <v>dilema</v>
      </c>
      <c r="B15294" s="3">
        <v>0</v>
      </c>
    </row>
    <row r="15295" ht="15.75" customHeight="1" spans="1:2">
      <c r="A15295" s="3" t="str">
        <f>IFERROR(__xludf.DUMMYFUNCTION("GOOGLETRANSLATE(A15295,""en"",""pt"")"),"Prejulgue")</f>
        <v>Prejulgue</v>
      </c>
      <c r="B15295" s="3">
        <v>0</v>
      </c>
    </row>
    <row r="15296" ht="15.75" customHeight="1" spans="1:2">
      <c r="A15296" s="3" t="str">
        <f>IFERROR(__xludf.DUMMYFUNCTION("GOOGLETRANSLATE(A15296,""en"",""pt"")"),"preconceito")</f>
        <v>preconceito</v>
      </c>
      <c r="B15296" s="3">
        <v>0</v>
      </c>
    </row>
    <row r="15297" ht="15.75" customHeight="1" spans="1:2">
      <c r="A15297" s="3" t="str">
        <f>IFERROR(__xludf.DUMMYFUNCTION("GOOGLETRANSLATE(A15297,""en"",""pt"")"),"preconceitos")</f>
        <v>preconceitos</v>
      </c>
      <c r="B15297" s="3">
        <v>0</v>
      </c>
    </row>
    <row r="15298" ht="15.75" customHeight="1" spans="1:2">
      <c r="A15298" s="3" t="str">
        <f>IFERROR(__xludf.DUMMYFUNCTION("GOOGLETRANSLATE(A15298,""en"",""pt"")"),"prejudicial")</f>
        <v>prejudicial</v>
      </c>
      <c r="B15298" s="3">
        <v>0</v>
      </c>
    </row>
    <row r="15299" ht="15.75" customHeight="1" spans="1:2">
      <c r="A15299" s="3" t="str">
        <f>IFERROR(__xludf.DUMMYFUNCTION("GOOGLETRANSLATE(A15299,""en"",""pt"")"),"premeditado")</f>
        <v>premeditado</v>
      </c>
      <c r="B15299" s="3">
        <v>0</v>
      </c>
    </row>
    <row r="15300" ht="15.75" customHeight="1" spans="1:2">
      <c r="A15300" s="3" t="str">
        <f>IFERROR(__xludf.DUMMYFUNCTION("GOOGLETRANSLATE(A15300,""en"",""pt"")"),"preocupar")</f>
        <v>preocupar</v>
      </c>
      <c r="B15300" s="3">
        <v>0</v>
      </c>
    </row>
    <row r="15301" ht="15.75" customHeight="1" spans="1:2">
      <c r="A15301" s="3" t="str">
        <f>IFERROR(__xludf.DUMMYFUNCTION("GOOGLETRANSLATE(A15301,""en"",""pt"")"),"absurdo")</f>
        <v>absurdo</v>
      </c>
      <c r="B15301" s="3">
        <v>0</v>
      </c>
    </row>
    <row r="15302" ht="15.75" customHeight="1" spans="1:2">
      <c r="A15302" s="3" t="str">
        <f>IFERROR(__xludf.DUMMYFUNCTION("GOOGLETRANSLATE(A15302,""en"",""pt"")"),"preposterously")</f>
        <v>preposterously</v>
      </c>
      <c r="B15302" s="3">
        <v>0</v>
      </c>
    </row>
    <row r="15303" ht="15.75" customHeight="1" spans="1:2">
      <c r="A15303" s="3" t="str">
        <f>IFERROR(__xludf.DUMMYFUNCTION("GOOGLETRANSLATE(A15303,""en"",""pt"")"),"presunçoso")</f>
        <v>presunçoso</v>
      </c>
      <c r="B15303" s="3">
        <v>0</v>
      </c>
    </row>
    <row r="15304" ht="15.75" customHeight="1" spans="1:2">
      <c r="A15304" s="3" t="str">
        <f>IFERROR(__xludf.DUMMYFUNCTION("GOOGLETRANSLATE(A15304,""en"",""pt"")"),"presunçosamente")</f>
        <v>presunçosamente</v>
      </c>
      <c r="B15304" s="3">
        <v>0</v>
      </c>
    </row>
    <row r="15305" ht="15.75" customHeight="1" spans="1:2">
      <c r="A15305" s="3" t="str">
        <f>IFERROR(__xludf.DUMMYFUNCTION("GOOGLETRANSLATE(A15305,""en"",""pt"")"),"pretensão")</f>
        <v>pretensão</v>
      </c>
      <c r="B15305" s="3">
        <v>0</v>
      </c>
    </row>
    <row r="15306" ht="15.75" customHeight="1" spans="1:2">
      <c r="A15306" s="3" t="str">
        <f>IFERROR(__xludf.DUMMYFUNCTION("GOOGLETRANSLATE(A15306,""en"",""pt"")"),"faz de conta")</f>
        <v>faz de conta</v>
      </c>
      <c r="B15306" s="3">
        <v>0</v>
      </c>
    </row>
    <row r="15307" ht="15.75" customHeight="1" spans="1:2">
      <c r="A15307" s="3" t="str">
        <f>IFERROR(__xludf.DUMMYFUNCTION("GOOGLETRANSLATE(A15307,""en"",""pt"")"),"pretensão")</f>
        <v>pretensão</v>
      </c>
      <c r="B15307" s="3">
        <v>0</v>
      </c>
    </row>
    <row r="15308" ht="15.75" customHeight="1" spans="1:2">
      <c r="A15308" s="3" t="str">
        <f>IFERROR(__xludf.DUMMYFUNCTION("GOOGLETRANSLATE(A15308,""en"",""pt"")"),"pretensioso")</f>
        <v>pretensioso</v>
      </c>
      <c r="B15308" s="3">
        <v>0</v>
      </c>
    </row>
    <row r="15309" ht="15.75" customHeight="1" spans="1:2">
      <c r="A15309" s="3" t="str">
        <f>IFERROR(__xludf.DUMMYFUNCTION("GOOGLETRANSLATE(A15309,""en"",""pt"")"),"pretensiosamente")</f>
        <v>pretensiosamente</v>
      </c>
      <c r="B15309" s="3">
        <v>0</v>
      </c>
    </row>
    <row r="15310" ht="15.75" customHeight="1" spans="1:2">
      <c r="A15310" s="3" t="str">
        <f>IFERROR(__xludf.DUMMYFUNCTION("GOOGLETRANSLATE(A15310,""en"",""pt"")"),"prevaricar")</f>
        <v>prevaricar</v>
      </c>
      <c r="B15310" s="3">
        <v>0</v>
      </c>
    </row>
    <row r="15311" ht="15.75" customHeight="1" spans="1:2">
      <c r="A15311" s="3" t="str">
        <f>IFERROR(__xludf.DUMMYFUNCTION("GOOGLETRANSLATE(A15311,""en"",""pt"")"),"caro")</f>
        <v>caro</v>
      </c>
      <c r="B15311" s="3">
        <v>0</v>
      </c>
    </row>
    <row r="15312" ht="15.75" customHeight="1" spans="1:2">
      <c r="A15312" s="3" t="str">
        <f>IFERROR(__xludf.DUMMYFUNCTION("GOOGLETRANSLATE(A15312,""en"",""pt"")"),"mais caros")</f>
        <v>mais caros</v>
      </c>
      <c r="B15312" s="3">
        <v>0</v>
      </c>
    </row>
    <row r="15313" ht="15.75" customHeight="1" spans="1:2">
      <c r="A15313" s="3" t="str">
        <f>IFERROR(__xludf.DUMMYFUNCTION("GOOGLETRANSLATE(A15313,""en"",""pt"")"),"picada")</f>
        <v>picada</v>
      </c>
      <c r="B15313" s="3">
        <v>0</v>
      </c>
    </row>
    <row r="15314" ht="15.75" customHeight="1" spans="1:2">
      <c r="A15314" s="3" t="str">
        <f>IFERROR(__xludf.DUMMYFUNCTION("GOOGLETRANSLATE(A15314,""en"",""pt"")"),"formigar")</f>
        <v>formigar</v>
      </c>
      <c r="B15314" s="3">
        <v>0</v>
      </c>
    </row>
    <row r="15315" ht="15.75" customHeight="1" spans="1:2">
      <c r="A15315" s="3" t="str">
        <f>IFERROR(__xludf.DUMMYFUNCTION("GOOGLETRANSLATE(A15315,""en"",""pt"")"),"espinhos")</f>
        <v>espinhos</v>
      </c>
      <c r="B15315" s="3">
        <v>0</v>
      </c>
    </row>
    <row r="15316" ht="15.75" customHeight="1" spans="1:2">
      <c r="A15316" s="3" t="str">
        <f>IFERROR(__xludf.DUMMYFUNCTION("GOOGLETRANSLATE(A15316,""en"",""pt"")"),"orgulhosos")</f>
        <v>orgulhosos</v>
      </c>
      <c r="B15316" s="3">
        <v>0</v>
      </c>
    </row>
    <row r="15317" ht="15.75" customHeight="1" spans="1:2">
      <c r="A15317" s="3" t="s">
        <v>79</v>
      </c>
      <c r="B15317" s="3">
        <v>0</v>
      </c>
    </row>
    <row r="15318" ht="15.75" customHeight="1" spans="1:2">
      <c r="A15318" s="3" t="str">
        <f>IFERROR(__xludf.DUMMYFUNCTION("GOOGLETRANSLATE(A15318,""en"",""pt"")"),"primitivo")</f>
        <v>primitivo</v>
      </c>
      <c r="B15318" s="3">
        <v>0</v>
      </c>
    </row>
    <row r="15319" ht="15.75" customHeight="1" spans="1:2">
      <c r="A15319" s="3" t="str">
        <f>IFERROR(__xludf.DUMMYFUNCTION("GOOGLETRANSLATE(A15319,""en"",""pt"")"),"prisão")</f>
        <v>prisão</v>
      </c>
      <c r="B15319" s="3">
        <v>0</v>
      </c>
    </row>
    <row r="15320" ht="15.75" customHeight="1" spans="1:2">
      <c r="A15320" s="3" t="str">
        <f>IFERROR(__xludf.DUMMYFUNCTION("GOOGLETRANSLATE(A15320,""en"",""pt"")"),"prisioneiro")</f>
        <v>prisioneiro</v>
      </c>
      <c r="B15320" s="3">
        <v>0</v>
      </c>
    </row>
    <row r="15321" ht="15.75" customHeight="1" spans="1:2">
      <c r="A15321" s="3" t="str">
        <f>IFERROR(__xludf.DUMMYFUNCTION("GOOGLETRANSLATE(A15321,""en"",""pt"")"),"problema")</f>
        <v>problema</v>
      </c>
      <c r="B15321" s="3">
        <v>0</v>
      </c>
    </row>
    <row r="15322" ht="15.75" customHeight="1" spans="1:2">
      <c r="A15322" s="3" t="str">
        <f>IFERROR(__xludf.DUMMYFUNCTION("GOOGLETRANSLATE(A15322,""en"",""pt"")"),"problemático")</f>
        <v>problemático</v>
      </c>
      <c r="B15322" s="3">
        <v>0</v>
      </c>
    </row>
    <row r="15323" ht="15.75" customHeight="1" spans="1:2">
      <c r="A15323" s="3" t="str">
        <f>IFERROR(__xludf.DUMMYFUNCTION("GOOGLETRANSLATE(A15323,""en"",""pt"")"),"problemas")</f>
        <v>problemas</v>
      </c>
      <c r="B15323" s="3">
        <v>0</v>
      </c>
    </row>
    <row r="15324" ht="15.75" customHeight="1" spans="1:2">
      <c r="A15324" s="3" t="str">
        <f>IFERROR(__xludf.DUMMYFUNCTION("GOOGLETRANSLATE(A15324,""en"",""pt"")"),"procrastinar")</f>
        <v>procrastinar</v>
      </c>
      <c r="B15324" s="3">
        <v>0</v>
      </c>
    </row>
    <row r="15325" ht="15.75" customHeight="1" spans="1:2">
      <c r="A15325" s="3" t="str">
        <f>IFERROR(__xludf.DUMMYFUNCTION("GOOGLETRANSLATE(A15325,""en"",""pt"")"),"procrastinates")</f>
        <v>procrastinates</v>
      </c>
      <c r="B15325" s="3">
        <v>0</v>
      </c>
    </row>
    <row r="15326" ht="15.75" customHeight="1" spans="1:2">
      <c r="A15326" s="3" t="str">
        <f>IFERROR(__xludf.DUMMYFUNCTION("GOOGLETRANSLATE(A15326,""en"",""pt"")"),"Procrastinação")</f>
        <v>Procrastinação</v>
      </c>
      <c r="B15326" s="3">
        <v>0</v>
      </c>
    </row>
    <row r="15327" ht="15.75" customHeight="1" spans="1:2">
      <c r="A15327" s="3" t="str">
        <f>IFERROR(__xludf.DUMMYFUNCTION("GOOGLETRANSLATE(A15327,""en"",""pt"")"),"profano")</f>
        <v>profano</v>
      </c>
      <c r="B15327" s="3">
        <v>0</v>
      </c>
    </row>
    <row r="15328" ht="15.75" customHeight="1" spans="1:2">
      <c r="A15328" s="3" t="str">
        <f>IFERROR(__xludf.DUMMYFUNCTION("GOOGLETRANSLATE(A15328,""en"",""pt"")"),"profanidade")</f>
        <v>profanidade</v>
      </c>
      <c r="B15328" s="3">
        <v>0</v>
      </c>
    </row>
    <row r="15329" ht="15.75" customHeight="1" spans="1:2">
      <c r="A15329" s="3" t="str">
        <f>IFERROR(__xludf.DUMMYFUNCTION("GOOGLETRANSLATE(A15329,""en"",""pt"")"),"proibir")</f>
        <v>proibir</v>
      </c>
      <c r="B15329" s="3">
        <v>0</v>
      </c>
    </row>
    <row r="15330" ht="15.75" customHeight="1" spans="1:2">
      <c r="A15330" s="3" t="str">
        <f>IFERROR(__xludf.DUMMYFUNCTION("GOOGLETRANSLATE(A15330,""en"",""pt"")"),"proibitivo")</f>
        <v>proibitivo</v>
      </c>
      <c r="B15330" s="3">
        <v>0</v>
      </c>
    </row>
    <row r="15331" ht="15.75" customHeight="1" spans="1:2">
      <c r="A15331" s="3" t="str">
        <f>IFERROR(__xludf.DUMMYFUNCTION("GOOGLETRANSLATE(A15331,""en"",""pt"")"),"proibitivamente")</f>
        <v>proibitivamente</v>
      </c>
      <c r="B15331" s="3">
        <v>0</v>
      </c>
    </row>
    <row r="15332" ht="15.75" customHeight="1" spans="1:2">
      <c r="A15332" s="3" t="str">
        <f>IFERROR(__xludf.DUMMYFUNCTION("GOOGLETRANSLATE(A15332,""en"",""pt"")"),"propaganda")</f>
        <v>propaganda</v>
      </c>
      <c r="B15332" s="3">
        <v>0</v>
      </c>
    </row>
    <row r="15333" ht="15.75" customHeight="1" spans="1:2">
      <c r="A15333" s="3" t="str">
        <f>IFERROR(__xludf.DUMMYFUNCTION("GOOGLETRANSLATE(A15333,""en"",""pt"")"),"propagandear")</f>
        <v>propagandear</v>
      </c>
      <c r="B15333" s="3">
        <v>0</v>
      </c>
    </row>
    <row r="15334" ht="15.75" customHeight="1" spans="1:2">
      <c r="A15334" s="3" t="str">
        <f>IFERROR(__xludf.DUMMYFUNCTION("GOOGLETRANSLATE(A15334,""en"",""pt"")"),"proprietário")</f>
        <v>proprietário</v>
      </c>
      <c r="B15334" s="3">
        <v>0</v>
      </c>
    </row>
    <row r="15335" ht="15.75" customHeight="1" spans="1:2">
      <c r="A15335" s="3" t="str">
        <f>IFERROR(__xludf.DUMMYFUNCTION("GOOGLETRANSLATE(A15335,""en"",""pt"")"),"processar")</f>
        <v>processar</v>
      </c>
      <c r="B15335" s="3">
        <v>0</v>
      </c>
    </row>
    <row r="15336" ht="15.75" customHeight="1" spans="1:2">
      <c r="A15336" s="3" t="str">
        <f>IFERROR(__xludf.DUMMYFUNCTION("GOOGLETRANSLATE(A15336,""en"",""pt"")"),"protesto")</f>
        <v>protesto</v>
      </c>
      <c r="B15336" s="3">
        <v>0</v>
      </c>
    </row>
    <row r="15337" ht="15.75" customHeight="1" spans="1:2">
      <c r="A15337" s="3" t="str">
        <f>IFERROR(__xludf.DUMMYFUNCTION("GOOGLETRANSLATE(A15337,""en"",""pt"")"),"protestou")</f>
        <v>protestou</v>
      </c>
      <c r="B15337" s="3">
        <v>0</v>
      </c>
    </row>
    <row r="15338" ht="15.75" customHeight="1" spans="1:2">
      <c r="A15338" s="3" t="str">
        <f>IFERROR(__xludf.DUMMYFUNCTION("GOOGLETRANSLATE(A15338,""en"",""pt"")"),"protestando")</f>
        <v>protestando</v>
      </c>
      <c r="B15338" s="3">
        <v>0</v>
      </c>
    </row>
    <row r="15339" ht="15.75" customHeight="1" spans="1:2">
      <c r="A15339" s="3" t="str">
        <f>IFERROR(__xludf.DUMMYFUNCTION("GOOGLETRANSLATE(A15339,""en"",""pt"")"),"protestos")</f>
        <v>protestos</v>
      </c>
      <c r="B15339" s="3">
        <v>0</v>
      </c>
    </row>
    <row r="15340" ht="15.75" customHeight="1" spans="1:2">
      <c r="A15340" s="3" t="str">
        <f>IFERROR(__xludf.DUMMYFUNCTION("GOOGLETRANSLATE(A15340,""en"",""pt"")"),"prolongado")</f>
        <v>prolongado</v>
      </c>
      <c r="B15340" s="3">
        <v>0</v>
      </c>
    </row>
    <row r="15341" ht="15.75" customHeight="1" spans="1:2">
      <c r="A15341" s="3" t="str">
        <f>IFERROR(__xludf.DUMMYFUNCTION("GOOGLETRANSLATE(A15341,""en"",""pt"")"),"provocação")</f>
        <v>provocação</v>
      </c>
      <c r="B15341" s="3">
        <v>0</v>
      </c>
    </row>
    <row r="15342" ht="15.75" customHeight="1" spans="1:2">
      <c r="A15342" s="3" t="str">
        <f>IFERROR(__xludf.DUMMYFUNCTION("GOOGLETRANSLATE(A15342,""en"",""pt"")"),"provocante")</f>
        <v>provocante</v>
      </c>
      <c r="B15342" s="3">
        <v>0</v>
      </c>
    </row>
    <row r="15343" ht="15.75" customHeight="1" spans="1:2">
      <c r="A15343" s="3" t="str">
        <f>IFERROR(__xludf.DUMMYFUNCTION("GOOGLETRANSLATE(A15343,""en"",""pt"")"),"provocar")</f>
        <v>provocar</v>
      </c>
      <c r="B15343" s="3">
        <v>0</v>
      </c>
    </row>
    <row r="15344" ht="15.75" customHeight="1" spans="1:2">
      <c r="A15344" s="3" t="str">
        <f>IFERROR(__xludf.DUMMYFUNCTION("GOOGLETRANSLATE(A15344,""en"",""pt"")"),"alavanca")</f>
        <v>alavanca</v>
      </c>
      <c r="B15344" s="3">
        <v>0</v>
      </c>
    </row>
    <row r="15345" ht="15.75" customHeight="1" spans="1:2">
      <c r="A15345" s="3" t="str">
        <f>IFERROR(__xludf.DUMMYFUNCTION("GOOGLETRANSLATE(A15345,""en"",""pt"")"),"belicoso")</f>
        <v>belicoso</v>
      </c>
      <c r="B15345" s="3">
        <v>0</v>
      </c>
    </row>
    <row r="15346" ht="15.75" customHeight="1" spans="1:2">
      <c r="A15346" s="3" t="str">
        <f>IFERROR(__xludf.DUMMYFUNCTION("GOOGLETRANSLATE(A15346,""en"",""pt"")"),"belicosamente")</f>
        <v>belicosamente</v>
      </c>
      <c r="B15346" s="3">
        <v>0</v>
      </c>
    </row>
    <row r="15347" ht="15.75" customHeight="1" spans="1:2">
      <c r="A15347" s="3" t="str">
        <f>IFERROR(__xludf.DUMMYFUNCTION("GOOGLETRANSLATE(A15347,""en"",""pt"")"),"belicosidade")</f>
        <v>belicosidade</v>
      </c>
      <c r="B15347" s="3">
        <v>0</v>
      </c>
    </row>
    <row r="15348" ht="15.75" customHeight="1" spans="1:2">
      <c r="A15348" s="3" t="str">
        <f>IFERROR(__xludf.DUMMYFUNCTION("GOOGLETRANSLATE(A15348,""en"",""pt"")"),"soco")</f>
        <v>soco</v>
      </c>
      <c r="B15348" s="3">
        <v>0</v>
      </c>
    </row>
    <row r="15349" ht="15.75" customHeight="1" spans="1:2">
      <c r="A15349" s="3" t="str">
        <f>IFERROR(__xludf.DUMMYFUNCTION("GOOGLETRANSLATE(A15349,""en"",""pt"")"),"punir")</f>
        <v>punir</v>
      </c>
      <c r="B15349" s="3">
        <v>0</v>
      </c>
    </row>
    <row r="15350" ht="15.75" customHeight="1" spans="1:2">
      <c r="A15350" s="3" t="str">
        <f>IFERROR(__xludf.DUMMYFUNCTION("GOOGLETRANSLATE(A15350,""en"",""pt"")"),"punível")</f>
        <v>punível</v>
      </c>
      <c r="B15350" s="3">
        <v>0</v>
      </c>
    </row>
    <row r="15351" ht="15.75" customHeight="1" spans="1:2">
      <c r="A15351" s="3" t="str">
        <f>IFERROR(__xludf.DUMMYFUNCTION("GOOGLETRANSLATE(A15351,""en"",""pt"")"),"punitivo")</f>
        <v>punitivo</v>
      </c>
      <c r="B15351" s="3">
        <v>0</v>
      </c>
    </row>
    <row r="15352" ht="15.75" customHeight="1" spans="1:2">
      <c r="A15352" s="3" t="str">
        <f>IFERROR(__xludf.DUMMYFUNCTION("GOOGLETRANSLATE(A15352,""en"",""pt"")"),"punk")</f>
        <v>punk</v>
      </c>
      <c r="B15352" s="3">
        <v>0</v>
      </c>
    </row>
    <row r="15353" ht="15.75" customHeight="1" spans="1:2">
      <c r="A15353" s="3" t="str">
        <f>IFERROR(__xludf.DUMMYFUNCTION("GOOGLETRANSLATE(A15353,""en"",""pt"")"),"insignificante")</f>
        <v>insignificante</v>
      </c>
      <c r="B15353" s="3">
        <v>0</v>
      </c>
    </row>
    <row r="15354" ht="15.75" customHeight="1" spans="1:2">
      <c r="A15354" s="3" t="str">
        <f>IFERROR(__xludf.DUMMYFUNCTION("GOOGLETRANSLATE(A15354,""en"",""pt"")"),"fantoche")</f>
        <v>fantoche</v>
      </c>
      <c r="B15354" s="3">
        <v>0</v>
      </c>
    </row>
    <row r="15355" ht="15.75" customHeight="1" spans="1:2">
      <c r="A15355" s="3" t="str">
        <f>IFERROR(__xludf.DUMMYFUNCTION("GOOGLETRANSLATE(A15355,""en"",""pt"")"),"fantoches")</f>
        <v>fantoches</v>
      </c>
      <c r="B15355" s="3">
        <v>0</v>
      </c>
    </row>
    <row r="15356" ht="15.75" customHeight="1" spans="1:2">
      <c r="A15356" s="3" t="str">
        <f>IFERROR(__xludf.DUMMYFUNCTION("GOOGLETRANSLATE(A15356,""en"",""pt"")"),"intrigado")</f>
        <v>intrigado</v>
      </c>
      <c r="B15356" s="3">
        <v>0</v>
      </c>
    </row>
    <row r="15357" ht="15.75" customHeight="1" spans="1:2">
      <c r="A15357" s="3" t="str">
        <f>IFERROR(__xludf.DUMMYFUNCTION("GOOGLETRANSLATE(A15357,""en"",""pt"")"),"perplexidade")</f>
        <v>perplexidade</v>
      </c>
      <c r="B15357" s="3">
        <v>0</v>
      </c>
    </row>
    <row r="15358" ht="15.75" customHeight="1" spans="1:2">
      <c r="A15358" s="3" t="str">
        <f>IFERROR(__xludf.DUMMYFUNCTION("GOOGLETRANSLATE(A15358,""en"",""pt"")"),"enigmático")</f>
        <v>enigmático</v>
      </c>
      <c r="B15358" s="3">
        <v>0</v>
      </c>
    </row>
    <row r="15359" ht="15.75" customHeight="1" spans="1:2">
      <c r="A15359" s="3" t="str">
        <f>IFERROR(__xludf.DUMMYFUNCTION("GOOGLETRANSLATE(A15359,""en"",""pt"")"),"charlatão")</f>
        <v>charlatão</v>
      </c>
      <c r="B15359" s="3">
        <v>0</v>
      </c>
    </row>
    <row r="15360" ht="15.75" customHeight="1" spans="1:2">
      <c r="A15360" s="3" t="s">
        <v>80</v>
      </c>
      <c r="B15360" s="3">
        <v>0</v>
      </c>
    </row>
    <row r="15361" ht="15.75" customHeight="1" spans="1:2">
      <c r="A15361" s="3" t="str">
        <f>IFERROR(__xludf.DUMMYFUNCTION("GOOGLETRANSLATE(A15361,""en"",""pt"")"),"escrúpulos")</f>
        <v>escrúpulos</v>
      </c>
      <c r="B15361" s="3">
        <v>0</v>
      </c>
    </row>
    <row r="15362" ht="15.75" customHeight="1" spans="1:2">
      <c r="A15362" s="3" t="str">
        <f>IFERROR(__xludf.DUMMYFUNCTION("GOOGLETRANSLATE(A15362,""en"",""pt"")"),"dilema")</f>
        <v>dilema</v>
      </c>
      <c r="B15362" s="3">
        <v>0</v>
      </c>
    </row>
    <row r="15363" ht="15.75" customHeight="1" spans="1:2">
      <c r="A15363" s="3" t="str">
        <f>IFERROR(__xludf.DUMMYFUNCTION("GOOGLETRANSLATE(A15363,""en"",""pt"")"),"disputa")</f>
        <v>disputa</v>
      </c>
      <c r="B15363" s="3">
        <v>0</v>
      </c>
    </row>
    <row r="15364" ht="15.75" customHeight="1" spans="1:2">
      <c r="A15364" s="3" t="str">
        <f>IFERROR(__xludf.DUMMYFUNCTION("GOOGLETRANSLATE(A15364,""en"",""pt"")"),"quarrellous")</f>
        <v>quarrellous</v>
      </c>
      <c r="B15364" s="3">
        <v>0</v>
      </c>
    </row>
    <row r="15365" ht="15.75" customHeight="1" spans="1:2">
      <c r="A15365" s="3" t="str">
        <f>IFERROR(__xludf.DUMMYFUNCTION("GOOGLETRANSLATE(A15365,""en"",""pt"")"),"quarrellously")</f>
        <v>quarrellously</v>
      </c>
      <c r="B15365" s="3">
        <v>0</v>
      </c>
    </row>
    <row r="15366" ht="15.75" customHeight="1" spans="1:2">
      <c r="A15366" s="3" t="str">
        <f>IFERROR(__xludf.DUMMYFUNCTION("GOOGLETRANSLATE(A15366,""en"",""pt"")"),"querelas")</f>
        <v>querelas</v>
      </c>
      <c r="B15366" s="3">
        <v>0</v>
      </c>
    </row>
    <row r="15367" ht="15.75" customHeight="1" spans="1:2">
      <c r="A15367" s="3" t="str">
        <f>IFERROR(__xludf.DUMMYFUNCTION("GOOGLETRANSLATE(A15367,""en"",""pt"")"),"briguento")</f>
        <v>briguento</v>
      </c>
      <c r="B15367" s="3">
        <v>0</v>
      </c>
    </row>
    <row r="15368" ht="15.75" customHeight="1" spans="1:2">
      <c r="A15368" s="3" t="str">
        <f>IFERROR(__xludf.DUMMYFUNCTION("GOOGLETRANSLATE(A15368,""en"",""pt"")"),"quash")</f>
        <v>quash</v>
      </c>
      <c r="B15368" s="3">
        <v>0</v>
      </c>
    </row>
    <row r="15369" ht="15.75" customHeight="1" spans="1:2">
      <c r="A15369" s="3" t="str">
        <f>IFERROR(__xludf.DUMMYFUNCTION("GOOGLETRANSLATE(A15369,""en"",""pt"")"),"esquisito")</f>
        <v>esquisito</v>
      </c>
      <c r="B15369" s="3">
        <v>0</v>
      </c>
    </row>
    <row r="15370" ht="15.75" customHeight="1" spans="1:2">
      <c r="A15370" s="3" t="str">
        <f>IFERROR(__xludf.DUMMYFUNCTION("GOOGLETRANSLATE(A15370,""en"",""pt"")"),"questionável")</f>
        <v>questionável</v>
      </c>
      <c r="B15370" s="3">
        <v>0</v>
      </c>
    </row>
    <row r="15371" ht="15.75" customHeight="1" spans="1:2">
      <c r="A15371" s="3" t="str">
        <f>IFERROR(__xludf.DUMMYFUNCTION("GOOGLETRANSLATE(A15371,""en"",""pt"")"),"trocadilho")</f>
        <v>trocadilho</v>
      </c>
      <c r="B15371" s="3">
        <v>0</v>
      </c>
    </row>
    <row r="15372" ht="15.75" customHeight="1" spans="1:2">
      <c r="A15372" s="3" t="str">
        <f>IFERROR(__xludf.DUMMYFUNCTION("GOOGLETRANSLATE(A15372,""en"",""pt"")"),"quibbles")</f>
        <v>quibbles</v>
      </c>
      <c r="B15372" s="3">
        <v>0</v>
      </c>
    </row>
    <row r="15373" ht="15.75" customHeight="1" spans="1:2">
      <c r="A15373" s="3" t="str">
        <f>IFERROR(__xludf.DUMMYFUNCTION("GOOGLETRANSLATE(A15373,""en"",""pt"")"),"desistente")</f>
        <v>desistente</v>
      </c>
      <c r="B15373" s="3">
        <v>0</v>
      </c>
    </row>
    <row r="15374" ht="15.75" customHeight="1" spans="1:2">
      <c r="A15374" s="3" t="str">
        <f>IFERROR(__xludf.DUMMYFUNCTION("GOOGLETRANSLATE(A15374,""en"",""pt"")"),"fanático")</f>
        <v>fanático</v>
      </c>
      <c r="B15374" s="3">
        <v>0</v>
      </c>
    </row>
    <row r="15375" ht="15.75" customHeight="1" spans="1:2">
      <c r="A15375" s="3" t="str">
        <f>IFERROR(__xludf.DUMMYFUNCTION("GOOGLETRANSLATE(A15375,""en"",""pt"")"),"racismo")</f>
        <v>racismo</v>
      </c>
      <c r="B15375" s="3">
        <v>0</v>
      </c>
    </row>
    <row r="15376" ht="15.75" customHeight="1" spans="1:2">
      <c r="A15376" s="3" t="str">
        <f>IFERROR(__xludf.DUMMYFUNCTION("GOOGLETRANSLATE(A15376,""en"",""pt"")"),"racista")</f>
        <v>racista</v>
      </c>
      <c r="B15376" s="3">
        <v>0</v>
      </c>
    </row>
    <row r="15377" ht="15.75" customHeight="1" spans="1:2">
      <c r="A15377" s="3" t="str">
        <f>IFERROR(__xludf.DUMMYFUNCTION("GOOGLETRANSLATE(A15377,""en"",""pt"")"),"racistas")</f>
        <v>racistas</v>
      </c>
      <c r="B15377" s="3">
        <v>0</v>
      </c>
    </row>
    <row r="15378" ht="15.75" customHeight="1" spans="1:2">
      <c r="A15378" s="3" t="str">
        <f>IFERROR(__xludf.DUMMYFUNCTION("GOOGLETRANSLATE(A15378,""en"",""pt"")"),"picante")</f>
        <v>picante</v>
      </c>
      <c r="B15378" s="3">
        <v>0</v>
      </c>
    </row>
    <row r="15379" ht="15.75" customHeight="1" spans="1:2">
      <c r="A15379" s="3" t="str">
        <f>IFERROR(__xludf.DUMMYFUNCTION("GOOGLETRANSLATE(A15379,""en"",""pt"")"),"radical")</f>
        <v>radical</v>
      </c>
      <c r="B15379" s="3">
        <v>0</v>
      </c>
    </row>
    <row r="15380" ht="15.75" customHeight="1" spans="1:2">
      <c r="A15380" s="3" t="str">
        <f>IFERROR(__xludf.DUMMYFUNCTION("GOOGLETRANSLATE(A15380,""en"",""pt"")"),"radicalização")</f>
        <v>radicalização</v>
      </c>
      <c r="B15380" s="3">
        <v>0</v>
      </c>
    </row>
    <row r="15381" ht="15.75" customHeight="1" spans="1:2">
      <c r="A15381" s="3" t="str">
        <f>IFERROR(__xludf.DUMMYFUNCTION("GOOGLETRANSLATE(A15381,""en"",""pt"")"),"radicalmente")</f>
        <v>radicalmente</v>
      </c>
      <c r="B15381" s="3">
        <v>0</v>
      </c>
    </row>
    <row r="15382" ht="15.75" customHeight="1" spans="1:2">
      <c r="A15382" s="3" t="str">
        <f>IFERROR(__xludf.DUMMYFUNCTION("GOOGLETRANSLATE(A15382,""en"",""pt"")"),"radicais")</f>
        <v>radicais</v>
      </c>
      <c r="B15382" s="3">
        <v>0</v>
      </c>
    </row>
    <row r="15383" ht="15.75" customHeight="1" spans="1:2">
      <c r="A15383" s="3" t="str">
        <f>IFERROR(__xludf.DUMMYFUNCTION("GOOGLETRANSLATE(A15383,""en"",""pt"")"),"raiva")</f>
        <v>raiva</v>
      </c>
      <c r="B15383" s="3">
        <v>0</v>
      </c>
    </row>
    <row r="15384" ht="15.75" customHeight="1" spans="1:2">
      <c r="A15384" s="3" t="str">
        <f>IFERROR(__xludf.DUMMYFUNCTION("GOOGLETRANSLATE(A15384,""en"",""pt"")"),"esfarrapado")</f>
        <v>esfarrapado</v>
      </c>
      <c r="B15384" s="3">
        <v>0</v>
      </c>
    </row>
    <row r="15385" ht="15.75" customHeight="1" spans="1:2">
      <c r="A15385" s="3" t="str">
        <f>IFERROR(__xludf.DUMMYFUNCTION("GOOGLETRANSLATE(A15385,""en"",""pt"")"),"furioso")</f>
        <v>furioso</v>
      </c>
      <c r="B15385" s="3">
        <v>0</v>
      </c>
    </row>
    <row r="15386" ht="15.75" customHeight="1" spans="1:2">
      <c r="A15386" s="3" t="str">
        <f>IFERROR(__xludf.DUMMYFUNCTION("GOOGLETRANSLATE(A15386,""en"",""pt"")"),"trilho")</f>
        <v>trilho</v>
      </c>
      <c r="B15386" s="3">
        <v>0</v>
      </c>
    </row>
    <row r="15387" ht="15.75" customHeight="1" spans="1:2">
      <c r="A15387" s="3" t="str">
        <f>IFERROR(__xludf.DUMMYFUNCTION("GOOGLETRANSLATE(A15387,""en"",""pt"")"),"raked")</f>
        <v>raked</v>
      </c>
      <c r="B15387" s="3">
        <v>0</v>
      </c>
    </row>
    <row r="15388" ht="15.75" customHeight="1" spans="1:2">
      <c r="A15388" s="3" t="str">
        <f>IFERROR(__xludf.DUMMYFUNCTION("GOOGLETRANSLATE(A15388,""en"",""pt"")"),"alvoroço")</f>
        <v>alvoroço</v>
      </c>
      <c r="B15388" s="3">
        <v>0</v>
      </c>
    </row>
    <row r="15389" ht="15.75" customHeight="1" spans="1:2">
      <c r="A15389" s="3" t="str">
        <f>IFERROR(__xludf.DUMMYFUNCTION("GOOGLETRANSLATE(A15389,""en"",""pt"")"),"rampante")</f>
        <v>rampante</v>
      </c>
      <c r="B15389" s="3">
        <v>0</v>
      </c>
    </row>
    <row r="15390" ht="15.75" customHeight="1" spans="1:2">
      <c r="A15390" s="3" t="str">
        <f>IFERROR(__xludf.DUMMYFUNCTION("GOOGLETRANSLATE(A15390,""en"",""pt"")"),"desorganizada")</f>
        <v>desorganizada</v>
      </c>
      <c r="B15390" s="3">
        <v>0</v>
      </c>
    </row>
    <row r="15391" ht="15.75" customHeight="1" spans="1:2">
      <c r="A15391" s="3" t="str">
        <f>IFERROR(__xludf.DUMMYFUNCTION("GOOGLETRANSLATE(A15391,""en"",""pt"")"),"rancor")</f>
        <v>rancor</v>
      </c>
      <c r="B15391" s="3">
        <v>0</v>
      </c>
    </row>
    <row r="15392" ht="15.75" customHeight="1" spans="1:2">
      <c r="A15392" s="3" t="str">
        <f>IFERROR(__xludf.DUMMYFUNCTION("GOOGLETRANSLATE(A15392,""en"",""pt"")"),"aleatoriamente")</f>
        <v>aleatoriamente</v>
      </c>
      <c r="B15392" s="3">
        <v>0</v>
      </c>
    </row>
    <row r="15393" ht="15.75" customHeight="1" spans="1:2">
      <c r="A15393" s="3" t="str">
        <f>IFERROR(__xludf.DUMMYFUNCTION("GOOGLETRANSLATE(A15393,""en"",""pt"")"),"ulcerar")</f>
        <v>ulcerar</v>
      </c>
      <c r="B15393" s="3">
        <v>0</v>
      </c>
    </row>
    <row r="15394" ht="15.75" customHeight="1" spans="1:2">
      <c r="A15394" s="3" t="str">
        <f>IFERROR(__xludf.DUMMYFUNCTION("GOOGLETRANSLATE(A15394,""en"",""pt"")"),"discurso retórico")</f>
        <v>discurso retórico</v>
      </c>
      <c r="B15394" s="3">
        <v>0</v>
      </c>
    </row>
    <row r="15395" ht="15.75" customHeight="1" spans="1:2">
      <c r="A15395" s="3" t="str">
        <f>IFERROR(__xludf.DUMMYFUNCTION("GOOGLETRANSLATE(A15395,""en"",""pt"")"),"ranted")</f>
        <v>ranted</v>
      </c>
      <c r="B15395" s="3">
        <v>0</v>
      </c>
    </row>
    <row r="15396" ht="15.75" customHeight="1" spans="1:2">
      <c r="A15396" s="3" t="str">
        <f>IFERROR(__xludf.DUMMYFUNCTION("GOOGLETRANSLATE(A15396,""en"",""pt"")"),"ranting")</f>
        <v>ranting</v>
      </c>
      <c r="B15396" s="3">
        <v>0</v>
      </c>
    </row>
    <row r="15397" ht="15.75" customHeight="1" spans="1:2">
      <c r="A15397" s="3" t="str">
        <f>IFERROR(__xludf.DUMMYFUNCTION("GOOGLETRANSLATE(A15397,""en"",""pt"")"),"rantingly")</f>
        <v>rantingly</v>
      </c>
      <c r="B15397" s="3">
        <v>0</v>
      </c>
    </row>
    <row r="15398" ht="15.75" customHeight="1" spans="1:2">
      <c r="A15398" s="3" t="str">
        <f>IFERROR(__xludf.DUMMYFUNCTION("GOOGLETRANSLATE(A15398,""en"",""pt"")"),"rants")</f>
        <v>rants</v>
      </c>
      <c r="B15398" s="3">
        <v>0</v>
      </c>
    </row>
    <row r="15399" ht="15.75" customHeight="1" spans="1:2">
      <c r="A15399" s="3" t="str">
        <f>IFERROR(__xludf.DUMMYFUNCTION("GOOGLETRANSLATE(A15399,""en"",""pt"")"),"estupro")</f>
        <v>estupro</v>
      </c>
      <c r="B15399" s="3">
        <v>0</v>
      </c>
    </row>
    <row r="15400" ht="15.75" customHeight="1" spans="1:2">
      <c r="A15400" s="3" t="str">
        <f>IFERROR(__xludf.DUMMYFUNCTION("GOOGLETRANSLATE(A15400,""en"",""pt"")"),"estuprado")</f>
        <v>estuprado</v>
      </c>
      <c r="B15400" s="3">
        <v>0</v>
      </c>
    </row>
    <row r="15401" ht="15.75" customHeight="1" spans="1:2">
      <c r="A15401" s="3" t="str">
        <f>IFERROR(__xludf.DUMMYFUNCTION("GOOGLETRANSLATE(A15401,""en"",""pt"")"),"estuprando")</f>
        <v>estuprando</v>
      </c>
      <c r="B15401" s="3">
        <v>0</v>
      </c>
    </row>
    <row r="15402" ht="15.75" customHeight="1" spans="1:2">
      <c r="A15402" s="3" t="str">
        <f>IFERROR(__xludf.DUMMYFUNCTION("GOOGLETRANSLATE(A15402,""en"",""pt"")"),"patife")</f>
        <v>patife</v>
      </c>
      <c r="B15402" s="3">
        <v>0</v>
      </c>
    </row>
    <row r="15403" ht="15.75" customHeight="1" spans="1:2">
      <c r="A15403" s="3" t="str">
        <f>IFERROR(__xludf.DUMMYFUNCTION("GOOGLETRANSLATE(A15403,""en"",""pt"")"),"patifes")</f>
        <v>patifes</v>
      </c>
      <c r="B15403" s="3">
        <v>0</v>
      </c>
    </row>
    <row r="15404" ht="15.75" customHeight="1" spans="1:2">
      <c r="A15404" s="3" t="str">
        <f>IFERROR(__xludf.DUMMYFUNCTION("GOOGLETRANSLATE(A15404,""en"",""pt"")"),"erupção cutânea")</f>
        <v>erupção cutânea</v>
      </c>
      <c r="B15404" s="3">
        <v>0</v>
      </c>
    </row>
    <row r="15405" ht="15.75" customHeight="1" spans="1:2">
      <c r="A15405" s="3" t="str">
        <f>IFERROR(__xludf.DUMMYFUNCTION("GOOGLETRANSLATE(A15405,""en"",""pt"")"),"chocalho")</f>
        <v>chocalho</v>
      </c>
      <c r="B15405" s="3">
        <v>0</v>
      </c>
    </row>
    <row r="15406" ht="15.75" customHeight="1" spans="1:2">
      <c r="A15406" s="3" t="str">
        <f>IFERROR(__xludf.DUMMYFUNCTION("GOOGLETRANSLATE(A15406,""en"",""pt"")"),"chacoalhou")</f>
        <v>chacoalhou</v>
      </c>
      <c r="B15406" s="3">
        <v>0</v>
      </c>
    </row>
    <row r="15407" ht="15.75" customHeight="1" spans="1:2">
      <c r="A15407" s="3" t="str">
        <f>IFERROR(__xludf.DUMMYFUNCTION("GOOGLETRANSLATE(A15407,""en"",""pt"")"),"chocalho")</f>
        <v>chocalho</v>
      </c>
      <c r="B15407" s="3">
        <v>0</v>
      </c>
    </row>
    <row r="15408" ht="15.75" customHeight="1" spans="1:2">
      <c r="A15408" s="3" t="str">
        <f>IFERROR(__xludf.DUMMYFUNCTION("GOOGLETRANSLATE(A15408,""en"",""pt"")"),"devastação")</f>
        <v>devastação</v>
      </c>
      <c r="B15408" s="3">
        <v>0</v>
      </c>
    </row>
    <row r="15409" ht="15.75" customHeight="1" spans="1:2">
      <c r="A15409" s="3" t="str">
        <f>IFERROR(__xludf.DUMMYFUNCTION("GOOGLETRANSLATE(A15409,""en"",""pt"")"),"delirante")</f>
        <v>delirante</v>
      </c>
      <c r="B15409" s="3">
        <v>0</v>
      </c>
    </row>
    <row r="15410" ht="15.75" customHeight="1" spans="1:2">
      <c r="A15410" s="3" t="str">
        <f>IFERROR(__xludf.DUMMYFUNCTION("GOOGLETRANSLATE(A15410,""en"",""pt"")"),"reacionário")</f>
        <v>reacionário</v>
      </c>
      <c r="B15410" s="3">
        <v>0</v>
      </c>
    </row>
    <row r="15411" ht="15.75" customHeight="1" spans="1:2">
      <c r="A15411" s="3" t="str">
        <f>IFERROR(__xludf.DUMMYFUNCTION("GOOGLETRANSLATE(A15411,""en"",""pt"")"),"rebelde")</f>
        <v>rebelde</v>
      </c>
      <c r="B15411" s="3">
        <v>0</v>
      </c>
    </row>
    <row r="15412" ht="15.75" customHeight="1" spans="1:2">
      <c r="A15412" s="3" t="str">
        <f>IFERROR(__xludf.DUMMYFUNCTION("GOOGLETRANSLATE(A15412,""en"",""pt"")"),"repulsa")</f>
        <v>repulsa</v>
      </c>
      <c r="B15412" s="3">
        <v>0</v>
      </c>
    </row>
    <row r="15413" ht="15.75" customHeight="1" spans="1:2">
      <c r="A15413" s="3" t="str">
        <f>IFERROR(__xludf.DUMMYFUNCTION("GOOGLETRANSLATE(A15413,""en"",""pt"")"),"repreensão")</f>
        <v>repreensão</v>
      </c>
      <c r="B15413" s="3">
        <v>0</v>
      </c>
    </row>
    <row r="15414" ht="15.75" customHeight="1" spans="1:2">
      <c r="A15414" s="3" t="str">
        <f>IFERROR(__xludf.DUMMYFUNCTION("GOOGLETRANSLATE(A15414,""en"",""pt"")"),"recalcitrante")</f>
        <v>recalcitrante</v>
      </c>
      <c r="B15414" s="3">
        <v>0</v>
      </c>
    </row>
    <row r="15415" ht="15.75" customHeight="1" spans="1:2">
      <c r="A15415" s="3" t="str">
        <f>IFERROR(__xludf.DUMMYFUNCTION("GOOGLETRANSLATE(A15415,""en"",""pt"")"),"retratar")</f>
        <v>retratar</v>
      </c>
      <c r="B15415" s="3">
        <v>0</v>
      </c>
    </row>
    <row r="15416" ht="15.75" customHeight="1" spans="1:2">
      <c r="A15416" s="3" t="str">
        <f>IFERROR(__xludf.DUMMYFUNCTION("GOOGLETRANSLATE(A15416,""en"",""pt"")"),"recessão")</f>
        <v>recessão</v>
      </c>
      <c r="B15416" s="3">
        <v>0</v>
      </c>
    </row>
    <row r="15417" ht="15.75" customHeight="1" spans="1:2">
      <c r="A15417" s="3" t="str">
        <f>IFERROR(__xludf.DUMMYFUNCTION("GOOGLETRANSLATE(A15417,""en"",""pt"")"),"recessivo")</f>
        <v>recessivo</v>
      </c>
      <c r="B15417" s="3">
        <v>0</v>
      </c>
    </row>
    <row r="15418" ht="15.75" customHeight="1" spans="1:2">
      <c r="A15418" s="3" t="str">
        <f>IFERROR(__xludf.DUMMYFUNCTION("GOOGLETRANSLATE(A15418,""en"",""pt"")"),"imprudente")</f>
        <v>imprudente</v>
      </c>
      <c r="B15418" s="3">
        <v>0</v>
      </c>
    </row>
    <row r="15419" ht="15.75" customHeight="1" spans="1:2">
      <c r="A15419" s="3" t="s">
        <v>81</v>
      </c>
      <c r="B15419" s="3">
        <v>0</v>
      </c>
    </row>
    <row r="15420" ht="15.75" customHeight="1" spans="1:2">
      <c r="A15420" s="3" t="str">
        <f>IFERROR(__xludf.DUMMYFUNCTION("GOOGLETRANSLATE(A15420,""en"",""pt"")"),"imprudência")</f>
        <v>imprudência</v>
      </c>
      <c r="B15420" s="3">
        <v>0</v>
      </c>
    </row>
    <row r="15421" ht="15.75" customHeight="1" spans="1:2">
      <c r="A15421" s="3" t="str">
        <f>IFERROR(__xludf.DUMMYFUNCTION("GOOGLETRANSLATE(A15421,""en"",""pt"")"),"recuo")</f>
        <v>recuo</v>
      </c>
      <c r="B15421" s="3">
        <v>0</v>
      </c>
    </row>
    <row r="15422" ht="15.75" customHeight="1" spans="1:2">
      <c r="A15422" s="3" t="str">
        <f>IFERROR(__xludf.DUMMYFUNCTION("GOOGLETRANSLATE(A15422,""en"",""pt"")"),"recursos")</f>
        <v>recursos</v>
      </c>
      <c r="B15422" s="3">
        <v>0</v>
      </c>
    </row>
    <row r="15423" ht="15.75" customHeight="1" spans="1:2">
      <c r="A15423" s="3" t="str">
        <f>IFERROR(__xludf.DUMMYFUNCTION("GOOGLETRANSLATE(A15423,""en"",""pt"")"),"redundância")</f>
        <v>redundância</v>
      </c>
      <c r="B15423" s="3">
        <v>0</v>
      </c>
    </row>
    <row r="15424" ht="15.75" customHeight="1" spans="1:2">
      <c r="A15424" s="3" t="str">
        <f>IFERROR(__xludf.DUMMYFUNCTION("GOOGLETRANSLATE(A15424,""en"",""pt"")"),"redundante")</f>
        <v>redundante</v>
      </c>
      <c r="B15424" s="3">
        <v>0</v>
      </c>
    </row>
    <row r="15425" ht="15.75" customHeight="1" spans="1:2">
      <c r="A15425" s="3" t="str">
        <f>IFERROR(__xludf.DUMMYFUNCTION("GOOGLETRANSLATE(A15425,""en"",""pt"")"),"recusa")</f>
        <v>recusa</v>
      </c>
      <c r="B15425" s="3">
        <v>0</v>
      </c>
    </row>
    <row r="15426" ht="15.75" customHeight="1" spans="1:2">
      <c r="A15426" s="3" t="str">
        <f>IFERROR(__xludf.DUMMYFUNCTION("GOOGLETRANSLATE(A15426,""en"",""pt"")"),"recusar")</f>
        <v>recusar</v>
      </c>
      <c r="B15426" s="3">
        <v>0</v>
      </c>
    </row>
    <row r="15427" ht="15.75" customHeight="1" spans="1:2">
      <c r="A15427" s="3" t="str">
        <f>IFERROR(__xludf.DUMMYFUNCTION("GOOGLETRANSLATE(A15427,""en"",""pt"")"),"recusou")</f>
        <v>recusou</v>
      </c>
      <c r="B15427" s="3">
        <v>0</v>
      </c>
    </row>
    <row r="15428" ht="15.75" customHeight="1" spans="1:2">
      <c r="A15428" s="3" t="str">
        <f>IFERROR(__xludf.DUMMYFUNCTION("GOOGLETRANSLATE(A15428,""en"",""pt"")"),"recusa")</f>
        <v>recusa</v>
      </c>
      <c r="B15428" s="3">
        <v>0</v>
      </c>
    </row>
    <row r="15429" ht="15.75" customHeight="1" spans="1:2">
      <c r="A15429" s="3" t="str">
        <f>IFERROR(__xludf.DUMMYFUNCTION("GOOGLETRANSLATE(A15429,""en"",""pt"")"),"recusa")</f>
        <v>recusa</v>
      </c>
      <c r="B15429" s="3">
        <v>0</v>
      </c>
    </row>
    <row r="15430" ht="15.75" customHeight="1" spans="1:2">
      <c r="A15430" s="3" t="str">
        <f>IFERROR(__xludf.DUMMYFUNCTION("GOOGLETRANSLATE(A15430,""en"",""pt"")"),"refutação")</f>
        <v>refutação</v>
      </c>
      <c r="B15430" s="3">
        <v>0</v>
      </c>
    </row>
    <row r="15431" ht="15.75" customHeight="1" spans="1:2">
      <c r="A15431" s="3" t="str">
        <f>IFERROR(__xludf.DUMMYFUNCTION("GOOGLETRANSLATE(A15431,""en"",""pt"")"),"refutar")</f>
        <v>refutar</v>
      </c>
      <c r="B15431" s="3">
        <v>0</v>
      </c>
    </row>
    <row r="15432" ht="15.75" customHeight="1" spans="1:2">
      <c r="A15432" s="3" t="s">
        <v>82</v>
      </c>
      <c r="B15432" s="3">
        <v>0</v>
      </c>
    </row>
    <row r="15433" ht="15.75" customHeight="1" spans="1:2">
      <c r="A15433" s="3" t="str">
        <f>IFERROR(__xludf.DUMMYFUNCTION("GOOGLETRANSLATE(A15433,""en"",""pt"")"),"refuta")</f>
        <v>refuta</v>
      </c>
      <c r="B15433" s="3">
        <v>0</v>
      </c>
    </row>
    <row r="15434" ht="15.75" customHeight="1" spans="1:2">
      <c r="A15434" s="3" t="str">
        <f>IFERROR(__xludf.DUMMYFUNCTION("GOOGLETRANSLATE(A15434,""en"",""pt"")"),"refutante")</f>
        <v>refutante</v>
      </c>
      <c r="B15434" s="3">
        <v>0</v>
      </c>
    </row>
    <row r="15435" ht="15.75" customHeight="1" spans="1:2">
      <c r="A15435" s="3" t="str">
        <f>IFERROR(__xludf.DUMMYFUNCTION("GOOGLETRANSLATE(A15435,""en"",""pt"")"),"regress")</f>
        <v>regress</v>
      </c>
      <c r="B15435" s="3">
        <v>0</v>
      </c>
    </row>
    <row r="15436" ht="15.75" customHeight="1" spans="1:2">
      <c r="A15436" s="3" t="str">
        <f>IFERROR(__xludf.DUMMYFUNCTION("GOOGLETRANSLATE(A15436,""en"",""pt"")"),"regressão")</f>
        <v>regressão</v>
      </c>
      <c r="B15436" s="3">
        <v>0</v>
      </c>
    </row>
    <row r="15437" ht="15.75" customHeight="1" spans="1:2">
      <c r="A15437" s="3" t="str">
        <f>IFERROR(__xludf.DUMMYFUNCTION("GOOGLETRANSLATE(A15437,""en"",""pt"")"),"regressivo")</f>
        <v>regressivo</v>
      </c>
      <c r="B15437" s="3">
        <v>0</v>
      </c>
    </row>
    <row r="15438" ht="15.75" customHeight="1" spans="1:2">
      <c r="A15438" s="3" t="str">
        <f>IFERROR(__xludf.DUMMYFUNCTION("GOOGLETRANSLATE(A15438,""en"",""pt"")"),"arrepender")</f>
        <v>arrepender</v>
      </c>
      <c r="B15438" s="3">
        <v>0</v>
      </c>
    </row>
    <row r="15439" ht="15.75" customHeight="1" spans="1:2">
      <c r="A15439" s="3" t="str">
        <f>IFERROR(__xludf.DUMMYFUNCTION("GOOGLETRANSLATE(A15439,""en"",""pt"")"),"regreted")</f>
        <v>regreted</v>
      </c>
      <c r="B15439" s="3">
        <v>0</v>
      </c>
    </row>
    <row r="15440" ht="15.75" customHeight="1" spans="1:2">
      <c r="A15440" s="3" t="str">
        <f>IFERROR(__xludf.DUMMYFUNCTION("GOOGLETRANSLATE(A15440,""en"",""pt"")"),"lamentável")</f>
        <v>lamentável</v>
      </c>
      <c r="B15440" s="3">
        <v>0</v>
      </c>
    </row>
    <row r="15441" ht="15.75" customHeight="1" spans="1:2">
      <c r="A15441" s="3" t="str">
        <f>IFERROR(__xludf.DUMMYFUNCTION("GOOGLETRANSLATE(A15441,""en"",""pt"")"),"regretfully")</f>
        <v>regretfully</v>
      </c>
      <c r="B15441" s="3">
        <v>0</v>
      </c>
    </row>
    <row r="15442" ht="15.75" customHeight="1" spans="1:2">
      <c r="A15442" s="3" t="str">
        <f>IFERROR(__xludf.DUMMYFUNCTION("GOOGLETRANSLATE(A15442,""en"",""pt"")"),"arrependimentos")</f>
        <v>arrependimentos</v>
      </c>
      <c r="B15442" s="3">
        <v>0</v>
      </c>
    </row>
    <row r="15443" ht="15.75" customHeight="1" spans="1:2">
      <c r="A15443" s="3" t="str">
        <f>IFERROR(__xludf.DUMMYFUNCTION("GOOGLETRANSLATE(A15443,""en"",""pt"")"),"lamentável")</f>
        <v>lamentável</v>
      </c>
      <c r="B15443" s="3">
        <v>0</v>
      </c>
    </row>
    <row r="15444" ht="15.75" customHeight="1" spans="1:2">
      <c r="A15444" s="3" t="str">
        <f>IFERROR(__xludf.DUMMYFUNCTION("GOOGLETRANSLATE(A15444,""en"",""pt"")"),"lamentavelmente")</f>
        <v>lamentavelmente</v>
      </c>
      <c r="B15444" s="3">
        <v>0</v>
      </c>
    </row>
    <row r="15445" ht="15.75" customHeight="1" spans="1:2">
      <c r="A15445" s="3" t="str">
        <f>IFERROR(__xludf.DUMMYFUNCTION("GOOGLETRANSLATE(A15445,""en"",""pt"")"),"lamentou")</f>
        <v>lamentou</v>
      </c>
      <c r="B15445" s="3">
        <v>0</v>
      </c>
    </row>
    <row r="15446" ht="15.75" customHeight="1" spans="1:2">
      <c r="A15446" s="3" t="str">
        <f>IFERROR(__xludf.DUMMYFUNCTION("GOOGLETRANSLATE(A15446,""en"",""pt"")"),"rejeitar")</f>
        <v>rejeitar</v>
      </c>
      <c r="B15446" s="3">
        <v>0</v>
      </c>
    </row>
    <row r="15447" ht="15.75" customHeight="1" spans="1:2">
      <c r="A15447" s="3" t="str">
        <f>IFERROR(__xludf.DUMMYFUNCTION("GOOGLETRANSLATE(A15447,""en"",""pt"")"),"rejeitado")</f>
        <v>rejeitado</v>
      </c>
      <c r="B15447" s="3">
        <v>0</v>
      </c>
    </row>
    <row r="15448" ht="15.75" customHeight="1" spans="1:2">
      <c r="A15448" s="3" t="str">
        <f>IFERROR(__xludf.DUMMYFUNCTION("GOOGLETRANSLATE(A15448,""en"",""pt"")"),"rejeitando")</f>
        <v>rejeitando</v>
      </c>
      <c r="B15448" s="3">
        <v>0</v>
      </c>
    </row>
    <row r="15449" ht="15.75" customHeight="1" spans="1:2">
      <c r="A15449" s="3" t="str">
        <f>IFERROR(__xludf.DUMMYFUNCTION("GOOGLETRANSLATE(A15449,""en"",""pt"")"),"rejeição")</f>
        <v>rejeição</v>
      </c>
      <c r="B15449" s="3">
        <v>0</v>
      </c>
    </row>
    <row r="15450" ht="15.75" customHeight="1" spans="1:2">
      <c r="A15450" s="3" t="str">
        <f>IFERROR(__xludf.DUMMYFUNCTION("GOOGLETRANSLATE(A15450,""en"",""pt"")"),"rejeitos")</f>
        <v>rejeitos</v>
      </c>
      <c r="B15450" s="3">
        <v>0</v>
      </c>
    </row>
    <row r="15451" ht="15.75" customHeight="1" spans="1:2">
      <c r="A15451" s="3" t="str">
        <f>IFERROR(__xludf.DUMMYFUNCTION("GOOGLETRANSLATE(A15451,""en"",""pt"")"),"recaída")</f>
        <v>recaída</v>
      </c>
      <c r="B15451" s="3">
        <v>0</v>
      </c>
    </row>
    <row r="15452" ht="15.75" customHeight="1" spans="1:2">
      <c r="A15452" s="3" t="str">
        <f>IFERROR(__xludf.DUMMYFUNCTION("GOOGLETRANSLATE(A15452,""en"",""pt"")"),"implacável")</f>
        <v>implacável</v>
      </c>
      <c r="B15452" s="3">
        <v>0</v>
      </c>
    </row>
    <row r="15453" ht="15.75" customHeight="1" spans="1:2">
      <c r="A15453" s="3" t="str">
        <f>IFERROR(__xludf.DUMMYFUNCTION("GOOGLETRANSLATE(A15453,""en"",""pt"")"),"implacavelmente")</f>
        <v>implacavelmente</v>
      </c>
      <c r="B15453" s="3">
        <v>0</v>
      </c>
    </row>
    <row r="15454" ht="15.75" customHeight="1" spans="1:2">
      <c r="A15454" s="3" t="str">
        <f>IFERROR(__xludf.DUMMYFUNCTION("GOOGLETRANSLATE(A15454,""en"",""pt"")"),"relentlessness")</f>
        <v>relentlessness</v>
      </c>
      <c r="B15454" s="3">
        <v>0</v>
      </c>
    </row>
    <row r="15455" ht="15.75" customHeight="1" spans="1:2">
      <c r="A15455" s="3" t="str">
        <f>IFERROR(__xludf.DUMMYFUNCTION("GOOGLETRANSLATE(A15455,""en"",""pt"")"),"relutância")</f>
        <v>relutância</v>
      </c>
      <c r="B15455" s="3">
        <v>0</v>
      </c>
    </row>
    <row r="15456" ht="15.75" customHeight="1" spans="1:2">
      <c r="A15456" s="3" t="str">
        <f>IFERROR(__xludf.DUMMYFUNCTION("GOOGLETRANSLATE(A15456,""en"",""pt"")"),"relutante")</f>
        <v>relutante</v>
      </c>
      <c r="B15456" s="3">
        <v>0</v>
      </c>
    </row>
    <row r="15457" ht="15.75" customHeight="1" spans="1:2">
      <c r="A15457" s="3" t="str">
        <f>IFERROR(__xludf.DUMMYFUNCTION("GOOGLETRANSLATE(A15457,""en"",""pt"")"),"relutantemente")</f>
        <v>relutantemente</v>
      </c>
      <c r="B15457" s="3">
        <v>0</v>
      </c>
    </row>
    <row r="15458" ht="15.75" customHeight="1" spans="1:2">
      <c r="A15458" s="3" t="str">
        <f>IFERROR(__xludf.DUMMYFUNCTION("GOOGLETRANSLATE(A15458,""en"",""pt"")"),"remorso")</f>
        <v>remorso</v>
      </c>
      <c r="B15458" s="3">
        <v>0</v>
      </c>
    </row>
    <row r="15459" ht="15.75" customHeight="1" spans="1:2">
      <c r="A15459" s="3" t="str">
        <f>IFERROR(__xludf.DUMMYFUNCTION("GOOGLETRANSLATE(A15459,""en"",""pt"")"),"cheio de remorsos")</f>
        <v>cheio de remorsos</v>
      </c>
      <c r="B15459" s="3">
        <v>0</v>
      </c>
    </row>
    <row r="15460" ht="15.75" customHeight="1" spans="1:2">
      <c r="A15460" s="3" t="str">
        <f>IFERROR(__xludf.DUMMYFUNCTION("GOOGLETRANSLATE(A15460,""en"",""pt"")"),"remorso")</f>
        <v>remorso</v>
      </c>
      <c r="B15460" s="3">
        <v>0</v>
      </c>
    </row>
    <row r="15461" ht="15.75" customHeight="1" spans="1:2">
      <c r="A15461" s="3" t="str">
        <f>IFERROR(__xludf.DUMMYFUNCTION("GOOGLETRANSLATE(A15461,""en"",""pt"")"),"sem piedade")</f>
        <v>sem piedade</v>
      </c>
      <c r="B15461" s="3">
        <v>0</v>
      </c>
    </row>
    <row r="15462" ht="15.75" customHeight="1" spans="1:2">
      <c r="A15462" s="3" t="str">
        <f>IFERROR(__xludf.DUMMYFUNCTION("GOOGLETRANSLATE(A15462,""en"",""pt"")"),"remorselessly")</f>
        <v>remorselessly</v>
      </c>
      <c r="B15462" s="3">
        <v>0</v>
      </c>
    </row>
    <row r="15463" ht="15.75" customHeight="1" spans="1:2">
      <c r="A15463" s="3" t="str">
        <f>IFERROR(__xludf.DUMMYFUNCTION("GOOGLETRANSLATE(A15463,""en"",""pt"")"),"remorselessness")</f>
        <v>remorselessness</v>
      </c>
      <c r="B15463" s="3">
        <v>0</v>
      </c>
    </row>
    <row r="15464" ht="15.75" customHeight="1" spans="1:2">
      <c r="A15464" s="3" t="str">
        <f>IFERROR(__xludf.DUMMYFUNCTION("GOOGLETRANSLATE(A15464,""en"",""pt"")"),"renúncia")</f>
        <v>renúncia</v>
      </c>
      <c r="B15464" s="3">
        <v>0</v>
      </c>
    </row>
    <row r="15465" ht="15.75" customHeight="1" spans="1:2">
      <c r="A15465" s="3" t="str">
        <f>IFERROR(__xludf.DUMMYFUNCTION("GOOGLETRANSLATE(A15465,""en"",""pt"")"),"renúncia")</f>
        <v>renúncia</v>
      </c>
      <c r="B15465" s="3">
        <v>0</v>
      </c>
    </row>
    <row r="15466" ht="15.75" customHeight="1" spans="1:2">
      <c r="A15466" s="3" t="str">
        <f>IFERROR(__xludf.DUMMYFUNCTION("GOOGLETRANSLATE(A15466,""en"",""pt"")"),"repelir")</f>
        <v>repelir</v>
      </c>
      <c r="B15466" s="3">
        <v>0</v>
      </c>
    </row>
    <row r="15467" ht="15.75" customHeight="1" spans="1:2">
      <c r="A15467" s="3" t="str">
        <f>IFERROR(__xludf.DUMMYFUNCTION("GOOGLETRANSLATE(A15467,""en"",""pt"")"),"repetitivo")</f>
        <v>repetitivo</v>
      </c>
      <c r="B15467" s="3">
        <v>0</v>
      </c>
    </row>
    <row r="15468" ht="15.75" customHeight="1" spans="1:2">
      <c r="A15468" s="3" t="str">
        <f>IFERROR(__xludf.DUMMYFUNCTION("GOOGLETRANSLATE(A15468,""en"",""pt"")"),"repreensível")</f>
        <v>repreensível</v>
      </c>
      <c r="B15468" s="3">
        <v>0</v>
      </c>
    </row>
    <row r="15469" ht="15.75" customHeight="1" spans="1:2">
      <c r="A15469" s="3" t="str">
        <f>IFERROR(__xludf.DUMMYFUNCTION("GOOGLETRANSLATE(A15469,""en"",""pt"")"),"repreensivelmente")</f>
        <v>repreensivelmente</v>
      </c>
      <c r="B15469" s="3">
        <v>0</v>
      </c>
    </row>
    <row r="15470" ht="15.75" customHeight="1" spans="1:2">
      <c r="A15470" s="3" t="str">
        <f>IFERROR(__xludf.DUMMYFUNCTION("GOOGLETRANSLATE(A15470,""en"",""pt"")"),"repreensão")</f>
        <v>repreensão</v>
      </c>
      <c r="B15470" s="3">
        <v>0</v>
      </c>
    </row>
    <row r="15471" ht="15.75" customHeight="1" spans="1:2">
      <c r="A15471" s="3" t="str">
        <f>IFERROR(__xludf.DUMMYFUNCTION("GOOGLETRANSLATE(A15471,""en"",""pt"")"),"repreensiva")</f>
        <v>repreensiva</v>
      </c>
      <c r="B15471" s="3">
        <v>0</v>
      </c>
    </row>
    <row r="15472" ht="15.75" customHeight="1" spans="1:2">
      <c r="A15472" s="3" t="str">
        <f>IFERROR(__xludf.DUMMYFUNCTION("GOOGLETRANSLATE(A15472,""en"",""pt"")"),"reprimir")</f>
        <v>reprimir</v>
      </c>
      <c r="B15472" s="3">
        <v>0</v>
      </c>
    </row>
    <row r="15473" ht="15.75" customHeight="1" spans="1:2">
      <c r="A15473" s="3" t="str">
        <f>IFERROR(__xludf.DUMMYFUNCTION("GOOGLETRANSLATE(A15473,""en"",""pt"")"),"repressão")</f>
        <v>repressão</v>
      </c>
      <c r="B15473" s="3">
        <v>0</v>
      </c>
    </row>
    <row r="15474" ht="15.75" customHeight="1" spans="1:2">
      <c r="A15474" s="3" t="str">
        <f>IFERROR(__xludf.DUMMYFUNCTION("GOOGLETRANSLATE(A15474,""en"",""pt"")"),"repressivo")</f>
        <v>repressivo</v>
      </c>
      <c r="B15474" s="3">
        <v>0</v>
      </c>
    </row>
    <row r="15475" ht="15.75" customHeight="1" spans="1:2">
      <c r="A15475" s="3" t="str">
        <f>IFERROR(__xludf.DUMMYFUNCTION("GOOGLETRANSLATE(A15475,""en"",""pt"")"),"reprimenda")</f>
        <v>reprimenda</v>
      </c>
      <c r="B15475" s="3">
        <v>0</v>
      </c>
    </row>
    <row r="15476" ht="15.75" customHeight="1" spans="1:2">
      <c r="A15476" s="3" t="str">
        <f>IFERROR(__xludf.DUMMYFUNCTION("GOOGLETRANSLATE(A15476,""en"",""pt"")"),"censura")</f>
        <v>censura</v>
      </c>
      <c r="B15476" s="3">
        <v>0</v>
      </c>
    </row>
    <row r="15477" ht="15.75" customHeight="1" spans="1:2">
      <c r="A15477" s="3" t="str">
        <f>IFERROR(__xludf.DUMMYFUNCTION("GOOGLETRANSLATE(A15477,""en"",""pt"")"),"reprovador")</f>
        <v>reprovador</v>
      </c>
      <c r="B15477" s="3">
        <v>0</v>
      </c>
    </row>
    <row r="15478" ht="15.75" customHeight="1" spans="1:2">
      <c r="A15478" s="3" t="str">
        <f>IFERROR(__xludf.DUMMYFUNCTION("GOOGLETRANSLATE(A15478,""en"",""pt"")"),"reprovação")</f>
        <v>reprovação</v>
      </c>
      <c r="B15478" s="3">
        <v>0</v>
      </c>
    </row>
    <row r="15479" ht="15.75" customHeight="1" spans="1:2">
      <c r="A15479" s="3" t="str">
        <f>IFERROR(__xludf.DUMMYFUNCTION("GOOGLETRANSLATE(A15479,""en"",""pt"")"),"reprovador")</f>
        <v>reprovador</v>
      </c>
      <c r="B15479" s="3">
        <v>0</v>
      </c>
    </row>
    <row r="15480" ht="15.75" customHeight="1" spans="1:2">
      <c r="A15480" s="3" t="str">
        <f>IFERROR(__xludf.DUMMYFUNCTION("GOOGLETRANSLATE(A15480,""en"",""pt"")"),"repudiar")</f>
        <v>repudiar</v>
      </c>
      <c r="B15480" s="3">
        <v>0</v>
      </c>
    </row>
    <row r="15481" ht="15.75" customHeight="1" spans="1:2">
      <c r="A15481" s="3" t="str">
        <f>IFERROR(__xludf.DUMMYFUNCTION("GOOGLETRANSLATE(A15481,""en"",""pt"")"),"repúdio")</f>
        <v>repúdio</v>
      </c>
      <c r="B15481" s="3">
        <v>0</v>
      </c>
    </row>
    <row r="15482" ht="15.75" customHeight="1" spans="1:2">
      <c r="A15482" s="3" t="str">
        <f>IFERROR(__xludf.DUMMYFUNCTION("GOOGLETRANSLATE(A15482,""en"",""pt"")"),"repugn")</f>
        <v>repugn</v>
      </c>
      <c r="B15482" s="3">
        <v>0</v>
      </c>
    </row>
    <row r="15483" ht="15.75" customHeight="1" spans="1:2">
      <c r="A15483" s="3" t="str">
        <f>IFERROR(__xludf.DUMMYFUNCTION("GOOGLETRANSLATE(A15483,""en"",""pt"")"),"repugnância")</f>
        <v>repugnância</v>
      </c>
      <c r="B15483" s="3">
        <v>0</v>
      </c>
    </row>
    <row r="15484" ht="15.75" customHeight="1" spans="1:2">
      <c r="A15484" s="3" t="str">
        <f>IFERROR(__xludf.DUMMYFUNCTION("GOOGLETRANSLATE(A15484,""en"",""pt"")"),"repugnante")</f>
        <v>repugnante</v>
      </c>
      <c r="B15484" s="3">
        <v>0</v>
      </c>
    </row>
    <row r="15485" ht="15.75" customHeight="1" spans="1:2">
      <c r="A15485" s="3" t="str">
        <f>IFERROR(__xludf.DUMMYFUNCTION("GOOGLETRANSLATE(A15485,""en"",""pt"")"),"repugnantemente")</f>
        <v>repugnantemente</v>
      </c>
      <c r="B15485" s="3">
        <v>0</v>
      </c>
    </row>
    <row r="15486" ht="15.75" customHeight="1" spans="1:2">
      <c r="A15486" s="3" t="str">
        <f>IFERROR(__xludf.DUMMYFUNCTION("GOOGLETRANSLATE(A15486,""en"",""pt"")"),"repulsa")</f>
        <v>repulsa</v>
      </c>
      <c r="B15486" s="3">
        <v>0</v>
      </c>
    </row>
    <row r="15487" ht="15.75" customHeight="1" spans="1:2">
      <c r="A15487" s="3" t="str">
        <f>IFERROR(__xludf.DUMMYFUNCTION("GOOGLETRANSLATE(A15487,""en"",""pt"")"),"repelido")</f>
        <v>repelido</v>
      </c>
      <c r="B15487" s="3">
        <v>0</v>
      </c>
    </row>
    <row r="15488" ht="15.75" customHeight="1" spans="1:2">
      <c r="A15488" s="3" t="str">
        <f>IFERROR(__xludf.DUMMYFUNCTION("GOOGLETRANSLATE(A15488,""en"",""pt"")"),"repulsing")</f>
        <v>repulsing</v>
      </c>
      <c r="B15488" s="3">
        <v>0</v>
      </c>
    </row>
    <row r="15489" ht="15.75" customHeight="1" spans="1:2">
      <c r="A15489" s="3" t="str">
        <f>IFERROR(__xludf.DUMMYFUNCTION("GOOGLETRANSLATE(A15489,""en"",""pt"")"),"repulsivo")</f>
        <v>repulsivo</v>
      </c>
      <c r="B15489" s="3">
        <v>0</v>
      </c>
    </row>
    <row r="15490" ht="15.75" customHeight="1" spans="1:2">
      <c r="A15490" s="3" t="str">
        <f>IFERROR(__xludf.DUMMYFUNCTION("GOOGLETRANSLATE(A15490,""en"",""pt"")"),"repulsively")</f>
        <v>repulsively</v>
      </c>
      <c r="B15490" s="3">
        <v>0</v>
      </c>
    </row>
    <row r="15491" ht="15.75" customHeight="1" spans="1:2">
      <c r="A15491" s="3" t="str">
        <f>IFERROR(__xludf.DUMMYFUNCTION("GOOGLETRANSLATE(A15491,""en"",""pt"")"),"repulsiveness")</f>
        <v>repulsiveness</v>
      </c>
      <c r="B15491" s="3">
        <v>0</v>
      </c>
    </row>
    <row r="15492" ht="15.75" customHeight="1" spans="1:2">
      <c r="A15492" s="3" t="str">
        <f>IFERROR(__xludf.DUMMYFUNCTION("GOOGLETRANSLATE(A15492,""en"",""pt"")"),"reenviado")</f>
        <v>reenviado</v>
      </c>
      <c r="B15492" s="3">
        <v>0</v>
      </c>
    </row>
    <row r="15493" ht="15.75" customHeight="1" spans="1:2">
      <c r="A15493" s="3" t="str">
        <f>IFERROR(__xludf.DUMMYFUNCTION("GOOGLETRANSLATE(A15493,""en"",""pt"")"),"ressentido")</f>
        <v>ressentido</v>
      </c>
      <c r="B15493" s="3">
        <v>0</v>
      </c>
    </row>
    <row r="15494" ht="15.75" customHeight="1" spans="1:2">
      <c r="A15494" s="3" t="str">
        <f>IFERROR(__xludf.DUMMYFUNCTION("GOOGLETRANSLATE(A15494,""en"",""pt"")"),"ressentimento")</f>
        <v>ressentimento</v>
      </c>
      <c r="B15494" s="3">
        <v>0</v>
      </c>
    </row>
    <row r="15495" ht="15.75" customHeight="1" spans="1:2">
      <c r="A15495" s="3" t="str">
        <f>IFERROR(__xludf.DUMMYFUNCTION("GOOGLETRANSLATE(A15495,""en"",""pt"")"),"renúncia")</f>
        <v>renúncia</v>
      </c>
      <c r="B15495" s="3">
        <v>0</v>
      </c>
    </row>
    <row r="15496" ht="15.75" customHeight="1" spans="1:2">
      <c r="A15496" s="3" t="str">
        <f>IFERROR(__xludf.DUMMYFUNCTION("GOOGLETRANSLATE(A15496,""en"",""pt"")"),"resignado")</f>
        <v>resignado</v>
      </c>
      <c r="B15496" s="3">
        <v>0</v>
      </c>
    </row>
    <row r="15497" ht="15.75" customHeight="1" spans="1:2">
      <c r="A15497" s="3" t="str">
        <f>IFERROR(__xludf.DUMMYFUNCTION("GOOGLETRANSLATE(A15497,""en"",""pt"")"),"resistência")</f>
        <v>resistência</v>
      </c>
      <c r="B15497" s="3">
        <v>0</v>
      </c>
    </row>
    <row r="15498" ht="15.75" customHeight="1" spans="1:2">
      <c r="A15498" s="3" t="str">
        <f>IFERROR(__xludf.DUMMYFUNCTION("GOOGLETRANSLATE(A15498,""en"",""pt"")"),"inquieto")</f>
        <v>inquieto</v>
      </c>
      <c r="B15498" s="3">
        <v>0</v>
      </c>
    </row>
    <row r="15499" ht="15.75" customHeight="1" spans="1:2">
      <c r="A15499" s="3" t="str">
        <f>IFERROR(__xludf.DUMMYFUNCTION("GOOGLETRANSLATE(A15499,""en"",""pt"")"),"inquietação")</f>
        <v>inquietação</v>
      </c>
      <c r="B15499" s="3">
        <v>0</v>
      </c>
    </row>
    <row r="15500" ht="15.75" customHeight="1" spans="1:2">
      <c r="A15500" s="3" t="str">
        <f>IFERROR(__xludf.DUMMYFUNCTION("GOOGLETRANSLATE(A15500,""en"",""pt"")"),"restringir")</f>
        <v>restringir</v>
      </c>
      <c r="B15500" s="3">
        <v>0</v>
      </c>
    </row>
    <row r="15501" ht="15.75" customHeight="1" spans="1:2">
      <c r="A15501" s="3" t="str">
        <f>IFERROR(__xludf.DUMMYFUNCTION("GOOGLETRANSLATE(A15501,""en"",""pt"")"),"restrito")</f>
        <v>restrito</v>
      </c>
      <c r="B15501" s="3">
        <v>0</v>
      </c>
    </row>
    <row r="15502" ht="15.75" customHeight="1" spans="1:2">
      <c r="A15502" s="3" t="str">
        <f>IFERROR(__xludf.DUMMYFUNCTION("GOOGLETRANSLATE(A15502,""en"",""pt"")"),"restrição")</f>
        <v>restrição</v>
      </c>
      <c r="B15502" s="3">
        <v>0</v>
      </c>
    </row>
    <row r="15503" ht="15.75" customHeight="1" spans="1:2">
      <c r="A15503" s="3" t="str">
        <f>IFERROR(__xludf.DUMMYFUNCTION("GOOGLETRANSLATE(A15503,""en"",""pt"")"),"restritivo")</f>
        <v>restritivo</v>
      </c>
      <c r="B15503" s="3">
        <v>0</v>
      </c>
    </row>
    <row r="15504" ht="15.75" customHeight="1" spans="1:2">
      <c r="A15504" s="3" t="str">
        <f>IFERROR(__xludf.DUMMYFUNCTION("GOOGLETRANSLATE(A15504,""en"",""pt"")"),"que ressurge")</f>
        <v>que ressurge</v>
      </c>
      <c r="B15504" s="3">
        <v>0</v>
      </c>
    </row>
    <row r="15505" ht="15.75" customHeight="1" spans="1:2">
      <c r="A15505" s="3" t="str">
        <f>IFERROR(__xludf.DUMMYFUNCTION("GOOGLETRANSLATE(A15505,""en"",""pt"")"),"retaliar")</f>
        <v>retaliar</v>
      </c>
      <c r="B15505" s="3">
        <v>0</v>
      </c>
    </row>
    <row r="15506" ht="15.75" customHeight="1" spans="1:2">
      <c r="A15506" s="3" t="str">
        <f>IFERROR(__xludf.DUMMYFUNCTION("GOOGLETRANSLATE(A15506,""en"",""pt"")"),"retaliativo")</f>
        <v>retaliativo</v>
      </c>
      <c r="B15506" s="3">
        <v>0</v>
      </c>
    </row>
    <row r="15507" ht="15.75" customHeight="1" spans="1:2">
      <c r="A15507" s="3" t="str">
        <f>IFERROR(__xludf.DUMMYFUNCTION("GOOGLETRANSLATE(A15507,""en"",""pt"")"),"retardar")</f>
        <v>retardar</v>
      </c>
      <c r="B15507" s="3">
        <v>0</v>
      </c>
    </row>
    <row r="15508" ht="15.75" customHeight="1" spans="1:2">
      <c r="A15508" s="3" t="str">
        <f>IFERROR(__xludf.DUMMYFUNCTION("GOOGLETRANSLATE(A15508,""en"",""pt"")"),"retardado")</f>
        <v>retardado</v>
      </c>
      <c r="B15508" s="3">
        <v>0</v>
      </c>
    </row>
    <row r="15509" ht="15.75" customHeight="1" spans="1:2">
      <c r="A15509" s="3" t="str">
        <f>IFERROR(__xludf.DUMMYFUNCTION("GOOGLETRANSLATE(A15509,""en"",""pt"")"),"retardedness")</f>
        <v>retardedness</v>
      </c>
      <c r="B15509" s="3">
        <v>0</v>
      </c>
    </row>
    <row r="15510" ht="15.75" customHeight="1" spans="1:2">
      <c r="A15510" s="3" t="str">
        <f>IFERROR(__xludf.DUMMYFUNCTION("GOOGLETRANSLATE(A15510,""en"",""pt"")"),"retardados")</f>
        <v>retardados</v>
      </c>
      <c r="B15510" s="3">
        <v>0</v>
      </c>
    </row>
    <row r="15511" ht="15.75" customHeight="1" spans="1:2">
      <c r="A15511" s="3" t="str">
        <f>IFERROR(__xludf.DUMMYFUNCTION("GOOGLETRANSLATE(A15511,""en"",""pt"")"),"reticente")</f>
        <v>reticente</v>
      </c>
      <c r="B15511" s="3">
        <v>0</v>
      </c>
    </row>
    <row r="15512" ht="15.75" customHeight="1" spans="1:2">
      <c r="A15512" s="3" t="str">
        <f>IFERROR(__xludf.DUMMYFUNCTION("GOOGLETRANSLATE(A15512,""en"",""pt"")"),"retrair")</f>
        <v>retrair</v>
      </c>
      <c r="B15512" s="3">
        <v>0</v>
      </c>
    </row>
    <row r="15513" ht="15.75" customHeight="1" spans="1:2">
      <c r="A15513" s="3" t="str">
        <f>IFERROR(__xludf.DUMMYFUNCTION("GOOGLETRANSLATE(A15513,""en"",""pt"")"),"retiro")</f>
        <v>retiro</v>
      </c>
      <c r="B15513" s="3">
        <v>0</v>
      </c>
    </row>
    <row r="15514" ht="15.75" customHeight="1" spans="1:2">
      <c r="A15514" s="3" t="str">
        <f>IFERROR(__xludf.DUMMYFUNCTION("GOOGLETRANSLATE(A15514,""en"",""pt"")"),"retirou")</f>
        <v>retirou</v>
      </c>
      <c r="B15514" s="3">
        <v>0</v>
      </c>
    </row>
    <row r="15515" ht="15.75" customHeight="1" spans="1:2">
      <c r="A15515" s="3" t="str">
        <f>IFERROR(__xludf.DUMMYFUNCTION("GOOGLETRANSLATE(A15515,""en"",""pt"")"),"vingança")</f>
        <v>vingança</v>
      </c>
      <c r="B15515" s="3">
        <v>0</v>
      </c>
    </row>
    <row r="15516" ht="15.75" customHeight="1" spans="1:2">
      <c r="A15516" s="3" t="str">
        <f>IFERROR(__xludf.DUMMYFUNCTION("GOOGLETRANSLATE(A15516,""en"",""pt"")"),"vingativo")</f>
        <v>vingativo</v>
      </c>
      <c r="B15516" s="3">
        <v>0</v>
      </c>
    </row>
    <row r="15517" ht="15.75" customHeight="1" spans="1:2">
      <c r="A15517" s="3" t="str">
        <f>IFERROR(__xludf.DUMMYFUNCTION("GOOGLETRANSLATE(A15517,""en"",""pt"")"),"vingativamente")</f>
        <v>vingativamente</v>
      </c>
      <c r="B15517" s="3">
        <v>0</v>
      </c>
    </row>
    <row r="15518" ht="15.75" customHeight="1" spans="1:2">
      <c r="A15518" s="3" t="str">
        <f>IFERROR(__xludf.DUMMYFUNCTION("GOOGLETRANSLATE(A15518,""en"",""pt"")"),"reverter")</f>
        <v>reverter</v>
      </c>
      <c r="B15518" s="3">
        <v>0</v>
      </c>
    </row>
    <row r="15519" ht="15.75" customHeight="1" spans="1:2">
      <c r="A15519" s="3" t="str">
        <f>IFERROR(__xludf.DUMMYFUNCTION("GOOGLETRANSLATE(A15519,""en"",""pt"")"),"Revile")</f>
        <v>Revile</v>
      </c>
      <c r="B15519" s="3">
        <v>0</v>
      </c>
    </row>
    <row r="15520" ht="15.75" customHeight="1" spans="1:2">
      <c r="A15520" s="3" t="str">
        <f>IFERROR(__xludf.DUMMYFUNCTION("GOOGLETRANSLATE(A15520,""en"",""pt"")"),"injuriado")</f>
        <v>injuriado</v>
      </c>
      <c r="B15520" s="3">
        <v>0</v>
      </c>
    </row>
    <row r="15521" ht="15.75" customHeight="1" spans="1:2">
      <c r="A15521" s="3" t="str">
        <f>IFERROR(__xludf.DUMMYFUNCTION("GOOGLETRANSLATE(A15521,""en"",""pt"")"),"revogar")</f>
        <v>revogar</v>
      </c>
      <c r="B15521" s="3">
        <v>0</v>
      </c>
    </row>
    <row r="15522" ht="15.75" customHeight="1" spans="1:2">
      <c r="A15522" s="3" t="str">
        <f>IFERROR(__xludf.DUMMYFUNCTION("GOOGLETRANSLATE(A15522,""en"",""pt"")"),"revolta")</f>
        <v>revolta</v>
      </c>
      <c r="B15522" s="3">
        <v>0</v>
      </c>
    </row>
    <row r="15523" ht="15.75" customHeight="1" spans="1:2">
      <c r="A15523" s="3" t="str">
        <f>IFERROR(__xludf.DUMMYFUNCTION("GOOGLETRANSLATE(A15523,""en"",""pt"")"),"revoltante")</f>
        <v>revoltante</v>
      </c>
      <c r="B15523" s="3">
        <v>0</v>
      </c>
    </row>
    <row r="15524" ht="15.75" customHeight="1" spans="1:2">
      <c r="A15524" s="3" t="str">
        <f>IFERROR(__xludf.DUMMYFUNCTION("GOOGLETRANSLATE(A15524,""en"",""pt"")"),"revoltingly")</f>
        <v>revoltingly</v>
      </c>
      <c r="B15524" s="3">
        <v>0</v>
      </c>
    </row>
    <row r="15525" ht="15.75" customHeight="1" spans="1:2">
      <c r="A15525" s="3" t="str">
        <f>IFERROR(__xludf.DUMMYFUNCTION("GOOGLETRANSLATE(A15525,""en"",""pt"")"),"asco")</f>
        <v>asco</v>
      </c>
      <c r="B15525" s="3">
        <v>0</v>
      </c>
    </row>
    <row r="15526" ht="15.75" customHeight="1" spans="1:2">
      <c r="A15526" s="3" t="str">
        <f>IFERROR(__xludf.DUMMYFUNCTION("GOOGLETRANSLATE(A15526,""en"",""pt"")"),"revulsivo")</f>
        <v>revulsivo</v>
      </c>
      <c r="B15526" s="3">
        <v>0</v>
      </c>
    </row>
    <row r="15527" ht="15.75" customHeight="1" spans="1:2">
      <c r="A15527" s="3" t="str">
        <f>IFERROR(__xludf.DUMMYFUNCTION("GOOGLETRANSLATE(A15527,""en"",""pt"")"),"escrever rapsódias")</f>
        <v>escrever rapsódias</v>
      </c>
      <c r="B15527" s="3">
        <v>0</v>
      </c>
    </row>
    <row r="15528" ht="15.75" customHeight="1" spans="1:2">
      <c r="A15528" s="3" t="str">
        <f>IFERROR(__xludf.DUMMYFUNCTION("GOOGLETRANSLATE(A15528,""en"",""pt"")"),"retórica")</f>
        <v>retórica</v>
      </c>
      <c r="B15528" s="3">
        <v>0</v>
      </c>
    </row>
    <row r="15529" ht="15.75" customHeight="1" spans="1:2">
      <c r="A15529" s="3" t="str">
        <f>IFERROR(__xludf.DUMMYFUNCTION("GOOGLETRANSLATE(A15529,""en"",""pt"")"),"retórico")</f>
        <v>retórico</v>
      </c>
      <c r="B15529" s="3">
        <v>0</v>
      </c>
    </row>
    <row r="15530" ht="15.75" customHeight="1" spans="1:2">
      <c r="A15530" s="3" t="str">
        <f>IFERROR(__xludf.DUMMYFUNCTION("GOOGLETRANSLATE(A15530,""en"",""pt"")"),"ricer")</f>
        <v>ricer</v>
      </c>
      <c r="B15530" s="3">
        <v>0</v>
      </c>
    </row>
    <row r="15531" ht="15.75" customHeight="1" spans="1:2">
      <c r="A15531" s="3" t="str">
        <f>IFERROR(__xludf.DUMMYFUNCTION("GOOGLETRANSLATE(A15531,""en"",""pt"")"),"ridículo")</f>
        <v>ridículo</v>
      </c>
      <c r="B15531" s="3">
        <v>0</v>
      </c>
    </row>
    <row r="15532" ht="15.75" customHeight="1" spans="1:2">
      <c r="A15532" s="3" t="str">
        <f>IFERROR(__xludf.DUMMYFUNCTION("GOOGLETRANSLATE(A15532,""en"",""pt"")"),"ridiculariza")</f>
        <v>ridiculariza</v>
      </c>
      <c r="B15532" s="3">
        <v>0</v>
      </c>
    </row>
    <row r="15533" ht="15.75" customHeight="1" spans="1:2">
      <c r="A15533" s="3" t="str">
        <f>IFERROR(__xludf.DUMMYFUNCTION("GOOGLETRANSLATE(A15533,""en"",""pt"")"),"ridículo")</f>
        <v>ridículo</v>
      </c>
      <c r="B15533" s="3">
        <v>0</v>
      </c>
    </row>
    <row r="15534" ht="15.75" customHeight="1" spans="1:2">
      <c r="A15534" s="3" t="str">
        <f>IFERROR(__xludf.DUMMYFUNCTION("GOOGLETRANSLATE(A15534,""en"",""pt"")"),"ridiculamente")</f>
        <v>ridiculamente</v>
      </c>
      <c r="B15534" s="3">
        <v>0</v>
      </c>
    </row>
    <row r="15535" ht="15.75" customHeight="1" spans="1:2">
      <c r="A15535" s="3" t="str">
        <f>IFERROR(__xludf.DUMMYFUNCTION("GOOGLETRANSLATE(A15535,""en"",""pt"")"),"freqüente")</f>
        <v>freqüente</v>
      </c>
      <c r="B15535" s="3">
        <v>0</v>
      </c>
    </row>
    <row r="15536" ht="15.75" customHeight="1" spans="1:2">
      <c r="A15536" s="3" t="str">
        <f>IFERROR(__xludf.DUMMYFUNCTION("GOOGLETRANSLATE(A15536,""en"",""pt"")"),"fenda")</f>
        <v>fenda</v>
      </c>
      <c r="B15536" s="3">
        <v>0</v>
      </c>
    </row>
    <row r="15537" ht="15.75" customHeight="1" spans="1:2">
      <c r="A15537" s="3" t="str">
        <f>IFERROR(__xludf.DUMMYFUNCTION("GOOGLETRANSLATE(A15537,""en"",""pt"")"),"fendas")</f>
        <v>fendas</v>
      </c>
      <c r="B15537" s="3">
        <v>0</v>
      </c>
    </row>
    <row r="15538" ht="15.75" customHeight="1" spans="1:2">
      <c r="A15538" s="3" t="str">
        <f>IFERROR(__xludf.DUMMYFUNCTION("GOOGLETRANSLATE(A15538,""en"",""pt"")"),"rígido")</f>
        <v>rígido</v>
      </c>
      <c r="B15538" s="3">
        <v>0</v>
      </c>
    </row>
    <row r="15539" ht="15.75" customHeight="1" spans="1:2">
      <c r="A15539" s="3" t="str">
        <f>IFERROR(__xludf.DUMMYFUNCTION("GOOGLETRANSLATE(A15539,""en"",""pt"")"),"rigidez")</f>
        <v>rigidez</v>
      </c>
      <c r="B15539" s="3">
        <v>0</v>
      </c>
    </row>
    <row r="15540" ht="15.75" customHeight="1" spans="1:2">
      <c r="A15540" s="3" t="str">
        <f>IFERROR(__xludf.DUMMYFUNCTION("GOOGLETRANSLATE(A15540,""en"",""pt"")"),"rigidez")</f>
        <v>rigidez</v>
      </c>
      <c r="B15540" s="3">
        <v>0</v>
      </c>
    </row>
    <row r="15541" ht="15.75" customHeight="1" spans="1:2">
      <c r="A15541" s="3" t="str">
        <f>IFERROR(__xludf.DUMMYFUNCTION("GOOGLETRANSLATE(A15541,""en"",""pt"")"),"irritar")</f>
        <v>irritar</v>
      </c>
      <c r="B15541" s="3">
        <v>0</v>
      </c>
    </row>
    <row r="15542" ht="15.75" customHeight="1" spans="1:2">
      <c r="A15542" s="3" t="str">
        <f>IFERROR(__xludf.DUMMYFUNCTION("GOOGLETRANSLATE(A15542,""en"",""pt"")"),"riled")</f>
        <v>riled</v>
      </c>
      <c r="B15542" s="3">
        <v>0</v>
      </c>
    </row>
    <row r="15543" ht="15.75" customHeight="1" spans="1:2">
      <c r="A15543" s="3" t="str">
        <f>IFERROR(__xludf.DUMMYFUNCTION("GOOGLETRANSLATE(A15543,""en"",""pt"")"),"Descanse em paz")</f>
        <v>Descanse em paz</v>
      </c>
      <c r="B15543" s="3">
        <v>0</v>
      </c>
    </row>
    <row r="15544" ht="15.75" customHeight="1" spans="1:2">
      <c r="A15544" s="3" t="str">
        <f>IFERROR(__xludf.DUMMYFUNCTION("GOOGLETRANSLATE(A15544,""en"",""pt"")"),"enganar")</f>
        <v>enganar</v>
      </c>
      <c r="B15544" s="3">
        <v>0</v>
      </c>
    </row>
    <row r="15545" ht="15.75" customHeight="1" spans="1:2">
      <c r="A15545" s="3" t="str">
        <f>IFERROR(__xludf.DUMMYFUNCTION("GOOGLETRANSLATE(A15545,""en"",""pt"")"),"enganar")</f>
        <v>enganar</v>
      </c>
      <c r="B15545" s="3">
        <v>0</v>
      </c>
    </row>
    <row r="15546" ht="15.75" customHeight="1" spans="1:2">
      <c r="A15546" s="3" t="str">
        <f>IFERROR(__xludf.DUMMYFUNCTION("GOOGLETRANSLATE(A15546,""en"",""pt"")"),"rasgado")</f>
        <v>rasgado</v>
      </c>
      <c r="B15546" s="3">
        <v>0</v>
      </c>
    </row>
    <row r="15547" ht="15.75" customHeight="1" spans="1:2">
      <c r="A15547" s="3" t="str">
        <f>IFERROR(__xludf.DUMMYFUNCTION("GOOGLETRANSLATE(A15547,""en"",""pt"")"),"risco")</f>
        <v>risco</v>
      </c>
      <c r="B15547" s="3">
        <v>0</v>
      </c>
    </row>
    <row r="15548" ht="15.75" customHeight="1" spans="1:2">
      <c r="A15548" s="3" t="str">
        <f>IFERROR(__xludf.DUMMYFUNCTION("GOOGLETRANSLATE(A15548,""en"",""pt"")"),"riscos")</f>
        <v>riscos</v>
      </c>
      <c r="B15548" s="3">
        <v>0</v>
      </c>
    </row>
    <row r="15549" ht="15.75" customHeight="1" spans="1:2">
      <c r="A15549" s="3" t="str">
        <f>IFERROR(__xludf.DUMMYFUNCTION("GOOGLETRANSLATE(A15549,""en"",""pt"")"),"arriscado")</f>
        <v>arriscado</v>
      </c>
      <c r="B15549" s="3">
        <v>0</v>
      </c>
    </row>
    <row r="15550" ht="15.75" customHeight="1" spans="1:2">
      <c r="A15550" s="3" t="str">
        <f>IFERROR(__xludf.DUMMYFUNCTION("GOOGLETRANSLATE(A15550,""en"",""pt"")"),"rival")</f>
        <v>rival</v>
      </c>
      <c r="B15550" s="3">
        <v>0</v>
      </c>
    </row>
    <row r="15551" ht="15.75" customHeight="1" spans="1:2">
      <c r="A15551" s="3" t="str">
        <f>IFERROR(__xludf.DUMMYFUNCTION("GOOGLETRANSLATE(A15551,""en"",""pt"")"),"rivalidade")</f>
        <v>rivalidade</v>
      </c>
      <c r="B15551" s="3">
        <v>0</v>
      </c>
    </row>
    <row r="15552" ht="15.75" customHeight="1" spans="1:2">
      <c r="A15552" s="3" t="str">
        <f>IFERROR(__xludf.DUMMYFUNCTION("GOOGLETRANSLATE(A15552,""en"",""pt"")"),"bloqueios de estradas")</f>
        <v>bloqueios de estradas</v>
      </c>
      <c r="B15552" s="3">
        <v>0</v>
      </c>
    </row>
    <row r="15553" ht="15.75" customHeight="1" spans="1:2">
      <c r="A15553" s="3" t="str">
        <f>IFERROR(__xludf.DUMMYFUNCTION("GOOGLETRANSLATE(A15553,""en"",""pt"")"),"rochoso")</f>
        <v>rochoso</v>
      </c>
      <c r="B15553" s="3">
        <v>0</v>
      </c>
    </row>
    <row r="15554" ht="15.75" customHeight="1" spans="1:2">
      <c r="A15554" s="3" t="str">
        <f>IFERROR(__xludf.DUMMYFUNCTION("GOOGLETRANSLATE(A15554,""en"",""pt"")"),"Vampiro")</f>
        <v>Vampiro</v>
      </c>
      <c r="B15554" s="3">
        <v>0</v>
      </c>
    </row>
    <row r="15555" ht="15.75" customHeight="1" spans="1:2">
      <c r="A15555" s="3" t="str">
        <f>IFERROR(__xludf.DUMMYFUNCTION("GOOGLETRANSLATE(A15555,""en"",""pt"")"),"montanha russa")</f>
        <v>montanha russa</v>
      </c>
      <c r="B15555" s="3">
        <v>0</v>
      </c>
    </row>
    <row r="15556" ht="15.75" customHeight="1" spans="1:2">
      <c r="A15556" s="3" t="str">
        <f>IFERROR(__xludf.DUMMYFUNCTION("GOOGLETRANSLATE(A15556,""en"",""pt"")"),"podridão")</f>
        <v>podridão</v>
      </c>
      <c r="B15556" s="3">
        <v>0</v>
      </c>
    </row>
    <row r="15557" ht="15.75" customHeight="1" spans="1:2">
      <c r="A15557" s="3" t="str">
        <f>IFERROR(__xludf.DUMMYFUNCTION("GOOGLETRANSLATE(A15557,""en"",""pt"")"),"podre")</f>
        <v>podre</v>
      </c>
      <c r="B15557" s="3">
        <v>0</v>
      </c>
    </row>
    <row r="15558" ht="15.75" customHeight="1" spans="1:2">
      <c r="A15558" s="3" t="str">
        <f>IFERROR(__xludf.DUMMYFUNCTION("GOOGLETRANSLATE(A15558,""en"",""pt"")"),"rude")</f>
        <v>rude</v>
      </c>
      <c r="B15558" s="3">
        <v>0</v>
      </c>
    </row>
    <row r="15559" ht="15.75" customHeight="1" spans="1:2">
      <c r="A15559" s="3" t="str">
        <f>IFERROR(__xludf.DUMMYFUNCTION("GOOGLETRANSLATE(A15559,""en"",""pt"")"),"rremediable")</f>
        <v>rremediable</v>
      </c>
      <c r="B15559" s="3">
        <v>0</v>
      </c>
    </row>
    <row r="15560" ht="15.75" customHeight="1" spans="1:2">
      <c r="A15560" s="3" t="str">
        <f>IFERROR(__xludf.DUMMYFUNCTION("GOOGLETRANSLATE(A15560,""en"",""pt"")"),"lixo")</f>
        <v>lixo</v>
      </c>
      <c r="B15560" s="3">
        <v>0</v>
      </c>
    </row>
    <row r="15561" ht="15.75" customHeight="1" spans="1:2">
      <c r="A15561" s="3" t="str">
        <f>IFERROR(__xludf.DUMMYFUNCTION("GOOGLETRANSLATE(A15561,""en"",""pt"")"),"grosseiro")</f>
        <v>grosseiro</v>
      </c>
      <c r="B15561" s="3">
        <v>0</v>
      </c>
    </row>
    <row r="15562" ht="15.75" customHeight="1" spans="1:2">
      <c r="A15562" s="3" t="str">
        <f>IFERROR(__xludf.DUMMYFUNCTION("GOOGLETRANSLATE(A15562,""en"",""pt"")"),"arruda")</f>
        <v>arruda</v>
      </c>
      <c r="B15562" s="3">
        <v>0</v>
      </c>
    </row>
    <row r="15563" ht="15.75" customHeight="1" spans="1:2">
      <c r="A15563" s="3" t="str">
        <f>IFERROR(__xludf.DUMMYFUNCTION("GOOGLETRANSLATE(A15563,""en"",""pt"")"),"rufião")</f>
        <v>rufião</v>
      </c>
      <c r="B15563" s="3">
        <v>0</v>
      </c>
    </row>
    <row r="15564" ht="15.75" customHeight="1" spans="1:2">
      <c r="A15564" s="3" t="str">
        <f>IFERROR(__xludf.DUMMYFUNCTION("GOOGLETRANSLATE(A15564,""en"",""pt"")"),"irritar")</f>
        <v>irritar</v>
      </c>
      <c r="B15564" s="3">
        <v>0</v>
      </c>
    </row>
    <row r="15565" ht="15.75" customHeight="1" spans="1:2">
      <c r="A15565" s="3" t="str">
        <f>IFERROR(__xludf.DUMMYFUNCTION("GOOGLETRANSLATE(A15565,""en"",""pt"")"),"ruína")</f>
        <v>ruína</v>
      </c>
      <c r="B15565" s="3">
        <v>0</v>
      </c>
    </row>
    <row r="15566" ht="15.75" customHeight="1" spans="1:2">
      <c r="A15566" s="3" t="s">
        <v>83</v>
      </c>
      <c r="B15566" s="3">
        <v>0</v>
      </c>
    </row>
    <row r="15567" ht="15.75" customHeight="1" spans="1:2">
      <c r="A15567" s="3" t="str">
        <f>IFERROR(__xludf.DUMMYFUNCTION("GOOGLETRANSLATE(A15567,""en"",""pt"")"),"arruinando")</f>
        <v>arruinando</v>
      </c>
      <c r="B15567" s="3">
        <v>0</v>
      </c>
    </row>
    <row r="15568" ht="15.75" customHeight="1" spans="1:2">
      <c r="A15568" s="3" t="str">
        <f>IFERROR(__xludf.DUMMYFUNCTION("GOOGLETRANSLATE(A15568,""en"",""pt"")"),"ruinoso")</f>
        <v>ruinoso</v>
      </c>
      <c r="B15568" s="3">
        <v>0</v>
      </c>
    </row>
    <row r="15569" ht="15.75" customHeight="1" spans="1:2">
      <c r="A15569" s="3" t="str">
        <f>IFERROR(__xludf.DUMMYFUNCTION("GOOGLETRANSLATE(A15569,""en"",""pt"")"),"ruínas")</f>
        <v>ruínas</v>
      </c>
      <c r="B15569" s="3">
        <v>0</v>
      </c>
    </row>
    <row r="15570" ht="15.75" customHeight="1" spans="1:2">
      <c r="A15570" s="3" t="str">
        <f>IFERROR(__xludf.DUMMYFUNCTION("GOOGLETRANSLATE(A15570,""en"",""pt"")"),"retumbando")</f>
        <v>retumbando</v>
      </c>
      <c r="B15570" s="3">
        <v>0</v>
      </c>
    </row>
    <row r="15571" ht="15.75" customHeight="1" spans="1:2">
      <c r="A15571" s="3" t="str">
        <f>IFERROR(__xludf.DUMMYFUNCTION("GOOGLETRANSLATE(A15571,""en"",""pt"")"),"boato")</f>
        <v>boato</v>
      </c>
      <c r="B15571" s="3">
        <v>0</v>
      </c>
    </row>
    <row r="15572" ht="15.75" customHeight="1" spans="1:2">
      <c r="A15572" s="3" t="str">
        <f>IFERROR(__xludf.DUMMYFUNCTION("GOOGLETRANSLATE(A15572,""en"",""pt"")"),"rumores")</f>
        <v>rumores</v>
      </c>
      <c r="B15572" s="3">
        <v>0</v>
      </c>
    </row>
    <row r="15573" ht="15.75" customHeight="1" spans="1:2">
      <c r="A15573" s="3" t="str">
        <f>IFERROR(__xludf.DUMMYFUNCTION("GOOGLETRANSLATE(A15573,""en"",""pt"")"),"rumores")</f>
        <v>rumores</v>
      </c>
      <c r="B15573" s="3">
        <v>0</v>
      </c>
    </row>
    <row r="15574" ht="15.75" customHeight="1" spans="1:2">
      <c r="A15574" s="3" t="str">
        <f>IFERROR(__xludf.DUMMYFUNCTION("GOOGLETRANSLATE(A15574,""en"",""pt"")"),"amarfanhar")</f>
        <v>amarfanhar</v>
      </c>
      <c r="B15574" s="3">
        <v>0</v>
      </c>
    </row>
    <row r="15575" ht="15.75" customHeight="1" spans="1:2">
      <c r="A15575" s="3" t="str">
        <f>IFERROR(__xludf.DUMMYFUNCTION("GOOGLETRANSLATE(A15575,""en"",""pt"")"),"atropelar")</f>
        <v>atropelar</v>
      </c>
      <c r="B15575" s="3">
        <v>0</v>
      </c>
    </row>
    <row r="15576" ht="15.75" customHeight="1" spans="1:2">
      <c r="A15576" s="3" t="str">
        <f>IFERROR(__xludf.DUMMYFUNCTION("GOOGLETRANSLATE(A15576,""en"",""pt"")"),"fugir")</f>
        <v>fugir</v>
      </c>
      <c r="B15576" s="3">
        <v>0</v>
      </c>
    </row>
    <row r="15577" ht="15.75" customHeight="1" spans="1:2">
      <c r="A15577" s="3" t="str">
        <f>IFERROR(__xludf.DUMMYFUNCTION("GOOGLETRANSLATE(A15577,""en"",""pt"")"),"ruptura")</f>
        <v>ruptura</v>
      </c>
      <c r="B15577" s="3">
        <v>0</v>
      </c>
    </row>
    <row r="15578" ht="15.75" customHeight="1" spans="1:2">
      <c r="A15578" s="3" t="str">
        <f>IFERROR(__xludf.DUMMYFUNCTION("GOOGLETRANSLATE(A15578,""en"",""pt"")"),"ferrugem")</f>
        <v>ferrugem</v>
      </c>
      <c r="B15578" s="3">
        <v>0</v>
      </c>
    </row>
    <row r="15579" ht="15.75" customHeight="1" spans="1:2">
      <c r="A15579" s="3" t="str">
        <f>IFERROR(__xludf.DUMMYFUNCTION("GOOGLETRANSLATE(A15579,""en"",""pt"")"),"ferrugens")</f>
        <v>ferrugens</v>
      </c>
      <c r="B15579" s="3">
        <v>0</v>
      </c>
    </row>
    <row r="15580" ht="15.75" customHeight="1" spans="1:2">
      <c r="A15580" s="3" t="str">
        <f>IFERROR(__xludf.DUMMYFUNCTION("GOOGLETRANSLATE(A15580,""en"",""pt"")"),"oxidado")</f>
        <v>oxidado</v>
      </c>
      <c r="B15580" s="3">
        <v>0</v>
      </c>
    </row>
    <row r="15581" ht="15.75" customHeight="1" spans="1:2">
      <c r="A15581" s="3" t="str">
        <f>IFERROR(__xludf.DUMMYFUNCTION("GOOGLETRANSLATE(A15581,""en"",""pt"")"),"rotina")</f>
        <v>rotina</v>
      </c>
      <c r="B15581" s="3">
        <v>0</v>
      </c>
    </row>
    <row r="15582" ht="15.75" customHeight="1" spans="1:2">
      <c r="A15582" s="3" t="str">
        <f>IFERROR(__xludf.DUMMYFUNCTION("GOOGLETRANSLATE(A15582,""en"",""pt"")"),"cruel")</f>
        <v>cruel</v>
      </c>
      <c r="B15582" s="3">
        <v>0</v>
      </c>
    </row>
    <row r="15583" ht="15.75" customHeight="1" spans="1:2">
      <c r="A15583" s="3" t="str">
        <f>IFERROR(__xludf.DUMMYFUNCTION("GOOGLETRANSLATE(A15583,""en"",""pt"")"),"impiedosamente")</f>
        <v>impiedosamente</v>
      </c>
      <c r="B15583" s="3">
        <v>0</v>
      </c>
    </row>
    <row r="15584" ht="15.75" customHeight="1" spans="1:2">
      <c r="A15584" s="3" t="str">
        <f>IFERROR(__xludf.DUMMYFUNCTION("GOOGLETRANSLATE(A15584,""en"",""pt"")"),"crueldade")</f>
        <v>crueldade</v>
      </c>
      <c r="B15584" s="3">
        <v>0</v>
      </c>
    </row>
    <row r="15585" ht="15.75" customHeight="1" spans="1:2">
      <c r="A15585" s="3" t="str">
        <f>IFERROR(__xludf.DUMMYFUNCTION("GOOGLETRANSLATE(A15585,""en"",""pt"")"),"sulcos")</f>
        <v>sulcos</v>
      </c>
      <c r="B15585" s="3">
        <v>0</v>
      </c>
    </row>
    <row r="15586" ht="15.75" customHeight="1" spans="1:2">
      <c r="A15586" s="3" t="str">
        <f>IFERROR(__xludf.DUMMYFUNCTION("GOOGLETRANSLATE(A15586,""en"",""pt"")"),"sabotar")</f>
        <v>sabotar</v>
      </c>
      <c r="B15586" s="3">
        <v>0</v>
      </c>
    </row>
    <row r="15587" ht="15.75" customHeight="1" spans="1:2">
      <c r="A15587" s="3" t="str">
        <f>IFERROR(__xludf.DUMMYFUNCTION("GOOGLETRANSLATE(A15587,""en"",""pt"")"),"saco")</f>
        <v>saco</v>
      </c>
      <c r="B15587" s="3">
        <v>0</v>
      </c>
    </row>
    <row r="15588" ht="15.75" customHeight="1" spans="1:2">
      <c r="A15588" s="3" t="str">
        <f>IFERROR(__xludf.DUMMYFUNCTION("GOOGLETRANSLATE(A15588,""en"",""pt"")"),"sacrificado")</f>
        <v>sacrificado</v>
      </c>
      <c r="B15588" s="3">
        <v>0</v>
      </c>
    </row>
    <row r="15589" ht="15.75" customHeight="1" spans="1:2">
      <c r="A15589" s="3" t="str">
        <f>IFERROR(__xludf.DUMMYFUNCTION("GOOGLETRANSLATE(A15589,""en"",""pt"")"),"triste")</f>
        <v>triste</v>
      </c>
      <c r="B15589" s="3">
        <v>0</v>
      </c>
    </row>
    <row r="15590" ht="15.75" customHeight="1" spans="1:2">
      <c r="A15590" s="3" t="str">
        <f>IFERROR(__xludf.DUMMYFUNCTION("GOOGLETRANSLATE(A15590,""en"",""pt"")"),"entristecer")</f>
        <v>entristecer</v>
      </c>
      <c r="B15590" s="3">
        <v>0</v>
      </c>
    </row>
    <row r="15591" ht="15.75" customHeight="1" spans="1:2">
      <c r="A15591" s="3" t="s">
        <v>84</v>
      </c>
      <c r="B15591" s="3">
        <v>0</v>
      </c>
    </row>
    <row r="15592" ht="15.75" customHeight="1" spans="1:2">
      <c r="A15592" s="3" t="str">
        <f>IFERROR(__xludf.DUMMYFUNCTION("GOOGLETRANSLATE(A15592,""en"",""pt"")"),"tristeza")</f>
        <v>tristeza</v>
      </c>
      <c r="B15592" s="3">
        <v>0</v>
      </c>
    </row>
    <row r="15593" ht="15.75" customHeight="1" spans="1:2">
      <c r="A15593" s="3" t="str">
        <f>IFERROR(__xludf.DUMMYFUNCTION("GOOGLETRANSLATE(A15593,""en"",""pt"")"),"decair")</f>
        <v>decair</v>
      </c>
      <c r="B15593" s="3">
        <v>0</v>
      </c>
    </row>
    <row r="15594" ht="15.75" customHeight="1" spans="1:2">
      <c r="A15594" s="3" t="str">
        <f>IFERROR(__xludf.DUMMYFUNCTION("GOOGLETRANSLATE(A15594,""en"",""pt"")"),"cederam")</f>
        <v>cederam</v>
      </c>
      <c r="B15594" s="3">
        <v>0</v>
      </c>
    </row>
    <row r="15595" ht="15.75" customHeight="1" spans="1:2">
      <c r="A15595" s="3" t="str">
        <f>IFERROR(__xludf.DUMMYFUNCTION("GOOGLETRANSLATE(A15595,""en"",""pt"")"),"flacidez")</f>
        <v>flacidez</v>
      </c>
      <c r="B15595" s="3">
        <v>0</v>
      </c>
    </row>
    <row r="15596" ht="15.75" customHeight="1" spans="1:2">
      <c r="A15596" s="3" t="str">
        <f>IFERROR(__xludf.DUMMYFUNCTION("GOOGLETRANSLATE(A15596,""en"",""pt"")"),"saggy")</f>
        <v>saggy</v>
      </c>
      <c r="B15596" s="3">
        <v>0</v>
      </c>
    </row>
    <row r="15597" ht="15.75" customHeight="1" spans="1:2">
      <c r="A15597" s="3" t="str">
        <f>IFERROR(__xludf.DUMMYFUNCTION("GOOGLETRANSLATE(A15597,""en"",""pt"")"),"afundamentos")</f>
        <v>afundamentos</v>
      </c>
      <c r="B15597" s="3">
        <v>0</v>
      </c>
    </row>
    <row r="15598" ht="15.75" customHeight="1" spans="1:2">
      <c r="A15598" s="3" t="str">
        <f>IFERROR(__xludf.DUMMYFUNCTION("GOOGLETRANSLATE(A15598,""en"",""pt"")"),"salaz")</f>
        <v>salaz</v>
      </c>
      <c r="B15598" s="3">
        <v>0</v>
      </c>
    </row>
    <row r="15599" ht="15.75" customHeight="1" spans="1:2">
      <c r="A15599" s="3" t="str">
        <f>IFERROR(__xludf.DUMMYFUNCTION("GOOGLETRANSLATE(A15599,""en"",""pt"")"),"hipócrita")</f>
        <v>hipócrita</v>
      </c>
      <c r="B15599" s="3">
        <v>0</v>
      </c>
    </row>
    <row r="15600" ht="15.75" customHeight="1" spans="1:2">
      <c r="A15600" s="3" t="str">
        <f>IFERROR(__xludf.DUMMYFUNCTION("GOOGLETRANSLATE(A15600,""en"",""pt"")"),"seiva")</f>
        <v>seiva</v>
      </c>
      <c r="B15600" s="3">
        <v>0</v>
      </c>
    </row>
    <row r="15601" ht="15.75" customHeight="1" spans="1:2">
      <c r="A15601" s="3" t="str">
        <f>IFERROR(__xludf.DUMMYFUNCTION("GOOGLETRANSLATE(A15601,""en"",""pt"")"),"sarcasmo")</f>
        <v>sarcasmo</v>
      </c>
      <c r="B15601" s="3">
        <v>0</v>
      </c>
    </row>
    <row r="15602" ht="15.75" customHeight="1" spans="1:2">
      <c r="A15602" s="3" t="str">
        <f>IFERROR(__xludf.DUMMYFUNCTION("GOOGLETRANSLATE(A15602,""en"",""pt"")"),"sarcástico")</f>
        <v>sarcástico</v>
      </c>
      <c r="B15602" s="3">
        <v>0</v>
      </c>
    </row>
    <row r="15603" ht="15.75" customHeight="1" spans="1:2">
      <c r="A15603" s="3" t="str">
        <f>IFERROR(__xludf.DUMMYFUNCTION("GOOGLETRANSLATE(A15603,""en"",""pt"")"),"sarcasticamente")</f>
        <v>sarcasticamente</v>
      </c>
      <c r="B15603" s="3">
        <v>0</v>
      </c>
    </row>
    <row r="15604" ht="15.75" customHeight="1" spans="1:2">
      <c r="A15604" s="3" t="str">
        <f>IFERROR(__xludf.DUMMYFUNCTION("GOOGLETRANSLATE(A15604,""en"",""pt"")"),"sardônico")</f>
        <v>sardônico</v>
      </c>
      <c r="B15604" s="3">
        <v>0</v>
      </c>
    </row>
    <row r="15605" ht="15.75" customHeight="1" spans="1:2">
      <c r="A15605" s="3" t="str">
        <f>IFERROR(__xludf.DUMMYFUNCTION("GOOGLETRANSLATE(A15605,""en"",""pt"")"),"sardonicamente")</f>
        <v>sardonicamente</v>
      </c>
      <c r="B15605" s="3">
        <v>0</v>
      </c>
    </row>
    <row r="15606" ht="15.75" customHeight="1" spans="1:2">
      <c r="A15606" s="3" t="str">
        <f>IFERROR(__xludf.DUMMYFUNCTION("GOOGLETRANSLATE(A15606,""en"",""pt"")"),"insolência")</f>
        <v>insolência</v>
      </c>
      <c r="B15606" s="3">
        <v>0</v>
      </c>
    </row>
    <row r="15607" ht="15.75" customHeight="1" spans="1:2">
      <c r="A15607" s="3" t="str">
        <f>IFERROR(__xludf.DUMMYFUNCTION("GOOGLETRANSLATE(A15607,""en"",""pt"")"),"satírico")</f>
        <v>satírico</v>
      </c>
      <c r="B15607" s="3">
        <v>0</v>
      </c>
    </row>
    <row r="15608" ht="15.75" customHeight="1" spans="1:2">
      <c r="A15608" s="3" t="str">
        <f>IFERROR(__xludf.DUMMYFUNCTION("GOOGLETRANSLATE(A15608,""en"",""pt"")"),"satirizar")</f>
        <v>satirizar</v>
      </c>
      <c r="B15608" s="3">
        <v>0</v>
      </c>
    </row>
    <row r="15609" ht="15.75" customHeight="1" spans="1:2">
      <c r="A15609" s="3" t="str">
        <f>IFERROR(__xludf.DUMMYFUNCTION("GOOGLETRANSLATE(A15609,""en"",""pt"")"),"selvagem")</f>
        <v>selvagem</v>
      </c>
      <c r="B15609" s="3">
        <v>0</v>
      </c>
    </row>
    <row r="15610" ht="15.75" customHeight="1" spans="1:2">
      <c r="A15610" s="3" t="str">
        <f>IFERROR(__xludf.DUMMYFUNCTION("GOOGLETRANSLATE(A15610,""en"",""pt"")"),"savaged")</f>
        <v>savaged</v>
      </c>
      <c r="B15610" s="3">
        <v>0</v>
      </c>
    </row>
    <row r="15611" ht="15.75" customHeight="1" spans="1:2">
      <c r="A15611" s="3" t="str">
        <f>IFERROR(__xludf.DUMMYFUNCTION("GOOGLETRANSLATE(A15611,""en"",""pt"")"),"selvageria")</f>
        <v>selvageria</v>
      </c>
      <c r="B15611" s="3">
        <v>0</v>
      </c>
    </row>
    <row r="15612" ht="15.75" customHeight="1" spans="1:2">
      <c r="A15612" s="3" t="str">
        <f>IFERROR(__xludf.DUMMYFUNCTION("GOOGLETRANSLATE(A15612,""en"",""pt"")"),"selvagens")</f>
        <v>selvagens</v>
      </c>
      <c r="B15612" s="3">
        <v>0</v>
      </c>
    </row>
    <row r="15613" ht="15.75" customHeight="1" spans="1:2">
      <c r="A15613" s="3" t="str">
        <f>IFERROR(__xludf.DUMMYFUNCTION("GOOGLETRANSLATE(A15613,""en"",""pt"")"),"com escamas")</f>
        <v>com escamas</v>
      </c>
      <c r="B15613" s="3">
        <v>0</v>
      </c>
    </row>
    <row r="15614" ht="15.75" customHeight="1" spans="1:2">
      <c r="A15614" s="3" t="str">
        <f>IFERROR(__xludf.DUMMYFUNCTION("GOOGLETRANSLATE(A15614,""en"",""pt"")"),"golpe")</f>
        <v>golpe</v>
      </c>
      <c r="B15614" s="3">
        <v>0</v>
      </c>
    </row>
    <row r="15615" ht="15.75" customHeight="1" spans="1:2">
      <c r="A15615" s="3" t="str">
        <f>IFERROR(__xludf.DUMMYFUNCTION("GOOGLETRANSLATE(A15615,""en"",""pt"")"),"scams")</f>
        <v>scams</v>
      </c>
      <c r="B15615" s="3">
        <v>0</v>
      </c>
    </row>
    <row r="15616" ht="15.75" customHeight="1" spans="1:2">
      <c r="A15616" s="3" t="str">
        <f>IFERROR(__xludf.DUMMYFUNCTION("GOOGLETRANSLATE(A15616,""en"",""pt"")"),"escândalo")</f>
        <v>escândalo</v>
      </c>
      <c r="B15616" s="3">
        <v>0</v>
      </c>
    </row>
    <row r="15617" ht="15.75" customHeight="1" spans="1:2">
      <c r="A15617" s="3" t="str">
        <f>IFERROR(__xludf.DUMMYFUNCTION("GOOGLETRANSLATE(A15617,""en"",""pt"")"),"escandalizar")</f>
        <v>escandalizar</v>
      </c>
      <c r="B15617" s="3">
        <v>0</v>
      </c>
    </row>
    <row r="15618" ht="15.75" customHeight="1" spans="1:2">
      <c r="A15618" s="3" t="str">
        <f>IFERROR(__xludf.DUMMYFUNCTION("GOOGLETRANSLATE(A15618,""en"",""pt"")"),"escandalizada")</f>
        <v>escandalizada</v>
      </c>
      <c r="B15618" s="3">
        <v>0</v>
      </c>
    </row>
    <row r="15619" ht="15.75" customHeight="1" spans="1:2">
      <c r="A15619" s="3" t="str">
        <f>IFERROR(__xludf.DUMMYFUNCTION("GOOGLETRANSLATE(A15619,""en"",""pt"")"),"escandaloso")</f>
        <v>escandaloso</v>
      </c>
      <c r="B15619" s="3">
        <v>0</v>
      </c>
    </row>
    <row r="15620" ht="15.75" customHeight="1" spans="1:2">
      <c r="A15620" s="3" t="str">
        <f>IFERROR(__xludf.DUMMYFUNCTION("GOOGLETRANSLATE(A15620,""en"",""pt"")"),"escandalosamente")</f>
        <v>escandalosamente</v>
      </c>
      <c r="B15620" s="3">
        <v>0</v>
      </c>
    </row>
    <row r="15621" ht="15.75" customHeight="1" spans="1:2">
      <c r="A15621" s="3" t="str">
        <f>IFERROR(__xludf.DUMMYFUNCTION("GOOGLETRANSLATE(A15621,""en"",""pt"")"),"escândalos")</f>
        <v>escândalos</v>
      </c>
      <c r="B15621" s="3">
        <v>0</v>
      </c>
    </row>
    <row r="15622" ht="15.75" customHeight="1" spans="1:2">
      <c r="A15622" s="3" t="str">
        <f>IFERROR(__xludf.DUMMYFUNCTION("GOOGLETRANSLATE(A15622,""en"",""pt"")"),"scandel")</f>
        <v>scandel</v>
      </c>
      <c r="B15622" s="3">
        <v>0</v>
      </c>
    </row>
    <row r="15623" ht="15.75" customHeight="1" spans="1:2">
      <c r="A15623" s="3" t="str">
        <f>IFERROR(__xludf.DUMMYFUNCTION("GOOGLETRANSLATE(A15623,""en"",""pt"")"),"scandels")</f>
        <v>scandels</v>
      </c>
      <c r="B15623" s="3">
        <v>0</v>
      </c>
    </row>
    <row r="15624" ht="15.75" customHeight="1" spans="1:2">
      <c r="A15624" s="3" t="str">
        <f>IFERROR(__xludf.DUMMYFUNCTION("GOOGLETRANSLATE(A15624,""en"",""pt"")"),"escasso")</f>
        <v>escasso</v>
      </c>
      <c r="B15624" s="3">
        <v>0</v>
      </c>
    </row>
    <row r="15625" ht="15.75" customHeight="1" spans="1:2">
      <c r="A15625" s="3" t="str">
        <f>IFERROR(__xludf.DUMMYFUNCTION("GOOGLETRANSLATE(A15625,""en"",""pt"")"),"bode expiatório")</f>
        <v>bode expiatório</v>
      </c>
      <c r="B15625" s="3">
        <v>0</v>
      </c>
    </row>
    <row r="15626" ht="15.75" customHeight="1" spans="1:2">
      <c r="A15626" s="3" t="str">
        <f>IFERROR(__xludf.DUMMYFUNCTION("GOOGLETRANSLATE(A15626,""en"",""pt"")"),"cicatriz")</f>
        <v>cicatriz</v>
      </c>
      <c r="B15626" s="3">
        <v>0</v>
      </c>
    </row>
    <row r="15627" ht="15.75" customHeight="1" spans="1:2">
      <c r="A15627" s="3" t="str">
        <f>IFERROR(__xludf.DUMMYFUNCTION("GOOGLETRANSLATE(A15627,""en"",""pt"")"),"escasso")</f>
        <v>escasso</v>
      </c>
      <c r="B15627" s="3">
        <v>0</v>
      </c>
    </row>
    <row r="15628" ht="15.75" customHeight="1" spans="1:2">
      <c r="A15628" s="3" t="str">
        <f>IFERROR(__xludf.DUMMYFUNCTION("GOOGLETRANSLATE(A15628,""en"",""pt"")"),"mal")</f>
        <v>mal</v>
      </c>
      <c r="B15628" s="3">
        <v>0</v>
      </c>
    </row>
    <row r="15629" ht="15.75" customHeight="1" spans="1:2">
      <c r="A15629" s="3" t="str">
        <f>IFERROR(__xludf.DUMMYFUNCTION("GOOGLETRANSLATE(A15629,""en"",""pt"")"),"escassez")</f>
        <v>escassez</v>
      </c>
      <c r="B15629" s="3">
        <v>0</v>
      </c>
    </row>
    <row r="15630" ht="15.75" customHeight="1" spans="1:2">
      <c r="A15630" s="3" t="str">
        <f>IFERROR(__xludf.DUMMYFUNCTION("GOOGLETRANSLATE(A15630,""en"",""pt"")"),"susto")</f>
        <v>susto</v>
      </c>
      <c r="B15630" s="3">
        <v>0</v>
      </c>
    </row>
    <row r="15631" ht="15.75" customHeight="1" spans="1:2">
      <c r="A15631" s="3" t="str">
        <f>IFERROR(__xludf.DUMMYFUNCTION("GOOGLETRANSLATE(A15631,""en"",""pt"")"),"assustado")</f>
        <v>assustado</v>
      </c>
      <c r="B15631" s="3">
        <v>0</v>
      </c>
    </row>
    <row r="15632" ht="15.75" customHeight="1" spans="1:2">
      <c r="A15632" s="3" t="str">
        <f>IFERROR(__xludf.DUMMYFUNCTION("GOOGLETRANSLATE(A15632,""en"",""pt"")"),"mais assustador")</f>
        <v>mais assustador</v>
      </c>
      <c r="B15632" s="3">
        <v>0</v>
      </c>
    </row>
    <row r="15633" ht="15.75" customHeight="1" spans="1:2">
      <c r="A15633" s="3" t="str">
        <f>IFERROR(__xludf.DUMMYFUNCTION("GOOGLETRANSLATE(A15633,""en"",""pt"")"),"mais assustadora")</f>
        <v>mais assustadora</v>
      </c>
      <c r="B15633" s="3">
        <v>0</v>
      </c>
    </row>
    <row r="15634" ht="15.75" customHeight="1" spans="1:2">
      <c r="A15634" s="3" t="str">
        <f>IFERROR(__xludf.DUMMYFUNCTION("GOOGLETRANSLATE(A15634,""en"",""pt"")"),"scarily")</f>
        <v>scarily</v>
      </c>
      <c r="B15634" s="3">
        <v>0</v>
      </c>
    </row>
    <row r="15635" ht="15.75" customHeight="1" spans="1:2">
      <c r="A15635" s="3" t="str">
        <f>IFERROR(__xludf.DUMMYFUNCTION("GOOGLETRANSLATE(A15635,""en"",""pt"")"),"cicatrizado")</f>
        <v>cicatrizado</v>
      </c>
      <c r="B15635" s="3">
        <v>0</v>
      </c>
    </row>
    <row r="15636" ht="15.75" customHeight="1" spans="1:2">
      <c r="A15636" s="3" t="str">
        <f>IFERROR(__xludf.DUMMYFUNCTION("GOOGLETRANSLATE(A15636,""en"",""pt"")"),"cicatrizes")</f>
        <v>cicatrizes</v>
      </c>
      <c r="B15636" s="3">
        <v>0</v>
      </c>
    </row>
    <row r="15637" ht="15.75" customHeight="1" spans="1:2">
      <c r="A15637" s="3" t="str">
        <f>IFERROR(__xludf.DUMMYFUNCTION("GOOGLETRANSLATE(A15637,""en"",""pt"")"),"assustador")</f>
        <v>assustador</v>
      </c>
      <c r="B15637" s="3">
        <v>0</v>
      </c>
    </row>
    <row r="15638" ht="15.75" customHeight="1" spans="1:2">
      <c r="A15638" s="3" t="str">
        <f>IFERROR(__xludf.DUMMYFUNCTION("GOOGLETRANSLATE(A15638,""en"",""pt"")"),"mordaz")</f>
        <v>mordaz</v>
      </c>
      <c r="B15638" s="3">
        <v>0</v>
      </c>
    </row>
    <row r="15639" ht="15.75" customHeight="1" spans="1:2">
      <c r="A15639" s="3" t="str">
        <f>IFERROR(__xludf.DUMMYFUNCTION("GOOGLETRANSLATE(A15639,""en"",""pt"")"),"scathingly")</f>
        <v>scathingly</v>
      </c>
      <c r="B15639" s="3">
        <v>0</v>
      </c>
    </row>
    <row r="15640" ht="15.75" customHeight="1" spans="1:2">
      <c r="A15640" s="3" t="str">
        <f>IFERROR(__xludf.DUMMYFUNCTION("GOOGLETRANSLATE(A15640,""en"",""pt"")"),"cético")</f>
        <v>cético</v>
      </c>
      <c r="B15640" s="3">
        <v>0</v>
      </c>
    </row>
    <row r="15641" ht="15.75" customHeight="1" spans="1:2">
      <c r="A15641" s="3" t="str">
        <f>IFERROR(__xludf.DUMMYFUNCTION("GOOGLETRANSLATE(A15641,""en"",""pt"")"),"escárnio")</f>
        <v>escárnio</v>
      </c>
      <c r="B15641" s="3">
        <v>0</v>
      </c>
    </row>
    <row r="15642" ht="15.75" customHeight="1" spans="1:2">
      <c r="A15642" s="3" t="str">
        <f>IFERROR(__xludf.DUMMYFUNCTION("GOOGLETRANSLATE(A15642,""en"",""pt"")"),"zombeteiramente")</f>
        <v>zombeteiramente</v>
      </c>
      <c r="B15642" s="3">
        <v>0</v>
      </c>
    </row>
    <row r="15643" ht="15.75" customHeight="1" spans="1:2">
      <c r="A15643" s="3" t="str">
        <f>IFERROR(__xludf.DUMMYFUNCTION("GOOGLETRANSLATE(A15643,""en"",""pt"")"),"ralhar")</f>
        <v>ralhar</v>
      </c>
      <c r="B15643" s="3">
        <v>0</v>
      </c>
    </row>
    <row r="15644" ht="15.75" customHeight="1" spans="1:2">
      <c r="A15644" s="3" t="str">
        <f>IFERROR(__xludf.DUMMYFUNCTION("GOOGLETRANSLATE(A15644,""en"",""pt"")"),"ralhou")</f>
        <v>ralhou</v>
      </c>
      <c r="B15644" s="3">
        <v>0</v>
      </c>
    </row>
    <row r="15645" ht="15.75" customHeight="1" spans="1:2">
      <c r="A15645" s="3" t="str">
        <f>IFERROR(__xludf.DUMMYFUNCTION("GOOGLETRANSLATE(A15645,""en"",""pt"")"),"repreensão")</f>
        <v>repreensão</v>
      </c>
      <c r="B15645" s="3">
        <v>0</v>
      </c>
    </row>
    <row r="15646" ht="15.75" customHeight="1" spans="1:2">
      <c r="A15646" s="3" t="str">
        <f>IFERROR(__xludf.DUMMYFUNCTION("GOOGLETRANSLATE(A15646,""en"",""pt"")"),"ralhando")</f>
        <v>ralhando</v>
      </c>
      <c r="B15646" s="3">
        <v>0</v>
      </c>
    </row>
    <row r="15647" ht="15.75" customHeight="1" spans="1:2">
      <c r="A15647" s="3" t="str">
        <f>IFERROR(__xludf.DUMMYFUNCTION("GOOGLETRANSLATE(A15647,""en"",""pt"")"),"abrasador")</f>
        <v>abrasador</v>
      </c>
      <c r="B15647" s="3">
        <v>0</v>
      </c>
    </row>
    <row r="15648" ht="15.75" customHeight="1" spans="1:2">
      <c r="A15648" s="3" t="str">
        <f>IFERROR(__xludf.DUMMYFUNCTION("GOOGLETRANSLATE(A15648,""en"",""pt"")"),"scorchingly")</f>
        <v>scorchingly</v>
      </c>
      <c r="B15648" s="3">
        <v>0</v>
      </c>
    </row>
    <row r="15649" ht="15.75" customHeight="1" spans="1:2">
      <c r="A15649" s="3" t="str">
        <f>IFERROR(__xludf.DUMMYFUNCTION("GOOGLETRANSLATE(A15649,""en"",""pt"")"),"desprezo")</f>
        <v>desprezo</v>
      </c>
      <c r="B15649" s="3">
        <v>0</v>
      </c>
    </row>
    <row r="15650" ht="15.75" customHeight="1" spans="1:2">
      <c r="A15650" s="3" t="str">
        <f>IFERROR(__xludf.DUMMYFUNCTION("GOOGLETRANSLATE(A15650,""en"",""pt"")"),"desdenhoso")</f>
        <v>desdenhoso</v>
      </c>
      <c r="B15650" s="3">
        <v>0</v>
      </c>
    </row>
    <row r="15651" ht="15.75" customHeight="1" spans="1:2">
      <c r="A15651" s="3" t="str">
        <f>IFERROR(__xludf.DUMMYFUNCTION("GOOGLETRANSLATE(A15651,""en"",""pt"")"),"desdenhosamente")</f>
        <v>desdenhosamente</v>
      </c>
      <c r="B15651" s="3">
        <v>0</v>
      </c>
    </row>
    <row r="15652" ht="15.75" customHeight="1" spans="1:2">
      <c r="A15652" s="3" t="str">
        <f>IFERROR(__xludf.DUMMYFUNCTION("GOOGLETRANSLATE(A15652,""en"",""pt"")"),"canalha")</f>
        <v>canalha</v>
      </c>
      <c r="B15652" s="3">
        <v>0</v>
      </c>
    </row>
    <row r="15653" ht="15.75" customHeight="1" spans="1:2">
      <c r="A15653" s="3" t="str">
        <f>IFERROR(__xludf.DUMMYFUNCTION("GOOGLETRANSLATE(A15653,""en"",""pt"")"),"flagelo")</f>
        <v>flagelo</v>
      </c>
      <c r="B15653" s="3">
        <v>0</v>
      </c>
    </row>
    <row r="15654" ht="15.75" customHeight="1" spans="1:2">
      <c r="A15654" s="3" t="s">
        <v>85</v>
      </c>
      <c r="B15654" s="3">
        <v>0</v>
      </c>
    </row>
    <row r="15655" ht="15.75" customHeight="1" spans="1:2">
      <c r="A15655" s="3" t="str">
        <f>IFERROR(__xludf.DUMMYFUNCTION("GOOGLETRANSLATE(A15655,""en"",""pt"")"),"passeio")</f>
        <v>passeio</v>
      </c>
      <c r="B15655" s="3">
        <v>0</v>
      </c>
    </row>
    <row r="15656" ht="15.75" customHeight="1" spans="1:2">
      <c r="A15656" s="3" t="str">
        <f>IFERROR(__xludf.DUMMYFUNCTION("GOOGLETRANSLATE(A15656,""en"",""pt"")"),"mexidos")</f>
        <v>mexidos</v>
      </c>
      <c r="B15656" s="3">
        <v>0</v>
      </c>
    </row>
    <row r="15657" ht="15.75" customHeight="1" spans="1:2">
      <c r="A15657" s="3" t="str">
        <f>IFERROR(__xludf.DUMMYFUNCTION("GOOGLETRANSLATE(A15657,""en"",""pt"")"),"embaralha")</f>
        <v>embaralha</v>
      </c>
      <c r="B15657" s="3">
        <v>0</v>
      </c>
    </row>
    <row r="15658" ht="15.75" customHeight="1" spans="1:2">
      <c r="A15658" s="3" t="str">
        <f>IFERROR(__xludf.DUMMYFUNCTION("GOOGLETRANSLATE(A15658,""en"",""pt"")"),"embaralhamento")</f>
        <v>embaralhamento</v>
      </c>
      <c r="B15658" s="3">
        <v>0</v>
      </c>
    </row>
    <row r="15659" ht="15.75" customHeight="1" spans="1:2">
      <c r="A15659" s="3" t="str">
        <f>IFERROR(__xludf.DUMMYFUNCTION("GOOGLETRANSLATE(A15659,""en"",""pt"")"),"sucatear")</f>
        <v>sucatear</v>
      </c>
      <c r="B15659" s="3">
        <v>0</v>
      </c>
    </row>
    <row r="15660" ht="15.75" customHeight="1" spans="1:2">
      <c r="A15660" s="3" t="str">
        <f>IFERROR(__xludf.DUMMYFUNCTION("GOOGLETRANSLATE(A15660,""en"",""pt"")"),"coçar, arranhão")</f>
        <v>coçar, arranhão</v>
      </c>
      <c r="B15660" s="3">
        <v>0</v>
      </c>
    </row>
    <row r="15661" ht="15.75" customHeight="1" spans="1:2">
      <c r="A15661" s="3" t="str">
        <f>IFERROR(__xludf.DUMMYFUNCTION("GOOGLETRANSLATE(A15661,""en"",""pt"")"),"riscado")</f>
        <v>riscado</v>
      </c>
      <c r="B15661" s="3">
        <v>0</v>
      </c>
    </row>
    <row r="15662" ht="15.75" customHeight="1" spans="1:2">
      <c r="A15662" s="3" t="str">
        <f>IFERROR(__xludf.DUMMYFUNCTION("GOOGLETRANSLATE(A15662,""en"",""pt"")"),"arranhões")</f>
        <v>arranhões</v>
      </c>
      <c r="B15662" s="3">
        <v>0</v>
      </c>
    </row>
    <row r="15663" ht="15.75" customHeight="1" spans="1:2">
      <c r="A15663" s="3" t="str">
        <f>IFERROR(__xludf.DUMMYFUNCTION("GOOGLETRANSLATE(A15663,""en"",""pt"")"),"áspero")</f>
        <v>áspero</v>
      </c>
      <c r="B15663" s="3">
        <v>0</v>
      </c>
    </row>
    <row r="15664" ht="15.75" customHeight="1" spans="1:2">
      <c r="A15664" s="3" t="str">
        <f>IFERROR(__xludf.DUMMYFUNCTION("GOOGLETRANSLATE(A15664,""en"",""pt"")"),"grito")</f>
        <v>grito</v>
      </c>
      <c r="B15664" s="3">
        <v>0</v>
      </c>
    </row>
    <row r="15665" ht="15.75" customHeight="1" spans="1:2">
      <c r="A15665" s="3" t="str">
        <f>IFERROR(__xludf.DUMMYFUNCTION("GOOGLETRANSLATE(A15665,""en"",""pt"")"),"guincho")</f>
        <v>guincho</v>
      </c>
      <c r="B15665" s="3">
        <v>0</v>
      </c>
    </row>
    <row r="15666" ht="15.75" customHeight="1" spans="1:2">
      <c r="A15666" s="3" t="str">
        <f>IFERROR(__xludf.DUMMYFUNCTION("GOOGLETRANSLATE(A15666,""en"",""pt"")"),"estragar")</f>
        <v>estragar</v>
      </c>
      <c r="B15666" s="3">
        <v>0</v>
      </c>
    </row>
    <row r="15667" ht="15.75" customHeight="1" spans="1:2">
      <c r="A15667" s="3" t="str">
        <f>IFERROR(__xludf.DUMMYFUNCTION("GOOGLETRANSLATE(A15667,""en"",""pt"")"),"parafusado")</f>
        <v>parafusado</v>
      </c>
      <c r="B15667" s="3">
        <v>0</v>
      </c>
    </row>
    <row r="15668" ht="15.75" customHeight="1" spans="1:2">
      <c r="A15668" s="3" t="str">
        <f>IFERROR(__xludf.DUMMYFUNCTION("GOOGLETRANSLATE(A15668,""en"",""pt"")"),"estragado")</f>
        <v>estragado</v>
      </c>
      <c r="B15668" s="3">
        <v>0</v>
      </c>
    </row>
    <row r="15669" ht="15.75" customHeight="1" spans="1:2">
      <c r="A15669" s="3" t="str">
        <f>IFERROR(__xludf.DUMMYFUNCTION("GOOGLETRANSLATE(A15669,""en"",""pt"")"),"disparatado")</f>
        <v>disparatado</v>
      </c>
      <c r="B15669" s="3">
        <v>0</v>
      </c>
    </row>
    <row r="15670" ht="15.75" customHeight="1" spans="1:2">
      <c r="A15670" s="3" t="str">
        <f>IFERROR(__xludf.DUMMYFUNCTION("GOOGLETRANSLATE(A15670,""en"",""pt"")"),"raspar")</f>
        <v>raspar</v>
      </c>
      <c r="B15670" s="3">
        <v>0</v>
      </c>
    </row>
    <row r="15671" ht="15.75" customHeight="1" spans="1:2">
      <c r="A15671" s="3" t="str">
        <f>IFERROR(__xludf.DUMMYFUNCTION("GOOGLETRANSLATE(A15671,""en"",""pt"")"),"arranhões")</f>
        <v>arranhões</v>
      </c>
      <c r="B15671" s="3">
        <v>0</v>
      </c>
    </row>
    <row r="15672" ht="15.75" customHeight="1" spans="1:2">
      <c r="A15672" s="3" t="str">
        <f>IFERROR(__xludf.DUMMYFUNCTION("GOOGLETRANSLATE(A15672,""en"",""pt"")"),"escumalha")</f>
        <v>escumalha</v>
      </c>
      <c r="B15672" s="3">
        <v>0</v>
      </c>
    </row>
    <row r="15673" ht="15.75" customHeight="1" spans="1:2">
      <c r="A15673" s="3" t="str">
        <f>IFERROR(__xludf.DUMMYFUNCTION("GOOGLETRANSLATE(A15673,""en"",""pt"")"),"escumoso")</f>
        <v>escumoso</v>
      </c>
      <c r="B15673" s="3">
        <v>0</v>
      </c>
    </row>
    <row r="15674" ht="15.75" customHeight="1" spans="1:2">
      <c r="A15674" s="3" t="str">
        <f>IFERROR(__xludf.DUMMYFUNCTION("GOOGLETRANSLATE(A15674,""en"",""pt"")"),"segunda classe")</f>
        <v>segunda classe</v>
      </c>
      <c r="B15674" s="3">
        <v>0</v>
      </c>
    </row>
    <row r="15675" ht="15.75" customHeight="1" spans="1:2">
      <c r="A15675" s="3" t="str">
        <f>IFERROR(__xludf.DUMMYFUNCTION("GOOGLETRANSLATE(A15675,""en"",""pt"")"),"segundo nível")</f>
        <v>segundo nível</v>
      </c>
      <c r="B15675" s="3">
        <v>0</v>
      </c>
    </row>
    <row r="15676" ht="15.75" customHeight="1" spans="1:2">
      <c r="A15676" s="3" t="str">
        <f>IFERROR(__xludf.DUMMYFUNCTION("GOOGLETRANSLATE(A15676,""en"",""pt"")"),"secreto")</f>
        <v>secreto</v>
      </c>
      <c r="B15676" s="3">
        <v>0</v>
      </c>
    </row>
    <row r="15677" ht="15.75" customHeight="1" spans="1:2">
      <c r="A15677" s="3" t="str">
        <f>IFERROR(__xludf.DUMMYFUNCTION("GOOGLETRANSLATE(A15677,""en"",""pt"")"),"sedentário")</f>
        <v>sedentário</v>
      </c>
      <c r="B15677" s="3">
        <v>0</v>
      </c>
    </row>
    <row r="15678" ht="15.75" customHeight="1" spans="1:2">
      <c r="A15678" s="3" t="str">
        <f>IFERROR(__xludf.DUMMYFUNCTION("GOOGLETRANSLATE(A15678,""en"",""pt"")"),"puído")</f>
        <v>puído</v>
      </c>
      <c r="B15678" s="3">
        <v>0</v>
      </c>
    </row>
    <row r="15679" ht="15.75" customHeight="1" spans="1:2">
      <c r="A15679" s="3" t="str">
        <f>IFERROR(__xludf.DUMMYFUNCTION("GOOGLETRANSLATE(A15679,""en"",""pt"")"),"Veja o")</f>
        <v>Veja o</v>
      </c>
      <c r="B15679" s="3">
        <v>0</v>
      </c>
    </row>
    <row r="15680" ht="15.75" customHeight="1" spans="1:2">
      <c r="A15680" s="3" t="str">
        <f>IFERROR(__xludf.DUMMYFUNCTION("GOOGLETRANSLATE(A15680,""en"",""pt"")"),"fervendo")</f>
        <v>fervendo</v>
      </c>
      <c r="B15680" s="3">
        <v>0</v>
      </c>
    </row>
    <row r="15681" ht="15.75" customHeight="1" spans="1:2">
      <c r="A15681" s="3" t="str">
        <f>IFERROR(__xludf.DUMMYFUNCTION("GOOGLETRANSLATE(A15681,""en"",""pt"")"),"autogolpe")</f>
        <v>autogolpe</v>
      </c>
      <c r="B15681" s="3">
        <v>0</v>
      </c>
    </row>
    <row r="15682" ht="15.75" customHeight="1" spans="1:2">
      <c r="A15682" s="3" t="str">
        <f>IFERROR(__xludf.DUMMYFUNCTION("GOOGLETRANSLATE(A15682,""en"",""pt"")"),"autocrítica")</f>
        <v>autocrítica</v>
      </c>
      <c r="B15682" s="3">
        <v>0</v>
      </c>
    </row>
    <row r="15683" ht="15.75" customHeight="1" spans="1:2">
      <c r="A15683" s="3" t="str">
        <f>IFERROR(__xludf.DUMMYFUNCTION("GOOGLETRANSLATE(A15683,""en"",""pt"")"),"autoderrotado")</f>
        <v>autoderrotado</v>
      </c>
      <c r="B15683" s="3">
        <v>0</v>
      </c>
    </row>
    <row r="15684" ht="15.75" customHeight="1" spans="1:2">
      <c r="A15684" s="3" t="str">
        <f>IFERROR(__xludf.DUMMYFUNCTION("GOOGLETRANSLATE(A15684,""en"",""pt"")"),"autodestrutivo")</f>
        <v>autodestrutivo</v>
      </c>
      <c r="B15684" s="3">
        <v>0</v>
      </c>
    </row>
    <row r="15685" ht="15.75" customHeight="1" spans="1:2">
      <c r="A15685" s="3" t="str">
        <f>IFERROR(__xludf.DUMMYFUNCTION("GOOGLETRANSLATE(A15685,""en"",""pt"")"),"auto-humilhação")</f>
        <v>auto-humilhação</v>
      </c>
      <c r="B15685" s="3">
        <v>0</v>
      </c>
    </row>
    <row r="15686" ht="15.75" customHeight="1" spans="1:2">
      <c r="A15686" s="3" t="str">
        <f>IFERROR(__xludf.DUMMYFUNCTION("GOOGLETRANSLATE(A15686,""en"",""pt"")"),"interesse pessoal")</f>
        <v>interesse pessoal</v>
      </c>
      <c r="B15686" s="3">
        <v>0</v>
      </c>
    </row>
    <row r="15687" ht="15.75" customHeight="1" spans="1:2">
      <c r="A15687" s="3" t="str">
        <f>IFERROR(__xludf.DUMMYFUNCTION("GOOGLETRANSLATE(A15687,""en"",""pt"")"),"interesseira")</f>
        <v>interesseira</v>
      </c>
      <c r="B15687" s="3">
        <v>0</v>
      </c>
    </row>
    <row r="15688" ht="15.75" customHeight="1" spans="1:2">
      <c r="A15688" s="3" t="str">
        <f>IFERROR(__xludf.DUMMYFUNCTION("GOOGLETRANSLATE(A15688,""en"",""pt"")"),"auto-serviço")</f>
        <v>auto-serviço</v>
      </c>
      <c r="B15688" s="3">
        <v>0</v>
      </c>
    </row>
    <row r="15689" ht="15.75" customHeight="1" spans="1:2">
      <c r="A15689" s="3" t="str">
        <f>IFERROR(__xludf.DUMMYFUNCTION("GOOGLETRANSLATE(A15689,""en"",""pt"")"),"selfinterested")</f>
        <v>selfinterested</v>
      </c>
      <c r="B15689" s="3">
        <v>0</v>
      </c>
    </row>
    <row r="15690" ht="15.75" customHeight="1" spans="1:2">
      <c r="A15690" s="3" t="str">
        <f>IFERROR(__xludf.DUMMYFUNCTION("GOOGLETRANSLATE(A15690,""en"",""pt"")"),"egoísta")</f>
        <v>egoísta</v>
      </c>
      <c r="B15690" s="3">
        <v>0</v>
      </c>
    </row>
    <row r="15691" ht="15.75" customHeight="1" spans="1:2">
      <c r="A15691" s="3" t="str">
        <f>IFERROR(__xludf.DUMMYFUNCTION("GOOGLETRANSLATE(A15691,""en"",""pt"")"),"egoisticamente")</f>
        <v>egoisticamente</v>
      </c>
      <c r="B15691" s="3">
        <v>0</v>
      </c>
    </row>
    <row r="15692" ht="15.75" customHeight="1" spans="1:2">
      <c r="A15692" s="3" t="str">
        <f>IFERROR(__xludf.DUMMYFUNCTION("GOOGLETRANSLATE(A15692,""en"",""pt"")"),"egoísmo")</f>
        <v>egoísmo</v>
      </c>
      <c r="B15692" s="3">
        <v>0</v>
      </c>
    </row>
    <row r="15693" ht="15.75" customHeight="1" spans="1:2">
      <c r="A15693" s="3" t="str">
        <f>IFERROR(__xludf.DUMMYFUNCTION("GOOGLETRANSLATE(A15693,""en"",""pt"")"),"semi-retardado")</f>
        <v>semi-retardado</v>
      </c>
      <c r="B15693" s="3">
        <v>0</v>
      </c>
    </row>
    <row r="15694" ht="15.75" customHeight="1" spans="1:2">
      <c r="A15694" s="3" t="str">
        <f>IFERROR(__xludf.DUMMYFUNCTION("GOOGLETRANSLATE(A15694,""en"",""pt"")"),"senil")</f>
        <v>senil</v>
      </c>
      <c r="B15694" s="3">
        <v>0</v>
      </c>
    </row>
    <row r="15695" ht="15.75" customHeight="1" spans="1:2">
      <c r="A15695" s="3" t="str">
        <f>IFERROR(__xludf.DUMMYFUNCTION("GOOGLETRANSLATE(A15695,""en"",""pt"")"),"sensationalize")</f>
        <v>sensationalize</v>
      </c>
      <c r="B15695" s="3">
        <v>0</v>
      </c>
    </row>
    <row r="15696" ht="15.75" customHeight="1" spans="1:2">
      <c r="A15696" s="3" t="str">
        <f>IFERROR(__xludf.DUMMYFUNCTION("GOOGLETRANSLATE(A15696,""en"",""pt"")"),"sem sentido")</f>
        <v>sem sentido</v>
      </c>
      <c r="B15696" s="3">
        <v>0</v>
      </c>
    </row>
    <row r="15697" ht="15.75" customHeight="1" spans="1:2">
      <c r="A15697" s="3" t="str">
        <f>IFERROR(__xludf.DUMMYFUNCTION("GOOGLETRANSLATE(A15697,""en"",""pt"")"),"senselessly")</f>
        <v>senselessly</v>
      </c>
      <c r="B15697" s="3">
        <v>0</v>
      </c>
    </row>
    <row r="15698" ht="15.75" customHeight="1" spans="1:2">
      <c r="A15698" s="3" t="str">
        <f>IFERROR(__xludf.DUMMYFUNCTION("GOOGLETRANSLATE(A15698,""en"",""pt"")"),"gravidade")</f>
        <v>gravidade</v>
      </c>
      <c r="B15698" s="3">
        <v>0</v>
      </c>
    </row>
    <row r="15699" ht="15.75" customHeight="1" spans="1:2">
      <c r="A15699" s="3" t="str">
        <f>IFERROR(__xludf.DUMMYFUNCTION("GOOGLETRANSLATE(A15699,""en"",""pt"")"),"sermonize")</f>
        <v>sermonize</v>
      </c>
      <c r="B15699" s="3">
        <v>0</v>
      </c>
    </row>
    <row r="15700" ht="15.75" customHeight="1" spans="1:2">
      <c r="A15700" s="3" t="str">
        <f>IFERROR(__xludf.DUMMYFUNCTION("GOOGLETRANSLATE(A15700,""en"",""pt"")"),"servidão")</f>
        <v>servidão</v>
      </c>
      <c r="B15700" s="3">
        <v>0</v>
      </c>
    </row>
    <row r="15701" ht="15.75" customHeight="1" spans="1:2">
      <c r="A15701" s="3" t="str">
        <f>IFERROR(__xludf.DUMMYFUNCTION("GOOGLETRANSLATE(A15701,""en"",""pt"")"),"configuração")</f>
        <v>configuração</v>
      </c>
      <c r="B15701" s="3">
        <v>0</v>
      </c>
    </row>
    <row r="15702" ht="15.75" customHeight="1" spans="1:2">
      <c r="A15702" s="3" t="str">
        <f>IFERROR(__xludf.DUMMYFUNCTION("GOOGLETRANSLATE(A15702,""en"",""pt"")"),"revés")</f>
        <v>revés</v>
      </c>
      <c r="B15702" s="3">
        <v>0</v>
      </c>
    </row>
    <row r="15703" ht="15.75" customHeight="1" spans="1:2">
      <c r="A15703" s="3" t="str">
        <f>IFERROR(__xludf.DUMMYFUNCTION("GOOGLETRANSLATE(A15703,""en"",""pt"")"),"contratempos")</f>
        <v>contratempos</v>
      </c>
      <c r="B15703" s="3">
        <v>0</v>
      </c>
    </row>
    <row r="15704" ht="15.75" customHeight="1" spans="1:2">
      <c r="A15704" s="3" t="str">
        <f>IFERROR(__xludf.DUMMYFUNCTION("GOOGLETRANSLATE(A15704,""en"",""pt"")"),"Sever")</f>
        <v>Sever</v>
      </c>
      <c r="B15704" s="3">
        <v>0</v>
      </c>
    </row>
    <row r="15705" ht="15.75" customHeight="1" spans="1:2">
      <c r="A15705" s="3" t="str">
        <f>IFERROR(__xludf.DUMMYFUNCTION("GOOGLETRANSLATE(A15705,""en"",""pt"")"),"grave")</f>
        <v>grave</v>
      </c>
      <c r="B15705" s="3">
        <v>0</v>
      </c>
    </row>
    <row r="15706" ht="15.75" customHeight="1" spans="1:2">
      <c r="A15706" s="3" t="str">
        <f>IFERROR(__xludf.DUMMYFUNCTION("GOOGLETRANSLATE(A15706,""en"",""pt"")"),"gravidade")</f>
        <v>gravidade</v>
      </c>
      <c r="B15706" s="3">
        <v>0</v>
      </c>
    </row>
    <row r="15707" ht="15.75" customHeight="1" spans="1:2">
      <c r="A15707" s="3" t="str">
        <f>IFERROR(__xludf.DUMMYFUNCTION("GOOGLETRANSLATE(A15707,""en"",""pt"")"),"sh * t")</f>
        <v>sh * t</v>
      </c>
      <c r="B15707" s="3">
        <v>0</v>
      </c>
    </row>
    <row r="15708" ht="15.75" customHeight="1" spans="1:2">
      <c r="A15708" s="3" t="str">
        <f>IFERROR(__xludf.DUMMYFUNCTION("GOOGLETRANSLATE(A15708,""en"",""pt"")"),"gasto")</f>
        <v>gasto</v>
      </c>
      <c r="B15708" s="3">
        <v>0</v>
      </c>
    </row>
    <row r="15709" ht="15.75" customHeight="1" spans="1:2">
      <c r="A15709" s="3" t="str">
        <f>IFERROR(__xludf.DUMMYFUNCTION("GOOGLETRANSLATE(A15709,""en"",""pt"")"),"sombrio")</f>
        <v>sombrio</v>
      </c>
      <c r="B15709" s="3">
        <v>0</v>
      </c>
    </row>
    <row r="15710" ht="15.75" customHeight="1" spans="1:2">
      <c r="A15710" s="3" t="str">
        <f>IFERROR(__xludf.DUMMYFUNCTION("GOOGLETRANSLATE(A15710,""en"",""pt"")"),"com sombra")</f>
        <v>com sombra</v>
      </c>
      <c r="B15710" s="3">
        <v>0</v>
      </c>
    </row>
    <row r="15711" ht="15.75" customHeight="1" spans="1:2">
      <c r="A15711" s="3" t="str">
        <f>IFERROR(__xludf.DUMMYFUNCTION("GOOGLETRANSLATE(A15711,""en"",""pt"")"),"mexe")</f>
        <v>mexe</v>
      </c>
      <c r="B15711" s="3">
        <v>0</v>
      </c>
    </row>
    <row r="15712" ht="15.75" customHeight="1" spans="1:2">
      <c r="A15712" s="3" t="str">
        <f>IFERROR(__xludf.DUMMYFUNCTION("GOOGLETRANSLATE(A15712,""en"",""pt"")"),"trêmulo")</f>
        <v>trêmulo</v>
      </c>
      <c r="B15712" s="3">
        <v>0</v>
      </c>
    </row>
    <row r="15713" ht="15.75" customHeight="1" spans="1:2">
      <c r="A15713" s="3" t="str">
        <f>IFERROR(__xludf.DUMMYFUNCTION("GOOGLETRANSLATE(A15713,""en"",""pt"")"),"raso")</f>
        <v>raso</v>
      </c>
      <c r="B15713" s="3">
        <v>0</v>
      </c>
    </row>
    <row r="15714" ht="15.75" customHeight="1" spans="1:2">
      <c r="A15714" s="3" t="str">
        <f>IFERROR(__xludf.DUMMYFUNCTION("GOOGLETRANSLATE(A15714,""en"",""pt"")"),"farsa, falso")</f>
        <v>farsa, falso</v>
      </c>
      <c r="B15714" s="3">
        <v>0</v>
      </c>
    </row>
    <row r="15715" ht="15.75" customHeight="1" spans="1:2">
      <c r="A15715" s="3" t="str">
        <f>IFERROR(__xludf.DUMMYFUNCTION("GOOGLETRANSLATE(A15715,""en"",""pt"")"),"matadouro")</f>
        <v>matadouro</v>
      </c>
      <c r="B15715" s="3">
        <v>0</v>
      </c>
    </row>
    <row r="15716" ht="15.75" customHeight="1" spans="1:2">
      <c r="A15716" s="3" t="str">
        <f>IFERROR(__xludf.DUMMYFUNCTION("GOOGLETRANSLATE(A15716,""en"",""pt"")"),"vergonha")</f>
        <v>vergonha</v>
      </c>
      <c r="B15716" s="3">
        <v>0</v>
      </c>
    </row>
    <row r="15717" ht="15.75" customHeight="1" spans="1:2">
      <c r="A15717" s="3" t="str">
        <f>IFERROR(__xludf.DUMMYFUNCTION("GOOGLETRANSLATE(A15717,""en"",""pt"")"),"vergonhoso")</f>
        <v>vergonhoso</v>
      </c>
      <c r="B15717" s="3">
        <v>0</v>
      </c>
    </row>
    <row r="15718" ht="15.75" customHeight="1" spans="1:2">
      <c r="A15718" s="3" t="str">
        <f>IFERROR(__xludf.DUMMYFUNCTION("GOOGLETRANSLATE(A15718,""en"",""pt"")"),"vergonhosamente")</f>
        <v>vergonhosamente</v>
      </c>
      <c r="B15718" s="3">
        <v>0</v>
      </c>
    </row>
    <row r="15719" ht="15.75" customHeight="1" spans="1:2">
      <c r="A15719" s="3" t="str">
        <f>IFERROR(__xludf.DUMMYFUNCTION("GOOGLETRANSLATE(A15719,""en"",""pt"")"),"vergonha")</f>
        <v>vergonha</v>
      </c>
      <c r="B15719" s="3">
        <v>0</v>
      </c>
    </row>
    <row r="15720" ht="15.75" customHeight="1" spans="1:2">
      <c r="A15720" s="3" t="str">
        <f>IFERROR(__xludf.DUMMYFUNCTION("GOOGLETRANSLATE(A15720,""en"",""pt"")"),"sem vergonha")</f>
        <v>sem vergonha</v>
      </c>
      <c r="B15720" s="3">
        <v>0</v>
      </c>
    </row>
    <row r="15721" ht="15.75" customHeight="1" spans="1:2">
      <c r="A15721" s="3" t="str">
        <f>IFERROR(__xludf.DUMMYFUNCTION("GOOGLETRANSLATE(A15721,""en"",""pt"")"),"descaradamente")</f>
        <v>descaradamente</v>
      </c>
      <c r="B15721" s="3">
        <v>0</v>
      </c>
    </row>
    <row r="15722" ht="15.75" customHeight="1" spans="1:2">
      <c r="A15722" s="3" t="str">
        <f>IFERROR(__xludf.DUMMYFUNCTION("GOOGLETRANSLATE(A15722,""en"",""pt"")"),"shamelessness")</f>
        <v>shamelessness</v>
      </c>
      <c r="B15722" s="3">
        <v>0</v>
      </c>
    </row>
    <row r="15723" ht="15.75" customHeight="1" spans="1:2">
      <c r="A15723" s="3" t="str">
        <f>IFERROR(__xludf.DUMMYFUNCTION("GOOGLETRANSLATE(A15723,""en"",""pt"")"),"Tubarão")</f>
        <v>Tubarão</v>
      </c>
      <c r="B15723" s="3">
        <v>0</v>
      </c>
    </row>
    <row r="15724" ht="15.75" customHeight="1" spans="1:2">
      <c r="A15724" s="3" t="str">
        <f>IFERROR(__xludf.DUMMYFUNCTION("GOOGLETRANSLATE(A15724,""en"",""pt"")"),"bruscamente")</f>
        <v>bruscamente</v>
      </c>
      <c r="B15724" s="3">
        <v>0</v>
      </c>
    </row>
    <row r="15725" ht="15.75" customHeight="1" spans="1:2">
      <c r="A15725" s="3" t="str">
        <f>IFERROR(__xludf.DUMMYFUNCTION("GOOGLETRANSLATE(A15725,""en"",""pt"")"),"Shatter")</f>
        <v>Shatter</v>
      </c>
      <c r="B15725" s="3">
        <v>0</v>
      </c>
    </row>
    <row r="15726" ht="15.75" customHeight="1" spans="1:2">
      <c r="A15726" s="3" t="str">
        <f>IFERROR(__xludf.DUMMYFUNCTION("GOOGLETRANSLATE(A15726,""en"",""pt"")"),"transsexual")</f>
        <v>transsexual</v>
      </c>
      <c r="B15726" s="3">
        <v>0</v>
      </c>
    </row>
    <row r="15727" ht="15.75" customHeight="1" spans="1:2">
      <c r="A15727" s="3" t="str">
        <f>IFERROR(__xludf.DUMMYFUNCTION("GOOGLETRANSLATE(A15727,""en"",""pt"")"),"luz difusa")</f>
        <v>luz difusa</v>
      </c>
      <c r="B15727" s="3">
        <v>0</v>
      </c>
    </row>
    <row r="15728" ht="15.75" customHeight="1" spans="1:2">
      <c r="A15728" s="3" t="str">
        <f>IFERROR(__xludf.DUMMYFUNCTION("GOOGLETRANSLATE(A15728,""en"",""pt"")"),"trepidar")</f>
        <v>trepidar</v>
      </c>
      <c r="B15728" s="3">
        <v>0</v>
      </c>
    </row>
    <row r="15729" ht="15.75" customHeight="1" spans="1:2">
      <c r="A15729" s="3" t="str">
        <f>IFERROR(__xludf.DUMMYFUNCTION("GOOGLETRANSLATE(A15729,""en"",""pt"")"),"naufrágio")</f>
        <v>naufrágio</v>
      </c>
      <c r="B15729" s="3">
        <v>0</v>
      </c>
    </row>
    <row r="15730" ht="15.75" customHeight="1" spans="1:2">
      <c r="A15730" s="3" t="str">
        <f>IFERROR(__xludf.DUMMYFUNCTION("GOOGLETRANSLATE(A15730,""en"",""pt"")"),"esquivar-se a")</f>
        <v>esquivar-se a</v>
      </c>
      <c r="B15730" s="3">
        <v>0</v>
      </c>
    </row>
    <row r="15731" ht="15.75" customHeight="1" spans="1:2">
      <c r="A15731" s="3" t="str">
        <f>IFERROR(__xludf.DUMMYFUNCTION("GOOGLETRANSLATE(A15731,""en"",""pt"")"),"mandrião")</f>
        <v>mandrião</v>
      </c>
      <c r="B15731" s="3">
        <v>0</v>
      </c>
    </row>
    <row r="15732" ht="15.75" customHeight="1" spans="1:2">
      <c r="A15732" s="3" t="str">
        <f>IFERROR(__xludf.DUMMYFUNCTION("GOOGLETRANSLATE(A15732,""en"",""pt"")"),"merda")</f>
        <v>merda</v>
      </c>
      <c r="B15732" s="3">
        <v>0</v>
      </c>
    </row>
    <row r="15733" ht="15.75" customHeight="1" spans="1:2">
      <c r="A15733" s="3" t="str">
        <f>IFERROR(__xludf.DUMMYFUNCTION("GOOGLETRANSLATE(A15733,""en"",""pt"")"),"arrepio")</f>
        <v>arrepio</v>
      </c>
      <c r="B15733" s="3">
        <v>0</v>
      </c>
    </row>
    <row r="15734" ht="15.75" customHeight="1" spans="1:2">
      <c r="A15734" s="3" t="str">
        <f>IFERROR(__xludf.DUMMYFUNCTION("GOOGLETRANSLATE(A15734,""en"",""pt"")"),"choque")</f>
        <v>choque</v>
      </c>
      <c r="B15734" s="3">
        <v>0</v>
      </c>
    </row>
    <row r="15735" ht="15.75" customHeight="1" spans="1:2">
      <c r="A15735" s="3" t="str">
        <f>IFERROR(__xludf.DUMMYFUNCTION("GOOGLETRANSLATE(A15735,""en"",""pt"")"),"chocado")</f>
        <v>chocado</v>
      </c>
      <c r="B15735" s="3">
        <v>0</v>
      </c>
    </row>
    <row r="15736" ht="15.75" customHeight="1" spans="1:2">
      <c r="A15736" s="3" t="str">
        <f>IFERROR(__xludf.DUMMYFUNCTION("GOOGLETRANSLATE(A15736,""en"",""pt"")"),"chocante")</f>
        <v>chocante</v>
      </c>
      <c r="B15736" s="3">
        <v>0</v>
      </c>
    </row>
    <row r="15737" ht="15.75" customHeight="1" spans="1:2">
      <c r="A15737" s="3" t="str">
        <f>IFERROR(__xludf.DUMMYFUNCTION("GOOGLETRANSLATE(A15737,""en"",""pt"")"),"chocantemente")</f>
        <v>chocantemente</v>
      </c>
      <c r="B15737" s="3">
        <v>0</v>
      </c>
    </row>
    <row r="15738" ht="15.75" customHeight="1" spans="1:2">
      <c r="A15738" s="3" t="str">
        <f>IFERROR(__xludf.DUMMYFUNCTION("GOOGLETRANSLATE(A15738,""en"",""pt"")"),"de qualidade inferior")</f>
        <v>de qualidade inferior</v>
      </c>
      <c r="B15738" s="3">
        <v>0</v>
      </c>
    </row>
    <row r="15739" ht="15.75" customHeight="1" spans="1:2">
      <c r="A15739" s="3" t="str">
        <f>IFERROR(__xludf.DUMMYFUNCTION("GOOGLETRANSLATE(A15739,""en"",""pt"")"),"-Vida curta")</f>
        <v>-Vida curta</v>
      </c>
      <c r="B15739" s="3">
        <v>0</v>
      </c>
    </row>
    <row r="15740" ht="15.75" customHeight="1" spans="1:2">
      <c r="A15740" s="3" t="str">
        <f>IFERROR(__xludf.DUMMYFUNCTION("GOOGLETRANSLATE(A15740,""en"",""pt"")"),"escassez")</f>
        <v>escassez</v>
      </c>
      <c r="B15740" s="3">
        <v>0</v>
      </c>
    </row>
    <row r="15741" ht="15.75" customHeight="1" spans="1:2">
      <c r="A15741" s="3" t="str">
        <f>IFERROR(__xludf.DUMMYFUNCTION("GOOGLETRANSLATE(A15741,""en"",""pt"")"),"shortchange")</f>
        <v>shortchange</v>
      </c>
      <c r="B15741" s="3">
        <v>0</v>
      </c>
    </row>
    <row r="15742" ht="15.75" customHeight="1" spans="1:2">
      <c r="A15742" s="3" t="str">
        <f>IFERROR(__xludf.DUMMYFUNCTION("GOOGLETRANSLATE(A15742,""en"",""pt"")"),"deficiência")</f>
        <v>deficiência</v>
      </c>
      <c r="B15742" s="3">
        <v>0</v>
      </c>
    </row>
    <row r="15743" ht="15.75" customHeight="1" spans="1:2">
      <c r="A15743" s="3" t="str">
        <f>IFERROR(__xludf.DUMMYFUNCTION("GOOGLETRANSLATE(A15743,""en"",""pt"")"),"deficiências")</f>
        <v>deficiências</v>
      </c>
      <c r="B15743" s="3">
        <v>0</v>
      </c>
    </row>
    <row r="15744" ht="15.75" customHeight="1" spans="1:2">
      <c r="A15744" s="3" t="str">
        <f>IFERROR(__xludf.DUMMYFUNCTION("GOOGLETRANSLATE(A15744,""en"",""pt"")"),"falta")</f>
        <v>falta</v>
      </c>
      <c r="B15744" s="3">
        <v>0</v>
      </c>
    </row>
    <row r="15745" ht="15.75" customHeight="1" spans="1:2">
      <c r="A15745" s="3" t="str">
        <f>IFERROR(__xludf.DUMMYFUNCTION("GOOGLETRANSLATE(A15745,""en"",""pt"")"),"míope")</f>
        <v>míope</v>
      </c>
      <c r="B15745" s="3">
        <v>0</v>
      </c>
    </row>
    <row r="15746" ht="15.75" customHeight="1" spans="1:2">
      <c r="A15746" s="3" t="str">
        <f>IFERROR(__xludf.DUMMYFUNCTION("GOOGLETRANSLATE(A15746,""en"",""pt"")"),"miopia")</f>
        <v>miopia</v>
      </c>
      <c r="B15746" s="3">
        <v>0</v>
      </c>
    </row>
    <row r="15747" ht="15.75" customHeight="1" spans="1:2">
      <c r="A15747" s="3" t="str">
        <f>IFERROR(__xludf.DUMMYFUNCTION("GOOGLETRANSLATE(A15747,""en"",""pt"")"),"confronto")</f>
        <v>confronto</v>
      </c>
      <c r="B15747" s="3">
        <v>0</v>
      </c>
    </row>
    <row r="15748" ht="15.75" customHeight="1" spans="1:2">
      <c r="A15748" s="3" t="str">
        <f>IFERROR(__xludf.DUMMYFUNCTION("GOOGLETRANSLATE(A15748,""en"",""pt"")"),"musaranho")</f>
        <v>musaranho</v>
      </c>
      <c r="B15748" s="3">
        <v>0</v>
      </c>
    </row>
    <row r="15749" ht="15.75" customHeight="1" spans="1:2">
      <c r="A15749" s="3" t="str">
        <f>IFERROR(__xludf.DUMMYFUNCTION("GOOGLETRANSLATE(A15749,""en"",""pt"")"),"guincho")</f>
        <v>guincho</v>
      </c>
      <c r="B15749" s="3">
        <v>0</v>
      </c>
    </row>
    <row r="15750" ht="15.75" customHeight="1" spans="1:2">
      <c r="A15750" s="3" t="str">
        <f>IFERROR(__xludf.DUMMYFUNCTION("GOOGLETRANSLATE(A15750,""en"",""pt"")"),"estridente")</f>
        <v>estridente</v>
      </c>
      <c r="B15750" s="3">
        <v>0</v>
      </c>
    </row>
    <row r="15751" ht="15.75" customHeight="1" spans="1:2">
      <c r="A15751" s="3" t="str">
        <f>IFERROR(__xludf.DUMMYFUNCTION("GOOGLETRANSLATE(A15751,""en"",""pt"")"),"estridentemente")</f>
        <v>estridentemente</v>
      </c>
      <c r="B15751" s="3">
        <v>0</v>
      </c>
    </row>
    <row r="15752" ht="15.75" customHeight="1" spans="1:2">
      <c r="A15752" s="3" t="str">
        <f>IFERROR(__xludf.DUMMYFUNCTION("GOOGLETRANSLATE(A15752,""en"",""pt"")"),"murchar")</f>
        <v>murchar</v>
      </c>
      <c r="B15752" s="3">
        <v>0</v>
      </c>
    </row>
    <row r="15753" ht="15.75" customHeight="1" spans="1:2">
      <c r="A15753" s="3" t="str">
        <f>IFERROR(__xludf.DUMMYFUNCTION("GOOGLETRANSLATE(A15753,""en"",""pt"")"),"mortalha")</f>
        <v>mortalha</v>
      </c>
      <c r="B15753" s="3">
        <v>0</v>
      </c>
    </row>
    <row r="15754" ht="15.75" customHeight="1" spans="1:2">
      <c r="A15754" s="3" t="str">
        <f>IFERROR(__xludf.DUMMYFUNCTION("GOOGLETRANSLATE(A15754,""en"",""pt"")"),"envolta")</f>
        <v>envolta</v>
      </c>
      <c r="B15754" s="3">
        <v>0</v>
      </c>
    </row>
    <row r="15755" ht="15.75" customHeight="1" spans="1:2">
      <c r="A15755" s="3" t="str">
        <f>IFERROR(__xludf.DUMMYFUNCTION("GOOGLETRANSLATE(A15755,""en"",""pt"")"),"dar de ombros")</f>
        <v>dar de ombros</v>
      </c>
      <c r="B15755" s="3">
        <v>0</v>
      </c>
    </row>
    <row r="15756" ht="15.75" customHeight="1" spans="1:2">
      <c r="A15756" s="3" t="str">
        <f>IFERROR(__xludf.DUMMYFUNCTION("GOOGLETRANSLATE(A15756,""en"",""pt"")"),"esquivar-se a")</f>
        <v>esquivar-se a</v>
      </c>
      <c r="B15756" s="3">
        <v>0</v>
      </c>
    </row>
    <row r="15757" ht="15.75" customHeight="1" spans="1:2">
      <c r="A15757" s="3" t="str">
        <f>IFERROR(__xludf.DUMMYFUNCTION("GOOGLETRANSLATE(A15757,""en"",""pt"")"),"Shunned")</f>
        <v>Shunned</v>
      </c>
      <c r="B15757" s="3">
        <v>0</v>
      </c>
    </row>
    <row r="15758" ht="15.75" customHeight="1" spans="1:2">
      <c r="A15758" s="3" t="str">
        <f>IFERROR(__xludf.DUMMYFUNCTION("GOOGLETRANSLATE(A15758,""en"",""pt"")"),"doente")</f>
        <v>doente</v>
      </c>
      <c r="B15758" s="3">
        <v>0</v>
      </c>
    </row>
    <row r="15759" ht="15.75" customHeight="1" spans="1:2">
      <c r="A15759" s="3" t="str">
        <f>IFERROR(__xludf.DUMMYFUNCTION("GOOGLETRANSLATE(A15759,""en"",""pt"")"),"adoecer")</f>
        <v>adoecer</v>
      </c>
      <c r="B15759" s="3">
        <v>0</v>
      </c>
    </row>
    <row r="15760" ht="15.75" customHeight="1" spans="1:2">
      <c r="A15760" s="3" t="str">
        <f>IFERROR(__xludf.DUMMYFUNCTION("GOOGLETRANSLATE(A15760,""en"",""pt"")"),"repugnante")</f>
        <v>repugnante</v>
      </c>
      <c r="B15760" s="3">
        <v>0</v>
      </c>
    </row>
    <row r="15761" ht="15.75" customHeight="1" spans="1:2">
      <c r="A15761" s="3" t="str">
        <f>IFERROR(__xludf.DUMMYFUNCTION("GOOGLETRANSLATE(A15761,""en"",""pt"")"),"sickeningly")</f>
        <v>sickeningly</v>
      </c>
      <c r="B15761" s="3">
        <v>0</v>
      </c>
    </row>
    <row r="15762" ht="15.75" customHeight="1" spans="1:2">
      <c r="A15762" s="3" t="str">
        <f>IFERROR(__xludf.DUMMYFUNCTION("GOOGLETRANSLATE(A15762,""en"",""pt"")"),"doentio")</f>
        <v>doentio</v>
      </c>
      <c r="B15762" s="3">
        <v>0</v>
      </c>
    </row>
    <row r="15763" ht="15.75" customHeight="1" spans="1:2">
      <c r="A15763" s="3" t="str">
        <f>IFERROR(__xludf.DUMMYFUNCTION("GOOGLETRANSLATE(A15763,""en"",""pt"")"),"doença")</f>
        <v>doença</v>
      </c>
      <c r="B15763" s="3">
        <v>0</v>
      </c>
    </row>
    <row r="15764" ht="15.75" customHeight="1" spans="1:2">
      <c r="A15764" s="3" t="str">
        <f>IFERROR(__xludf.DUMMYFUNCTION("GOOGLETRANSLATE(A15764,""en"",""pt"")"),"desvio")</f>
        <v>desvio</v>
      </c>
      <c r="B15764" s="3">
        <v>0</v>
      </c>
    </row>
    <row r="15765" ht="15.75" customHeight="1" spans="1:2">
      <c r="A15765" s="3" t="str">
        <f>IFERROR(__xludf.DUMMYFUNCTION("GOOGLETRANSLATE(A15765,""en"",""pt"")"),"sidetracked")</f>
        <v>sidetracked</v>
      </c>
      <c r="B15765" s="3">
        <v>0</v>
      </c>
    </row>
    <row r="15766" ht="15.75" customHeight="1" spans="1:2">
      <c r="A15766" s="3" t="str">
        <f>IFERROR(__xludf.DUMMYFUNCTION("GOOGLETRANSLATE(A15766,""en"",""pt"")"),"cerco")</f>
        <v>cerco</v>
      </c>
      <c r="B15766" s="3">
        <v>0</v>
      </c>
    </row>
    <row r="15767" ht="15.75" customHeight="1" spans="1:2">
      <c r="A15767" s="3" t="str">
        <f>IFERROR(__xludf.DUMMYFUNCTION("GOOGLETRANSLATE(A15767,""en"",""pt"")"),"sillily")</f>
        <v>sillily</v>
      </c>
      <c r="B15767" s="3">
        <v>0</v>
      </c>
    </row>
    <row r="15768" ht="15.75" customHeight="1" spans="1:2">
      <c r="A15768" s="3" t="str">
        <f>IFERROR(__xludf.DUMMYFUNCTION("GOOGLETRANSLATE(A15768,""en"",""pt"")"),"boba")</f>
        <v>boba</v>
      </c>
      <c r="B15768" s="3">
        <v>0</v>
      </c>
    </row>
    <row r="15769" ht="15.75" customHeight="1" spans="1:2">
      <c r="A15769" s="3" t="str">
        <f>IFERROR(__xludf.DUMMYFUNCTION("GOOGLETRANSLATE(A15769,""en"",""pt"")"),"simplista")</f>
        <v>simplista</v>
      </c>
      <c r="B15769" s="3">
        <v>0</v>
      </c>
    </row>
    <row r="15770" ht="15.75" customHeight="1" spans="1:2">
      <c r="A15770" s="3" t="str">
        <f>IFERROR(__xludf.DUMMYFUNCTION("GOOGLETRANSLATE(A15770,""en"",""pt"")"),"simplista")</f>
        <v>simplista</v>
      </c>
      <c r="B15770" s="3">
        <v>0</v>
      </c>
    </row>
    <row r="15771" ht="15.75" customHeight="1" spans="1:2">
      <c r="A15771" s="3" t="str">
        <f>IFERROR(__xludf.DUMMYFUNCTION("GOOGLETRANSLATE(A15771,""en"",""pt"")"),"pecado")</f>
        <v>pecado</v>
      </c>
      <c r="B15771" s="3">
        <v>0</v>
      </c>
    </row>
    <row r="15772" ht="15.75" customHeight="1" spans="1:2">
      <c r="A15772" s="3" t="str">
        <f>IFERROR(__xludf.DUMMYFUNCTION("GOOGLETRANSLATE(A15772,""en"",""pt"")"),"pecaminoso")</f>
        <v>pecaminoso</v>
      </c>
      <c r="B15772" s="3">
        <v>0</v>
      </c>
    </row>
    <row r="15773" ht="15.75" customHeight="1" spans="1:2">
      <c r="A15773" s="3" t="str">
        <f>IFERROR(__xludf.DUMMYFUNCTION("GOOGLETRANSLATE(A15773,""en"",""pt"")"),"pecaminosamente")</f>
        <v>pecaminosamente</v>
      </c>
      <c r="B15773" s="3">
        <v>0</v>
      </c>
    </row>
    <row r="15774" ht="15.75" customHeight="1" spans="1:2">
      <c r="A15774" s="3" t="str">
        <f>IFERROR(__xludf.DUMMYFUNCTION("GOOGLETRANSLATE(A15774,""en"",""pt"")"),"sinistro")</f>
        <v>sinistro</v>
      </c>
      <c r="B15774" s="3">
        <v>0</v>
      </c>
    </row>
    <row r="15775" ht="15.75" customHeight="1" spans="1:2">
      <c r="A15775" s="3" t="str">
        <f>IFERROR(__xludf.DUMMYFUNCTION("GOOGLETRANSLATE(A15775,""en"",""pt"")"),"sinistramente")</f>
        <v>sinistramente</v>
      </c>
      <c r="B15775" s="3">
        <v>0</v>
      </c>
    </row>
    <row r="15776" ht="15.75" customHeight="1" spans="1:2">
      <c r="A15776" s="3" t="str">
        <f>IFERROR(__xludf.DUMMYFUNCTION("GOOGLETRANSLATE(A15776,""en"",""pt"")"),"Pia")</f>
        <v>Pia</v>
      </c>
      <c r="B15776" s="3">
        <v>0</v>
      </c>
    </row>
    <row r="15777" ht="15.75" customHeight="1" spans="1:2">
      <c r="A15777" s="3" t="str">
        <f>IFERROR(__xludf.DUMMYFUNCTION("GOOGLETRANSLATE(A15777,""en"",""pt"")"),"afundamento")</f>
        <v>afundamento</v>
      </c>
      <c r="B15777" s="3">
        <v>0</v>
      </c>
    </row>
    <row r="15778" ht="15.75" customHeight="1" spans="1:2">
      <c r="A15778" s="3" t="str">
        <f>IFERROR(__xludf.DUMMYFUNCTION("GOOGLETRANSLATE(A15778,""en"",""pt"")"),"esqueletos")</f>
        <v>esqueletos</v>
      </c>
      <c r="B15778" s="3">
        <v>0</v>
      </c>
    </row>
    <row r="15779" ht="15.75" customHeight="1" spans="1:2">
      <c r="A15779" s="3" t="str">
        <f>IFERROR(__xludf.DUMMYFUNCTION("GOOGLETRANSLATE(A15779,""en"",""pt"")"),"cético")</f>
        <v>cético</v>
      </c>
      <c r="B15779" s="3">
        <v>0</v>
      </c>
    </row>
    <row r="15780" ht="15.75" customHeight="1" spans="1:2">
      <c r="A15780" s="3" t="str">
        <f>IFERROR(__xludf.DUMMYFUNCTION("GOOGLETRANSLATE(A15780,""en"",""pt"")"),"cético")</f>
        <v>cético</v>
      </c>
      <c r="B15780" s="3">
        <v>0</v>
      </c>
    </row>
    <row r="15781" ht="15.75" customHeight="1" spans="1:2">
      <c r="A15781" s="3" t="str">
        <f>IFERROR(__xludf.DUMMYFUNCTION("GOOGLETRANSLATE(A15781,""en"",""pt"")"),"ceticamente")</f>
        <v>ceticamente</v>
      </c>
      <c r="B15781" s="3">
        <v>0</v>
      </c>
    </row>
    <row r="15782" ht="15.75" customHeight="1" spans="1:2">
      <c r="A15782" s="3" t="str">
        <f>IFERROR(__xludf.DUMMYFUNCTION("GOOGLETRANSLATE(A15782,""en"",""pt"")"),"ceticismo")</f>
        <v>ceticismo</v>
      </c>
      <c r="B15782" s="3">
        <v>0</v>
      </c>
    </row>
    <row r="15783" ht="15.75" customHeight="1" spans="1:2">
      <c r="A15783" s="3" t="str">
        <f>IFERROR(__xludf.DUMMYFUNCTION("GOOGLETRANSLATE(A15783,""en"",""pt"")"),"esboçado")</f>
        <v>esboçado</v>
      </c>
      <c r="B15783" s="3">
        <v>0</v>
      </c>
    </row>
    <row r="15784" ht="15.75" customHeight="1" spans="1:2">
      <c r="A15784" s="3" t="str">
        <f>IFERROR(__xludf.DUMMYFUNCTION("GOOGLETRANSLATE(A15784,""en"",""pt"")"),"acanhado")</f>
        <v>acanhado</v>
      </c>
      <c r="B15784" s="3">
        <v>0</v>
      </c>
    </row>
    <row r="15785" ht="15.75" customHeight="1" spans="1:2">
      <c r="A15785" s="3" t="str">
        <f>IFERROR(__xludf.DUMMYFUNCTION("GOOGLETRANSLATE(A15785,""en"",""pt"")"),"magro")</f>
        <v>magro</v>
      </c>
      <c r="B15785" s="3">
        <v>0</v>
      </c>
    </row>
    <row r="15786" ht="15.75" customHeight="1" spans="1:2">
      <c r="A15786" s="3" t="str">
        <f>IFERROR(__xludf.DUMMYFUNCTION("GOOGLETRANSLATE(A15786,""en"",""pt"")"),"assustadiço")</f>
        <v>assustadiço</v>
      </c>
      <c r="B15786" s="3">
        <v>0</v>
      </c>
    </row>
    <row r="15787" ht="15.75" customHeight="1" spans="1:2">
      <c r="A15787" s="3" t="str">
        <f>IFERROR(__xludf.DUMMYFUNCTION("GOOGLETRANSLATE(A15787,""en"",""pt"")"),"enérgicas")</f>
        <v>enérgicas</v>
      </c>
      <c r="B15787" s="3">
        <v>0</v>
      </c>
    </row>
    <row r="15788" ht="15.75" customHeight="1" spans="1:2">
      <c r="A15788" s="3" t="str">
        <f>IFERROR(__xludf.DUMMYFUNCTION("GOOGLETRANSLATE(A15788,""en"",""pt"")"),"esconder-se")</f>
        <v>esconder-se</v>
      </c>
      <c r="B15788" s="3">
        <v>0</v>
      </c>
    </row>
    <row r="15789" ht="15.75" customHeight="1" spans="1:2">
      <c r="A15789" s="3" t="str">
        <f>IFERROR(__xludf.DUMMYFUNCTION("GOOGLETRANSLATE(A15789,""en"",""pt"")"),"retarda")</f>
        <v>retarda</v>
      </c>
      <c r="B15789" s="3">
        <v>0</v>
      </c>
    </row>
    <row r="15790" ht="15.75" customHeight="1" spans="1:2">
      <c r="A15790" s="3" t="str">
        <f>IFERROR(__xludf.DUMMYFUNCTION("GOOGLETRANSLATE(A15790,""en"",""pt"")"),"calúnia")</f>
        <v>calúnia</v>
      </c>
      <c r="B15790" s="3">
        <v>0</v>
      </c>
    </row>
    <row r="15791" ht="15.75" customHeight="1" spans="1:2">
      <c r="A15791" s="3" t="str">
        <f>IFERROR(__xludf.DUMMYFUNCTION("GOOGLETRANSLATE(A15791,""en"",""pt"")"),"caluniador")</f>
        <v>caluniador</v>
      </c>
      <c r="B15791" s="3">
        <v>0</v>
      </c>
    </row>
    <row r="15792" ht="15.75" customHeight="1" spans="1:2">
      <c r="A15792" s="3" t="str">
        <f>IFERROR(__xludf.DUMMYFUNCTION("GOOGLETRANSLATE(A15792,""en"",""pt"")"),"calunioso")</f>
        <v>calunioso</v>
      </c>
      <c r="B15792" s="3">
        <v>0</v>
      </c>
    </row>
    <row r="15793" ht="15.75" customHeight="1" spans="1:2">
      <c r="A15793" s="3" t="str">
        <f>IFERROR(__xludf.DUMMYFUNCTION("GOOGLETRANSLATE(A15793,""en"",""pt"")"),"caluniosamente")</f>
        <v>caluniosamente</v>
      </c>
      <c r="B15793" s="3">
        <v>0</v>
      </c>
    </row>
    <row r="15794" ht="15.75" customHeight="1" spans="1:2">
      <c r="A15794" s="3" t="str">
        <f>IFERROR(__xludf.DUMMYFUNCTION("GOOGLETRANSLATE(A15794,""en"",""pt"")"),"calúnias")</f>
        <v>calúnias</v>
      </c>
      <c r="B15794" s="3">
        <v>0</v>
      </c>
    </row>
    <row r="15795" ht="15.75" customHeight="1" spans="1:2">
      <c r="A15795" s="3" t="str">
        <f>IFERROR(__xludf.DUMMYFUNCTION("GOOGLETRANSLATE(A15795,""en"",""pt"")"),"tapa")</f>
        <v>tapa</v>
      </c>
      <c r="B15795" s="3">
        <v>0</v>
      </c>
    </row>
    <row r="15796" ht="15.75" customHeight="1" spans="1:2">
      <c r="A15796" s="3" t="str">
        <f>IFERROR(__xludf.DUMMYFUNCTION("GOOGLETRANSLATE(A15796,""en"",""pt"")"),"cortante")</f>
        <v>cortante</v>
      </c>
      <c r="B15796" s="3">
        <v>0</v>
      </c>
    </row>
    <row r="15797" ht="15.75" customHeight="1" spans="1:2">
      <c r="A15797" s="3" t="str">
        <f>IFERROR(__xludf.DUMMYFUNCTION("GOOGLETRANSLATE(A15797,""en"",""pt"")"),"chacina")</f>
        <v>chacina</v>
      </c>
      <c r="B15797" s="3">
        <v>0</v>
      </c>
    </row>
    <row r="15798" ht="15.75" customHeight="1" spans="1:2">
      <c r="A15798" s="3" t="str">
        <f>IFERROR(__xludf.DUMMYFUNCTION("GOOGLETRANSLATE(A15798,""en"",""pt"")"),"Slaughtered")</f>
        <v>Slaughtered</v>
      </c>
      <c r="B15798" s="3">
        <v>0</v>
      </c>
    </row>
    <row r="15799" ht="15.75" customHeight="1" spans="1:2">
      <c r="A15799" s="3" t="str">
        <f>IFERROR(__xludf.DUMMYFUNCTION("GOOGLETRANSLATE(A15799,""en"",""pt"")"),"escravo")</f>
        <v>escravo</v>
      </c>
      <c r="B15799" s="3">
        <v>0</v>
      </c>
    </row>
    <row r="15800" ht="15.75" customHeight="1" spans="1:2">
      <c r="A15800" s="3" t="str">
        <f>IFERROR(__xludf.DUMMYFUNCTION("GOOGLETRANSLATE(A15800,""en"",""pt"")"),"escravos")</f>
        <v>escravos</v>
      </c>
      <c r="B15800" s="3">
        <v>0</v>
      </c>
    </row>
    <row r="15801" ht="15.75" customHeight="1" spans="1:2">
      <c r="A15801" s="3" t="str">
        <f>IFERROR(__xludf.DUMMYFUNCTION("GOOGLETRANSLATE(A15801,""en"",""pt"")"),"frágil")</f>
        <v>frágil</v>
      </c>
      <c r="B15801" s="3">
        <v>0</v>
      </c>
    </row>
    <row r="15802" ht="15.75" customHeight="1" spans="1:2">
      <c r="A15802" s="3" t="str">
        <f>IFERROR(__xludf.DUMMYFUNCTION("GOOGLETRANSLATE(A15802,""en"",""pt"")"),"lodo")</f>
        <v>lodo</v>
      </c>
      <c r="B15802" s="3">
        <v>0</v>
      </c>
    </row>
    <row r="15803" ht="15.75" customHeight="1" spans="1:2">
      <c r="A15803" s="3" t="str">
        <f>IFERROR(__xludf.DUMMYFUNCTION("GOOGLETRANSLATE(A15803,""en"",""pt"")"),"estafa")</f>
        <v>estafa</v>
      </c>
      <c r="B15803" s="3">
        <v>0</v>
      </c>
    </row>
    <row r="15804" ht="15.75" customHeight="1" spans="1:2">
      <c r="A15804" s="3" t="str">
        <f>IFERROR(__xludf.DUMMYFUNCTION("GOOGLETRANSLATE(A15804,""en"",""pt"")"),"slogged")</f>
        <v>slogged</v>
      </c>
      <c r="B15804" s="3">
        <v>0</v>
      </c>
    </row>
    <row r="15805" ht="15.75" customHeight="1" spans="1:2">
      <c r="A15805" s="3" t="str">
        <f>IFERROR(__xludf.DUMMYFUNCTION("GOOGLETRANSLATE(A15805,""en"",""pt"")"),"slogging")</f>
        <v>slogging</v>
      </c>
      <c r="B15805" s="3">
        <v>0</v>
      </c>
    </row>
    <row r="15806" ht="15.75" customHeight="1" spans="1:2">
      <c r="A15806" s="3" t="str">
        <f>IFERROR(__xludf.DUMMYFUNCTION("GOOGLETRANSLATE(A15806,""en"",""pt"")"),"slogs")</f>
        <v>slogs</v>
      </c>
      <c r="B15806" s="3">
        <v>0</v>
      </c>
    </row>
    <row r="15807" ht="15.75" customHeight="1" spans="1:2">
      <c r="A15807" s="3" t="str">
        <f>IFERROR(__xludf.DUMMYFUNCTION("GOOGLETRANSLATE(A15807,""en"",""pt"")"),"sloooooooooooooow")</f>
        <v>sloooooooooooooow</v>
      </c>
      <c r="B15807" s="3">
        <v>0</v>
      </c>
    </row>
    <row r="15808" ht="15.75" customHeight="1" spans="1:2">
      <c r="A15808" s="3" t="str">
        <f>IFERROR(__xludf.DUMMYFUNCTION("GOOGLETRANSLATE(A15808,""en"",""pt"")"),"sloooow")</f>
        <v>sloooow</v>
      </c>
      <c r="B15808" s="3">
        <v>0</v>
      </c>
    </row>
    <row r="15809" ht="15.75" customHeight="1" spans="1:2">
      <c r="A15809" s="3" t="str">
        <f>IFERROR(__xludf.DUMMYFUNCTION("GOOGLETRANSLATE(A15809,""en"",""pt"")"),"slooow")</f>
        <v>slooow</v>
      </c>
      <c r="B15809" s="3">
        <v>0</v>
      </c>
    </row>
    <row r="15810" ht="15.75" customHeight="1" spans="1:2">
      <c r="A15810" s="3" t="str">
        <f>IFERROR(__xludf.DUMMYFUNCTION("GOOGLETRANSLATE(A15810,""en"",""pt"")"),"sloow")</f>
        <v>sloow</v>
      </c>
      <c r="B15810" s="3">
        <v>0</v>
      </c>
    </row>
    <row r="15811" ht="15.75" customHeight="1" spans="1:2">
      <c r="A15811" s="3" t="str">
        <f>IFERROR(__xludf.DUMMYFUNCTION("GOOGLETRANSLATE(A15811,""en"",""pt"")"),"sloppily")</f>
        <v>sloppily</v>
      </c>
      <c r="B15811" s="3">
        <v>0</v>
      </c>
    </row>
    <row r="15812" ht="15.75" customHeight="1" spans="1:2">
      <c r="A15812" s="3" t="str">
        <f>IFERROR(__xludf.DUMMYFUNCTION("GOOGLETRANSLATE(A15812,""en"",""pt"")"),"desleixado")</f>
        <v>desleixado</v>
      </c>
      <c r="B15812" s="3">
        <v>0</v>
      </c>
    </row>
    <row r="15813" ht="15.75" customHeight="1" spans="1:2">
      <c r="A15813" s="3" t="str">
        <f>IFERROR(__xludf.DUMMYFUNCTION("GOOGLETRANSLATE(A15813,""en"",""pt"")"),"preguiça")</f>
        <v>preguiça</v>
      </c>
      <c r="B15813" s="3">
        <v>0</v>
      </c>
    </row>
    <row r="15814" ht="15.75" customHeight="1" spans="1:2">
      <c r="A15814" s="3" t="str">
        <f>IFERROR(__xludf.DUMMYFUNCTION("GOOGLETRANSLATE(A15814,""en"",""pt"")"),"preguiçoso")</f>
        <v>preguiçoso</v>
      </c>
      <c r="B15814" s="3">
        <v>0</v>
      </c>
    </row>
    <row r="15815" ht="15.75" customHeight="1" spans="1:2">
      <c r="A15815" s="3" t="str">
        <f>IFERROR(__xludf.DUMMYFUNCTION("GOOGLETRANSLATE(A15815,""en"",""pt"")"),"lento")</f>
        <v>lento</v>
      </c>
      <c r="B15815" s="3">
        <v>0</v>
      </c>
    </row>
    <row r="15816" ht="15.75" customHeight="1" spans="1:2">
      <c r="A15816" s="3" t="str">
        <f>IFERROR(__xludf.DUMMYFUNCTION("GOOGLETRANSLATE(A15816,""en"",""pt"")"),"Movendo devagar")</f>
        <v>Movendo devagar</v>
      </c>
      <c r="B15816" s="3">
        <v>0</v>
      </c>
    </row>
    <row r="15817" ht="15.75" customHeight="1" spans="1:2">
      <c r="A15817" s="3" t="str">
        <f>IFERROR(__xludf.DUMMYFUNCTION("GOOGLETRANSLATE(A15817,""en"",""pt"")"),"retardou")</f>
        <v>retardou</v>
      </c>
      <c r="B15817" s="3">
        <v>0</v>
      </c>
    </row>
    <row r="15818" ht="15.75" customHeight="1" spans="1:2">
      <c r="A15818" s="3" t="str">
        <f>IFERROR(__xludf.DUMMYFUNCTION("GOOGLETRANSLATE(A15818,""en"",""pt"")"),"Mais devagar")</f>
        <v>Mais devagar</v>
      </c>
      <c r="B15818" s="3">
        <v>0</v>
      </c>
    </row>
    <row r="15819" ht="15.75" customHeight="1" spans="1:2">
      <c r="A15819" s="3" t="str">
        <f>IFERROR(__xludf.DUMMYFUNCTION("GOOGLETRANSLATE(A15819,""en"",""pt"")"),"o mais lento")</f>
        <v>o mais lento</v>
      </c>
      <c r="B15819" s="3">
        <v>0</v>
      </c>
    </row>
    <row r="15820" ht="15.75" customHeight="1" spans="1:2">
      <c r="A15820" s="3" t="str">
        <f>IFERROR(__xludf.DUMMYFUNCTION("GOOGLETRANSLATE(A15820,""en"",""pt"")"),"lentamente")</f>
        <v>lentamente</v>
      </c>
      <c r="B15820" s="3">
        <v>0</v>
      </c>
    </row>
    <row r="15821" ht="15.75" customHeight="1" spans="1:2">
      <c r="A15821" s="3" t="str">
        <f>IFERROR(__xludf.DUMMYFUNCTION("GOOGLETRANSLATE(A15821,""en"",""pt"")"),"sloww")</f>
        <v>sloww</v>
      </c>
      <c r="B15821" s="3">
        <v>0</v>
      </c>
    </row>
    <row r="15822" ht="15.75" customHeight="1" spans="1:2">
      <c r="A15822" s="3" t="str">
        <f>IFERROR(__xludf.DUMMYFUNCTION("GOOGLETRANSLATE(A15822,""en"",""pt"")"),"slowww")</f>
        <v>slowww</v>
      </c>
      <c r="B15822" s="3">
        <v>0</v>
      </c>
    </row>
    <row r="15823" ht="15.75" customHeight="1" spans="1:2">
      <c r="A15823" s="3" t="str">
        <f>IFERROR(__xludf.DUMMYFUNCTION("GOOGLETRANSLATE(A15823,""en"",""pt"")"),"slowwww")</f>
        <v>slowwww</v>
      </c>
      <c r="B15823" s="3">
        <v>0</v>
      </c>
    </row>
    <row r="15824" ht="15.75" customHeight="1" spans="1:2">
      <c r="A15824" s="3" t="str">
        <f>IFERROR(__xludf.DUMMYFUNCTION("GOOGLETRANSLATE(A15824,""en"",""pt"")"),"lesma")</f>
        <v>lesma</v>
      </c>
      <c r="B15824" s="3">
        <v>0</v>
      </c>
    </row>
    <row r="15825" ht="15.75" customHeight="1" spans="1:2">
      <c r="A15825" s="3" t="str">
        <f>IFERROR(__xludf.DUMMYFUNCTION("GOOGLETRANSLATE(A15825,""en"",""pt"")"),"lerdo")</f>
        <v>lerdo</v>
      </c>
      <c r="B15825" s="3">
        <v>0</v>
      </c>
    </row>
    <row r="15826" ht="15.75" customHeight="1" spans="1:2">
      <c r="A15826" s="3" t="str">
        <f>IFERROR(__xludf.DUMMYFUNCTION("GOOGLETRANSLATE(A15826,""en"",""pt"")"),"crise")</f>
        <v>crise</v>
      </c>
      <c r="B15826" s="3">
        <v>0</v>
      </c>
    </row>
    <row r="15827" ht="15.75" customHeight="1" spans="1:2">
      <c r="A15827" s="3" t="str">
        <f>IFERROR(__xludf.DUMMYFUNCTION("GOOGLETRANSLATE(A15827,""en"",""pt"")"),"queda")</f>
        <v>queda</v>
      </c>
      <c r="B15827" s="3">
        <v>0</v>
      </c>
    </row>
    <row r="15828" ht="15.75" customHeight="1" spans="1:2">
      <c r="A15828" s="3" t="str">
        <f>IFERROR(__xludf.DUMMYFUNCTION("GOOGLETRANSLATE(A15828,""en"",""pt"")"),"slumpping")</f>
        <v>slumpping</v>
      </c>
      <c r="B15828" s="3">
        <v>0</v>
      </c>
    </row>
    <row r="15829" ht="15.75" customHeight="1" spans="1:2">
      <c r="A15829" s="3" t="str">
        <f>IFERROR(__xludf.DUMMYFUNCTION("GOOGLETRANSLATE(A15829,""en"",""pt"")"),"estigma")</f>
        <v>estigma</v>
      </c>
      <c r="B15829" s="3">
        <v>0</v>
      </c>
    </row>
    <row r="15830" ht="15.75" customHeight="1" spans="1:2">
      <c r="A15830" s="3" t="str">
        <f>IFERROR(__xludf.DUMMYFUNCTION("GOOGLETRANSLATE(A15830,""en"",""pt"")"),"cadela")</f>
        <v>cadela</v>
      </c>
      <c r="B15830" s="3">
        <v>0</v>
      </c>
    </row>
    <row r="15831" ht="15.75" customHeight="1" spans="1:2">
      <c r="A15831" s="3" t="str">
        <f>IFERROR(__xludf.DUMMYFUNCTION("GOOGLETRANSLATE(A15831,""en"",""pt"")"),"vagabundas")</f>
        <v>vagabundas</v>
      </c>
      <c r="B15831" s="3">
        <v>0</v>
      </c>
    </row>
    <row r="15832" ht="15.75" customHeight="1" spans="1:2">
      <c r="A15832" s="3" t="str">
        <f>IFERROR(__xludf.DUMMYFUNCTION("GOOGLETRANSLATE(A15832,""en"",""pt"")"),"manhoso")</f>
        <v>manhoso</v>
      </c>
      <c r="B15832" s="3">
        <v>0</v>
      </c>
    </row>
    <row r="15833" ht="15.75" customHeight="1" spans="1:2">
      <c r="A15833" s="3" t="str">
        <f>IFERROR(__xludf.DUMMYFUNCTION("GOOGLETRANSLATE(A15833,""en"",""pt"")"),"beijoca")</f>
        <v>beijoca</v>
      </c>
      <c r="B15833" s="3">
        <v>0</v>
      </c>
    </row>
    <row r="15834" ht="15.75" customHeight="1" spans="1:2">
      <c r="A15834" s="3" t="str">
        <f>IFERROR(__xludf.DUMMYFUNCTION("GOOGLETRANSLATE(A15834,""en"",""pt"")"),"smallish")</f>
        <v>smallish</v>
      </c>
      <c r="B15834" s="3">
        <v>0</v>
      </c>
    </row>
    <row r="15835" ht="15.75" customHeight="1" spans="1:2">
      <c r="A15835" s="3" t="str">
        <f>IFERROR(__xludf.DUMMYFUNCTION("GOOGLETRANSLATE(A15835,""en"",""pt"")"),"esmagar")</f>
        <v>esmagar</v>
      </c>
      <c r="B15835" s="3">
        <v>0</v>
      </c>
    </row>
    <row r="15836" ht="15.75" customHeight="1" spans="1:2">
      <c r="A15836" s="3" t="str">
        <f>IFERROR(__xludf.DUMMYFUNCTION("GOOGLETRANSLATE(A15836,""en"",""pt"")"),"borrão")</f>
        <v>borrão</v>
      </c>
      <c r="B15836" s="3">
        <v>0</v>
      </c>
    </row>
    <row r="15837" ht="15.75" customHeight="1" spans="1:2">
      <c r="A15837" s="3" t="str">
        <f>IFERROR(__xludf.DUMMYFUNCTION("GOOGLETRANSLATE(A15837,""en"",""pt"")"),"cheiro")</f>
        <v>cheiro</v>
      </c>
      <c r="B15837" s="3">
        <v>0</v>
      </c>
    </row>
    <row r="15838" ht="15.75" customHeight="1" spans="1:2">
      <c r="A15838" s="3" t="str">
        <f>IFERROR(__xludf.DUMMYFUNCTION("GOOGLETRANSLATE(A15838,""en"",""pt"")"),"cheirava")</f>
        <v>cheirava</v>
      </c>
      <c r="B15838" s="3">
        <v>0</v>
      </c>
    </row>
    <row r="15839" ht="15.75" customHeight="1" spans="1:2">
      <c r="A15839" s="3" t="str">
        <f>IFERROR(__xludf.DUMMYFUNCTION("GOOGLETRANSLATE(A15839,""en"",""pt"")"),"cheirando")</f>
        <v>cheirando</v>
      </c>
      <c r="B15839" s="3">
        <v>0</v>
      </c>
    </row>
    <row r="15840" ht="15.75" customHeight="1" spans="1:2">
      <c r="A15840" s="3" t="str">
        <f>IFERROR(__xludf.DUMMYFUNCTION("GOOGLETRANSLATE(A15840,""en"",""pt"")"),"cheiros")</f>
        <v>cheiros</v>
      </c>
      <c r="B15840" s="3">
        <v>0</v>
      </c>
    </row>
    <row r="15841" ht="15.75" customHeight="1" spans="1:2">
      <c r="A15841" s="3" t="str">
        <f>IFERROR(__xludf.DUMMYFUNCTION("GOOGLETRANSLATE(A15841,""en"",""pt"")"),"malcheiroso")</f>
        <v>malcheiroso</v>
      </c>
      <c r="B15841" s="3">
        <v>0</v>
      </c>
    </row>
    <row r="15842" ht="15.75" customHeight="1" spans="1:2">
      <c r="A15842" s="3" t="str">
        <f>IFERROR(__xludf.DUMMYFUNCTION("GOOGLETRANSLATE(A15842,""en"",""pt"")"),"fundição")</f>
        <v>fundição</v>
      </c>
      <c r="B15842" s="3">
        <v>0</v>
      </c>
    </row>
    <row r="15843" ht="15.75" customHeight="1" spans="1:2">
      <c r="A15843" s="3" t="str">
        <f>IFERROR(__xludf.DUMMYFUNCTION("GOOGLETRANSLATE(A15843,""en"",""pt"")"),"fumaça")</f>
        <v>fumaça</v>
      </c>
      <c r="B15843" s="3">
        <v>0</v>
      </c>
    </row>
    <row r="15844" ht="15.75" customHeight="1" spans="1:2">
      <c r="A15844" s="3" t="str">
        <f>IFERROR(__xludf.DUMMYFUNCTION("GOOGLETRANSLATE(A15844,""en"",""pt"")"),"cortina de fumaça")</f>
        <v>cortina de fumaça</v>
      </c>
      <c r="B15844" s="3">
        <v>0</v>
      </c>
    </row>
    <row r="15845" ht="15.75" customHeight="1" spans="1:2">
      <c r="A15845" s="3" t="str">
        <f>IFERROR(__xludf.DUMMYFUNCTION("GOOGLETRANSLATE(A15845,""en"",""pt"")"),"smolder")</f>
        <v>smolder</v>
      </c>
      <c r="B15845" s="3">
        <v>0</v>
      </c>
    </row>
    <row r="15846" ht="15.75" customHeight="1" spans="1:2">
      <c r="A15846" s="3" t="str">
        <f>IFERROR(__xludf.DUMMYFUNCTION("GOOGLETRANSLATE(A15846,""en"",""pt"")"),"latente")</f>
        <v>latente</v>
      </c>
      <c r="B15846" s="3">
        <v>0</v>
      </c>
    </row>
    <row r="15847" ht="15.75" customHeight="1" spans="1:2">
      <c r="A15847" s="3" t="str">
        <f>IFERROR(__xludf.DUMMYFUNCTION("GOOGLETRANSLATE(A15847,""en"",""pt"")"),"smother")</f>
        <v>smother</v>
      </c>
      <c r="B15847" s="3">
        <v>0</v>
      </c>
    </row>
    <row r="15848" ht="15.75" customHeight="1" spans="1:2">
      <c r="A15848" s="3" t="str">
        <f>IFERROR(__xludf.DUMMYFUNCTION("GOOGLETRANSLATE(A15848,""en"",""pt"")"),"smolder")</f>
        <v>smolder</v>
      </c>
      <c r="B15848" s="3">
        <v>0</v>
      </c>
    </row>
    <row r="15849" ht="15.75" customHeight="1" spans="1:2">
      <c r="A15849" s="3" t="str">
        <f>IFERROR(__xludf.DUMMYFUNCTION("GOOGLETRANSLATE(A15849,""en"",""pt"")"),"latente")</f>
        <v>latente</v>
      </c>
      <c r="B15849" s="3">
        <v>0</v>
      </c>
    </row>
    <row r="15850" ht="15.75" customHeight="1" spans="1:2">
      <c r="A15850" s="3" t="str">
        <f>IFERROR(__xludf.DUMMYFUNCTION("GOOGLETRANSLATE(A15850,""en"",""pt"")"),"mancha")</f>
        <v>mancha</v>
      </c>
      <c r="B15850" s="3">
        <v>0</v>
      </c>
    </row>
    <row r="15851" ht="15.75" customHeight="1" spans="1:2">
      <c r="A15851" s="3" t="str">
        <f>IFERROR(__xludf.DUMMYFUNCTION("GOOGLETRANSLATE(A15851,""en"",""pt"")"),"borrado")</f>
        <v>borrado</v>
      </c>
      <c r="B15851" s="3">
        <v>0</v>
      </c>
    </row>
    <row r="15852" ht="15.75" customHeight="1" spans="1:2">
      <c r="A15852" s="3" t="str">
        <f>IFERROR(__xludf.DUMMYFUNCTION("GOOGLETRANSLATE(A15852,""en"",""pt"")"),"manchas")</f>
        <v>manchas</v>
      </c>
      <c r="B15852" s="3">
        <v>0</v>
      </c>
    </row>
    <row r="15853" ht="15.75" customHeight="1" spans="1:2">
      <c r="A15853" s="3" t="str">
        <f>IFERROR(__xludf.DUMMYFUNCTION("GOOGLETRANSLATE(A15853,""en"",""pt"")"),"smudging")</f>
        <v>smudging</v>
      </c>
      <c r="B15853" s="3">
        <v>0</v>
      </c>
    </row>
    <row r="15854" ht="15.75" customHeight="1" spans="1:2">
      <c r="A15854" s="3" t="str">
        <f>IFERROR(__xludf.DUMMYFUNCTION("GOOGLETRANSLATE(A15854,""en"",""pt"")"),"presunçoso")</f>
        <v>presunçoso</v>
      </c>
      <c r="B15854" s="3">
        <v>0</v>
      </c>
    </row>
    <row r="15855" ht="15.75" customHeight="1" spans="1:2">
      <c r="A15855" s="3" t="str">
        <f>IFERROR(__xludf.DUMMYFUNCTION("GOOGLETRANSLATE(A15855,""en"",""pt"")"),"presunçosamente")</f>
        <v>presunçosamente</v>
      </c>
      <c r="B15855" s="3">
        <v>0</v>
      </c>
    </row>
    <row r="15856" ht="15.75" customHeight="1" spans="1:2">
      <c r="A15856" s="3" t="str">
        <f>IFERROR(__xludf.DUMMYFUNCTION("GOOGLETRANSLATE(A15856,""en"",""pt"")"),"obscenidade")</f>
        <v>obscenidade</v>
      </c>
      <c r="B15856" s="3">
        <v>0</v>
      </c>
    </row>
    <row r="15857" ht="15.75" customHeight="1" spans="1:2">
      <c r="A15857" s="3" t="str">
        <f>IFERROR(__xludf.DUMMYFUNCTION("GOOGLETRANSLATE(A15857,""en"",""pt"")"),"smuttier")</f>
        <v>smuttier</v>
      </c>
      <c r="B15857" s="3">
        <v>0</v>
      </c>
    </row>
    <row r="15858" ht="15.75" customHeight="1" spans="1:2">
      <c r="A15858" s="3" t="str">
        <f>IFERROR(__xludf.DUMMYFUNCTION("GOOGLETRANSLATE(A15858,""en"",""pt"")"),"smuttiest")</f>
        <v>smuttiest</v>
      </c>
      <c r="B15858" s="3">
        <v>0</v>
      </c>
    </row>
    <row r="15859" ht="15.75" customHeight="1" spans="1:2">
      <c r="A15859" s="3" t="str">
        <f>IFERROR(__xludf.DUMMYFUNCTION("GOOGLETRANSLATE(A15859,""en"",""pt"")"),"sujo")</f>
        <v>sujo</v>
      </c>
      <c r="B15859" s="3">
        <v>0</v>
      </c>
    </row>
    <row r="15860" ht="15.75" customHeight="1" spans="1:2">
      <c r="A15860" s="3" t="str">
        <f>IFERROR(__xludf.DUMMYFUNCTION("GOOGLETRANSLATE(A15860,""en"",""pt"")"),"protuberância")</f>
        <v>protuberância</v>
      </c>
      <c r="B15860" s="3">
        <v>0</v>
      </c>
    </row>
    <row r="15861" ht="15.75" customHeight="1" spans="1:2">
      <c r="A15861" s="3" t="str">
        <f>IFERROR(__xludf.DUMMYFUNCTION("GOOGLETRANSLATE(A15861,""en"",""pt"")"),"Snagged")</f>
        <v>Snagged</v>
      </c>
      <c r="B15861" s="3">
        <v>0</v>
      </c>
    </row>
    <row r="15862" ht="15.75" customHeight="1" spans="1:2">
      <c r="A15862" s="3" t="str">
        <f>IFERROR(__xludf.DUMMYFUNCTION("GOOGLETRANSLATE(A15862,""en"",""pt"")"),"snagging")</f>
        <v>snagging</v>
      </c>
      <c r="B15862" s="3">
        <v>0</v>
      </c>
    </row>
    <row r="15863" ht="15.75" customHeight="1" spans="1:2">
      <c r="A15863" s="3" t="str">
        <f>IFERROR(__xludf.DUMMYFUNCTION("GOOGLETRANSLATE(A15863,""en"",""pt"")"),"senões")</f>
        <v>senões</v>
      </c>
      <c r="B15863" s="3">
        <v>0</v>
      </c>
    </row>
    <row r="15864" ht="15.75" customHeight="1" spans="1:2">
      <c r="A15864" s="3" t="str">
        <f>IFERROR(__xludf.DUMMYFUNCTION("GOOGLETRANSLATE(A15864,""en"",""pt"")"),"mal-humorado")</f>
        <v>mal-humorado</v>
      </c>
      <c r="B15864" s="3">
        <v>0</v>
      </c>
    </row>
    <row r="15865" ht="15.75" customHeight="1" spans="1:2">
      <c r="A15865" s="3" t="str">
        <f>IFERROR(__xludf.DUMMYFUNCTION("GOOGLETRANSLATE(A15865,""en"",""pt"")"),"snappishly")</f>
        <v>snappishly</v>
      </c>
      <c r="B15865" s="3">
        <v>0</v>
      </c>
    </row>
    <row r="15866" ht="15.75" customHeight="1" spans="1:2">
      <c r="A15866" s="3" t="str">
        <f>IFERROR(__xludf.DUMMYFUNCTION("GOOGLETRANSLATE(A15866,""en"",""pt"")"),"laço")</f>
        <v>laço</v>
      </c>
      <c r="B15866" s="3">
        <v>0</v>
      </c>
    </row>
    <row r="15867" ht="15.75" customHeight="1" spans="1:2">
      <c r="A15867" s="3" t="str">
        <f>IFERROR(__xludf.DUMMYFUNCTION("GOOGLETRANSLATE(A15867,""en"",""pt"")"),"snarky")</f>
        <v>snarky</v>
      </c>
      <c r="B15867" s="3">
        <v>0</v>
      </c>
    </row>
    <row r="15868" ht="15.75" customHeight="1" spans="1:2">
      <c r="A15868" s="3" t="str">
        <f>IFERROR(__xludf.DUMMYFUNCTION("GOOGLETRANSLATE(A15868,""en"",""pt"")"),"rosnar")</f>
        <v>rosnar</v>
      </c>
      <c r="B15868" s="3">
        <v>0</v>
      </c>
    </row>
    <row r="15869" ht="15.75" customHeight="1" spans="1:2">
      <c r="A15869" s="3" t="str">
        <f>IFERROR(__xludf.DUMMYFUNCTION("GOOGLETRANSLATE(A15869,""en"",""pt"")"),"esgueirar-se")</f>
        <v>esgueirar-se</v>
      </c>
      <c r="B15869" s="3">
        <v>0</v>
      </c>
    </row>
    <row r="15870" ht="15.75" customHeight="1" spans="1:2">
      <c r="A15870" s="3" t="str">
        <f>IFERROR(__xludf.DUMMYFUNCTION("GOOGLETRANSLATE(A15870,""en"",""pt"")"),"sneakily")</f>
        <v>sneakily</v>
      </c>
      <c r="B15870" s="3">
        <v>0</v>
      </c>
    </row>
    <row r="15871" ht="15.75" customHeight="1" spans="1:2">
      <c r="A15871" s="3" t="str">
        <f>IFERROR(__xludf.DUMMYFUNCTION("GOOGLETRANSLATE(A15871,""en"",""pt"")"),"sorrateiro")</f>
        <v>sorrateiro</v>
      </c>
      <c r="B15871" s="3">
        <v>0</v>
      </c>
    </row>
    <row r="15872" ht="15.75" customHeight="1" spans="1:2">
      <c r="A15872" s="3" t="str">
        <f>IFERROR(__xludf.DUMMYFUNCTION("GOOGLETRANSLATE(A15872,""en"",""pt"")"),"zombaria")</f>
        <v>zombaria</v>
      </c>
      <c r="B15872" s="3">
        <v>0</v>
      </c>
    </row>
    <row r="15873" ht="15.75" customHeight="1" spans="1:2">
      <c r="A15873" s="3" t="str">
        <f>IFERROR(__xludf.DUMMYFUNCTION("GOOGLETRANSLATE(A15873,""en"",""pt"")"),"sarcástico")</f>
        <v>sarcástico</v>
      </c>
      <c r="B15873" s="3">
        <v>0</v>
      </c>
    </row>
    <row r="15874" ht="15.75" customHeight="1" spans="1:2">
      <c r="A15874" s="3" t="str">
        <f>IFERROR(__xludf.DUMMYFUNCTION("GOOGLETRANSLATE(A15874,""en"",""pt"")"),"sneeringly")</f>
        <v>sneeringly</v>
      </c>
      <c r="B15874" s="3">
        <v>0</v>
      </c>
    </row>
    <row r="15875" ht="15.75" customHeight="1" spans="1:2">
      <c r="A15875" s="3" t="str">
        <f>IFERROR(__xludf.DUMMYFUNCTION("GOOGLETRANSLATE(A15875,""en"",""pt"")"),"esnobe")</f>
        <v>esnobe</v>
      </c>
      <c r="B15875" s="3">
        <v>0</v>
      </c>
    </row>
    <row r="15876" ht="15.75" customHeight="1" spans="1:2">
      <c r="A15876" s="3" t="str">
        <f>IFERROR(__xludf.DUMMYFUNCTION("GOOGLETRANSLATE(A15876,""en"",""pt"")"),"esnobe")</f>
        <v>esnobe</v>
      </c>
      <c r="B15876" s="3">
        <v>0</v>
      </c>
    </row>
    <row r="15877" ht="15.75" customHeight="1" spans="1:2">
      <c r="A15877" s="3" t="str">
        <f>IFERROR(__xludf.DUMMYFUNCTION("GOOGLETRANSLATE(A15877,""en"",""pt"")"),"esnobe")</f>
        <v>esnobe</v>
      </c>
      <c r="B15877" s="3">
        <v>0</v>
      </c>
    </row>
    <row r="15878" ht="15.75" customHeight="1" spans="1:2">
      <c r="A15878" s="3" t="str">
        <f>IFERROR(__xludf.DUMMYFUNCTION("GOOGLETRANSLATE(A15878,""en"",""pt"")"),"snobish")</f>
        <v>snobish</v>
      </c>
      <c r="B15878" s="3">
        <v>0</v>
      </c>
    </row>
    <row r="15879" ht="15.75" customHeight="1" spans="1:2">
      <c r="A15879" s="3" t="str">
        <f>IFERROR(__xludf.DUMMYFUNCTION("GOOGLETRANSLATE(A15879,""en"",""pt"")"),"esnobes")</f>
        <v>esnobes</v>
      </c>
      <c r="B15879" s="3">
        <v>0</v>
      </c>
    </row>
    <row r="15880" ht="15.75" customHeight="1" spans="1:2">
      <c r="A15880" s="3" t="str">
        <f>IFERROR(__xludf.DUMMYFUNCTION("GOOGLETRANSLATE(A15880,""en"",""pt"")"),"arrebitado")</f>
        <v>arrebitado</v>
      </c>
      <c r="B15880" s="3">
        <v>0</v>
      </c>
    </row>
    <row r="15881" ht="15.75" customHeight="1" spans="1:2">
      <c r="A15881" s="3" t="str">
        <f>IFERROR(__xludf.DUMMYFUNCTION("GOOGLETRANSLATE(A15881,""en"",""pt"")"),"so-cal")</f>
        <v>so-cal</v>
      </c>
      <c r="B15881" s="3">
        <v>0</v>
      </c>
    </row>
    <row r="15882" ht="15.75" customHeight="1" spans="1:2">
      <c r="A15882" s="3" t="str">
        <f>IFERROR(__xludf.DUMMYFUNCTION("GOOGLETRANSLATE(A15882,""en"",""pt"")"),"ensaboado")</f>
        <v>ensaboado</v>
      </c>
      <c r="B15882" s="3">
        <v>0</v>
      </c>
    </row>
    <row r="15883" ht="15.75" customHeight="1" spans="1:2">
      <c r="A15883" s="3" t="str">
        <f>IFERROR(__xludf.DUMMYFUNCTION("GOOGLETRANSLATE(A15883,""en"",""pt"")"),"soluço")</f>
        <v>soluço</v>
      </c>
      <c r="B15883" s="3">
        <v>0</v>
      </c>
    </row>
    <row r="15884" ht="15.75" customHeight="1" spans="1:2">
      <c r="A15884" s="3" t="str">
        <f>IFERROR(__xludf.DUMMYFUNCTION("GOOGLETRANSLATE(A15884,""en"",""pt"")"),"sóbrio")</f>
        <v>sóbrio</v>
      </c>
      <c r="B15884" s="3">
        <v>0</v>
      </c>
    </row>
    <row r="15885" ht="15.75" customHeight="1" spans="1:2">
      <c r="A15885" s="3" t="str">
        <f>IFERROR(__xludf.DUMMYFUNCTION("GOOGLETRANSLATE(A15885,""en"",""pt"")"),"moderando")</f>
        <v>moderando</v>
      </c>
      <c r="B15885" s="3">
        <v>0</v>
      </c>
    </row>
    <row r="15886" ht="15.75" customHeight="1" spans="1:2">
      <c r="A15886" s="3" t="str">
        <f>IFERROR(__xludf.DUMMYFUNCTION("GOOGLETRANSLATE(A15886,""en"",""pt"")"),"solene")</f>
        <v>solene</v>
      </c>
      <c r="B15886" s="3">
        <v>0</v>
      </c>
    </row>
    <row r="15887" ht="15.75" customHeight="1" spans="1:2">
      <c r="A15887" s="3" t="str">
        <f>IFERROR(__xludf.DUMMYFUNCTION("GOOGLETRANSLATE(A15887,""en"",""pt"")"),"solicitude")</f>
        <v>solicitude</v>
      </c>
      <c r="B15887" s="3">
        <v>0</v>
      </c>
    </row>
    <row r="15888" ht="15.75" customHeight="1" spans="1:2">
      <c r="A15888" s="3" t="str">
        <f>IFERROR(__xludf.DUMMYFUNCTION("GOOGLETRANSLATE(A15888,""en"",""pt"")"),"sombrio")</f>
        <v>sombrio</v>
      </c>
      <c r="B15888" s="3">
        <v>0</v>
      </c>
    </row>
    <row r="15889" ht="15.75" customHeight="1" spans="1:2">
      <c r="A15889" s="3" t="str">
        <f>IFERROR(__xludf.DUMMYFUNCTION("GOOGLETRANSLATE(A15889,""en"",""pt"")"),"dorido")</f>
        <v>dorido</v>
      </c>
      <c r="B15889" s="3">
        <v>0</v>
      </c>
    </row>
    <row r="15890" ht="15.75" customHeight="1" spans="1:2">
      <c r="A15890" s="3" t="str">
        <f>IFERROR(__xludf.DUMMYFUNCTION("GOOGLETRANSLATE(A15890,""en"",""pt"")"),"extremamente")</f>
        <v>extremamente</v>
      </c>
      <c r="B15890" s="3">
        <v>0</v>
      </c>
    </row>
    <row r="15891" ht="15.75" customHeight="1" spans="1:2">
      <c r="A15891" s="3" t="str">
        <f>IFERROR(__xludf.DUMMYFUNCTION("GOOGLETRANSLATE(A15891,""en"",""pt"")"),"dor")</f>
        <v>dor</v>
      </c>
      <c r="B15891" s="3">
        <v>0</v>
      </c>
    </row>
    <row r="15892" ht="15.75" customHeight="1" spans="1:2">
      <c r="A15892" s="3" t="str">
        <f>IFERROR(__xludf.DUMMYFUNCTION("GOOGLETRANSLATE(A15892,""en"",""pt"")"),"tristeza")</f>
        <v>tristeza</v>
      </c>
      <c r="B15892" s="3">
        <v>0</v>
      </c>
    </row>
    <row r="15893" ht="15.75" customHeight="1" spans="1:2">
      <c r="A15893" s="3" t="str">
        <f>IFERROR(__xludf.DUMMYFUNCTION("GOOGLETRANSLATE(A15893,""en"",""pt"")"),"triste")</f>
        <v>triste</v>
      </c>
      <c r="B15893" s="3">
        <v>0</v>
      </c>
    </row>
    <row r="15894" ht="15.75" customHeight="1" spans="1:2">
      <c r="A15894" s="3" t="str">
        <f>IFERROR(__xludf.DUMMYFUNCTION("GOOGLETRANSLATE(A15894,""en"",""pt"")"),"tristemente")</f>
        <v>tristemente</v>
      </c>
      <c r="B15894" s="3">
        <v>0</v>
      </c>
    </row>
    <row r="15895" ht="15.75" customHeight="1" spans="1:2">
      <c r="A15895" s="3" t="str">
        <f>IFERROR(__xludf.DUMMYFUNCTION("GOOGLETRANSLATE(A15895,""en"",""pt"")"),"Desculpe")</f>
        <v>Desculpe</v>
      </c>
      <c r="B15895" s="3">
        <v>0</v>
      </c>
    </row>
    <row r="15896" ht="15.75" customHeight="1" spans="1:2">
      <c r="A15896" s="3" t="str">
        <f>IFERROR(__xludf.DUMMYFUNCTION("GOOGLETRANSLATE(A15896,""en"",""pt"")"),"azedar")</f>
        <v>azedar</v>
      </c>
      <c r="B15896" s="3">
        <v>0</v>
      </c>
    </row>
    <row r="15897" ht="15.75" customHeight="1" spans="1:2">
      <c r="A15897" s="3" t="str">
        <f>IFERROR(__xludf.DUMMYFUNCTION("GOOGLETRANSLATE(A15897,""en"",""pt"")"),"sourly")</f>
        <v>sourly</v>
      </c>
      <c r="B15897" s="3">
        <v>0</v>
      </c>
    </row>
    <row r="15898" ht="15.75" customHeight="1" spans="1:2">
      <c r="A15898" s="3" t="str">
        <f>IFERROR(__xludf.DUMMYFUNCTION("GOOGLETRANSLATE(A15898,""en"",""pt"")"),"pá")</f>
        <v>pá</v>
      </c>
      <c r="B15898" s="3">
        <v>0</v>
      </c>
    </row>
    <row r="15899" ht="15.75" customHeight="1" spans="1:2">
      <c r="A15899" s="3" t="str">
        <f>IFERROR(__xludf.DUMMYFUNCTION("GOOGLETRANSLATE(A15899,""en"",""pt"")"),"palmada")</f>
        <v>palmada</v>
      </c>
      <c r="B15899" s="3">
        <v>0</v>
      </c>
    </row>
    <row r="15900" ht="15.75" customHeight="1" spans="1:2">
      <c r="A15900" s="3" t="str">
        <f>IFERROR(__xludf.DUMMYFUNCTION("GOOGLETRANSLATE(A15900,""en"",""pt"")"),"spendy")</f>
        <v>spendy</v>
      </c>
      <c r="B15900" s="3">
        <v>0</v>
      </c>
    </row>
    <row r="15901" ht="15.75" customHeight="1" spans="1:2">
      <c r="A15901" s="3" t="str">
        <f>IFERROR(__xludf.DUMMYFUNCTION("GOOGLETRANSLATE(A15901,""en"",""pt"")"),"vomitar")</f>
        <v>vomitar</v>
      </c>
      <c r="B15901" s="3">
        <v>0</v>
      </c>
    </row>
    <row r="15902" ht="15.75" customHeight="1" spans="1:2">
      <c r="A15902" s="3" t="str">
        <f>IFERROR(__xludf.DUMMYFUNCTION("GOOGLETRANSLATE(A15902,""en"",""pt"")"),"vomitou")</f>
        <v>vomitou</v>
      </c>
      <c r="B15902" s="3">
        <v>0</v>
      </c>
    </row>
    <row r="15903" ht="15.75" customHeight="1" spans="1:2">
      <c r="A15903" s="3" t="str">
        <f>IFERROR(__xludf.DUMMYFUNCTION("GOOGLETRANSLATE(A15903,""en"",""pt"")"),"vomitando")</f>
        <v>vomitando</v>
      </c>
      <c r="B15903" s="3">
        <v>0</v>
      </c>
    </row>
    <row r="15904" ht="15.75" customHeight="1" spans="1:2">
      <c r="A15904" s="3" t="str">
        <f>IFERROR(__xludf.DUMMYFUNCTION("GOOGLETRANSLATE(A15904,""en"",""pt"")"),"vomita")</f>
        <v>vomita</v>
      </c>
      <c r="B15904" s="3">
        <v>0</v>
      </c>
    </row>
    <row r="15905" ht="15.75" customHeight="1" spans="1:2">
      <c r="A15905" s="3" t="str">
        <f>IFERROR(__xludf.DUMMYFUNCTION("GOOGLETRANSLATE(A15905,""en"",""pt"")"),"derramamento")</f>
        <v>derramamento</v>
      </c>
      <c r="B15905" s="3">
        <v>0</v>
      </c>
    </row>
    <row r="15906" ht="15.75" customHeight="1" spans="1:2">
      <c r="A15906" s="3" t="str">
        <f>IFERROR(__xludf.DUMMYFUNCTION("GOOGLETRANSLATE(A15906,""en"",""pt"")"),"solteirona")</f>
        <v>solteirona</v>
      </c>
      <c r="B15906" s="3">
        <v>0</v>
      </c>
    </row>
    <row r="15907" ht="15.75" customHeight="1" spans="1:2">
      <c r="A15907" s="3" t="str">
        <f>IFERROR(__xludf.DUMMYFUNCTION("GOOGLETRANSLATE(A15907,""en"",""pt"")"),"sem vida")</f>
        <v>sem vida</v>
      </c>
      <c r="B15907" s="3">
        <v>0</v>
      </c>
    </row>
    <row r="15908" ht="15.75" customHeight="1" spans="1:2">
      <c r="A15908" s="3" t="str">
        <f>IFERROR(__xludf.DUMMYFUNCTION("GOOGLETRANSLATE(A15908,""en"",""pt"")"),"despeito")</f>
        <v>despeito</v>
      </c>
      <c r="B15908" s="3">
        <v>0</v>
      </c>
    </row>
    <row r="15909" ht="15.75" customHeight="1" spans="1:2">
      <c r="A15909" s="3" t="str">
        <f>IFERROR(__xludf.DUMMYFUNCTION("GOOGLETRANSLATE(A15909,""en"",""pt"")"),"rancoroso")</f>
        <v>rancoroso</v>
      </c>
      <c r="B15909" s="3">
        <v>0</v>
      </c>
    </row>
    <row r="15910" ht="15.75" customHeight="1" spans="1:2">
      <c r="A15910" s="3" t="str">
        <f>IFERROR(__xludf.DUMMYFUNCTION("GOOGLETRANSLATE(A15910,""en"",""pt"")"),"spitefully")</f>
        <v>spitefully</v>
      </c>
      <c r="B15910" s="3">
        <v>0</v>
      </c>
    </row>
    <row r="15911" ht="15.75" customHeight="1" spans="1:2">
      <c r="A15911" s="3" t="str">
        <f>IFERROR(__xludf.DUMMYFUNCTION("GOOGLETRANSLATE(A15911,""en"",""pt"")"),"spitefulness")</f>
        <v>spitefulness</v>
      </c>
      <c r="B15911" s="3">
        <v>0</v>
      </c>
    </row>
    <row r="15912" ht="15.75" customHeight="1" spans="1:2">
      <c r="A15912" s="3" t="str">
        <f>IFERROR(__xludf.DUMMYFUNCTION("GOOGLETRANSLATE(A15912,""en"",""pt"")"),"ondular")</f>
        <v>ondular</v>
      </c>
      <c r="B15912" s="3">
        <v>0</v>
      </c>
    </row>
    <row r="15913" ht="15.75" customHeight="1" spans="1:2">
      <c r="A15913" s="3" t="str">
        <f>IFERROR(__xludf.DUMMYFUNCTION("GOOGLETRANSLATE(A15913,""en"",""pt"")"),"Dividido")</f>
        <v>Dividido</v>
      </c>
      <c r="B15913" s="3">
        <v>0</v>
      </c>
    </row>
    <row r="15914" ht="15.75" customHeight="1" spans="1:2">
      <c r="A15914" s="3" t="str">
        <f>IFERROR(__xludf.DUMMYFUNCTION("GOOGLETRANSLATE(A15914,""en"",""pt"")"),"divisão")</f>
        <v>divisão</v>
      </c>
      <c r="B15914" s="3">
        <v>0</v>
      </c>
    </row>
    <row r="15915" ht="15.75" customHeight="1" spans="1:2">
      <c r="A15915" s="3" t="str">
        <f>IFERROR(__xludf.DUMMYFUNCTION("GOOGLETRANSLATE(A15915,""en"",""pt"")"),"estragar")</f>
        <v>estragar</v>
      </c>
      <c r="B15915" s="3">
        <v>0</v>
      </c>
    </row>
    <row r="15916" ht="15.75" customHeight="1" spans="1:2">
      <c r="A15916" s="3" t="str">
        <f>IFERROR(__xludf.DUMMYFUNCTION("GOOGLETRANSLATE(A15916,""en"",""pt"")"),"refugo")</f>
        <v>refugo</v>
      </c>
      <c r="B15916" s="3">
        <v>0</v>
      </c>
    </row>
    <row r="15917" ht="15.75" customHeight="1" spans="1:2">
      <c r="A15917" s="3" t="str">
        <f>IFERROR(__xludf.DUMMYFUNCTION("GOOGLETRANSLATE(A15917,""en"",""pt"")"),"spoilages")</f>
        <v>spoilages</v>
      </c>
      <c r="B15917" s="3">
        <v>0</v>
      </c>
    </row>
    <row r="15918" ht="15.75" customHeight="1" spans="1:2">
      <c r="A15918" s="3" t="str">
        <f>IFERROR(__xludf.DUMMYFUNCTION("GOOGLETRANSLATE(A15918,""en"",""pt"")"),"mimado")</f>
        <v>mimado</v>
      </c>
      <c r="B15918" s="3">
        <v>0</v>
      </c>
    </row>
    <row r="15919" ht="15.75" customHeight="1" spans="1:2">
      <c r="A15919" s="3" t="str">
        <f>IFERROR(__xludf.DUMMYFUNCTION("GOOGLETRANSLATE(A15919,""en"",""pt"")"),"spoilled")</f>
        <v>spoilled</v>
      </c>
      <c r="B15919" s="3">
        <v>0</v>
      </c>
    </row>
    <row r="15920" ht="15.75" customHeight="1" spans="1:2">
      <c r="A15920" s="3" t="str">
        <f>IFERROR(__xludf.DUMMYFUNCTION("GOOGLETRANSLATE(A15920,""en"",""pt"")"),"despojos")</f>
        <v>despojos</v>
      </c>
      <c r="B15920" s="3">
        <v>0</v>
      </c>
    </row>
    <row r="15921" ht="15.75" customHeight="1" spans="1:2">
      <c r="A15921" s="3" t="str">
        <f>IFERROR(__xludf.DUMMYFUNCTION("GOOGLETRANSLATE(A15921,""en"",""pt"")"),"fantasma")</f>
        <v>fantasma</v>
      </c>
      <c r="B15921" s="3">
        <v>0</v>
      </c>
    </row>
    <row r="15922" ht="15.75" customHeight="1" spans="1:2">
      <c r="A15922" s="3" t="str">
        <f>IFERROR(__xludf.DUMMYFUNCTION("GOOGLETRANSLATE(A15922,""en"",""pt"")"),"spookier")</f>
        <v>spookier</v>
      </c>
      <c r="B15922" s="3">
        <v>0</v>
      </c>
    </row>
    <row r="15923" ht="15.75" customHeight="1" spans="1:2">
      <c r="A15923" s="3" t="str">
        <f>IFERROR(__xludf.DUMMYFUNCTION("GOOGLETRANSLATE(A15923,""en"",""pt"")"),"spookiest")</f>
        <v>spookiest</v>
      </c>
      <c r="B15923" s="3">
        <v>0</v>
      </c>
    </row>
    <row r="15924" ht="15.75" customHeight="1" spans="1:2">
      <c r="A15924" s="3" t="str">
        <f>IFERROR(__xludf.DUMMYFUNCTION("GOOGLETRANSLATE(A15924,""en"",""pt"")"),"spookily")</f>
        <v>spookily</v>
      </c>
      <c r="B15924" s="3">
        <v>0</v>
      </c>
    </row>
    <row r="15925" ht="15.75" customHeight="1" spans="1:2">
      <c r="A15925" s="3" t="str">
        <f>IFERROR(__xludf.DUMMYFUNCTION("GOOGLETRANSLATE(A15925,""en"",""pt"")"),"assustador")</f>
        <v>assustador</v>
      </c>
      <c r="B15925" s="3">
        <v>0</v>
      </c>
    </row>
    <row r="15926" ht="15.75" customHeight="1" spans="1:2">
      <c r="A15926" s="3" t="str">
        <f>IFERROR(__xludf.DUMMYFUNCTION("GOOGLETRANSLATE(A15926,""en"",""pt"")"),"alimentados-colher")</f>
        <v>alimentados-colher</v>
      </c>
      <c r="B15926" s="3">
        <v>0</v>
      </c>
    </row>
    <row r="15927" ht="15.75" customHeight="1" spans="1:2">
      <c r="A15927" s="3" t="str">
        <f>IFERROR(__xludf.DUMMYFUNCTION("GOOGLETRANSLATE(A15927,""en"",""pt"")"),"dar de comer com colher")</f>
        <v>dar de comer com colher</v>
      </c>
      <c r="B15927" s="3">
        <v>0</v>
      </c>
    </row>
    <row r="15928" ht="15.75" customHeight="1" spans="1:2">
      <c r="A15928" s="3" t="str">
        <f>IFERROR(__xludf.DUMMYFUNCTION("GOOGLETRANSLATE(A15928,""en"",""pt"")"),"Spoonfed")</f>
        <v>Spoonfed</v>
      </c>
      <c r="B15928" s="3">
        <v>0</v>
      </c>
    </row>
    <row r="15929" ht="15.75" customHeight="1" spans="1:2">
      <c r="A15929" s="3" t="str">
        <f>IFERROR(__xludf.DUMMYFUNCTION("GOOGLETRANSLATE(A15929,""en"",""pt"")"),"esporádico")</f>
        <v>esporádico</v>
      </c>
      <c r="B15929" s="3">
        <v>0</v>
      </c>
    </row>
    <row r="15930" ht="15.75" customHeight="1" spans="1:2">
      <c r="A15930" s="3" t="str">
        <f>IFERROR(__xludf.DUMMYFUNCTION("GOOGLETRANSLATE(A15930,""en"",""pt"")"),"irregular")</f>
        <v>irregular</v>
      </c>
      <c r="B15930" s="3">
        <v>0</v>
      </c>
    </row>
    <row r="15931" ht="15.75" customHeight="1" spans="1:2">
      <c r="A15931" s="3" t="str">
        <f>IFERROR(__xludf.DUMMYFUNCTION("GOOGLETRANSLATE(A15931,""en"",""pt"")"),"espúrio")</f>
        <v>espúrio</v>
      </c>
      <c r="B15931" s="3">
        <v>0</v>
      </c>
    </row>
    <row r="15932" ht="15.75" customHeight="1" spans="1:2">
      <c r="A15932" s="3" t="str">
        <f>IFERROR(__xludf.DUMMYFUNCTION("GOOGLETRANSLATE(A15932,""en"",""pt"")"),"spurn")</f>
        <v>spurn</v>
      </c>
      <c r="B15932" s="3">
        <v>0</v>
      </c>
    </row>
    <row r="15933" ht="15.75" customHeight="1" spans="1:2">
      <c r="A15933" s="3" t="str">
        <f>IFERROR(__xludf.DUMMYFUNCTION("GOOGLETRANSLATE(A15933,""en"",""pt"")"),"sputter")</f>
        <v>sputter</v>
      </c>
      <c r="B15933" s="3">
        <v>0</v>
      </c>
    </row>
    <row r="15934" ht="15.75" customHeight="1" spans="1:2">
      <c r="A15934" s="3" t="str">
        <f>IFERROR(__xludf.DUMMYFUNCTION("GOOGLETRANSLATE(A15934,""en"",""pt"")"),"disputa")</f>
        <v>disputa</v>
      </c>
      <c r="B15934" s="3">
        <v>0</v>
      </c>
    </row>
    <row r="15935" ht="15.75" customHeight="1" spans="1:2">
      <c r="A15935" s="3" t="str">
        <f>IFERROR(__xludf.DUMMYFUNCTION("GOOGLETRANSLATE(A15935,""en"",""pt"")"),"disputas")</f>
        <v>disputas</v>
      </c>
      <c r="B15935" s="3">
        <v>0</v>
      </c>
    </row>
    <row r="15936" ht="15.75" customHeight="1" spans="1:2">
      <c r="A15936" s="3" t="str">
        <f>IFERROR(__xludf.DUMMYFUNCTION("GOOGLETRANSLATE(A15936,""en"",""pt"")"),"desperdiçar")</f>
        <v>desperdiçar</v>
      </c>
      <c r="B15936" s="3">
        <v>0</v>
      </c>
    </row>
    <row r="15937" ht="15.75" customHeight="1" spans="1:2">
      <c r="A15937" s="3" t="str">
        <f>IFERROR(__xludf.DUMMYFUNCTION("GOOGLETRANSLATE(A15937,""en"",""pt"")"),"abóbora")</f>
        <v>abóbora</v>
      </c>
      <c r="B15937" s="3">
        <v>0</v>
      </c>
    </row>
    <row r="15938" ht="15.75" customHeight="1" spans="1:2">
      <c r="A15938" s="3" t="str">
        <f>IFERROR(__xludf.DUMMYFUNCTION("GOOGLETRANSLATE(A15938,""en"",""pt"")"),"rangido")</f>
        <v>rangido</v>
      </c>
      <c r="B15938" s="3">
        <v>0</v>
      </c>
    </row>
    <row r="15939" ht="15.75" customHeight="1" spans="1:2">
      <c r="A15939" s="3" t="str">
        <f>IFERROR(__xludf.DUMMYFUNCTION("GOOGLETRANSLATE(A15939,""en"",""pt"")"),"guinchos")</f>
        <v>guinchos</v>
      </c>
      <c r="B15939" s="3">
        <v>0</v>
      </c>
    </row>
    <row r="15940" ht="15.75" customHeight="1" spans="1:2">
      <c r="A15940" s="3" t="str">
        <f>IFERROR(__xludf.DUMMYFUNCTION("GOOGLETRANSLATE(A15940,""en"",""pt"")"),"esganiçada")</f>
        <v>esganiçada</v>
      </c>
      <c r="B15940" s="3">
        <v>0</v>
      </c>
    </row>
    <row r="15941" ht="15.75" customHeight="1" spans="1:2">
      <c r="A15941" s="3" t="str">
        <f>IFERROR(__xludf.DUMMYFUNCTION("GOOGLETRANSLATE(A15941,""en"",""pt"")"),"guincho")</f>
        <v>guincho</v>
      </c>
      <c r="B15941" s="3">
        <v>0</v>
      </c>
    </row>
    <row r="15942" ht="15.75" customHeight="1" spans="1:2">
      <c r="A15942" s="3" t="str">
        <f>IFERROR(__xludf.DUMMYFUNCTION("GOOGLETRANSLATE(A15942,""en"",""pt"")"),"guinchando")</f>
        <v>guinchando</v>
      </c>
      <c r="B15942" s="3">
        <v>0</v>
      </c>
    </row>
    <row r="15943" ht="15.75" customHeight="1" spans="1:2">
      <c r="A15943" s="3" t="str">
        <f>IFERROR(__xludf.DUMMYFUNCTION("GOOGLETRANSLATE(A15943,""en"",""pt"")"),"squeals")</f>
        <v>squeals</v>
      </c>
      <c r="B15943" s="3">
        <v>0</v>
      </c>
    </row>
    <row r="15944" ht="15.75" customHeight="1" spans="1:2">
      <c r="A15944" s="3" t="str">
        <f>IFERROR(__xludf.DUMMYFUNCTION("GOOGLETRANSLATE(A15944,""en"",""pt"")"),"contorcer-se")</f>
        <v>contorcer-se</v>
      </c>
      <c r="B15944" s="3">
        <v>0</v>
      </c>
    </row>
    <row r="15945" ht="15.75" customHeight="1" spans="1:2">
      <c r="A15945" s="3" t="str">
        <f>IFERROR(__xludf.DUMMYFUNCTION("GOOGLETRANSLATE(A15945,""en"",""pt"")"),"punhalada")</f>
        <v>punhalada</v>
      </c>
      <c r="B15945" s="3">
        <v>0</v>
      </c>
    </row>
    <row r="15946" ht="15.75" customHeight="1" spans="1:2">
      <c r="A15946" s="3" t="str">
        <f>IFERROR(__xludf.DUMMYFUNCTION("GOOGLETRANSLATE(A15946,""en"",""pt"")"),"estagnado")</f>
        <v>estagnado</v>
      </c>
      <c r="B15946" s="3">
        <v>0</v>
      </c>
    </row>
    <row r="15947" ht="15.75" customHeight="1" spans="1:2">
      <c r="A15947" s="3" t="str">
        <f>IFERROR(__xludf.DUMMYFUNCTION("GOOGLETRANSLATE(A15947,""en"",""pt"")"),"estagnar")</f>
        <v>estagnar</v>
      </c>
      <c r="B15947" s="3">
        <v>0</v>
      </c>
    </row>
    <row r="15948" ht="15.75" customHeight="1" spans="1:2">
      <c r="A15948" s="3" t="str">
        <f>IFERROR(__xludf.DUMMYFUNCTION("GOOGLETRANSLATE(A15948,""en"",""pt"")"),"estagnação")</f>
        <v>estagnação</v>
      </c>
      <c r="B15948" s="3">
        <v>0</v>
      </c>
    </row>
    <row r="15949" ht="15.75" customHeight="1" spans="1:2">
      <c r="A15949" s="3" t="str">
        <f>IFERROR(__xludf.DUMMYFUNCTION("GOOGLETRANSLATE(A15949,""en"",""pt"")"),"sóbrio")</f>
        <v>sóbrio</v>
      </c>
      <c r="B15949" s="3">
        <v>0</v>
      </c>
    </row>
    <row r="15950" ht="15.75" customHeight="1" spans="1:2">
      <c r="A15950" s="3" t="str">
        <f>IFERROR(__xludf.DUMMYFUNCTION("GOOGLETRANSLATE(A15950,""en"",""pt"")"),"mancha")</f>
        <v>mancha</v>
      </c>
      <c r="B15950" s="3">
        <v>0</v>
      </c>
    </row>
    <row r="15951" ht="15.75" customHeight="1" spans="1:2">
      <c r="A15951" s="3" t="str">
        <f>IFERROR(__xludf.DUMMYFUNCTION("GOOGLETRANSLATE(A15951,""en"",""pt"")"),"manchas")</f>
        <v>manchas</v>
      </c>
      <c r="B15951" s="3">
        <v>0</v>
      </c>
    </row>
    <row r="15952" ht="15.75" customHeight="1" spans="1:2">
      <c r="A15952" s="3" t="str">
        <f>IFERROR(__xludf.DUMMYFUNCTION("GOOGLETRANSLATE(A15952,""en"",""pt"")"),"velho")</f>
        <v>velho</v>
      </c>
      <c r="B15952" s="3">
        <v>0</v>
      </c>
    </row>
    <row r="15953" ht="15.75" customHeight="1" spans="1:2">
      <c r="A15953" s="3" t="str">
        <f>IFERROR(__xludf.DUMMYFUNCTION("GOOGLETRANSLATE(A15953,""en"",""pt"")"),"beco sem saída")</f>
        <v>beco sem saída</v>
      </c>
      <c r="B15953" s="3">
        <v>0</v>
      </c>
    </row>
    <row r="15954" ht="15.75" customHeight="1" spans="1:2">
      <c r="A15954" s="3" t="str">
        <f>IFERROR(__xludf.DUMMYFUNCTION("GOOGLETRANSLATE(A15954,""en"",""pt"")"),"tenda")</f>
        <v>tenda</v>
      </c>
      <c r="B15954" s="3">
        <v>0</v>
      </c>
    </row>
    <row r="15955" ht="15.75" customHeight="1" spans="1:2">
      <c r="A15955" s="3" t="str">
        <f>IFERROR(__xludf.DUMMYFUNCTION("GOOGLETRANSLATE(A15955,""en"",""pt"")"),"estábulos")</f>
        <v>estábulos</v>
      </c>
      <c r="B15955" s="3">
        <v>0</v>
      </c>
    </row>
    <row r="15956" ht="15.75" customHeight="1" spans="1:2">
      <c r="A15956" s="3" t="str">
        <f>IFERROR(__xludf.DUMMYFUNCTION("GOOGLETRANSLATE(A15956,""en"",""pt"")"),"gaguejar")</f>
        <v>gaguejar</v>
      </c>
      <c r="B15956" s="3">
        <v>0</v>
      </c>
    </row>
    <row r="15957" ht="15.75" customHeight="1" spans="1:2">
      <c r="A15957" s="3" t="str">
        <f>IFERROR(__xludf.DUMMYFUNCTION("GOOGLETRANSLATE(A15957,""en"",""pt"")"),"debandada")</f>
        <v>debandada</v>
      </c>
      <c r="B15957" s="3">
        <v>0</v>
      </c>
    </row>
    <row r="15958" ht="15.75" customHeight="1" spans="1:2">
      <c r="A15958" s="3" t="str">
        <f>IFERROR(__xludf.DUMMYFUNCTION("GOOGLETRANSLATE(A15958,""en"",""pt"")"),"paralisação")</f>
        <v>paralisação</v>
      </c>
      <c r="B15958" s="3">
        <v>0</v>
      </c>
    </row>
    <row r="15959" ht="15.75" customHeight="1" spans="1:2">
      <c r="A15959" s="3" t="str">
        <f>IFERROR(__xludf.DUMMYFUNCTION("GOOGLETRANSLATE(A15959,""en"",""pt"")"),"rígido")</f>
        <v>rígido</v>
      </c>
      <c r="B15959" s="3">
        <v>0</v>
      </c>
    </row>
    <row r="15960" ht="15.75" customHeight="1" spans="1:2">
      <c r="A15960" s="3" t="str">
        <f>IFERROR(__xludf.DUMMYFUNCTION("GOOGLETRANSLATE(A15960,""en"",""pt"")"),"starkly")</f>
        <v>starkly</v>
      </c>
      <c r="B15960" s="3">
        <v>0</v>
      </c>
    </row>
    <row r="15961" ht="15.75" customHeight="1" spans="1:2">
      <c r="A15961" s="3" t="str">
        <f>IFERROR(__xludf.DUMMYFUNCTION("GOOGLETRANSLATE(A15961,""en"",""pt"")"),"de sobressalto")</f>
        <v>de sobressalto</v>
      </c>
      <c r="B15961" s="3">
        <v>0</v>
      </c>
    </row>
    <row r="15962" ht="15.75" customHeight="1" spans="1:2">
      <c r="A15962" s="3" t="str">
        <f>IFERROR(__xludf.DUMMYFUNCTION("GOOGLETRANSLATE(A15962,""en"",""pt"")"),"surpreendente")</f>
        <v>surpreendente</v>
      </c>
      <c r="B15962" s="3">
        <v>0</v>
      </c>
    </row>
    <row r="15963" ht="15.75" customHeight="1" spans="1:2">
      <c r="A15963" s="3" t="str">
        <f>IFERROR(__xludf.DUMMYFUNCTION("GOOGLETRANSLATE(A15963,""en"",""pt"")"),"espantosamente")</f>
        <v>espantosamente</v>
      </c>
      <c r="B15963" s="3">
        <v>0</v>
      </c>
    </row>
    <row r="15964" ht="15.75" customHeight="1" spans="1:2">
      <c r="A15964" s="3" t="str">
        <f>IFERROR(__xludf.DUMMYFUNCTION("GOOGLETRANSLATE(A15964,""en"",""pt"")"),"fome")</f>
        <v>fome</v>
      </c>
      <c r="B15964" s="3">
        <v>0</v>
      </c>
    </row>
    <row r="15965" ht="15.75" customHeight="1" spans="1:2">
      <c r="A15965" s="3" t="str">
        <f>IFERROR(__xludf.DUMMYFUNCTION("GOOGLETRANSLATE(A15965,""en"",""pt"")"),"morrer de fome")</f>
        <v>morrer de fome</v>
      </c>
      <c r="B15965" s="3">
        <v>0</v>
      </c>
    </row>
    <row r="15966" ht="15.75" customHeight="1" spans="1:2">
      <c r="A15966" s="3" t="str">
        <f>IFERROR(__xludf.DUMMYFUNCTION("GOOGLETRANSLATE(A15966,""en"",""pt"")"),"estático")</f>
        <v>estático</v>
      </c>
      <c r="B15966" s="3">
        <v>0</v>
      </c>
    </row>
    <row r="15967" ht="15.75" customHeight="1" spans="1:2">
      <c r="A15967" s="3" t="str">
        <f>IFERROR(__xludf.DUMMYFUNCTION("GOOGLETRANSLATE(A15967,""en"",""pt"")"),"roubar")</f>
        <v>roubar</v>
      </c>
      <c r="B15967" s="3">
        <v>0</v>
      </c>
    </row>
    <row r="15968" ht="15.75" customHeight="1" spans="1:2">
      <c r="A15968" s="3" t="str">
        <f>IFERROR(__xludf.DUMMYFUNCTION("GOOGLETRANSLATE(A15968,""en"",""pt"")"),"roubando")</f>
        <v>roubando</v>
      </c>
      <c r="B15968" s="3">
        <v>0</v>
      </c>
    </row>
    <row r="15969" ht="15.75" customHeight="1" spans="1:2">
      <c r="A15969" s="3" t="str">
        <f>IFERROR(__xludf.DUMMYFUNCTION("GOOGLETRANSLATE(A15969,""en"",""pt"")"),"rouba")</f>
        <v>rouba</v>
      </c>
      <c r="B15969" s="3">
        <v>0</v>
      </c>
    </row>
    <row r="15970" ht="15.75" customHeight="1" spans="1:2">
      <c r="A15970" s="3" t="str">
        <f>IFERROR(__xludf.DUMMYFUNCTION("GOOGLETRANSLATE(A15970,""en"",""pt"")"),"íngreme")</f>
        <v>íngreme</v>
      </c>
      <c r="B15970" s="3">
        <v>0</v>
      </c>
    </row>
    <row r="15971" ht="15.75" customHeight="1" spans="1:2">
      <c r="A15971" s="3" t="str">
        <f>IFERROR(__xludf.DUMMYFUNCTION("GOOGLETRANSLATE(A15971,""en"",""pt"")"),"íngreme")</f>
        <v>íngreme</v>
      </c>
      <c r="B15971" s="3">
        <v>0</v>
      </c>
    </row>
    <row r="15972" ht="15.75" customHeight="1" spans="1:2">
      <c r="A15972" s="3" t="str">
        <f>IFERROR(__xludf.DUMMYFUNCTION("GOOGLETRANSLATE(A15972,""en"",""pt"")"),"fedor")</f>
        <v>fedor</v>
      </c>
      <c r="B15972" s="3">
        <v>0</v>
      </c>
    </row>
    <row r="15973" ht="15.75" customHeight="1" spans="1:2">
      <c r="A15973" s="3" t="str">
        <f>IFERROR(__xludf.DUMMYFUNCTION("GOOGLETRANSLATE(A15973,""en"",""pt"")"),"estereótipo")</f>
        <v>estereótipo</v>
      </c>
      <c r="B15973" s="3">
        <v>0</v>
      </c>
    </row>
    <row r="15974" ht="15.75" customHeight="1" spans="1:2">
      <c r="A15974" s="3" t="str">
        <f>IFERROR(__xludf.DUMMYFUNCTION("GOOGLETRANSLATE(A15974,""en"",""pt"")"),"estereotipada")</f>
        <v>estereotipada</v>
      </c>
      <c r="B15974" s="3">
        <v>0</v>
      </c>
    </row>
    <row r="15975" ht="15.75" customHeight="1" spans="1:2">
      <c r="A15975" s="3" t="str">
        <f>IFERROR(__xludf.DUMMYFUNCTION("GOOGLETRANSLATE(A15975,""en"",""pt"")"),"stereotypically")</f>
        <v>stereotypically</v>
      </c>
      <c r="B15975" s="3">
        <v>0</v>
      </c>
    </row>
    <row r="15976" ht="15.75" customHeight="1" spans="1:2">
      <c r="A15976" s="3" t="str">
        <f>IFERROR(__xludf.DUMMYFUNCTION("GOOGLETRANSLATE(A15976,""en"",""pt"")"),"popa")</f>
        <v>popa</v>
      </c>
      <c r="B15976" s="3">
        <v>0</v>
      </c>
    </row>
    <row r="15977" ht="15.75" customHeight="1" spans="1:2">
      <c r="A15977" s="3" t="str">
        <f>IFERROR(__xludf.DUMMYFUNCTION("GOOGLETRANSLATE(A15977,""en"",""pt"")"),"Estufado")</f>
        <v>Estufado</v>
      </c>
      <c r="B15977" s="3">
        <v>0</v>
      </c>
    </row>
    <row r="15978" ht="15.75" customHeight="1" spans="1:2">
      <c r="A15978" s="3" t="str">
        <f>IFERROR(__xludf.DUMMYFUNCTION("GOOGLETRANSLATE(A15978,""en"",""pt"")"),"pegajoso")</f>
        <v>pegajoso</v>
      </c>
      <c r="B15978" s="3">
        <v>0</v>
      </c>
    </row>
    <row r="15979" ht="15.75" customHeight="1" spans="1:2">
      <c r="A15979" s="3" t="str">
        <f>IFERROR(__xludf.DUMMYFUNCTION("GOOGLETRANSLATE(A15979,""en"",""pt"")"),"rígido")</f>
        <v>rígido</v>
      </c>
      <c r="B15979" s="3">
        <v>0</v>
      </c>
    </row>
    <row r="15980" ht="15.75" customHeight="1" spans="1:2">
      <c r="A15980" s="3" t="str">
        <f>IFERROR(__xludf.DUMMYFUNCTION("GOOGLETRANSLATE(A15980,""en"",""pt"")"),"rigidez")</f>
        <v>rigidez</v>
      </c>
      <c r="B15980" s="3">
        <v>0</v>
      </c>
    </row>
    <row r="15981" ht="15.75" customHeight="1" spans="1:2">
      <c r="A15981" s="3" t="str">
        <f>IFERROR(__xludf.DUMMYFUNCTION("GOOGLETRANSLATE(A15981,""en"",""pt"")"),"joelho")</f>
        <v>joelho</v>
      </c>
      <c r="B15981" s="3">
        <v>0</v>
      </c>
    </row>
    <row r="15982" ht="15.75" customHeight="1" spans="1:2">
      <c r="A15982" s="3" t="str">
        <f>IFERROR(__xludf.DUMMYFUNCTION("GOOGLETRANSLATE(A15982,""en"",""pt"")"),"sufocante")</f>
        <v>sufocante</v>
      </c>
      <c r="B15982" s="3">
        <v>0</v>
      </c>
    </row>
    <row r="15983" ht="15.75" customHeight="1" spans="1:2">
      <c r="A15983" s="3" t="str">
        <f>IFERROR(__xludf.DUMMYFUNCTION("GOOGLETRANSLATE(A15983,""en"",""pt"")"),"stiflingly")</f>
        <v>stiflingly</v>
      </c>
      <c r="B15983" s="3">
        <v>0</v>
      </c>
    </row>
    <row r="15984" ht="15.75" customHeight="1" spans="1:2">
      <c r="A15984" s="3" t="str">
        <f>IFERROR(__xludf.DUMMYFUNCTION("GOOGLETRANSLATE(A15984,""en"",""pt"")"),"estigma")</f>
        <v>estigma</v>
      </c>
      <c r="B15984" s="3">
        <v>0</v>
      </c>
    </row>
    <row r="15985" ht="15.75" customHeight="1" spans="1:2">
      <c r="A15985" s="3" t="str">
        <f>IFERROR(__xludf.DUMMYFUNCTION("GOOGLETRANSLATE(A15985,""en"",""pt"")"),"estigmatizar")</f>
        <v>estigmatizar</v>
      </c>
      <c r="B15985" s="3">
        <v>0</v>
      </c>
    </row>
    <row r="15986" ht="15.75" customHeight="1" spans="1:2">
      <c r="A15986" s="3" t="str">
        <f>IFERROR(__xludf.DUMMYFUNCTION("GOOGLETRANSLATE(A15986,""en"",""pt"")"),"picada")</f>
        <v>picada</v>
      </c>
      <c r="B15986" s="3">
        <v>0</v>
      </c>
    </row>
    <row r="15987" ht="15.75" customHeight="1" spans="1:2">
      <c r="A15987" s="3" t="str">
        <f>IFERROR(__xludf.DUMMYFUNCTION("GOOGLETRANSLATE(A15987,""en"",""pt"")"),"pungente")</f>
        <v>pungente</v>
      </c>
      <c r="B15987" s="3">
        <v>0</v>
      </c>
    </row>
    <row r="15988" ht="15.75" customHeight="1" spans="1:2">
      <c r="A15988" s="3" t="str">
        <f>IFERROR(__xludf.DUMMYFUNCTION("GOOGLETRANSLATE(A15988,""en"",""pt"")"),"stingingly")</f>
        <v>stingingly</v>
      </c>
      <c r="B15988" s="3">
        <v>0</v>
      </c>
    </row>
    <row r="15989" ht="15.75" customHeight="1" spans="1:2">
      <c r="A15989" s="3" t="str">
        <f>IFERROR(__xludf.DUMMYFUNCTION("GOOGLETRANSLATE(A15989,""en"",""pt"")"),"mesquinho")</f>
        <v>mesquinho</v>
      </c>
      <c r="B15989" s="3">
        <v>0</v>
      </c>
    </row>
    <row r="15990" ht="15.75" customHeight="1" spans="1:2">
      <c r="A15990" s="3" t="str">
        <f>IFERROR(__xludf.DUMMYFUNCTION("GOOGLETRANSLATE(A15990,""en"",""pt"")"),"fedor")</f>
        <v>fedor</v>
      </c>
      <c r="B15990" s="3">
        <v>0</v>
      </c>
    </row>
    <row r="15991" ht="15.75" customHeight="1" spans="1:2">
      <c r="A15991" s="3" t="str">
        <f>IFERROR(__xludf.DUMMYFUNCTION("GOOGLETRANSLATE(A15991,""en"",""pt"")"),"cheira mal")</f>
        <v>cheira mal</v>
      </c>
      <c r="B15991" s="3">
        <v>0</v>
      </c>
    </row>
    <row r="15992" ht="15.75" customHeight="1" spans="1:2">
      <c r="A15992" s="3" t="str">
        <f>IFERROR(__xludf.DUMMYFUNCTION("GOOGLETRANSLATE(A15992,""en"",""pt"")"),"indigesto")</f>
        <v>indigesto</v>
      </c>
      <c r="B15992" s="3">
        <v>0</v>
      </c>
    </row>
    <row r="15993" ht="15.75" customHeight="1" spans="1:2">
      <c r="A15993" s="3" t="str">
        <f>IFERROR(__xludf.DUMMYFUNCTION("GOOGLETRANSLATE(A15993,""en"",""pt"")"),"roubou")</f>
        <v>roubou</v>
      </c>
      <c r="B15993" s="3">
        <v>0</v>
      </c>
    </row>
    <row r="15994" ht="15.75" customHeight="1" spans="1:2">
      <c r="A15994" s="3" t="str">
        <f>IFERROR(__xludf.DUMMYFUNCTION("GOOGLETRANSLATE(A15994,""en"",""pt"")"),"roubado")</f>
        <v>roubado</v>
      </c>
      <c r="B15994" s="3">
        <v>0</v>
      </c>
    </row>
    <row r="15995" ht="15.75" customHeight="1" spans="1:2">
      <c r="A15995" s="3" t="str">
        <f>IFERROR(__xludf.DUMMYFUNCTION("GOOGLETRANSLATE(A15995,""en"",""pt"")"),"fantoche")</f>
        <v>fantoche</v>
      </c>
      <c r="B15995" s="3">
        <v>0</v>
      </c>
    </row>
    <row r="15996" ht="15.75" customHeight="1" spans="1:2">
      <c r="A15996" s="3" t="str">
        <f>IFERROR(__xludf.DUMMYFUNCTION("GOOGLETRANSLATE(A15996,""en"",""pt"")"),"Stooges")</f>
        <v>Stooges</v>
      </c>
      <c r="B15996" s="3">
        <v>0</v>
      </c>
    </row>
    <row r="15997" ht="15.75" customHeight="1" spans="1:2">
      <c r="A15997" s="3" t="str">
        <f>IFERROR(__xludf.DUMMYFUNCTION("GOOGLETRANSLATE(A15997,""en"",""pt"")"),"tormentoso")</f>
        <v>tormentoso</v>
      </c>
      <c r="B15997" s="3">
        <v>0</v>
      </c>
    </row>
    <row r="15998" ht="15.75" customHeight="1" spans="1:2">
      <c r="A15998" s="3" t="str">
        <f>IFERROR(__xludf.DUMMYFUNCTION("GOOGLETRANSLATE(A15998,""en"",""pt"")"),"perder-se")</f>
        <v>perder-se</v>
      </c>
      <c r="B15998" s="3">
        <v>0</v>
      </c>
    </row>
    <row r="15999" ht="15.75" customHeight="1" spans="1:2">
      <c r="A15999" s="3" t="str">
        <f>IFERROR(__xludf.DUMMYFUNCTION("GOOGLETRANSLATE(A15999,""en"",""pt"")"),"straggler")</f>
        <v>straggler</v>
      </c>
      <c r="B15999" s="3">
        <v>0</v>
      </c>
    </row>
    <row r="16000" ht="15.75" customHeight="1" spans="1:2">
      <c r="A16000" s="3" t="str">
        <f>IFERROR(__xludf.DUMMYFUNCTION("GOOGLETRANSLATE(A16000,""en"",""pt"")"),"tensão")</f>
        <v>tensão</v>
      </c>
      <c r="B16000" s="3">
        <v>0</v>
      </c>
    </row>
    <row r="16001" ht="15.75" customHeight="1" spans="1:2">
      <c r="A16001" s="3" t="str">
        <f>IFERROR(__xludf.DUMMYFUNCTION("GOOGLETRANSLATE(A16001,""en"",""pt"")"),"tensas")</f>
        <v>tensas</v>
      </c>
      <c r="B16001" s="3">
        <v>0</v>
      </c>
    </row>
    <row r="16002" ht="15.75" customHeight="1" spans="1:2">
      <c r="A16002" s="3" t="str">
        <f>IFERROR(__xludf.DUMMYFUNCTION("GOOGLETRANSLATE(A16002,""en"",""pt"")"),"esforço")</f>
        <v>esforço</v>
      </c>
      <c r="B16002" s="3">
        <v>0</v>
      </c>
    </row>
    <row r="16003" ht="15.75" customHeight="1" spans="1:2">
      <c r="A16003" s="3" t="str">
        <f>IFERROR(__xludf.DUMMYFUNCTION("GOOGLETRANSLATE(A16003,""en"",""pt"")"),"estranho")</f>
        <v>estranho</v>
      </c>
      <c r="B16003" s="3">
        <v>0</v>
      </c>
    </row>
    <row r="16004" ht="15.75" customHeight="1" spans="1:2">
      <c r="A16004" s="3" t="str">
        <f>IFERROR(__xludf.DUMMYFUNCTION("GOOGLETRANSLATE(A16004,""en"",""pt"")"),"estranhamente")</f>
        <v>estranhamente</v>
      </c>
      <c r="B16004" s="3">
        <v>0</v>
      </c>
    </row>
    <row r="16005" ht="15.75" customHeight="1" spans="1:2">
      <c r="A16005" s="3" t="str">
        <f>IFERROR(__xludf.DUMMYFUNCTION("GOOGLETRANSLATE(A16005,""en"",""pt"")"),"desconhecido")</f>
        <v>desconhecido</v>
      </c>
      <c r="B16005" s="3">
        <v>0</v>
      </c>
    </row>
    <row r="16006" ht="15.75" customHeight="1" spans="1:2">
      <c r="A16006" s="3" t="str">
        <f>IFERROR(__xludf.DUMMYFUNCTION("GOOGLETRANSLATE(A16006,""en"",""pt"")"),"estranho")</f>
        <v>estranho</v>
      </c>
      <c r="B16006" s="3">
        <v>0</v>
      </c>
    </row>
    <row r="16007" ht="15.75" customHeight="1" spans="1:2">
      <c r="A16007" s="3" t="str">
        <f>IFERROR(__xludf.DUMMYFUNCTION("GOOGLETRANSLATE(A16007,""en"",""pt"")"),"estrangular")</f>
        <v>estrangular</v>
      </c>
      <c r="B16007" s="3">
        <v>0</v>
      </c>
    </row>
    <row r="16008" ht="15.75" customHeight="1" spans="1:2">
      <c r="A16008" s="3" t="str">
        <f>IFERROR(__xludf.DUMMYFUNCTION("GOOGLETRANSLATE(A16008,""en"",""pt"")"),"entremeado")</f>
        <v>entremeado</v>
      </c>
      <c r="B16008" s="3">
        <v>0</v>
      </c>
    </row>
    <row r="16009" ht="15.75" customHeight="1" spans="1:2">
      <c r="A16009" s="3" t="str">
        <f>IFERROR(__xludf.DUMMYFUNCTION("GOOGLETRANSLATE(A16009,""en"",""pt"")"),"vigoroso")</f>
        <v>vigoroso</v>
      </c>
      <c r="B16009" s="3">
        <v>0</v>
      </c>
    </row>
    <row r="16010" ht="15.75" customHeight="1" spans="1:2">
      <c r="A16010" s="3" t="str">
        <f>IFERROR(__xludf.DUMMYFUNCTION("GOOGLETRANSLATE(A16010,""en"",""pt"")"),"estresse")</f>
        <v>estresse</v>
      </c>
      <c r="B16010" s="3">
        <v>0</v>
      </c>
    </row>
    <row r="16011" ht="15.75" customHeight="1" spans="1:2">
      <c r="A16011" s="3" t="str">
        <f>IFERROR(__xludf.DUMMYFUNCTION("GOOGLETRANSLATE(A16011,""en"",""pt"")"),"stresses")</f>
        <v>stresses</v>
      </c>
      <c r="B16011" s="3">
        <v>0</v>
      </c>
    </row>
    <row r="16012" ht="15.75" customHeight="1" spans="1:2">
      <c r="A16012" s="3" t="str">
        <f>IFERROR(__xludf.DUMMYFUNCTION("GOOGLETRANSLATE(A16012,""en"",""pt"")"),"estressante")</f>
        <v>estressante</v>
      </c>
      <c r="B16012" s="3">
        <v>0</v>
      </c>
    </row>
    <row r="16013" ht="15.75" customHeight="1" spans="1:2">
      <c r="A16013" s="3" t="str">
        <f>IFERROR(__xludf.DUMMYFUNCTION("GOOGLETRANSLATE(A16013,""en"",""pt"")"),"stressfully")</f>
        <v>stressfully</v>
      </c>
      <c r="B16013" s="3">
        <v>0</v>
      </c>
    </row>
    <row r="16014" ht="15.75" customHeight="1" spans="1:2">
      <c r="A16014" s="3" t="str">
        <f>IFERROR(__xludf.DUMMYFUNCTION("GOOGLETRANSLATE(A16014,""en"",""pt"")"),"acometido")</f>
        <v>acometido</v>
      </c>
      <c r="B16014" s="3">
        <v>0</v>
      </c>
    </row>
    <row r="16015" ht="15.75" customHeight="1" spans="1:2">
      <c r="A16015" s="3" t="str">
        <f>IFERROR(__xludf.DUMMYFUNCTION("GOOGLETRANSLATE(A16015,""en"",""pt"")"),"rigoroso")</f>
        <v>rigoroso</v>
      </c>
      <c r="B16015" s="3">
        <v>0</v>
      </c>
    </row>
    <row r="16016" ht="15.75" customHeight="1" spans="1:2">
      <c r="A16016" s="3" t="str">
        <f>IFERROR(__xludf.DUMMYFUNCTION("GOOGLETRANSLATE(A16016,""en"",""pt"")"),"estritamente")</f>
        <v>estritamente</v>
      </c>
      <c r="B16016" s="3">
        <v>0</v>
      </c>
    </row>
    <row r="16017" ht="15.75" customHeight="1" spans="1:2">
      <c r="A16017" s="3" t="str">
        <f>IFERROR(__xludf.DUMMYFUNCTION("GOOGLETRANSLATE(A16017,""en"",""pt"")"),"estridente")</f>
        <v>estridente</v>
      </c>
      <c r="B16017" s="3">
        <v>0</v>
      </c>
    </row>
    <row r="16018" ht="15.75" customHeight="1" spans="1:2">
      <c r="A16018" s="3" t="str">
        <f>IFERROR(__xludf.DUMMYFUNCTION("GOOGLETRANSLATE(A16018,""en"",""pt"")"),"estridentemente")</f>
        <v>estridentemente</v>
      </c>
      <c r="B16018" s="3">
        <v>0</v>
      </c>
    </row>
    <row r="16019" ht="15.75" customHeight="1" spans="1:2">
      <c r="A16019" s="3" t="str">
        <f>IFERROR(__xludf.DUMMYFUNCTION("GOOGLETRANSLATE(A16019,""en"",""pt"")"),"contenda")</f>
        <v>contenda</v>
      </c>
      <c r="B16019" s="3">
        <v>0</v>
      </c>
    </row>
    <row r="16020" ht="15.75" customHeight="1" spans="1:2">
      <c r="A16020" s="3" t="str">
        <f>IFERROR(__xludf.DUMMYFUNCTION("GOOGLETRANSLATE(A16020,""en"",""pt"")"),"greve")</f>
        <v>greve</v>
      </c>
      <c r="B16020" s="3">
        <v>0</v>
      </c>
    </row>
    <row r="16021" ht="15.75" customHeight="1" spans="1:2">
      <c r="A16021" s="3" t="str">
        <f>IFERROR(__xludf.DUMMYFUNCTION("GOOGLETRANSLATE(A16021,""en"",""pt"")"),"rigoroso")</f>
        <v>rigoroso</v>
      </c>
      <c r="B16021" s="3">
        <v>0</v>
      </c>
    </row>
    <row r="16022" ht="15.75" customHeight="1" spans="1:2">
      <c r="A16022" s="3" t="str">
        <f>IFERROR(__xludf.DUMMYFUNCTION("GOOGLETRANSLATE(A16022,""en"",""pt"")"),"rigorosamente")</f>
        <v>rigorosamente</v>
      </c>
      <c r="B16022" s="3">
        <v>0</v>
      </c>
    </row>
    <row r="16023" ht="15.75" customHeight="1" spans="1:2">
      <c r="A16023" s="3" t="str">
        <f>IFERROR(__xludf.DUMMYFUNCTION("GOOGLETRANSLATE(A16023,""en"",""pt"")"),"golpeado")</f>
        <v>golpeado</v>
      </c>
      <c r="B16023" s="3">
        <v>0</v>
      </c>
    </row>
    <row r="16024" ht="15.75" customHeight="1" spans="1:2">
      <c r="A16024" s="3" t="str">
        <f>IFERROR(__xludf.DUMMYFUNCTION("GOOGLETRANSLATE(A16024,""en"",""pt"")"),"luta")</f>
        <v>luta</v>
      </c>
      <c r="B16024" s="3">
        <v>0</v>
      </c>
    </row>
    <row r="16025" ht="15.75" customHeight="1" spans="1:2">
      <c r="A16025" s="3" t="str">
        <f>IFERROR(__xludf.DUMMYFUNCTION("GOOGLETRANSLATE(A16025,""en"",""pt"")"),"lutava")</f>
        <v>lutava</v>
      </c>
      <c r="B16025" s="3">
        <v>0</v>
      </c>
    </row>
    <row r="16026" ht="15.75" customHeight="1" spans="1:2">
      <c r="A16026" s="3" t="str">
        <f>IFERROR(__xludf.DUMMYFUNCTION("GOOGLETRANSLATE(A16026,""en"",""pt"")"),"lutas")</f>
        <v>lutas</v>
      </c>
      <c r="B16026" s="3">
        <v>0</v>
      </c>
    </row>
    <row r="16027" ht="15.75" customHeight="1" spans="1:2">
      <c r="A16027" s="3" t="str">
        <f>IFERROR(__xludf.DUMMYFUNCTION("GOOGLETRANSLATE(A16027,""en"",""pt"")"),"lutando")</f>
        <v>lutando</v>
      </c>
      <c r="B16027" s="3">
        <v>0</v>
      </c>
    </row>
    <row r="16028" ht="15.75" customHeight="1" spans="1:2">
      <c r="A16028" s="3" t="str">
        <f>IFERROR(__xludf.DUMMYFUNCTION("GOOGLETRANSLATE(A16028,""en"",""pt"")"),"suporte")</f>
        <v>suporte</v>
      </c>
      <c r="B16028" s="3">
        <v>0</v>
      </c>
    </row>
    <row r="16029" ht="15.75" customHeight="1" spans="1:2">
      <c r="A16029" s="3" t="str">
        <f>IFERROR(__xludf.DUMMYFUNCTION("GOOGLETRANSLATE(A16029,""en"",""pt"")"),"teimoso")</f>
        <v>teimoso</v>
      </c>
      <c r="B16029" s="3">
        <v>0</v>
      </c>
    </row>
    <row r="16030" ht="15.75" customHeight="1" spans="1:2">
      <c r="A16030" s="3" t="str">
        <f>IFERROR(__xludf.DUMMYFUNCTION("GOOGLETRANSLATE(A16030,""en"",""pt"")"),"Teimosamente")</f>
        <v>Teimosamente</v>
      </c>
      <c r="B16030" s="3">
        <v>0</v>
      </c>
    </row>
    <row r="16031" ht="15.75" customHeight="1" spans="1:2">
      <c r="A16031" s="3" t="str">
        <f>IFERROR(__xludf.DUMMYFUNCTION("GOOGLETRANSLATE(A16031,""en"",""pt"")"),"teimosia")</f>
        <v>teimosia</v>
      </c>
      <c r="B16031" s="3">
        <v>0</v>
      </c>
    </row>
    <row r="16032" ht="15.75" customHeight="1" spans="1:2">
      <c r="A16032" s="3" t="str">
        <f>IFERROR(__xludf.DUMMYFUNCTION("GOOGLETRANSLATE(A16032,""en"",""pt"")"),"preso")</f>
        <v>preso</v>
      </c>
      <c r="B16032" s="3">
        <v>0</v>
      </c>
    </row>
    <row r="16033" ht="15.75" customHeight="1" spans="1:2">
      <c r="A16033" s="3" t="str">
        <f>IFERROR(__xludf.DUMMYFUNCTION("GOOGLETRANSLATE(A16033,""en"",""pt"")"),"abafado")</f>
        <v>abafado</v>
      </c>
      <c r="B16033" s="3">
        <v>0</v>
      </c>
    </row>
    <row r="16034" ht="15.75" customHeight="1" spans="1:2">
      <c r="A16034" s="3" t="str">
        <f>IFERROR(__xludf.DUMMYFUNCTION("GOOGLETRANSLATE(A16034,""en"",""pt"")"),"tropeçar")</f>
        <v>tropeçar</v>
      </c>
      <c r="B16034" s="3">
        <v>0</v>
      </c>
    </row>
    <row r="16035" ht="15.75" customHeight="1" spans="1:2">
      <c r="A16035" s="3" t="str">
        <f>IFERROR(__xludf.DUMMYFUNCTION("GOOGLETRANSLATE(A16035,""en"",""pt"")"),"Tropeçamos")</f>
        <v>Tropeçamos</v>
      </c>
      <c r="B16035" s="3">
        <v>0</v>
      </c>
    </row>
    <row r="16036" ht="15.75" customHeight="1" spans="1:2">
      <c r="A16036" s="3" t="str">
        <f>IFERROR(__xludf.DUMMYFUNCTION("GOOGLETRANSLATE(A16036,""en"",""pt"")"),"tropeça")</f>
        <v>tropeça</v>
      </c>
      <c r="B16036" s="3">
        <v>0</v>
      </c>
    </row>
    <row r="16037" ht="15.75" customHeight="1" spans="1:2">
      <c r="A16037" s="3" t="str">
        <f>IFERROR(__xludf.DUMMYFUNCTION("GOOGLETRANSLATE(A16037,""en"",""pt"")"),"toco")</f>
        <v>toco</v>
      </c>
      <c r="B16037" s="3">
        <v>0</v>
      </c>
    </row>
    <row r="16038" ht="15.75" customHeight="1" spans="1:2">
      <c r="A16038" s="3" t="str">
        <f>IFERROR(__xludf.DUMMYFUNCTION("GOOGLETRANSLATE(A16038,""en"",""pt"")"),"perplexo")</f>
        <v>perplexo</v>
      </c>
      <c r="B16038" s="3">
        <v>0</v>
      </c>
    </row>
    <row r="16039" ht="15.75" customHeight="1" spans="1:2">
      <c r="A16039" s="3" t="str">
        <f>IFERROR(__xludf.DUMMYFUNCTION("GOOGLETRANSLATE(A16039,""en"",""pt"")"),"tocos")</f>
        <v>tocos</v>
      </c>
      <c r="B16039" s="3">
        <v>0</v>
      </c>
    </row>
    <row r="16040" ht="15.75" customHeight="1" spans="1:2">
      <c r="A16040" s="3" t="str">
        <f>IFERROR(__xludf.DUMMYFUNCTION("GOOGLETRANSLATE(A16040,""en"",""pt"")"),"atordoar")</f>
        <v>atordoar</v>
      </c>
      <c r="B16040" s="3">
        <v>0</v>
      </c>
    </row>
    <row r="16041" ht="15.75" customHeight="1" spans="1:2">
      <c r="A16041" s="3" t="str">
        <f>IFERROR(__xludf.DUMMYFUNCTION("GOOGLETRANSLATE(A16041,""en"",""pt"")"),"façanha")</f>
        <v>façanha</v>
      </c>
      <c r="B16041" s="3">
        <v>0</v>
      </c>
    </row>
    <row r="16042" ht="15.75" customHeight="1" spans="1:2">
      <c r="A16042" s="3" t="str">
        <f>IFERROR(__xludf.DUMMYFUNCTION("GOOGLETRANSLATE(A16042,""en"",""pt"")"),"atrofiado")</f>
        <v>atrofiado</v>
      </c>
      <c r="B16042" s="3">
        <v>0</v>
      </c>
    </row>
    <row r="16043" ht="15.75" customHeight="1" spans="1:2">
      <c r="A16043" s="3" t="str">
        <f>IFERROR(__xludf.DUMMYFUNCTION("GOOGLETRANSLATE(A16043,""en"",""pt"")"),"estúpido")</f>
        <v>estúpido</v>
      </c>
      <c r="B16043" s="3">
        <v>0</v>
      </c>
    </row>
    <row r="16044" ht="15.75" customHeight="1" spans="1:2">
      <c r="A16044" s="3" t="str">
        <f>IFERROR(__xludf.DUMMYFUNCTION("GOOGLETRANSLATE(A16044,""en"",""pt"")"),"estúpida")</f>
        <v>estúpida</v>
      </c>
      <c r="B16044" s="3">
        <v>0</v>
      </c>
    </row>
    <row r="16045" ht="15.75" customHeight="1" spans="1:2">
      <c r="A16045" s="3" t="str">
        <f>IFERROR(__xludf.DUMMYFUNCTION("GOOGLETRANSLATE(A16045,""en"",""pt"")"),"estupidez")</f>
        <v>estupidez</v>
      </c>
      <c r="B16045" s="3">
        <v>0</v>
      </c>
    </row>
    <row r="16046" ht="15.75" customHeight="1" spans="1:2">
      <c r="A16046" s="3" t="str">
        <f>IFERROR(__xludf.DUMMYFUNCTION("GOOGLETRANSLATE(A16046,""en"",""pt"")"),"estupidamente")</f>
        <v>estupidamente</v>
      </c>
      <c r="B16046" s="3">
        <v>0</v>
      </c>
    </row>
    <row r="16047" ht="15.75" customHeight="1" spans="1:2">
      <c r="A16047" s="3" t="str">
        <f>IFERROR(__xludf.DUMMYFUNCTION("GOOGLETRANSLATE(A16047,""en"",""pt"")"),"stupified")</f>
        <v>stupified</v>
      </c>
      <c r="B16047" s="3">
        <v>0</v>
      </c>
    </row>
    <row r="16048" ht="15.75" customHeight="1" spans="1:2">
      <c r="A16048" s="3" t="str">
        <f>IFERROR(__xludf.DUMMYFUNCTION("GOOGLETRANSLATE(A16048,""en"",""pt"")"),"Stupify")</f>
        <v>Stupify</v>
      </c>
      <c r="B16048" s="3">
        <v>0</v>
      </c>
    </row>
    <row r="16049" ht="15.75" customHeight="1" spans="1:2">
      <c r="A16049" s="3" t="str">
        <f>IFERROR(__xludf.DUMMYFUNCTION("GOOGLETRANSLATE(A16049,""en"",""pt"")"),"estupor")</f>
        <v>estupor</v>
      </c>
      <c r="B16049" s="3">
        <v>0</v>
      </c>
    </row>
    <row r="16050" ht="15.75" customHeight="1" spans="1:2">
      <c r="A16050" s="3" t="str">
        <f>IFERROR(__xludf.DUMMYFUNCTION("GOOGLETRANSLATE(A16050,""en"",""pt"")"),"gaguejar")</f>
        <v>gaguejar</v>
      </c>
      <c r="B16050" s="3">
        <v>0</v>
      </c>
    </row>
    <row r="16051" ht="15.75" customHeight="1" spans="1:2">
      <c r="A16051" s="3" t="str">
        <f>IFERROR(__xludf.DUMMYFUNCTION("GOOGLETRANSLATE(A16051,""en"",""pt"")"),"gagas")</f>
        <v>gagas</v>
      </c>
      <c r="B16051" s="3">
        <v>0</v>
      </c>
    </row>
    <row r="16052" ht="15.75" customHeight="1" spans="1:2">
      <c r="A16052" s="3" t="str">
        <f>IFERROR(__xludf.DUMMYFUNCTION("GOOGLETRANSLATE(A16052,""en"",""pt"")"),"engasgando")</f>
        <v>engasgando</v>
      </c>
      <c r="B16052" s="3">
        <v>0</v>
      </c>
    </row>
    <row r="16053" ht="15.75" customHeight="1" spans="1:2">
      <c r="A16053" s="3" t="str">
        <f>IFERROR(__xludf.DUMMYFUNCTION("GOOGLETRANSLATE(A16053,""en"",""pt"")"),"gagueja")</f>
        <v>gagueja</v>
      </c>
      <c r="B16053" s="3">
        <v>0</v>
      </c>
    </row>
    <row r="16054" ht="15.75" customHeight="1" spans="1:2">
      <c r="A16054" s="3" t="str">
        <f>IFERROR(__xludf.DUMMYFUNCTION("GOOGLETRANSLATE(A16054,""en"",""pt"")"),"chiqueiro")</f>
        <v>chiqueiro</v>
      </c>
      <c r="B16054" s="3">
        <v>0</v>
      </c>
    </row>
    <row r="16055" ht="15.75" customHeight="1" spans="1:2">
      <c r="A16055" s="3" t="str">
        <f>IFERROR(__xludf.DUMMYFUNCTION("GOOGLETRANSLATE(A16055,""en"",""pt"")"),"stymied")</f>
        <v>stymied</v>
      </c>
      <c r="B16055" s="3">
        <v>0</v>
      </c>
    </row>
    <row r="16056" ht="15.75" customHeight="1" spans="1:2">
      <c r="A16056" s="3" t="str">
        <f>IFERROR(__xludf.DUMMYFUNCTION("GOOGLETRANSLATE(A16056,""en"",""pt"")"),"sub-par")</f>
        <v>sub-par</v>
      </c>
      <c r="B16056" s="3">
        <v>0</v>
      </c>
    </row>
    <row r="16057" ht="15.75" customHeight="1" spans="1:2">
      <c r="A16057" s="3" t="str">
        <f>IFERROR(__xludf.DUMMYFUNCTION("GOOGLETRANSLATE(A16057,""en"",""pt"")"),"subjugado")</f>
        <v>subjugado</v>
      </c>
      <c r="B16057" s="3">
        <v>0</v>
      </c>
    </row>
    <row r="16058" ht="15.75" customHeight="1" spans="1:2">
      <c r="A16058" s="3" t="str">
        <f>IFERROR(__xludf.DUMMYFUNCTION("GOOGLETRANSLATE(A16058,""en"",""pt"")"),"submetido")</f>
        <v>submetido</v>
      </c>
      <c r="B16058" s="3">
        <v>0</v>
      </c>
    </row>
    <row r="16059" ht="15.75" customHeight="1" spans="1:2">
      <c r="A16059" s="3" t="str">
        <f>IFERROR(__xludf.DUMMYFUNCTION("GOOGLETRANSLATE(A16059,""en"",""pt"")"),"sujeição")</f>
        <v>sujeição</v>
      </c>
      <c r="B16059" s="3">
        <v>0</v>
      </c>
    </row>
    <row r="16060" ht="15.75" customHeight="1" spans="1:2">
      <c r="A16060" s="3" t="str">
        <f>IFERROR(__xludf.DUMMYFUNCTION("GOOGLETRANSLATE(A16060,""en"",""pt"")"),"subjugar")</f>
        <v>subjugar</v>
      </c>
      <c r="B16060" s="3">
        <v>0</v>
      </c>
    </row>
    <row r="16061" ht="15.75" customHeight="1" spans="1:2">
      <c r="A16061" s="3" t="str">
        <f>IFERROR(__xludf.DUMMYFUNCTION("GOOGLETRANSLATE(A16061,""en"",""pt"")"),"subjugação")</f>
        <v>subjugação</v>
      </c>
      <c r="B16061" s="3">
        <v>0</v>
      </c>
    </row>
    <row r="16062" ht="15.75" customHeight="1" spans="1:2">
      <c r="A16062" s="3" t="str">
        <f>IFERROR(__xludf.DUMMYFUNCTION("GOOGLETRANSLATE(A16062,""en"",""pt"")"),"submisso")</f>
        <v>submisso</v>
      </c>
      <c r="B16062" s="3">
        <v>0</v>
      </c>
    </row>
    <row r="16063" ht="15.75" customHeight="1" spans="1:2">
      <c r="A16063" s="3" t="str">
        <f>IFERROR(__xludf.DUMMYFUNCTION("GOOGLETRANSLATE(A16063,""en"",""pt"")"),"subordinar")</f>
        <v>subordinar</v>
      </c>
      <c r="B16063" s="3">
        <v>0</v>
      </c>
    </row>
    <row r="16064" ht="15.75" customHeight="1" spans="1:2">
      <c r="A16064" s="3" t="str">
        <f>IFERROR(__xludf.DUMMYFUNCTION("GOOGLETRANSLATE(A16064,""en"",""pt"")"),"intimação")</f>
        <v>intimação</v>
      </c>
      <c r="B16064" s="3">
        <v>0</v>
      </c>
    </row>
    <row r="16065" ht="15.75" customHeight="1" spans="1:2">
      <c r="A16065" s="3" t="str">
        <f>IFERROR(__xludf.DUMMYFUNCTION("GOOGLETRANSLATE(A16065,""en"",""pt"")"),"intimações")</f>
        <v>intimações</v>
      </c>
      <c r="B16065" s="3">
        <v>0</v>
      </c>
    </row>
    <row r="16066" ht="15.75" customHeight="1" spans="1:2">
      <c r="A16066" s="3" t="str">
        <f>IFERROR(__xludf.DUMMYFUNCTION("GOOGLETRANSLATE(A16066,""en"",""pt"")"),"subserviência")</f>
        <v>subserviência</v>
      </c>
      <c r="B16066" s="3">
        <v>0</v>
      </c>
    </row>
    <row r="16067" ht="15.75" customHeight="1" spans="1:2">
      <c r="A16067" s="3" t="str">
        <f>IFERROR(__xludf.DUMMYFUNCTION("GOOGLETRANSLATE(A16067,""en"",""pt"")"),"subserviente")</f>
        <v>subserviente</v>
      </c>
      <c r="B16067" s="3">
        <v>0</v>
      </c>
    </row>
    <row r="16068" ht="15.75" customHeight="1" spans="1:2">
      <c r="A16068" s="3" t="str">
        <f>IFERROR(__xludf.DUMMYFUNCTION("GOOGLETRANSLATE(A16068,""en"",""pt"")"),"substandard")</f>
        <v>substandard</v>
      </c>
      <c r="B16068" s="3">
        <v>0</v>
      </c>
    </row>
    <row r="16069" ht="15.75" customHeight="1" spans="1:2">
      <c r="A16069" s="3" t="str">
        <f>IFERROR(__xludf.DUMMYFUNCTION("GOOGLETRANSLATE(A16069,""en"",""pt"")"),"subtrair")</f>
        <v>subtrair</v>
      </c>
      <c r="B16069" s="3">
        <v>0</v>
      </c>
    </row>
    <row r="16070" ht="15.75" customHeight="1" spans="1:2">
      <c r="A16070" s="3" t="str">
        <f>IFERROR(__xludf.DUMMYFUNCTION("GOOGLETRANSLATE(A16070,""en"",""pt"")"),"subversão")</f>
        <v>subversão</v>
      </c>
      <c r="B16070" s="3">
        <v>0</v>
      </c>
    </row>
    <row r="16071" ht="15.75" customHeight="1" spans="1:2">
      <c r="A16071" s="3" t="str">
        <f>IFERROR(__xludf.DUMMYFUNCTION("GOOGLETRANSLATE(A16071,""en"",""pt"")"),"subversivo")</f>
        <v>subversivo</v>
      </c>
      <c r="B16071" s="3">
        <v>0</v>
      </c>
    </row>
    <row r="16072" ht="15.75" customHeight="1" spans="1:2">
      <c r="A16072" s="3" t="str">
        <f>IFERROR(__xludf.DUMMYFUNCTION("GOOGLETRANSLATE(A16072,""en"",""pt"")"),"subversively")</f>
        <v>subversively</v>
      </c>
      <c r="B16072" s="3">
        <v>0</v>
      </c>
    </row>
    <row r="16073" ht="15.75" customHeight="1" spans="1:2">
      <c r="A16073" s="3" t="str">
        <f>IFERROR(__xludf.DUMMYFUNCTION("GOOGLETRANSLATE(A16073,""en"",""pt"")"),"subverter")</f>
        <v>subverter</v>
      </c>
      <c r="B16073" s="3">
        <v>0</v>
      </c>
    </row>
    <row r="16074" ht="15.75" customHeight="1" spans="1:2">
      <c r="A16074" s="3" t="str">
        <f>IFERROR(__xludf.DUMMYFUNCTION("GOOGLETRANSLATE(A16074,""en"",""pt"")"),"sucumbir")</f>
        <v>sucumbir</v>
      </c>
      <c r="B16074" s="3">
        <v>0</v>
      </c>
    </row>
    <row r="16075" ht="15.75" customHeight="1" spans="1:2">
      <c r="A16075" s="3" t="str">
        <f>IFERROR(__xludf.DUMMYFUNCTION("GOOGLETRANSLATE(A16075,""en"",""pt"")"),"chupar")</f>
        <v>chupar</v>
      </c>
      <c r="B16075" s="3">
        <v>0</v>
      </c>
    </row>
    <row r="16076" ht="15.75" customHeight="1" spans="1:2">
      <c r="A16076" s="3" t="str">
        <f>IFERROR(__xludf.DUMMYFUNCTION("GOOGLETRANSLATE(A16076,""en"",""pt"")"),"sugado")</f>
        <v>sugado</v>
      </c>
      <c r="B16076" s="3">
        <v>0</v>
      </c>
    </row>
    <row r="16077" ht="15.75" customHeight="1" spans="1:2">
      <c r="A16077" s="3" t="str">
        <f>IFERROR(__xludf.DUMMYFUNCTION("GOOGLETRANSLATE(A16077,""en"",""pt"")"),"aproveitador")</f>
        <v>aproveitador</v>
      </c>
      <c r="B16077" s="3">
        <v>0</v>
      </c>
    </row>
    <row r="16078" ht="15.75" customHeight="1" spans="1:2">
      <c r="A16078" s="3" t="str">
        <f>IFERROR(__xludf.DUMMYFUNCTION("GOOGLETRANSLATE(A16078,""en"",""pt"")"),"é uma merda")</f>
        <v>é uma merda</v>
      </c>
      <c r="B16078" s="3">
        <v>0</v>
      </c>
    </row>
    <row r="16079" ht="15.75" customHeight="1" spans="1:2">
      <c r="A16079" s="3" t="str">
        <f>IFERROR(__xludf.DUMMYFUNCTION("GOOGLETRANSLATE(A16079,""en"",""pt"")"),"sucky")</f>
        <v>sucky</v>
      </c>
      <c r="B16079" s="3">
        <v>0</v>
      </c>
    </row>
    <row r="16080" ht="15.75" customHeight="1" spans="1:2">
      <c r="A16080" s="3" t="str">
        <f>IFERROR(__xludf.DUMMYFUNCTION("GOOGLETRANSLATE(A16080,""en"",""pt"")"),"processar")</f>
        <v>processar</v>
      </c>
      <c r="B16080" s="3">
        <v>0</v>
      </c>
    </row>
    <row r="16081" ht="15.75" customHeight="1" spans="1:2">
      <c r="A16081" s="3" t="str">
        <f>IFERROR(__xludf.DUMMYFUNCTION("GOOGLETRANSLATE(A16081,""en"",""pt"")"),"processado")</f>
        <v>processado</v>
      </c>
      <c r="B16081" s="3">
        <v>0</v>
      </c>
    </row>
    <row r="16082" ht="15.75" customHeight="1" spans="1:2">
      <c r="A16082" s="3" t="str">
        <f>IFERROR(__xludf.DUMMYFUNCTION("GOOGLETRANSLATE(A16082,""en"",""pt"")"),"sueing")</f>
        <v>sueing</v>
      </c>
      <c r="B16082" s="3">
        <v>0</v>
      </c>
    </row>
    <row r="16083" ht="15.75" customHeight="1" spans="1:2">
      <c r="A16083" s="3" t="str">
        <f>IFERROR(__xludf.DUMMYFUNCTION("GOOGLETRANSLATE(A16083,""en"",""pt"")"),"sues")</f>
        <v>sues</v>
      </c>
      <c r="B16083" s="3">
        <v>0</v>
      </c>
    </row>
    <row r="16084" ht="15.75" customHeight="1" spans="1:2">
      <c r="A16084" s="3" t="str">
        <f>IFERROR(__xludf.DUMMYFUNCTION("GOOGLETRANSLATE(A16084,""en"",""pt"")"),"Sofra")</f>
        <v>Sofra</v>
      </c>
      <c r="B16084" s="3">
        <v>0</v>
      </c>
    </row>
    <row r="16085" ht="15.75" customHeight="1" spans="1:2">
      <c r="A16085" s="3" t="str">
        <f>IFERROR(__xludf.DUMMYFUNCTION("GOOGLETRANSLATE(A16085,""en"",""pt"")"),"sofreu")</f>
        <v>sofreu</v>
      </c>
      <c r="B16085" s="3">
        <v>0</v>
      </c>
    </row>
    <row r="16086" ht="15.75" customHeight="1" spans="1:2">
      <c r="A16086" s="3" t="str">
        <f>IFERROR(__xludf.DUMMYFUNCTION("GOOGLETRANSLATE(A16086,""en"",""pt"")"),"sofredor")</f>
        <v>sofredor</v>
      </c>
      <c r="B16086" s="3">
        <v>0</v>
      </c>
    </row>
    <row r="16087" ht="15.75" customHeight="1" spans="1:2">
      <c r="A16087" s="3" t="str">
        <f>IFERROR(__xludf.DUMMYFUNCTION("GOOGLETRANSLATE(A16087,""en"",""pt"")"),"sofredores")</f>
        <v>sofredores</v>
      </c>
      <c r="B16087" s="3">
        <v>0</v>
      </c>
    </row>
    <row r="16088" ht="15.75" customHeight="1" spans="1:2">
      <c r="A16088" s="3" t="str">
        <f>IFERROR(__xludf.DUMMYFUNCTION("GOOGLETRANSLATE(A16088,""en"",""pt"")"),"sofrimento")</f>
        <v>sofrimento</v>
      </c>
      <c r="B16088" s="3">
        <v>0</v>
      </c>
    </row>
    <row r="16089" ht="15.75" customHeight="1" spans="1:2">
      <c r="A16089" s="3" t="str">
        <f>IFERROR(__xludf.DUMMYFUNCTION("GOOGLETRANSLATE(A16089,""en"",""pt"")"),"sofre")</f>
        <v>sofre</v>
      </c>
      <c r="B16089" s="3">
        <v>0</v>
      </c>
    </row>
    <row r="16090" ht="15.75" customHeight="1" spans="1:2">
      <c r="A16090" s="3" t="str">
        <f>IFERROR(__xludf.DUMMYFUNCTION("GOOGLETRANSLATE(A16090,""en"",""pt"")"),"sufocar")</f>
        <v>sufocar</v>
      </c>
      <c r="B16090" s="3">
        <v>0</v>
      </c>
    </row>
    <row r="16091" ht="15.75" customHeight="1" spans="1:2">
      <c r="A16091" s="3" t="str">
        <f>IFERROR(__xludf.DUMMYFUNCTION("GOOGLETRANSLATE(A16091,""en"",""pt"")"),"enfeitar")</f>
        <v>enfeitar</v>
      </c>
      <c r="B16091" s="3">
        <v>0</v>
      </c>
    </row>
    <row r="16092" ht="15.75" customHeight="1" spans="1:2">
      <c r="A16092" s="3" t="str">
        <f>IFERROR(__xludf.DUMMYFUNCTION("GOOGLETRANSLATE(A16092,""en"",""pt"")"),"açúcar-revestido")</f>
        <v>açúcar-revestido</v>
      </c>
      <c r="B16092" s="3">
        <v>0</v>
      </c>
    </row>
    <row r="16093" ht="15.75" customHeight="1" spans="1:2">
      <c r="A16093" s="3" t="str">
        <f>IFERROR(__xludf.DUMMYFUNCTION("GOOGLETRANSLATE(A16093,""en"",""pt"")"),"sugarcoated")</f>
        <v>sugarcoated</v>
      </c>
      <c r="B16093" s="3">
        <v>0</v>
      </c>
    </row>
    <row r="16094" ht="15.75" customHeight="1" spans="1:2">
      <c r="A16094" s="3" t="str">
        <f>IFERROR(__xludf.DUMMYFUNCTION("GOOGLETRANSLATE(A16094,""en"",""pt"")"),"suicida")</f>
        <v>suicida</v>
      </c>
      <c r="B16094" s="3">
        <v>0</v>
      </c>
    </row>
    <row r="16095" ht="15.75" customHeight="1" spans="1:2">
      <c r="A16095" s="3" t="str">
        <f>IFERROR(__xludf.DUMMYFUNCTION("GOOGLETRANSLATE(A16095,""en"",""pt"")"),"suicídio")</f>
        <v>suicídio</v>
      </c>
      <c r="B16095" s="3">
        <v>0</v>
      </c>
    </row>
    <row r="16096" ht="15.75" customHeight="1" spans="1:2">
      <c r="A16096" s="3" t="str">
        <f>IFERROR(__xludf.DUMMYFUNCTION("GOOGLETRANSLATE(A16096,""en"",""pt"")"),"amuar")</f>
        <v>amuar</v>
      </c>
      <c r="B16096" s="3">
        <v>0</v>
      </c>
    </row>
    <row r="16097" ht="15.75" customHeight="1" spans="1:2">
      <c r="A16097" s="3" t="str">
        <f>IFERROR(__xludf.DUMMYFUNCTION("GOOGLETRANSLATE(A16097,""en"",""pt"")"),"carrancudo")</f>
        <v>carrancudo</v>
      </c>
      <c r="B16097" s="3">
        <v>0</v>
      </c>
    </row>
    <row r="16098" ht="15.75" customHeight="1" spans="1:2">
      <c r="A16098" s="3" t="str">
        <f>IFERROR(__xludf.DUMMYFUNCTION("GOOGLETRANSLATE(A16098,""en"",""pt"")"),"manchar")</f>
        <v>manchar</v>
      </c>
      <c r="B16098" s="3">
        <v>0</v>
      </c>
    </row>
    <row r="16099" ht="15.75" customHeight="1" spans="1:2">
      <c r="A16099" s="3" t="str">
        <f>IFERROR(__xludf.DUMMYFUNCTION("GOOGLETRANSLATE(A16099,""en"",""pt"")"),"separar")</f>
        <v>separar</v>
      </c>
      <c r="B16099" s="3">
        <v>0</v>
      </c>
    </row>
    <row r="16100" ht="15.75" customHeight="1" spans="1:2">
      <c r="A16100" s="3" t="str">
        <f>IFERROR(__xludf.DUMMYFUNCTION("GOOGLETRANSLATE(A16100,""en"",""pt"")"),"afundado")</f>
        <v>afundado</v>
      </c>
      <c r="B16100" s="3">
        <v>0</v>
      </c>
    </row>
    <row r="16101" ht="15.75" customHeight="1" spans="1:2">
      <c r="A16101" s="3" t="str">
        <f>IFERROR(__xludf.DUMMYFUNCTION("GOOGLETRANSLATE(A16101,""en"",""pt"")"),"afundado")</f>
        <v>afundado</v>
      </c>
      <c r="B16101" s="3">
        <v>0</v>
      </c>
    </row>
    <row r="16102" ht="15.75" customHeight="1" spans="1:2">
      <c r="A16102" s="3" t="str">
        <f>IFERROR(__xludf.DUMMYFUNCTION("GOOGLETRANSLATE(A16102,""en"",""pt"")"),"superficial")</f>
        <v>superficial</v>
      </c>
      <c r="B16102" s="3">
        <v>0</v>
      </c>
    </row>
    <row r="16103" ht="15.75" customHeight="1" spans="1:2">
      <c r="A16103" s="3" t="str">
        <f>IFERROR(__xludf.DUMMYFUNCTION("GOOGLETRANSLATE(A16103,""en"",""pt"")"),"superficialidade")</f>
        <v>superficialidade</v>
      </c>
      <c r="B16103" s="3">
        <v>0</v>
      </c>
    </row>
    <row r="16104" ht="15.75" customHeight="1" spans="1:2">
      <c r="A16104" s="3" t="str">
        <f>IFERROR(__xludf.DUMMYFUNCTION("GOOGLETRANSLATE(A16104,""en"",""pt"")"),"superficialmente")</f>
        <v>superficialmente</v>
      </c>
      <c r="B16104" s="3">
        <v>0</v>
      </c>
    </row>
    <row r="16105" ht="15.75" customHeight="1" spans="1:2">
      <c r="A16105" s="3" t="str">
        <f>IFERROR(__xludf.DUMMYFUNCTION("GOOGLETRANSLATE(A16105,""en"",""pt"")"),"supérfluo")</f>
        <v>supérfluo</v>
      </c>
      <c r="B16105" s="3">
        <v>0</v>
      </c>
    </row>
    <row r="16106" ht="15.75" customHeight="1" spans="1:2">
      <c r="A16106" s="3" t="str">
        <f>IFERROR(__xludf.DUMMYFUNCTION("GOOGLETRANSLATE(A16106,""en"",""pt"")"),"superstição")</f>
        <v>superstição</v>
      </c>
      <c r="B16106" s="3">
        <v>0</v>
      </c>
    </row>
    <row r="16107" ht="15.75" customHeight="1" spans="1:2">
      <c r="A16107" s="3" t="str">
        <f>IFERROR(__xludf.DUMMYFUNCTION("GOOGLETRANSLATE(A16107,""en"",""pt"")"),"supersticioso")</f>
        <v>supersticioso</v>
      </c>
      <c r="B16107" s="3">
        <v>0</v>
      </c>
    </row>
    <row r="16108" ht="15.75" customHeight="1" spans="1:2">
      <c r="A16108" s="3" t="str">
        <f>IFERROR(__xludf.DUMMYFUNCTION("GOOGLETRANSLATE(A16108,""en"",""pt"")"),"suprimir")</f>
        <v>suprimir</v>
      </c>
      <c r="B16108" s="3">
        <v>0</v>
      </c>
    </row>
    <row r="16109" ht="15.75" customHeight="1" spans="1:2">
      <c r="A16109" s="3" t="str">
        <f>IFERROR(__xludf.DUMMYFUNCTION("GOOGLETRANSLATE(A16109,""en"",""pt"")"),"supressão")</f>
        <v>supressão</v>
      </c>
      <c r="B16109" s="3">
        <v>0</v>
      </c>
    </row>
    <row r="16110" ht="15.75" customHeight="1" spans="1:2">
      <c r="A16110" s="3" t="str">
        <f>IFERROR(__xludf.DUMMYFUNCTION("GOOGLETRANSLATE(A16110,""en"",""pt"")"),"entrega")</f>
        <v>entrega</v>
      </c>
      <c r="B16110" s="3">
        <v>0</v>
      </c>
    </row>
    <row r="16111" ht="15.75" customHeight="1" spans="1:2">
      <c r="A16111" s="3" t="str">
        <f>IFERROR(__xludf.DUMMYFUNCTION("GOOGLETRANSLATE(A16111,""en"",""pt"")"),"suscetível")</f>
        <v>suscetível</v>
      </c>
      <c r="B16111" s="3">
        <v>0</v>
      </c>
    </row>
    <row r="16112" ht="15.75" customHeight="1" spans="1:2">
      <c r="A16112" s="3" t="str">
        <f>IFERROR(__xludf.DUMMYFUNCTION("GOOGLETRANSLATE(A16112,""en"",""pt"")"),"suspeito")</f>
        <v>suspeito</v>
      </c>
      <c r="B16112" s="3">
        <v>0</v>
      </c>
    </row>
    <row r="16113" ht="15.75" customHeight="1" spans="1:2">
      <c r="A16113" s="3" t="str">
        <f>IFERROR(__xludf.DUMMYFUNCTION("GOOGLETRANSLATE(A16113,""en"",""pt"")"),"suspeita")</f>
        <v>suspeita</v>
      </c>
      <c r="B16113" s="3">
        <v>0</v>
      </c>
    </row>
    <row r="16114" ht="15.75" customHeight="1" spans="1:2">
      <c r="A16114" s="3" t="str">
        <f>IFERROR(__xludf.DUMMYFUNCTION("GOOGLETRANSLATE(A16114,""en"",""pt"")"),"suspeitas")</f>
        <v>suspeitas</v>
      </c>
      <c r="B16114" s="3">
        <v>0</v>
      </c>
    </row>
    <row r="16115" ht="15.75" customHeight="1" spans="1:2">
      <c r="A16115" s="3" t="str">
        <f>IFERROR(__xludf.DUMMYFUNCTION("GOOGLETRANSLATE(A16115,""en"",""pt"")"),"suspeito")</f>
        <v>suspeito</v>
      </c>
      <c r="B16115" s="3">
        <v>0</v>
      </c>
    </row>
    <row r="16116" ht="15.75" customHeight="1" spans="1:2">
      <c r="A16116" s="3" t="str">
        <f>IFERROR(__xludf.DUMMYFUNCTION("GOOGLETRANSLATE(A16116,""en"",""pt"")"),"desconfiado")</f>
        <v>desconfiado</v>
      </c>
      <c r="B16116" s="3">
        <v>0</v>
      </c>
    </row>
    <row r="16117" ht="15.75" customHeight="1" spans="1:2">
      <c r="A16117" s="3" t="str">
        <f>IFERROR(__xludf.DUMMYFUNCTION("GOOGLETRANSLATE(A16117,""en"",""pt"")"),"bravata")</f>
        <v>bravata</v>
      </c>
      <c r="B16117" s="3">
        <v>0</v>
      </c>
    </row>
    <row r="16118" ht="15.75" customHeight="1" spans="1:2">
      <c r="A16118" s="3" t="str">
        <f>IFERROR(__xludf.DUMMYFUNCTION("GOOGLETRANSLATE(A16118,""en"",""pt"")"),"inundado")</f>
        <v>inundado</v>
      </c>
      <c r="B16118" s="3">
        <v>0</v>
      </c>
    </row>
    <row r="16119" ht="15.75" customHeight="1" spans="1:2">
      <c r="A16119" s="3" t="str">
        <f>IFERROR(__xludf.DUMMYFUNCTION("GOOGLETRANSLATE(A16119,""en"",""pt"")"),"suado")</f>
        <v>suado</v>
      </c>
      <c r="B16119" s="3">
        <v>0</v>
      </c>
    </row>
    <row r="16120" ht="15.75" customHeight="1" spans="1:2">
      <c r="A16120" s="3" t="str">
        <f>IFERROR(__xludf.DUMMYFUNCTION("GOOGLETRANSLATE(A16120,""en"",""pt"")"),"inchou")</f>
        <v>inchou</v>
      </c>
      <c r="B16120" s="3">
        <v>0</v>
      </c>
    </row>
    <row r="16121" ht="15.75" customHeight="1" spans="1:2">
      <c r="A16121" s="3" t="str">
        <f>IFERROR(__xludf.DUMMYFUNCTION("GOOGLETRANSLATE(A16121,""en"",""pt"")"),"inchaço")</f>
        <v>inchaço</v>
      </c>
      <c r="B16121" s="3">
        <v>0</v>
      </c>
    </row>
    <row r="16122" ht="15.75" customHeight="1" spans="1:2">
      <c r="A16122" s="3" t="str">
        <f>IFERROR(__xludf.DUMMYFUNCTION("GOOGLETRANSLATE(A16122,""en"",""pt"")"),"embuste")</f>
        <v>embuste</v>
      </c>
      <c r="B16122" s="3">
        <v>0</v>
      </c>
    </row>
    <row r="16123" ht="15.75" customHeight="1" spans="1:2">
      <c r="A16123" s="3" t="str">
        <f>IFERROR(__xludf.DUMMYFUNCTION("GOOGLETRANSLATE(A16123,""en"",""pt"")"),"pancada forte")</f>
        <v>pancada forte</v>
      </c>
      <c r="B16123" s="3">
        <v>0</v>
      </c>
    </row>
    <row r="16124" ht="15.75" customHeight="1" spans="1:2">
      <c r="A16124" s="3" t="str">
        <f>IFERROR(__xludf.DUMMYFUNCTION("GOOGLETRANSLATE(A16124,""en"",""pt"")"),"inchado")</f>
        <v>inchado</v>
      </c>
      <c r="B16124" s="3">
        <v>0</v>
      </c>
    </row>
    <row r="16125" ht="15.75" customHeight="1" spans="1:2">
      <c r="A16125" s="3" t="str">
        <f>IFERROR(__xludf.DUMMYFUNCTION("GOOGLETRANSLATE(A16125,""en"",""pt"")"),"sintoma")</f>
        <v>sintoma</v>
      </c>
      <c r="B16125" s="3">
        <v>0</v>
      </c>
    </row>
    <row r="16126" ht="15.75" customHeight="1" spans="1:2">
      <c r="A16126" s="3" t="str">
        <f>IFERROR(__xludf.DUMMYFUNCTION("GOOGLETRANSLATE(A16126,""en"",""pt"")"),"sintomas")</f>
        <v>sintomas</v>
      </c>
      <c r="B16126" s="3">
        <v>0</v>
      </c>
    </row>
    <row r="16127" ht="15.75" customHeight="1" spans="1:2">
      <c r="A16127" s="3" t="str">
        <f>IFERROR(__xludf.DUMMYFUNCTION("GOOGLETRANSLATE(A16127,""en"",""pt"")"),"síndrome")</f>
        <v>síndrome</v>
      </c>
      <c r="B16127" s="3">
        <v>0</v>
      </c>
    </row>
    <row r="16128" ht="15.75" customHeight="1" spans="1:2">
      <c r="A16128" s="3" t="str">
        <f>IFERROR(__xludf.DUMMYFUNCTION("GOOGLETRANSLATE(A16128,""en"",""pt"")"),"tabu")</f>
        <v>tabu</v>
      </c>
      <c r="B16128" s="3">
        <v>0</v>
      </c>
    </row>
    <row r="16129" ht="15.75" customHeight="1" spans="1:2">
      <c r="A16129" s="3" t="str">
        <f>IFERROR(__xludf.DUMMYFUNCTION("GOOGLETRANSLATE(A16129,""en"",""pt"")"),"brega")</f>
        <v>brega</v>
      </c>
      <c r="B16129" s="3">
        <v>0</v>
      </c>
    </row>
    <row r="16130" ht="15.75" customHeight="1" spans="1:2">
      <c r="A16130" s="3" t="str">
        <f>IFERROR(__xludf.DUMMYFUNCTION("GOOGLETRANSLATE(A16130,""en"",""pt"")"),"mácula")</f>
        <v>mácula</v>
      </c>
      <c r="B16130" s="3">
        <v>0</v>
      </c>
    </row>
    <row r="16131" ht="15.75" customHeight="1" spans="1:2">
      <c r="A16131" s="3" t="str">
        <f>IFERROR(__xludf.DUMMYFUNCTION("GOOGLETRANSLATE(A16131,""en"",""pt"")"),"estragado")</f>
        <v>estragado</v>
      </c>
      <c r="B16131" s="3">
        <v>0</v>
      </c>
    </row>
    <row r="16132" ht="15.75" customHeight="1" spans="1:2">
      <c r="A16132" s="3" t="str">
        <f>IFERROR(__xludf.DUMMYFUNCTION("GOOGLETRANSLATE(A16132,""en"",""pt"")"),"adulteração")</f>
        <v>adulteração</v>
      </c>
      <c r="B16132" s="3">
        <v>0</v>
      </c>
    </row>
    <row r="16133" ht="15.75" customHeight="1" spans="1:2">
      <c r="A16133" s="3" t="str">
        <f>IFERROR(__xludf.DUMMYFUNCTION("GOOGLETRANSLATE(A16133,""en"",""pt"")"),"emaranhamento")</f>
        <v>emaranhamento</v>
      </c>
      <c r="B16133" s="3">
        <v>0</v>
      </c>
    </row>
    <row r="16134" ht="15.75" customHeight="1" spans="1:2">
      <c r="A16134" s="3" t="str">
        <f>IFERROR(__xludf.DUMMYFUNCTION("GOOGLETRANSLATE(A16134,""en"",""pt"")"),"emaranhado")</f>
        <v>emaranhado</v>
      </c>
      <c r="B16134" s="3">
        <v>0</v>
      </c>
    </row>
    <row r="16135" ht="15.75" customHeight="1" spans="1:2">
      <c r="A16135" s="3" t="str">
        <f>IFERROR(__xludf.DUMMYFUNCTION("GOOGLETRANSLATE(A16135,""en"",""pt"")"),"emaranhados")</f>
        <v>emaranhados</v>
      </c>
      <c r="B16135" s="3">
        <v>0</v>
      </c>
    </row>
    <row r="16136" ht="15.75" customHeight="1" spans="1:2">
      <c r="A16136" s="3" t="str">
        <f>IFERROR(__xludf.DUMMYFUNCTION("GOOGLETRANSLATE(A16136,""en"",""pt"")"),"tanque")</f>
        <v>tanque</v>
      </c>
      <c r="B16136" s="3">
        <v>0</v>
      </c>
    </row>
    <row r="16137" ht="15.75" customHeight="1" spans="1:2">
      <c r="A16137" s="3" t="str">
        <f>IFERROR(__xludf.DUMMYFUNCTION("GOOGLETRANSLATE(A16137,""en"",""pt"")"),"tanked")</f>
        <v>tanked</v>
      </c>
      <c r="B16137" s="3">
        <v>0</v>
      </c>
    </row>
    <row r="16138" ht="15.75" customHeight="1" spans="1:2">
      <c r="A16138" s="3" t="str">
        <f>IFERROR(__xludf.DUMMYFUNCTION("GOOGLETRANSLATE(A16138,""en"",""pt"")"),"tanques")</f>
        <v>tanques</v>
      </c>
      <c r="B16138" s="3">
        <v>0</v>
      </c>
    </row>
    <row r="16139" ht="15.75" customHeight="1" spans="1:2">
      <c r="A16139" s="3" t="str">
        <f>IFERROR(__xludf.DUMMYFUNCTION("GOOGLETRANSLATE(A16139,""en"",""pt"")"),"petulância")</f>
        <v>petulância</v>
      </c>
      <c r="B16139" s="3">
        <v>0</v>
      </c>
    </row>
    <row r="16140" ht="15.75" customHeight="1" spans="1:2">
      <c r="A16140" s="3" t="str">
        <f>IFERROR(__xludf.DUMMYFUNCTION("GOOGLETRANSLATE(A16140,""en"",""pt"")"),"tardio")</f>
        <v>tardio</v>
      </c>
      <c r="B16140" s="3">
        <v>0</v>
      </c>
    </row>
    <row r="16141" ht="15.75" customHeight="1" spans="1:2">
      <c r="A16141" s="3" t="str">
        <f>IFERROR(__xludf.DUMMYFUNCTION("GOOGLETRANSLATE(A16141,""en"",""pt"")"),"manchar")</f>
        <v>manchar</v>
      </c>
      <c r="B16141" s="3">
        <v>0</v>
      </c>
    </row>
    <row r="16142" ht="15.75" customHeight="1" spans="1:2">
      <c r="A16142" s="3" t="str">
        <f>IFERROR(__xludf.DUMMYFUNCTION("GOOGLETRANSLATE(A16142,""en"",""pt"")"),"manchada")</f>
        <v>manchada</v>
      </c>
      <c r="B16142" s="3">
        <v>0</v>
      </c>
    </row>
    <row r="16143" ht="15.75" customHeight="1" spans="1:2">
      <c r="A16143" s="3" t="str">
        <f>IFERROR(__xludf.DUMMYFUNCTION("GOOGLETRANSLATE(A16143,""en"",""pt"")"),"tarnishes")</f>
        <v>tarnishes</v>
      </c>
      <c r="B16143" s="3">
        <v>0</v>
      </c>
    </row>
    <row r="16144" ht="15.75" customHeight="1" spans="1:2">
      <c r="A16144" s="3" t="str">
        <f>IFERROR(__xludf.DUMMYFUNCTION("GOOGLETRANSLATE(A16144,""en"",""pt"")"),"manchando")</f>
        <v>manchando</v>
      </c>
      <c r="B16144" s="3">
        <v>0</v>
      </c>
    </row>
    <row r="16145" ht="15.75" customHeight="1" spans="1:2">
      <c r="A16145" s="3" t="str">
        <f>IFERROR(__xludf.DUMMYFUNCTION("GOOGLETRANSLATE(A16145,""en"",""pt"")"),"esfarrapado")</f>
        <v>esfarrapado</v>
      </c>
      <c r="B16145" s="3">
        <v>0</v>
      </c>
    </row>
    <row r="16146" ht="15.75" customHeight="1" spans="1:2">
      <c r="A16146" s="3" t="str">
        <f>IFERROR(__xludf.DUMMYFUNCTION("GOOGLETRANSLATE(A16146,""en"",""pt"")"),"insulto")</f>
        <v>insulto</v>
      </c>
      <c r="B16146" s="3">
        <v>0</v>
      </c>
    </row>
    <row r="16147" ht="15.75" customHeight="1" spans="1:2">
      <c r="A16147" s="3" t="str">
        <f>IFERROR(__xludf.DUMMYFUNCTION("GOOGLETRANSLATE(A16147,""en"",""pt"")"),"insultos")</f>
        <v>insultos</v>
      </c>
      <c r="B16147" s="3">
        <v>0</v>
      </c>
    </row>
    <row r="16148" ht="15.75" customHeight="1" spans="1:2">
      <c r="A16148" s="3" t="str">
        <f>IFERROR(__xludf.DUMMYFUNCTION("GOOGLETRANSLATE(A16148,""en"",""pt"")"),"tauntingly")</f>
        <v>tauntingly</v>
      </c>
      <c r="B16148" s="3">
        <v>0</v>
      </c>
    </row>
    <row r="16149" ht="15.75" customHeight="1" spans="1:2">
      <c r="A16149" s="3" t="str">
        <f>IFERROR(__xludf.DUMMYFUNCTION("GOOGLETRANSLATE(A16149,""en"",""pt"")"),"provocações")</f>
        <v>provocações</v>
      </c>
      <c r="B16149" s="3">
        <v>0</v>
      </c>
    </row>
    <row r="16150" ht="15.75" customHeight="1" spans="1:2">
      <c r="A16150" s="3" t="str">
        <f>IFERROR(__xludf.DUMMYFUNCTION("GOOGLETRANSLATE(A16150,""en"",""pt"")"),"tenso")</f>
        <v>tenso</v>
      </c>
      <c r="B16150" s="3">
        <v>0</v>
      </c>
    </row>
    <row r="16151" ht="15.75" customHeight="1" spans="1:2">
      <c r="A16151" s="3" t="str">
        <f>IFERROR(__xludf.DUMMYFUNCTION("GOOGLETRANSLATE(A16151,""en"",""pt"")"),"espalhafatoso")</f>
        <v>espalhafatoso</v>
      </c>
      <c r="B16151" s="3">
        <v>0</v>
      </c>
    </row>
    <row r="16152" ht="15.75" customHeight="1" spans="1:2">
      <c r="A16152" s="3" t="str">
        <f>IFERROR(__xludf.DUMMYFUNCTION("GOOGLETRANSLATE(A16152,""en"",""pt"")"),"taxação")</f>
        <v>taxação</v>
      </c>
      <c r="B16152" s="3">
        <v>0</v>
      </c>
    </row>
    <row r="16153" ht="15.75" customHeight="1" spans="1:2">
      <c r="A16153" s="3" t="str">
        <f>IFERROR(__xludf.DUMMYFUNCTION("GOOGLETRANSLATE(A16153,""en"",""pt"")"),"provocação")</f>
        <v>provocação</v>
      </c>
      <c r="B16153" s="3">
        <v>0</v>
      </c>
    </row>
    <row r="16154" ht="15.75" customHeight="1" spans="1:2">
      <c r="A16154" s="3" t="str">
        <f>IFERROR(__xludf.DUMMYFUNCTION("GOOGLETRANSLATE(A16154,""en"",""pt"")"),"provocativamente")</f>
        <v>provocativamente</v>
      </c>
      <c r="B16154" s="3">
        <v>0</v>
      </c>
    </row>
    <row r="16155" ht="15.75" customHeight="1" spans="1:2">
      <c r="A16155" s="3" t="str">
        <f>IFERROR(__xludf.DUMMYFUNCTION("GOOGLETRANSLATE(A16155,""en"",""pt"")"),"tedioso")</f>
        <v>tedioso</v>
      </c>
      <c r="B16155" s="3">
        <v>0</v>
      </c>
    </row>
    <row r="16156" ht="15.75" customHeight="1" spans="1:2">
      <c r="A16156" s="3" t="str">
        <f>IFERROR(__xludf.DUMMYFUNCTION("GOOGLETRANSLATE(A16156,""en"",""pt"")"),"tediosamente")</f>
        <v>tediosamente</v>
      </c>
      <c r="B16156" s="3">
        <v>0</v>
      </c>
    </row>
    <row r="16157" ht="15.75" customHeight="1" spans="1:2">
      <c r="A16157" s="3" t="str">
        <f>IFERROR(__xludf.DUMMYFUNCTION("GOOGLETRANSLATE(A16157,""en"",""pt"")"),"temeridade")</f>
        <v>temeridade</v>
      </c>
      <c r="B16157" s="3">
        <v>0</v>
      </c>
    </row>
    <row r="16158" ht="15.75" customHeight="1" spans="1:2">
      <c r="A16158" s="3" t="str">
        <f>IFERROR(__xludf.DUMMYFUNCTION("GOOGLETRANSLATE(A16158,""en"",""pt"")"),"temperamento")</f>
        <v>temperamento</v>
      </c>
      <c r="B16158" s="3">
        <v>0</v>
      </c>
    </row>
    <row r="16159" ht="15.75" customHeight="1" spans="1:2">
      <c r="A16159" s="3" t="str">
        <f>IFERROR(__xludf.DUMMYFUNCTION("GOOGLETRANSLATE(A16159,""en"",""pt"")"),"tempestade")</f>
        <v>tempestade</v>
      </c>
      <c r="B16159" s="3">
        <v>0</v>
      </c>
    </row>
    <row r="16160" ht="15.75" customHeight="1" spans="1:2">
      <c r="A16160" s="3" t="str">
        <f>IFERROR(__xludf.DUMMYFUNCTION("GOOGLETRANSLATE(A16160,""en"",""pt"")"),"tentação")</f>
        <v>tentação</v>
      </c>
      <c r="B16160" s="3">
        <v>0</v>
      </c>
    </row>
    <row r="16161" ht="15.75" customHeight="1" spans="1:2">
      <c r="A16161" s="3" t="str">
        <f>IFERROR(__xludf.DUMMYFUNCTION("GOOGLETRANSLATE(A16161,""en"",""pt"")"),"ternura")</f>
        <v>ternura</v>
      </c>
      <c r="B16161" s="3">
        <v>0</v>
      </c>
    </row>
    <row r="16162" ht="15.75" customHeight="1" spans="1:2">
      <c r="A16162" s="3" t="str">
        <f>IFERROR(__xludf.DUMMYFUNCTION("GOOGLETRANSLATE(A16162,""en"",""pt"")"),"tenso")</f>
        <v>tenso</v>
      </c>
      <c r="B16162" s="3">
        <v>0</v>
      </c>
    </row>
    <row r="16163" ht="15.75" customHeight="1" spans="1:2">
      <c r="A16163" s="3" t="str">
        <f>IFERROR(__xludf.DUMMYFUNCTION("GOOGLETRANSLATE(A16163,""en"",""pt"")"),"tensão")</f>
        <v>tensão</v>
      </c>
      <c r="B16163" s="3">
        <v>0</v>
      </c>
    </row>
    <row r="16164" ht="15.75" customHeight="1" spans="1:2">
      <c r="A16164" s="3" t="str">
        <f>IFERROR(__xludf.DUMMYFUNCTION("GOOGLETRANSLATE(A16164,""en"",""pt"")"),"experimental")</f>
        <v>experimental</v>
      </c>
      <c r="B16164" s="3">
        <v>0</v>
      </c>
    </row>
    <row r="16165" ht="15.75" customHeight="1" spans="1:2">
      <c r="A16165" s="3" t="str">
        <f>IFERROR(__xludf.DUMMYFUNCTION("GOOGLETRANSLATE(A16165,""en"",""pt"")"),"tentativamente")</f>
        <v>tentativamente</v>
      </c>
      <c r="B16165" s="3">
        <v>0</v>
      </c>
    </row>
    <row r="16166" ht="15.75" customHeight="1" spans="1:2">
      <c r="A16166" s="3" t="str">
        <f>IFERROR(__xludf.DUMMYFUNCTION("GOOGLETRANSLATE(A16166,""en"",""pt"")"),"ténue")</f>
        <v>ténue</v>
      </c>
      <c r="B16166" s="3">
        <v>0</v>
      </c>
    </row>
    <row r="16167" ht="15.75" customHeight="1" spans="1:2">
      <c r="A16167" s="3" t="str">
        <f>IFERROR(__xludf.DUMMYFUNCTION("GOOGLETRANSLATE(A16167,""en"",""pt"")"),"tenuously")</f>
        <v>tenuously</v>
      </c>
      <c r="B16167" s="3">
        <v>0</v>
      </c>
    </row>
    <row r="16168" ht="15.75" customHeight="1" spans="1:2">
      <c r="A16168" s="3" t="str">
        <f>IFERROR(__xludf.DUMMYFUNCTION("GOOGLETRANSLATE(A16168,""en"",""pt"")"),"tépido")</f>
        <v>tépido</v>
      </c>
      <c r="B16168" s="3">
        <v>0</v>
      </c>
    </row>
    <row r="16169" ht="15.75" customHeight="1" spans="1:2">
      <c r="A16169" s="3" t="str">
        <f>IFERROR(__xludf.DUMMYFUNCTION("GOOGLETRANSLATE(A16169,""en"",""pt"")"),"terrivel")</f>
        <v>terrivel</v>
      </c>
      <c r="B16169" s="3">
        <v>0</v>
      </c>
    </row>
    <row r="16170" ht="15.75" customHeight="1" spans="1:2">
      <c r="A16170" s="3" t="str">
        <f>IFERROR(__xludf.DUMMYFUNCTION("GOOGLETRANSLATE(A16170,""en"",""pt"")"),"terribleness")</f>
        <v>terribleness</v>
      </c>
      <c r="B16170" s="3">
        <v>0</v>
      </c>
    </row>
    <row r="16171" ht="15.75" customHeight="1" spans="1:2">
      <c r="A16171" s="3" t="str">
        <f>IFERROR(__xludf.DUMMYFUNCTION("GOOGLETRANSLATE(A16171,""en"",""pt"")"),"terrivelmente")</f>
        <v>terrivelmente</v>
      </c>
      <c r="B16171" s="3">
        <v>0</v>
      </c>
    </row>
    <row r="16172" ht="15.75" customHeight="1" spans="1:2">
      <c r="A16172" s="3" t="str">
        <f>IFERROR(__xludf.DUMMYFUNCTION("GOOGLETRANSLATE(A16172,""en"",""pt"")"),"terror")</f>
        <v>terror</v>
      </c>
      <c r="B16172" s="3">
        <v>0</v>
      </c>
    </row>
    <row r="16173" ht="15.75" customHeight="1" spans="1:2">
      <c r="A16173" s="3" t="str">
        <f>IFERROR(__xludf.DUMMYFUNCTION("GOOGLETRANSLATE(A16173,""en"",""pt"")"),"terror-gênica")</f>
        <v>terror-gênica</v>
      </c>
      <c r="B16173" s="3">
        <v>0</v>
      </c>
    </row>
    <row r="16174" ht="15.75" customHeight="1" spans="1:2">
      <c r="A16174" s="3" t="str">
        <f>IFERROR(__xludf.DUMMYFUNCTION("GOOGLETRANSLATE(A16174,""en"",""pt"")"),"terrorismo")</f>
        <v>terrorismo</v>
      </c>
      <c r="B16174" s="3">
        <v>0</v>
      </c>
    </row>
    <row r="16175" ht="15.75" customHeight="1" spans="1:2">
      <c r="A16175" s="3" t="str">
        <f>IFERROR(__xludf.DUMMYFUNCTION("GOOGLETRANSLATE(A16175,""en"",""pt"")"),"aterrorizar")</f>
        <v>aterrorizar</v>
      </c>
      <c r="B16175" s="3">
        <v>0</v>
      </c>
    </row>
    <row r="16176" ht="15.75" customHeight="1" spans="1:2">
      <c r="A16176" s="3" t="str">
        <f>IFERROR(__xludf.DUMMYFUNCTION("GOOGLETRANSLATE(A16176,""en"",""pt"")"),"com irritação")</f>
        <v>com irritação</v>
      </c>
      <c r="B16176" s="3">
        <v>0</v>
      </c>
    </row>
    <row r="16177" ht="15.75" customHeight="1" spans="1:2">
      <c r="A16177" s="3" t="str">
        <f>IFERROR(__xludf.DUMMYFUNCTION("GOOGLETRANSLATE(A16177,""en"",""pt"")"),"irritável")</f>
        <v>irritável</v>
      </c>
      <c r="B16177" s="3">
        <v>0</v>
      </c>
    </row>
    <row r="16178" ht="15.75" customHeight="1" spans="1:2">
      <c r="A16178" s="3" t="str">
        <f>IFERROR(__xludf.DUMMYFUNCTION("GOOGLETRANSLATE(A16178,""en"",""pt"")"),"tetchily")</f>
        <v>tetchily</v>
      </c>
      <c r="B16178" s="3">
        <v>0</v>
      </c>
    </row>
    <row r="16179" ht="15.75" customHeight="1" spans="1:2">
      <c r="A16179" s="3" t="str">
        <f>IFERROR(__xludf.DUMMYFUNCTION("GOOGLETRANSLATE(A16179,""en"",""pt"")"),"irritado")</f>
        <v>irritado</v>
      </c>
      <c r="B16179" s="3">
        <v>0</v>
      </c>
    </row>
    <row r="16180" ht="15.75" customHeight="1" spans="1:2">
      <c r="A16180" s="3" t="str">
        <f>IFERROR(__xludf.DUMMYFUNCTION("GOOGLETRANSLATE(A16180,""en"",""pt"")"),"mal agradecido")</f>
        <v>mal agradecido</v>
      </c>
      <c r="B16180" s="3">
        <v>0</v>
      </c>
    </row>
    <row r="16181" ht="15.75" customHeight="1" spans="1:2">
      <c r="A16181" s="3" t="str">
        <f>IFERROR(__xludf.DUMMYFUNCTION("GOOGLETRANSLATE(A16181,""en"",""pt"")"),"mais grosso")</f>
        <v>mais grosso</v>
      </c>
      <c r="B16181" s="3">
        <v>0</v>
      </c>
    </row>
    <row r="16182" ht="15.75" customHeight="1" spans="1:2">
      <c r="A16182" s="3" t="str">
        <f>IFERROR(__xludf.DUMMYFUNCTION("GOOGLETRANSLATE(A16182,""en"",""pt"")"),"sede")</f>
        <v>sede</v>
      </c>
      <c r="B16182" s="3">
        <v>0</v>
      </c>
    </row>
    <row r="16183" ht="15.75" customHeight="1" spans="1:2">
      <c r="A16183" s="3" t="str">
        <f>IFERROR(__xludf.DUMMYFUNCTION("GOOGLETRANSLATE(A16183,""en"",""pt"")"),"espinhoso")</f>
        <v>espinhoso</v>
      </c>
      <c r="B16183" s="3">
        <v>0</v>
      </c>
    </row>
    <row r="16184" ht="15.75" customHeight="1" spans="1:2">
      <c r="A16184" s="3" t="str">
        <f>IFERROR(__xludf.DUMMYFUNCTION("GOOGLETRANSLATE(A16184,""en"",""pt"")"),"irrefletido")</f>
        <v>irrefletido</v>
      </c>
      <c r="B16184" s="3">
        <v>0</v>
      </c>
    </row>
    <row r="16185" ht="15.75" customHeight="1" spans="1:2">
      <c r="A16185" s="3" t="str">
        <f>IFERROR(__xludf.DUMMYFUNCTION("GOOGLETRANSLATE(A16185,""en"",""pt"")"),"impensadamente")</f>
        <v>impensadamente</v>
      </c>
      <c r="B16185" s="3">
        <v>0</v>
      </c>
    </row>
    <row r="16186" ht="15.75" customHeight="1" spans="1:2">
      <c r="A16186" s="3" t="str">
        <f>IFERROR(__xludf.DUMMYFUNCTION("GOOGLETRANSLATE(A16186,""en"",""pt"")"),"irreflexão")</f>
        <v>irreflexão</v>
      </c>
      <c r="B16186" s="3">
        <v>0</v>
      </c>
    </row>
    <row r="16187" ht="15.75" customHeight="1" spans="1:2">
      <c r="A16187" s="3" t="str">
        <f>IFERROR(__xludf.DUMMYFUNCTION("GOOGLETRANSLATE(A16187,""en"",""pt"")"),"açoitar")</f>
        <v>açoitar</v>
      </c>
      <c r="B16187" s="3">
        <v>0</v>
      </c>
    </row>
    <row r="16188" ht="15.75" customHeight="1" spans="1:2">
      <c r="A16188" s="3" t="str">
        <f>IFERROR(__xludf.DUMMYFUNCTION("GOOGLETRANSLATE(A16188,""en"",""pt"")"),"ameaça")</f>
        <v>ameaça</v>
      </c>
      <c r="B16188" s="3">
        <v>0</v>
      </c>
    </row>
    <row r="16189" ht="15.75" customHeight="1" spans="1:2">
      <c r="A16189" s="3" t="str">
        <f>IFERROR(__xludf.DUMMYFUNCTION("GOOGLETRANSLATE(A16189,""en"",""pt"")"),"ameaçar")</f>
        <v>ameaçar</v>
      </c>
      <c r="B16189" s="3">
        <v>0</v>
      </c>
    </row>
    <row r="16190" ht="15.75" customHeight="1" spans="1:2">
      <c r="A16190" s="3" t="str">
        <f>IFERROR(__xludf.DUMMYFUNCTION("GOOGLETRANSLATE(A16190,""en"",""pt"")"),"ameaçador")</f>
        <v>ameaçador</v>
      </c>
      <c r="B16190" s="3">
        <v>0</v>
      </c>
    </row>
    <row r="16191" ht="15.75" customHeight="1" spans="1:2">
      <c r="A16191" s="3" t="str">
        <f>IFERROR(__xludf.DUMMYFUNCTION("GOOGLETRANSLATE(A16191,""en"",""pt"")"),"ameaças")</f>
        <v>ameaças</v>
      </c>
      <c r="B16191" s="3">
        <v>0</v>
      </c>
    </row>
    <row r="16192" ht="15.75" customHeight="1" spans="1:2">
      <c r="A16192" s="3" t="str">
        <f>IFERROR(__xludf.DUMMYFUNCTION("GOOGLETRANSLATE(A16192,""en"",""pt"")"),"trindade")</f>
        <v>trindade</v>
      </c>
      <c r="B16192" s="3">
        <v>0</v>
      </c>
    </row>
    <row r="16193" ht="15.75" customHeight="1" spans="1:2">
      <c r="A16193" s="3" t="str">
        <f>IFERROR(__xludf.DUMMYFUNCTION("GOOGLETRANSLATE(A16193,""en"",""pt"")"),"pulsar")</f>
        <v>pulsar</v>
      </c>
      <c r="B16193" s="3">
        <v>0</v>
      </c>
    </row>
    <row r="16194" ht="15.75" customHeight="1" spans="1:2">
      <c r="A16194" s="3" t="str">
        <f>IFERROR(__xludf.DUMMYFUNCTION("GOOGLETRANSLATE(A16194,""en"",""pt"")"),"latejava")</f>
        <v>latejava</v>
      </c>
      <c r="B16194" s="3">
        <v>0</v>
      </c>
    </row>
    <row r="16195" ht="15.75" customHeight="1" spans="1:2">
      <c r="A16195" s="3" t="str">
        <f>IFERROR(__xludf.DUMMYFUNCTION("GOOGLETRANSLATE(A16195,""en"",""pt"")"),"latejante")</f>
        <v>latejante</v>
      </c>
      <c r="B16195" s="3">
        <v>0</v>
      </c>
    </row>
    <row r="16196" ht="15.75" customHeight="1" spans="1:2">
      <c r="A16196" s="3" t="str">
        <f>IFERROR(__xludf.DUMMYFUNCTION("GOOGLETRANSLATE(A16196,""en"",""pt"")"),"throbs")</f>
        <v>throbs</v>
      </c>
      <c r="B16196" s="3">
        <v>0</v>
      </c>
    </row>
    <row r="16197" ht="15.75" customHeight="1" spans="1:2">
      <c r="A16197" s="3" t="str">
        <f>IFERROR(__xludf.DUMMYFUNCTION("GOOGLETRANSLATE(A16197,""en"",""pt"")"),"regulador de pressão")</f>
        <v>regulador de pressão</v>
      </c>
      <c r="B16197" s="3">
        <v>0</v>
      </c>
    </row>
    <row r="16198" ht="15.75" customHeight="1" spans="1:2">
      <c r="A16198" s="3" t="str">
        <f>IFERROR(__xludf.DUMMYFUNCTION("GOOGLETRANSLATE(A16198,""en"",""pt"")"),"bandido")</f>
        <v>bandido</v>
      </c>
      <c r="B16198" s="3">
        <v>0</v>
      </c>
    </row>
    <row r="16199" ht="15.75" customHeight="1" spans="1:2">
      <c r="A16199" s="3" t="str">
        <f>IFERROR(__xludf.DUMMYFUNCTION("GOOGLETRANSLATE(A16199,""en"",""pt"")"),"polegar para baixo")</f>
        <v>polegar para baixo</v>
      </c>
      <c r="B16199" s="3">
        <v>0</v>
      </c>
    </row>
    <row r="16200" ht="15.75" customHeight="1" spans="1:2">
      <c r="A16200" s="3" t="str">
        <f>IFERROR(__xludf.DUMMYFUNCTION("GOOGLETRANSLATE(A16200,""en"",""pt"")"),"polegares para baixo")</f>
        <v>polegares para baixo</v>
      </c>
      <c r="B16200" s="3">
        <v>0</v>
      </c>
    </row>
    <row r="16201" ht="15.75" customHeight="1" spans="1:2">
      <c r="A16201" s="3" t="str">
        <f>IFERROR(__xludf.DUMMYFUNCTION("GOOGLETRANSLATE(A16201,""en"",""pt"")"),"frustrar")</f>
        <v>frustrar</v>
      </c>
      <c r="B16201" s="3">
        <v>0</v>
      </c>
    </row>
    <row r="16202" ht="15.75" customHeight="1" spans="1:2">
      <c r="A16202" s="3" t="str">
        <f>IFERROR(__xludf.DUMMYFUNCTION("GOOGLETRANSLATE(A16202,""en"",""pt"")"),"demorado")</f>
        <v>demorado</v>
      </c>
      <c r="B16202" s="3">
        <v>0</v>
      </c>
    </row>
    <row r="16203" ht="15.75" customHeight="1" spans="1:2">
      <c r="A16203" s="3" t="str">
        <f>IFERROR(__xludf.DUMMYFUNCTION("GOOGLETRANSLATE(A16203,""en"",""pt"")"),"tímido")</f>
        <v>tímido</v>
      </c>
      <c r="B16203" s="3">
        <v>0</v>
      </c>
    </row>
    <row r="16204" ht="15.75" customHeight="1" spans="1:2">
      <c r="A16204" s="3" t="str">
        <f>IFERROR(__xludf.DUMMYFUNCTION("GOOGLETRANSLATE(A16204,""en"",""pt"")"),"timidez")</f>
        <v>timidez</v>
      </c>
      <c r="B16204" s="3">
        <v>0</v>
      </c>
    </row>
    <row r="16205" ht="15.75" customHeight="1" spans="1:2">
      <c r="A16205" s="3" t="str">
        <f>IFERROR(__xludf.DUMMYFUNCTION("GOOGLETRANSLATE(A16205,""en"",""pt"")"),"timidamente")</f>
        <v>timidamente</v>
      </c>
      <c r="B16205" s="3">
        <v>0</v>
      </c>
    </row>
    <row r="16206" ht="15.75" customHeight="1" spans="1:2">
      <c r="A16206" s="3" t="str">
        <f>IFERROR(__xludf.DUMMYFUNCTION("GOOGLETRANSLATE(A16206,""en"",""pt"")"),"timidness")</f>
        <v>timidness</v>
      </c>
      <c r="B16206" s="3">
        <v>0</v>
      </c>
    </row>
    <row r="16207" ht="15.75" customHeight="1" spans="1:2">
      <c r="A16207" s="3" t="str">
        <f>IFERROR(__xludf.DUMMYFUNCTION("GOOGLETRANSLATE(A16207,""en"",""pt"")"),"minúsculo")</f>
        <v>minúsculo</v>
      </c>
      <c r="B16207" s="3">
        <v>0</v>
      </c>
    </row>
    <row r="16208" ht="15.75" customHeight="1" spans="1:2">
      <c r="A16208" s="3" t="str">
        <f>IFERROR(__xludf.DUMMYFUNCTION("GOOGLETRANSLATE(A16208,""en"",""pt"")"),"formigava")</f>
        <v>formigava</v>
      </c>
      <c r="B16208" s="3">
        <v>0</v>
      </c>
    </row>
    <row r="16209" ht="15.75" customHeight="1" spans="1:2">
      <c r="A16209" s="3" t="str">
        <f>IFERROR(__xludf.DUMMYFUNCTION("GOOGLETRANSLATE(A16209,""en"",""pt"")"),"formigamento")</f>
        <v>formigamento</v>
      </c>
      <c r="B16209" s="3">
        <v>0</v>
      </c>
    </row>
    <row r="16210" ht="15.75" customHeight="1" spans="1:2">
      <c r="A16210" s="3" t="str">
        <f>IFERROR(__xludf.DUMMYFUNCTION("GOOGLETRANSLATE(A16210,""en"",""pt"")"),"cansado")</f>
        <v>cansado</v>
      </c>
      <c r="B16210" s="3">
        <v>0</v>
      </c>
    </row>
    <row r="16211" ht="15.75" customHeight="1" spans="1:2">
      <c r="A16211" s="3" t="str">
        <f>IFERROR(__xludf.DUMMYFUNCTION("GOOGLETRANSLATE(A16211,""en"",""pt"")"),"cansativo")</f>
        <v>cansativo</v>
      </c>
      <c r="B16211" s="3">
        <v>0</v>
      </c>
    </row>
    <row r="16212" ht="15.75" customHeight="1" spans="1:2">
      <c r="A16212" s="3" t="str">
        <f>IFERROR(__xludf.DUMMYFUNCTION("GOOGLETRANSLATE(A16212,""en"",""pt"")"),"cansativo")</f>
        <v>cansativo</v>
      </c>
      <c r="B16212" s="3">
        <v>0</v>
      </c>
    </row>
    <row r="16213" ht="15.75" customHeight="1" spans="1:2">
      <c r="A16213" s="3" t="str">
        <f>IFERROR(__xludf.DUMMYFUNCTION("GOOGLETRANSLATE(A16213,""en"",""pt"")"),"tiringly")</f>
        <v>tiringly</v>
      </c>
      <c r="B16213" s="3">
        <v>0</v>
      </c>
    </row>
    <row r="16214" ht="15.75" customHeight="1" spans="1:2">
      <c r="A16214" s="3" t="str">
        <f>IFERROR(__xludf.DUMMYFUNCTION("GOOGLETRANSLATE(A16214,""en"",""pt"")"),"labuta")</f>
        <v>labuta</v>
      </c>
      <c r="B16214" s="3">
        <v>0</v>
      </c>
    </row>
    <row r="16215" ht="15.75" customHeight="1" spans="1:2">
      <c r="A16215" s="3" t="str">
        <f>IFERROR(__xludf.DUMMYFUNCTION("GOOGLETRANSLATE(A16215,""en"",""pt"")"),"Pedágio")</f>
        <v>Pedágio</v>
      </c>
      <c r="B16215" s="3">
        <v>0</v>
      </c>
    </row>
    <row r="16216" ht="15.75" customHeight="1" spans="1:2">
      <c r="A16216" s="3" t="str">
        <f>IFERROR(__xludf.DUMMYFUNCTION("GOOGLETRANSLATE(A16216,""en"",""pt"")"),"desequilibrado")</f>
        <v>desequilibrado</v>
      </c>
      <c r="B16216" s="3">
        <v>0</v>
      </c>
    </row>
    <row r="16217" ht="15.75" customHeight="1" spans="1:2">
      <c r="A16217" s="3" t="str">
        <f>IFERROR(__xludf.DUMMYFUNCTION("GOOGLETRANSLATE(A16217,""en"",""pt"")"),"tombar")</f>
        <v>tombar</v>
      </c>
      <c r="B16217" s="3">
        <v>0</v>
      </c>
    </row>
    <row r="16218" ht="15.75" customHeight="1" spans="1:2">
      <c r="A16218" s="3" t="str">
        <f>IFERROR(__xludf.DUMMYFUNCTION("GOOGLETRANSLATE(A16218,""en"",""pt"")"),"tormento")</f>
        <v>tormento</v>
      </c>
      <c r="B16218" s="3">
        <v>0</v>
      </c>
    </row>
    <row r="16219" ht="15.75" customHeight="1" spans="1:2">
      <c r="A16219" s="3" t="str">
        <f>IFERROR(__xludf.DUMMYFUNCTION("GOOGLETRANSLATE(A16219,""en"",""pt"")"),"Tormented")</f>
        <v>Tormented</v>
      </c>
      <c r="B16219" s="3">
        <v>0</v>
      </c>
    </row>
    <row r="16220" ht="15.75" customHeight="1" spans="1:2">
      <c r="A16220" s="3" t="str">
        <f>IFERROR(__xludf.DUMMYFUNCTION("GOOGLETRANSLATE(A16220,""en"",""pt"")"),"torrente")</f>
        <v>torrente</v>
      </c>
      <c r="B16220" s="3">
        <v>0</v>
      </c>
    </row>
    <row r="16221" ht="15.75" customHeight="1" spans="1:2">
      <c r="A16221" s="3" t="str">
        <f>IFERROR(__xludf.DUMMYFUNCTION("GOOGLETRANSLATE(A16221,""en"",""pt"")"),"tortuoso")</f>
        <v>tortuoso</v>
      </c>
      <c r="B16221" s="3">
        <v>0</v>
      </c>
    </row>
    <row r="16222" ht="15.75" customHeight="1" spans="1:2">
      <c r="A16222" s="3" t="str">
        <f>IFERROR(__xludf.DUMMYFUNCTION("GOOGLETRANSLATE(A16222,""en"",""pt"")"),"tortura")</f>
        <v>tortura</v>
      </c>
      <c r="B16222" s="3">
        <v>0</v>
      </c>
    </row>
    <row r="16223" ht="15.75" customHeight="1" spans="1:2">
      <c r="A16223" s="3" t="str">
        <f>IFERROR(__xludf.DUMMYFUNCTION("GOOGLETRANSLATE(A16223,""en"",""pt"")"),"torturada")</f>
        <v>torturada</v>
      </c>
      <c r="B16223" s="3">
        <v>0</v>
      </c>
    </row>
    <row r="16224" ht="15.75" customHeight="1" spans="1:2">
      <c r="A16224" s="3" t="str">
        <f>IFERROR(__xludf.DUMMYFUNCTION("GOOGLETRANSLATE(A16224,""en"",""pt"")"),"torturas")</f>
        <v>torturas</v>
      </c>
      <c r="B16224" s="3">
        <v>0</v>
      </c>
    </row>
    <row r="16225" ht="15.75" customHeight="1" spans="1:2">
      <c r="A16225" s="3" t="str">
        <f>IFERROR(__xludf.DUMMYFUNCTION("GOOGLETRANSLATE(A16225,""en"",""pt"")"),"tortura")</f>
        <v>tortura</v>
      </c>
      <c r="B16225" s="3">
        <v>0</v>
      </c>
    </row>
    <row r="16226" ht="15.75" customHeight="1" spans="1:2">
      <c r="A16226" s="3" t="str">
        <f>IFERROR(__xludf.DUMMYFUNCTION("GOOGLETRANSLATE(A16226,""en"",""pt"")"),"tortuoso")</f>
        <v>tortuoso</v>
      </c>
      <c r="B16226" s="3">
        <v>0</v>
      </c>
    </row>
    <row r="16227" ht="15.75" customHeight="1" spans="1:2">
      <c r="A16227" s="3" t="str">
        <f>IFERROR(__xludf.DUMMYFUNCTION("GOOGLETRANSLATE(A16227,""en"",""pt"")"),"torturously")</f>
        <v>torturously</v>
      </c>
      <c r="B16227" s="3">
        <v>0</v>
      </c>
    </row>
    <row r="16228" ht="15.75" customHeight="1" spans="1:2">
      <c r="A16228" s="3" t="str">
        <f>IFERROR(__xludf.DUMMYFUNCTION("GOOGLETRANSLATE(A16228,""en"",""pt"")"),"totalitário")</f>
        <v>totalitário</v>
      </c>
      <c r="B16228" s="3">
        <v>0</v>
      </c>
    </row>
    <row r="16229" ht="15.75" customHeight="1" spans="1:2">
      <c r="A16229" s="3" t="str">
        <f>IFERROR(__xludf.DUMMYFUNCTION("GOOGLETRANSLATE(A16229,""en"",""pt"")"),"melindroso")</f>
        <v>melindroso</v>
      </c>
      <c r="B16229" s="3">
        <v>0</v>
      </c>
    </row>
    <row r="16230" ht="15.75" customHeight="1" spans="1:2">
      <c r="A16230" s="3" t="str">
        <f>IFERROR(__xludf.DUMMYFUNCTION("GOOGLETRANSLATE(A16230,""en"",""pt"")"),"dureza")</f>
        <v>dureza</v>
      </c>
      <c r="B16230" s="3">
        <v>0</v>
      </c>
    </row>
    <row r="16231" ht="15.75" customHeight="1" spans="1:2">
      <c r="A16231" s="3" t="str">
        <f>IFERROR(__xludf.DUMMYFUNCTION("GOOGLETRANSLATE(A16231,""en"",""pt"")"),"tout")</f>
        <v>tout</v>
      </c>
      <c r="B16231" s="3">
        <v>0</v>
      </c>
    </row>
    <row r="16232" ht="15.75" customHeight="1" spans="1:2">
      <c r="A16232" s="3" t="str">
        <f>IFERROR(__xludf.DUMMYFUNCTION("GOOGLETRANSLATE(A16232,""en"",""pt"")"),"elogiado")</f>
        <v>elogiado</v>
      </c>
      <c r="B16232" s="3">
        <v>0</v>
      </c>
    </row>
    <row r="16233" ht="15.75" customHeight="1" spans="1:2">
      <c r="A16233" s="3" t="str">
        <f>IFERROR(__xludf.DUMMYFUNCTION("GOOGLETRANSLATE(A16233,""en"",""pt"")"),"touts")</f>
        <v>touts</v>
      </c>
      <c r="B16233" s="3">
        <v>0</v>
      </c>
    </row>
    <row r="16234" ht="15.75" customHeight="1" spans="1:2">
      <c r="A16234" s="3" t="str">
        <f>IFERROR(__xludf.DUMMYFUNCTION("GOOGLETRANSLATE(A16234,""en"",""pt"")"),"tóxico")</f>
        <v>tóxico</v>
      </c>
      <c r="B16234" s="3">
        <v>0</v>
      </c>
    </row>
    <row r="16235" ht="15.75" customHeight="1" spans="1:2">
      <c r="A16235" s="3" t="str">
        <f>IFERROR(__xludf.DUMMYFUNCTION("GOOGLETRANSLATE(A16235,""en"",""pt"")"),"difamar")</f>
        <v>difamar</v>
      </c>
      <c r="B16235" s="3">
        <v>0</v>
      </c>
    </row>
    <row r="16236" ht="15.75" customHeight="1" spans="1:2">
      <c r="A16236" s="3" t="str">
        <f>IFERROR(__xludf.DUMMYFUNCTION("GOOGLETRANSLATE(A16236,""en"",""pt"")"),"tragédia")</f>
        <v>tragédia</v>
      </c>
      <c r="B16236" s="3">
        <v>0</v>
      </c>
    </row>
    <row r="16237" ht="15.75" customHeight="1" spans="1:2">
      <c r="A16237" s="3" t="str">
        <f>IFERROR(__xludf.DUMMYFUNCTION("GOOGLETRANSLATE(A16237,""en"",""pt"")"),"trágico")</f>
        <v>trágico</v>
      </c>
      <c r="B16237" s="3">
        <v>0</v>
      </c>
    </row>
    <row r="16238" ht="15.75" customHeight="1" spans="1:2">
      <c r="A16238" s="3" t="str">
        <f>IFERROR(__xludf.DUMMYFUNCTION("GOOGLETRANSLATE(A16238,""en"",""pt"")"),"tragicamente")</f>
        <v>tragicamente</v>
      </c>
      <c r="B16238" s="3">
        <v>0</v>
      </c>
    </row>
    <row r="16239" ht="15.75" customHeight="1" spans="1:2">
      <c r="A16239" s="3" t="str">
        <f>IFERROR(__xludf.DUMMYFUNCTION("GOOGLETRANSLATE(A16239,""en"",""pt"")"),"traidor")</f>
        <v>traidor</v>
      </c>
      <c r="B16239" s="3">
        <v>0</v>
      </c>
    </row>
    <row r="16240" ht="15.75" customHeight="1" spans="1:2">
      <c r="A16240" s="3" t="str">
        <f>IFERROR(__xludf.DUMMYFUNCTION("GOOGLETRANSLATE(A16240,""en"",""pt"")"),"traidor")</f>
        <v>traidor</v>
      </c>
      <c r="B16240" s="3">
        <v>0</v>
      </c>
    </row>
    <row r="16241" ht="15.75" customHeight="1" spans="1:2">
      <c r="A16241" s="3" t="str">
        <f>IFERROR(__xludf.DUMMYFUNCTION("GOOGLETRANSLATE(A16241,""en"",""pt"")"),"traiçoeiramente")</f>
        <v>traiçoeiramente</v>
      </c>
      <c r="B16241" s="3">
        <v>0</v>
      </c>
    </row>
    <row r="16242" ht="15.75" customHeight="1" spans="1:2">
      <c r="A16242" s="3" t="str">
        <f>IFERROR(__xludf.DUMMYFUNCTION("GOOGLETRANSLATE(A16242,""en"",""pt"")"),"vagabundo")</f>
        <v>vagabundo</v>
      </c>
      <c r="B16242" s="3">
        <v>0</v>
      </c>
    </row>
    <row r="16243" ht="15.75" customHeight="1" spans="1:2">
      <c r="A16243" s="3" t="str">
        <f>IFERROR(__xludf.DUMMYFUNCTION("GOOGLETRANSLATE(A16243,""en"",""pt"")"),"atropelar")</f>
        <v>atropelar</v>
      </c>
      <c r="B16243" s="3">
        <v>0</v>
      </c>
    </row>
    <row r="16244" ht="15.75" customHeight="1" spans="1:2">
      <c r="A16244" s="3" t="str">
        <f>IFERROR(__xludf.DUMMYFUNCTION("GOOGLETRANSLATE(A16244,""en"",""pt"")"),"transgredir")</f>
        <v>transgredir</v>
      </c>
      <c r="B16244" s="3">
        <v>0</v>
      </c>
    </row>
    <row r="16245" ht="15.75" customHeight="1" spans="1:2">
      <c r="A16245" s="3" t="str">
        <f>IFERROR(__xludf.DUMMYFUNCTION("GOOGLETRANSLATE(A16245,""en"",""pt"")"),"transgressão")</f>
        <v>transgressão</v>
      </c>
      <c r="B16245" s="3">
        <v>0</v>
      </c>
    </row>
    <row r="16246" ht="15.75" customHeight="1" spans="1:2">
      <c r="A16246" s="3" t="str">
        <f>IFERROR(__xludf.DUMMYFUNCTION("GOOGLETRANSLATE(A16246,""en"",""pt"")"),"armadilha")</f>
        <v>armadilha</v>
      </c>
      <c r="B16246" s="3">
        <v>0</v>
      </c>
    </row>
    <row r="16247" ht="15.75" customHeight="1" spans="1:2">
      <c r="A16247" s="3" t="str">
        <f>IFERROR(__xludf.DUMMYFUNCTION("GOOGLETRANSLATE(A16247,""en"",""pt"")"),"Traped")</f>
        <v>Traped</v>
      </c>
      <c r="B16247" s="3">
        <v>0</v>
      </c>
    </row>
    <row r="16248" ht="15.75" customHeight="1" spans="1:2">
      <c r="A16248" s="3" t="str">
        <f>IFERROR(__xludf.DUMMYFUNCTION("GOOGLETRANSLATE(A16248,""en"",""pt"")"),"preso")</f>
        <v>preso</v>
      </c>
      <c r="B16248" s="3">
        <v>0</v>
      </c>
    </row>
    <row r="16249" ht="15.75" customHeight="1" spans="1:2">
      <c r="A16249" s="3" t="str">
        <f>IFERROR(__xludf.DUMMYFUNCTION("GOOGLETRANSLATE(A16249,""en"",""pt"")"),"Lixo")</f>
        <v>Lixo</v>
      </c>
      <c r="B16249" s="3">
        <v>0</v>
      </c>
    </row>
    <row r="16250" ht="15.75" customHeight="1" spans="1:2">
      <c r="A16250" s="3" t="str">
        <f>IFERROR(__xludf.DUMMYFUNCTION("GOOGLETRANSLATE(A16250,""en"",""pt"")"),"lixeira")</f>
        <v>lixeira</v>
      </c>
      <c r="B16250" s="3">
        <v>0</v>
      </c>
    </row>
    <row r="16251" ht="15.75" customHeight="1" spans="1:2">
      <c r="A16251" s="3" t="str">
        <f>IFERROR(__xludf.DUMMYFUNCTION("GOOGLETRANSLATE(A16251,""en"",""pt"")"),"inútil")</f>
        <v>inútil</v>
      </c>
      <c r="B16251" s="3">
        <v>0</v>
      </c>
    </row>
    <row r="16252" ht="15.75" customHeight="1" spans="1:2">
      <c r="A16252" s="3" t="str">
        <f>IFERROR(__xludf.DUMMYFUNCTION("GOOGLETRANSLATE(A16252,""en"",""pt"")"),"trauma")</f>
        <v>trauma</v>
      </c>
      <c r="B16252" s="3">
        <v>0</v>
      </c>
    </row>
    <row r="16253" ht="15.75" customHeight="1" spans="1:2">
      <c r="A16253" s="3" t="str">
        <f>IFERROR(__xludf.DUMMYFUNCTION("GOOGLETRANSLATE(A16253,""en"",""pt"")"),"traumático")</f>
        <v>traumático</v>
      </c>
      <c r="B16253" s="3">
        <v>0</v>
      </c>
    </row>
    <row r="16254" ht="15.75" customHeight="1" spans="1:2">
      <c r="A16254" s="3" t="str">
        <f>IFERROR(__xludf.DUMMYFUNCTION("GOOGLETRANSLATE(A16254,""en"",""pt"")"),"traumaticamente")</f>
        <v>traumaticamente</v>
      </c>
      <c r="B16254" s="3">
        <v>0</v>
      </c>
    </row>
    <row r="16255" ht="15.75" customHeight="1" spans="1:2">
      <c r="A16255" s="3" t="str">
        <f>IFERROR(__xludf.DUMMYFUNCTION("GOOGLETRANSLATE(A16255,""en"",""pt"")"),"traumatizar")</f>
        <v>traumatizar</v>
      </c>
      <c r="B16255" s="3">
        <v>0</v>
      </c>
    </row>
    <row r="16256" ht="15.75" customHeight="1" spans="1:2">
      <c r="A16256" s="3" t="str">
        <f>IFERROR(__xludf.DUMMYFUNCTION("GOOGLETRANSLATE(A16256,""en"",""pt"")"),"traumatizado")</f>
        <v>traumatizado</v>
      </c>
      <c r="B16256" s="3">
        <v>0</v>
      </c>
    </row>
    <row r="16257" ht="15.75" customHeight="1" spans="1:2">
      <c r="A16257" s="3" t="str">
        <f>IFERROR(__xludf.DUMMYFUNCTION("GOOGLETRANSLATE(A16257,""en"",""pt"")"),"travestis")</f>
        <v>travestis</v>
      </c>
      <c r="B16257" s="3">
        <v>0</v>
      </c>
    </row>
    <row r="16258" ht="15.75" customHeight="1" spans="1:2">
      <c r="A16258" s="3" t="str">
        <f>IFERROR(__xludf.DUMMYFUNCTION("GOOGLETRANSLATE(A16258,""en"",""pt"")"),"caricatura")</f>
        <v>caricatura</v>
      </c>
      <c r="B16258" s="3">
        <v>0</v>
      </c>
    </row>
    <row r="16259" ht="15.75" customHeight="1" spans="1:2">
      <c r="A16259" s="3" t="str">
        <f>IFERROR(__xludf.DUMMYFUNCTION("GOOGLETRANSLATE(A16259,""en"",""pt"")"),"traiçoeiro")</f>
        <v>traiçoeiro</v>
      </c>
      <c r="B16259" s="3">
        <v>0</v>
      </c>
    </row>
    <row r="16260" ht="15.75" customHeight="1" spans="1:2">
      <c r="A16260" s="3" t="str">
        <f>IFERROR(__xludf.DUMMYFUNCTION("GOOGLETRANSLATE(A16260,""en"",""pt"")"),"traiçoeiramente")</f>
        <v>traiçoeiramente</v>
      </c>
      <c r="B16260" s="3">
        <v>0</v>
      </c>
    </row>
    <row r="16261" ht="15.75" customHeight="1" spans="1:2">
      <c r="A16261" s="3" t="str">
        <f>IFERROR(__xludf.DUMMYFUNCTION("GOOGLETRANSLATE(A16261,""en"",""pt"")"),"traição")</f>
        <v>traição</v>
      </c>
      <c r="B16261" s="3">
        <v>0</v>
      </c>
    </row>
    <row r="16262" ht="15.75" customHeight="1" spans="1:2">
      <c r="A16262" s="3" t="str">
        <f>IFERROR(__xludf.DUMMYFUNCTION("GOOGLETRANSLATE(A16262,""en"",""pt"")"),"traição")</f>
        <v>traição</v>
      </c>
      <c r="B16262" s="3">
        <v>0</v>
      </c>
    </row>
    <row r="16263" ht="15.75" customHeight="1" spans="1:2">
      <c r="A16263" s="3" t="str">
        <f>IFERROR(__xludf.DUMMYFUNCTION("GOOGLETRANSLATE(A16263,""en"",""pt"")"),"traiçoeiro")</f>
        <v>traiçoeiro</v>
      </c>
      <c r="B16263" s="3">
        <v>0</v>
      </c>
    </row>
    <row r="16264" ht="15.75" customHeight="1" spans="1:2">
      <c r="A16264" s="3" t="str">
        <f>IFERROR(__xludf.DUMMYFUNCTION("GOOGLETRANSLATE(A16264,""en"",""pt"")"),"truque")</f>
        <v>truque</v>
      </c>
      <c r="B16264" s="3">
        <v>0</v>
      </c>
    </row>
    <row r="16265" ht="15.75" customHeight="1" spans="1:2">
      <c r="A16265" s="3" t="str">
        <f>IFERROR(__xludf.DUMMYFUNCTION("GOOGLETRANSLATE(A16265,""en"",""pt"")"),"Enganado")</f>
        <v>Enganado</v>
      </c>
      <c r="B16265" s="3">
        <v>0</v>
      </c>
    </row>
    <row r="16266" ht="15.75" customHeight="1" spans="1:2">
      <c r="A16266" s="3" t="str">
        <f>IFERROR(__xludf.DUMMYFUNCTION("GOOGLETRANSLATE(A16266,""en"",""pt"")"),"trapaça")</f>
        <v>trapaça</v>
      </c>
      <c r="B16266" s="3">
        <v>0</v>
      </c>
    </row>
    <row r="16267" ht="15.75" customHeight="1" spans="1:2">
      <c r="A16267" s="3" t="str">
        <f>IFERROR(__xludf.DUMMYFUNCTION("GOOGLETRANSLATE(A16267,""en"",""pt"")"),"complicado")</f>
        <v>complicado</v>
      </c>
      <c r="B16267" s="3">
        <v>0</v>
      </c>
    </row>
    <row r="16268" ht="15.75" customHeight="1" spans="1:2">
      <c r="A16268" s="3" t="str">
        <f>IFERROR(__xludf.DUMMYFUNCTION("GOOGLETRANSLATE(A16268,""en"",""pt"")"),"trivial")</f>
        <v>trivial</v>
      </c>
      <c r="B16268" s="3">
        <v>0</v>
      </c>
    </row>
    <row r="16269" ht="15.75" customHeight="1" spans="1:2">
      <c r="A16269" s="3" t="str">
        <f>IFERROR(__xludf.DUMMYFUNCTION("GOOGLETRANSLATE(A16269,""en"",""pt"")"),"banalizar")</f>
        <v>banalizar</v>
      </c>
      <c r="B16269" s="3">
        <v>0</v>
      </c>
    </row>
    <row r="16270" ht="15.75" customHeight="1" spans="1:2">
      <c r="A16270" s="3" t="str">
        <f>IFERROR(__xludf.DUMMYFUNCTION("GOOGLETRANSLATE(A16270,""en"",""pt"")"),"problema")</f>
        <v>problema</v>
      </c>
      <c r="B16270" s="3">
        <v>0</v>
      </c>
    </row>
    <row r="16271" ht="15.75" customHeight="1" spans="1:2">
      <c r="A16271" s="3" t="str">
        <f>IFERROR(__xludf.DUMMYFUNCTION("GOOGLETRANSLATE(A16271,""en"",""pt"")"),"perturbado")</f>
        <v>perturbado</v>
      </c>
      <c r="B16271" s="3">
        <v>0</v>
      </c>
    </row>
    <row r="16272" ht="15.75" customHeight="1" spans="1:2">
      <c r="A16272" s="3" t="str">
        <f>IFERROR(__xludf.DUMMYFUNCTION("GOOGLETRANSLATE(A16272,""en"",""pt"")"),"encrenqueiro")</f>
        <v>encrenqueiro</v>
      </c>
      <c r="B16272" s="3">
        <v>0</v>
      </c>
    </row>
    <row r="16273" ht="15.75" customHeight="1" spans="1:2">
      <c r="A16273" s="3" t="str">
        <f>IFERROR(__xludf.DUMMYFUNCTION("GOOGLETRANSLATE(A16273,""en"",""pt"")"),"problemas")</f>
        <v>problemas</v>
      </c>
      <c r="B16273" s="3">
        <v>0</v>
      </c>
    </row>
    <row r="16274" ht="15.75" customHeight="1" spans="1:2">
      <c r="A16274" s="3" t="str">
        <f>IFERROR(__xludf.DUMMYFUNCTION("GOOGLETRANSLATE(A16274,""en"",""pt"")"),"perturbador")</f>
        <v>perturbador</v>
      </c>
      <c r="B16274" s="3">
        <v>0</v>
      </c>
    </row>
    <row r="16275" ht="15.75" customHeight="1" spans="1:2">
      <c r="A16275" s="3" t="str">
        <f>IFERROR(__xludf.DUMMYFUNCTION("GOOGLETRANSLATE(A16275,""en"",""pt"")"),"troublesomely")</f>
        <v>troublesomely</v>
      </c>
      <c r="B16275" s="3">
        <v>0</v>
      </c>
    </row>
    <row r="16276" ht="15.75" customHeight="1" spans="1:2">
      <c r="A16276" s="3" t="str">
        <f>IFERROR(__xludf.DUMMYFUNCTION("GOOGLETRANSLATE(A16276,""en"",""pt"")"),"incomodando")</f>
        <v>incomodando</v>
      </c>
      <c r="B16276" s="3">
        <v>0</v>
      </c>
    </row>
    <row r="16277" ht="15.75" customHeight="1" spans="1:2">
      <c r="A16277" s="3" t="str">
        <f>IFERROR(__xludf.DUMMYFUNCTION("GOOGLETRANSLATE(A16277,""en"",""pt"")"),"perturbadoramente")</f>
        <v>perturbadoramente</v>
      </c>
      <c r="B16277" s="3">
        <v>0</v>
      </c>
    </row>
    <row r="16278" ht="15.75" customHeight="1" spans="1:2">
      <c r="A16278" s="3" t="str">
        <f>IFERROR(__xludf.DUMMYFUNCTION("GOOGLETRANSLATE(A16278,""en"",""pt"")"),"aluno que mata aula")</f>
        <v>aluno que mata aula</v>
      </c>
      <c r="B16278" s="3">
        <v>0</v>
      </c>
    </row>
    <row r="16279" ht="15.75" customHeight="1" spans="1:2">
      <c r="A16279" s="3" t="str">
        <f>IFERROR(__xludf.DUMMYFUNCTION("GOOGLETRANSLATE(A16279,""en"",""pt"")"),"tumble")</f>
        <v>tumble</v>
      </c>
      <c r="B16279" s="3">
        <v>0</v>
      </c>
    </row>
    <row r="16280" ht="15.75" customHeight="1" spans="1:2">
      <c r="A16280" s="3" t="str">
        <f>IFERROR(__xludf.DUMMYFUNCTION("GOOGLETRANSLATE(A16280,""en"",""pt"")"),"tombado")</f>
        <v>tombado</v>
      </c>
      <c r="B16280" s="3">
        <v>0</v>
      </c>
    </row>
    <row r="16281" ht="15.75" customHeight="1" spans="1:2">
      <c r="A16281" s="3" t="str">
        <f>IFERROR(__xludf.DUMMYFUNCTION("GOOGLETRANSLATE(A16281,""en"",""pt"")"),"tombos")</f>
        <v>tombos</v>
      </c>
      <c r="B16281" s="3">
        <v>0</v>
      </c>
    </row>
    <row r="16282" ht="15.75" customHeight="1" spans="1:2">
      <c r="A16282" s="3" t="str">
        <f>IFERROR(__xludf.DUMMYFUNCTION("GOOGLETRANSLATE(A16282,""en"",""pt"")"),"tumultuoso")</f>
        <v>tumultuoso</v>
      </c>
      <c r="B16282" s="3">
        <v>0</v>
      </c>
    </row>
    <row r="16283" ht="15.75" customHeight="1" spans="1:2">
      <c r="A16283" s="3" t="str">
        <f>IFERROR(__xludf.DUMMYFUNCTION("GOOGLETRANSLATE(A16283,""en"",""pt"")"),"turbulento")</f>
        <v>turbulento</v>
      </c>
      <c r="B16283" s="3">
        <v>0</v>
      </c>
    </row>
    <row r="16284" ht="15.75" customHeight="1" spans="1:2">
      <c r="A16284" s="3" t="str">
        <f>IFERROR(__xludf.DUMMYFUNCTION("GOOGLETRANSLATE(A16284,""en"",""pt"")"),"tumulto")</f>
        <v>tumulto</v>
      </c>
      <c r="B16284" s="3">
        <v>0</v>
      </c>
    </row>
    <row r="16285" ht="15.75" customHeight="1" spans="1:2">
      <c r="A16285" s="3" t="str">
        <f>IFERROR(__xludf.DUMMYFUNCTION("GOOGLETRANSLATE(A16285,""en"",""pt"")"),"torção")</f>
        <v>torção</v>
      </c>
      <c r="B16285" s="3">
        <v>0</v>
      </c>
    </row>
    <row r="16286" ht="15.75" customHeight="1" spans="1:2">
      <c r="A16286" s="3" t="str">
        <f>IFERROR(__xludf.DUMMYFUNCTION("GOOGLETRANSLATE(A16286,""en"",""pt"")"),"torcido")</f>
        <v>torcido</v>
      </c>
      <c r="B16286" s="3">
        <v>0</v>
      </c>
    </row>
    <row r="16287" ht="15.75" customHeight="1" spans="1:2">
      <c r="A16287" s="3" t="str">
        <f>IFERROR(__xludf.DUMMYFUNCTION("GOOGLETRANSLATE(A16287,""en"",""pt"")"),"torções")</f>
        <v>torções</v>
      </c>
      <c r="B16287" s="3">
        <v>0</v>
      </c>
    </row>
    <row r="16288" ht="15.75" customHeight="1" spans="1:2">
      <c r="A16288" s="3" t="str">
        <f>IFERROR(__xludf.DUMMYFUNCTION("GOOGLETRANSLATE(A16288,""en"",""pt"")"),"Duas caras")</f>
        <v>Duas caras</v>
      </c>
      <c r="B16288" s="3">
        <v>0</v>
      </c>
    </row>
    <row r="16289" ht="15.75" customHeight="1" spans="1:2">
      <c r="A16289" s="3" t="str">
        <f>IFERROR(__xludf.DUMMYFUNCTION("GOOGLETRANSLATE(A16289,""en"",""pt"")"),"duas Caras")</f>
        <v>duas Caras</v>
      </c>
      <c r="B16289" s="3">
        <v>0</v>
      </c>
    </row>
    <row r="16290" ht="15.75" customHeight="1" spans="1:2">
      <c r="A16290" s="3" t="str">
        <f>IFERROR(__xludf.DUMMYFUNCTION("GOOGLETRANSLATE(A16290,""en"",""pt"")"),"tirânico")</f>
        <v>tirânico</v>
      </c>
      <c r="B16290" s="3">
        <v>0</v>
      </c>
    </row>
    <row r="16291" ht="15.75" customHeight="1" spans="1:2">
      <c r="A16291" s="3" t="str">
        <f>IFERROR(__xludf.DUMMYFUNCTION("GOOGLETRANSLATE(A16291,""en"",""pt"")"),"tiranicamente")</f>
        <v>tiranicamente</v>
      </c>
      <c r="B16291" s="3">
        <v>0</v>
      </c>
    </row>
    <row r="16292" ht="15.75" customHeight="1" spans="1:2">
      <c r="A16292" s="3" t="str">
        <f>IFERROR(__xludf.DUMMYFUNCTION("GOOGLETRANSLATE(A16292,""en"",""pt"")"),"tirania")</f>
        <v>tirania</v>
      </c>
      <c r="B16292" s="3">
        <v>0</v>
      </c>
    </row>
    <row r="16293" ht="15.75" customHeight="1" spans="1:2">
      <c r="A16293" s="3" t="str">
        <f>IFERROR(__xludf.DUMMYFUNCTION("GOOGLETRANSLATE(A16293,""en"",""pt"")"),"tirano")</f>
        <v>tirano</v>
      </c>
      <c r="B16293" s="3">
        <v>0</v>
      </c>
    </row>
    <row r="16294" ht="15.75" customHeight="1" spans="1:2">
      <c r="A16294" s="3" t="str">
        <f>IFERROR(__xludf.DUMMYFUNCTION("GOOGLETRANSLATE(A16294,""en"",""pt"")"),"ugh")</f>
        <v>ugh</v>
      </c>
      <c r="B16294" s="3">
        <v>0</v>
      </c>
    </row>
    <row r="16295" ht="15.75" customHeight="1" spans="1:2">
      <c r="A16295" s="3" t="str">
        <f>IFERROR(__xludf.DUMMYFUNCTION("GOOGLETRANSLATE(A16295,""en"",""pt"")"),"mais feio")</f>
        <v>mais feio</v>
      </c>
      <c r="B16295" s="3">
        <v>0</v>
      </c>
    </row>
    <row r="16296" ht="15.75" customHeight="1" spans="1:2">
      <c r="A16296" s="3" t="str">
        <f>IFERROR(__xludf.DUMMYFUNCTION("GOOGLETRANSLATE(A16296,""en"",""pt"")"),"mais feio")</f>
        <v>mais feio</v>
      </c>
      <c r="B16296" s="3">
        <v>0</v>
      </c>
    </row>
    <row r="16297" ht="15.75" customHeight="1" spans="1:2">
      <c r="A16297" s="3" t="str">
        <f>IFERROR(__xludf.DUMMYFUNCTION("GOOGLETRANSLATE(A16297,""en"",""pt"")"),"feiúra")</f>
        <v>feiúra</v>
      </c>
      <c r="B16297" s="3">
        <v>0</v>
      </c>
    </row>
    <row r="16298" ht="15.75" customHeight="1" spans="1:2">
      <c r="A16298" s="3" t="str">
        <f>IFERROR(__xludf.DUMMYFUNCTION("GOOGLETRANSLATE(A16298,""en"",""pt"")"),"feio")</f>
        <v>feio</v>
      </c>
      <c r="B16298" s="3">
        <v>0</v>
      </c>
    </row>
    <row r="16299" ht="15.75" customHeight="1" spans="1:2">
      <c r="A16299" s="3" t="str">
        <f>IFERROR(__xludf.DUMMYFUNCTION("GOOGLETRANSLATE(A16299,""en"",""pt"")"),"ulterior")</f>
        <v>ulterior</v>
      </c>
      <c r="B16299" s="3">
        <v>0</v>
      </c>
    </row>
    <row r="16300" ht="15.75" customHeight="1" spans="1:2">
      <c r="A16300" s="3" t="str">
        <f>IFERROR(__xludf.DUMMYFUNCTION("GOOGLETRANSLATE(A16300,""en"",""pt"")"),"ultimato")</f>
        <v>ultimato</v>
      </c>
      <c r="B16300" s="3">
        <v>0</v>
      </c>
    </row>
    <row r="16301" ht="15.75" customHeight="1" spans="1:2">
      <c r="A16301" s="3" t="str">
        <f>IFERROR(__xludf.DUMMYFUNCTION("GOOGLETRANSLATE(A16301,""en"",""pt"")"),"ultimatos")</f>
        <v>ultimatos</v>
      </c>
      <c r="B16301" s="3">
        <v>0</v>
      </c>
    </row>
    <row r="16302" ht="15.75" customHeight="1" spans="1:2">
      <c r="A16302" s="3" t="str">
        <f>IFERROR(__xludf.DUMMYFUNCTION("GOOGLETRANSLATE(A16302,""en"",""pt"")"),"ultra-radical")</f>
        <v>ultra-radical</v>
      </c>
      <c r="B16302" s="3">
        <v>0</v>
      </c>
    </row>
    <row r="16303" ht="15.75" customHeight="1" spans="1:2">
      <c r="A16303" s="3" t="str">
        <f>IFERROR(__xludf.DUMMYFUNCTION("GOOGLETRANSLATE(A16303,""en"",""pt"")"),"un-visível")</f>
        <v>un-visível</v>
      </c>
      <c r="B16303" s="3">
        <v>0</v>
      </c>
    </row>
    <row r="16304" ht="15.75" customHeight="1" spans="1:2">
      <c r="A16304" s="3" t="str">
        <f>IFERROR(__xludf.DUMMYFUNCTION("GOOGLETRANSLATE(A16304,""en"",""pt"")"),"incapaz")</f>
        <v>incapaz</v>
      </c>
      <c r="B16304" s="3">
        <v>0</v>
      </c>
    </row>
    <row r="16305" ht="15.75" customHeight="1" spans="1:2">
      <c r="A16305" s="3" t="str">
        <f>IFERROR(__xludf.DUMMYFUNCTION("GOOGLETRANSLATE(A16305,""en"",""pt"")"),"inaceitável")</f>
        <v>inaceitável</v>
      </c>
      <c r="B16305" s="3">
        <v>0</v>
      </c>
    </row>
    <row r="16306" ht="15.75" customHeight="1" spans="1:2">
      <c r="A16306" s="3" t="str">
        <f>IFERROR(__xludf.DUMMYFUNCTION("GOOGLETRANSLATE(A16306,""en"",""pt"")"),"unacceptablely")</f>
        <v>unacceptablely</v>
      </c>
      <c r="B16306" s="3">
        <v>0</v>
      </c>
    </row>
    <row r="16307" ht="15.75" customHeight="1" spans="1:2">
      <c r="A16307" s="3" t="str">
        <f>IFERROR(__xludf.DUMMYFUNCTION("GOOGLETRANSLATE(A16307,""en"",""pt"")"),"inaceitavelmente")</f>
        <v>inaceitavelmente</v>
      </c>
      <c r="B16307" s="3">
        <v>0</v>
      </c>
    </row>
    <row r="16308" ht="15.75" customHeight="1" spans="1:2">
      <c r="A16308" s="3" t="str">
        <f>IFERROR(__xludf.DUMMYFUNCTION("GOOGLETRANSLATE(A16308,""en"",""pt"")"),"unaccessible")</f>
        <v>unaccessible</v>
      </c>
      <c r="B16308" s="3">
        <v>0</v>
      </c>
    </row>
    <row r="16309" ht="15.75" customHeight="1" spans="1:2">
      <c r="A16309" s="3" t="str">
        <f>IFERROR(__xludf.DUMMYFUNCTION("GOOGLETRANSLATE(A16309,""en"",""pt"")"),"desacostumado")</f>
        <v>desacostumado</v>
      </c>
      <c r="B16309" s="3">
        <v>0</v>
      </c>
    </row>
    <row r="16310" ht="15.75" customHeight="1" spans="1:2">
      <c r="A16310" s="3" t="str">
        <f>IFERROR(__xludf.DUMMYFUNCTION("GOOGLETRANSLATE(A16310,""en"",""pt"")"),"inatingível")</f>
        <v>inatingível</v>
      </c>
      <c r="B16310" s="3">
        <v>0</v>
      </c>
    </row>
    <row r="16311" ht="15.75" customHeight="1" spans="1:2">
      <c r="A16311" s="3" t="str">
        <f>IFERROR(__xludf.DUMMYFUNCTION("GOOGLETRANSLATE(A16311,""en"",""pt"")"),"inacessíveis")</f>
        <v>inacessíveis</v>
      </c>
      <c r="B16311" s="3">
        <v>0</v>
      </c>
    </row>
    <row r="16312" ht="15.75" customHeight="1" spans="1:2">
      <c r="A16312" s="3" t="str">
        <f>IFERROR(__xludf.DUMMYFUNCTION("GOOGLETRANSLATE(A16312,""en"",""pt"")"),"desagradável")</f>
        <v>desagradável</v>
      </c>
      <c r="B16312" s="3">
        <v>0</v>
      </c>
    </row>
    <row r="16313" ht="15.75" customHeight="1" spans="1:2">
      <c r="A16313" s="3" t="str">
        <f>IFERROR(__xludf.DUMMYFUNCTION("GOOGLETRANSLATE(A16313,""en"",""pt"")"),"pouco atraente")</f>
        <v>pouco atraente</v>
      </c>
      <c r="B16313" s="3">
        <v>0</v>
      </c>
    </row>
    <row r="16314" ht="15.75" customHeight="1" spans="1:2">
      <c r="A16314" s="3" t="str">
        <f>IFERROR(__xludf.DUMMYFUNCTION("GOOGLETRANSLATE(A16314,""en"",""pt"")"),"unauthentic")</f>
        <v>unauthentic</v>
      </c>
      <c r="B16314" s="3">
        <v>0</v>
      </c>
    </row>
    <row r="16315" ht="15.75" customHeight="1" spans="1:2">
      <c r="A16315" s="3" t="str">
        <f>IFERROR(__xludf.DUMMYFUNCTION("GOOGLETRANSLATE(A16315,""en"",""pt"")"),"indisponível")</f>
        <v>indisponível</v>
      </c>
      <c r="B16315" s="3">
        <v>0</v>
      </c>
    </row>
    <row r="16316" ht="15.75" customHeight="1" spans="1:2">
      <c r="A16316" s="3" t="str">
        <f>IFERROR(__xludf.DUMMYFUNCTION("GOOGLETRANSLATE(A16316,""en"",""pt"")"),"inevitável")</f>
        <v>inevitável</v>
      </c>
      <c r="B16316" s="3">
        <v>0</v>
      </c>
    </row>
    <row r="16317" ht="15.75" customHeight="1" spans="1:2">
      <c r="A16317" s="3" t="str">
        <f>IFERROR(__xludf.DUMMYFUNCTION("GOOGLETRANSLATE(A16317,""en"",""pt"")"),"insuportável")</f>
        <v>insuportável</v>
      </c>
      <c r="B16317" s="3">
        <v>0</v>
      </c>
    </row>
    <row r="16318" ht="15.75" customHeight="1" spans="1:2">
      <c r="A16318" s="3" t="str">
        <f>IFERROR(__xludf.DUMMYFUNCTION("GOOGLETRANSLATE(A16318,""en"",""pt"")"),"unbearablely")</f>
        <v>unbearablely</v>
      </c>
      <c r="B16318" s="3">
        <v>0</v>
      </c>
    </row>
    <row r="16319" ht="15.75" customHeight="1" spans="1:2">
      <c r="A16319" s="3" t="str">
        <f>IFERROR(__xludf.DUMMYFUNCTION("GOOGLETRANSLATE(A16319,""en"",""pt"")"),"inacreditável")</f>
        <v>inacreditável</v>
      </c>
      <c r="B16319" s="3">
        <v>0</v>
      </c>
    </row>
    <row r="16320" ht="15.75" customHeight="1" spans="1:2">
      <c r="A16320" s="3" t="str">
        <f>IFERROR(__xludf.DUMMYFUNCTION("GOOGLETRANSLATE(A16320,""en"",""pt"")"),"incrivelmente")</f>
        <v>incrivelmente</v>
      </c>
      <c r="B16320" s="3">
        <v>0</v>
      </c>
    </row>
    <row r="16321" ht="15.75" customHeight="1" spans="1:2">
      <c r="A16321" s="3" t="s">
        <v>86</v>
      </c>
      <c r="B16321" s="3">
        <v>0</v>
      </c>
    </row>
    <row r="16322" ht="15.75" customHeight="1" spans="1:2">
      <c r="A16322" s="3" t="str">
        <f>IFERROR(__xludf.DUMMYFUNCTION("GOOGLETRANSLATE(A16322,""en"",""pt"")"),"incerto")</f>
        <v>incerto</v>
      </c>
      <c r="B16322" s="3">
        <v>0</v>
      </c>
    </row>
    <row r="16323" ht="15.75" customHeight="1" spans="1:2">
      <c r="A16323" s="3" t="str">
        <f>IFERROR(__xludf.DUMMYFUNCTION("GOOGLETRANSLATE(A16323,""en"",""pt"")"),"incivil")</f>
        <v>incivil</v>
      </c>
      <c r="B16323" s="3">
        <v>0</v>
      </c>
    </row>
    <row r="16324" ht="15.75" customHeight="1" spans="1:2">
      <c r="A16324" s="3" t="str">
        <f>IFERROR(__xludf.DUMMYFUNCTION("GOOGLETRANSLATE(A16324,""en"",""pt"")"),"não civilizado")</f>
        <v>não civilizado</v>
      </c>
      <c r="B16324" s="3">
        <v>0</v>
      </c>
    </row>
    <row r="16325" ht="15.75" customHeight="1" spans="1:2">
      <c r="A16325" s="3" t="str">
        <f>IFERROR(__xludf.DUMMYFUNCTION("GOOGLETRANSLATE(A16325,""en"",""pt"")"),"imundo")</f>
        <v>imundo</v>
      </c>
      <c r="B16325" s="3">
        <v>0</v>
      </c>
    </row>
    <row r="16326" ht="15.75" customHeight="1" spans="1:2">
      <c r="A16326" s="3" t="str">
        <f>IFERROR(__xludf.DUMMYFUNCTION("GOOGLETRANSLATE(A16326,""en"",""pt"")"),"obscuro")</f>
        <v>obscuro</v>
      </c>
      <c r="B16326" s="3">
        <v>0</v>
      </c>
    </row>
    <row r="16327" ht="15.75" customHeight="1" spans="1:2">
      <c r="A16327" s="3" t="str">
        <f>IFERROR(__xludf.DUMMYFUNCTION("GOOGLETRANSLATE(A16327,""en"",""pt"")"),"incobráveis")</f>
        <v>incobráveis</v>
      </c>
      <c r="B16327" s="3">
        <v>0</v>
      </c>
    </row>
    <row r="16328" ht="15.75" customHeight="1" spans="1:2">
      <c r="A16328" s="3" t="str">
        <f>IFERROR(__xludf.DUMMYFUNCTION("GOOGLETRANSLATE(A16328,""en"",""pt"")"),"desconfortável")</f>
        <v>desconfortável</v>
      </c>
      <c r="B16328" s="3">
        <v>0</v>
      </c>
    </row>
    <row r="16329" ht="15.75" customHeight="1" spans="1:2">
      <c r="A16329" s="3" t="str">
        <f>IFERROR(__xludf.DUMMYFUNCTION("GOOGLETRANSLATE(A16329,""en"",""pt"")"),"inconfortavelmente")</f>
        <v>inconfortavelmente</v>
      </c>
      <c r="B16329" s="3">
        <v>0</v>
      </c>
    </row>
    <row r="16330" ht="15.75" customHeight="1" spans="1:2">
      <c r="A16330" s="3" t="str">
        <f>IFERROR(__xludf.DUMMYFUNCTION("GOOGLETRANSLATE(A16330,""en"",""pt"")"),"uncomfy")</f>
        <v>uncomfy</v>
      </c>
      <c r="B16330" s="3">
        <v>0</v>
      </c>
    </row>
    <row r="16331" ht="15.75" customHeight="1" spans="1:2">
      <c r="A16331" s="3" t="str">
        <f>IFERROR(__xludf.DUMMYFUNCTION("GOOGLETRANSLATE(A16331,""en"",""pt"")"),"não-competitivo")</f>
        <v>não-competitivo</v>
      </c>
      <c r="B16331" s="3">
        <v>0</v>
      </c>
    </row>
    <row r="16332" ht="15.75" customHeight="1" spans="1:2">
      <c r="A16332" s="3" t="str">
        <f>IFERROR(__xludf.DUMMYFUNCTION("GOOGLETRANSLATE(A16332,""en"",""pt"")"),"intransigente")</f>
        <v>intransigente</v>
      </c>
      <c r="B16332" s="3">
        <v>0</v>
      </c>
    </row>
    <row r="16333" ht="15.75" customHeight="1" spans="1:2">
      <c r="A16333" s="3" t="str">
        <f>IFERROR(__xludf.DUMMYFUNCTION("GOOGLETRANSLATE(A16333,""en"",""pt"")"),"intransigentemente")</f>
        <v>intransigentemente</v>
      </c>
      <c r="B16333" s="3">
        <v>0</v>
      </c>
    </row>
    <row r="16334" ht="15.75" customHeight="1" spans="1:2">
      <c r="A16334" s="3" t="str">
        <f>IFERROR(__xludf.DUMMYFUNCTION("GOOGLETRANSLATE(A16334,""en"",""pt"")"),"não confirmado")</f>
        <v>não confirmado</v>
      </c>
      <c r="B16334" s="3">
        <v>0</v>
      </c>
    </row>
    <row r="16335" ht="15.75" customHeight="1" spans="1:2">
      <c r="A16335" s="3" t="str">
        <f>IFERROR(__xludf.DUMMYFUNCTION("GOOGLETRANSLATE(A16335,""en"",""pt"")"),"inconstitucional")</f>
        <v>inconstitucional</v>
      </c>
      <c r="B16335" s="3">
        <v>0</v>
      </c>
    </row>
    <row r="16336" ht="15.75" customHeight="1" spans="1:2">
      <c r="A16336" s="3" t="str">
        <f>IFERROR(__xludf.DUMMYFUNCTION("GOOGLETRANSLATE(A16336,""en"",""pt"")"),"descontrolado")</f>
        <v>descontrolado</v>
      </c>
      <c r="B16336" s="3">
        <v>0</v>
      </c>
    </row>
    <row r="16337" ht="15.75" customHeight="1" spans="1:2">
      <c r="A16337" s="3" t="str">
        <f>IFERROR(__xludf.DUMMYFUNCTION("GOOGLETRANSLATE(A16337,""en"",""pt"")"),"pouco convincente")</f>
        <v>pouco convincente</v>
      </c>
      <c r="B16337" s="3">
        <v>0</v>
      </c>
    </row>
    <row r="16338" ht="15.75" customHeight="1" spans="1:2">
      <c r="A16338" s="3" t="str">
        <f>IFERROR(__xludf.DUMMYFUNCTION("GOOGLETRANSLATE(A16338,""en"",""pt"")"),"unconvincingly")</f>
        <v>unconvincingly</v>
      </c>
      <c r="B16338" s="3">
        <v>0</v>
      </c>
    </row>
    <row r="16339" ht="15.75" customHeight="1" spans="1:2">
      <c r="A16339" s="3" t="str">
        <f>IFERROR(__xludf.DUMMYFUNCTION("GOOGLETRANSLATE(A16339,""en"",""pt"")"),"uncooperative")</f>
        <v>uncooperative</v>
      </c>
      <c r="B16339" s="3">
        <v>0</v>
      </c>
    </row>
    <row r="16340" ht="15.75" customHeight="1" spans="1:2">
      <c r="A16340" s="3" t="str">
        <f>IFERROR(__xludf.DUMMYFUNCTION("GOOGLETRANSLATE(A16340,""en"",""pt"")"),"grosseiro")</f>
        <v>grosseiro</v>
      </c>
      <c r="B16340" s="3">
        <v>0</v>
      </c>
    </row>
    <row r="16341" ht="15.75" customHeight="1" spans="1:2">
      <c r="A16341" s="3" t="str">
        <f>IFERROR(__xludf.DUMMYFUNCTION("GOOGLETRANSLATE(A16341,""en"",""pt"")"),"sem criatividade")</f>
        <v>sem criatividade</v>
      </c>
      <c r="B16341" s="3">
        <v>0</v>
      </c>
    </row>
    <row r="16342" ht="15.75" customHeight="1" spans="1:2">
      <c r="A16342" s="3" t="str">
        <f>IFERROR(__xludf.DUMMYFUNCTION("GOOGLETRANSLATE(A16342,""en"",""pt"")"),"indeciso")</f>
        <v>indeciso</v>
      </c>
      <c r="B16342" s="3">
        <v>0</v>
      </c>
    </row>
    <row r="16343" ht="15.75" customHeight="1" spans="1:2">
      <c r="A16343" s="3" t="str">
        <f>IFERROR(__xludf.DUMMYFUNCTION("GOOGLETRANSLATE(A16343,""en"",""pt"")"),"Indefinido")</f>
        <v>Indefinido</v>
      </c>
      <c r="B16343" s="3">
        <v>0</v>
      </c>
    </row>
    <row r="16344" ht="15.75" customHeight="1" spans="1:2">
      <c r="A16344" s="3" t="str">
        <f>IFERROR(__xludf.DUMMYFUNCTION("GOOGLETRANSLATE(A16344,""en"",""pt"")"),"undependability")</f>
        <v>undependability</v>
      </c>
      <c r="B16344" s="3">
        <v>0</v>
      </c>
    </row>
    <row r="16345" ht="15.75" customHeight="1" spans="1:2">
      <c r="A16345" s="3" t="str">
        <f>IFERROR(__xludf.DUMMYFUNCTION("GOOGLETRANSLATE(A16345,""en"",""pt"")"),"Independente")</f>
        <v>Independente</v>
      </c>
      <c r="B16345" s="3">
        <v>0</v>
      </c>
    </row>
    <row r="16346" ht="15.75" customHeight="1" spans="1:2">
      <c r="A16346" s="3" t="str">
        <f>IFERROR(__xludf.DUMMYFUNCTION("GOOGLETRANSLATE(A16346,""en"",""pt"")"),"rebaixo")</f>
        <v>rebaixo</v>
      </c>
      <c r="B16346" s="3">
        <v>0</v>
      </c>
    </row>
    <row r="16347" ht="15.75" customHeight="1" spans="1:2">
      <c r="A16347" s="3" t="str">
        <f>IFERROR(__xludf.DUMMYFUNCTION("GOOGLETRANSLATE(A16347,""en"",""pt"")"),"undercuts")</f>
        <v>undercuts</v>
      </c>
      <c r="B16347" s="3">
        <v>0</v>
      </c>
    </row>
    <row r="16348" ht="15.75" customHeight="1" spans="1:2">
      <c r="A16348" s="3" t="str">
        <f>IFERROR(__xludf.DUMMYFUNCTION("GOOGLETRANSLATE(A16348,""en"",""pt"")"),"subcotação")</f>
        <v>subcotação</v>
      </c>
      <c r="B16348" s="3">
        <v>0</v>
      </c>
    </row>
    <row r="16349" ht="15.75" customHeight="1" spans="1:2">
      <c r="A16349" s="3" t="str">
        <f>IFERROR(__xludf.DUMMYFUNCTION("GOOGLETRANSLATE(A16349,""en"",""pt"")"),"oprimido")</f>
        <v>oprimido</v>
      </c>
      <c r="B16349" s="3">
        <v>0</v>
      </c>
    </row>
    <row r="16350" ht="15.75" customHeight="1" spans="1:2">
      <c r="A16350" s="3" t="str">
        <f>IFERROR(__xludf.DUMMYFUNCTION("GOOGLETRANSLATE(A16350,""en"",""pt"")"),"subestimar")</f>
        <v>subestimar</v>
      </c>
      <c r="B16350" s="3">
        <v>0</v>
      </c>
    </row>
    <row r="16351" ht="15.75" customHeight="1" spans="1:2">
      <c r="A16351" s="3" t="str">
        <f>IFERROR(__xludf.DUMMYFUNCTION("GOOGLETRANSLATE(A16351,""en"",""pt"")"),"subordinados")</f>
        <v>subordinados</v>
      </c>
      <c r="B16351" s="3">
        <v>0</v>
      </c>
    </row>
    <row r="16352" ht="15.75" customHeight="1" spans="1:2">
      <c r="A16352" s="3" t="str">
        <f>IFERROR(__xludf.DUMMYFUNCTION("GOOGLETRANSLATE(A16352,""en"",""pt"")"),"minar")</f>
        <v>minar</v>
      </c>
      <c r="B16352" s="3">
        <v>0</v>
      </c>
    </row>
    <row r="16353" ht="15.75" customHeight="1" spans="1:2">
      <c r="A16353" s="3" t="str">
        <f>IFERROR(__xludf.DUMMYFUNCTION("GOOGLETRANSLATE(A16353,""en"",""pt"")"),"minado")</f>
        <v>minado</v>
      </c>
      <c r="B16353" s="3">
        <v>0</v>
      </c>
    </row>
    <row r="16354" ht="15.75" customHeight="1" spans="1:2">
      <c r="A16354" s="3" t="str">
        <f>IFERROR(__xludf.DUMMYFUNCTION("GOOGLETRANSLATE(A16354,""en"",""pt"")"),"minar")</f>
        <v>minar</v>
      </c>
      <c r="B16354" s="3">
        <v>0</v>
      </c>
    </row>
    <row r="16355" ht="15.75" customHeight="1" spans="1:2">
      <c r="A16355" s="3" t="str">
        <f>IFERROR(__xludf.DUMMYFUNCTION("GOOGLETRANSLATE(A16355,""en"",""pt"")"),"solapamento")</f>
        <v>solapamento</v>
      </c>
      <c r="B16355" s="3">
        <v>0</v>
      </c>
    </row>
    <row r="16356" ht="15.75" customHeight="1" spans="1:2">
      <c r="A16356" s="3" t="str">
        <f>IFERROR(__xludf.DUMMYFUNCTION("GOOGLETRANSLATE(A16356,""en"",""pt"")"),"mal pago")</f>
        <v>mal pago</v>
      </c>
      <c r="B16356" s="3">
        <v>0</v>
      </c>
    </row>
    <row r="16357" ht="15.75" customHeight="1" spans="1:2">
      <c r="A16357" s="3" t="str">
        <f>IFERROR(__xludf.DUMMYFUNCTION("GOOGLETRANSLATE(A16357,""en"",""pt"")"),"underpowered")</f>
        <v>underpowered</v>
      </c>
      <c r="B16357" s="3">
        <v>0</v>
      </c>
    </row>
    <row r="16358" ht="15.75" customHeight="1" spans="1:2">
      <c r="A16358" s="3" t="str">
        <f>IFERROR(__xludf.DUMMYFUNCTION("GOOGLETRANSLATE(A16358,""en"",""pt"")"),"anão")</f>
        <v>anão</v>
      </c>
      <c r="B16358" s="3">
        <v>0</v>
      </c>
    </row>
    <row r="16359" ht="15.75" customHeight="1" spans="1:2">
      <c r="A16359" s="3" t="str">
        <f>IFERROR(__xludf.DUMMYFUNCTION("GOOGLETRANSLATE(A16359,""en"",""pt"")"),"indesejável")</f>
        <v>indesejável</v>
      </c>
      <c r="B16359" s="3">
        <v>0</v>
      </c>
    </row>
    <row r="16360" ht="15.75" customHeight="1" spans="1:2">
      <c r="A16360" s="3" t="str">
        <f>IFERROR(__xludf.DUMMYFUNCTION("GOOGLETRANSLATE(A16360,""en"",""pt"")"),"indeterminado")</f>
        <v>indeterminado</v>
      </c>
      <c r="B16360" s="3">
        <v>0</v>
      </c>
    </row>
    <row r="16361" ht="15.75" customHeight="1" spans="1:2">
      <c r="A16361" s="3" t="str">
        <f>IFERROR(__xludf.DUMMYFUNCTION("GOOGLETRANSLATE(A16361,""en"",""pt"")"),"Undid")</f>
        <v>Undid</v>
      </c>
      <c r="B16361" s="3">
        <v>0</v>
      </c>
    </row>
    <row r="16362" ht="15.75" customHeight="1" spans="1:2">
      <c r="A16362" s="3" t="str">
        <f>IFERROR(__xludf.DUMMYFUNCTION("GOOGLETRANSLATE(A16362,""en"",""pt"")"),"indigno")</f>
        <v>indigno</v>
      </c>
      <c r="B16362" s="3">
        <v>0</v>
      </c>
    </row>
    <row r="16363" ht="15.75" customHeight="1" spans="1:2">
      <c r="A16363" s="3" t="str">
        <f>IFERROR(__xludf.DUMMYFUNCTION("GOOGLETRANSLATE(A16363,""en"",""pt"")"),"não dissolvido")</f>
        <v>não dissolvido</v>
      </c>
      <c r="B16363" s="3">
        <v>0</v>
      </c>
    </row>
    <row r="16364" ht="15.75" customHeight="1" spans="1:2">
      <c r="A16364" s="3" t="str">
        <f>IFERROR(__xludf.DUMMYFUNCTION("GOOGLETRANSLATE(A16364,""en"",""pt"")"),"ilegal")</f>
        <v>ilegal</v>
      </c>
      <c r="B16364" s="3">
        <v>0</v>
      </c>
    </row>
    <row r="16365" ht="15.75" customHeight="1" spans="1:2">
      <c r="A16365" s="3" t="str">
        <f>IFERROR(__xludf.DUMMYFUNCTION("GOOGLETRANSLATE(A16365,""en"",""pt"")"),"desfeito")</f>
        <v>desfeito</v>
      </c>
      <c r="B16365" s="3">
        <v>0</v>
      </c>
    </row>
    <row r="16366" ht="15.75" customHeight="1" spans="1:2">
      <c r="A16366" s="3" t="str">
        <f>IFERROR(__xludf.DUMMYFUNCTION("GOOGLETRANSLATE(A16366,""en"",""pt"")"),"indevido")</f>
        <v>indevido</v>
      </c>
      <c r="B16366" s="3">
        <v>0</v>
      </c>
    </row>
    <row r="16367" ht="15.75" customHeight="1" spans="1:2">
      <c r="A16367" s="3" t="str">
        <f>IFERROR(__xludf.DUMMYFUNCTION("GOOGLETRANSLATE(A16367,""en"",""pt"")"),"inquietação")</f>
        <v>inquietação</v>
      </c>
      <c r="B16367" s="3">
        <v>0</v>
      </c>
    </row>
    <row r="16368" ht="15.75" customHeight="1" spans="1:2">
      <c r="A16368" s="3" t="str">
        <f>IFERROR(__xludf.DUMMYFUNCTION("GOOGLETRANSLATE(A16368,""en"",""pt"")"),"dificilmente")</f>
        <v>dificilmente</v>
      </c>
      <c r="B16368" s="3">
        <v>0</v>
      </c>
    </row>
    <row r="16369" ht="15.75" customHeight="1" spans="1:2">
      <c r="A16369" s="3" t="str">
        <f>IFERROR(__xludf.DUMMYFUNCTION("GOOGLETRANSLATE(A16369,""en"",""pt"")"),"inquietação")</f>
        <v>inquietação</v>
      </c>
      <c r="B16369" s="3">
        <v>0</v>
      </c>
    </row>
    <row r="16370" ht="15.75" customHeight="1" spans="1:2">
      <c r="A16370" s="3" t="str">
        <f>IFERROR(__xludf.DUMMYFUNCTION("GOOGLETRANSLATE(A16370,""en"",""pt"")"),"inquieto")</f>
        <v>inquieto</v>
      </c>
      <c r="B16370" s="3">
        <v>0</v>
      </c>
    </row>
    <row r="16371" ht="15.75" customHeight="1" spans="1:2">
      <c r="A16371" s="3" t="str">
        <f>IFERROR(__xludf.DUMMYFUNCTION("GOOGLETRANSLATE(A16371,""en"",""pt"")"),"antieconômico")</f>
        <v>antieconômico</v>
      </c>
      <c r="B16371" s="3">
        <v>0</v>
      </c>
    </row>
    <row r="16372" ht="15.75" customHeight="1" spans="1:2">
      <c r="A16372" s="3" t="str">
        <f>IFERROR(__xludf.DUMMYFUNCTION("GOOGLETRANSLATE(A16372,""en"",""pt"")"),"desempregado")</f>
        <v>desempregado</v>
      </c>
      <c r="B16372" s="3">
        <v>0</v>
      </c>
    </row>
    <row r="16373" ht="15.75" customHeight="1" spans="1:2">
      <c r="A16373" s="3" t="str">
        <f>IFERROR(__xludf.DUMMYFUNCTION("GOOGLETRANSLATE(A16373,""en"",""pt"")"),"desigual")</f>
        <v>desigual</v>
      </c>
      <c r="B16373" s="3">
        <v>0</v>
      </c>
    </row>
    <row r="16374" ht="15.75" customHeight="1" spans="1:2">
      <c r="A16374" s="3" t="str">
        <f>IFERROR(__xludf.DUMMYFUNCTION("GOOGLETRANSLATE(A16374,""en"",""pt"")"),"Antiético")</f>
        <v>Antiético</v>
      </c>
      <c r="B16374" s="3">
        <v>0</v>
      </c>
    </row>
    <row r="16375" ht="15.75" customHeight="1" spans="1:2">
      <c r="A16375" s="3" t="str">
        <f>IFERROR(__xludf.DUMMYFUNCTION("GOOGLETRANSLATE(A16375,""en"",""pt"")"),"desigual")</f>
        <v>desigual</v>
      </c>
      <c r="B16375" s="3">
        <v>0</v>
      </c>
    </row>
    <row r="16376" ht="15.75" customHeight="1" spans="1:2">
      <c r="A16376" s="3" t="str">
        <f>IFERROR(__xludf.DUMMYFUNCTION("GOOGLETRANSLATE(A16376,""en"",""pt"")"),"rotineiro")</f>
        <v>rotineiro</v>
      </c>
      <c r="B16376" s="3">
        <v>0</v>
      </c>
    </row>
    <row r="16377" ht="15.75" customHeight="1" spans="1:2">
      <c r="A16377" s="3" t="str">
        <f>IFERROR(__xludf.DUMMYFUNCTION("GOOGLETRANSLATE(A16377,""en"",""pt"")"),"inesperado")</f>
        <v>inesperado</v>
      </c>
      <c r="B16377" s="3">
        <v>0</v>
      </c>
    </row>
    <row r="16378" ht="15.75" customHeight="1" spans="1:2">
      <c r="A16378" s="3" t="str">
        <f>IFERROR(__xludf.DUMMYFUNCTION("GOOGLETRANSLATE(A16378,""en"",""pt"")"),"inesperadamente")</f>
        <v>inesperadamente</v>
      </c>
      <c r="B16378" s="3">
        <v>0</v>
      </c>
    </row>
    <row r="16379" ht="15.75" customHeight="1" spans="1:2">
      <c r="A16379" s="3" t="str">
        <f>IFERROR(__xludf.DUMMYFUNCTION("GOOGLETRANSLATE(A16379,""en"",""pt"")"),"inexplicável")</f>
        <v>inexplicável</v>
      </c>
      <c r="B16379" s="3">
        <v>0</v>
      </c>
    </row>
    <row r="16380" ht="15.75" customHeight="1" spans="1:2">
      <c r="A16380" s="3" t="str">
        <f>IFERROR(__xludf.DUMMYFUNCTION("GOOGLETRANSLATE(A16380,""en"",""pt"")"),"injustamente")</f>
        <v>injustamente</v>
      </c>
      <c r="B16380" s="3">
        <v>0</v>
      </c>
    </row>
    <row r="16381" ht="15.75" customHeight="1" spans="1:2">
      <c r="A16381" s="3" t="str">
        <f>IFERROR(__xludf.DUMMYFUNCTION("GOOGLETRANSLATE(A16381,""en"",""pt"")"),"infiel")</f>
        <v>infiel</v>
      </c>
      <c r="B16381" s="3">
        <v>0</v>
      </c>
    </row>
    <row r="16382" ht="15.75" customHeight="1" spans="1:2">
      <c r="A16382" s="3" t="str">
        <f>IFERROR(__xludf.DUMMYFUNCTION("GOOGLETRANSLATE(A16382,""en"",""pt"")"),"infielmente")</f>
        <v>infielmente</v>
      </c>
      <c r="B16382" s="3">
        <v>0</v>
      </c>
    </row>
    <row r="16383" ht="15.75" customHeight="1" spans="1:2">
      <c r="A16383" s="3" t="str">
        <f>IFERROR(__xludf.DUMMYFUNCTION("GOOGLETRANSLATE(A16383,""en"",""pt"")"),"desconhecido")</f>
        <v>desconhecido</v>
      </c>
      <c r="B16383" s="3">
        <v>0</v>
      </c>
    </row>
    <row r="16384" ht="15.75" customHeight="1" spans="1:2">
      <c r="A16384" s="3" t="str">
        <f>IFERROR(__xludf.DUMMYFUNCTION("GOOGLETRANSLATE(A16384,""en"",""pt"")"),"desfavorável")</f>
        <v>desfavorável</v>
      </c>
      <c r="B16384" s="3">
        <v>0</v>
      </c>
    </row>
    <row r="16385" ht="15.75" customHeight="1" spans="1:2">
      <c r="A16385" s="3" t="str">
        <f>IFERROR(__xludf.DUMMYFUNCTION("GOOGLETRANSLATE(A16385,""en"",""pt"")"),"insensível")</f>
        <v>insensível</v>
      </c>
      <c r="B16385" s="3">
        <v>0</v>
      </c>
    </row>
    <row r="16386" ht="15.75" customHeight="1" spans="1:2">
      <c r="A16386" s="3" t="str">
        <f>IFERROR(__xludf.DUMMYFUNCTION("GOOGLETRANSLATE(A16386,""en"",""pt"")"),"inacabado")</f>
        <v>inacabado</v>
      </c>
      <c r="B16386" s="3">
        <v>0</v>
      </c>
    </row>
    <row r="16387" ht="15.75" customHeight="1" spans="1:2">
      <c r="A16387" s="3" t="str">
        <f>IFERROR(__xludf.DUMMYFUNCTION("GOOGLETRANSLATE(A16387,""en"",""pt"")"),"impróprio")</f>
        <v>impróprio</v>
      </c>
      <c r="B16387" s="3">
        <v>0</v>
      </c>
    </row>
    <row r="16388" ht="15.75" customHeight="1" spans="1:2">
      <c r="A16388" s="3" t="str">
        <f>IFERROR(__xludf.DUMMYFUNCTION("GOOGLETRANSLATE(A16388,""en"",""pt"")"),"imprevisto")</f>
        <v>imprevisto</v>
      </c>
      <c r="B16388" s="3">
        <v>0</v>
      </c>
    </row>
    <row r="16389" ht="15.75" customHeight="1" spans="1:2">
      <c r="A16389" s="3" t="str">
        <f>IFERROR(__xludf.DUMMYFUNCTION("GOOGLETRANSLATE(A16389,""en"",""pt"")"),"implacável")</f>
        <v>implacável</v>
      </c>
      <c r="B16389" s="3">
        <v>0</v>
      </c>
    </row>
    <row r="16390" ht="15.75" customHeight="1" spans="1:2">
      <c r="A16390" s="3" t="str">
        <f>IFERROR(__xludf.DUMMYFUNCTION("GOOGLETRANSLATE(A16390,""en"",""pt"")"),"infeliz")</f>
        <v>infeliz</v>
      </c>
      <c r="B16390" s="3">
        <v>0</v>
      </c>
    </row>
    <row r="16391" ht="15.75" customHeight="1" spans="1:2">
      <c r="A16391" s="3" t="str">
        <f>IFERROR(__xludf.DUMMYFUNCTION("GOOGLETRANSLATE(A16391,""en"",""pt"")"),"infelizmente")</f>
        <v>infelizmente</v>
      </c>
      <c r="B16391" s="3">
        <v>0</v>
      </c>
    </row>
    <row r="16392" ht="15.75" customHeight="1" spans="1:2">
      <c r="A16392" s="3" t="str">
        <f>IFERROR(__xludf.DUMMYFUNCTION("GOOGLETRANSLATE(A16392,""en"",""pt"")"),"infundado")</f>
        <v>infundado</v>
      </c>
      <c r="B16392" s="3">
        <v>0</v>
      </c>
    </row>
    <row r="16393" ht="15.75" customHeight="1" spans="1:2">
      <c r="A16393" s="3" t="str">
        <f>IFERROR(__xludf.DUMMYFUNCTION("GOOGLETRANSLATE(A16393,""en"",""pt"")"),"hostil")</f>
        <v>hostil</v>
      </c>
      <c r="B16393" s="3">
        <v>0</v>
      </c>
    </row>
    <row r="16394" ht="15.75" customHeight="1" spans="1:2">
      <c r="A16394" s="3" t="str">
        <f>IFERROR(__xludf.DUMMYFUNCTION("GOOGLETRANSLATE(A16394,""en"",""pt"")"),"não realizado")</f>
        <v>não realizado</v>
      </c>
      <c r="B16394" s="3">
        <v>0</v>
      </c>
    </row>
    <row r="16395" ht="15.75" customHeight="1" spans="1:2">
      <c r="A16395" s="3" t="str">
        <f>IFERROR(__xludf.DUMMYFUNCTION("GOOGLETRANSLATE(A16395,""en"",""pt"")"),"não consolidado")</f>
        <v>não consolidado</v>
      </c>
      <c r="B16395" s="3">
        <v>0</v>
      </c>
    </row>
    <row r="16396" ht="15.75" customHeight="1" spans="1:2">
      <c r="A16396" s="3" t="str">
        <f>IFERROR(__xludf.DUMMYFUNCTION("GOOGLETRANSLATE(A16396,""en"",""pt"")"),"incontrolável")</f>
        <v>incontrolável</v>
      </c>
      <c r="B16396" s="3">
        <v>0</v>
      </c>
    </row>
    <row r="16397" ht="15.75" customHeight="1" spans="1:2">
      <c r="A16397" s="3" t="str">
        <f>IFERROR(__xludf.DUMMYFUNCTION("GOOGLETRANSLATE(A16397,""en"",""pt"")"),"ingrato")</f>
        <v>ingrato</v>
      </c>
      <c r="B16397" s="3">
        <v>0</v>
      </c>
    </row>
    <row r="16398" ht="15.75" customHeight="1" spans="1:2">
      <c r="A16398" s="3" t="str">
        <f>IFERROR(__xludf.DUMMYFUNCTION("GOOGLETRANSLATE(A16398,""en"",""pt"")"),"unhappily")</f>
        <v>unhappily</v>
      </c>
      <c r="B16398" s="3">
        <v>0</v>
      </c>
    </row>
    <row r="16399" ht="15.75" customHeight="1" spans="1:2">
      <c r="A16399" s="3" t="str">
        <f>IFERROR(__xludf.DUMMYFUNCTION("GOOGLETRANSLATE(A16399,""en"",""pt"")"),"infelicidade")</f>
        <v>infelicidade</v>
      </c>
      <c r="B16399" s="3">
        <v>0</v>
      </c>
    </row>
    <row r="16400" ht="15.75" customHeight="1" spans="1:2">
      <c r="A16400" s="3" t="str">
        <f>IFERROR(__xludf.DUMMYFUNCTION("GOOGLETRANSLATE(A16400,""en"",""pt"")"),"infeliz")</f>
        <v>infeliz</v>
      </c>
      <c r="B16400" s="3">
        <v>0</v>
      </c>
    </row>
    <row r="16401" ht="15.75" customHeight="1" spans="1:2">
      <c r="A16401" s="3" t="str">
        <f>IFERROR(__xludf.DUMMYFUNCTION("GOOGLETRANSLATE(A16401,""en"",""pt"")"),"pouco saudável")</f>
        <v>pouco saudável</v>
      </c>
      <c r="B16401" s="3">
        <v>0</v>
      </c>
    </row>
    <row r="16402" ht="15.75" customHeight="1" spans="1:2">
      <c r="A16402" s="3" t="str">
        <f>IFERROR(__xludf.DUMMYFUNCTION("GOOGLETRANSLATE(A16402,""en"",""pt"")"),"inútil")</f>
        <v>inútil</v>
      </c>
      <c r="B16402" s="3">
        <v>0</v>
      </c>
    </row>
    <row r="16403" ht="15.75" customHeight="1" spans="1:2">
      <c r="A16403" s="3" t="str">
        <f>IFERROR(__xludf.DUMMYFUNCTION("GOOGLETRANSLATE(A16403,""en"",""pt"")"),"unilateralismo")</f>
        <v>unilateralismo</v>
      </c>
      <c r="B16403" s="3">
        <v>0</v>
      </c>
    </row>
    <row r="16404" ht="15.75" customHeight="1" spans="1:2">
      <c r="A16404" s="3" t="str">
        <f>IFERROR(__xludf.DUMMYFUNCTION("GOOGLETRANSLATE(A16404,""en"",""pt"")"),"inimaginável")</f>
        <v>inimaginável</v>
      </c>
      <c r="B16404" s="3">
        <v>0</v>
      </c>
    </row>
    <row r="16405" ht="15.75" customHeight="1" spans="1:2">
      <c r="A16405" s="3" t="str">
        <f>IFERROR(__xludf.DUMMYFUNCTION("GOOGLETRANSLATE(A16405,""en"",""pt"")"),"inimaginavelmente")</f>
        <v>inimaginavelmente</v>
      </c>
      <c r="B16405" s="3">
        <v>0</v>
      </c>
    </row>
    <row r="16406" ht="15.75" customHeight="1" spans="1:2">
      <c r="A16406" s="3" t="str">
        <f>IFERROR(__xludf.DUMMYFUNCTION("GOOGLETRANSLATE(A16406,""en"",""pt"")"),"sem importância")</f>
        <v>sem importância</v>
      </c>
      <c r="B16406" s="3">
        <v>0</v>
      </c>
    </row>
    <row r="16407" ht="15.75" customHeight="1" spans="1:2">
      <c r="A16407" s="3" t="str">
        <f>IFERROR(__xludf.DUMMYFUNCTION("GOOGLETRANSLATE(A16407,""en"",""pt"")"),"não informado")</f>
        <v>não informado</v>
      </c>
      <c r="B16407" s="3">
        <v>0</v>
      </c>
    </row>
    <row r="16408" ht="15.75" customHeight="1" spans="1:2">
      <c r="A16408" s="3" t="str">
        <f>IFERROR(__xludf.DUMMYFUNCTION("GOOGLETRANSLATE(A16408,""en"",""pt"")"),"sem seguro")</f>
        <v>sem seguro</v>
      </c>
      <c r="B16408" s="3">
        <v>0</v>
      </c>
    </row>
    <row r="16409" ht="15.75" customHeight="1" spans="1:2">
      <c r="A16409" s="3" t="str">
        <f>IFERROR(__xludf.DUMMYFUNCTION("GOOGLETRANSLATE(A16409,""en"",""pt"")"),"ininteligível")</f>
        <v>ininteligível</v>
      </c>
      <c r="B16409" s="3">
        <v>0</v>
      </c>
    </row>
    <row r="16410" ht="15.75" customHeight="1" spans="1:2">
      <c r="A16410" s="3" t="str">
        <f>IFERROR(__xludf.DUMMYFUNCTION("GOOGLETRANSLATE(A16410,""en"",""pt"")"),"unintelligile")</f>
        <v>unintelligile</v>
      </c>
      <c r="B16410" s="3">
        <v>0</v>
      </c>
    </row>
    <row r="16411" ht="15.75" customHeight="1" spans="1:2">
      <c r="A16411" s="3" t="str">
        <f>IFERROR(__xludf.DUMMYFUNCTION("GOOGLETRANSLATE(A16411,""en"",""pt"")"),"unipolar")</f>
        <v>unipolar</v>
      </c>
      <c r="B16411" s="3">
        <v>0</v>
      </c>
    </row>
    <row r="16412" ht="15.75" customHeight="1" spans="1:2">
      <c r="A16412" s="3" t="str">
        <f>IFERROR(__xludf.DUMMYFUNCTION("GOOGLETRANSLATE(A16412,""en"",""pt"")"),"injusto")</f>
        <v>injusto</v>
      </c>
      <c r="B16412" s="3">
        <v>0</v>
      </c>
    </row>
    <row r="16413" ht="15.75" customHeight="1" spans="1:2">
      <c r="A16413" s="3" t="str">
        <f>IFERROR(__xludf.DUMMYFUNCTION("GOOGLETRANSLATE(A16413,""en"",""pt"")"),"injustificável")</f>
        <v>injustificável</v>
      </c>
      <c r="B16413" s="3">
        <v>0</v>
      </c>
    </row>
    <row r="16414" ht="15.75" customHeight="1" spans="1:2">
      <c r="A16414" s="3" t="str">
        <f>IFERROR(__xludf.DUMMYFUNCTION("GOOGLETRANSLATE(A16414,""en"",""pt"")"),"injustificadamente")</f>
        <v>injustificadamente</v>
      </c>
      <c r="B16414" s="3">
        <v>0</v>
      </c>
    </row>
    <row r="16415" ht="15.75" customHeight="1" spans="1:2">
      <c r="A16415" s="3" t="str">
        <f>IFERROR(__xludf.DUMMYFUNCTION("GOOGLETRANSLATE(A16415,""en"",""pt"")"),"injustificada")</f>
        <v>injustificada</v>
      </c>
      <c r="B16415" s="3">
        <v>0</v>
      </c>
    </row>
    <row r="16416" ht="15.75" customHeight="1" spans="1:2">
      <c r="A16416" s="3" t="str">
        <f>IFERROR(__xludf.DUMMYFUNCTION("GOOGLETRANSLATE(A16416,""en"",""pt"")"),"injustamente")</f>
        <v>injustamente</v>
      </c>
      <c r="B16416" s="3">
        <v>0</v>
      </c>
    </row>
    <row r="16417" ht="15.75" customHeight="1" spans="1:2">
      <c r="A16417" s="3" t="str">
        <f>IFERROR(__xludf.DUMMYFUNCTION("GOOGLETRANSLATE(A16417,""en"",""pt"")"),"grosseiro")</f>
        <v>grosseiro</v>
      </c>
      <c r="B16417" s="3">
        <v>0</v>
      </c>
    </row>
    <row r="16418" ht="15.75" customHeight="1" spans="1:2">
      <c r="A16418" s="3" t="str">
        <f>IFERROR(__xludf.DUMMYFUNCTION("GOOGLETRANSLATE(A16418,""en"",""pt"")"),"unkindly")</f>
        <v>unkindly</v>
      </c>
      <c r="B16418" s="3">
        <v>0</v>
      </c>
    </row>
    <row r="16419" ht="15.75" customHeight="1" spans="1:2">
      <c r="A16419" s="3" t="str">
        <f>IFERROR(__xludf.DUMMYFUNCTION("GOOGLETRANSLATE(A16419,""en"",""pt"")"),"desconhecido")</f>
        <v>desconhecido</v>
      </c>
      <c r="B16419" s="3">
        <v>0</v>
      </c>
    </row>
    <row r="16420" ht="15.75" customHeight="1" spans="1:2">
      <c r="A16420" s="3" t="str">
        <f>IFERROR(__xludf.DUMMYFUNCTION("GOOGLETRANSLATE(A16420,""en"",""pt"")"),"unlamentable")</f>
        <v>unlamentable</v>
      </c>
      <c r="B16420" s="3">
        <v>0</v>
      </c>
    </row>
    <row r="16421" ht="15.75" customHeight="1" spans="1:2">
      <c r="A16421" s="3" t="str">
        <f>IFERROR(__xludf.DUMMYFUNCTION("GOOGLETRANSLATE(A16421,""en"",""pt"")"),"unlamentably")</f>
        <v>unlamentably</v>
      </c>
      <c r="B16421" s="3">
        <v>0</v>
      </c>
    </row>
    <row r="16422" ht="15.75" customHeight="1" spans="1:2">
      <c r="A16422" s="3" t="str">
        <f>IFERROR(__xludf.DUMMYFUNCTION("GOOGLETRANSLATE(A16422,""en"",""pt"")"),"ilegal")</f>
        <v>ilegal</v>
      </c>
      <c r="B16422" s="3">
        <v>0</v>
      </c>
    </row>
    <row r="16423" ht="15.75" customHeight="1" spans="1:2">
      <c r="A16423" s="3" t="str">
        <f>IFERROR(__xludf.DUMMYFUNCTION("GOOGLETRANSLATE(A16423,""en"",""pt"")"),"ilegalmente")</f>
        <v>ilegalmente</v>
      </c>
      <c r="B16423" s="3">
        <v>0</v>
      </c>
    </row>
    <row r="16424" ht="15.75" customHeight="1" spans="1:2">
      <c r="A16424" s="3" t="str">
        <f>IFERROR(__xludf.DUMMYFUNCTION("GOOGLETRANSLATE(A16424,""en"",""pt"")"),"ilegalidade")</f>
        <v>ilegalidade</v>
      </c>
      <c r="B16424" s="3">
        <v>0</v>
      </c>
    </row>
    <row r="16425" ht="15.75" customHeight="1" spans="1:2">
      <c r="A16425" s="3" t="str">
        <f>IFERROR(__xludf.DUMMYFUNCTION("GOOGLETRANSLATE(A16425,""en"",""pt"")"),"unleash")</f>
        <v>unleash</v>
      </c>
      <c r="B16425" s="3">
        <v>0</v>
      </c>
    </row>
    <row r="16426" ht="15.75" customHeight="1" spans="1:2">
      <c r="A16426" s="3" t="str">
        <f>IFERROR(__xludf.DUMMYFUNCTION("GOOGLETRANSLATE(A16426,""en"",""pt"")"),"sem licença")</f>
        <v>sem licença</v>
      </c>
      <c r="B16426" s="3">
        <v>0</v>
      </c>
    </row>
    <row r="16427" ht="15.75" customHeight="1" spans="1:2">
      <c r="A16427" s="3" t="str">
        <f>IFERROR(__xludf.DUMMYFUNCTION("GOOGLETRANSLATE(A16427,""en"",""pt"")"),"improvável")</f>
        <v>improvável</v>
      </c>
      <c r="B16427" s="3">
        <v>0</v>
      </c>
    </row>
    <row r="16428" ht="15.75" customHeight="1" spans="1:2">
      <c r="A16428" s="3" t="str">
        <f>IFERROR(__xludf.DUMMYFUNCTION("GOOGLETRANSLATE(A16428,""en"",""pt"")"),"azarado")</f>
        <v>azarado</v>
      </c>
      <c r="B16428" s="3">
        <v>0</v>
      </c>
    </row>
    <row r="16429" ht="15.75" customHeight="1" spans="1:2">
      <c r="A16429" s="3" t="str">
        <f>IFERROR(__xludf.DUMMYFUNCTION("GOOGLETRANSLATE(A16429,""en"",""pt"")"),"impassível")</f>
        <v>impassível</v>
      </c>
      <c r="B16429" s="3">
        <v>0</v>
      </c>
    </row>
    <row r="16430" ht="15.75" customHeight="1" spans="1:2">
      <c r="A16430" s="3" t="str">
        <f>IFERROR(__xludf.DUMMYFUNCTION("GOOGLETRANSLATE(A16430,""en"",""pt"")"),"antinatural")</f>
        <v>antinatural</v>
      </c>
      <c r="B16430" s="3">
        <v>0</v>
      </c>
    </row>
    <row r="16431" ht="15.75" customHeight="1" spans="1:2">
      <c r="A16431" s="3" t="str">
        <f>IFERROR(__xludf.DUMMYFUNCTION("GOOGLETRANSLATE(A16431,""en"",""pt"")"),"anormalmente")</f>
        <v>anormalmente</v>
      </c>
      <c r="B16431" s="3">
        <v>0</v>
      </c>
    </row>
    <row r="16432" ht="15.75" customHeight="1" spans="1:2">
      <c r="A16432" s="3" t="str">
        <f>IFERROR(__xludf.DUMMYFUNCTION("GOOGLETRANSLATE(A16432,""en"",""pt"")"),"desnecessário")</f>
        <v>desnecessário</v>
      </c>
      <c r="B16432" s="3">
        <v>0</v>
      </c>
    </row>
    <row r="16433" ht="15.75" customHeight="1" spans="1:2">
      <c r="A16433" s="3" t="str">
        <f>IFERROR(__xludf.DUMMYFUNCTION("GOOGLETRANSLATE(A16433,""en"",""pt"")"),"desnecessário")</f>
        <v>desnecessário</v>
      </c>
      <c r="B16433" s="3">
        <v>0</v>
      </c>
    </row>
    <row r="16434" ht="15.75" customHeight="1" spans="1:2">
      <c r="A16434" s="3" t="str">
        <f>IFERROR(__xludf.DUMMYFUNCTION("GOOGLETRANSLATE(A16434,""en"",""pt"")"),"enervar")</f>
        <v>enervar</v>
      </c>
      <c r="B16434" s="3">
        <v>0</v>
      </c>
    </row>
    <row r="16435" ht="15.75" customHeight="1" spans="1:2">
      <c r="A16435" s="3" t="str">
        <f>IFERROR(__xludf.DUMMYFUNCTION("GOOGLETRANSLATE(A16435,""en"",""pt"")"),"enervado")</f>
        <v>enervado</v>
      </c>
      <c r="B16435" s="3">
        <v>0</v>
      </c>
    </row>
    <row r="16436" ht="15.75" customHeight="1" spans="1:2">
      <c r="A16436" s="3" t="str">
        <f>IFERROR(__xludf.DUMMYFUNCTION("GOOGLETRANSLATE(A16436,""en"",""pt"")"),"enervante")</f>
        <v>enervante</v>
      </c>
      <c r="B16436" s="3">
        <v>0</v>
      </c>
    </row>
    <row r="16437" ht="15.75" customHeight="1" spans="1:2">
      <c r="A16437" s="3" t="str">
        <f>IFERROR(__xludf.DUMMYFUNCTION("GOOGLETRANSLATE(A16437,""en"",""pt"")"),"unnervingly")</f>
        <v>unnervingly</v>
      </c>
      <c r="B16437" s="3">
        <v>0</v>
      </c>
    </row>
    <row r="16438" ht="15.75" customHeight="1" spans="1:2">
      <c r="A16438" s="3" t="str">
        <f>IFERROR(__xludf.DUMMYFUNCTION("GOOGLETRANSLATE(A16438,""en"",""pt"")"),"despercebido")</f>
        <v>despercebido</v>
      </c>
      <c r="B16438" s="3">
        <v>0</v>
      </c>
    </row>
    <row r="16439" ht="15.75" customHeight="1" spans="1:2">
      <c r="A16439" s="3" t="s">
        <v>87</v>
      </c>
      <c r="B16439" s="3">
        <v>0</v>
      </c>
    </row>
    <row r="16440" ht="15.75" customHeight="1" spans="1:2">
      <c r="A16440" s="3" t="str">
        <f>IFERROR(__xludf.DUMMYFUNCTION("GOOGLETRANSLATE(A16440,""en"",""pt"")"),"heterodoxo")</f>
        <v>heterodoxo</v>
      </c>
      <c r="B16440" s="3">
        <v>0</v>
      </c>
    </row>
    <row r="16441" ht="15.75" customHeight="1" spans="1:2">
      <c r="A16441" s="3" t="str">
        <f>IFERROR(__xludf.DUMMYFUNCTION("GOOGLETRANSLATE(A16441,""en"",""pt"")"),"unorthodoxy")</f>
        <v>unorthodoxy</v>
      </c>
      <c r="B16441" s="3">
        <v>0</v>
      </c>
    </row>
    <row r="16442" ht="15.75" customHeight="1" spans="1:2">
      <c r="A16442" s="3" t="str">
        <f>IFERROR(__xludf.DUMMYFUNCTION("GOOGLETRANSLATE(A16442,""en"",""pt"")"),"desagradável")</f>
        <v>desagradável</v>
      </c>
      <c r="B16442" s="3">
        <v>0</v>
      </c>
    </row>
    <row r="16443" ht="15.75" customHeight="1" spans="1:2">
      <c r="A16443" s="3" t="str">
        <f>IFERROR(__xludf.DUMMYFUNCTION("GOOGLETRANSLATE(A16443,""en"",""pt"")"),"unpleasantries")</f>
        <v>unpleasantries</v>
      </c>
      <c r="B16443" s="3">
        <v>0</v>
      </c>
    </row>
    <row r="16444" ht="15.75" customHeight="1" spans="1:2">
      <c r="A16444" s="3" t="str">
        <f>IFERROR(__xludf.DUMMYFUNCTION("GOOGLETRANSLATE(A16444,""en"",""pt"")"),"impopular")</f>
        <v>impopular</v>
      </c>
      <c r="B16444" s="3">
        <v>0</v>
      </c>
    </row>
    <row r="16445" ht="15.75" customHeight="1" spans="1:2">
      <c r="A16445" s="3" t="str">
        <f>IFERROR(__xludf.DUMMYFUNCTION("GOOGLETRANSLATE(A16445,""en"",""pt"")"),"imprevisível")</f>
        <v>imprevisível</v>
      </c>
      <c r="B16445" s="3">
        <v>0</v>
      </c>
    </row>
    <row r="16446" ht="15.75" customHeight="1" spans="1:2">
      <c r="A16446" s="3" t="str">
        <f>IFERROR(__xludf.DUMMYFUNCTION("GOOGLETRANSLATE(A16446,""en"",""pt"")"),"despreparado")</f>
        <v>despreparado</v>
      </c>
      <c r="B16446" s="3">
        <v>0</v>
      </c>
    </row>
    <row r="16447" ht="15.75" customHeight="1" spans="1:2">
      <c r="A16447" s="3" t="str">
        <f>IFERROR(__xludf.DUMMYFUNCTION("GOOGLETRANSLATE(A16447,""en"",""pt"")"),"improdutivo")</f>
        <v>improdutivo</v>
      </c>
      <c r="B16447" s="3">
        <v>0</v>
      </c>
    </row>
    <row r="16448" ht="15.75" customHeight="1" spans="1:2">
      <c r="A16448" s="3" t="str">
        <f>IFERROR(__xludf.DUMMYFUNCTION("GOOGLETRANSLATE(A16448,""en"",""pt"")"),"inútil")</f>
        <v>inútil</v>
      </c>
      <c r="B16448" s="3">
        <v>0</v>
      </c>
    </row>
    <row r="16449" ht="15.75" customHeight="1" spans="1:2">
      <c r="A16449" s="3" t="str">
        <f>IFERROR(__xludf.DUMMYFUNCTION("GOOGLETRANSLATE(A16449,""en"",""pt"")"),"unprove")</f>
        <v>unprove</v>
      </c>
      <c r="B16449" s="3">
        <v>0</v>
      </c>
    </row>
    <row r="16450" ht="15.75" customHeight="1" spans="1:2">
      <c r="A16450" s="3" t="str">
        <f>IFERROR(__xludf.DUMMYFUNCTION("GOOGLETRANSLATE(A16450,""en"",""pt"")"),"unproved")</f>
        <v>unproved</v>
      </c>
      <c r="B16450" s="3">
        <v>0</v>
      </c>
    </row>
    <row r="16451" ht="15.75" customHeight="1" spans="1:2">
      <c r="A16451" s="3" t="str">
        <f>IFERROR(__xludf.DUMMYFUNCTION("GOOGLETRANSLATE(A16451,""en"",""pt"")"),"não comprovada")</f>
        <v>não comprovada</v>
      </c>
      <c r="B16451" s="3">
        <v>0</v>
      </c>
    </row>
    <row r="16452" ht="15.75" customHeight="1" spans="1:2">
      <c r="A16452" s="3" t="str">
        <f>IFERROR(__xludf.DUMMYFUNCTION("GOOGLETRANSLATE(A16452,""en"",""pt"")"),"unproves")</f>
        <v>unproves</v>
      </c>
      <c r="B16452" s="3">
        <v>0</v>
      </c>
    </row>
    <row r="16453" ht="15.75" customHeight="1" spans="1:2">
      <c r="A16453" s="3" t="str">
        <f>IFERROR(__xludf.DUMMYFUNCTION("GOOGLETRANSLATE(A16453,""en"",""pt"")"),"unproving")</f>
        <v>unproving</v>
      </c>
      <c r="B16453" s="3">
        <v>0</v>
      </c>
    </row>
    <row r="16454" ht="15.75" customHeight="1" spans="1:2">
      <c r="A16454" s="3" t="str">
        <f>IFERROR(__xludf.DUMMYFUNCTION("GOOGLETRANSLATE(A16454,""en"",""pt"")"),"não qualificado")</f>
        <v>não qualificado</v>
      </c>
      <c r="B16454" s="3">
        <v>0</v>
      </c>
    </row>
    <row r="16455" ht="15.75" customHeight="1" spans="1:2">
      <c r="A16455" s="3" t="str">
        <f>IFERROR(__xludf.DUMMYFUNCTION("GOOGLETRANSLATE(A16455,""en"",""pt"")"),"desvendar")</f>
        <v>desvendar</v>
      </c>
      <c r="B16455" s="3">
        <v>0</v>
      </c>
    </row>
    <row r="16456" ht="15.75" customHeight="1" spans="1:2">
      <c r="A16456" s="3" t="str">
        <f>IFERROR(__xludf.DUMMYFUNCTION("GOOGLETRANSLATE(A16456,""en"",""pt"")"),"Unraveled")</f>
        <v>Unraveled</v>
      </c>
      <c r="B16456" s="3">
        <v>0</v>
      </c>
    </row>
    <row r="16457" ht="15.75" customHeight="1" spans="1:2">
      <c r="A16457" s="3" t="str">
        <f>IFERROR(__xludf.DUMMYFUNCTION("GOOGLETRANSLATE(A16457,""en"",""pt"")"),"inacessível")</f>
        <v>inacessível</v>
      </c>
      <c r="B16457" s="3">
        <v>0</v>
      </c>
    </row>
    <row r="16458" ht="15.75" customHeight="1" spans="1:2">
      <c r="A16458" s="3" t="str">
        <f>IFERROR(__xludf.DUMMYFUNCTION("GOOGLETRANSLATE(A16458,""en"",""pt"")"),"ilegível")</f>
        <v>ilegível</v>
      </c>
      <c r="B16458" s="3">
        <v>0</v>
      </c>
    </row>
    <row r="16459" ht="15.75" customHeight="1" spans="1:2">
      <c r="A16459" s="3" t="str">
        <f>IFERROR(__xludf.DUMMYFUNCTION("GOOGLETRANSLATE(A16459,""en"",""pt"")"),"irrealista")</f>
        <v>irrealista</v>
      </c>
      <c r="B16459" s="3">
        <v>0</v>
      </c>
    </row>
    <row r="16460" ht="15.75" customHeight="1" spans="1:2">
      <c r="A16460" s="3" t="str">
        <f>IFERROR(__xludf.DUMMYFUNCTION("GOOGLETRANSLATE(A16460,""en"",""pt"")"),"irracional")</f>
        <v>irracional</v>
      </c>
      <c r="B16460" s="3">
        <v>0</v>
      </c>
    </row>
    <row r="16461" ht="15.75" customHeight="1" spans="1:2">
      <c r="A16461" s="3" t="str">
        <f>IFERROR(__xludf.DUMMYFUNCTION("GOOGLETRANSLATE(A16461,""en"",""pt"")"),"injustificadamente")</f>
        <v>injustificadamente</v>
      </c>
      <c r="B16461" s="3">
        <v>0</v>
      </c>
    </row>
    <row r="16462" ht="15.75" customHeight="1" spans="1:2">
      <c r="A16462" s="3" t="str">
        <f>IFERROR(__xludf.DUMMYFUNCTION("GOOGLETRANSLATE(A16462,""en"",""pt"")"),"implacável")</f>
        <v>implacável</v>
      </c>
      <c r="B16462" s="3">
        <v>0</v>
      </c>
    </row>
    <row r="16463" ht="15.75" customHeight="1" spans="1:2">
      <c r="A16463" s="3" t="str">
        <f>IFERROR(__xludf.DUMMYFUNCTION("GOOGLETRANSLATE(A16463,""en"",""pt"")"),"unrelentingly")</f>
        <v>unrelentingly</v>
      </c>
      <c r="B16463" s="3">
        <v>0</v>
      </c>
    </row>
    <row r="16464" ht="15.75" customHeight="1" spans="1:2">
      <c r="A16464" s="3" t="str">
        <f>IFERROR(__xludf.DUMMYFUNCTION("GOOGLETRANSLATE(A16464,""en"",""pt"")"),"unreliability")</f>
        <v>unreliability</v>
      </c>
      <c r="B16464" s="3">
        <v>0</v>
      </c>
    </row>
    <row r="16465" ht="15.75" customHeight="1" spans="1:2">
      <c r="A16465" s="3" t="str">
        <f>IFERROR(__xludf.DUMMYFUNCTION("GOOGLETRANSLATE(A16465,""en"",""pt"")"),"não confiável")</f>
        <v>não confiável</v>
      </c>
      <c r="B16465" s="3">
        <v>0</v>
      </c>
    </row>
    <row r="16466" ht="15.75" customHeight="1" spans="1:2">
      <c r="A16466" s="3" t="str">
        <f>IFERROR(__xludf.DUMMYFUNCTION("GOOGLETRANSLATE(A16466,""en"",""pt"")"),"irresoluto")</f>
        <v>irresoluto</v>
      </c>
      <c r="B16466" s="3">
        <v>0</v>
      </c>
    </row>
    <row r="16467" ht="15.75" customHeight="1" spans="1:2">
      <c r="A16467" s="3" t="str">
        <f>IFERROR(__xludf.DUMMYFUNCTION("GOOGLETRANSLATE(A16467,""en"",""pt"")"),"insensível")</f>
        <v>insensível</v>
      </c>
      <c r="B16467" s="3">
        <v>0</v>
      </c>
    </row>
    <row r="16468" ht="15.75" customHeight="1" spans="1:2">
      <c r="A16468" s="3" t="str">
        <f>IFERROR(__xludf.DUMMYFUNCTION("GOOGLETRANSLATE(A16468,""en"",""pt"")"),"agitação")</f>
        <v>agitação</v>
      </c>
      <c r="B16468" s="3">
        <v>0</v>
      </c>
    </row>
    <row r="16469" ht="15.75" customHeight="1" spans="1:2">
      <c r="A16469" s="3" t="str">
        <f>IFERROR(__xludf.DUMMYFUNCTION("GOOGLETRANSLATE(A16469,""en"",""pt"")"),"indisciplinado")</f>
        <v>indisciplinado</v>
      </c>
      <c r="B16469" s="3">
        <v>0</v>
      </c>
    </row>
    <row r="16470" ht="15.75" customHeight="1" spans="1:2">
      <c r="A16470" s="3" t="str">
        <f>IFERROR(__xludf.DUMMYFUNCTION("GOOGLETRANSLATE(A16470,""en"",""pt"")"),"inseguro")</f>
        <v>inseguro</v>
      </c>
      <c r="B16470" s="3">
        <v>0</v>
      </c>
    </row>
    <row r="16471" ht="15.75" customHeight="1" spans="1:2">
      <c r="A16471" s="3" t="str">
        <f>IFERROR(__xludf.DUMMYFUNCTION("GOOGLETRANSLATE(A16471,""en"",""pt"")"),"não satisfatório")</f>
        <v>não satisfatório</v>
      </c>
      <c r="B16471" s="3">
        <v>0</v>
      </c>
    </row>
    <row r="16472" ht="15.75" customHeight="1" spans="1:2">
      <c r="A16472" s="3" t="str">
        <f>IFERROR(__xludf.DUMMYFUNCTION("GOOGLETRANSLATE(A16472,""en"",""pt"")"),"desagradável")</f>
        <v>desagradável</v>
      </c>
      <c r="B16472" s="3">
        <v>0</v>
      </c>
    </row>
    <row r="16473" ht="15.75" customHeight="1" spans="1:2">
      <c r="A16473" s="3" t="str">
        <f>IFERROR(__xludf.DUMMYFUNCTION("GOOGLETRANSLATE(A16473,""en"",""pt"")"),"sem escrúpulos")</f>
        <v>sem escrúpulos</v>
      </c>
      <c r="B16473" s="3">
        <v>0</v>
      </c>
    </row>
    <row r="16474" ht="15.75" customHeight="1" spans="1:2">
      <c r="A16474" s="3" t="str">
        <f>IFERROR(__xludf.DUMMYFUNCTION("GOOGLETRANSLATE(A16474,""en"",""pt"")"),"inescrupulosamente")</f>
        <v>inescrupulosamente</v>
      </c>
      <c r="B16474" s="3">
        <v>0</v>
      </c>
    </row>
    <row r="16475" ht="15.75" customHeight="1" spans="1:2">
      <c r="A16475" s="3" t="str">
        <f>IFERROR(__xludf.DUMMYFUNCTION("GOOGLETRANSLATE(A16475,""en"",""pt"")"),"unsecure")</f>
        <v>unsecure</v>
      </c>
      <c r="B16475" s="3">
        <v>0</v>
      </c>
    </row>
    <row r="16476" ht="15.75" customHeight="1" spans="1:2">
      <c r="A16476" s="3" t="str">
        <f>IFERROR(__xludf.DUMMYFUNCTION("GOOGLETRANSLATE(A16476,""en"",""pt"")"),"indecoroso")</f>
        <v>indecoroso</v>
      </c>
      <c r="B16476" s="3">
        <v>0</v>
      </c>
    </row>
    <row r="16477" ht="15.75" customHeight="1" spans="1:2">
      <c r="A16477" s="3" t="str">
        <f>IFERROR(__xludf.DUMMYFUNCTION("GOOGLETRANSLATE(A16477,""en"",""pt"")"),"Unsettle")</f>
        <v>Unsettle</v>
      </c>
      <c r="B16477" s="3">
        <v>0</v>
      </c>
    </row>
    <row r="16478" ht="15.75" customHeight="1" spans="1:2">
      <c r="A16478" s="3" t="str">
        <f>IFERROR(__xludf.DUMMYFUNCTION("GOOGLETRANSLATE(A16478,""en"",""pt"")"),"instável")</f>
        <v>instável</v>
      </c>
      <c r="B16478" s="3">
        <v>0</v>
      </c>
    </row>
    <row r="16479" ht="15.75" customHeight="1" spans="1:2">
      <c r="A16479" s="3" t="str">
        <f>IFERROR(__xludf.DUMMYFUNCTION("GOOGLETRANSLATE(A16479,""en"",""pt"")"),"inquietante")</f>
        <v>inquietante</v>
      </c>
      <c r="B16479" s="3">
        <v>0</v>
      </c>
    </row>
    <row r="16480" ht="15.75" customHeight="1" spans="1:2">
      <c r="A16480" s="3" t="str">
        <f>IFERROR(__xludf.DUMMYFUNCTION("GOOGLETRANSLATE(A16480,""en"",""pt"")"),"unsettlingly")</f>
        <v>unsettlingly</v>
      </c>
      <c r="B16480" s="3">
        <v>0</v>
      </c>
    </row>
    <row r="16481" ht="15.75" customHeight="1" spans="1:2">
      <c r="A16481" s="3" t="str">
        <f>IFERROR(__xludf.DUMMYFUNCTION("GOOGLETRANSLATE(A16481,""en"",""pt"")"),"não qualificado")</f>
        <v>não qualificado</v>
      </c>
      <c r="B16481" s="3">
        <v>0</v>
      </c>
    </row>
    <row r="16482" ht="15.75" customHeight="1" spans="1:2">
      <c r="A16482" s="3" t="str">
        <f>IFERROR(__xludf.DUMMYFUNCTION("GOOGLETRANSLATE(A16482,""en"",""pt"")"),"simples")</f>
        <v>simples</v>
      </c>
      <c r="B16482" s="3">
        <v>0</v>
      </c>
    </row>
    <row r="16483" ht="15.75" customHeight="1" spans="1:2">
      <c r="A16483" s="3" t="str">
        <f>IFERROR(__xludf.DUMMYFUNCTION("GOOGLETRANSLATE(A16483,""en"",""pt"")"),"doentio")</f>
        <v>doentio</v>
      </c>
      <c r="B16483" s="3">
        <v>0</v>
      </c>
    </row>
    <row r="16484" ht="15.75" customHeight="1" spans="1:2">
      <c r="A16484" s="3" t="str">
        <f>IFERROR(__xludf.DUMMYFUNCTION("GOOGLETRANSLATE(A16484,""en"",""pt"")"),"indizível")</f>
        <v>indizível</v>
      </c>
      <c r="B16484" s="3">
        <v>0</v>
      </c>
    </row>
    <row r="16485" ht="15.75" customHeight="1" spans="1:2">
      <c r="A16485" s="3" t="str">
        <f>IFERROR(__xludf.DUMMYFUNCTION("GOOGLETRANSLATE(A16485,""en"",""pt"")"),"unspeakablely")</f>
        <v>unspeakablely</v>
      </c>
      <c r="B16485" s="3">
        <v>0</v>
      </c>
    </row>
    <row r="16486" ht="15.75" customHeight="1" spans="1:2">
      <c r="A16486" s="3" t="str">
        <f>IFERROR(__xludf.DUMMYFUNCTION("GOOGLETRANSLATE(A16486,""en"",""pt"")"),"indeterminado")</f>
        <v>indeterminado</v>
      </c>
      <c r="B16486" s="3">
        <v>0</v>
      </c>
    </row>
    <row r="16487" ht="15.75" customHeight="1" spans="1:2">
      <c r="A16487" s="3" t="str">
        <f>IFERROR(__xludf.DUMMYFUNCTION("GOOGLETRANSLATE(A16487,""en"",""pt"")"),"instável")</f>
        <v>instável</v>
      </c>
      <c r="B16487" s="3">
        <v>0</v>
      </c>
    </row>
    <row r="16488" ht="15.75" customHeight="1" spans="1:2">
      <c r="A16488" s="3" t="str">
        <f>IFERROR(__xludf.DUMMYFUNCTION("GOOGLETRANSLATE(A16488,""en"",""pt"")"),"unsteadily")</f>
        <v>unsteadily</v>
      </c>
      <c r="B16488" s="3">
        <v>0</v>
      </c>
    </row>
    <row r="16489" ht="15.75" customHeight="1" spans="1:2">
      <c r="A16489" s="3" t="str">
        <f>IFERROR(__xludf.DUMMYFUNCTION("GOOGLETRANSLATE(A16489,""en"",""pt"")"),"instabilidade")</f>
        <v>instabilidade</v>
      </c>
      <c r="B16489" s="3">
        <v>0</v>
      </c>
    </row>
    <row r="16490" ht="15.75" customHeight="1" spans="1:2">
      <c r="A16490" s="3" t="str">
        <f>IFERROR(__xludf.DUMMYFUNCTION("GOOGLETRANSLATE(A16490,""en"",""pt"")"),"instável")</f>
        <v>instável</v>
      </c>
      <c r="B16490" s="3">
        <v>0</v>
      </c>
    </row>
    <row r="16491" ht="15.75" customHeight="1" spans="1:2">
      <c r="A16491" s="3" t="str">
        <f>IFERROR(__xludf.DUMMYFUNCTION("GOOGLETRANSLATE(A16491,""en"",""pt"")"),"mal sucedido")</f>
        <v>mal sucedido</v>
      </c>
      <c r="B16491" s="3">
        <v>0</v>
      </c>
    </row>
    <row r="16492" ht="15.75" customHeight="1" spans="1:2">
      <c r="A16492" s="3" t="str">
        <f>IFERROR(__xludf.DUMMYFUNCTION("GOOGLETRANSLATE(A16492,""en"",""pt"")"),"sem sucesso")</f>
        <v>sem sucesso</v>
      </c>
      <c r="B16492" s="3">
        <v>0</v>
      </c>
    </row>
    <row r="16493" ht="15.75" customHeight="1" spans="1:2">
      <c r="A16493" s="3" t="str">
        <f>IFERROR(__xludf.DUMMYFUNCTION("GOOGLETRANSLATE(A16493,""en"",""pt"")"),"sem suporte")</f>
        <v>sem suporte</v>
      </c>
      <c r="B16493" s="3">
        <v>0</v>
      </c>
    </row>
    <row r="16494" ht="15.75" customHeight="1" spans="1:2">
      <c r="A16494" s="3" t="str">
        <f>IFERROR(__xludf.DUMMYFUNCTION("GOOGLETRANSLATE(A16494,""en"",""pt"")"),"unsupportive")</f>
        <v>unsupportive</v>
      </c>
      <c r="B16494" s="3">
        <v>0</v>
      </c>
    </row>
    <row r="16495" ht="15.75" customHeight="1" spans="1:2">
      <c r="A16495" s="3" t="str">
        <f>IFERROR(__xludf.DUMMYFUNCTION("GOOGLETRANSLATE(A16495,""en"",""pt"")"),"inseguro")</f>
        <v>inseguro</v>
      </c>
      <c r="B16495" s="3">
        <v>0</v>
      </c>
    </row>
    <row r="16496" ht="15.75" customHeight="1" spans="1:2">
      <c r="A16496" s="3" t="str">
        <f>IFERROR(__xludf.DUMMYFUNCTION("GOOGLETRANSLATE(A16496,""en"",""pt"")"),"confiante")</f>
        <v>confiante</v>
      </c>
      <c r="B16496" s="3">
        <v>0</v>
      </c>
    </row>
    <row r="16497" ht="15.75" customHeight="1" spans="1:2">
      <c r="A16497" s="3" t="str">
        <f>IFERROR(__xludf.DUMMYFUNCTION("GOOGLETRANSLATE(A16497,""en"",""pt"")"),"insustentável")</f>
        <v>insustentável</v>
      </c>
      <c r="B16497" s="3">
        <v>0</v>
      </c>
    </row>
    <row r="16498" ht="15.75" customHeight="1" spans="1:2">
      <c r="A16498" s="3" t="str">
        <f>IFERROR(__xludf.DUMMYFUNCTION("GOOGLETRANSLATE(A16498,""en"",""pt"")"),"insustentável")</f>
        <v>insustentável</v>
      </c>
      <c r="B16498" s="3">
        <v>0</v>
      </c>
    </row>
    <row r="16499" ht="15.75" customHeight="1" spans="1:2">
      <c r="A16499" s="3" t="str">
        <f>IFERROR(__xludf.DUMMYFUNCTION("GOOGLETRANSLATE(A16499,""en"",""pt"")"),"não testado")</f>
        <v>não testado</v>
      </c>
      <c r="B16499" s="3">
        <v>0</v>
      </c>
    </row>
    <row r="16500" ht="15.75" customHeight="1" spans="1:2">
      <c r="A16500" s="3" t="str">
        <f>IFERROR(__xludf.DUMMYFUNCTION("GOOGLETRANSLATE(A16500,""en"",""pt"")"),"impensável")</f>
        <v>impensável</v>
      </c>
      <c r="B16500" s="3">
        <v>0</v>
      </c>
    </row>
    <row r="16501" ht="15.75" customHeight="1" spans="1:2">
      <c r="A16501" s="3" t="s">
        <v>88</v>
      </c>
      <c r="B16501" s="3">
        <v>0</v>
      </c>
    </row>
    <row r="16502" ht="15.75" customHeight="1" spans="1:2">
      <c r="A16502" s="3" t="str">
        <f>IFERROR(__xludf.DUMMYFUNCTION("GOOGLETRANSLATE(A16502,""en"",""pt"")"),"intempestivo")</f>
        <v>intempestivo</v>
      </c>
      <c r="B16502" s="3">
        <v>0</v>
      </c>
    </row>
    <row r="16503" ht="15.75" customHeight="1" spans="1:2">
      <c r="A16503" s="3" t="str">
        <f>IFERROR(__xludf.DUMMYFUNCTION("GOOGLETRANSLATE(A16503,""en"",""pt"")"),"intocado")</f>
        <v>intocado</v>
      </c>
      <c r="B16503" s="3">
        <v>0</v>
      </c>
    </row>
    <row r="16504" ht="15.75" customHeight="1" spans="1:2">
      <c r="A16504" s="3" t="str">
        <f>IFERROR(__xludf.DUMMYFUNCTION("GOOGLETRANSLATE(A16504,""en"",""pt"")"),"falso")</f>
        <v>falso</v>
      </c>
      <c r="B16504" s="3">
        <v>0</v>
      </c>
    </row>
    <row r="16505" ht="15.75" customHeight="1" spans="1:2">
      <c r="A16505" s="3" t="str">
        <f>IFERROR(__xludf.DUMMYFUNCTION("GOOGLETRANSLATE(A16505,""en"",""pt"")"),"desonesto")</f>
        <v>desonesto</v>
      </c>
      <c r="B16505" s="3">
        <v>0</v>
      </c>
    </row>
    <row r="16506" ht="15.75" customHeight="1" spans="1:2">
      <c r="A16506" s="3" t="str">
        <f>IFERROR(__xludf.DUMMYFUNCTION("GOOGLETRANSLATE(A16506,""en"",""pt"")"),"untruthful")</f>
        <v>untruthful</v>
      </c>
      <c r="B16506" s="3">
        <v>0</v>
      </c>
    </row>
    <row r="16507" ht="15.75" customHeight="1" spans="1:2">
      <c r="A16507" s="3" t="str">
        <f>IFERROR(__xludf.DUMMYFUNCTION("GOOGLETRANSLATE(A16507,""en"",""pt"")"),"inutilizável")</f>
        <v>inutilizável</v>
      </c>
      <c r="B16507" s="3">
        <v>0</v>
      </c>
    </row>
    <row r="16508" ht="15.75" customHeight="1" spans="1:2">
      <c r="A16508" s="3" t="str">
        <f>IFERROR(__xludf.DUMMYFUNCTION("GOOGLETRANSLATE(A16508,""en"",""pt"")"),"unusably")</f>
        <v>unusably</v>
      </c>
      <c r="B16508" s="3">
        <v>0</v>
      </c>
    </row>
    <row r="16509" ht="15.75" customHeight="1" spans="1:2">
      <c r="A16509" s="3" t="str">
        <f>IFERROR(__xludf.DUMMYFUNCTION("GOOGLETRANSLATE(A16509,""en"",""pt"")"),"unuseable")</f>
        <v>unuseable</v>
      </c>
      <c r="B16509" s="3">
        <v>0</v>
      </c>
    </row>
    <row r="16510" ht="15.75" customHeight="1" spans="1:2">
      <c r="A16510" s="3" t="str">
        <f>IFERROR(__xludf.DUMMYFUNCTION("GOOGLETRANSLATE(A16510,""en"",""pt"")"),"unuseably")</f>
        <v>unuseably</v>
      </c>
      <c r="B16510" s="3">
        <v>0</v>
      </c>
    </row>
    <row r="16511" ht="15.75" customHeight="1" spans="1:2">
      <c r="A16511" s="3" t="str">
        <f>IFERROR(__xludf.DUMMYFUNCTION("GOOGLETRANSLATE(A16511,""en"",""pt"")"),"incomum")</f>
        <v>incomum</v>
      </c>
      <c r="B16511" s="3">
        <v>0</v>
      </c>
    </row>
    <row r="16512" ht="15.75" customHeight="1" spans="1:2">
      <c r="A16512" s="3" t="str">
        <f>IFERROR(__xludf.DUMMYFUNCTION("GOOGLETRANSLATE(A16512,""en"",""pt"")"),"incomumente")</f>
        <v>incomumente</v>
      </c>
      <c r="B16512" s="3">
        <v>0</v>
      </c>
    </row>
    <row r="16513" ht="15.75" customHeight="1" spans="1:2">
      <c r="A16513" s="3" t="str">
        <f>IFERROR(__xludf.DUMMYFUNCTION("GOOGLETRANSLATE(A16513,""en"",""pt"")"),"unviewable")</f>
        <v>unviewable</v>
      </c>
      <c r="B16513" s="3">
        <v>0</v>
      </c>
    </row>
    <row r="16514" ht="15.75" customHeight="1" spans="1:2">
      <c r="A16514" s="3" t="str">
        <f>IFERROR(__xludf.DUMMYFUNCTION("GOOGLETRANSLATE(A16514,""en"",""pt"")"),"não desejado")</f>
        <v>não desejado</v>
      </c>
      <c r="B16514" s="3">
        <v>0</v>
      </c>
    </row>
    <row r="16515" ht="15.75" customHeight="1" spans="1:2">
      <c r="A16515" s="3" t="str">
        <f>IFERROR(__xludf.DUMMYFUNCTION("GOOGLETRANSLATE(A16515,""en"",""pt"")"),"injustificável")</f>
        <v>injustificável</v>
      </c>
      <c r="B16515" s="3">
        <v>0</v>
      </c>
    </row>
    <row r="16516" ht="15.75" customHeight="1" spans="1:2">
      <c r="A16516" s="3" t="str">
        <f>IFERROR(__xludf.DUMMYFUNCTION("GOOGLETRANSLATE(A16516,""en"",""pt"")"),"inassistível")</f>
        <v>inassistível</v>
      </c>
      <c r="B16516" s="3">
        <v>0</v>
      </c>
    </row>
    <row r="16517" ht="15.75" customHeight="1" spans="1:2">
      <c r="A16517" s="3" t="str">
        <f>IFERROR(__xludf.DUMMYFUNCTION("GOOGLETRANSLATE(A16517,""en"",""pt"")"),"indesejável")</f>
        <v>indesejável</v>
      </c>
      <c r="B16517" s="3">
        <v>0</v>
      </c>
    </row>
    <row r="16518" ht="15.75" customHeight="1" spans="1:2">
      <c r="A16518" s="3" t="str">
        <f>IFERROR(__xludf.DUMMYFUNCTION("GOOGLETRANSLATE(A16518,""en"",""pt"")"),"indisposto")</f>
        <v>indisposto</v>
      </c>
      <c r="B16518" s="3">
        <v>0</v>
      </c>
    </row>
    <row r="16519" ht="15.75" customHeight="1" spans="1:2">
      <c r="A16519" s="3" t="str">
        <f>IFERROR(__xludf.DUMMYFUNCTION("GOOGLETRANSLATE(A16519,""en"",""pt"")"),"pesado")</f>
        <v>pesado</v>
      </c>
      <c r="B16519" s="3">
        <v>0</v>
      </c>
    </row>
    <row r="16520" ht="15.75" customHeight="1" spans="1:2">
      <c r="A16520" s="3" t="str">
        <f>IFERROR(__xludf.DUMMYFUNCTION("GOOGLETRANSLATE(A16520,""en"",""pt"")"),"relutante")</f>
        <v>relutante</v>
      </c>
      <c r="B16520" s="3">
        <v>0</v>
      </c>
    </row>
    <row r="16521" ht="15.75" customHeight="1" spans="1:2">
      <c r="A16521" s="3" t="str">
        <f>IFERROR(__xludf.DUMMYFUNCTION("GOOGLETRANSLATE(A16521,""en"",""pt"")"),"de má vontade")</f>
        <v>de má vontade</v>
      </c>
      <c r="B16521" s="3">
        <v>0</v>
      </c>
    </row>
    <row r="16522" ht="15.75" customHeight="1" spans="1:2">
      <c r="A16522" s="3" t="str">
        <f>IFERROR(__xludf.DUMMYFUNCTION("GOOGLETRANSLATE(A16522,""en"",""pt"")"),"falta de vontade")</f>
        <v>falta de vontade</v>
      </c>
      <c r="B16522" s="3">
        <v>0</v>
      </c>
    </row>
    <row r="16523" ht="15.75" customHeight="1" spans="1:2">
      <c r="A16523" s="3" t="str">
        <f>IFERROR(__xludf.DUMMYFUNCTION("GOOGLETRANSLATE(A16523,""en"",""pt"")"),"imprudente")</f>
        <v>imprudente</v>
      </c>
      <c r="B16523" s="3">
        <v>0</v>
      </c>
    </row>
    <row r="16524" ht="15.75" customHeight="1" spans="1:2">
      <c r="A16524" s="3" t="str">
        <f>IFERROR(__xludf.DUMMYFUNCTION("GOOGLETRANSLATE(A16524,""en"",""pt"")"),"imprudentemente")</f>
        <v>imprudentemente</v>
      </c>
      <c r="B16524" s="3">
        <v>0</v>
      </c>
    </row>
    <row r="16525" ht="15.75" customHeight="1" spans="1:2">
      <c r="A16525" s="3" t="str">
        <f>IFERROR(__xludf.DUMMYFUNCTION("GOOGLETRANSLATE(A16525,""en"",""pt"")"),"impraticável")</f>
        <v>impraticável</v>
      </c>
      <c r="B16525" s="3">
        <v>0</v>
      </c>
    </row>
    <row r="16526" ht="15.75" customHeight="1" spans="1:2">
      <c r="A16526" s="3" t="str">
        <f>IFERROR(__xludf.DUMMYFUNCTION("GOOGLETRANSLATE(A16526,""en"",""pt"")"),"indigno")</f>
        <v>indigno</v>
      </c>
      <c r="B16526" s="3">
        <v>0</v>
      </c>
    </row>
    <row r="16527" ht="15.75" customHeight="1" spans="1:2">
      <c r="A16527" s="3" t="str">
        <f>IFERROR(__xludf.DUMMYFUNCTION("GOOGLETRANSLATE(A16527,""en"",""pt"")"),"inflexível")</f>
        <v>inflexível</v>
      </c>
      <c r="B16527" s="3">
        <v>0</v>
      </c>
    </row>
    <row r="16528" ht="15.75" customHeight="1" spans="1:2">
      <c r="A16528" s="3" t="str">
        <f>IFERROR(__xludf.DUMMYFUNCTION("GOOGLETRANSLATE(A16528,""en"",""pt"")"),"censurar")</f>
        <v>censurar</v>
      </c>
      <c r="B16528" s="3">
        <v>0</v>
      </c>
    </row>
    <row r="16529" ht="15.75" customHeight="1" spans="1:2">
      <c r="A16529" s="3" t="str">
        <f>IFERROR(__xludf.DUMMYFUNCTION("GOOGLETRANSLATE(A16529,""en"",""pt"")"),"agitação")</f>
        <v>agitação</v>
      </c>
      <c r="B16529" s="3">
        <v>0</v>
      </c>
    </row>
    <row r="16530" ht="15.75" customHeight="1" spans="1:2">
      <c r="A16530" s="3" t="str">
        <f>IFERROR(__xludf.DUMMYFUNCTION("GOOGLETRANSLATE(A16530,""en"",""pt"")"),"revolta")</f>
        <v>revolta</v>
      </c>
      <c r="B16530" s="3">
        <v>0</v>
      </c>
    </row>
    <row r="16531" ht="15.75" customHeight="1" spans="1:2">
      <c r="A16531" s="3" t="str">
        <f>IFERROR(__xludf.DUMMYFUNCTION("GOOGLETRANSLATE(A16531,""en"",""pt"")"),"tumulto")</f>
        <v>tumulto</v>
      </c>
      <c r="B16531" s="3">
        <v>0</v>
      </c>
    </row>
    <row r="16532" ht="15.75" customHeight="1" spans="1:2">
      <c r="A16532" s="3" t="str">
        <f>IFERROR(__xludf.DUMMYFUNCTION("GOOGLETRANSLATE(A16532,""en"",""pt"")"),"barulhento")</f>
        <v>barulhento</v>
      </c>
      <c r="B16532" s="3">
        <v>0</v>
      </c>
    </row>
    <row r="16533" ht="15.75" customHeight="1" spans="1:2">
      <c r="A16533" s="3" t="str">
        <f>IFERROR(__xludf.DUMMYFUNCTION("GOOGLETRANSLATE(A16533,""en"",""pt"")"),"uproariously")</f>
        <v>uproariously</v>
      </c>
      <c r="B16533" s="3">
        <v>0</v>
      </c>
    </row>
    <row r="16534" ht="15.75" customHeight="1" spans="1:2">
      <c r="A16534" s="3" t="str">
        <f>IFERROR(__xludf.DUMMYFUNCTION("GOOGLETRANSLATE(A16534,""en"",""pt"")"),"uproarous")</f>
        <v>uproarous</v>
      </c>
      <c r="B16534" s="3">
        <v>0</v>
      </c>
    </row>
    <row r="16535" ht="15.75" customHeight="1" spans="1:2">
      <c r="A16535" s="3" t="str">
        <f>IFERROR(__xludf.DUMMYFUNCTION("GOOGLETRANSLATE(A16535,""en"",""pt"")"),"uproarously")</f>
        <v>uproarously</v>
      </c>
      <c r="B16535" s="3">
        <v>0</v>
      </c>
    </row>
    <row r="16536" ht="15.75" customHeight="1" spans="1:2">
      <c r="A16536" s="3" t="str">
        <f>IFERROR(__xludf.DUMMYFUNCTION("GOOGLETRANSLATE(A16536,""en"",""pt"")"),"desenraizamento")</f>
        <v>desenraizamento</v>
      </c>
      <c r="B16536" s="3">
        <v>0</v>
      </c>
    </row>
    <row r="16537" ht="15.75" customHeight="1" spans="1:2">
      <c r="A16537" s="3" t="str">
        <f>IFERROR(__xludf.DUMMYFUNCTION("GOOGLETRANSLATE(A16537,""en"",""pt"")"),"chateado")</f>
        <v>chateado</v>
      </c>
      <c r="B16537" s="3">
        <v>0</v>
      </c>
    </row>
    <row r="16538" ht="15.75" customHeight="1" spans="1:2">
      <c r="A16538" s="3" t="str">
        <f>IFERROR(__xludf.DUMMYFUNCTION("GOOGLETRANSLATE(A16538,""en"",""pt"")"),"upseting")</f>
        <v>upseting</v>
      </c>
      <c r="B16538" s="3">
        <v>0</v>
      </c>
    </row>
    <row r="16539" ht="15.75" customHeight="1" spans="1:2">
      <c r="A16539" s="3" t="str">
        <f>IFERROR(__xludf.DUMMYFUNCTION("GOOGLETRANSLATE(A16539,""en"",""pt"")"),"viradas")</f>
        <v>viradas</v>
      </c>
      <c r="B16539" s="3">
        <v>0</v>
      </c>
    </row>
    <row r="16540" ht="15.75" customHeight="1" spans="1:2">
      <c r="A16540" s="3" t="str">
        <f>IFERROR(__xludf.DUMMYFUNCTION("GOOGLETRANSLATE(A16540,""en"",""pt"")"),"perturbador")</f>
        <v>perturbador</v>
      </c>
      <c r="B16540" s="3">
        <v>0</v>
      </c>
    </row>
    <row r="16541" ht="15.75" customHeight="1" spans="1:2">
      <c r="A16541" s="3" t="str">
        <f>IFERROR(__xludf.DUMMYFUNCTION("GOOGLETRANSLATE(A16541,""en"",""pt"")"),"upsettingly")</f>
        <v>upsettingly</v>
      </c>
      <c r="B16541" s="3">
        <v>0</v>
      </c>
    </row>
    <row r="16542" ht="15.75" customHeight="1" spans="1:2">
      <c r="A16542" s="3" t="str">
        <f>IFERROR(__xludf.DUMMYFUNCTION("GOOGLETRANSLATE(A16542,""en"",""pt"")"),"urgente")</f>
        <v>urgente</v>
      </c>
      <c r="B16542" s="3">
        <v>0</v>
      </c>
    </row>
    <row r="16543" ht="15.75" customHeight="1" spans="1:2">
      <c r="A16543" s="3" t="str">
        <f>IFERROR(__xludf.DUMMYFUNCTION("GOOGLETRANSLATE(A16543,""en"",""pt"")"),"sem utilidade")</f>
        <v>sem utilidade</v>
      </c>
      <c r="B16543" s="3">
        <v>0</v>
      </c>
    </row>
    <row r="16544" ht="15.75" customHeight="1" spans="1:2">
      <c r="A16544" s="3" t="str">
        <f>IFERROR(__xludf.DUMMYFUNCTION("GOOGLETRANSLATE(A16544,""en"",""pt"")"),"usurpar")</f>
        <v>usurpar</v>
      </c>
      <c r="B16544" s="3">
        <v>0</v>
      </c>
    </row>
    <row r="16545" ht="15.75" customHeight="1" spans="1:2">
      <c r="A16545" s="3" t="str">
        <f>IFERROR(__xludf.DUMMYFUNCTION("GOOGLETRANSLATE(A16545,""en"",""pt"")"),"usurpador")</f>
        <v>usurpador</v>
      </c>
      <c r="B16545" s="3">
        <v>0</v>
      </c>
    </row>
    <row r="16546" ht="15.75" customHeight="1" spans="1:2">
      <c r="A16546" s="3" t="str">
        <f>IFERROR(__xludf.DUMMYFUNCTION("GOOGLETRANSLATE(A16546,""en"",""pt"")"),"completamente")</f>
        <v>completamente</v>
      </c>
      <c r="B16546" s="3">
        <v>0</v>
      </c>
    </row>
    <row r="16547" ht="15.75" customHeight="1" spans="1:2">
      <c r="A16547" s="3" t="str">
        <f>IFERROR(__xludf.DUMMYFUNCTION("GOOGLETRANSLATE(A16547,""en"",""pt"")"),"vagabundo")</f>
        <v>vagabundo</v>
      </c>
      <c r="B16547" s="3">
        <v>0</v>
      </c>
    </row>
    <row r="16548" ht="15.75" customHeight="1" spans="1:2">
      <c r="A16548" s="3" t="str">
        <f>IFERROR(__xludf.DUMMYFUNCTION("GOOGLETRANSLATE(A16548,""en"",""pt"")"),"vago")</f>
        <v>vago</v>
      </c>
      <c r="B16548" s="3">
        <v>0</v>
      </c>
    </row>
    <row r="16549" ht="15.75" customHeight="1" spans="1:2">
      <c r="A16549" s="3" t="str">
        <f>IFERROR(__xludf.DUMMYFUNCTION("GOOGLETRANSLATE(A16549,""en"",""pt"")"),"imprecisão")</f>
        <v>imprecisão</v>
      </c>
      <c r="B16549" s="3">
        <v>0</v>
      </c>
    </row>
    <row r="16550" ht="15.75" customHeight="1" spans="1:2">
      <c r="A16550" s="3" t="str">
        <f>IFERROR(__xludf.DUMMYFUNCTION("GOOGLETRANSLATE(A16550,""en"",""pt"")"),"vão")</f>
        <v>vão</v>
      </c>
      <c r="B16550" s="3">
        <v>0</v>
      </c>
    </row>
    <row r="16551" ht="15.75" customHeight="1" spans="1:2">
      <c r="A16551" s="3" t="str">
        <f>IFERROR(__xludf.DUMMYFUNCTION("GOOGLETRANSLATE(A16551,""en"",""pt"")"),"em vão")</f>
        <v>em vão</v>
      </c>
      <c r="B16551" s="3">
        <v>0</v>
      </c>
    </row>
    <row r="16552" ht="15.75" customHeight="1" spans="1:2">
      <c r="A16552" s="3" t="str">
        <f>IFERROR(__xludf.DUMMYFUNCTION("GOOGLETRANSLATE(A16552,""en"",""pt"")"),"vaidade")</f>
        <v>vaidade</v>
      </c>
      <c r="B16552" s="3">
        <v>0</v>
      </c>
    </row>
    <row r="16553" ht="15.75" customHeight="1" spans="1:2">
      <c r="A16553" s="3" t="str">
        <f>IFERROR(__xludf.DUMMYFUNCTION("GOOGLETRANSLATE(A16553,""en"",""pt"")"),"veemente")</f>
        <v>veemente</v>
      </c>
      <c r="B16553" s="3">
        <v>0</v>
      </c>
    </row>
    <row r="16554" ht="15.75" customHeight="1" spans="1:2">
      <c r="A16554" s="3" t="str">
        <f>IFERROR(__xludf.DUMMYFUNCTION("GOOGLETRANSLATE(A16554,""en"",""pt"")"),"veementemente")</f>
        <v>veementemente</v>
      </c>
      <c r="B16554" s="3">
        <v>0</v>
      </c>
    </row>
    <row r="16555" ht="15.75" customHeight="1" spans="1:2">
      <c r="A16555" s="3" t="str">
        <f>IFERROR(__xludf.DUMMYFUNCTION("GOOGLETRANSLATE(A16555,""en"",""pt"")"),"vingança")</f>
        <v>vingança</v>
      </c>
      <c r="B16555" s="3">
        <v>0</v>
      </c>
    </row>
    <row r="16556" ht="15.75" customHeight="1" spans="1:2">
      <c r="A16556" s="3" t="str">
        <f>IFERROR(__xludf.DUMMYFUNCTION("GOOGLETRANSLATE(A16556,""en"",""pt"")"),"vingativo")</f>
        <v>vingativo</v>
      </c>
      <c r="B16556" s="3">
        <v>0</v>
      </c>
    </row>
    <row r="16557" ht="15.75" customHeight="1" spans="1:2">
      <c r="A16557" s="3" t="str">
        <f>IFERROR(__xludf.DUMMYFUNCTION("GOOGLETRANSLATE(A16557,""en"",""pt"")"),"vengefully")</f>
        <v>vengefully</v>
      </c>
      <c r="B16557" s="3">
        <v>0</v>
      </c>
    </row>
    <row r="16558" ht="15.75" customHeight="1" spans="1:2">
      <c r="A16558" s="3" t="str">
        <f>IFERROR(__xludf.DUMMYFUNCTION("GOOGLETRANSLATE(A16558,""en"",""pt"")"),"vengefulness")</f>
        <v>vengefulness</v>
      </c>
      <c r="B16558" s="3">
        <v>0</v>
      </c>
    </row>
    <row r="16559" ht="15.75" customHeight="1" spans="1:2">
      <c r="A16559" s="3" t="str">
        <f>IFERROR(__xludf.DUMMYFUNCTION("GOOGLETRANSLATE(A16559,""en"",""pt"")"),"veneno")</f>
        <v>veneno</v>
      </c>
      <c r="B16559" s="3">
        <v>0</v>
      </c>
    </row>
    <row r="16560" ht="15.75" customHeight="1" spans="1:2">
      <c r="A16560" s="3" t="str">
        <f>IFERROR(__xludf.DUMMYFUNCTION("GOOGLETRANSLATE(A16560,""en"",""pt"")"),"venenoso")</f>
        <v>venenoso</v>
      </c>
      <c r="B16560" s="3">
        <v>0</v>
      </c>
    </row>
    <row r="16561" ht="15.75" customHeight="1" spans="1:2">
      <c r="A16561" s="3" t="str">
        <f>IFERROR(__xludf.DUMMYFUNCTION("GOOGLETRANSLATE(A16561,""en"",""pt"")"),"venenosamente")</f>
        <v>venenosamente</v>
      </c>
      <c r="B16561" s="3">
        <v>0</v>
      </c>
    </row>
    <row r="16562" ht="15.75" customHeight="1" spans="1:2">
      <c r="A16562" s="3" t="str">
        <f>IFERROR(__xludf.DUMMYFUNCTION("GOOGLETRANSLATE(A16562,""en"",""pt"")"),"respiradouro")</f>
        <v>respiradouro</v>
      </c>
      <c r="B16562" s="3">
        <v>0</v>
      </c>
    </row>
    <row r="16563" ht="15.75" customHeight="1" spans="1:2">
      <c r="A16563" s="3" t="str">
        <f>IFERROR(__xludf.DUMMYFUNCTION("GOOGLETRANSLATE(A16563,""en"",""pt"")"),"vestígios")</f>
        <v>vestígios</v>
      </c>
      <c r="B16563" s="3">
        <v>0</v>
      </c>
    </row>
    <row r="16564" ht="15.75" customHeight="1" spans="1:2">
      <c r="A16564" s="3" t="str">
        <f>IFERROR(__xludf.DUMMYFUNCTION("GOOGLETRANSLATE(A16564,""en"",""pt"")"),"molestar")</f>
        <v>molestar</v>
      </c>
      <c r="B16564" s="3">
        <v>0</v>
      </c>
    </row>
    <row r="16565" ht="15.75" customHeight="1" spans="1:2">
      <c r="A16565" s="3" t="str">
        <f>IFERROR(__xludf.DUMMYFUNCTION("GOOGLETRANSLATE(A16565,""en"",""pt"")"),"vexação")</f>
        <v>vexação</v>
      </c>
      <c r="B16565" s="3">
        <v>0</v>
      </c>
    </row>
    <row r="16566" ht="15.75" customHeight="1" spans="1:2">
      <c r="A16566" s="3" t="str">
        <f>IFERROR(__xludf.DUMMYFUNCTION("GOOGLETRANSLATE(A16566,""en"",""pt"")"),"vexatório")</f>
        <v>vexatório</v>
      </c>
      <c r="B16566" s="3">
        <v>0</v>
      </c>
    </row>
    <row r="16567" ht="15.75" customHeight="1" spans="1:2">
      <c r="A16567" s="3" t="str">
        <f>IFERROR(__xludf.DUMMYFUNCTION("GOOGLETRANSLATE(A16567,""en"",""pt"")"),"vexingly")</f>
        <v>vexingly</v>
      </c>
      <c r="B16567" s="3">
        <v>0</v>
      </c>
    </row>
    <row r="16568" ht="15.75" customHeight="1" spans="1:2">
      <c r="A16568" s="3" t="str">
        <f>IFERROR(__xludf.DUMMYFUNCTION("GOOGLETRANSLATE(A16568,""en"",""pt"")"),"vibrar")</f>
        <v>vibrar</v>
      </c>
      <c r="B16568" s="3">
        <v>0</v>
      </c>
    </row>
    <row r="16569" ht="15.75" customHeight="1" spans="1:2">
      <c r="A16569" s="3" t="str">
        <f>IFERROR(__xludf.DUMMYFUNCTION("GOOGLETRANSLATE(A16569,""en"",""pt"")"),"vibrado")</f>
        <v>vibrado</v>
      </c>
      <c r="B16569" s="3">
        <v>0</v>
      </c>
    </row>
    <row r="16570" ht="15.75" customHeight="1" spans="1:2">
      <c r="A16570" s="3" t="str">
        <f>IFERROR(__xludf.DUMMYFUNCTION("GOOGLETRANSLATE(A16570,""en"",""pt"")"),"vibra")</f>
        <v>vibra</v>
      </c>
      <c r="B16570" s="3">
        <v>0</v>
      </c>
    </row>
    <row r="16571" ht="15.75" customHeight="1" spans="1:2">
      <c r="A16571" s="3" t="str">
        <f>IFERROR(__xludf.DUMMYFUNCTION("GOOGLETRANSLATE(A16571,""en"",""pt"")"),"vibrando")</f>
        <v>vibrando</v>
      </c>
      <c r="B16571" s="3">
        <v>0</v>
      </c>
    </row>
    <row r="16572" ht="15.75" customHeight="1" spans="1:2">
      <c r="A16572" s="3" t="str">
        <f>IFERROR(__xludf.DUMMYFUNCTION("GOOGLETRANSLATE(A16572,""en"",""pt"")"),"vibração")</f>
        <v>vibração</v>
      </c>
      <c r="B16572" s="3">
        <v>0</v>
      </c>
    </row>
    <row r="16573" ht="15.75" customHeight="1" spans="1:2">
      <c r="A16573" s="3" t="str">
        <f>IFERROR(__xludf.DUMMYFUNCTION("GOOGLETRANSLATE(A16573,""en"",""pt"")"),"vício")</f>
        <v>vício</v>
      </c>
      <c r="B16573" s="3">
        <v>0</v>
      </c>
    </row>
    <row r="16574" ht="15.75" customHeight="1" spans="1:2">
      <c r="A16574" s="3" t="str">
        <f>IFERROR(__xludf.DUMMYFUNCTION("GOOGLETRANSLATE(A16574,""en"",""pt"")"),"vicioso")</f>
        <v>vicioso</v>
      </c>
      <c r="B16574" s="3">
        <v>0</v>
      </c>
    </row>
    <row r="16575" ht="15.75" customHeight="1" spans="1:2">
      <c r="A16575" s="3" t="str">
        <f>IFERROR(__xludf.DUMMYFUNCTION("GOOGLETRANSLATE(A16575,""en"",""pt"")"),"viciosamente")</f>
        <v>viciosamente</v>
      </c>
      <c r="B16575" s="3">
        <v>0</v>
      </c>
    </row>
    <row r="16576" ht="15.75" customHeight="1" spans="1:2">
      <c r="A16576" s="3" t="str">
        <f>IFERROR(__xludf.DUMMYFUNCTION("GOOGLETRANSLATE(A16576,""en"",""pt"")"),"viciousness")</f>
        <v>viciousness</v>
      </c>
      <c r="B16576" s="3">
        <v>0</v>
      </c>
    </row>
    <row r="16577" ht="15.75" customHeight="1" spans="1:2">
      <c r="A16577" s="3" t="str">
        <f>IFERROR(__xludf.DUMMYFUNCTION("GOOGLETRANSLATE(A16577,""en"",""pt"")"),"Vitimizar")</f>
        <v>Vitimizar</v>
      </c>
      <c r="B16577" s="3">
        <v>0</v>
      </c>
    </row>
    <row r="16578" ht="15.75" customHeight="1" spans="1:2">
      <c r="A16578" s="3" t="str">
        <f>IFERROR(__xludf.DUMMYFUNCTION("GOOGLETRANSLATE(A16578,""en"",""pt"")"),"vil")</f>
        <v>vil</v>
      </c>
      <c r="B16578" s="3">
        <v>0</v>
      </c>
    </row>
    <row r="16579" ht="15.75" customHeight="1" spans="1:2">
      <c r="A16579" s="3" t="str">
        <f>IFERROR(__xludf.DUMMYFUNCTION("GOOGLETRANSLATE(A16579,""en"",""pt"")"),"vileza")</f>
        <v>vileza</v>
      </c>
      <c r="B16579" s="3">
        <v>0</v>
      </c>
    </row>
    <row r="16580" ht="15.75" customHeight="1" spans="1:2">
      <c r="A16580" s="3" t="str">
        <f>IFERROR(__xludf.DUMMYFUNCTION("GOOGLETRANSLATE(A16580,""en"",""pt"")"),"vilipendiar")</f>
        <v>vilipendiar</v>
      </c>
      <c r="B16580" s="3">
        <v>0</v>
      </c>
    </row>
    <row r="16581" ht="15.75" customHeight="1" spans="1:2">
      <c r="A16581" s="3" t="str">
        <f>IFERROR(__xludf.DUMMYFUNCTION("GOOGLETRANSLATE(A16581,""en"",""pt"")"),"vil")</f>
        <v>vil</v>
      </c>
      <c r="B16581" s="3">
        <v>0</v>
      </c>
    </row>
    <row r="16582" ht="15.75" customHeight="1" spans="1:2">
      <c r="A16582" s="3" t="str">
        <f>IFERROR(__xludf.DUMMYFUNCTION("GOOGLETRANSLATE(A16582,""en"",""pt"")"),"vilmente")</f>
        <v>vilmente</v>
      </c>
      <c r="B16582" s="3">
        <v>0</v>
      </c>
    </row>
    <row r="16583" ht="15.75" customHeight="1" spans="1:2">
      <c r="A16583" s="3" t="str">
        <f>IFERROR(__xludf.DUMMYFUNCTION("GOOGLETRANSLATE(A16583,""en"",""pt"")"),"vilões")</f>
        <v>vilões</v>
      </c>
      <c r="B16583" s="3">
        <v>0</v>
      </c>
    </row>
    <row r="16584" ht="15.75" customHeight="1" spans="1:2">
      <c r="A16584" s="3" t="str">
        <f>IFERROR(__xludf.DUMMYFUNCTION("GOOGLETRANSLATE(A16584,""en"",""pt"")"),"villian")</f>
        <v>villian</v>
      </c>
      <c r="B16584" s="3">
        <v>0</v>
      </c>
    </row>
    <row r="16585" ht="15.75" customHeight="1" spans="1:2">
      <c r="A16585" s="3" t="str">
        <f>IFERROR(__xludf.DUMMYFUNCTION("GOOGLETRANSLATE(A16585,""en"",""pt"")"),"villianous")</f>
        <v>villianous</v>
      </c>
      <c r="B16585" s="3">
        <v>0</v>
      </c>
    </row>
    <row r="16586" ht="15.75" customHeight="1" spans="1:2">
      <c r="A16586" s="3" t="str">
        <f>IFERROR(__xludf.DUMMYFUNCTION("GOOGLETRANSLATE(A16586,""en"",""pt"")"),"villianously")</f>
        <v>villianously</v>
      </c>
      <c r="B16586" s="3">
        <v>0</v>
      </c>
    </row>
    <row r="16587" ht="15.75" customHeight="1" spans="1:2">
      <c r="A16587" s="3" t="str">
        <f>IFERROR(__xludf.DUMMYFUNCTION("GOOGLETRANSLATE(A16587,""en"",""pt"")"),"vilificar")</f>
        <v>vilificar</v>
      </c>
      <c r="B16587" s="3">
        <v>0</v>
      </c>
    </row>
    <row r="16588" ht="15.75" customHeight="1" spans="1:2">
      <c r="A16588" s="3" t="str">
        <f>IFERROR(__xludf.DUMMYFUNCTION("GOOGLETRANSLATE(A16588,""en"",""pt"")"),"vingativo")</f>
        <v>vingativo</v>
      </c>
      <c r="B16588" s="3">
        <v>0</v>
      </c>
    </row>
    <row r="16589" ht="15.75" customHeight="1" spans="1:2">
      <c r="A16589" s="3" t="str">
        <f>IFERROR(__xludf.DUMMYFUNCTION("GOOGLETRANSLATE(A16589,""en"",""pt"")"),"vindictively")</f>
        <v>vindictively</v>
      </c>
      <c r="B16589" s="3">
        <v>0</v>
      </c>
    </row>
    <row r="16590" ht="15.75" customHeight="1" spans="1:2">
      <c r="A16590" s="3" t="str">
        <f>IFERROR(__xludf.DUMMYFUNCTION("GOOGLETRANSLATE(A16590,""en"",""pt"")"),"vindictiveness")</f>
        <v>vindictiveness</v>
      </c>
      <c r="B16590" s="3">
        <v>0</v>
      </c>
    </row>
    <row r="16591" ht="15.75" customHeight="1" spans="1:2">
      <c r="A16591" s="3" t="str">
        <f>IFERROR(__xludf.DUMMYFUNCTION("GOOGLETRANSLATE(A16591,""en"",""pt"")"),"violar")</f>
        <v>violar</v>
      </c>
      <c r="B16591" s="3">
        <v>0</v>
      </c>
    </row>
    <row r="16592" ht="15.75" customHeight="1" spans="1:2">
      <c r="A16592" s="3" t="str">
        <f>IFERROR(__xludf.DUMMYFUNCTION("GOOGLETRANSLATE(A16592,""en"",""pt"")"),"violação")</f>
        <v>violação</v>
      </c>
      <c r="B16592" s="3">
        <v>0</v>
      </c>
    </row>
    <row r="16593" ht="15.75" customHeight="1" spans="1:2">
      <c r="A16593" s="3" t="str">
        <f>IFERROR(__xludf.DUMMYFUNCTION("GOOGLETRANSLATE(A16593,""en"",""pt"")"),"infrator")</f>
        <v>infrator</v>
      </c>
      <c r="B16593" s="3">
        <v>0</v>
      </c>
    </row>
    <row r="16594" ht="15.75" customHeight="1" spans="1:2">
      <c r="A16594" s="3" t="str">
        <f>IFERROR(__xludf.DUMMYFUNCTION("GOOGLETRANSLATE(A16594,""en"",""pt"")"),"violadores")</f>
        <v>violadores</v>
      </c>
      <c r="B16594" s="3">
        <v>0</v>
      </c>
    </row>
    <row r="16595" ht="15.75" customHeight="1" spans="1:2">
      <c r="A16595" s="3" t="str">
        <f>IFERROR(__xludf.DUMMYFUNCTION("GOOGLETRANSLATE(A16595,""en"",""pt"")"),"violento")</f>
        <v>violento</v>
      </c>
      <c r="B16595" s="3">
        <v>0</v>
      </c>
    </row>
    <row r="16596" ht="15.75" customHeight="1" spans="1:2">
      <c r="A16596" s="3" t="s">
        <v>89</v>
      </c>
      <c r="B16596" s="3">
        <v>0</v>
      </c>
    </row>
    <row r="16597" ht="15.75" customHeight="1" spans="1:2">
      <c r="A16597" s="3" t="str">
        <f>IFERROR(__xludf.DUMMYFUNCTION("GOOGLETRANSLATE(A16597,""en"",""pt"")"),"víbora")</f>
        <v>víbora</v>
      </c>
      <c r="B16597" s="3">
        <v>0</v>
      </c>
    </row>
    <row r="16598" ht="15.75" customHeight="1" spans="1:2">
      <c r="A16598" s="3" t="str">
        <f>IFERROR(__xludf.DUMMYFUNCTION("GOOGLETRANSLATE(A16598,""en"",""pt"")"),"virulência")</f>
        <v>virulência</v>
      </c>
      <c r="B16598" s="3">
        <v>0</v>
      </c>
    </row>
    <row r="16599" ht="15.75" customHeight="1" spans="1:2">
      <c r="A16599" s="3" t="str">
        <f>IFERROR(__xludf.DUMMYFUNCTION("GOOGLETRANSLATE(A16599,""en"",""pt"")"),"virulento")</f>
        <v>virulento</v>
      </c>
      <c r="B16599" s="3">
        <v>0</v>
      </c>
    </row>
    <row r="16600" ht="15.75" customHeight="1" spans="1:2">
      <c r="A16600" s="3" t="str">
        <f>IFERROR(__xludf.DUMMYFUNCTION("GOOGLETRANSLATE(A16600,""en"",""pt"")"),"virulentamente")</f>
        <v>virulentamente</v>
      </c>
      <c r="B16600" s="3">
        <v>0</v>
      </c>
    </row>
    <row r="16601" ht="15.75" customHeight="1" spans="1:2">
      <c r="A16601" s="3" t="str">
        <f>IFERROR(__xludf.DUMMYFUNCTION("GOOGLETRANSLATE(A16601,""en"",""pt"")"),"vírus")</f>
        <v>vírus</v>
      </c>
      <c r="B16601" s="3">
        <v>0</v>
      </c>
    </row>
    <row r="16602" ht="15.75" customHeight="1" spans="1:2">
      <c r="A16602" s="3" t="str">
        <f>IFERROR(__xludf.DUMMYFUNCTION("GOOGLETRANSLATE(A16602,""en"",""pt"")"),"vociferador")</f>
        <v>vociferador</v>
      </c>
      <c r="B16602" s="3">
        <v>0</v>
      </c>
    </row>
    <row r="16603" ht="15.75" customHeight="1" spans="1:2">
      <c r="A16603" s="3" t="str">
        <f>IFERROR(__xludf.DUMMYFUNCTION("GOOGLETRANSLATE(A16603,""en"",""pt"")"),"vociferously")</f>
        <v>vociferously</v>
      </c>
      <c r="B16603" s="3">
        <v>0</v>
      </c>
    </row>
    <row r="16604" ht="15.75" customHeight="1" spans="1:2">
      <c r="A16604" s="3" t="str">
        <f>IFERROR(__xludf.DUMMYFUNCTION("GOOGLETRANSLATE(A16604,""en"",""pt"")"),"volátil")</f>
        <v>volátil</v>
      </c>
      <c r="B16604" s="3">
        <v>0</v>
      </c>
    </row>
    <row r="16605" ht="15.75" customHeight="1" spans="1:2">
      <c r="A16605" s="3" t="str">
        <f>IFERROR(__xludf.DUMMYFUNCTION("GOOGLETRANSLATE(A16605,""en"",""pt"")"),"volatilidade")</f>
        <v>volatilidade</v>
      </c>
      <c r="B16605" s="3">
        <v>0</v>
      </c>
    </row>
    <row r="16606" ht="15.75" customHeight="1" spans="1:2">
      <c r="A16606" s="3" t="str">
        <f>IFERROR(__xludf.DUMMYFUNCTION("GOOGLETRANSLATE(A16606,""en"",""pt"")"),"vomitar")</f>
        <v>vomitar</v>
      </c>
      <c r="B16606" s="3">
        <v>0</v>
      </c>
    </row>
    <row r="16607" ht="15.75" customHeight="1" spans="1:2">
      <c r="A16607" s="3" t="str">
        <f>IFERROR(__xludf.DUMMYFUNCTION("GOOGLETRANSLATE(A16607,""en"",""pt"")"),"Vomited")</f>
        <v>Vomited</v>
      </c>
      <c r="B16607" s="3">
        <v>0</v>
      </c>
    </row>
    <row r="16608" ht="15.75" customHeight="1" spans="1:2">
      <c r="A16608" s="3" t="str">
        <f>IFERROR(__xludf.DUMMYFUNCTION("GOOGLETRANSLATE(A16608,""en"",""pt"")"),"vómitos")</f>
        <v>vómitos</v>
      </c>
      <c r="B16608" s="3">
        <v>0</v>
      </c>
    </row>
    <row r="16609" ht="15.75" customHeight="1" spans="1:2">
      <c r="A16609" s="3" t="str">
        <f>IFERROR(__xludf.DUMMYFUNCTION("GOOGLETRANSLATE(A16609,""en"",""pt"")"),"vômitos")</f>
        <v>vômitos</v>
      </c>
      <c r="B16609" s="3">
        <v>0</v>
      </c>
    </row>
    <row r="16610" ht="15.75" customHeight="1" spans="1:2">
      <c r="A16610" s="3" t="str">
        <f>IFERROR(__xludf.DUMMYFUNCTION("GOOGLETRANSLATE(A16610,""en"",""pt"")"),"vulgar")</f>
        <v>vulgar</v>
      </c>
      <c r="B16610" s="3">
        <v>0</v>
      </c>
    </row>
    <row r="16611" ht="15.75" customHeight="1" spans="1:2">
      <c r="A16611" s="3" t="str">
        <f>IFERROR(__xludf.DUMMYFUNCTION("GOOGLETRANSLATE(A16611,""en"",""pt"")"),"vulnerável")</f>
        <v>vulnerável</v>
      </c>
      <c r="B16611" s="3">
        <v>0</v>
      </c>
    </row>
    <row r="16612" ht="15.75" customHeight="1" spans="1:2">
      <c r="A16612" s="3" t="str">
        <f>IFERROR(__xludf.DUMMYFUNCTION("GOOGLETRANSLATE(A16612,""en"",""pt"")"),"Wack")</f>
        <v>Wack</v>
      </c>
      <c r="B16612" s="3">
        <v>0</v>
      </c>
    </row>
    <row r="16613" ht="15.75" customHeight="1" spans="1:2">
      <c r="A16613" s="3" t="str">
        <f>IFERROR(__xludf.DUMMYFUNCTION("GOOGLETRANSLATE(A16613,""en"",""pt"")"),"lamúria")</f>
        <v>lamúria</v>
      </c>
      <c r="B16613" s="3">
        <v>0</v>
      </c>
    </row>
    <row r="16614" ht="15.75" customHeight="1" spans="1:2">
      <c r="A16614" s="3" t="str">
        <f>IFERROR(__xludf.DUMMYFUNCTION("GOOGLETRANSLATE(A16614,""en"",""pt"")"),"chafurdar")</f>
        <v>chafurdar</v>
      </c>
      <c r="B16614" s="3">
        <v>0</v>
      </c>
    </row>
    <row r="16615" ht="15.75" customHeight="1" spans="1:2">
      <c r="A16615" s="3" t="str">
        <f>IFERROR(__xludf.DUMMYFUNCTION("GOOGLETRANSLATE(A16615,""en"",""pt"")"),"declínio")</f>
        <v>declínio</v>
      </c>
      <c r="B16615" s="3">
        <v>0</v>
      </c>
    </row>
    <row r="16616" ht="15.75" customHeight="1" spans="1:2">
      <c r="A16616" s="3" t="str">
        <f>IFERROR(__xludf.DUMMYFUNCTION("GOOGLETRANSLATE(A16616,""en"",""pt"")"),"minguante")</f>
        <v>minguante</v>
      </c>
      <c r="B16616" s="3">
        <v>0</v>
      </c>
    </row>
    <row r="16617" ht="15.75" customHeight="1" spans="1:2">
      <c r="A16617" s="3" t="str">
        <f>IFERROR(__xludf.DUMMYFUNCTION("GOOGLETRANSLATE(A16617,""en"",""pt"")"),"arbitrário")</f>
        <v>arbitrário</v>
      </c>
      <c r="B16617" s="3">
        <v>0</v>
      </c>
    </row>
    <row r="16618" ht="15.75" customHeight="1" spans="1:2">
      <c r="A16618" s="3" t="str">
        <f>IFERROR(__xludf.DUMMYFUNCTION("GOOGLETRANSLATE(A16618,""en"",""pt"")"),"bélica")</f>
        <v>bélica</v>
      </c>
      <c r="B16618" s="3">
        <v>0</v>
      </c>
    </row>
    <row r="16619" ht="15.75" customHeight="1" spans="1:2">
      <c r="A16619" s="3" t="str">
        <f>IFERROR(__xludf.DUMMYFUNCTION("GOOGLETRANSLATE(A16619,""en"",""pt"")"),"cautelosamente")</f>
        <v>cautelosamente</v>
      </c>
      <c r="B16619" s="3">
        <v>0</v>
      </c>
    </row>
    <row r="16620" ht="15.75" customHeight="1" spans="1:2">
      <c r="A16620" s="3" t="str">
        <f>IFERROR(__xludf.DUMMYFUNCTION("GOOGLETRANSLATE(A16620,""en"",""pt"")"),"cautela")</f>
        <v>cautela</v>
      </c>
      <c r="B16620" s="3">
        <v>0</v>
      </c>
    </row>
    <row r="16621" ht="15.75" customHeight="1" spans="1:2">
      <c r="A16621" s="3" t="str">
        <f>IFERROR(__xludf.DUMMYFUNCTION("GOOGLETRANSLATE(A16621,""en"",""pt"")"),"bélico")</f>
        <v>bélico</v>
      </c>
      <c r="B16621" s="3">
        <v>0</v>
      </c>
    </row>
    <row r="16622" ht="15.75" customHeight="1" spans="1:2">
      <c r="A16622" s="3" t="str">
        <f>IFERROR(__xludf.DUMMYFUNCTION("GOOGLETRANSLATE(A16622,""en"",""pt"")"),"avisou")</f>
        <v>avisou</v>
      </c>
      <c r="B16622" s="3">
        <v>0</v>
      </c>
    </row>
    <row r="16623" ht="15.75" customHeight="1" spans="1:2">
      <c r="A16623" s="3" t="str">
        <f>IFERROR(__xludf.DUMMYFUNCTION("GOOGLETRANSLATE(A16623,""en"",""pt"")"),"Atenção")</f>
        <v>Atenção</v>
      </c>
      <c r="B16623" s="3">
        <v>0</v>
      </c>
    </row>
    <row r="16624" ht="15.75" customHeight="1" spans="1:2">
      <c r="A16624" s="3" t="str">
        <f>IFERROR(__xludf.DUMMYFUNCTION("GOOGLETRANSLATE(A16624,""en"",""pt"")"),"urdidura")</f>
        <v>urdidura</v>
      </c>
      <c r="B16624" s="3">
        <v>0</v>
      </c>
    </row>
    <row r="16625" ht="15.75" customHeight="1" spans="1:2">
      <c r="A16625" s="3" t="str">
        <f>IFERROR(__xludf.DUMMYFUNCTION("GOOGLETRANSLATE(A16625,""en"",""pt"")"),"deformado")</f>
        <v>deformado</v>
      </c>
      <c r="B16625" s="3">
        <v>0</v>
      </c>
    </row>
    <row r="16626" ht="15.75" customHeight="1" spans="1:2">
      <c r="A16626" s="3" t="str">
        <f>IFERROR(__xludf.DUMMYFUNCTION("GOOGLETRANSLATE(A16626,""en"",""pt"")"),"desconfiado")</f>
        <v>desconfiado</v>
      </c>
      <c r="B16626" s="3">
        <v>0</v>
      </c>
    </row>
    <row r="16627" ht="15.75" customHeight="1" spans="1:2">
      <c r="A16627" s="3" t="str">
        <f>IFERROR(__xludf.DUMMYFUNCTION("GOOGLETRANSLATE(A16627,""en"",""pt"")"),"lavado")</f>
        <v>lavado</v>
      </c>
      <c r="B16627" s="3">
        <v>0</v>
      </c>
    </row>
    <row r="16628" ht="15.75" customHeight="1" spans="1:2">
      <c r="A16628" s="3" t="str">
        <f>IFERROR(__xludf.DUMMYFUNCTION("GOOGLETRANSLATE(A16628,""en"",""pt"")"),"desperdício")</f>
        <v>desperdício</v>
      </c>
      <c r="B16628" s="3">
        <v>0</v>
      </c>
    </row>
    <row r="16629" ht="15.75" customHeight="1" spans="1:2">
      <c r="A16629" s="3" t="str">
        <f>IFERROR(__xludf.DUMMYFUNCTION("GOOGLETRANSLATE(A16629,""en"",""pt"")"),"desperdiçado")</f>
        <v>desperdiçado</v>
      </c>
      <c r="B16629" s="3">
        <v>0</v>
      </c>
    </row>
    <row r="16630" ht="15.75" customHeight="1" spans="1:2">
      <c r="A16630" s="3" t="str">
        <f>IFERROR(__xludf.DUMMYFUNCTION("GOOGLETRANSLATE(A16630,""en"",""pt"")"),"desperdício")</f>
        <v>desperdício</v>
      </c>
      <c r="B16630" s="3">
        <v>0</v>
      </c>
    </row>
    <row r="16631" ht="15.75" customHeight="1" spans="1:2">
      <c r="A16631" s="3" t="str">
        <f>IFERROR(__xludf.DUMMYFUNCTION("GOOGLETRANSLATE(A16631,""en"",""pt"")"),"desperdício")</f>
        <v>desperdício</v>
      </c>
      <c r="B16631" s="3">
        <v>0</v>
      </c>
    </row>
    <row r="16632" ht="15.75" customHeight="1" spans="1:2">
      <c r="A16632" s="3" t="str">
        <f>IFERROR(__xludf.DUMMYFUNCTION("GOOGLETRANSLATE(A16632,""en"",""pt"")"),"desperdício")</f>
        <v>desperdício</v>
      </c>
      <c r="B16632" s="3">
        <v>0</v>
      </c>
    </row>
    <row r="16633" ht="15.75" customHeight="1" spans="1:2">
      <c r="A16633" s="3" t="str">
        <f>IFERROR(__xludf.DUMMYFUNCTION("GOOGLETRANSLATE(A16633,""en"",""pt"")"),"água-para baixo")</f>
        <v>água-para baixo</v>
      </c>
      <c r="B16633" s="3">
        <v>0</v>
      </c>
    </row>
    <row r="16634" ht="15.75" customHeight="1" spans="1:2">
      <c r="A16634" s="3" t="str">
        <f>IFERROR(__xludf.DUMMYFUNCTION("GOOGLETRANSLATE(A16634,""en"",""pt"")"),"aguado")</f>
        <v>aguado</v>
      </c>
      <c r="B16634" s="3">
        <v>0</v>
      </c>
    </row>
    <row r="16635" ht="15.75" customHeight="1" spans="1:2">
      <c r="A16635" s="3" t="str">
        <f>IFERROR(__xludf.DUMMYFUNCTION("GOOGLETRANSLATE(A16635,""en"",""pt"")"),"desobediente")</f>
        <v>desobediente</v>
      </c>
      <c r="B16635" s="3">
        <v>0</v>
      </c>
    </row>
    <row r="16636" ht="15.75" customHeight="1" spans="1:2">
      <c r="A16636" s="3" t="str">
        <f>IFERROR(__xludf.DUMMYFUNCTION("GOOGLETRANSLATE(A16636,""en"",""pt"")"),"fraco")</f>
        <v>fraco</v>
      </c>
      <c r="B16636" s="3">
        <v>0</v>
      </c>
    </row>
    <row r="16637" ht="15.75" customHeight="1" spans="1:2">
      <c r="A16637" s="3" t="str">
        <f>IFERROR(__xludf.DUMMYFUNCTION("GOOGLETRANSLATE(A16637,""en"",""pt"")"),"enfraquecer")</f>
        <v>enfraquecer</v>
      </c>
      <c r="B16637" s="3">
        <v>0</v>
      </c>
    </row>
    <row r="16638" ht="15.75" customHeight="1" spans="1:2">
      <c r="A16638" s="3" t="str">
        <f>IFERROR(__xludf.DUMMYFUNCTION("GOOGLETRANSLATE(A16638,""en"",""pt"")"),"enfraquecimento")</f>
        <v>enfraquecimento</v>
      </c>
      <c r="B16638" s="3">
        <v>0</v>
      </c>
    </row>
    <row r="16639" ht="15.75" customHeight="1" spans="1:2">
      <c r="A16639" s="3" t="str">
        <f>IFERROR(__xludf.DUMMYFUNCTION("GOOGLETRANSLATE(A16639,""en"",""pt"")"),"mais fraco")</f>
        <v>mais fraco</v>
      </c>
      <c r="B16639" s="3">
        <v>0</v>
      </c>
    </row>
    <row r="16640" ht="15.75" customHeight="1" spans="1:2">
      <c r="A16640" s="3" t="str">
        <f>IFERROR(__xludf.DUMMYFUNCTION("GOOGLETRANSLATE(A16640,""en"",""pt"")"),"fraqueza")</f>
        <v>fraqueza</v>
      </c>
      <c r="B16640" s="3">
        <v>0</v>
      </c>
    </row>
    <row r="16641" ht="15.75" customHeight="1" spans="1:2">
      <c r="A16641" s="3" t="str">
        <f>IFERROR(__xludf.DUMMYFUNCTION("GOOGLETRANSLATE(A16641,""en"",""pt"")"),"fraquezas")</f>
        <v>fraquezas</v>
      </c>
      <c r="B16641" s="3">
        <v>0</v>
      </c>
    </row>
    <row r="16642" ht="15.75" customHeight="1" spans="1:2">
      <c r="A16642" s="3" t="str">
        <f>IFERROR(__xludf.DUMMYFUNCTION("GOOGLETRANSLATE(A16642,""en"",""pt"")"),"cansaço")</f>
        <v>cansaço</v>
      </c>
      <c r="B16642" s="3">
        <v>0</v>
      </c>
    </row>
    <row r="16643" ht="15.75" customHeight="1" spans="1:2">
      <c r="A16643" s="3" t="str">
        <f>IFERROR(__xludf.DUMMYFUNCTION("GOOGLETRANSLATE(A16643,""en"",""pt"")"),"enfadonho")</f>
        <v>enfadonho</v>
      </c>
      <c r="B16643" s="3">
        <v>0</v>
      </c>
    </row>
    <row r="16644" ht="15.75" customHeight="1" spans="1:2">
      <c r="A16644" s="3" t="str">
        <f>IFERROR(__xludf.DUMMYFUNCTION("GOOGLETRANSLATE(A16644,""en"",""pt"")"),"cansado")</f>
        <v>cansado</v>
      </c>
      <c r="B16644" s="3">
        <v>0</v>
      </c>
    </row>
    <row r="16645" ht="15.75" customHeight="1" spans="1:2">
      <c r="A16645" s="3" t="str">
        <f>IFERROR(__xludf.DUMMYFUNCTION("GOOGLETRANSLATE(A16645,""en"",""pt"")"),"cunha")</f>
        <v>cunha</v>
      </c>
      <c r="B16645" s="3">
        <v>0</v>
      </c>
    </row>
    <row r="16646" ht="15.75" customHeight="1" spans="1:2">
      <c r="A16646" s="3" t="str">
        <f>IFERROR(__xludf.DUMMYFUNCTION("GOOGLETRANSLATE(A16646,""en"",""pt"")"),"erva daninha")</f>
        <v>erva daninha</v>
      </c>
      <c r="B16646" s="3">
        <v>0</v>
      </c>
    </row>
    <row r="16647" ht="15.75" customHeight="1" spans="1:2">
      <c r="A16647" s="3" t="str">
        <f>IFERROR(__xludf.DUMMYFUNCTION("GOOGLETRANSLATE(A16647,""en"",""pt"")"),"chorar")</f>
        <v>chorar</v>
      </c>
      <c r="B16647" s="3">
        <v>0</v>
      </c>
    </row>
    <row r="16648" ht="15.75" customHeight="1" spans="1:2">
      <c r="A16648" s="3" t="str">
        <f>IFERROR(__xludf.DUMMYFUNCTION("GOOGLETRANSLATE(A16648,""en"",""pt"")"),"esquisito")</f>
        <v>esquisito</v>
      </c>
      <c r="B16648" s="3">
        <v>0</v>
      </c>
    </row>
    <row r="16649" ht="15.75" customHeight="1" spans="1:2">
      <c r="A16649" s="3" t="str">
        <f>IFERROR(__xludf.DUMMYFUNCTION("GOOGLETRANSLATE(A16649,""en"",""pt"")"),"estranhamente")</f>
        <v>estranhamente</v>
      </c>
      <c r="B16649" s="3">
        <v>0</v>
      </c>
    </row>
    <row r="16650" ht="15.75" customHeight="1" spans="1:2">
      <c r="A16650" s="3" t="str">
        <f>IFERROR(__xludf.DUMMYFUNCTION("GOOGLETRANSLATE(A16650,""en"",""pt"")"),"wheedle")</f>
        <v>wheedle</v>
      </c>
      <c r="B16650" s="3">
        <v>0</v>
      </c>
    </row>
    <row r="16651" ht="15.75" customHeight="1" spans="1:2">
      <c r="A16651" s="3" t="str">
        <f>IFERROR(__xludf.DUMMYFUNCTION("GOOGLETRANSLATE(A16651,""en"",""pt"")"),"choramingar")</f>
        <v>choramingar</v>
      </c>
      <c r="B16651" s="3">
        <v>0</v>
      </c>
    </row>
    <row r="16652" ht="15.75" customHeight="1" spans="1:2">
      <c r="A16652" s="3" t="str">
        <f>IFERROR(__xludf.DUMMYFUNCTION("GOOGLETRANSLATE(A16652,""en"",""pt"")"),"ganir")</f>
        <v>ganir</v>
      </c>
      <c r="B16652" s="3">
        <v>0</v>
      </c>
    </row>
    <row r="16653" ht="15.75" customHeight="1" spans="1:2">
      <c r="A16653" s="3" t="str">
        <f>IFERROR(__xludf.DUMMYFUNCTION("GOOGLETRANSLATE(A16653,""en"",""pt"")"),"choramingar")</f>
        <v>choramingar</v>
      </c>
      <c r="B16653" s="3">
        <v>0</v>
      </c>
    </row>
    <row r="16654" ht="15.75" customHeight="1" spans="1:2">
      <c r="A16654" s="3" t="str">
        <f>IFERROR(__xludf.DUMMYFUNCTION("GOOGLETRANSLATE(A16654,""en"",""pt"")"),"whiny")</f>
        <v>whiny</v>
      </c>
      <c r="B16654" s="3">
        <v>0</v>
      </c>
    </row>
    <row r="16655" ht="15.75" customHeight="1" spans="1:2">
      <c r="A16655" s="3" t="str">
        <f>IFERROR(__xludf.DUMMYFUNCTION("GOOGLETRANSLATE(A16655,""en"",""pt"")"),"chicotes")</f>
        <v>chicotes</v>
      </c>
      <c r="B16655" s="3">
        <v>0</v>
      </c>
    </row>
    <row r="16656" ht="15.75" customHeight="1" spans="1:2">
      <c r="A16656" s="3" t="str">
        <f>IFERROR(__xludf.DUMMYFUNCTION("GOOGLETRANSLATE(A16656,""en"",""pt"")"),"prostituta")</f>
        <v>prostituta</v>
      </c>
      <c r="B16656" s="3">
        <v>0</v>
      </c>
    </row>
    <row r="16657" ht="15.75" customHeight="1" spans="1:2">
      <c r="A16657" s="3" t="s">
        <v>90</v>
      </c>
      <c r="B16657" s="3">
        <v>0</v>
      </c>
    </row>
    <row r="16658" ht="15.75" customHeight="1" spans="1:2">
      <c r="A16658" s="3" t="str">
        <f>IFERROR(__xludf.DUMMYFUNCTION("GOOGLETRANSLATE(A16658,""en"",""pt"")"),"malvado")</f>
        <v>malvado</v>
      </c>
      <c r="B16658" s="3">
        <v>0</v>
      </c>
    </row>
    <row r="16659" ht="15.75" customHeight="1" spans="1:2">
      <c r="A16659" s="3" t="str">
        <f>IFERROR(__xludf.DUMMYFUNCTION("GOOGLETRANSLATE(A16659,""en"",""pt"")"),"perversamente")</f>
        <v>perversamente</v>
      </c>
      <c r="B16659" s="3">
        <v>0</v>
      </c>
    </row>
    <row r="16660" ht="15.75" customHeight="1" spans="1:2">
      <c r="A16660" s="3" t="str">
        <f>IFERROR(__xludf.DUMMYFUNCTION("GOOGLETRANSLATE(A16660,""en"",""pt"")"),"maldade")</f>
        <v>maldade</v>
      </c>
      <c r="B16660" s="3">
        <v>0</v>
      </c>
    </row>
    <row r="16661" ht="15.75" customHeight="1" spans="1:2">
      <c r="A16661" s="3" t="str">
        <f>IFERROR(__xludf.DUMMYFUNCTION("GOOGLETRANSLATE(A16661,""en"",""pt"")"),"selvagem")</f>
        <v>selvagem</v>
      </c>
      <c r="B16661" s="3">
        <v>0</v>
      </c>
    </row>
    <row r="16662" ht="15.75" customHeight="1" spans="1:2">
      <c r="A16662" s="3" t="str">
        <f>IFERROR(__xludf.DUMMYFUNCTION("GOOGLETRANSLATE(A16662,""en"",""pt"")"),"descontroladamente")</f>
        <v>descontroladamente</v>
      </c>
      <c r="B16662" s="3">
        <v>0</v>
      </c>
    </row>
    <row r="16663" ht="15.75" customHeight="1" spans="1:2">
      <c r="A16663" s="3" t="str">
        <f>IFERROR(__xludf.DUMMYFUNCTION("GOOGLETRANSLATE(A16663,""en"",""pt"")"),"ardil")</f>
        <v>ardil</v>
      </c>
      <c r="B16663" s="3">
        <v>0</v>
      </c>
    </row>
    <row r="16664" ht="15.75" customHeight="1" spans="1:2">
      <c r="A16664" s="3" t="str">
        <f>IFERROR(__xludf.DUMMYFUNCTION("GOOGLETRANSLATE(A16664,""en"",""pt"")"),"quiseres")</f>
        <v>quiseres</v>
      </c>
      <c r="B16664" s="3">
        <v>0</v>
      </c>
    </row>
    <row r="16665" ht="15.75" customHeight="1" spans="1:2">
      <c r="A16665" s="3" t="str">
        <f>IFERROR(__xludf.DUMMYFUNCTION("GOOGLETRANSLATE(A16665,""en"",""pt"")"),"astuto")</f>
        <v>astuto</v>
      </c>
      <c r="B16665" s="3">
        <v>0</v>
      </c>
    </row>
    <row r="16666" ht="15.75" customHeight="1" spans="1:2">
      <c r="A16666" s="3" t="str">
        <f>IFERROR(__xludf.DUMMYFUNCTION("GOOGLETRANSLATE(A16666,""en"",""pt"")"),"fracote")</f>
        <v>fracote</v>
      </c>
      <c r="B16666" s="3">
        <v>0</v>
      </c>
    </row>
    <row r="16667" ht="15.75" customHeight="1" spans="1:2">
      <c r="A16667" s="3" t="str">
        <f>IFERROR(__xludf.DUMMYFUNCTION("GOOGLETRANSLATE(A16667,""en"",""pt"")"),"estremecimento")</f>
        <v>estremecimento</v>
      </c>
      <c r="B16667" s="3">
        <v>0</v>
      </c>
    </row>
    <row r="16668" ht="15.75" customHeight="1" spans="1:2">
      <c r="A16668" s="3" t="str">
        <f>IFERROR(__xludf.DUMMYFUNCTION("GOOGLETRANSLATE(A16668,""en"",""pt"")"),"oscilação")</f>
        <v>oscilação</v>
      </c>
      <c r="B16668" s="3">
        <v>0</v>
      </c>
    </row>
    <row r="16669" ht="15.75" customHeight="1" spans="1:2">
      <c r="A16669" s="3" t="str">
        <f>IFERROR(__xludf.DUMMYFUNCTION("GOOGLETRANSLATE(A16669,""en"",""pt"")"),"cambaleou")</f>
        <v>cambaleou</v>
      </c>
      <c r="B16669" s="3">
        <v>0</v>
      </c>
    </row>
    <row r="16670" ht="15.75" customHeight="1" spans="1:2">
      <c r="A16670" s="3" t="str">
        <f>IFERROR(__xludf.DUMMYFUNCTION("GOOGLETRANSLATE(A16670,""en"",""pt"")"),"wobbles")</f>
        <v>wobbles</v>
      </c>
      <c r="B16670" s="3">
        <v>0</v>
      </c>
    </row>
    <row r="16671" ht="15.75" customHeight="1" spans="1:2">
      <c r="A16671" s="3" t="str">
        <f>IFERROR(__xludf.DUMMYFUNCTION("GOOGLETRANSLATE(A16671,""en"",""pt"")"),"aflição")</f>
        <v>aflição</v>
      </c>
      <c r="B16671" s="3">
        <v>0</v>
      </c>
    </row>
    <row r="16672" ht="15.75" customHeight="1" spans="1:2">
      <c r="A16672" s="3" t="str">
        <f>IFERROR(__xludf.DUMMYFUNCTION("GOOGLETRANSLATE(A16672,""en"",""pt"")"),"acabrunhado")</f>
        <v>acabrunhado</v>
      </c>
      <c r="B16672" s="3">
        <v>0</v>
      </c>
    </row>
    <row r="16673" ht="15.75" customHeight="1" spans="1:2">
      <c r="A16673" s="3" t="str">
        <f>IFERROR(__xludf.DUMMYFUNCTION("GOOGLETRANSLATE(A16673,""en"",""pt"")"),"lastimável")</f>
        <v>lastimável</v>
      </c>
      <c r="B16673" s="3">
        <v>0</v>
      </c>
    </row>
    <row r="16674" ht="15.75" customHeight="1" spans="1:2">
      <c r="A16674" s="3" t="str">
        <f>IFERROR(__xludf.DUMMYFUNCTION("GOOGLETRANSLATE(A16674,""en"",""pt"")"),"lamentavelmente")</f>
        <v>lamentavelmente</v>
      </c>
      <c r="B16674" s="3">
        <v>0</v>
      </c>
    </row>
    <row r="16675" ht="15.75" customHeight="1" spans="1:2">
      <c r="A16675" s="3" t="str">
        <f>IFERROR(__xludf.DUMMYFUNCTION("GOOGLETRANSLATE(A16675,""en"",""pt"")"),"mulherengo")</f>
        <v>mulherengo</v>
      </c>
      <c r="B16675" s="3">
        <v>0</v>
      </c>
    </row>
    <row r="16676" ht="15.75" customHeight="1" spans="1:2">
      <c r="A16676" s="3" t="str">
        <f>IFERROR(__xludf.DUMMYFUNCTION("GOOGLETRANSLATE(A16676,""en"",""pt"")"),"mulherengo")</f>
        <v>mulherengo</v>
      </c>
      <c r="B16676" s="3">
        <v>0</v>
      </c>
    </row>
    <row r="16677" ht="15.75" customHeight="1" spans="1:2">
      <c r="A16677" s="3" t="str">
        <f>IFERROR(__xludf.DUMMYFUNCTION("GOOGLETRANSLATE(A16677,""en"",""pt"")"),"desgastado")</f>
        <v>desgastado</v>
      </c>
      <c r="B16677" s="3">
        <v>0</v>
      </c>
    </row>
    <row r="16678" ht="15.75" customHeight="1" spans="1:2">
      <c r="A16678" s="3" t="str">
        <f>IFERROR(__xludf.DUMMYFUNCTION("GOOGLETRANSLATE(A16678,""en"",""pt"")"),"preocupado")</f>
        <v>preocupado</v>
      </c>
      <c r="B16678" s="3">
        <v>0</v>
      </c>
    </row>
    <row r="16679" ht="15.75" customHeight="1" spans="1:2">
      <c r="A16679" s="3" t="str">
        <f>IFERROR(__xludf.DUMMYFUNCTION("GOOGLETRANSLATE(A16679,""en"",""pt"")"),"preocupadamente")</f>
        <v>preocupadamente</v>
      </c>
      <c r="B16679" s="3">
        <v>0</v>
      </c>
    </row>
    <row r="16680" ht="15.75" customHeight="1" spans="1:2">
      <c r="A16680" s="3" t="str">
        <f>IFERROR(__xludf.DUMMYFUNCTION("GOOGLETRANSLATE(A16680,""en"",""pt"")"),"worrier")</f>
        <v>worrier</v>
      </c>
      <c r="B16680" s="3">
        <v>0</v>
      </c>
    </row>
    <row r="16681" ht="15.75" customHeight="1" spans="1:2">
      <c r="A16681" s="3" t="str">
        <f>IFERROR(__xludf.DUMMYFUNCTION("GOOGLETRANSLATE(A16681,""en"",""pt"")"),"preocupações")</f>
        <v>preocupações</v>
      </c>
      <c r="B16681" s="3">
        <v>0</v>
      </c>
    </row>
    <row r="16682" ht="15.75" customHeight="1" spans="1:2">
      <c r="A16682" s="3" t="str">
        <f>IFERROR(__xludf.DUMMYFUNCTION("GOOGLETRANSLATE(A16682,""en"",""pt"")"),"incómodo")</f>
        <v>incómodo</v>
      </c>
      <c r="B16682" s="3">
        <v>0</v>
      </c>
    </row>
    <row r="16683" ht="15.75" customHeight="1" spans="1:2">
      <c r="A16683" s="3" t="str">
        <f>IFERROR(__xludf.DUMMYFUNCTION("GOOGLETRANSLATE(A16683,""en"",""pt"")"),"preocupação")</f>
        <v>preocupação</v>
      </c>
      <c r="B16683" s="3">
        <v>0</v>
      </c>
    </row>
    <row r="16684" ht="15.75" customHeight="1" spans="1:2">
      <c r="A16684" s="3" t="str">
        <f>IFERROR(__xludf.DUMMYFUNCTION("GOOGLETRANSLATE(A16684,""en"",""pt"")"),"preocupante")</f>
        <v>preocupante</v>
      </c>
      <c r="B16684" s="3">
        <v>0</v>
      </c>
    </row>
    <row r="16685" ht="15.75" customHeight="1" spans="1:2">
      <c r="A16685" s="3" t="str">
        <f>IFERROR(__xludf.DUMMYFUNCTION("GOOGLETRANSLATE(A16685,""en"",""pt"")"),"preocupantemente")</f>
        <v>preocupantemente</v>
      </c>
      <c r="B16685" s="3">
        <v>0</v>
      </c>
    </row>
    <row r="16686" ht="15.75" customHeight="1" spans="1:2">
      <c r="A16686" s="3" t="str">
        <f>IFERROR(__xludf.DUMMYFUNCTION("GOOGLETRANSLATE(A16686,""en"",""pt"")"),"pior")</f>
        <v>pior</v>
      </c>
      <c r="B16686" s="3">
        <v>0</v>
      </c>
    </row>
    <row r="16687" ht="15.75" customHeight="1" spans="1:2">
      <c r="A16687" s="3" t="str">
        <f>IFERROR(__xludf.DUMMYFUNCTION("GOOGLETRANSLATE(A16687,""en"",""pt"")"),"piorar")</f>
        <v>piorar</v>
      </c>
      <c r="B16687" s="3">
        <v>0</v>
      </c>
    </row>
    <row r="16688" ht="15.75" customHeight="1" spans="1:2">
      <c r="A16688" s="3" t="str">
        <f>IFERROR(__xludf.DUMMYFUNCTION("GOOGLETRANSLATE(A16688,""en"",""pt"")"),"agravamento")</f>
        <v>agravamento</v>
      </c>
      <c r="B16688" s="3">
        <v>0</v>
      </c>
    </row>
    <row r="16689" ht="15.75" customHeight="1" spans="1:2">
      <c r="A16689" s="3" t="str">
        <f>IFERROR(__xludf.DUMMYFUNCTION("GOOGLETRANSLATE(A16689,""en"",""pt"")"),"pior")</f>
        <v>pior</v>
      </c>
      <c r="B16689" s="3">
        <v>0</v>
      </c>
    </row>
    <row r="16690" ht="15.75" customHeight="1" spans="1:2">
      <c r="A16690" s="3" t="str">
        <f>IFERROR(__xludf.DUMMYFUNCTION("GOOGLETRANSLATE(A16690,""en"",""pt"")"),"inútil")</f>
        <v>inútil</v>
      </c>
      <c r="B16690" s="3">
        <v>0</v>
      </c>
    </row>
    <row r="16691" ht="15.75" customHeight="1" spans="1:2">
      <c r="A16691" s="3" t="str">
        <f>IFERROR(__xludf.DUMMYFUNCTION("GOOGLETRANSLATE(A16691,""en"",""pt"")"),"inutilmente")</f>
        <v>inutilmente</v>
      </c>
      <c r="B16691" s="3">
        <v>0</v>
      </c>
    </row>
    <row r="16692" ht="15.75" customHeight="1" spans="1:2">
      <c r="A16692" s="3" t="str">
        <f>IFERROR(__xludf.DUMMYFUNCTION("GOOGLETRANSLATE(A16692,""en"",""pt"")"),"inutilidade")</f>
        <v>inutilidade</v>
      </c>
      <c r="B16692" s="3">
        <v>0</v>
      </c>
    </row>
    <row r="16693" ht="15.75" customHeight="1" spans="1:2">
      <c r="A16693" s="3" t="str">
        <f>IFERROR(__xludf.DUMMYFUNCTION("GOOGLETRANSLATE(A16693,""en"",""pt"")"),"ferida")</f>
        <v>ferida</v>
      </c>
      <c r="B16693" s="3">
        <v>0</v>
      </c>
    </row>
    <row r="16694" ht="15.75" customHeight="1" spans="1:2">
      <c r="A16694" s="3" t="str">
        <f>IFERROR(__xludf.DUMMYFUNCTION("GOOGLETRANSLATE(A16694,""en"",""pt"")"),"feridas")</f>
        <v>feridas</v>
      </c>
      <c r="B16694" s="3">
        <v>0</v>
      </c>
    </row>
    <row r="16695" ht="15.75" customHeight="1" spans="1:2">
      <c r="A16695" s="3" t="str">
        <f>IFERROR(__xludf.DUMMYFUNCTION("GOOGLETRANSLATE(A16695,""en"",""pt"")"),"disputa")</f>
        <v>disputa</v>
      </c>
      <c r="B16695" s="3">
        <v>0</v>
      </c>
    </row>
    <row r="16696" ht="15.75" customHeight="1" spans="1:2">
      <c r="A16696" s="3" t="str">
        <f>IFERROR(__xludf.DUMMYFUNCTION("GOOGLETRANSLATE(A16696,""en"",""pt"")"),"ira")</f>
        <v>ira</v>
      </c>
      <c r="B16696" s="3">
        <v>0</v>
      </c>
    </row>
    <row r="16697" ht="15.75" customHeight="1" spans="1:2">
      <c r="A16697" s="3" t="s">
        <v>91</v>
      </c>
      <c r="B16697" s="3">
        <v>0</v>
      </c>
    </row>
    <row r="16698" ht="15.75" customHeight="1" spans="1:2">
      <c r="A16698" s="3" t="str">
        <f>IFERROR(__xludf.DUMMYFUNCTION("GOOGLETRANSLATE(A16698,""en"",""pt"")"),"causou")</f>
        <v>causou</v>
      </c>
      <c r="B16698" s="3">
        <v>0</v>
      </c>
    </row>
    <row r="16699" ht="15.75" customHeight="1" spans="1:2">
      <c r="A16699" s="3" t="str">
        <f>IFERROR(__xludf.DUMMYFUNCTION("GOOGLETRANSLATE(A16699,""en"",""pt"")"),"wreaks")</f>
        <v>wreaks</v>
      </c>
      <c r="B16699" s="3">
        <v>0</v>
      </c>
    </row>
    <row r="16700" ht="15.75" customHeight="1" spans="1:2">
      <c r="A16700" s="3" t="str">
        <f>IFERROR(__xludf.DUMMYFUNCTION("GOOGLETRANSLATE(A16700,""en"",""pt"")"),"destruir")</f>
        <v>destruir</v>
      </c>
      <c r="B16700" s="3">
        <v>0</v>
      </c>
    </row>
    <row r="16701" ht="15.75" customHeight="1" spans="1:2">
      <c r="A16701" s="3" t="str">
        <f>IFERROR(__xludf.DUMMYFUNCTION("GOOGLETRANSLATE(A16701,""en"",""pt"")"),"wrest")</f>
        <v>wrest</v>
      </c>
      <c r="B16701" s="3">
        <v>0</v>
      </c>
    </row>
    <row r="16702" ht="15.75" customHeight="1" spans="1:2">
      <c r="A16702" s="3" t="str">
        <f>IFERROR(__xludf.DUMMYFUNCTION("GOOGLETRANSLATE(A16702,""en"",""pt"")"),"lutar")</f>
        <v>lutar</v>
      </c>
      <c r="B16702" s="3">
        <v>0</v>
      </c>
    </row>
    <row r="16703" ht="15.75" customHeight="1" spans="1:2">
      <c r="A16703" s="3" t="str">
        <f>IFERROR(__xludf.DUMMYFUNCTION("GOOGLETRANSLATE(A16703,""en"",""pt"")"),"desgraçado")</f>
        <v>desgraçado</v>
      </c>
      <c r="B16703" s="3">
        <v>0</v>
      </c>
    </row>
    <row r="16704" ht="15.75" customHeight="1" spans="1:2">
      <c r="A16704" s="3" t="str">
        <f>IFERROR(__xludf.DUMMYFUNCTION("GOOGLETRANSLATE(A16704,""en"",""pt"")"),"miserável")</f>
        <v>miserável</v>
      </c>
      <c r="B16704" s="3">
        <v>0</v>
      </c>
    </row>
    <row r="16705" ht="15.75" customHeight="1" spans="1:2">
      <c r="A16705" s="3" t="str">
        <f>IFERROR(__xludf.DUMMYFUNCTION("GOOGLETRANSLATE(A16705,""en"",""pt"")"),"wretchedly")</f>
        <v>wretchedly</v>
      </c>
      <c r="B16705" s="3">
        <v>0</v>
      </c>
    </row>
    <row r="16706" ht="15.75" customHeight="1" spans="1:2">
      <c r="A16706" s="3" t="str">
        <f>IFERROR(__xludf.DUMMYFUNCTION("GOOGLETRANSLATE(A16706,""en"",""pt"")"),"miséria")</f>
        <v>miséria</v>
      </c>
      <c r="B16706" s="3">
        <v>0</v>
      </c>
    </row>
    <row r="16707" ht="15.75" customHeight="1" spans="1:2">
      <c r="A16707" s="3" t="str">
        <f>IFERROR(__xludf.DUMMYFUNCTION("GOOGLETRANSLATE(A16707,""en"",""pt"")"),"ruga")</f>
        <v>ruga</v>
      </c>
      <c r="B16707" s="3">
        <v>0</v>
      </c>
    </row>
    <row r="16708" ht="15.75" customHeight="1" spans="1:2">
      <c r="A16708" s="3" t="str">
        <f>IFERROR(__xludf.DUMMYFUNCTION("GOOGLETRANSLATE(A16708,""en"",""pt"")"),"enrugada")</f>
        <v>enrugada</v>
      </c>
      <c r="B16708" s="3">
        <v>0</v>
      </c>
    </row>
    <row r="16709" ht="15.75" customHeight="1" spans="1:2">
      <c r="A16709" s="3" t="str">
        <f>IFERROR(__xludf.DUMMYFUNCTION("GOOGLETRANSLATE(A16709,""en"",""pt"")"),"rugas")</f>
        <v>rugas</v>
      </c>
      <c r="B16709" s="3">
        <v>0</v>
      </c>
    </row>
    <row r="16710" ht="15.75" customHeight="1" spans="1:2">
      <c r="A16710" s="3" t="str">
        <f>IFERROR(__xludf.DUMMYFUNCTION("GOOGLETRANSLATE(A16710,""en"",""pt"")"),"wrip")</f>
        <v>wrip</v>
      </c>
      <c r="B16710" s="3">
        <v>0</v>
      </c>
    </row>
    <row r="16711" ht="15.75" customHeight="1" spans="1:2">
      <c r="A16711" s="3" t="str">
        <f>IFERROR(__xludf.DUMMYFUNCTION("GOOGLETRANSLATE(A16711,""en"",""pt"")"),"wripped")</f>
        <v>wripped</v>
      </c>
      <c r="B16711" s="3">
        <v>0</v>
      </c>
    </row>
    <row r="16712" ht="15.75" customHeight="1" spans="1:2">
      <c r="A16712" s="3" t="str">
        <f>IFERROR(__xludf.DUMMYFUNCTION("GOOGLETRANSLATE(A16712,""en"",""pt"")"),"wripping")</f>
        <v>wripping</v>
      </c>
      <c r="B16712" s="3">
        <v>0</v>
      </c>
    </row>
    <row r="16713" ht="15.75" customHeight="1" spans="1:2">
      <c r="A16713" s="3" t="str">
        <f>IFERROR(__xludf.DUMMYFUNCTION("GOOGLETRANSLATE(A16713,""en"",""pt"")"),"contorcer")</f>
        <v>contorcer</v>
      </c>
      <c r="B16713" s="3">
        <v>0</v>
      </c>
    </row>
    <row r="16714" ht="15.75" customHeight="1" spans="1:2">
      <c r="A16714" s="3" t="str">
        <f>IFERROR(__xludf.DUMMYFUNCTION("GOOGLETRANSLATE(A16714,""en"",""pt"")"),"errado")</f>
        <v>errado</v>
      </c>
      <c r="B16714" s="3">
        <v>0</v>
      </c>
    </row>
    <row r="16715" ht="15.75" customHeight="1" spans="1:2">
      <c r="A16715" s="3" t="str">
        <f>IFERROR(__xludf.DUMMYFUNCTION("GOOGLETRANSLATE(A16715,""en"",""pt"")"),"ilegal")</f>
        <v>ilegal</v>
      </c>
      <c r="B16715" s="3">
        <v>0</v>
      </c>
    </row>
    <row r="16716" ht="15.75" customHeight="1" spans="1:2">
      <c r="A16716" s="3" t="str">
        <f>IFERROR(__xludf.DUMMYFUNCTION("GOOGLETRANSLATE(A16716,""en"",""pt"")"),"erroneamente")</f>
        <v>erroneamente</v>
      </c>
      <c r="B16716" s="3">
        <v>0</v>
      </c>
    </row>
    <row r="16717" ht="15.75" customHeight="1" spans="1:2">
      <c r="A16717" s="3" t="str">
        <f>IFERROR(__xludf.DUMMYFUNCTION("GOOGLETRANSLATE(A16717,""en"",""pt"")"),"forjado")</f>
        <v>forjado</v>
      </c>
      <c r="B16717" s="3">
        <v>0</v>
      </c>
    </row>
    <row r="16718" ht="15.75" customHeight="1" spans="1:2">
      <c r="A16718" s="3" t="str">
        <f>IFERROR(__xludf.DUMMYFUNCTION("GOOGLETRANSLATE(A16718,""en"",""pt"")"),"bocejar")</f>
        <v>bocejar</v>
      </c>
      <c r="B16718" s="3">
        <v>0</v>
      </c>
    </row>
    <row r="16719" ht="15.75" customHeight="1" spans="1:2">
      <c r="A16719" s="3" t="str">
        <f>IFERROR(__xludf.DUMMYFUNCTION("GOOGLETRANSLATE(A16719,""en"",""pt"")"),"zap")</f>
        <v>zap</v>
      </c>
      <c r="B16719" s="3">
        <v>0</v>
      </c>
    </row>
    <row r="16720" ht="15.75" customHeight="1" spans="1:2">
      <c r="A16720" s="3" t="str">
        <f>IFERROR(__xludf.DUMMYFUNCTION("GOOGLETRANSLATE(A16720,""en"",""pt"")"),"zapped")</f>
        <v>zapped</v>
      </c>
      <c r="B16720" s="3">
        <v>0</v>
      </c>
    </row>
    <row r="16721" ht="15.75" customHeight="1" spans="1:2">
      <c r="A16721" s="3" t="str">
        <f>IFERROR(__xludf.DUMMYFUNCTION("GOOGLETRANSLATE(A16721,""en"",""pt"")"),"zaps")</f>
        <v>zaps</v>
      </c>
      <c r="B16721" s="3">
        <v>0</v>
      </c>
    </row>
    <row r="16722" ht="15.75" customHeight="1" spans="1:2">
      <c r="A16722" s="3" t="str">
        <f>IFERROR(__xludf.DUMMYFUNCTION("GOOGLETRANSLATE(A16722,""en"",""pt"")"),"fanático")</f>
        <v>fanático</v>
      </c>
      <c r="B16722" s="3">
        <v>0</v>
      </c>
    </row>
    <row r="16723" ht="15.75" customHeight="1" spans="1:2">
      <c r="A16723" s="3" t="str">
        <f>IFERROR(__xludf.DUMMYFUNCTION("GOOGLETRANSLATE(A16723,""en"",""pt"")"),"zeloso")</f>
        <v>zeloso</v>
      </c>
      <c r="B16723" s="3">
        <v>0</v>
      </c>
    </row>
    <row r="16724" ht="15.75" customHeight="1" spans="1:2">
      <c r="A16724" s="3" t="str">
        <f>IFERROR(__xludf.DUMMYFUNCTION("GOOGLETRANSLATE(A16724,""en"",""pt"")"),"zelosamente")</f>
        <v>zelosamente</v>
      </c>
      <c r="B16724" s="3">
        <v>0</v>
      </c>
    </row>
    <row r="16725" ht="15.75" customHeight="1" spans="1:2">
      <c r="A16725" s="3" t="str">
        <f>IFERROR(__xludf.DUMMYFUNCTION("GOOGLETRANSLATE(A16725,""en"",""pt"")"),"zumbi")</f>
        <v>zumbi</v>
      </c>
      <c r="B16725" s="3">
        <v>0</v>
      </c>
    </row>
    <row r="16726" ht="15.75" customHeight="1" spans="1:2">
      <c r="A16726" s="3" t="str">
        <f>IFERROR(__xludf.DUMMYFUNCTION("GOOGLETRANSLATE(A16726,""en"",""pt"")"),"baterias do leste! On-off muito fácil manobra.")</f>
        <v>baterias do leste! On-off muito fácil manobra.</v>
      </c>
      <c r="B16726" s="3">
        <v>0</v>
      </c>
    </row>
    <row r="16727" ht="15.75" customHeight="1" spans="1:2">
      <c r="A16727" s="3" t="str">
        <f>IFERROR(__xludf.DUMMYFUNCTION("GOOGLETRANSLATE(A16727,""en"",""pt"")"),"Come ... não, goles baterias")</f>
        <v>Come ... não, goles baterias</v>
      </c>
      <c r="B16727" s="3">
        <v>0</v>
      </c>
    </row>
    <row r="16728" ht="15.75" customHeight="1" spans="1:2">
      <c r="A16728" s="3" t="str">
        <f>IFERROR(__xludf.DUMMYFUNCTION("GOOGLETRANSLATE(A16728,""en"",""pt"")"),"ergonomia inábeis, nem visor óptico, curta duração da bateria, lento, fica quente")</f>
        <v>ergonomia inábeis, nem visor óptico, curta duração da bateria, lento, fica quente</v>
      </c>
      <c r="B16728" s="3">
        <v>0</v>
      </c>
    </row>
    <row r="16729" ht="15.75" customHeight="1" spans="1:2">
      <c r="A16729" s="3" t="str">
        <f>IFERROR(__xludf.DUMMYFUNCTION("GOOGLETRANSLATE(A16729,""en"",""pt"")"),"Bateria comendo besta / lento para recarga")</f>
        <v>Bateria comendo besta / lento para recarga</v>
      </c>
      <c r="B16729" s="3">
        <v>0</v>
      </c>
    </row>
    <row r="16730" ht="15.75" customHeight="1" spans="1:2">
      <c r="A16730" s="3" t="str">
        <f>IFERROR(__xludf.DUMMYFUNCTION("GOOGLETRANSLATE(A16730,""en"",""pt"")"),"poder acabar antes fotos fazer")</f>
        <v>poder acabar antes fotos fazer</v>
      </c>
      <c r="B16730" s="3">
        <v>0</v>
      </c>
    </row>
    <row r="16731" ht="15.75" customHeight="1" spans="1:2">
      <c r="A16731" s="3" t="str">
        <f>IFERROR(__xludf.DUMMYFUNCTION("GOOGLETRANSLATE(A16731,""en"",""pt"")"),"Lento, a taxa de consumo de alta bateria.")</f>
        <v>Lento, a taxa de consumo de alta bateria.</v>
      </c>
      <c r="B16731" s="3">
        <v>0</v>
      </c>
    </row>
    <row r="16732" ht="15.75" customHeight="1" spans="1:2">
      <c r="A16732" s="3" t="str">
        <f>IFERROR(__xludf.DUMMYFUNCTION("GOOGLETRANSLATE(A16732,""en"",""pt"")"),"tamanho da imagem e qualidade")</f>
        <v>tamanho da imagem e qualidade</v>
      </c>
      <c r="B16732" s="3">
        <v>0</v>
      </c>
    </row>
    <row r="16733" ht="15.75" customHeight="1" spans="1:2">
      <c r="A16733" s="3" t="str">
        <f>IFERROR(__xludf.DUMMYFUNCTION("GOOGLETRANSLATE(A16733,""en"",""pt"")"),"Memória muito pequena taxa, lento entre os disparos.")</f>
        <v>Memória muito pequena taxa, lento entre os disparos.</v>
      </c>
      <c r="B16733" s="3">
        <v>0</v>
      </c>
    </row>
    <row r="16734" ht="15.75" customHeight="1" spans="1:2">
      <c r="A16734" s="3" t="str">
        <f>IFERROR(__xludf.DUMMYFUNCTION("GOOGLETRANSLATE(A16734,""en"",""pt"")"),"caso design, software incluído")</f>
        <v>caso design, software incluído</v>
      </c>
      <c r="B16734" s="3">
        <v>0</v>
      </c>
    </row>
    <row r="16735" ht="15.75" customHeight="1" spans="1:2">
      <c r="A16735" s="3" t="str">
        <f>IFERROR(__xludf.DUMMYFUNCTION("GOOGLETRANSLATE(A16735,""en"",""pt"")"),"No Visor Ótico, Carry Case No")</f>
        <v>No Visor Ótico, Carry Case No</v>
      </c>
      <c r="B16735" s="3">
        <v>0</v>
      </c>
    </row>
    <row r="16736" ht="15.75" customHeight="1" spans="1:2">
      <c r="A16736" s="3" t="str">
        <f>IFERROR(__xludf.DUMMYFUNCTION("GOOGLETRANSLATE(A16736,""en"",""pt"")"),"má qualidade de imagem, flash que acha que é &amp; amp; quot; inteligente, &amp; amp; quot; inábil para lidar.")</f>
        <v>má qualidade de imagem, flash que acha que é &amp; amp; quot; inteligente, &amp; amp; quot; inábil para lidar.</v>
      </c>
      <c r="B16736" s="3">
        <v>0</v>
      </c>
    </row>
    <row r="16737" ht="15.75" customHeight="1" spans="1:2">
      <c r="A16737" s="3" t="str">
        <f>IFERROR(__xludf.DUMMYFUNCTION("GOOGLETRANSLATE(A16737,""en"",""pt"")"),"Eu não descobriram qualquer!")</f>
        <v>Eu não descobriram qualquer!</v>
      </c>
      <c r="B16737" s="3">
        <v>0</v>
      </c>
    </row>
    <row r="16738" ht="15.75" customHeight="1" spans="1:2">
      <c r="A16738" s="3" t="str">
        <f>IFERROR(__xludf.DUMMYFUNCTION("GOOGLETRANSLATE(A16738,""en"",""pt"")"),"Aquele pequeno interruptor on / off suga")</f>
        <v>Aquele pequeno interruptor on / off suga</v>
      </c>
      <c r="B16738" s="3">
        <v>0</v>
      </c>
    </row>
    <row r="16739" ht="15.75" customHeight="1" spans="1:2">
      <c r="A16739" s="3" t="str">
        <f>IFERROR(__xludf.DUMMYFUNCTION("GOOGLETRANSLATE(A16739,""en"",""pt"")"),"fotografia com a luz baixa, flash ofuscante")</f>
        <v>fotografia com a luz baixa, flash ofuscante</v>
      </c>
      <c r="B16739" s="3">
        <v>0</v>
      </c>
    </row>
    <row r="16740" ht="15.75" customHeight="1" spans="1:2">
      <c r="A16740" s="3" t="str">
        <f>IFERROR(__xludf.DUMMYFUNCTION("GOOGLETRANSLATE(A16740,""en"",""pt"")"),"um pouco caro, mas vale a pena")</f>
        <v>um pouco caro, mas vale a pena</v>
      </c>
      <c r="B16740" s="3">
        <v>0</v>
      </c>
    </row>
    <row r="16741" ht="15.75" customHeight="1" spans="1:2">
      <c r="A16741" s="3" t="str">
        <f>IFERROR(__xludf.DUMMYFUNCTION("GOOGLETRANSLATE(A16741,""en"",""pt"")"),"qualidade de imagem pobre")</f>
        <v>qualidade de imagem pobre</v>
      </c>
      <c r="B16741" s="3">
        <v>0</v>
      </c>
    </row>
    <row r="16742" ht="15.75" customHeight="1" spans="1:2">
      <c r="A16742" s="3" t="str">
        <f>IFERROR(__xludf.DUMMYFUNCTION("GOOGLETRANSLATE(A16742,""en"",""pt"")"),"só pode ter tantas opções, o software é carente de opções")</f>
        <v>só pode ter tantas opções, o software é carente de opções</v>
      </c>
      <c r="B16742" s="3">
        <v>0</v>
      </c>
    </row>
    <row r="16743" ht="15.75" customHeight="1" spans="1:2">
      <c r="A16743" s="3" t="str">
        <f>IFERROR(__xludf.DUMMYFUNCTION("GOOGLETRANSLATE(A16743,""en"",""pt"")"),"Pics às vezes pode ser um pouco amarelada")</f>
        <v>Pics às vezes pode ser um pouco amarelada</v>
      </c>
      <c r="B16743" s="3">
        <v>0</v>
      </c>
    </row>
    <row r="16744" ht="15.75" customHeight="1" spans="1:2">
      <c r="A16744" s="3" t="str">
        <f>IFERROR(__xludf.DUMMYFUNCTION("GOOGLETRANSLATE(A16744,""en"",""pt"")"),"Ele precisa de baterias confiáveis, e não mais baratos.")</f>
        <v>Ele precisa de baterias confiáveis, e não mais baratos.</v>
      </c>
      <c r="B16744" s="3">
        <v>0</v>
      </c>
    </row>
    <row r="16745" ht="15.75" customHeight="1" spans="1:2">
      <c r="A16745" s="3" t="str">
        <f>IFERROR(__xludf.DUMMYFUNCTION("GOOGLETRANSLATE(A16745,""en"",""pt"")"),"vida de bateria fraca, Smart Media não tão popular como Compact Flash")</f>
        <v>vida de bateria fraca, Smart Media não tão popular como Compact Flash</v>
      </c>
      <c r="B16745" s="3">
        <v>0</v>
      </c>
    </row>
    <row r="16746" ht="15.75" customHeight="1" spans="1:2">
      <c r="A16746" s="3" t="str">
        <f>IFERROR(__xludf.DUMMYFUNCTION("GOOGLETRANSLATE(A16746,""en"",""pt"")"),"difícil ver tela de visualização, difícil de encontrar")</f>
        <v>difícil ver tela de visualização, difícil de encontrar</v>
      </c>
      <c r="B16746" s="3">
        <v>0</v>
      </c>
    </row>
    <row r="16747" ht="15.75" customHeight="1" spans="1:2">
      <c r="A16747" s="3" t="s">
        <v>92</v>
      </c>
      <c r="B16747" s="3">
        <v>0</v>
      </c>
    </row>
    <row r="16748" ht="15.75" customHeight="1" spans="1:2">
      <c r="A16748" s="3" t="str">
        <f>IFERROR(__xludf.DUMMYFUNCTION("GOOGLETRANSLATE(A16748,""en"",""pt"")"),"Nenhum que eu encontrei")</f>
        <v>Nenhum que eu encontrei</v>
      </c>
      <c r="B16748" s="3">
        <v>0</v>
      </c>
    </row>
    <row r="16749" ht="15.75" customHeight="1" spans="1:2">
      <c r="A16749" s="3" t="str">
        <f>IFERROR(__xludf.DUMMYFUNCTION("GOOGLETRANSLATE(A16749,""en"",""pt"")"),"vida útil da bateria")</f>
        <v>vida útil da bateria</v>
      </c>
      <c r="B16749" s="3">
        <v>0</v>
      </c>
    </row>
    <row r="16750" ht="15.75" customHeight="1" spans="1:2">
      <c r="A16750" s="3" t="str">
        <f>IFERROR(__xludf.DUMMYFUNCTION("GOOGLETRANSLATE(A16750,""en"",""pt"")"),"curta duração da bateria")</f>
        <v>curta duração da bateria</v>
      </c>
      <c r="B16750" s="3">
        <v>0</v>
      </c>
    </row>
    <row r="16751" ht="15.75" customHeight="1" spans="1:2">
      <c r="A16751" s="3" t="str">
        <f>IFERROR(__xludf.DUMMYFUNCTION("GOOGLETRANSLATE(A16751,""en"",""pt"")"),"Leva um segundo ou dois para realmente tirar a foto depois que o botão é pressionado, baterias come.")</f>
        <v>Leva um segundo ou dois para realmente tirar a foto depois que o botão é pressionado, baterias come.</v>
      </c>
      <c r="B16751" s="3">
        <v>0</v>
      </c>
    </row>
    <row r="16752" ht="15.75" customHeight="1" spans="1:2">
      <c r="A16752" s="3" t="str">
        <f>IFERROR(__xludf.DUMMYFUNCTION("GOOGLETRANSLATE(A16752,""en"",""pt"")"),"Ocasionalmente mis-se concentra alguns assuntos em modo de focagem automática")</f>
        <v>Ocasionalmente mis-se concentra alguns assuntos em modo de focagem automática</v>
      </c>
      <c r="B16752" s="3">
        <v>0</v>
      </c>
    </row>
    <row r="16753" ht="15.75" customHeight="1" spans="1:2">
      <c r="A16753" s="3" t="str">
        <f>IFERROR(__xludf.DUMMYFUNCTION("GOOGLETRANSLATE(A16753,""en"",""pt"")"),"come baterias, levar vários cartões de mem")</f>
        <v>come baterias, levar vários cartões de mem</v>
      </c>
      <c r="B16753" s="3">
        <v>0</v>
      </c>
    </row>
    <row r="16754" ht="15.75" customHeight="1" spans="1:2">
      <c r="A16754" s="3" t="str">
        <f>IFERROR(__xludf.DUMMYFUNCTION("GOOGLETRANSLATE(A16754,""en"",""pt"")"),"Visualizando a tela em luz brilhante.")</f>
        <v>Visualizando a tela em luz brilhante.</v>
      </c>
      <c r="B16754" s="3">
        <v>0</v>
      </c>
    </row>
    <row r="16755" ht="15.75" customHeight="1" spans="1:2">
      <c r="A16755" s="3" t="str">
        <f>IFERROR(__xludf.DUMMYFUNCTION("GOOGLETRANSLATE(A16755,""en"",""pt"")"),"No visor, sem tampa da lente")</f>
        <v>No visor, sem tampa da lente</v>
      </c>
      <c r="B16755" s="3">
        <v>0</v>
      </c>
    </row>
    <row r="16756" ht="15.75" customHeight="1" spans="1:2">
      <c r="A16756" s="3" t="str">
        <f>IFERROR(__xludf.DUMMYFUNCTION("GOOGLETRANSLATE(A16756,""en"",""pt"")"),"Não há suporte CompactFlash, um pouco lento, baterias pobres")</f>
        <v>Não há suporte CompactFlash, um pouco lento, baterias pobres</v>
      </c>
      <c r="B16756" s="3">
        <v>0</v>
      </c>
    </row>
    <row r="16757" ht="15.75" customHeight="1" spans="1:2">
      <c r="A16757" s="3" t="str">
        <f>IFERROR(__xludf.DUMMYFUNCTION("GOOGLETRANSLATE(A16757,""en"",""pt"")"),"consumo de bateria, tempo acima morno.")</f>
        <v>consumo de bateria, tempo acima morno.</v>
      </c>
      <c r="B16757" s="3">
        <v>0</v>
      </c>
    </row>
    <row r="16758" ht="15.75" customHeight="1" spans="1:2">
      <c r="A16758" s="3" t="str">
        <f>IFERROR(__xludf.DUMMYFUNCTION("GOOGLETRANSLATE(A16758,""en"",""pt"")"),"Suga baterias como se não houvesse amanhã")</f>
        <v>Suga baterias como se não houvesse amanhã</v>
      </c>
      <c r="B16758" s="3">
        <v>0</v>
      </c>
    </row>
    <row r="16759" ht="15.75" customHeight="1" spans="1:2">
      <c r="A16759" s="3" t="str">
        <f>IFERROR(__xludf.DUMMYFUNCTION("GOOGLETRANSLATE(A16759,""en"",""pt"")"),"Ele usa um monte de baterias.")</f>
        <v>Ele usa um monte de baterias.</v>
      </c>
      <c r="B16759" s="3">
        <v>0</v>
      </c>
    </row>
    <row r="16760" ht="15.75" customHeight="1" spans="1:2">
      <c r="A16760" s="3" t="s">
        <v>93</v>
      </c>
      <c r="B16760" s="3">
        <v>0</v>
      </c>
    </row>
    <row r="16761" ht="15.75" customHeight="1" spans="1:2">
      <c r="A16761" s="3" t="str">
        <f>IFERROR(__xludf.DUMMYFUNCTION("GOOGLETRANSLATE(A16761,""en"",""pt"")"),"Precisa de baterias o tempo todo")</f>
        <v>Precisa de baterias o tempo todo</v>
      </c>
      <c r="B16761" s="3">
        <v>0</v>
      </c>
    </row>
    <row r="16762" ht="15.75" customHeight="1" spans="1:2">
      <c r="A16762" s="3" t="str">
        <f>IFERROR(__xludf.DUMMYFUNCTION("GOOGLETRANSLATE(A16762,""en"",""pt"")"),"instruções de software difíceis de compreender e aplicar")</f>
        <v>instruções de software difíceis de compreender e aplicar</v>
      </c>
      <c r="B16762" s="3">
        <v>0</v>
      </c>
    </row>
    <row r="16763" ht="15.75" customHeight="1" spans="1:2">
      <c r="A16763" s="3" t="str">
        <f>IFERROR(__xludf.DUMMYFUNCTION("GOOGLETRANSLATE(A16763,""en"",""pt"")"),"qualidade de imagem é menos do que perfeito")</f>
        <v>qualidade de imagem é menos do que perfeito</v>
      </c>
      <c r="B16763" s="3">
        <v>0</v>
      </c>
    </row>
    <row r="16764" ht="15.75" customHeight="1" spans="1:2">
      <c r="A16764" s="3" t="str">
        <f>IFERROR(__xludf.DUMMYFUNCTION("GOOGLETRANSLATE(A16764,""en"",""pt"")"),"devorador de bateria")</f>
        <v>devorador de bateria</v>
      </c>
      <c r="B16764" s="3">
        <v>0</v>
      </c>
    </row>
    <row r="16765" ht="15.75" customHeight="1" spans="1:2">
      <c r="A16765" s="3" t="str">
        <f>IFERROR(__xludf.DUMMYFUNCTION("GOOGLETRANSLATE(A16765,""en"",""pt"")"),"O tamanho da memória (necessidades upgrade)")</f>
        <v>O tamanho da memória (necessidades upgrade)</v>
      </c>
      <c r="B16765" s="3">
        <v>0</v>
      </c>
    </row>
    <row r="16766" ht="15.75" customHeight="1" spans="1:2">
      <c r="A16766" s="3" t="str">
        <f>IFERROR(__xludf.DUMMYFUNCTION("GOOGLETRANSLATE(A16766,""en"",""pt"")"),"ele só funciona às vezes, má qualidade de imagem")</f>
        <v>ele só funciona às vezes, má qualidade de imagem</v>
      </c>
      <c r="B16766" s="3">
        <v>0</v>
      </c>
    </row>
    <row r="16767" ht="15.75" customHeight="1" spans="1:2">
      <c r="A16767" s="3" t="str">
        <f>IFERROR(__xludf.DUMMYFUNCTION("GOOGLETRANSLATE(A16767,""en"",""pt"")"),"???")</f>
        <v>???</v>
      </c>
      <c r="B16767" s="3">
        <v>0</v>
      </c>
    </row>
    <row r="16768" ht="15.75" customHeight="1" spans="1:2">
      <c r="A16768" s="3" t="str">
        <f>IFERROR(__xludf.DUMMYFUNCTION("GOOGLETRANSLATE(A16768,""en"",""pt"")"),"Come baterias. Não há espaço suficiente para fotos de qualidade.")</f>
        <v>Come baterias. Não há espaço suficiente para fotos de qualidade.</v>
      </c>
      <c r="B16768" s="3">
        <v>0</v>
      </c>
    </row>
    <row r="16769" ht="15.75" customHeight="1" spans="1:2">
      <c r="A16769" s="3" t="str">
        <f>IFERROR(__xludf.DUMMYFUNCTION("GOOGLETRANSLATE(A16769,""en"",""pt"")"),"vida útil da bateria baixa, com pilhas normais.")</f>
        <v>vida útil da bateria baixa, com pilhas normais.</v>
      </c>
      <c r="B16769" s="3">
        <v>0</v>
      </c>
    </row>
    <row r="16770" ht="15.75" customHeight="1" spans="1:2">
      <c r="A16770" s="3" t="str">
        <f>IFERROR(__xludf.DUMMYFUNCTION("GOOGLETRANSLATE(A16770,""en"",""pt"")"),"Luz verde no visor, baterias come AA")</f>
        <v>Luz verde no visor, baterias come AA</v>
      </c>
      <c r="B16770" s="3">
        <v>0</v>
      </c>
    </row>
    <row r="16771" ht="15.75" customHeight="1" spans="1:2">
      <c r="A16771" s="3" t="str">
        <f>IFERROR(__xludf.DUMMYFUNCTION("GOOGLETRANSLATE(A16771,""en"",""pt"")"),"Como acima listadas")</f>
        <v>Como acima listadas</v>
      </c>
      <c r="B16771" s="3">
        <v>0</v>
      </c>
    </row>
    <row r="16772" ht="15.75" customHeight="1" spans="1:2">
      <c r="A16772" s="3" t="str">
        <f>IFERROR(__xludf.DUMMYFUNCTION("GOOGLETRANSLATE(A16772,""en"",""pt"")"),"Difícil em baterias")</f>
        <v>Difícil em baterias</v>
      </c>
      <c r="B16772" s="3">
        <v>0</v>
      </c>
    </row>
    <row r="16773" ht="15.75" customHeight="1" spans="1:2">
      <c r="A16773" s="3" t="str">
        <f>IFERROR(__xludf.DUMMYFUNCTION("GOOGLETRANSLATE(A16773,""en"",""pt"")"),"sem Zoom !! preço, heavy / volumoso,")</f>
        <v>sem Zoom !! preço, heavy / volumoso,</v>
      </c>
      <c r="B16773" s="3">
        <v>0</v>
      </c>
    </row>
    <row r="16774" ht="15.75" customHeight="1" spans="1:2">
      <c r="A16774" s="3" t="str">
        <f>IFERROR(__xludf.DUMMYFUNCTION("GOOGLETRANSLATE(A16774,""en"",""pt"")"),"fotos de má qualidade, Alto consumo de energia, tamanho da memória Baixo")</f>
        <v>fotos de má qualidade, Alto consumo de energia, tamanho da memória Baixo</v>
      </c>
      <c r="B16774" s="3">
        <v>0</v>
      </c>
    </row>
    <row r="16775" ht="15.75" customHeight="1" spans="1:2">
      <c r="A16775" s="3" t="str">
        <f>IFERROR(__xludf.DUMMYFUNCTION("GOOGLETRANSLATE(A16775,""en"",""pt"")"),"A vida da bateria, a luz verde no visor irritante")</f>
        <v>A vida da bateria, a luz verde no visor irritante</v>
      </c>
      <c r="B16775" s="3">
        <v>0</v>
      </c>
    </row>
    <row r="16776" ht="15.75" customHeight="1" spans="1:2">
      <c r="A16776" s="3" t="str">
        <f>IFERROR(__xludf.DUMMYFUNCTION("GOOGLETRANSLATE(A16776,""en"",""pt"")"),"Sem conexão USB")</f>
        <v>Sem conexão USB</v>
      </c>
      <c r="B16776" s="3">
        <v>0</v>
      </c>
    </row>
    <row r="16777" ht="15.75" customHeight="1" spans="1:2">
      <c r="A16777" s="3" t="str">
        <f>IFERROR(__xludf.DUMMYFUNCTION("GOOGLETRANSLATE(A16777,""en"",""pt"")"),"Faltando zoom, algumas características Zippy")</f>
        <v>Faltando zoom, algumas características Zippy</v>
      </c>
      <c r="B16777" s="3">
        <v>0</v>
      </c>
    </row>
    <row r="16778" ht="15.75" customHeight="1" spans="1:2">
      <c r="A16778" s="3" t="str">
        <f>IFERROR(__xludf.DUMMYFUNCTION("GOOGLETRANSLATE(A16778,""en"",""pt"")"),"Carbono acessório unidade às vezes leva fotos ruins com ele; 640x480 res tem seus limites")</f>
        <v>Carbono acessório unidade às vezes leva fotos ruins com ele; 640x480 res tem seus limites</v>
      </c>
      <c r="B16778" s="3">
        <v>0</v>
      </c>
    </row>
    <row r="16779" ht="15.75" customHeight="1" spans="1:2">
      <c r="A16779" s="3" t="str">
        <f>IFERROR(__xludf.DUMMYFUNCTION("GOOGLETRANSLATE(A16779,""en"",""pt"")"),"dreno de bateria, único porto com, NO ZOOM,")</f>
        <v>dreno de bateria, único porto com, NO ZOOM,</v>
      </c>
      <c r="B16779" s="3">
        <v>0</v>
      </c>
    </row>
    <row r="16780" ht="15.75" customHeight="1" spans="1:2">
      <c r="A16780" s="3" t="str">
        <f>IFERROR(__xludf.DUMMYFUNCTION("GOOGLETRANSLATE(A16780,""en"",""pt"")"),"Battery Killer, um pouco volumoso")</f>
        <v>Battery Killer, um pouco volumoso</v>
      </c>
      <c r="B16780" s="3">
        <v>0</v>
      </c>
    </row>
    <row r="16781" ht="15.75" customHeight="1" spans="1:2">
      <c r="A16781" s="3" t="str">
        <f>IFERROR(__xludf.DUMMYFUNCTION("GOOGLETRANSLATE(A16781,""en"",""pt"")"),"As instruções devem ser mais amigável. Manual assume conhecimentos de informática que um iniciante não podem ter")</f>
        <v>As instruções devem ser mais amigável. Manual assume conhecimentos de informática que um iniciante não podem ter</v>
      </c>
      <c r="B16781" s="3">
        <v>0</v>
      </c>
    </row>
    <row r="16782" ht="15.75" customHeight="1" spans="1:2">
      <c r="A16782" s="3" t="str">
        <f>IFERROR(__xludf.DUMMYFUNCTION("GOOGLETRANSLATE(A16782,""en"",""pt"")"),"Não tem um corpo giratório.")</f>
        <v>Não tem um corpo giratório.</v>
      </c>
      <c r="B16782" s="3">
        <v>0</v>
      </c>
    </row>
    <row r="16783" ht="15.75" customHeight="1" spans="1:2">
      <c r="A16783" s="3" t="str">
        <f>IFERROR(__xludf.DUMMYFUNCTION("GOOGLETRANSLATE(A16783,""en"",""pt"")"),"Problemas com software, a falta de instruções, falta de resolução de problemas ajuda, fácil de apagar as fotos")</f>
        <v>Problemas com software, a falta de instruções, falta de resolução de problemas ajuda, fácil de apagar as fotos</v>
      </c>
      <c r="B16783" s="3">
        <v>0</v>
      </c>
    </row>
    <row r="16784" ht="15.75" customHeight="1" spans="1:2">
      <c r="A16784" s="3" t="str">
        <f>IFERROR(__xludf.DUMMYFUNCTION("GOOGLETRANSLATE(A16784,""en"",""pt"")"),"utiliza baterias muito rápido")</f>
        <v>utiliza baterias muito rápido</v>
      </c>
      <c r="B16784" s="3">
        <v>0</v>
      </c>
    </row>
    <row r="16785" ht="15.75" customHeight="1" spans="1:2">
      <c r="A16785" s="3" t="str">
        <f>IFERROR(__xludf.DUMMYFUNCTION("GOOGLETRANSLATE(A16785,""en"",""pt"")"),"quando o computador está em baixo, não vai funcionar")</f>
        <v>quando o computador está em baixo, não vai funcionar</v>
      </c>
      <c r="B16785" s="3">
        <v>0</v>
      </c>
    </row>
    <row r="16786" ht="15.75" customHeight="1" spans="1:2">
      <c r="A16786" s="3" t="str">
        <f>IFERROR(__xludf.DUMMYFUNCTION("GOOGLETRANSLATE(A16786,""en"",""pt"")"),"utiliza baterias rápidas")</f>
        <v>utiliza baterias rápidas</v>
      </c>
      <c r="B16786" s="3">
        <v>0</v>
      </c>
    </row>
    <row r="16787" ht="15.75" customHeight="1" spans="1:2">
      <c r="A16787" s="3" t="str">
        <f>IFERROR(__xludf.DUMMYFUNCTION("GOOGLETRANSLATE(A16787,""en"",""pt"")"),"dreno alta da bateria, indicador de flash Distraindo")</f>
        <v>dreno alta da bateria, indicador de flash Distraindo</v>
      </c>
      <c r="B16787" s="3">
        <v>0</v>
      </c>
    </row>
    <row r="16788" ht="15.75" customHeight="1" spans="1:2">
      <c r="A16788" s="3" t="str">
        <f>IFERROR(__xludf.DUMMYFUNCTION("GOOGLETRANSLATE(A16788,""en"",""pt"")"),"é manual sobre Software e não como item separado.")</f>
        <v>é manual sobre Software e não como item separado.</v>
      </c>
      <c r="B16788" s="3">
        <v>0</v>
      </c>
    </row>
    <row r="16789" ht="15.75" customHeight="1" spans="1:2">
      <c r="A16789" s="3" t="str">
        <f>IFERROR(__xludf.DUMMYFUNCTION("GOOGLETRANSLATE(A16789,""en"",""pt"")"),"Somente carrega na metade computador o tempo todo com software associado")</f>
        <v>Somente carrega na metade computador o tempo todo com software associado</v>
      </c>
      <c r="B16789" s="3">
        <v>0</v>
      </c>
    </row>
    <row r="16790" ht="15.75" customHeight="1" spans="1:2">
      <c r="A16790" s="3" t="str">
        <f>IFERROR(__xludf.DUMMYFUNCTION("GOOGLETRANSLATE(A16790,""en"",""pt"")"),"Sem zoom !!!")</f>
        <v>Sem zoom !!!</v>
      </c>
      <c r="B16790" s="3">
        <v>0</v>
      </c>
    </row>
    <row r="16791" ht="15.75" customHeight="1" spans="1:2">
      <c r="A16791" s="3" t="str">
        <f>IFERROR(__xludf.DUMMYFUNCTION("GOOGLETRANSLATE(A16791,""en"",""pt"")"),"Nenhum")</f>
        <v>Nenhum</v>
      </c>
      <c r="B16791" s="3">
        <v>0</v>
      </c>
    </row>
    <row r="16792" ht="15.75" customHeight="1" spans="1:2">
      <c r="A16792" s="3" t="str">
        <f>IFERROR(__xludf.DUMMYFUNCTION("GOOGLETRANSLATE(A16792,""en"",""pt"")"),"comedor bateria")</f>
        <v>comedor bateria</v>
      </c>
      <c r="B16792" s="3">
        <v>0</v>
      </c>
    </row>
    <row r="16793" ht="15.75" customHeight="1" spans="1:2">
      <c r="A16793" s="3" t="str">
        <f>IFERROR(__xludf.DUMMYFUNCTION("GOOGLETRANSLATE(A16793,""en"",""pt"")"),"As opções são $$$$$$$")</f>
        <v>As opções são $$$$$$$</v>
      </c>
      <c r="B16793" s="3">
        <v>0</v>
      </c>
    </row>
    <row r="16794" ht="15.75" customHeight="1" spans="1:2">
      <c r="A16794" s="3" t="str">
        <f>IFERROR(__xludf.DUMMYFUNCTION("GOOGLETRANSLATE(A16794,""en"",""pt"")"),"desempenho")</f>
        <v>desempenho</v>
      </c>
      <c r="B16794" s="3">
        <v>0</v>
      </c>
    </row>
    <row r="16795" ht="15.75" customHeight="1" spans="1:2">
      <c r="A16795" s="3" t="str">
        <f>IFERROR(__xludf.DUMMYFUNCTION("GOOGLETRANSLATE(A16795,""en"",""pt"")"),"baterias orçamento limitado")</f>
        <v>baterias orçamento limitado</v>
      </c>
      <c r="B16795" s="3">
        <v>0</v>
      </c>
    </row>
    <row r="16796" ht="15.75" customHeight="1" spans="1:2">
      <c r="A16796" s="3" t="str">
        <f>IFERROR(__xludf.DUMMYFUNCTION("GOOGLETRANSLATE(A16796,""en"",""pt"")"),"Mais difícil de usar com pouca luz")</f>
        <v>Mais difícil de usar com pouca luz</v>
      </c>
      <c r="B16796" s="3">
        <v>0</v>
      </c>
    </row>
    <row r="16797" ht="15.75" customHeight="1" spans="1:2">
      <c r="A16797" s="3" t="str">
        <f>IFERROR(__xludf.DUMMYFUNCTION("GOOGLETRANSLATE(A16797,""en"",""pt"")"),"Durabilty, a falta de zoom")</f>
        <v>Durabilty, a falta de zoom</v>
      </c>
      <c r="B16797" s="3">
        <v>0</v>
      </c>
    </row>
    <row r="16798" ht="15.75" customHeight="1" spans="1:2">
      <c r="A16798" s="3" t="str">
        <f>IFERROR(__xludf.DUMMYFUNCTION("GOOGLETRANSLATE(A16798,""en"",""pt"")"),"devorador de bateria")</f>
        <v>devorador de bateria</v>
      </c>
      <c r="B16798" s="3">
        <v>0</v>
      </c>
    </row>
    <row r="16799" ht="15.75" customHeight="1" spans="1:2">
      <c r="A16799" s="3" t="str">
        <f>IFERROR(__xludf.DUMMYFUNCTION("GOOGLETRANSLATE(A16799,""en"",""pt"")"),"maus fotos interior.")</f>
        <v>maus fotos interior.</v>
      </c>
      <c r="B16799" s="3">
        <v>0</v>
      </c>
    </row>
    <row r="16800" ht="15.75" customHeight="1" spans="1:2">
      <c r="A16800" s="3" t="str">
        <f>IFERROR(__xludf.DUMMYFUNCTION("GOOGLETRANSLATE(A16800,""en"",""pt"")"),"sem zoom")</f>
        <v>sem zoom</v>
      </c>
      <c r="B16800" s="3">
        <v>0</v>
      </c>
    </row>
    <row r="16801" ht="15.75" customHeight="1" spans="1:2">
      <c r="A16801" s="3" t="str">
        <f>IFERROR(__xludf.DUMMYFUNCTION("GOOGLETRANSLATE(A16801,""en"",""pt"")"),"Continua a quebrar")</f>
        <v>Continua a quebrar</v>
      </c>
      <c r="B16801" s="3">
        <v>0</v>
      </c>
    </row>
    <row r="16802" ht="15.75" customHeight="1" spans="1:2">
      <c r="A16802" s="3" t="str">
        <f>IFERROR(__xludf.DUMMYFUNCTION("GOOGLETRANSLATE(A16802,""en"",""pt"")"),"Nenhum")</f>
        <v>Nenhum</v>
      </c>
      <c r="B16802" s="3">
        <v>0</v>
      </c>
    </row>
    <row r="16803" ht="15.75" customHeight="1" spans="1:2">
      <c r="A16803" s="3" t="str">
        <f>IFERROR(__xludf.DUMMYFUNCTION("GOOGLETRANSLATE(A16803,""en"",""pt"")"),"Nenhum ainda")</f>
        <v>Nenhum ainda</v>
      </c>
      <c r="B16803" s="3">
        <v>0</v>
      </c>
    </row>
    <row r="16804" ht="15.75" customHeight="1" spans="1:2">
      <c r="A16804" s="3" t="str">
        <f>IFERROR(__xludf.DUMMYFUNCTION("GOOGLETRANSLATE(A16804,""en"",""pt"")"),"Avariam duas vezes, passa rapidamente através de baterias")</f>
        <v>Avariam duas vezes, passa rapidamente através de baterias</v>
      </c>
      <c r="B16804" s="3">
        <v>0</v>
      </c>
    </row>
    <row r="16805" ht="15.75" customHeight="1" spans="1:2">
      <c r="A16805" s="3" t="str">
        <f>IFERROR(__xludf.DUMMYFUNCTION("GOOGLETRANSLATE(A16805,""en"",""pt"")"),"bateria custar um pouco alta")</f>
        <v>bateria custar um pouco alta</v>
      </c>
      <c r="B16805" s="3">
        <v>0</v>
      </c>
    </row>
    <row r="16806" ht="15.75" customHeight="1" spans="1:2">
      <c r="A16806" s="3" t="str">
        <f>IFERROR(__xludf.DUMMYFUNCTION("GOOGLETRANSLATE(A16806,""en"",""pt"")"),"Bom, mas não qualidade sério")</f>
        <v>Bom, mas não qualidade sério</v>
      </c>
      <c r="B16806" s="3">
        <v>0</v>
      </c>
    </row>
    <row r="16807" ht="15.75" customHeight="1" spans="1:2">
      <c r="A16807" s="3" t="str">
        <f>IFERROR(__xludf.DUMMYFUNCTION("GOOGLETRANSLATE(A16807,""en"",""pt"")"),"comedor da bateria, tem que se conectar ao computador cada vez que você baixar imagens")</f>
        <v>comedor da bateria, tem que se conectar ao computador cada vez que você baixar imagens</v>
      </c>
      <c r="B16807" s="3">
        <v>0</v>
      </c>
    </row>
    <row r="16808" ht="15.75" customHeight="1" spans="1:2">
      <c r="A16808" s="3" t="str">
        <f>IFERROR(__xludf.DUMMYFUNCTION("GOOGLETRANSLATE(A16808,""en"",""pt"")"),"Come-se baterias")</f>
        <v>Come-se baterias</v>
      </c>
      <c r="B16808" s="3">
        <v>0</v>
      </c>
    </row>
    <row r="16809" ht="15.75" customHeight="1" spans="1:2">
      <c r="A16809" s="3" t="str">
        <f>IFERROR(__xludf.DUMMYFUNCTION("GOOGLETRANSLATE(A16809,""en"",""pt"")"),"Flash não muito 'inteligente', software")</f>
        <v>Flash não muito 'inteligente', software</v>
      </c>
      <c r="B16809" s="3">
        <v>0</v>
      </c>
    </row>
    <row r="16810" ht="15.75" customHeight="1" spans="1:2">
      <c r="A16810" s="3" t="str">
        <f>IFERROR(__xludf.DUMMYFUNCTION("GOOGLETRANSLATE(A16810,""en"",""pt"")"),"você tem que comprar um carregador de bateria e baterias recarregáveis")</f>
        <v>você tem que comprar um carregador de bateria e baterias recarregáveis</v>
      </c>
      <c r="B16810" s="3">
        <v>0</v>
      </c>
    </row>
    <row r="16811" ht="15.75" customHeight="1" spans="1:2">
      <c r="A16811" s="3" t="str">
        <f>IFERROR(__xludf.DUMMYFUNCTION("GOOGLETRANSLATE(A16811,""en"",""pt"")"),"Bateria fede vida, flash superexpõe closeups, sem zoom")</f>
        <v>Bateria fede vida, flash superexpõe closeups, sem zoom</v>
      </c>
      <c r="B16811" s="3">
        <v>0</v>
      </c>
    </row>
    <row r="16812" ht="15.75" customHeight="1" spans="1:2">
      <c r="A16812" s="3" t="str">
        <f>IFERROR(__xludf.DUMMYFUNCTION("GOOGLETRANSLATE(A16812,""en"",""pt"")"),"baterias devora, fora branco em close-ups com flash")</f>
        <v>baterias devora, fora branco em close-ups com flash</v>
      </c>
      <c r="B16812" s="3">
        <v>0</v>
      </c>
    </row>
    <row r="16813" ht="15.75" customHeight="1" spans="1:2">
      <c r="A16813" s="3" t="str">
        <f>IFERROR(__xludf.DUMMYFUNCTION("GOOGLETRANSLATE(A16813,""en"",""pt"")"),"curta duração da bateria")</f>
        <v>curta duração da bateria</v>
      </c>
      <c r="B16813" s="3">
        <v>0</v>
      </c>
    </row>
    <row r="16814" ht="15.75" customHeight="1" spans="1:2">
      <c r="A16814" s="3" t="str">
        <f>IFERROR(__xludf.DUMMYFUNCTION("GOOGLETRANSLATE(A16814,""en"",""pt"")"),"Falta de Windows2000 Drivers, sem Zoom")</f>
        <v>Falta de Windows2000 Drivers, sem Zoom</v>
      </c>
      <c r="B16814" s="3">
        <v>0</v>
      </c>
    </row>
    <row r="16815" ht="15.75" customHeight="1" spans="1:2">
      <c r="A16815" s="3" t="str">
        <f>IFERROR(__xludf.DUMMYFUNCTION("GOOGLETRANSLATE(A16815,""en"",""pt"")"),"LCD difícil ver ao sol, congela LCD")</f>
        <v>LCD difícil ver ao sol, congela LCD</v>
      </c>
      <c r="B16815" s="3">
        <v>0</v>
      </c>
    </row>
    <row r="16816" ht="15.75" customHeight="1" spans="1:2">
      <c r="A16816" s="3" t="str">
        <f>IFERROR(__xludf.DUMMYFUNCTION("GOOGLETRANSLATE(A16816,""en"",""pt"")"),"Come baterias, plano de descascar para fora mais dinheiro, não muito altas res")</f>
        <v>Come baterias, plano de descascar para fora mais dinheiro, não muito altas res</v>
      </c>
      <c r="B16816" s="3">
        <v>0</v>
      </c>
    </row>
    <row r="16817" ht="15.75" customHeight="1" spans="1:2">
      <c r="A16817" s="3" t="str">
        <f>IFERROR(__xludf.DUMMYFUNCTION("GOOGLETRANSLATE(A16817,""en"",""pt"")"),"Muito mau serviço ao cliente.")</f>
        <v>Muito mau serviço ao cliente.</v>
      </c>
      <c r="B16817" s="3">
        <v>0</v>
      </c>
    </row>
    <row r="16818" ht="15.75" customHeight="1" spans="1:2">
      <c r="A16818" s="3" t="str">
        <f>IFERROR(__xludf.DUMMYFUNCTION("GOOGLETRANSLATE(A16818,""en"",""pt"")"),"A câmera que eu tenho só pode ser conectado ao computador através de uma porta serial, e como eu tenho um mouse serial e um modem de série, não tenho portas peças enquanto estiver online, forçando-me a desligar para fazer upload de novas imagens. :-( [Upd"&amp;"ate: agora tenho um mouse PS / 2 e pode p")</f>
        <v>A câmera que eu tenho só pode ser conectado ao computador através de uma porta serial, e como eu tenho um mouse serial e um modem de série, não tenho portas peças enquanto estiver online, forçando-me a desligar para fazer upload de novas imagens. :-( [Update: agora tenho um mouse PS / 2 e pode p</v>
      </c>
      <c r="B16818" s="3">
        <v>0</v>
      </c>
    </row>
    <row r="16819" ht="15.75" customHeight="1" spans="1:2">
      <c r="A16819" s="3" t="str">
        <f>IFERROR(__xludf.DUMMYFUNCTION("GOOGLETRANSLATE(A16819,""en"",""pt"")"),"tela LCD potencialmente fraco")</f>
        <v>tela LCD potencialmente fraco</v>
      </c>
      <c r="B16819" s="3">
        <v>0</v>
      </c>
    </row>
    <row r="16820" ht="15.75" customHeight="1" spans="1:2">
      <c r="A16820" s="3" t="str">
        <f>IFERROR(__xludf.DUMMYFUNCTION("GOOGLETRANSLATE(A16820,""en"",""pt"")"),"tecnologia ligeiramente datado")</f>
        <v>tecnologia ligeiramente datado</v>
      </c>
      <c r="B16820" s="3">
        <v>0</v>
      </c>
    </row>
    <row r="16821" ht="15.75" customHeight="1" spans="1:2">
      <c r="A16821" s="3" t="str">
        <f>IFERROR(__xludf.DUMMYFUNCTION("GOOGLETRANSLATE(A16821,""en"",""pt"")"),"No Auto-Focus, Flash Fraco")</f>
        <v>No Auto-Focus, Flash Fraco</v>
      </c>
      <c r="B16821" s="3">
        <v>0</v>
      </c>
    </row>
    <row r="16822" ht="15.75" customHeight="1" spans="1:2">
      <c r="A16822" s="3" t="str">
        <f>IFERROR(__xludf.DUMMYFUNCTION("GOOGLETRANSLATE(A16822,""en"",""pt"")"),"As baterias recarregáveis ​​são uma obrigação!")</f>
        <v>As baterias recarregáveis ​​são uma obrigação!</v>
      </c>
      <c r="B16822" s="3">
        <v>0</v>
      </c>
    </row>
    <row r="16823" ht="15.75" customHeight="1" spans="1:2">
      <c r="A16823" s="3" t="str">
        <f>IFERROR(__xludf.DUMMYFUNCTION("GOOGLETRANSLATE(A16823,""en"",""pt"")"),"Nenhum")</f>
        <v>Nenhum</v>
      </c>
      <c r="B16823" s="3">
        <v>0</v>
      </c>
    </row>
    <row r="16824" ht="15.75" customHeight="1" spans="1:2">
      <c r="A16824" s="3" t="str">
        <f>IFERROR(__xludf.DUMMYFUNCTION("GOOGLETRANSLATE(A16824,""en"",""pt"")"),"fotos de baixa qualidade, baterias drenos")</f>
        <v>fotos de baixa qualidade, baterias drenos</v>
      </c>
      <c r="B16824" s="3">
        <v>0</v>
      </c>
    </row>
    <row r="16825" ht="15.75" customHeight="1" spans="1:2">
      <c r="A16825" s="3" t="str">
        <f>IFERROR(__xludf.DUMMYFUNCTION("GOOGLETRANSLATE(A16825,""en"",""pt"")"),"A vida da bateria quando utilizar LCD, sem zoom")</f>
        <v>A vida da bateria quando utilizar LCD, sem zoom</v>
      </c>
      <c r="B16825" s="3">
        <v>0</v>
      </c>
    </row>
    <row r="16826" ht="15.75" customHeight="1" spans="1:2">
      <c r="A16826" s="3" t="str">
        <f>IFERROR(__xludf.DUMMYFUNCTION("GOOGLETRANSLATE(A16826,""en"",""pt"")"),"imprimir fotos é difícil para mim")</f>
        <v>imprimir fotos é difícil para mim</v>
      </c>
      <c r="B16826" s="3">
        <v>0</v>
      </c>
    </row>
    <row r="16827" ht="15.75" customHeight="1" spans="1:2">
      <c r="A16827" s="3" t="str">
        <f>IFERROR(__xludf.DUMMYFUNCTION("GOOGLETRANSLATE(A16827,""en"",""pt"")"),"come baterias rapidamente, visor muito longe da lente, janela esporádica LCD")</f>
        <v>come baterias rapidamente, visor muito longe da lente, janela esporádica LCD</v>
      </c>
      <c r="B16827" s="3">
        <v>0</v>
      </c>
    </row>
    <row r="16828" ht="15.75" customHeight="1" spans="1:2">
      <c r="A16828" s="3" t="str">
        <f>IFERROR(__xludf.DUMMYFUNCTION("GOOGLETRANSLATE(A16828,""en"",""pt"")"),"Tal como acontece com ... come baterias tudo de came digital.")</f>
        <v>Tal como acontece com ... come baterias tudo de came digital.</v>
      </c>
      <c r="B16828" s="3">
        <v>0</v>
      </c>
    </row>
    <row r="16829" ht="15.75" customHeight="1" spans="1:2">
      <c r="A16829" s="3" t="str">
        <f>IFERROR(__xludf.DUMMYFUNCTION("GOOGLETRANSLATE(A16829,""en"",""pt"")"),"As baterias podem ir mais rápido se você não conseguir bons")</f>
        <v>As baterias podem ir mais rápido se você não conseguir bons</v>
      </c>
      <c r="B16829" s="3">
        <v>0</v>
      </c>
    </row>
    <row r="16830" ht="15.75" customHeight="1" spans="1:2">
      <c r="A16830" s="3" t="str">
        <f>IFERROR(__xludf.DUMMYFUNCTION("GOOGLETRANSLATE(A16830,""en"",""pt"")"),"Tem falhas que são agravadas pela política de serviço ruim.")</f>
        <v>Tem falhas que são agravadas pela política de serviço ruim.</v>
      </c>
      <c r="B16830" s="3">
        <v>0</v>
      </c>
    </row>
    <row r="16831" ht="15.75" customHeight="1" spans="1:2">
      <c r="A16831" s="3" t="str">
        <f>IFERROR(__xludf.DUMMYFUNCTION("GOOGLETRANSLATE(A16831,""en"",""pt"")"),"vida útil da bateria (apenas comprar de lítio ou recarregáveis ​​e é ótimo); capacidade de armazenamento (expansível)")</f>
        <v>vida útil da bateria (apenas comprar de lítio ou recarregáveis ​​e é ótimo); capacidade de armazenamento (expansível)</v>
      </c>
      <c r="B16831" s="3">
        <v>0</v>
      </c>
    </row>
    <row r="16832" ht="15.75" customHeight="1" spans="1:2">
      <c r="A16832" s="3" t="str">
        <f>IFERROR(__xludf.DUMMYFUNCTION("GOOGLETRANSLATE(A16832,""en"",""pt"")"),"não tem zoom")</f>
        <v>não tem zoom</v>
      </c>
      <c r="B16832" s="3">
        <v>0</v>
      </c>
    </row>
    <row r="16833" ht="15.75" customHeight="1" spans="1:2">
      <c r="A16833" s="3" t="str">
        <f>IFERROR(__xludf.DUMMYFUNCTION("GOOGLETRANSLATE(A16833,""en"",""pt"")"),"vida útil da bateria")</f>
        <v>vida útil da bateria</v>
      </c>
      <c r="B16833" s="3">
        <v>0</v>
      </c>
    </row>
    <row r="16834" ht="15.75" customHeight="1" spans="1:2">
      <c r="A16834" s="3" t="str">
        <f>IFERROR(__xludf.DUMMYFUNCTION("GOOGLETRANSLATE(A16834,""en"",""pt"")"),"cabo serial apenas (sem capacidades USB), o tempo de envio lento.")</f>
        <v>cabo serial apenas (sem capacidades USB), o tempo de envio lento.</v>
      </c>
      <c r="B16834" s="3">
        <v>0</v>
      </c>
    </row>
    <row r="16835" ht="15.75" customHeight="1" spans="1:2">
      <c r="A16835" s="3" t="str">
        <f>IFERROR(__xludf.DUMMYFUNCTION("GOOGLETRANSLATE(A16835,""en"",""pt"")"),"Um devorador de bateria absoluta")</f>
        <v>Um devorador de bateria absoluta</v>
      </c>
      <c r="B16835" s="3">
        <v>0</v>
      </c>
    </row>
    <row r="16836" ht="15.75" customHeight="1" spans="1:2">
      <c r="A16836" s="3" t="str">
        <f>IFERROR(__xludf.DUMMYFUNCTION("GOOGLETRANSLATE(A16836,""en"",""pt"")"),"cam quebrou / não vai escorredor bateria upload não MAC / USB suportado")</f>
        <v>cam quebrou / não vai escorredor bateria upload não MAC / USB suportado</v>
      </c>
      <c r="B16836" s="3">
        <v>0</v>
      </c>
    </row>
    <row r="16837" ht="15.75" customHeight="1" spans="1:2">
      <c r="A16837" s="3" t="str">
        <f>IFERROR(__xludf.DUMMYFUNCTION("GOOGLETRANSLATE(A16837,""en"",""pt"")"),"Eats baterias como um louco; problemas frustrantes, não USB")</f>
        <v>Eats baterias como um louco; problemas frustrantes, não USB</v>
      </c>
      <c r="B16837" s="3">
        <v>0</v>
      </c>
    </row>
    <row r="16838" ht="15.75" customHeight="1" spans="1:2">
      <c r="A16838" s="3" t="str">
        <f>IFERROR(__xludf.DUMMYFUNCTION("GOOGLETRANSLATE(A16838,""en"",""pt"")"),"usa um monte de baterias, e não tirar boas perto ups")</f>
        <v>usa um monte de baterias, e não tirar boas perto ups</v>
      </c>
      <c r="B16838" s="3">
        <v>0</v>
      </c>
    </row>
    <row r="16839" ht="15.75" customHeight="1" spans="1:2">
      <c r="A16839" s="3" t="str">
        <f>IFERROR(__xludf.DUMMYFUNCTION("GOOGLETRANSLATE(A16839,""en"",""pt"")"),"SEU SEU PRIMEIRO CAMERA DIGITAL PARA JOGAR COM !!!! :)")</f>
        <v>SEU SEU PRIMEIRO CAMERA DIGITAL PARA JOGAR COM !!!! :)</v>
      </c>
      <c r="B16839" s="3">
        <v>0</v>
      </c>
    </row>
    <row r="16840" ht="15.75" customHeight="1" spans="1:2">
      <c r="A16840" s="3" t="str">
        <f>IFERROR(__xludf.DUMMYFUNCTION("GOOGLETRANSLATE(A16840,""en"",""pt"")"),"Camera é lento, baterias chocalho e configurações de exclusão, utiliza baterias muito rápido.")</f>
        <v>Camera é lento, baterias chocalho e configurações de exclusão, utiliza baterias muito rápido.</v>
      </c>
      <c r="B16840" s="3">
        <v>0</v>
      </c>
    </row>
    <row r="16841" ht="15.75" customHeight="1" spans="1:2">
      <c r="A16841" s="3" t="str">
        <f>IFERROR(__xludf.DUMMYFUNCTION("GOOGLETRANSLATE(A16841,""en"",""pt"")"),"8 meses mais tarde, eu ainda não recebi os $ 40. desconto que me foi prometido")</f>
        <v>8 meses mais tarde, eu ainda não recebi os $ 40. desconto que me foi prometido</v>
      </c>
      <c r="B16841" s="3">
        <v>0</v>
      </c>
    </row>
    <row r="16842" ht="15.75" customHeight="1" spans="1:2">
      <c r="A16842" s="3" t="str">
        <f>IFERROR(__xludf.DUMMYFUNCTION("GOOGLETRANSLATE(A16842,""en"",""pt"")"),"suporte técnico quase inexistente")</f>
        <v>suporte técnico quase inexistente</v>
      </c>
      <c r="B16842" s="3">
        <v>0</v>
      </c>
    </row>
    <row r="16843" ht="15.75" customHeight="1" spans="1:2">
      <c r="A16843" s="3" t="str">
        <f>IFERROR(__xludf.DUMMYFUNCTION("GOOGLETRANSLATE(A16843,""en"",""pt"")"),"É fácil de usar, mesmo para crianças.")</f>
        <v>É fácil de usar, mesmo para crianças.</v>
      </c>
      <c r="B16843" s="3">
        <v>0</v>
      </c>
    </row>
    <row r="16844" ht="15.75" customHeight="1" spans="1:2">
      <c r="A16844" s="3" t="str">
        <f>IFERROR(__xludf.DUMMYFUNCTION("GOOGLETRANSLATE(A16844,""en"",""pt"")"),"A câmera ficava quebrando.")</f>
        <v>A câmera ficava quebrando.</v>
      </c>
      <c r="B16844" s="3">
        <v>0</v>
      </c>
    </row>
    <row r="16845" ht="15.75" customHeight="1" spans="1:2">
      <c r="A16845" s="3" t="str">
        <f>IFERROR(__xludf.DUMMYFUNCTION("GOOGLETRANSLATE(A16845,""en"",""pt"")"),"Segurando a câmera estável durante 5 segundos depois de tirar a fotografia, não XP compatível")</f>
        <v>Segurando a câmera estável durante 5 segundos depois de tirar a fotografia, não XP compatível</v>
      </c>
      <c r="B16845" s="3">
        <v>0</v>
      </c>
    </row>
    <row r="16846" ht="15.75" customHeight="1" spans="1:2">
      <c r="A16846" s="3" t="str">
        <f>IFERROR(__xludf.DUMMYFUNCTION("GOOGLETRANSLATE(A16846,""en"",""pt"")"),"Muito pouco espaço para resposta")</f>
        <v>Muito pouco espaço para resposta</v>
      </c>
      <c r="B16846" s="3">
        <v>0</v>
      </c>
    </row>
    <row r="16847" ht="15.75" customHeight="1" spans="1:2">
      <c r="A16847" s="3" t="str">
        <f>IFERROR(__xludf.DUMMYFUNCTION("GOOGLETRANSLATE(A16847,""en"",""pt"")"),"serviço de qualidade e cliente")</f>
        <v>serviço de qualidade e cliente</v>
      </c>
      <c r="B16847" s="3">
        <v>0</v>
      </c>
    </row>
    <row r="16848" ht="15.75" customHeight="1" spans="1:2">
      <c r="A16848" s="3" t="str">
        <f>IFERROR(__xludf.DUMMYFUNCTION("GOOGLETRANSLATE(A16848,""en"",""pt"")"),"Não é de US $ 1600 Olympus!")</f>
        <v>Não é de US $ 1600 Olympus!</v>
      </c>
      <c r="B16848" s="3">
        <v>0</v>
      </c>
    </row>
    <row r="16849" ht="15.75" customHeight="1" spans="1:2">
      <c r="A16849" s="3" t="str">
        <f>IFERROR(__xludf.DUMMYFUNCTION("GOOGLETRANSLATE(A16849,""en"",""pt"")"),"O suporte técnico praticamente inexistente;")</f>
        <v>O suporte técnico praticamente inexistente;</v>
      </c>
      <c r="B16849" s="3">
        <v>0</v>
      </c>
    </row>
    <row r="16850" ht="15.75" customHeight="1" spans="1:2">
      <c r="A16850" s="3" t="str">
        <f>IFERROR(__xludf.DUMMYFUNCTION("GOOGLETRANSLATE(A16850,""en"",""pt"")"),"Imagens somente boas para o e-mail.")</f>
        <v>Imagens somente boas para o e-mail.</v>
      </c>
      <c r="B16850" s="3">
        <v>0</v>
      </c>
    </row>
    <row r="16851" ht="15.75" customHeight="1" spans="1:2">
      <c r="A16851" s="3" t="str">
        <f>IFERROR(__xludf.DUMMYFUNCTION("GOOGLETRANSLATE(A16851,""en"",""pt"")"),"Você só recebe o que você paga.")</f>
        <v>Você só recebe o que você paga.</v>
      </c>
      <c r="B16851" s="3">
        <v>0</v>
      </c>
    </row>
    <row r="16852" ht="15.75" customHeight="1" spans="1:2">
      <c r="A16852" s="3" t="str">
        <f>IFERROR(__xludf.DUMMYFUNCTION("GOOGLETRANSLATE(A16852,""en"",""pt"")"),"Muito baixa resolução. Não vai demorar boas o suficiente pics para eBay ou e-mail")</f>
        <v>Muito baixa resolução. Não vai demorar boas o suficiente pics para eBay ou e-mail</v>
      </c>
      <c r="B16852" s="3">
        <v>0</v>
      </c>
    </row>
    <row r="16853" ht="15.75" customHeight="1" spans="1:2">
      <c r="A16853" s="3" t="str">
        <f>IFERROR(__xludf.DUMMYFUNCTION("GOOGLETRANSLATE(A16853,""en"",""pt"")"),"Flash fraco, sem slot de expansão de memória, atendimento ao cliente")</f>
        <v>Flash fraco, sem slot de expansão de memória, atendimento ao cliente</v>
      </c>
      <c r="B16853" s="3">
        <v>0</v>
      </c>
    </row>
    <row r="16854" ht="15.75" customHeight="1" spans="1:2">
      <c r="A16854" s="3" t="str">
        <f>IFERROR(__xludf.DUMMYFUNCTION("GOOGLETRANSLATE(A16854,""en"",""pt"")"),"nenhum, apenas estar ciente de que ele foi feito para")</f>
        <v>nenhum, apenas estar ciente de que ele foi feito para</v>
      </c>
      <c r="B16854" s="3">
        <v>0</v>
      </c>
    </row>
    <row r="16855" ht="15.75" customHeight="1" spans="1:2">
      <c r="A16855" s="3" t="str">
        <f>IFERROR(__xludf.DUMMYFUNCTION("GOOGLETRANSLATE(A16855,""en"",""pt"")"),"No LCD. Menus são menos do que claro.")</f>
        <v>No LCD. Menus são menos do que claro.</v>
      </c>
      <c r="B16855" s="3">
        <v>0</v>
      </c>
    </row>
    <row r="16856" ht="15.75" customHeight="1" spans="1:2">
      <c r="A16856" s="3" t="str">
        <f>IFERROR(__xludf.DUMMYFUNCTION("GOOGLETRANSLATE(A16856,""en"",""pt"")"),"piscar não é grande")</f>
        <v>piscar não é grande</v>
      </c>
      <c r="B16856" s="3">
        <v>0</v>
      </c>
    </row>
    <row r="16857" ht="15.75" customHeight="1" spans="1:2">
      <c r="A16857" s="3" t="str">
        <f>IFERROR(__xludf.DUMMYFUNCTION("GOOGLETRANSLATE(A16857,""en"",""pt"")"),"Sem memória expansível.")</f>
        <v>Sem memória expansível.</v>
      </c>
      <c r="B16857" s="3">
        <v>0</v>
      </c>
    </row>
    <row r="16858" ht="15.75" customHeight="1" spans="1:2">
      <c r="A16858" s="3" t="str">
        <f>IFERROR(__xludf.DUMMYFUNCTION("GOOGLETRANSLATE(A16858,""en"",""pt"")"),"Não há upgrade de memória ou visor LCD a cores.")</f>
        <v>Não há upgrade de memória ou visor LCD a cores.</v>
      </c>
      <c r="B16858" s="3">
        <v>0</v>
      </c>
    </row>
    <row r="16859" ht="15.75" customHeight="1" spans="1:2">
      <c r="A16859" s="3" t="str">
        <f>IFERROR(__xludf.DUMMYFUNCTION("GOOGLETRANSLATE(A16859,""en"",""pt"")"),"Se você quiser gastar mais, você pode obter mais resolução e memória.")</f>
        <v>Se você quiser gastar mais, você pode obter mais resolução e memória.</v>
      </c>
      <c r="B16859" s="3">
        <v>0</v>
      </c>
    </row>
    <row r="16860" ht="15.75" customHeight="1" spans="1:2">
      <c r="A16860" s="3" t="str">
        <f>IFERROR(__xludf.DUMMYFUNCTION("GOOGLETRANSLATE(A16860,""en"",""pt"")"),"hardware escamosa, * extremamente * sensíveis ao movimento enquanto tira uma fotografia, a qualidade da imagem medíocre.")</f>
        <v>hardware escamosa, * extremamente * sensíveis ao movimento enquanto tira uma fotografia, a qualidade da imagem medíocre.</v>
      </c>
      <c r="B16860" s="3">
        <v>0</v>
      </c>
    </row>
    <row r="16861" ht="15.75" customHeight="1" spans="1:2">
      <c r="A16861" s="3" t="str">
        <f>IFERROR(__xludf.DUMMYFUNCTION("GOOGLETRANSLATE(A16861,""en"",""pt"")"),"Nenhum")</f>
        <v>Nenhum</v>
      </c>
      <c r="B16861" s="3">
        <v>0</v>
      </c>
    </row>
    <row r="16862" ht="15.75" customHeight="1" spans="1:2">
      <c r="A16862" s="3" t="str">
        <f>IFERROR(__xludf.DUMMYFUNCTION("GOOGLETRANSLATE(A16862,""en"",""pt"")"),"As fotos são medíocre. Iluminação pode afetar câmera web negativamente")</f>
        <v>As fotos são medíocre. Iluminação pode afetar câmera web negativamente</v>
      </c>
      <c r="B16862" s="3">
        <v>0</v>
      </c>
    </row>
    <row r="16863" ht="15.75" customHeight="1" spans="1:2">
      <c r="A16863" s="3" t="str">
        <f>IFERROR(__xludf.DUMMYFUNCTION("GOOGLETRANSLATE(A16863,""en"",""pt"")"),"7 segundos o tempo de espera entre fotos.")</f>
        <v>7 segundos o tempo de espera entre fotos.</v>
      </c>
      <c r="B16863" s="3">
        <v>0</v>
      </c>
    </row>
    <row r="16864" ht="15.75" customHeight="1" spans="1:2">
      <c r="A16864" s="3" t="str">
        <f>IFERROR(__xludf.DUMMYFUNCTION("GOOGLETRANSLATE(A16864,""en"",""pt"")"),"Flash-Range")</f>
        <v>Flash-Range</v>
      </c>
      <c r="B16864" s="3">
        <v>0</v>
      </c>
    </row>
    <row r="16865" ht="15.75" customHeight="1" spans="1:2">
      <c r="A16865" s="3" t="s">
        <v>94</v>
      </c>
      <c r="B16865" s="3">
        <v>0</v>
      </c>
    </row>
    <row r="16866" ht="15.75" customHeight="1" spans="1:2">
      <c r="A16866" s="3" t="str">
        <f>IFERROR(__xludf.DUMMYFUNCTION("GOOGLETRANSLATE(A16866,""en"",""pt"")"),"Flash mata baterias, ruim com pouca luz, nenhum modo macro.")</f>
        <v>Flash mata baterias, ruim com pouca luz, nenhum modo macro.</v>
      </c>
      <c r="B16866" s="3">
        <v>0</v>
      </c>
    </row>
    <row r="16867" ht="15.75" customHeight="1" spans="1:2">
      <c r="A16867" s="3" t="str">
        <f>IFERROR(__xludf.DUMMYFUNCTION("GOOGLETRANSLATE(A16867,""en"",""pt"")"),"sem zoom")</f>
        <v>sem zoom</v>
      </c>
      <c r="B16867" s="3">
        <v>0</v>
      </c>
    </row>
    <row r="16868" ht="15.75" customHeight="1" spans="1:2">
      <c r="A16868" s="3" t="str">
        <f>IFERROR(__xludf.DUMMYFUNCTION("GOOGLETRANSLATE(A16868,""en"",""pt"")"),"Qualidade da foto")</f>
        <v>Qualidade da foto</v>
      </c>
      <c r="B16868" s="3">
        <v>0</v>
      </c>
    </row>
    <row r="16869" ht="15.75" customHeight="1" spans="1:2">
      <c r="A16869" s="3" t="str">
        <f>IFERROR(__xludf.DUMMYFUNCTION("GOOGLETRANSLATE(A16869,""en"",""pt"")"),"No LCD, nenhuma saída de vídeo, Baterias")</f>
        <v>No LCD, nenhuma saída de vídeo, Baterias</v>
      </c>
      <c r="B16869" s="3">
        <v>0</v>
      </c>
    </row>
    <row r="16870" ht="15.75" customHeight="1" spans="1:2">
      <c r="A16870" s="3" t="str">
        <f>IFERROR(__xludf.DUMMYFUNCTION("GOOGLETRANSLATE(A16870,""en"",""pt"")"),"distância Flash, resultados pobres em luz ambiente")</f>
        <v>distância Flash, resultados pobres em luz ambiente</v>
      </c>
      <c r="B16870" s="3">
        <v>0</v>
      </c>
    </row>
    <row r="16871" ht="15.75" customHeight="1" spans="1:2">
      <c r="A16871" s="3" t="str">
        <f>IFERROR(__xludf.DUMMYFUNCTION("GOOGLETRANSLATE(A16871,""en"",""pt"")"),"A vida da bateria, a cobertura frágil USB")</f>
        <v>A vida da bateria, a cobertura frágil USB</v>
      </c>
      <c r="B16871" s="3">
        <v>0</v>
      </c>
    </row>
    <row r="16872" ht="15.75" customHeight="1" spans="1:2">
      <c r="A16872" s="3" t="str">
        <f>IFERROR(__xludf.DUMMYFUNCTION("GOOGLETRANSLATE(A16872,""en"",""pt"")"),"curta duração da bateria, a qualidade pic so-so interior")</f>
        <v>curta duração da bateria, a qualidade pic so-so interior</v>
      </c>
      <c r="B16872" s="3">
        <v>0</v>
      </c>
    </row>
    <row r="16873" ht="15.75" customHeight="1" spans="1:2">
      <c r="A16873" s="3" t="str">
        <f>IFERROR(__xludf.DUMMYFUNCTION("GOOGLETRANSLATE(A16873,""en"",""pt"")"),"desliga-se após cerca de 15-30 segundos w / o uso")</f>
        <v>desliga-se após cerca de 15-30 segundos w / o uso</v>
      </c>
      <c r="B16873" s="3">
        <v>0</v>
      </c>
    </row>
    <row r="16874" ht="15.75" customHeight="1" spans="1:2">
      <c r="A16874" s="3" t="str">
        <f>IFERROR(__xludf.DUMMYFUNCTION("GOOGLETRANSLATE(A16874,""en"",""pt"")"),"vida útil da bateria, flash muito forte com luzes artificiais, muito tempo entre os disparos.")</f>
        <v>vida útil da bateria, flash muito forte com luzes artificiais, muito tempo entre os disparos.</v>
      </c>
      <c r="B16874" s="3">
        <v>0</v>
      </c>
    </row>
    <row r="16875" ht="15.75" customHeight="1" spans="1:2">
      <c r="A16875" s="3" t="str">
        <f>IFERROR(__xludf.DUMMYFUNCTION("GOOGLETRANSLATE(A16875,""en"",""pt"")"),"Flash fraco, recurso de videoconferência é meio fraco desempenho muito")</f>
        <v>Flash fraco, recurso de videoconferência é meio fraco desempenho muito</v>
      </c>
      <c r="B16875" s="3">
        <v>0</v>
      </c>
    </row>
    <row r="16876" ht="15.75" customHeight="1" spans="1:2">
      <c r="A16876" s="3" t="str">
        <f>IFERROR(__xludf.DUMMYFUNCTION("GOOGLETRANSLATE(A16876,""en"",""pt"")"),"Não ótima resolução, ele quebrou!")</f>
        <v>Não ótima resolução, ele quebrou!</v>
      </c>
      <c r="B16876" s="3">
        <v>0</v>
      </c>
    </row>
    <row r="16877" ht="15.75" customHeight="1" spans="1:2">
      <c r="A16877" s="3" t="str">
        <f>IFERROR(__xludf.DUMMYFUNCTION("GOOGLETRANSLATE(A16877,""en"",""pt"")"),"A vida da bateria é muito limitado")</f>
        <v>A vida da bateria é muito limitado</v>
      </c>
      <c r="B16877" s="3">
        <v>0</v>
      </c>
    </row>
    <row r="16878" ht="15.75" customHeight="1" spans="1:2">
      <c r="A16878" s="3" t="str">
        <f>IFERROR(__xludf.DUMMYFUNCTION("GOOGLETRANSLATE(A16878,""en"",""pt"")"),"Uso da bateria &amp; amp; amp; Mac compatibilidade")</f>
        <v>Uso da bateria &amp; amp; amp; Mac compatibilidade</v>
      </c>
      <c r="B16878" s="3">
        <v>0</v>
      </c>
    </row>
    <row r="16879" ht="15.75" customHeight="1" spans="1:2">
      <c r="A16879" s="3" t="str">
        <f>IFERROR(__xludf.DUMMYFUNCTION("GOOGLETRANSLATE(A16879,""en"",""pt"")"),"baterias vão morto depois de um curto período de tempo")</f>
        <v>baterias vão morto depois de um curto período de tempo</v>
      </c>
      <c r="B16879" s="3">
        <v>0</v>
      </c>
    </row>
    <row r="16880" ht="15.75" customHeight="1" spans="1:2">
      <c r="A16880" s="3" t="str">
        <f>IFERROR(__xludf.DUMMYFUNCTION("GOOGLETRANSLATE(A16880,""en"",""pt"")"),"O consumo de bateria")</f>
        <v>O consumo de bateria</v>
      </c>
      <c r="B16880" s="3">
        <v>0</v>
      </c>
    </row>
    <row r="16881" ht="15.75" customHeight="1" spans="1:2">
      <c r="A16881" s="3" t="str">
        <f>IFERROR(__xludf.DUMMYFUNCTION("GOOGLETRANSLATE(A16881,""en"",""pt"")"),"usa um monte de baterias")</f>
        <v>usa um monte de baterias</v>
      </c>
      <c r="B16881" s="3">
        <v>0</v>
      </c>
    </row>
    <row r="16882" ht="15.75" customHeight="1" spans="1:2">
      <c r="A16882" s="3" t="str">
        <f>IFERROR(__xludf.DUMMYFUNCTION("GOOGLETRANSLATE(A16882,""en"",""pt"")"),"sem zoom óptico, medidor de bateria um pouco volumoso, estranho.")</f>
        <v>sem zoom óptico, medidor de bateria um pouco volumoso, estranho.</v>
      </c>
      <c r="B16882" s="3">
        <v>0</v>
      </c>
    </row>
    <row r="16883" ht="15.75" customHeight="1" spans="1:2">
      <c r="A16883" s="3" t="str">
        <f>IFERROR(__xludf.DUMMYFUNCTION("GOOGLETRANSLATE(A16883,""en"",""pt"")"),"atraso do obturador, carga do flash lento, vida de bateria fraca")</f>
        <v>atraso do obturador, carga do flash lento, vida de bateria fraca</v>
      </c>
      <c r="B16883" s="3">
        <v>0</v>
      </c>
    </row>
    <row r="16884" ht="15.75" customHeight="1" spans="1:2">
      <c r="A16884" s="3" t="str">
        <f>IFERROR(__xludf.DUMMYFUNCTION("GOOGLETRANSLATE(A16884,""en"",""pt"")"),"não atende às especificações anunciadas &amp; amp;. # 13; &amp; amp; # 10;. Não há suporte &amp; amp; # 13; &amp; amp; # 10;")</f>
        <v>não atende às especificações anunciadas &amp; amp;. # 13; &amp; amp; # 10;. Não há suporte &amp; amp; # 13; &amp; amp; # 10;</v>
      </c>
      <c r="B16884" s="3">
        <v>0</v>
      </c>
    </row>
    <row r="16885" ht="15.75" customHeight="1" spans="1:2">
      <c r="A16885" s="3" t="str">
        <f>IFERROR(__xludf.DUMMYFUNCTION("GOOGLETRANSLATE(A16885,""en"",""pt"")"),"pequeno botão para pessoas com mãos grandes")</f>
        <v>pequeno botão para pessoas com mãos grandes</v>
      </c>
      <c r="B16885" s="3">
        <v>0</v>
      </c>
    </row>
    <row r="16886" ht="15.75" customHeight="1" spans="1:2">
      <c r="A16886" s="3" t="str">
        <f>IFERROR(__xludf.DUMMYFUNCTION("GOOGLETRANSLATE(A16886,""en"",""pt"")"),"come baterias, dificuldade download")</f>
        <v>come baterias, dificuldade download</v>
      </c>
      <c r="B16886" s="3">
        <v>0</v>
      </c>
    </row>
    <row r="16887" ht="15.75" customHeight="1" spans="1:2">
      <c r="A16887" s="3" t="str">
        <f>IFERROR(__xludf.DUMMYFUNCTION("GOOGLETRANSLATE(A16887,""en"",""pt"")"),"Não é fácil de operar, come baterias")</f>
        <v>Não é fácil de operar, come baterias</v>
      </c>
      <c r="B16887" s="3">
        <v>0</v>
      </c>
    </row>
    <row r="16888" ht="15.75" customHeight="1" spans="1:2">
      <c r="A16888" s="3" t="str">
        <f>IFERROR(__xludf.DUMMYFUNCTION("GOOGLETRANSLATE(A16888,""en"",""pt"")"),"pobres para nenhum serviço ao cliente, não para MAC apesar das reivindicações")</f>
        <v>pobres para nenhum serviço ao cliente, não para MAC apesar das reivindicações</v>
      </c>
      <c r="B16888" s="3">
        <v>0</v>
      </c>
    </row>
    <row r="16889" ht="15.75" customHeight="1" spans="1:2">
      <c r="A16889" s="3" t="str">
        <f>IFERROR(__xludf.DUMMYFUNCTION("GOOGLETRANSLATE(A16889,""en"",""pt"")"),"Uso da bateria / Desenho")</f>
        <v>Uso da bateria / Desenho</v>
      </c>
      <c r="B16889" s="3">
        <v>0</v>
      </c>
    </row>
    <row r="16890" ht="15.75" customHeight="1" spans="1:2">
      <c r="A16890" s="3" t="str">
        <f>IFERROR(__xludf.DUMMYFUNCTION("GOOGLETRANSLATE(A16890,""en"",""pt"")"),"curta duração da bateria, brilho irritante, necessidade de reiniciar Mac cada vez que você deseja transferir fotos")</f>
        <v>curta duração da bateria, brilho irritante, necessidade de reiniciar Mac cada vez que você deseja transferir fotos</v>
      </c>
      <c r="B16890" s="3">
        <v>0</v>
      </c>
    </row>
    <row r="16891" ht="15.75" customHeight="1" spans="1:2">
      <c r="A16891" s="3" t="str">
        <f>IFERROR(__xludf.DUMMYFUNCTION("GOOGLETRANSLATE(A16891,""en"",""pt"")"),"Pouca memória, o uso excessivo da bateria")</f>
        <v>Pouca memória, o uso excessivo da bateria</v>
      </c>
      <c r="B16891" s="3">
        <v>0</v>
      </c>
    </row>
    <row r="16892" ht="15.75" customHeight="1" spans="1:2">
      <c r="A16892" s="3" t="str">
        <f>IFERROR(__xludf.DUMMYFUNCTION("GOOGLETRANSLATE(A16892,""en"",""pt"")"),"escorredor de bateria")</f>
        <v>escorredor de bateria</v>
      </c>
      <c r="B16892" s="3">
        <v>0</v>
      </c>
    </row>
    <row r="16893" ht="15.75" customHeight="1" spans="1:2">
      <c r="A16893" s="3" t="str">
        <f>IFERROR(__xludf.DUMMYFUNCTION("GOOGLETRANSLATE(A16893,""en"",""pt"")"),"Come baterias, tem que comprar fonte de alimentação opcional")</f>
        <v>Come baterias, tem que comprar fonte de alimentação opcional</v>
      </c>
      <c r="B16893" s="3">
        <v>0</v>
      </c>
    </row>
    <row r="16894" ht="15.75" customHeight="1" spans="1:2">
      <c r="A16894" s="3" t="str">
        <f>IFERROR(__xludf.DUMMYFUNCTION("GOOGLETRANSLATE(A16894,""en"",""pt"")"),"Um pouco frágil, nenhuma memória flash, media mais difícil de adquirir.")</f>
        <v>Um pouco frágil, nenhuma memória flash, media mais difícil de adquirir.</v>
      </c>
      <c r="B16894" s="3">
        <v>0</v>
      </c>
    </row>
    <row r="16895" ht="15.75" customHeight="1" spans="1:2">
      <c r="A16895" s="3" t="str">
        <f>IFERROR(__xludf.DUMMYFUNCTION("GOOGLETRANSLATE(A16895,""en"",""pt"")"),"preço")</f>
        <v>preço</v>
      </c>
      <c r="B16895" s="3">
        <v>0</v>
      </c>
    </row>
    <row r="16896" ht="15.75" customHeight="1" spans="1:2">
      <c r="A16896" s="3" t="str">
        <f>IFERROR(__xludf.DUMMYFUNCTION("GOOGLETRANSLATE(A16896,""en"",""pt"")"),"come baterias!")</f>
        <v>come baterias!</v>
      </c>
      <c r="B16896" s="3">
        <v>0</v>
      </c>
    </row>
    <row r="16897" ht="15.75" customHeight="1" spans="1:2">
      <c r="A16897" s="3" t="str">
        <f>IFERROR(__xludf.DUMMYFUNCTION("GOOGLETRANSLATE(A16897,""en"",""pt"")"),"devorador de bateria, tela de LCD pobres")</f>
        <v>devorador de bateria, tela de LCD pobres</v>
      </c>
      <c r="B16897" s="3">
        <v>0</v>
      </c>
    </row>
    <row r="16898" ht="15.75" customHeight="1" spans="1:2">
      <c r="A16898" s="3" t="str">
        <f>IFERROR(__xludf.DUMMYFUNCTION("GOOGLETRANSLATE(A16898,""en"",""pt"")"),"vida útil da bateria miserável, pobre bateria integridade trava da tampa")</f>
        <v>vida útil da bateria miserável, pobre bateria integridade trava da tampa</v>
      </c>
      <c r="B16898" s="3">
        <v>0</v>
      </c>
    </row>
    <row r="16899" ht="15.75" customHeight="1" spans="1:2">
      <c r="A16899" s="3" t="str">
        <f>IFERROR(__xludf.DUMMYFUNCTION("GOOGLETRANSLATE(A16899,""en"",""pt"")"),"Latência entre pics, tamanho, falhas de construção")</f>
        <v>Latência entre pics, tamanho, falhas de construção</v>
      </c>
      <c r="B16899" s="3">
        <v>0</v>
      </c>
    </row>
    <row r="16900" ht="15.75" customHeight="1" spans="1:2">
      <c r="A16900" s="3" t="str">
        <f>IFERROR(__xludf.DUMMYFUNCTION("GOOGLETRANSLATE(A16900,""en"",""pt"")"),"Sem Zoom Contínuo, Lens não giratória, Long tempo de aquecimento, Photowise 2.1.2 carece de recursos de versões anteriores, LCD tem taxa de varredura lenta")</f>
        <v>Sem Zoom Contínuo, Lens não giratória, Long tempo de aquecimento, Photowise 2.1.2 carece de recursos de versões anteriores, LCD tem taxa de varredura lenta</v>
      </c>
      <c r="B16900" s="3">
        <v>0</v>
      </c>
    </row>
    <row r="16901" ht="15.75" customHeight="1" spans="1:2">
      <c r="A16901" s="3" t="str">
        <f>IFERROR(__xludf.DUMMYFUNCTION("GOOGLETRANSLATE(A16901,""en"",""pt"")"),"conexão USB para o meu Mac não funciona na maioria das vezes, design Usabilidade")</f>
        <v>conexão USB para o meu Mac não funciona na maioria das vezes, design Usabilidade</v>
      </c>
      <c r="B16901" s="3">
        <v>0</v>
      </c>
    </row>
    <row r="16902" ht="15.75" customHeight="1" spans="1:2">
      <c r="A16902" s="3" t="str">
        <f>IFERROR(__xludf.DUMMYFUNCTION("GOOGLETRANSLATE(A16902,""en"",""pt"")"),"Precisa de computador para reter algumas configurações; pode não ser Y2K compatível")</f>
        <v>Precisa de computador para reter algumas configurações; pode não ser Y2K compatível</v>
      </c>
      <c r="B16902" s="3">
        <v>0</v>
      </c>
    </row>
    <row r="16903" ht="15.75" customHeight="1" spans="1:2">
      <c r="A16903" s="3" t="str">
        <f>IFERROR(__xludf.DUMMYFUNCTION("GOOGLETRANSLATE(A16903,""en"",""pt"")"),"Não consigo pensar em nenhum, exceto baterias come, mas eu acho que todas as câmeras digitais fazer isso.")</f>
        <v>Não consigo pensar em nenhum, exceto baterias come, mas eu acho que todas as câmeras digitais fazer isso.</v>
      </c>
      <c r="B16903" s="3">
        <v>0</v>
      </c>
    </row>
    <row r="16904" ht="15.75" customHeight="1" spans="1:2">
      <c r="A16904" s="3" t="str">
        <f>IFERROR(__xludf.DUMMYFUNCTION("GOOGLETRANSLATE(A16904,""en"",""pt"")"),"Má qualidade")</f>
        <v>Má qualidade</v>
      </c>
      <c r="B16904" s="3">
        <v>0</v>
      </c>
    </row>
    <row r="16905" ht="15.75" customHeight="1" spans="1:2">
      <c r="A16905" s="3" t="str">
        <f>IFERROR(__xludf.DUMMYFUNCTION("GOOGLETRANSLATE(A16905,""en"",""pt"")"),"volumoso para os padrões de hoje")</f>
        <v>volumoso para os padrões de hoje</v>
      </c>
      <c r="B16905" s="3">
        <v>0</v>
      </c>
    </row>
    <row r="16906" ht="15.75" customHeight="1" spans="1:2">
      <c r="A16906" s="3" t="str">
        <f>IFERROR(__xludf.DUMMYFUNCTION("GOOGLETRANSLATE(A16906,""en"",""pt"")"),"nem sempre funciona")</f>
        <v>nem sempre funciona</v>
      </c>
      <c r="B16906" s="3">
        <v>0</v>
      </c>
    </row>
    <row r="16907" ht="15.75" customHeight="1" spans="1:2">
      <c r="A16907" s="3" t="str">
        <f>IFERROR(__xludf.DUMMYFUNCTION("GOOGLETRANSLATE(A16907,""en"",""pt"")"),"tudo")</f>
        <v>tudo</v>
      </c>
      <c r="B16907" s="3">
        <v>0</v>
      </c>
    </row>
    <row r="16908" ht="15.75" customHeight="1" spans="1:2">
      <c r="A16908" s="3" t="str">
        <f>IFERROR(__xludf.DUMMYFUNCTION("GOOGLETRANSLATE(A16908,""en"",""pt"")"),"breaks câmera, Agfa não faz nada exceto mentiras tell")</f>
        <v>breaks câmera, Agfa não faz nada exceto mentiras tell</v>
      </c>
      <c r="B16908" s="3">
        <v>0</v>
      </c>
    </row>
    <row r="16909" ht="15.75" customHeight="1" spans="1:2">
      <c r="A16909" s="3" t="str">
        <f>IFERROR(__xludf.DUMMYFUNCTION("GOOGLETRANSLATE(A16909,""en"",""pt"")"),"Um pouco grande para mãos pequenas.")</f>
        <v>Um pouco grande para mãos pequenas.</v>
      </c>
      <c r="B16909" s="3">
        <v>0</v>
      </c>
    </row>
    <row r="16910" ht="15.75" customHeight="1" spans="1:2">
      <c r="A16910" s="3" t="str">
        <f>IFERROR(__xludf.DUMMYFUNCTION("GOOGLETRANSLATE(A16910,""en"",""pt"")"),"Má qualidade com pouca luz, caso volumoso, lento LCD")</f>
        <v>Má qualidade com pouca luz, caso volumoso, lento LCD</v>
      </c>
      <c r="B16910" s="3">
        <v>0</v>
      </c>
    </row>
    <row r="16911" ht="15.75" customHeight="1" spans="1:2">
      <c r="A16911" s="3" t="str">
        <f>IFERROR(__xludf.DUMMYFUNCTION("GOOGLETRANSLATE(A16911,""en"",""pt"")"),"Todo o resto")</f>
        <v>Todo o resto</v>
      </c>
      <c r="B16911" s="3">
        <v>0</v>
      </c>
    </row>
    <row r="16912" ht="15.75" customHeight="1" spans="1:2">
      <c r="A16912" s="3" t="str">
        <f>IFERROR(__xludf.DUMMYFUNCTION("GOOGLETRANSLATE(A16912,""en"",""pt"")"),"tudo")</f>
        <v>tudo</v>
      </c>
      <c r="B16912" s="3">
        <v>0</v>
      </c>
    </row>
    <row r="16913" ht="15.75" customHeight="1" spans="1:2">
      <c r="A16913" s="3" t="str">
        <f>IFERROR(__xludf.DUMMYFUNCTION("GOOGLETRANSLATE(A16913,""en"",""pt"")"),"Era de graça ...")</f>
        <v>Era de graça ...</v>
      </c>
      <c r="B16913" s="3">
        <v>0</v>
      </c>
    </row>
    <row r="16914" ht="15.75" customHeight="1" spans="1:2">
      <c r="A16914" s="3" t="str">
        <f>IFERROR(__xludf.DUMMYFUNCTION("GOOGLETRANSLATE(A16914,""en"",""pt"")"),"qualidade de imagem pobre")</f>
        <v>qualidade de imagem pobre</v>
      </c>
      <c r="B16914" s="3">
        <v>0</v>
      </c>
    </row>
    <row r="16915" ht="15.75" customHeight="1" spans="1:2">
      <c r="A16915" s="3" t="str">
        <f>IFERROR(__xludf.DUMMYFUNCTION("GOOGLETRANSLATE(A16915,""en"",""pt"")"),"qualidade de imagem, nenhuma interface USB")</f>
        <v>qualidade de imagem, nenhuma interface USB</v>
      </c>
      <c r="B16915" s="3">
        <v>0</v>
      </c>
    </row>
    <row r="16916" ht="15.75" customHeight="1" spans="1:2">
      <c r="A16916" s="3" t="str">
        <f>IFERROR(__xludf.DUMMYFUNCTION("GOOGLETRANSLATE(A16916,""en"",""pt"")"),"Baixa resolução, transferência de arquivos peculiar")</f>
        <v>Baixa resolução, transferência de arquivos peculiar</v>
      </c>
      <c r="B16916" s="3">
        <v>0</v>
      </c>
    </row>
    <row r="16917" ht="15.75" customHeight="1" spans="1:2">
      <c r="A16917" s="3" t="str">
        <f>IFERROR(__xludf.DUMMYFUNCTION("GOOGLETRANSLATE(A16917,""en"",""pt"")"),"imagens granuladas, distorção, imagens de baixa qualidade")</f>
        <v>imagens granuladas, distorção, imagens de baixa qualidade</v>
      </c>
      <c r="B16917" s="3">
        <v>0</v>
      </c>
    </row>
    <row r="16918" ht="15.75" customHeight="1" spans="1:2">
      <c r="A16918" s="3" t="str">
        <f>IFERROR(__xludf.DUMMYFUNCTION("GOOGLETRANSLATE(A16918,""en"",""pt"")"),"imagens extremamente pobres")</f>
        <v>imagens extremamente pobres</v>
      </c>
      <c r="B16918" s="3">
        <v>0</v>
      </c>
    </row>
    <row r="16919" ht="15.75" customHeight="1" spans="1:2">
      <c r="A16919" s="3" t="str">
        <f>IFERROR(__xludf.DUMMYFUNCTION("GOOGLETRANSLATE(A16919,""en"",""pt"")"),"fotos de baixa qualidade, come-se baterias")</f>
        <v>fotos de baixa qualidade, come-se baterias</v>
      </c>
      <c r="B16919" s="3">
        <v>0</v>
      </c>
    </row>
    <row r="16920" ht="15.75" customHeight="1" spans="1:2">
      <c r="A16920" s="3" t="str">
        <f>IFERROR(__xludf.DUMMYFUNCTION("GOOGLETRANSLATE(A16920,""en"",""pt"")"),"mau mau mau imagens")</f>
        <v>mau mau mau imagens</v>
      </c>
      <c r="B16920" s="3">
        <v>0</v>
      </c>
    </row>
    <row r="16921" ht="15.75" customHeight="1" spans="1:2">
      <c r="A16921" s="3" t="str">
        <f>IFERROR(__xludf.DUMMYFUNCTION("GOOGLETRANSLATE(A16921,""en"",""pt"")"),"I tipo de mau sensação para a pessoa que comprou.")</f>
        <v>I tipo de mau sensação para a pessoa que comprou.</v>
      </c>
      <c r="B16921" s="3">
        <v>0</v>
      </c>
    </row>
    <row r="16922" ht="15.75" customHeight="1" spans="1:2">
      <c r="A16922" s="3" t="str">
        <f>IFERROR(__xludf.DUMMYFUNCTION("GOOGLETRANSLATE(A16922,""en"",""pt"")"),"tudo deve ser retirado do mercado")</f>
        <v>tudo deve ser retirado do mercado</v>
      </c>
      <c r="B16922" s="3">
        <v>0</v>
      </c>
    </row>
    <row r="16923" ht="15.75" customHeight="1" spans="1:2">
      <c r="A16923" s="3" t="str">
        <f>IFERROR(__xludf.DUMMYFUNCTION("GOOGLETRANSLATE(A16923,""en"",""pt"")"),"Falta de serviço ao cliente de qualidade.")</f>
        <v>Falta de serviço ao cliente de qualidade.</v>
      </c>
      <c r="B16923" s="3">
        <v>0</v>
      </c>
    </row>
    <row r="16924" ht="15.75" customHeight="1" spans="1:2">
      <c r="A16924" s="3" t="str">
        <f>IFERROR(__xludf.DUMMYFUNCTION("GOOGLETRANSLATE(A16924,""en"",""pt"")"),"extremamente pobre qualidade de imagem")</f>
        <v>extremamente pobre qualidade de imagem</v>
      </c>
      <c r="B16924" s="3">
        <v>0</v>
      </c>
    </row>
    <row r="16925" ht="15.75" customHeight="1" spans="1:2">
      <c r="A16925" s="3" t="str">
        <f>IFERROR(__xludf.DUMMYFUNCTION("GOOGLETRANSLATE(A16925,""en"",""pt"")"),"Você o que você pago.")</f>
        <v>Você o que você pago.</v>
      </c>
      <c r="B16925" s="3">
        <v>0</v>
      </c>
    </row>
    <row r="16926" ht="15.75" customHeight="1" spans="1:2">
      <c r="A16926" s="3" t="str">
        <f>IFERROR(__xludf.DUMMYFUNCTION("GOOGLETRANSLATE(A16926,""en"",""pt"")"),"Horrível qualidade de imagem, a vida da bateria patético, sem foco, a lista continua ...")</f>
        <v>Horrível qualidade de imagem, a vida da bateria patético, sem foco, a lista continua ...</v>
      </c>
      <c r="B16926" s="3">
        <v>0</v>
      </c>
    </row>
    <row r="16927" ht="15.75" customHeight="1" spans="1:2">
      <c r="A16927" s="3" t="str">
        <f>IFERROR(__xludf.DUMMYFUNCTION("GOOGLETRANSLATE(A16927,""en"",""pt"")"),"pobre clareza")</f>
        <v>pobre clareza</v>
      </c>
      <c r="B16927" s="3">
        <v>0</v>
      </c>
    </row>
    <row r="16928" ht="15.75" customHeight="1" spans="1:2">
      <c r="A16928" s="3" t="str">
        <f>IFERROR(__xludf.DUMMYFUNCTION("GOOGLETRANSLATE(A16928,""en"",""pt"")"),"uso do adaptador e bateria")</f>
        <v>uso do adaptador e bateria</v>
      </c>
      <c r="B16928" s="3">
        <v>0</v>
      </c>
    </row>
    <row r="16929" ht="15.75" customHeight="1" spans="1:2">
      <c r="A16929" s="3" t="str">
        <f>IFERROR(__xludf.DUMMYFUNCTION("GOOGLETRANSLATE(A16929,""en"",""pt"")"),"praticamente tudo sobre ele")</f>
        <v>praticamente tudo sobre ele</v>
      </c>
      <c r="B16929" s="3">
        <v>0</v>
      </c>
    </row>
    <row r="16930" ht="15.75" customHeight="1" spans="1:2">
      <c r="A16930" s="3" t="str">
        <f>IFERROR(__xludf.DUMMYFUNCTION("GOOGLETRANSLATE(A16930,""en"",""pt"")"),"sente junky")</f>
        <v>sente junky</v>
      </c>
      <c r="B16930" s="3">
        <v>0</v>
      </c>
    </row>
    <row r="16931" ht="15.75" customHeight="1" spans="1:2">
      <c r="A16931" s="3" t="str">
        <f>IFERROR(__xludf.DUMMYFUNCTION("GOOGLETRANSLATE(A16931,""en"",""pt"")"),"Substandard qualidade de imagem, software confundindo")</f>
        <v>Substandard qualidade de imagem, software confundindo</v>
      </c>
      <c r="B16931" s="3">
        <v>0</v>
      </c>
    </row>
    <row r="16932" ht="15.75" customHeight="1" spans="1:2">
      <c r="A16932" s="3" t="str">
        <f>IFERROR(__xludf.DUMMYFUNCTION("GOOGLETRANSLATE(A16932,""en"",""pt"")"),"não gosta,")</f>
        <v>não gosta,</v>
      </c>
      <c r="B16932" s="3">
        <v>0</v>
      </c>
    </row>
    <row r="16933" ht="15.75" customHeight="1" spans="1:2">
      <c r="A16933" s="3" t="str">
        <f>IFERROR(__xludf.DUMMYFUNCTION("GOOGLETRANSLATE(A16933,""en"",""pt"")"),"tudo sobre ele!")</f>
        <v>tudo sobre ele!</v>
      </c>
      <c r="B16933" s="3">
        <v>0</v>
      </c>
    </row>
    <row r="16934" ht="15.75" customHeight="1" spans="1:2">
      <c r="A16934" s="3" t="str">
        <f>IFERROR(__xludf.DUMMYFUNCTION("GOOGLETRANSLATE(A16934,""en"",""pt"")"),"pobre resolução da imagem; utilização elevada da bateria; não atualizável")</f>
        <v>pobre resolução da imagem; utilização elevada da bateria; não atualizável</v>
      </c>
      <c r="B16934" s="3">
        <v>0</v>
      </c>
    </row>
    <row r="16935" ht="15.75" customHeight="1" spans="1:2">
      <c r="A16935" s="3" t="str">
        <f>IFERROR(__xludf.DUMMYFUNCTION("GOOGLETRANSLATE(A16935,""en"",""pt"")"),"capacidades limitadas, software instável")</f>
        <v>capacidades limitadas, software instável</v>
      </c>
      <c r="B16935" s="3">
        <v>0</v>
      </c>
    </row>
    <row r="16936" ht="15.75" customHeight="1" spans="1:2">
      <c r="A16936" s="3" t="str">
        <f>IFERROR(__xludf.DUMMYFUNCTION("GOOGLETRANSLATE(A16936,""en"",""pt"")"),"Simplesmente não funciona.")</f>
        <v>Simplesmente não funciona.</v>
      </c>
      <c r="B16936" s="3">
        <v>0</v>
      </c>
    </row>
    <row r="16937" ht="15.75" customHeight="1" spans="1:2">
      <c r="A16937" s="3" t="str">
        <f>IFERROR(__xludf.DUMMYFUNCTION("GOOGLETRANSLATE(A16937,""en"",""pt"")"),"Onde devo começar?")</f>
        <v>Onde devo começar?</v>
      </c>
      <c r="B16937" s="3">
        <v>0</v>
      </c>
    </row>
    <row r="16938" ht="15.75" customHeight="1" spans="1:2">
      <c r="A16938" s="3" t="str">
        <f>IFERROR(__xludf.DUMMYFUNCTION("GOOGLETRANSLATE(A16938,""en"",""pt"")"),"desperdício de dinheiro")</f>
        <v>desperdício de dinheiro</v>
      </c>
      <c r="B16938" s="3">
        <v>0</v>
      </c>
    </row>
    <row r="16939" ht="15.75" customHeight="1" spans="1:2">
      <c r="A16939" s="3" t="str">
        <f>IFERROR(__xludf.DUMMYFUNCTION("GOOGLETRANSLATE(A16939,""en"",""pt"")"),"falta de qualidade das imagens e da Companhia de serviço para este cliente")</f>
        <v>falta de qualidade das imagens e da Companhia de serviço para este cliente</v>
      </c>
      <c r="B16939" s="3">
        <v>0</v>
      </c>
    </row>
    <row r="16940" ht="15.75" customHeight="1" spans="1:2">
      <c r="A16940" s="3" t="str">
        <f>IFERROR(__xludf.DUMMYFUNCTION("GOOGLETRANSLATE(A16940,""en"",""pt"")"),"ahhh .... morreu!")</f>
        <v>ahhh .... morreu!</v>
      </c>
      <c r="B16940" s="3">
        <v>0</v>
      </c>
    </row>
    <row r="16941" ht="15.75" customHeight="1" spans="1:2">
      <c r="A16941" s="3" t="str">
        <f>IFERROR(__xludf.DUMMYFUNCTION("GOOGLETRANSLATE(A16941,""en"",""pt"")"),"TUDO")</f>
        <v>TUDO</v>
      </c>
      <c r="B16941" s="3">
        <v>0</v>
      </c>
    </row>
    <row r="16942" ht="15.75" customHeight="1" spans="1:2">
      <c r="A16942" s="3" t="str">
        <f>IFERROR(__xludf.DUMMYFUNCTION("GOOGLETRANSLATE(A16942,""en"",""pt"")"),"estúpido estúpido estúpido, não comprá-lo, peço-lhe !!")</f>
        <v>estúpido estúpido estúpido, não comprá-lo, peço-lhe !!</v>
      </c>
      <c r="B16942" s="3">
        <v>0</v>
      </c>
    </row>
    <row r="16943" ht="15.75" customHeight="1" spans="1:2">
      <c r="A16943" s="3" t="str">
        <f>IFERROR(__xludf.DUMMYFUNCTION("GOOGLETRANSLATE(A16943,""en"",""pt"")"),"não produz fotos decentes sem esforço incrível")</f>
        <v>não produz fotos decentes sem esforço incrível</v>
      </c>
      <c r="B16943" s="3">
        <v>0</v>
      </c>
    </row>
    <row r="16944" ht="15.75" customHeight="1" spans="1:2">
      <c r="A16944" s="3" t="str">
        <f>IFERROR(__xludf.DUMMYFUNCTION("GOOGLETRANSLATE(A16944,""en"",""pt"")"),"muito caro para um pedaço de lixo")</f>
        <v>muito caro para um pedaço de lixo</v>
      </c>
      <c r="B16944" s="3">
        <v>0</v>
      </c>
    </row>
    <row r="16945" ht="15.75" customHeight="1" spans="1:2">
      <c r="A16945" s="3" t="str">
        <f>IFERROR(__xludf.DUMMYFUNCTION("GOOGLETRANSLATE(A16945,""en"",""pt"")"),"Baixa qualidade, não para tirar fotografias importantes.")</f>
        <v>Baixa qualidade, não para tirar fotografias importantes.</v>
      </c>
      <c r="B16945" s="3">
        <v>0</v>
      </c>
    </row>
    <row r="16946" ht="15.75" customHeight="1" spans="1:2">
      <c r="A16946" s="3" t="str">
        <f>IFERROR(__xludf.DUMMYFUNCTION("GOOGLETRANSLATE(A16946,""en"",""pt"")"),"Ainda não um bom negócio")</f>
        <v>Ainda não um bom negócio</v>
      </c>
      <c r="B16946" s="3">
        <v>0</v>
      </c>
    </row>
    <row r="16947" ht="15.75" customHeight="1" spans="1:2">
      <c r="A16947" s="3" t="str">
        <f>IFERROR(__xludf.DUMMYFUNCTION("GOOGLETRANSLATE(A16947,""en"",""pt"")"),"Má qualidade, não funciona às vezes.")</f>
        <v>Má qualidade, não funciona às vezes.</v>
      </c>
      <c r="B16947" s="3">
        <v>0</v>
      </c>
    </row>
    <row r="16948" ht="15.75" customHeight="1" spans="1:2">
      <c r="A16948" s="3" t="str">
        <f>IFERROR(__xludf.DUMMYFUNCTION("GOOGLETRANSLATE(A16948,""en"",""pt"")"),"Precisa de US $ 50 adaptador de alimentação não está incluído. Baixa resolução de imagem.")</f>
        <v>Precisa de US $ 50 adaptador de alimentação não está incluído. Baixa resolução de imagem.</v>
      </c>
      <c r="B16948" s="3">
        <v>0</v>
      </c>
    </row>
    <row r="16949" ht="15.75" customHeight="1" spans="1:2">
      <c r="A16949" s="3" t="str">
        <f>IFERROR(__xludf.DUMMYFUNCTION("GOOGLETRANSLATE(A16949,""en"",""pt"")"),"má qualidade, mal feita")</f>
        <v>má qualidade, mal feita</v>
      </c>
      <c r="B16949" s="3">
        <v>0</v>
      </c>
    </row>
    <row r="16950" ht="15.75" customHeight="1" spans="1:2">
      <c r="A16950" s="3" t="str">
        <f>IFERROR(__xludf.DUMMYFUNCTION("GOOGLETRANSLATE(A16950,""en"",""pt"")"),"qualidade de imagem, o uso da bateria, sem vista")</f>
        <v>qualidade de imagem, o uso da bateria, sem vista</v>
      </c>
      <c r="B16950" s="3">
        <v>0</v>
      </c>
    </row>
    <row r="16951" ht="15.75" customHeight="1" spans="1:2">
      <c r="A16951" s="3" t="str">
        <f>IFERROR(__xludf.DUMMYFUNCTION("GOOGLETRANSLATE(A16951,""en"",""pt"")"),"Tudo, desde a sua instilação difícil, também é o desempenho inaceitável")</f>
        <v>Tudo, desde a sua instilação difícil, também é o desempenho inaceitável</v>
      </c>
      <c r="B16951" s="3">
        <v>0</v>
      </c>
    </row>
    <row r="16952" ht="15.75" customHeight="1" spans="1:2">
      <c r="A16952" s="3" t="str">
        <f>IFERROR(__xludf.DUMMYFUNCTION("GOOGLETRANSLATE(A16952,""en"",""pt"")"),"qualidade de imagem, a vida da bateria, usabilidade")</f>
        <v>qualidade de imagem, a vida da bateria, usabilidade</v>
      </c>
      <c r="B16952" s="3">
        <v>0</v>
      </c>
    </row>
    <row r="16953" ht="15.75" customHeight="1" spans="1:2">
      <c r="A16953" s="3" t="str">
        <f>IFERROR(__xludf.DUMMYFUNCTION("GOOGLETRANSLATE(A16953,""en"",""pt"")"),"leia todas as opiniões para os contras")</f>
        <v>leia todas as opiniões para os contras</v>
      </c>
      <c r="B16953" s="3">
        <v>0</v>
      </c>
    </row>
    <row r="16954" ht="15.75" customHeight="1" spans="1:2">
      <c r="A16954" s="3" t="str">
        <f>IFERROR(__xludf.DUMMYFUNCTION("GOOGLETRANSLATE(A16954,""en"",""pt"")"),"de trabalho, de má qualidade fotos sair")</f>
        <v>de trabalho, de má qualidade fotos sair</v>
      </c>
      <c r="B16954" s="3">
        <v>0</v>
      </c>
    </row>
    <row r="16955" ht="15.75" customHeight="1" spans="1:2">
      <c r="A16955" s="3" t="str">
        <f>IFERROR(__xludf.DUMMYFUNCTION("GOOGLETRANSLATE(A16955,""en"",""pt"")"),"Pixelização em fotos, alguns problemas de software, duro em baterias")</f>
        <v>Pixelização em fotos, alguns problemas de software, duro em baterias</v>
      </c>
      <c r="B16955" s="3">
        <v>0</v>
      </c>
    </row>
    <row r="16956" ht="15.75" customHeight="1" spans="1:2">
      <c r="A16956" s="3" t="str">
        <f>IFERROR(__xludf.DUMMYFUNCTION("GOOGLETRANSLATE(A16956,""en"",""pt"")"),"mentiras Agfa sobre especificações de produtos")</f>
        <v>mentiras Agfa sobre especificações de produtos</v>
      </c>
      <c r="B16956" s="3">
        <v>0</v>
      </c>
    </row>
    <row r="16957" ht="15.75" customHeight="1" spans="1:2">
      <c r="A16957" s="3" t="str">
        <f>IFERROR(__xludf.DUMMYFUNCTION("GOOGLETRANSLATE(A16957,""en"",""pt"")"),"TUDO")</f>
        <v>TUDO</v>
      </c>
      <c r="B16957" s="3">
        <v>0</v>
      </c>
    </row>
    <row r="16958" ht="15.75" customHeight="1" spans="1:2">
      <c r="A16958" s="3" t="str">
        <f>IFERROR(__xludf.DUMMYFUNCTION("GOOGLETRANSLATE(A16958,""en"",""pt"")"),"TUDO")</f>
        <v>TUDO</v>
      </c>
      <c r="B16958" s="3">
        <v>0</v>
      </c>
    </row>
    <row r="16959" ht="15.75" customHeight="1" spans="1:2">
      <c r="A16959" s="3" t="str">
        <f>IFERROR(__xludf.DUMMYFUNCTION("GOOGLETRANSLATE(A16959,""en"",""pt"")"),"qualidade horrível")</f>
        <v>qualidade horrível</v>
      </c>
      <c r="B16959" s="3">
        <v>0</v>
      </c>
    </row>
    <row r="16960" ht="15.75" customHeight="1" spans="1:2">
      <c r="A16960" s="3" t="str">
        <f>IFERROR(__xludf.DUMMYFUNCTION("GOOGLETRANSLATE(A16960,""en"",""pt"")"),"má imagem problema de drenagem qualidade / bateria")</f>
        <v>má imagem problema de drenagem qualidade / bateria</v>
      </c>
      <c r="B16960" s="3">
        <v>0</v>
      </c>
    </row>
    <row r="16961" ht="15.75" customHeight="1" spans="1:2">
      <c r="A16961" s="3" t="str">
        <f>IFERROR(__xludf.DUMMYFUNCTION("GOOGLETRANSLATE(A16961,""en"",""pt"")"),"fotos fuzzy, problemas de conexão, lista continua ...")</f>
        <v>fotos fuzzy, problemas de conexão, lista continua ...</v>
      </c>
      <c r="B16961" s="3">
        <v>0</v>
      </c>
    </row>
    <row r="16962" ht="15.75" customHeight="1" spans="1:2">
      <c r="A16962" s="3" t="str">
        <f>IFERROR(__xludf.DUMMYFUNCTION("GOOGLETRANSLATE(A16962,""en"",""pt"")"),"A qualidade da imagem é inútil")</f>
        <v>A qualidade da imagem é inútil</v>
      </c>
      <c r="B16962" s="3">
        <v>0</v>
      </c>
    </row>
    <row r="16963" ht="15.75" customHeight="1" spans="1:2">
      <c r="A16963" s="3" t="str">
        <f>IFERROR(__xludf.DUMMYFUNCTION("GOOGLETRANSLATE(A16963,""en"",""pt"")"),"não a melhor qualidade suga a energia da bateria")</f>
        <v>não a melhor qualidade suga a energia da bateria</v>
      </c>
      <c r="B16963" s="3">
        <v>0</v>
      </c>
    </row>
    <row r="16964" ht="15.75" customHeight="1" spans="1:2">
      <c r="A16964" s="3" t="str">
        <f>IFERROR(__xludf.DUMMYFUNCTION("GOOGLETRANSLATE(A16964,""en"",""pt"")"),"Tira fotos BAD")</f>
        <v>Tira fotos BAD</v>
      </c>
      <c r="B16964" s="3">
        <v>0</v>
      </c>
    </row>
    <row r="16965" ht="15.75" customHeight="1" spans="1:2">
      <c r="A16965" s="3" t="str">
        <f>IFERROR(__xludf.DUMMYFUNCTION("GOOGLETRANSLATE(A16965,""en"",""pt"")"),"SUGA, SUGA, SUGA !!!!!!!!!")</f>
        <v>SUGA, SUGA, SUGA !!!!!!!!!</v>
      </c>
      <c r="B16965" s="3">
        <v>0</v>
      </c>
    </row>
    <row r="16966" ht="15.75" customHeight="1" spans="1:2">
      <c r="A16966" s="3" t="str">
        <f>IFERROR(__xludf.DUMMYFUNCTION("GOOGLETRANSLATE(A16966,""en"",""pt"")"),"serviço de baixa qualidade, imagens, software e garantia")</f>
        <v>serviço de baixa qualidade, imagens, software e garantia</v>
      </c>
      <c r="B16966" s="3">
        <v>0</v>
      </c>
    </row>
    <row r="16967" ht="15.75" customHeight="1" spans="1:2">
      <c r="A16967" s="3" t="str">
        <f>IFERROR(__xludf.DUMMYFUNCTION("GOOGLETRANSLATE(A16967,""en"",""pt"")"),"problemas com software e baterias, de baixa resolução")</f>
        <v>problemas com software e baterias, de baixa resolução</v>
      </c>
      <c r="B16967" s="3">
        <v>0</v>
      </c>
    </row>
    <row r="16968" ht="15.75" customHeight="1" spans="1:2">
      <c r="A16968" s="3" t="str">
        <f>IFERROR(__xludf.DUMMYFUNCTION("GOOGLETRANSLATE(A16968,""en"",""pt"")"),"A qualidade da imagem é absolutamente terrível")</f>
        <v>A qualidade da imagem é absolutamente terrível</v>
      </c>
      <c r="B16968" s="3">
        <v>0</v>
      </c>
    </row>
    <row r="16969" ht="15.75" customHeight="1" spans="1:2">
      <c r="A16969" s="3" t="str">
        <f>IFERROR(__xludf.DUMMYFUNCTION("GOOGLETRANSLATE(A16969,""en"",""pt"")"),"tudo")</f>
        <v>tudo</v>
      </c>
      <c r="B16969" s="3">
        <v>0</v>
      </c>
    </row>
    <row r="16970" ht="15.75" customHeight="1" spans="1:2">
      <c r="A16970" s="3" t="str">
        <f>IFERROR(__xludf.DUMMYFUNCTION("GOOGLETRANSLATE(A16970,""en"",""pt"")"),"o fato de que ela existe")</f>
        <v>o fato de que ela existe</v>
      </c>
      <c r="B16970" s="3">
        <v>0</v>
      </c>
    </row>
    <row r="16971" ht="15.75" customHeight="1" spans="1:2">
      <c r="A16971" s="3" t="str">
        <f>IFERROR(__xludf.DUMMYFUNCTION("GOOGLETRANSLATE(A16971,""en"",""pt"")"),"má qualidade")</f>
        <v>má qualidade</v>
      </c>
      <c r="B16971" s="3">
        <v>0</v>
      </c>
    </row>
    <row r="16972" ht="15.75" customHeight="1" spans="1:2">
      <c r="A16972" s="3" t="str">
        <f>IFERROR(__xludf.DUMMYFUNCTION("GOOGLETRANSLATE(A16972,""en"",""pt"")"),"comprar uma bateria para cada foto que você está pensando em tomar, não planeja as fotos sendo muito bom")</f>
        <v>comprar uma bateria para cada foto que você está pensando em tomar, não planeja as fotos sendo muito bom</v>
      </c>
      <c r="B16972" s="3">
        <v>0</v>
      </c>
    </row>
    <row r="16973" ht="15.75" customHeight="1" spans="1:2">
      <c r="A16973" s="3" t="str">
        <f>IFERROR(__xludf.DUMMYFUNCTION("GOOGLETRANSLATE(A16973,""en"",""pt"")"),"Final muito baixo")</f>
        <v>Final muito baixo</v>
      </c>
      <c r="B16973" s="3">
        <v>0</v>
      </c>
    </row>
    <row r="16974" ht="15.75" customHeight="1" spans="1:2">
      <c r="A16974" s="3" t="str">
        <f>IFERROR(__xludf.DUMMYFUNCTION("GOOGLETRANSLATE(A16974,""en"",""pt"")"),"vida útil da bateria, facilidade de uso")</f>
        <v>vida útil da bateria, facilidade de uso</v>
      </c>
      <c r="B16974" s="3">
        <v>0</v>
      </c>
    </row>
    <row r="16975" ht="15.75" customHeight="1" spans="1:2">
      <c r="A16975" s="3" t="str">
        <f>IFERROR(__xludf.DUMMYFUNCTION("GOOGLETRANSLATE(A16975,""en"",""pt"")"),"Absolutamente tudo. Terrível imagem, a vida da bateria")</f>
        <v>Absolutamente tudo. Terrível imagem, a vida da bateria</v>
      </c>
      <c r="B16975" s="3">
        <v>0</v>
      </c>
    </row>
    <row r="16976" ht="15.75" customHeight="1" spans="1:2">
      <c r="A16976" s="3" t="str">
        <f>IFERROR(__xludf.DUMMYFUNCTION("GOOGLETRANSLATE(A16976,""en"",""pt"")"),"vida curta da bateria, qualidade de imagem horrível, pobre construção, software terrível")</f>
        <v>vida curta da bateria, qualidade de imagem horrível, pobre construção, software terrível</v>
      </c>
      <c r="B16976" s="3">
        <v>0</v>
      </c>
    </row>
    <row r="16977" ht="15.75" customHeight="1" spans="1:2">
      <c r="A16977" s="3" t="str">
        <f>IFERROR(__xludf.DUMMYFUNCTION("GOOGLETRANSLATE(A16977,""en"",""pt"")"),"É uma máquina de comer bateria!")</f>
        <v>É uma máquina de comer bateria!</v>
      </c>
      <c r="B16977" s="3">
        <v>0</v>
      </c>
    </row>
    <row r="16978" ht="15.75" customHeight="1" spans="1:2">
      <c r="A16978" s="3" t="str">
        <f>IFERROR(__xludf.DUMMYFUNCTION("GOOGLETRANSLATE(A16978,""en"",""pt"")"),"As imagens são muito granulado e parecem fora de foco")</f>
        <v>As imagens são muito granulado e parecem fora de foco</v>
      </c>
      <c r="B16978" s="3">
        <v>0</v>
      </c>
    </row>
    <row r="16979" ht="15.75" customHeight="1" spans="1:2">
      <c r="A16979" s="3" t="str">
        <f>IFERROR(__xludf.DUMMYFUNCTION("GOOGLETRANSLATE(A16979,""en"",""pt"")"),"Sorriso é muito low-end, não para o grave amante foto digital.")</f>
        <v>Sorriso é muito low-end, não para o grave amante foto digital.</v>
      </c>
      <c r="B16979" s="3">
        <v>0</v>
      </c>
    </row>
    <row r="16980" ht="15.75" customHeight="1" spans="1:2">
      <c r="A16980" s="3" t="str">
        <f>IFERROR(__xludf.DUMMYFUNCTION("GOOGLETRANSLATE(A16980,""en"",""pt"")"),"Difícil de usar, pobres fotos de qualidade, vida útil da bateria .. ha ha.")</f>
        <v>Difícil de usar, pobres fotos de qualidade, vida útil da bateria .. ha ha.</v>
      </c>
      <c r="B16980" s="3">
        <v>0</v>
      </c>
    </row>
    <row r="16981" ht="15.75" customHeight="1" spans="1:2">
      <c r="A16981" s="3" t="str">
        <f>IFERROR(__xludf.DUMMYFUNCTION("GOOGLETRANSLATE(A16981,""en"",""pt"")"),"ou você pode dizer que não há nada de bom sobre ele.")</f>
        <v>ou você pode dizer que não há nada de bom sobre ele.</v>
      </c>
      <c r="B16981" s="3">
        <v>0</v>
      </c>
    </row>
    <row r="16982" ht="15.75" customHeight="1" spans="1:2">
      <c r="A16982" s="3" t="str">
        <f>IFERROR(__xludf.DUMMYFUNCTION("GOOGLETRANSLATE(A16982,""en"",""pt"")"),"vida curta da bateria, baixa resolução, não &amp; amp; # 13; &amp; amp; # 10; atendimento ao cliente, mal construído")</f>
        <v>vida curta da bateria, baixa resolução, não &amp; amp; # 13; &amp; amp; # 10; atendimento ao cliente, mal construído</v>
      </c>
      <c r="B16982" s="3">
        <v>0</v>
      </c>
    </row>
    <row r="16983" ht="15.75" customHeight="1" spans="1:2">
      <c r="A16983" s="3" t="str">
        <f>IFERROR(__xludf.DUMMYFUNCTION("GOOGLETRANSLATE(A16983,""en"",""pt"")"),"distorce a lente, a resolução é baixa, precisa de muita luz, engole AAs, olhares toylike")</f>
        <v>distorce a lente, a resolução é baixa, precisa de muita luz, engole AAs, olhares toylike</v>
      </c>
      <c r="B16983" s="3">
        <v>0</v>
      </c>
    </row>
    <row r="16984" ht="15.75" customHeight="1" spans="1:2">
      <c r="A16984" s="3" t="str">
        <f>IFERROR(__xludf.DUMMYFUNCTION("GOOGLETRANSLATE(A16984,""en"",""pt"")"),"porta serial, somente a memória 2mb (16 fotos não é suficiente), feio fotos")</f>
        <v>porta serial, somente a memória 2mb (16 fotos não é suficiente), feio fotos</v>
      </c>
      <c r="B16984" s="3">
        <v>0</v>
      </c>
    </row>
    <row r="16985" ht="15.75" customHeight="1" spans="1:2">
      <c r="A16985" s="3" t="str">
        <f>IFERROR(__xludf.DUMMYFUNCTION("GOOGLETRANSLATE(A16985,""en"",""pt"")"),"má qualidade de imagem, sem exibição")</f>
        <v>má qualidade de imagem, sem exibição</v>
      </c>
      <c r="B16985" s="3">
        <v>0</v>
      </c>
    </row>
    <row r="16986" ht="15.75" customHeight="1" spans="1:2">
      <c r="A16986" s="3" t="str">
        <f>IFERROR(__xludf.DUMMYFUNCTION("GOOGLETRANSLATE(A16986,""en"",""pt"")"),"Resolução ... 1.2 mp é a base para a maioria dos trabalhos gráfico ... mas o suficiente ..apenas")</f>
        <v>Resolução ... 1.2 mp é a base para a maioria dos trabalhos gráfico ... mas o suficiente ..apenas</v>
      </c>
      <c r="B16986" s="3">
        <v>0</v>
      </c>
    </row>
    <row r="16987" ht="15.75" customHeight="1" spans="1:2">
      <c r="A16987" s="3" t="str">
        <f>IFERROR(__xludf.DUMMYFUNCTION("GOOGLETRANSLATE(A16987,""en"",""pt"")"),"Sem flash, beep irritante quando os botões pressionados, botão do obturador em um local desconfortável")</f>
        <v>Sem flash, beep irritante quando os botões pressionados, botão do obturador em um local desconfortável</v>
      </c>
      <c r="B16987" s="3">
        <v>0</v>
      </c>
    </row>
    <row r="16988" ht="15.75" customHeight="1" spans="1:2">
      <c r="A16988" s="3" t="str">
        <f>IFERROR(__xludf.DUMMYFUNCTION("GOOGLETRANSLATE(A16988,""en"",""pt"")"),"Pobre pouca luz / qualidade de imagem interior.")</f>
        <v>Pobre pouca luz / qualidade de imagem interior.</v>
      </c>
      <c r="B16988" s="3">
        <v>0</v>
      </c>
    </row>
    <row r="16989" ht="15.75" customHeight="1" spans="1:2">
      <c r="A16989" s="3" t="str">
        <f>IFERROR(__xludf.DUMMYFUNCTION("GOOGLETRANSLATE(A16989,""en"",""pt"")"),"Fraco desempenho de pouca luz, drena as baterias, sem flash.")</f>
        <v>Fraco desempenho de pouca luz, drena as baterias, sem flash.</v>
      </c>
      <c r="B16989" s="3">
        <v>0</v>
      </c>
    </row>
    <row r="16990" ht="15.75" customHeight="1" spans="1:2">
      <c r="A16990" s="3" t="str">
        <f>IFERROR(__xludf.DUMMYFUNCTION("GOOGLETRANSLATE(A16990,""en"",""pt"")"),"Barato plástico hardware &amp; amp; # 13; &amp; amp; # 10; Sem flash")</f>
        <v>Barato plástico hardware &amp; amp; # 13; &amp; amp; # 10; Sem flash</v>
      </c>
      <c r="B16990" s="3">
        <v>0</v>
      </c>
    </row>
    <row r="16991" ht="15.75" customHeight="1" spans="1:2">
      <c r="A16991" s="3" t="str">
        <f>IFERROR(__xludf.DUMMYFUNCTION("GOOGLETRANSLATE(A16991,""en"",""pt"")"),"Ele gosta muito de luz, mas para o dinheiro que eu não tenho queixas.")</f>
        <v>Ele gosta muito de luz, mas para o dinheiro que eu não tenho queixas.</v>
      </c>
      <c r="B16991" s="3">
        <v>0</v>
      </c>
    </row>
    <row r="16992" ht="15.75" customHeight="1" spans="1:2">
      <c r="A16992" s="3" t="str">
        <f>IFERROR(__xludf.DUMMYFUNCTION("GOOGLETRANSLATE(A16992,""en"",""pt"")"),"Precisa de muita luz.")</f>
        <v>Precisa de muita luz.</v>
      </c>
      <c r="B16992" s="3">
        <v>0</v>
      </c>
    </row>
    <row r="16993" ht="15.75" customHeight="1" spans="1:2">
      <c r="A16993" s="3" t="str">
        <f>IFERROR(__xludf.DUMMYFUNCTION("GOOGLETRANSLATE(A16993,""en"",""pt"")"),"Software não permite a conversão de bitmap a jpeg formatação. Frágil. problemas de pouca luz")</f>
        <v>Software não permite a conversão de bitmap a jpeg formatação. Frágil. problemas de pouca luz</v>
      </c>
      <c r="B16993" s="3">
        <v>0</v>
      </c>
    </row>
    <row r="16994" ht="15.75" customHeight="1" spans="1:2">
      <c r="A16994" s="3" t="str">
        <f>IFERROR(__xludf.DUMMYFUNCTION("GOOGLETRANSLATE(A16994,""en"",""pt"")"),"Leva tempo para se acostumar devido ao pequeno tamanho., Alguns problemas na instalação devido a arquivos ausentes.")</f>
        <v>Leva tempo para se acostumar devido ao pequeno tamanho., Alguns problemas na instalação devido a arquivos ausentes.</v>
      </c>
      <c r="B16994" s="3">
        <v>0</v>
      </c>
    </row>
    <row r="16995" ht="15.75" customHeight="1" spans="1:2">
      <c r="A16995" s="3" t="str">
        <f>IFERROR(__xludf.DUMMYFUNCTION("GOOGLETRANSLATE(A16995,""en"",""pt"")"),"Sem flash, mau como uma webcam, sem suporte ao cliente.")</f>
        <v>Sem flash, mau como uma webcam, sem suporte ao cliente.</v>
      </c>
      <c r="B16995" s="3">
        <v>0</v>
      </c>
    </row>
    <row r="16996" ht="15.75" customHeight="1" spans="1:2">
      <c r="A16996" s="3" t="str">
        <f>IFERROR(__xludf.DUMMYFUNCTION("GOOGLETRANSLATE(A16996,""en"",""pt"")"),"vida curta da bateria, baixo fim qualidade de imagem, sem flash, apitar ruído")</f>
        <v>vida curta da bateria, baixo fim qualidade de imagem, sem flash, apitar ruído</v>
      </c>
      <c r="B16996" s="3">
        <v>0</v>
      </c>
    </row>
    <row r="16997" ht="15.75" customHeight="1" spans="1:2">
      <c r="A16997" s="3" t="str">
        <f>IFERROR(__xludf.DUMMYFUNCTION("GOOGLETRANSLATE(A16997,""en"",""pt"")"),"projetar falhas e características faltantes, qualidade de imagem marginal")</f>
        <v>projetar falhas e características faltantes, qualidade de imagem marginal</v>
      </c>
      <c r="B16997" s="3">
        <v>0</v>
      </c>
    </row>
    <row r="16998" ht="15.75" customHeight="1" spans="1:2">
      <c r="A16998" s="3" t="str">
        <f>IFERROR(__xludf.DUMMYFUNCTION("GOOGLETRANSLATE(A16998,""en"",""pt"")"),"Por que um espião câmera BEEP quando as imagens são tomadas?")</f>
        <v>Por que um espião câmera BEEP quando as imagens são tomadas?</v>
      </c>
      <c r="B16998" s="3">
        <v>0</v>
      </c>
    </row>
    <row r="16999" ht="15.75" customHeight="1" spans="1:2">
      <c r="A16999" s="3" t="str">
        <f>IFERROR(__xludf.DUMMYFUNCTION("GOOGLETRANSLATE(A16999,""en"",""pt"")"),"baixa qualidade de imagem, pode ser frágil")</f>
        <v>baixa qualidade de imagem, pode ser frágil</v>
      </c>
      <c r="B16999" s="3">
        <v>0</v>
      </c>
    </row>
    <row r="17000" ht="15.75" customHeight="1" spans="1:2">
      <c r="A17000" s="3" t="str">
        <f>IFERROR(__xludf.DUMMYFUNCTION("GOOGLETRANSLATE(A17000,""en"",""pt"")"),"A qualidade da imagem é pobre, sem uma boa iluminação, pode quebrar se cair,")</f>
        <v>A qualidade da imagem é pobre, sem uma boa iluminação, pode quebrar se cair,</v>
      </c>
      <c r="B17000" s="3">
        <v>0</v>
      </c>
    </row>
    <row r="17001" ht="15.75" customHeight="1" spans="1:2">
      <c r="A17001" s="3" t="str">
        <f>IFERROR(__xludf.DUMMYFUNCTION("GOOGLETRANSLATE(A17001,""en"",""pt"")"),"Irritante sinal sonoro quando a câmera tira uma foto, sem flash na câmera.")</f>
        <v>Irritante sinal sonoro quando a câmera tira uma foto, sem flash na câmera.</v>
      </c>
      <c r="B17001" s="3">
        <v>0</v>
      </c>
    </row>
    <row r="17002" ht="15.75" customHeight="1" spans="1:2">
      <c r="A17002" s="3" t="str">
        <f>IFERROR(__xludf.DUMMYFUNCTION("GOOGLETRANSLATE(A17002,""en"",""pt"")"),"Sem flash, lente marginal.")</f>
        <v>Sem flash, lente marginal.</v>
      </c>
      <c r="B17002" s="3">
        <v>0</v>
      </c>
    </row>
    <row r="17003" ht="15.75" customHeight="1" spans="1:2">
      <c r="A17003" s="3" t="str">
        <f>IFERROR(__xludf.DUMMYFUNCTION("GOOGLETRANSLATE(A17003,""en"",""pt"")"),"OK Qualidade de Imagem, Sem Flash, Drainer de bateria, algumas características, Spoils-the-Fun Beep Quando tirar fotografias")</f>
        <v>OK Qualidade de Imagem, Sem Flash, Drainer de bateria, algumas características, Spoils-the-Fun Beep Quando tirar fotografias</v>
      </c>
      <c r="B17003" s="3">
        <v>0</v>
      </c>
    </row>
    <row r="17004" ht="15.75" customHeight="1" spans="1:2">
      <c r="A17004" s="3" t="str">
        <f>IFERROR(__xludf.DUMMYFUNCTION("GOOGLETRANSLATE(A17004,""en"",""pt"")"),"Sem flash, não para situações de pouca luz")</f>
        <v>Sem flash, não para situações de pouca luz</v>
      </c>
      <c r="B17004" s="3">
        <v>0</v>
      </c>
    </row>
    <row r="17005" ht="15.75" customHeight="1" spans="1:2">
      <c r="A17005" s="3" t="str">
        <f>IFERROR(__xludf.DUMMYFUNCTION("GOOGLETRANSLATE(A17005,""en"",""pt"")"),"No Flash &amp; amp; você perde todo seu pix se a bateria goez morto.")</f>
        <v>No Flash &amp; amp; você perde todo seu pix se a bateria goez morto.</v>
      </c>
      <c r="B17005" s="3">
        <v>0</v>
      </c>
    </row>
    <row r="17006" ht="15.75" customHeight="1" spans="1:2">
      <c r="A17006" s="3" t="str">
        <f>IFERROR(__xludf.DUMMYFUNCTION("GOOGLETRANSLATE(A17006,""en"",""pt"")"),"barato peças de plástico &amp; amp; # 13; &amp; amp; # 10; pobre de baixa luz desempenho &amp; amp; # 13; &amp; amp; # 10; qualidade de imagem marginal")</f>
        <v>barato peças de plástico &amp; amp; # 13; &amp; amp; # 10; pobre de baixa luz desempenho &amp; amp; # 13; &amp; amp; # 10; qualidade de imagem marginal</v>
      </c>
      <c r="B17006" s="3">
        <v>0</v>
      </c>
    </row>
    <row r="17007" ht="15.75" customHeight="1" spans="1:2">
      <c r="A17007" s="3" t="str">
        <f>IFERROR(__xludf.DUMMYFUNCTION("GOOGLETRANSLATE(A17007,""en"",""pt"")"),"drena as baterias, a má qualidade da foto, software só funciona com Windows 98 e acima")</f>
        <v>drena as baterias, a má qualidade da foto, software só funciona com Windows 98 e acima</v>
      </c>
      <c r="B17007" s="3">
        <v>0</v>
      </c>
    </row>
    <row r="17008" ht="15.75" customHeight="1" spans="1:2">
      <c r="A17008" s="3" t="str">
        <f>IFERROR(__xludf.DUMMYFUNCTION("GOOGLETRANSLATE(A17008,""en"",""pt"")"),"qualidade de imagem pobre e sem flash.")</f>
        <v>qualidade de imagem pobre e sem flash.</v>
      </c>
      <c r="B17008" s="3">
        <v>0</v>
      </c>
    </row>
    <row r="17009" ht="15.75" customHeight="1" spans="1:2">
      <c r="A17009" s="3" t="str">
        <f>IFERROR(__xludf.DUMMYFUNCTION("GOOGLETRANSLATE(A17009,""en"",""pt"")"),"qualidade de imagem pobre")</f>
        <v>qualidade de imagem pobre</v>
      </c>
      <c r="B17009" s="3">
        <v>0</v>
      </c>
    </row>
    <row r="17010" ht="15.75" customHeight="1" spans="1:2">
      <c r="A17010" s="3" t="str">
        <f>IFERROR(__xludf.DUMMYFUNCTION("GOOGLETRANSLATE(A17010,""en"",""pt"")"),"Não é o melhor câmera digital disponível. Sem flash.")</f>
        <v>Não é o melhor câmera digital disponível. Sem flash.</v>
      </c>
      <c r="B17010" s="3">
        <v>0</v>
      </c>
    </row>
    <row r="17011" ht="15.75" customHeight="1" spans="1:2">
      <c r="A17011" s="3" t="str">
        <f>IFERROR(__xludf.DUMMYFUNCTION("GOOGLETRANSLATE(A17011,""en"",""pt"")"),"qualidade de imagem marginal; armazenamento limitado; suporte do produto inadequada")</f>
        <v>qualidade de imagem marginal; armazenamento limitado; suporte do produto inadequada</v>
      </c>
      <c r="B17011" s="3">
        <v>0</v>
      </c>
    </row>
    <row r="17012" ht="15.75" customHeight="1" spans="1:2">
      <c r="A17012" s="3" t="str">
        <f>IFERROR(__xludf.DUMMYFUNCTION("GOOGLETRANSLATE(A17012,""en"",""pt"")"),"A qualidade da imagem é tão-lo. Sem flash.")</f>
        <v>A qualidade da imagem é tão-lo. Sem flash.</v>
      </c>
      <c r="B17012" s="3">
        <v>0</v>
      </c>
    </row>
    <row r="17013" ht="15.75" customHeight="1" spans="1:2">
      <c r="A17013" s="3" t="str">
        <f>IFERROR(__xludf.DUMMYFUNCTION("GOOGLETRANSLATE(A17013,""en"",""pt"")"),"pobres fotos dos quartos, problemas de bateria, sem flash, contras infinitas")</f>
        <v>pobres fotos dos quartos, problemas de bateria, sem flash, contras infinitas</v>
      </c>
      <c r="B17013" s="3">
        <v>0</v>
      </c>
    </row>
    <row r="17014" ht="15.75" customHeight="1" spans="1:2">
      <c r="A17014" s="3" t="str">
        <f>IFERROR(__xludf.DUMMYFUNCTION("GOOGLETRANSLATE(A17014,""en"",""pt"")"),"clip sobre ele não ficar viciado ao que nunca você prendê-lo em")</f>
        <v>clip sobre ele não ficar viciado ao que nunca você prendê-lo em</v>
      </c>
      <c r="B17014" s="3">
        <v>0</v>
      </c>
    </row>
    <row r="17015" ht="15.75" customHeight="1" spans="1:2">
      <c r="A17015" s="3" t="str">
        <f>IFERROR(__xludf.DUMMYFUNCTION("GOOGLETRANSLATE(A17015,""en"",""pt"")"),"Fotos ruins, frágeis, não vale o dinheiro.")</f>
        <v>Fotos ruins, frágeis, não vale o dinheiro.</v>
      </c>
      <c r="B17015" s="3">
        <v>0</v>
      </c>
    </row>
    <row r="17016" ht="15.75" customHeight="1" spans="1:2">
      <c r="A17016" s="3" t="str">
        <f>IFERROR(__xludf.DUMMYFUNCTION("GOOGLETRANSLATE(A17016,""en"",""pt"")"),"não vai tirar fotos com pouca luz.")</f>
        <v>não vai tirar fotos com pouca luz.</v>
      </c>
      <c r="B17016" s="3">
        <v>0</v>
      </c>
    </row>
    <row r="17017" ht="15.75" customHeight="1" spans="1:2">
      <c r="A17017" s="3" t="str">
        <f>IFERROR(__xludf.DUMMYFUNCTION("GOOGLETRANSLATE(A17017,""en"",""pt"")"),"software peculiar")</f>
        <v>software peculiar</v>
      </c>
      <c r="B17017" s="3">
        <v>0</v>
      </c>
    </row>
    <row r="17018" ht="15.75" customHeight="1" spans="1:2">
      <c r="A17018" s="3" t="str">
        <f>IFERROR(__xludf.DUMMYFUNCTION("GOOGLETRANSLATE(A17018,""en"",""pt"")"),"Você precisa lotes e lotes de luz para usar este.")</f>
        <v>Você precisa lotes e lotes de luz para usar este.</v>
      </c>
      <c r="B17018" s="3">
        <v>0</v>
      </c>
    </row>
    <row r="17019" ht="15.75" customHeight="1" spans="1:2">
      <c r="A17019" s="3" t="str">
        <f>IFERROR(__xludf.DUMMYFUNCTION("GOOGLETRANSLATE(A17019,""en"",""pt"")"),"Noisy, caros, granulado impressões de papel liso, facilidade de mudar cartuchos")</f>
        <v>Noisy, caros, granulado impressões de papel liso, facilidade de mudar cartuchos</v>
      </c>
      <c r="B17019" s="3">
        <v>0</v>
      </c>
    </row>
    <row r="17020" ht="15.75" customHeight="1" spans="1:2">
      <c r="A17020" s="3" t="str">
        <f>IFERROR(__xludf.DUMMYFUNCTION("GOOGLETRANSLATE(A17020,""en"",""pt"")"),"Lento e barulhento, usa muita tinta.")</f>
        <v>Lento e barulhento, usa muita tinta.</v>
      </c>
      <c r="B17020" s="3">
        <v>0</v>
      </c>
    </row>
    <row r="17021" ht="15.75" customHeight="1" spans="1:2">
      <c r="A17021" s="3" t="str">
        <f>IFERROR(__xludf.DUMMYFUNCTION("GOOGLETRANSLATE(A17021,""en"",""pt"")"),"Provavelmente não para fotos; alto.")</f>
        <v>Provavelmente não para fotos; alto.</v>
      </c>
      <c r="B17021" s="3">
        <v>0</v>
      </c>
    </row>
    <row r="17022" ht="15.75" customHeight="1" spans="1:2">
      <c r="A17022" s="3" t="str">
        <f>IFERROR(__xludf.DUMMYFUNCTION("GOOGLETRANSLATE(A17022,""en"",""pt"")"),"Há alguns?")</f>
        <v>Há alguns?</v>
      </c>
      <c r="B17022" s="3">
        <v>0</v>
      </c>
    </row>
    <row r="17023" ht="15.75" customHeight="1" spans="1:2">
      <c r="A17023" s="3" t="str">
        <f>IFERROR(__xludf.DUMMYFUNCTION("GOOGLETRANSLATE(A17023,""en"",""pt"")"),"necessidade de cabeça de impressão limpa, ocasionalmente,")</f>
        <v>necessidade de cabeça de impressão limpa, ocasionalmente,</v>
      </c>
      <c r="B17023" s="3">
        <v>0</v>
      </c>
    </row>
    <row r="17024" ht="15.75" customHeight="1" spans="1:2">
      <c r="A17024" s="3" t="str">
        <f>IFERROR(__xludf.DUMMYFUNCTION("GOOGLETRANSLATE(A17024,""en"",""pt"")"),"barulhento, grande")</f>
        <v>barulhento, grande</v>
      </c>
      <c r="B17024" s="3">
        <v>0</v>
      </c>
    </row>
    <row r="17025" ht="15.75" customHeight="1" spans="1:2">
      <c r="A17025" s="3" t="str">
        <f>IFERROR(__xludf.DUMMYFUNCTION("GOOGLETRANSLATE(A17025,""en"",""pt"")"),"leva alguns minutos para mudar os cartuchos de tinta")</f>
        <v>leva alguns minutos para mudar os cartuchos de tinta</v>
      </c>
      <c r="B17025" s="3">
        <v>0</v>
      </c>
    </row>
    <row r="17026" ht="15.75" customHeight="1" spans="1:2">
      <c r="A17026" s="3" t="str">
        <f>IFERROR(__xludf.DUMMYFUNCTION("GOOGLETRANSLATE(A17026,""en"",""pt"")"),"Loud, cartuchos têm de ser limpo para a cor verdadeira qualidade")</f>
        <v>Loud, cartuchos têm de ser limpo para a cor verdadeira qualidade</v>
      </c>
      <c r="B17026" s="3">
        <v>0</v>
      </c>
    </row>
    <row r="17027" ht="15.75" customHeight="1" spans="1:2">
      <c r="A17027" s="3" t="str">
        <f>IFERROR(__xludf.DUMMYFUNCTION("GOOGLETRANSLATE(A17027,""en"",""pt"")"),"Não é possível imprimir, suporte péssimo, comunicações ruins, nunca mais")</f>
        <v>Não é possível imprimir, suporte péssimo, comunicações ruins, nunca mais</v>
      </c>
      <c r="B17027" s="3">
        <v>0</v>
      </c>
    </row>
    <row r="17028" ht="15.75" customHeight="1" spans="1:2">
      <c r="A17028" s="3" t="str">
        <f>IFERROR(__xludf.DUMMYFUNCTION("GOOGLETRANSLATE(A17028,""en"",""pt"")"),"Difícil de encontrar cartuchos de substituição")</f>
        <v>Difícil de encontrar cartuchos de substituição</v>
      </c>
      <c r="B17028" s="3">
        <v>0</v>
      </c>
    </row>
    <row r="17029" ht="15.75" customHeight="1" spans="1:2">
      <c r="A17029" s="3" t="str">
        <f>IFERROR(__xludf.DUMMYFUNCTION("GOOGLETRANSLATE(A17029,""en"",""pt"")"),"Como sempre, as tintas caros.")</f>
        <v>Como sempre, as tintas caros.</v>
      </c>
      <c r="B17029" s="3">
        <v>0</v>
      </c>
    </row>
    <row r="17030" ht="15.75" customHeight="1" spans="1:2">
      <c r="A17030" s="3" t="str">
        <f>IFERROR(__xludf.DUMMYFUNCTION("GOOGLETRANSLATE(A17030,""en"",""pt"")"),"custos elevados de funcionamento, barulhento, grandes, problemas com consumíveis não-Epson.")</f>
        <v>custos elevados de funcionamento, barulhento, grandes, problemas com consumíveis não-Epson.</v>
      </c>
      <c r="B17030" s="3">
        <v>0</v>
      </c>
    </row>
    <row r="17031" ht="15.75" customHeight="1" spans="1:2">
      <c r="A17031" s="3" t="str">
        <f>IFERROR(__xludf.DUMMYFUNCTION("GOOGLETRANSLATE(A17031,""en"",""pt"")"),"um pouco barulhento")</f>
        <v>um pouco barulhento</v>
      </c>
      <c r="B17031" s="3">
        <v>0</v>
      </c>
    </row>
    <row r="17032" ht="15.75" customHeight="1" spans="1:2">
      <c r="A17032" s="3" t="str">
        <f>IFERROR(__xludf.DUMMYFUNCTION("GOOGLETRANSLATE(A17032,""en"",""pt"")"),"Hmmm ..... Não há contras vêm à mente!")</f>
        <v>Hmmm ..... Não há contras vêm à mente!</v>
      </c>
      <c r="B17032" s="3">
        <v>0</v>
      </c>
    </row>
    <row r="17033" ht="15.75" customHeight="1" spans="1:2">
      <c r="A17033" s="3" t="str">
        <f>IFERROR(__xludf.DUMMYFUNCTION("GOOGLETRANSLATE(A17033,""en"",""pt"")"),"tinteiros ainda são caros (loja)")</f>
        <v>tinteiros ainda são caros (loja)</v>
      </c>
      <c r="B17033" s="3">
        <v>0</v>
      </c>
    </row>
    <row r="17034" ht="15.75" customHeight="1" spans="1:2">
      <c r="A17034" s="3" t="str">
        <f>IFERROR(__xludf.DUMMYFUNCTION("GOOGLETRANSLATE(A17034,""en"",""pt"")"),"Preço, manutenção constante")</f>
        <v>Preço, manutenção constante</v>
      </c>
      <c r="B17034" s="3">
        <v>0</v>
      </c>
    </row>
    <row r="17035" ht="15.75" customHeight="1" spans="1:2">
      <c r="A17035" s="3" t="str">
        <f>IFERROR(__xludf.DUMMYFUNCTION("GOOGLETRANSLATE(A17035,""en"",""pt"")"),"Os cartuchos de tinta são caros")</f>
        <v>Os cartuchos de tinta são caros</v>
      </c>
      <c r="B17035" s="3">
        <v>0</v>
      </c>
    </row>
    <row r="17036" ht="15.75" customHeight="1" spans="1:2">
      <c r="A17036" s="3" t="str">
        <f>IFERROR(__xludf.DUMMYFUNCTION("GOOGLETRANSLATE(A17036,""en"",""pt"")"),"cartucho de tinta folhas sistema monitor de algo a desejar.")</f>
        <v>cartucho de tinta folhas sistema monitor de algo a desejar.</v>
      </c>
      <c r="B17036" s="3">
        <v>0</v>
      </c>
    </row>
    <row r="17037" ht="15.75" customHeight="1" spans="1:2">
      <c r="A17037" s="3" t="str">
        <f>IFERROR(__xludf.DUMMYFUNCTION("GOOGLETRANSLATE(A17037,""en"",""pt"")"),"Não um")</f>
        <v>Não um</v>
      </c>
      <c r="B17037" s="3">
        <v>0</v>
      </c>
    </row>
    <row r="17038" ht="15.75" customHeight="1" spans="1:2">
      <c r="A17038" s="3" t="str">
        <f>IFERROR(__xludf.DUMMYFUNCTION("GOOGLETRANSLATE(A17038,""en"",""pt"")"),"retardar para fotos, custos de tinta caros, alto")</f>
        <v>retardar para fotos, custos de tinta caros, alto</v>
      </c>
      <c r="B17038" s="3">
        <v>0</v>
      </c>
    </row>
    <row r="17039" ht="15.75" customHeight="1" spans="1:2">
      <c r="A17039" s="3" t="str">
        <f>IFERROR(__xludf.DUMMYFUNCTION("GOOGLETRANSLATE(A17039,""en"",""pt"")"),"qualidade média em papel comum, porco tinta")</f>
        <v>qualidade média em papel comum, porco tinta</v>
      </c>
      <c r="B17039" s="3">
        <v>0</v>
      </c>
    </row>
    <row r="17040" ht="15.75" customHeight="1" spans="1:2">
      <c r="A17040" s="3" t="str">
        <f>IFERROR(__xludf.DUMMYFUNCTION("GOOGLETRANSLATE(A17040,""en"",""pt"")"),"Epson não suporta: tem linhas de saída")</f>
        <v>Epson não suporta: tem linhas de saída</v>
      </c>
      <c r="B17040" s="3">
        <v>0</v>
      </c>
    </row>
    <row r="17041" ht="15.75" customHeight="1" spans="1:2">
      <c r="A17041" s="3" t="str">
        <f>IFERROR(__xludf.DUMMYFUNCTION("GOOGLETRANSLATE(A17041,""en"",""pt"")"),"não encontrei nenhuma")</f>
        <v>não encontrei nenhuma</v>
      </c>
      <c r="B17041" s="3">
        <v>0</v>
      </c>
    </row>
    <row r="17042" ht="15.75" customHeight="1" spans="1:2">
      <c r="A17042" s="3" t="str">
        <f>IFERROR(__xludf.DUMMYFUNCTION("GOOGLETRANSLATE(A17042,""en"",""pt"")"),"questão entupimento do bico menor em algumas situações")</f>
        <v>questão entupimento do bico menor em algumas situações</v>
      </c>
      <c r="B17042" s="3">
        <v>0</v>
      </c>
    </row>
    <row r="17043" ht="15.75" customHeight="1" spans="1:2">
      <c r="A17043" s="3" t="str">
        <f>IFERROR(__xludf.DUMMYFUNCTION("GOOGLETRANSLATE(A17043,""en"",""pt"")"),"imagem borrada, preço")</f>
        <v>imagem borrada, preço</v>
      </c>
      <c r="B17043" s="3">
        <v>0</v>
      </c>
    </row>
    <row r="17044" ht="15.75" customHeight="1" spans="1:2">
      <c r="A17044" s="3" t="str">
        <f>IFERROR(__xludf.DUMMYFUNCTION("GOOGLETRANSLATE(A17044,""en"",""pt"")"),"Nenhum")</f>
        <v>Nenhum</v>
      </c>
      <c r="B17044" s="3">
        <v>0</v>
      </c>
    </row>
    <row r="17045" ht="15.75" customHeight="1" spans="1:2">
      <c r="A17045" s="3" t="str">
        <f>IFERROR(__xludf.DUMMYFUNCTION("GOOGLETRANSLATE(A17045,""en"",""pt"")"),"se você usar o papel menos que 24 lb, a impressora colocado incorretamente o papel")</f>
        <v>se você usar o papel menos que 24 lb, a impressora colocado incorretamente o papel</v>
      </c>
      <c r="B17045" s="3">
        <v>0</v>
      </c>
    </row>
    <row r="17046" ht="15.75" customHeight="1" spans="1:2">
      <c r="A17046" s="3" t="str">
        <f>IFERROR(__xludf.DUMMYFUNCTION("GOOGLETRANSLATE(A17046,""en"",""pt"")"),"preço, cartuchos são caros")</f>
        <v>preço, cartuchos são caros</v>
      </c>
      <c r="B17046" s="3">
        <v>0</v>
      </c>
    </row>
    <row r="17047" ht="15.75" customHeight="1" spans="1:2">
      <c r="A17047" s="3" t="str">
        <f>IFERROR(__xludf.DUMMYFUNCTION("GOOGLETRANSLATE(A17047,""en"",""pt"")"),"Macintosh LocalTalk precisa de uma placa de interface opcional. Algumas informações apenas em versão electrónica do manual.")</f>
        <v>Macintosh LocalTalk precisa de uma placa de interface opcional. Algumas informações apenas em versão electrónica do manual.</v>
      </c>
      <c r="B17047" s="3">
        <v>0</v>
      </c>
    </row>
    <row r="17048" ht="15.75" customHeight="1" spans="1:2">
      <c r="A17048" s="3" t="str">
        <f>IFERROR(__xludf.DUMMYFUNCTION("GOOGLETRANSLATE(A17048,""en"",""pt"")"),"Alto")</f>
        <v>Alto</v>
      </c>
      <c r="B17048" s="3">
        <v>0</v>
      </c>
    </row>
    <row r="17049" ht="15.75" customHeight="1" spans="1:2">
      <c r="A17049" s="3" t="str">
        <f>IFERROR(__xludf.DUMMYFUNCTION("GOOGLETRANSLATE(A17049,""en"",""pt"")"),"texto preto inaceitável.")</f>
        <v>texto preto inaceitável.</v>
      </c>
      <c r="B17049" s="3">
        <v>0</v>
      </c>
    </row>
    <row r="17050" ht="15.75" customHeight="1" spans="1:2">
      <c r="A17050" s="3" t="str">
        <f>IFERROR(__xludf.DUMMYFUNCTION("GOOGLETRANSLATE(A17050,""en"",""pt"")"),"Difícil de encontrar tinta")</f>
        <v>Difícil de encontrar tinta</v>
      </c>
      <c r="B17050" s="3">
        <v>0</v>
      </c>
    </row>
    <row r="17051" ht="15.75" customHeight="1" spans="1:2">
      <c r="A17051" s="3" t="str">
        <f>IFERROR(__xludf.DUMMYFUNCTION("GOOGLETRANSLATE(A17051,""en"",""pt"")"),"Um pouco alto e shakes ao imprimir")</f>
        <v>Um pouco alto e shakes ao imprimir</v>
      </c>
      <c r="B17051" s="3">
        <v>0</v>
      </c>
    </row>
    <row r="17052" ht="15.75" customHeight="1" spans="1:2">
      <c r="A17052" s="3" t="str">
        <f>IFERROR(__xludf.DUMMYFUNCTION("GOOGLETRANSLATE(A17052,""en"",""pt"")"),"Impressora pode agitar desktop. Preto pobre interpretação de texto. Ver parecer para o trabalho-around.")</f>
        <v>Impressora pode agitar desktop. Preto pobre interpretação de texto. Ver parecer para o trabalho-around.</v>
      </c>
      <c r="B17052" s="3">
        <v>0</v>
      </c>
    </row>
    <row r="17053" ht="15.75" customHeight="1" spans="1:2">
      <c r="A17053" s="3" t="str">
        <f>IFERROR(__xludf.DUMMYFUNCTION("GOOGLETRANSLATE(A17053,""en"",""pt"")"),"muito alto")</f>
        <v>muito alto</v>
      </c>
      <c r="B17053" s="3">
        <v>0</v>
      </c>
    </row>
    <row r="17054" ht="15.75" customHeight="1" spans="1:2">
      <c r="A17054" s="3" t="str">
        <f>IFERROR(__xludf.DUMMYFUNCTION("GOOGLETRANSLATE(A17054,""en"",""pt"")"),"Muito barulhento! O design é maior e clunkier!")</f>
        <v>Muito barulhento! O design é maior e clunkier!</v>
      </c>
      <c r="B17054" s="3">
        <v>0</v>
      </c>
    </row>
    <row r="17055" ht="15.75" customHeight="1" spans="1:2">
      <c r="A17055" s="3" t="str">
        <f>IFERROR(__xludf.DUMMYFUNCTION("GOOGLETRANSLATE(A17055,""en"",""pt"")"),"alto, leva muito tempo para aquecer / imprimir uma página")</f>
        <v>alto, leva muito tempo para aquecer / imprimir uma página</v>
      </c>
      <c r="B17055" s="3">
        <v>0</v>
      </c>
    </row>
    <row r="17056" ht="15.75" customHeight="1" spans="1:2">
      <c r="A17056" s="3" t="str">
        <f>IFERROR(__xludf.DUMMYFUNCTION("GOOGLETRANSLATE(A17056,""en"",""pt"")"),"Alto, alto preço, e não que grande em texto preto &amp; amp;. # 13; &amp; amp; # 10;")</f>
        <v>Alto, alto preço, e não que grande em texto preto &amp; amp;. # 13; &amp; amp; # 10;</v>
      </c>
      <c r="B17056" s="3">
        <v>0</v>
      </c>
    </row>
    <row r="17057" ht="15.75" customHeight="1" spans="1:2">
      <c r="A17057" s="3" t="str">
        <f>IFERROR(__xludf.DUMMYFUNCTION("GOOGLETRANSLATE(A17057,""en"",""pt"")"),"Noisy, não permite a cópia dura.")</f>
        <v>Noisy, não permite a cópia dura.</v>
      </c>
      <c r="B17057" s="3">
        <v>0</v>
      </c>
    </row>
    <row r="17058" ht="15.75" customHeight="1" spans="1:2">
      <c r="A17058" s="3" t="str">
        <f>IFERROR(__xludf.DUMMYFUNCTION("GOOGLETRANSLATE(A17058,""en"",""pt"")"),"Nenhum")</f>
        <v>Nenhum</v>
      </c>
      <c r="B17058" s="3">
        <v>0</v>
      </c>
    </row>
    <row r="17059" ht="15.75" customHeight="1" spans="1:2">
      <c r="A17059" s="3" t="str">
        <f>IFERROR(__xludf.DUMMYFUNCTION("GOOGLETRANSLATE(A17059,""en"",""pt"")"),"falta de um LCD")</f>
        <v>falta de um LCD</v>
      </c>
      <c r="B17059" s="3">
        <v>0</v>
      </c>
    </row>
    <row r="17060" ht="15.75" customHeight="1" spans="1:2">
      <c r="A17060" s="3" t="str">
        <f>IFERROR(__xludf.DUMMYFUNCTION("GOOGLETRANSLATE(A17060,""en"",""pt"")"),"um pouco caro")</f>
        <v>um pouco caro</v>
      </c>
      <c r="B17060" s="3">
        <v>0</v>
      </c>
    </row>
    <row r="17061" ht="15.75" customHeight="1" spans="1:2">
      <c r="A17061" s="3" t="str">
        <f>IFERROR(__xludf.DUMMYFUNCTION("GOOGLETRANSLATE(A17061,""en"",""pt"")"),"warmup leva mais tempo do que o &amp; amp; quot; amp pronto e; quot; luz indica")</f>
        <v>warmup leva mais tempo do que o &amp; amp; quot; amp pronto e; quot; luz indica</v>
      </c>
      <c r="B17061" s="3">
        <v>0</v>
      </c>
    </row>
    <row r="17062" ht="15.75" customHeight="1" spans="1:2">
      <c r="A17062" s="3" t="str">
        <f>IFERROR(__xludf.DUMMYFUNCTION("GOOGLETRANSLATE(A17062,""en"",""pt"")"),"Nenhum")</f>
        <v>Nenhum</v>
      </c>
      <c r="B17062" s="3">
        <v>0</v>
      </c>
    </row>
    <row r="17063" ht="15.75" customHeight="1" spans="1:2">
      <c r="A17063" s="3" t="str">
        <f>IFERROR(__xludf.DUMMYFUNCTION("GOOGLETRANSLATE(A17063,""en"",""pt"")"),"Que bandeja de papel!")</f>
        <v>Que bandeja de papel!</v>
      </c>
      <c r="B17063" s="3">
        <v>0</v>
      </c>
    </row>
    <row r="17064" ht="15.75" customHeight="1" spans="1:2">
      <c r="A17064" s="3" t="str">
        <f>IFERROR(__xludf.DUMMYFUNCTION("GOOGLETRANSLATE(A17064,""en"",""pt"")"),"O preço é alto para a maioria dos consumidores, tamanho")</f>
        <v>O preço é alto para a maioria dos consumidores, tamanho</v>
      </c>
      <c r="B17064" s="3">
        <v>0</v>
      </c>
    </row>
    <row r="17065" ht="15.75" customHeight="1" spans="1:2">
      <c r="A17065" s="3" t="str">
        <f>IFERROR(__xludf.DUMMYFUNCTION("GOOGLETRANSLATE(A17065,""en"",""pt"")"),"tela LCD acenar, os motoristas podem entrar em conflito.")</f>
        <v>tela LCD acenar, os motoristas podem entrar em conflito.</v>
      </c>
      <c r="B17065" s="3">
        <v>0</v>
      </c>
    </row>
    <row r="17066" ht="15.75" customHeight="1" spans="1:2">
      <c r="A17066" s="3" t="str">
        <f>IFERROR(__xludf.DUMMYFUNCTION("GOOGLETRANSLATE(A17066,""en"",""pt"")"),"Falta de Flash e Focando Ability")</f>
        <v>Falta de Flash e Focando Ability</v>
      </c>
      <c r="B17066" s="3">
        <v>0</v>
      </c>
    </row>
    <row r="17067" ht="15.75" customHeight="1" spans="1:2">
      <c r="A17067" s="3" t="str">
        <f>IFERROR(__xludf.DUMMYFUNCTION("GOOGLETRANSLATE(A17067,""en"",""pt"")"),"Pictures não o melhor.")</f>
        <v>Pictures não o melhor.</v>
      </c>
      <c r="B17067" s="3">
        <v>0</v>
      </c>
    </row>
    <row r="17068" ht="15.75" customHeight="1" spans="1:2">
      <c r="A17068" s="3" t="str">
        <f>IFERROR(__xludf.DUMMYFUNCTION("GOOGLETRANSLATE(A17068,""en"",""pt"")"),"Pictures não o melhor.")</f>
        <v>Pictures não o melhor.</v>
      </c>
      <c r="B17068" s="3">
        <v>0</v>
      </c>
    </row>
    <row r="17069" ht="15.75" customHeight="1" spans="1:2">
      <c r="A17069" s="3" t="str">
        <f>IFERROR(__xludf.DUMMYFUNCTION("GOOGLETRANSLATE(A17069,""en"",""pt"")"),"Seu melhor foto será ruim.")</f>
        <v>Seu melhor foto será ruim.</v>
      </c>
      <c r="B17069" s="3">
        <v>0</v>
      </c>
    </row>
    <row r="17070" ht="15.75" customHeight="1" spans="1:2">
      <c r="A17070" s="3" t="str">
        <f>IFERROR(__xludf.DUMMYFUNCTION("GOOGLETRANSLATE(A17070,""en"",""pt"")"),"Seu melhor foto será ruim.")</f>
        <v>Seu melhor foto será ruim.</v>
      </c>
      <c r="B17070" s="3">
        <v>0</v>
      </c>
    </row>
    <row r="17071" ht="15.75" customHeight="1" spans="1:2">
      <c r="A17071" s="3" t="str">
        <f>IFERROR(__xludf.DUMMYFUNCTION("GOOGLETRANSLATE(A17071,""en"",""pt"")"),"Má qualidade da foto de")</f>
        <v>Má qualidade da foto de</v>
      </c>
      <c r="B17071" s="3">
        <v>0</v>
      </c>
    </row>
    <row r="17072" ht="15.75" customHeight="1" spans="1:2">
      <c r="A17072" s="3" t="str">
        <f>IFERROR(__xludf.DUMMYFUNCTION("GOOGLETRANSLATE(A17072,""en"",""pt"")"),"qualidade de imagem horrível; Sem flash.")</f>
        <v>qualidade de imagem horrível; Sem flash.</v>
      </c>
      <c r="B17072" s="3">
        <v>0</v>
      </c>
    </row>
    <row r="17073" ht="15.75" customHeight="1" spans="1:2">
      <c r="A17073" s="3" t="str">
        <f>IFERROR(__xludf.DUMMYFUNCTION("GOOGLETRANSLATE(A17073,""en"",""pt"")"),"Má qualidade, sem flash, fotos ao ar livre somente.")</f>
        <v>Má qualidade, sem flash, fotos ao ar livre somente.</v>
      </c>
      <c r="B17073" s="3">
        <v>0</v>
      </c>
    </row>
    <row r="17074" ht="15.75" customHeight="1" spans="1:2">
      <c r="A17074" s="3" t="str">
        <f>IFERROR(__xludf.DUMMYFUNCTION("GOOGLETRANSLATE(A17074,""en"",""pt"")"),"Você recebe o que você paga")</f>
        <v>Você recebe o que você paga</v>
      </c>
      <c r="B17074" s="3">
        <v>0</v>
      </c>
    </row>
    <row r="17075" ht="15.75" customHeight="1" spans="1:2">
      <c r="A17075" s="3" t="str">
        <f>IFERROR(__xludf.DUMMYFUNCTION("GOOGLETRANSLATE(A17075,""en"",""pt"")"),"Baixa qualidade pic. Não segure muitos pic do Alto Resoultion (20) de baixa resolução (80)")</f>
        <v>Baixa qualidade pic. Não segure muitos pic do Alto Resoultion (20) de baixa resolução (80)</v>
      </c>
      <c r="B17075" s="3">
        <v>0</v>
      </c>
    </row>
    <row r="17076" ht="15.75" customHeight="1" spans="1:2">
      <c r="A17076" s="3" t="str">
        <f>IFERROR(__xludf.DUMMYFUNCTION("GOOGLETRANSLATE(A17076,""en"",""pt"")"),"Drivers não XP compatível &amp; amp; # 13; &amp; amp; # 10; Product Support Minimal &amp; amp; # 13; &amp; amp; # 10; produto não funciona")</f>
        <v>Drivers não XP compatível &amp; amp; # 13; &amp; amp; # 10; Product Support Minimal &amp; amp; # 13; &amp; amp; # 10; produto não funciona</v>
      </c>
      <c r="B17076" s="3">
        <v>0</v>
      </c>
    </row>
    <row r="17077" ht="15.75" customHeight="1" spans="1:2">
      <c r="A17077" s="3" t="str">
        <f>IFERROR(__xludf.DUMMYFUNCTION("GOOGLETRANSLATE(A17077,""en"",""pt"")"),"Eats baterias tão rápido que eles devem ser removidos após o uso!")</f>
        <v>Eats baterias tão rápido que eles devem ser removidos após o uso!</v>
      </c>
      <c r="B17077" s="3">
        <v>0</v>
      </c>
    </row>
    <row r="17078" ht="15.75" customHeight="1" spans="1:2">
      <c r="A17078" s="3" t="str">
        <f>IFERROR(__xludf.DUMMYFUNCTION("GOOGLETRANSLATE(A17078,""en"",""pt"")"),"Por onde devo começar? Sem flash, nenhuma memória removível")</f>
        <v>Por onde devo começar? Sem flash, nenhuma memória removível</v>
      </c>
      <c r="B17078" s="3">
        <v>0</v>
      </c>
    </row>
    <row r="17079" ht="15.75" customHeight="1" spans="1:2">
      <c r="A17079" s="3" t="str">
        <f>IFERROR(__xludf.DUMMYFUNCTION("GOOGLETRANSLATE(A17079,""en"",""pt"")"),"A qualidade da imagem é muito pobre.")</f>
        <v>A qualidade da imagem é muito pobre.</v>
      </c>
      <c r="B17079" s="3">
        <v>0</v>
      </c>
    </row>
    <row r="17080" ht="15.75" customHeight="1" spans="1:2">
      <c r="A17080" s="3" t="str">
        <f>IFERROR(__xludf.DUMMYFUNCTION("GOOGLETRANSLATE(A17080,""en"",""pt"")"),"fotos de baixa qualidade, sem flash")</f>
        <v>fotos de baixa qualidade, sem flash</v>
      </c>
      <c r="B17080" s="3">
        <v>0</v>
      </c>
    </row>
    <row r="17081" ht="15.75" customHeight="1" spans="1:2">
      <c r="A17081" s="3" t="str">
        <f>IFERROR(__xludf.DUMMYFUNCTION("GOOGLETRANSLATE(A17081,""en"",""pt"")"),"não funciona ... conseguir o ya pago")</f>
        <v>não funciona ... conseguir o ya pago</v>
      </c>
      <c r="B17081" s="3">
        <v>0</v>
      </c>
    </row>
    <row r="17082" ht="15.75" customHeight="1" spans="1:2">
      <c r="A17082" s="3" t="str">
        <f>IFERROR(__xludf.DUMMYFUNCTION("GOOGLETRANSLATE(A17082,""en"",""pt"")"),"muito vago instruções, fotos arent muito alta qualidade, não quantidade de memória")</f>
        <v>muito vago instruções, fotos arent muito alta qualidade, não quantidade de memória</v>
      </c>
      <c r="B17082" s="3">
        <v>0</v>
      </c>
    </row>
    <row r="17083" ht="15.75" customHeight="1" spans="1:2">
      <c r="A17083" s="3" t="str">
        <f>IFERROR(__xludf.DUMMYFUNCTION("GOOGLETRANSLATE(A17083,""en"",""pt"")"),"Mesmo os ""alta resolução"" as imagens são muito má qualidade.")</f>
        <v>Mesmo os "alta resolução" as imagens são muito má qualidade.</v>
      </c>
      <c r="B17083" s="3">
        <v>0</v>
      </c>
    </row>
    <row r="17084" ht="15.75" customHeight="1" spans="1:2">
      <c r="A17084" s="3" t="str">
        <f>IFERROR(__xludf.DUMMYFUNCTION("GOOGLETRANSLATE(A17084,""en"",""pt"")"),"Você recebe o que você paga")</f>
        <v>Você recebe o que você paga</v>
      </c>
      <c r="B17084" s="3">
        <v>0</v>
      </c>
    </row>
    <row r="17085" ht="15.75" customHeight="1" spans="1:2">
      <c r="A17085" s="3" t="str">
        <f>IFERROR(__xludf.DUMMYFUNCTION("GOOGLETRANSLATE(A17085,""en"",""pt"")"),"pobres fotos de qualidade, nenhuma tela de lcd barato")</f>
        <v>pobres fotos de qualidade, nenhuma tela de lcd barato</v>
      </c>
      <c r="B17085" s="3">
        <v>0</v>
      </c>
    </row>
    <row r="17086" ht="15.75" customHeight="1" spans="1:2">
      <c r="A17086" s="3" t="str">
        <f>IFERROR(__xludf.DUMMYFUNCTION("GOOGLETRANSLATE(A17086,""en"",""pt"")"),"Seu melhor foto será ruim.")</f>
        <v>Seu melhor foto será ruim.</v>
      </c>
      <c r="B17086" s="3">
        <v>0</v>
      </c>
    </row>
    <row r="17087" ht="15.75" customHeight="1" spans="1:2">
      <c r="A17087" s="3" t="str">
        <f>IFERROR(__xludf.DUMMYFUNCTION("GOOGLETRANSLATE(A17087,""en"",""pt"")"),"Não o suficiente barato, encontrado melhor material em caixas de Cracker Jack")</f>
        <v>Não o suficiente barato, encontrado melhor material em caixas de Cracker Jack</v>
      </c>
      <c r="B17087" s="3">
        <v>0</v>
      </c>
    </row>
    <row r="17088" ht="15.75" customHeight="1" spans="1:2">
      <c r="A17088" s="3" t="str">
        <f>IFERROR(__xludf.DUMMYFUNCTION("GOOGLETRANSLATE(A17088,""en"",""pt"")"),"Sem memória removível, sem flash")</f>
        <v>Sem memória removível, sem flash</v>
      </c>
      <c r="B17088" s="3">
        <v>0</v>
      </c>
    </row>
    <row r="17089" ht="15.75" customHeight="1" spans="1:2">
      <c r="A17089" s="3" t="str">
        <f>IFERROR(__xludf.DUMMYFUNCTION("GOOGLETRANSLATE(A17089,""en"",""pt"")"),"fotos de má qualidade")</f>
        <v>fotos de má qualidade</v>
      </c>
      <c r="B17089" s="3">
        <v>0</v>
      </c>
    </row>
    <row r="17090" ht="15.75" customHeight="1" spans="1:2">
      <c r="A17090" s="3" t="str">
        <f>IFERROR(__xludf.DUMMYFUNCTION("GOOGLETRANSLATE(A17090,""en"",""pt"")"),"sem flash, difícil de entender direções, construção barata")</f>
        <v>sem flash, difícil de entender direções, construção barata</v>
      </c>
      <c r="B17090" s="3">
        <v>0</v>
      </c>
    </row>
    <row r="17091" ht="15.75" customHeight="1" spans="1:2">
      <c r="A17091" s="3" t="str">
        <f>IFERROR(__xludf.DUMMYFUNCTION("GOOGLETRANSLATE(A17091,""en"",""pt"")"),"A qualidade da imagem não é tão boa, design barato e construção, sem flash faz acender necessário")</f>
        <v>A qualidade da imagem não é tão boa, design barato e construção, sem flash faz acender necessário</v>
      </c>
      <c r="B17091" s="3">
        <v>0</v>
      </c>
    </row>
    <row r="17092" ht="15.75" customHeight="1" spans="1:2">
      <c r="A17092" s="3" t="str">
        <f>IFERROR(__xludf.DUMMYFUNCTION("GOOGLETRANSLATE(A17092,""en"",""pt"")"),"O meu é sob a marca Vivitar, mas a mesma câmera!")</f>
        <v>O meu é sob a marca Vivitar, mas a mesma câmera!</v>
      </c>
      <c r="B17092" s="3">
        <v>0</v>
      </c>
    </row>
    <row r="17093" ht="15.75" customHeight="1" spans="1:2">
      <c r="A17093" s="3" t="str">
        <f>IFERROR(__xludf.DUMMYFUNCTION("GOOGLETRANSLATE(A17093,""en"",""pt"")"),"óptica pobres, memória interna insignificante,")</f>
        <v>óptica pobres, memória interna insignificante,</v>
      </c>
      <c r="B17093" s="3">
        <v>0</v>
      </c>
    </row>
    <row r="17094" ht="15.75" customHeight="1" spans="1:2">
      <c r="A17094" s="3" t="str">
        <f>IFERROR(__xludf.DUMMYFUNCTION("GOOGLETRANSLATE(A17094,""en"",""pt"")"),"problemas USB, problemas de ligar, não funcionar correctamente")</f>
        <v>problemas USB, problemas de ligar, não funcionar correctamente</v>
      </c>
      <c r="B17094" s="3">
        <v>0</v>
      </c>
    </row>
    <row r="17095" ht="15.75" customHeight="1" spans="1:2">
      <c r="A17095" s="3" t="str">
        <f>IFERROR(__xludf.DUMMYFUNCTION("GOOGLETRANSLATE(A17095,""en"",""pt"")"),"Não vale o dinheiro")</f>
        <v>Não vale o dinheiro</v>
      </c>
      <c r="B17095" s="3">
        <v>0</v>
      </c>
    </row>
    <row r="17096" ht="15.75" customHeight="1" spans="1:2">
      <c r="A17096" s="3" t="str">
        <f>IFERROR(__xludf.DUMMYFUNCTION("GOOGLETRANSLATE(A17096,""en"",""pt"")"),"Pouco construído em memória, de curto alcance")</f>
        <v>Pouco construído em memória, de curto alcance</v>
      </c>
      <c r="B17096" s="3">
        <v>0</v>
      </c>
    </row>
    <row r="17097" ht="15.75" customHeight="1" spans="1:2">
      <c r="A17097" s="3" t="str">
        <f>IFERROR(__xludf.DUMMYFUNCTION("GOOGLETRANSLATE(A17097,""en"",""pt"")"),"sobre .5mb de memória interna, bateria &amp; amp; portas CF são difíceis de abrir / fechar")</f>
        <v>sobre .5mb de memória interna, bateria &amp; amp; portas CF são difíceis de abrir / fechar</v>
      </c>
      <c r="B17097" s="3">
        <v>0</v>
      </c>
    </row>
    <row r="17098" ht="15.75" customHeight="1" spans="1:2">
      <c r="A17098" s="3" t="str">
        <f>IFERROR(__xludf.DUMMYFUNCTION("GOOGLETRANSLATE(A17098,""en"",""pt"")"),"pré-visualização LCD granulado; má qualidade de imagem; piscar quebrado")</f>
        <v>pré-visualização LCD granulado; má qualidade de imagem; piscar quebrado</v>
      </c>
      <c r="B17098" s="3">
        <v>0</v>
      </c>
    </row>
    <row r="17099" ht="15.75" customHeight="1" spans="1:2">
      <c r="A17099" s="3" t="str">
        <f>IFERROR(__xludf.DUMMYFUNCTION("GOOGLETRANSLATE(A17099,""en"",""pt"")"),"Defeituoso e a qualidade?")</f>
        <v>Defeituoso e a qualidade?</v>
      </c>
      <c r="B17099" s="3">
        <v>0</v>
      </c>
    </row>
    <row r="17100" ht="15.75" customHeight="1" spans="1:2">
      <c r="A17100" s="3" t="str">
        <f>IFERROR(__xludf.DUMMYFUNCTION("GOOGLETRANSLATE(A17100,""en"",""pt"")"),"Nenhum!")</f>
        <v>Nenhum!</v>
      </c>
      <c r="B17100" s="3">
        <v>0</v>
      </c>
    </row>
    <row r="17101" ht="15.75" customHeight="1" spans="1:2">
      <c r="A17101" s="3" t="str">
        <f>IFERROR(__xludf.DUMMYFUNCTION("GOOGLETRANSLATE(A17101,""en"",""pt"")"),"um pouco difícil de dobrar para baixo")</f>
        <v>um pouco difícil de dobrar para baixo</v>
      </c>
      <c r="B17101" s="3">
        <v>0</v>
      </c>
    </row>
    <row r="17102" ht="15.75" customHeight="1" spans="1:2">
      <c r="A17102" s="3" t="str">
        <f>IFERROR(__xludf.DUMMYFUNCTION("GOOGLETRANSLATE(A17102,""en"",""pt"")"),"Um pouco caro para as novas mães.")</f>
        <v>Um pouco caro para as novas mães.</v>
      </c>
      <c r="B17102" s="3">
        <v>0</v>
      </c>
    </row>
    <row r="17103" ht="15.75" customHeight="1" spans="1:2">
      <c r="A17103" s="3" t="str">
        <f>IFERROR(__xludf.DUMMYFUNCTION("GOOGLETRANSLATE(A17103,""en"",""pt"")")," não pode empurrá-lo enquanto estava deitado no sofá.")</f>
        <v> não pode empurrá-lo enquanto estava deitado no sofá.</v>
      </c>
      <c r="B17103" s="3">
        <v>0</v>
      </c>
    </row>
    <row r="17104" ht="15.75" customHeight="1" spans="1:2">
      <c r="A17104" s="3" t="str">
        <f>IFERROR(__xludf.DUMMYFUNCTION("GOOGLETRANSLATE(A17104,""en"",""pt"")"),"Nenhum")</f>
        <v>Nenhum</v>
      </c>
      <c r="B17104" s="3">
        <v>0</v>
      </c>
    </row>
    <row r="17105" ht="15.75" customHeight="1" spans="1:2">
      <c r="A17105" s="3" t="str">
        <f>IFERROR(__xludf.DUMMYFUNCTION("GOOGLETRANSLATE(A17105,""en"",""pt"")"),"Caro, pode tombar")</f>
        <v>Caro, pode tombar</v>
      </c>
      <c r="B17105" s="3">
        <v>0</v>
      </c>
    </row>
    <row r="17106" ht="15.75" customHeight="1" spans="1:2">
      <c r="A17106" s="3" t="str">
        <f>IFERROR(__xludf.DUMMYFUNCTION("GOOGLETRANSLATE(A17106,""en"",""pt"")"),"Difícil de viagem com.")</f>
        <v>Difícil de viagem com.</v>
      </c>
      <c r="B17106" s="3">
        <v>0</v>
      </c>
    </row>
    <row r="17107" ht="15.75" customHeight="1" spans="1:2">
      <c r="A17107" s="3" t="str">
        <f>IFERROR(__xludf.DUMMYFUNCTION("GOOGLETRANSLATE(A17107,""en"",""pt"")"),"O preço, e sua volumosa")</f>
        <v>O preço, e sua volumosa</v>
      </c>
      <c r="B17107" s="3">
        <v>0</v>
      </c>
    </row>
    <row r="17108" ht="15.75" customHeight="1" spans="1:2">
      <c r="A17108" s="3" t="str">
        <f>IFERROR(__xludf.DUMMYFUNCTION("GOOGLETRANSLATE(A17108,""en"",""pt"")"),"Tipo-de volumoso em Shoppings")</f>
        <v>Tipo-de volumoso em Shoppings</v>
      </c>
      <c r="B17108" s="3">
        <v>0</v>
      </c>
    </row>
    <row r="17109" ht="15.75" customHeight="1" spans="1:2">
      <c r="A17109" s="3" t="str">
        <f>IFERROR(__xludf.DUMMYFUNCTION("GOOGLETRANSLATE(A17109,""en"",""pt"")"),"bebê empurrando para cima pode causar-lhe para derrubar para trás")</f>
        <v>bebê empurrando para cima pode causar-lhe para derrubar para trás</v>
      </c>
      <c r="B17109" s="3">
        <v>0</v>
      </c>
    </row>
    <row r="17110" ht="15.75" customHeight="1" spans="1:2">
      <c r="A17110" s="3" t="str">
        <f>IFERROR(__xludf.DUMMYFUNCTION("GOOGLETRANSLATE(A17110,""en"",""pt"")"),"Nenhum encontrado ainda")</f>
        <v>Nenhum encontrado ainda</v>
      </c>
      <c r="B17110" s="3">
        <v>0</v>
      </c>
    </row>
    <row r="17111" ht="15.75" customHeight="1" spans="1:2">
      <c r="A17111" s="3" t="str">
        <f>IFERROR(__xludf.DUMMYFUNCTION("GOOGLETRANSLATE(A17111,""en"",""pt"")"),"Preço. Tamanho. não se dobra-se facilmente.")</f>
        <v>Preço. Tamanho. não se dobra-se facilmente.</v>
      </c>
      <c r="B17111" s="3">
        <v>0</v>
      </c>
    </row>
    <row r="17112" ht="15.75" customHeight="1" spans="1:2">
      <c r="A17112" s="3" t="str">
        <f>IFERROR(__xludf.DUMMYFUNCTION("GOOGLETRANSLATE(A17112,""en"",""pt"")"),"Caro")</f>
        <v>Caro</v>
      </c>
      <c r="B17112" s="3">
        <v>0</v>
      </c>
    </row>
    <row r="17113" ht="15.75" customHeight="1" spans="1:2">
      <c r="A17113" s="3" t="str">
        <f>IFERROR(__xludf.DUMMYFUNCTION("GOOGLETRANSLATE(A17113,""en"",""pt"")"),"Quase grande demais para o uso diário.")</f>
        <v>Quase grande demais para o uso diário.</v>
      </c>
      <c r="B17113" s="3">
        <v>0</v>
      </c>
    </row>
    <row r="17114" ht="15.75" customHeight="1" spans="1:2">
      <c r="A17114" s="3" t="str">
        <f>IFERROR(__xludf.DUMMYFUNCTION("GOOGLETRANSLATE(A17114,""en"",""pt"")"),"É difícil de manipular se você levá-la em grandes multidões")</f>
        <v>É difícil de manipular se você levá-la em grandes multidões</v>
      </c>
      <c r="B17114" s="3">
        <v>0</v>
      </c>
    </row>
    <row r="17115" ht="15.75" customHeight="1" spans="1:2">
      <c r="A17115" s="3" t="str">
        <f>IFERROR(__xludf.DUMMYFUNCTION("GOOGLETRANSLATE(A17115,""en"",""pt"")"),"não se dobra, a menos que você desmontá-lo, e ainda é extremamente volumoso. Apenas uma posição de assento.")</f>
        <v>não se dobra, a menos que você desmontá-lo, e ainda é extremamente volumoso. Apenas uma posição de assento.</v>
      </c>
      <c r="B17115" s="3">
        <v>0</v>
      </c>
    </row>
    <row r="17116" ht="15.75" customHeight="1" spans="1:2">
      <c r="A17116" s="3" t="str">
        <f>IFERROR(__xludf.DUMMYFUNCTION("GOOGLETRANSLATE(A17116,""en"",""pt"")"),"Eu não sei de qualquer")</f>
        <v>Eu não sei de qualquer</v>
      </c>
      <c r="B17116" s="3">
        <v>0</v>
      </c>
    </row>
    <row r="17117" ht="15.75" customHeight="1" spans="1:2">
      <c r="A17117" s="3" t="str">
        <f>IFERROR(__xludf.DUMMYFUNCTION("GOOGLETRANSLATE(A17117,""en"",""pt"")"),"Volumoso quando dobrado, não bloqueia na posição dobrada")</f>
        <v>Volumoso quando dobrado, não bloqueia na posição dobrada</v>
      </c>
      <c r="B17117" s="3">
        <v>0</v>
      </c>
    </row>
    <row r="17118" ht="15.75" customHeight="1" spans="1:2">
      <c r="A17118" s="3" t="str">
        <f>IFERROR(__xludf.DUMMYFUNCTION("GOOGLETRANSLATE(A17118,""en"",""pt"")"),"caros, falta todos os gadgets bonitinhos outros têm")</f>
        <v>caros, falta todos os gadgets bonitinhos outros têm</v>
      </c>
      <c r="B17118" s="3">
        <v>0</v>
      </c>
    </row>
    <row r="17119" ht="15.75" customHeight="1" spans="1:2">
      <c r="A17119" s="3" t="str">
        <f>IFERROR(__xludf.DUMMYFUNCTION("GOOGLETRANSLATE(A17119,""en"",""pt"")"),"Isso às vezes pode ficar um pouco fora de controle")</f>
        <v>Isso às vezes pode ficar um pouco fora de controle</v>
      </c>
      <c r="B17119" s="3">
        <v>0</v>
      </c>
    </row>
    <row r="17120" ht="15.75" customHeight="1" spans="1:2">
      <c r="A17120" s="3" t="str">
        <f>IFERROR(__xludf.DUMMYFUNCTION("GOOGLETRANSLATE(A17120,""en"",""pt"")"),"Custo, leva algum ajuste para se acostumar empurrando enquanto faz jogging.")</f>
        <v>Custo, leva algum ajuste para se acostumar empurrando enquanto faz jogging.</v>
      </c>
      <c r="B17120" s="3">
        <v>0</v>
      </c>
    </row>
    <row r="17121" ht="15.75" customHeight="1" spans="1:2">
      <c r="A17121" s="3" t="str">
        <f>IFERROR(__xludf.DUMMYFUNCTION("GOOGLETRANSLATE(A17121,""en"",""pt"")"),"O carrinho de criança não transformar facilmente, problemas de alinhamento de roda traseiros causar a deriva")</f>
        <v>O carrinho de criança não transformar facilmente, problemas de alinhamento de roda traseiros causar a deriva</v>
      </c>
      <c r="B17121" s="3">
        <v>0</v>
      </c>
    </row>
    <row r="17122" ht="15.75" customHeight="1" spans="1:2">
      <c r="A17122" s="3" t="str">
        <f>IFERROR(__xludf.DUMMYFUNCTION("GOOGLETRANSLATE(A17122,""en"",""pt"")"),"não se dobra-se o melhor")</f>
        <v>não se dobra-se o melhor</v>
      </c>
      <c r="B17122" s="3">
        <v>0</v>
      </c>
    </row>
    <row r="17123" ht="15.75" customHeight="1" spans="1:2">
      <c r="A17123" s="3" t="str">
        <f>IFERROR(__xludf.DUMMYFUNCTION("GOOGLETRANSLATE(A17123,""en"",""pt"")"),"Muito grande")</f>
        <v>Muito grande</v>
      </c>
      <c r="B17123" s="3">
        <v>0</v>
      </c>
    </row>
    <row r="17124" ht="15.75" customHeight="1" spans="1:2">
      <c r="A17124" s="3" t="str">
        <f>IFERROR(__xludf.DUMMYFUNCTION("GOOGLETRANSLATE(A17124,""en"",""pt"")"),"Feito barata, sem apoio de cabeça desconfortável ou amortecimento.")</f>
        <v>Feito barata, sem apoio de cabeça desconfortável ou amortecimento.</v>
      </c>
      <c r="B17124" s="3">
        <v>0</v>
      </c>
    </row>
    <row r="17125" ht="15.75" customHeight="1" spans="1:2">
      <c r="A17125" s="3" t="str">
        <f>IFERROR(__xludf.DUMMYFUNCTION("GOOGLETRANSLATE(A17125,""en"",""pt"")"),"Nenhum")</f>
        <v>Nenhum</v>
      </c>
      <c r="B17125" s="3">
        <v>0</v>
      </c>
    </row>
    <row r="17126" ht="15.75" customHeight="1" spans="1:2">
      <c r="A17126" s="3" t="str">
        <f>IFERROR(__xludf.DUMMYFUNCTION("GOOGLETRANSLATE(A17126,""en"",""pt"")"),"caro, freio duro para set")</f>
        <v>caro, freio duro para set</v>
      </c>
      <c r="B17126" s="3">
        <v>0</v>
      </c>
    </row>
    <row r="17127" ht="15.75" customHeight="1" spans="1:2">
      <c r="A17127" s="3" t="str">
        <f>IFERROR(__xludf.DUMMYFUNCTION("GOOGLETRANSLATE(A17127,""en"",""pt"")"),"Rígido para armazenar e viajar com, não muito confortável para crianças")</f>
        <v>Rígido para armazenar e viajar com, não muito confortável para crianças</v>
      </c>
      <c r="B17127" s="3">
        <v>0</v>
      </c>
    </row>
    <row r="17128" ht="15.75" customHeight="1" spans="1:2">
      <c r="A17128" s="3" t="str">
        <f>IFERROR(__xludf.DUMMYFUNCTION("GOOGLETRANSLATE(A17128,""en"",""pt"")"),"não foi feito para pessoas com mais de 6'2 &amp; amp; quot;")</f>
        <v>não foi feito para pessoas com mais de 6'2 &amp; amp; quot;</v>
      </c>
      <c r="B17128" s="3">
        <v>0</v>
      </c>
    </row>
    <row r="17129" ht="15.75" customHeight="1" spans="1:2">
      <c r="A17129" s="3" t="str">
        <f>IFERROR(__xludf.DUMMYFUNCTION("GOOGLETRANSLATE(A17129,""en"",""pt"")"),"Não há mais desculpas para não correr")</f>
        <v>Não há mais desculpas para não correr</v>
      </c>
      <c r="B17129" s="3">
        <v>0</v>
      </c>
    </row>
    <row r="17130" ht="15.75" customHeight="1" spans="1:2">
      <c r="A17130" s="3" t="str">
        <f>IFERROR(__xludf.DUMMYFUNCTION("GOOGLETRANSLATE(A17130,""en"",""pt"")"),"não pode caber em carro pequeno")</f>
        <v>não pode caber em carro pequeno</v>
      </c>
      <c r="B17130" s="3">
        <v>0</v>
      </c>
    </row>
    <row r="17131" ht="15.75" customHeight="1" spans="1:2">
      <c r="A17131" s="3" t="str">
        <f>IFERROR(__xludf.DUMMYFUNCTION("GOOGLETRANSLATE(A17131,""en"",""pt"")"),"Nenhum")</f>
        <v>Nenhum</v>
      </c>
      <c r="B17131" s="3">
        <v>0</v>
      </c>
    </row>
    <row r="17132" ht="15.75" customHeight="1" spans="1:2">
      <c r="A17132" s="3" t="str">
        <f>IFERROR(__xludf.DUMMYFUNCTION("GOOGLETRANSLATE(A17132,""en"",""pt"")"),"Caro")</f>
        <v>Caro</v>
      </c>
      <c r="B17132" s="3">
        <v>0</v>
      </c>
    </row>
    <row r="17133" ht="15.75" customHeight="1" spans="1:2">
      <c r="A17133" s="3" t="str">
        <f>IFERROR(__xludf.DUMMYFUNCTION("GOOGLETRANSLATE(A17133,""en"",""pt"")"),"Não é bom em terrenos acidentados")</f>
        <v>Não é bom em terrenos acidentados</v>
      </c>
      <c r="B17133" s="3">
        <v>0</v>
      </c>
    </row>
    <row r="17134" ht="15.75" customHeight="1" spans="1:2">
      <c r="A17134" s="3" t="str">
        <f>IFERROR(__xludf.DUMMYFUNCTION("GOOGLETRANSLATE(A17134,""en"",""pt"")"),"Spendy, Balance and Design Issues")</f>
        <v>Spendy, Balance and Design Issues</v>
      </c>
      <c r="B17134" s="3">
        <v>0</v>
      </c>
    </row>
    <row r="17135" ht="15.75" customHeight="1" spans="1:2">
      <c r="A17135" s="3" t="str">
        <f>IFERROR(__xludf.DUMMYFUNCTION("GOOGLETRANSLATE(A17135,""en"",""pt"")"),"Um pouco difícil de se levantar restrições.")</f>
        <v>Um pouco difícil de se levantar restrições.</v>
      </c>
      <c r="B17135" s="3">
        <v>0</v>
      </c>
    </row>
    <row r="17136" ht="15.75" customHeight="1" spans="1:2">
      <c r="A17136" s="3" t="str">
        <f>IFERROR(__xludf.DUMMYFUNCTION("GOOGLETRANSLATE(A17136,""en"",""pt"")"),"rodas são muito grandes")</f>
        <v>rodas são muito grandes</v>
      </c>
      <c r="B17136" s="3">
        <v>0</v>
      </c>
    </row>
    <row r="17137" ht="15.75" customHeight="1" spans="1:2">
      <c r="A17137" s="3" t="str">
        <f>IFERROR(__xludf.DUMMYFUNCTION("GOOGLETRANSLATE(A17137,""en"",""pt"")"),"Tipo de volumoso")</f>
        <v>Tipo de volumoso</v>
      </c>
      <c r="B17137" s="3">
        <v>0</v>
      </c>
    </row>
    <row r="17138" ht="15.75" customHeight="1" spans="1:2">
      <c r="A17138" s="3" t="str">
        <f>IFERROR(__xludf.DUMMYFUNCTION("GOOGLETRANSLATE(A17138,""en"",""pt"")"),"Como uma bicicleta, pneus pode ir plana facilmente.")</f>
        <v>Como uma bicicleta, pneus pode ir plana facilmente.</v>
      </c>
      <c r="B17138" s="3">
        <v>0</v>
      </c>
    </row>
    <row r="17139" ht="15.75" customHeight="1" spans="1:2">
      <c r="A17139" s="3" t="str">
        <f>IFERROR(__xludf.DUMMYFUNCTION("GOOGLETRANSLATE(A17139,""en"",""pt"")"),"Bebê não pode reclinar, acesso a cesta é pequeno, os freios não se envolver na primeira tentativa")</f>
        <v>Bebê não pode reclinar, acesso a cesta é pequeno, os freios não se envolver na primeira tentativa</v>
      </c>
      <c r="B17139" s="3">
        <v>0</v>
      </c>
    </row>
    <row r="17140" ht="15.75" customHeight="1" spans="1:2">
      <c r="A17140" s="3" t="str">
        <f>IFERROR(__xludf.DUMMYFUNCTION("GOOGLETRANSLATE(A17140,""en"",""pt"")"),"carece de travão de estacionamento, pára-sol é muito pequena, algo difíceis de dobrar")</f>
        <v>carece de travão de estacionamento, pára-sol é muito pequena, algo difíceis de dobrar</v>
      </c>
      <c r="B17140" s="3">
        <v>0</v>
      </c>
    </row>
    <row r="17141" ht="15.75" customHeight="1" spans="1:2">
      <c r="A17141" s="3" t="str">
        <f>IFERROR(__xludf.DUMMYFUNCTION("GOOGLETRANSLATE(A17141,""en"",""pt"")"),"um pouco volumoso em tamanho")</f>
        <v>um pouco volumoso em tamanho</v>
      </c>
      <c r="B17141" s="3">
        <v>0</v>
      </c>
    </row>
    <row r="17142" ht="15.75" customHeight="1" spans="1:2">
      <c r="A17142" s="3" t="str">
        <f>IFERROR(__xludf.DUMMYFUNCTION("GOOGLETRANSLATE(A17142,""en"",""pt"")"),"cesta no fundo é pequeno")</f>
        <v>cesta no fundo é pequeno</v>
      </c>
      <c r="B17142" s="3">
        <v>0</v>
      </c>
    </row>
    <row r="17143" ht="15.75" customHeight="1" spans="1:2">
      <c r="A17143" s="3" t="str">
        <f>IFERROR(__xludf.DUMMYFUNCTION("GOOGLETRANSLATE(A17143,""en"",""pt"")"),"Volumoso para transporte")</f>
        <v>Volumoso para transporte</v>
      </c>
      <c r="B17143" s="3">
        <v>0</v>
      </c>
    </row>
    <row r="17144" ht="15.75" customHeight="1" spans="1:2">
      <c r="A17144" s="3" t="str">
        <f>IFERROR(__xludf.DUMMYFUNCTION("GOOGLETRANSLATE(A17144,""en"",""pt"")"),"Nenhuma posição reclinar ajustável")</f>
        <v>Nenhuma posição reclinar ajustável</v>
      </c>
      <c r="B17144" s="3">
        <v>0</v>
      </c>
    </row>
    <row r="17145" ht="15.75" customHeight="1" spans="1:2">
      <c r="A17145" s="3" t="str">
        <f>IFERROR(__xludf.DUMMYFUNCTION("GOOGLETRANSLATE(A17145,""en"",""pt"")"),"Você não pode usá-lo para ir às compras no shopping.")</f>
        <v>Você não pode usá-lo para ir às compras no shopping.</v>
      </c>
      <c r="B17145" s="3">
        <v>0</v>
      </c>
    </row>
    <row r="17146" ht="15.75" customHeight="1" spans="1:2">
      <c r="A17146" s="3" t="str">
        <f>IFERROR(__xludf.DUMMYFUNCTION("GOOGLETRANSLATE(A17146,""en"",""pt"")"),"3 rodas são melhores do que quatro")</f>
        <v>3 rodas são melhores do que quatro</v>
      </c>
      <c r="B17146" s="3">
        <v>0</v>
      </c>
    </row>
    <row r="17147" ht="15.75" customHeight="1" spans="1:2">
      <c r="A17147" s="3" t="str">
        <f>IFERROR(__xludf.DUMMYFUNCTION("GOOGLETRANSLATE(A17147,""en"",""pt"")"),"preço mais alto")</f>
        <v>preço mais alto</v>
      </c>
      <c r="B17147" s="3">
        <v>0</v>
      </c>
    </row>
    <row r="17148" ht="15.75" customHeight="1" spans="1:2">
      <c r="A17148" s="3" t="str">
        <f>IFERROR(__xludf.DUMMYFUNCTION("GOOGLETRANSLATE(A17148,""en"",""pt"")"),"Sem freios estacionários.")</f>
        <v>Sem freios estacionários.</v>
      </c>
      <c r="B17148" s="3">
        <v>0</v>
      </c>
    </row>
    <row r="17149" ht="15.75" customHeight="1" spans="1:2">
      <c r="A17149" s="3" t="str">
        <f>IFERROR(__xludf.DUMMYFUNCTION("GOOGLETRANSLATE(A17149,""en"",""pt"")"),"Nenhum, este é o 'perfeito' carrinho de esportes")</f>
        <v>Nenhum, este é o 'perfeito' carrinho de esportes</v>
      </c>
      <c r="B17149" s="3">
        <v>0</v>
      </c>
    </row>
    <row r="17150" ht="15.75" customHeight="1" spans="1:2">
      <c r="A17150" s="3" t="str">
        <f>IFERROR(__xludf.DUMMYFUNCTION("GOOGLETRANSLATE(A17150,""en"",""pt"")"),"Difícil de obter., Caro")</f>
        <v>Difícil de obter., Caro</v>
      </c>
      <c r="B17150" s="3">
        <v>0</v>
      </c>
    </row>
    <row r="17151" ht="15.75" customHeight="1" spans="1:2">
      <c r="A17151" s="3" t="str">
        <f>IFERROR(__xludf.DUMMYFUNCTION("GOOGLETRANSLATE(A17151,""en"",""pt"")"),"Demora um pouco para pegar o jeito de unir")</f>
        <v>Demora um pouco para pegar o jeito de unir</v>
      </c>
      <c r="B17151" s="3">
        <v>0</v>
      </c>
    </row>
    <row r="17152" ht="15.75" customHeight="1" spans="1:2">
      <c r="A17152" s="3" t="str">
        <f>IFERROR(__xludf.DUMMYFUNCTION("GOOGLETRANSLATE(A17152,""en"",""pt"")"),"Um pouco volumoso para entrar em um carro pequeno")</f>
        <v>Um pouco volumoso para entrar em um carro pequeno</v>
      </c>
      <c r="B17152" s="3">
        <v>0</v>
      </c>
    </row>
    <row r="17153" ht="15.75" customHeight="1" spans="1:2">
      <c r="A17153" s="3" t="str">
        <f>IFERROR(__xludf.DUMMYFUNCTION("GOOGLETRANSLATE(A17153,""en"",""pt"")"),"problema de equilíbrio e é difícil de pôr de lado")</f>
        <v>problema de equilíbrio e é difícil de pôr de lado</v>
      </c>
      <c r="B17153" s="3">
        <v>0</v>
      </c>
    </row>
    <row r="17154" ht="15.75" customHeight="1" spans="1:2">
      <c r="A17154" s="3" t="str">
        <f>IFERROR(__xludf.DUMMYFUNCTION("GOOGLETRANSLATE(A17154,""en"",""pt"")"),"Preço pode ser um inconveniente")</f>
        <v>Preço pode ser um inconveniente</v>
      </c>
      <c r="B17154" s="3">
        <v>0</v>
      </c>
    </row>
    <row r="17155" ht="15.75" customHeight="1" spans="1:2">
      <c r="A17155" s="3" t="str">
        <f>IFERROR(__xludf.DUMMYFUNCTION("GOOGLETRANSLATE(A17155,""en"",""pt"")"),"Não assento reclinável")</f>
        <v>Não assento reclinável</v>
      </c>
      <c r="B17155" s="3">
        <v>0</v>
      </c>
    </row>
    <row r="17156" ht="15.75" customHeight="1" spans="1:2">
      <c r="A17156" s="3" t="str">
        <f>IFERROR(__xludf.DUMMYFUNCTION("GOOGLETRANSLATE(A17156,""en"",""pt"")"),"mais caro do que outros corredores")</f>
        <v>mais caro do que outros corredores</v>
      </c>
      <c r="B17156" s="3">
        <v>0</v>
      </c>
    </row>
    <row r="17157" ht="15.75" customHeight="1" spans="1:2">
      <c r="A17157" s="3" t="str">
        <f>IFERROR(__xludf.DUMMYFUNCTION("GOOGLETRANSLATE(A17157,""en"",""pt"")"),"assento não reclinar - questão menor.")</f>
        <v>assento não reclinar - questão menor.</v>
      </c>
      <c r="B17157" s="3">
        <v>0</v>
      </c>
    </row>
    <row r="17158" ht="15.75" customHeight="1" spans="1:2">
      <c r="A17158" s="3" t="str">
        <f>IFERROR(__xludf.DUMMYFUNCTION("GOOGLETRANSLATE(A17158,""en"",""pt"")"),"posição uma sessão")</f>
        <v>posição uma sessão</v>
      </c>
      <c r="B17158" s="3">
        <v>0</v>
      </c>
    </row>
    <row r="17159" ht="15.75" customHeight="1" spans="1:2">
      <c r="A17159" s="3" t="str">
        <f>IFERROR(__xludf.DUMMYFUNCTION("GOOGLETRANSLATE(A17159,""en"",""pt"")"),"Dobrável que pode levar algum tempo para se acostumar")</f>
        <v>Dobrável que pode levar algum tempo para se acostumar</v>
      </c>
      <c r="B17159" s="3">
        <v>0</v>
      </c>
    </row>
    <row r="17160" ht="15.75" customHeight="1" spans="1:2">
      <c r="A17160" s="3" t="str">
        <f>IFERROR(__xludf.DUMMYFUNCTION("GOOGLETRANSLATE(A17160,""en"",""pt"")"),"caros, pequenos cestos")</f>
        <v>caros, pequenos cestos</v>
      </c>
      <c r="B17160" s="3">
        <v>0</v>
      </c>
    </row>
    <row r="17161" ht="15.75" customHeight="1" spans="1:2">
      <c r="A17161" s="3" t="str">
        <f>IFERROR(__xludf.DUMMYFUNCTION("GOOGLETRANSLATE(A17161,""en"",""pt"")"),"caro apenas alittle mas vale a pena!")</f>
        <v>caro apenas alittle mas vale a pena!</v>
      </c>
      <c r="B17161" s="3">
        <v>0</v>
      </c>
    </row>
    <row r="17162" ht="15.75" customHeight="1" spans="1:2">
      <c r="A17162" s="3" t="str">
        <f>IFERROR(__xludf.DUMMYFUNCTION("GOOGLETRANSLATE(A17162,""en"",""pt"")"),"caro e não para crianças")</f>
        <v>caro e não para crianças</v>
      </c>
      <c r="B17162" s="3">
        <v>0</v>
      </c>
    </row>
    <row r="17163" ht="15.75" customHeight="1" spans="1:2">
      <c r="A17163" s="3" t="str">
        <f>IFERROR(__xludf.DUMMYFUNCTION("GOOGLETRANSLATE(A17163,""en"",""pt"")"),"demasiado grande para usar dentro de casa, caro")</f>
        <v>demasiado grande para usar dentro de casa, caro</v>
      </c>
      <c r="B17163" s="3">
        <v>0</v>
      </c>
    </row>
    <row r="17164" ht="15.75" customHeight="1" spans="1:2">
      <c r="A17164" s="3" t="str">
        <f>IFERROR(__xludf.DUMMYFUNCTION("GOOGLETRANSLATE(A17164,""en"",""pt"")"),"breaks facilmente com um pouco de desgaste e tara.")</f>
        <v>breaks facilmente com um pouco de desgaste e tara.</v>
      </c>
      <c r="B17164" s="3">
        <v>0</v>
      </c>
    </row>
    <row r="17165" ht="15.75" customHeight="1" spans="1:2">
      <c r="A17165" s="3" t="str">
        <f>IFERROR(__xludf.DUMMYFUNCTION("GOOGLETRANSLATE(A17165,""en"",""pt"")"),"um pouco pesado")</f>
        <v>um pouco pesado</v>
      </c>
      <c r="B17165" s="3">
        <v>0</v>
      </c>
    </row>
    <row r="17166" ht="15.75" customHeight="1" spans="1:2">
      <c r="A17166" s="3" t="str">
        <f>IFERROR(__xludf.DUMMYFUNCTION("GOOGLETRANSLATE(A17166,""en"",""pt"")"),"levou algum tempo para se acostumar com")</f>
        <v>levou algum tempo para se acostumar com</v>
      </c>
      <c r="B17166" s="3">
        <v>0</v>
      </c>
    </row>
    <row r="17167" ht="15.75" customHeight="1" spans="1:2">
      <c r="A17167" s="3" t="str">
        <f>IFERROR(__xludf.DUMMYFUNCTION("GOOGLETRANSLATE(A17167,""en"",""pt"")"),"Caro")</f>
        <v>Caro</v>
      </c>
      <c r="B17167" s="3">
        <v>0</v>
      </c>
    </row>
    <row r="17168" ht="15.75" customHeight="1" spans="1:2">
      <c r="A17168" s="3" t="str">
        <f>IFERROR(__xludf.DUMMYFUNCTION("GOOGLETRANSLATE(A17168,""en"",""pt"")"),"menos de oito rodas")</f>
        <v>menos de oito rodas</v>
      </c>
      <c r="B17168" s="3">
        <v>0</v>
      </c>
    </row>
    <row r="17169" ht="15.75" customHeight="1" spans="1:2">
      <c r="A17169" s="3" t="str">
        <f>IFERROR(__xludf.DUMMYFUNCTION("GOOGLETRANSLATE(A17169,""en"",""pt"")"),"Quebrar é um pouco estranho.")</f>
        <v>Quebrar é um pouco estranho.</v>
      </c>
      <c r="B17169" s="3">
        <v>0</v>
      </c>
    </row>
    <row r="17170" ht="15.75" customHeight="1" spans="1:2">
      <c r="A17170" s="3" t="str">
        <f>IFERROR(__xludf.DUMMYFUNCTION("GOOGLETRANSLATE(A17170,""en"",""pt"")"),"É um pouco caro, mas vale bem a cada centavo")</f>
        <v>É um pouco caro, mas vale bem a cada centavo</v>
      </c>
      <c r="B17170" s="3">
        <v>0</v>
      </c>
    </row>
    <row r="17171" ht="15.75" customHeight="1" spans="1:2">
      <c r="A17171" s="3" t="str">
        <f>IFERROR(__xludf.DUMMYFUNCTION("GOOGLETRANSLATE(A17171,""en"",""pt"")"),"preços, rodas")</f>
        <v>preços, rodas</v>
      </c>
      <c r="B17171" s="3">
        <v>0</v>
      </c>
    </row>
    <row r="17172" ht="15.75" customHeight="1" spans="1:2">
      <c r="A17172" s="3" t="str">
        <f>IFERROR(__xludf.DUMMYFUNCTION("GOOGLETRANSLATE(A17172,""en"",""pt"")"),"você precisa de um grande tronco, minivan ou caminhão")</f>
        <v>você precisa de um grande tronco, minivan ou caminhão</v>
      </c>
      <c r="B17172" s="3">
        <v>0</v>
      </c>
    </row>
    <row r="17173" ht="15.75" customHeight="1" spans="1:2">
      <c r="A17173" s="3" t="str">
        <f>IFERROR(__xludf.DUMMYFUNCTION("GOOGLETRANSLATE(A17173,""en"",""pt"")"),"Ele tem derrubado na ocasião, apenas uma vez com dentro bebê!")</f>
        <v>Ele tem derrubado na ocasião, apenas uma vez com dentro bebê!</v>
      </c>
      <c r="B17173" s="3">
        <v>0</v>
      </c>
    </row>
    <row r="17174" ht="15.75" customHeight="1" spans="1:2">
      <c r="A17174" s="3" t="str">
        <f>IFERROR(__xludf.DUMMYFUNCTION("GOOGLETRANSLATE(A17174,""en"",""pt"")"),"Correias causou um pequeno desconforto, mas não reclamações!")</f>
        <v>Correias causou um pequeno desconforto, mas não reclamações!</v>
      </c>
      <c r="B17174" s="3">
        <v>0</v>
      </c>
    </row>
    <row r="17175" ht="15.75" customHeight="1" spans="1:2">
      <c r="A17175" s="3" t="str">
        <f>IFERROR(__xludf.DUMMYFUNCTION("GOOGLETRANSLATE(A17175,""en"",""pt"")"),"A viragem que não é fácil")</f>
        <v>A viragem que não é fácil</v>
      </c>
      <c r="B17175" s="3">
        <v>0</v>
      </c>
    </row>
    <row r="17176" ht="15.75" customHeight="1" spans="1:2">
      <c r="A17176" s="3" t="str">
        <f>IFERROR(__xludf.DUMMYFUNCTION("GOOGLETRANSLATE(A17176,""en"",""pt"")"),"Precisa de uma pausa de estacionamento; cinta entre as pernas é muito longo (pode ser remediado); escovas dossel retraídos contra uma cabeça da criança mais velha.")</f>
        <v>Precisa de uma pausa de estacionamento; cinta entre as pernas é muito longo (pode ser remediado); escovas dossel retraídos contra uma cabeça da criança mais velha.</v>
      </c>
      <c r="B17176" s="3">
        <v>0</v>
      </c>
    </row>
    <row r="17177" ht="15.75" customHeight="1" spans="1:2">
      <c r="A17177" s="3" t="s">
        <v>95</v>
      </c>
      <c r="B17177" s="3">
        <v>0</v>
      </c>
    </row>
    <row r="17178" ht="15.75" customHeight="1" spans="1:2">
      <c r="A17178" s="3" t="str">
        <f>IFERROR(__xludf.DUMMYFUNCTION("GOOGLETRANSLATE(A17178,""en"",""pt"")"),"Nenhum")</f>
        <v>Nenhum</v>
      </c>
      <c r="B17178" s="3">
        <v>0</v>
      </c>
    </row>
    <row r="17179" ht="15.75" customHeight="1" spans="1:2">
      <c r="A17179" s="3" t="str">
        <f>IFERROR(__xludf.DUMMYFUNCTION("GOOGLETRANSLATE(A17179,""en"",""pt"")"),"Canopy, fundo de malha Basket")</f>
        <v>Canopy, fundo de malha Basket</v>
      </c>
      <c r="B17179" s="3">
        <v>0</v>
      </c>
    </row>
    <row r="17180" ht="15.75" customHeight="1" spans="1:2">
      <c r="A17180" s="3" t="str">
        <f>IFERROR(__xludf.DUMMYFUNCTION("GOOGLETRANSLATE(A17180,""en"",""pt"")"),"Veja comentário para comparações de produtos")</f>
        <v>Veja comentário para comparações de produtos</v>
      </c>
      <c r="B17180" s="3">
        <v>0</v>
      </c>
    </row>
    <row r="17181" ht="15.75" customHeight="1" spans="1:2">
      <c r="A17181" s="3" t="str">
        <f>IFERROR(__xludf.DUMMYFUNCTION("GOOGLETRANSLATE(A17181,""en"",""pt"")"),"NÃO para bebês, enorme, caro")</f>
        <v>NÃO para bebês, enorme, caro</v>
      </c>
      <c r="B17181" s="3">
        <v>0</v>
      </c>
    </row>
    <row r="17182" ht="15.75" customHeight="1" spans="1:2">
      <c r="A17182" s="3" t="str">
        <f>IFERROR(__xludf.DUMMYFUNCTION("GOOGLETRANSLATE(A17182,""en"",""pt"")"),"não vai substituir a necessidade de um pequeno carrinho.")</f>
        <v>não vai substituir a necessidade de um pequeno carrinho.</v>
      </c>
      <c r="B17182" s="3">
        <v>0</v>
      </c>
    </row>
    <row r="17183" ht="15.75" customHeight="1" spans="1:2">
      <c r="A17183" s="3" t="str">
        <f>IFERROR(__xludf.DUMMYFUNCTION("GOOGLETRANSLATE(A17183,""en"",""pt"")"),"Um pouco íngreme no preço (mas vale a pena)")</f>
        <v>Um pouco íngreme no preço (mas vale a pena)</v>
      </c>
      <c r="B17183" s="3">
        <v>0</v>
      </c>
    </row>
    <row r="17184" ht="15.75" customHeight="1" spans="1:2">
      <c r="A17184" s="3" t="str">
        <f>IFERROR(__xludf.DUMMYFUNCTION("GOOGLETRANSLATE(A17184,""en"",""pt"")"),"a barra de anexo, em seguida, faz com que seja difícil para caber em alguns veículos")</f>
        <v>a barra de anexo, em seguida, faz com que seja difícil para caber em alguns veículos</v>
      </c>
      <c r="B17184" s="3">
        <v>0</v>
      </c>
    </row>
    <row r="17185" ht="15.75" customHeight="1" spans="1:2">
      <c r="A17185" s="3" t="str">
        <f>IFERROR(__xludf.DUMMYFUNCTION("GOOGLETRANSLATE(A17185,""en"",""pt"")"),"Dobra e desdobra é desajeitado e não há nenhum suporte de copo")</f>
        <v>Dobra e desdobra é desajeitado e não há nenhum suporte de copo</v>
      </c>
      <c r="B17185" s="3">
        <v>0</v>
      </c>
    </row>
    <row r="17186" ht="15.75" customHeight="1" spans="1:2">
      <c r="A17186" s="3" t="str">
        <f>IFERROR(__xludf.DUMMYFUNCTION("GOOGLETRANSLATE(A17186,""en"",""pt"")"),"muito menor de mencionar")</f>
        <v>muito menor de mencionar</v>
      </c>
      <c r="B17186" s="3">
        <v>0</v>
      </c>
    </row>
    <row r="17187" ht="15.75" customHeight="1" spans="1:2">
      <c r="A17187" s="3" t="str">
        <f>IFERROR(__xludf.DUMMYFUNCTION("GOOGLETRANSLATE(A17187,""en"",""pt"")"),"Como a maioria dos carrinhos duplos, guinchos de vez em quando")</f>
        <v>Como a maioria dos carrinhos duplos, guinchos de vez em quando</v>
      </c>
      <c r="B17187" s="3">
        <v>0</v>
      </c>
    </row>
    <row r="17188" ht="15.75" customHeight="1" spans="1:2">
      <c r="A17188" s="3" t="str">
        <f>IFERROR(__xludf.DUMMYFUNCTION("GOOGLETRANSLATE(A17188,""en"",""pt"")"),"Sibilante, e bastante frágil após 20 meses de uso pesado.")</f>
        <v>Sibilante, e bastante frágil após 20 meses de uso pesado.</v>
      </c>
      <c r="B17188" s="3">
        <v>0</v>
      </c>
    </row>
    <row r="17189" ht="15.75" customHeight="1" spans="1:2">
      <c r="A17189" s="3" t="str">
        <f>IFERROR(__xludf.DUMMYFUNCTION("GOOGLETRANSLATE(A17189,""en"",""pt"")"),"não é fácil de transportar, ocupa muito espaço no carro, não pode usar cesta com banco traseiro reclinado")</f>
        <v>não é fácil de transportar, ocupa muito espaço no carro, não pode usar cesta com banco traseiro reclinado</v>
      </c>
      <c r="B17189" s="3">
        <v>0</v>
      </c>
    </row>
    <row r="17190" ht="15.75" customHeight="1" spans="1:2">
      <c r="A17190" s="3" t="str">
        <f>IFERROR(__xludf.DUMMYFUNCTION("GOOGLETRANSLATE(A17190,""en"",""pt"")"),"fiabilidade, tamanho")</f>
        <v>fiabilidade, tamanho</v>
      </c>
      <c r="B17190" s="3">
        <v>0</v>
      </c>
    </row>
    <row r="17191" ht="15.75" customHeight="1" spans="1:2">
      <c r="A17191" s="3" t="str">
        <f>IFERROR(__xludf.DUMMYFUNCTION("GOOGLETRANSLATE(A17191,""en"",""pt"")"),"pequena cesta, nenhum espaço para as pernas na traseira")</f>
        <v>pequena cesta, nenhum espaço para as pernas na traseira</v>
      </c>
      <c r="B17191" s="3">
        <v>0</v>
      </c>
    </row>
    <row r="17192" ht="15.75" customHeight="1" spans="1:2">
      <c r="A17192" s="3" t="str">
        <f>IFERROR(__xludf.DUMMYFUNCTION("GOOGLETRANSLATE(A17192,""en"",""pt"")"),"Falta de armazenamento, difícil de entrar em colapso")</f>
        <v>Falta de armazenamento, difícil de entrar em colapso</v>
      </c>
      <c r="B17192" s="3">
        <v>0</v>
      </c>
    </row>
    <row r="17193" ht="15.75" customHeight="1" spans="1:2">
      <c r="A17193" s="3" t="str">
        <f>IFERROR(__xludf.DUMMYFUNCTION("GOOGLETRANSLATE(A17193,""en"",""pt"")"),"Difícil de levantar no tronco.")</f>
        <v>Difícil de levantar no tronco.</v>
      </c>
      <c r="B17193" s="3">
        <v>0</v>
      </c>
    </row>
    <row r="17194" ht="15.75" customHeight="1" spans="1:2">
      <c r="A17194" s="3" t="str">
        <f>IFERROR(__xludf.DUMMYFUNCTION("GOOGLETRANSLATE(A17194,""en"",""pt"")"),"cesta não acessível quando usado como sistema de viagem")</f>
        <v>cesta não acessível quando usado como sistema de viagem</v>
      </c>
      <c r="B17194" s="3">
        <v>0</v>
      </c>
    </row>
    <row r="17195" ht="15.75" customHeight="1" spans="1:2">
      <c r="A17195" s="3" t="str">
        <f>IFERROR(__xludf.DUMMYFUNCTION("GOOGLETRANSLATE(A17195,""en"",""pt"")"),"Até agora, eu não encontrei nenhum!")</f>
        <v>Até agora, eu não encontrei nenhum!</v>
      </c>
      <c r="B17195" s="3">
        <v>0</v>
      </c>
    </row>
    <row r="17196" ht="15.75" customHeight="1" spans="1:2">
      <c r="A17196" s="3" t="str">
        <f>IFERROR(__xludf.DUMMYFUNCTION("GOOGLETRANSLATE(A17196,""en"",""pt"")"),"Preço Alto")</f>
        <v>Preço Alto</v>
      </c>
      <c r="B17196" s="3">
        <v>0</v>
      </c>
    </row>
    <row r="17197" ht="15.75" customHeight="1" spans="1:2">
      <c r="A17197" s="3" t="str">
        <f>IFERROR(__xludf.DUMMYFUNCTION("GOOGLETRANSLATE(A17197,""en"",""pt"")"),"Engenharia")</f>
        <v>Engenharia</v>
      </c>
      <c r="B17197" s="3">
        <v>0</v>
      </c>
    </row>
    <row r="17198" ht="15.75" customHeight="1" spans="1:2">
      <c r="A17198" s="3" t="str">
        <f>IFERROR(__xludf.DUMMYFUNCTION("GOOGLETRANSLATE(A17198,""en"",""pt"")"),"piloto frente é chutado e assentos não sentar-se frente.")</f>
        <v>piloto frente é chutado e assentos não sentar-se frente.</v>
      </c>
      <c r="B17198" s="3">
        <v>0</v>
      </c>
    </row>
    <row r="17199" ht="15.75" customHeight="1" spans="1:2">
      <c r="A17199" s="3" t="str">
        <f>IFERROR(__xludf.DUMMYFUNCTION("GOOGLETRANSLATE(A17199,""en"",""pt"")"),"Cesta inacessíveis quando assento traseiro é totalmente reclinada")</f>
        <v>Cesta inacessíveis quando assento traseiro é totalmente reclinada</v>
      </c>
      <c r="B17199" s="3">
        <v>0</v>
      </c>
    </row>
    <row r="17200" ht="15.75" customHeight="1" spans="1:2">
      <c r="A17200" s="3" t="str">
        <f>IFERROR(__xludf.DUMMYFUNCTION("GOOGLETRANSLATE(A17200,""en"",""pt"")"),"Obtém estridente e frágil no longo prazo")</f>
        <v>Obtém estridente e frágil no longo prazo</v>
      </c>
      <c r="B17200" s="3">
        <v>0</v>
      </c>
    </row>
    <row r="17201" ht="15.75" customHeight="1" spans="1:2">
      <c r="A17201" s="3" t="str">
        <f>IFERROR(__xludf.DUMMYFUNCTION("GOOGLETRANSLATE(A17201,""en"",""pt"")"),"não vestir bem,")</f>
        <v>não vestir bem,</v>
      </c>
      <c r="B17201" s="3">
        <v>0</v>
      </c>
    </row>
    <row r="17202" ht="15.75" customHeight="1" spans="1:2">
      <c r="A17202" s="3" t="str">
        <f>IFERROR(__xludf.DUMMYFUNCTION("GOOGLETRANSLATE(A17202,""en"",""pt"")"),"Cesta é difícil de alcançar quando assento de carro está ligado")</f>
        <v>Cesta é difícil de alcançar quando assento de carro está ligado</v>
      </c>
      <c r="B17202" s="3">
        <v>0</v>
      </c>
    </row>
    <row r="17203" ht="15.75" customHeight="1" spans="1:2">
      <c r="A17203" s="3" t="str">
        <f>IFERROR(__xludf.DUMMYFUNCTION("GOOGLETRANSLATE(A17203,""en"",""pt"")"),"Volumoso")</f>
        <v>Volumoso</v>
      </c>
      <c r="B17203" s="3">
        <v>0</v>
      </c>
    </row>
    <row r="17204" ht="15.75" customHeight="1" spans="1:2">
      <c r="A17204" s="3" t="str">
        <f>IFERROR(__xludf.DUMMYFUNCTION("GOOGLETRANSLATE(A17204,""en"",""pt"")"),"Baby Trend difícil de alcançar por telefone")</f>
        <v>Baby Trend difícil de alcançar por telefone</v>
      </c>
      <c r="B17204" s="3">
        <v>0</v>
      </c>
    </row>
    <row r="17205" ht="15.75" customHeight="1" spans="1:2">
      <c r="A17205" s="3" t="str">
        <f>IFERROR(__xludf.DUMMYFUNCTION("GOOGLETRANSLATE(A17205,""en"",""pt"")"),"pequena área de armazenagem, sem ajuste de altura punho")</f>
        <v>pequena área de armazenagem, sem ajuste de altura punho</v>
      </c>
      <c r="B17205" s="3">
        <v>0</v>
      </c>
    </row>
    <row r="17206" ht="15.75" customHeight="1" spans="1:2">
      <c r="A17206" s="3" t="str">
        <f>IFERROR(__xludf.DUMMYFUNCTION("GOOGLETRANSLATE(A17206,""en"",""pt"")"),"Como empurrar um Explorer através do shopping.")</f>
        <v>Como empurrar um Explorer através do shopping.</v>
      </c>
      <c r="B17206" s="3">
        <v>0</v>
      </c>
    </row>
    <row r="17207" ht="15.75" customHeight="1" spans="1:2">
      <c r="A17207" s="3" t="str">
        <f>IFERROR(__xludf.DUMMYFUNCTION("GOOGLETRANSLATE(A17207,""en"",""pt"")"),"Sim, eu gostaria de vê-lo manter minha criança na posição de pé!")</f>
        <v>Sim, eu gostaria de vê-lo manter minha criança na posição de pé!</v>
      </c>
      <c r="B17207" s="3">
        <v>0</v>
      </c>
    </row>
    <row r="17208" ht="15.75" customHeight="1" spans="1:2">
      <c r="A17208" s="3" t="str">
        <f>IFERROR(__xludf.DUMMYFUNCTION("GOOGLETRANSLATE(A17208,""en"",""pt"")"),"Muito pesado, um tanto frágil")</f>
        <v>Muito pesado, um tanto frágil</v>
      </c>
      <c r="B17208" s="3">
        <v>0</v>
      </c>
    </row>
    <row r="17209" ht="15.75" customHeight="1" spans="1:2">
      <c r="A17209" s="3" t="str">
        <f>IFERROR(__xludf.DUMMYFUNCTION("GOOGLETRANSLATE(A17209,""en"",""pt"")"),"cesta de armazenamento não pode segurar muito, há suportes para copos.")</f>
        <v>cesta de armazenamento não pode segurar muito, há suportes para copos.</v>
      </c>
      <c r="B17209" s="3">
        <v>0</v>
      </c>
    </row>
    <row r="17210" ht="15.75" customHeight="1" spans="1:2">
      <c r="A17210" s="3" t="str">
        <f>IFERROR(__xludf.DUMMYFUNCTION("GOOGLETRANSLATE(A17210,""en"",""pt"")"),"difícil de empurrar e rodar")</f>
        <v>difícil de empurrar e rodar</v>
      </c>
      <c r="B17210" s="3">
        <v>0</v>
      </c>
    </row>
    <row r="17211" ht="15.75" customHeight="1" spans="1:2">
      <c r="A17211" s="3" t="str">
        <f>IFERROR(__xludf.DUMMYFUNCTION("GOOGLETRANSLATE(A17211,""en"",""pt"")"),"Ao usar portador infantil, criança mais velha não pode sentar-se; um pouco pesado; manuvering em lojas requer prática!")</f>
        <v>Ao usar portador infantil, criança mais velha não pode sentar-se; um pouco pesado; manuvering em lojas requer prática!</v>
      </c>
      <c r="B17211" s="3">
        <v>0</v>
      </c>
    </row>
    <row r="17212" ht="15.75" customHeight="1" spans="1:2">
      <c r="A17212" s="3" t="str">
        <f>IFERROR(__xludf.DUMMYFUNCTION("GOOGLETRANSLATE(A17212,""en"",""pt"")"),"Bastante grande e pesado, pequena cesta.")</f>
        <v>Bastante grande e pesado, pequena cesta.</v>
      </c>
      <c r="B17212" s="3">
        <v>0</v>
      </c>
    </row>
    <row r="17213" ht="15.75" customHeight="1" spans="1:2">
      <c r="A17213" s="3" t="str">
        <f>IFERROR(__xludf.DUMMYFUNCTION("GOOGLETRANSLATE(A17213,""en"",""pt"")"),"volumosos, armazenamento de difícil acesso")</f>
        <v>volumosos, armazenamento de difícil acesso</v>
      </c>
      <c r="B17213" s="3">
        <v>0</v>
      </c>
    </row>
    <row r="17214" ht="15.75" customHeight="1" spans="1:2">
      <c r="A17214" s="3" t="str">
        <f>IFERROR(__xludf.DUMMYFUNCTION("GOOGLETRANSLATE(A17214,""en"",""pt"")"),"cesta de difícil alcance")</f>
        <v>cesta de difícil alcance</v>
      </c>
      <c r="B17214" s="3">
        <v>0</v>
      </c>
    </row>
    <row r="17215" ht="15.75" customHeight="1" spans="1:2">
      <c r="A17215" s="3" t="str">
        <f>IFERROR(__xludf.DUMMYFUNCTION("GOOGLETRANSLATE(A17215,""en"",""pt"")"),"não pode permitir espaço suficiente para a criança mais alta na faixa de peso")</f>
        <v>não pode permitir espaço suficiente para a criança mais alta na faixa de peso</v>
      </c>
      <c r="B17215" s="3">
        <v>0</v>
      </c>
    </row>
    <row r="17216" ht="15.75" customHeight="1" spans="1:2">
      <c r="A17216" s="3" t="str">
        <f>IFERROR(__xludf.DUMMYFUNCTION("GOOGLETRANSLATE(A17216,""en"",""pt"")"),"Muito grande, pesado e difícil manuver")</f>
        <v>Muito grande, pesado e difícil manuver</v>
      </c>
      <c r="B17216" s="3">
        <v>0</v>
      </c>
    </row>
    <row r="17217" ht="15.75" customHeight="1" spans="1:2">
      <c r="A17217" s="3" t="str">
        <f>IFERROR(__xludf.DUMMYFUNCTION("GOOGLETRANSLATE(A17217,""en"",""pt"")"),"catapulta distância longa de ocupante devido à falta de freios")</f>
        <v>catapulta distância longa de ocupante devido à falta de freios</v>
      </c>
      <c r="B17217" s="3">
        <v>0</v>
      </c>
    </row>
    <row r="17218" ht="15.75" customHeight="1" spans="1:2">
      <c r="A17218" s="3" t="str">
        <f>IFERROR(__xludf.DUMMYFUNCTION("GOOGLETRANSLATE(A17218,""en"",""pt"")"),"volumoso para armazenamento")</f>
        <v>volumoso para armazenamento</v>
      </c>
      <c r="B17218" s="3">
        <v>0</v>
      </c>
    </row>
    <row r="17219" ht="15.75" customHeight="1" spans="1:2">
      <c r="A17219" s="3" t="str">
        <f>IFERROR(__xludf.DUMMYFUNCTION("GOOGLETRANSLATE(A17219,""en"",""pt"")"),"pesado")</f>
        <v>pesado</v>
      </c>
      <c r="B17219" s="3">
        <v>0</v>
      </c>
    </row>
    <row r="17220" ht="15.75" customHeight="1" spans="1:2">
      <c r="A17220" s="3" t="str">
        <f>IFERROR(__xludf.DUMMYFUNCTION("GOOGLETRANSLATE(A17220,""en"",""pt"")"),"outgrow rápido")</f>
        <v>outgrow rápido</v>
      </c>
      <c r="B17220" s="3">
        <v>0</v>
      </c>
    </row>
    <row r="17221" ht="15.75" customHeight="1" spans="1:2">
      <c r="A17221" s="3" t="str">
        <f>IFERROR(__xludf.DUMMYFUNCTION("GOOGLETRANSLATE(A17221,""en"",""pt"")"),"Difícil de manobra")</f>
        <v>Difícil de manobra</v>
      </c>
      <c r="B17221" s="3">
        <v>0</v>
      </c>
    </row>
    <row r="17222" ht="15.75" customHeight="1" spans="1:2">
      <c r="A17222" s="3" t="str">
        <f>IFERROR(__xludf.DUMMYFUNCTION("GOOGLETRANSLATE(A17222,""en"",""pt"")"),"Dobrando-se um aborrecimento grande, pesado, se sente mais barato.")</f>
        <v>Dobrando-se um aborrecimento grande, pesado, se sente mais barato.</v>
      </c>
      <c r="B17222" s="3">
        <v>0</v>
      </c>
    </row>
    <row r="17223" ht="15.75" customHeight="1" spans="1:2">
      <c r="A17223" s="3" t="str">
        <f>IFERROR(__xludf.DUMMYFUNCTION("GOOGLETRANSLATE(A17223,""en"",""pt"")"),"cesta de armazenamento pequeno")</f>
        <v>cesta de armazenamento pequeno</v>
      </c>
      <c r="B17223" s="3">
        <v>0</v>
      </c>
    </row>
    <row r="17224" ht="15.75" customHeight="1" spans="1:2">
      <c r="A17224" s="3" t="str">
        <f>IFERROR(__xludf.DUMMYFUNCTION("GOOGLETRANSLATE(A17224,""en"",""pt"")"),"forte e confiável")</f>
        <v>forte e confiável</v>
      </c>
      <c r="B17224" s="3">
        <v>0</v>
      </c>
    </row>
    <row r="17225" ht="15.75" customHeight="1" spans="1:2">
      <c r="A17225" s="3" t="str">
        <f>IFERROR(__xludf.DUMMYFUNCTION("GOOGLETRANSLATE(A17225,""en"",""pt"")"),"Não é realista.")</f>
        <v>Não é realista.</v>
      </c>
      <c r="B17225" s="3">
        <v>0</v>
      </c>
    </row>
    <row r="17226" ht="15.75" customHeight="1" spans="1:2">
      <c r="A17226" s="3" t="str">
        <f>IFERROR(__xludf.DUMMYFUNCTION("GOOGLETRANSLATE(A17226,""en"",""pt"")"),"Muito grande e pesado")</f>
        <v>Muito grande e pesado</v>
      </c>
      <c r="B17226" s="3">
        <v>0</v>
      </c>
    </row>
    <row r="17227" ht="15.75" customHeight="1" spans="1:2">
      <c r="A17227" s="3" t="str">
        <f>IFERROR(__xludf.DUMMYFUNCTION("GOOGLETRANSLATE(A17227,""en"",""pt"")"),"flimsiness")</f>
        <v>flimsiness</v>
      </c>
      <c r="B17227" s="3">
        <v>0</v>
      </c>
    </row>
    <row r="17228" ht="15.75" customHeight="1" spans="1:2">
      <c r="A17228" s="3" t="str">
        <f>IFERROR(__xludf.DUMMYFUNCTION("GOOGLETRANSLATE(A17228,""en"",""pt"")"),"pops dianteiras fora")</f>
        <v>pops dianteiras fora</v>
      </c>
      <c r="B17228" s="3">
        <v>0</v>
      </c>
    </row>
    <row r="17229" ht="15.75" customHeight="1" spans="1:2">
      <c r="A17229" s="3" t="str">
        <f>IFERROR(__xludf.DUMMYFUNCTION("GOOGLETRANSLATE(A17229,""en"",""pt"")"),"localização cesta")</f>
        <v>localização cesta</v>
      </c>
      <c r="B17229" s="3">
        <v>0</v>
      </c>
    </row>
    <row r="17230" ht="15.75" customHeight="1" spans="1:2">
      <c r="A17230" s="3" t="str">
        <f>IFERROR(__xludf.DUMMYFUNCTION("GOOGLETRANSLATE(A17230,""en"",""pt"")"),"banco da frente não reclinam muito mais")</f>
        <v>banco da frente não reclinam muito mais</v>
      </c>
      <c r="B17230" s="3">
        <v>0</v>
      </c>
    </row>
    <row r="17231" ht="15.75" customHeight="1" spans="1:2">
      <c r="A17231" s="3" t="str">
        <f>IFERROR(__xludf.DUMMYFUNCTION("GOOGLETRANSLATE(A17231,""en"",""pt"")"),"não foi concebido para crianças pequenas, caro")</f>
        <v>não foi concebido para crianças pequenas, caro</v>
      </c>
      <c r="B17231" s="3">
        <v>0</v>
      </c>
    </row>
    <row r="17232" ht="15.75" customHeight="1" spans="1:2">
      <c r="A17232" s="3" t="str">
        <f>IFERROR(__xludf.DUMMYFUNCTION("GOOGLETRANSLATE(A17232,""en"",""pt"")"),"um pouco caro")</f>
        <v>um pouco caro</v>
      </c>
      <c r="B17232" s="3">
        <v>0</v>
      </c>
    </row>
    <row r="17233" ht="15.75" customHeight="1" spans="1:2">
      <c r="A17233" s="3" t="str">
        <f>IFERROR(__xludf.DUMMYFUNCTION("GOOGLETRANSLATE(A17233,""en"",""pt"")"),"muito estranho a entrar em colapso")</f>
        <v>muito estranho a entrar em colapso</v>
      </c>
      <c r="B17233" s="3">
        <v>0</v>
      </c>
    </row>
    <row r="17234" ht="15.75" customHeight="1" spans="1:2">
      <c r="A17234" s="3" t="str">
        <f>IFERROR(__xludf.DUMMYFUNCTION("GOOGLETRANSLATE(A17234,""en"",""pt"")"),"muitos problemas de reparação, difícil de dirigir, pesado")</f>
        <v>muitos problemas de reparação, difícil de dirigir, pesado</v>
      </c>
      <c r="B17234" s="3">
        <v>0</v>
      </c>
    </row>
    <row r="17235" ht="15.75" customHeight="1" spans="1:2">
      <c r="A17235" s="3" t="str">
        <f>IFERROR(__xludf.DUMMYFUNCTION("GOOGLETRANSLATE(A17235,""en"",""pt"")"),"mais difícil de dobrar")</f>
        <v>mais difícil de dobrar</v>
      </c>
      <c r="B17235" s="3">
        <v>0</v>
      </c>
    </row>
    <row r="17236" ht="15.75" customHeight="1" spans="1:2">
      <c r="A17236" s="3" t="str">
        <f>IFERROR(__xludf.DUMMYFUNCTION("GOOGLETRANSLATE(A17236,""en"",""pt"")"),"posições de assento")</f>
        <v>posições de assento</v>
      </c>
      <c r="B17236" s="3">
        <v>0</v>
      </c>
    </row>
    <row r="17237" ht="15.75" customHeight="1" spans="1:2">
      <c r="A17237" s="3" t="str">
        <f>IFERROR(__xludf.DUMMYFUNCTION("GOOGLETRANSLATE(A17237,""en"",""pt"")"),"parte infantil precisa de mais estofo")</f>
        <v>parte infantil precisa de mais estofo</v>
      </c>
      <c r="B17237" s="3">
        <v>0</v>
      </c>
    </row>
    <row r="17238" ht="15.75" customHeight="1" spans="1:2">
      <c r="A17238" s="3" t="str">
        <f>IFERROR(__xludf.DUMMYFUNCTION("GOOGLETRANSLATE(A17238,""en"",""pt"")"),"Meus filhos não gostam de ficar quando o banco da frente é reclinada")</f>
        <v>Meus filhos não gostam de ficar quando o banco da frente é reclinada</v>
      </c>
      <c r="B17238" s="3">
        <v>0</v>
      </c>
    </row>
    <row r="17239" ht="15.75" customHeight="1" spans="1:2">
      <c r="A17239" s="3" t="str">
        <f>IFERROR(__xludf.DUMMYFUNCTION("GOOGLETRANSLATE(A17239,""en"",""pt"")"),"não como pequenas como normal carrinhos de criança um, não um grande sistema de arnês para crianças mais velhas")</f>
        <v>não como pequenas como normal carrinhos de criança um, não um grande sistema de arnês para crianças mais velhas</v>
      </c>
      <c r="B17239" s="3">
        <v>0</v>
      </c>
    </row>
    <row r="17240" ht="15.75" customHeight="1" spans="1:2">
      <c r="A17240" s="3" t="str">
        <f>IFERROR(__xludf.DUMMYFUNCTION("GOOGLETRANSLATE(A17240,""en"",""pt"")"),"não pode sentar-se para trás, enquanto frontal é reclinado totalmente")</f>
        <v>não pode sentar-se para trás, enquanto frontal é reclinado totalmente</v>
      </c>
      <c r="B17240" s="3">
        <v>0</v>
      </c>
    </row>
    <row r="17241" ht="15.75" customHeight="1" spans="1:2">
      <c r="A17241" s="3" t="str">
        <f>IFERROR(__xludf.DUMMYFUNCTION("GOOGLETRANSLATE(A17241,""en"",""pt"")"),"não pode pensar em qualquer")</f>
        <v>não pode pensar em qualquer</v>
      </c>
      <c r="B17241" s="3">
        <v>0</v>
      </c>
    </row>
    <row r="17242" ht="15.75" customHeight="1" spans="1:2">
      <c r="A17242" s="3" t="str">
        <f>IFERROR(__xludf.DUMMYFUNCTION("GOOGLETRANSLATE(A17242,""en"",""pt"")"),"acesso armazenamento!")</f>
        <v>acesso armazenamento!</v>
      </c>
      <c r="B17242" s="3">
        <v>0</v>
      </c>
    </row>
    <row r="17243" ht="15.75" customHeight="1" spans="1:2">
      <c r="A17243" s="3" t="str">
        <f>IFERROR(__xludf.DUMMYFUNCTION("GOOGLETRANSLATE(A17243,""en"",""pt"")"),"apego infantil assento torna volumoso carrinho de criança!")</f>
        <v>apego infantil assento torna volumoso carrinho de criança!</v>
      </c>
      <c r="B17243" s="3">
        <v>0</v>
      </c>
    </row>
    <row r="17244" ht="15.75" customHeight="1" spans="1:2">
      <c r="A17244" s="3" t="str">
        <f>IFERROR(__xludf.DUMMYFUNCTION("GOOGLETRANSLATE(A17244,""en"",""pt"")"),"Manobrabilidade")</f>
        <v>Manobrabilidade</v>
      </c>
      <c r="B17244" s="3">
        <v>0</v>
      </c>
    </row>
    <row r="17245" ht="15.75" customHeight="1" spans="1:2">
      <c r="A17245" s="3" t="str">
        <f>IFERROR(__xludf.DUMMYFUNCTION("GOOGLETRANSLATE(A17245,""en"",""pt"")"),"não é adequado para 2 pretoddlers")</f>
        <v>não é adequado para 2 pretoddlers</v>
      </c>
      <c r="B17245" s="3">
        <v>0</v>
      </c>
    </row>
    <row r="17246" ht="15.75" customHeight="1" spans="1:2">
      <c r="A17246" s="3" t="str">
        <f>IFERROR(__xludf.DUMMYFUNCTION("GOOGLETRANSLATE(A17246,""en"",""pt"")"),"Muito pesado, difícil de dobrar e desdobrar, preocupações de segurança para criança em pé.")</f>
        <v>Muito pesado, difícil de dobrar e desdobrar, preocupações de segurança para criança em pé.</v>
      </c>
      <c r="B17246" s="3">
        <v>0</v>
      </c>
    </row>
    <row r="17247" ht="15.75" customHeight="1" spans="1:2">
      <c r="A17247" s="3" t="str">
        <f>IFERROR(__xludf.DUMMYFUNCTION("GOOGLETRANSLATE(A17247,""en"",""pt"")"),"má concepção")</f>
        <v>má concepção</v>
      </c>
      <c r="B17247" s="3">
        <v>0</v>
      </c>
    </row>
    <row r="17248" ht="15.75" customHeight="1" spans="1:2">
      <c r="A17248" s="3" t="str">
        <f>IFERROR(__xludf.DUMMYFUNCTION("GOOGLETRANSLATE(A17248,""en"",""pt"")"),"criança não conteve o suficiente")</f>
        <v>criança não conteve o suficiente</v>
      </c>
      <c r="B17248" s="3">
        <v>0</v>
      </c>
    </row>
    <row r="17249" ht="15.75" customHeight="1" spans="1:2">
      <c r="A17249" s="3" t="str">
        <f>IFERROR(__xludf.DUMMYFUNCTION("GOOGLETRANSLATE(A17249,""en"",""pt"")"),"Não há espaço suficiente no jumpseat, não um bom cinto de segurança, muito pesado")</f>
        <v>Não há espaço suficiente no jumpseat, não um bom cinto de segurança, muito pesado</v>
      </c>
      <c r="B17249" s="3">
        <v>0</v>
      </c>
    </row>
    <row r="17250" ht="15.75" customHeight="1" spans="1:2">
      <c r="A17250" s="3" t="str">
        <f>IFERROR(__xludf.DUMMYFUNCTION("GOOGLETRANSLATE(A17250,""en"",""pt"")"),"Pesado, Basket inacessível, provavelmente não era a melhor escolha para as nossas necessidades")</f>
        <v>Pesado, Basket inacessível, provavelmente não era a melhor escolha para as nossas necessidades</v>
      </c>
      <c r="B17250" s="3">
        <v>0</v>
      </c>
    </row>
    <row r="17251" ht="15.75" customHeight="1" spans="1:2">
      <c r="A17251" s="3" t="str">
        <f>IFERROR(__xludf.DUMMYFUNCTION("GOOGLETRANSLATE(A17251,""en"",""pt"")"),"não para andarilhos")</f>
        <v>não para andarilhos</v>
      </c>
      <c r="B17251" s="3">
        <v>0</v>
      </c>
    </row>
    <row r="17252" ht="15.75" customHeight="1" spans="1:2">
      <c r="A17252" s="3" t="str">
        <f>IFERROR(__xludf.DUMMYFUNCTION("GOOGLETRANSLATE(A17252,""en"",""pt"")"),"não para 2 crianças pequenas")</f>
        <v>não para 2 crianças pequenas</v>
      </c>
      <c r="B17252" s="3">
        <v>0</v>
      </c>
    </row>
    <row r="17253" ht="15.75" customHeight="1" spans="1:2">
      <c r="A17253" s="3" t="str">
        <f>IFERROR(__xludf.DUMMYFUNCTION("GOOGLETRANSLATE(A17253,""en"",""pt"")"),"volumosa e difícil de manobrar quando fechado")</f>
        <v>volumosa e difícil de manobrar quando fechado</v>
      </c>
      <c r="B17253" s="3">
        <v>0</v>
      </c>
    </row>
    <row r="17254" ht="15.75" customHeight="1" spans="1:2">
      <c r="A17254" s="3" t="str">
        <f>IFERROR(__xludf.DUMMYFUNCTION("GOOGLETRANSLATE(A17254,""en"",""pt"")"),"assento tem apenas 2 posições reclináveis")</f>
        <v>assento tem apenas 2 posições reclináveis</v>
      </c>
      <c r="B17254" s="3">
        <v>0</v>
      </c>
    </row>
    <row r="17255" ht="15.75" customHeight="1" spans="1:2">
      <c r="A17255" s="3" t="str">
        <f>IFERROR(__xludf.DUMMYFUNCTION("GOOGLETRANSLATE(A17255,""en"",""pt"")"),"Pode ser empurrado por estar infantil em volta")</f>
        <v>Pode ser empurrado por estar infantil em volta</v>
      </c>
      <c r="B17255" s="3">
        <v>0</v>
      </c>
    </row>
    <row r="17256" ht="15.75" customHeight="1" spans="1:2">
      <c r="A17256" s="3" t="str">
        <f>IFERROR(__xludf.DUMMYFUNCTION("GOOGLETRANSLATE(A17256,""en"",""pt"")"),"PESADO")</f>
        <v>PESADO</v>
      </c>
      <c r="B17256" s="3">
        <v>0</v>
      </c>
    </row>
    <row r="17257" ht="15.75" customHeight="1" spans="1:2">
      <c r="A17257" s="3" t="str">
        <f>IFERROR(__xludf.DUMMYFUNCTION("GOOGLETRANSLATE(A17257,""en"",""pt"")"),"pior carrinho de criança que já usei")</f>
        <v>pior carrinho de criança que já usei</v>
      </c>
      <c r="B17257" s="3">
        <v>0</v>
      </c>
    </row>
    <row r="17258" ht="15.75" customHeight="1" spans="1:2">
      <c r="A17258" s="3" t="str">
        <f>IFERROR(__xludf.DUMMYFUNCTION("GOOGLETRANSLATE(A17258,""en"",""pt"")"),"Criança nem sempre pode sentar-se")</f>
        <v>Criança nem sempre pode sentar-se</v>
      </c>
      <c r="B17258" s="3">
        <v>0</v>
      </c>
    </row>
    <row r="17259" ht="15.75" customHeight="1" spans="1:2">
      <c r="A17259" s="3" t="str">
        <f>IFERROR(__xludf.DUMMYFUNCTION("GOOGLETRANSLATE(A17259,""en"",""pt"")"),"criança no banco da frente vai crescer com isso rápido.")</f>
        <v>criança no banco da frente vai crescer com isso rápido.</v>
      </c>
      <c r="B17259" s="3">
        <v>0</v>
      </c>
    </row>
    <row r="17260" ht="15.75" customHeight="1" spans="1:2">
      <c r="A17260" s="3" t="str">
        <f>IFERROR(__xludf.DUMMYFUNCTION("GOOGLETRANSLATE(A17260,""en"",""pt"")"),"difícil de empurrar e rodar")</f>
        <v>difícil de empurrar e rodar</v>
      </c>
      <c r="B17260" s="3">
        <v>0</v>
      </c>
    </row>
    <row r="17261" ht="15.75" customHeight="1" spans="1:2">
      <c r="A17261" s="3" t="str">
        <f>IFERROR(__xludf.DUMMYFUNCTION("GOOGLETRANSLATE(A17261,""en"",""pt"")"),"Tamanho")</f>
        <v>Tamanho</v>
      </c>
      <c r="B17261" s="3">
        <v>0</v>
      </c>
    </row>
    <row r="17262" ht="15.75" customHeight="1" spans="1:2">
      <c r="A17262" s="3" t="str">
        <f>IFERROR(__xludf.DUMMYFUNCTION("GOOGLETRANSLATE(A17262,""en"",""pt"")"),"criança pode cair quando de pé")</f>
        <v>criança pode cair quando de pé</v>
      </c>
      <c r="B17262" s="3">
        <v>0</v>
      </c>
    </row>
    <row r="17263" ht="15.75" customHeight="1" spans="1:2">
      <c r="A17263" s="3" t="str">
        <f>IFERROR(__xludf.DUMMYFUNCTION("GOOGLETRANSLATE(A17263,""en"",""pt"")"),"pesado - difícil de dobrar e cesta de difícil acesso.")</f>
        <v>pesado - difícil de dobrar e cesta de difícil acesso.</v>
      </c>
      <c r="B17263" s="3">
        <v>0</v>
      </c>
    </row>
    <row r="17264" ht="15.75" customHeight="1" spans="1:2">
      <c r="A17264" s="3" t="str">
        <f>IFERROR(__xludf.DUMMYFUNCTION("GOOGLETRANSLATE(A17264,""en"",""pt"")"),"Basket não é fácil de obter também! Precisa de um suporte de copo e saco para os pais.")</f>
        <v>Basket não é fácil de obter também! Precisa de um suporte de copo e saco para os pais.</v>
      </c>
      <c r="B17264" s="3">
        <v>0</v>
      </c>
    </row>
    <row r="17265" ht="15.75" customHeight="1" spans="1:2">
      <c r="A17265" s="3" t="str">
        <f>IFERROR(__xludf.DUMMYFUNCTION("GOOGLETRANSLATE(A17265,""en"",""pt"")"),"Pesado e difícil de virar.")</f>
        <v>Pesado e difícil de virar.</v>
      </c>
      <c r="B17265" s="3">
        <v>0</v>
      </c>
    </row>
    <row r="17266" ht="15.75" customHeight="1" spans="1:2">
      <c r="A17266" s="3" t="str">
        <f>IFERROR(__xludf.DUMMYFUNCTION("GOOGLETRANSLATE(A17266,""en"",""pt"")"),"Software não XP compatível, scanner é a qualidade lento e varredura não par")</f>
        <v>Software não XP compatível, scanner é a qualidade lento e varredura não par</v>
      </c>
      <c r="B17266" s="3">
        <v>0</v>
      </c>
    </row>
    <row r="17267" ht="15.75" customHeight="1" spans="1:2">
      <c r="A17267" s="3" t="str">
        <f>IFERROR(__xludf.DUMMYFUNCTION("GOOGLETRANSLATE(A17267,""en"",""pt"")"),"Pena que ele não faz impressão a cores. Lento na digitalização Hi-Res cor de outra maneira grande.")</f>
        <v>Pena que ele não faz impressão a cores. Lento na digitalização Hi-Res cor de outra maneira grande.</v>
      </c>
      <c r="B17267" s="3">
        <v>0</v>
      </c>
    </row>
    <row r="17268" ht="15.75" customHeight="1" spans="1:2">
      <c r="A17268" s="3" t="str">
        <f>IFERROR(__xludf.DUMMYFUNCTION("GOOGLETRANSLATE(A17268,""en"",""pt"")"),"Necessidades Linux Drivers.")</f>
        <v>Necessidades Linux Drivers.</v>
      </c>
      <c r="B17268" s="3">
        <v>0</v>
      </c>
    </row>
    <row r="17269" ht="15.75" customHeight="1" spans="1:2">
      <c r="A17269" s="3" t="str">
        <f>IFERROR(__xludf.DUMMYFUNCTION("GOOGLETRANSLATE(A17269,""en"",""pt"")"),"nada até agora")</f>
        <v>nada até agora</v>
      </c>
      <c r="B17269" s="3">
        <v>0</v>
      </c>
    </row>
    <row r="17270" ht="15.75" customHeight="1" spans="1:2">
      <c r="A17270" s="3" t="str">
        <f>IFERROR(__xludf.DUMMYFUNCTION("GOOGLETRANSLATE(A17270,""en"",""pt"")"),"Péssimo atendimento ao cliente")</f>
        <v>Péssimo atendimento ao cliente</v>
      </c>
      <c r="B17270" s="3">
        <v>0</v>
      </c>
    </row>
    <row r="17271" ht="15.75" customHeight="1" spans="1:2">
      <c r="A17271" s="3" t="str">
        <f>IFERROR(__xludf.DUMMYFUNCTION("GOOGLETRANSLATE(A17271,""en"",""pt"")"),"Lento da primeira cópia, não a cor (inkjet), Documento pequena cama")</f>
        <v>Lento da primeira cópia, não a cor (inkjet), Documento pequena cama</v>
      </c>
      <c r="B17271" s="3">
        <v>0</v>
      </c>
    </row>
    <row r="17272" ht="15.75" customHeight="1" spans="1:2">
      <c r="A17272" s="3" t="str">
        <f>IFERROR(__xludf.DUMMYFUNCTION("GOOGLETRANSLATE(A17272,""en"",""pt"")"),"digitalizador lento.")</f>
        <v>digitalizador lento.</v>
      </c>
      <c r="B17272" s="3">
        <v>0</v>
      </c>
    </row>
    <row r="17273" ht="15.75" customHeight="1" spans="1:2">
      <c r="A17273" s="3" t="str">
        <f>IFERROR(__xludf.DUMMYFUNCTION("GOOGLETRANSLATE(A17273,""en"",""pt"")"),"Arestas de cópias pode dobrar na bandeja de saída")</f>
        <v>Arestas de cópias pode dobrar na bandeja de saída</v>
      </c>
      <c r="B17273" s="3">
        <v>0</v>
      </c>
    </row>
    <row r="17274" ht="15.75" customHeight="1" spans="1:2">
      <c r="A17274" s="3" t="str">
        <f>IFERROR(__xludf.DUMMYFUNCTION("GOOGLETRANSLATE(A17274,""en"",""pt"")"),"unidade do tambor deu o fora após 13 meses de uso doméstico luz.")</f>
        <v>unidade do tambor deu o fora após 13 meses de uso doméstico luz.</v>
      </c>
      <c r="B17274" s="3">
        <v>0</v>
      </c>
    </row>
    <row r="17275" ht="15.75" customHeight="1" spans="1:2">
      <c r="A17275" s="3" t="str">
        <f>IFERROR(__xludf.DUMMYFUNCTION("GOOGLETRANSLATE(A17275,""en"",""pt"")"),"Motorista poderia ser melhor, às vezes tem erros")</f>
        <v>Motorista poderia ser melhor, às vezes tem erros</v>
      </c>
      <c r="B17275" s="3">
        <v>0</v>
      </c>
    </row>
    <row r="17276" ht="15.75" customHeight="1" spans="1:2">
      <c r="A17276" s="3" t="str">
        <f>IFERROR(__xludf.DUMMYFUNCTION("GOOGLETRANSLATE(A17276,""en"",""pt"")"),"Sem porta de rede. Sem cor. Nenhum cabo na caixa")</f>
        <v>Sem porta de rede. Sem cor. Nenhum cabo na caixa</v>
      </c>
      <c r="B17276" s="3">
        <v>0</v>
      </c>
    </row>
    <row r="17277" ht="15.75" customHeight="1" spans="1:2">
      <c r="A17277" s="3" t="str">
        <f>IFERROR(__xludf.DUMMYFUNCTION("GOOGLETRANSLATE(A17277,""en"",""pt"")"),"única 2mb (o suficiente para o serviço normal)")</f>
        <v>única 2mb (o suficiente para o serviço normal)</v>
      </c>
      <c r="B17277" s="3">
        <v>0</v>
      </c>
    </row>
    <row r="17278" ht="15.75" customHeight="1" spans="1:2">
      <c r="A17278" s="3" t="str">
        <f>IFERROR(__xludf.DUMMYFUNCTION("GOOGLETRANSLATE(A17278,""en"",""pt"")"),"Nenhum")</f>
        <v>Nenhum</v>
      </c>
      <c r="B17278" s="3">
        <v>0</v>
      </c>
    </row>
    <row r="17279" ht="15.75" customHeight="1" spans="1:2">
      <c r="A17279" s="3" t="str">
        <f>IFERROR(__xludf.DUMMYFUNCTION("GOOGLETRANSLATE(A17279,""en"",""pt"")"),"Precisa de mais documentação em CD")</f>
        <v>Precisa de mais documentação em CD</v>
      </c>
      <c r="B17279" s="3">
        <v>0</v>
      </c>
    </row>
    <row r="17280" ht="15.75" customHeight="1" spans="1:2">
      <c r="A17280" s="3" t="str">
        <f>IFERROR(__xludf.DUMMYFUNCTION("GOOGLETRANSLATE(A17280,""en"",""pt"")"),"vida útil do cilindro curto, software intrusivos")</f>
        <v>vida útil do cilindro curto, software intrusivos</v>
      </c>
      <c r="B17280" s="3">
        <v>0</v>
      </c>
    </row>
    <row r="17281" ht="15.75" customHeight="1" spans="1:2">
      <c r="A17281" s="3" t="str">
        <f>IFERROR(__xludf.DUMMYFUNCTION("GOOGLETRANSLATE(A17281,""en"",""pt"")"),"USB, consumo de energia")</f>
        <v>USB, consumo de energia</v>
      </c>
      <c r="B17281" s="3">
        <v>0</v>
      </c>
    </row>
    <row r="17282" ht="15.75" customHeight="1" spans="1:2">
      <c r="A17282" s="3" t="str">
        <f>IFERROR(__xludf.DUMMYFUNCTION("GOOGLETRANSLATE(A17282,""en"",""pt"")"),"configuração USB é difícil. Muito ainda cartolina pode ser um problema.")</f>
        <v>configuração USB é difícil. Muito ainda cartolina pode ser um problema.</v>
      </c>
      <c r="B17282" s="3">
        <v>0</v>
      </c>
    </row>
    <row r="17283" ht="15.75" customHeight="1" spans="1:2">
      <c r="A17283" s="3" t="str">
        <f>IFERROR(__xludf.DUMMYFUNCTION("GOOGLETRANSLATE(A17283,""en"",""pt"")"),"muito grande")</f>
        <v>muito grande</v>
      </c>
      <c r="B17283" s="3">
        <v>0</v>
      </c>
    </row>
    <row r="17284" ht="15.75" customHeight="1" spans="1:2">
      <c r="A17284" s="3" t="str">
        <f>IFERROR(__xludf.DUMMYFUNCTION("GOOGLETRANSLATE(A17284,""en"",""pt"")"),"software de baixa qualidade")</f>
        <v>software de baixa qualidade</v>
      </c>
      <c r="B17284" s="3">
        <v>0</v>
      </c>
    </row>
    <row r="17285" ht="15.75" customHeight="1" spans="1:2">
      <c r="A17285" s="3" t="str">
        <f>IFERROR(__xludf.DUMMYFUNCTION("GOOGLETRANSLATE(A17285,""en"",""pt"")"),"Nenhum que eu posso pensar!")</f>
        <v>Nenhum que eu posso pensar!</v>
      </c>
      <c r="B17285" s="3">
        <v>0</v>
      </c>
    </row>
    <row r="17286" ht="15.75" customHeight="1" spans="1:2">
      <c r="A17286" s="3" t="str">
        <f>IFERROR(__xludf.DUMMYFUNCTION("GOOGLETRANSLATE(A17286,""en"",""pt"")"),"Não uma impressora Postscript")</f>
        <v>Não uma impressora Postscript</v>
      </c>
      <c r="B17286" s="3">
        <v>0</v>
      </c>
    </row>
    <row r="17287" ht="15.75" customHeight="1" spans="1:2">
      <c r="A17287" s="3" t="str">
        <f>IFERROR(__xludf.DUMMYFUNCTION("GOOGLETRANSLATE(A17287,""en"",""pt"")"),"A memória não está atualizar capaz.")</f>
        <v>A memória não está atualizar capaz.</v>
      </c>
      <c r="B17287" s="3">
        <v>0</v>
      </c>
    </row>
    <row r="17288" ht="15.75" customHeight="1" spans="1:2">
      <c r="A17288" s="3" t="str">
        <f>IFERROR(__xludf.DUMMYFUNCTION("GOOGLETRANSLATE(A17288,""en"",""pt"")"),"Poderia ter melhor qualidade.")</f>
        <v>Poderia ter melhor qualidade.</v>
      </c>
      <c r="B17288" s="3">
        <v>0</v>
      </c>
    </row>
    <row r="17289" ht="15.75" customHeight="1" spans="1:2">
      <c r="A17289" s="3" t="str">
        <f>IFERROR(__xludf.DUMMYFUNCTION("GOOGLETRANSLATE(A17289,""en"",""pt"")"),"possibilidades de expansão limitadas")</f>
        <v>possibilidades de expansão limitadas</v>
      </c>
      <c r="B17289" s="3">
        <v>0</v>
      </c>
    </row>
    <row r="17290" ht="15.75" customHeight="1" spans="1:2">
      <c r="A17290" s="3" t="str">
        <f>IFERROR(__xludf.DUMMYFUNCTION("GOOGLETRANSLATE(A17290,""en"",""pt"")"),"Limitada a bordo de memória, Ligeiramente difícil de encontrar em lojas e na Web")</f>
        <v>Limitada a bordo de memória, Ligeiramente difícil de encontrar em lojas e na Web</v>
      </c>
      <c r="B17290" s="3">
        <v>0</v>
      </c>
    </row>
    <row r="17291" ht="15.75" customHeight="1" spans="1:2">
      <c r="A17291" s="3" t="str">
        <f>IFERROR(__xludf.DUMMYFUNCTION("GOOGLETRANSLATE(A17291,""en"",""pt"")"),"instalação USB poderia ser mais perfeita")</f>
        <v>instalação USB poderia ser mais perfeita</v>
      </c>
      <c r="B17291" s="3">
        <v>0</v>
      </c>
    </row>
    <row r="17292" ht="15.75" customHeight="1" spans="1:2">
      <c r="A17292" s="3" t="str">
        <f>IFERROR(__xludf.DUMMYFUNCTION("GOOGLETRANSLATE(A17292,""en"",""pt"")"),"No alimentador automático de envelope, a bandeja de papel se encaixa tanto carta e legal que torna ficar fora além do corpo da impressora na parte traseira da máquina.")</f>
        <v>No alimentador automático de envelope, a bandeja de papel se encaixa tanto carta e legal que torna ficar fora além do corpo da impressora na parte traseira da máquina.</v>
      </c>
      <c r="B17292" s="3">
        <v>0</v>
      </c>
    </row>
    <row r="17293" ht="15.75" customHeight="1" spans="1:2">
      <c r="A17293" s="3" t="str">
        <f>IFERROR(__xludf.DUMMYFUNCTION("GOOGLETRANSLATE(A17293,""en"",""pt"")"),"Apenas memória de 2 MB, não expansível ou networkable.")</f>
        <v>Apenas memória de 2 MB, não expansível ou networkable.</v>
      </c>
      <c r="B17293" s="3">
        <v>0</v>
      </c>
    </row>
    <row r="17294" ht="15.75" customHeight="1" spans="1:2">
      <c r="A17294" s="3" t="str">
        <f>IFERROR(__xludf.DUMMYFUNCTION("GOOGLETRANSLATE(A17294,""en"",""pt"")"),"manual de alimentação de um toque complicado, bege")</f>
        <v>manual de alimentação de um toque complicado, bege</v>
      </c>
      <c r="B17294" s="3">
        <v>0</v>
      </c>
    </row>
    <row r="17295" ht="15.75" customHeight="1" spans="1:2">
      <c r="A17295" s="3" t="str">
        <f>IFERROR(__xludf.DUMMYFUNCTION("GOOGLETRANSLATE(A17295,""en"",""pt"")"),"Um pouco grande")</f>
        <v>Um pouco grande</v>
      </c>
      <c r="B17295" s="3">
        <v>0</v>
      </c>
    </row>
    <row r="17296" ht="15.75" customHeight="1" spans="1:2">
      <c r="A17296" s="3" t="str">
        <f>IFERROR(__xludf.DUMMYFUNCTION("GOOGLETRANSLATE(A17296,""en"",""pt"")"),"qualidade de impressão não uma cor preta nítido")</f>
        <v>qualidade de impressão não uma cor preta nítido</v>
      </c>
      <c r="B17296" s="3">
        <v>0</v>
      </c>
    </row>
    <row r="17297" ht="15.75" customHeight="1" spans="1:2">
      <c r="A17297" s="3" t="str">
        <f>IFERROR(__xludf.DUMMYFUNCTION("GOOGLETRANSLATE(A17297,""en"",""pt"")"),"incapacidade de aumento RAM")</f>
        <v>incapacidade de aumento RAM</v>
      </c>
      <c r="B17297" s="3">
        <v>0</v>
      </c>
    </row>
    <row r="17298" ht="15.75" customHeight="1" spans="1:2">
      <c r="A17298" s="3" t="str">
        <f>IFERROR(__xludf.DUMMYFUNCTION("GOOGLETRANSLATE(A17298,""en"",""pt"")"),"o nome não é HP")</f>
        <v>o nome não é HP</v>
      </c>
      <c r="B17298" s="3">
        <v>0</v>
      </c>
    </row>
    <row r="17299" ht="15.75" customHeight="1" spans="1:2">
      <c r="A17299" s="3" t="str">
        <f>IFERROR(__xludf.DUMMYFUNCTION("GOOGLETRANSLATE(A17299,""en"",""pt"")"),"NENHUM")</f>
        <v>NENHUM</v>
      </c>
      <c r="B17299" s="3">
        <v>0</v>
      </c>
    </row>
    <row r="17300" ht="15.75" customHeight="1" spans="1:2">
      <c r="A17300" s="3" t="str">
        <f>IFERROR(__xludf.DUMMYFUNCTION("GOOGLETRANSLATE(A17300,""en"",""pt"")"),"driver USB de buggy")</f>
        <v>driver USB de buggy</v>
      </c>
      <c r="B17300" s="3">
        <v>0</v>
      </c>
    </row>
    <row r="17301" ht="15.75" customHeight="1" spans="1:2">
      <c r="A17301" s="3" t="str">
        <f>IFERROR(__xludf.DUMMYFUNCTION("GOOGLETRANSLATE(A17301,""en"",""pt"")"),"Nenhum ainda")</f>
        <v>Nenhum ainda</v>
      </c>
      <c r="B17301" s="3">
        <v>0</v>
      </c>
    </row>
    <row r="17302" ht="15.75" customHeight="1" spans="1:2">
      <c r="A17302" s="3" t="str">
        <f>IFERROR(__xludf.DUMMYFUNCTION("GOOGLETRANSLATE(A17302,""en"",""pt"")"),"Nenhum")</f>
        <v>Nenhum</v>
      </c>
      <c r="B17302" s="3">
        <v>0</v>
      </c>
    </row>
    <row r="17303" ht="15.75" customHeight="1" spans="1:2">
      <c r="A17303" s="3" t="str">
        <f>IFERROR(__xludf.DUMMYFUNCTION("GOOGLETRANSLATE(A17303,""en"",""pt"")"),"Nu-ossos Mac motorista; PostScript não disponível")</f>
        <v>Nu-ossos Mac motorista; PostScript não disponível</v>
      </c>
      <c r="B17303" s="3">
        <v>0</v>
      </c>
    </row>
    <row r="17304" ht="15.75" customHeight="1" spans="1:2">
      <c r="A17304" s="3" t="str">
        <f>IFERROR(__xludf.DUMMYFUNCTION("GOOGLETRANSLATE(A17304,""en"",""pt"")"),"varas da bandeja de papel para fora para trás")</f>
        <v>varas da bandeja de papel para fora para trás</v>
      </c>
      <c r="B17304" s="3">
        <v>0</v>
      </c>
    </row>
    <row r="17305" ht="15.75" customHeight="1" spans="1:2">
      <c r="A17305" s="3" t="str">
        <f>IFERROR(__xludf.DUMMYFUNCTION("GOOGLETRANSLATE(A17305,""en"",""pt"")"),"não vai funcionar bem com computadores mais velhos, o apoio é difícil")</f>
        <v>não vai funcionar bem com computadores mais velhos, o apoio é difícil</v>
      </c>
      <c r="B17305" s="3">
        <v>0</v>
      </c>
    </row>
    <row r="17306" ht="15.75" customHeight="1" spans="1:2">
      <c r="A17306" s="3" t="str">
        <f>IFERROR(__xludf.DUMMYFUNCTION("GOOGLETRANSLATE(A17306,""en"",""pt"")"),"O cartucho de toner é difícil de encontrar.")</f>
        <v>O cartucho de toner é difícil de encontrar.</v>
      </c>
      <c r="B17306" s="3">
        <v>0</v>
      </c>
    </row>
    <row r="17307" ht="15.75" customHeight="1" spans="1:2">
      <c r="A17307" s="3" t="str">
        <f>IFERROR(__xludf.DUMMYFUNCTION("GOOGLETRANSLATE(A17307,""en"",""pt"")"),"Bastante grande, memória de 2 MB pode não ser suficiente para alguns")</f>
        <v>Bastante grande, memória de 2 MB pode não ser suficiente para alguns</v>
      </c>
      <c r="B17307" s="3">
        <v>0</v>
      </c>
    </row>
    <row r="17308" ht="15.75" customHeight="1" spans="1:2">
      <c r="A17308" s="3" t="str">
        <f>IFERROR(__xludf.DUMMYFUNCTION("GOOGLETRANSLATE(A17308,""en"",""pt"")"),"não pode estar em rede.")</f>
        <v>não pode estar em rede.</v>
      </c>
      <c r="B17308" s="3">
        <v>0</v>
      </c>
    </row>
    <row r="17309" ht="15.75" customHeight="1" spans="1:2">
      <c r="A17309" s="3" t="str">
        <f>IFERROR(__xludf.DUMMYFUNCTION("GOOGLETRANSLATE(A17309,""en"",""pt"")"),"não funciona bem em ambientes de rede")</f>
        <v>não funciona bem em ambientes de rede</v>
      </c>
      <c r="B17309" s="3">
        <v>0</v>
      </c>
    </row>
    <row r="17310" ht="15.75" customHeight="1" spans="1:2">
      <c r="A17310" s="3" t="str">
        <f>IFERROR(__xludf.DUMMYFUNCTION("GOOGLETRANSLATE(A17310,""en"",""pt"")"),"Não é bom para imprimir envelopes")</f>
        <v>Não é bom para imprimir envelopes</v>
      </c>
      <c r="B17310" s="3">
        <v>0</v>
      </c>
    </row>
    <row r="17311" ht="15.75" customHeight="1" spans="1:2">
      <c r="A17311" s="3" t="str">
        <f>IFERROR(__xludf.DUMMYFUNCTION("GOOGLETRANSLATE(A17311,""en"",""pt"")"),"gráficos de alta resolução são um pouco confuso.")</f>
        <v>gráficos de alta resolução são um pouco confuso.</v>
      </c>
      <c r="B17311" s="3">
        <v>0</v>
      </c>
    </row>
    <row r="17312" ht="15.75" customHeight="1" spans="1:2">
      <c r="A17312" s="3" t="s">
        <v>96</v>
      </c>
      <c r="B17312" s="3">
        <v>0</v>
      </c>
    </row>
    <row r="17313" ht="15.75" customHeight="1" spans="1:2">
      <c r="A17313" s="3" t="str">
        <f>IFERROR(__xludf.DUMMYFUNCTION("GOOGLETRANSLATE(A17313,""en"",""pt"")"),"design quadrado, memória 4MB não o suficiente para alguns a impressão de imagem, drivers fornecidos não excelentes")</f>
        <v>design quadrado, memória 4MB não o suficiente para alguns a impressão de imagem, drivers fornecidos não excelentes</v>
      </c>
      <c r="B17313" s="3">
        <v>0</v>
      </c>
    </row>
    <row r="17314" ht="15.75" customHeight="1" spans="1:2">
      <c r="A17314" s="3" t="str">
        <f>IFERROR(__xludf.DUMMYFUNCTION("GOOGLETRANSLATE(A17314,""en"",""pt"")"),"Suscetível a interferência")</f>
        <v>Suscetível a interferência</v>
      </c>
      <c r="B17314" s="3">
        <v>0</v>
      </c>
    </row>
    <row r="17315" ht="15.75" customHeight="1" spans="1:2">
      <c r="A17315" s="3" t="str">
        <f>IFERROR(__xludf.DUMMYFUNCTION("GOOGLETRANSLATE(A17315,""en"",""pt"")"),"Ele glitches na ocasião, mas não tudo. Esta não é menos, no entanto.")</f>
        <v>Ele glitches na ocasião, mas não tudo. Esta não é menos, no entanto.</v>
      </c>
      <c r="B17315" s="3">
        <v>0</v>
      </c>
    </row>
    <row r="17316" ht="15.75" customHeight="1" spans="1:2">
      <c r="A17316" s="3" t="str">
        <f>IFERROR(__xludf.DUMMYFUNCTION("GOOGLETRANSLATE(A17316,""en"",""pt"")"),"sombra de impressão")</f>
        <v>sombra de impressão</v>
      </c>
      <c r="B17316" s="3">
        <v>0</v>
      </c>
    </row>
    <row r="17317" ht="15.75" customHeight="1" spans="1:2">
      <c r="A17317" s="3" t="str">
        <f>IFERROR(__xludf.DUMMYFUNCTION("GOOGLETRANSLATE(A17317,""en"",""pt"")"),"Configuração rápida irritante caixa de diálogo - não funciona bem com Win XP")</f>
        <v>Configuração rápida irritante caixa de diálogo - não funciona bem com Win XP</v>
      </c>
      <c r="B17317" s="3">
        <v>0</v>
      </c>
    </row>
    <row r="17318" ht="15.75" customHeight="1" spans="1:2">
      <c r="A17318" s="3" t="str">
        <f>IFERROR(__xludf.DUMMYFUNCTION("GOOGLETRANSLATE(A17318,""en"",""pt"")"),"Nada até agora.")</f>
        <v>Nada até agora.</v>
      </c>
      <c r="B17318" s="3">
        <v>0</v>
      </c>
    </row>
    <row r="17319" ht="15.75" customHeight="1" spans="1:2">
      <c r="A17319" s="3" t="str">
        <f>IFERROR(__xludf.DUMMYFUNCTION("GOOGLETRANSLATE(A17319,""en"",""pt"")"),"Manuseio de papel poderia ser melhor.")</f>
        <v>Manuseio de papel poderia ser melhor.</v>
      </c>
      <c r="B17319" s="3">
        <v>0</v>
      </c>
    </row>
    <row r="17320" ht="15.75" customHeight="1" spans="1:2">
      <c r="A17320" s="3" t="str">
        <f>IFERROR(__xludf.DUMMYFUNCTION("GOOGLETRANSLATE(A17320,""en"",""pt"")"),"Apenas imprime b &amp; amp; w, toners são caros")</f>
        <v>Apenas imprime b &amp; amp; w, toners são caros</v>
      </c>
      <c r="B17320" s="3">
        <v>0</v>
      </c>
    </row>
    <row r="17321" ht="15.75" customHeight="1" spans="1:2">
      <c r="A17321" s="3" t="str">
        <f>IFERROR(__xludf.DUMMYFUNCTION("GOOGLETRANSLATE(A17321,""en"",""pt"")"),"Alimentando estoque pesado da bandeja de papel, instruções incorretas para imprimir uma página de teste.")</f>
        <v>Alimentando estoque pesado da bandeja de papel, instruções incorretas para imprimir uma página de teste.</v>
      </c>
      <c r="B17321" s="3">
        <v>0</v>
      </c>
    </row>
    <row r="17322" ht="15.75" customHeight="1" spans="1:2">
      <c r="A17322" s="3" t="str">
        <f>IFERROR(__xludf.DUMMYFUNCTION("GOOGLETRANSLATE(A17322,""en"",""pt"")"),"Eliminando obstruções de papel pode ser complicado, requer a substituição do componente significativa periodicamente.")</f>
        <v>Eliminando obstruções de papel pode ser complicado, requer a substituição do componente significativa periodicamente.</v>
      </c>
      <c r="B17322" s="3">
        <v>0</v>
      </c>
    </row>
    <row r="17323" ht="15.75" customHeight="1" spans="1:2">
      <c r="A17323" s="3" t="str">
        <f>IFERROR(__xludf.DUMMYFUNCTION("GOOGLETRANSLATE(A17323,""en"",""pt"")"),"Sem controle de densidade de impressão: imprime muito clara com algumas fontes.")</f>
        <v>Sem controle de densidade de impressão: imprime muito clara com algumas fontes.</v>
      </c>
      <c r="B17323" s="3">
        <v>0</v>
      </c>
    </row>
    <row r="17324" ht="15.75" customHeight="1" spans="1:2">
      <c r="A17324" s="3" t="str">
        <f>IFERROR(__xludf.DUMMYFUNCTION("GOOGLETRANSLATE(A17324,""en"",""pt"")"),"só pode carregar uma peça de cada vez na carga manual")</f>
        <v>só pode carregar uma peça de cada vez na carga manual</v>
      </c>
      <c r="B17324" s="3">
        <v>0</v>
      </c>
    </row>
    <row r="17325" ht="15.75" customHeight="1" spans="1:2">
      <c r="A17325" s="3" t="str">
        <f>IFERROR(__xludf.DUMMYFUNCTION("GOOGLETRANSLATE(A17325,""en"",""pt"")"),"interface USB não confiável.")</f>
        <v>interface USB não confiável.</v>
      </c>
      <c r="B17325" s="3">
        <v>0</v>
      </c>
    </row>
    <row r="17326" ht="15.75" customHeight="1" spans="1:2">
      <c r="A17326" s="3" t="str">
        <f>IFERROR(__xludf.DUMMYFUNCTION("GOOGLETRANSLATE(A17326,""en"",""pt"")"),"Conjunto da unidade do tambor")</f>
        <v>Conjunto da unidade do tambor</v>
      </c>
      <c r="B17326" s="3">
        <v>0</v>
      </c>
    </row>
    <row r="17327" ht="15.75" customHeight="1" spans="1:2">
      <c r="A17327" s="3" t="str">
        <f>IFERROR(__xludf.DUMMYFUNCTION("GOOGLETRANSLATE(A17327,""en"",""pt"")"),"Setup - possível engate.")</f>
        <v>Setup - possível engate.</v>
      </c>
      <c r="B17327" s="3">
        <v>0</v>
      </c>
    </row>
    <row r="17328" ht="15.75" customHeight="1" spans="1:2">
      <c r="A17328" s="3" t="str">
        <f>IFERROR(__xludf.DUMMYFUNCTION("GOOGLETRANSLATE(A17328,""en"",""pt"")"),"Relatively_long tempo de aquecimento. It_needs mais memória para gráficos. Replacing_the unidade do tambor vai doer (financeiramente) ....")</f>
        <v>Relatively_long tempo de aquecimento. It_needs mais memória para gráficos. Replacing_the unidade do tambor vai doer (financeiramente) ....</v>
      </c>
      <c r="B17328" s="3">
        <v>0</v>
      </c>
    </row>
    <row r="17329" ht="15.75" customHeight="1" spans="1:2">
      <c r="A17329" s="3" t="str">
        <f>IFERROR(__xludf.DUMMYFUNCTION("GOOGLETRANSLATE(A17329,""en"",""pt"")"),"Não é possível imprimir um monte de gráficos; serviço ao cliente não é grande.")</f>
        <v>Não é possível imprimir um monte de gráficos; serviço ao cliente não é grande.</v>
      </c>
      <c r="B17329" s="3">
        <v>0</v>
      </c>
    </row>
    <row r="17330" ht="15.75" customHeight="1" spans="1:2">
      <c r="A17330" s="3" t="str">
        <f>IFERROR(__xludf.DUMMYFUNCTION("GOOGLETRANSLATE(A17330,""en"",""pt"")"),"drivers de software buggy.")</f>
        <v>drivers de software buggy.</v>
      </c>
      <c r="B17330" s="3">
        <v>0</v>
      </c>
    </row>
    <row r="17331" ht="15.75" customHeight="1" spans="1:2">
      <c r="A17331" s="3" t="str">
        <f>IFERROR(__xludf.DUMMYFUNCTION("GOOGLETRANSLATE(A17331,""en"",""pt"")"),"A bandeja pode ser complicado para deslizar para fora")</f>
        <v>A bandeja pode ser complicado para deslizar para fora</v>
      </c>
      <c r="B17331" s="3">
        <v>0</v>
      </c>
    </row>
    <row r="17332" ht="15.75" customHeight="1" spans="1:2">
      <c r="A17332" s="3" t="str">
        <f>IFERROR(__xludf.DUMMYFUNCTION("GOOGLETRANSLATE(A17332,""en"",""pt"")"),"Eu não tis uma impressora a cores (brincando) não pode pensar em qualquer")</f>
        <v>Eu não tis uma impressora a cores (brincando) não pode pensar em qualquer</v>
      </c>
      <c r="B17332" s="3">
        <v>0</v>
      </c>
    </row>
    <row r="17333" ht="15.75" customHeight="1" spans="1:2">
      <c r="A17333" s="3" t="str">
        <f>IFERROR(__xludf.DUMMYFUNCTION("GOOGLETRANSLATE(A17333,""en"",""pt"")"),"Barulhento quando operacional")</f>
        <v>Barulhento quando operacional</v>
      </c>
      <c r="B17333" s="3">
        <v>0</v>
      </c>
    </row>
    <row r="17334" ht="15.75" customHeight="1" spans="1:2">
      <c r="A17334" s="3" t="str">
        <f>IFERROR(__xludf.DUMMYFUNCTION("GOOGLETRANSLATE(A17334,""en"",""pt"")"),"usuários do Windows XP pode ter que baixar software adicional para usar este produto")</f>
        <v>usuários do Windows XP pode ter que baixar software adicional para usar este produto</v>
      </c>
      <c r="B17334" s="3">
        <v>0</v>
      </c>
    </row>
    <row r="17335" ht="15.75" customHeight="1" spans="1:2">
      <c r="A17335" s="3" t="str">
        <f>IFERROR(__xludf.DUMMYFUNCTION("GOOGLETRANSLATE(A17335,""en"",""pt"")"),"O kit de tambor queima de papel lustroso peso leve, demasiado elevada de calor.")</f>
        <v>O kit de tambor queima de papel lustroso peso leve, demasiado elevada de calor.</v>
      </c>
      <c r="B17335" s="3">
        <v>0</v>
      </c>
    </row>
    <row r="17336" ht="15.75" customHeight="1" spans="1:2">
      <c r="A17336" s="3" t="str">
        <f>IFERROR(__xludf.DUMMYFUNCTION("GOOGLETRANSLATE(A17336,""en"",""pt"")"),"Pouca memória significa restrições à impressão de gráficos")</f>
        <v>Pouca memória significa restrições à impressão de gráficos</v>
      </c>
      <c r="B17336" s="3">
        <v>0</v>
      </c>
    </row>
    <row r="17337" ht="15.75" customHeight="1" spans="1:2">
      <c r="A17337" s="3" t="str">
        <f>IFERROR(__xludf.DUMMYFUNCTION("GOOGLETRANSLATE(A17337,""en"",""pt"")"),"A bandeja deve ser maior para armazenar mais papel.")</f>
        <v>A bandeja deve ser maior para armazenar mais papel.</v>
      </c>
      <c r="B17337" s="3">
        <v>0</v>
      </c>
    </row>
    <row r="17338" ht="15.75" customHeight="1" spans="1:2">
      <c r="A17338" s="3" t="str">
        <f>IFERROR(__xludf.DUMMYFUNCTION("GOOGLETRANSLATE(A17338,""en"",""pt"")"),"Aproximadamente 70 por cento do tempo que não será impresso um endereço em um envelope.")</f>
        <v>Aproximadamente 70 por cento do tempo que não será impresso um endereço em um envelope.</v>
      </c>
      <c r="B17338" s="3">
        <v>0</v>
      </c>
    </row>
    <row r="17339" ht="15.75" customHeight="1" spans="1:2">
      <c r="A17339" s="3" t="str">
        <f>IFERROR(__xludf.DUMMYFUNCTION("GOOGLETRANSLATE(A17339,""en"",""pt"")"),"Não para impressões gráficas ou cor empregos.")</f>
        <v>Não para impressões gráficas ou cor empregos.</v>
      </c>
      <c r="B17339" s="3">
        <v>0</v>
      </c>
    </row>
    <row r="17340" ht="15.75" customHeight="1" spans="1:2">
      <c r="A17340" s="3" t="str">
        <f>IFERROR(__xludf.DUMMYFUNCTION("GOOGLETRANSLATE(A17340,""en"",""pt"")"),"Nada realmente")</f>
        <v>Nada realmente</v>
      </c>
      <c r="B17340" s="3">
        <v>0</v>
      </c>
    </row>
    <row r="17341" ht="15.75" customHeight="1" spans="1:2">
      <c r="A17341" s="3" t="str">
        <f>IFERROR(__xludf.DUMMYFUNCTION("GOOGLETRANSLATE(A17341,""en"",""pt"")"),"Você deve baixar os drivers para o Windows XP")</f>
        <v>Você deve baixar os drivers para o Windows XP</v>
      </c>
      <c r="B17341" s="3">
        <v>0</v>
      </c>
    </row>
    <row r="17342" ht="15.75" customHeight="1" spans="1:2">
      <c r="A17342" s="3" t="str">
        <f>IFERROR(__xludf.DUMMYFUNCTION("GOOGLETRANSLATE(A17342,""en"",""pt"")"),"Problemas com gráficos.")</f>
        <v>Problemas com gráficos.</v>
      </c>
      <c r="B17342" s="3">
        <v>0</v>
      </c>
    </row>
    <row r="17343" ht="15.75" customHeight="1" spans="1:2">
      <c r="A17343" s="3" t="str">
        <f>IFERROR(__xludf.DUMMYFUNCTION("GOOGLETRANSLATE(A17343,""en"",""pt"")"),"Problemas com o cartucho de toner - fundo cinza depois de 500-750 páginas nova máquina")</f>
        <v>Problemas com o cartucho de toner - fundo cinza depois de 500-750 páginas nova máquina</v>
      </c>
      <c r="B17343" s="3">
        <v>0</v>
      </c>
    </row>
    <row r="17344" ht="15.75" customHeight="1" spans="1:2">
      <c r="A17344" s="3" t="str">
        <f>IFERROR(__xludf.DUMMYFUNCTION("GOOGLETRANSLATE(A17344,""en"",""pt"")"),"cheiro de tinta do cartucho; alimentação manual inconsistente")</f>
        <v>cheiro de tinta do cartucho; alimentação manual inconsistente</v>
      </c>
      <c r="B17344" s="3">
        <v>0</v>
      </c>
    </row>
    <row r="17345" ht="15.75" customHeight="1" spans="1:2">
      <c r="A17345" s="3" t="str">
        <f>IFERROR(__xludf.DUMMYFUNCTION("GOOGLETRANSLATE(A17345,""en"",""pt"")"),"Ele congestionamentos continuamente ao imprimir envelopes.")</f>
        <v>Ele congestionamentos continuamente ao imprimir envelopes.</v>
      </c>
      <c r="B17345" s="3">
        <v>0</v>
      </c>
    </row>
    <row r="17346" ht="15.75" customHeight="1" spans="1:2">
      <c r="A17346" s="3" t="str">
        <f>IFERROR(__xludf.DUMMYFUNCTION("GOOGLETRANSLATE(A17346,""en"",""pt"")"),"Muito barato para manter")</f>
        <v>Muito barato para manter</v>
      </c>
      <c r="B17346" s="3">
        <v>0</v>
      </c>
    </row>
    <row r="17347" ht="15.75" customHeight="1" spans="1:2">
      <c r="A17347" s="3" t="str">
        <f>IFERROR(__xludf.DUMMYFUNCTION("GOOGLETRANSLATE(A17347,""en"",""pt"")"),"Tão alto quanto meu trituradora de papel, diminuiu as luzes no meu quarto, lenta para imprimir")</f>
        <v>Tão alto quanto meu trituradora de papel, diminuiu as luzes no meu quarto, lenta para imprimir</v>
      </c>
      <c r="B17347" s="3">
        <v>0</v>
      </c>
    </row>
    <row r="17348" ht="15.75" customHeight="1" spans="1:2">
      <c r="A17348" s="3" t="str">
        <f>IFERROR(__xludf.DUMMYFUNCTION("GOOGLETRANSLATE(A17348,""en"",""pt"")"),"Sem cabo USB ou paralelo incluído.")</f>
        <v>Sem cabo USB ou paralelo incluído.</v>
      </c>
      <c r="B17348" s="3">
        <v>0</v>
      </c>
    </row>
    <row r="17349" ht="15.75" customHeight="1" spans="1:2">
      <c r="A17349" s="3" t="str">
        <f>IFERROR(__xludf.DUMMYFUNCTION("GOOGLETRANSLATE(A17349,""en"",""pt"")"),"nada até agora")</f>
        <v>nada até agora</v>
      </c>
      <c r="B17349" s="3">
        <v>0</v>
      </c>
    </row>
    <row r="17350" ht="15.75" customHeight="1" spans="1:2">
      <c r="A17350" s="3" t="str">
        <f>IFERROR(__xludf.DUMMYFUNCTION("GOOGLETRANSLATE(A17350,""en"",""pt"")"),"muitos congestionamentos, desajeitado para limpar; estrias; documentação sucky")</f>
        <v>muitos congestionamentos, desajeitado para limpar; estrias; documentação sucky</v>
      </c>
      <c r="B17350" s="3">
        <v>0</v>
      </c>
    </row>
    <row r="17351" ht="15.75" customHeight="1" spans="1:2">
      <c r="A17351" s="3" t="str">
        <f>IFERROR(__xludf.DUMMYFUNCTION("GOOGLETRANSLATE(A17351,""en"",""pt"")"),"Alguns atolamentos de papel, computador congelar-ups, software leva um tempo para descobrir. Um pouco lento.")</f>
        <v>Alguns atolamentos de papel, computador congelar-ups, software leva um tempo para descobrir. Um pouco lento.</v>
      </c>
      <c r="B17351" s="3">
        <v>0</v>
      </c>
    </row>
    <row r="17352" ht="15.75" customHeight="1" spans="1:2">
      <c r="A17352" s="3" t="str">
        <f>IFERROR(__xludf.DUMMYFUNCTION("GOOGLETRANSLATE(A17352,""en"",""pt"")"),"atolamentos de papel irritante.")</f>
        <v>atolamentos de papel irritante.</v>
      </c>
      <c r="B17352" s="3">
        <v>0</v>
      </c>
    </row>
    <row r="17353" ht="15.75" customHeight="1" spans="1:2">
      <c r="A17353" s="3" t="str">
        <f>IFERROR(__xludf.DUMMYFUNCTION("GOOGLETRANSLATE(A17353,""en"",""pt"")"),"No aparelho de telefone")</f>
        <v>No aparelho de telefone</v>
      </c>
      <c r="B17353" s="3">
        <v>0</v>
      </c>
    </row>
    <row r="17354" ht="15.75" customHeight="1" spans="1:2">
      <c r="A17354" s="3" t="str">
        <f>IFERROR(__xludf.DUMMYFUNCTION("GOOGLETRANSLATE(A17354,""en"",""pt"")"),"Nenhum.")</f>
        <v>Nenhum.</v>
      </c>
      <c r="B17354" s="3">
        <v>0</v>
      </c>
    </row>
    <row r="17355" ht="15.75" customHeight="1" spans="1:2">
      <c r="A17355" s="3" t="str">
        <f>IFERROR(__xludf.DUMMYFUNCTION("GOOGLETRANSLATE(A17355,""en"",""pt"")"),"Multiple envio ao mesmo tempo tem problemas")</f>
        <v>Multiple envio ao mesmo tempo tem problemas</v>
      </c>
      <c r="B17355" s="3">
        <v>0</v>
      </c>
    </row>
    <row r="17356" ht="15.75" customHeight="1" spans="1:2">
      <c r="A17356" s="3" t="str">
        <f>IFERROR(__xludf.DUMMYFUNCTION("GOOGLETRANSLATE(A17356,""en"",""pt"")"),"atendimento ao cliente Zero")</f>
        <v>atendimento ao cliente Zero</v>
      </c>
      <c r="B17356" s="3">
        <v>0</v>
      </c>
    </row>
    <row r="17357" ht="15.75" customHeight="1" spans="1:2">
      <c r="A17357" s="3" t="str">
        <f>IFERROR(__xludf.DUMMYFUNCTION("GOOGLETRANSLATE(A17357,""en"",""pt"")"),"A porta de papel não tem capacidades escritor.")</f>
        <v>A porta de papel não tem capacidades escritor.</v>
      </c>
      <c r="B17357" s="3">
        <v>0</v>
      </c>
    </row>
    <row r="17358" ht="15.75" customHeight="1" spans="1:2">
      <c r="A17358" s="3" t="str">
        <f>IFERROR(__xludf.DUMMYFUNCTION("GOOGLETRANSLATE(A17358,""en"",""pt"")"),"Lento e mina pode ter cabeças de impressão defeituosos")</f>
        <v>Lento e mina pode ter cabeças de impressão defeituosos</v>
      </c>
      <c r="B17358" s="3">
        <v>0</v>
      </c>
    </row>
    <row r="17359" ht="15.75" customHeight="1" spans="1:2">
      <c r="A17359" s="3" t="str">
        <f>IFERROR(__xludf.DUMMYFUNCTION("GOOGLETRANSLATE(A17359,""en"",""pt"")"),"Livro de endereços")</f>
        <v>Livro de endereços</v>
      </c>
      <c r="B17359" s="3">
        <v>0</v>
      </c>
    </row>
    <row r="17360" ht="15.75" customHeight="1" spans="1:2">
      <c r="A17360" s="3" t="str">
        <f>IFERROR(__xludf.DUMMYFUNCTION("GOOGLETRANSLATE(A17360,""en"",""pt"")"),"Nada até agora.")</f>
        <v>Nada até agora.</v>
      </c>
      <c r="B17360" s="3">
        <v>0</v>
      </c>
    </row>
    <row r="17361" ht="15.75" customHeight="1" spans="1:2">
      <c r="A17361" s="3" t="str">
        <f>IFERROR(__xludf.DUMMYFUNCTION("GOOGLETRANSLATE(A17361,""en"",""pt"")"),"telefone ou função ""moniter"" No anexo para a marcação.")</f>
        <v>telefone ou função "moniter" No anexo para a marcação.</v>
      </c>
      <c r="B17361" s="3">
        <v>0</v>
      </c>
    </row>
    <row r="17362" ht="15.75" customHeight="1" spans="1:2">
      <c r="A17362" s="3" t="str">
        <f>IFERROR(__xludf.DUMMYFUNCTION("GOOGLETRANSLATE(A17362,""en"",""pt"")"),"Sua lenta e produz muito baixa qualidade.")</f>
        <v>Sua lenta e produz muito baixa qualidade.</v>
      </c>
      <c r="B17362" s="3">
        <v>0</v>
      </c>
    </row>
    <row r="17363" ht="15.75" customHeight="1" spans="1:2">
      <c r="A17363" s="3" t="str">
        <f>IFERROR(__xludf.DUMMYFUNCTION("GOOGLETRANSLATE(A17363,""en"",""pt"")"),"Lento, scanner inútil, fax confiável")</f>
        <v>Lento, scanner inútil, fax confiável</v>
      </c>
      <c r="B17363" s="3">
        <v>0</v>
      </c>
    </row>
    <row r="17364" ht="15.75" customHeight="1" spans="1:2">
      <c r="A17364" s="3" t="str">
        <f>IFERROR(__xludf.DUMMYFUNCTION("GOOGLETRANSLATE(A17364,""en"",""pt"")"),"Nenhum")</f>
        <v>Nenhum</v>
      </c>
      <c r="B17364" s="3">
        <v>0</v>
      </c>
    </row>
    <row r="17365" ht="15.75" customHeight="1" spans="1:2">
      <c r="A17365" s="3" t="str">
        <f>IFERROR(__xludf.DUMMYFUNCTION("GOOGLETRANSLATE(A17365,""en"",""pt"")"),"Se você tiver o quarto que eu sugeriria começar unidades separadas para maior flexibilidade")</f>
        <v>Se você tiver o quarto que eu sugeriria começar unidades separadas para maior flexibilidade</v>
      </c>
      <c r="B17365" s="3">
        <v>0</v>
      </c>
    </row>
    <row r="17366" ht="15.75" customHeight="1" spans="1:2">
      <c r="A17366" s="3" t="str">
        <f>IFERROR(__xludf.DUMMYFUNCTION("GOOGLETRANSLATE(A17366,""en"",""pt"")"),"Não para imagens.")</f>
        <v>Não para imagens.</v>
      </c>
      <c r="B17366" s="3">
        <v>0</v>
      </c>
    </row>
    <row r="17367" ht="15.75" customHeight="1" spans="1:2">
      <c r="A17367" s="3" t="str">
        <f>IFERROR(__xludf.DUMMYFUNCTION("GOOGLETRANSLATE(A17367,""en"",""pt"")"),"não vai alimentar pequenos itens (3"" x 5"" ou menos).")</f>
        <v>não vai alimentar pequenos itens (3" x 5" ou menos).</v>
      </c>
      <c r="B17367" s="3">
        <v>0</v>
      </c>
    </row>
    <row r="17368" ht="15.75" customHeight="1" spans="1:2">
      <c r="A17368" s="3" t="str">
        <f>IFERROR(__xludf.DUMMYFUNCTION("GOOGLETRANSLATE(A17368,""en"",""pt"")"),"????")</f>
        <v>????</v>
      </c>
      <c r="B17368" s="3">
        <v>0</v>
      </c>
    </row>
    <row r="17369" ht="15.75" customHeight="1" spans="1:2">
      <c r="A17369" s="3" t="str">
        <f>IFERROR(__xludf.DUMMYFUNCTION("GOOGLETRANSLATE(A17369,""en"",""pt"")"),"o consumo de toner")</f>
        <v>o consumo de toner</v>
      </c>
      <c r="B17369" s="3">
        <v>0</v>
      </c>
    </row>
    <row r="17370" ht="15.75" customHeight="1" spans="1:2">
      <c r="A17370" s="3" t="str">
        <f>IFERROR(__xludf.DUMMYFUNCTION("GOOGLETRANSLATE(A17370,""en"",""pt"")"),"Tem dificuldade com wite-out.")</f>
        <v>Tem dificuldade com wite-out.</v>
      </c>
      <c r="B17370" s="3">
        <v>0</v>
      </c>
    </row>
    <row r="17371" ht="15.75" customHeight="1" spans="1:2">
      <c r="A17371" s="3" t="str">
        <f>IFERROR(__xludf.DUMMYFUNCTION("GOOGLETRANSLATE(A17371,""en"",""pt"")"),"No interruptor de energia, alto custo dos consumíveis, derramamentos de toner ocasionais, problemas de cancelamento de trabalhos de fax")</f>
        <v>No interruptor de energia, alto custo dos consumíveis, derramamentos de toner ocasionais, problemas de cancelamento de trabalhos de fax</v>
      </c>
      <c r="B17371" s="3">
        <v>0</v>
      </c>
    </row>
    <row r="17372" ht="15.75" customHeight="1" spans="1:2">
      <c r="A17372" s="3" t="str">
        <f>IFERROR(__xludf.DUMMYFUNCTION("GOOGLETRANSLATE(A17372,""en"",""pt"")"),"Pode não ser rápido o suficiente para escritórios maiores")</f>
        <v>Pode não ser rápido o suficiente para escritórios maiores</v>
      </c>
      <c r="B17372" s="3">
        <v>0</v>
      </c>
    </row>
    <row r="17373" ht="15.75" customHeight="1" spans="1:2">
      <c r="A17373" s="3" t="str">
        <f>IFERROR(__xludf.DUMMYFUNCTION("GOOGLETRANSLATE(A17373,""en"",""pt"")"),"mau funcionamento do cartucho de tinta preta caro. Cor é decepcionante.")</f>
        <v>mau funcionamento do cartucho de tinta preta caro. Cor é decepcionante.</v>
      </c>
      <c r="B17373" s="3">
        <v>0</v>
      </c>
    </row>
    <row r="17374" ht="15.75" customHeight="1" spans="1:2">
      <c r="A17374" s="3" t="str">
        <f>IFERROR(__xludf.DUMMYFUNCTION("GOOGLETRANSLATE(A17374,""en"",""pt"")"),"meu artigo chegou danificado pela primeira vez")</f>
        <v>meu artigo chegou danificado pela primeira vez</v>
      </c>
      <c r="B17374" s="3">
        <v>0</v>
      </c>
    </row>
    <row r="17375" ht="15.75" customHeight="1" spans="1:2">
      <c r="A17375" s="3" t="str">
        <f>IFERROR(__xludf.DUMMYFUNCTION("GOOGLETRANSLATE(A17375,""en"",""pt"")"),"nenhum realmente")</f>
        <v>nenhum realmente</v>
      </c>
      <c r="B17375" s="3">
        <v>0</v>
      </c>
    </row>
    <row r="17376" ht="15.75" customHeight="1" spans="1:2">
      <c r="A17376" s="3" t="str">
        <f>IFERROR(__xludf.DUMMYFUNCTION("GOOGLETRANSLATE(A17376,""en"",""pt"")"),"Não é barato")</f>
        <v>Não é barato</v>
      </c>
      <c r="B17376" s="3">
        <v>0</v>
      </c>
    </row>
    <row r="17377" ht="15.75" customHeight="1" spans="1:2">
      <c r="A17377" s="3" t="str">
        <f>IFERROR(__xludf.DUMMYFUNCTION("GOOGLETRANSLATE(A17377,""en"",""pt"")"),"Tendo nenhum botão Power On / Off foi um pouco estranho. Mas eu me acostumei com isso.")</f>
        <v>Tendo nenhum botão Power On / Off foi um pouco estranho. Mas eu me acostumei com isso.</v>
      </c>
      <c r="B17377" s="3">
        <v>0</v>
      </c>
    </row>
    <row r="17378" ht="15.75" customHeight="1" spans="1:2">
      <c r="A17378" s="3" t="str">
        <f>IFERROR(__xludf.DUMMYFUNCTION("GOOGLETRANSLATE(A17378,""en"",""pt"")"),"Sem feedback audível. Atendimento ao Cliente não competente.")</f>
        <v>Sem feedback audível. Atendimento ao Cliente não competente.</v>
      </c>
      <c r="B17378" s="3">
        <v>0</v>
      </c>
    </row>
    <row r="17379" ht="15.75" customHeight="1" spans="1:2">
      <c r="A17379" s="3" t="str">
        <f>IFERROR(__xludf.DUMMYFUNCTION("GOOGLETRANSLATE(A17379,""en"",""pt"")"),"sem telefone ou atendedor de chamadas com ele")</f>
        <v>sem telefone ou atendedor de chamadas com ele</v>
      </c>
      <c r="B17379" s="3">
        <v>0</v>
      </c>
    </row>
    <row r="17380" ht="15.75" customHeight="1" spans="1:2">
      <c r="A17380" s="3" t="str">
        <f>IFERROR(__xludf.DUMMYFUNCTION("GOOGLETRANSLATE(A17380,""en"",""pt"")"),"Toma-se um pouco mais espaço do que o pensamento I")</f>
        <v>Toma-se um pouco mais espaço do que o pensamento I</v>
      </c>
      <c r="B17380" s="3">
        <v>0</v>
      </c>
    </row>
    <row r="17381" ht="15.75" customHeight="1" spans="1:2">
      <c r="A17381" s="3" t="str">
        <f>IFERROR(__xludf.DUMMYFUNCTION("GOOGLETRANSLATE(A17381,""en"",""pt"")"),"Longo configurar tempo, direções complicado, não compatível com o Windows; cabo não incluído.")</f>
        <v>Longo configurar tempo, direções complicado, não compatível com o Windows; cabo não incluído.</v>
      </c>
      <c r="B17381" s="3">
        <v>0</v>
      </c>
    </row>
    <row r="17382" ht="15.75" customHeight="1" spans="1:2">
      <c r="A17382" s="3" t="str">
        <f>IFERROR(__xludf.DUMMYFUNCTION("GOOGLETRANSLATE(A17382,""en"",""pt"")"),"Um pouco mais que eu preciso para uso doméstico.")</f>
        <v>Um pouco mais que eu preciso para uso doméstico.</v>
      </c>
      <c r="B17382" s="3">
        <v>0</v>
      </c>
    </row>
    <row r="17383" ht="15.75" customHeight="1" spans="1:2">
      <c r="A17383" s="3" t="str">
        <f>IFERROR(__xludf.DUMMYFUNCTION("GOOGLETRANSLATE(A17383,""en"",""pt"")"),"nada até agora")</f>
        <v>nada até agora</v>
      </c>
      <c r="B17383" s="3">
        <v>0</v>
      </c>
    </row>
    <row r="17384" ht="15.75" customHeight="1" spans="1:2">
      <c r="A17384" s="3" t="str">
        <f>IFERROR(__xludf.DUMMYFUNCTION("GOOGLETRANSLATE(A17384,""en"",""pt"")"),"Imprimir cabeça única últimos meses; metade o custo do preço de varejo da máquina")</f>
        <v>Imprimir cabeça única últimos meses; metade o custo do preço de varejo da máquina</v>
      </c>
      <c r="B17384" s="3">
        <v>0</v>
      </c>
    </row>
    <row r="17385" ht="15.75" customHeight="1" spans="1:2">
      <c r="A17385" s="3" t="str">
        <f>IFERROR(__xludf.DUMMYFUNCTION("GOOGLETRANSLATE(A17385,""en"",""pt"")"),"Scanner só poderia lidar com má qualidade simples sheet.Printhead e preço terrível.")</f>
        <v>Scanner só poderia lidar com má qualidade simples sheet.Printhead e preço terrível.</v>
      </c>
      <c r="B17385" s="3">
        <v>0</v>
      </c>
    </row>
    <row r="17386" ht="15.75" customHeight="1" spans="1:2">
      <c r="A17386" s="3" t="str">
        <f>IFERROR(__xludf.DUMMYFUNCTION("GOOGLETRANSLATE(A17386,""en"",""pt"")"),"cartuchos de tinta de vida curtos, vazamentos, mensagens falsas 'vazios', cabeça de impressão falhar [expen $ ive]")</f>
        <v>cartuchos de tinta de vida curtos, vazamentos, mensagens falsas 'vazios', cabeça de impressão falhar [expen $ ive]</v>
      </c>
      <c r="B17386" s="3">
        <v>0</v>
      </c>
    </row>
    <row r="17387" ht="15.75" customHeight="1" spans="1:2">
      <c r="A17387" s="3" t="str">
        <f>IFERROR(__xludf.DUMMYFUNCTION("GOOGLETRANSLATE(A17387,""en"",""pt"")"),"suporte inexistente, tinta seca com o não uso,")</f>
        <v>suporte inexistente, tinta seca com o não uso,</v>
      </c>
      <c r="B17387" s="3">
        <v>0</v>
      </c>
    </row>
    <row r="17388" ht="15.75" customHeight="1" spans="1:2">
      <c r="A17388" s="3" t="str">
        <f>IFERROR(__xludf.DUMMYFUNCTION("GOOGLETRANSLATE(A17388,""en"",""pt"")"),"A qualidade de impressão marginal quando novo, então se deteriora rapidamente.")</f>
        <v>A qualidade de impressão marginal quando novo, então se deteriora rapidamente.</v>
      </c>
      <c r="B17388" s="3">
        <v>0</v>
      </c>
    </row>
    <row r="17389" ht="15.75" customHeight="1" spans="1:2">
      <c r="A17389" s="3" t="str">
        <f>IFERROR(__xludf.DUMMYFUNCTION("GOOGLETRANSLATE(A17389,""en"",""pt"")"),"Como se observa, imprimir cabeças uma desgraça")</f>
        <v>Como se observa, imprimir cabeças uma desgraça</v>
      </c>
      <c r="B17389" s="3">
        <v>0</v>
      </c>
    </row>
    <row r="17390" ht="15.75" customHeight="1" spans="1:2">
      <c r="A17390" s="3" t="str">
        <f>IFERROR(__xludf.DUMMYFUNCTION("GOOGLETRANSLATE(A17390,""en"",""pt"")"),"Sem capacidade de cama plana")</f>
        <v>Sem capacidade de cama plana</v>
      </c>
      <c r="B17390" s="3">
        <v>0</v>
      </c>
    </row>
    <row r="17391" ht="15.75" customHeight="1" spans="1:2">
      <c r="A17391" s="3" t="str">
        <f>IFERROR(__xludf.DUMMYFUNCTION("GOOGLETRANSLATE(A17391,""en"",""pt"")"),"cabeça de impressão sai e custa 150,00 para substituir - o maior rip-off nunca.")</f>
        <v>cabeça de impressão sai e custa 150,00 para substituir - o maior rip-off nunca.</v>
      </c>
      <c r="B17391" s="3">
        <v>0</v>
      </c>
    </row>
    <row r="17392" ht="15.75" customHeight="1" spans="1:2">
      <c r="A17392" s="3" t="str">
        <f>IFERROR(__xludf.DUMMYFUNCTION("GOOGLETRANSLATE(A17392,""en"",""pt"")"),"captura de vídeo é uma mentira")</f>
        <v>captura de vídeo é uma mentira</v>
      </c>
      <c r="B17392" s="3">
        <v>0</v>
      </c>
    </row>
    <row r="17393" ht="15.75" customHeight="1" spans="1:2">
      <c r="A17393" s="3" t="str">
        <f>IFERROR(__xludf.DUMMYFUNCTION("GOOGLETRANSLATE(A17393,""en"",""pt"")"),"cabeça de impressão teve de ser substituído duas vezes em 10 meses (sob garantia, mas um aborrecimento no entanto).")</f>
        <v>cabeça de impressão teve de ser substituído duas vezes em 10 meses (sob garantia, mas um aborrecimento no entanto).</v>
      </c>
      <c r="B17393" s="3">
        <v>0</v>
      </c>
    </row>
    <row r="17394" ht="15.75" customHeight="1" spans="1:2">
      <c r="A17394" s="3" t="str">
        <f>IFERROR(__xludf.DUMMYFUNCTION("GOOGLETRANSLATE(A17394,""en"",""pt"")"),"digitalizador lento")</f>
        <v>digitalizador lento</v>
      </c>
      <c r="B17394" s="3">
        <v>0</v>
      </c>
    </row>
    <row r="17395" ht="15.75" customHeight="1" spans="1:2">
      <c r="A17395" s="3" t="str">
        <f>IFERROR(__xludf.DUMMYFUNCTION("GOOGLETRANSLATE(A17395,""en"",""pt"")"),"Precisa melhorar em determinadas áreas.")</f>
        <v>Precisa melhorar em determinadas áreas.</v>
      </c>
      <c r="B17395" s="3">
        <v>0</v>
      </c>
    </row>
    <row r="17396" ht="15.75" customHeight="1" spans="1:2">
      <c r="A17396" s="3" t="str">
        <f>IFERROR(__xludf.DUMMYFUNCTION("GOOGLETRANSLATE(A17396,""en"",""pt"")"),"Cabeça de Impressão taxa de substituição de US $ 150,00")</f>
        <v>Cabeça de Impressão taxa de substituição de US $ 150,00</v>
      </c>
      <c r="B17396" s="3">
        <v>0</v>
      </c>
    </row>
    <row r="17397" ht="15.75" customHeight="1" spans="1:2">
      <c r="A17397" s="3" t="str">
        <f>IFERROR(__xludf.DUMMYFUNCTION("GOOGLETRANSLATE(A17397,""en"",""pt"")"),"cabeças de impressão frequentemente falham e não são cobertos pela garantia.")</f>
        <v>cabeças de impressão frequentemente falham e não são cobertos pela garantia.</v>
      </c>
      <c r="B17397" s="3">
        <v>0</v>
      </c>
    </row>
    <row r="17398" ht="15.75" customHeight="1" spans="1:2">
      <c r="A17398" s="3" t="str">
        <f>IFERROR(__xludf.DUMMYFUNCTION("GOOGLETRANSLATE(A17398,""en"",""pt"")"),"qualidade da foto não é absolutamente perfeito")</f>
        <v>qualidade da foto não é absolutamente perfeito</v>
      </c>
      <c r="B17398" s="3">
        <v>0</v>
      </c>
    </row>
    <row r="17399" ht="15.75" customHeight="1" spans="1:2">
      <c r="A17399" s="3" t="str">
        <f>IFERROR(__xludf.DUMMYFUNCTION("GOOGLETRANSLATE(A17399,""en"",""pt"")"),"má qualidade, configuração difícil, tinta caro")</f>
        <v>má qualidade, configuração difícil, tinta caro</v>
      </c>
      <c r="B17399" s="3">
        <v>0</v>
      </c>
    </row>
    <row r="17400" ht="15.75" customHeight="1" spans="1:2">
      <c r="A17400" s="3" t="str">
        <f>IFERROR(__xludf.DUMMYFUNCTION("GOOGLETRANSLATE(A17400,""en"",""pt"")"),"INK não dura &amp; amp; É caro, SOFTWARE é difícil de CONFIGURAÇÃO")</f>
        <v>INK não dura &amp; amp; É caro, SOFTWARE é difícil de CONFIGURAÇÃO</v>
      </c>
      <c r="B17400" s="3">
        <v>0</v>
      </c>
    </row>
    <row r="17401" ht="15.75" customHeight="1" spans="1:2">
      <c r="A17401" s="3" t="str">
        <f>IFERROR(__xludf.DUMMYFUNCTION("GOOGLETRANSLATE(A17401,""en"",""pt"")"),"máquina de fax terrível")</f>
        <v>máquina de fax terrível</v>
      </c>
      <c r="B17401" s="3">
        <v>0</v>
      </c>
    </row>
    <row r="17402" ht="15.75" customHeight="1" spans="1:2">
      <c r="A17402" s="3" t="str">
        <f>IFERROR(__xludf.DUMMYFUNCTION("GOOGLETRANSLATE(A17402,""en"",""pt"")"),"useage tinta, serviço de irmão, não malha com o Windows XP, etc., etc.")</f>
        <v>useage tinta, serviço de irmão, não malha com o Windows XP, etc., etc.</v>
      </c>
      <c r="B17402" s="3">
        <v>0</v>
      </c>
    </row>
    <row r="17403" ht="15.75" customHeight="1" spans="1:2">
      <c r="A17403" s="3" t="str">
        <f>IFERROR(__xludf.DUMMYFUNCTION("GOOGLETRANSLATE(A17403,""en"",""pt"")"),"pseudo-perfeita qualidade de imagem, tinta bastante caro")</f>
        <v>pseudo-perfeita qualidade de imagem, tinta bastante caro</v>
      </c>
      <c r="B17403" s="3">
        <v>0</v>
      </c>
    </row>
    <row r="17404" ht="15.75" customHeight="1" spans="1:2">
      <c r="A17404" s="3" t="str">
        <f>IFERROR(__xludf.DUMMYFUNCTION("GOOGLETRANSLATE(A17404,""en"",""pt"")"),"Os altos custos de tinta, um mau serviço ao cliente, impressão de fraca qualidade, não compatível com o Windows XP, Planned Obselescence")</f>
        <v>Os altos custos de tinta, um mau serviço ao cliente, impressão de fraca qualidade, não compatível com o Windows XP, Planned Obselescence</v>
      </c>
      <c r="B17404" s="3">
        <v>0</v>
      </c>
    </row>
    <row r="17405" ht="15.75" customHeight="1" spans="1:2">
      <c r="A17405" s="3" t="str">
        <f>IFERROR(__xludf.DUMMYFUNCTION("GOOGLETRANSLATE(A17405,""en"",""pt"")"),"Tentativa de utilizar tintas de recarga foi desastrosa. substituição do cabeçote de impressão muito caro período de garantia oustside.")</f>
        <v>Tentativa de utilizar tintas de recarga foi desastrosa. substituição do cabeçote de impressão muito caro período de garantia oustside.</v>
      </c>
      <c r="B17405" s="3">
        <v>0</v>
      </c>
    </row>
    <row r="17406" ht="15.75" customHeight="1" spans="1:2">
      <c r="A17406" s="3" t="str">
        <f>IFERROR(__xludf.DUMMYFUNCTION("GOOGLETRANSLATE(A17406,""en"",""pt"")"),"De má qualidade ""cópias""; estrias em fotos; questões de redução A4")</f>
        <v>De má qualidade "cópias"; estrias em fotos; questões de redução A4</v>
      </c>
      <c r="B17406" s="3">
        <v>0</v>
      </c>
    </row>
    <row r="17407" ht="15.75" customHeight="1" spans="1:2">
      <c r="A17407" s="3" t="str">
        <f>IFERROR(__xludf.DUMMYFUNCTION("GOOGLETRANSLATE(A17407,""en"",""pt"")"),"Bebe tinta. reparos em garantia em 6 meses. Agora (18 meses) Chefe precisa ser substituído @ $ 215,00.")</f>
        <v>Bebe tinta. reparos em garantia em 6 meses. Agora (18 meses) Chefe precisa ser substituído @ $ 215,00.</v>
      </c>
      <c r="B17407" s="3">
        <v>0</v>
      </c>
    </row>
    <row r="17408" ht="15.75" customHeight="1" spans="1:2">
      <c r="A17408" s="3" t="str">
        <f>IFERROR(__xludf.DUMMYFUNCTION("GOOGLETRANSLATE(A17408,""en"",""pt"")"),"Má qualidade - impressões têm listras etc., difícil set up, tinta caro")</f>
        <v>Má qualidade - impressões têm listras etc., difícil set up, tinta caro</v>
      </c>
      <c r="B17408" s="3">
        <v>0</v>
      </c>
    </row>
    <row r="17409" ht="15.75" customHeight="1" spans="1:2">
      <c r="A17409" s="3" t="str">
        <f>IFERROR(__xludf.DUMMYFUNCTION("GOOGLETRANSLATE(A17409,""en"",""pt"")"),"folha única alimentação, por vezes, um problema")</f>
        <v>folha única alimentação, por vezes, um problema</v>
      </c>
      <c r="B17409" s="3">
        <v>0</v>
      </c>
    </row>
    <row r="17410" ht="15.75" customHeight="1" spans="1:2">
      <c r="A17410" s="3" t="str">
        <f>IFERROR(__xludf.DUMMYFUNCTION("GOOGLETRANSLATE(A17410,""en"",""pt"")"),"Exemplares individuais demorar uma eternidade, set-up de software não completar o seu trabalho, não é possível copiar papel tamanho legal.")</f>
        <v>Exemplares individuais demorar uma eternidade, set-up de software não completar o seu trabalho, não é possível copiar papel tamanho legal.</v>
      </c>
      <c r="B17410" s="3">
        <v>0</v>
      </c>
    </row>
    <row r="17411" ht="15.75" customHeight="1" spans="1:2">
      <c r="A17411" s="3" t="str">
        <f>IFERROR(__xludf.DUMMYFUNCTION("GOOGLETRANSLATE(A17411,""en"",""pt"")"),"peças baratas e mau serviço ao cliente")</f>
        <v>peças baratas e mau serviço ao cliente</v>
      </c>
      <c r="B17411" s="3">
        <v>0</v>
      </c>
    </row>
    <row r="17412" ht="15.75" customHeight="1" spans="1:2">
      <c r="A17412" s="3" t="str">
        <f>IFERROR(__xludf.DUMMYFUNCTION("GOOGLETRANSLATE(A17412,""en"",""pt"")"),"muito confiável")</f>
        <v>muito confiável</v>
      </c>
      <c r="B17412" s="3">
        <v>0</v>
      </c>
    </row>
    <row r="17413" ht="15.75" customHeight="1" spans="1:2">
      <c r="A17413" s="3" t="str">
        <f>IFERROR(__xludf.DUMMYFUNCTION("GOOGLETRANSLATE(A17413,""en"",""pt"")"),"Para um melhor desempenho, precisa de memória adicional")</f>
        <v>Para um melhor desempenho, precisa de memória adicional</v>
      </c>
      <c r="B17413" s="3">
        <v>0</v>
      </c>
    </row>
    <row r="17414" ht="15.75" customHeight="1" spans="1:2">
      <c r="A17414" s="3" t="str">
        <f>IFERROR(__xludf.DUMMYFUNCTION("GOOGLETRANSLATE(A17414,""en"",""pt"")"),"Veja Deficiências")</f>
        <v>Veja Deficiências</v>
      </c>
      <c r="B17414" s="3">
        <v>0</v>
      </c>
    </row>
    <row r="17415" ht="15.75" customHeight="1" spans="1:2">
      <c r="A17415" s="3" t="s">
        <v>97</v>
      </c>
      <c r="B17415" s="3">
        <v>0</v>
      </c>
    </row>
    <row r="17416" ht="15.75" customHeight="1" spans="1:2">
      <c r="A17416" s="3" t="str">
        <f>IFERROR(__xludf.DUMMYFUNCTION("GOOGLETRANSLATE(A17416,""en"",""pt"")"),"tamanho de letra Scanner, No On Off Switch")</f>
        <v>tamanho de letra Scanner, No On Off Switch</v>
      </c>
      <c r="B17416" s="3">
        <v>0</v>
      </c>
    </row>
    <row r="17417" ht="15.75" customHeight="1" spans="1:2">
      <c r="A17417" s="3" t="str">
        <f>IFERROR(__xludf.DUMMYFUNCTION("GOOGLETRANSLATE(A17417,""en"",""pt"")"),"A Brother não tem a melhor reputação")</f>
        <v>A Brother não tem a melhor reputação</v>
      </c>
      <c r="B17417" s="3">
        <v>0</v>
      </c>
    </row>
    <row r="17418" ht="15.75" customHeight="1" spans="1:2">
      <c r="A17418" s="3" t="str">
        <f>IFERROR(__xludf.DUMMYFUNCTION("GOOGLETRANSLATE(A17418,""en"",""pt"")"),"aquecer é um pouco lento")</f>
        <v>aquecer é um pouco lento</v>
      </c>
      <c r="B17418" s="3">
        <v>0</v>
      </c>
    </row>
    <row r="17419" ht="15.75" customHeight="1" spans="1:2">
      <c r="A17419" s="3" t="str">
        <f>IFERROR(__xludf.DUMMYFUNCTION("GOOGLETRANSLATE(A17419,""en"",""pt"")"),"tinta de cor imprime imagens de baixa qualidade.")</f>
        <v>tinta de cor imprime imagens de baixa qualidade.</v>
      </c>
      <c r="B17419" s="3">
        <v>0</v>
      </c>
    </row>
    <row r="17420" ht="15.75" customHeight="1" spans="1:2">
      <c r="A17420" s="3" t="str">
        <f>IFERROR(__xludf.DUMMYFUNCTION("GOOGLETRANSLATE(A17420,""en"",""pt"")"),"Qualidade da foto")</f>
        <v>Qualidade da foto</v>
      </c>
      <c r="B17420" s="3">
        <v>0</v>
      </c>
    </row>
    <row r="17421" ht="15.75" customHeight="1" spans="1:2">
      <c r="A17421" s="3" t="str">
        <f>IFERROR(__xludf.DUMMYFUNCTION("GOOGLETRANSLATE(A17421,""en"",""pt"")"),"Usa muita tinta, pobre texto preto quando se utiliza cartucho colorido, alimenta o papel mal")</f>
        <v>Usa muita tinta, pobre texto preto quando se utiliza cartucho colorido, alimenta o papel mal</v>
      </c>
      <c r="B17421" s="3">
        <v>0</v>
      </c>
    </row>
    <row r="17422" ht="15.75" customHeight="1" spans="1:2">
      <c r="A17422" s="3" t="str">
        <f>IFERROR(__xludf.DUMMYFUNCTION("GOOGLETRANSLATE(A17422,""en"",""pt"")"),"Você recebe o que você paga")</f>
        <v>Você recebe o que você paga</v>
      </c>
      <c r="B17422" s="3">
        <v>0</v>
      </c>
    </row>
    <row r="17423" ht="15.75" customHeight="1" spans="1:2">
      <c r="A17423" s="3" t="str">
        <f>IFERROR(__xludf.DUMMYFUNCTION("GOOGLETRANSLATE(A17423,""en"",""pt"")"),"Nada grave.")</f>
        <v>Nada grave.</v>
      </c>
      <c r="B17423" s="3">
        <v>0</v>
      </c>
    </row>
    <row r="17424" ht="15.75" customHeight="1" spans="1:2">
      <c r="A17424" s="3" t="str">
        <f>IFERROR(__xludf.DUMMYFUNCTION("GOOGLETRANSLATE(A17424,""en"",""pt"")"),"Lentas, baixa qualidade de impressão, cartuchos caros que não duram muito tempo")</f>
        <v>Lentas, baixa qualidade de impressão, cartuchos caros que não duram muito tempo</v>
      </c>
      <c r="B17424" s="3">
        <v>0</v>
      </c>
    </row>
    <row r="17425" ht="15.75" customHeight="1" spans="1:2">
      <c r="A17425" s="3" t="str">
        <f>IFERROR(__xludf.DUMMYFUNCTION("GOOGLETRANSLATE(A17425,""en"",""pt"")"),"ficar sem tinta rapidamente, freios facilmente, alimenta um monte de papel através de uma só vez")</f>
        <v>ficar sem tinta rapidamente, freios facilmente, alimenta um monte de papel através de uma só vez</v>
      </c>
      <c r="B17425" s="3">
        <v>0</v>
      </c>
    </row>
    <row r="17426" ht="15.75" customHeight="1" spans="1:2">
      <c r="A17426" s="3" t="str">
        <f>IFERROR(__xludf.DUMMYFUNCTION("GOOGLETRANSLATE(A17426,""en"",""pt"")"),"Páginas por minuto")</f>
        <v>Páginas por minuto</v>
      </c>
      <c r="B17426" s="3">
        <v>0</v>
      </c>
    </row>
    <row r="17427" ht="15.75" customHeight="1" spans="1:2">
      <c r="A17427" s="3" t="str">
        <f>IFERROR(__xludf.DUMMYFUNCTION("GOOGLETRANSLATE(A17427,""en"",""pt"")"),"impressão a cores não é de qualidade superior, mas o que você espera nesta faixa de preço?")</f>
        <v>impressão a cores não é de qualidade superior, mas o que você espera nesta faixa de preço?</v>
      </c>
      <c r="B17427" s="3">
        <v>0</v>
      </c>
    </row>
    <row r="17428" ht="15.75" customHeight="1" spans="1:2">
      <c r="A17428" s="3" t="str">
        <f>IFERROR(__xludf.DUMMYFUNCTION("GOOGLETRANSLATE(A17428,""en"",""pt"")"),"usa muita tinta")</f>
        <v>usa muita tinta</v>
      </c>
      <c r="B17428" s="3">
        <v>0</v>
      </c>
    </row>
    <row r="17429" ht="15.75" customHeight="1" spans="1:2">
      <c r="A17429" s="3" t="s">
        <v>98</v>
      </c>
      <c r="B17429" s="3">
        <v>0</v>
      </c>
    </row>
    <row r="17430" ht="15.75" customHeight="1" spans="1:2">
      <c r="A17430" s="3" t="str">
        <f>IFERROR(__xludf.DUMMYFUNCTION("GOOGLETRANSLATE(A17430,""en"",""pt"")"),"Nenhum")</f>
        <v>Nenhum</v>
      </c>
      <c r="B17430" s="3">
        <v>0</v>
      </c>
    </row>
    <row r="17431" ht="15.75" customHeight="1" spans="1:2">
      <c r="A17431" s="3" t="str">
        <f>IFERROR(__xludf.DUMMYFUNCTION("GOOGLETRANSLATE(A17431,""en"",""pt"")"),"Não recursos suficientes para quantidade de dinheiro gasto")</f>
        <v>Não recursos suficientes para quantidade de dinheiro gasto</v>
      </c>
      <c r="B17431" s="3">
        <v>0</v>
      </c>
    </row>
    <row r="17432" ht="15.75" customHeight="1" spans="1:2">
      <c r="A17432" s="3" t="str">
        <f>IFERROR(__xludf.DUMMYFUNCTION("GOOGLETRANSLATE(A17432,""en"",""pt"")"),"cartuchos")</f>
        <v>cartuchos</v>
      </c>
      <c r="B17432" s="3">
        <v>0</v>
      </c>
    </row>
    <row r="17433" ht="15.75" customHeight="1" spans="1:2">
      <c r="A17433" s="3" t="str">
        <f>IFERROR(__xludf.DUMMYFUNCTION("GOOGLETRANSLATE(A17433,""en"",""pt"")"),"As cores não são tão nítidas quanto eu gostaria")</f>
        <v>As cores não são tão nítidas quanto eu gostaria</v>
      </c>
      <c r="B17433" s="3">
        <v>0</v>
      </c>
    </row>
    <row r="17434" ht="15.75" customHeight="1" spans="1:2">
      <c r="A17434" s="3" t="str">
        <f>IFERROR(__xludf.DUMMYFUNCTION("GOOGLETRANSLATE(A17434,""en"",""pt"")"),"Impressão lenta")</f>
        <v>Impressão lenta</v>
      </c>
      <c r="B17434" s="3">
        <v>0</v>
      </c>
    </row>
    <row r="17435" ht="15.75" customHeight="1" spans="1:2">
      <c r="A17435" s="3" t="s">
        <v>99</v>
      </c>
      <c r="B17435" s="3">
        <v>0</v>
      </c>
    </row>
    <row r="17436" ht="15.75" customHeight="1" spans="1:2">
      <c r="A17436" s="3" t="str">
        <f>IFERROR(__xludf.DUMMYFUNCTION("GOOGLETRANSLATE(A17436,""en"",""pt"")"),"cartriges de substituição são caros, sendo tão elevado quanto $ 45,00")</f>
        <v>cartriges de substituição são caros, sendo tão elevado quanto $ 45,00</v>
      </c>
      <c r="B17436" s="3">
        <v>0</v>
      </c>
    </row>
    <row r="17437" ht="15.75" customHeight="1" spans="1:2">
      <c r="A17437" s="3" t="str">
        <f>IFERROR(__xludf.DUMMYFUNCTION("GOOGLETRANSLATE(A17437,""en"",""pt"")"),"qualidade de impressão pobres; dolorosamente lento")</f>
        <v>qualidade de impressão pobres; dolorosamente lento</v>
      </c>
      <c r="B17437" s="3">
        <v>0</v>
      </c>
    </row>
    <row r="17438" ht="15.75" customHeight="1" spans="1:2">
      <c r="A17438" s="3" t="str">
        <f>IFERROR(__xludf.DUMMYFUNCTION("GOOGLETRANSLATE(A17438,""en"",""pt"")"),"qualidade de impressão un-clear")</f>
        <v>qualidade de impressão un-clear</v>
      </c>
      <c r="B17438" s="3">
        <v>0</v>
      </c>
    </row>
    <row r="17439" ht="15.75" customHeight="1" spans="1:2">
      <c r="A17439" s="3" t="str">
        <f>IFERROR(__xludf.DUMMYFUNCTION("GOOGLETRANSLATE(A17439,""en"",""pt"")"),"Lento, detém apenas cartucho preto ou cor de uma só vez.")</f>
        <v>Lento, detém apenas cartucho preto ou cor de uma só vez.</v>
      </c>
      <c r="B17439" s="3">
        <v>0</v>
      </c>
    </row>
    <row r="17440" ht="15.75" customHeight="1" spans="1:2">
      <c r="A17440" s="3" t="str">
        <f>IFERROR(__xludf.DUMMYFUNCTION("GOOGLETRANSLATE(A17440,""en"",""pt"")"),"Não dura")</f>
        <v>Não dura</v>
      </c>
      <c r="B17440" s="3">
        <v>0</v>
      </c>
    </row>
    <row r="17441" ht="15.75" customHeight="1" spans="1:2">
      <c r="A17441" s="3" t="str">
        <f>IFERROR(__xludf.DUMMYFUNCTION("GOOGLETRANSLATE(A17441,""en"",""pt"")"),"dryout inktank, de má qualidade, falta de serviço ao cliente")</f>
        <v>dryout inktank, de má qualidade, falta de serviço ao cliente</v>
      </c>
      <c r="B17441" s="3">
        <v>0</v>
      </c>
    </row>
    <row r="17442" ht="15.75" customHeight="1" spans="1:2">
      <c r="A17442" s="3" t="str">
        <f>IFERROR(__xludf.DUMMYFUNCTION("GOOGLETRANSLATE(A17442,""en"",""pt"")"),"Seca, alta maintanence, alto custo de uso.")</f>
        <v>Seca, alta maintanence, alto custo de uso.</v>
      </c>
      <c r="B17442" s="3">
        <v>0</v>
      </c>
    </row>
    <row r="17443" ht="15.75" customHeight="1" spans="1:2">
      <c r="A17443" s="3" t="str">
        <f>IFERROR(__xludf.DUMMYFUNCTION("GOOGLETRANSLATE(A17443,""en"",""pt"")"),"Nenhum")</f>
        <v>Nenhum</v>
      </c>
      <c r="B17443" s="3">
        <v>0</v>
      </c>
    </row>
    <row r="17444" ht="15.75" customHeight="1" spans="1:2">
      <c r="A17444" s="3" t="str">
        <f>IFERROR(__xludf.DUMMYFUNCTION("GOOGLETRANSLATE(A17444,""en"",""pt"")"),"faz ruídos altos, qualidade de impressão média, ficar sem tinta rapidamente")</f>
        <v>faz ruídos altos, qualidade de impressão média, ficar sem tinta rapidamente</v>
      </c>
      <c r="B17444" s="3">
        <v>0</v>
      </c>
    </row>
    <row r="17445" ht="15.75" customHeight="1" spans="1:2">
      <c r="A17445" s="3" t="str">
        <f>IFERROR(__xludf.DUMMYFUNCTION("GOOGLETRANSLATE(A17445,""en"",""pt"")"),"ter que deixá-lo em forma contínua, impressão lenta")</f>
        <v>ter que deixá-lo em forma contínua, impressão lenta</v>
      </c>
      <c r="B17445" s="3">
        <v>0</v>
      </c>
    </row>
    <row r="17446" ht="15.75" customHeight="1" spans="1:2">
      <c r="A17446" s="3" t="str">
        <f>IFERROR(__xludf.DUMMYFUNCTION("GOOGLETRANSLATE(A17446,""en"",""pt"")"),"continuamente alimentado")</f>
        <v>continuamente alimentado</v>
      </c>
      <c r="B17446" s="3">
        <v>0</v>
      </c>
    </row>
    <row r="17447" ht="15.75" customHeight="1" spans="1:2">
      <c r="A17447" s="3" t="str">
        <f>IFERROR(__xludf.DUMMYFUNCTION("GOOGLETRANSLATE(A17447,""en"",""pt"")"),"impressão a cores medíocre")</f>
        <v>impressão a cores medíocre</v>
      </c>
      <c r="B17447" s="3">
        <v>0</v>
      </c>
    </row>
    <row r="17448" ht="15.75" customHeight="1" spans="1:2">
      <c r="A17448" s="3" t="str">
        <f>IFERROR(__xludf.DUMMYFUNCTION("GOOGLETRANSLATE(A17448,""en"",""pt"")"),"máquina é um pouco barulhento")</f>
        <v>máquina é um pouco barulhento</v>
      </c>
      <c r="B17448" s="3">
        <v>0</v>
      </c>
    </row>
    <row r="17449" ht="15.75" customHeight="1" spans="1:2">
      <c r="A17449" s="3" t="str">
        <f>IFERROR(__xludf.DUMMYFUNCTION("GOOGLETRANSLATE(A17449,""en"",""pt"")"),"Tem dois mudança de preto para cartucho colorido.")</f>
        <v>Tem dois mudança de preto para cartucho colorido.</v>
      </c>
      <c r="B17449" s="3">
        <v>0</v>
      </c>
    </row>
    <row r="17450" ht="15.75" customHeight="1" spans="1:2">
      <c r="A17450" s="3" t="str">
        <f>IFERROR(__xludf.DUMMYFUNCTION("GOOGLETRANSLATE(A17450,""en"",""pt"")"),"alto e lento")</f>
        <v>alto e lento</v>
      </c>
      <c r="B17450" s="3">
        <v>0</v>
      </c>
    </row>
    <row r="17451" ht="15.75" customHeight="1" spans="1:2">
      <c r="A17451" s="3" t="str">
        <f>IFERROR(__xludf.DUMMYFUNCTION("GOOGLETRANSLATE(A17451,""en"",""pt"")"),"suporte de driver")</f>
        <v>suporte de driver</v>
      </c>
      <c r="B17451" s="3">
        <v>0</v>
      </c>
    </row>
    <row r="17452" ht="15.75" customHeight="1" spans="1:2">
      <c r="A17452" s="3" t="str">
        <f>IFERROR(__xludf.DUMMYFUNCTION("GOOGLETRANSLATE(A17452,""en"",""pt"")"),"reabastecer o papel / tinta a cada semana durante 20 páginas")</f>
        <v>reabastecer o papel / tinta a cada semana durante 20 páginas</v>
      </c>
      <c r="B17452" s="3">
        <v>0</v>
      </c>
    </row>
    <row r="17453" ht="15.75" customHeight="1" spans="1:2">
      <c r="A17453" s="3" t="str">
        <f>IFERROR(__xludf.DUMMYFUNCTION("GOOGLETRANSLATE(A17453,""en"",""pt"")"),"os cartuchos de tinta muito caro")</f>
        <v>os cartuchos de tinta muito caro</v>
      </c>
      <c r="B17453" s="3">
        <v>0</v>
      </c>
    </row>
    <row r="17454" ht="15.75" customHeight="1" spans="1:2">
      <c r="A17454" s="3" t="str">
        <f>IFERROR(__xludf.DUMMYFUNCTION("GOOGLETRANSLATE(A17454,""en"",""pt"")"),"barato")</f>
        <v>barato</v>
      </c>
      <c r="B17454" s="3">
        <v>0</v>
      </c>
    </row>
    <row r="17455" ht="15.75" customHeight="1" spans="1:2">
      <c r="A17455" s="3" t="str">
        <f>IFERROR(__xludf.DUMMYFUNCTION("GOOGLETRANSLATE(A17455,""en"",""pt"")"),"smudging")</f>
        <v>smudging</v>
      </c>
      <c r="B17455" s="3">
        <v>0</v>
      </c>
    </row>
    <row r="17456" ht="15.75" customHeight="1" spans="1:2">
      <c r="A17456" s="3" t="str">
        <f>IFERROR(__xludf.DUMMYFUNCTION("GOOGLETRANSLATE(A17456,""en"",""pt"")"),"Eu não poderia pensar em qualquer PROS")</f>
        <v>Eu não poderia pensar em qualquer PROS</v>
      </c>
      <c r="B17456" s="3">
        <v>0</v>
      </c>
    </row>
    <row r="17457" ht="15.75" customHeight="1" spans="1:2">
      <c r="A17457" s="3" t="str">
        <f>IFERROR(__xludf.DUMMYFUNCTION("GOOGLETRANSLATE(A17457,""en"",""pt"")"),"Nenhum Right Now !!!")</f>
        <v>Nenhum Right Now !!!</v>
      </c>
      <c r="B17457" s="3">
        <v>0</v>
      </c>
    </row>
    <row r="17458" ht="15.75" customHeight="1" spans="1:2">
      <c r="A17458" s="3" t="str">
        <f>IFERROR(__xludf.DUMMYFUNCTION("GOOGLETRANSLATE(A17458,""en"",""pt"")"),"Baixa qualidade, custo de tinta, o sistema de cartucho único.")</f>
        <v>Baixa qualidade, custo de tinta, o sistema de cartucho único.</v>
      </c>
      <c r="B17458" s="3">
        <v>0</v>
      </c>
    </row>
    <row r="17459" ht="15.75" customHeight="1" spans="1:2">
      <c r="A17459" s="3" t="str">
        <f>IFERROR(__xludf.DUMMYFUNCTION("GOOGLETRANSLATE(A17459,""en"",""pt"")"),"Nenhum que eu posso pensar de qualquer maneira")</f>
        <v>Nenhum que eu posso pensar de qualquer maneira</v>
      </c>
      <c r="B17459" s="3">
        <v>0</v>
      </c>
    </row>
    <row r="17460" ht="15.75" customHeight="1" spans="1:2">
      <c r="A17460" s="3" t="str">
        <f>IFERROR(__xludf.DUMMYFUNCTION("GOOGLETRANSLATE(A17460,""en"",""pt"")"),"Impressão lenta, não exatamente com qualidade fotográfica, cartuchos de cor / preto tem de estar ligado e armazenados.")</f>
        <v>Impressão lenta, não exatamente com qualidade fotográfica, cartuchos de cor / preto tem de estar ligado e armazenados.</v>
      </c>
      <c r="B17460" s="3">
        <v>0</v>
      </c>
    </row>
    <row r="17461" ht="15.75" customHeight="1" spans="1:2">
      <c r="A17461" s="3" t="s">
        <v>100</v>
      </c>
      <c r="B17461" s="3">
        <v>0</v>
      </c>
    </row>
    <row r="17462" ht="15.75" customHeight="1" spans="1:2">
      <c r="A17462" s="3" t="str">
        <f>IFERROR(__xludf.DUMMYFUNCTION("GOOGLETRANSLATE(A17462,""en"",""pt"")"),"Requer a mudar cartucho para a cor / BW")</f>
        <v>Requer a mudar cartucho para a cor / BW</v>
      </c>
      <c r="B17462" s="3">
        <v>0</v>
      </c>
    </row>
    <row r="17463" ht="15.75" customHeight="1" spans="1:2">
      <c r="A17463" s="3" t="str">
        <f>IFERROR(__xludf.DUMMYFUNCTION("GOOGLETRANSLATE(A17463,""en"",""pt"")"),"Velocidade, qualidade, .........")</f>
        <v>Velocidade, qualidade, .........</v>
      </c>
      <c r="B17463" s="3">
        <v>0</v>
      </c>
    </row>
    <row r="17464" ht="15.75" customHeight="1" spans="1:2">
      <c r="A17464" s="3" t="str">
        <f>IFERROR(__xludf.DUMMYFUNCTION("GOOGLETRANSLATE(A17464,""en"",""pt"")"),"velocidade lenta em papéis de impressão")</f>
        <v>velocidade lenta em papéis de impressão</v>
      </c>
      <c r="B17464" s="3">
        <v>0</v>
      </c>
    </row>
    <row r="17465" ht="15.75" customHeight="1" spans="1:2">
      <c r="A17465" s="3" t="str">
        <f>IFERROR(__xludf.DUMMYFUNCTION("GOOGLETRANSLATE(A17465,""en"",""pt"")"),"papel carregado torto, papel encravado, não fiável")</f>
        <v>papel carregado torto, papel encravado, não fiável</v>
      </c>
      <c r="B17465" s="3">
        <v>0</v>
      </c>
    </row>
    <row r="17466" ht="15.75" customHeight="1" spans="1:2">
      <c r="A17466" s="3" t="str">
        <f>IFERROR(__xludf.DUMMYFUNCTION("GOOGLETRANSLATE(A17466,""en"",""pt"")"),"Come a tinta!")</f>
        <v>Come a tinta!</v>
      </c>
      <c r="B17466" s="3">
        <v>0</v>
      </c>
    </row>
    <row r="17467" ht="15.75" customHeight="1" spans="1:2">
      <c r="A17467" s="3" t="str">
        <f>IFERROR(__xludf.DUMMYFUNCTION("GOOGLETRANSLATE(A17467,""en"",""pt"")"),"Lento, impressão medíocre")</f>
        <v>Lento, impressão medíocre</v>
      </c>
      <c r="B17467" s="3">
        <v>0</v>
      </c>
    </row>
    <row r="17468" ht="15.75" customHeight="1" spans="1:2">
      <c r="A17468" s="3" t="str">
        <f>IFERROR(__xludf.DUMMYFUNCTION("GOOGLETRANSLATE(A17468,""en"",""pt"")"),"qualidade de impressão imagem limitada")</f>
        <v>qualidade de impressão imagem limitada</v>
      </c>
      <c r="B17468" s="3">
        <v>0</v>
      </c>
    </row>
    <row r="17469" ht="15.75" customHeight="1" spans="1:2">
      <c r="A17469" s="3" t="str">
        <f>IFERROR(__xludf.DUMMYFUNCTION("GOOGLETRANSLATE(A17469,""en"",""pt"")"),"Requer tintas específicas e papéis única boa qualidade.")</f>
        <v>Requer tintas específicas e papéis única boa qualidade.</v>
      </c>
      <c r="B17469" s="3">
        <v>0</v>
      </c>
    </row>
    <row r="17470" ht="15.75" customHeight="1" spans="1:2">
      <c r="A17470" s="3" t="str">
        <f>IFERROR(__xludf.DUMMYFUNCTION("GOOGLETRANSLATE(A17470,""en"",""pt"")"),"Leia.....")</f>
        <v>Leia.....</v>
      </c>
      <c r="B17470" s="3">
        <v>0</v>
      </c>
    </row>
    <row r="17471" ht="15.75" customHeight="1" spans="1:2">
      <c r="A17471" s="3" t="str">
        <f>IFERROR(__xludf.DUMMYFUNCTION("GOOGLETRANSLATE(A17471,""en"",""pt"")"),"ficar sem tinta para jejuar")</f>
        <v>ficar sem tinta para jejuar</v>
      </c>
      <c r="B17471" s="3">
        <v>0</v>
      </c>
    </row>
    <row r="17472" ht="15.75" customHeight="1" spans="1:2">
      <c r="A17472" s="3" t="str">
        <f>IFERROR(__xludf.DUMMYFUNCTION("GOOGLETRANSLATE(A17472,""en"",""pt"")"),"Tinta acabar maneira de rápida")</f>
        <v>Tinta acabar maneira de rápida</v>
      </c>
      <c r="B17472" s="3">
        <v>0</v>
      </c>
    </row>
    <row r="17473" ht="15.75" customHeight="1" spans="1:2">
      <c r="A17473" s="3" t="str">
        <f>IFERROR(__xludf.DUMMYFUNCTION("GOOGLETRANSLATE(A17473,""en"",""pt"")"),"preço da tinta; geral de qualidade de impressão")</f>
        <v>preço da tinta; geral de qualidade de impressão</v>
      </c>
      <c r="B17473" s="3">
        <v>0</v>
      </c>
    </row>
    <row r="17474" ht="15.75" customHeight="1" spans="1:2">
      <c r="A17474" s="3" t="s">
        <v>101</v>
      </c>
      <c r="B17474" s="3">
        <v>0</v>
      </c>
    </row>
    <row r="17475" ht="15.75" customHeight="1" spans="1:2">
      <c r="A17475" s="3" t="str">
        <f>IFERROR(__xludf.DUMMYFUNCTION("GOOGLETRANSLATE(A17475,""en"",""pt"")"),"Nenhum")</f>
        <v>Nenhum</v>
      </c>
      <c r="B17475" s="3">
        <v>0</v>
      </c>
    </row>
    <row r="17476" ht="15.75" customHeight="1" spans="1:2">
      <c r="A17476" s="3" t="str">
        <f>IFERROR(__xludf.DUMMYFUNCTION("GOOGLETRANSLATE(A17476,""en"",""pt"")"),"impressões a cores de baixa qualidade, cabo curto")</f>
        <v>impressões a cores de baixa qualidade, cabo curto</v>
      </c>
      <c r="B17476" s="3">
        <v>0</v>
      </c>
    </row>
    <row r="17477" ht="15.75" customHeight="1" spans="1:2">
      <c r="A17477" s="3" t="str">
        <f>IFERROR(__xludf.DUMMYFUNCTION("GOOGLETRANSLATE(A17477,""en"",""pt"")"),"atolamentos de papel e usos um monte de tinta muito rápido")</f>
        <v>atolamentos de papel e usos um monte de tinta muito rápido</v>
      </c>
      <c r="B17477" s="3">
        <v>0</v>
      </c>
    </row>
    <row r="17478" ht="15.75" customHeight="1" spans="1:2">
      <c r="A17478" s="3" t="str">
        <f>IFERROR(__xludf.DUMMYFUNCTION("GOOGLETRANSLATE(A17478,""en"",""pt"")"),"come-se a tinta da impressora rapidamente &amp; amp; # 13; &amp; amp; # 10; muito lentos &amp; amp; # 13; &amp; amp; # 10;")</f>
        <v>come-se a tinta da impressora rapidamente &amp; amp; # 13; &amp; amp; # 10; muito lentos &amp; amp; # 13; &amp; amp; # 10;</v>
      </c>
      <c r="B17478" s="3">
        <v>0</v>
      </c>
    </row>
    <row r="17479" ht="15.75" customHeight="1" spans="1:2">
      <c r="A17479" s="3" t="str">
        <f>IFERROR(__xludf.DUMMYFUNCTION("GOOGLETRANSLATE(A17479,""en"",""pt"")"),"Eles devem dar-lhe uma impressora livre após a compra de 5 cartuchos.")</f>
        <v>Eles devem dar-lhe uma impressora livre após a compra de 5 cartuchos.</v>
      </c>
      <c r="B17479" s="3">
        <v>0</v>
      </c>
    </row>
    <row r="17480" ht="15.75" customHeight="1" spans="1:2">
      <c r="A17480" s="3" t="str">
        <f>IFERROR(__xludf.DUMMYFUNCTION("GOOGLETRANSLATE(A17480,""en"",""pt"")"),"Alterando os cartuchos de tinta dentro e para fora para diferentes tarefas (cor / B &amp; amp; W)")</f>
        <v>Alterando os cartuchos de tinta dentro e para fora para diferentes tarefas (cor / B &amp; amp; W)</v>
      </c>
      <c r="B17480" s="3">
        <v>0</v>
      </c>
    </row>
    <row r="17481" ht="15.75" customHeight="1" spans="1:2">
      <c r="A17481" s="3" t="str">
        <f>IFERROR(__xludf.DUMMYFUNCTION("GOOGLETRANSLATE(A17481,""en"",""pt"")"),"o 4º canon em 3 anos")</f>
        <v>o 4º canon em 3 anos</v>
      </c>
      <c r="B17481" s="3">
        <v>0</v>
      </c>
    </row>
    <row r="17482" ht="15.75" customHeight="1" spans="1:2">
      <c r="A17482" s="3" t="str">
        <f>IFERROR(__xludf.DUMMYFUNCTION("GOOGLETRANSLATE(A17482,""en"",""pt"")"),"atolamentos de papel freqüentes &amp; amp; # 13; &amp; amp; # 10; qualidade de cor Bad longo prazo")</f>
        <v>atolamentos de papel freqüentes &amp; amp; # 13; &amp; amp; # 10; qualidade de cor Bad longo prazo</v>
      </c>
      <c r="B17482" s="3">
        <v>0</v>
      </c>
    </row>
    <row r="17483" ht="15.75" customHeight="1" spans="1:2">
      <c r="A17483" s="3" t="str">
        <f>IFERROR(__xludf.DUMMYFUNCTION("GOOGLETRANSLATE(A17483,""en"",""pt"")"),"feito barata")</f>
        <v>feito barata</v>
      </c>
      <c r="B17483" s="3">
        <v>0</v>
      </c>
    </row>
    <row r="17484" ht="15.75" customHeight="1" spans="1:2">
      <c r="A17484" s="3" t="str">
        <f>IFERROR(__xludf.DUMMYFUNCTION("GOOGLETRANSLATE(A17484,""en"",""pt"")"),"Não imprime muito rápido, capacidade para apenas dois cartuchos")</f>
        <v>Não imprime muito rápido, capacidade para apenas dois cartuchos</v>
      </c>
      <c r="B17484" s="3">
        <v>0</v>
      </c>
    </row>
    <row r="17485" ht="15.75" customHeight="1" spans="1:2">
      <c r="A17485" s="3" t="str">
        <f>IFERROR(__xludf.DUMMYFUNCTION("GOOGLETRANSLATE(A17485,""en"",""pt"")"),"limpeza é um pouco complicado, todas as definições para as diferentes impressões confusas")</f>
        <v>limpeza é um pouco complicado, todas as definições para as diferentes impressões confusas</v>
      </c>
      <c r="B17485" s="3">
        <v>0</v>
      </c>
    </row>
    <row r="17486" ht="15.75" customHeight="1" spans="1:2">
      <c r="A17486" s="3" t="str">
        <f>IFERROR(__xludf.DUMMYFUNCTION("GOOGLETRANSLATE(A17486,""en"",""pt"")"),"barulhento, embaçada, gotejante, lento")</f>
        <v>barulhento, embaçada, gotejante, lento</v>
      </c>
      <c r="B17486" s="3">
        <v>0</v>
      </c>
    </row>
    <row r="17487" ht="15.75" customHeight="1" spans="1:2">
      <c r="A17487" s="3" t="str">
        <f>IFERROR(__xludf.DUMMYFUNCTION("GOOGLETRANSLATE(A17487,""en"",""pt"")"),"qualidade de impressão a cores")</f>
        <v>qualidade de impressão a cores</v>
      </c>
      <c r="B17487" s="3">
        <v>0</v>
      </c>
    </row>
    <row r="17488" ht="15.75" customHeight="1" spans="1:2">
      <c r="A17488" s="3" t="str">
        <f>IFERROR(__xludf.DUMMYFUNCTION("GOOGLETRANSLATE(A17488,""en"",""pt"")"),"Um pouco lento, fica sem cor rápido")</f>
        <v>Um pouco lento, fica sem cor rápido</v>
      </c>
      <c r="B17488" s="3">
        <v>0</v>
      </c>
    </row>
    <row r="17489" ht="15.75" customHeight="1" spans="1:2">
      <c r="A17489" s="3" t="str">
        <f>IFERROR(__xludf.DUMMYFUNCTION("GOOGLETRANSLATE(A17489,""en"",""pt"")"),"papel encravar frequentemente, páginas a cores são lentos e difusa")</f>
        <v>papel encravar frequentemente, páginas a cores são lentos e difusa</v>
      </c>
      <c r="B17489" s="3">
        <v>0</v>
      </c>
    </row>
    <row r="17490" ht="15.75" customHeight="1" spans="1:2">
      <c r="A17490" s="3" t="str">
        <f>IFERROR(__xludf.DUMMYFUNCTION("GOOGLETRANSLATE(A17490,""en"",""pt"")"),"tudo o mais sobre ele")</f>
        <v>tudo o mais sobre ele</v>
      </c>
      <c r="B17490" s="3">
        <v>0</v>
      </c>
    </row>
    <row r="17491" ht="15.75" customHeight="1" spans="1:2">
      <c r="A17491" s="3" t="str">
        <f>IFERROR(__xludf.DUMMYFUNCTION("GOOGLETRANSLATE(A17491,""en"",""pt"")"),"DESEMPENHO TERRÍVEL - MAU SERVIÇO AO CLIENTE")</f>
        <v>DESEMPENHO TERRÍVEL - MAU SERVIÇO AO CLIENTE</v>
      </c>
      <c r="B17491" s="3">
        <v>0</v>
      </c>
    </row>
    <row r="17492" ht="15.75" customHeight="1" spans="1:2">
      <c r="A17492" s="3" t="str">
        <f>IFERROR(__xludf.DUMMYFUNCTION("GOOGLETRANSLATE(A17492,""en"",""pt"")"),"lento, não é recomendado para trabalhos de impressão em massa ou de trabalho high-end")</f>
        <v>lento, não é recomendado para trabalhos de impressão em massa ou de trabalho high-end</v>
      </c>
      <c r="B17492" s="3">
        <v>0</v>
      </c>
    </row>
    <row r="17493" ht="15.75" customHeight="1" spans="1:2">
      <c r="A17493" s="3" t="str">
        <f>IFERROR(__xludf.DUMMYFUNCTION("GOOGLETRANSLATE(A17493,""en"",""pt"")"),"caro manter-se")</f>
        <v>caro manter-se</v>
      </c>
      <c r="B17493" s="3">
        <v>0</v>
      </c>
    </row>
    <row r="17494" ht="15.75" customHeight="1" spans="1:2">
      <c r="A17494" s="3" t="str">
        <f>IFERROR(__xludf.DUMMYFUNCTION("GOOGLETRANSLATE(A17494,""en"",""pt"")"),"Rebate termina em breve!")</f>
        <v>Rebate termina em breve!</v>
      </c>
      <c r="B17494" s="3">
        <v>0</v>
      </c>
    </row>
    <row r="17495" ht="15.75" customHeight="1" spans="1:2">
      <c r="A17495" s="3" t="str">
        <f>IFERROR(__xludf.DUMMYFUNCTION("GOOGLETRANSLATE(A17495,""en"",""pt"")"),"Algumas propriedades de carga de papel")</f>
        <v>Algumas propriedades de carga de papel</v>
      </c>
      <c r="B17495" s="3">
        <v>0</v>
      </c>
    </row>
    <row r="17496" ht="15.75" customHeight="1" spans="1:2">
      <c r="A17496" s="3" t="str">
        <f>IFERROR(__xludf.DUMMYFUNCTION("GOOGLETRANSLATE(A17496,""en"",""pt"")"),"imprimir maior qualidade pode ser lento, um pouco de um porco de tinta.")</f>
        <v>imprimir maior qualidade pode ser lento, um pouco de um porco de tinta.</v>
      </c>
      <c r="B17496" s="3">
        <v>0</v>
      </c>
    </row>
    <row r="17497" ht="15.75" customHeight="1" spans="1:2">
      <c r="A17497" s="3" t="str">
        <f>IFERROR(__xludf.DUMMYFUNCTION("GOOGLETRANSLATE(A17497,""en"",""pt"")"),"Novo problema a cada mês.")</f>
        <v>Novo problema a cada mês.</v>
      </c>
      <c r="B17497" s="3">
        <v>0</v>
      </c>
    </row>
    <row r="17498" ht="15.75" customHeight="1" spans="1:2">
      <c r="A17498" s="3" t="str">
        <f>IFERROR(__xludf.DUMMYFUNCTION("GOOGLETRANSLATE(A17498,""en"",""pt"")"),"sedento de tinta, tinta seca rápido, cartuchos de tinta caros")</f>
        <v>sedento de tinta, tinta seca rápido, cartuchos de tinta caros</v>
      </c>
      <c r="B17498" s="3">
        <v>0</v>
      </c>
    </row>
    <row r="17499" ht="15.75" customHeight="1" spans="1:2">
      <c r="A17499" s="3" t="str">
        <f>IFERROR(__xludf.DUMMYFUNCTION("GOOGLETRANSLATE(A17499,""en"",""pt"")"),"imagens granuladas")</f>
        <v>imagens granuladas</v>
      </c>
      <c r="B17499" s="3">
        <v>0</v>
      </c>
    </row>
    <row r="17500" ht="15.75" customHeight="1" spans="1:2">
      <c r="A17500" s="3" t="str">
        <f>IFERROR(__xludf.DUMMYFUNCTION("GOOGLETRANSLATE(A17500,""en"",""pt"")"),"Poderia imprimir mais páginas por minuto")</f>
        <v>Poderia imprimir mais páginas por minuto</v>
      </c>
      <c r="B17500" s="3">
        <v>0</v>
      </c>
    </row>
    <row r="17501" ht="15.75" customHeight="1" spans="1:2">
      <c r="A17501" s="3" t="str">
        <f>IFERROR(__xludf.DUMMYFUNCTION("GOOGLETRANSLATE(A17501,""en"",""pt"")"),"cartucho de tinta se esgota muito rapidamente")</f>
        <v>cartucho de tinta se esgota muito rapidamente</v>
      </c>
      <c r="B17501" s="3">
        <v>0</v>
      </c>
    </row>
    <row r="17502" ht="15.75" customHeight="1" spans="1:2">
      <c r="A17502" s="3" t="str">
        <f>IFERROR(__xludf.DUMMYFUNCTION("GOOGLETRANSLATE(A17502,""en"",""pt"")"),"qualidade da cor não foi ótimo")</f>
        <v>qualidade da cor não foi ótimo</v>
      </c>
      <c r="B17502" s="3">
        <v>0</v>
      </c>
    </row>
    <row r="17503" ht="15.75" customHeight="1" spans="1:2">
      <c r="A17503" s="3" t="str">
        <f>IFERROR(__xludf.DUMMYFUNCTION("GOOGLETRANSLATE(A17503,""en"",""pt"")"),"tamanho pequeno cartucho")</f>
        <v>tamanho pequeno cartucho</v>
      </c>
      <c r="B17503" s="3">
        <v>0</v>
      </c>
    </row>
    <row r="17504" ht="15.75" customHeight="1" spans="1:2">
      <c r="A17504" s="3" t="str">
        <f>IFERROR(__xludf.DUMMYFUNCTION("GOOGLETRANSLATE(A17504,""en"",""pt"")"),"Cartuchos de tinta não durou muito tempo, falhas frequentes nos trabalhos de impressão")</f>
        <v>Cartuchos de tinta não durou muito tempo, falhas frequentes nos trabalhos de impressão</v>
      </c>
      <c r="B17504" s="3">
        <v>0</v>
      </c>
    </row>
    <row r="17505" ht="15.75" customHeight="1" spans="1:2">
      <c r="A17505" s="3" t="str">
        <f>IFERROR(__xludf.DUMMYFUNCTION("GOOGLETRANSLATE(A17505,""en"",""pt"")"),"tamanho do cartucho")</f>
        <v>tamanho do cartucho</v>
      </c>
      <c r="B17505" s="3">
        <v>0</v>
      </c>
    </row>
    <row r="17506" ht="15.75" customHeight="1" spans="1:2">
      <c r="A17506" s="3" t="str">
        <f>IFERROR(__xludf.DUMMYFUNCTION("GOOGLETRANSLATE(A17506,""en"",""pt"")"),"cartuchos de tinta -Custo muito e freqüentemente ser substituído")</f>
        <v>cartuchos de tinta -Custo muito e freqüentemente ser substituído</v>
      </c>
      <c r="B17506" s="3">
        <v>0</v>
      </c>
    </row>
    <row r="17507" ht="15.75" customHeight="1" spans="1:2">
      <c r="A17507" s="3" t="str">
        <f>IFERROR(__xludf.DUMMYFUNCTION("GOOGLETRANSLATE(A17507,""en"",""pt"")"),"tanques caros e apoio pobres tecnologia")</f>
        <v>tanques caros e apoio pobres tecnologia</v>
      </c>
      <c r="B17507" s="3">
        <v>0</v>
      </c>
    </row>
    <row r="17508" ht="15.75" customHeight="1" spans="1:2">
      <c r="A17508" s="3" t="str">
        <f>IFERROR(__xludf.DUMMYFUNCTION("GOOGLETRANSLATE(A17508,""en"",""pt"")"),"Ter de substituir os cartuchos de tinta a cada três semanas chega a ser bastante oneroso.")</f>
        <v>Ter de substituir os cartuchos de tinta a cada três semanas chega a ser bastante oneroso.</v>
      </c>
      <c r="B17508" s="3">
        <v>0</v>
      </c>
    </row>
    <row r="17509" ht="15.75" customHeight="1" spans="1:2">
      <c r="A17509" s="3" t="str">
        <f>IFERROR(__xludf.DUMMYFUNCTION("GOOGLETRANSLATE(A17509,""en"",""pt"")"),"Um modelo de gama baixa, não para gráficos pesados ​​ou fotografias")</f>
        <v>Um modelo de gama baixa, não para gráficos pesados ​​ou fotografias</v>
      </c>
      <c r="B17509" s="3">
        <v>0</v>
      </c>
    </row>
    <row r="17510" ht="15.75" customHeight="1" spans="1:2">
      <c r="A17510" s="3" t="str">
        <f>IFERROR(__xludf.DUMMYFUNCTION("GOOGLETRANSLATE(A17510,""en"",""pt"")"),"velocidade, velocidade, velocidade")</f>
        <v>velocidade, velocidade, velocidade</v>
      </c>
      <c r="B17510" s="3">
        <v>0</v>
      </c>
    </row>
    <row r="17511" ht="15.75" customHeight="1" spans="1:2">
      <c r="A17511" s="3" t="str">
        <f>IFERROR(__xludf.DUMMYFUNCTION("GOOGLETRANSLATE(A17511,""en"",""pt"")"),"lento para entregar para a impressora, não muito ruim")</f>
        <v>lento para entregar para a impressora, não muito ruim</v>
      </c>
      <c r="B17511" s="3">
        <v>0</v>
      </c>
    </row>
    <row r="17512" ht="15.75" customHeight="1" spans="1:2">
      <c r="A17512" s="3" t="str">
        <f>IFERROR(__xludf.DUMMYFUNCTION("GOOGLETRANSLATE(A17512,""en"",""pt"")"),"não vai imprimir mapas")</f>
        <v>não vai imprimir mapas</v>
      </c>
      <c r="B17512" s="3">
        <v>0</v>
      </c>
    </row>
    <row r="17513" ht="15.75" customHeight="1" spans="1:2">
      <c r="A17513" s="3" t="str">
        <f>IFERROR(__xludf.DUMMYFUNCTION("GOOGLETRANSLATE(A17513,""en"",""pt"")"),"baixa qualidade")</f>
        <v>baixa qualidade</v>
      </c>
      <c r="B17513" s="3">
        <v>0</v>
      </c>
    </row>
    <row r="17514" ht="15.75" customHeight="1" spans="1:2">
      <c r="A17514" s="3" t="str">
        <f>IFERROR(__xludf.DUMMYFUNCTION("GOOGLETRANSLATE(A17514,""en"",""pt"")"),"os cartuchos de tinta cara.")</f>
        <v>os cartuchos de tinta cara.</v>
      </c>
      <c r="B17514" s="3">
        <v>0</v>
      </c>
    </row>
    <row r="17515" ht="15.75" customHeight="1" spans="1:2">
      <c r="A17515" s="3" t="str">
        <f>IFERROR(__xludf.DUMMYFUNCTION("GOOGLETRANSLATE(A17515,""en"",""pt"")"),"n / D")</f>
        <v>n / D</v>
      </c>
      <c r="B17515" s="3">
        <v>0</v>
      </c>
    </row>
    <row r="17516" ht="15.75" customHeight="1" spans="1:2">
      <c r="A17516" s="3" t="str">
        <f>IFERROR(__xludf.DUMMYFUNCTION("GOOGLETRANSLATE(A17516,""en"",""pt"")"),"tinta caro")</f>
        <v>tinta caro</v>
      </c>
      <c r="B17516" s="3">
        <v>0</v>
      </c>
    </row>
    <row r="17517" ht="15.75" customHeight="1" spans="1:2">
      <c r="A17517" s="3" t="str">
        <f>IFERROR(__xludf.DUMMYFUNCTION("GOOGLETRANSLATE(A17517,""en"",""pt"")"),"não a melhor qualidade, mas tudo bem")</f>
        <v>não a melhor qualidade, mas tudo bem</v>
      </c>
      <c r="B17517" s="3">
        <v>0</v>
      </c>
    </row>
    <row r="17518" ht="15.75" customHeight="1" spans="1:2">
      <c r="A17518" s="3" t="str">
        <f>IFERROR(__xludf.DUMMYFUNCTION("GOOGLETRANSLATE(A17518,""en"",""pt"")"),"NENHUM")</f>
        <v>NENHUM</v>
      </c>
      <c r="B17518" s="3">
        <v>0</v>
      </c>
    </row>
    <row r="17519" ht="15.75" customHeight="1" spans="1:2">
      <c r="A17519" s="3" t="str">
        <f>IFERROR(__xludf.DUMMYFUNCTION("GOOGLETRANSLATE(A17519,""en"",""pt"")"),"5 velocidade de impressão PPM")</f>
        <v>5 velocidade de impressão PPM</v>
      </c>
      <c r="B17519" s="3">
        <v>0</v>
      </c>
    </row>
    <row r="17520" ht="15.75" customHeight="1" spans="1:2">
      <c r="A17520" s="3" t="str">
        <f>IFERROR(__xludf.DUMMYFUNCTION("GOOGLETRANSLATE(A17520,""en"",""pt"")"),"ALGO FALTA")</f>
        <v>ALGO FALTA</v>
      </c>
      <c r="B17520" s="3">
        <v>0</v>
      </c>
    </row>
    <row r="17521" ht="15.75" customHeight="1" spans="1:2">
      <c r="A17521" s="3" t="str">
        <f>IFERROR(__xludf.DUMMYFUNCTION("GOOGLETRANSLATE(A17521,""en"",""pt"")"),"Preço de cartuchos de tinta, velocidade de impressão")</f>
        <v>Preço de cartuchos de tinta, velocidade de impressão</v>
      </c>
      <c r="B17521" s="3">
        <v>0</v>
      </c>
    </row>
    <row r="17522" ht="15.75" customHeight="1" spans="1:2">
      <c r="A17522" s="3" t="str">
        <f>IFERROR(__xludf.DUMMYFUNCTION("GOOGLETRANSLATE(A17522,""en"",""pt"")"),"Os custos de tinta substituindo")</f>
        <v>Os custos de tinta substituindo</v>
      </c>
      <c r="B17522" s="3">
        <v>0</v>
      </c>
    </row>
    <row r="17523" ht="15.75" customHeight="1" spans="1:2">
      <c r="A17523" s="3" t="str">
        <f>IFERROR(__xludf.DUMMYFUNCTION("GOOGLETRANSLATE(A17523,""en"",""pt"")"),"lento")</f>
        <v>lento</v>
      </c>
      <c r="B17523" s="3">
        <v>0</v>
      </c>
    </row>
    <row r="17524" ht="15.75" customHeight="1" spans="1:2">
      <c r="A17524" s="3" t="str">
        <f>IFERROR(__xludf.DUMMYFUNCTION("GOOGLETRANSLATE(A17524,""en"",""pt"")"),"Uma página de cada vez")</f>
        <v>Uma página de cada vez</v>
      </c>
      <c r="B17524" s="3">
        <v>0</v>
      </c>
    </row>
    <row r="17525" ht="15.75" customHeight="1" spans="1:2">
      <c r="A17525" s="3" t="str">
        <f>IFERROR(__xludf.DUMMYFUNCTION("GOOGLETRANSLATE(A17525,""en"",""pt"")"),"Nenhum")</f>
        <v>Nenhum</v>
      </c>
      <c r="B17525" s="3">
        <v>0</v>
      </c>
    </row>
    <row r="17526" ht="15.75" customHeight="1" spans="1:2">
      <c r="A17526" s="3" t="str">
        <f>IFERROR(__xludf.DUMMYFUNCTION("GOOGLETRANSLATE(A17526,""en"",""pt"")"),"drivers originais, quantidade de tinta muito pequeno")</f>
        <v>drivers originais, quantidade de tinta muito pequeno</v>
      </c>
      <c r="B17526" s="3">
        <v>0</v>
      </c>
    </row>
    <row r="17527" ht="15.75" customHeight="1" spans="1:2">
      <c r="A17527" s="3" t="str">
        <f>IFERROR(__xludf.DUMMYFUNCTION("GOOGLETRANSLATE(A17527,""en"",""pt"")"),"Alto consumo de tinta, qualidade de impressão com bom papel, bandeja de papel pequena")</f>
        <v>Alto consumo de tinta, qualidade de impressão com bom papel, bandeja de papel pequena</v>
      </c>
      <c r="B17527" s="3">
        <v>0</v>
      </c>
    </row>
    <row r="17528" ht="15.75" customHeight="1" spans="1:2">
      <c r="A17528" s="3" t="str">
        <f>IFERROR(__xludf.DUMMYFUNCTION("GOOGLETRANSLATE(A17528,""en"",""pt"")"),"Nenhum")</f>
        <v>Nenhum</v>
      </c>
      <c r="B17528" s="3">
        <v>0</v>
      </c>
    </row>
    <row r="17529" ht="15.75" customHeight="1" spans="1:2">
      <c r="A17529" s="3" t="str">
        <f>IFERROR(__xludf.DUMMYFUNCTION("GOOGLETRANSLATE(A17529,""en"",""pt"")"),"Muito devagar")</f>
        <v>Muito devagar</v>
      </c>
      <c r="B17529" s="3">
        <v>0</v>
      </c>
    </row>
    <row r="17530" ht="15.75" customHeight="1" spans="1:2">
      <c r="A17530" s="3" t="str">
        <f>IFERROR(__xludf.DUMMYFUNCTION("GOOGLETRANSLATE(A17530,""en"",""pt"")"),"o barulho")</f>
        <v>o barulho</v>
      </c>
      <c r="B17530" s="3">
        <v>0</v>
      </c>
    </row>
    <row r="17531" ht="15.75" customHeight="1" spans="1:2">
      <c r="A17531" s="3" t="str">
        <f>IFERROR(__xludf.DUMMYFUNCTION("GOOGLETRANSLATE(A17531,""en"",""pt"")"),"Ocasionalmente pode levar algum tempo para obter as impressões.")</f>
        <v>Ocasionalmente pode levar algum tempo para obter as impressões.</v>
      </c>
      <c r="B17531" s="3">
        <v>0</v>
      </c>
    </row>
    <row r="17532" ht="15.75" customHeight="1" spans="1:2">
      <c r="A17532" s="3" t="str">
        <f>IFERROR(__xludf.DUMMYFUNCTION("GOOGLETRANSLATE(A17532,""en"",""pt"")"),"É executado fora do rápido tinta, má qualidade de cor, scanner verifica somente documentos")</f>
        <v>É executado fora do rápido tinta, má qualidade de cor, scanner verifica somente documentos</v>
      </c>
      <c r="B17532" s="3">
        <v>0</v>
      </c>
    </row>
    <row r="17533" ht="15.75" customHeight="1" spans="1:2">
      <c r="A17533" s="3" t="str">
        <f>IFERROR(__xludf.DUMMYFUNCTION("GOOGLETRANSLATE(A17533,""en"",""pt"")"),"Cartucho de tinta precisa ser substituído Muitas vezes")</f>
        <v>Cartucho de tinta precisa ser substituído Muitas vezes</v>
      </c>
      <c r="B17533" s="3">
        <v>0</v>
      </c>
    </row>
    <row r="17534" ht="15.75" customHeight="1" spans="1:2">
      <c r="A17534" s="3" t="str">
        <f>IFERROR(__xludf.DUMMYFUNCTION("GOOGLETRANSLATE(A17534,""en"",""pt"")"),"Uma espécie de lento")</f>
        <v>Uma espécie de lento</v>
      </c>
      <c r="B17534" s="3">
        <v>0</v>
      </c>
    </row>
    <row r="17535" ht="15.75" customHeight="1" spans="1:2">
      <c r="A17535" s="3" t="str">
        <f>IFERROR(__xludf.DUMMYFUNCTION("GOOGLETRANSLATE(A17535,""en"",""pt"")"),"Não espaço suficiente para digitá-los todos aqui, por favor leia o epinion")</f>
        <v>Não espaço suficiente para digitá-los todos aqui, por favor leia o epinion</v>
      </c>
      <c r="B17535" s="3">
        <v>0</v>
      </c>
    </row>
    <row r="17536" ht="15.75" customHeight="1" spans="1:2">
      <c r="A17536" s="3" t="str">
        <f>IFERROR(__xludf.DUMMYFUNCTION("GOOGLETRANSLATE(A17536,""en"",""pt"")"),"O seu serviço é quase inexistente")</f>
        <v>O seu serviço é quase inexistente</v>
      </c>
      <c r="B17536" s="3">
        <v>0</v>
      </c>
    </row>
    <row r="17537" ht="15.75" customHeight="1" spans="1:2">
      <c r="A17537" s="3" t="str">
        <f>IFERROR(__xludf.DUMMYFUNCTION("GOOGLETRANSLATE(A17537,""en"",""pt"")"),"A qualidade de impressão dos gráficos não o mais brilhante")</f>
        <v>A qualidade de impressão dos gráficos não o mais brilhante</v>
      </c>
      <c r="B17537" s="3">
        <v>0</v>
      </c>
    </row>
    <row r="17538" ht="15.75" customHeight="1" spans="1:2">
      <c r="A17538" s="3" t="str">
        <f>IFERROR(__xludf.DUMMYFUNCTION("GOOGLETRANSLATE(A17538,""en"",""pt"")"),"Alguma dificuldade reiniciar após atolamento de papel.")</f>
        <v>Alguma dificuldade reiniciar após atolamento de papel.</v>
      </c>
      <c r="B17538" s="3">
        <v>0</v>
      </c>
    </row>
    <row r="17539" ht="15.75" customHeight="1" spans="1:2">
      <c r="A17539" s="3" t="str">
        <f>IFERROR(__xludf.DUMMYFUNCTION("GOOGLETRANSLATE(A17539,""en"",""pt"")"),"Apenas 1 botão")</f>
        <v>Apenas 1 botão</v>
      </c>
      <c r="B17539" s="3">
        <v>0</v>
      </c>
    </row>
    <row r="17540" ht="15.75" customHeight="1" spans="1:2">
      <c r="A17540" s="3" t="str">
        <f>IFERROR(__xludf.DUMMYFUNCTION("GOOGLETRANSLATE(A17540,""en"",""pt"")"),"não tão alta qualidade como as marcas mais caras")</f>
        <v>não tão alta qualidade como as marcas mais caras</v>
      </c>
      <c r="B17540" s="3">
        <v>0</v>
      </c>
    </row>
    <row r="17541" ht="15.75" customHeight="1" spans="1:2">
      <c r="A17541" s="3" t="str">
        <f>IFERROR(__xludf.DUMMYFUNCTION("GOOGLETRANSLATE(A17541,""en"",""pt"")"),"usa muita tinta")</f>
        <v>usa muita tinta</v>
      </c>
      <c r="B17541" s="3">
        <v>0</v>
      </c>
    </row>
    <row r="17542" ht="15.75" customHeight="1" spans="1:2">
      <c r="A17542" s="3" t="str">
        <f>IFERROR(__xludf.DUMMYFUNCTION("GOOGLETRANSLATE(A17542,""en"",""pt"")"),"Confira o consumo de tinta sobre este bad boy")</f>
        <v>Confira o consumo de tinta sobre este bad boy</v>
      </c>
      <c r="B17542" s="3">
        <v>0</v>
      </c>
    </row>
    <row r="17543" ht="15.75" customHeight="1" spans="1:2">
      <c r="A17543" s="3" t="str">
        <f>IFERROR(__xludf.DUMMYFUNCTION("GOOGLETRANSLATE(A17543,""en"",""pt"")"),"nenhuma luz para dizer se é ou não ligado!")</f>
        <v>nenhuma luz para dizer se é ou não ligado!</v>
      </c>
      <c r="B17543" s="3">
        <v>0</v>
      </c>
    </row>
    <row r="17544" ht="15.75" customHeight="1" spans="1:2">
      <c r="A17544" s="3" t="str">
        <f>IFERROR(__xludf.DUMMYFUNCTION("GOOGLETRANSLATE(A17544,""en"",""pt"")"),"Mais lento, menor qualidade de impressão ... mas é apenas US $ 30.")</f>
        <v>Mais lento, menor qualidade de impressão ... mas é apenas US $ 30.</v>
      </c>
      <c r="B17544" s="3">
        <v>0</v>
      </c>
    </row>
    <row r="17545" ht="15.75" customHeight="1" spans="1:2">
      <c r="A17545" s="3" t="str">
        <f>IFERROR(__xludf.DUMMYFUNCTION("GOOGLETRANSLATE(A17545,""en"",""pt"")"),"Lento como todos Parreira")</f>
        <v>Lento como todos Parreira</v>
      </c>
      <c r="B17545" s="3">
        <v>0</v>
      </c>
    </row>
    <row r="17546" ht="15.75" customHeight="1" spans="1:2">
      <c r="A17546" s="3" t="str">
        <f>IFERROR(__xludf.DUMMYFUNCTION("GOOGLETRANSLATE(A17546,""en"",""pt"")"),"impressão semi-lenta")</f>
        <v>impressão semi-lenta</v>
      </c>
      <c r="B17546" s="3">
        <v>0</v>
      </c>
    </row>
    <row r="17547" ht="15.75" customHeight="1" spans="1:2">
      <c r="A17547" s="3" t="str">
        <f>IFERROR(__xludf.DUMMYFUNCTION("GOOGLETRANSLATE(A17547,""en"",""pt"")"),"os cartuchos de tinta são um pouco caro")</f>
        <v>os cartuchos de tinta são um pouco caro</v>
      </c>
      <c r="B17547" s="3">
        <v>0</v>
      </c>
    </row>
    <row r="17548" ht="15.75" customHeight="1" spans="1:2">
      <c r="A17548" s="3" t="str">
        <f>IFERROR(__xludf.DUMMYFUNCTION("GOOGLETRANSLATE(A17548,""en"",""pt"")"),"Ink é caro")</f>
        <v>Ink é caro</v>
      </c>
      <c r="B17548" s="3">
        <v>0</v>
      </c>
    </row>
    <row r="17549" ht="15.75" customHeight="1" spans="1:2">
      <c r="A17549" s="3" t="str">
        <f>IFERROR(__xludf.DUMMYFUNCTION("GOOGLETRANSLATE(A17549,""en"",""pt"")"),"tinta preta é executado seco, suporte técnico suga")</f>
        <v>tinta preta é executado seco, suporte técnico suga</v>
      </c>
      <c r="B17549" s="3">
        <v>0</v>
      </c>
    </row>
    <row r="17550" ht="15.75" customHeight="1" spans="1:2">
      <c r="A17550" s="3" t="str">
        <f>IFERROR(__xludf.DUMMYFUNCTION("GOOGLETRANSLATE(A17550,""en"",""pt"")"),"Não imprime fotos muito bem")</f>
        <v>Não imprime fotos muito bem</v>
      </c>
      <c r="B17550" s="3">
        <v>0</v>
      </c>
    </row>
    <row r="17551" ht="15.75" customHeight="1" spans="1:2">
      <c r="A17551" s="3" t="str">
        <f>IFERROR(__xludf.DUMMYFUNCTION("GOOGLETRANSLATE(A17551,""en"",""pt"")"),"cartuchos de cor pequeno e eles custam muito caro")</f>
        <v>cartuchos de cor pequeno e eles custam muito caro</v>
      </c>
      <c r="B17551" s="3">
        <v>0</v>
      </c>
    </row>
    <row r="17552" ht="15.75" customHeight="1" spans="1:2">
      <c r="A17552" s="3" t="str">
        <f>IFERROR(__xludf.DUMMYFUNCTION("GOOGLETRANSLATE(A17552,""en"",""pt"")"),"nenhum alerta no cartucho vazio")</f>
        <v>nenhum alerta no cartucho vazio</v>
      </c>
      <c r="B17552" s="3">
        <v>0</v>
      </c>
    </row>
    <row r="17553" ht="15.75" customHeight="1" spans="1:2">
      <c r="A17553" s="3" t="str">
        <f>IFERROR(__xludf.DUMMYFUNCTION("GOOGLETRANSLATE(A17553,""en"",""pt"")"),"Nenhum")</f>
        <v>Nenhum</v>
      </c>
      <c r="B17553" s="3">
        <v>0</v>
      </c>
    </row>
    <row r="17554" ht="15.75" customHeight="1" spans="1:2">
      <c r="A17554" s="3" t="str">
        <f>IFERROR(__xludf.DUMMYFUNCTION("GOOGLETRANSLATE(A17554,""en"",""pt"")"),"Lower melhor qualidade de impressão, sem o kit de foto.")</f>
        <v>Lower melhor qualidade de impressão, sem o kit de foto.</v>
      </c>
      <c r="B17554" s="3">
        <v>0</v>
      </c>
    </row>
    <row r="17555" ht="15.75" customHeight="1" spans="1:2">
      <c r="A17555" s="3" t="str">
        <f>IFERROR(__xludf.DUMMYFUNCTION("GOOGLETRANSLATE(A17555,""en"",""pt"")"),"Fique ligado")</f>
        <v>Fique ligado</v>
      </c>
      <c r="B17555" s="3">
        <v>0</v>
      </c>
    </row>
    <row r="17556" ht="15.75" customHeight="1" spans="1:2">
      <c r="A17556" s="3" t="str">
        <f>IFERROR(__xludf.DUMMYFUNCTION("GOOGLETRANSLATE(A17556,""en"",""pt"")"),"não duráveis ​​tanques de tinta")</f>
        <v>não duráveis ​​tanques de tinta</v>
      </c>
      <c r="B17556" s="3">
        <v>0</v>
      </c>
    </row>
    <row r="17557" ht="15.75" customHeight="1" spans="1:2">
      <c r="A17557" s="3" t="str">
        <f>IFERROR(__xludf.DUMMYFUNCTION("GOOGLETRANSLATE(A17557,""en"",""pt"")"),"Os cartuchos de tinta são caros")</f>
        <v>Os cartuchos de tinta são caros</v>
      </c>
      <c r="B17557" s="3">
        <v>0</v>
      </c>
    </row>
    <row r="17558" ht="15.75" customHeight="1" spans="1:2">
      <c r="A17558" s="3" t="str">
        <f>IFERROR(__xludf.DUMMYFUNCTION("GOOGLETRANSLATE(A17558,""en"",""pt"")"),"Cartucho de tinta de qualidade pobre")</f>
        <v>Cartucho de tinta de qualidade pobre</v>
      </c>
      <c r="B17558" s="3">
        <v>0</v>
      </c>
    </row>
    <row r="17559" ht="15.75" customHeight="1" spans="1:2">
      <c r="A17559" s="3" t="str">
        <f>IFERROR(__xludf.DUMMYFUNCTION("GOOGLETRANSLATE(A17559,""en"",""pt"")"),"Não tão rápido como eu gostaria")</f>
        <v>Não tão rápido como eu gostaria</v>
      </c>
      <c r="B17559" s="3">
        <v>0</v>
      </c>
    </row>
    <row r="17560" ht="15.75" customHeight="1" spans="1:2">
      <c r="A17560" s="3" t="str">
        <f>IFERROR(__xludf.DUMMYFUNCTION("GOOGLETRANSLATE(A17560,""en"",""pt"")"),"come tinta muito rápido")</f>
        <v>come tinta muito rápido</v>
      </c>
      <c r="B17560" s="3">
        <v>0</v>
      </c>
    </row>
    <row r="17561" ht="15.75" customHeight="1" spans="1:2">
      <c r="A17561" s="3" t="str">
        <f>IFERROR(__xludf.DUMMYFUNCTION("GOOGLETRANSLATE(A17561,""en"",""pt"")"),"É um pedaço total de lixo.")</f>
        <v>É um pedaço total de lixo.</v>
      </c>
      <c r="B17561" s="3">
        <v>0</v>
      </c>
    </row>
    <row r="17562" ht="15.75" customHeight="1" spans="1:2">
      <c r="A17562" s="3" t="str">
        <f>IFERROR(__xludf.DUMMYFUNCTION("GOOGLETRANSLATE(A17562,""en"",""pt"")"),"mas não irá funcionar em todos no meu sistema")</f>
        <v>mas não irá funcionar em todos no meu sistema</v>
      </c>
      <c r="B17562" s="3">
        <v>0</v>
      </c>
    </row>
    <row r="17563" ht="15.75" customHeight="1" spans="1:2">
      <c r="A17563" s="3" t="str">
        <f>IFERROR(__xludf.DUMMYFUNCTION("GOOGLETRANSLATE(A17563,""en"",""pt"")"),"não encontrei nenhuma ainda")</f>
        <v>não encontrei nenhuma ainda</v>
      </c>
      <c r="B17563" s="3">
        <v>0</v>
      </c>
    </row>
    <row r="17564" ht="15.75" customHeight="1" spans="1:2">
      <c r="A17564" s="3" t="str">
        <f>IFERROR(__xludf.DUMMYFUNCTION("GOOGLETRANSLATE(A17564,""en"",""pt"")"),"Nenhum indicador de tinta, usa tinta demasiado rapidamente")</f>
        <v>Nenhum indicador de tinta, usa tinta demasiado rapidamente</v>
      </c>
      <c r="B17564" s="3">
        <v>0</v>
      </c>
    </row>
    <row r="17565" ht="15.75" customHeight="1" spans="1:2">
      <c r="A17565" s="3" t="str">
        <f>IFERROR(__xludf.DUMMYFUNCTION("GOOGLETRANSLATE(A17565,""en"",""pt"")"),"não funcionou")</f>
        <v>não funcionou</v>
      </c>
      <c r="B17565" s="3">
        <v>0</v>
      </c>
    </row>
    <row r="17566" ht="15.75" customHeight="1" spans="1:2">
      <c r="A17566" s="3" t="str">
        <f>IFERROR(__xludf.DUMMYFUNCTION("GOOGLETRANSLATE(A17566,""en"",""pt"")"),"não excepcional de qualquer forma")</f>
        <v>não excepcional de qualquer forma</v>
      </c>
      <c r="B17566" s="3">
        <v>0</v>
      </c>
    </row>
    <row r="17567" ht="15.75" customHeight="1" spans="1:2">
      <c r="A17567" s="3" t="str">
        <f>IFERROR(__xludf.DUMMYFUNCTION("GOOGLETRANSLATE(A17567,""en"",""pt"")"),"No indicador de nível de tinta")</f>
        <v>No indicador de nível de tinta</v>
      </c>
      <c r="B17567" s="3">
        <v>0</v>
      </c>
    </row>
    <row r="17568" ht="15.75" customHeight="1" spans="1:2">
      <c r="A17568" s="3" t="str">
        <f>IFERROR(__xludf.DUMMYFUNCTION("GOOGLETRANSLATE(A17568,""en"",""pt"")"),"Baixa velocidade de impressão")</f>
        <v>Baixa velocidade de impressão</v>
      </c>
      <c r="B17568" s="3">
        <v>0</v>
      </c>
    </row>
    <row r="17569" ht="15.75" customHeight="1" spans="1:2">
      <c r="A17569" s="3" t="str">
        <f>IFERROR(__xludf.DUMMYFUNCTION("GOOGLETRANSLATE(A17569,""en"",""pt"")"),"Nunca imprime em cores.")</f>
        <v>Nunca imprime em cores.</v>
      </c>
      <c r="B17569" s="3">
        <v>0</v>
      </c>
    </row>
    <row r="17570" ht="15.75" customHeight="1" spans="1:2">
      <c r="A17570" s="3" t="str">
        <f>IFERROR(__xludf.DUMMYFUNCTION("GOOGLETRANSLATE(A17570,""en"",""pt"")"),"Nada até agora. (Eu usei-o &amp; lt; i &amp; gt; um monte &amp; lt; / i &amp; gt;. Por mais de um ano e meio)")</f>
        <v>Nada até agora. (Eu usei-o &amp; lt; i &amp; gt; um monte &amp; lt; / i &amp; gt;. Por mais de um ano e meio)</v>
      </c>
      <c r="B17570" s="3">
        <v>0</v>
      </c>
    </row>
    <row r="17571" ht="15.75" customHeight="1" spans="1:2">
      <c r="A17571" s="3" t="str">
        <f>IFERROR(__xludf.DUMMYFUNCTION("GOOGLETRANSLATE(A17571,""en"",""pt"")"),"Engole-se os cartuchos de tinta")</f>
        <v>Engole-se os cartuchos de tinta</v>
      </c>
      <c r="B17571" s="3">
        <v>0</v>
      </c>
    </row>
    <row r="17572" ht="15.75" customHeight="1" spans="1:2">
      <c r="A17572" s="3" t="str">
        <f>IFERROR(__xludf.DUMMYFUNCTION("GOOGLETRANSLATE(A17572,""en"",""pt"")"),"A qualidade de impressão não dura tanto tempo.")</f>
        <v>A qualidade de impressão não dura tanto tempo.</v>
      </c>
      <c r="B17572" s="3">
        <v>0</v>
      </c>
    </row>
    <row r="17573" ht="15.75" customHeight="1" spans="1:2">
      <c r="A17573" s="3" t="str">
        <f>IFERROR(__xludf.DUMMYFUNCTION("GOOGLETRANSLATE(A17573,""en"",""pt"")"),"não sabe quando vai ficar sem tinta!")</f>
        <v>não sabe quando vai ficar sem tinta!</v>
      </c>
      <c r="B17573" s="3">
        <v>0</v>
      </c>
    </row>
    <row r="17574" ht="15.75" customHeight="1" spans="1:2">
      <c r="A17574" s="3" t="str">
        <f>IFERROR(__xludf.DUMMYFUNCTION("GOOGLETRANSLATE(A17574,""en"",""pt"")"),"Canon BJC 2110: barato de qualidade de impressão, Bland cores, SLOW")</f>
        <v>Canon BJC 2110: barato de qualidade de impressão, Bland cores, SLOW</v>
      </c>
      <c r="B17574" s="3">
        <v>0</v>
      </c>
    </row>
    <row r="17575" ht="15.75" customHeight="1" spans="1:2">
      <c r="A17575" s="3" t="str">
        <f>IFERROR(__xludf.DUMMYFUNCTION("GOOGLETRANSLATE(A17575,""en"",""pt"")"),"Noisey, não swich para desligá-lo, velocidade baixa")</f>
        <v>Noisey, não swich para desligá-lo, velocidade baixa</v>
      </c>
      <c r="B17575" s="3">
        <v>0</v>
      </c>
    </row>
    <row r="17576" ht="15.75" customHeight="1" spans="1:2">
      <c r="A17576" s="3" t="str">
        <f>IFERROR(__xludf.DUMMYFUNCTION("GOOGLETRANSLATE(A17576,""en"",""pt"")"),"cartucho de tinta preta se esgota rapidamente.")</f>
        <v>cartucho de tinta preta se esgota rapidamente.</v>
      </c>
      <c r="B17576" s="3">
        <v>0</v>
      </c>
    </row>
    <row r="17577" ht="15.75" customHeight="1" spans="1:2">
      <c r="A17577" s="3" t="str">
        <f>IFERROR(__xludf.DUMMYFUNCTION("GOOGLETRANSLATE(A17577,""en"",""pt"")"),"impressão lenta")</f>
        <v>impressão lenta</v>
      </c>
      <c r="B17577" s="3">
        <v>0</v>
      </c>
    </row>
    <row r="17578" ht="15.75" customHeight="1" spans="1:2">
      <c r="A17578" s="3" t="str">
        <f>IFERROR(__xludf.DUMMYFUNCTION("GOOGLETRANSLATE(A17578,""en"",""pt"")"),"o 4º canon em 3 anos")</f>
        <v>o 4º canon em 3 anos</v>
      </c>
      <c r="B17578" s="3">
        <v>0</v>
      </c>
    </row>
    <row r="17579" ht="15.75" customHeight="1" spans="1:2">
      <c r="A17579" s="3" t="str">
        <f>IFERROR(__xludf.DUMMYFUNCTION("GOOGLETRANSLATE(A17579,""en"",""pt"")"),"Lento para processo, o papel não for alimentado bem.")</f>
        <v>Lento para processo, o papel não for alimentado bem.</v>
      </c>
      <c r="B17579" s="3">
        <v>0</v>
      </c>
    </row>
    <row r="17580" ht="15.75" customHeight="1" spans="1:2">
      <c r="A17580" s="3" t="str">
        <f>IFERROR(__xludf.DUMMYFUNCTION("GOOGLETRANSLATE(A17580,""en"",""pt"")"),"Come cartuchos de tinta !!!! alimentação Bad papel.")</f>
        <v>Come cartuchos de tinta !!!! alimentação Bad papel.</v>
      </c>
      <c r="B17580" s="3">
        <v>0</v>
      </c>
    </row>
    <row r="17581" ht="15.75" customHeight="1" spans="1:2">
      <c r="A17581" s="3" t="str">
        <f>IFERROR(__xludf.DUMMYFUNCTION("GOOGLETRANSLATE(A17581,""en"",""pt"")"),"ficar sem tinta muito rapidamente, um pouco lento para imprimir")</f>
        <v>ficar sem tinta muito rapidamente, um pouco lento para imprimir</v>
      </c>
      <c r="B17581" s="3">
        <v>0</v>
      </c>
    </row>
    <row r="17582" ht="15.75" customHeight="1" spans="1:2">
      <c r="A17582" s="3" t="str">
        <f>IFERROR(__xludf.DUMMYFUNCTION("GOOGLETRANSLATE(A17582,""en"",""pt"")"),"Ficar sem tinta muito rapidamente. O papel não é alimentado bem.")</f>
        <v>Ficar sem tinta muito rapidamente. O papel não é alimentado bem.</v>
      </c>
      <c r="B17582" s="3">
        <v>0</v>
      </c>
    </row>
    <row r="17583" ht="15.75" customHeight="1" spans="1:2">
      <c r="A17583" s="3" t="str">
        <f>IFERROR(__xludf.DUMMYFUNCTION("GOOGLETRANSLATE(A17583,""en"",""pt"")"),"A tinta preta vai rápido, Se um monte de impressão.")</f>
        <v>A tinta preta vai rápido, Se um monte de impressão.</v>
      </c>
      <c r="B17583" s="3">
        <v>0</v>
      </c>
    </row>
    <row r="17584" ht="15.75" customHeight="1" spans="1:2">
      <c r="A17584" s="3" t="str">
        <f>IFERROR(__xludf.DUMMYFUNCTION("GOOGLETRANSLATE(A17584,""en"",""pt"")"),"A velocidade poderia ser melhor.")</f>
        <v>A velocidade poderia ser melhor.</v>
      </c>
      <c r="B17584" s="3">
        <v>0</v>
      </c>
    </row>
    <row r="17585" ht="15.75" customHeight="1" spans="1:2">
      <c r="A17585" s="3" t="str">
        <f>IFERROR(__xludf.DUMMYFUNCTION("GOOGLETRANSLATE(A17585,""en"",""pt"")"),"de tinta vai-se rapidamente")</f>
        <v>de tinta vai-se rapidamente</v>
      </c>
      <c r="B17585" s="3">
        <v>0</v>
      </c>
    </row>
    <row r="17586" ht="15.75" customHeight="1" spans="1:2">
      <c r="A17586" s="3" t="str">
        <f>IFERROR(__xludf.DUMMYFUNCTION("GOOGLETRANSLATE(A17586,""en"",""pt"")"),"Não muito rápido")</f>
        <v>Não muito rápido</v>
      </c>
      <c r="B17586" s="3">
        <v>0</v>
      </c>
    </row>
    <row r="17587" ht="15.75" customHeight="1" spans="1:2">
      <c r="A17587" s="3" t="str">
        <f>IFERROR(__xludf.DUMMYFUNCTION("GOOGLETRANSLATE(A17587,""en"",""pt"")"),"Pouco lento.")</f>
        <v>Pouco lento.</v>
      </c>
      <c r="B17587" s="3">
        <v>0</v>
      </c>
    </row>
    <row r="17588" ht="15.75" customHeight="1" spans="1:2">
      <c r="A17588" s="3" t="str">
        <f>IFERROR(__xludf.DUMMYFUNCTION("GOOGLETRANSLATE(A17588,""en"",""pt"")"),"impressão a cores lento, ficar sem tinta rapidamente")</f>
        <v>impressão a cores lento, ficar sem tinta rapidamente</v>
      </c>
      <c r="B17588" s="3">
        <v>0</v>
      </c>
    </row>
    <row r="17589" ht="15.75" customHeight="1" spans="1:2">
      <c r="A17589" s="3" t="str">
        <f>IFERROR(__xludf.DUMMYFUNCTION("GOOGLETRANSLATE(A17589,""en"",""pt"")"),"Não ligado / desligado botão")</f>
        <v>Não ligado / desligado botão</v>
      </c>
      <c r="B17589" s="3">
        <v>0</v>
      </c>
    </row>
    <row r="17590" ht="15.75" customHeight="1" spans="1:2">
      <c r="A17590" s="3" t="str">
        <f>IFERROR(__xludf.DUMMYFUNCTION("GOOGLETRANSLATE(A17590,""en"",""pt"")"),"cartucho de impressão (cabeça de impressão) morreram dentro de um ano.")</f>
        <v>cartucho de impressão (cabeça de impressão) morreram dentro de um ano.</v>
      </c>
      <c r="B17590" s="3">
        <v>0</v>
      </c>
    </row>
    <row r="17591" ht="15.75" customHeight="1" spans="1:2">
      <c r="A17591" s="3" t="str">
        <f>IFERROR(__xludf.DUMMYFUNCTION("GOOGLETRANSLATE(A17591,""en"",""pt"")"),"Velocidade, qualidade de impressão.")</f>
        <v>Velocidade, qualidade de impressão.</v>
      </c>
      <c r="B17591" s="3">
        <v>0</v>
      </c>
    </row>
    <row r="17592" ht="15.75" customHeight="1" spans="1:2">
      <c r="A17592" s="3" t="str">
        <f>IFERROR(__xludf.DUMMYFUNCTION("GOOGLETRANSLATE(A17592,""en"",""pt"")"),"Má qualidade, não vale o baixo pricetag, opt para um HP")</f>
        <v>Má qualidade, não vale o baixo pricetag, opt para um HP</v>
      </c>
      <c r="B17592" s="3">
        <v>0</v>
      </c>
    </row>
    <row r="17593" ht="15.75" customHeight="1" spans="1:2">
      <c r="A17593" s="3" t="str">
        <f>IFERROR(__xludf.DUMMYFUNCTION("GOOGLETRANSLATE(A17593,""en"",""pt"")"),"Lenta, não agradecem qualidade de impressão, &amp; lt; b &amp; gt; cabo de impressora não incluído &amp; lt; / b &amp; gt ;.")</f>
        <v>Lenta, não agradecem qualidade de impressão, &amp; lt; b &amp; gt; cabo de impressora não incluído &amp; lt; / b &amp; gt ;.</v>
      </c>
      <c r="B17593" s="3">
        <v>0</v>
      </c>
    </row>
    <row r="17594" ht="15.75" customHeight="1" spans="1:2">
      <c r="A17594" s="3" t="str">
        <f>IFERROR(__xludf.DUMMYFUNCTION("GOOGLETRANSLATE(A17594,""en"",""pt"")"),"impressão de fotos, capacidade de tinta, o custo total de propriedade")</f>
        <v>impressão de fotos, capacidade de tinta, o custo total de propriedade</v>
      </c>
      <c r="B17594" s="3">
        <v>0</v>
      </c>
    </row>
    <row r="17595" ht="15.75" customHeight="1" spans="1:2">
      <c r="A17595" s="3" t="str">
        <f>IFERROR(__xludf.DUMMYFUNCTION("GOOGLETRANSLATE(A17595,""en"",""pt"")"),"Lento")</f>
        <v>Lento</v>
      </c>
      <c r="B17595" s="3">
        <v>0</v>
      </c>
    </row>
    <row r="17596" ht="15.75" customHeight="1" spans="1:2">
      <c r="A17596" s="3" t="str">
        <f>IFERROR(__xludf.DUMMYFUNCTION("GOOGLETRANSLATE(A17596,""en"",""pt"")"),"pouco aviso quando a tinta se esgota")</f>
        <v>pouco aviso quando a tinta se esgota</v>
      </c>
      <c r="B17596" s="3">
        <v>0</v>
      </c>
    </row>
    <row r="17597" ht="15.75" customHeight="1" spans="1:2">
      <c r="A17597" s="3" t="str">
        <f>IFERROR(__xludf.DUMMYFUNCTION("GOOGLETRANSLATE(A17597,""en"",""pt"")"),"nada até agora")</f>
        <v>nada até agora</v>
      </c>
      <c r="B17597" s="3">
        <v>0</v>
      </c>
    </row>
    <row r="17598" ht="15.75" customHeight="1" spans="1:2">
      <c r="A17598" s="3" t="str">
        <f>IFERROR(__xludf.DUMMYFUNCTION("GOOGLETRANSLATE(A17598,""en"",""pt"")"),"O cartucho fica obstruído facilmente e custa tanto como a impressora")</f>
        <v>O cartucho fica obstruído facilmente e custa tanto como a impressora</v>
      </c>
      <c r="B17598" s="3">
        <v>0</v>
      </c>
    </row>
    <row r="17599" ht="15.75" customHeight="1" spans="1:2">
      <c r="A17599" s="3" t="str">
        <f>IFERROR(__xludf.DUMMYFUNCTION("GOOGLETRANSLATE(A17599,""en"",""pt"")"),"muito inconsistente, baixa qualidade de impressão, lento!")</f>
        <v>muito inconsistente, baixa qualidade de impressão, lento!</v>
      </c>
      <c r="B17599" s="3">
        <v>0</v>
      </c>
    </row>
    <row r="17600" ht="15.75" customHeight="1" spans="1:2">
      <c r="A17600" s="3" t="str">
        <f>IFERROR(__xludf.DUMMYFUNCTION("GOOGLETRANSLATE(A17600,""en"",""pt"")"),"o 4º canon em 3 anos")</f>
        <v>o 4º canon em 3 anos</v>
      </c>
      <c r="B17600" s="3">
        <v>0</v>
      </c>
    </row>
    <row r="17601" ht="15.75" customHeight="1" spans="1:2">
      <c r="A17601" s="3" t="str">
        <f>IFERROR(__xludf.DUMMYFUNCTION("GOOGLETRANSLATE(A17601,""en"",""pt"")"),"não tão rápido como alguns")</f>
        <v>não tão rápido como alguns</v>
      </c>
      <c r="B17601" s="3">
        <v>0</v>
      </c>
    </row>
    <row r="17602" ht="15.75" customHeight="1" spans="1:2">
      <c r="A17602" s="3" t="str">
        <f>IFERROR(__xludf.DUMMYFUNCTION("GOOGLETRANSLATE(A17602,""en"",""pt"")"),"custos médios de tinta")</f>
        <v>custos médios de tinta</v>
      </c>
      <c r="B17602" s="3">
        <v>0</v>
      </c>
    </row>
    <row r="17603" ht="15.75" customHeight="1" spans="1:2">
      <c r="A17603" s="3" t="str">
        <f>IFERROR(__xludf.DUMMYFUNCTION("GOOGLETRANSLATE(A17603,""en"",""pt"")"),"ruim com fotos, papel nem sempre ler")</f>
        <v>ruim com fotos, papel nem sempre ler</v>
      </c>
      <c r="B17603" s="3">
        <v>0</v>
      </c>
    </row>
    <row r="17604" ht="15.75" customHeight="1" spans="1:2">
      <c r="A17604" s="3" t="str">
        <f>IFERROR(__xludf.DUMMYFUNCTION("GOOGLETRANSLATE(A17604,""en"",""pt"")"),"Nenhum")</f>
        <v>Nenhum</v>
      </c>
      <c r="B17604" s="3">
        <v>0</v>
      </c>
    </row>
    <row r="17605" ht="15.75" customHeight="1" spans="1:2">
      <c r="A17605" s="3" t="str">
        <f>IFERROR(__xludf.DUMMYFUNCTION("GOOGLETRANSLATE(A17605,""en"",""pt"")"),"Você nunca sabe quando a tinta está acabando")</f>
        <v>Você nunca sabe quando a tinta está acabando</v>
      </c>
      <c r="B17605" s="3">
        <v>0</v>
      </c>
    </row>
    <row r="17606" ht="15.75" customHeight="1" spans="1:2">
      <c r="A17606" s="3" t="str">
        <f>IFERROR(__xludf.DUMMYFUNCTION("GOOGLETRANSLATE(A17606,""en"",""pt"")"),"Nenhum")</f>
        <v>Nenhum</v>
      </c>
      <c r="B17606" s="3">
        <v>0</v>
      </c>
    </row>
    <row r="17607" ht="15.75" customHeight="1" spans="1:2">
      <c r="A17607" s="3" t="str">
        <f>IFERROR(__xludf.DUMMYFUNCTION("GOOGLETRANSLATE(A17607,""en"",""pt"")"),"fraco desempenho")</f>
        <v>fraco desempenho</v>
      </c>
      <c r="B17607" s="3">
        <v>0</v>
      </c>
    </row>
    <row r="17608" ht="15.75" customHeight="1" spans="1:2">
      <c r="A17608" s="3" t="str">
        <f>IFERROR(__xludf.DUMMYFUNCTION("GOOGLETRANSLATE(A17608,""en"",""pt"")"),"Às vezes, mais de uma folha de papel é puxado através de uma vez")</f>
        <v>Às vezes, mais de uma folha de papel é puxado através de uma vez</v>
      </c>
      <c r="B17608" s="3">
        <v>0</v>
      </c>
    </row>
    <row r="17609" ht="15.75" customHeight="1" spans="1:2">
      <c r="A17609" s="3" t="str">
        <f>IFERROR(__xludf.DUMMYFUNCTION("GOOGLETRANSLATE(A17609,""en"",""pt"")"),"Muito pequeno cartucho de tinta, nenhum botão de energia ou LEDs")</f>
        <v>Muito pequeno cartucho de tinta, nenhum botão de energia ou LEDs</v>
      </c>
      <c r="B17609" s="3">
        <v>0</v>
      </c>
    </row>
    <row r="17610" ht="15.75" customHeight="1" spans="1:2">
      <c r="A17610" s="3" t="str">
        <f>IFERROR(__xludf.DUMMYFUNCTION("GOOGLETRANSLATE(A17610,""en"",""pt"")"),"baixa qualidade e lento - programa de download de configuração obrigação para Windows ME")</f>
        <v>baixa qualidade e lento - programa de download de configuração obrigação para Windows ME</v>
      </c>
      <c r="B17610" s="3">
        <v>0</v>
      </c>
    </row>
    <row r="17611" ht="15.75" customHeight="1" spans="1:2">
      <c r="A17611" s="3" t="str">
        <f>IFERROR(__xludf.DUMMYFUNCTION("GOOGLETRANSLATE(A17611,""en"",""pt"")"),"No botão de energia, lento, com cor")</f>
        <v>No botão de energia, lento, com cor</v>
      </c>
      <c r="B17611" s="3">
        <v>0</v>
      </c>
    </row>
    <row r="17612" ht="15.75" customHeight="1" spans="1:2">
      <c r="A17612" s="3" t="str">
        <f>IFERROR(__xludf.DUMMYFUNCTION("GOOGLETRANSLATE(A17612,""en"",""pt"")"),"bonificação em dinheiro significativa termina em breve!")</f>
        <v>bonificação em dinheiro significativa termina em breve!</v>
      </c>
      <c r="B17612" s="3">
        <v>0</v>
      </c>
    </row>
    <row r="17613" ht="15.75" customHeight="1" spans="1:2">
      <c r="A17613" s="3" t="str">
        <f>IFERROR(__xludf.DUMMYFUNCTION("GOOGLETRANSLATE(A17613,""en"",""pt"")"),"alimentação de papel, por vezes torto")</f>
        <v>alimentação de papel, por vezes torto</v>
      </c>
      <c r="B17613" s="3">
        <v>0</v>
      </c>
    </row>
    <row r="17614" ht="15.75" customHeight="1" spans="1:2">
      <c r="A17614" s="3" t="str">
        <f>IFERROR(__xludf.DUMMYFUNCTION("GOOGLETRANSLATE(A17614,""en"",""pt"")"),"Ruidoso, lento, irritante")</f>
        <v>Ruidoso, lento, irritante</v>
      </c>
      <c r="B17614" s="3">
        <v>0</v>
      </c>
    </row>
    <row r="17615" ht="15.75" customHeight="1" spans="1:2">
      <c r="A17615" s="3" t="str">
        <f>IFERROR(__xludf.DUMMYFUNCTION("GOOGLETRANSLATE(A17615,""en"",""pt"")"),"É caro para fazer um monte de impressão!")</f>
        <v>É caro para fazer um monte de impressão!</v>
      </c>
      <c r="B17615" s="3">
        <v>0</v>
      </c>
    </row>
    <row r="17616" ht="15.75" customHeight="1" spans="1:2">
      <c r="A17616" s="3" t="str">
        <f>IFERROR(__xludf.DUMMYFUNCTION("GOOGLETRANSLATE(A17616,""en"",""pt"")"),"impressão Cant a velocidades que são ditas")</f>
        <v>impressão Cant a velocidades que são ditas</v>
      </c>
      <c r="B17616" s="3">
        <v>0</v>
      </c>
    </row>
    <row r="17617" ht="15.75" customHeight="1" spans="1:2">
      <c r="A17617" s="3" t="str">
        <f>IFERROR(__xludf.DUMMYFUNCTION("GOOGLETRANSLATE(A17617,""en"",""pt"")"),"Não para &amp; amp; quot; pesados ​​&amp; amp; quot; (Uless você compra dois ou três)")</f>
        <v>Não para &amp; amp; quot; pesados ​​&amp; amp; quot; (Uless você compra dois ou três)</v>
      </c>
      <c r="B17617" s="3">
        <v>0</v>
      </c>
    </row>
    <row r="17618" ht="15.75" customHeight="1" spans="1:2">
      <c r="A17618" s="3" t="str">
        <f>IFERROR(__xludf.DUMMYFUNCTION("GOOGLETRANSLATE(A17618,""en"",""pt"")"),"mais para projetos simples, como um dever de casa")</f>
        <v>mais para projetos simples, como um dever de casa</v>
      </c>
      <c r="B17618" s="3">
        <v>0</v>
      </c>
    </row>
    <row r="17619" ht="15.75" customHeight="1" spans="1:2">
      <c r="A17619" s="3" t="str">
        <f>IFERROR(__xludf.DUMMYFUNCTION("GOOGLETRANSLATE(A17619,""en"",""pt"")"),"Não qualidade perfeita")</f>
        <v>Não qualidade perfeita</v>
      </c>
      <c r="B17619" s="3">
        <v>0</v>
      </c>
    </row>
    <row r="17620" ht="15.75" customHeight="1" spans="1:2">
      <c r="A17620" s="3" t="str">
        <f>IFERROR(__xludf.DUMMYFUNCTION("GOOGLETRANSLATE(A17620,""en"",""pt"")"),"nenhum neste momento")</f>
        <v>nenhum neste momento</v>
      </c>
      <c r="B17620" s="3">
        <v>0</v>
      </c>
    </row>
    <row r="17621" ht="15.75" customHeight="1" spans="1:2">
      <c r="A17621" s="3" t="str">
        <f>IFERROR(__xludf.DUMMYFUNCTION("GOOGLETRANSLATE(A17621,""en"",""pt"")"),"Bastante alto quando a impressão, cartuchos parecem ter uma baixa capacidade")</f>
        <v>Bastante alto quando a impressão, cartuchos parecem ter uma baixa capacidade</v>
      </c>
      <c r="B17621" s="3">
        <v>0</v>
      </c>
    </row>
    <row r="17622" ht="15.75" customHeight="1" spans="1:2">
      <c r="A17622" s="3" t="str">
        <f>IFERROR(__xludf.DUMMYFUNCTION("GOOGLETRANSLATE(A17622,""en"",""pt"")"),"impressora a cores cartuchos, recursos caros não suficientes")</f>
        <v>impressora a cores cartuchos, recursos caros não suficientes</v>
      </c>
      <c r="B17622" s="3">
        <v>0</v>
      </c>
    </row>
    <row r="17623" ht="15.75" customHeight="1" spans="1:2">
      <c r="A17623" s="3" t="str">
        <f>IFERROR(__xludf.DUMMYFUNCTION("GOOGLETRANSLATE(A17623,""en"",""pt"")"),"Eu não encontrei ainda nenhum ... eu vou atualizar este se eu fizer. =)")</f>
        <v>Eu não encontrei ainda nenhum ... eu vou atualizar este se eu fizer. =)</v>
      </c>
      <c r="B17623" s="3">
        <v>0</v>
      </c>
    </row>
    <row r="17624" ht="15.75" customHeight="1" spans="1:2">
      <c r="A17624" s="3" t="str">
        <f>IFERROR(__xludf.DUMMYFUNCTION("GOOGLETRANSLATE(A17624,""en"",""pt"")"),"inconsistente impressões")</f>
        <v>inconsistente impressões</v>
      </c>
      <c r="B17624" s="3">
        <v>0</v>
      </c>
    </row>
    <row r="17625" ht="15.75" customHeight="1" spans="1:2">
      <c r="A17625" s="3" t="str">
        <f>IFERROR(__xludf.DUMMYFUNCTION("GOOGLETRANSLATE(A17625,""en"",""pt"")"),"alguns papéis adicionais podem sair com páginas impressas, mas eles podem ser reinserido com o papel de retenção (minor)")</f>
        <v>alguns papéis adicionais podem sair com páginas impressas, mas eles podem ser reinserido com o papel de retenção (minor)</v>
      </c>
      <c r="B17625" s="3">
        <v>0</v>
      </c>
    </row>
    <row r="17626" ht="15.75" customHeight="1" spans="1:2">
      <c r="A17626" s="3" t="str">
        <f>IFERROR(__xludf.DUMMYFUNCTION("GOOGLETRANSLATE(A17626,""en"",""pt"")"),"cartuchos de tinta esgotar rapidamente, não tão rápido como impressoras comerciais")</f>
        <v>cartuchos de tinta esgotar rapidamente, não tão rápido como impressoras comerciais</v>
      </c>
      <c r="B17626" s="3">
        <v>0</v>
      </c>
    </row>
    <row r="17627" ht="15.75" customHeight="1" spans="1:2">
      <c r="A17627" s="3" t="str">
        <f>IFERROR(__xludf.DUMMYFUNCTION("GOOGLETRANSLATE(A17627,""en"",""pt"")"),"Os cartuchos de tinta são pequenos e esgota-se rapidamente.")</f>
        <v>Os cartuchos de tinta são pequenos e esgota-se rapidamente.</v>
      </c>
      <c r="B17627" s="3">
        <v>0</v>
      </c>
    </row>
    <row r="17628" ht="15.75" customHeight="1" spans="1:2">
      <c r="A17628" s="3" t="str">
        <f>IFERROR(__xludf.DUMMYFUNCTION("GOOGLETRANSLATE(A17628,""en"",""pt"")"),"Nenhum")</f>
        <v>Nenhum</v>
      </c>
      <c r="B17628" s="3">
        <v>0</v>
      </c>
    </row>
    <row r="17629" ht="15.75" customHeight="1" spans="1:2">
      <c r="A17629" s="3" t="str">
        <f>IFERROR(__xludf.DUMMYFUNCTION("GOOGLETRANSLATE(A17629,""en"",""pt"")"),"Nenhum.")</f>
        <v>Nenhum.</v>
      </c>
      <c r="B17629" s="3">
        <v>0</v>
      </c>
    </row>
    <row r="17630" ht="15.75" customHeight="1" spans="1:2">
      <c r="A17630" s="3" t="str">
        <f>IFERROR(__xludf.DUMMYFUNCTION("GOOGLETRANSLATE(A17630,""en"",""pt"")"),"Impressão lenta")</f>
        <v>Impressão lenta</v>
      </c>
      <c r="B17630" s="3">
        <v>0</v>
      </c>
    </row>
    <row r="17631" ht="15.75" customHeight="1" spans="1:2">
      <c r="A17631" s="3" t="str">
        <f>IFERROR(__xludf.DUMMYFUNCTION("GOOGLETRANSLATE(A17631,""en"",""pt"")"),"os cartuchos de tinta de pequena capacidade, cabo de impressora não incluído")</f>
        <v>os cartuchos de tinta de pequena capacidade, cabo de impressora não incluído</v>
      </c>
      <c r="B17631" s="3">
        <v>0</v>
      </c>
    </row>
    <row r="17632" ht="15.75" customHeight="1" spans="1:2">
      <c r="A17632" s="3" t="str">
        <f>IFERROR(__xludf.DUMMYFUNCTION("GOOGLETRANSLATE(A17632,""en"",""pt"")"),"$ 20 cabo não incluído, é uma espécie de lento.")</f>
        <v>$ 20 cabo não incluído, é uma espécie de lento.</v>
      </c>
      <c r="B17632" s="3">
        <v>0</v>
      </c>
    </row>
    <row r="17633" ht="15.75" customHeight="1" spans="1:2">
      <c r="A17633" s="3" t="str">
        <f>IFERROR(__xludf.DUMMYFUNCTION("GOOGLETRANSLATE(A17633,""en"",""pt"")"),"Não impressão de qualidade apresentação")</f>
        <v>Não impressão de qualidade apresentação</v>
      </c>
      <c r="B17633" s="3">
        <v>0</v>
      </c>
    </row>
    <row r="17634" ht="15.75" customHeight="1" spans="1:2">
      <c r="A17634" s="3" t="str">
        <f>IFERROR(__xludf.DUMMYFUNCTION("GOOGLETRANSLATE(A17634,""en"",""pt"")"),"A tinta de cores é um pouco caro, substituindo a cabeça de impressão é uma grande despesa manutenção.")</f>
        <v>A tinta de cores é um pouco caro, substituindo a cabeça de impressão é uma grande despesa manutenção.</v>
      </c>
      <c r="B17634" s="3">
        <v>0</v>
      </c>
    </row>
    <row r="17635" ht="15.75" customHeight="1" spans="1:2">
      <c r="A17635" s="3" t="str">
        <f>IFERROR(__xludf.DUMMYFUNCTION("GOOGLETRANSLATE(A17635,""en"",""pt"")"),"Unrealible, cartriges esvaziar rapidamente, impressão bastante lento")</f>
        <v>Unrealible, cartriges esvaziar rapidamente, impressão bastante lento</v>
      </c>
      <c r="B17635" s="3">
        <v>0</v>
      </c>
    </row>
    <row r="17636" ht="15.75" customHeight="1" spans="1:2">
      <c r="A17636" s="3" t="str">
        <f>IFERROR(__xludf.DUMMYFUNCTION("GOOGLETRANSLATE(A17636,""en"",""pt"")"),"3 cores estão em um cartucho - deve substituir todos para substituir um.")</f>
        <v>3 cores estão em um cartucho - deve substituir todos para substituir um.</v>
      </c>
      <c r="B17636" s="3">
        <v>0</v>
      </c>
    </row>
    <row r="17637" ht="15.75" customHeight="1" spans="1:2">
      <c r="A17637" s="3" t="str">
        <f>IFERROR(__xludf.DUMMYFUNCTION("GOOGLETRANSLATE(A17637,""en"",""pt"")"),"alimentação de papel, por vezes, vai pegar muito papel, cartucho de tinta é de R $ 45.")</f>
        <v>alimentação de papel, por vezes, vai pegar muito papel, cartucho de tinta é de R $ 45.</v>
      </c>
      <c r="B17637" s="3">
        <v>0</v>
      </c>
    </row>
    <row r="17638" ht="15.75" customHeight="1" spans="1:2">
      <c r="A17638" s="3" t="str">
        <f>IFERROR(__xludf.DUMMYFUNCTION("GOOGLETRANSLATE(A17638,""en"",""pt"")"),"Muito lento, ímpares (embora silencioso) impressão sons, qualidade de impressão normal.")</f>
        <v>Muito lento, ímpares (embora silencioso) impressão sons, qualidade de impressão normal.</v>
      </c>
      <c r="B17638" s="3">
        <v>0</v>
      </c>
    </row>
    <row r="17639" ht="15.75" customHeight="1" spans="1:2">
      <c r="A17639" s="3" t="str">
        <f>IFERROR(__xludf.DUMMYFUNCTION("GOOGLETRANSLATE(A17639,""en"",""pt"")"),"Os cartuchos de tinta são caros e não duram")</f>
        <v>Os cartuchos de tinta são caros e não duram</v>
      </c>
      <c r="B17639" s="3">
        <v>0</v>
      </c>
    </row>
    <row r="17640" ht="15.75" customHeight="1" spans="1:2">
      <c r="A17640" s="3" t="str">
        <f>IFERROR(__xludf.DUMMYFUNCTION("GOOGLETRANSLATE(A17640,""en"",""pt"")"),"Os esfregaços de tinta ocasionalmente")</f>
        <v>Os esfregaços de tinta ocasionalmente</v>
      </c>
      <c r="B17640" s="3">
        <v>0</v>
      </c>
    </row>
    <row r="17641" ht="15.75" customHeight="1" spans="1:2">
      <c r="A17641" s="3" t="str">
        <f>IFERROR(__xludf.DUMMYFUNCTION("GOOGLETRANSLATE(A17641,""en"",""pt"")"),"Cartucho de tinta não possuem muita tinta.")</f>
        <v>Cartucho de tinta não possuem muita tinta.</v>
      </c>
      <c r="B17641" s="3">
        <v>0</v>
      </c>
    </row>
    <row r="17642" ht="15.75" customHeight="1" spans="1:2">
      <c r="A17642" s="3" t="str">
        <f>IFERROR(__xludf.DUMMYFUNCTION("GOOGLETRANSLATE(A17642,""en"",""pt"")"),"As fotos são um pouco granulado")</f>
        <v>As fotos são um pouco granulado</v>
      </c>
      <c r="B17642" s="3">
        <v>0</v>
      </c>
    </row>
    <row r="17643" ht="15.75" customHeight="1" spans="1:2">
      <c r="A17643" s="3" t="str">
        <f>IFERROR(__xludf.DUMMYFUNCTION("GOOGLETRANSLATE(A17643,""en"",""pt"")"),"barulhento / lento / muito básico (mas básico poderia ser um plus, por vezes)")</f>
        <v>barulhento / lento / muito básico (mas básico poderia ser um plus, por vezes)</v>
      </c>
      <c r="B17643" s="3">
        <v>0</v>
      </c>
    </row>
    <row r="17644" ht="15.75" customHeight="1" spans="1:2">
      <c r="A17644" s="3" t="str">
        <f>IFERROR(__xludf.DUMMYFUNCTION("GOOGLETRANSLATE(A17644,""en"",""pt"")"),"Lento, tinta se esgota rápido")</f>
        <v>Lento, tinta se esgota rápido</v>
      </c>
      <c r="B17644" s="3">
        <v>0</v>
      </c>
    </row>
    <row r="17645" ht="15.75" customHeight="1" spans="1:2">
      <c r="A17645" s="3" t="str">
        <f>IFERROR(__xludf.DUMMYFUNCTION("GOOGLETRANSLATE(A17645,""en"",""pt"")"),"Não é excelente qualidade, mesmo em &amp; amp; # 147; bem &amp; amp; # 148;")</f>
        <v>Não é excelente qualidade, mesmo em &amp; amp; # 147; bem &amp; amp; # 148;</v>
      </c>
      <c r="B17645" s="3">
        <v>0</v>
      </c>
    </row>
    <row r="17646" ht="15.75" customHeight="1" spans="1:2">
      <c r="A17646" s="3" t="str">
        <f>IFERROR(__xludf.DUMMYFUNCTION("GOOGLETRANSLATE(A17646,""en"",""pt"")"),"Papel tornou-se alinhado ligeiramente incorretamente muitas vezes, às vezes manchada /")</f>
        <v>Papel tornou-se alinhado ligeiramente incorretamente muitas vezes, às vezes manchada /</v>
      </c>
      <c r="B17646" s="3">
        <v>0</v>
      </c>
    </row>
    <row r="17647" ht="15.75" customHeight="1" spans="1:2">
      <c r="A17647" s="3" t="str">
        <f>IFERROR(__xludf.DUMMYFUNCTION("GOOGLETRANSLATE(A17647,""en"",""pt"")"),"""Um papel em um momento, por favor""")</f>
        <v>"Um papel em um momento, por favor"</v>
      </c>
      <c r="B17647" s="3">
        <v>0</v>
      </c>
    </row>
    <row r="17648" ht="15.75" customHeight="1" spans="1:2">
      <c r="A17648" s="3" t="str">
        <f>IFERROR(__xludf.DUMMYFUNCTION("GOOGLETRANSLATE(A17648,""en"",""pt"")"),"Às vezes trava !!!")</f>
        <v>Às vezes trava !!!</v>
      </c>
      <c r="B17648" s="3">
        <v>0</v>
      </c>
    </row>
    <row r="17649" ht="15.75" customHeight="1" spans="1:2">
      <c r="A17649" s="3" t="str">
        <f>IFERROR(__xludf.DUMMYFUNCTION("GOOGLETRANSLATE(A17649,""en"",""pt"")"),"Extreemly LENTO !!!, utiliza tinta rápido, necessidade de mudanças de cartuchos para cada posto de trabalho (cor, B &amp; amp; W, etc.)")</f>
        <v>Extreemly LENTO !!!, utiliza tinta rápido, necessidade de mudanças de cartuchos para cada posto de trabalho (cor, B &amp; amp; W, etc.)</v>
      </c>
      <c r="B17649" s="3">
        <v>0</v>
      </c>
    </row>
    <row r="17650" ht="15.75" customHeight="1" spans="1:2">
      <c r="A17650" s="3" t="str">
        <f>IFERROR(__xludf.DUMMYFUNCTION("GOOGLETRANSLATE(A17650,""en"",""pt"")"),"bebe tinta, resultados médios na melhor das hipóteses")</f>
        <v>bebe tinta, resultados médios na melhor das hipóteses</v>
      </c>
      <c r="B17650" s="3">
        <v>0</v>
      </c>
    </row>
    <row r="17651" ht="15.75" customHeight="1" spans="1:2">
      <c r="A17651" s="3" t="str">
        <f>IFERROR(__xludf.DUMMYFUNCTION("GOOGLETRANSLATE(A17651,""en"",""pt"")"),"Carros são um pouco caro e impressão pode ser dolorosamente lento especialmente com documentos a cores.")</f>
        <v>Carros são um pouco caro e impressão pode ser dolorosamente lento especialmente com documentos a cores.</v>
      </c>
      <c r="B17651" s="3">
        <v>0</v>
      </c>
    </row>
    <row r="17652" ht="15.75" customHeight="1" spans="1:2">
      <c r="A17652" s="3" t="str">
        <f>IFERROR(__xludf.DUMMYFUNCTION("GOOGLETRANSLATE(A17652,""en"",""pt"")"),"tinta caro, dolorosamente lento")</f>
        <v>tinta caro, dolorosamente lento</v>
      </c>
      <c r="B17652" s="3">
        <v>0</v>
      </c>
    </row>
    <row r="17653" ht="15.75" customHeight="1" spans="1:2">
      <c r="A17653" s="3" t="str">
        <f>IFERROR(__xludf.DUMMYFUNCTION("GOOGLETRANSLATE(A17653,""en"",""pt"")"),"Nenhum")</f>
        <v>Nenhum</v>
      </c>
      <c r="B17653" s="3">
        <v>0</v>
      </c>
    </row>
    <row r="17654" ht="15.75" customHeight="1" spans="1:2">
      <c r="A17654" s="3" t="str">
        <f>IFERROR(__xludf.DUMMYFUNCTION("GOOGLETRANSLATE(A17654,""en"",""pt"")"),"nenhuma bandeja de páginas impressas para descansar em que eles saem")</f>
        <v>nenhuma bandeja de páginas impressas para descansar em que eles saem</v>
      </c>
      <c r="B17654" s="3">
        <v>0</v>
      </c>
    </row>
    <row r="17655" ht="15.75" customHeight="1" spans="1:2">
      <c r="A17655" s="3" t="str">
        <f>IFERROR(__xludf.DUMMYFUNCTION("GOOGLETRANSLATE(A17655,""en"",""pt"")"),"Nenhum")</f>
        <v>Nenhum</v>
      </c>
      <c r="B17655" s="3">
        <v>0</v>
      </c>
    </row>
    <row r="17656" ht="15.75" customHeight="1" spans="1:2">
      <c r="A17656" s="3" t="str">
        <f>IFERROR(__xludf.DUMMYFUNCTION("GOOGLETRANSLATE(A17656,""en"",""pt"")"),"não confiável")</f>
        <v>não confiável</v>
      </c>
      <c r="B17656" s="3">
        <v>0</v>
      </c>
    </row>
    <row r="17657" ht="15.75" customHeight="1" spans="1:2">
      <c r="A17657" s="3" t="str">
        <f>IFERROR(__xludf.DUMMYFUNCTION("GOOGLETRANSLATE(A17657,""en"",""pt"")"),"Alguns de atolamentos de papel, manchas de tinta Se Inkhead está entupido")</f>
        <v>Alguns de atolamentos de papel, manchas de tinta Se Inkhead está entupido</v>
      </c>
      <c r="B17657" s="3">
        <v>0</v>
      </c>
    </row>
    <row r="17658" ht="15.75" customHeight="1" spans="1:2">
      <c r="A17658" s="3" t="str">
        <f>IFERROR(__xludf.DUMMYFUNCTION("GOOGLETRANSLATE(A17658,""en"",""pt"")"),"cartuchos de tinta custa muito.")</f>
        <v>cartuchos de tinta custa muito.</v>
      </c>
      <c r="B17658" s="3">
        <v>0</v>
      </c>
    </row>
    <row r="17659" ht="15.75" customHeight="1" spans="1:2">
      <c r="A17659" s="3" t="str">
        <f>IFERROR(__xludf.DUMMYFUNCTION("GOOGLETRANSLATE(A17659,""en"",""pt"")"),"cartrages caros")</f>
        <v>cartrages caros</v>
      </c>
      <c r="B17659" s="3">
        <v>0</v>
      </c>
    </row>
    <row r="17660" ht="15.75" customHeight="1" spans="1:2">
      <c r="A17660" s="3" t="str">
        <f>IFERROR(__xludf.DUMMYFUNCTION("GOOGLETRANSLATE(A17660,""en"",""pt"")"),"Velocidade, qualidade de construção")</f>
        <v>Velocidade, qualidade de construção</v>
      </c>
      <c r="B17660" s="3">
        <v>0</v>
      </c>
    </row>
    <row r="17661" ht="15.75" customHeight="1" spans="1:2">
      <c r="A17661" s="3" t="str">
        <f>IFERROR(__xludf.DUMMYFUNCTION("GOOGLETRANSLATE(A17661,""en"",""pt"")"),"Um único cartucho de tinta, caro, para substituir, lento")</f>
        <v>Um único cartucho de tinta, caro, para substituir, lento</v>
      </c>
      <c r="B17661" s="3">
        <v>0</v>
      </c>
    </row>
    <row r="17662" ht="15.75" customHeight="1" spans="1:2">
      <c r="A17662" s="3" t="str">
        <f>IFERROR(__xludf.DUMMYFUNCTION("GOOGLETRANSLATE(A17662,""en"",""pt"")"),"nenhum para falar de")</f>
        <v>nenhum para falar de</v>
      </c>
      <c r="B17662" s="3">
        <v>0</v>
      </c>
    </row>
    <row r="17663" ht="15.75" customHeight="1" spans="1:2">
      <c r="A17663" s="3" t="str">
        <f>IFERROR(__xludf.DUMMYFUNCTION("GOOGLETRANSLATE(A17663,""en"",""pt"")"),"encravamentos de papel, problemas de tinta")</f>
        <v>encravamentos de papel, problemas de tinta</v>
      </c>
      <c r="B17663" s="3">
        <v>0</v>
      </c>
    </row>
    <row r="17664" ht="15.75" customHeight="1" spans="1:2">
      <c r="A17664" s="3" t="str">
        <f>IFERROR(__xludf.DUMMYFUNCTION("GOOGLETRANSLATE(A17664,""en"",""pt"")"),"o 4º canon em 3 anos")</f>
        <v>o 4º canon em 3 anos</v>
      </c>
      <c r="B17664" s="3">
        <v>0</v>
      </c>
    </row>
    <row r="17665" ht="15.75" customHeight="1" spans="1:2">
      <c r="A17665" s="3" t="str">
        <f>IFERROR(__xludf.DUMMYFUNCTION("GOOGLETRANSLATE(A17665,""en"",""pt"")"),"necessidade de cartuchos de comutação, não bandeja de papel de captura, lento, ultrapassada")</f>
        <v>necessidade de cartuchos de comutação, não bandeja de papel de captura, lento, ultrapassada</v>
      </c>
      <c r="B17665" s="3">
        <v>0</v>
      </c>
    </row>
    <row r="17666" ht="15.75" customHeight="1" spans="1:2">
      <c r="A17666" s="3" t="str">
        <f>IFERROR(__xludf.DUMMYFUNCTION("GOOGLETRANSLATE(A17666,""en"",""pt"")"),"cartuchos caros")</f>
        <v>cartuchos caros</v>
      </c>
      <c r="B17666" s="3">
        <v>0</v>
      </c>
    </row>
    <row r="17667" ht="15.75" customHeight="1" spans="1:2">
      <c r="A17667" s="3" t="str">
        <f>IFERROR(__xludf.DUMMYFUNCTION("GOOGLETRANSLATE(A17667,""en"",""pt"")"),"comutação cartuchos, não impressão rápida")</f>
        <v>comutação cartuchos, não impressão rápida</v>
      </c>
      <c r="B17667" s="3">
        <v>0</v>
      </c>
    </row>
    <row r="17668" ht="15.75" customHeight="1" spans="1:2">
      <c r="A17668" s="3" t="str">
        <f>IFERROR(__xludf.DUMMYFUNCTION("GOOGLETRANSLATE(A17668,""en"",""pt"")"),"Não encontrei qualquer ainda!")</f>
        <v>Não encontrei qualquer ainda!</v>
      </c>
      <c r="B17668" s="3">
        <v>0</v>
      </c>
    </row>
    <row r="17669" ht="15.75" customHeight="1" spans="1:2">
      <c r="A17669" s="3" t="str">
        <f>IFERROR(__xludf.DUMMYFUNCTION("GOOGLETRANSLATE(A17669,""en"",""pt"")"),"resolução e confiabilidade")</f>
        <v>resolução e confiabilidade</v>
      </c>
      <c r="B17669" s="3">
        <v>0</v>
      </c>
    </row>
    <row r="17670" ht="15.75" customHeight="1" spans="1:2">
      <c r="A17670" s="3" t="str">
        <f>IFERROR(__xludf.DUMMYFUNCTION("GOOGLETRANSLATE(A17670,""en"",""pt"")"),"Impressão lenta, básico e caro")</f>
        <v>Impressão lenta, básico e caro</v>
      </c>
      <c r="B17670" s="3">
        <v>0</v>
      </c>
    </row>
    <row r="17671" ht="15.75" customHeight="1" spans="1:2">
      <c r="A17671" s="3" t="str">
        <f>IFERROR(__xludf.DUMMYFUNCTION("GOOGLETRANSLATE(A17671,""en"",""pt"")"),"baixo DPI")</f>
        <v>baixo DPI</v>
      </c>
      <c r="B17671" s="3">
        <v>0</v>
      </c>
    </row>
    <row r="17672" ht="15.75" customHeight="1" spans="1:2">
      <c r="A17672" s="3" t="str">
        <f>IFERROR(__xludf.DUMMYFUNCTION("GOOGLETRANSLATE(A17672,""en"",""pt"")"),"muito devagar.")</f>
        <v>muito devagar.</v>
      </c>
      <c r="B17672" s="3">
        <v>0</v>
      </c>
    </row>
    <row r="17673" ht="15.75" customHeight="1" spans="1:2">
      <c r="A17673" s="3" t="str">
        <f>IFERROR(__xludf.DUMMYFUNCTION("GOOGLETRANSLATE(A17673,""en"",""pt"")"),"Foto qualidade de impressão, velocidade, ruído")</f>
        <v>Foto qualidade de impressão, velocidade, ruído</v>
      </c>
      <c r="B17673" s="3">
        <v>0</v>
      </c>
    </row>
    <row r="17674" ht="15.75" customHeight="1" spans="1:2">
      <c r="A17674" s="3" t="str">
        <f>IFERROR(__xludf.DUMMYFUNCTION("GOOGLETRANSLATE(A17674,""en"",""pt"")"),"texto Smudgy; definição de cor pobres.")</f>
        <v>texto Smudgy; definição de cor pobres.</v>
      </c>
      <c r="B17674" s="3">
        <v>0</v>
      </c>
    </row>
    <row r="17675" ht="15.75" customHeight="1" spans="1:2">
      <c r="A17675" s="3" t="str">
        <f>IFERROR(__xludf.DUMMYFUNCTION("GOOGLETRANSLATE(A17675,""en"",""pt"")"),"nenhum neste momento")</f>
        <v>nenhum neste momento</v>
      </c>
      <c r="B17675" s="3">
        <v>0</v>
      </c>
    </row>
    <row r="17676" ht="15.75" customHeight="1" spans="1:2">
      <c r="A17676" s="3" t="str">
        <f>IFERROR(__xludf.DUMMYFUNCTION("GOOGLETRANSLATE(A17676,""en"",""pt"")"),"Não é uma boa escolha para fazer imagens ou cor.")</f>
        <v>Não é uma boa escolha para fazer imagens ou cor.</v>
      </c>
      <c r="B17676" s="3">
        <v>0</v>
      </c>
    </row>
    <row r="17677" ht="15.75" customHeight="1" spans="1:2">
      <c r="A17677" s="3" t="str">
        <f>IFERROR(__xludf.DUMMYFUNCTION("GOOGLETRANSLATE(A17677,""en"",""pt"")"),"Lento, lento, lento")</f>
        <v>Lento, lento, lento</v>
      </c>
      <c r="B17677" s="3">
        <v>0</v>
      </c>
    </row>
    <row r="17678" ht="15.75" customHeight="1" spans="1:2">
      <c r="A17678" s="3" t="str">
        <f>IFERROR(__xludf.DUMMYFUNCTION("GOOGLETRANSLATE(A17678,""en"",""pt"")"),"os cartuchos são um pouco caro eu acho")</f>
        <v>os cartuchos são um pouco caro eu acho</v>
      </c>
      <c r="B17678" s="3">
        <v>0</v>
      </c>
    </row>
    <row r="17679" ht="15.75" customHeight="1" spans="1:2">
      <c r="A17679" s="3" t="str">
        <f>IFERROR(__xludf.DUMMYFUNCTION("GOOGLETRANSLATE(A17679,""en"",""pt"")"),"uso um monte de tinta para preto e branco")</f>
        <v>uso um monte de tinta para preto e branco</v>
      </c>
      <c r="B17679" s="3">
        <v>0</v>
      </c>
    </row>
    <row r="17680" ht="15.75" customHeight="1" spans="1:2">
      <c r="A17680" s="3" t="str">
        <f>IFERROR(__xludf.DUMMYFUNCTION("GOOGLETRANSLATE(A17680,""en"",""pt"")"),"Ficar sem tinta muito rapidamente, os cartuchos são dispendiosos")</f>
        <v>Ficar sem tinta muito rapidamente, os cartuchos são dispendiosos</v>
      </c>
      <c r="B17680" s="3">
        <v>0</v>
      </c>
    </row>
    <row r="17681" ht="15.75" customHeight="1" spans="1:2">
      <c r="A17681" s="3" t="str">
        <f>IFERROR(__xludf.DUMMYFUNCTION("GOOGLETRANSLATE(A17681,""en"",""pt"")"),"Nenhum")</f>
        <v>Nenhum</v>
      </c>
      <c r="B17681" s="3">
        <v>0</v>
      </c>
    </row>
    <row r="17682" ht="15.75" customHeight="1" spans="1:2">
      <c r="A17682" s="3" t="str">
        <f>IFERROR(__xludf.DUMMYFUNCTION("GOOGLETRANSLATE(A17682,""en"",""pt"")"),"lento")</f>
        <v>lento</v>
      </c>
      <c r="B17682" s="3">
        <v>0</v>
      </c>
    </row>
    <row r="17683" ht="15.75" customHeight="1" spans="1:2">
      <c r="A17683" s="3" t="str">
        <f>IFERROR(__xludf.DUMMYFUNCTION("GOOGLETRANSLATE(A17683,""en"",""pt"")"),"Lento e alto quando imprimir em cores")</f>
        <v>Lento e alto quando imprimir em cores</v>
      </c>
      <c r="B17683" s="3">
        <v>0</v>
      </c>
    </row>
    <row r="17684" ht="15.75" customHeight="1" spans="1:2">
      <c r="A17684" s="3" t="str">
        <f>IFERROR(__xludf.DUMMYFUNCTION("GOOGLETRANSLATE(A17684,""en"",""pt"")"),"nunca funcionou corretamente; Canhão não irá substituir com nova impressora")</f>
        <v>nunca funcionou corretamente; Canhão não irá substituir com nova impressora</v>
      </c>
      <c r="B17684" s="3">
        <v>0</v>
      </c>
    </row>
    <row r="17685" ht="15.75" customHeight="1" spans="1:2">
      <c r="A17685" s="3" t="str">
        <f>IFERROR(__xludf.DUMMYFUNCTION("GOOGLETRANSLATE(A17685,""en"",""pt"")"),"Deve substituir cartucho, se uma cor se esgota,")</f>
        <v>Deve substituir cartucho, se uma cor se esgota,</v>
      </c>
      <c r="B17685" s="3">
        <v>0</v>
      </c>
    </row>
    <row r="17686" ht="15.75" customHeight="1" spans="1:2">
      <c r="A17686" s="3" t="str">
        <f>IFERROR(__xludf.DUMMYFUNCTION("GOOGLETRANSLATE(A17686,""en"",""pt"")"),"você pode dizer &amp; amp; quot; de atolamentos de papel &amp; amp; quot;")</f>
        <v>você pode dizer &amp; amp; quot; de atolamentos de papel &amp; amp; quot;</v>
      </c>
      <c r="B17686" s="3">
        <v>0</v>
      </c>
    </row>
    <row r="17687" ht="15.75" customHeight="1" spans="1:2">
      <c r="A17687" s="3" t="str">
        <f>IFERROR(__xludf.DUMMYFUNCTION("GOOGLETRANSLATE(A17687,""en"",""pt"")"),"A velocidade é lento em alta resolução e gráficos coloridos.")</f>
        <v>A velocidade é lento em alta resolução e gráficos coloridos.</v>
      </c>
      <c r="B17687" s="3">
        <v>0</v>
      </c>
    </row>
    <row r="17688" ht="15.75" customHeight="1" spans="1:2">
      <c r="A17688" s="3" t="str">
        <f>IFERROR(__xludf.DUMMYFUNCTION("GOOGLETRANSLATE(A17688,""en"",""pt"")"),"os cartuchos de tinta separados")</f>
        <v>os cartuchos de tinta separados</v>
      </c>
      <c r="B17688" s="3">
        <v>0</v>
      </c>
    </row>
    <row r="17689" ht="15.75" customHeight="1" spans="1:2">
      <c r="A17689" s="3" t="str">
        <f>IFERROR(__xludf.DUMMYFUNCTION("GOOGLETRANSLATE(A17689,""en"",""pt"")"),"Nada até agora")</f>
        <v>Nada até agora</v>
      </c>
      <c r="B17689" s="3">
        <v>0</v>
      </c>
    </row>
    <row r="17690" ht="15.75" customHeight="1" spans="1:2">
      <c r="A17690" s="3" t="str">
        <f>IFERROR(__xludf.DUMMYFUNCTION("GOOGLETRANSLATE(A17690,""en"",""pt"")"),"Não o melhor em qualquer um dos acima")</f>
        <v>Não o melhor em qualquer um dos acima</v>
      </c>
      <c r="B17690" s="3">
        <v>0</v>
      </c>
    </row>
    <row r="17691" ht="15.75" customHeight="1" spans="1:2">
      <c r="A17691" s="3" t="str">
        <f>IFERROR(__xludf.DUMMYFUNCTION("GOOGLETRANSLATE(A17691,""en"",""pt"")"),"fitas um pouco caro")</f>
        <v>fitas um pouco caro</v>
      </c>
      <c r="B17691" s="3">
        <v>0</v>
      </c>
    </row>
    <row r="17692" ht="15.75" customHeight="1" spans="1:2">
      <c r="A17692" s="3" t="str">
        <f>IFERROR(__xludf.DUMMYFUNCTION("GOOGLETRANSLATE(A17692,""en"",""pt"")"),"Lento, má qualidade de impressão, congestionamentos frequentemente")</f>
        <v>Lento, má qualidade de impressão, congestionamentos frequentemente</v>
      </c>
      <c r="B17692" s="3">
        <v>0</v>
      </c>
    </row>
    <row r="17693" ht="15.75" customHeight="1" spans="1:2">
      <c r="A17693" s="3" t="str">
        <f>IFERROR(__xludf.DUMMYFUNCTION("GOOGLETRANSLATE(A17693,""en"",""pt"")"),"muito slooooooow")</f>
        <v>muito slooooooow</v>
      </c>
      <c r="B17693" s="3">
        <v>0</v>
      </c>
    </row>
    <row r="17694" ht="15.75" customHeight="1" spans="1:2">
      <c r="A17694" s="3" t="str">
        <f>IFERROR(__xludf.DUMMYFUNCTION("GOOGLETRANSLATE(A17694,""en"",""pt"")"),"Comprar os cartuchos de tinta, muitas vezes")</f>
        <v>Comprar os cartuchos de tinta, muitas vezes</v>
      </c>
      <c r="B17694" s="3">
        <v>0</v>
      </c>
    </row>
    <row r="17695" ht="15.75" customHeight="1" spans="1:2">
      <c r="A17695" s="3" t="str">
        <f>IFERROR(__xludf.DUMMYFUNCTION("GOOGLETRANSLATE(A17695,""en"",""pt"")"),"Cartuchos são difíceis de instalar, não é bom para alto volume")</f>
        <v>Cartuchos são difíceis de instalar, não é bom para alto volume</v>
      </c>
      <c r="B17695" s="3">
        <v>0</v>
      </c>
    </row>
    <row r="17696" ht="15.75" customHeight="1" spans="1:2">
      <c r="A17696" s="3" t="str">
        <f>IFERROR(__xludf.DUMMYFUNCTION("GOOGLETRANSLATE(A17696,""en"",""pt"")"),"Rapidez")</f>
        <v>Rapidez</v>
      </c>
      <c r="B17696" s="3">
        <v>0</v>
      </c>
    </row>
    <row r="17697" ht="15.75" customHeight="1" spans="1:2">
      <c r="A17697" s="3" t="str">
        <f>IFERROR(__xludf.DUMMYFUNCTION("GOOGLETRANSLATE(A17697,""en"",""pt"")"),"Cartuchos caro, lento, problemas ao mudar de defaults")</f>
        <v>Cartuchos caro, lento, problemas ao mudar de defaults</v>
      </c>
      <c r="B17697" s="3">
        <v>0</v>
      </c>
    </row>
    <row r="17698" ht="15.75" customHeight="1" spans="1:2">
      <c r="A17698" s="3" t="str">
        <f>IFERROR(__xludf.DUMMYFUNCTION("GOOGLETRANSLATE(A17698,""en"",""pt"")"),"Cor Imprimir velocidade é lenta, não consegue segurar a cores e preto cartucho de tinta na ao mesmo tempo")</f>
        <v>Cor Imprimir velocidade é lenta, não consegue segurar a cores e preto cartucho de tinta na ao mesmo tempo</v>
      </c>
      <c r="B17698" s="3">
        <v>0</v>
      </c>
    </row>
    <row r="17699" ht="15.75" customHeight="1" spans="1:2">
      <c r="A17699" s="3" t="str">
        <f>IFERROR(__xludf.DUMMYFUNCTION("GOOGLETRANSLATE(A17699,""en"",""pt"")"),"Operando BAD custo ...")</f>
        <v>Operando BAD custo ...</v>
      </c>
      <c r="B17699" s="3">
        <v>0</v>
      </c>
    </row>
    <row r="17700" ht="15.75" customHeight="1" spans="1:2">
      <c r="A17700" s="3" t="str">
        <f>IFERROR(__xludf.DUMMYFUNCTION("GOOGLETRANSLATE(A17700,""en"",""pt"")"),"Às vezes não confiável.")</f>
        <v>Às vezes não confiável.</v>
      </c>
      <c r="B17700" s="3">
        <v>0</v>
      </c>
    </row>
    <row r="17701" ht="15.75" customHeight="1" spans="1:2">
      <c r="A17701" s="3" t="str">
        <f>IFERROR(__xludf.DUMMYFUNCTION("GOOGLETRANSLATE(A17701,""en"",""pt"")"),"alto custo de cartuchos, retardar para imprimir várias folhas de material")</f>
        <v>alto custo de cartuchos, retardar para imprimir várias folhas de material</v>
      </c>
      <c r="B17701" s="3">
        <v>0</v>
      </c>
    </row>
    <row r="17702" ht="15.75" customHeight="1" spans="1:2">
      <c r="A17702" s="3" t="str">
        <f>IFERROR(__xludf.DUMMYFUNCTION("GOOGLETRANSLATE(A17702,""en"",""pt"")"),"Mente dele próprio")</f>
        <v>Mente dele próprio</v>
      </c>
      <c r="B17702" s="3">
        <v>0</v>
      </c>
    </row>
    <row r="17703" ht="15.75" customHeight="1" spans="1:2">
      <c r="A17703" s="3" t="str">
        <f>IFERROR(__xludf.DUMMYFUNCTION("GOOGLETRANSLATE(A17703,""en"",""pt"")"),"Não é muito complexo, fotos coloridas não tão boa qualidade como as impressoras mais caras, o carregamento de papel, por vezes, irritante ...")</f>
        <v>Não é muito complexo, fotos coloridas não tão boa qualidade como as impressoras mais caras, o carregamento de papel, por vezes, irritante ...</v>
      </c>
      <c r="B17703" s="3">
        <v>0</v>
      </c>
    </row>
    <row r="17704" ht="15.75" customHeight="1" spans="1:2">
      <c r="A17704" s="3" t="str">
        <f>IFERROR(__xludf.DUMMYFUNCTION("GOOGLETRANSLATE(A17704,""en"",""pt"")"),"Nenhum demônio da velocidade")</f>
        <v>Nenhum demônio da velocidade</v>
      </c>
      <c r="B17704" s="3">
        <v>0</v>
      </c>
    </row>
    <row r="17705" ht="15.75" customHeight="1" spans="1:2">
      <c r="A17705" s="3" t="str">
        <f>IFERROR(__xludf.DUMMYFUNCTION("GOOGLETRANSLATE(A17705,""en"",""pt"")"),"Não vale a pena")</f>
        <v>Não vale a pena</v>
      </c>
      <c r="B17705" s="3">
        <v>0</v>
      </c>
    </row>
    <row r="17706" ht="15.75" customHeight="1" spans="1:2">
      <c r="A17706" s="3" t="str">
        <f>IFERROR(__xludf.DUMMYFUNCTION("GOOGLETRANSLATE(A17706,""en"",""pt"")"),"Lento para o trabalho de alto volume")</f>
        <v>Lento para o trabalho de alto volume</v>
      </c>
      <c r="B17706" s="3">
        <v>0</v>
      </c>
    </row>
    <row r="17707" ht="15.75" customHeight="1" spans="1:2">
      <c r="A17707" s="3" t="str">
        <f>IFERROR(__xludf.DUMMYFUNCTION("GOOGLETRANSLATE(A17707,""en"",""pt"")"),"não imprime em um nível profissional")</f>
        <v>não imprime em um nível profissional</v>
      </c>
      <c r="B17707" s="3">
        <v>0</v>
      </c>
    </row>
    <row r="17708" ht="15.75" customHeight="1" spans="1:2">
      <c r="A17708" s="3" t="str">
        <f>IFERROR(__xludf.DUMMYFUNCTION("GOOGLETRANSLATE(A17708,""en"",""pt"")"),"Muitos problemas para lidar com")</f>
        <v>Muitos problemas para lidar com</v>
      </c>
      <c r="B17708" s="3">
        <v>0</v>
      </c>
    </row>
    <row r="17709" ht="15.75" customHeight="1" spans="1:2">
      <c r="A17709" s="3" t="str">
        <f>IFERROR(__xludf.DUMMYFUNCTION("GOOGLETRANSLATE(A17709,""en"",""pt"")"),"Terá de mudar cartuchos de tinta")</f>
        <v>Terá de mudar cartuchos de tinta</v>
      </c>
      <c r="B17709" s="3">
        <v>0</v>
      </c>
    </row>
    <row r="17710" ht="15.75" customHeight="1" spans="1:2">
      <c r="A17710" s="3" t="str">
        <f>IFERROR(__xludf.DUMMYFUNCTION("GOOGLETRANSLATE(A17710,""en"",""pt"")"),"Você se o que você paga. Sinta-se como um dentista? papel extrato ...")</f>
        <v>Você se o que você paga. Sinta-se como um dentista? papel extrato ...</v>
      </c>
      <c r="B17710" s="3">
        <v>0</v>
      </c>
    </row>
    <row r="17711" ht="15.75" customHeight="1" spans="1:2">
      <c r="A17711" s="3" t="str">
        <f>IFERROR(__xludf.DUMMYFUNCTION("GOOGLETRANSLATE(A17711,""en"",""pt"")"),"não avisá-lo quando você está prestes a ficar sem tinta.")</f>
        <v>não avisá-lo quando você está prestes a ficar sem tinta.</v>
      </c>
      <c r="B17711" s="3">
        <v>0</v>
      </c>
    </row>
    <row r="17712" ht="15.75" customHeight="1" spans="1:2">
      <c r="A17712" s="3" t="str">
        <f>IFERROR(__xludf.DUMMYFUNCTION("GOOGLETRANSLATE(A17712,""en"",""pt"")"),"Envelopes tendem a ficar.")</f>
        <v>Envelopes tendem a ficar.</v>
      </c>
      <c r="B17712" s="3">
        <v>0</v>
      </c>
    </row>
    <row r="17713" ht="15.75" customHeight="1" spans="1:2">
      <c r="A17713" s="3" t="str">
        <f>IFERROR(__xludf.DUMMYFUNCTION("GOOGLETRANSLATE(A17713,""en"",""pt"")"),"Awful qualidade de cor, dolorosamente lento, desajeitado e problemático")</f>
        <v>Awful qualidade de cor, dolorosamente lento, desajeitado e problemático</v>
      </c>
      <c r="B17713" s="3">
        <v>0</v>
      </c>
    </row>
    <row r="17714" ht="15.75" customHeight="1" spans="1:2">
      <c r="A17714" s="3" t="str">
        <f>IFERROR(__xludf.DUMMYFUNCTION("GOOGLETRANSLATE(A17714,""en"",""pt"")"),"Os cartuchos são cerca de US $ 26 para preto e branco, às vezes não tão suave")</f>
        <v>Os cartuchos são cerca de US $ 26 para preto e branco, às vezes não tão suave</v>
      </c>
      <c r="B17714" s="3">
        <v>0</v>
      </c>
    </row>
    <row r="17715" ht="15.75" customHeight="1" spans="1:2">
      <c r="A17715" s="3" t="str">
        <f>IFERROR(__xludf.DUMMYFUNCTION("GOOGLETRANSLATE(A17715,""en"",""pt"")"),"Cada agora e então visitado por BJC-250 trolls que jogam piadas.")</f>
        <v>Cada agora e então visitado por BJC-250 trolls que jogam piadas.</v>
      </c>
      <c r="B17715" s="3">
        <v>0</v>
      </c>
    </row>
    <row r="17716" ht="15.75" customHeight="1" spans="1:2">
      <c r="A17716" s="3" t="str">
        <f>IFERROR(__xludf.DUMMYFUNCTION("GOOGLETRANSLATE(A17716,""en"",""pt"")"),"manchas, por vezes,")</f>
        <v>manchas, por vezes,</v>
      </c>
      <c r="B17716" s="3">
        <v>0</v>
      </c>
    </row>
    <row r="17717" ht="15.75" customHeight="1" spans="1:2">
      <c r="A17717" s="3" t="str">
        <f>IFERROR(__xludf.DUMMYFUNCTION("GOOGLETRANSLATE(A17717,""en"",""pt"")"),"cartucho de tinta-vida curta, a qualidade de impressão horrível, problemas de alimentação de papel")</f>
        <v>cartucho de tinta-vida curta, a qualidade de impressão horrível, problemas de alimentação de papel</v>
      </c>
      <c r="B17717" s="3">
        <v>0</v>
      </c>
    </row>
    <row r="17718" ht="15.75" customHeight="1" spans="1:2">
      <c r="A17718" s="3" t="str">
        <f>IFERROR(__xludf.DUMMYFUNCTION("GOOGLETRANSLATE(A17718,""en"",""pt"")"),"lento ..... impressão de má qualidade")</f>
        <v>lento ..... impressão de má qualidade</v>
      </c>
      <c r="B17718" s="3">
        <v>0</v>
      </c>
    </row>
    <row r="17719" ht="15.75" customHeight="1" spans="1:2">
      <c r="A17719" s="3" t="str">
        <f>IFERROR(__xludf.DUMMYFUNCTION("GOOGLETRANSLATE(A17719,""en"",""pt"")"),"Deve trocar cartucho para os verdadeiros negros")</f>
        <v>Deve trocar cartucho para os verdadeiros negros</v>
      </c>
      <c r="B17719" s="3">
        <v>0</v>
      </c>
    </row>
    <row r="17720" ht="15.75" customHeight="1" spans="1:2">
      <c r="A17720" s="3" t="str">
        <f>IFERROR(__xludf.DUMMYFUNCTION("GOOGLETRANSLATE(A17720,""en"",""pt"")"),"mais difícil de encontrar a tinta em lojas")</f>
        <v>mais difícil de encontrar a tinta em lojas</v>
      </c>
      <c r="B17720" s="3">
        <v>0</v>
      </c>
    </row>
    <row r="17721" ht="15.75" customHeight="1" spans="1:2">
      <c r="A17721" s="3" t="str">
        <f>IFERROR(__xludf.DUMMYFUNCTION("GOOGLETRANSLATE(A17721,""en"",""pt"")"),"Um pouco lento para começar.")</f>
        <v>Um pouco lento para começar.</v>
      </c>
      <c r="B17721" s="3">
        <v>0</v>
      </c>
    </row>
    <row r="17722" ht="15.75" customHeight="1" spans="1:2">
      <c r="A17722" s="3" t="str">
        <f>IFERROR(__xludf.DUMMYFUNCTION("GOOGLETRANSLATE(A17722,""en"",""pt"")"),"O roxo não imprimir bem.")</f>
        <v>O roxo não imprimir bem.</v>
      </c>
      <c r="B17722" s="3">
        <v>0</v>
      </c>
    </row>
    <row r="17723" ht="15.75" customHeight="1" spans="1:2">
      <c r="A17723" s="3" t="str">
        <f>IFERROR(__xludf.DUMMYFUNCTION("GOOGLETRANSLATE(A17723,""en"",""pt"")"),"Noisy retirado arranque.")</f>
        <v>Noisy retirado arranque.</v>
      </c>
      <c r="B17723" s="3">
        <v>0</v>
      </c>
    </row>
    <row r="17724" ht="15.75" customHeight="1" spans="1:2">
      <c r="A17724" s="3" t="str">
        <f>IFERROR(__xludf.DUMMYFUNCTION("GOOGLETRANSLATE(A17724,""en"",""pt"")"),"Nenhum")</f>
        <v>Nenhum</v>
      </c>
      <c r="B17724" s="3">
        <v>0</v>
      </c>
    </row>
    <row r="17725" ht="15.75" customHeight="1" spans="1:2">
      <c r="A17725" s="3" t="str">
        <f>IFERROR(__xludf.DUMMYFUNCTION("GOOGLETRANSLATE(A17725,""en"",""pt"")"),"Nenhum")</f>
        <v>Nenhum</v>
      </c>
      <c r="B17725" s="3">
        <v>0</v>
      </c>
    </row>
    <row r="17726" ht="15.75" customHeight="1" spans="1:2">
      <c r="A17726" s="3" t="str">
        <f>IFERROR(__xludf.DUMMYFUNCTION("GOOGLETRANSLATE(A17726,""en"",""pt"")"),"Mais lenta do que a impressão esperada")</f>
        <v>Mais lenta do que a impressão esperada</v>
      </c>
      <c r="B17726" s="3">
        <v>0</v>
      </c>
    </row>
    <row r="17727" ht="15.75" customHeight="1" spans="1:2">
      <c r="A17727" s="3" t="str">
        <f>IFERROR(__xludf.DUMMYFUNCTION("GOOGLETRANSLATE(A17727,""en"",""pt"")"),"tamanho desajeitado, lento de impressão, manuseio de papel pobre")</f>
        <v>tamanho desajeitado, lento de impressão, manuseio de papel pobre</v>
      </c>
      <c r="B17727" s="3">
        <v>0</v>
      </c>
    </row>
    <row r="17728" ht="15.75" customHeight="1" spans="1:2">
      <c r="A17728" s="3" t="str">
        <f>IFERROR(__xludf.DUMMYFUNCTION("GOOGLETRANSLATE(A17728,""en"",""pt"")"),"Sacode nosso Desk ao imprimir")</f>
        <v>Sacode nosso Desk ao imprimir</v>
      </c>
      <c r="B17728" s="3">
        <v>0</v>
      </c>
    </row>
    <row r="17729" ht="15.75" customHeight="1" spans="1:2">
      <c r="A17729" s="3" t="str">
        <f>IFERROR(__xludf.DUMMYFUNCTION("GOOGLETRANSLATE(A17729,""en"",""pt"")"),"difícil encontrar recargas")</f>
        <v>difícil encontrar recargas</v>
      </c>
      <c r="B17729" s="3">
        <v>0</v>
      </c>
    </row>
    <row r="17730" ht="15.75" customHeight="1" spans="1:2">
      <c r="A17730" s="3" t="str">
        <f>IFERROR(__xludf.DUMMYFUNCTION("GOOGLETRANSLATE(A17730,""en"",""pt"")"),"Gostaria que houvesse mais impressoras como este")</f>
        <v>Gostaria que houvesse mais impressoras como este</v>
      </c>
      <c r="B17730" s="3">
        <v>0</v>
      </c>
    </row>
    <row r="17731" ht="15.75" customHeight="1" spans="1:2">
      <c r="A17731" s="3" t="str">
        <f>IFERROR(__xludf.DUMMYFUNCTION("GOOGLETRANSLATE(A17731,""en"",""pt"")"),"não vem com o Windows Me motoristas")</f>
        <v>não vem com o Windows Me motoristas</v>
      </c>
      <c r="B17731" s="3">
        <v>0</v>
      </c>
    </row>
    <row r="17732" ht="15.75" customHeight="1" spans="1:2">
      <c r="A17732" s="3" t="str">
        <f>IFERROR(__xludf.DUMMYFUNCTION("GOOGLETRANSLATE(A17732,""en"",""pt"")"),"Mexe-se, por vezes, ficar sem tinta rápida")</f>
        <v>Mexe-se, por vezes, ficar sem tinta rápida</v>
      </c>
      <c r="B17732" s="3">
        <v>0</v>
      </c>
    </row>
    <row r="17733" ht="15.75" customHeight="1" spans="1:2">
      <c r="A17733" s="3" t="str">
        <f>IFERROR(__xludf.DUMMYFUNCTION("GOOGLETRANSLATE(A17733,""en"",""pt"")"),"Muito lento ... mas quem se importa.")</f>
        <v>Muito lento ... mas quem se importa.</v>
      </c>
      <c r="B17733" s="3">
        <v>0</v>
      </c>
    </row>
    <row r="17734" ht="15.75" customHeight="1" spans="1:2">
      <c r="A17734" s="3" t="str">
        <f>IFERROR(__xludf.DUMMYFUNCTION("GOOGLETRANSLATE(A17734,""en"",""pt"")"),"bastante barulhento")</f>
        <v>bastante barulhento</v>
      </c>
      <c r="B17734" s="3">
        <v>0</v>
      </c>
    </row>
    <row r="17735" ht="15.75" customHeight="1" spans="1:2">
      <c r="A17735" s="3" t="str">
        <f>IFERROR(__xludf.DUMMYFUNCTION("GOOGLETRANSLATE(A17735,""en"",""pt"")"),"Shakes como um viciado em crack wih sem dinheiro!")</f>
        <v>Shakes como um viciado em crack wih sem dinheiro!</v>
      </c>
      <c r="B17735" s="3">
        <v>0</v>
      </c>
    </row>
    <row r="17736" ht="15.75" customHeight="1" spans="1:2">
      <c r="A17736" s="3" t="str">
        <f>IFERROR(__xludf.DUMMYFUNCTION("GOOGLETRANSLATE(A17736,""en"",""pt"")"),"As tintas são caros")</f>
        <v>As tintas são caros</v>
      </c>
      <c r="B17736" s="3">
        <v>0</v>
      </c>
    </row>
    <row r="17737" ht="15.75" customHeight="1" spans="1:2">
      <c r="A17737" s="3" t="str">
        <f>IFERROR(__xludf.DUMMYFUNCTION("GOOGLETRANSLATE(A17737,""en"",""pt"")"),"Papel Bandeja de saída")</f>
        <v>Papel Bandeja de saída</v>
      </c>
      <c r="B17737" s="3">
        <v>0</v>
      </c>
    </row>
    <row r="17738" ht="15.75" customHeight="1" spans="1:2">
      <c r="A17738" s="3" t="str">
        <f>IFERROR(__xludf.DUMMYFUNCTION("GOOGLETRANSLATE(A17738,""en"",""pt"")"),"alimenta ocasionalmente muito papel; Seria bom se fosse um pouco menor")</f>
        <v>alimenta ocasionalmente muito papel; Seria bom se fosse um pouco menor</v>
      </c>
      <c r="B17738" s="3">
        <v>0</v>
      </c>
    </row>
    <row r="17739" ht="15.75" customHeight="1" spans="1:2">
      <c r="A17739" s="3" t="str">
        <f>IFERROR(__xludf.DUMMYFUNCTION("GOOGLETRANSLATE(A17739,""en"",""pt"")"),"conflito com scanners mustek, usb não parece trabalho como deveria")</f>
        <v>conflito com scanners mustek, usb não parece trabalho como deveria</v>
      </c>
      <c r="B17739" s="3">
        <v>0</v>
      </c>
    </row>
    <row r="17740" ht="15.75" customHeight="1" spans="1:2">
      <c r="A17740" s="3" t="str">
        <f>IFERROR(__xludf.DUMMYFUNCTION("GOOGLETRANSLATE(A17740,""en"",""pt"")"),"rebate significativa está prestes a expirar! Obtê-lo agora!")</f>
        <v>rebate significativa está prestes a expirar! Obtê-lo agora!</v>
      </c>
      <c r="B17740" s="3">
        <v>0</v>
      </c>
    </row>
    <row r="17741" ht="15.75" customHeight="1" spans="1:2">
      <c r="A17741" s="3" t="str">
        <f>IFERROR(__xludf.DUMMYFUNCTION("GOOGLETRANSLATE(A17741,""en"",""pt"")"),"qualidade de saída inexpressivo. Precisa de papel de boa qualidade só &amp; amp olhar; quot; bastante &amp; amp; quot; Boa. Gráficos / fotos são demasiado granulada.")</f>
        <v>qualidade de saída inexpressivo. Precisa de papel de boa qualidade só &amp; amp olhar; quot; bastante &amp; amp; quot; Boa. Gráficos / fotos são demasiado granulada.</v>
      </c>
      <c r="B17741" s="3">
        <v>0</v>
      </c>
    </row>
    <row r="17742" ht="15.75" customHeight="1" spans="1:2">
      <c r="A17742" s="3" t="str">
        <f>IFERROR(__xludf.DUMMYFUNCTION("GOOGLETRANSLATE(A17742,""en"",""pt"")"),"não funcionou")</f>
        <v>não funcionou</v>
      </c>
      <c r="B17742" s="3">
        <v>0</v>
      </c>
    </row>
    <row r="17743" ht="15.75" customHeight="1" spans="1:2">
      <c r="A17743" s="3" t="str">
        <f>IFERROR(__xludf.DUMMYFUNCTION("GOOGLETRANSLATE(A17743,""en"",""pt"")"),"Rapidez")</f>
        <v>Rapidez</v>
      </c>
      <c r="B17743" s="3">
        <v>0</v>
      </c>
    </row>
    <row r="17744" ht="15.75" customHeight="1" spans="1:2">
      <c r="A17744" s="3" t="str">
        <f>IFERROR(__xludf.DUMMYFUNCTION("GOOGLETRANSLATE(A17744,""en"",""pt"")"),"Atualizará uma vez que eu encontrar um!")</f>
        <v>Atualizará uma vez que eu encontrar um!</v>
      </c>
      <c r="B17744" s="3">
        <v>0</v>
      </c>
    </row>
    <row r="17745" ht="15.75" customHeight="1" spans="1:2">
      <c r="A17745" s="3" t="str">
        <f>IFERROR(__xludf.DUMMYFUNCTION("GOOGLETRANSLATE(A17745,""en"",""pt"")"),"possessão demoníaca, gurgles. :)")</f>
        <v>possessão demoníaca, gurgles. :)</v>
      </c>
      <c r="B17745" s="3">
        <v>0</v>
      </c>
    </row>
    <row r="17746" ht="15.75" customHeight="1" spans="1:2">
      <c r="A17746" s="3" t="str">
        <f>IFERROR(__xludf.DUMMYFUNCTION("GOOGLETRANSLATE(A17746,""en"",""pt"")"),"Nenhum")</f>
        <v>Nenhum</v>
      </c>
      <c r="B17746" s="3">
        <v>0</v>
      </c>
    </row>
    <row r="17747" ht="15.75" customHeight="1" spans="1:2">
      <c r="A17747" s="3" t="str">
        <f>IFERROR(__xludf.DUMMYFUNCTION("GOOGLETRANSLATE(A17747,""en"",""pt"")"),"Fotos menos qualidade do que o esperado.")</f>
        <v>Fotos menos qualidade do que o esperado.</v>
      </c>
      <c r="B17747" s="3">
        <v>0</v>
      </c>
    </row>
    <row r="17748" ht="15.75" customHeight="1" spans="1:2">
      <c r="A17748" s="3" t="str">
        <f>IFERROR(__xludf.DUMMYFUNCTION("GOOGLETRANSLATE(A17748,""en"",""pt"")"),"falhas de software, fotos granuladas.")</f>
        <v>falhas de software, fotos granuladas.</v>
      </c>
      <c r="B17748" s="3">
        <v>0</v>
      </c>
    </row>
    <row r="17749" ht="15.75" customHeight="1" spans="1:2">
      <c r="A17749" s="3" t="str">
        <f>IFERROR(__xludf.DUMMYFUNCTION("GOOGLETRANSLATE(A17749,""en"",""pt"")"),"seqüência de aquecimento de longo barulhento, qualidade so-so impressão de fotos")</f>
        <v>seqüência de aquecimento de longo barulhento, qualidade so-so impressão de fotos</v>
      </c>
      <c r="B17749" s="3">
        <v>0</v>
      </c>
    </row>
    <row r="17750" ht="15.75" customHeight="1" spans="1:2">
      <c r="A17750" s="3" t="str">
        <f>IFERROR(__xludf.DUMMYFUNCTION("GOOGLETRANSLATE(A17750,""en"",""pt"")"),"Despesa de Operação, Zero Confiabilidade, muito imperfeito produtos")</f>
        <v>Despesa de Operação, Zero Confiabilidade, muito imperfeito produtos</v>
      </c>
      <c r="B17750" s="3">
        <v>0</v>
      </c>
    </row>
    <row r="17751" ht="15.75" customHeight="1" spans="1:2">
      <c r="A17751" s="3" t="str">
        <f>IFERROR(__xludf.DUMMYFUNCTION("GOOGLETRANSLATE(A17751,""en"",""pt"")"),"qualidade de impressão dúbia; sacode mais de Elvis; ALTO!")</f>
        <v>qualidade de impressão dúbia; sacode mais de Elvis; ALTO!</v>
      </c>
      <c r="B17751" s="3">
        <v>0</v>
      </c>
    </row>
    <row r="17752" ht="15.75" customHeight="1" spans="1:2">
      <c r="A17752" s="3" t="str">
        <f>IFERROR(__xludf.DUMMYFUNCTION("GOOGLETRANSLATE(A17752,""en"",""pt"")"),"pouco caro, tinteiros pequenos")</f>
        <v>pouco caro, tinteiros pequenos</v>
      </c>
      <c r="B17752" s="3">
        <v>0</v>
      </c>
    </row>
    <row r="17753" ht="15.75" customHeight="1" spans="1:2">
      <c r="A17753" s="3" t="str">
        <f>IFERROR(__xludf.DUMMYFUNCTION("GOOGLETRANSLATE(A17753,""en"",""pt"")"),"você tem que tanques alternar entre cor e B / W")</f>
        <v>você tem que tanques alternar entre cor e B / W</v>
      </c>
      <c r="B17753" s="3">
        <v>0</v>
      </c>
    </row>
    <row r="17754" ht="15.75" customHeight="1" spans="1:2">
      <c r="A17754" s="3" t="str">
        <f>IFERROR(__xludf.DUMMYFUNCTION("GOOGLETRANSLATE(A17754,""en"",""pt"")"),"SERVIÇO AO CLIENTE")</f>
        <v>SERVIÇO AO CLIENTE</v>
      </c>
      <c r="B17754" s="3">
        <v>0</v>
      </c>
    </row>
    <row r="17755" ht="15.75" customHeight="1" spans="1:2">
      <c r="A17755" s="3" t="str">
        <f>IFERROR(__xludf.DUMMYFUNCTION("GOOGLETRANSLATE(A17755,""en"",""pt"")"),"Jams facilmente. Um bit no lado dispendiosa.")</f>
        <v>Jams facilmente. Um bit no lado dispendiosa.</v>
      </c>
      <c r="B17755" s="3">
        <v>0</v>
      </c>
    </row>
    <row r="17756" ht="15.75" customHeight="1" spans="1:2">
      <c r="A17756" s="3" t="str">
        <f>IFERROR(__xludf.DUMMYFUNCTION("GOOGLETRANSLATE(A17756,""en"",""pt"")"),"Se você quer produtos de qualidade você terá à mesa durante a massa, este item não sai barato")</f>
        <v>Se você quer produtos de qualidade você terá à mesa durante a massa, este item não sai barato</v>
      </c>
      <c r="B17756" s="3">
        <v>0</v>
      </c>
    </row>
    <row r="17757" ht="15.75" customHeight="1" spans="1:2">
      <c r="A17757" s="3" t="str">
        <f>IFERROR(__xludf.DUMMYFUNCTION("GOOGLETRANSLATE(A17757,""en"",""pt"")"),"Canon confiabilidade da impressora não é tão boa como a HP ou Epson, pode ser a impressora portátil mais caro lá fora, além do scanner apenas por isso")</f>
        <v>Canon confiabilidade da impressora não é tão boa como a HP ou Epson, pode ser a impressora portátil mais caro lá fora, além do scanner apenas por isso</v>
      </c>
      <c r="B17757" s="3">
        <v>0</v>
      </c>
    </row>
    <row r="17758" ht="15.75" customHeight="1" spans="1:2">
      <c r="A17758" s="3" t="str">
        <f>IFERROR(__xludf.DUMMYFUNCTION("GOOGLETRANSLATE(A17758,""en"",""pt"")"),"caro (inicial e de manutenção)")</f>
        <v>caro (inicial e de manutenção)</v>
      </c>
      <c r="B17758" s="3">
        <v>0</v>
      </c>
    </row>
    <row r="17759" ht="15.75" customHeight="1" spans="1:2">
      <c r="A17759" s="3" t="str">
        <f>IFERROR(__xludf.DUMMYFUNCTION("GOOGLETRANSLATE(A17759,""en"",""pt"")"),"Software não instalar o maior.")</f>
        <v>Software não instalar o maior.</v>
      </c>
      <c r="B17759" s="3">
        <v>0</v>
      </c>
    </row>
    <row r="17760" ht="15.75" customHeight="1" spans="1:2">
      <c r="A17760" s="3" t="str">
        <f>IFERROR(__xludf.DUMMYFUNCTION("GOOGLETRANSLATE(A17760,""en"",""pt"")"),"alto preço, software pobres")</f>
        <v>alto preço, software pobres</v>
      </c>
      <c r="B17760" s="3">
        <v>0</v>
      </c>
    </row>
    <row r="17761" ht="15.75" customHeight="1" spans="1:2">
      <c r="A17761" s="3" t="str">
        <f>IFERROR(__xludf.DUMMYFUNCTION("GOOGLETRANSLATE(A17761,""en"",""pt"")"),"Muito lento e alto. má qualidade de imagem. E o pior de tudo ... Muito mau serviço ao cliente.")</f>
        <v>Muito lento e alto. má qualidade de imagem. E o pior de tudo ... Muito mau serviço ao cliente.</v>
      </c>
      <c r="B17761" s="3">
        <v>0</v>
      </c>
    </row>
    <row r="17762" ht="15.75" customHeight="1" spans="1:2">
      <c r="A17762" s="3" t="str">
        <f>IFERROR(__xludf.DUMMYFUNCTION("GOOGLETRANSLATE(A17762,""en"",""pt"")"),"Eu não posso obtê-lo para ligar")</f>
        <v>Eu não posso obtê-lo para ligar</v>
      </c>
      <c r="B17762" s="3">
        <v>0</v>
      </c>
    </row>
    <row r="17763" ht="15.75" customHeight="1" spans="1:2">
      <c r="A17763" s="3" t="str">
        <f>IFERROR(__xludf.DUMMYFUNCTION("GOOGLETRANSLATE(A17763,""en"",""pt"")"),"100% confiável.")</f>
        <v>100% confiável.</v>
      </c>
      <c r="B17763" s="3">
        <v>0</v>
      </c>
    </row>
    <row r="17764" ht="15.75" customHeight="1" spans="1:2">
      <c r="A17764" s="3" t="str">
        <f>IFERROR(__xludf.DUMMYFUNCTION("GOOGLETRANSLATE(A17764,""en"",""pt"")"),"Barulhento, caro, mau serviço ao cliente, não é suportado no Windows XP.")</f>
        <v>Barulhento, caro, mau serviço ao cliente, não é suportado no Windows XP.</v>
      </c>
      <c r="B17764" s="3">
        <v>0</v>
      </c>
    </row>
    <row r="17765" ht="15.75" customHeight="1" spans="1:2">
      <c r="A17765" s="3" t="str">
        <f>IFERROR(__xludf.DUMMYFUNCTION("GOOGLETRANSLATE(A17765,""en"",""pt"")"),"Serviço Bad clientes e produtos Reliabililty")</f>
        <v>Serviço Bad clientes e produtos Reliabililty</v>
      </c>
      <c r="B17765" s="3">
        <v>0</v>
      </c>
    </row>
    <row r="17766" ht="15.75" customHeight="1" spans="1:2">
      <c r="A17766" s="3" t="str">
        <f>IFERROR(__xludf.DUMMYFUNCTION("GOOGLETRANSLATE(A17766,""en"",""pt"")"),"grande tamanho e velocidade de impressão")</f>
        <v>grande tamanho e velocidade de impressão</v>
      </c>
      <c r="B17766" s="3">
        <v>0</v>
      </c>
    </row>
    <row r="17767" ht="15.75" customHeight="1" spans="1:2">
      <c r="A17767" s="3" t="str">
        <f>IFERROR(__xludf.DUMMYFUNCTION("GOOGLETRANSLATE(A17767,""en"",""pt"")"),"problema menor imprimir papel de tamanho pequeno.")</f>
        <v>problema menor imprimir papel de tamanho pequeno.</v>
      </c>
      <c r="B17767" s="3">
        <v>0</v>
      </c>
    </row>
    <row r="17768" ht="15.75" customHeight="1" spans="1:2">
      <c r="A17768" s="3" t="str">
        <f>IFERROR(__xludf.DUMMYFUNCTION("GOOGLETRANSLATE(A17768,""en"",""pt"")"),"não vai imprimir maior parte do tempo")</f>
        <v>não vai imprimir maior parte do tempo</v>
      </c>
      <c r="B17768" s="3">
        <v>0</v>
      </c>
    </row>
    <row r="17769" ht="15.75" customHeight="1" spans="1:2">
      <c r="A17769" s="3" t="str">
        <f>IFERROR(__xludf.DUMMYFUNCTION("GOOGLETRANSLATE(A17769,""en"",""pt"")"),"Por pouco exigentes apenas usuários domésticos")</f>
        <v>Por pouco exigentes apenas usuários domésticos</v>
      </c>
      <c r="B17769" s="3">
        <v>0</v>
      </c>
    </row>
    <row r="17770" ht="15.75" customHeight="1" spans="1:2">
      <c r="A17770" s="3" t="str">
        <f>IFERROR(__xludf.DUMMYFUNCTION("GOOGLETRANSLATE(A17770,""en"",""pt"")"),"Apenas sobre tudo o resto")</f>
        <v>Apenas sobre tudo o resto</v>
      </c>
      <c r="B17770" s="3">
        <v>0</v>
      </c>
    </row>
    <row r="17771" ht="15.75" customHeight="1" spans="1:2">
      <c r="A17771" s="3" t="str">
        <f>IFERROR(__xludf.DUMMYFUNCTION("GOOGLETRANSLATE(A17771,""en"",""pt"")"),"Constante substituição e limpeza, muito barulhento")</f>
        <v>Constante substituição e limpeza, muito barulhento</v>
      </c>
      <c r="B17771" s="3">
        <v>0</v>
      </c>
    </row>
    <row r="17772" ht="15.75" customHeight="1" spans="1:2">
      <c r="A17772" s="3" t="str">
        <f>IFERROR(__xludf.DUMMYFUNCTION("GOOGLETRANSLATE(A17772,""en"",""pt"")"),"Muito pouco confiáveis; Eu não sei onde a tinta vai!")</f>
        <v>Muito pouco confiáveis; Eu não sei onde a tinta vai!</v>
      </c>
      <c r="B17772" s="3">
        <v>0</v>
      </c>
    </row>
    <row r="17773" ht="15.75" customHeight="1" spans="1:2">
      <c r="A17773" s="3" t="str">
        <f>IFERROR(__xludf.DUMMYFUNCTION("GOOGLETRANSLATE(A17773,""en"",""pt"")"),"barato, de má qualidade, confuso")</f>
        <v>barato, de má qualidade, confuso</v>
      </c>
      <c r="B17773" s="3">
        <v>0</v>
      </c>
    </row>
    <row r="17774" ht="15.75" customHeight="1" spans="1:2">
      <c r="A17774" s="3" t="str">
        <f>IFERROR(__xludf.DUMMYFUNCTION("GOOGLETRANSLATE(A17774,""en"",""pt"")"),"Garantido para falhar")</f>
        <v>Garantido para falhar</v>
      </c>
      <c r="B17774" s="3">
        <v>0</v>
      </c>
    </row>
    <row r="17775" ht="15.75" customHeight="1" spans="1:2">
      <c r="A17775" s="3" t="str">
        <f>IFERROR(__xludf.DUMMYFUNCTION("GOOGLETRANSLATE(A17775,""en"",""pt"")"),"alto, lento, texto manchada, sem suporte")</f>
        <v>alto, lento, texto manchada, sem suporte</v>
      </c>
      <c r="B17775" s="3">
        <v>0</v>
      </c>
    </row>
    <row r="17776" ht="15.75" customHeight="1" spans="1:2">
      <c r="A17776" s="3" t="str">
        <f>IFERROR(__xludf.DUMMYFUNCTION("GOOGLETRANSLATE(A17776,""en"",""pt"")"),"difícil de instalar, caro de operar, confiabilidade, velocidade lenta")</f>
        <v>difícil de instalar, caro de operar, confiabilidade, velocidade lenta</v>
      </c>
      <c r="B17776" s="3">
        <v>0</v>
      </c>
    </row>
    <row r="17777" ht="15.75" customHeight="1" spans="1:2">
      <c r="A17777" s="3" t="str">
        <f>IFERROR(__xludf.DUMMYFUNCTION("GOOGLETRANSLATE(A17777,""en"",""pt"")"),"nenhum nível de tinta notificador, o preço não vai ficar esta baixa")</f>
        <v>nenhum nível de tinta notificador, o preço não vai ficar esta baixa</v>
      </c>
      <c r="B17777" s="3">
        <v>0</v>
      </c>
    </row>
    <row r="17778" ht="15.75" customHeight="1" spans="1:2">
      <c r="A17778" s="3" t="str">
        <f>IFERROR(__xludf.DUMMYFUNCTION("GOOGLETRANSLATE(A17778,""en"",""pt"")"),"Volumoso")</f>
        <v>Volumoso</v>
      </c>
      <c r="B17778" s="3">
        <v>0</v>
      </c>
    </row>
    <row r="17779" ht="15.75" customHeight="1" spans="1:2">
      <c r="A17779" s="3" t="str">
        <f>IFERROR(__xludf.DUMMYFUNCTION("GOOGLETRANSLATE(A17779,""en"",""pt"")"),"Nenhum")</f>
        <v>Nenhum</v>
      </c>
      <c r="B17779" s="3">
        <v>0</v>
      </c>
    </row>
    <row r="17780" ht="15.75" customHeight="1" spans="1:2">
      <c r="A17780" s="3" t="str">
        <f>IFERROR(__xludf.DUMMYFUNCTION("GOOGLETRANSLATE(A17780,""en"",""pt"")"),"Canon ruim")</f>
        <v>Canon ruim</v>
      </c>
      <c r="B17780" s="3">
        <v>0</v>
      </c>
    </row>
    <row r="17781" ht="15.75" customHeight="1" spans="1:2">
      <c r="A17781" s="3" t="str">
        <f>IFERROR(__xludf.DUMMYFUNCTION("GOOGLETRANSLATE(A17781,""en"",""pt"")"),"Maior em tamanho do que a maioria")</f>
        <v>Maior em tamanho do que a maioria</v>
      </c>
      <c r="B17781" s="3">
        <v>0</v>
      </c>
    </row>
    <row r="17782" ht="15.75" customHeight="1" spans="1:2">
      <c r="A17782" s="3" t="str">
        <f>IFERROR(__xludf.DUMMYFUNCTION("GOOGLETRANSLATE(A17782,""en"",""pt"")"),"Leia abaixo")</f>
        <v>Leia abaixo</v>
      </c>
      <c r="B17782" s="3">
        <v>0</v>
      </c>
    </row>
    <row r="17783" ht="15.75" customHeight="1" spans="1:2">
      <c r="A17783" s="3" t="str">
        <f>IFERROR(__xludf.DUMMYFUNCTION("GOOGLETRANSLATE(A17783,""en"",""pt"")"),"Maior preço de compra")</f>
        <v>Maior preço de compra</v>
      </c>
      <c r="B17783" s="3">
        <v>0</v>
      </c>
    </row>
    <row r="17784" ht="15.75" customHeight="1" spans="1:2">
      <c r="A17784" s="3" t="str">
        <f>IFERROR(__xludf.DUMMYFUNCTION("GOOGLETRANSLATE(A17784,""en"",""pt"")"),"recargas Costley. $ 46,00 cada")</f>
        <v>recargas Costley. $ 46,00 cada</v>
      </c>
      <c r="B17784" s="3">
        <v>0</v>
      </c>
    </row>
    <row r="17785" ht="15.75" customHeight="1" spans="1:2">
      <c r="A17785" s="3" t="str">
        <f>IFERROR(__xludf.DUMMYFUNCTION("GOOGLETRANSLATE(A17785,""en"",""pt"")"),"Não telas de ajuda, não pode imprimir várias cópias, exceto em programas da Microsoft, apenas dois tanques de tinta opaca, caro para substituir os tinteiros")</f>
        <v>Não telas de ajuda, não pode imprimir várias cópias, exceto em programas da Microsoft, apenas dois tanques de tinta opaca, caro para substituir os tinteiros</v>
      </c>
      <c r="B17785" s="3">
        <v>0</v>
      </c>
    </row>
    <row r="17786" ht="15.75" customHeight="1" spans="1:2">
      <c r="A17786" s="3" t="str">
        <f>IFERROR(__xludf.DUMMYFUNCTION("GOOGLETRANSLATE(A17786,""en"",""pt"")"),"Má qualidade, caro, simplesmente terrível")</f>
        <v>Má qualidade, caro, simplesmente terrível</v>
      </c>
      <c r="B17786" s="3">
        <v>0</v>
      </c>
    </row>
    <row r="17787" ht="15.75" customHeight="1" spans="1:2">
      <c r="A17787" s="3" t="str">
        <f>IFERROR(__xludf.DUMMYFUNCTION("GOOGLETRANSLATE(A17787,""en"",""pt"")"),"somente scanner não alimenta um scanner plano")</f>
        <v>somente scanner não alimenta um scanner plano</v>
      </c>
      <c r="B17787" s="3">
        <v>0</v>
      </c>
    </row>
    <row r="17788" ht="15.75" customHeight="1" spans="1:2">
      <c r="A17788" s="3" t="str">
        <f>IFERROR(__xludf.DUMMYFUNCTION("GOOGLETRANSLATE(A17788,""en"",""pt"")"),"Nenhum")</f>
        <v>Nenhum</v>
      </c>
      <c r="B17788" s="3">
        <v>0</v>
      </c>
    </row>
    <row r="17789" ht="15.75" customHeight="1" spans="1:2">
      <c r="A17789" s="3" t="str">
        <f>IFERROR(__xludf.DUMMYFUNCTION("GOOGLETRANSLATE(A17789,""en"",""pt"")"),"utilizações um monte de tinta")</f>
        <v>utilizações um monte de tinta</v>
      </c>
      <c r="B17789" s="3">
        <v>0</v>
      </c>
    </row>
    <row r="17790" ht="15.75" customHeight="1" spans="1:2">
      <c r="A17790" s="3" t="str">
        <f>IFERROR(__xludf.DUMMYFUNCTION("GOOGLETRANSLATE(A17790,""en"",""pt"")"),"Muito lento para aquecer. Retardar a inicializar antes da impressão. impressora de Noisy")</f>
        <v>Muito lento para aquecer. Retardar a inicializar antes da impressão. impressora de Noisy</v>
      </c>
      <c r="B17790" s="3">
        <v>0</v>
      </c>
    </row>
    <row r="17791" ht="15.75" customHeight="1" spans="1:2">
      <c r="A17791" s="3" t="str">
        <f>IFERROR(__xludf.DUMMYFUNCTION("GOOGLETRANSLATE(A17791,""en"",""pt"")"),"custo de tinta")</f>
        <v>custo de tinta</v>
      </c>
      <c r="B17791" s="3">
        <v>0</v>
      </c>
    </row>
    <row r="17792" ht="15.75" customHeight="1" spans="1:2">
      <c r="A17792" s="3" t="str">
        <f>IFERROR(__xludf.DUMMYFUNCTION("GOOGLETRANSLATE(A17792,""en"",""pt"")"),"não funciona corretamente, mau serviço ao cliente, barulhento, lento")</f>
        <v>não funciona corretamente, mau serviço ao cliente, barulhento, lento</v>
      </c>
      <c r="B17792" s="3">
        <v>0</v>
      </c>
    </row>
    <row r="17793" ht="15.75" customHeight="1" spans="1:2">
      <c r="A17793" s="3" t="str">
        <f>IFERROR(__xludf.DUMMYFUNCTION("GOOGLETRANSLATE(A17793,""en"",""pt"")"),"ele não funciona")</f>
        <v>ele não funciona</v>
      </c>
      <c r="B17793" s="3">
        <v>0</v>
      </c>
    </row>
    <row r="17794" ht="15.75" customHeight="1" spans="1:2">
      <c r="A17794" s="3" t="str">
        <f>IFERROR(__xludf.DUMMYFUNCTION("GOOGLETRANSLATE(A17794,""en"",""pt"")"),"Nenhum")</f>
        <v>Nenhum</v>
      </c>
      <c r="B17794" s="3">
        <v>0</v>
      </c>
    </row>
    <row r="17795" ht="15.75" customHeight="1" spans="1:2">
      <c r="A17795" s="3" t="str">
        <f>IFERROR(__xludf.DUMMYFUNCTION("GOOGLETRANSLATE(A17795,""en"",""pt"")"),"Má qualidade de impressão a cores, problemas de interface, barulhento, procedimento de limpeza da cabeça frequente e demorado na inicialização")</f>
        <v>Má qualidade de impressão a cores, problemas de interface, barulhento, procedimento de limpeza da cabeça frequente e demorado na inicialização</v>
      </c>
      <c r="B17795" s="3">
        <v>0</v>
      </c>
    </row>
    <row r="17796" ht="15.75" customHeight="1" spans="1:2">
      <c r="A17796" s="3" t="str">
        <f>IFERROR(__xludf.DUMMYFUNCTION("GOOGLETRANSLATE(A17796,""en"",""pt"")"),"velocidade de impressão")</f>
        <v>velocidade de impressão</v>
      </c>
      <c r="B17796" s="3">
        <v>0</v>
      </c>
    </row>
    <row r="17797" ht="15.75" customHeight="1" spans="1:2">
      <c r="A17797" s="3" t="str">
        <f>IFERROR(__xludf.DUMMYFUNCTION("GOOGLETRANSLATE(A17797,""en"",""pt"")"),"Apenas sobre tudo o mais sobre ele")</f>
        <v>Apenas sobre tudo o mais sobre ele</v>
      </c>
      <c r="B17797" s="3">
        <v>0</v>
      </c>
    </row>
    <row r="17798" ht="15.75" customHeight="1" spans="1:2">
      <c r="A17798" s="3" t="str">
        <f>IFERROR(__xludf.DUMMYFUNCTION("GOOGLETRANSLATE(A17798,""en"",""pt"")"),"impressão a cores pobre, come-se de tinta")</f>
        <v>impressão a cores pobre, come-se de tinta</v>
      </c>
      <c r="B17798" s="3">
        <v>0</v>
      </c>
    </row>
    <row r="17799" ht="15.75" customHeight="1" spans="1:2">
      <c r="A17799" s="3" t="str">
        <f>IFERROR(__xludf.DUMMYFUNCTION("GOOGLETRANSLATE(A17799,""en"",""pt"")"),"boas críticas em mag Computer")</f>
        <v>boas críticas em mag Computer</v>
      </c>
      <c r="B17799" s="3">
        <v>0</v>
      </c>
    </row>
    <row r="17800" ht="15.75" customHeight="1" spans="1:2">
      <c r="A17800" s="3" t="str">
        <f>IFERROR(__xludf.DUMMYFUNCTION("GOOGLETRANSLATE(A17800,""en"",""pt"")"),"lentos, impressões de baixa qualidade")</f>
        <v>lentos, impressões de baixa qualidade</v>
      </c>
      <c r="B17800" s="3">
        <v>0</v>
      </c>
    </row>
    <row r="17801" ht="15.75" customHeight="1" spans="1:2">
      <c r="A17801" s="3" t="str">
        <f>IFERROR(__xludf.DUMMYFUNCTION("GOOGLETRANSLATE(A17801,""en"",""pt"")"),"Impossível instalar, impossível imprimir")</f>
        <v>Impossível instalar, impossível imprimir</v>
      </c>
      <c r="B17801" s="3">
        <v>0</v>
      </c>
    </row>
    <row r="17802" ht="15.75" customHeight="1" spans="1:2">
      <c r="A17802" s="3" t="str">
        <f>IFERROR(__xludf.DUMMYFUNCTION("GOOGLETRANSLATE(A17802,""en"",""pt"")"),"Usa muita tinta, bastante lento")</f>
        <v>Usa muita tinta, bastante lento</v>
      </c>
      <c r="B17802" s="3">
        <v>0</v>
      </c>
    </row>
    <row r="17803" ht="15.75" customHeight="1" spans="1:2">
      <c r="A17803" s="3" t="str">
        <f>IFERROR(__xludf.DUMMYFUNCTION("GOOGLETRANSLATE(A17803,""en"",""pt"")"),"impressão manchada, nunca mais acorda do modo de espera, não vai alimentar o papel adequadamente,")</f>
        <v>impressão manchada, nunca mais acorda do modo de espera, não vai alimentar o papel adequadamente,</v>
      </c>
      <c r="B17803" s="3">
        <v>0</v>
      </c>
    </row>
    <row r="17804" ht="15.75" customHeight="1" spans="1:2">
      <c r="A17804" s="3" t="str">
        <f>IFERROR(__xludf.DUMMYFUNCTION("GOOGLETRANSLATE(A17804,""en"",""pt"")"),"preparação longa e barulhenta irritante para qualquer projeto, desperdiça tinta")</f>
        <v>preparação longa e barulhenta irritante para qualquer projeto, desperdiça tinta</v>
      </c>
      <c r="B17804" s="3">
        <v>0</v>
      </c>
    </row>
    <row r="17805" ht="15.75" customHeight="1" spans="1:2">
      <c r="A17805" s="3" t="str">
        <f>IFERROR(__xludf.DUMMYFUNCTION("GOOGLETRANSLATE(A17805,""en"",""pt"")"),"cartuchos caros, substituído muitas vezes")</f>
        <v>cartuchos caros, substituído muitas vezes</v>
      </c>
      <c r="B17805" s="3">
        <v>0</v>
      </c>
    </row>
    <row r="17806" ht="15.75" customHeight="1" spans="1:2">
      <c r="A17806" s="3" t="str">
        <f>IFERROR(__xludf.DUMMYFUNCTION("GOOGLETRANSLATE(A17806,""en"",""pt"")"),"Suporte Técnico pobres, / NO Cor Qualidade Baixa")</f>
        <v>Suporte Técnico pobres, / NO Cor Qualidade Baixa</v>
      </c>
      <c r="B17806" s="3">
        <v>0</v>
      </c>
    </row>
    <row r="17807" ht="15.75" customHeight="1" spans="1:2">
      <c r="A17807" s="3" t="str">
        <f>IFERROR(__xludf.DUMMYFUNCTION("GOOGLETRANSLATE(A17807,""en"",""pt"")"),"Não funciona muito bem")</f>
        <v>Não funciona muito bem</v>
      </c>
      <c r="B17807" s="3">
        <v>0</v>
      </c>
    </row>
    <row r="17808" ht="15.75" customHeight="1" spans="1:2">
      <c r="A17808" s="3" t="str">
        <f>IFERROR(__xludf.DUMMYFUNCTION("GOOGLETRANSLATE(A17808,""en"",""pt"")"),"os custos de consumo / nenhum alimentador de folhas para A3")</f>
        <v>os custos de consumo / nenhum alimentador de folhas para A3</v>
      </c>
      <c r="B17808" s="3">
        <v>0</v>
      </c>
    </row>
    <row r="17809" ht="15.75" customHeight="1" spans="1:2">
      <c r="A17809" s="3" t="str">
        <f>IFERROR(__xludf.DUMMYFUNCTION("GOOGLETRANSLATE(A17809,""en"",""pt"")"),"Noisy, nenhum indicador de nível de tinta, há drivers do Windows XP (oficial)")</f>
        <v>Noisy, nenhum indicador de nível de tinta, há drivers do Windows XP (oficial)</v>
      </c>
      <c r="B17809" s="3">
        <v>0</v>
      </c>
    </row>
    <row r="17810" ht="15.75" customHeight="1" spans="1:2">
      <c r="A17810" s="3" t="str">
        <f>IFERROR(__xludf.DUMMYFUNCTION("GOOGLETRANSLATE(A17810,""en"",""pt"")"),"Muitos para listar !!!")</f>
        <v>Muitos para listar !!!</v>
      </c>
      <c r="B17810" s="3">
        <v>0</v>
      </c>
    </row>
    <row r="17811" ht="15.75" customHeight="1" spans="1:2">
      <c r="A17811" s="3" t="str">
        <f>IFERROR(__xludf.DUMMYFUNCTION("GOOGLETRANSLATE(A17811,""en"",""pt"")"),"Frustrante para usar; Para muitos problemas")</f>
        <v>Frustrante para usar; Para muitos problemas</v>
      </c>
      <c r="B17811" s="3">
        <v>0</v>
      </c>
    </row>
    <row r="17812" ht="15.75" customHeight="1" spans="1:2">
      <c r="A17812" s="3" t="str">
        <f>IFERROR(__xludf.DUMMYFUNCTION("GOOGLETRANSLATE(A17812,""en"",""pt"")"),"qualidade de impressão média, um pouco lento.")</f>
        <v>qualidade de impressão média, um pouco lento.</v>
      </c>
      <c r="B17812" s="3">
        <v>0</v>
      </c>
    </row>
    <row r="17813" ht="15.75" customHeight="1" spans="1:2">
      <c r="A17813" s="3" t="str">
        <f>IFERROR(__xludf.DUMMYFUNCTION("GOOGLETRANSLATE(A17813,""en"",""pt"")"),"Apenas sobre tudo.")</f>
        <v>Apenas sobre tudo.</v>
      </c>
      <c r="B17813" s="3">
        <v>0</v>
      </c>
    </row>
    <row r="17814" ht="15.75" customHeight="1" spans="1:2">
      <c r="A17814" s="3" t="str">
        <f>IFERROR(__xludf.DUMMYFUNCTION("GOOGLETRANSLATE(A17814,""en"",""pt"")"),"qualidade de impressão ruim, cartuchos de tinta caros, enorme para uso doméstico, lento")</f>
        <v>qualidade de impressão ruim, cartuchos de tinta caros, enorme para uso doméstico, lento</v>
      </c>
      <c r="B17814" s="3">
        <v>0</v>
      </c>
    </row>
    <row r="17815" ht="15.75" customHeight="1" spans="1:2">
      <c r="A17815" s="3" t="str">
        <f>IFERROR(__xludf.DUMMYFUNCTION("GOOGLETRANSLATE(A17815,""en"",""pt"")"),"Ruído, a velocidade, fiabilidade, durabilidade, a alimentação de papel.")</f>
        <v>Ruído, a velocidade, fiabilidade, durabilidade, a alimentação de papel.</v>
      </c>
      <c r="B17815" s="3">
        <v>0</v>
      </c>
    </row>
    <row r="17816" ht="15.75" customHeight="1" spans="1:2">
      <c r="A17816" s="3" t="str">
        <f>IFERROR(__xludf.DUMMYFUNCTION("GOOGLETRANSLATE(A17816,""en"",""pt"")"),"Um porco tinta, barulhento, a qualidade de impressão não confiável")</f>
        <v>Um porco tinta, barulhento, a qualidade de impressão não confiável</v>
      </c>
      <c r="B17816" s="3">
        <v>0</v>
      </c>
    </row>
    <row r="17817" ht="15.75" customHeight="1" spans="1:2">
      <c r="A17817" s="3" t="str">
        <f>IFERROR(__xludf.DUMMYFUNCTION("GOOGLETRANSLATE(A17817,""en"",""pt"")"),"impressões ruins, tinta caro, impressão superficial.")</f>
        <v>impressões ruins, tinta caro, impressão superficial.</v>
      </c>
      <c r="B17817" s="3">
        <v>0</v>
      </c>
    </row>
    <row r="17818" ht="15.75" customHeight="1" spans="1:2">
      <c r="A17818" s="3" t="str">
        <f>IFERROR(__xludf.DUMMYFUNCTION("GOOGLETRANSLATE(A17818,""en"",""pt"")"),"Tamanho,, cartuchos de tinta muito problemáticos são caros!")</f>
        <v>Tamanho,, cartuchos de tinta muito problemáticos são caros!</v>
      </c>
      <c r="B17818" s="3">
        <v>0</v>
      </c>
    </row>
    <row r="17819" ht="15.75" customHeight="1" spans="1:2">
      <c r="A17819" s="3" t="str">
        <f>IFERROR(__xludf.DUMMYFUNCTION("GOOGLETRANSLATE(A17819,""en"",""pt"")"),"desaparece tinta, suporte pobre, barulhento, barato por uma razão")</f>
        <v>desaparece tinta, suporte pobre, barulhento, barato por uma razão</v>
      </c>
      <c r="B17819" s="3">
        <v>0</v>
      </c>
    </row>
    <row r="17820" ht="15.75" customHeight="1" spans="1:2">
      <c r="A17820" s="3" t="str">
        <f>IFERROR(__xludf.DUMMYFUNCTION("GOOGLETRANSLATE(A17820,""en"",""pt"")"),"não se esqueça dos cartuchos extras para obter a alta qualidade e velocidade")</f>
        <v>não se esqueça dos cartuchos extras para obter a alta qualidade e velocidade</v>
      </c>
      <c r="B17820" s="3">
        <v>0</v>
      </c>
    </row>
    <row r="17821" ht="15.75" customHeight="1" spans="1:2">
      <c r="A17821" s="3" t="str">
        <f>IFERROR(__xludf.DUMMYFUNCTION("GOOGLETRANSLATE(A17821,""en"",""pt"")"),"recargas de tinta caros, folhas tablóide são alimentação manual.")</f>
        <v>recargas de tinta caros, folhas tablóide são alimentação manual.</v>
      </c>
      <c r="B17821" s="3">
        <v>0</v>
      </c>
    </row>
    <row r="17822" ht="15.75" customHeight="1" spans="1:2">
      <c r="A17822" s="3" t="str">
        <f>IFERROR(__xludf.DUMMYFUNCTION("GOOGLETRANSLATE(A17822,""en"",""pt"")"),"11X17 é carregamento posterior de modo deve ser acessível")</f>
        <v>11X17 é carregamento posterior de modo deve ser acessível</v>
      </c>
      <c r="B17822" s="3">
        <v>0</v>
      </c>
    </row>
    <row r="17823" ht="15.75" customHeight="1" spans="1:2">
      <c r="A17823" s="3" t="str">
        <f>IFERROR(__xludf.DUMMYFUNCTION("GOOGLETRANSLATE(A17823,""en"",""pt"")"),"bastante grande")</f>
        <v>bastante grande</v>
      </c>
      <c r="B17823" s="3">
        <v>0</v>
      </c>
    </row>
    <row r="17824" ht="15.75" customHeight="1" spans="1:2">
      <c r="A17824" s="3" t="str">
        <f>IFERROR(__xludf.DUMMYFUNCTION("GOOGLETRANSLATE(A17824,""en"",""pt"")"),"Tipo de volumoso em tamanho")</f>
        <v>Tipo de volumoso em tamanho</v>
      </c>
      <c r="B17824" s="3">
        <v>0</v>
      </c>
    </row>
    <row r="17825" ht="15.75" customHeight="1" spans="1:2">
      <c r="A17825" s="3" t="str">
        <f>IFERROR(__xludf.DUMMYFUNCTION("GOOGLETRANSLATE(A17825,""en"",""pt"")"),"só durou 5 meses")</f>
        <v>só durou 5 meses</v>
      </c>
      <c r="B17825" s="3">
        <v>0</v>
      </c>
    </row>
    <row r="17826" ht="15.75" customHeight="1" spans="1:2">
      <c r="A17826" s="3" t="str">
        <f>IFERROR(__xludf.DUMMYFUNCTION("GOOGLETRANSLATE(A17826,""en"",""pt"")"),"Leva muito tempo para imprimir o trabalho.")</f>
        <v>Leva muito tempo para imprimir o trabalho.</v>
      </c>
      <c r="B17826" s="3">
        <v>0</v>
      </c>
    </row>
    <row r="17827" ht="15.75" customHeight="1" spans="1:2">
      <c r="A17827" s="3" t="str">
        <f>IFERROR(__xludf.DUMMYFUNCTION("GOOGLETRANSLATE(A17827,""en"",""pt"")"),"custo dos cartuchos, se você usar Canon mais genérico,")</f>
        <v>custo dos cartuchos, se você usar Canon mais genérico,</v>
      </c>
      <c r="B17827" s="3">
        <v>0</v>
      </c>
    </row>
    <row r="17828" ht="15.75" customHeight="1" spans="1:2">
      <c r="A17828" s="3" t="str">
        <f>IFERROR(__xludf.DUMMYFUNCTION("GOOGLETRANSLATE(A17828,""en"",""pt"")"),"Qualidade de impressão, cartuchos de tinta, Serviços Técnicos, Serviço de garantia, tamanho da máquina, ECT, ECT, ECT")</f>
        <v>Qualidade de impressão, cartuchos de tinta, Serviços Técnicos, Serviço de garantia, tamanho da máquina, ECT, ECT, ECT</v>
      </c>
      <c r="B17828" s="3">
        <v>0</v>
      </c>
    </row>
    <row r="17829" ht="15.75" customHeight="1" spans="1:2">
      <c r="A17829" s="3" t="str">
        <f>IFERROR(__xludf.DUMMYFUNCTION("GOOGLETRANSLATE(A17829,""en"",""pt"")"),"faz uma rotina de música e dança ao iniciar, trabalhou durante um ano")</f>
        <v>faz uma rotina de música e dança ao iniciar, trabalhou durante um ano</v>
      </c>
      <c r="B17829" s="3">
        <v>0</v>
      </c>
    </row>
    <row r="17830" ht="15.75" customHeight="1" spans="1:2">
      <c r="A17830" s="3" t="str">
        <f>IFERROR(__xludf.DUMMYFUNCTION("GOOGLETRANSLATE(A17830,""en"",""pt"")"),"barulhento, volumoso, entrar e necessidades sujo para ser limpo")</f>
        <v>barulhento, volumoso, entrar e necessidades sujo para ser limpo</v>
      </c>
      <c r="B17830" s="3">
        <v>0</v>
      </c>
    </row>
    <row r="17831" ht="15.75" customHeight="1" spans="1:2">
      <c r="A17831" s="3" t="str">
        <f>IFERROR(__xludf.DUMMYFUNCTION("GOOGLETRANSLATE(A17831,""en"",""pt"")"),"Impressão, utilização de tinta, facilidade de uso!")</f>
        <v>Impressão, utilização de tinta, facilidade de uso!</v>
      </c>
      <c r="B17831" s="3">
        <v>0</v>
      </c>
    </row>
    <row r="17832" ht="15.75" customHeight="1" spans="1:2">
      <c r="A17832" s="3" t="str">
        <f>IFERROR(__xludf.DUMMYFUNCTION("GOOGLETRANSLATE(A17832,""en"",""pt"")"),"difícil de instalar, não é compatível, &amp; amp; quot; tão &amp; amp; quot; qualidade")</f>
        <v>difícil de instalar, não é compatível, &amp; amp; quot; tão &amp; amp; quot; qualidade</v>
      </c>
      <c r="B17832" s="3">
        <v>0</v>
      </c>
    </row>
    <row r="17833" ht="15.75" customHeight="1" spans="1:2">
      <c r="A17833" s="3" t="str">
        <f>IFERROR(__xludf.DUMMYFUNCTION("GOOGLETRANSLATE(A17833,""en"",""pt"")"),"não pode segurar um monte de papel")</f>
        <v>não pode segurar um monte de papel</v>
      </c>
      <c r="B17833" s="3">
        <v>0</v>
      </c>
    </row>
    <row r="17834" ht="15.75" customHeight="1" spans="1:2">
      <c r="A17834" s="3" t="str">
        <f>IFERROR(__xludf.DUMMYFUNCTION("GOOGLETRANSLATE(A17834,""en"",""pt"")"),"O modelo tem história ruim")</f>
        <v>O modelo tem história ruim</v>
      </c>
      <c r="B17834" s="3">
        <v>0</v>
      </c>
    </row>
    <row r="17835" ht="15.75" customHeight="1" spans="1:2">
      <c r="A17835" s="3" t="str">
        <f>IFERROR(__xludf.DUMMYFUNCTION("GOOGLETRANSLATE(A17835,""en"",""pt"")"),"cartuchos extras necessários para a maior versatilidade, qualidade poderia ser melhorado, mas ainda é bom")</f>
        <v>cartuchos extras necessários para a maior versatilidade, qualidade poderia ser melhorado, mas ainda é bom</v>
      </c>
      <c r="B17835" s="3">
        <v>0</v>
      </c>
    </row>
    <row r="17836" ht="15.75" customHeight="1" spans="1:2">
      <c r="A17836" s="3" t="str">
        <f>IFERROR(__xludf.DUMMYFUNCTION("GOOGLETRANSLATE(A17836,""en"",""pt"")"),"custo do cartucho de tinta, a saturação, a velocidade")</f>
        <v>custo do cartucho de tinta, a saturação, a velocidade</v>
      </c>
      <c r="B17836" s="3">
        <v>0</v>
      </c>
    </row>
    <row r="17837" ht="15.75" customHeight="1" spans="1:2">
      <c r="A17837" s="3" t="str">
        <f>IFERROR(__xludf.DUMMYFUNCTION("GOOGLETRANSLATE(A17837,""en"",""pt"")"),"nenhum que eu já vi")</f>
        <v>nenhum que eu já vi</v>
      </c>
      <c r="B17837" s="3">
        <v>0</v>
      </c>
    </row>
    <row r="17838" ht="15.75" customHeight="1" spans="1:2">
      <c r="A17838" s="3" t="str">
        <f>IFERROR(__xludf.DUMMYFUNCTION("GOOGLETRANSLATE(A17838,""en"",""pt"")"),"serviço horrível, nada, mas problemas")</f>
        <v>serviço horrível, nada, mas problemas</v>
      </c>
      <c r="B17838" s="3">
        <v>0</v>
      </c>
    </row>
    <row r="17839" ht="15.75" customHeight="1" spans="1:2">
      <c r="A17839" s="3" t="str">
        <f>IFERROR(__xludf.DUMMYFUNCTION("GOOGLETRANSLATE(A17839,""en"",""pt"")"),"Muito Big Impressora.")</f>
        <v>Muito Big Impressora.</v>
      </c>
      <c r="B17839" s="3">
        <v>0</v>
      </c>
    </row>
    <row r="17840" ht="15.75" customHeight="1" spans="1:2">
      <c r="A17840" s="3" t="str">
        <f>IFERROR(__xludf.DUMMYFUNCTION("GOOGLETRANSLATE(A17840,""en"",""pt"")"),"tinteiros não duram muito tempo")</f>
        <v>tinteiros não duram muito tempo</v>
      </c>
      <c r="B17840" s="3">
        <v>0</v>
      </c>
    </row>
    <row r="17841" ht="15.75" customHeight="1" spans="1:2">
      <c r="A17841" s="3" t="str">
        <f>IFERROR(__xludf.DUMMYFUNCTION("GOOGLETRANSLATE(A17841,""en"",""pt"")"),"um pouco lento e barulhento")</f>
        <v>um pouco lento e barulhento</v>
      </c>
      <c r="B17841" s="3">
        <v>0</v>
      </c>
    </row>
    <row r="17842" ht="15.75" customHeight="1" spans="1:2">
      <c r="A17842" s="3" t="str">
        <f>IFERROR(__xludf.DUMMYFUNCTION("GOOGLETRANSLATE(A17842,""en"",""pt"")"),"recargas de tinta um pouco caro")</f>
        <v>recargas de tinta um pouco caro</v>
      </c>
      <c r="B17842" s="3">
        <v>0</v>
      </c>
    </row>
    <row r="17843" ht="15.75" customHeight="1" spans="1:2">
      <c r="A17843" s="3" t="str">
        <f>IFERROR(__xludf.DUMMYFUNCTION("GOOGLETRANSLATE(A17843,""en"",""pt"")"),"Goles tinta.")</f>
        <v>Goles tinta.</v>
      </c>
      <c r="B17843" s="3">
        <v>0</v>
      </c>
    </row>
    <row r="17844" ht="15.75" customHeight="1" spans="1:2">
      <c r="A17844" s="3" t="str">
        <f>IFERROR(__xludf.DUMMYFUNCTION("GOOGLETRANSLATE(A17844,""en"",""pt"")"),"Papel de comer, tinta-swilling, spooler destruindo aborrecimentos")</f>
        <v>Papel de comer, tinta-swilling, spooler destruindo aborrecimentos</v>
      </c>
      <c r="B17844" s="3">
        <v>0</v>
      </c>
    </row>
    <row r="17845" ht="15.75" customHeight="1" spans="1:2">
      <c r="A17845" s="3" t="str">
        <f>IFERROR(__xludf.DUMMYFUNCTION("GOOGLETRANSLATE(A17845,""en"",""pt"")"),"Age às vezes estranhas, leva muito espaço na mesa")</f>
        <v>Age às vezes estranhas, leva muito espaço na mesa</v>
      </c>
      <c r="B17845" s="3">
        <v>0</v>
      </c>
    </row>
    <row r="17846" ht="15.75" customHeight="1" spans="1:2">
      <c r="A17846" s="3" t="str">
        <f>IFERROR(__xludf.DUMMYFUNCTION("GOOGLETRANSLATE(A17846,""en"",""pt"")"),"Não é um &amp; amp; quot; amp sólida e; quot; da impressora, nenhuma vitória 2K motoristas!")</f>
        <v>Não é um &amp; amp; quot; amp sólida e; quot; da impressora, nenhuma vitória 2K motoristas!</v>
      </c>
      <c r="B17846" s="3">
        <v>0</v>
      </c>
    </row>
    <row r="17847" ht="15.75" customHeight="1" spans="1:2">
      <c r="A17847" s="3" t="str">
        <f>IFERROR(__xludf.DUMMYFUNCTION("GOOGLETRANSLATE(A17847,""en"",""pt"")"),"Lento, horrível qualidade de impressão, suporte pobre tecnologia, Só funciona no Windows 98")</f>
        <v>Lento, horrível qualidade de impressão, suporte pobre tecnologia, Só funciona no Windows 98</v>
      </c>
      <c r="B17847" s="3">
        <v>0</v>
      </c>
    </row>
    <row r="17848" ht="15.75" customHeight="1" spans="1:2">
      <c r="A17848" s="3" t="str">
        <f>IFERROR(__xludf.DUMMYFUNCTION("GOOGLETRANSLATE(A17848,""en"",""pt"")"),"Nenhum")</f>
        <v>Nenhum</v>
      </c>
      <c r="B17848" s="3">
        <v>0</v>
      </c>
    </row>
    <row r="17849" ht="15.75" customHeight="1" spans="1:2">
      <c r="A17849" s="3" t="str">
        <f>IFERROR(__xludf.DUMMYFUNCTION("GOOGLETRANSLATE(A17849,""en"",""pt"")"),"Leva uma eternidade para começar a imprimir, se você estiver imprimindo 1º documento após a inicialização do computador")</f>
        <v>Leva uma eternidade para começar a imprimir, se você estiver imprimindo 1º documento após a inicialização do computador</v>
      </c>
      <c r="B17849" s="3">
        <v>0</v>
      </c>
    </row>
    <row r="17850" ht="15.75" customHeight="1" spans="1:2">
      <c r="A17850" s="3" t="str">
        <f>IFERROR(__xludf.DUMMYFUNCTION("GOOGLETRANSLATE(A17850,""en"",""pt"")"),"Poor Customer Service, recargas caros, erros com a gravação de dados para a impressora")</f>
        <v>Poor Customer Service, recargas caros, erros com a gravação de dados para a impressora</v>
      </c>
      <c r="B17850" s="3">
        <v>0</v>
      </c>
    </row>
    <row r="17851" ht="15.75" customHeight="1" spans="1:2">
      <c r="A17851" s="3" t="str">
        <f>IFERROR(__xludf.DUMMYFUNCTION("GOOGLETRANSLATE(A17851,""en"",""pt"")"),"custo tinta")</f>
        <v>custo tinta</v>
      </c>
      <c r="B17851" s="3">
        <v>0</v>
      </c>
    </row>
    <row r="17852" ht="15.75" customHeight="1" spans="1:2">
      <c r="A17852" s="3" t="str">
        <f>IFERROR(__xludf.DUMMYFUNCTION("GOOGLETRANSLATE(A17852,""en"",""pt"")"),"Muito caro (mesmo com o desconto); tanto unidades melhor (BJC-3000) disponíveis.")</f>
        <v>Muito caro (mesmo com o desconto); tanto unidades melhor (BJC-3000) disponíveis.</v>
      </c>
      <c r="B17852" s="3">
        <v>0</v>
      </c>
    </row>
    <row r="17853" ht="15.75" customHeight="1" spans="1:2">
      <c r="A17853" s="3" t="str">
        <f>IFERROR(__xludf.DUMMYFUNCTION("GOOGLETRANSLATE(A17853,""en"",""pt"")"),"atolamentos de papel periódicas, operação balky, * descontroladamente * barulhento e incômodo raquete durante a impressão.")</f>
        <v>atolamentos de papel periódicas, operação balky, * descontroladamente * barulhento e incômodo raquete durante a impressão.</v>
      </c>
      <c r="B17853" s="3">
        <v>0</v>
      </c>
    </row>
    <row r="17854" ht="15.75" customHeight="1" spans="1:2">
      <c r="A17854" s="3" t="str">
        <f>IFERROR(__xludf.DUMMYFUNCTION("GOOGLETRANSLATE(A17854,""en"",""pt"")"),"É grande, alto, e lento.")</f>
        <v>É grande, alto, e lento.</v>
      </c>
      <c r="B17854" s="3">
        <v>0</v>
      </c>
    </row>
    <row r="17855" ht="15.75" customHeight="1" spans="1:2">
      <c r="A17855" s="3" t="str">
        <f>IFERROR(__xludf.DUMMYFUNCTION("GOOGLETRANSLATE(A17855,""en"",""pt"")"),"uso diário caro")</f>
        <v>uso diário caro</v>
      </c>
      <c r="B17855" s="3">
        <v>0</v>
      </c>
    </row>
    <row r="17856" ht="15.75" customHeight="1" spans="1:2">
      <c r="A17856" s="3" t="str">
        <f>IFERROR(__xludf.DUMMYFUNCTION("GOOGLETRANSLATE(A17856,""en"",""pt"")"),"motorista de buggy")</f>
        <v>motorista de buggy</v>
      </c>
      <c r="B17856" s="3">
        <v>0</v>
      </c>
    </row>
    <row r="17857" ht="15.75" customHeight="1" spans="1:2">
      <c r="A17857" s="3" t="str">
        <f>IFERROR(__xludf.DUMMYFUNCTION("GOOGLETRANSLATE(A17857,""en"",""pt"")"),"fiabilidade, alguns a utilização de tinta")</f>
        <v>fiabilidade, alguns a utilização de tinta</v>
      </c>
      <c r="B17857" s="3">
        <v>0</v>
      </c>
    </row>
    <row r="17858" ht="15.75" customHeight="1" spans="1:2">
      <c r="A17858" s="3" t="str">
        <f>IFERROR(__xludf.DUMMYFUNCTION("GOOGLETRANSLATE(A17858,""en"",""pt"")"),"cartuchos fotográficos são 45 dólares, parou de funcionar em menos de um ano, grandes e volumosos")</f>
        <v>cartuchos fotográficos são 45 dólares, parou de funcionar em menos de um ano, grandes e volumosos</v>
      </c>
      <c r="B17858" s="3">
        <v>0</v>
      </c>
    </row>
    <row r="17859" ht="15.75" customHeight="1" spans="1:2">
      <c r="A17859" s="3" t="str">
        <f>IFERROR(__xludf.DUMMYFUNCTION("GOOGLETRANSLATE(A17859,""en"",""pt"")"),"Esta impressora é muito grande, o trabalho de impressão é muito ruim e é alto.")</f>
        <v>Esta impressora é muito grande, o trabalho de impressão é muito ruim e é alto.</v>
      </c>
      <c r="B17859" s="3">
        <v>0</v>
      </c>
    </row>
    <row r="17860" ht="15.75" customHeight="1" spans="1:2">
      <c r="A17860" s="3" t="str">
        <f>IFERROR(__xludf.DUMMYFUNCTION("GOOGLETRANSLATE(A17860,""en"",""pt"")"),"Noisy, forte vibração &amp; amp; # 13; &amp; amp; # 10;")</f>
        <v>Noisy, forte vibração &amp; amp; # 13; &amp; amp; # 10;</v>
      </c>
      <c r="B17860" s="3">
        <v>0</v>
      </c>
    </row>
    <row r="17861" ht="15.75" customHeight="1" spans="1:2">
      <c r="A17861" s="3" t="str">
        <f>IFERROR(__xludf.DUMMYFUNCTION("GOOGLETRANSLATE(A17861,""en"",""pt"")"),"Leia")</f>
        <v>Leia</v>
      </c>
      <c r="B17861" s="3">
        <v>0</v>
      </c>
    </row>
    <row r="17862" ht="15.75" customHeight="1" spans="1:2">
      <c r="A17862" s="3" t="str">
        <f>IFERROR(__xludf.DUMMYFUNCTION("GOOGLETRANSLATE(A17862,""en"",""pt"")"),"Enormes, altos, lentos, motoristas pobres.")</f>
        <v>Enormes, altos, lentos, motoristas pobres.</v>
      </c>
      <c r="B17862" s="3">
        <v>0</v>
      </c>
    </row>
    <row r="17863" ht="15.75" customHeight="1" spans="1:2">
      <c r="A17863" s="3" t="str">
        <f>IFERROR(__xludf.DUMMYFUNCTION("GOOGLETRANSLATE(A17863,""en"",""pt"")"),"Um pouco demasiado barulhento, mau software empacotado, Necessidades cabo-não especial esquecer, muita necessidade de espaço na mesa")</f>
        <v>Um pouco demasiado barulhento, mau software empacotado, Necessidades cabo-não especial esquecer, muita necessidade de espaço na mesa</v>
      </c>
      <c r="B17863" s="3">
        <v>0</v>
      </c>
    </row>
    <row r="17864" ht="15.75" customHeight="1" spans="1:2">
      <c r="A17864" s="3" t="str">
        <f>IFERROR(__xludf.DUMMYFUNCTION("GOOGLETRANSLATE(A17864,""en"",""pt"")"),"Ocupa uma grande área no desktop")</f>
        <v>Ocupa uma grande área no desktop</v>
      </c>
      <c r="B17864" s="3">
        <v>0</v>
      </c>
    </row>
    <row r="17865" ht="15.75" customHeight="1" spans="1:2">
      <c r="A17865" s="3" t="str">
        <f>IFERROR(__xludf.DUMMYFUNCTION("GOOGLETRANSLATE(A17865,""en"",""pt"")"),"Lento para se aquecer, tamanho grande, imprimir uma foto colorida é lento.")</f>
        <v>Lento para se aquecer, tamanho grande, imprimir uma foto colorida é lento.</v>
      </c>
      <c r="B17865" s="3">
        <v>0</v>
      </c>
    </row>
    <row r="17866" ht="15.75" customHeight="1" spans="1:2">
      <c r="A17866" s="3" t="str">
        <f>IFERROR(__xludf.DUMMYFUNCTION("GOOGLETRANSLATE(A17866,""en"",""pt"")"),"Secagem tanques de tinta, má limpeza, má alimentação de papel, muito volumosos.")</f>
        <v>Secagem tanques de tinta, má limpeza, má alimentação de papel, muito volumosos.</v>
      </c>
      <c r="B17866" s="3">
        <v>0</v>
      </c>
    </row>
    <row r="17867" ht="15.75" customHeight="1" spans="1:2">
      <c r="A17867" s="3" t="str">
        <f>IFERROR(__xludf.DUMMYFUNCTION("GOOGLETRANSLATE(A17867,""en"",""pt"")"),"Leva uma eternidade para arrancar. Ampla. Muito grande.")</f>
        <v>Leva uma eternidade para arrancar. Ampla. Muito grande.</v>
      </c>
      <c r="B17867" s="3">
        <v>0</v>
      </c>
    </row>
    <row r="17868" ht="15.75" customHeight="1" spans="1:2">
      <c r="A17868" s="3" t="str">
        <f>IFERROR(__xludf.DUMMYFUNCTION("GOOGLETRANSLATE(A17868,""en"",""pt"")"),"Software empacotado para não &amp; amp; quot; casa &amp; amp; quot; orientada, Auto limpa, muitas vezes, pequenos problemas com alguns computadores Compaq")</f>
        <v>Software empacotado para não &amp; amp; quot; casa &amp; amp; quot; orientada, Auto limpa, muitas vezes, pequenos problemas com alguns computadores Compaq</v>
      </c>
      <c r="B17868" s="3">
        <v>0</v>
      </c>
    </row>
    <row r="17869" ht="15.75" customHeight="1" spans="1:2">
      <c r="A17869" s="3" t="str">
        <f>IFERROR(__xludf.DUMMYFUNCTION("GOOGLETRANSLATE(A17869,""en"",""pt"")"),"não a laser")</f>
        <v>não a laser</v>
      </c>
      <c r="B17869" s="3">
        <v>0</v>
      </c>
    </row>
    <row r="17870" ht="15.75" customHeight="1" spans="1:2">
      <c r="A17870" s="3" t="str">
        <f>IFERROR(__xludf.DUMMYFUNCTION("GOOGLETRANSLATE(A17870,""en"",""pt"")"),"Pode ser caro se você não comprar um modelo de exposição")</f>
        <v>Pode ser caro se você não comprar um modelo de exposição</v>
      </c>
      <c r="B17870" s="3">
        <v>0</v>
      </c>
    </row>
    <row r="17871" ht="15.75" customHeight="1" spans="1:2">
      <c r="A17871" s="3" t="str">
        <f>IFERROR(__xludf.DUMMYFUNCTION("GOOGLETRANSLATE(A17871,""en"",""pt"")"),"Baixa qualidade de impressão a cores, muito barulhento, suporte ao cliente pobre")</f>
        <v>Baixa qualidade de impressão a cores, muito barulhento, suporte ao cliente pobre</v>
      </c>
      <c r="B17871" s="3">
        <v>0</v>
      </c>
    </row>
    <row r="17872" ht="15.75" customHeight="1" spans="1:2">
      <c r="A17872" s="3" t="str">
        <f>IFERROR(__xludf.DUMMYFUNCTION("GOOGLETRANSLATE(A17872,""en"",""pt"")"),"instalação")</f>
        <v>instalação</v>
      </c>
      <c r="B17872" s="3">
        <v>0</v>
      </c>
    </row>
    <row r="17873" ht="15.75" customHeight="1" spans="1:2">
      <c r="A17873" s="3" t="str">
        <f>IFERROR(__xludf.DUMMYFUNCTION("GOOGLETRANSLATE(A17873,""en"",""pt"")"),"Nenhum")</f>
        <v>Nenhum</v>
      </c>
      <c r="B17873" s="3">
        <v>0</v>
      </c>
    </row>
    <row r="17874" ht="15.75" customHeight="1" spans="1:2">
      <c r="A17874" s="3" t="str">
        <f>IFERROR(__xludf.DUMMYFUNCTION("GOOGLETRANSLATE(A17874,""en"",""pt"")"),"não pode pensar em qualquer")</f>
        <v>não pode pensar em qualquer</v>
      </c>
      <c r="B17874" s="3">
        <v>0</v>
      </c>
    </row>
    <row r="17875" ht="15.75" customHeight="1" spans="1:2">
      <c r="A17875" s="3" t="str">
        <f>IFERROR(__xludf.DUMMYFUNCTION("GOOGLETRANSLATE(A17875,""en"",""pt"")"),"alimentação manual é uma dor.")</f>
        <v>alimentação manual é uma dor.</v>
      </c>
      <c r="B17875" s="3">
        <v>0</v>
      </c>
    </row>
    <row r="17876" ht="15.75" customHeight="1" spans="1:2">
      <c r="A17876" s="3" t="str">
        <f>IFERROR(__xludf.DUMMYFUNCTION("GOOGLETRANSLATE(A17876,""en"",""pt"")"),"Não lidar com todos os papéis bem e compotas com freqüência.")</f>
        <v>Não lidar com todos os papéis bem e compotas com freqüência.</v>
      </c>
      <c r="B17876" s="3">
        <v>0</v>
      </c>
    </row>
    <row r="17877" ht="15.75" customHeight="1" spans="1:2">
      <c r="A17877" s="3" t="str">
        <f>IFERROR(__xludf.DUMMYFUNCTION("GOOGLETRANSLATE(A17877,""en"",""pt"")"),"Difícil de encontrar :)")</f>
        <v>Difícil de encontrar :)</v>
      </c>
      <c r="B17877" s="3">
        <v>0</v>
      </c>
    </row>
    <row r="17878" ht="15.75" customHeight="1" spans="1:2">
      <c r="A17878" s="3" t="str">
        <f>IFERROR(__xludf.DUMMYFUNCTION("GOOGLETRANSLATE(A17878,""en"",""pt"")"),"vazamentos de tinta preta! 1")</f>
        <v>vazamentos de tinta preta! 1</v>
      </c>
      <c r="B17878" s="3">
        <v>0</v>
      </c>
    </row>
    <row r="17879" ht="15.75" customHeight="1" spans="1:2">
      <c r="A17879" s="3" t="str">
        <f>IFERROR(__xludf.DUMMYFUNCTION("GOOGLETRANSLATE(A17879,""en"",""pt"")"),"Leva muito tempo para aquecer, cópias a cores são lentos, caros cartuchos de tinta")</f>
        <v>Leva muito tempo para aquecer, cópias a cores são lentos, caros cartuchos de tinta</v>
      </c>
      <c r="B17879" s="3">
        <v>0</v>
      </c>
    </row>
    <row r="17880" ht="15.75" customHeight="1" spans="1:2">
      <c r="A17880" s="3" t="str">
        <f>IFERROR(__xludf.DUMMYFUNCTION("GOOGLETRANSLATE(A17880,""en"",""pt"")"),"lento na cor, qualidade de cor é incomparável a HP")</f>
        <v>lento na cor, qualidade de cor é incomparável a HP</v>
      </c>
      <c r="B17880" s="3">
        <v>0</v>
      </c>
    </row>
    <row r="17881" ht="15.75" customHeight="1" spans="1:2">
      <c r="A17881" s="3" t="str">
        <f>IFERROR(__xludf.DUMMYFUNCTION("GOOGLETRANSLATE(A17881,""en"",""pt"")"),"Move toda a minha barato partícula mesa computador de bordo :)")</f>
        <v>Move toda a minha barato partícula mesa computador de bordo :)</v>
      </c>
      <c r="B17881" s="3">
        <v>0</v>
      </c>
    </row>
    <row r="17882" ht="15.75" customHeight="1" spans="1:2">
      <c r="A17882" s="3" t="str">
        <f>IFERROR(__xludf.DUMMYFUNCTION("GOOGLETRANSLATE(A17882,""en"",""pt"")"),"sorte com envelopes ainda, capacidade de cartucho de tinta não grande o suficiente")</f>
        <v>sorte com envelopes ainda, capacidade de cartucho de tinta não grande o suficiente</v>
      </c>
      <c r="B17882" s="3">
        <v>0</v>
      </c>
    </row>
    <row r="17883" ht="15.75" customHeight="1" spans="1:2">
      <c r="A17883" s="3" t="str">
        <f>IFERROR(__xludf.DUMMYFUNCTION("GOOGLETRANSLATE(A17883,""en"",""pt"")"),"um pouco barulhento")</f>
        <v>um pouco barulhento</v>
      </c>
      <c r="B17883" s="3">
        <v>0</v>
      </c>
    </row>
    <row r="17884" ht="15.75" customHeight="1" spans="1:2">
      <c r="A17884" s="3" t="str">
        <f>IFERROR(__xludf.DUMMYFUNCTION("GOOGLETRANSLATE(A17884,""en"",""pt"")"),"Grandes problemas, papel alimentar")</f>
        <v>Grandes problemas, papel alimentar</v>
      </c>
      <c r="B17884" s="3">
        <v>0</v>
      </c>
    </row>
    <row r="17885" ht="15.75" customHeight="1" spans="1:2">
      <c r="A17885" s="3" t="str">
        <f>IFERROR(__xludf.DUMMYFUNCTION("GOOGLETRANSLATE(A17885,""en"",""pt"")"),"Usa muita tinta")</f>
        <v>Usa muita tinta</v>
      </c>
      <c r="B17885" s="3">
        <v>0</v>
      </c>
    </row>
    <row r="17886" ht="15.75" customHeight="1" spans="1:2">
      <c r="A17886" s="3" t="str">
        <f>IFERROR(__xludf.DUMMYFUNCTION("GOOGLETRANSLATE(A17886,""en"",""pt"")"),"Os cartuchos de tinta são muito caros e nem sempre o que você paga")</f>
        <v>Os cartuchos de tinta são muito caros e nem sempre o que você paga</v>
      </c>
      <c r="B17886" s="3">
        <v>0</v>
      </c>
    </row>
    <row r="17887" ht="15.75" customHeight="1" spans="1:2">
      <c r="A17887" s="3" t="str">
        <f>IFERROR(__xludf.DUMMYFUNCTION("GOOGLETRANSLATE(A17887,""en"",""pt"")"),"Ainda funciona por algum tempo.")</f>
        <v>Ainda funciona por algum tempo.</v>
      </c>
      <c r="B17887" s="3">
        <v>0</v>
      </c>
    </row>
    <row r="17888" ht="15.75" customHeight="1" spans="1:2">
      <c r="A17888" s="3" t="str">
        <f>IFERROR(__xludf.DUMMYFUNCTION("GOOGLETRANSLATE(A17888,""en"",""pt"")"),"Confiabilidade não tão grande, grande e alto")</f>
        <v>Confiabilidade não tão grande, grande e alto</v>
      </c>
      <c r="B17888" s="3">
        <v>0</v>
      </c>
    </row>
    <row r="17889" ht="15.75" customHeight="1" spans="1:2">
      <c r="A17889" s="3" t="str">
        <f>IFERROR(__xludf.DUMMYFUNCTION("GOOGLETRANSLATE(A17889,""en"",""pt"")"),"Tamanho, a compatibilidade da tinta, velocidade")</f>
        <v>Tamanho, a compatibilidade da tinta, velocidade</v>
      </c>
      <c r="B17889" s="3">
        <v>0</v>
      </c>
    </row>
    <row r="17890" ht="15.75" customHeight="1" spans="1:2">
      <c r="A17890" s="3" t="str">
        <f>IFERROR(__xludf.DUMMYFUNCTION("GOOGLETRANSLATE(A17890,""en"",""pt"")"),"Sempre a inicialização., Cartuchos de tinta separados tendem a absorver em um outro tempo durante o.")</f>
        <v>Sempre a inicialização., Cartuchos de tinta separados tendem a absorver em um outro tempo durante o.</v>
      </c>
      <c r="B17890" s="3">
        <v>0</v>
      </c>
    </row>
    <row r="17891" ht="15.75" customHeight="1" spans="1:2">
      <c r="A17891" s="3" t="str">
        <f>IFERROR(__xludf.DUMMYFUNCTION("GOOGLETRANSLATE(A17891,""en"",""pt"")"),"USB Kit separar por US $ 60, apenas para a Apple")</f>
        <v>USB Kit separar por US $ 60, apenas para a Apple</v>
      </c>
      <c r="B17891" s="3">
        <v>0</v>
      </c>
    </row>
    <row r="17892" ht="15.75" customHeight="1" spans="1:2">
      <c r="A17892" s="3" t="str">
        <f>IFERROR(__xludf.DUMMYFUNCTION("GOOGLETRANSLATE(A17892,""en"",""pt"")"),"há contras")</f>
        <v>há contras</v>
      </c>
      <c r="B17892" s="3">
        <v>0</v>
      </c>
    </row>
    <row r="17893" ht="15.75" customHeight="1" spans="1:2">
      <c r="A17893" s="3" t="str">
        <f>IFERROR(__xludf.DUMMYFUNCTION("GOOGLETRANSLATE(A17893,""en"",""pt"")"),"Tem que usar papel especial para atingir 1440 x 720 dpi")</f>
        <v>Tem que usar papel especial para atingir 1440 x 720 dpi</v>
      </c>
      <c r="B17893" s="3">
        <v>0</v>
      </c>
    </row>
    <row r="17894" ht="15.75" customHeight="1" spans="1:2">
      <c r="A17894" s="3" t="str">
        <f>IFERROR(__xludf.DUMMYFUNCTION("GOOGLETRANSLATE(A17894,""en"",""pt"")"),"Melhor negócio na faixa de preço")</f>
        <v>Melhor negócio na faixa de preço</v>
      </c>
      <c r="B17894" s="3">
        <v>0</v>
      </c>
    </row>
    <row r="17895" ht="15.75" customHeight="1" spans="1:2">
      <c r="A17895" s="3" t="str">
        <f>IFERROR(__xludf.DUMMYFUNCTION("GOOGLETRANSLATE(A17895,""en"",""pt"")"),"Precisa de adaptador para USB,")</f>
        <v>Precisa de adaptador para USB,</v>
      </c>
      <c r="B17895" s="3">
        <v>0</v>
      </c>
    </row>
    <row r="17896" ht="15.75" customHeight="1" spans="1:2">
      <c r="A17896" s="3" t="str">
        <f>IFERROR(__xludf.DUMMYFUNCTION("GOOGLETRANSLATE(A17896,""en"",""pt"")"),"Setup irritante, Blotchy Preto")</f>
        <v>Setup irritante, Blotchy Preto</v>
      </c>
      <c r="B17896" s="3">
        <v>0</v>
      </c>
    </row>
    <row r="17897" ht="15.75" customHeight="1" spans="1:2">
      <c r="A17897" s="3" t="str">
        <f>IFERROR(__xludf.DUMMYFUNCTION("GOOGLETRANSLATE(A17897,""en"",""pt"")"),"Ficar sem tinta muito cedo.")</f>
        <v>Ficar sem tinta muito cedo.</v>
      </c>
      <c r="B17897" s="3">
        <v>0</v>
      </c>
    </row>
    <row r="17898" ht="15.75" customHeight="1" spans="1:2">
      <c r="A17898" s="3" t="str">
        <f>IFERROR(__xludf.DUMMYFUNCTION("GOOGLETRANSLATE(A17898,""en"",""pt"")"),"Mais caro do que os modelos mais baixos")</f>
        <v>Mais caro do que os modelos mais baixos</v>
      </c>
      <c r="B17898" s="3">
        <v>0</v>
      </c>
    </row>
    <row r="17899" ht="15.75" customHeight="1" spans="1:2">
      <c r="A17899" s="3" t="str">
        <f>IFERROR(__xludf.DUMMYFUNCTION("GOOGLETRANSLATE(A17899,""en"",""pt"")"),"Foto de tinta não incluído / check configuração antes de imprimir")</f>
        <v>Foto de tinta não incluído / check configuração antes de imprimir</v>
      </c>
      <c r="B17899" s="3">
        <v>0</v>
      </c>
    </row>
    <row r="17900" ht="15.75" customHeight="1" spans="1:2">
      <c r="A17900" s="3" t="str">
        <f>IFERROR(__xludf.DUMMYFUNCTION("GOOGLETRANSLATE(A17900,""en"",""pt"")"),"Um pouco barulhento")</f>
        <v>Um pouco barulhento</v>
      </c>
      <c r="B17900" s="3">
        <v>0</v>
      </c>
    </row>
    <row r="17901" ht="15.75" customHeight="1" spans="1:2">
      <c r="A17901" s="3" t="str">
        <f>IFERROR(__xludf.DUMMYFUNCTION("GOOGLETRANSLATE(A17901,""en"",""pt"")"),"impressora é uma espécie de volumoso")</f>
        <v>impressora é uma espécie de volumoso</v>
      </c>
      <c r="B17901" s="3">
        <v>0</v>
      </c>
    </row>
    <row r="17902" ht="15.75" customHeight="1" spans="1:2">
      <c r="A17902" s="3" t="str">
        <f>IFERROR(__xludf.DUMMYFUNCTION("GOOGLETRANSLATE(A17902,""en"",""pt"")"),"hanlding papel de má")</f>
        <v>hanlding papel de má</v>
      </c>
      <c r="B17902" s="3">
        <v>0</v>
      </c>
    </row>
    <row r="17903" ht="15.75" customHeight="1" spans="1:2">
      <c r="A17903" s="3" t="str">
        <f>IFERROR(__xludf.DUMMYFUNCTION("GOOGLETRANSLATE(A17903,""en"",""pt"")"),"substituição do cartucho pode ser complicado.")</f>
        <v>substituição do cartucho pode ser complicado.</v>
      </c>
      <c r="B17903" s="3">
        <v>0</v>
      </c>
    </row>
    <row r="17904" ht="15.75" customHeight="1" spans="1:2">
      <c r="A17904" s="3" t="str">
        <f>IFERROR(__xludf.DUMMYFUNCTION("GOOGLETRANSLATE(A17904,""en"",""pt"")"),"Noisy, má saída de cor, instalação irritante")</f>
        <v>Noisy, má saída de cor, instalação irritante</v>
      </c>
      <c r="B17904" s="3">
        <v>0</v>
      </c>
    </row>
    <row r="17905" ht="15.75" customHeight="1" spans="1:2">
      <c r="A17905" s="3" t="str">
        <f>IFERROR(__xludf.DUMMYFUNCTION("GOOGLETRANSLATE(A17905,""en"",""pt"")"),"Fabricantes perder $$$$$$")</f>
        <v>Fabricantes perder $$$$$$</v>
      </c>
      <c r="B17905" s="3">
        <v>0</v>
      </c>
    </row>
    <row r="17906" ht="15.75" customHeight="1" spans="1:2">
      <c r="A17906" s="3" t="str">
        <f>IFERROR(__xludf.DUMMYFUNCTION("GOOGLETRANSLATE(A17906,""en"",""pt"")"),"Fabricantes perder $$$$$$$")</f>
        <v>Fabricantes perder $$$$$$$</v>
      </c>
      <c r="B17906" s="3">
        <v>0</v>
      </c>
    </row>
    <row r="17907" ht="15.75" customHeight="1" spans="1:2">
      <c r="A17907" s="3" t="str">
        <f>IFERROR(__xludf.DUMMYFUNCTION("GOOGLETRANSLATE(A17907,""en"",""pt"")"),"aparência, tamanho e ruído")</f>
        <v>aparência, tamanho e ruído</v>
      </c>
      <c r="B17907" s="3">
        <v>0</v>
      </c>
    </row>
    <row r="17908" ht="15.75" customHeight="1" spans="1:2">
      <c r="A17908" s="3" t="str">
        <f>IFERROR(__xludf.DUMMYFUNCTION("GOOGLETRANSLATE(A17908,""en"",""pt"")"),"Resolução é maior no BJC-8200")</f>
        <v>Resolução é maior no BJC-8200</v>
      </c>
      <c r="B17908" s="3">
        <v>0</v>
      </c>
    </row>
    <row r="17909" ht="15.75" customHeight="1" spans="1:2">
      <c r="A17909" s="3" t="str">
        <f>IFERROR(__xludf.DUMMYFUNCTION("GOOGLETRANSLATE(A17909,""en"",""pt"")"),"tamanho - um pouco maior do que a maioria")</f>
        <v>tamanho - um pouco maior do que a maioria</v>
      </c>
      <c r="B17909" s="3">
        <v>0</v>
      </c>
    </row>
    <row r="17910" ht="15.75" customHeight="1" spans="1:2">
      <c r="A17910" s="3" t="str">
        <f>IFERROR(__xludf.DUMMYFUNCTION("GOOGLETRANSLATE(A17910,""en"",""pt"")"),"suporte técnico é terrível")</f>
        <v>suporte técnico é terrível</v>
      </c>
      <c r="B17910" s="3">
        <v>0</v>
      </c>
    </row>
    <row r="17911" ht="15.75" customHeight="1" spans="1:2">
      <c r="A17911" s="3" t="str">
        <f>IFERROR(__xludf.DUMMYFUNCTION("GOOGLETRANSLATE(A17911,""en"",""pt"")"),"Não é possível imprimir 11x17 como o Canon BJC 5000 e 5100, kit USB é opcional e custa extra")</f>
        <v>Não é possível imprimir 11x17 como o Canon BJC 5000 e 5100, kit USB é opcional e custa extra</v>
      </c>
      <c r="B17911" s="3">
        <v>0</v>
      </c>
    </row>
    <row r="17912" ht="15.75" customHeight="1" spans="1:2">
      <c r="A17912" s="3" t="str">
        <f>IFERROR(__xludf.DUMMYFUNCTION("GOOGLETRANSLATE(A17912,""en"",""pt"")"),"impossível instalar")</f>
        <v>impossível instalar</v>
      </c>
      <c r="B17912" s="3">
        <v>0</v>
      </c>
    </row>
    <row r="17913" ht="15.75" customHeight="1" spans="1:2">
      <c r="A17913" s="3" t="str">
        <f>IFERROR(__xludf.DUMMYFUNCTION("GOOGLETRANSLATE(A17913,""en"",""pt"")"),"Nenhum")</f>
        <v>Nenhum</v>
      </c>
      <c r="B17913" s="3">
        <v>0</v>
      </c>
    </row>
    <row r="17914" ht="15.75" customHeight="1" spans="1:2">
      <c r="A17914" s="3" t="str">
        <f>IFERROR(__xludf.DUMMYFUNCTION("GOOGLETRANSLATE(A17914,""en"",""pt"")"),"Tamanho (enorme!), Carrinho de tinta. preços, problemas de alimentação de papel")</f>
        <v>Tamanho (enorme!), Carrinho de tinta. preços, problemas de alimentação de papel</v>
      </c>
      <c r="B17914" s="3">
        <v>0</v>
      </c>
    </row>
    <row r="17915" ht="15.75" customHeight="1" spans="1:2">
      <c r="A17915" s="3" t="str">
        <f>IFERROR(__xludf.DUMMYFUNCTION("GOOGLETRANSLATE(A17915,""en"",""pt"")"),"Ruidoso, o cabo de alimentação não removível")</f>
        <v>Ruidoso, o cabo de alimentação não removível</v>
      </c>
      <c r="B17915" s="3">
        <v>0</v>
      </c>
    </row>
    <row r="17916" ht="15.75" customHeight="1" spans="1:2">
      <c r="A17916" s="3" t="str">
        <f>IFERROR(__xludf.DUMMYFUNCTION("GOOGLETRANSLATE(A17916,""en"",""pt"")"),"impressão de alimentação topo, troca de tinta imagem")</f>
        <v>impressão de alimentação topo, troca de tinta imagem</v>
      </c>
      <c r="B17916" s="3">
        <v>0</v>
      </c>
    </row>
    <row r="17917" ht="15.75" customHeight="1" spans="1:2">
      <c r="A17917" s="3" t="str">
        <f>IFERROR(__xludf.DUMMYFUNCTION("GOOGLETRANSLATE(A17917,""en"",""pt"")"),"só pode imprimir a 1440x720 dpi em papel especial")</f>
        <v>só pode imprimir a 1440x720 dpi em papel especial</v>
      </c>
      <c r="B17917" s="3">
        <v>0</v>
      </c>
    </row>
    <row r="17918" ht="15.75" customHeight="1" spans="1:2">
      <c r="A17918" s="3" t="str">
        <f>IFERROR(__xludf.DUMMYFUNCTION("GOOGLETRANSLATE(A17918,""en"",""pt"")"),"Alguns dos softwares empacotados era inútil para mim.")</f>
        <v>Alguns dos softwares empacotados era inútil para mim.</v>
      </c>
      <c r="B17918" s="3">
        <v>0</v>
      </c>
    </row>
    <row r="17919" ht="15.75" customHeight="1" spans="1:2">
      <c r="A17919" s="3" t="str">
        <f>IFERROR(__xludf.DUMMYFUNCTION("GOOGLETRANSLATE(A17919,""en"",""pt"")"),"nenhum ainda")</f>
        <v>nenhum ainda</v>
      </c>
      <c r="B17919" s="3">
        <v>0</v>
      </c>
    </row>
    <row r="17920" ht="15.75" customHeight="1" spans="1:2">
      <c r="A17920" s="3" t="str">
        <f>IFERROR(__xludf.DUMMYFUNCTION("GOOGLETRANSLATE(A17920,""en"",""pt"")"),"A volumosa bit")</f>
        <v>A volumosa bit</v>
      </c>
      <c r="B17920" s="3">
        <v>0</v>
      </c>
    </row>
    <row r="17921" ht="15.75" customHeight="1" spans="1:2">
      <c r="A17921" s="3" t="str">
        <f>IFERROR(__xludf.DUMMYFUNCTION("GOOGLETRANSLATE(A17921,""en"",""pt"")"),"cargas de papel na parte de trás (não é bom em pequenos espaços)")</f>
        <v>cargas de papel na parte de trás (não é bom em pequenos espaços)</v>
      </c>
      <c r="B17921" s="3">
        <v>0</v>
      </c>
    </row>
    <row r="17922" ht="15.75" customHeight="1" spans="1:2">
      <c r="A17922" s="3" t="str">
        <f>IFERROR(__xludf.DUMMYFUNCTION("GOOGLETRANSLATE(A17922,""en"",""pt"")"),"tinta pode ser caro se você faz um monte de impressão a cores / foto")</f>
        <v>tinta pode ser caro se você faz um monte de impressão a cores / foto</v>
      </c>
      <c r="B17922" s="3">
        <v>0</v>
      </c>
    </row>
    <row r="17923" ht="15.75" customHeight="1" spans="1:2">
      <c r="A17923" s="3" t="str">
        <f>IFERROR(__xludf.DUMMYFUNCTION("GOOGLETRANSLATE(A17923,""en"",""pt"")"),"Nenhum")</f>
        <v>Nenhum</v>
      </c>
      <c r="B17923" s="3">
        <v>0</v>
      </c>
    </row>
    <row r="17924" ht="15.75" customHeight="1" spans="1:2">
      <c r="A17924" s="3" t="str">
        <f>IFERROR(__xludf.DUMMYFUNCTION("GOOGLETRANSLATE(A17924,""en"",""pt"")"),"impressão gráfica")</f>
        <v>impressão gráfica</v>
      </c>
      <c r="B17924" s="3">
        <v>0</v>
      </c>
    </row>
    <row r="17925" ht="15.75" customHeight="1" spans="1:2">
      <c r="A17925" s="3" t="str">
        <f>IFERROR(__xludf.DUMMYFUNCTION("GOOGLETRANSLATE(A17925,""en"",""pt"")"),"longa espera para a mais alta qualidade de impressão de fotos")</f>
        <v>longa espera para a mais alta qualidade de impressão de fotos</v>
      </c>
      <c r="B17925" s="3">
        <v>0</v>
      </c>
    </row>
    <row r="17926" ht="15.75" customHeight="1" spans="1:2">
      <c r="A17926" s="3" t="str">
        <f>IFERROR(__xludf.DUMMYFUNCTION("GOOGLETRANSLATE(A17926,""en"",""pt"")"),"Não comprá-lo se você possui um Mac")</f>
        <v>Não comprá-lo se você possui um Mac</v>
      </c>
      <c r="B17926" s="3">
        <v>0</v>
      </c>
    </row>
    <row r="17927" ht="15.75" customHeight="1" spans="1:2">
      <c r="A17927" s="3" t="str">
        <f>IFERROR(__xludf.DUMMYFUNCTION("GOOGLETRANSLATE(A17927,""en"",""pt"")"),"não encontrei nenhuma ainda!")</f>
        <v>não encontrei nenhuma ainda!</v>
      </c>
      <c r="B17927" s="3">
        <v>0</v>
      </c>
    </row>
    <row r="17928" ht="15.75" customHeight="1" spans="1:2">
      <c r="A17928" s="3" t="str">
        <f>IFERROR(__xludf.DUMMYFUNCTION("GOOGLETRANSLATE(A17928,""en"",""pt"")"),"NENHUM")</f>
        <v>NENHUM</v>
      </c>
      <c r="B17928" s="3">
        <v>0</v>
      </c>
    </row>
    <row r="17929" ht="15.75" customHeight="1" spans="1:2">
      <c r="A17929" s="3" t="str">
        <f>IFERROR(__xludf.DUMMYFUNCTION("GOOGLETRANSLATE(A17929,""en"",""pt"")"),"É um pouco grande.")</f>
        <v>É um pouco grande.</v>
      </c>
      <c r="B17929" s="3">
        <v>0</v>
      </c>
    </row>
    <row r="17930" ht="15.75" customHeight="1" spans="1:2">
      <c r="A17930" s="3" t="str">
        <f>IFERROR(__xludf.DUMMYFUNCTION("GOOGLETRANSLATE(A17930,""en"",""pt"")"),"Grande impressora.")</f>
        <v>Grande impressora.</v>
      </c>
      <c r="B17930" s="3">
        <v>0</v>
      </c>
    </row>
    <row r="17931" ht="15.75" customHeight="1" spans="1:2">
      <c r="A17931" s="3" t="str">
        <f>IFERROR(__xludf.DUMMYFUNCTION("GOOGLETRANSLATE(A17931,""en"",""pt"")"),"falha de software o tempo todo, fotos seria apenas metade de impressão")</f>
        <v>falha de software o tempo todo, fotos seria apenas metade de impressão</v>
      </c>
      <c r="B17931" s="3">
        <v>0</v>
      </c>
    </row>
    <row r="17932" ht="15.75" customHeight="1" spans="1:2">
      <c r="A17932" s="3" t="str">
        <f>IFERROR(__xludf.DUMMYFUNCTION("GOOGLETRANSLATE(A17932,""en"",""pt"")"),"Nenhum")</f>
        <v>Nenhum</v>
      </c>
      <c r="B17932" s="3">
        <v>0</v>
      </c>
    </row>
    <row r="17933" ht="15.75" customHeight="1" spans="1:2">
      <c r="A17933" s="3" t="str">
        <f>IFERROR(__xludf.DUMMYFUNCTION("GOOGLETRANSLATE(A17933,""en"",""pt"")"),"absolutamente nenhum")</f>
        <v>absolutamente nenhum</v>
      </c>
      <c r="B17933" s="3">
        <v>0</v>
      </c>
    </row>
    <row r="17934" ht="15.75" customHeight="1" spans="1:2">
      <c r="A17934" s="3" t="str">
        <f>IFERROR(__xludf.DUMMYFUNCTION("GOOGLETRANSLATE(A17934,""en"",""pt"")"),"Paper Jam, alta taxa de defeito")</f>
        <v>Paper Jam, alta taxa de defeito</v>
      </c>
      <c r="B17934" s="3">
        <v>0</v>
      </c>
    </row>
    <row r="17935" ht="15.75" customHeight="1" spans="1:2">
      <c r="A17935" s="3" t="str">
        <f>IFERROR(__xludf.DUMMYFUNCTION("GOOGLETRANSLATE(A17935,""en"",""pt"")"),"não têm qualquer")</f>
        <v>não têm qualquer</v>
      </c>
      <c r="B17935" s="3">
        <v>0</v>
      </c>
    </row>
    <row r="17936" ht="15.75" customHeight="1" spans="1:2">
      <c r="A17936" s="3" t="str">
        <f>IFERROR(__xludf.DUMMYFUNCTION("GOOGLETRANSLATE(A17936,""en"",""pt"")"),"localização alimentação manual, software")</f>
        <v>localização alimentação manual, software</v>
      </c>
      <c r="B17936" s="3">
        <v>0</v>
      </c>
    </row>
    <row r="17937" ht="15.75" customHeight="1" spans="1:2">
      <c r="A17937" s="3" t="str">
        <f>IFERROR(__xludf.DUMMYFUNCTION("GOOGLETRANSLATE(A17937,""en"",""pt"")"),"Eu não encontrei os contras ainda.")</f>
        <v>Eu não encontrei os contras ainda.</v>
      </c>
      <c r="B17937" s="3">
        <v>0</v>
      </c>
    </row>
    <row r="17938" ht="15.75" customHeight="1" spans="1:2">
      <c r="A17938" s="3" t="str">
        <f>IFERROR(__xludf.DUMMYFUNCTION("GOOGLETRANSLATE(A17938,""en"",""pt"")"),"Nenhum, realmente !!!!")</f>
        <v>Nenhum, realmente !!!!</v>
      </c>
      <c r="B17938" s="3">
        <v>0</v>
      </c>
    </row>
    <row r="17939" ht="15.75" customHeight="1" spans="1:2">
      <c r="A17939" s="3" t="str">
        <f>IFERROR(__xludf.DUMMYFUNCTION("GOOGLETRANSLATE(A17939,""en"",""pt"")"),"Tudo")</f>
        <v>Tudo</v>
      </c>
      <c r="B17939" s="3">
        <v>0</v>
      </c>
    </row>
    <row r="17940" ht="15.75" customHeight="1" spans="1:2">
      <c r="A17940" s="3" t="str">
        <f>IFERROR(__xludf.DUMMYFUNCTION("GOOGLETRANSLATE(A17940,""en"",""pt"")"),"reprodução de cores")</f>
        <v>reprodução de cores</v>
      </c>
      <c r="B17940" s="3">
        <v>0</v>
      </c>
    </row>
    <row r="17941" ht="15.75" customHeight="1" spans="1:2">
      <c r="A17941" s="3" t="str">
        <f>IFERROR(__xludf.DUMMYFUNCTION("GOOGLETRANSLATE(A17941,""en"",""pt"")"),"barulhento")</f>
        <v>barulhento</v>
      </c>
      <c r="B17941" s="3">
        <v>0</v>
      </c>
    </row>
    <row r="17942" ht="15.75" customHeight="1" spans="1:2">
      <c r="A17942" s="3" t="str">
        <f>IFERROR(__xludf.DUMMYFUNCTION("GOOGLETRANSLATE(A17942,""en"",""pt"")"),"É enorme! Ele não tem problemas com entupimento seu espaço na mesa!")</f>
        <v>É enorme! Ele não tem problemas com entupimento seu espaço na mesa!</v>
      </c>
      <c r="B17942" s="3">
        <v>0</v>
      </c>
    </row>
    <row r="17943" ht="15.75" customHeight="1" spans="1:2">
      <c r="A17943" s="3" t="str">
        <f>IFERROR(__xludf.DUMMYFUNCTION("GOOGLETRANSLATE(A17943,""en"",""pt"")"),"Colors- vida curta shell")</f>
        <v>Colors- vida curta shell</v>
      </c>
      <c r="B17943" s="3">
        <v>0</v>
      </c>
    </row>
    <row r="17944" ht="15.75" customHeight="1" spans="1:2">
      <c r="A17944" s="3" t="str">
        <f>IFERROR(__xludf.DUMMYFUNCTION("GOOGLETRANSLATE(A17944,""en"",""pt"")"),"mecanismo de alimentação de papel Bad, consumíveis caros")</f>
        <v>mecanismo de alimentação de papel Bad, consumíveis caros</v>
      </c>
      <c r="B17944" s="3">
        <v>0</v>
      </c>
    </row>
    <row r="17945" ht="15.75" customHeight="1" spans="1:2">
      <c r="A17945" s="3" t="str">
        <f>IFERROR(__xludf.DUMMYFUNCTION("GOOGLETRANSLATE(A17945,""en"",""pt"")"),"Grande e lento.")</f>
        <v>Grande e lento.</v>
      </c>
      <c r="B17945" s="3">
        <v>0</v>
      </c>
    </row>
    <row r="17946" ht="15.75" customHeight="1" spans="1:2">
      <c r="A17946" s="3" t="str">
        <f>IFERROR(__xludf.DUMMYFUNCTION("GOOGLETRANSLATE(A17946,""en"",""pt"")"),"Rebate termina em breve!")</f>
        <v>Rebate termina em breve!</v>
      </c>
      <c r="B17946" s="3">
        <v>0</v>
      </c>
    </row>
    <row r="17947" ht="15.75" customHeight="1" spans="1:2">
      <c r="A17947" s="3" t="str">
        <f>IFERROR(__xludf.DUMMYFUNCTION("GOOGLETRANSLATE(A17947,""en"",""pt"")"),"warrantee")</f>
        <v>warrantee</v>
      </c>
      <c r="B17947" s="3">
        <v>0</v>
      </c>
    </row>
    <row r="17948" ht="15.75" customHeight="1" spans="1:2">
      <c r="A17948" s="3" t="str">
        <f>IFERROR(__xludf.DUMMYFUNCTION("GOOGLETRANSLATE(A17948,""en"",""pt"")"),"envelopes difíceis de gerir")</f>
        <v>envelopes difíceis de gerir</v>
      </c>
      <c r="B17948" s="3">
        <v>0</v>
      </c>
    </row>
    <row r="17949" ht="15.75" customHeight="1" spans="1:2">
      <c r="A17949" s="3" t="str">
        <f>IFERROR(__xludf.DUMMYFUNCTION("GOOGLETRANSLATE(A17949,""en"",""pt"")"),"Não econômica tinta, longe de cor verdadeira tela.")</f>
        <v>Não econômica tinta, longe de cor verdadeira tela.</v>
      </c>
      <c r="B17949" s="3">
        <v>0</v>
      </c>
    </row>
    <row r="17950" ht="15.75" customHeight="1" spans="1:2">
      <c r="A17950" s="3" t="str">
        <f>IFERROR(__xludf.DUMMYFUNCTION("GOOGLETRANSLATE(A17950,""en"",""pt"")"),"Auto-alimentador do inferno, Suporte do inferno, Drivers do inferno, Prints no interior de si mesmo, abatimentos do inferno, preço ainda não é pena")</f>
        <v>Auto-alimentador do inferno, Suporte do inferno, Drivers do inferno, Prints no interior de si mesmo, abatimentos do inferno, preço ainda não é pena</v>
      </c>
      <c r="B17950" s="3">
        <v>0</v>
      </c>
    </row>
    <row r="17951" ht="15.75" customHeight="1" spans="1:2">
      <c r="A17951" s="3" t="str">
        <f>IFERROR(__xludf.DUMMYFUNCTION("GOOGLETRANSLATE(A17951,""en"",""pt"")"),"Não para grandes empresas")</f>
        <v>Não para grandes empresas</v>
      </c>
      <c r="B17951" s="3">
        <v>0</v>
      </c>
    </row>
    <row r="17952" ht="15.75" customHeight="1" spans="1:2">
      <c r="A17952" s="3" t="str">
        <f>IFERROR(__xludf.DUMMYFUNCTION("GOOGLETRANSLATE(A17952,""en"",""pt"")"),"alimentação de papel é pobre tempo sobre")</f>
        <v>alimentação de papel é pobre tempo sobre</v>
      </c>
      <c r="B17952" s="3">
        <v>0</v>
      </c>
    </row>
    <row r="17953" ht="15.75" customHeight="1" spans="1:2">
      <c r="A17953" s="3" t="str">
        <f>IFERROR(__xludf.DUMMYFUNCTION("GOOGLETRANSLATE(A17953,""en"",""pt"")"),"O papel não avança")</f>
        <v>O papel não avança</v>
      </c>
      <c r="B17953" s="3">
        <v>0</v>
      </c>
    </row>
    <row r="17954" ht="15.75" customHeight="1" spans="1:2">
      <c r="A17954" s="3" t="str">
        <f>IFERROR(__xludf.DUMMYFUNCTION("GOOGLETRANSLATE(A17954,""en"",""pt"")"),"grande e lento arranque")</f>
        <v>grande e lento arranque</v>
      </c>
      <c r="B17954" s="3">
        <v>0</v>
      </c>
    </row>
    <row r="17955" ht="15.75" customHeight="1" spans="1:2">
      <c r="A17955" s="3" t="str">
        <f>IFERROR(__xludf.DUMMYFUNCTION("GOOGLETRANSLATE(A17955,""en"",""pt"")"),"Nenhum")</f>
        <v>Nenhum</v>
      </c>
      <c r="B17955" s="3">
        <v>0</v>
      </c>
    </row>
    <row r="17956" ht="15.75" customHeight="1" spans="1:2">
      <c r="A17956" s="3" t="str">
        <f>IFERROR(__xludf.DUMMYFUNCTION("GOOGLETRANSLATE(A17956,""en"",""pt"")"),"evapora de tinta e, em seguida, entope cabeça de impressão")</f>
        <v>evapora de tinta e, em seguida, entope cabeça de impressão</v>
      </c>
      <c r="B17956" s="3">
        <v>0</v>
      </c>
    </row>
    <row r="17957" ht="15.75" customHeight="1" spans="1:2">
      <c r="A17957" s="3" t="str">
        <f>IFERROR(__xludf.DUMMYFUNCTION("GOOGLETRANSLATE(A17957,""en"",""pt"")"),"Custo de cartuchos de tinta")</f>
        <v>Custo de cartuchos de tinta</v>
      </c>
      <c r="B17957" s="3">
        <v>0</v>
      </c>
    </row>
    <row r="17958" ht="15.75" customHeight="1" spans="1:2">
      <c r="A17958" s="3" t="str">
        <f>IFERROR(__xludf.DUMMYFUNCTION("GOOGLETRANSLATE(A17958,""en"",""pt"")"),"-Tinta à base de Impressão esfregaços, requer limpeza cabeça se negelected")</f>
        <v>-Tinta à base de Impressão esfregaços, requer limpeza cabeça se negelected</v>
      </c>
      <c r="B17958" s="3">
        <v>0</v>
      </c>
    </row>
    <row r="17959" ht="15.75" customHeight="1" spans="1:2">
      <c r="A17959" s="3" t="str">
        <f>IFERROR(__xludf.DUMMYFUNCTION("GOOGLETRANSLATE(A17959,""en"",""pt"")"),"Giberish interminável vomitando de seu print-plataforma")</f>
        <v>Giberish interminável vomitando de seu print-plataforma</v>
      </c>
      <c r="B17959" s="3">
        <v>0</v>
      </c>
    </row>
    <row r="17960" ht="15.75" customHeight="1" spans="1:2">
      <c r="A17960" s="3" t="str">
        <f>IFERROR(__xludf.DUMMYFUNCTION("GOOGLETRANSLATE(A17960,""en"",""pt"")"),"Talvez um pouco barulhento, em comparação com alguns jatos de tinta.")</f>
        <v>Talvez um pouco barulhento, em comparação com alguns jatos de tinta.</v>
      </c>
      <c r="B17960" s="3">
        <v>0</v>
      </c>
    </row>
    <row r="17961" ht="15.75" customHeight="1" spans="1:2">
      <c r="A17961" s="3" t="str">
        <f>IFERROR(__xludf.DUMMYFUNCTION("GOOGLETRANSLATE(A17961,""en"",""pt"")"),"tamanho grande")</f>
        <v>tamanho grande</v>
      </c>
      <c r="B17961" s="3">
        <v>0</v>
      </c>
    </row>
    <row r="17962" ht="15.75" customHeight="1" spans="1:2">
      <c r="A17962" s="3" t="str">
        <f>IFERROR(__xludf.DUMMYFUNCTION("GOOGLETRANSLATE(A17962,""en"",""pt"")"),"Não encontrei um ainda!")</f>
        <v>Não encontrei um ainda!</v>
      </c>
      <c r="B17962" s="3">
        <v>0</v>
      </c>
    </row>
    <row r="17963" ht="15.75" customHeight="1" spans="1:2">
      <c r="A17963" s="3" t="str">
        <f>IFERROR(__xludf.DUMMYFUNCTION("GOOGLETRANSLATE(A17963,""en"",""pt"")"),"RESÍDUOS TOO INK muito, e os cartuchos de tinta são muito caros!")</f>
        <v>RESÍDUOS TOO INK muito, e os cartuchos de tinta são muito caros!</v>
      </c>
      <c r="B17963" s="3">
        <v>0</v>
      </c>
    </row>
    <row r="17964" ht="15.75" customHeight="1" spans="1:2">
      <c r="A17964" s="3" t="str">
        <f>IFERROR(__xludf.DUMMYFUNCTION("GOOGLETRANSLATE(A17964,""en"",""pt"")"),"Eu não tive nenhum problema.")</f>
        <v>Eu não tive nenhum problema.</v>
      </c>
      <c r="B17964" s="3">
        <v>0</v>
      </c>
    </row>
    <row r="17965" ht="15.75" customHeight="1" spans="1:2">
      <c r="A17965" s="3" t="str">
        <f>IFERROR(__xludf.DUMMYFUNCTION("GOOGLETRANSLATE(A17965,""en"",""pt"")"),"O pior investimento de sempre! Por onde eu começo? O problema alimentador automático infame.")</f>
        <v>O pior investimento de sempre! Por onde eu começo? O problema alimentador automático infame.</v>
      </c>
      <c r="B17965" s="3">
        <v>0</v>
      </c>
    </row>
    <row r="17966" ht="15.75" customHeight="1" spans="1:2">
      <c r="A17966" s="3" t="str">
        <f>IFERROR(__xludf.DUMMYFUNCTION("GOOGLETRANSLATE(A17966,""en"",""pt"")"),"encontrar espaço para ele; descobriu da maneira mais difícil que eu estava fora de tinta")</f>
        <v>encontrar espaço para ele; descobriu da maneira mais difícil que eu estava fora de tinta</v>
      </c>
      <c r="B17966" s="3">
        <v>0</v>
      </c>
    </row>
    <row r="17967" ht="15.75" customHeight="1" spans="1:2">
      <c r="A17967" s="3" t="str">
        <f>IFERROR(__xludf.DUMMYFUNCTION("GOOGLETRANSLATE(A17967,""en"",""pt"")"),"Mais lento do que outros, problemas de fluxo de tinta, envelopes jam")</f>
        <v>Mais lento do que outros, problemas de fluxo de tinta, envelopes jam</v>
      </c>
      <c r="B17967" s="3">
        <v>0</v>
      </c>
    </row>
    <row r="17968" ht="15.75" customHeight="1" spans="1:2">
      <c r="A17968" s="3" t="str">
        <f>IFERROR(__xludf.DUMMYFUNCTION("GOOGLETRANSLATE(A17968,""en"",""pt"")"),"Se você alimentar todos os tipos diferentes de papel como eu, que tem alimentação problemas.")</f>
        <v>Se você alimentar todos os tipos diferentes de papel como eu, que tem alimentação problemas.</v>
      </c>
      <c r="B17968" s="3">
        <v>0</v>
      </c>
    </row>
    <row r="17969" ht="15.75" customHeight="1" spans="1:2">
      <c r="A17969" s="3" t="str">
        <f>IFERROR(__xludf.DUMMYFUNCTION("GOOGLETRANSLATE(A17969,""en"",""pt"")"),"Nada que eu possa pensar em")</f>
        <v>Nada que eu possa pensar em</v>
      </c>
      <c r="B17969" s="3">
        <v>0</v>
      </c>
    </row>
    <row r="17970" ht="15.75" customHeight="1" spans="1:2">
      <c r="A17970" s="3" t="str">
        <f>IFERROR(__xludf.DUMMYFUNCTION("GOOGLETRANSLATE(A17970,""en"",""pt"")"),"Ocupa muito espaço, o uso de tinta rápida")</f>
        <v>Ocupa muito espaço, o uso de tinta rápida</v>
      </c>
      <c r="B17970" s="3">
        <v>0</v>
      </c>
    </row>
    <row r="17971" ht="15.75" customHeight="1" spans="1:2">
      <c r="A17971" s="3" t="str">
        <f>IFERROR(__xludf.DUMMYFUNCTION("GOOGLETRANSLATE(A17971,""en"",""pt"")"),"custo de impressão de alta, não confiável")</f>
        <v>custo de impressão de alta, não confiável</v>
      </c>
      <c r="B17971" s="3">
        <v>0</v>
      </c>
    </row>
    <row r="17972" ht="15.75" customHeight="1" spans="1:2">
      <c r="A17972" s="3" t="str">
        <f>IFERROR(__xludf.DUMMYFUNCTION("GOOGLETRANSLATE(A17972,""en"",""pt"")"),"diminuir em gráficos, problemas de impressão em linha reta, &amp; lt; b &amp; gt; alto &amp; lt; / b &amp; gt ;, nem sempre desligá-lo quando você quer que ele")</f>
        <v>diminuir em gráficos, problemas de impressão em linha reta, &amp; lt; b &amp; gt; alto &amp; lt; / b &amp; gt ;, nem sempre desligá-lo quando você quer que ele</v>
      </c>
      <c r="B17972" s="3">
        <v>0</v>
      </c>
    </row>
    <row r="17973" ht="15.75" customHeight="1" spans="1:2">
      <c r="A17973" s="3" t="str">
        <f>IFERROR(__xludf.DUMMYFUNCTION("GOOGLETRANSLATE(A17973,""en"",""pt"")"),"Prints lentas")</f>
        <v>Prints lentas</v>
      </c>
      <c r="B17973" s="3">
        <v>0</v>
      </c>
    </row>
    <row r="17974" ht="15.75" customHeight="1" spans="1:2">
      <c r="A17974" s="3" t="str">
        <f>IFERROR(__xludf.DUMMYFUNCTION("GOOGLETRANSLATE(A17974,""en"",""pt"")"),"suporte muito pobre")</f>
        <v>suporte muito pobre</v>
      </c>
      <c r="B17974" s="3">
        <v>0</v>
      </c>
    </row>
    <row r="17975" ht="15.75" customHeight="1" spans="1:2">
      <c r="A17975" s="3" t="str">
        <f>IFERROR(__xludf.DUMMYFUNCTION("GOOGLETRANSLATE(A17975,""en"",""pt"")"),"Caro Ink, muito lento")</f>
        <v>Caro Ink, muito lento</v>
      </c>
      <c r="B17975" s="3">
        <v>0</v>
      </c>
    </row>
    <row r="17976" ht="15.75" customHeight="1" spans="1:2">
      <c r="A17976" s="3" t="str">
        <f>IFERROR(__xludf.DUMMYFUNCTION("GOOGLETRANSLATE(A17976,""en"",""pt"")"),"Tanques de tinta são um pouco caro, considerando que eles não incluem a cabeça de impressão (como fazem HPs)")</f>
        <v>Tanques de tinta são um pouco caro, considerando que eles não incluem a cabeça de impressão (como fazem HPs)</v>
      </c>
      <c r="B17976" s="3">
        <v>0</v>
      </c>
    </row>
    <row r="17977" ht="15.75" customHeight="1" spans="1:2">
      <c r="A17977" s="3" t="str">
        <f>IFERROR(__xludf.DUMMYFUNCTION("GOOGLETRANSLATE(A17977,""en"",""pt"")"),"CARO cartucho fotográfico, grande")</f>
        <v>CARO cartucho fotográfico, grande</v>
      </c>
      <c r="B17977" s="3">
        <v>0</v>
      </c>
    </row>
    <row r="17978" ht="15.75" customHeight="1" spans="1:2">
      <c r="A17978" s="3" t="str">
        <f>IFERROR(__xludf.DUMMYFUNCTION("GOOGLETRANSLATE(A17978,""en"",""pt"")"),"Preço de recarga de cartuchos de tinta.")</f>
        <v>Preço de recarga de cartuchos de tinta.</v>
      </c>
      <c r="B17978" s="3">
        <v>0</v>
      </c>
    </row>
    <row r="17979" ht="15.75" customHeight="1" spans="1:2">
      <c r="A17979" s="3" t="str">
        <f>IFERROR(__xludf.DUMMYFUNCTION("GOOGLETRANSLATE(A17979,""en"",""pt"")"),"é executado fora do rápido tinta, leva um longo tempo para se aquecer")</f>
        <v>é executado fora do rápido tinta, leva um longo tempo para se aquecer</v>
      </c>
      <c r="B17979" s="3">
        <v>0</v>
      </c>
    </row>
    <row r="17980" ht="15.75" customHeight="1" spans="1:2">
      <c r="A17980" s="3" t="str">
        <f>IFERROR(__xludf.DUMMYFUNCTION("GOOGLETRANSLATE(A17980,""en"",""pt"")"),"muitos problemas, a qualidade de impressão não é grande")</f>
        <v>muitos problemas, a qualidade de impressão não é grande</v>
      </c>
      <c r="B17980" s="3">
        <v>0</v>
      </c>
    </row>
    <row r="17981" ht="15.75" customHeight="1" spans="1:2">
      <c r="A17981" s="3" t="str">
        <f>IFERROR(__xludf.DUMMYFUNCTION("GOOGLETRANSLATE(A17981,""en"",""pt"")"),"A velocidade pode ser um pouco melhor")</f>
        <v>A velocidade pode ser um pouco melhor</v>
      </c>
      <c r="B17981" s="3">
        <v>0</v>
      </c>
    </row>
    <row r="17982" ht="15.75" customHeight="1" spans="1:2">
      <c r="A17982" s="3" t="str">
        <f>IFERROR(__xludf.DUMMYFUNCTION("GOOGLETRANSLATE(A17982,""en"",""pt"")"),"A velocidade pode ser um pouco melhor")</f>
        <v>A velocidade pode ser um pouco melhor</v>
      </c>
      <c r="B17982" s="3">
        <v>0</v>
      </c>
    </row>
    <row r="17983" ht="15.75" customHeight="1" spans="1:2">
      <c r="A17983" s="3" t="str">
        <f>IFERROR(__xludf.DUMMYFUNCTION("GOOGLETRANSLATE(A17983,""en"",""pt"")"),"Ink esgota-se rapidamente, não vai imprimir a partir de dispositivos portáteis")</f>
        <v>Ink esgota-se rapidamente, não vai imprimir a partir de dispositivos portáteis</v>
      </c>
      <c r="B17983" s="3">
        <v>0</v>
      </c>
    </row>
    <row r="17984" ht="15.75" customHeight="1" spans="1:2">
      <c r="A17984" s="3" t="str">
        <f>IFERROR(__xludf.DUMMYFUNCTION("GOOGLETRANSLATE(A17984,""en"",""pt"")"),", cartuchos de tinta caros são pequenos, suporte de papel tem uma baixa capacidade")</f>
        <v>, cartuchos de tinta caros são pequenos, suporte de papel tem uma baixa capacidade</v>
      </c>
      <c r="B17984" s="3">
        <v>0</v>
      </c>
    </row>
    <row r="17985" ht="15.75" customHeight="1" spans="1:2">
      <c r="A17985" s="3" t="str">
        <f>IFERROR(__xludf.DUMMYFUNCTION("GOOGLETRANSLATE(A17985,""en"",""pt"")"),"Cor Qualidade de impressão, minúsculo cartuchos de tinta")</f>
        <v>Cor Qualidade de impressão, minúsculo cartuchos de tinta</v>
      </c>
      <c r="B17985" s="3">
        <v>0</v>
      </c>
    </row>
    <row r="17986" ht="15.75" customHeight="1" spans="1:2">
      <c r="A17986" s="3" t="str">
        <f>IFERROR(__xludf.DUMMYFUNCTION("GOOGLETRANSLATE(A17986,""en"",""pt"")"),"uso de tinta nem sempre é tão econômico")</f>
        <v>uso de tinta nem sempre é tão econômico</v>
      </c>
      <c r="B17986" s="3">
        <v>0</v>
      </c>
    </row>
    <row r="17987" ht="15.75" customHeight="1" spans="1:2">
      <c r="A17987" s="3" t="str">
        <f>IFERROR(__xludf.DUMMYFUNCTION("GOOGLETRANSLATE(A17987,""en"",""pt"")"),"recurso de digitalização não funciona bem")</f>
        <v>recurso de digitalização não funciona bem</v>
      </c>
      <c r="B17987" s="3">
        <v>0</v>
      </c>
    </row>
    <row r="17988" ht="15.75" customHeight="1" spans="1:2">
      <c r="A17988" s="3" t="str">
        <f>IFERROR(__xludf.DUMMYFUNCTION("GOOGLETRANSLATE(A17988,""en"",""pt"")"),"tinta não dura muito tempo")</f>
        <v>tinta não dura muito tempo</v>
      </c>
      <c r="B17988" s="3">
        <v>0</v>
      </c>
    </row>
    <row r="17989" ht="15.75" customHeight="1" spans="1:2">
      <c r="A17989" s="3" t="str">
        <f>IFERROR(__xludf.DUMMYFUNCTION("GOOGLETRANSLATE(A17989,""en"",""pt"")"),"Infra-vermelho tecnologia às vezes não funciona na primeira tentativa")</f>
        <v>Infra-vermelho tecnologia às vezes não funciona na primeira tentativa</v>
      </c>
      <c r="B17989" s="3">
        <v>0</v>
      </c>
    </row>
    <row r="17990" ht="15.75" customHeight="1" spans="1:2">
      <c r="A17990" s="3" t="str">
        <f>IFERROR(__xludf.DUMMYFUNCTION("GOOGLETRANSLATE(A17990,""en"",""pt"")"),"Nenhum")</f>
        <v>Nenhum</v>
      </c>
      <c r="B17990" s="3">
        <v>0</v>
      </c>
    </row>
    <row r="17991" ht="15.75" customHeight="1" spans="1:2">
      <c r="A17991" s="3" t="str">
        <f>IFERROR(__xludf.DUMMYFUNCTION("GOOGLETRANSLATE(A17991,""en"",""pt"")"),"Não é o menor dos portáteis, de longe, mas ainda assim uma boa, necessidade de cartuchos de tinta mudança mais frequentemente")</f>
        <v>Não é o menor dos portáteis, de longe, mas ainda assim uma boa, necessidade de cartuchos de tinta mudança mais frequentemente</v>
      </c>
      <c r="B17991" s="3">
        <v>0</v>
      </c>
    </row>
    <row r="17992" ht="15.75" customHeight="1" spans="1:2">
      <c r="A17992" s="3" t="str">
        <f>IFERROR(__xludf.DUMMYFUNCTION("GOOGLETRANSLATE(A17992,""en"",""pt"")"),"Melhor do que utilização média pode fazer isso muito caro!")</f>
        <v>Melhor do que utilização média pode fazer isso muito caro!</v>
      </c>
      <c r="B17992" s="3">
        <v>0</v>
      </c>
    </row>
    <row r="17993" ht="15.75" customHeight="1" spans="1:2">
      <c r="A17993" s="3" t="str">
        <f>IFERROR(__xludf.DUMMYFUNCTION("GOOGLETRANSLATE(A17993,""en"",""pt"")"),"Tal como embalado pela Canon, contém apenas os drivers de software do Windows.")</f>
        <v>Tal como embalado pela Canon, contém apenas os drivers de software do Windows.</v>
      </c>
      <c r="B17993" s="3">
        <v>0</v>
      </c>
    </row>
    <row r="17994" ht="15.75" customHeight="1" spans="1:2">
      <c r="A17994" s="3" t="str">
        <f>IFERROR(__xludf.DUMMYFUNCTION("GOOGLETRANSLATE(A17994,""en"",""pt"")"),"impressão de qualidade média e baixa digitalização qualidade, um pouco lento")</f>
        <v>impressão de qualidade média e baixa digitalização qualidade, um pouco lento</v>
      </c>
      <c r="B17994" s="3">
        <v>0</v>
      </c>
    </row>
    <row r="17995" ht="15.75" customHeight="1" spans="1:2">
      <c r="A17995" s="3" t="str">
        <f>IFERROR(__xludf.DUMMYFUNCTION("GOOGLETRANSLATE(A17995,""en"",""pt"")"),"tamanho do cartucho, o tempo de uso")</f>
        <v>tamanho do cartucho, o tempo de uso</v>
      </c>
      <c r="B17995" s="3">
        <v>0</v>
      </c>
    </row>
    <row r="17996" ht="15.75" customHeight="1" spans="1:2">
      <c r="A17996" s="3" t="str">
        <f>IFERROR(__xludf.DUMMYFUNCTION("GOOGLETRANSLATE(A17996,""en"",""pt"")"),"Não é uma para todos os fins, mas quem se importa?")</f>
        <v>Não é uma para todos os fins, mas quem se importa?</v>
      </c>
      <c r="B17996" s="3">
        <v>0</v>
      </c>
    </row>
    <row r="17997" ht="15.75" customHeight="1" spans="1:2">
      <c r="A17997" s="3" t="str">
        <f>IFERROR(__xludf.DUMMYFUNCTION("GOOGLETRANSLATE(A17997,""en"",""pt"")"),"Nada até agora")</f>
        <v>Nada até agora</v>
      </c>
      <c r="B17997" s="3">
        <v>0</v>
      </c>
    </row>
    <row r="17998" ht="15.75" customHeight="1" spans="1:2">
      <c r="A17998" s="3" t="str">
        <f>IFERROR(__xludf.DUMMYFUNCTION("GOOGLETRANSLATE(A17998,""en"",""pt"")"),"Nenhum")</f>
        <v>Nenhum</v>
      </c>
      <c r="B17998" s="3">
        <v>0</v>
      </c>
    </row>
    <row r="17999" ht="15.75" customHeight="1" spans="1:2">
      <c r="A17999" s="3" t="str">
        <f>IFERROR(__xludf.DUMMYFUNCTION("GOOGLETRANSLATE(A17999,""en"",""pt"")"),"Imprimir qualidade em papel comum, os custos operacionais.")</f>
        <v>Imprimir qualidade em papel comum, os custos operacionais.</v>
      </c>
      <c r="B17999" s="3">
        <v>0</v>
      </c>
    </row>
    <row r="18000" ht="15.75" customHeight="1" spans="1:2">
      <c r="A18000" s="3" t="str">
        <f>IFERROR(__xludf.DUMMYFUNCTION("GOOGLETRANSLATE(A18000,""en"",""pt"")"),"Texto e arte negra não tão escuro como uma impressora a laser")</f>
        <v>Texto e arte negra não tão escuro como uma impressora a laser</v>
      </c>
      <c r="B18000" s="3">
        <v>0</v>
      </c>
    </row>
    <row r="18001" ht="15.75" customHeight="1" spans="1:2">
      <c r="A18001" s="3" t="str">
        <f>IFERROR(__xludf.DUMMYFUNCTION("GOOGLETRANSLATE(A18001,""en"",""pt"")"),"- Nenhum")</f>
        <v>- Nenhum</v>
      </c>
      <c r="B18001" s="3">
        <v>0</v>
      </c>
    </row>
    <row r="18002" ht="15.75" customHeight="1" spans="1:2">
      <c r="A18002" s="3" t="str">
        <f>IFERROR(__xludf.DUMMYFUNCTION("GOOGLETRANSLATE(A18002,""en"",""pt"")"),"Nenhum")</f>
        <v>Nenhum</v>
      </c>
      <c r="B18002" s="3">
        <v>0</v>
      </c>
    </row>
    <row r="18003" ht="15.75" customHeight="1" spans="1:2">
      <c r="A18003" s="3" t="str">
        <f>IFERROR(__xludf.DUMMYFUNCTION("GOOGLETRANSLATE(A18003,""en"",""pt"")"),"reprodução de cor certa")</f>
        <v>reprodução de cor certa</v>
      </c>
      <c r="B18003" s="3">
        <v>0</v>
      </c>
    </row>
    <row r="18004" ht="15.75" customHeight="1" spans="1:2">
      <c r="A18004" s="3" t="str">
        <f>IFERROR(__xludf.DUMMYFUNCTION("GOOGLETRANSLATE(A18004,""en"",""pt"")"),"Rapidez")</f>
        <v>Rapidez</v>
      </c>
      <c r="B18004" s="3">
        <v>0</v>
      </c>
    </row>
    <row r="18005" ht="15.75" customHeight="1" spans="1:2">
      <c r="A18005" s="3" t="str">
        <f>IFERROR(__xludf.DUMMYFUNCTION("GOOGLETRANSLATE(A18005,""en"",""pt"")"),"Texto Velocidade de Impressão")</f>
        <v>Texto Velocidade de Impressão</v>
      </c>
      <c r="B18005" s="3">
        <v>0</v>
      </c>
    </row>
    <row r="18006" ht="15.75" customHeight="1" spans="1:2">
      <c r="A18006" s="3" t="str">
        <f>IFERROR(__xludf.DUMMYFUNCTION("GOOGLETRANSLATE(A18006,""en"",""pt"")"),"Custos de funcionamento.")</f>
        <v>Custos de funcionamento.</v>
      </c>
      <c r="B18006" s="3">
        <v>0</v>
      </c>
    </row>
    <row r="18007" ht="15.75" customHeight="1" spans="1:2">
      <c r="A18007" s="3" t="str">
        <f>IFERROR(__xludf.DUMMYFUNCTION("GOOGLETRANSLATE(A18007,""en"",""pt"")"),"Impressão lenta, papel caro, manual &amp; amp; # 13; &amp; amp; # 10; vem apenas em CD-ROM.")</f>
        <v>Impressão lenta, papel caro, manual &amp; amp; # 13; &amp; amp; # 10; vem apenas em CD-ROM.</v>
      </c>
      <c r="B18007" s="3">
        <v>0</v>
      </c>
    </row>
    <row r="18008" ht="15.75" customHeight="1" spans="1:2">
      <c r="A18008" s="3" t="str">
        <f>IFERROR(__xludf.DUMMYFUNCTION("GOOGLETRANSLATE(A18008,""en"",""pt"")"),"pouco barulhento. Cuidado: você só obter impressões com qualidade fotográfica em papel de qualidade fotográfica.")</f>
        <v>pouco barulhento. Cuidado: você só obter impressões com qualidade fotográfica em papel de qualidade fotográfica.</v>
      </c>
      <c r="B18008" s="3">
        <v>0</v>
      </c>
    </row>
    <row r="18009" ht="15.75" customHeight="1" spans="1:2">
      <c r="A18009" s="3" t="str">
        <f>IFERROR(__xludf.DUMMYFUNCTION("GOOGLETRANSLATE(A18009,""en"",""pt"")"),"Um pouco lento")</f>
        <v>Um pouco lento</v>
      </c>
      <c r="B18009" s="3">
        <v>0</v>
      </c>
    </row>
    <row r="18010" ht="15.75" customHeight="1" spans="1:2">
      <c r="A18010" s="3" t="str">
        <f>IFERROR(__xludf.DUMMYFUNCTION("GOOGLETRANSLATE(A18010,""en"",""pt"")"),"encravamentos frequentes, muito lento, e a tinta e os cartuchos são bastante caras para substituir")</f>
        <v>encravamentos frequentes, muito lento, e a tinta e os cartuchos são bastante caras para substituir</v>
      </c>
      <c r="B18010" s="3">
        <v>0</v>
      </c>
    </row>
    <row r="18011" ht="15.75" customHeight="1" spans="1:2">
      <c r="A18011" s="3" t="str">
        <f>IFERROR(__xludf.DUMMYFUNCTION("GOOGLETRANSLATE(A18011,""en"",""pt"")"),"SLOOOOW!")</f>
        <v>SLOOOOW!</v>
      </c>
      <c r="B18011" s="3">
        <v>0</v>
      </c>
    </row>
    <row r="18012" ht="15.75" customHeight="1" spans="1:2">
      <c r="A18012" s="3" t="str">
        <f>IFERROR(__xludf.DUMMYFUNCTION("GOOGLETRANSLATE(A18012,""en"",""pt"")"),"lento, lento, lento")</f>
        <v>lento, lento, lento</v>
      </c>
      <c r="B18012" s="3">
        <v>0</v>
      </c>
    </row>
    <row r="18013" ht="15.75" customHeight="1" spans="1:2">
      <c r="A18013" s="3" t="str">
        <f>IFERROR(__xludf.DUMMYFUNCTION("GOOGLETRANSLATE(A18013,""en"",""pt"")"),"$ 300")</f>
        <v>$ 300</v>
      </c>
      <c r="B18013" s="3">
        <v>0</v>
      </c>
    </row>
    <row r="18014" ht="15.75" customHeight="1" spans="1:2">
      <c r="A18014" s="3" t="str">
        <f>IFERROR(__xludf.DUMMYFUNCTION("GOOGLETRANSLATE(A18014,""en"",""pt"")"),"um pouco grande, especialmente com o BJC-50 no mercado, Canon durabilidade suspeito,")</f>
        <v>um pouco grande, especialmente com o BJC-50 no mercado, Canon durabilidade suspeito,</v>
      </c>
      <c r="B18014" s="3">
        <v>0</v>
      </c>
    </row>
    <row r="18015" ht="15.75" customHeight="1" spans="1:2">
      <c r="A18015" s="3" t="str">
        <f>IFERROR(__xludf.DUMMYFUNCTION("GOOGLETRANSLATE(A18015,""en"",""pt"")"),"Os cartuchos de tinta são pequenos e você deve comprar a bateria separadamente.")</f>
        <v>Os cartuchos de tinta são pequenos e você deve comprar a bateria separadamente.</v>
      </c>
      <c r="B18015" s="3">
        <v>0</v>
      </c>
    </row>
    <row r="18016" ht="15.75" customHeight="1" spans="1:2">
      <c r="A18016" s="3" t="str">
        <f>IFERROR(__xludf.DUMMYFUNCTION("GOOGLETRANSLATE(A18016,""en"",""pt"")"),"9 minutos para imprimir uma página")</f>
        <v>9 minutos para imprimir uma página</v>
      </c>
      <c r="B18016" s="3">
        <v>0</v>
      </c>
    </row>
    <row r="18017" ht="15.75" customHeight="1" spans="1:2">
      <c r="A18017" s="3" t="str">
        <f>IFERROR(__xludf.DUMMYFUNCTION("GOOGLETRANSLATE(A18017,""en"",""pt"")"),"Não é muito durável, lento, cartuchos de tinta são muito pequenos")</f>
        <v>Não é muito durável, lento, cartuchos de tinta são muito pequenos</v>
      </c>
      <c r="B18017" s="3">
        <v>0</v>
      </c>
    </row>
    <row r="18018" ht="15.75" customHeight="1" spans="1:2">
      <c r="A18018" s="3" t="str">
        <f>IFERROR(__xludf.DUMMYFUNCTION("GOOGLETRANSLATE(A18018,""en"",""pt"")"),"Preço.")</f>
        <v>Preço.</v>
      </c>
      <c r="B18018" s="3">
        <v>0</v>
      </c>
    </row>
    <row r="18019" ht="15.75" customHeight="1" spans="1:2">
      <c r="A18019" s="3" t="str">
        <f>IFERROR(__xludf.DUMMYFUNCTION("GOOGLETRANSLATE(A18019,""en"",""pt"")"),"Muito lento, curta vida de cartuchos")</f>
        <v>Muito lento, curta vida de cartuchos</v>
      </c>
      <c r="B18019" s="3">
        <v>0</v>
      </c>
    </row>
    <row r="18020" ht="15.75" customHeight="1" spans="1:2">
      <c r="A18020" s="3" t="str">
        <f>IFERROR(__xludf.DUMMYFUNCTION("GOOGLETRANSLATE(A18020,""en"",""pt"")"),"Não encontrei um ainda")</f>
        <v>Não encontrei um ainda</v>
      </c>
      <c r="B18020" s="3">
        <v>0</v>
      </c>
    </row>
    <row r="18021" ht="15.75" customHeight="1" spans="1:2">
      <c r="A18021" s="3" t="str">
        <f>IFERROR(__xludf.DUMMYFUNCTION("GOOGLETRANSLATE(A18021,""en"",""pt"")"),"A instalação é horrível, tentar tomar em mais de 1 folha de cada vez")</f>
        <v>A instalação é horrível, tentar tomar em mais de 1 folha de cada vez</v>
      </c>
      <c r="B18021" s="3">
        <v>0</v>
      </c>
    </row>
    <row r="18022" ht="15.75" customHeight="1" spans="1:2">
      <c r="A18022" s="3" t="str">
        <f>IFERROR(__xludf.DUMMYFUNCTION("GOOGLETRANSLATE(A18022,""en"",""pt"")"),"Tanques de tinta caro. Complicado, mas poderoso software de gestão.")</f>
        <v>Tanques de tinta caro. Complicado, mas poderoso software de gestão.</v>
      </c>
      <c r="B18022" s="3">
        <v>0</v>
      </c>
    </row>
    <row r="18023" ht="15.75" customHeight="1" spans="1:2">
      <c r="A18023" s="3" t="str">
        <f>IFERROR(__xludf.DUMMYFUNCTION("GOOGLETRANSLATE(A18023,""en"",""pt"")"),"Barulhento")</f>
        <v>Barulhento</v>
      </c>
      <c r="B18023" s="3">
        <v>0</v>
      </c>
    </row>
    <row r="18024" ht="15.75" customHeight="1" spans="1:2">
      <c r="A18024" s="3" t="str">
        <f>IFERROR(__xludf.DUMMYFUNCTION("GOOGLETRANSLATE(A18024,""en"",""pt"")"),"Nenhum")</f>
        <v>Nenhum</v>
      </c>
      <c r="B18024" s="3">
        <v>0</v>
      </c>
    </row>
    <row r="18025" ht="15.75" customHeight="1" spans="1:2">
      <c r="A18025" s="3" t="str">
        <f>IFERROR(__xludf.DUMMYFUNCTION("GOOGLETRANSLATE(A18025,""en"",""pt"")"),"Nada até agora")</f>
        <v>Nada até agora</v>
      </c>
      <c r="B18025" s="3">
        <v>0</v>
      </c>
    </row>
    <row r="18026" ht="15.75" customHeight="1" spans="1:2">
      <c r="A18026" s="3" t="str">
        <f>IFERROR(__xludf.DUMMYFUNCTION("GOOGLETRANSLATE(A18026,""en"",""pt"")"),"Falta manual")</f>
        <v>Falta manual</v>
      </c>
      <c r="B18026" s="3">
        <v>0</v>
      </c>
    </row>
    <row r="18027" ht="15.75" customHeight="1" spans="1:2">
      <c r="A18027" s="3" t="str">
        <f>IFERROR(__xludf.DUMMYFUNCTION("GOOGLETRANSLATE(A18027,""en"",""pt"")"),"Nenhum")</f>
        <v>Nenhum</v>
      </c>
      <c r="B18027" s="3">
        <v>0</v>
      </c>
    </row>
    <row r="18028" ht="15.75" customHeight="1" spans="1:2">
      <c r="A18028" s="3" t="str">
        <f>IFERROR(__xludf.DUMMYFUNCTION("GOOGLETRANSLATE(A18028,""en"",""pt"")"),"programas desnecessários adicionados a instalação, um pouco barulhento.")</f>
        <v>programas desnecessários adicionados a instalação, um pouco barulhento.</v>
      </c>
      <c r="B18028" s="3">
        <v>0</v>
      </c>
    </row>
    <row r="18029" ht="15.75" customHeight="1" spans="1:2">
      <c r="A18029" s="3" t="s">
        <v>102</v>
      </c>
      <c r="B18029" s="3">
        <v>0</v>
      </c>
    </row>
    <row r="18030" ht="15.75" customHeight="1" spans="1:2">
      <c r="A18030" s="3" t="str">
        <f>IFERROR(__xludf.DUMMYFUNCTION("GOOGLETRANSLATE(A18030,""en"",""pt"")"),"Papel mis-alimenta o papel ocasionalmente")</f>
        <v>Papel mis-alimenta o papel ocasionalmente</v>
      </c>
      <c r="B18030" s="3">
        <v>0</v>
      </c>
    </row>
    <row r="18031" ht="15.75" customHeight="1" spans="1:2">
      <c r="A18031" s="3" t="str">
        <f>IFERROR(__xludf.DUMMYFUNCTION("GOOGLETRANSLATE(A18031,""en"",""pt"")"),"Um problema pequeno que alimenta envelopes")</f>
        <v>Um problema pequeno que alimenta envelopes</v>
      </c>
      <c r="B18031" s="3">
        <v>0</v>
      </c>
    </row>
    <row r="18032" ht="15.75" customHeight="1" spans="1:2">
      <c r="A18032" s="3" t="str">
        <f>IFERROR(__xludf.DUMMYFUNCTION("GOOGLETRANSLATE(A18032,""en"",""pt"")"),"Não confiável")</f>
        <v>Não confiável</v>
      </c>
      <c r="B18032" s="3">
        <v>0</v>
      </c>
    </row>
    <row r="18033" ht="15.75" customHeight="1" spans="1:2">
      <c r="A18033" s="3" t="str">
        <f>IFERROR(__xludf.DUMMYFUNCTION("GOOGLETRANSLATE(A18033,""en"",""pt"")"),"Update: Morreu!")</f>
        <v>Update: Morreu!</v>
      </c>
      <c r="B18033" s="3">
        <v>0</v>
      </c>
    </row>
    <row r="18034" ht="15.75" customHeight="1" spans="1:2">
      <c r="A18034" s="3" t="str">
        <f>IFERROR(__xludf.DUMMYFUNCTION("GOOGLETRANSLATE(A18034,""en"",""pt"")"),"um pouco barulhento")</f>
        <v>um pouco barulhento</v>
      </c>
      <c r="B18034" s="3">
        <v>0</v>
      </c>
    </row>
    <row r="18035" ht="15.75" customHeight="1" spans="1:2">
      <c r="A18035" s="3" t="str">
        <f>IFERROR(__xludf.DUMMYFUNCTION("GOOGLETRANSLATE(A18035,""en"",""pt"")"),"não vai alimentar envelopes. envelope grab Wont e sprays de tinta em todo interior da impressora.")</f>
        <v>não vai alimentar envelopes. envelope grab Wont e sprays de tinta em todo interior da impressora.</v>
      </c>
      <c r="B18035" s="3">
        <v>0</v>
      </c>
    </row>
    <row r="18036" ht="15.75" customHeight="1" spans="1:2">
      <c r="A18036" s="3" t="str">
        <f>IFERROR(__xludf.DUMMYFUNCTION("GOOGLETRANSLATE(A18036,""en"",""pt"")"),"Às vezes, se alimenta muito papel ou encravamentos, portanto, não deixá-la sozinha.")</f>
        <v>Às vezes, se alimenta muito papel ou encravamentos, portanto, não deixá-la sozinha.</v>
      </c>
      <c r="B18036" s="3">
        <v>0</v>
      </c>
    </row>
    <row r="18037" ht="15.75" customHeight="1" spans="1:2">
      <c r="A18037" s="3" t="str">
        <f>IFERROR(__xludf.DUMMYFUNCTION("GOOGLETRANSLATE(A18037,""en"",""pt"")"),"necessidade de ter de impressão computador diretamente para a impressora em primeiro lugar, em seguida, pode selecionar spooler de impressão, uma vez que funciona")</f>
        <v>necessidade de ter de impressão computador diretamente para a impressora em primeiro lugar, em seguida, pode selecionar spooler de impressão, uma vez que funciona</v>
      </c>
      <c r="B18037" s="3">
        <v>0</v>
      </c>
    </row>
    <row r="18038" ht="15.75" customHeight="1" spans="1:2">
      <c r="A18038" s="3" t="str">
        <f>IFERROR(__xludf.DUMMYFUNCTION("GOOGLETRANSLATE(A18038,""en"",""pt"")"),"Ele está morto agora.")</f>
        <v>Ele está morto agora.</v>
      </c>
      <c r="B18038" s="3">
        <v>0</v>
      </c>
    </row>
    <row r="18039" ht="15.75" customHeight="1" spans="1:2">
      <c r="A18039" s="3" t="str">
        <f>IFERROR(__xludf.DUMMYFUNCTION("GOOGLETRANSLATE(A18039,""en"",""pt"")"),"Ampla pegada, barulhento, um porco de tinta!")</f>
        <v>Ampla pegada, barulhento, um porco de tinta!</v>
      </c>
      <c r="B18039" s="3">
        <v>0</v>
      </c>
    </row>
    <row r="18040" ht="15.75" customHeight="1" spans="1:2">
      <c r="A18040" s="3" t="str">
        <f>IFERROR(__xludf.DUMMYFUNCTION("GOOGLETRANSLATE(A18040,""en"",""pt"")"),"Suprimentos pode ser caro, os motoristas não são 100% XP amigável - ainda")</f>
        <v>Suprimentos pode ser caro, os motoristas não são 100% XP amigável - ainda</v>
      </c>
      <c r="B18040" s="3">
        <v>0</v>
      </c>
    </row>
    <row r="18041" ht="15.75" customHeight="1" spans="1:2">
      <c r="A18041" s="3" t="str">
        <f>IFERROR(__xludf.DUMMYFUNCTION("GOOGLETRANSLATE(A18041,""en"",""pt"")"),"sub impressão de fotos par")</f>
        <v>sub impressão de fotos par</v>
      </c>
      <c r="B18041" s="3">
        <v>0</v>
      </c>
    </row>
    <row r="18042" ht="15.75" customHeight="1" spans="1:2">
      <c r="A18042" s="3" t="str">
        <f>IFERROR(__xludf.DUMMYFUNCTION("GOOGLETRANSLATE(A18042,""en"",""pt"")"),"Frente da bandeja de papel")</f>
        <v>Frente da bandeja de papel</v>
      </c>
      <c r="B18042" s="3">
        <v>0</v>
      </c>
    </row>
    <row r="18043" ht="15.75" customHeight="1" spans="1:2">
      <c r="A18043" s="3" t="str">
        <f>IFERROR(__xludf.DUMMYFUNCTION("GOOGLETRANSLATE(A18043,""en"",""pt"")"),"Nenhum")</f>
        <v>Nenhum</v>
      </c>
      <c r="B18043" s="3">
        <v>0</v>
      </c>
    </row>
    <row r="18044" ht="15.75" customHeight="1" spans="1:2">
      <c r="A18044" s="3" t="str">
        <f>IFERROR(__xludf.DUMMYFUNCTION("GOOGLETRANSLATE(A18044,""en"",""pt"")"),"documentação esparsa de recursos avançados")</f>
        <v>documentação esparsa de recursos avançados</v>
      </c>
      <c r="B18044" s="3">
        <v>0</v>
      </c>
    </row>
    <row r="18045" ht="15.75" customHeight="1" spans="1:2">
      <c r="A18045" s="3" t="str">
        <f>IFERROR(__xludf.DUMMYFUNCTION("GOOGLETRANSLATE(A18045,""en"",""pt"")"),"imprimir custo, qualidade, tranquilidade.")</f>
        <v>imprimir custo, qualidade, tranquilidade.</v>
      </c>
      <c r="B18045" s="3">
        <v>0</v>
      </c>
    </row>
    <row r="18046" ht="15.75" customHeight="1" spans="1:2">
      <c r="A18046" s="3" t="str">
        <f>IFERROR(__xludf.DUMMYFUNCTION("GOOGLETRANSLATE(A18046,""en"",""pt"")"),"Um pouco grande")</f>
        <v>Um pouco grande</v>
      </c>
      <c r="B18046" s="3">
        <v>0</v>
      </c>
    </row>
    <row r="18047" ht="15.75" customHeight="1" spans="1:2">
      <c r="A18047" s="3" t="str">
        <f>IFERROR(__xludf.DUMMYFUNCTION("GOOGLETRANSLATE(A18047,""en"",""pt"")"),"Nenhum, sorry!")</f>
        <v>Nenhum, sorry!</v>
      </c>
      <c r="B18047" s="3">
        <v>0</v>
      </c>
    </row>
    <row r="18048" ht="15.75" customHeight="1" spans="1:2">
      <c r="A18048" s="3" t="str">
        <f>IFERROR(__xludf.DUMMYFUNCTION("GOOGLETRANSLATE(A18048,""en"",""pt"")"),"linhas finas poderia ser melhor")</f>
        <v>linhas finas poderia ser melhor</v>
      </c>
      <c r="B18048" s="3">
        <v>0</v>
      </c>
    </row>
    <row r="18049" ht="15.75" customHeight="1" spans="1:2">
      <c r="A18049" s="3" t="str">
        <f>IFERROR(__xludf.DUMMYFUNCTION("GOOGLETRANSLATE(A18049,""en"",""pt"")"),"Nenhum")</f>
        <v>Nenhum</v>
      </c>
      <c r="B18049" s="3">
        <v>0</v>
      </c>
    </row>
    <row r="18050" ht="15.75" customHeight="1" spans="1:2">
      <c r="A18050" s="3" t="str">
        <f>IFERROR(__xludf.DUMMYFUNCTION("GOOGLETRANSLATE(A18050,""en"",""pt"")"),"As máquinas não são construídas por muito tempo de serviço. É construído em obsolescência?")</f>
        <v>As máquinas não são construídas por muito tempo de serviço. É construído em obsolescência?</v>
      </c>
      <c r="B18050" s="3">
        <v>0</v>
      </c>
    </row>
    <row r="18051" ht="15.75" customHeight="1" spans="1:2">
      <c r="A18051" s="3" t="str">
        <f>IFERROR(__xludf.DUMMYFUNCTION("GOOGLETRANSLATE(A18051,""en"",""pt"")"),"Construção")</f>
        <v>Construção</v>
      </c>
      <c r="B18051" s="3">
        <v>0</v>
      </c>
    </row>
    <row r="18052" ht="15.75" customHeight="1" spans="1:2">
      <c r="A18052" s="3" t="str">
        <f>IFERROR(__xludf.DUMMYFUNCTION("GOOGLETRANSLATE(A18052,""en"",""pt"")"),"Não existem dois lados anexo")</f>
        <v>Não existem dois lados anexo</v>
      </c>
      <c r="B18052" s="3">
        <v>0</v>
      </c>
    </row>
    <row r="18053" ht="15.75" customHeight="1" spans="1:2">
      <c r="A18053" s="3" t="str">
        <f>IFERROR(__xludf.DUMMYFUNCTION("GOOGLETRANSLATE(A18053,""en"",""pt"")"),"não encontrei um ainda")</f>
        <v>não encontrei um ainda</v>
      </c>
      <c r="B18053" s="3">
        <v>0</v>
      </c>
    </row>
    <row r="18054" ht="15.75" customHeight="1" spans="1:2">
      <c r="A18054" s="3" t="str">
        <f>IFERROR(__xludf.DUMMYFUNCTION("GOOGLETRANSLATE(A18054,""en"",""pt"")"),"não encontrei um ainda")</f>
        <v>não encontrei um ainda</v>
      </c>
      <c r="B18054" s="3">
        <v>0</v>
      </c>
    </row>
    <row r="18055" ht="15.75" customHeight="1" spans="1:2">
      <c r="A18055" s="3" t="str">
        <f>IFERROR(__xludf.DUMMYFUNCTION("GOOGLETRANSLATE(A18055,""en"",""pt"")"),"bandeja de saída frágil, cabeças de impressão")</f>
        <v>bandeja de saída frágil, cabeças de impressão</v>
      </c>
      <c r="B18055" s="3">
        <v>0</v>
      </c>
    </row>
    <row r="18056" ht="15.75" customHeight="1" spans="1:2">
      <c r="A18056" s="3" t="str">
        <f>IFERROR(__xludf.DUMMYFUNCTION("GOOGLETRANSLATE(A18056,""en"",""pt"")"),"Nenhum")</f>
        <v>Nenhum</v>
      </c>
      <c r="B18056" s="3">
        <v>0</v>
      </c>
    </row>
    <row r="18057" ht="15.75" customHeight="1" spans="1:2">
      <c r="A18057" s="3" t="str">
        <f>IFERROR(__xludf.DUMMYFUNCTION("GOOGLETRANSLATE(A18057,""en"",""pt"")"),"serviço cânones telefone que horrível.")</f>
        <v>serviço cânones telefone que horrível.</v>
      </c>
      <c r="B18057" s="3">
        <v>0</v>
      </c>
    </row>
    <row r="18058" ht="15.75" customHeight="1" spans="1:2">
      <c r="A18058" s="3" t="str">
        <f>IFERROR(__xludf.DUMMYFUNCTION("GOOGLETRANSLATE(A18058,""en"",""pt"")"),"Nenhum!")</f>
        <v>Nenhum!</v>
      </c>
      <c r="B18058" s="3">
        <v>0</v>
      </c>
    </row>
    <row r="18059" ht="15.75" customHeight="1" spans="1:2">
      <c r="A18059" s="3" t="str">
        <f>IFERROR(__xludf.DUMMYFUNCTION("GOOGLETRANSLATE(A18059,""en"",""pt"")"),"bandejas de papel inúteis")</f>
        <v>bandejas de papel inúteis</v>
      </c>
      <c r="B18059" s="3">
        <v>0</v>
      </c>
    </row>
    <row r="18060" ht="15.75" customHeight="1" spans="1:2">
      <c r="A18060" s="3" t="str">
        <f>IFERROR(__xludf.DUMMYFUNCTION("GOOGLETRANSLATE(A18060,""en"",""pt"")"),"Sem capacidade de compartilhamento da impressora. Utilizável em apenas um computador. apoio pobres.")</f>
        <v>Sem capacidade de compartilhamento da impressora. Utilizável em apenas um computador. apoio pobres.</v>
      </c>
      <c r="B18060" s="3">
        <v>0</v>
      </c>
    </row>
    <row r="18061" ht="15.75" customHeight="1" spans="1:2">
      <c r="A18061" s="3" t="str">
        <f>IFERROR(__xludf.DUMMYFUNCTION("GOOGLETRANSLATE(A18061,""en"",""pt"")"),"Nenhum ainda")</f>
        <v>Nenhum ainda</v>
      </c>
      <c r="B18061" s="3">
        <v>0</v>
      </c>
    </row>
    <row r="18062" ht="15.75" customHeight="1" spans="1:2">
      <c r="A18062" s="3" t="str">
        <f>IFERROR(__xludf.DUMMYFUNCTION("GOOGLETRANSLATE(A18062,""en"",""pt"")"),"Problemas com set-up inicial, lento para aquecer.")</f>
        <v>Problemas com set-up inicial, lento para aquecer.</v>
      </c>
      <c r="B18062" s="3">
        <v>0</v>
      </c>
    </row>
    <row r="18063" ht="15.75" customHeight="1" spans="1:2">
      <c r="A18063" s="3" t="str">
        <f>IFERROR(__xludf.DUMMYFUNCTION("GOOGLETRANSLATE(A18063,""en"",""pt"")"),"Tinta acabar rápida")</f>
        <v>Tinta acabar rápida</v>
      </c>
      <c r="B18063" s="3">
        <v>0</v>
      </c>
    </row>
    <row r="18064" ht="15.75" customHeight="1" spans="1:2">
      <c r="A18064" s="3" t="str">
        <f>IFERROR(__xludf.DUMMYFUNCTION("GOOGLETRANSLATE(A18064,""en"",""pt"")"),"Tinha que carregar o driver de impressão três vezes antes funcionava corretamente.")</f>
        <v>Tinha que carregar o driver de impressão três vezes antes funcionava corretamente.</v>
      </c>
      <c r="B18064" s="3">
        <v>0</v>
      </c>
    </row>
    <row r="18065" ht="15.75" customHeight="1" spans="1:2">
      <c r="A18065" s="3" t="str">
        <f>IFERROR(__xludf.DUMMYFUNCTION("GOOGLETRANSLATE(A18065,""en"",""pt"")"),"driver de impressora incorretamente imprime a partir do Adobe Acrobat viewer")</f>
        <v>driver de impressora incorretamente imprime a partir do Adobe Acrobat viewer</v>
      </c>
      <c r="B18065" s="3">
        <v>0</v>
      </c>
    </row>
    <row r="18066" ht="15.75" customHeight="1" spans="1:2">
      <c r="A18066" s="3" t="str">
        <f>IFERROR(__xludf.DUMMYFUNCTION("GOOGLETRANSLATE(A18066,""en"",""pt"")"),"Set up havia brisa e documentação é fraca")</f>
        <v>Set up havia brisa e documentação é fraca</v>
      </c>
      <c r="B18066" s="3">
        <v>0</v>
      </c>
    </row>
    <row r="18067" ht="15.75" customHeight="1" spans="1:2">
      <c r="A18067" s="3" t="str">
        <f>IFERROR(__xludf.DUMMYFUNCTION("GOOGLETRANSLATE(A18067,""en"",""pt"")"),"Nenhum")</f>
        <v>Nenhum</v>
      </c>
      <c r="B18067" s="3">
        <v>0</v>
      </c>
    </row>
    <row r="18068" ht="15.75" customHeight="1" spans="1:2">
      <c r="A18068" s="3" t="str">
        <f>IFERROR(__xludf.DUMMYFUNCTION("GOOGLETRANSLATE(A18068,""en"",""pt"")"),"Texto parece meio confuso.")</f>
        <v>Texto parece meio confuso.</v>
      </c>
      <c r="B18068" s="3">
        <v>0</v>
      </c>
    </row>
    <row r="18069" ht="15.75" customHeight="1" spans="1:2">
      <c r="A18069" s="3" t="str">
        <f>IFERROR(__xludf.DUMMYFUNCTION("GOOGLETRANSLATE(A18069,""en"",""pt"")"),"Sair da bandeja de papel")</f>
        <v>Sair da bandeja de papel</v>
      </c>
      <c r="B18069" s="3">
        <v>0</v>
      </c>
    </row>
    <row r="18070" ht="15.75" customHeight="1" spans="1:2">
      <c r="A18070" s="3" t="str">
        <f>IFERROR(__xludf.DUMMYFUNCTION("GOOGLETRANSLATE(A18070,""en"",""pt"")"),"Nada! (Exceto aquela coisa de papel-catcher)")</f>
        <v>Nada! (Exceto aquela coisa de papel-catcher)</v>
      </c>
      <c r="B18070" s="3">
        <v>0</v>
      </c>
    </row>
    <row r="18071" ht="15.75" customHeight="1" spans="1:2">
      <c r="A18071" s="3" t="str">
        <f>IFERROR(__xludf.DUMMYFUNCTION("GOOGLETRANSLATE(A18071,""en"",""pt"")"),"Caro")</f>
        <v>Caro</v>
      </c>
      <c r="B18071" s="3">
        <v>0</v>
      </c>
    </row>
    <row r="18072" ht="15.75" customHeight="1" spans="1:2">
      <c r="A18072" s="3" t="str">
        <f>IFERROR(__xludf.DUMMYFUNCTION("GOOGLETRANSLATE(A18072,""en"",""pt"")"),"O apanhador de papel na frente é a única reclamação.")</f>
        <v>O apanhador de papel na frente é a única reclamação.</v>
      </c>
      <c r="B18072" s="3">
        <v>0</v>
      </c>
    </row>
    <row r="18073" ht="15.75" customHeight="1" spans="1:2">
      <c r="A18073" s="3" t="str">
        <f>IFERROR(__xludf.DUMMYFUNCTION("GOOGLETRANSLATE(A18073,""en"",""pt"")"),"bandeja de papel superior não é removível, sem capacidade de rede")</f>
        <v>bandeja de papel superior não é removível, sem capacidade de rede</v>
      </c>
      <c r="B18073" s="3">
        <v>0</v>
      </c>
    </row>
    <row r="18074" ht="15.75" customHeight="1" spans="1:2">
      <c r="A18074" s="3" t="str">
        <f>IFERROR(__xludf.DUMMYFUNCTION("GOOGLETRANSLATE(A18074,""en"",""pt"")"),"Só o custo, mas vale cada centavo.")</f>
        <v>Só o custo, mas vale cada centavo.</v>
      </c>
      <c r="B18074" s="3">
        <v>0</v>
      </c>
    </row>
    <row r="18075" ht="15.75" customHeight="1" spans="1:2">
      <c r="A18075" s="3" t="str">
        <f>IFERROR(__xludf.DUMMYFUNCTION("GOOGLETRANSLATE(A18075,""en"",""pt"")"),"É feio")</f>
        <v>É feio</v>
      </c>
      <c r="B18075" s="3">
        <v>0</v>
      </c>
    </row>
    <row r="18076" ht="15.75" customHeight="1" spans="1:2">
      <c r="A18076" s="3" t="str">
        <f>IFERROR(__xludf.DUMMYFUNCTION("GOOGLETRANSLATE(A18076,""en"",""pt"")"),"N / D")</f>
        <v>N / D</v>
      </c>
      <c r="B18076" s="3">
        <v>0</v>
      </c>
    </row>
    <row r="18077" ht="15.75" customHeight="1" spans="1:2">
      <c r="A18077" s="3" t="str">
        <f>IFERROR(__xludf.DUMMYFUNCTION("GOOGLETRANSLATE(A18077,""en"",""pt"")"),"Grandes dimensões, precisa de um bom papel para impressão")</f>
        <v>Grandes dimensões, precisa de um bom papel para impressão</v>
      </c>
      <c r="B18077" s="3">
        <v>0</v>
      </c>
    </row>
    <row r="18078" ht="15.75" customHeight="1" spans="1:2">
      <c r="A18078" s="3" t="str">
        <f>IFERROR(__xludf.DUMMYFUNCTION("GOOGLETRANSLATE(A18078,""en"",""pt"")"),"so-so texto papel comum, deve ter um bom papel fotográfico, sem cabo incluído")</f>
        <v>so-so texto papel comum, deve ter um bom papel fotográfico, sem cabo incluído</v>
      </c>
      <c r="B18078" s="3">
        <v>0</v>
      </c>
    </row>
    <row r="18079" ht="15.75" customHeight="1" spans="1:2">
      <c r="A18079" s="3" t="str">
        <f>IFERROR(__xludf.DUMMYFUNCTION("GOOGLETRANSLATE(A18079,""en"",""pt"")"),"deve usar papel Canon")</f>
        <v>deve usar papel Canon</v>
      </c>
      <c r="B18079" s="3">
        <v>0</v>
      </c>
    </row>
    <row r="18080" ht="15.75" customHeight="1" spans="1:2">
      <c r="A18080" s="3" t="str">
        <f>IFERROR(__xludf.DUMMYFUNCTION("GOOGLETRANSLATE(A18080,""en"",""pt"")"),"impressão frente e verso automática não")</f>
        <v>impressão frente e verso automática não</v>
      </c>
      <c r="B18080" s="3">
        <v>0</v>
      </c>
    </row>
    <row r="18081" ht="15.75" customHeight="1" spans="1:2">
      <c r="A18081" s="3" t="str">
        <f>IFERROR(__xludf.DUMMYFUNCTION("GOOGLETRANSLATE(A18081,""en"",""pt"")"),"Nenhum vale a pena mencionar")</f>
        <v>Nenhum vale a pena mencionar</v>
      </c>
      <c r="B18081" s="3">
        <v>0</v>
      </c>
    </row>
    <row r="18082" ht="15.75" customHeight="1" spans="1:2">
      <c r="A18082" s="3" t="str">
        <f>IFERROR(__xludf.DUMMYFUNCTION("GOOGLETRANSLATE(A18082,""en"",""pt"")"),"Nenhum, no entanto, exceto, talvez, que não é livre")</f>
        <v>Nenhum, no entanto, exceto, talvez, que não é livre</v>
      </c>
      <c r="B18082" s="3">
        <v>0</v>
      </c>
    </row>
    <row r="18083" ht="15.75" customHeight="1" spans="1:2">
      <c r="A18083" s="3" t="str">
        <f>IFERROR(__xludf.DUMMYFUNCTION("GOOGLETRANSLATE(A18083,""en"",""pt"")"),"Bastante lento no mesmo simples preto &amp; amp; trabalhos de impressão brancos.")</f>
        <v>Bastante lento no mesmo simples preto &amp; amp; trabalhos de impressão brancos.</v>
      </c>
      <c r="B18083" s="3">
        <v>0</v>
      </c>
    </row>
    <row r="18084" ht="15.75" customHeight="1" spans="1:2">
      <c r="A18084" s="3" t="str">
        <f>IFERROR(__xludf.DUMMYFUNCTION("GOOGLETRANSLATE(A18084,""en"",""pt"")"),"barulhento, muito lento, manutenção alta")</f>
        <v>barulhento, muito lento, manutenção alta</v>
      </c>
      <c r="B18084" s="3">
        <v>0</v>
      </c>
    </row>
    <row r="18085" ht="15.75" customHeight="1" spans="1:2">
      <c r="A18085" s="3" t="str">
        <f>IFERROR(__xludf.DUMMYFUNCTION("GOOGLETRANSLATE(A18085,""en"",""pt"")"),"Funciona mal na nova Win2000 PC")</f>
        <v>Funciona mal na nova Win2000 PC</v>
      </c>
      <c r="B18085" s="3">
        <v>0</v>
      </c>
    </row>
    <row r="18086" ht="15.75" customHeight="1" spans="1:2">
      <c r="A18086" s="3" t="str">
        <f>IFERROR(__xludf.DUMMYFUNCTION("GOOGLETRANSLATE(A18086,""en"",""pt"")"),"Compatível apenas com papéis Canon")</f>
        <v>Compatível apenas com papéis Canon</v>
      </c>
      <c r="B18086" s="3">
        <v>0</v>
      </c>
    </row>
    <row r="18087" ht="15.75" customHeight="1" spans="1:2">
      <c r="A18087" s="3" t="str">
        <f>IFERROR(__xludf.DUMMYFUNCTION("GOOGLETRANSLATE(A18087,""en"",""pt"")"),"so-so texto papel comum, deve ter um bom papel fotográfico, sem cabo incluído")</f>
        <v>so-so texto papel comum, deve ter um bom papel fotográfico, sem cabo incluído</v>
      </c>
      <c r="B18087" s="3">
        <v>0</v>
      </c>
    </row>
    <row r="18088" ht="15.75" customHeight="1" spans="1:2">
      <c r="A18088" s="3" t="str">
        <f>IFERROR(__xludf.DUMMYFUNCTION("GOOGLETRANSLATE(A18088,""en"",""pt"")"),"Grande pegada. Precisa de muito espaço. papel Canon é caro.")</f>
        <v>Grande pegada. Precisa de muito espaço. papel Canon é caro.</v>
      </c>
      <c r="B18088" s="3">
        <v>0</v>
      </c>
    </row>
    <row r="18089" ht="15.75" customHeight="1" spans="1:2">
      <c r="A18089" s="3" t="str">
        <f>IFERROR(__xludf.DUMMYFUNCTION("GOOGLETRANSLATE(A18089,""en"",""pt"")"),"Cópias não duram menos que ""sob o vidro.""")</f>
        <v>Cópias não duram menos que "sob o vidro."</v>
      </c>
      <c r="B18089" s="3">
        <v>0</v>
      </c>
    </row>
    <row r="18090" ht="15.75" customHeight="1" spans="1:2">
      <c r="A18090" s="3" t="str">
        <f>IFERROR(__xludf.DUMMYFUNCTION("GOOGLETRANSLATE(A18090,""en"",""pt"")"),"precisa de smart card extra de quase imediatamente")</f>
        <v>precisa de smart card extra de quase imediatamente</v>
      </c>
      <c r="B18090" s="3">
        <v>0</v>
      </c>
    </row>
    <row r="18091" ht="15.75" customHeight="1" spans="1:2">
      <c r="A18091" s="3" t="str">
        <f>IFERROR(__xludf.DUMMYFUNCTION("GOOGLETRANSLATE(A18091,""en"",""pt"")"),"Elevados preços e lento. Flash incorporado.")</f>
        <v>Elevados preços e lento. Flash incorporado.</v>
      </c>
      <c r="B18091" s="3">
        <v>0</v>
      </c>
    </row>
    <row r="18092" ht="15.75" customHeight="1" spans="1:2">
      <c r="A18092" s="3" t="str">
        <f>IFERROR(__xludf.DUMMYFUNCTION("GOOGLETRANSLATE(A18092,""en"",""pt"")"),"Caro (mas vale a pena!), Um pouco grande para as minhas mãos pequenas")</f>
        <v>Caro (mas vale a pena!), Um pouco grande para as minhas mãos pequenas</v>
      </c>
      <c r="B18092" s="3">
        <v>0</v>
      </c>
    </row>
    <row r="18093" ht="15.75" customHeight="1" spans="1:2">
      <c r="A18093" s="3" t="str">
        <f>IFERROR(__xludf.DUMMYFUNCTION("GOOGLETRANSLATE(A18093,""en"",""pt"")"),"Incrivelmente caro.")</f>
        <v>Incrivelmente caro.</v>
      </c>
      <c r="B18093" s="3">
        <v>0</v>
      </c>
    </row>
    <row r="18094" ht="15.75" customHeight="1" spans="1:2">
      <c r="A18094" s="3" t="str">
        <f>IFERROR(__xludf.DUMMYFUNCTION("GOOGLETRANSLATE(A18094,""en"",""pt"")"),"Mente-bendingly caro, apenas para o obcecado.")</f>
        <v>Mente-bendingly caro, apenas para o obcecado.</v>
      </c>
      <c r="B18094" s="3">
        <v>0</v>
      </c>
    </row>
    <row r="18095" ht="15.75" customHeight="1" spans="1:2">
      <c r="A18095" s="3" t="str">
        <f>IFERROR(__xludf.DUMMYFUNCTION("GOOGLETRANSLATE(A18095,""en"",""pt"")"),"Um pouco demasiado volumoso.")</f>
        <v>Um pouco demasiado volumoso.</v>
      </c>
      <c r="B18095" s="3">
        <v>0</v>
      </c>
    </row>
    <row r="18096" ht="15.75" customHeight="1" spans="1:2">
      <c r="A18096" s="3" t="str">
        <f>IFERROR(__xludf.DUMMYFUNCTION("GOOGLETRANSLATE(A18096,""en"",""pt"")"),"conhecidos problemas de focagem em condições de pouca luz, baixas megapixels.")</f>
        <v>conhecidos problemas de focagem em condições de pouca luz, baixas megapixels.</v>
      </c>
      <c r="B18096" s="3">
        <v>0</v>
      </c>
    </row>
    <row r="18097" ht="15.75" customHeight="1" spans="1:2">
      <c r="A18097" s="3" t="str">
        <f>IFERROR(__xludf.DUMMYFUNCTION("GOOGLETRANSLATE(A18097,""en"",""pt"")"),"Gostaria que o zoom de reprodução foi de rolagem.")</f>
        <v>Gostaria que o zoom de reprodução foi de rolagem.</v>
      </c>
      <c r="B18097" s="3">
        <v>0</v>
      </c>
    </row>
    <row r="18098" ht="15.75" customHeight="1" spans="1:2">
      <c r="A18098" s="3" t="str">
        <f>IFERROR(__xludf.DUMMYFUNCTION("GOOGLETRANSLATE(A18098,""en"",""pt"")"),"No fundo do LCD, com pouca luz incidindo difícil, cartão de memória flash de 16 MB como padrão")</f>
        <v>No fundo do LCD, com pouca luz incidindo difícil, cartão de memória flash de 16 MB como padrão</v>
      </c>
      <c r="B18098" s="3">
        <v>0</v>
      </c>
    </row>
    <row r="18099" ht="15.75" customHeight="1" spans="1:2">
      <c r="A18099" s="3" t="str">
        <f>IFERROR(__xludf.DUMMYFUNCTION("GOOGLETRANSLATE(A18099,""en"",""pt"")"),"Um pouco caro, lento (mas bom) preview (histograma!), 1,6x a distância focal efetiva diminui lentes grande angular")</f>
        <v>Um pouco caro, lento (mas bom) preview (histograma!), 1,6x a distância focal efetiva diminui lentes grande angular</v>
      </c>
      <c r="B18099" s="3">
        <v>0</v>
      </c>
    </row>
    <row r="18100" ht="15.75" customHeight="1" spans="1:2">
      <c r="A18100" s="3" t="str">
        <f>IFERROR(__xludf.DUMMYFUNCTION("GOOGLETRANSLATE(A18100,""en"",""pt"")"),"Caro")</f>
        <v>Caro</v>
      </c>
      <c r="B18100" s="3">
        <v>0</v>
      </c>
    </row>
    <row r="18101" ht="15.75" customHeight="1" spans="1:2">
      <c r="A18101" s="3" t="str">
        <f>IFERROR(__xludf.DUMMYFUNCTION("GOOGLETRANSLATE(A18101,""en"",""pt"")"),"problemas elétricos intermitentes, má qualidade de imagem.")</f>
        <v>problemas elétricos intermitentes, má qualidade de imagem.</v>
      </c>
      <c r="B18101" s="3">
        <v>0</v>
      </c>
    </row>
    <row r="18102" ht="15.75" customHeight="1" spans="1:2">
      <c r="A18102" s="3" t="str">
        <f>IFERROR(__xludf.DUMMYFUNCTION("GOOGLETRANSLATE(A18102,""en"",""pt"")"),"Pré-visualização de imagens ao vivo; cobertura visor Superficial; podem utilizar mais sensores AF; imagens no formato RAW lento adquirir; falta em built-in valores mais elevados opção nitidez de")</f>
        <v>Pré-visualização de imagens ao vivo; cobertura visor Superficial; podem utilizar mais sensores AF; imagens no formato RAW lento adquirir; falta em built-in valores mais elevados opção nitidez de</v>
      </c>
      <c r="B18102" s="3">
        <v>0</v>
      </c>
    </row>
    <row r="18103" ht="15.75" customHeight="1" spans="1:2">
      <c r="A18103" s="3" t="str">
        <f>IFERROR(__xludf.DUMMYFUNCTION("GOOGLETRANSLATE(A18103,""en"",""pt"")"),"Realmente deve ter o punho vertical para grandes mãos, mas vale a pena os controles duplas vida útil da bateria e retrato pelo dobro do preço!")</f>
        <v>Realmente deve ter o punho vertical para grandes mãos, mas vale a pena os controles duplas vida útil da bateria e retrato pelo dobro do preço!</v>
      </c>
      <c r="B18103" s="3">
        <v>0</v>
      </c>
    </row>
    <row r="18104" ht="15.75" customHeight="1" spans="1:2">
      <c r="A18104" s="3" t="str">
        <f>IFERROR(__xludf.DUMMYFUNCTION("GOOGLETRANSLATE(A18104,""en"",""pt"")"),"Caro, visor Pobre Eye-Relief, No Medidor Luz, No ISO 50 configuração")</f>
        <v>Caro, visor Pobre Eye-Relief, No Medidor Luz, No ISO 50 configuração</v>
      </c>
      <c r="B18104" s="3">
        <v>0</v>
      </c>
    </row>
    <row r="18105" ht="15.75" customHeight="1" spans="1:2">
      <c r="A18105" s="3" t="str">
        <f>IFERROR(__xludf.DUMMYFUNCTION("GOOGLETRANSLATE(A18105,""en"",""pt"")"),"Caro")</f>
        <v>Caro</v>
      </c>
      <c r="B18105" s="3">
        <v>0</v>
      </c>
    </row>
    <row r="18106" ht="15.75" customHeight="1" spans="1:2">
      <c r="A18106" s="3" t="str">
        <f>IFERROR(__xludf.DUMMYFUNCTION("GOOGLETRANSLATE(A18106,""en"",""pt"")"),"Built-in flash tem capacidade limitada. &amp; Amp; # 13; &amp; amp; # 10; display LCD de 1,8 polegadas torna a visualização de imagens um pouco difícil.")</f>
        <v>Built-in flash tem capacidade limitada. &amp; Amp; # 13; &amp; amp; # 10; display LCD de 1,8 polegadas torna a visualização de imagens um pouco difícil.</v>
      </c>
      <c r="B18106" s="3">
        <v>0</v>
      </c>
    </row>
    <row r="18107" ht="15.75" customHeight="1" spans="1:2">
      <c r="A18107" s="3" t="str">
        <f>IFERROR(__xludf.DUMMYFUNCTION("GOOGLETRANSLATE(A18107,""en"",""pt"")"),"NONE bastante significativa para me impedir de comprá-lo novamente.")</f>
        <v>NONE bastante significativa para me impedir de comprá-lo novamente.</v>
      </c>
      <c r="B18107" s="3">
        <v>0</v>
      </c>
    </row>
    <row r="18108" ht="15.75" customHeight="1" spans="1:2">
      <c r="A18108" s="3" t="str">
        <f>IFERROR(__xludf.DUMMYFUNCTION("GOOGLETRANSLATE(A18108,""en"",""pt"")"),"Não sei de nenhum ainda!")</f>
        <v>Não sei de nenhum ainda!</v>
      </c>
      <c r="B18108" s="3">
        <v>0</v>
      </c>
    </row>
    <row r="18109" ht="15.75" customHeight="1" spans="1:2">
      <c r="A18109" s="3" t="str">
        <f>IFERROR(__xludf.DUMMYFUNCTION("GOOGLETRANSLATE(A18109,""en"",""pt"")"),"visor pequeno. Sem spotmeter. conexão USB lento.")</f>
        <v>visor pequeno. Sem spotmeter. conexão USB lento.</v>
      </c>
      <c r="B18109" s="3">
        <v>0</v>
      </c>
    </row>
    <row r="18110" ht="15.75" customHeight="1" spans="1:2">
      <c r="A18110" s="3" t="str">
        <f>IFERROR(__xludf.DUMMYFUNCTION("GOOGLETRANSLATE(A18110,""en"",""pt"")"),"Ela não se encaixa no meu bolso. Realmente, há contras que eu posso ver.")</f>
        <v>Ela não se encaixa no meu bolso. Realmente, há contras que eu posso ver.</v>
      </c>
      <c r="B18110" s="3">
        <v>0</v>
      </c>
    </row>
    <row r="18111" ht="15.75" customHeight="1" spans="1:2">
      <c r="A18111" s="3" t="str">
        <f>IFERROR(__xludf.DUMMYFUNCTION("GOOGLETRANSLATE(A18111,""en"",""pt"")"),"oh, a alça da câmera pode ficar torcida")</f>
        <v>oh, a alça da câmera pode ficar torcida</v>
      </c>
      <c r="B18111" s="3">
        <v>0</v>
      </c>
    </row>
    <row r="18112" ht="15.75" customHeight="1" spans="1:2">
      <c r="A18112" s="3" t="str">
        <f>IFERROR(__xludf.DUMMYFUNCTION("GOOGLETRANSLATE(A18112,""en"",""pt"")"),"Não é o mais leve câmera que eu próprio")</f>
        <v>Não é o mais leve câmera que eu próprio</v>
      </c>
      <c r="B18112" s="3">
        <v>0</v>
      </c>
    </row>
    <row r="18113" ht="15.75" customHeight="1" spans="1:2">
      <c r="A18113" s="3" t="str">
        <f>IFERROR(__xludf.DUMMYFUNCTION("GOOGLETRANSLATE(A18113,""en"",""pt"")"),"Irritando os usuários comuns")</f>
        <v>Irritando os usuários comuns</v>
      </c>
      <c r="B18113" s="3">
        <v>0</v>
      </c>
    </row>
    <row r="18114" ht="15.75" customHeight="1" spans="1:2">
      <c r="A18114" s="3" t="str">
        <f>IFERROR(__xludf.DUMMYFUNCTION("GOOGLETRANSLATE(A18114,""en"",""pt"")"),"áspero Foco")</f>
        <v>áspero Foco</v>
      </c>
      <c r="B18114" s="3">
        <v>0</v>
      </c>
    </row>
    <row r="18115" ht="15.75" customHeight="1" spans="1:2">
      <c r="A18115" s="3" t="str">
        <f>IFERROR(__xludf.DUMMYFUNCTION("GOOGLETRANSLATE(A18115,""en"",""pt"")"),"Pesado.")</f>
        <v>Pesado.</v>
      </c>
      <c r="B18115" s="3">
        <v>0</v>
      </c>
    </row>
    <row r="18116" ht="15.75" customHeight="1" spans="1:2">
      <c r="A18116" s="3" t="str">
        <f>IFERROR(__xludf.DUMMYFUNCTION("GOOGLETRANSLATE(A18116,""en"",""pt"")"),"Ainda muito caro para o que é basicamente um ""amador"" camera base.")</f>
        <v>Ainda muito caro para o que é basicamente um "amador" camera base.</v>
      </c>
      <c r="B18116" s="3">
        <v>0</v>
      </c>
    </row>
    <row r="18117" ht="15.75" customHeight="1" spans="1:2">
      <c r="A18117" s="3" t="str">
        <f>IFERROR(__xludf.DUMMYFUNCTION("GOOGLETRANSLATE(A18117,""en"",""pt"")"),"Peso, 1.6x Lens multiplicador, sem inclinação e LCD giratória")</f>
        <v>Peso, 1.6x Lens multiplicador, sem inclinação e LCD giratória</v>
      </c>
      <c r="B18117" s="3">
        <v>0</v>
      </c>
    </row>
    <row r="18118" ht="15.75" customHeight="1" spans="1:2">
      <c r="A18118" s="3" t="str">
        <f>IFERROR(__xludf.DUMMYFUNCTION("GOOGLETRANSLATE(A18118,""en"",""pt"")"),"Muito foco irritante luz auxiliar.")</f>
        <v>Muito foco irritante luz auxiliar.</v>
      </c>
      <c r="B18118" s="3">
        <v>0</v>
      </c>
    </row>
    <row r="18119" ht="15.75" customHeight="1" spans="1:2">
      <c r="A18119" s="3" t="str">
        <f>IFERROR(__xludf.DUMMYFUNCTION("GOOGLETRANSLATE(A18119,""en"",""pt"")"),"heavy - baterias se esgotam rapidamente (se você usa a lente)")</f>
        <v>heavy - baterias se esgotam rapidamente (se você usa a lente)</v>
      </c>
      <c r="B18119" s="3">
        <v>0</v>
      </c>
    </row>
    <row r="18120" ht="15.75" customHeight="1" spans="1:2">
      <c r="A18120" s="3" t="str">
        <f>IFERROR(__xludf.DUMMYFUNCTION("GOOGLETRANSLATE(A18120,""en"",""pt"")"),"Não quadro completo ainda, poeira, bastante pesado")</f>
        <v>Não quadro completo ainda, poeira, bastante pesado</v>
      </c>
      <c r="B18120" s="3">
        <v>0</v>
      </c>
    </row>
    <row r="18121" ht="15.75" customHeight="1" spans="1:2">
      <c r="A18121" s="3" t="str">
        <f>IFERROR(__xludf.DUMMYFUNCTION("GOOGLETRANSLATE(A18121,""en"",""pt"")"),"Poderia fornecer um pouco mais de nitidez às imagens, mas não é realmente tão ruim.")</f>
        <v>Poderia fornecer um pouco mais de nitidez às imagens, mas não é realmente tão ruim.</v>
      </c>
      <c r="B18121" s="3">
        <v>0</v>
      </c>
    </row>
    <row r="18122" ht="15.75" customHeight="1" spans="1:2">
      <c r="A18122" s="3" t="str">
        <f>IFERROR(__xludf.DUMMYFUNCTION("GOOGLETRANSLATE(A18122,""en"",""pt"")"),"Quase nenhum")</f>
        <v>Quase nenhum</v>
      </c>
      <c r="B18122" s="3">
        <v>0</v>
      </c>
    </row>
    <row r="18123" ht="15.75" customHeight="1" spans="1:2">
      <c r="A18123" s="3" t="str">
        <f>IFERROR(__xludf.DUMMYFUNCTION("GOOGLETRANSLATE(A18123,""en"",""pt"")"),"Você vai cobiçar para uma lente custando mais do que o corpo.")</f>
        <v>Você vai cobiçar para uma lente custando mais do que o corpo.</v>
      </c>
      <c r="B18123" s="3">
        <v>0</v>
      </c>
    </row>
    <row r="18124" ht="15.75" customHeight="1" spans="1:2">
      <c r="A18124" s="3" t="str">
        <f>IFERROR(__xludf.DUMMYFUNCTION("GOOGLETRANSLATE(A18124,""en"",""pt"")"),"1,6X focal multiplicação comprimento")</f>
        <v>1,6X focal multiplicação comprimento</v>
      </c>
      <c r="B18124" s="3">
        <v>0</v>
      </c>
    </row>
    <row r="18125" ht="15.75" customHeight="1" spans="1:2">
      <c r="A18125" s="3" t="str">
        <f>IFERROR(__xludf.DUMMYFUNCTION("GOOGLETRANSLATE(A18125,""en"",""pt"")"),"formato RAW não é suportado em modos automáticos. Sem spotmeter.")</f>
        <v>formato RAW não é suportado em modos automáticos. Sem spotmeter.</v>
      </c>
      <c r="B18125" s="3">
        <v>0</v>
      </c>
    </row>
    <row r="18126" ht="15.75" customHeight="1" spans="1:2">
      <c r="A18126" s="3" t="str">
        <f>IFERROR(__xludf.DUMMYFUNCTION("GOOGLETRANSLATE(A18126,""en"",""pt"")"),"tamanho grande em comparação com câmeras de bolso compacto, caro, mas ainda um valor em sua classe.")</f>
        <v>tamanho grande em comparação com câmeras de bolso compacto, caro, mas ainda um valor em sua classe.</v>
      </c>
      <c r="B18126" s="3">
        <v>0</v>
      </c>
    </row>
    <row r="18127" ht="15.75" customHeight="1" spans="1:2">
      <c r="A18127" s="3" t="str">
        <f>IFERROR(__xludf.DUMMYFUNCTION("GOOGLETRANSLATE(A18127,""en"",""pt"")"),"bandeja de papel fino")</f>
        <v>bandeja de papel fino</v>
      </c>
      <c r="B18127" s="3">
        <v>0</v>
      </c>
    </row>
    <row r="18128" ht="15.75" customHeight="1" spans="1:2">
      <c r="A18128" s="3" t="str">
        <f>IFERROR(__xludf.DUMMYFUNCTION("GOOGLETRANSLATE(A18128,""en"",""pt"")"),"Um pouco demasiado alto")</f>
        <v>Um pouco demasiado alto</v>
      </c>
      <c r="B18128" s="3">
        <v>0</v>
      </c>
    </row>
    <row r="18129" ht="15.75" customHeight="1" spans="1:2">
      <c r="A18129" s="3" t="str">
        <f>IFERROR(__xludf.DUMMYFUNCTION("GOOGLETRANSLATE(A18129,""en"",""pt"")"),"impressão de fotos")</f>
        <v>impressão de fotos</v>
      </c>
      <c r="B18129" s="3">
        <v>0</v>
      </c>
    </row>
    <row r="18130" ht="15.75" customHeight="1" spans="1:2">
      <c r="A18130" s="3" t="str">
        <f>IFERROR(__xludf.DUMMYFUNCTION("GOOGLETRANSLATE(A18130,""en"",""pt"")"),"cabo USB não incluso, mecanismo alto, motoristas web pobres.")</f>
        <v>cabo USB não incluso, mecanismo alto, motoristas web pobres.</v>
      </c>
      <c r="B18130" s="3">
        <v>0</v>
      </c>
    </row>
    <row r="18131" ht="15.75" customHeight="1" spans="1:2">
      <c r="A18131" s="3" t="str">
        <f>IFERROR(__xludf.DUMMYFUNCTION("GOOGLETRANSLATE(A18131,""en"",""pt"")"),"Ruidosamente, pequenos reservatórios de tinta, tudo-em-um cartucho de cor ..")</f>
        <v>Ruidosamente, pequenos reservatórios de tinta, tudo-em-um cartucho de cor ..</v>
      </c>
      <c r="B18131" s="3">
        <v>0</v>
      </c>
    </row>
    <row r="18132" ht="15.75" customHeight="1" spans="1:2">
      <c r="A18132" s="3" t="str">
        <f>IFERROR(__xludf.DUMMYFUNCTION("GOOGLETRANSLATE(A18132,""en"",""pt"")"),"Não é o melhor impressora fotográfica, design frágil")</f>
        <v>Não é o melhor impressora fotográfica, design frágil</v>
      </c>
      <c r="B18132" s="3">
        <v>0</v>
      </c>
    </row>
    <row r="18133" ht="15.75" customHeight="1" spans="1:2">
      <c r="A18133" s="3" t="str">
        <f>IFERROR(__xludf.DUMMYFUNCTION("GOOGLETRANSLATE(A18133,""en"",""pt"")"),"Noisy, mas não insuportavelmente assim")</f>
        <v>Noisy, mas não insuportavelmente assim</v>
      </c>
      <c r="B18133" s="3">
        <v>0</v>
      </c>
    </row>
    <row r="18134" ht="15.75" customHeight="1" spans="1:2">
      <c r="A18134" s="3" t="str">
        <f>IFERROR(__xludf.DUMMYFUNCTION("GOOGLETRANSLATE(A18134,""en"",""pt"")"),"Eats rápida de tinta (mas unk é de apenas US $ 2 cada), kinda adornos.")</f>
        <v>Eats rápida de tinta (mas unk é de apenas US $ 2 cada), kinda adornos.</v>
      </c>
      <c r="B18134" s="3">
        <v>0</v>
      </c>
    </row>
    <row r="18135" ht="15.75" customHeight="1" spans="1:2">
      <c r="A18135" s="3" t="str">
        <f>IFERROR(__xludf.DUMMYFUNCTION("GOOGLETRANSLATE(A18135,""en"",""pt"")"),"Demora um pouco para se aquecer, faz muito barulho")</f>
        <v>Demora um pouco para se aquecer, faz muito barulho</v>
      </c>
      <c r="B18135" s="3">
        <v>0</v>
      </c>
    </row>
    <row r="18136" ht="15.75" customHeight="1" spans="1:2">
      <c r="A18136" s="3" t="str">
        <f>IFERROR(__xludf.DUMMYFUNCTION("GOOGLETRANSLATE(A18136,""en"",""pt"")"),"Nenhum encontrado: sem falhas, agrupamento ou erros de impressão, e o software é intuitivo e sem erros.")</f>
        <v>Nenhum encontrado: sem falhas, agrupamento ou erros de impressão, e o software é intuitivo e sem erros.</v>
      </c>
      <c r="B18136" s="3">
        <v>0</v>
      </c>
    </row>
    <row r="18137" ht="15.75" customHeight="1" spans="1:2">
      <c r="A18137" s="3" t="str">
        <f>IFERROR(__xludf.DUMMYFUNCTION("GOOGLETRANSLATE(A18137,""en"",""pt"")"),"Lento impressão de fotos")</f>
        <v>Lento impressão de fotos</v>
      </c>
      <c r="B18137" s="3">
        <v>0</v>
      </c>
    </row>
    <row r="18138" ht="15.75" customHeight="1" spans="1:2">
      <c r="A18138" s="3" t="str">
        <f>IFERROR(__xludf.DUMMYFUNCTION("GOOGLETRANSLATE(A18138,""en"",""pt"")"),"não comprá-lo mais cedo")</f>
        <v>não comprá-lo mais cedo</v>
      </c>
      <c r="B18138" s="3">
        <v>0</v>
      </c>
    </row>
    <row r="18139" ht="15.75" customHeight="1" spans="1:2">
      <c r="A18139" s="3" t="str">
        <f>IFERROR(__xludf.DUMMYFUNCTION("GOOGLETRANSLATE(A18139,""en"",""pt"")"),"Não USB ou cabo paralelo fornecido.")</f>
        <v>Não USB ou cabo paralelo fornecido.</v>
      </c>
      <c r="B18139" s="3">
        <v>0</v>
      </c>
    </row>
    <row r="18140" ht="15.75" customHeight="1" spans="1:2">
      <c r="A18140" s="3" t="str">
        <f>IFERROR(__xludf.DUMMYFUNCTION("GOOGLETRANSLATE(A18140,""en"",""pt"")"),"~ ~ Nenhum")</f>
        <v>~ ~ Nenhum</v>
      </c>
      <c r="B18140" s="3">
        <v>0</v>
      </c>
    </row>
    <row r="18141" ht="15.75" customHeight="1" spans="1:2">
      <c r="A18141" s="3" t="str">
        <f>IFERROR(__xludf.DUMMYFUNCTION("GOOGLETRANSLATE(A18141,""en"",""pt"")"),"tempo de inicialização longo antes da impressão da primeira página")</f>
        <v>tempo de inicialização longo antes da impressão da primeira página</v>
      </c>
      <c r="B18141" s="3">
        <v>0</v>
      </c>
    </row>
    <row r="18142" ht="15.75" customHeight="1" spans="1:2">
      <c r="A18142" s="3" t="str">
        <f>IFERROR(__xludf.DUMMYFUNCTION("GOOGLETRANSLATE(A18142,""en"",""pt"")"),"Poderia ser mais rápido nos modos de alta qualidade. Bangs em torno de um pouco em alta velocidade.")</f>
        <v>Poderia ser mais rápido nos modos de alta qualidade. Bangs em torno de um pouco em alta velocidade.</v>
      </c>
      <c r="B18142" s="3">
        <v>0</v>
      </c>
    </row>
    <row r="18143" ht="15.75" customHeight="1" spans="1:2">
      <c r="A18143" s="3" t="str">
        <f>IFERROR(__xludf.DUMMYFUNCTION("GOOGLETRANSLATE(A18143,""en"",""pt"")"),"Inicializar da página de impressão primeiro realmente lento.")</f>
        <v>Inicializar da página de impressão primeiro realmente lento.</v>
      </c>
      <c r="B18143" s="3">
        <v>0</v>
      </c>
    </row>
    <row r="18144" ht="15.75" customHeight="1" spans="1:2">
      <c r="A18144" s="3" t="str">
        <f>IFERROR(__xludf.DUMMYFUNCTION("GOOGLETRANSLATE(A18144,""en"",""pt"")"),"qualidade de tinta preta.")</f>
        <v>qualidade de tinta preta.</v>
      </c>
      <c r="B18144" s="3">
        <v>0</v>
      </c>
    </row>
    <row r="18145" ht="15.75" customHeight="1" spans="1:2">
      <c r="A18145" s="3" t="str">
        <f>IFERROR(__xludf.DUMMYFUNCTION("GOOGLETRANSLATE(A18145,""en"",""pt"")"),"sem cabo USB ou paralelo incluído, pegada bastante grande")</f>
        <v>sem cabo USB ou paralelo incluído, pegada bastante grande</v>
      </c>
      <c r="B18145" s="3">
        <v>0</v>
      </c>
    </row>
    <row r="18146" ht="15.75" customHeight="1" spans="1:2">
      <c r="A18146" s="3" t="str">
        <f>IFERROR(__xludf.DUMMYFUNCTION("GOOGLETRANSLATE(A18146,""en"",""pt"")"),"Não é o menor pegada desktop. Capaz de bloqueio (embora apenas quando empurrar a sua sorte).,")</f>
        <v>Não é o menor pegada desktop. Capaz de bloqueio (embora apenas quando empurrar a sua sorte).,</v>
      </c>
      <c r="B18146" s="3">
        <v>0</v>
      </c>
    </row>
    <row r="18147" ht="15.75" customHeight="1" spans="1:2">
      <c r="A18147" s="3" t="str">
        <f>IFERROR(__xludf.DUMMYFUNCTION("GOOGLETRANSLATE(A18147,""en"",""pt"")"),"Compre o seu próprio cabo")</f>
        <v>Compre o seu próprio cabo</v>
      </c>
      <c r="B18147" s="3">
        <v>0</v>
      </c>
    </row>
    <row r="18148" ht="15.75" customHeight="1" spans="1:2">
      <c r="A18148" s="3" t="str">
        <f>IFERROR(__xludf.DUMMYFUNCTION("GOOGLETRANSLATE(A18148,""en"",""pt"")"),"Mais lento do que o S750 ao imprimir texto. saída de texto não é tão nítida.")</f>
        <v>Mais lento do que o S750 ao imprimir texto. saída de texto não é tão nítida.</v>
      </c>
      <c r="B18148" s="3">
        <v>0</v>
      </c>
    </row>
    <row r="18149" ht="15.75" customHeight="1" spans="1:2">
      <c r="A18149" s="3" t="str">
        <f>IFERROR(__xludf.DUMMYFUNCTION("GOOGLETRANSLATE(A18149,""en"",""pt"")"),"alimentação Noisy foto! Software limitado para Mac OS9 e OSX!")</f>
        <v>alimentação Noisy foto! Software limitado para Mac OS9 e OSX!</v>
      </c>
      <c r="B18149" s="3">
        <v>0</v>
      </c>
    </row>
    <row r="18150" ht="15.75" customHeight="1" spans="1:2">
      <c r="A18150" s="3" t="str">
        <f>IFERROR(__xludf.DUMMYFUNCTION("GOOGLETRANSLATE(A18150,""en"",""pt"")"),"Escuras fotos não imprimir bem.")</f>
        <v>Escuras fotos não imprimir bem.</v>
      </c>
      <c r="B18150" s="3">
        <v>0</v>
      </c>
    </row>
    <row r="18151" ht="15.75" customHeight="1" spans="1:2">
      <c r="A18151" s="3" t="str">
        <f>IFERROR(__xludf.DUMMYFUNCTION("GOOGLETRANSLATE(A18151,""en"",""pt"")"),"Nenhum cabo USB / paralelo")</f>
        <v>Nenhum cabo USB / paralelo</v>
      </c>
      <c r="B18151" s="3">
        <v>0</v>
      </c>
    </row>
    <row r="18152" ht="15.75" customHeight="1" spans="1:2">
      <c r="A18152" s="3" t="str">
        <f>IFERROR(__xludf.DUMMYFUNCTION("GOOGLETRANSLATE(A18152,""en"",""pt"")"),"Tão poucos para mencionar ... :-). Nenhum.")</f>
        <v>Tão poucos para mencionar ... :-). Nenhum.</v>
      </c>
      <c r="B18152" s="3">
        <v>0</v>
      </c>
    </row>
    <row r="18153" ht="15.75" customHeight="1" spans="1:2">
      <c r="A18153" s="3" t="str">
        <f>IFERROR(__xludf.DUMMYFUNCTION("GOOGLETRANSLATE(A18153,""en"",""pt"")"),"Texto imprimir apenas assim, assim. Software poderia usar alguns ajustes.")</f>
        <v>Texto imprimir apenas assim, assim. Software poderia usar alguns ajustes.</v>
      </c>
      <c r="B18153" s="3">
        <v>0</v>
      </c>
    </row>
    <row r="18154" ht="15.75" customHeight="1" spans="1:2">
      <c r="A18154" s="3" t="str">
        <f>IFERROR(__xludf.DUMMYFUNCTION("GOOGLETRANSLATE(A18154,""en"",""pt"")"),"Não encontrei qualquer")</f>
        <v>Não encontrei qualquer</v>
      </c>
      <c r="B18154" s="3">
        <v>0</v>
      </c>
    </row>
    <row r="18155" ht="15.75" customHeight="1" spans="1:2">
      <c r="A18155" s="3" t="str">
        <f>IFERROR(__xludf.DUMMYFUNCTION("GOOGLETRANSLATE(A18155,""en"",""pt"")"),"há contras ?!")</f>
        <v>há contras ?!</v>
      </c>
      <c r="B18155" s="3">
        <v>0</v>
      </c>
    </row>
    <row r="18156" ht="15.75" customHeight="1" spans="1:2">
      <c r="A18156" s="3" t="str">
        <f>IFERROR(__xludf.DUMMYFUNCTION("GOOGLETRANSLATE(A18156,""en"",""pt"")"),"Você tem que jogar fora o seu equipamento de processamento de foto antiga.")</f>
        <v>Você tem que jogar fora o seu equipamento de processamento de foto antiga.</v>
      </c>
      <c r="B18156" s="3">
        <v>0</v>
      </c>
    </row>
    <row r="18157" ht="15.75" customHeight="1" spans="1:2">
      <c r="A18157" s="3" t="str">
        <f>IFERROR(__xludf.DUMMYFUNCTION("GOOGLETRANSLATE(A18157,""en"",""pt"")"),"gráficos extremamente lentos impressão; Longo inicialização demora;")</f>
        <v>gráficos extremamente lentos impressão; Longo inicialização demora;</v>
      </c>
      <c r="B18157" s="3">
        <v>0</v>
      </c>
    </row>
    <row r="18158" ht="15.75" customHeight="1" spans="1:2">
      <c r="A18158" s="3" t="str">
        <f>IFERROR(__xludf.DUMMYFUNCTION("GOOGLETRANSLATE(A18158,""en"",""pt"")"),"só tinha o meu por 4 dias, mas há contras (que é excelente)")</f>
        <v>só tinha o meu por 4 dias, mas há contras (que é excelente)</v>
      </c>
      <c r="B18158" s="3">
        <v>0</v>
      </c>
    </row>
    <row r="18159" ht="15.75" customHeight="1" spans="1:2">
      <c r="A18159" s="3" t="str">
        <f>IFERROR(__xludf.DUMMYFUNCTION("GOOGLETRANSLATE(A18159,""en"",""pt"")"),"Tinta preta muito molhada na foto do, um pouco mais lento do que eu pensava")</f>
        <v>Tinta preta muito molhada na foto do, um pouco mais lento do que eu pensava</v>
      </c>
      <c r="B18159" s="3">
        <v>0</v>
      </c>
    </row>
    <row r="18160" ht="15.75" customHeight="1" spans="1:2">
      <c r="A18160" s="3" t="str">
        <f>IFERROR(__xludf.DUMMYFUNCTION("GOOGLETRANSLATE(A18160,""en"",""pt"")"),"Texto de qualidade foi borradas Fotos nem perto da qualidade do HP5550")</f>
        <v>Texto de qualidade foi borradas Fotos nem perto da qualidade do HP5550</v>
      </c>
      <c r="B18160" s="3">
        <v>0</v>
      </c>
    </row>
    <row r="18161" ht="15.75" customHeight="1" spans="1:2">
      <c r="A18161" s="3" t="str">
        <f>IFERROR(__xludf.DUMMYFUNCTION("GOOGLETRANSLATE(A18161,""en"",""pt"")"),"Não há slots de cartão de memória.")</f>
        <v>Não há slots de cartão de memória.</v>
      </c>
      <c r="B18161" s="3">
        <v>0</v>
      </c>
    </row>
    <row r="18162" ht="15.75" customHeight="1" spans="1:2">
      <c r="A18162" s="3" t="str">
        <f>IFERROR(__xludf.DUMMYFUNCTION("GOOGLETRANSLATE(A18162,""en"",""pt"")"),"Nenhum que importa de verdade, considerando o valor global.")</f>
        <v>Nenhum que importa de verdade, considerando o valor global.</v>
      </c>
      <c r="B18162" s="3">
        <v>0</v>
      </c>
    </row>
    <row r="18163" ht="15.75" customHeight="1" spans="1:2">
      <c r="A18163" s="3" t="str">
        <f>IFERROR(__xludf.DUMMYFUNCTION("GOOGLETRANSLATE(A18163,""en"",""pt"")"),"consumir tinta como grande SUV com gás")</f>
        <v>consumir tinta como grande SUV com gás</v>
      </c>
      <c r="B18163" s="3">
        <v>0</v>
      </c>
    </row>
    <row r="18164" ht="15.75" customHeight="1" spans="1:2">
      <c r="A18164" s="3" t="str">
        <f>IFERROR(__xludf.DUMMYFUNCTION("GOOGLETRANSLATE(A18164,""en"",""pt"")"),"Nenhum observou.")</f>
        <v>Nenhum observou.</v>
      </c>
      <c r="B18164" s="3">
        <v>0</v>
      </c>
    </row>
    <row r="18165" ht="15.75" customHeight="1" spans="1:2">
      <c r="A18165" s="3" t="str">
        <f>IFERROR(__xludf.DUMMYFUNCTION("GOOGLETRANSLATE(A18165,""en"",""pt"")"),"Eu apoio ao cliente necessária")</f>
        <v>Eu apoio ao cliente necessária</v>
      </c>
      <c r="B18165" s="3">
        <v>0</v>
      </c>
    </row>
    <row r="18166" ht="15.75" customHeight="1" spans="1:2">
      <c r="A18166" s="3" t="str">
        <f>IFERROR(__xludf.DUMMYFUNCTION("GOOGLETRANSLATE(A18166,""en"",""pt"")"),"Inkjet - Lavagem")</f>
        <v>Inkjet - Lavagem</v>
      </c>
      <c r="B18166" s="3">
        <v>0</v>
      </c>
    </row>
    <row r="18167" ht="15.75" customHeight="1" spans="1:2">
      <c r="A18167" s="3" t="str">
        <f>IFERROR(__xludf.DUMMYFUNCTION("GOOGLETRANSLATE(A18167,""en"",""pt"")"),"Texto sangra, cores não são impressos corretamente no Office 2000")</f>
        <v>Texto sangra, cores não são impressos corretamente no Office 2000</v>
      </c>
      <c r="B18167" s="3">
        <v>0</v>
      </c>
    </row>
    <row r="18168" ht="15.75" customHeight="1" spans="1:2">
      <c r="A18168" s="3" t="str">
        <f>IFERROR(__xludf.DUMMYFUNCTION("GOOGLETRANSLATE(A18168,""en"",""pt"")"),"Nenhum cabo USB, Easy-PhotoPrint Software falta de opções")</f>
        <v>Nenhum cabo USB, Easy-PhotoPrint Software falta de opções</v>
      </c>
      <c r="B18168" s="3">
        <v>0</v>
      </c>
    </row>
    <row r="18169" ht="15.75" customHeight="1" spans="1:2">
      <c r="A18169" s="3" t="str">
        <f>IFERROR(__xludf.DUMMYFUNCTION("GOOGLETRANSLATE(A18169,""en"",""pt"")"),"Não facilmente trabalhar com Macs!")</f>
        <v>Não facilmente trabalhar com Macs!</v>
      </c>
      <c r="B18169" s="3">
        <v>0</v>
      </c>
    </row>
    <row r="18170" ht="15.75" customHeight="1" spans="1:2">
      <c r="A18170" s="3" t="str">
        <f>IFERROR(__xludf.DUMMYFUNCTION("GOOGLETRANSLATE(A18170,""en"",""pt"")"),"Por este preço é mais do que você pode pedir. Não há queixas.")</f>
        <v>Por este preço é mais do que você pode pedir. Não há queixas.</v>
      </c>
      <c r="B18170" s="3">
        <v>0</v>
      </c>
    </row>
    <row r="18171" ht="15.75" customHeight="1" spans="1:2">
      <c r="A18171" s="3" t="str">
        <f>IFERROR(__xludf.DUMMYFUNCTION("GOOGLETRANSLATE(A18171,""en"",""pt"")"),"Condutor não tem margem de ajuste.")</f>
        <v>Condutor não tem margem de ajuste.</v>
      </c>
      <c r="B18171" s="3">
        <v>0</v>
      </c>
    </row>
    <row r="18172" ht="15.75" customHeight="1" spans="1:2">
      <c r="A18172" s="3" t="str">
        <f>IFERROR(__xludf.DUMMYFUNCTION("GOOGLETRANSLATE(A18172,""en"",""pt"")"),"Nenhum!")</f>
        <v>Nenhum!</v>
      </c>
      <c r="B18172" s="3">
        <v>0</v>
      </c>
    </row>
    <row r="18173" ht="15.75" customHeight="1" spans="1:2">
      <c r="A18173" s="3" t="str">
        <f>IFERROR(__xludf.DUMMYFUNCTION("GOOGLETRANSLATE(A18173,""en"",""pt"")"),"Como qualquer coisa eletrônico melhor vai sair, mas até então ...")</f>
        <v>Como qualquer coisa eletrônico melhor vai sair, mas até então ...</v>
      </c>
      <c r="B18173" s="3">
        <v>0</v>
      </c>
    </row>
    <row r="18174" ht="15.75" customHeight="1" spans="1:2">
      <c r="A18174" s="3" t="str">
        <f>IFERROR(__xludf.DUMMYFUNCTION("GOOGLETRANSLATE(A18174,""en"",""pt"")"),"botões frágeis, um pouco lento na inicialização (muito menor)")</f>
        <v>botões frágeis, um pouco lento na inicialização (muito menor)</v>
      </c>
      <c r="B18174" s="3">
        <v>0</v>
      </c>
    </row>
    <row r="18175" ht="15.75" customHeight="1" spans="1:2">
      <c r="A18175" s="3" t="str">
        <f>IFERROR(__xludf.DUMMYFUNCTION("GOOGLETRANSLATE(A18175,""en"",""pt"")"),"Nenhum mesmo")</f>
        <v>Nenhum mesmo</v>
      </c>
      <c r="B18175" s="3">
        <v>0</v>
      </c>
    </row>
    <row r="18176" ht="15.75" customHeight="1" spans="1:2">
      <c r="A18176" s="3" t="str">
        <f>IFERROR(__xludf.DUMMYFUNCTION("GOOGLETRANSLATE(A18176,""en"",""pt"")"),"Bandagem na parte inferior do 81 / 2X11 fotos, B &amp; amp; W fotos tem um tom esverdeado")</f>
        <v>Bandagem na parte inferior do 81 / 2X11 fotos, B &amp; amp; W fotos tem um tom esverdeado</v>
      </c>
      <c r="B18176" s="3">
        <v>0</v>
      </c>
    </row>
    <row r="18177" ht="15.75" customHeight="1" spans="1:2">
      <c r="A18177" s="3" t="str">
        <f>IFERROR(__xludf.DUMMYFUNCTION("GOOGLETRANSLATE(A18177,""en"",""pt"")"),"texto preto poderia ser melhor, a tinta acabar tipo de jejum")</f>
        <v>texto preto poderia ser melhor, a tinta acabar tipo de jejum</v>
      </c>
      <c r="B18177" s="3">
        <v>0</v>
      </c>
    </row>
    <row r="18178" ht="15.75" customHeight="1" spans="1:2">
      <c r="A18178" s="3" t="str">
        <f>IFERROR(__xludf.DUMMYFUNCTION("GOOGLETRANSLATE(A18178,""en"",""pt"")"),"Software pode ser mais intuitivo, manual mais detalhado cópia impressa")</f>
        <v>Software pode ser mais intuitivo, manual mais detalhado cópia impressa</v>
      </c>
      <c r="B18178" s="3">
        <v>0</v>
      </c>
    </row>
    <row r="18179" ht="15.75" customHeight="1" spans="1:2">
      <c r="A18179" s="3" t="str">
        <f>IFERROR(__xludf.DUMMYFUNCTION("GOOGLETRANSLATE(A18179,""en"",""pt"")"),"Custo? (Na verdade não)")</f>
        <v>Custo? (Na verdade não)</v>
      </c>
      <c r="B18179" s="3">
        <v>0</v>
      </c>
    </row>
    <row r="18180" ht="15.75" customHeight="1" spans="1:2">
      <c r="A18180" s="3" t="str">
        <f>IFERROR(__xludf.DUMMYFUNCTION("GOOGLETRANSLATE(A18180,""en"",""pt"")"),"Manual realmente esparsa")</f>
        <v>Manual realmente esparsa</v>
      </c>
      <c r="B18180" s="3">
        <v>0</v>
      </c>
    </row>
    <row r="18181" ht="15.75" customHeight="1" spans="1:2">
      <c r="A18181" s="3" t="str">
        <f>IFERROR(__xludf.DUMMYFUNCTION("GOOGLETRANSLATE(A18181,""en"",""pt"")"),"Nenhuma conexão direta da câmera, o alinhamento manual")</f>
        <v>Nenhuma conexão direta da câmera, o alinhamento manual</v>
      </c>
      <c r="B18181" s="3">
        <v>0</v>
      </c>
    </row>
    <row r="18182" ht="15.75" customHeight="1" spans="1:2">
      <c r="A18182" s="3" t="str">
        <f>IFERROR(__xludf.DUMMYFUNCTION("GOOGLETRANSLATE(A18182,""en"",""pt"")"),"Sem o software e papel direito resultados são melhor média.")</f>
        <v>Sem o software e papel direito resultados são melhor média.</v>
      </c>
      <c r="B18182" s="3">
        <v>0</v>
      </c>
    </row>
    <row r="18183" ht="15.75" customHeight="1" spans="1:2">
      <c r="A18183" s="3" t="str">
        <f>IFERROR(__xludf.DUMMYFUNCTION("GOOGLETRANSLATE(A18183,""en"",""pt"")"),"Nenhum")</f>
        <v>Nenhum</v>
      </c>
      <c r="B18183" s="3">
        <v>0</v>
      </c>
    </row>
    <row r="18184" ht="15.75" customHeight="1" spans="1:2">
      <c r="A18184" s="3" t="str">
        <f>IFERROR(__xludf.DUMMYFUNCTION("GOOGLETRANSLATE(A18184,""en"",""pt"")"),"O custo de reposição para todos os cartuchos de tinta de seis!")</f>
        <v>O custo de reposição para todos os cartuchos de tinta de seis!</v>
      </c>
      <c r="B18184" s="3">
        <v>0</v>
      </c>
    </row>
    <row r="18185" ht="15.75" customHeight="1" spans="1:2">
      <c r="A18185" s="3" t="str">
        <f>IFERROR(__xludf.DUMMYFUNCTION("GOOGLETRANSLATE(A18185,""en"",""pt"")"),"Eles deveriam ter incluído um cabo USB")</f>
        <v>Eles deveriam ter incluído um cabo USB</v>
      </c>
      <c r="B18185" s="3">
        <v>0</v>
      </c>
    </row>
    <row r="18186" ht="15.75" customHeight="1" spans="1:2">
      <c r="A18186" s="3" t="str">
        <f>IFERROR(__xludf.DUMMYFUNCTION("GOOGLETRANSLATE(A18186,""en"",""pt"")"),"Nenhum cabo USB incluído, o software é um pouco fraco")</f>
        <v>Nenhum cabo USB incluído, o software é um pouco fraco</v>
      </c>
      <c r="B18186" s="3">
        <v>0</v>
      </c>
    </row>
    <row r="18187" ht="15.75" customHeight="1" spans="1:2">
      <c r="A18187" s="3" t="str">
        <f>IFERROR(__xludf.DUMMYFUNCTION("GOOGLETRANSLATE(A18187,""en"",""pt"")"),"nenhum ainda")</f>
        <v>nenhum ainda</v>
      </c>
      <c r="B18187" s="3">
        <v>0</v>
      </c>
    </row>
    <row r="18188" ht="15.75" customHeight="1" spans="1:2">
      <c r="A18188" s="3" t="str">
        <f>IFERROR(__xludf.DUMMYFUNCTION("GOOGLETRANSLATE(A18188,""en"",""pt"")"),"Bastante grande, cânone papel é caro")</f>
        <v>Bastante grande, cânone papel é caro</v>
      </c>
      <c r="B18188" s="3">
        <v>0</v>
      </c>
    </row>
    <row r="18189" ht="15.75" customHeight="1" spans="1:2">
      <c r="A18189" s="3" t="str">
        <f>IFERROR(__xludf.DUMMYFUNCTION("GOOGLETRANSLATE(A18189,""en"",""pt"")"),"nenhum cabo USB incluído, precisa cânone papéis para obter melhores resultados")</f>
        <v>nenhum cabo USB incluído, precisa cânone papéis para obter melhores resultados</v>
      </c>
      <c r="B18189" s="3">
        <v>0</v>
      </c>
    </row>
    <row r="18190" ht="15.75" customHeight="1" spans="1:2">
      <c r="A18190" s="3" t="str">
        <f>IFERROR(__xludf.DUMMYFUNCTION("GOOGLETRANSLATE(A18190,""en"",""pt"")"),"Cor, NO Direct Connect")</f>
        <v>Cor, NO Direct Connect</v>
      </c>
      <c r="B18190" s="3">
        <v>0</v>
      </c>
    </row>
    <row r="18191" ht="15.75" customHeight="1" spans="1:2">
      <c r="A18191" s="3" t="str">
        <f>IFERROR(__xludf.DUMMYFUNCTION("GOOGLETRANSLATE(A18191,""en"",""pt"")"),"Impressão lenta em baixa resolução ou saída de texto, que eu não preocupam.")</f>
        <v>Impressão lenta em baixa resolução ou saída de texto, que eu não preocupam.</v>
      </c>
      <c r="B18191" s="3">
        <v>0</v>
      </c>
    </row>
    <row r="18192" ht="15.75" customHeight="1" spans="1:2">
      <c r="A18192" s="3" t="str">
        <f>IFERROR(__xludf.DUMMYFUNCTION("GOOGLETRANSLATE(A18192,""en"",""pt"")"),"Software para impressões poderia ser um pouco mais fácil de usar.")</f>
        <v>Software para impressões poderia ser um pouco mais fácil de usar.</v>
      </c>
      <c r="B18192" s="3">
        <v>0</v>
      </c>
    </row>
    <row r="18193" ht="15.75" customHeight="1" spans="1:2">
      <c r="A18193" s="3" t="str">
        <f>IFERROR(__xludf.DUMMYFUNCTION("GOOGLETRANSLATE(A18193,""en"",""pt"")"),"Se você precisa de uma impressora de imagem / foto não é isso que você está procurando.")</f>
        <v>Se você precisa de uma impressora de imagem / foto não é isso que você está procurando.</v>
      </c>
      <c r="B18193" s="3">
        <v>0</v>
      </c>
    </row>
    <row r="18194" ht="15.75" customHeight="1" spans="1:2">
      <c r="A18194" s="3" t="str">
        <f>IFERROR(__xludf.DUMMYFUNCTION("GOOGLETRANSLATE(A18194,""en"",""pt"")"),"É um batente de porta caros")</f>
        <v>É um batente de porta caros</v>
      </c>
      <c r="B18194" s="3">
        <v>0</v>
      </c>
    </row>
    <row r="18195" ht="15.75" customHeight="1" spans="1:2">
      <c r="A18195" s="3" t="str">
        <f>IFERROR(__xludf.DUMMYFUNCTION("GOOGLETRANSLATE(A18195,""en"",""pt"")"),"Não compre para ele é capacidades de digitalização ...")</f>
        <v>Não compre para ele é capacidades de digitalização ...</v>
      </c>
      <c r="B18195" s="3">
        <v>0</v>
      </c>
    </row>
    <row r="18196" ht="15.75" customHeight="1" spans="1:2">
      <c r="A18196" s="3" t="str">
        <f>IFERROR(__xludf.DUMMYFUNCTION("GOOGLETRANSLATE(A18196,""en"",""pt"")"),"volumoso, scans preto e branco somente, scanner não mesa.")</f>
        <v>volumoso, scans preto e branco somente, scanner não mesa.</v>
      </c>
      <c r="B18196" s="3">
        <v>0</v>
      </c>
    </row>
    <row r="18197" ht="15.75" customHeight="1" spans="1:2">
      <c r="A18197" s="3" t="str">
        <f>IFERROR(__xludf.DUMMYFUNCTION("GOOGLETRANSLATE(A18197,""en"",""pt"")"),"muitas vezes mau funcionamento, usa tinta muito rápido, péssimo atendimento ao cliente")</f>
        <v>muitas vezes mau funcionamento, usa tinta muito rápido, péssimo atendimento ao cliente</v>
      </c>
      <c r="B18197" s="3">
        <v>0</v>
      </c>
    </row>
    <row r="18198" ht="15.75" customHeight="1" spans="1:2">
      <c r="A18198" s="3" t="str">
        <f>IFERROR(__xludf.DUMMYFUNCTION("GOOGLETRANSLATE(A18198,""en"",""pt"")"),"Bastante lento, o software servidor multipass é horrível!")</f>
        <v>Bastante lento, o software servidor multipass é horrível!</v>
      </c>
      <c r="B18198" s="3">
        <v>0</v>
      </c>
    </row>
    <row r="18199" ht="15.75" customHeight="1" spans="1:2">
      <c r="A18199" s="3" t="str">
        <f>IFERROR(__xludf.DUMMYFUNCTION("GOOGLETRANSLATE(A18199,""en"",""pt"")"),"Horrível, software egoísta")</f>
        <v>Horrível, software egoísta</v>
      </c>
      <c r="B18199" s="3">
        <v>0</v>
      </c>
    </row>
    <row r="18200" ht="15.75" customHeight="1" spans="1:2">
      <c r="A18200" s="3" t="str">
        <f>IFERROR(__xludf.DUMMYFUNCTION("GOOGLETRANSLATE(A18200,""en"",""pt"")"),"software péssimo &amp; amp; amp; Serviço ao cliente")</f>
        <v>software péssimo &amp; amp; amp; Serviço ao cliente</v>
      </c>
      <c r="B18200" s="3">
        <v>0</v>
      </c>
    </row>
    <row r="18201" ht="15.75" customHeight="1" spans="1:2">
      <c r="A18201" s="3" t="str">
        <f>IFERROR(__xludf.DUMMYFUNCTION("GOOGLETRANSLATE(A18201,""en"",""pt"")"),"manchas de tinta, cartuchos de tinta pequenos, ocupa mais espaço na mesa.")</f>
        <v>manchas de tinta, cartuchos de tinta pequenos, ocupa mais espaço na mesa.</v>
      </c>
      <c r="B18201" s="3">
        <v>0</v>
      </c>
    </row>
    <row r="18202" ht="15.75" customHeight="1" spans="1:2">
      <c r="A18202" s="3" t="str">
        <f>IFERROR(__xludf.DUMMYFUNCTION("GOOGLETRANSLATE(A18202,""en"",""pt"")"),"não funciona vale nada")</f>
        <v>não funciona vale nada</v>
      </c>
      <c r="B18202" s="3">
        <v>0</v>
      </c>
    </row>
    <row r="18203" ht="15.75" customHeight="1" spans="1:2">
      <c r="A18203" s="3" t="str">
        <f>IFERROR(__xludf.DUMMYFUNCTION("GOOGLETRANSLATE(A18203,""en"",""pt"")"),"curta vida de espera do cartucho de jacto de tinta")</f>
        <v>curta vida de espera do cartucho de jacto de tinta</v>
      </c>
      <c r="B18203" s="3">
        <v>0</v>
      </c>
    </row>
    <row r="18204" ht="15.75" customHeight="1" spans="1:2">
      <c r="A18204" s="3" t="str">
        <f>IFERROR(__xludf.DUMMYFUNCTION("GOOGLETRANSLATE(A18204,""en"",""pt"")"),"lotes de problemas técnicos")</f>
        <v>lotes de problemas técnicos</v>
      </c>
      <c r="B18204" s="3">
        <v>0</v>
      </c>
    </row>
    <row r="18205" ht="15.75" customHeight="1" spans="1:2">
      <c r="A18205" s="3" t="str">
        <f>IFERROR(__xludf.DUMMYFUNCTION("GOOGLETRANSLATE(A18205,""en"",""pt"")"),"Não há muito mais faz")</f>
        <v>Não há muito mais faz</v>
      </c>
      <c r="B18205" s="3">
        <v>0</v>
      </c>
    </row>
    <row r="18206" ht="15.75" customHeight="1" spans="1:2">
      <c r="A18206" s="3" t="str">
        <f>IFERROR(__xludf.DUMMYFUNCTION("GOOGLETRANSLATE(A18206,""en"",""pt"")"),"não digitalização a cores, de baixa resolução")</f>
        <v>não digitalização a cores, de baixa resolução</v>
      </c>
      <c r="B18206" s="3">
        <v>0</v>
      </c>
    </row>
    <row r="18207" ht="15.75" customHeight="1" spans="1:2">
      <c r="A18207" s="3" t="str">
        <f>IFERROR(__xludf.DUMMYFUNCTION("GOOGLETRANSLATE(A18207,""en"",""pt"")"),"serviço ao cliente é indelicado e inútil")</f>
        <v>serviço ao cliente é indelicado e inútil</v>
      </c>
      <c r="B18207" s="3">
        <v>0</v>
      </c>
    </row>
    <row r="18208" ht="15.75" customHeight="1" spans="1:2">
      <c r="A18208" s="3" t="str">
        <f>IFERROR(__xludf.DUMMYFUNCTION("GOOGLETRANSLATE(A18208,""en"",""pt"")"),"Digitalização, fax, cartuchos")</f>
        <v>Digitalização, fax, cartuchos</v>
      </c>
      <c r="B18208" s="3">
        <v>0</v>
      </c>
    </row>
    <row r="18209" ht="15.75" customHeight="1" spans="1:2">
      <c r="A18209" s="3" t="str">
        <f>IFERROR(__xludf.DUMMYFUNCTION("GOOGLETRANSLATE(A18209,""en"",""pt"")"),"Você recebe o que você paga.")</f>
        <v>Você recebe o que você paga.</v>
      </c>
      <c r="B18209" s="3">
        <v>0</v>
      </c>
    </row>
    <row r="18210" ht="15.75" customHeight="1" spans="1:2">
      <c r="A18210" s="3" t="str">
        <f>IFERROR(__xludf.DUMMYFUNCTION("GOOGLETRANSLATE(A18210,""en"",""pt"")"),"velocidade de impressão lento, retarda o computador, pegar um monte de memória, má qualidade, APENAS não comprá-lo")</f>
        <v>velocidade de impressão lento, retarda o computador, pegar um monte de memória, má qualidade, APENAS não comprá-lo</v>
      </c>
      <c r="B18210" s="3">
        <v>0</v>
      </c>
    </row>
    <row r="18211" ht="15.75" customHeight="1" spans="1:2">
      <c r="A18211" s="3" t="str">
        <f>IFERROR(__xludf.DUMMYFUNCTION("GOOGLETRANSLATE(A18211,""en"",""pt"")"),"confiabilidade")</f>
        <v>confiabilidade</v>
      </c>
      <c r="B18211" s="3">
        <v>0</v>
      </c>
    </row>
    <row r="18212" ht="15.75" customHeight="1" spans="1:2">
      <c r="A18212" s="3" t="str">
        <f>IFERROR(__xludf.DUMMYFUNCTION("GOOGLETRANSLATE(A18212,""en"",""pt"")"),"Eu não encontrei um ainda")</f>
        <v>Eu não encontrei um ainda</v>
      </c>
      <c r="B18212" s="3">
        <v>0</v>
      </c>
    </row>
    <row r="18213" ht="15.75" customHeight="1" spans="1:2">
      <c r="A18213" s="3" t="str">
        <f>IFERROR(__xludf.DUMMYFUNCTION("GOOGLETRANSLATE(A18213,""en"",""pt"")"),"scanner não está de mesa e não tem cor")</f>
        <v>scanner não está de mesa e não tem cor</v>
      </c>
      <c r="B18213" s="3">
        <v>0</v>
      </c>
    </row>
    <row r="18214" ht="15.75" customHeight="1" spans="1:2">
      <c r="A18214" s="3" t="str">
        <f>IFERROR(__xludf.DUMMYFUNCTION("GOOGLETRANSLATE(A18214,""en"",""pt"")"),"Não networkable, algumas funções difícil de descobrir, sem manual.")</f>
        <v>Não networkable, algumas funções difícil de descobrir, sem manual.</v>
      </c>
      <c r="B18214" s="3">
        <v>0</v>
      </c>
    </row>
    <row r="18215" ht="15.75" customHeight="1" spans="1:2">
      <c r="A18215" s="3" t="str">
        <f>IFERROR(__xludf.DUMMYFUNCTION("GOOGLETRANSLATE(A18215,""en"",""pt"")"),"drivers de software são um pesadelo.")</f>
        <v>drivers de software são um pesadelo.</v>
      </c>
      <c r="B18215" s="3">
        <v>0</v>
      </c>
    </row>
    <row r="18216" ht="15.75" customHeight="1" spans="1:2">
      <c r="A18216" s="3" t="str">
        <f>IFERROR(__xludf.DUMMYFUNCTION("GOOGLETRANSLATE(A18216,""en"",""pt"")"),"Muitas falhas, má qualidade, opções limitadas")</f>
        <v>Muitas falhas, má qualidade, opções limitadas</v>
      </c>
      <c r="B18216" s="3">
        <v>0</v>
      </c>
    </row>
    <row r="18217" ht="15.75" customHeight="1" spans="1:2">
      <c r="A18217" s="3" t="str">
        <f>IFERROR(__xludf.DUMMYFUNCTION("GOOGLETRANSLATE(A18217,""en"",""pt"")"),"incrivelmente limitado funcionando para Macs, scanner somente para papel")</f>
        <v>incrivelmente limitado funcionando para Macs, scanner somente para papel</v>
      </c>
      <c r="B18217" s="3">
        <v>0</v>
      </c>
    </row>
    <row r="18218" ht="15.75" customHeight="1" spans="1:2">
      <c r="A18218" s="3" t="str">
        <f>IFERROR(__xludf.DUMMYFUNCTION("GOOGLETRANSLATE(A18218,""en"",""pt"")"),"Ele raramente funciona, bebe tinta como a água")</f>
        <v>Ele raramente funciona, bebe tinta como a água</v>
      </c>
      <c r="B18218" s="3">
        <v>0</v>
      </c>
    </row>
    <row r="18219" ht="15.75" customHeight="1" spans="1:2">
      <c r="A18219" s="3" t="str">
        <f>IFERROR(__xludf.DUMMYFUNCTION("GOOGLETRANSLATE(A18219,""en"",""pt"")"),"impressão lenta, tão imprimir qualidade")</f>
        <v>impressão lenta, tão imprimir qualidade</v>
      </c>
      <c r="B18219" s="3">
        <v>0</v>
      </c>
    </row>
    <row r="18220" ht="15.75" customHeight="1" spans="1:2">
      <c r="A18220" s="3" t="str">
        <f>IFERROR(__xludf.DUMMYFUNCTION("GOOGLETRANSLATE(A18220,""en"",""pt"")"),"bugs de software")</f>
        <v>bugs de software</v>
      </c>
      <c r="B18220" s="3">
        <v>0</v>
      </c>
    </row>
    <row r="18221" ht="15.75" customHeight="1" spans="1:2">
      <c r="A18221" s="3" t="str">
        <f>IFERROR(__xludf.DUMMYFUNCTION("GOOGLETRANSLATE(A18221,""en"",""pt"")"),"Não confiável, impressão lenta")</f>
        <v>Não confiável, impressão lenta</v>
      </c>
      <c r="B18221" s="3">
        <v>0</v>
      </c>
    </row>
    <row r="18222" ht="15.75" customHeight="1" spans="1:2">
      <c r="A18222" s="3" t="str">
        <f>IFERROR(__xludf.DUMMYFUNCTION("GOOGLETRANSLATE(A18222,""en"",""pt"")"),"Ink Tank Capacity")</f>
        <v>Ink Tank Capacity</v>
      </c>
      <c r="B18222" s="3">
        <v>0</v>
      </c>
    </row>
    <row r="18223" ht="15.75" customHeight="1" spans="1:2">
      <c r="A18223" s="3" t="str">
        <f>IFERROR(__xludf.DUMMYFUNCTION("GOOGLETRANSLATE(A18223,""en"",""pt"")"),"falha spooling")</f>
        <v>falha spooling</v>
      </c>
      <c r="B18223" s="3">
        <v>0</v>
      </c>
    </row>
    <row r="18224" ht="15.75" customHeight="1" spans="1:2">
      <c r="A18224" s="3" t="str">
        <f>IFERROR(__xludf.DUMMYFUNCTION("GOOGLETRANSLATE(A18224,""en"",""pt"")"),"Cartucho de substituição dispendiosa")</f>
        <v>Cartucho de substituição dispendiosa</v>
      </c>
      <c r="B18224" s="3">
        <v>0</v>
      </c>
    </row>
    <row r="18225" ht="15.75" customHeight="1" spans="1:2">
      <c r="A18225" s="3" t="str">
        <f>IFERROR(__xludf.DUMMYFUNCTION("GOOGLETRANSLATE(A18225,""en"",""pt"")"),"TOO SLOW..NOT GO como segundo INSTALAÇÃO")</f>
        <v>TOO SLOW..NOT GO como segundo INSTALAÇÃO</v>
      </c>
      <c r="B18225" s="3">
        <v>0</v>
      </c>
    </row>
    <row r="18226" ht="15.75" customHeight="1" spans="1:2">
      <c r="A18226" s="3" t="str">
        <f>IFERROR(__xludf.DUMMYFUNCTION("GOOGLETRANSLATE(A18226,""en"",""pt"")"),"Nenhum!")</f>
        <v>Nenhum!</v>
      </c>
      <c r="B18226" s="3">
        <v>0</v>
      </c>
    </row>
    <row r="18227" ht="15.75" customHeight="1" spans="1:2">
      <c r="A18227" s="3" t="str">
        <f>IFERROR(__xludf.DUMMYFUNCTION("GOOGLETRANSLATE(A18227,""en"",""pt"")"),"Impressão lenta, suporte técnico diz que seu toll free mas para falar com um dinheiro de custo pessoa real")</f>
        <v>Impressão lenta, suporte técnico diz que seu toll free mas para falar com um dinheiro de custo pessoa real</v>
      </c>
      <c r="B18227" s="3">
        <v>0</v>
      </c>
    </row>
    <row r="18228" ht="15.75" customHeight="1" spans="1:2">
      <c r="A18228" s="3" t="str">
        <f>IFERROR(__xludf.DUMMYFUNCTION("GOOGLETRANSLATE(A18228,""en"",""pt"")"),"pequenos problemas irritantes")</f>
        <v>pequenos problemas irritantes</v>
      </c>
      <c r="B18228" s="3">
        <v>0</v>
      </c>
    </row>
    <row r="18229" ht="15.75" customHeight="1" spans="1:2">
      <c r="A18229" s="3" t="str">
        <f>IFERROR(__xludf.DUMMYFUNCTION("GOOGLETRANSLATE(A18229,""en"",""pt"")"),"só é bom para baixo volume de cópia e impressão, scanner colorido scanner a cores de 24 bits novamente 36 a 42 bit em scanners dedicados, alto custo de alguns materiais de consumo dos cartuchos de tinta, você tem que comprar o cartucho de tinta preta BC-2"&amp;"0 sozinho.")</f>
        <v>só é bom para baixo volume de cópia e impressão, scanner colorido scanner a cores de 24 bits novamente 36 a 42 bit em scanners dedicados, alto custo de alguns materiais de consumo dos cartuchos de tinta, você tem que comprar o cartucho de tinta preta BC-20 sozinho.</v>
      </c>
      <c r="B18229" s="3">
        <v>0</v>
      </c>
    </row>
    <row r="18230" ht="15.75" customHeight="1" spans="1:2">
      <c r="A18230" s="3" t="str">
        <f>IFERROR(__xludf.DUMMYFUNCTION("GOOGLETRANSLATE(A18230,""en"",""pt"")"),"Funções não funcionam tão bem como se os itens individuais (fax separado, etc)")</f>
        <v>Funções não funcionam tão bem como se os itens individuais (fax separado, etc)</v>
      </c>
      <c r="B18230" s="3">
        <v>0</v>
      </c>
    </row>
    <row r="18231" ht="15.75" customHeight="1" spans="1:2">
      <c r="A18231" s="3" t="str">
        <f>IFERROR(__xludf.DUMMYFUNCTION("GOOGLETRANSLATE(A18231,""en"",""pt"")"),"Não funciona, comer tinta, mensagem em frente enganosa!")</f>
        <v>Não funciona, comer tinta, mensagem em frente enganosa!</v>
      </c>
      <c r="B18231" s="3">
        <v>0</v>
      </c>
    </row>
    <row r="18232" ht="15.75" customHeight="1" spans="1:2">
      <c r="A18232" s="3" t="str">
        <f>IFERROR(__xludf.DUMMYFUNCTION("GOOGLETRANSLATE(A18232,""en"",""pt"")"),"qualidade de digitalização é terrível, por isso tudo é terrível, exceto a impressão simples, suas falhas de software")</f>
        <v>qualidade de digitalização é terrível, por isso tudo é terrível, exceto a impressão simples, suas falhas de software</v>
      </c>
      <c r="B18232" s="3">
        <v>0</v>
      </c>
    </row>
    <row r="18233" ht="15.75" customHeight="1" spans="1:2">
      <c r="A18233" s="3" t="str">
        <f>IFERROR(__xludf.DUMMYFUNCTION("GOOGLETRANSLATE(A18233,""en"",""pt"")"),"mensagem de erro ocasional na tela. Problemas com a leitura máquina que o cartucho foi substituído.")</f>
        <v>mensagem de erro ocasional na tela. Problemas com a leitura máquina que o cartucho foi substituído.</v>
      </c>
      <c r="B18233" s="3">
        <v>0</v>
      </c>
    </row>
    <row r="18234" ht="15.75" customHeight="1" spans="1:2">
      <c r="A18234" s="3" t="str">
        <f>IFERROR(__xludf.DUMMYFUNCTION("GOOGLETRANSLATE(A18234,""en"",""pt"")"),", Software pobre lento, baixo papel e capacidade de tinta")</f>
        <v>, Software pobre lento, baixo papel e capacidade de tinta</v>
      </c>
      <c r="B18234" s="3">
        <v>0</v>
      </c>
    </row>
    <row r="18235" ht="15.75" customHeight="1" spans="1:2">
      <c r="A18235" s="3" t="str">
        <f>IFERROR(__xludf.DUMMYFUNCTION("GOOGLETRANSLATE(A18235,""en"",""pt"")"),"tinta preta se esgota rapidamente, mas é muito barato")</f>
        <v>tinta preta se esgota rapidamente, mas é muito barato</v>
      </c>
      <c r="B18235" s="3">
        <v>0</v>
      </c>
    </row>
    <row r="18236" ht="15.75" customHeight="1" spans="1:2">
      <c r="A18236" s="3" t="str">
        <f>IFERROR(__xludf.DUMMYFUNCTION("GOOGLETRANSLATE(A18236,""en"",""pt"")"),"um pouco de sede")</f>
        <v>um pouco de sede</v>
      </c>
      <c r="B18236" s="3">
        <v>0</v>
      </c>
    </row>
    <row r="18237" ht="15.75" customHeight="1" spans="1:2">
      <c r="A18237" s="3" t="str">
        <f>IFERROR(__xludf.DUMMYFUNCTION("GOOGLETRANSLATE(A18237,""en"",""pt"")"),"Nenhum.")</f>
        <v>Nenhum.</v>
      </c>
      <c r="B18237" s="3">
        <v>0</v>
      </c>
    </row>
    <row r="18238" ht="15.75" customHeight="1" spans="1:2">
      <c r="A18238" s="3" t="str">
        <f>IFERROR(__xludf.DUMMYFUNCTION("GOOGLETRANSLATE(A18238,""en"",""pt"")"),"velocidade de impressão lenta")</f>
        <v>velocidade de impressão lenta</v>
      </c>
      <c r="B18238" s="3">
        <v>0</v>
      </c>
    </row>
    <row r="18239" ht="15.75" customHeight="1" spans="1:2">
      <c r="A18239" s="3" t="str">
        <f>IFERROR(__xludf.DUMMYFUNCTION("GOOGLETRANSLATE(A18239,""en"",""pt"")"),"Deve ter em execução software, há legais cópias em papel")</f>
        <v>Deve ter em execução software, há legais cópias em papel</v>
      </c>
      <c r="B18239" s="3">
        <v>0</v>
      </c>
    </row>
    <row r="18240" ht="15.75" customHeight="1" spans="1:2">
      <c r="A18240" s="3" t="str">
        <f>IFERROR(__xludf.DUMMYFUNCTION("GOOGLETRANSLATE(A18240,""en"",""pt"")"),"Manual é muita falta de detalhes")</f>
        <v>Manual é muita falta de detalhes</v>
      </c>
      <c r="B18240" s="3">
        <v>0</v>
      </c>
    </row>
    <row r="18241" ht="15.75" customHeight="1" spans="1:2">
      <c r="A18241" s="3" t="str">
        <f>IFERROR(__xludf.DUMMYFUNCTION("GOOGLETRANSLATE(A18241,""en"",""pt"")"),"Mau serviço ao cliente")</f>
        <v>Mau serviço ao cliente</v>
      </c>
      <c r="B18241" s="3">
        <v>0</v>
      </c>
    </row>
    <row r="18242" ht="15.75" customHeight="1" spans="1:2">
      <c r="A18242" s="3" t="str">
        <f>IFERROR(__xludf.DUMMYFUNCTION("GOOGLETRANSLATE(A18242,""en"",""pt"")"),"bebe rápido tinta, muitos recursos não documentados")</f>
        <v>bebe rápido tinta, muitos recursos não documentados</v>
      </c>
      <c r="B18242" s="3">
        <v>0</v>
      </c>
    </row>
    <row r="18243" ht="15.75" customHeight="1" spans="1:2">
      <c r="A18243" s="3" t="str">
        <f>IFERROR(__xludf.DUMMYFUNCTION("GOOGLETRANSLATE(A18243,""en"",""pt"")"),"Usa muita tinta")</f>
        <v>Usa muita tinta</v>
      </c>
      <c r="B18243" s="3">
        <v>0</v>
      </c>
    </row>
    <row r="18244" ht="15.75" customHeight="1" spans="1:2">
      <c r="A18244" s="3" t="str">
        <f>IFERROR(__xludf.DUMMYFUNCTION("GOOGLETRANSLATE(A18244,""en"",""pt"")"),"nada disso muito bem")</f>
        <v>nada disso muito bem</v>
      </c>
      <c r="B18244" s="3">
        <v>0</v>
      </c>
    </row>
    <row r="18245" ht="15.75" customHeight="1" spans="1:2">
      <c r="A18245" s="3" t="str">
        <f>IFERROR(__xludf.DUMMYFUNCTION("GOOGLETRANSLATE(A18245,""en"",""pt"")"),"Configurar fax")</f>
        <v>Configurar fax</v>
      </c>
      <c r="B18245" s="3">
        <v>0</v>
      </c>
    </row>
    <row r="18246" ht="15.75" customHeight="1" spans="1:2">
      <c r="A18246" s="3" t="str">
        <f>IFERROR(__xludf.DUMMYFUNCTION("GOOGLETRANSLATE(A18246,""en"",""pt"")"),"Terrible serviço ao cliente, cartuchos de tinta")</f>
        <v>Terrible serviço ao cliente, cartuchos de tinta</v>
      </c>
      <c r="B18246" s="3">
        <v>0</v>
      </c>
    </row>
    <row r="18247" ht="15.75" customHeight="1" spans="1:2">
      <c r="A18247" s="3" t="str">
        <f>IFERROR(__xludf.DUMMYFUNCTION("GOOGLETRANSLATE(A18247,""en"",""pt"")"),"Caro")</f>
        <v>Caro</v>
      </c>
      <c r="B18247" s="3">
        <v>0</v>
      </c>
    </row>
    <row r="18248" ht="15.75" customHeight="1" spans="1:2">
      <c r="A18248" s="3" t="str">
        <f>IFERROR(__xludf.DUMMYFUNCTION("GOOGLETRANSLATE(A18248,""en"",""pt"")"),"digitalizar itens")</f>
        <v>digitalizar itens</v>
      </c>
      <c r="B18248" s="3">
        <v>0</v>
      </c>
    </row>
    <row r="18249" ht="15.75" customHeight="1" spans="1:2">
      <c r="A18249" s="3" t="str">
        <f>IFERROR(__xludf.DUMMYFUNCTION("GOOGLETRANSLATE(A18249,""en"",""pt"")"),"só pode verificar e fotos de fotocópias e folhas de papel")</f>
        <v>só pode verificar e fotos de fotocópias e folhas de papel</v>
      </c>
      <c r="B18249" s="3">
        <v>0</v>
      </c>
    </row>
    <row r="18250" ht="15.75" customHeight="1" spans="1:2">
      <c r="A18250" s="3" t="str">
        <f>IFERROR(__xludf.DUMMYFUNCTION("GOOGLETRANSLATE(A18250,""en"",""pt"")"),"Sem qualquer apoio USB")</f>
        <v>Sem qualquer apoio USB</v>
      </c>
      <c r="B18250" s="3">
        <v>0</v>
      </c>
    </row>
    <row r="18251" ht="15.75" customHeight="1" spans="1:2">
      <c r="A18251" s="3" t="str">
        <f>IFERROR(__xludf.DUMMYFUNCTION("GOOGLETRANSLATE(A18251,""en"",""pt"")"),"cartuchos de tinta são um pouco alto e não duram muito tempo")</f>
        <v>cartuchos de tinta são um pouco alto e não duram muito tempo</v>
      </c>
      <c r="B18251" s="3">
        <v>0</v>
      </c>
    </row>
    <row r="18252" ht="15.75" customHeight="1" spans="1:2">
      <c r="A18252" s="3" t="str">
        <f>IFERROR(__xludf.DUMMYFUNCTION("GOOGLETRANSLATE(A18252,""en"",""pt"")"),"Cartuchos não duram muito tempo, fax não incríveis")</f>
        <v>Cartuchos não duram muito tempo, fax não incríveis</v>
      </c>
      <c r="B18252" s="3">
        <v>0</v>
      </c>
    </row>
    <row r="18253" ht="15.75" customHeight="1" spans="1:2">
      <c r="A18253" s="3" t="str">
        <f>IFERROR(__xludf.DUMMYFUNCTION("GOOGLETRANSLATE(A18253,""en"",""pt"")"),"Alguns dos consumíveis são defeituosos.")</f>
        <v>Alguns dos consumíveis são defeituosos.</v>
      </c>
      <c r="B18253" s="3">
        <v>0</v>
      </c>
    </row>
    <row r="18254" ht="15.75" customHeight="1" spans="1:2">
      <c r="A18254" s="3" t="str">
        <f>IFERROR(__xludf.DUMMYFUNCTION("GOOGLETRANSLATE(A18254,""en"",""pt"")"),"Lento, Limited Ink Reserve")</f>
        <v>Lento, Limited Ink Reserve</v>
      </c>
      <c r="B18254" s="3">
        <v>0</v>
      </c>
    </row>
    <row r="18255" ht="15.75" customHeight="1" spans="1:2">
      <c r="A18255" s="3" t="str">
        <f>IFERROR(__xludf.DUMMYFUNCTION("GOOGLETRANSLATE(A18255,""en"",""pt"")"),"Lento, medíocre qualidade, resíduos de tinta, papel compotas, retarda sistema para baixo, problemas teve com máquina de fax")</f>
        <v>Lento, medíocre qualidade, resíduos de tinta, papel compotas, retarda sistema para baixo, problemas teve com máquina de fax</v>
      </c>
      <c r="B18255" s="3">
        <v>0</v>
      </c>
    </row>
    <row r="18256" ht="15.75" customHeight="1" spans="1:2">
      <c r="A18256" s="3" t="str">
        <f>IFERROR(__xludf.DUMMYFUNCTION("GOOGLETRANSLATE(A18256,""en"",""pt"")"),"qualidade de impressão decente")</f>
        <v>qualidade de impressão decente</v>
      </c>
      <c r="B18256" s="3">
        <v>0</v>
      </c>
    </row>
    <row r="18257" ht="15.75" customHeight="1" spans="1:2">
      <c r="A18257" s="3" t="str">
        <f>IFERROR(__xludf.DUMMYFUNCTION("GOOGLETRANSLATE(A18257,""en"",""pt"")"),"Impressão lenta, cartuchos de tinta correr para fora sem nenhum aviso.")</f>
        <v>Impressão lenta, cartuchos de tinta correr para fora sem nenhum aviso.</v>
      </c>
      <c r="B18257" s="3">
        <v>0</v>
      </c>
    </row>
    <row r="18258" ht="15.75" customHeight="1" spans="1:2">
      <c r="A18258" s="3" t="str">
        <f>IFERROR(__xludf.DUMMYFUNCTION("GOOGLETRANSLATE(A18258,""en"",""pt"")"),"cartucho de tinta preta seca rápido")</f>
        <v>cartucho de tinta preta seca rápido</v>
      </c>
      <c r="B18258" s="3">
        <v>0</v>
      </c>
    </row>
    <row r="18259" ht="15.75" customHeight="1" spans="1:2">
      <c r="A18259" s="3" t="str">
        <f>IFERROR(__xludf.DUMMYFUNCTION("GOOGLETRANSLATE(A18259,""en"",""pt"")"),"Software, velocidade, reliabilty")</f>
        <v>Software, velocidade, reliabilty</v>
      </c>
      <c r="B18259" s="3">
        <v>0</v>
      </c>
    </row>
    <row r="18260" ht="15.75" customHeight="1" spans="1:2">
      <c r="A18260" s="3" t="str">
        <f>IFERROR(__xludf.DUMMYFUNCTION("GOOGLETRANSLATE(A18260,""en"",""pt"")"),"A configuração é não intuitivo através do painel frontal.")</f>
        <v>A configuração é não intuitivo através do painel frontal.</v>
      </c>
      <c r="B18260" s="3">
        <v>0</v>
      </c>
    </row>
    <row r="18261" ht="15.75" customHeight="1" spans="1:2">
      <c r="A18261" s="3" t="str">
        <f>IFERROR(__xludf.DUMMYFUNCTION("GOOGLETRANSLATE(A18261,""en"",""pt"")"),"Poderia ser mais rápido, resolução sobre digitalizar imagens poderia ser Unit better.Big")</f>
        <v>Poderia ser mais rápido, resolução sobre digitalizar imagens poderia ser Unit better.Big</v>
      </c>
      <c r="B18261" s="3">
        <v>0</v>
      </c>
    </row>
    <row r="18262" ht="15.75" customHeight="1" spans="1:2">
      <c r="A18262" s="3" t="str">
        <f>IFERROR(__xludf.DUMMYFUNCTION("GOOGLETRANSLATE(A18262,""en"",""pt"")"),"Qualidade de impressão, Motorista Software (Terrível), Funcionalidade geral, Manuseamento Pobre Papel.")</f>
        <v>Qualidade de impressão, Motorista Software (Terrível), Funcionalidade geral, Manuseamento Pobre Papel.</v>
      </c>
      <c r="B18262" s="3">
        <v>0</v>
      </c>
    </row>
    <row r="18263" ht="15.75" customHeight="1" spans="1:2">
      <c r="A18263" s="3" t="str">
        <f>IFERROR(__xludf.DUMMYFUNCTION("GOOGLETRANSLATE(A18263,""en"",""pt"")"),"Tipo de noisy")</f>
        <v>Tipo de noisy</v>
      </c>
      <c r="B18263" s="3">
        <v>0</v>
      </c>
    </row>
    <row r="18264" ht="15.75" customHeight="1" spans="1:2">
      <c r="A18264" s="3" t="str">
        <f>IFERROR(__xludf.DUMMYFUNCTION("GOOGLETRANSLATE(A18264,""en"",""pt"")"),"qualidade função Bad")</f>
        <v>qualidade função Bad</v>
      </c>
      <c r="B18264" s="3">
        <v>0</v>
      </c>
    </row>
    <row r="18265" ht="15.75" customHeight="1" spans="1:2">
      <c r="A18265" s="3" t="str">
        <f>IFERROR(__xludf.DUMMYFUNCTION("GOOGLETRANSLATE(A18265,""en"",""pt"")"),"MULTI-PROBLEMAS")</f>
        <v>MULTI-PROBLEMAS</v>
      </c>
      <c r="B18265" s="3">
        <v>0</v>
      </c>
    </row>
    <row r="18266" ht="15.75" customHeight="1" spans="1:2">
      <c r="A18266" s="3" t="str">
        <f>IFERROR(__xludf.DUMMYFUNCTION("GOOGLETRANSLATE(A18266,""en"",""pt"")"),"O único manual que você recebe é para a máquina de fax.")</f>
        <v>O único manual que você recebe é para a máquina de fax.</v>
      </c>
      <c r="B18266" s="3">
        <v>0</v>
      </c>
    </row>
    <row r="18267" ht="15.75" customHeight="1" spans="1:2">
      <c r="A18267" s="3" t="str">
        <f>IFERROR(__xludf.DUMMYFUNCTION("GOOGLETRANSLATE(A18267,""en"",""pt"")"),"impressão lenta")</f>
        <v>impressão lenta</v>
      </c>
      <c r="B18267" s="3">
        <v>0</v>
      </c>
    </row>
    <row r="18268" ht="15.75" customHeight="1" spans="1:2">
      <c r="A18268" s="3" t="str">
        <f>IFERROR(__xludf.DUMMYFUNCTION("GOOGLETRANSLATE(A18268,""en"",""pt"")"),"Pesadelo, problema após problema, off alignment.etc")</f>
        <v>Pesadelo, problema após problema, off alignment.etc</v>
      </c>
      <c r="B18268" s="3">
        <v>0</v>
      </c>
    </row>
    <row r="18269" ht="15.75" customHeight="1" spans="1:2">
      <c r="A18269" s="3" t="str">
        <f>IFERROR(__xludf.DUMMYFUNCTION("GOOGLETRANSLATE(A18269,""en"",""pt"")"),"uma dor")</f>
        <v>uma dor</v>
      </c>
      <c r="B18269" s="3">
        <v>0</v>
      </c>
    </row>
    <row r="18270" ht="15.75" customHeight="1" spans="1:2">
      <c r="A18270" s="3" t="str">
        <f>IFERROR(__xludf.DUMMYFUNCTION("GOOGLETRANSLATE(A18270,""en"",""pt"")"),"Não para o Windows XP. Você pode baixar o software, mas parece instável.")</f>
        <v>Não para o Windows XP. Você pode baixar o software, mas parece instável.</v>
      </c>
      <c r="B18270" s="3">
        <v>0</v>
      </c>
    </row>
    <row r="18271" ht="15.75" customHeight="1" spans="1:2">
      <c r="A18271" s="3" t="str">
        <f>IFERROR(__xludf.DUMMYFUNCTION("GOOGLETRANSLATE(A18271,""en"",""pt"")"),"muito impressão lenta, fica congestionado com bastante frequência, etc.")</f>
        <v>muito impressão lenta, fica congestionado com bastante frequência, etc.</v>
      </c>
      <c r="B18271" s="3">
        <v>0</v>
      </c>
    </row>
    <row r="18272" ht="15.75" customHeight="1" spans="1:2">
      <c r="A18272" s="3" t="str">
        <f>IFERROR(__xludf.DUMMYFUNCTION("GOOGLETRANSLATE(A18272,""en"",""pt"")"),"Não é uma LaserJet.")</f>
        <v>Não é uma LaserJet.</v>
      </c>
      <c r="B18272" s="3">
        <v>0</v>
      </c>
    </row>
    <row r="18273" ht="15.75" customHeight="1" spans="1:2">
      <c r="A18273" s="3" t="str">
        <f>IFERROR(__xludf.DUMMYFUNCTION("GOOGLETRANSLATE(A18273,""en"",""pt"")"),"Mesmo Best Buy diz -Dump TI!")</f>
        <v>Mesmo Best Buy diz -Dump TI!</v>
      </c>
      <c r="B18273" s="3">
        <v>0</v>
      </c>
    </row>
    <row r="18274" ht="15.75" customHeight="1" spans="1:2">
      <c r="A18274" s="3" t="str">
        <f>IFERROR(__xludf.DUMMYFUNCTION("GOOGLETRANSLATE(A18274,""en"",""pt"")"),"Horrível, driver de impressão inchado para o PC.")</f>
        <v>Horrível, driver de impressão inchado para o PC.</v>
      </c>
      <c r="B18274" s="3">
        <v>0</v>
      </c>
    </row>
    <row r="18275" ht="15.75" customHeight="1" spans="1:2">
      <c r="A18275" s="3" t="str">
        <f>IFERROR(__xludf.DUMMYFUNCTION("GOOGLETRANSLATE(A18275,""en"",""pt"")"),"dispositivo é repetidamente ""indisponível"" quando você precisar dele")</f>
        <v>dispositivo é repetidamente "indisponível" quando você precisar dele</v>
      </c>
      <c r="B18275" s="3">
        <v>0</v>
      </c>
    </row>
    <row r="18276" ht="15.75" customHeight="1" spans="1:2">
      <c r="A18276" s="3" t="str">
        <f>IFERROR(__xludf.DUMMYFUNCTION("GOOGLETRANSLATE(A18276,""en"",""pt"")"),"Tamanho, custo inicial (preço de rua $ 290- $ 350)")</f>
        <v>Tamanho, custo inicial (preço de rua $ 290- $ 350)</v>
      </c>
      <c r="B18276" s="3">
        <v>0</v>
      </c>
    </row>
    <row r="18277" ht="15.75" customHeight="1" spans="1:2">
      <c r="A18277" s="3" t="str">
        <f>IFERROR(__xludf.DUMMYFUNCTION("GOOGLETRANSLATE(A18277,""en"",""pt"")"),"Preço. Você vai buscá-la de volta em economias feitas na recarga a tinta. :)")</f>
        <v>Preço. Você vai buscá-la de volta em economias feitas na recarga a tinta. :)</v>
      </c>
      <c r="B18277" s="3">
        <v>0</v>
      </c>
    </row>
    <row r="18278" ht="15.75" customHeight="1" spans="1:2">
      <c r="A18278" s="3" t="str">
        <f>IFERROR(__xludf.DUMMYFUNCTION("GOOGLETRANSLATE(A18278,""en"",""pt"")"),"problemas de software / driver")</f>
        <v>problemas de software / driver</v>
      </c>
      <c r="B18278" s="3">
        <v>0</v>
      </c>
    </row>
    <row r="18279" ht="15.75" customHeight="1" spans="1:2">
      <c r="A18279" s="3" t="str">
        <f>IFERROR(__xludf.DUMMYFUNCTION("GOOGLETRANSLATE(A18279,""en"",""pt"")"),"Complicado, mas claro de configurar. Um bebedor tinta possível.")</f>
        <v>Complicado, mas claro de configurar. Um bebedor tinta possível.</v>
      </c>
      <c r="B18279" s="3">
        <v>0</v>
      </c>
    </row>
    <row r="18280" ht="15.75" customHeight="1" spans="1:2">
      <c r="A18280" s="3" t="str">
        <f>IFERROR(__xludf.DUMMYFUNCTION("GOOGLETRANSLATE(A18280,""en"",""pt"")"),"Windows XP problemas, tem um monte de espaço na mesa, não modo de economizar energia")</f>
        <v>Windows XP problemas, tem um monte de espaço na mesa, não modo de economizar energia</v>
      </c>
      <c r="B18280" s="3">
        <v>0</v>
      </c>
    </row>
    <row r="18281" ht="15.75" customHeight="1" spans="1:2">
      <c r="A18281" s="3" t="str">
        <f>IFERROR(__xludf.DUMMYFUNCTION("GOOGLETRANSLATE(A18281,""en"",""pt"")"),"nem sempre vai imprimir várias cópias")</f>
        <v>nem sempre vai imprimir várias cópias</v>
      </c>
      <c r="B18281" s="3">
        <v>0</v>
      </c>
    </row>
    <row r="18282" ht="15.75" customHeight="1" spans="1:2">
      <c r="A18282" s="3" t="str">
        <f>IFERROR(__xludf.DUMMYFUNCTION("GOOGLETRANSLATE(A18282,""en"",""pt"")"),"Ink poderia durar mais tempo. não funcionou com a minha máquina Windows 95 de idade (133mghz).")</f>
        <v>Ink poderia durar mais tempo. não funcionou com a minha máquina Windows 95 de idade (133mghz).</v>
      </c>
      <c r="B18282" s="3">
        <v>0</v>
      </c>
    </row>
    <row r="18283" ht="15.75" customHeight="1" spans="1:2">
      <c r="A18283" s="3" t="str">
        <f>IFERROR(__xludf.DUMMYFUNCTION("GOOGLETRANSLATE(A18283,""en"",""pt"")"),"Bastante grande unidade")</f>
        <v>Bastante grande unidade</v>
      </c>
      <c r="B18283" s="3">
        <v>0</v>
      </c>
    </row>
    <row r="18284" ht="15.75" customHeight="1" spans="1:2">
      <c r="A18284" s="3" t="str">
        <f>IFERROR(__xludf.DUMMYFUNCTION("GOOGLETRANSLATE(A18284,""en"",""pt"")"),"Você deve usar o programa de software da Canon para a máquina a trabalhar.")</f>
        <v>Você deve usar o programa de software da Canon para a máquina a trabalhar.</v>
      </c>
      <c r="B18284" s="3">
        <v>0</v>
      </c>
    </row>
    <row r="18285" ht="15.75" customHeight="1" spans="1:2">
      <c r="A18285" s="3" t="str">
        <f>IFERROR(__xludf.DUMMYFUNCTION("GOOGLETRANSLATE(A18285,""en"",""pt"")"),"fede de interface do usuário do software. Caro. Grande!")</f>
        <v>fede de interface do usuário do software. Caro. Grande!</v>
      </c>
      <c r="B18285" s="3">
        <v>0</v>
      </c>
    </row>
    <row r="18286" ht="15.75" customHeight="1" spans="1:2">
      <c r="A18286" s="3" t="str">
        <f>IFERROR(__xludf.DUMMYFUNCTION("GOOGLETRANSLATE(A18286,""en"",""pt"")"),"Um pouco barulhento.")</f>
        <v>Um pouco barulhento.</v>
      </c>
      <c r="B18286" s="3">
        <v>0</v>
      </c>
    </row>
    <row r="18287" ht="15.75" customHeight="1" spans="1:2">
      <c r="A18287" s="3" t="str">
        <f>IFERROR(__xludf.DUMMYFUNCTION("GOOGLETRANSLATE(A18287,""en"",""pt"")"),"problemas de impressão de fotografias - cores nem sempre boas")</f>
        <v>problemas de impressão de fotografias - cores nem sempre boas</v>
      </c>
      <c r="B18287" s="3">
        <v>0</v>
      </c>
    </row>
    <row r="18288" ht="15.75" customHeight="1" spans="1:2">
      <c r="A18288" s="3" t="str">
        <f>IFERROR(__xludf.DUMMYFUNCTION("GOOGLETRANSLATE(A18288,""en"",""pt"")"),"software canhão não tão grande. Necessidades indicador de tinta como parte do programa.")</f>
        <v>software canhão não tão grande. Necessidades indicador de tinta como parte do programa.</v>
      </c>
      <c r="B18288" s="3">
        <v>0</v>
      </c>
    </row>
    <row r="18289" ht="15.75" customHeight="1" spans="1:2">
      <c r="A18289" s="3" t="str">
        <f>IFERROR(__xludf.DUMMYFUNCTION("GOOGLETRANSLATE(A18289,""en"",""pt"")"),"O livro de instruções é insuficiente para a maioria das características da máquina.")</f>
        <v>O livro de instruções é insuficiente para a maioria das características da máquina.</v>
      </c>
      <c r="B18289" s="3">
        <v>0</v>
      </c>
    </row>
    <row r="18290" ht="15.75" customHeight="1" spans="1:2">
      <c r="A18290" s="3" t="str">
        <f>IFERROR(__xludf.DUMMYFUNCTION("GOOGLETRANSLATE(A18290,""en"",""pt"")"),"um pouco caro, não tem um modo shut-down.")</f>
        <v>um pouco caro, não tem um modo shut-down.</v>
      </c>
      <c r="B18290" s="3">
        <v>0</v>
      </c>
    </row>
    <row r="18291" ht="15.75" customHeight="1" spans="1:2">
      <c r="A18291" s="3" t="str">
        <f>IFERROR(__xludf.DUMMYFUNCTION("GOOGLETRANSLATE(A18291,""en"",""pt"")"),"Pode passar por baterias rapidamente, deve ter um cartão CompactFlash maior")</f>
        <v>Pode passar por baterias rapidamente, deve ter um cartão CompactFlash maior</v>
      </c>
      <c r="B18291" s="3">
        <v>0</v>
      </c>
    </row>
    <row r="18292" ht="15.75" customHeight="1" spans="1:2">
      <c r="A18292" s="3" t="str">
        <f>IFERROR(__xludf.DUMMYFUNCTION("GOOGLETRANSLATE(A18292,""en"",""pt"")"),"LCD não utilizável na luz brilhante")</f>
        <v>LCD não utilizável na luz brilhante</v>
      </c>
      <c r="B18292" s="3">
        <v>0</v>
      </c>
    </row>
    <row r="18293" ht="15.75" customHeight="1" spans="1:2">
      <c r="A18293" s="3" t="str">
        <f>IFERROR(__xludf.DUMMYFUNCTION("GOOGLETRANSLATE(A18293,""en"",""pt"")"),"No modo de vídeo")</f>
        <v>No modo de vídeo</v>
      </c>
      <c r="B18293" s="3">
        <v>0</v>
      </c>
    </row>
    <row r="18294" ht="15.75" customHeight="1" spans="1:2">
      <c r="A18294" s="3" t="str">
        <f>IFERROR(__xludf.DUMMYFUNCTION("GOOGLETRANSLATE(A18294,""en"",""pt"")"),"a vida da bateria pobres.")</f>
        <v>a vida da bateria pobres.</v>
      </c>
      <c r="B18294" s="3">
        <v>0</v>
      </c>
    </row>
    <row r="18295" ht="15.75" customHeight="1" spans="1:2">
      <c r="A18295" s="3" t="str">
        <f>IFERROR(__xludf.DUMMYFUNCTION("GOOGLETRANSLATE(A18295,""en"",""pt"")"),"Nenhum adaptador AC, não pode fazer filmes, dentro fotografias tiradas são de qualidade mais pobre do que os exteriores")</f>
        <v>Nenhum adaptador AC, não pode fazer filmes, dentro fotografias tiradas são de qualidade mais pobre do que os exteriores</v>
      </c>
      <c r="B18295" s="3">
        <v>0</v>
      </c>
    </row>
    <row r="18296" ht="15.75" customHeight="1" spans="1:2">
      <c r="A18296" s="3" t="str">
        <f>IFERROR(__xludf.DUMMYFUNCTION("GOOGLETRANSLATE(A18296,""en"",""pt"")"),"sem um adaptador / c, deve vir com uma fita de pescoço, em vez da fita de pulso.")</f>
        <v>sem um adaptador / c, deve vir com uma fita de pescoço, em vez da fita de pulso.</v>
      </c>
      <c r="B18296" s="3">
        <v>0</v>
      </c>
    </row>
    <row r="18297" ht="15.75" customHeight="1" spans="1:2">
      <c r="A18297" s="3" t="str">
        <f>IFERROR(__xludf.DUMMYFUNCTION("GOOGLETRANSLATE(A18297,""en"",""pt"")"),"A forma como o recurso funciona-single-Excluir foto, eu acidentalmente boas fotos apagadas.")</f>
        <v>A forma como o recurso funciona-single-Excluir foto, eu acidentalmente boas fotos apagadas.</v>
      </c>
      <c r="B18297" s="3">
        <v>0</v>
      </c>
    </row>
    <row r="18298" ht="15.75" customHeight="1" spans="1:2">
      <c r="A18298" s="3" t="str">
        <f>IFERROR(__xludf.DUMMYFUNCTION("GOOGLETRANSLATE(A18298,""en"",""pt"")"),"Visor, problemas de foco ocasionais")</f>
        <v>Visor, problemas de foco ocasionais</v>
      </c>
      <c r="B18298" s="3">
        <v>0</v>
      </c>
    </row>
    <row r="18299" ht="15.75" customHeight="1" spans="1:2">
      <c r="A18299" s="3" t="str">
        <f>IFERROR(__xludf.DUMMYFUNCTION("GOOGLETRANSLATE(A18299,""en"",""pt"")"),"olho vermelho, o consumo da bateria")</f>
        <v>olho vermelho, o consumo da bateria</v>
      </c>
      <c r="B18299" s="3">
        <v>0</v>
      </c>
    </row>
    <row r="18300" ht="15.75" customHeight="1" spans="1:2">
      <c r="A18300" s="3" t="str">
        <f>IFERROR(__xludf.DUMMYFUNCTION("GOOGLETRANSLATE(A18300,""en"",""pt"")"),"Não barato")</f>
        <v>Não barato</v>
      </c>
      <c r="B18300" s="3">
        <v>0</v>
      </c>
    </row>
    <row r="18301" ht="15.75" customHeight="1" spans="1:2">
      <c r="A18301" s="3" t="str">
        <f>IFERROR(__xludf.DUMMYFUNCTION("GOOGLETRANSLATE(A18301,""en"",""pt"")"),"Utiliza baterias rápidas. Não vem com adaptador AC.")</f>
        <v>Utiliza baterias rápidas. Não vem com adaptador AC.</v>
      </c>
      <c r="B18301" s="3">
        <v>0</v>
      </c>
    </row>
    <row r="18302" ht="15.75" customHeight="1" spans="1:2">
      <c r="A18302" s="3" t="str">
        <f>IFERROR(__xludf.DUMMYFUNCTION("GOOGLETRANSLATE(A18302,""en"",""pt"")"),"1,3 câmara pf. Melhor com cancelamento manual de pouca luz. Software fraco.")</f>
        <v>1,3 câmara pf. Melhor com cancelamento manual de pouca luz. Software fraco.</v>
      </c>
      <c r="B18302" s="3">
        <v>0</v>
      </c>
    </row>
    <row r="18303" ht="15.75" customHeight="1" spans="1:2">
      <c r="A18303" s="3" t="str">
        <f>IFERROR(__xludf.DUMMYFUNCTION("GOOGLETRANSLATE(A18303,""en"",""pt"")"),"tela LCD não pode ser usado durante o dia.")</f>
        <v>tela LCD não pode ser usado durante o dia.</v>
      </c>
      <c r="B18303" s="3">
        <v>0</v>
      </c>
    </row>
    <row r="18304" ht="15.75" customHeight="1" spans="1:2">
      <c r="A18304" s="3" t="str">
        <f>IFERROR(__xludf.DUMMYFUNCTION("GOOGLETRANSLATE(A18304,""en"",""pt"")"),"Nenhum adaptador AC, só deixou cursor / direita, não saída de vídeo.")</f>
        <v>Nenhum adaptador AC, só deixou cursor / direita, não saída de vídeo.</v>
      </c>
      <c r="B18304" s="3">
        <v>0</v>
      </c>
    </row>
    <row r="18305" ht="15.75" customHeight="1" spans="1:2">
      <c r="A18305" s="3" t="str">
        <f>IFERROR(__xludf.DUMMYFUNCTION("GOOGLETRANSLATE(A18305,""en"",""pt"")"),"Lotes de tiros incorretamente expostos e Nitidez.")</f>
        <v>Lotes de tiros incorretamente expostos e Nitidez.</v>
      </c>
      <c r="B18305" s="3">
        <v>0</v>
      </c>
    </row>
    <row r="18306" ht="15.75" customHeight="1" spans="1:2">
      <c r="A18306" s="3" t="str">
        <f>IFERROR(__xludf.DUMMYFUNCTION("GOOGLETRANSLATE(A18306,""en"",""pt"")"),"Baterias Escorra rapidamente ao utilizar o modo de exibição")</f>
        <v>Baterias Escorra rapidamente ao utilizar o modo de exibição</v>
      </c>
      <c r="B18306" s="3">
        <v>0</v>
      </c>
    </row>
    <row r="18307" ht="15.75" customHeight="1" spans="1:2">
      <c r="A18307" s="3" t="str">
        <f>IFERROR(__xludf.DUMMYFUNCTION("GOOGLETRANSLATE(A18307,""en"",""pt"")"),"Controles não muito intuitivo. LCD é pequeno.")</f>
        <v>Controles não muito intuitivo. LCD é pequeno.</v>
      </c>
      <c r="B18307" s="3">
        <v>0</v>
      </c>
    </row>
    <row r="18308" ht="15.75" customHeight="1" spans="1:2">
      <c r="A18308" s="3" t="str">
        <f>IFERROR(__xludf.DUMMYFUNCTION("GOOGLETRANSLATE(A18308,""en"",""pt"")"),"baterias orçamento limitado (como a maioria das câmeras), alguns problemas de visão.")</f>
        <v>baterias orçamento limitado (como a maioria das câmeras), alguns problemas de visão.</v>
      </c>
      <c r="B18308" s="3">
        <v>0</v>
      </c>
    </row>
    <row r="18309" ht="15.75" customHeight="1" spans="1:2">
      <c r="A18309" s="3" t="str">
        <f>IFERROR(__xludf.DUMMYFUNCTION("GOOGLETRANSLATE(A18309,""en"",""pt"")"),"A vida da bateria (como com todas as câmeras digitais)")</f>
        <v>A vida da bateria (como com todas as câmeras digitais)</v>
      </c>
      <c r="B18309" s="3">
        <v>0</v>
      </c>
    </row>
    <row r="18310" ht="15.75" customHeight="1" spans="1:2">
      <c r="A18310" s="3" t="str">
        <f>IFERROR(__xludf.DUMMYFUNCTION("GOOGLETRANSLATE(A18310,""en"",""pt"")"),"Não é possível usar cartões CF II, LCD sob luz solar intensa, vem w / única um cartão de 8 MB")</f>
        <v>Não é possível usar cartões CF II, LCD sob luz solar intensa, vem w / única um cartão de 8 MB</v>
      </c>
      <c r="B18310" s="3">
        <v>0</v>
      </c>
    </row>
    <row r="18311" ht="15.75" customHeight="1" spans="1:2">
      <c r="A18311" s="3" t="str">
        <f>IFERROR(__xludf.DUMMYFUNCTION("GOOGLETRANSLATE(A18311,""en"",""pt"")"),"vida de bateria fraca, software sub par")</f>
        <v>vida de bateria fraca, software sub par</v>
      </c>
      <c r="B18311" s="3">
        <v>0</v>
      </c>
    </row>
    <row r="18312" ht="15.75" customHeight="1" spans="1:2">
      <c r="A18312" s="3" t="str">
        <f>IFERROR(__xludf.DUMMYFUNCTION("GOOGLETRANSLATE(A18312,""en"",""pt"")"),"Os habituais: Câmeras melhores estão agora disponíveis para o mesmo preço.")</f>
        <v>Os habituais: Câmeras melhores estão agora disponíveis para o mesmo preço.</v>
      </c>
      <c r="B18312" s="3">
        <v>0</v>
      </c>
    </row>
    <row r="18313" ht="15.75" customHeight="1" spans="1:2">
      <c r="A18313" s="3" t="str">
        <f>IFERROR(__xludf.DUMMYFUNCTION("GOOGLETRANSLATE(A18313,""en"",""pt"")"),"A vida da bateria")</f>
        <v>A vida da bateria</v>
      </c>
      <c r="B18313" s="3">
        <v>0</v>
      </c>
    </row>
    <row r="18314" ht="15.75" customHeight="1" spans="1:2">
      <c r="A18314" s="3" t="str">
        <f>IFERROR(__xludf.DUMMYFUNCTION("GOOGLETRANSLATE(A18314,""en"",""pt"")"),"Nenhum encontrado, ainda")</f>
        <v>Nenhum encontrado, ainda</v>
      </c>
      <c r="B18314" s="3">
        <v>0</v>
      </c>
    </row>
    <row r="18315" ht="15.75" customHeight="1" spans="1:2">
      <c r="A18315" s="3" t="str">
        <f>IFERROR(__xludf.DUMMYFUNCTION("GOOGLETRANSLATE(A18315,""en"",""pt"")"),"Desejo controle de zoom na parte superior; para ligar / desligar parte de seletor de modo (como Canon EOS)")</f>
        <v>Desejo controle de zoom na parte superior; para ligar / desligar parte de seletor de modo (como Canon EOS)</v>
      </c>
      <c r="B18315" s="3">
        <v>0</v>
      </c>
    </row>
    <row r="18316" ht="15.75" customHeight="1" spans="1:2">
      <c r="A18316" s="3" t="str">
        <f>IFERROR(__xludf.DUMMYFUNCTION("GOOGLETRANSLATE(A18316,""en"",""pt"")"),"Sem controle manual, pobre pouca luz incidindo, noite imagem tempo limitado, macro limitada")</f>
        <v>Sem controle manual, pobre pouca luz incidindo, noite imagem tempo limitado, macro limitada</v>
      </c>
      <c r="B18316" s="3">
        <v>0</v>
      </c>
    </row>
    <row r="18317" ht="15.75" customHeight="1" spans="1:2">
      <c r="A18317" s="3" t="str">
        <f>IFERROR(__xludf.DUMMYFUNCTION("GOOGLETRANSLATE(A18317,""en"",""pt"")"),"AA Alkalines não duram muito tempo, muito limitados configurações manuais, sem captura de vídeo, cartão de 8MB")</f>
        <v>AA Alkalines não duram muito tempo, muito limitados configurações manuais, sem captura de vídeo, cartão de 8MB</v>
      </c>
      <c r="B18317" s="3">
        <v>0</v>
      </c>
    </row>
    <row r="18318" ht="15.75" customHeight="1" spans="1:2">
      <c r="A18318" s="3" t="str">
        <f>IFERROR(__xludf.DUMMYFUNCTION("GOOGLETRANSLATE(A18318,""en"",""pt"")"),"vida útil da bateria Dismal, imagens demasiado macias, sensibilidade CCD pobre, sem exportação RAW")</f>
        <v>vida útil da bateria Dismal, imagens demasiado macias, sensibilidade CCD pobre, sem exportação RAW</v>
      </c>
      <c r="B18318" s="3">
        <v>0</v>
      </c>
    </row>
    <row r="18319" ht="15.75" customHeight="1" spans="1:2">
      <c r="A18319" s="3" t="str">
        <f>IFERROR(__xludf.DUMMYFUNCTION("GOOGLETRANSLATE(A18319,""en"",""pt"")"),"Bateria! Fome")</f>
        <v>Bateria! Fome</v>
      </c>
      <c r="B18319" s="3">
        <v>0</v>
      </c>
    </row>
    <row r="18320" ht="15.75" customHeight="1" spans="1:2">
      <c r="A18320" s="3" t="str">
        <f>IFERROR(__xludf.DUMMYFUNCTION("GOOGLETRANSLATE(A18320,""en"",""pt"")"),"conexão ao tripé de plástico, a vida da bateria questionável")</f>
        <v>conexão ao tripé de plástico, a vida da bateria questionável</v>
      </c>
      <c r="B18320" s="3">
        <v>0</v>
      </c>
    </row>
    <row r="18321" ht="15.75" customHeight="1" spans="1:2">
      <c r="A18321" s="3" t="str">
        <f>IFERROR(__xludf.DUMMYFUNCTION("GOOGLETRANSLATE(A18321,""en"",""pt"")"),"A vida da bateria, add-ons caro, pequena memória CompactFlash incluído (8M)")</f>
        <v>A vida da bateria, add-ons caro, pequena memória CompactFlash incluído (8M)</v>
      </c>
      <c r="B18321" s="3">
        <v>0</v>
      </c>
    </row>
    <row r="18322" ht="15.75" customHeight="1" spans="1:2">
      <c r="A18322" s="3" t="str">
        <f>IFERROR(__xludf.DUMMYFUNCTION("GOOGLETRANSLATE(A18322,""en"",""pt"")"),"Noite fotos internas não parecem boas")</f>
        <v>Noite fotos internas não parecem boas</v>
      </c>
      <c r="B18322" s="3">
        <v>0</v>
      </c>
    </row>
    <row r="18323" ht="15.75" customHeight="1" spans="1:2">
      <c r="A18323" s="3" t="str">
        <f>IFERROR(__xludf.DUMMYFUNCTION("GOOGLETRANSLATE(A18323,""en"",""pt"")"),"Sem definição de contraste, balanço de branco automático não funciona bem sob luz artificial &amp; amp; # 13; &amp; amp; # 10; &amp; amp; # 13; &amp; amp; # 10;")</f>
        <v>Sem definição de contraste, balanço de branco automático não funciona bem sob luz artificial &amp; amp; # 13; &amp; amp; # 10; &amp; amp; # 13; &amp; amp; # 10;</v>
      </c>
      <c r="B18323" s="3">
        <v>0</v>
      </c>
    </row>
    <row r="18324" ht="15.75" customHeight="1" spans="1:2">
      <c r="A18324" s="3" t="str">
        <f>IFERROR(__xludf.DUMMYFUNCTION("GOOGLETRANSLATE(A18324,""en"",""pt"")"),"Ele vem em um preço decente.")</f>
        <v>Ele vem em um preço decente.</v>
      </c>
      <c r="B18324" s="3">
        <v>0</v>
      </c>
    </row>
    <row r="18325" ht="15.75" customHeight="1" spans="1:2">
      <c r="A18325" s="3" t="str">
        <f>IFERROR(__xludf.DUMMYFUNCTION("GOOGLETRANSLATE(A18325,""en"",""pt"")"),"Eats AA é como doces")</f>
        <v>Eats AA é como doces</v>
      </c>
      <c r="B18325" s="3">
        <v>0</v>
      </c>
    </row>
    <row r="18326" ht="15.75" customHeight="1" spans="1:2">
      <c r="A18326" s="3" t="str">
        <f>IFERROR(__xludf.DUMMYFUNCTION("GOOGLETRANSLATE(A18326,""en"",""pt"")"),"Começa a comprar baterias em massa pronta.")</f>
        <v>Começa a comprar baterias em massa pronta.</v>
      </c>
      <c r="B18326" s="3">
        <v>0</v>
      </c>
    </row>
    <row r="18327" ht="15.75" customHeight="1" spans="1:2">
      <c r="A18327" s="3" t="str">
        <f>IFERROR(__xludf.DUMMYFUNCTION("GOOGLETRANSLATE(A18327,""en"",""pt"")"),"Pequeno 8MB cartão CF, mais recente A40 tem mais recursos a um preço semelhante")</f>
        <v>Pequeno 8MB cartão CF, mais recente A40 tem mais recursos a um preço semelhante</v>
      </c>
      <c r="B18327" s="3">
        <v>0</v>
      </c>
    </row>
    <row r="18328" ht="15.75" customHeight="1" spans="1:2">
      <c r="A18328" s="3" t="str">
        <f>IFERROR(__xludf.DUMMYFUNCTION("GOOGLETRANSLATE(A18328,""en"",""pt"")"),"baterias Esta coisa come vivo.")</f>
        <v>baterias Esta coisa come vivo.</v>
      </c>
      <c r="B18328" s="3">
        <v>0</v>
      </c>
    </row>
    <row r="18329" ht="15.75" customHeight="1" spans="1:2">
      <c r="A18329" s="3" t="str">
        <f>IFERROR(__xludf.DUMMYFUNCTION("GOOGLETRANSLATE(A18329,""en"",""pt"")"),"Algumas peculiaridades com a indicação de bateria fraca.")</f>
        <v>Algumas peculiaridades com a indicação de bateria fraca.</v>
      </c>
      <c r="B18329" s="3">
        <v>0</v>
      </c>
    </row>
    <row r="18330" ht="15.75" customHeight="1" spans="1:2">
      <c r="A18330" s="3" t="str">
        <f>IFERROR(__xludf.DUMMYFUNCTION("GOOGLETRANSLATE(A18330,""en"",""pt"")"),"Lousy software empacotado.")</f>
        <v>Lousy software empacotado.</v>
      </c>
      <c r="B18330" s="3">
        <v>0</v>
      </c>
    </row>
    <row r="18331" ht="15.75" customHeight="1" spans="1:2">
      <c r="A18331" s="3" t="str">
        <f>IFERROR(__xludf.DUMMYFUNCTION("GOOGLETRANSLATE(A18331,""en"",""pt"")"),"preço, a vida da bateria é baixo.")</f>
        <v>preço, a vida da bateria é baixo.</v>
      </c>
      <c r="B18331" s="3">
        <v>0</v>
      </c>
    </row>
    <row r="18332" ht="15.75" customHeight="1" spans="1:2">
      <c r="A18332" s="3" t="str">
        <f>IFERROR(__xludf.DUMMYFUNCTION("GOOGLETRANSLATE(A18332,""en"",""pt"")"),"fácil de freio, não para crianças")</f>
        <v>fácil de freio, não para crianças</v>
      </c>
      <c r="B18332" s="3">
        <v>0</v>
      </c>
    </row>
    <row r="18333" ht="15.75" customHeight="1" spans="1:2">
      <c r="A18333" s="3" t="str">
        <f>IFERROR(__xludf.DUMMYFUNCTION("GOOGLETRANSLATE(A18333,""en"",""pt"")"),"come-se pilhas (como a maioria das câmeras digitais fazem)")</f>
        <v>come-se pilhas (como a maioria das câmeras digitais fazem)</v>
      </c>
      <c r="B18333" s="3">
        <v>0</v>
      </c>
    </row>
    <row r="18334" ht="15.75" customHeight="1" spans="1:2">
      <c r="A18334" s="3" t="str">
        <f>IFERROR(__xludf.DUMMYFUNCTION("GOOGLETRANSLATE(A18334,""en"",""pt"")"),"8mb, navegador zoom, apoio")</f>
        <v>8mb, navegador zoom, apoio</v>
      </c>
      <c r="B18334" s="3">
        <v>0</v>
      </c>
    </row>
    <row r="18335" ht="15.75" customHeight="1" spans="1:2">
      <c r="A18335" s="3" t="str">
        <f>IFERROR(__xludf.DUMMYFUNCTION("GOOGLETRANSLATE(A18335,""en"",""pt"")"),"ocasional tiro turva, absolutamente, software de interface PC terrível chamado ZoomBrowser EX")</f>
        <v>ocasional tiro turva, absolutamente, software de interface PC terrível chamado ZoomBrowser EX</v>
      </c>
      <c r="B18335" s="3">
        <v>0</v>
      </c>
    </row>
    <row r="18336" ht="15.75" customHeight="1" spans="1:2">
      <c r="A18336" s="3" t="str">
        <f>IFERROR(__xludf.DUMMYFUNCTION("GOOGLETRANSLATE(A18336,""en"",""pt"")"),"Vem com apenas um cartão de memória de 8 MB, não vem com adaptador AC, software ruim.")</f>
        <v>Vem com apenas um cartão de memória de 8 MB, não vem com adaptador AC, software ruim.</v>
      </c>
      <c r="B18336" s="3">
        <v>0</v>
      </c>
    </row>
    <row r="18337" ht="15.75" customHeight="1" spans="1:2">
      <c r="A18337" s="3" t="str">
        <f>IFERROR(__xludf.DUMMYFUNCTION("GOOGLETRANSLATE(A18337,""en"",""pt"")"),"Pode parecer confuso para os usuários primeira vez.")</f>
        <v>Pode parecer confuso para os usuários primeira vez.</v>
      </c>
      <c r="B18337" s="3">
        <v>0</v>
      </c>
    </row>
    <row r="18338" ht="15.75" customHeight="1" spans="1:2">
      <c r="A18338" s="3" t="str">
        <f>IFERROR(__xludf.DUMMYFUNCTION("GOOGLETRANSLATE(A18338,""en"",""pt"")"),"Características de preço, conectores proprietry.")</f>
        <v>Características de preço, conectores proprietry.</v>
      </c>
      <c r="B18338" s="3">
        <v>0</v>
      </c>
    </row>
    <row r="18339" ht="15.75" customHeight="1" spans="1:2">
      <c r="A18339" s="3" t="str">
        <f>IFERROR(__xludf.DUMMYFUNCTION("GOOGLETRANSLATE(A18339,""en"",""pt"")"),"Um grande bits e um pouco pesado, o feedback de energia é ruim")</f>
        <v>Um grande bits e um pouco pesado, o feedback de energia é ruim</v>
      </c>
      <c r="B18339" s="3">
        <v>0</v>
      </c>
    </row>
    <row r="18340" ht="15.75" customHeight="1" spans="1:2">
      <c r="A18340" s="3" t="str">
        <f>IFERROR(__xludf.DUMMYFUNCTION("GOOGLETRANSLATE(A18340,""en"",""pt"")"),"olhos vermelhos no flash de fotos")</f>
        <v>olhos vermelhos no flash de fotos</v>
      </c>
      <c r="B18340" s="3">
        <v>0</v>
      </c>
    </row>
    <row r="18341" ht="15.75" customHeight="1" spans="1:2">
      <c r="A18341" s="3" t="str">
        <f>IFERROR(__xludf.DUMMYFUNCTION("GOOGLETRANSLATE(A18341,""en"",""pt"")"),"Come-se baterias, tem um problema com controle de luz.")</f>
        <v>Come-se baterias, tem um problema com controle de luz.</v>
      </c>
      <c r="B18341" s="3">
        <v>0</v>
      </c>
    </row>
    <row r="18342" ht="15.75" customHeight="1" spans="1:2">
      <c r="A18342" s="3" t="str">
        <f>IFERROR(__xludf.DUMMYFUNCTION("GOOGLETRANSLATE(A18342,""en"",""pt"")"),"não dura, software incluído tem seus próprios problemas")</f>
        <v>não dura, software incluído tem seus próprios problemas</v>
      </c>
      <c r="B18342" s="3">
        <v>0</v>
      </c>
    </row>
    <row r="18343" ht="15.75" customHeight="1" spans="1:2">
      <c r="A18343" s="3" t="str">
        <f>IFERROR(__xludf.DUMMYFUNCTION("GOOGLETRANSLATE(A18343,""en"",""pt"")"),"pilhas AA come. Não é barato.")</f>
        <v>pilhas AA come. Não é barato.</v>
      </c>
      <c r="B18343" s="3">
        <v>0</v>
      </c>
    </row>
    <row r="18344" ht="15.75" customHeight="1" spans="1:2">
      <c r="A18344" s="3" t="str">
        <f>IFERROR(__xludf.DUMMYFUNCTION("GOOGLETRANSLATE(A18344,""en"",""pt"")"),"curta duração da bateria")</f>
        <v>curta duração da bateria</v>
      </c>
      <c r="B18344" s="3">
        <v>0</v>
      </c>
    </row>
    <row r="18345" ht="15.75" customHeight="1" spans="1:2">
      <c r="A18345" s="3" t="str">
        <f>IFERROR(__xludf.DUMMYFUNCTION("GOOGLETRANSLATE(A18345,""en"",""pt"")"),"Um pouco grande. A vida da bateria. função macro.")</f>
        <v>Um pouco grande. A vida da bateria. função macro.</v>
      </c>
      <c r="B18345" s="3">
        <v>0</v>
      </c>
    </row>
    <row r="18346" ht="15.75" customHeight="1" spans="1:2">
      <c r="A18346" s="3" t="str">
        <f>IFERROR(__xludf.DUMMYFUNCTION("GOOGLETRANSLATE(A18346,""en"",""pt"")"),"Parece barato, não excessivamente enchida com os Extras")</f>
        <v>Parece barato, não excessivamente enchida com os Extras</v>
      </c>
      <c r="B18346" s="3">
        <v>0</v>
      </c>
    </row>
    <row r="18347" ht="15.75" customHeight="1" spans="1:2">
      <c r="A18347" s="3" t="str">
        <f>IFERROR(__xludf.DUMMYFUNCTION("GOOGLETRANSLATE(A18347,""en"",""pt"")"),"A vida da bateria")</f>
        <v>A vida da bateria</v>
      </c>
      <c r="B18347" s="3">
        <v>0</v>
      </c>
    </row>
    <row r="18348" ht="15.75" customHeight="1" spans="1:2">
      <c r="A18348" s="3" t="str">
        <f>IFERROR(__xludf.DUMMYFUNCTION("GOOGLETRANSLATE(A18348,""en"",""pt"")"),"Fora dos acessórios de caixa são uma porcaria, jogar fora pilhas, jogar fora o cartão, nenhum adaptador")</f>
        <v>Fora dos acessórios de caixa são uma porcaria, jogar fora pilhas, jogar fora o cartão, nenhum adaptador</v>
      </c>
      <c r="B18348" s="3">
        <v>0</v>
      </c>
    </row>
    <row r="18349" ht="15.75" customHeight="1" spans="1:2">
      <c r="A18349" s="3" t="str">
        <f>IFERROR(__xludf.DUMMYFUNCTION("GOOGLETRANSLATE(A18349,""en"",""pt"")"),"Ao viajar você vai precisar de acessórios de memória.")</f>
        <v>Ao viajar você vai precisar de acessórios de memória.</v>
      </c>
      <c r="B18349" s="3">
        <v>0</v>
      </c>
    </row>
    <row r="18350" ht="15.75" customHeight="1" spans="1:2">
      <c r="A18350" s="3" t="str">
        <f>IFERROR(__xludf.DUMMYFUNCTION("GOOGLETRANSLATE(A18350,""en"",""pt"")"),"Eats 4 pilhas AA para o pequeno almoço, almoço e jantar e ainda alguns !!!")</f>
        <v>Eats 4 pilhas AA para o pequeno almoço, almoço e jantar e ainda alguns !!!</v>
      </c>
      <c r="B18350" s="3">
        <v>0</v>
      </c>
    </row>
    <row r="18351" ht="15.75" customHeight="1" spans="1:2">
      <c r="A18351" s="3" t="str">
        <f>IFERROR(__xludf.DUMMYFUNCTION("GOOGLETRANSLATE(A18351,""en"",""pt"")"),"pacote de software, a vida da bateria alcalina.")</f>
        <v>pacote de software, a vida da bateria alcalina.</v>
      </c>
      <c r="B18351" s="3">
        <v>0</v>
      </c>
    </row>
    <row r="18352" ht="15.75" customHeight="1" spans="1:2">
      <c r="A18352" s="3" t="str">
        <f>IFERROR(__xludf.DUMMYFUNCTION("GOOGLETRANSLATE(A18352,""en"",""pt"")"),"A vida da bateria, flash é terrível")</f>
        <v>A vida da bateria, flash é terrível</v>
      </c>
      <c r="B18352" s="3">
        <v>0</v>
      </c>
    </row>
    <row r="18353" ht="15.75" customHeight="1" spans="1:2">
      <c r="A18353" s="3" t="str">
        <f>IFERROR(__xludf.DUMMYFUNCTION("GOOGLETRANSLATE(A18353,""en"",""pt"")"),"A vida da bateria parece sofrer a menos que você remova a bateria enquanto não estiver em uso.")</f>
        <v>A vida da bateria parece sofrer a menos que você remova a bateria enquanto não estiver em uso.</v>
      </c>
      <c r="B18353" s="3">
        <v>0</v>
      </c>
    </row>
    <row r="18354" ht="15.75" customHeight="1" spans="1:2">
      <c r="A18354" s="3" t="str">
        <f>IFERROR(__xludf.DUMMYFUNCTION("GOOGLETRANSLATE(A18354,""en"",""pt"")"),"sofre duração da bateria com pilhas alcalinas normais")</f>
        <v>sofre duração da bateria com pilhas alcalinas normais</v>
      </c>
      <c r="B18354" s="3">
        <v>0</v>
      </c>
    </row>
    <row r="18355" ht="15.75" customHeight="1" spans="1:2">
      <c r="A18355" s="3" t="str">
        <f>IFERROR(__xludf.DUMMYFUNCTION("GOOGLETRANSLATE(A18355,""en"",""pt"")"),"Faz olhar da Duracell como um Califórnia Blackout!")</f>
        <v>Faz olhar da Duracell como um Califórnia Blackout!</v>
      </c>
      <c r="B18355" s="3">
        <v>0</v>
      </c>
    </row>
    <row r="18356" ht="15.75" customHeight="1" spans="1:2">
      <c r="A18356" s="3" t="str">
        <f>IFERROR(__xludf.DUMMYFUNCTION("GOOGLETRANSLATE(A18356,""en"",""pt"")"),"Não tão bom em situações de pouca luz.")</f>
        <v>Não tão bom em situações de pouca luz.</v>
      </c>
      <c r="B18356" s="3">
        <v>0</v>
      </c>
    </row>
    <row r="18357" ht="15.75" customHeight="1" spans="1:2">
      <c r="A18357" s="3" t="str">
        <f>IFERROR(__xludf.DUMMYFUNCTION("GOOGLETRANSLATE(A18357,""en"",""pt"")"),"Aviso pode causar conflitos conjugais.")</f>
        <v>Aviso pode causar conflitos conjugais.</v>
      </c>
      <c r="B18357" s="3">
        <v>0</v>
      </c>
    </row>
    <row r="18358" ht="15.75" customHeight="1" spans="1:2">
      <c r="A18358" s="3" t="str">
        <f>IFERROR(__xludf.DUMMYFUNCTION("GOOGLETRANSLATE(A18358,""en"",""pt"")"),"Tem alguns problemas em condições de baixa luminosidade no automático. Pequeno 8meg cartão")</f>
        <v>Tem alguns problemas em condições de baixa luminosidade no automático. Pequeno 8meg cartão</v>
      </c>
      <c r="B18358" s="3">
        <v>0</v>
      </c>
    </row>
    <row r="18359" ht="15.75" customHeight="1" spans="1:2">
      <c r="A18359" s="3" t="str">
        <f>IFERROR(__xludf.DUMMYFUNCTION("GOOGLETRANSLATE(A18359,""en"",""pt"")"),"NO VIDEO-FORA !!!")</f>
        <v>NO VIDEO-FORA !!!</v>
      </c>
      <c r="B18359" s="3">
        <v>0</v>
      </c>
    </row>
    <row r="18360" ht="15.75" customHeight="1" spans="1:2">
      <c r="A18360" s="3" t="str">
        <f>IFERROR(__xludf.DUMMYFUNCTION("GOOGLETRANSLATE(A18360,""en"",""pt"")"),"Electronic-único menu que é difícil de aprender, sem zoom óptico")</f>
        <v>Electronic-único menu que é difícil de aprender, sem zoom óptico</v>
      </c>
      <c r="B18360" s="3">
        <v>0</v>
      </c>
    </row>
    <row r="18361" ht="15.75" customHeight="1" spans="1:2">
      <c r="A18361" s="3" t="str">
        <f>IFERROR(__xludf.DUMMYFUNCTION("GOOGLETRANSLATE(A18361,""en"",""pt"")"),"ESTE come COISA BATERIAS como louco !, qualidade &amp; amp Pobre Zoom; atraso do obturador.")</f>
        <v>ESTE come COISA BATERIAS como louco !, qualidade &amp; amp Pobre Zoom; atraso do obturador.</v>
      </c>
      <c r="B18361" s="3">
        <v>0</v>
      </c>
    </row>
    <row r="18362" ht="15.75" customHeight="1" spans="1:2">
      <c r="A18362" s="3" t="str">
        <f>IFERROR(__xludf.DUMMYFUNCTION("GOOGLETRANSLATE(A18362,""en"",""pt"")"),"Baterias se esgotam muito rapidamente,")</f>
        <v>Baterias se esgotam muito rapidamente,</v>
      </c>
      <c r="B18362" s="3">
        <v>0</v>
      </c>
    </row>
    <row r="18363" ht="15.75" customHeight="1" spans="1:2">
      <c r="A18363" s="3" t="str">
        <f>IFERROR(__xludf.DUMMYFUNCTION("GOOGLETRANSLATE(A18363,""en"",""pt"")"),"não analógico zoom, sem flash externo opções de conexão, a vida da bateria")</f>
        <v>não analógico zoom, sem flash externo opções de conexão, a vida da bateria</v>
      </c>
      <c r="B18363" s="3">
        <v>0</v>
      </c>
    </row>
    <row r="18364" ht="15.75" customHeight="1" spans="1:2">
      <c r="A18364" s="3" t="str">
        <f>IFERROR(__xludf.DUMMYFUNCTION("GOOGLETRANSLATE(A18364,""en"",""pt"")"),"Os drivers de impressora são uma piada.")</f>
        <v>Os drivers de impressora são uma piada.</v>
      </c>
      <c r="B18364" s="3">
        <v>0</v>
      </c>
    </row>
    <row r="18365" ht="15.75" customHeight="1" spans="1:2">
      <c r="A18365" s="3" t="str">
        <f>IFERROR(__xludf.DUMMYFUNCTION("GOOGLETRANSLATE(A18365,""en"",""pt"")"),"pode nunca ter megapixels suficientes")</f>
        <v>pode nunca ter megapixels suficientes</v>
      </c>
      <c r="B18365" s="3">
        <v>0</v>
      </c>
    </row>
    <row r="18366" ht="15.75" customHeight="1" spans="1:2">
      <c r="A18366" s="3" t="str">
        <f>IFERROR(__xludf.DUMMYFUNCTION("GOOGLETRANSLATE(A18366,""en"",""pt"")"),"zoom óptico não, filmes mjpeg inúteis, baterias ir mais rápido a menos que você obter NiMH")</f>
        <v>zoom óptico não, filmes mjpeg inúteis, baterias ir mais rápido a menos que você obter NiMH</v>
      </c>
      <c r="B18366" s="3">
        <v>0</v>
      </c>
    </row>
    <row r="18367" ht="15.75" customHeight="1" spans="1:2">
      <c r="A18367" s="3" t="str">
        <f>IFERROR(__xludf.DUMMYFUNCTION("GOOGLETRANSLATE(A18367,""en"",""pt"")"),"Sem TIFF / RAW, o comportamento às vezes desagradável.")</f>
        <v>Sem TIFF / RAW, o comportamento às vezes desagradável.</v>
      </c>
      <c r="B18367" s="3">
        <v>0</v>
      </c>
    </row>
    <row r="18368" ht="15.75" customHeight="1" spans="1:2">
      <c r="A18368" s="3" t="str">
        <f>IFERROR(__xludf.DUMMYFUNCTION("GOOGLETRANSLATE(A18368,""en"",""pt"")"),"Pequeno ecrã, interface um pouco confuso no início")</f>
        <v>Pequeno ecrã, interface um pouco confuso no início</v>
      </c>
      <c r="B18368" s="3">
        <v>0</v>
      </c>
    </row>
    <row r="18369" ht="15.75" customHeight="1" spans="1:2">
      <c r="A18369" s="3" t="str">
        <f>IFERROR(__xludf.DUMMYFUNCTION("GOOGLETRANSLATE(A18369,""en"",""pt"")"),"má qualidade de construção. Sem zoom óptico. Microfone no topo da câmera onde seus restos dos dedos.")</f>
        <v>má qualidade de construção. Sem zoom óptico. Microfone no topo da câmera onde seus restos dos dedos.</v>
      </c>
      <c r="B18369" s="3">
        <v>0</v>
      </c>
    </row>
    <row r="18370" ht="15.75" customHeight="1" spans="1:2">
      <c r="A18370" s="3" t="str">
        <f>IFERROR(__xludf.DUMMYFUNCTION("GOOGLETRANSLATE(A18370,""en"",""pt"")"),"Seria bom ter um caso, apenas cartão de memória flash de 16 MB fornecido")</f>
        <v>Seria bom ter um caso, apenas cartão de memória flash de 16 MB fornecido</v>
      </c>
      <c r="B18370" s="3">
        <v>0</v>
      </c>
    </row>
    <row r="18371" ht="15.75" customHeight="1" spans="1:2">
      <c r="A18371" s="3" t="str">
        <f>IFERROR(__xludf.DUMMYFUNCTION("GOOGLETRANSLATE(A18371,""en"",""pt"")"),"no lado volumoso, zoom digital")</f>
        <v>no lado volumoso, zoom digital</v>
      </c>
      <c r="B18371" s="3">
        <v>0</v>
      </c>
    </row>
    <row r="18372" ht="15.75" customHeight="1" spans="1:2">
      <c r="A18372" s="3" t="str">
        <f>IFERROR(__xludf.DUMMYFUNCTION("GOOGLETRANSLATE(A18372,""en"",""pt"")"),"Volumoso, sem zoom óptico.")</f>
        <v>Volumoso, sem zoom óptico.</v>
      </c>
      <c r="B18372" s="3">
        <v>0</v>
      </c>
    </row>
    <row r="18373" ht="15.75" customHeight="1" spans="1:2">
      <c r="A18373" s="3" t="str">
        <f>IFERROR(__xludf.DUMMYFUNCTION("GOOGLETRANSLATE(A18373,""en"",""pt"")"),"Vida útil da bateria.")</f>
        <v>Vida útil da bateria.</v>
      </c>
      <c r="B18373" s="3">
        <v>0</v>
      </c>
    </row>
    <row r="18374" ht="15.75" customHeight="1" spans="1:2">
      <c r="A18374" s="3" t="str">
        <f>IFERROR(__xludf.DUMMYFUNCTION("GOOGLETRANSLATE(A18374,""en"",""pt"")"),"Técnico para o usuário da câmera pela primeira vez, realmente drena baterias")</f>
        <v>Técnico para o usuário da câmera pela primeira vez, realmente drena baterias</v>
      </c>
      <c r="B18374" s="3">
        <v>0</v>
      </c>
    </row>
    <row r="18375" ht="15.75" customHeight="1" spans="1:2">
      <c r="A18375" s="3" t="str">
        <f>IFERROR(__xludf.DUMMYFUNCTION("GOOGLETRANSLATE(A18375,""en"",""pt"")"),"Flash tempo de recarga")</f>
        <v>Flash tempo de recarga</v>
      </c>
      <c r="B18375" s="3">
        <v>0</v>
      </c>
    </row>
    <row r="18376" ht="15.75" customHeight="1" spans="1:2">
      <c r="A18376" s="3" t="str">
        <f>IFERROR(__xludf.DUMMYFUNCTION("GOOGLETRANSLATE(A18376,""en"",""pt"")"),"Nenhum")</f>
        <v>Nenhum</v>
      </c>
      <c r="B18376" s="3">
        <v>0</v>
      </c>
    </row>
    <row r="18377" ht="15.75" customHeight="1" spans="1:2">
      <c r="A18377" s="3" t="str">
        <f>IFERROR(__xludf.DUMMYFUNCTION("GOOGLETRANSLATE(A18377,""en"",""pt"")"),"Demasiados sinos e assobios para assustar o usuário iniciante.")</f>
        <v>Demasiados sinos e assobios para assustar o usuário iniciante.</v>
      </c>
      <c r="B18377" s="3">
        <v>0</v>
      </c>
    </row>
    <row r="18378" ht="15.75" customHeight="1" spans="1:2">
      <c r="A18378" s="3" t="str">
        <f>IFERROR(__xludf.DUMMYFUNCTION("GOOGLETRANSLATE(A18378,""en"",""pt"")"),"O foco automático é lento a vida da bateria, muito curto, com pilhas alcalinas, construção frágil (sente ""plastick-y"")")</f>
        <v>O foco automático é lento a vida da bateria, muito curto, com pilhas alcalinas, construção frágil (sente "plastick-y")</v>
      </c>
      <c r="B18378" s="3">
        <v>0</v>
      </c>
    </row>
    <row r="18379" ht="15.75" customHeight="1" spans="1:2">
      <c r="A18379" s="3" t="str">
        <f>IFERROR(__xludf.DUMMYFUNCTION("GOOGLETRANSLATE(A18379,""en"",""pt"")"),"nenhum para o dinheiro.")</f>
        <v>nenhum para o dinheiro.</v>
      </c>
      <c r="B18379" s="3">
        <v>0</v>
      </c>
    </row>
    <row r="18380" ht="15.75" customHeight="1" spans="1:2">
      <c r="A18380" s="3" t="str">
        <f>IFERROR(__xludf.DUMMYFUNCTION("GOOGLETRANSLATE(A18380,""en"",""pt"")"),"Nenhum são significativas. Pegajosa seletor de modo câmera. Foco poderia ser melhor.")</f>
        <v>Nenhum são significativas. Pegajosa seletor de modo câmera. Foco poderia ser melhor.</v>
      </c>
      <c r="B18380" s="3">
        <v>0</v>
      </c>
    </row>
    <row r="18381" ht="15.75" customHeight="1" spans="1:2">
      <c r="A18381" s="3" t="str">
        <f>IFERROR(__xludf.DUMMYFUNCTION("GOOGLETRANSLATE(A18381,""en"",""pt"")"),"Zoom não é suficiente")</f>
        <v>Zoom não é suficiente</v>
      </c>
      <c r="B18381" s="3">
        <v>0</v>
      </c>
    </row>
    <row r="18382" ht="15.75" customHeight="1" spans="1:2">
      <c r="A18382" s="3" t="str">
        <f>IFERROR(__xludf.DUMMYFUNCTION("GOOGLETRANSLATE(A18382,""en"",""pt"")"),"LCD muito pequeno e difícil de navegar.")</f>
        <v>LCD muito pequeno e difícil de navegar.</v>
      </c>
      <c r="B18382" s="3">
        <v>0</v>
      </c>
    </row>
    <row r="18383" ht="15.75" customHeight="1" spans="1:2">
      <c r="A18383" s="3" t="str">
        <f>IFERROR(__xludf.DUMMYFUNCTION("GOOGLETRANSLATE(A18383,""en"",""pt"")"),"Você vai querer pegar um cartão de memória maior e pilhas AA recarregáveis")</f>
        <v>Você vai querer pegar um cartão de memória maior e pilhas AA recarregáveis</v>
      </c>
      <c r="B18383" s="3">
        <v>0</v>
      </c>
    </row>
    <row r="18384" ht="15.75" customHeight="1" spans="1:2">
      <c r="A18384" s="3" t="str">
        <f>IFERROR(__xludf.DUMMYFUNCTION("GOOGLETRANSLATE(A18384,""en"",""pt"")"),"Sem baterias recarregável / carregador incluído, medíocre desempenho macro, lag média do obturador / start-up / tempos de ciclo")</f>
        <v>Sem baterias recarregável / carregador incluído, medíocre desempenho macro, lag média do obturador / start-up / tempos de ciclo</v>
      </c>
      <c r="B18384" s="3">
        <v>0</v>
      </c>
    </row>
    <row r="18385" ht="15.75" customHeight="1" spans="1:2">
      <c r="A18385" s="3" t="str">
        <f>IFERROR(__xludf.DUMMYFUNCTION("GOOGLETRANSLATE(A18385,""en"",""pt"")"),"controle de zoom Temperamental")</f>
        <v>controle de zoom Temperamental</v>
      </c>
      <c r="B18385" s="3">
        <v>0</v>
      </c>
    </row>
    <row r="18386" ht="15.75" customHeight="1" spans="1:2">
      <c r="A18386" s="3" t="str">
        <f>IFERROR(__xludf.DUMMYFUNCTION("GOOGLETRANSLATE(A18386,""en"",""pt"")"),"Deve vir junto com cartão de memória maior e baterias recarregáveis!")</f>
        <v>Deve vir junto com cartão de memória maior e baterias recarregáveis!</v>
      </c>
      <c r="B18386" s="3">
        <v>0</v>
      </c>
    </row>
    <row r="18387" ht="15.75" customHeight="1" spans="1:2">
      <c r="A18387" s="3" t="str">
        <f>IFERROR(__xludf.DUMMYFUNCTION("GOOGLETRANSLATE(A18387,""en"",""pt"")"),"sincronismo lento na velocidade de tiro e tirar fotos no modo automático.")</f>
        <v>sincronismo lento na velocidade de tiro e tirar fotos no modo automático.</v>
      </c>
      <c r="B18387" s="3">
        <v>0</v>
      </c>
    </row>
    <row r="18388" ht="15.75" customHeight="1" spans="1:2">
      <c r="A18388" s="3" t="str">
        <f>IFERROR(__xludf.DUMMYFUNCTION("GOOGLETRANSLATE(A18388,""en"",""pt"")"),"Limitado pacote acessório")</f>
        <v>Limitado pacote acessório</v>
      </c>
      <c r="B18388" s="3">
        <v>0</v>
      </c>
    </row>
    <row r="18389" ht="15.75" customHeight="1" spans="1:2">
      <c r="A18389" s="3" t="str">
        <f>IFERROR(__xludf.DUMMYFUNCTION("GOOGLETRANSLATE(A18389,""en"",""pt"")"),"número de série erasble, problema de foco automático, nenhum controlador de 4 vias, modo de filme limitado")</f>
        <v>número de série erasble, problema de foco automático, nenhum controlador de 4 vias, modo de filme limitado</v>
      </c>
      <c r="B18389" s="3">
        <v>0</v>
      </c>
    </row>
    <row r="18390" ht="15.75" customHeight="1" spans="1:2">
      <c r="A18390" s="3" t="str">
        <f>IFERROR(__xludf.DUMMYFUNCTION("GOOGLETRANSLATE(A18390,""en"",""pt"")"),"Pobres fotos macro, um pouco volumosos")</f>
        <v>Pobres fotos macro, um pouco volumosos</v>
      </c>
      <c r="B18390" s="3">
        <v>0</v>
      </c>
    </row>
    <row r="18391" ht="15.75" customHeight="1" spans="1:2">
      <c r="A18391" s="3" t="str">
        <f>IFERROR(__xludf.DUMMYFUNCTION("GOOGLETRANSLATE(A18391,""en"",""pt"")"),"Nenhum indicador para o comprimento focal. indicador de vida da bateria poderia ser melhor.")</f>
        <v>Nenhum indicador para o comprimento focal. indicador de vida da bateria poderia ser melhor.</v>
      </c>
      <c r="B18391" s="3">
        <v>0</v>
      </c>
    </row>
    <row r="18392" ht="15.75" customHeight="1" spans="1:2">
      <c r="A18392" s="3" t="str">
        <f>IFERROR(__xludf.DUMMYFUNCTION("GOOGLETRANSLATE(A18392,""en"",""pt"")"),"Contras?, Contras?, Sério, tenho apenas pequenas queixas com pequeno C / F cartão fornecido.")</f>
        <v>Contras?, Contras?, Sério, tenho apenas pequenas queixas com pequeno C / F cartão fornecido.</v>
      </c>
      <c r="B18392" s="3">
        <v>0</v>
      </c>
    </row>
    <row r="18393" ht="15.75" customHeight="1" spans="1:2">
      <c r="A18393" s="3" t="str">
        <f>IFERROR(__xludf.DUMMYFUNCTION("GOOGLETRANSLATE(A18393,""en"",""pt"")"),"Vem com um cartão de memória pequena, flash é um pouco fraco.")</f>
        <v>Vem com um cartão de memória pequena, flash é um pouco fraco.</v>
      </c>
      <c r="B18393" s="3">
        <v>0</v>
      </c>
    </row>
    <row r="18394" ht="15.75" customHeight="1" spans="1:2">
      <c r="A18394" s="3" t="str">
        <f>IFERROR(__xludf.DUMMYFUNCTION("GOOGLETRANSLATE(A18394,""en"",""pt"")"),"ligeiro atraso no obturador, filme de modo limitado a 10 segundos, foco, por vezes, frustrante")</f>
        <v>ligeiro atraso no obturador, filme de modo limitado a 10 segundos, foco, por vezes, frustrante</v>
      </c>
      <c r="B18394" s="3">
        <v>0</v>
      </c>
    </row>
    <row r="18395" ht="15.75" customHeight="1" spans="1:2">
      <c r="A18395" s="3" t="str">
        <f>IFERROR(__xludf.DUMMYFUNCTION("GOOGLETRANSLATE(A18395,""en"",""pt"")"),"Só vem com um cartão de memória flash de 8 MB Compact e sem baterias recarregáveis ​​ou adaptador AC.")</f>
        <v>Só vem com um cartão de memória flash de 8 MB Compact e sem baterias recarregáveis ​​ou adaptador AC.</v>
      </c>
      <c r="B18395" s="3">
        <v>0</v>
      </c>
    </row>
    <row r="18396" ht="15.75" customHeight="1" spans="1:2">
      <c r="A18396" s="3" t="str">
        <f>IFERROR(__xludf.DUMMYFUNCTION("GOOGLETRANSLATE(A18396,""en"",""pt"")"),"Um pouco volumoso, o software não será instalado no computador com suporte para fora")</f>
        <v>Um pouco volumoso, o software não será instalado no computador com suporte para fora</v>
      </c>
      <c r="B18396" s="3">
        <v>0</v>
      </c>
    </row>
    <row r="18397" ht="15.75" customHeight="1" spans="1:2">
      <c r="A18397" s="3" t="str">
        <f>IFERROR(__xludf.DUMMYFUNCTION("GOOGLETRANSLATE(A18397,""en"",""pt"")"),"Longa pausa entre as imagens, não há tempo suficiente vídeo.")</f>
        <v>Longa pausa entre as imagens, não há tempo suficiente vídeo.</v>
      </c>
      <c r="B18397" s="3">
        <v>0</v>
      </c>
    </row>
    <row r="18398" ht="15.75" customHeight="1" spans="1:2">
      <c r="A18398" s="3" t="str">
        <f>IFERROR(__xludf.DUMMYFUNCTION("GOOGLETRANSLATE(A18398,""en"",""pt"")"),"Algumas opções são necessárias.")</f>
        <v>Algumas opções são necessárias.</v>
      </c>
      <c r="B18398" s="3">
        <v>0</v>
      </c>
    </row>
    <row r="18399" ht="15.75" customHeight="1" spans="1:2">
      <c r="A18399" s="3" t="str">
        <f>IFERROR(__xludf.DUMMYFUNCTION("GOOGLETRANSLATE(A18399,""en"",""pt"")"),"A cor vermelha sai um pouco demasiado brilhante.")</f>
        <v>A cor vermelha sai um pouco demasiado brilhante.</v>
      </c>
      <c r="B18399" s="3">
        <v>0</v>
      </c>
    </row>
    <row r="18400" ht="15.75" customHeight="1" spans="1:2">
      <c r="A18400" s="3" t="str">
        <f>IFERROR(__xludf.DUMMYFUNCTION("GOOGLETRANSLATE(A18400,""en"",""pt"")"),"sistema de menu pode ser um pouco confuso, só vem com 8 MB de Flash.")</f>
        <v>sistema de menu pode ser um pouco confuso, só vem com 8 MB de Flash.</v>
      </c>
      <c r="B18400" s="3">
        <v>0</v>
      </c>
    </row>
    <row r="18401" ht="15.75" customHeight="1" spans="1:2">
      <c r="A18401" s="3" t="str">
        <f>IFERROR(__xludf.DUMMYFUNCTION("GOOGLETRANSLATE(A18401,""en"",""pt"")"),"Vida útil da bateria, velocidade do obturador é temperamental e qualidade da foto pode sofrer em condições de pouca luz.")</f>
        <v>Vida útil da bateria, velocidade do obturador é temperamental e qualidade da foto pode sofrer em condições de pouca luz.</v>
      </c>
      <c r="B18401" s="3">
        <v>0</v>
      </c>
    </row>
    <row r="18402" ht="15.75" customHeight="1" spans="1:2">
      <c r="A18402" s="3" t="str">
        <f>IFERROR(__xludf.DUMMYFUNCTION("GOOGLETRANSLATE(A18402,""en"",""pt"")"),"Sem fonte de alimentação AC, 8MB CF (você vai precisar de mais espaço) pequena tela LCD.")</f>
        <v>Sem fonte de alimentação AC, 8MB CF (você vai precisar de mais espaço) pequena tela LCD.</v>
      </c>
      <c r="B18402" s="3">
        <v>0</v>
      </c>
    </row>
    <row r="18403" ht="15.75" customHeight="1" spans="1:2">
      <c r="A18403" s="3" t="str">
        <f>IFERROR(__xludf.DUMMYFUNCTION("GOOGLETRANSLATE(A18403,""en"",""pt"")"),"não ótimo para tiro interior, uma câmera de arranque em alguns aspectos")</f>
        <v>não ótimo para tiro interior, uma câmera de arranque em alguns aspectos</v>
      </c>
      <c r="B18403" s="3">
        <v>0</v>
      </c>
    </row>
    <row r="18404" ht="15.75" customHeight="1" spans="1:2">
      <c r="A18404" s="3" t="str">
        <f>IFERROR(__xludf.DUMMYFUNCTION("GOOGLETRANSLATE(A18404,""en"",""pt"")"),"cobertura de borracha frágil para portas de E / S.")</f>
        <v>cobertura de borracha frágil para portas de E / S.</v>
      </c>
      <c r="B18404" s="3">
        <v>0</v>
      </c>
    </row>
    <row r="18405" ht="15.75" customHeight="1" spans="1:2">
      <c r="A18405" s="3" t="str">
        <f>IFERROR(__xludf.DUMMYFUNCTION("GOOGLETRANSLATE(A18405,""en"",""pt"")"),"Leva alguns segundos para que a imagem que será capturada.,")</f>
        <v>Leva alguns segundos para que a imagem que será capturada.,</v>
      </c>
      <c r="B18405" s="3">
        <v>0</v>
      </c>
    </row>
    <row r="18406" ht="15.75" customHeight="1" spans="1:2">
      <c r="A18406" s="3" t="str">
        <f>IFERROR(__xludf.DUMMYFUNCTION("GOOGLETRANSLATE(A18406,""en"",""pt"")"),"Precisa de um Four-Direcional, baterias Não recarregáveis ​​ou Camera Case, Lacks sem perdas compressão de imagem")</f>
        <v>Precisa de um Four-Direcional, baterias Não recarregáveis ​​ou Camera Case, Lacks sem perdas compressão de imagem</v>
      </c>
      <c r="B18406" s="3">
        <v>0</v>
      </c>
    </row>
    <row r="18407" ht="15.75" customHeight="1" spans="1:2">
      <c r="A18407" s="3" t="str">
        <f>IFERROR(__xludf.DUMMYFUNCTION("GOOGLETRANSLATE(A18407,""en"",""pt"")"),"Lotes de menus, um tanto complicado para navegar, a vida da bateria, volumosos.")</f>
        <v>Lotes de menus, um tanto complicado para navegar, a vida da bateria, volumosos.</v>
      </c>
      <c r="B18407" s="3">
        <v>0</v>
      </c>
    </row>
    <row r="18408" ht="15.75" customHeight="1" spans="1:2">
      <c r="A18408" s="3" t="str">
        <f>IFERROR(__xludf.DUMMYFUNCTION("GOOGLETRANSLATE(A18408,""en"",""pt"")"),"Pequeno cartão CF incluído, Software Imaging incluído carece de poder")</f>
        <v>Pequeno cartão CF incluído, Software Imaging incluído carece de poder</v>
      </c>
      <c r="B18408" s="3">
        <v>0</v>
      </c>
    </row>
    <row r="18409" ht="15.75" customHeight="1" spans="1:2">
      <c r="A18409" s="3" t="str">
        <f>IFERROR(__xludf.DUMMYFUNCTION("GOOGLETRANSLATE(A18409,""en"",""pt"")"),"Não tem uma alça de ombro e saco de transporte.")</f>
        <v>Não tem uma alça de ombro e saco de transporte.</v>
      </c>
      <c r="B18409" s="3">
        <v>0</v>
      </c>
    </row>
    <row r="18410" ht="15.75" customHeight="1" spans="1:2">
      <c r="A18410" s="3" t="str">
        <f>IFERROR(__xludf.DUMMYFUNCTION("GOOGLETRANSLATE(A18410,""en"",""pt"")"),"Shutter Lag")</f>
        <v>Shutter Lag</v>
      </c>
      <c r="B18410" s="3">
        <v>0</v>
      </c>
    </row>
    <row r="18411" ht="15.75" customHeight="1" spans="1:2">
      <c r="A18411" s="3" t="str">
        <f>IFERROR(__xludf.DUMMYFUNCTION("GOOGLETRANSLATE(A18411,""en"",""pt"")"),"Nenhum ainda")</f>
        <v>Nenhum ainda</v>
      </c>
      <c r="B18411" s="3">
        <v>0</v>
      </c>
    </row>
    <row r="18412" ht="15.75" customHeight="1" spans="1:2">
      <c r="A18412" s="3" t="str">
        <f>IFERROR(__xludf.DUMMYFUNCTION("GOOGLETRANSLATE(A18412,""en"",""pt"")"),"Shutter lag pode ser um pouco lento algumas vezes.")</f>
        <v>Shutter lag pode ser um pouco lento algumas vezes.</v>
      </c>
      <c r="B18412" s="3">
        <v>0</v>
      </c>
    </row>
    <row r="18413" ht="15.75" customHeight="1" spans="1:2">
      <c r="A18413" s="3" t="str">
        <f>IFERROR(__xludf.DUMMYFUNCTION("GOOGLETRANSLATE(A18413,""en"",""pt"")"),"Nenhum. Para esta faixa de preço que você não pode conseguir nada melhor.")</f>
        <v>Nenhum. Para esta faixa de preço que você não pode conseguir nada melhor.</v>
      </c>
      <c r="B18413" s="3">
        <v>0</v>
      </c>
    </row>
    <row r="18414" ht="15.75" customHeight="1" spans="1:2">
      <c r="A18414" s="3" t="str">
        <f>IFERROR(__xludf.DUMMYFUNCTION("GOOGLETRANSLATE(A18414,""en"",""pt"")"),"Apenas um, intervalo de tempo entre tiros.")</f>
        <v>Apenas um, intervalo de tempo entre tiros.</v>
      </c>
      <c r="B18414" s="3">
        <v>0</v>
      </c>
    </row>
    <row r="18415" ht="15.75" customHeight="1" spans="1:2">
      <c r="A18415" s="3" t="str">
        <f>IFERROR(__xludf.DUMMYFUNCTION("GOOGLETRANSLATE(A18415,""en"",""pt"")"),"Relativamente grande.")</f>
        <v>Relativamente grande.</v>
      </c>
      <c r="B18415" s="3">
        <v>0</v>
      </c>
    </row>
    <row r="18416" ht="15.75" customHeight="1" spans="1:2">
      <c r="A18416" s="3" t="str">
        <f>IFERROR(__xludf.DUMMYFUNCTION("GOOGLETRANSLATE(A18416,""en"",""pt"")"),"Ligeiramente arrefecer imagens, difícil de baixa foco de luz.")</f>
        <v>Ligeiramente arrefecer imagens, difícil de baixa foco de luz.</v>
      </c>
      <c r="B18416" s="3">
        <v>0</v>
      </c>
    </row>
    <row r="18417" ht="15.75" customHeight="1" spans="1:2">
      <c r="A18417" s="3" t="str">
        <f>IFERROR(__xludf.DUMMYFUNCTION("GOOGLETRANSLATE(A18417,""en"",""pt"")"),"não faça este erro ...")</f>
        <v>não faça este erro ...</v>
      </c>
      <c r="B18417" s="3">
        <v>0</v>
      </c>
    </row>
    <row r="18418" ht="15.75" customHeight="1" spans="1:2">
      <c r="A18418" s="3" t="str">
        <f>IFERROR(__xludf.DUMMYFUNCTION("GOOGLETRANSLATE(A18418,""en"",""pt"")"),"Preço, ícones na tela de LCD são pequenos, pequeno 8mb flashcard, comprou US $ 200 acessórios")</f>
        <v>Preço, ícones na tela de LCD são pequenos, pequeno 8mb flashcard, comprou US $ 200 acessórios</v>
      </c>
      <c r="B18418" s="3">
        <v>0</v>
      </c>
    </row>
    <row r="18419" ht="15.75" customHeight="1" spans="1:2">
      <c r="A18419" s="3" t="str">
        <f>IFERROR(__xludf.DUMMYFUNCTION("GOOGLETRANSLATE(A18419,""en"",""pt"")"),"Não vem com adaptador AC, carregador de bateria, e mais memória que você precisa")</f>
        <v>Não vem com adaptador AC, carregador de bateria, e mais memória que você precisa</v>
      </c>
      <c r="B18419" s="3">
        <v>0</v>
      </c>
    </row>
    <row r="18420" ht="15.75" customHeight="1" spans="1:2">
      <c r="A18420" s="3" t="str">
        <f>IFERROR(__xludf.DUMMYFUNCTION("GOOGLETRANSLATE(A18420,""en"",""pt"")"),"apenas 8 media MB incluído, drena pilhas AA regulares rapidamente")</f>
        <v>apenas 8 media MB incluído, drena pilhas AA regulares rapidamente</v>
      </c>
      <c r="B18420" s="3">
        <v>0</v>
      </c>
    </row>
    <row r="18421" ht="15.75" customHeight="1" spans="1:2">
      <c r="A18421" s="3" t="str">
        <f>IFERROR(__xludf.DUMMYFUNCTION("GOOGLETRANSLATE(A18421,""en"",""pt"")"),"No RAW / saída TIFF, LCD poderia ser um pouco melhor")</f>
        <v>No RAW / saída TIFF, LCD poderia ser um pouco melhor</v>
      </c>
      <c r="B18421" s="3">
        <v>0</v>
      </c>
    </row>
    <row r="18422" ht="15.75" customHeight="1" spans="1:2">
      <c r="A18422" s="3" t="str">
        <f>IFERROR(__xludf.DUMMYFUNCTION("GOOGLETRANSLATE(A18422,""en"",""pt"")"),"No carregador de bateria, um pouco menor LCD, pobre zoom digital (típico), e nenhum caso")</f>
        <v>No carregador de bateria, um pouco menor LCD, pobre zoom digital (típico), e nenhum caso</v>
      </c>
      <c r="B18422" s="3">
        <v>0</v>
      </c>
    </row>
    <row r="18423" ht="15.75" customHeight="1" spans="1:2">
      <c r="A18423" s="3" t="str">
        <f>IFERROR(__xludf.DUMMYFUNCTION("GOOGLETRANSLATE(A18423,""en"",""pt"")"),"Lapso de tempo em se concentrar às vezes é demorado.")</f>
        <v>Lapso de tempo em se concentrar às vezes é demorado.</v>
      </c>
      <c r="B18423" s="3">
        <v>0</v>
      </c>
    </row>
    <row r="18424" ht="15.75" customHeight="1" spans="1:2">
      <c r="A18424" s="3" t="str">
        <f>IFERROR(__xludf.DUMMYFUNCTION("GOOGLETRANSLATE(A18424,""en"",""pt"")"),"Granuladas fotos e foco pobres")</f>
        <v>Granuladas fotos e foco pobres</v>
      </c>
      <c r="B18424" s="3">
        <v>0</v>
      </c>
    </row>
    <row r="18425" ht="15.75" customHeight="1" spans="1:2">
      <c r="A18425" s="3" t="str">
        <f>IFERROR(__xludf.DUMMYFUNCTION("GOOGLETRANSLATE(A18425,""en"",""pt"")"),"Pesado, vida da bateria.")</f>
        <v>Pesado, vida da bateria.</v>
      </c>
      <c r="B18425" s="3">
        <v>0</v>
      </c>
    </row>
    <row r="18426" ht="15.75" customHeight="1" spans="1:2">
      <c r="A18426" s="3" t="str">
        <f>IFERROR(__xludf.DUMMYFUNCTION("GOOGLETRANSLATE(A18426,""en"",""pt"")"),"um pouco grande para uma digicam devido à assl'y lente. fotos quentes em halogéneo / lâmpadas")</f>
        <v>um pouco grande para uma digicam devido à assl'y lente. fotos quentes em halogéneo / lâmpadas</v>
      </c>
      <c r="B18426" s="3">
        <v>0</v>
      </c>
    </row>
    <row r="18427" ht="15.75" customHeight="1" spans="1:2">
      <c r="A18427" s="3" t="str">
        <f>IFERROR(__xludf.DUMMYFUNCTION("GOOGLETRANSLATE(A18427,""en"",""pt"")"),"mais pesada do que a maioria, o atraso do obturador")</f>
        <v>mais pesada do que a maioria, o atraso do obturador</v>
      </c>
      <c r="B18427" s="3">
        <v>0</v>
      </c>
    </row>
    <row r="18428" ht="15.75" customHeight="1" spans="1:2">
      <c r="A18428" s="3" t="str">
        <f>IFERROR(__xludf.DUMMYFUNCTION("GOOGLETRANSLATE(A18428,""en"",""pt"")"),"tempo entre obturador pressionado e foto tirada por muito tempo &amp; amp;. # 13; &amp; amp; # 10; 1024x768 máx &amp; amp; # 13; &amp; amp; # 10;")</f>
        <v>tempo entre obturador pressionado e foto tirada por muito tempo &amp; amp;. # 13; &amp; amp; # 10; 1024x768 máx &amp; amp; # 13; &amp; amp; # 10;</v>
      </c>
      <c r="B18428" s="3">
        <v>0</v>
      </c>
    </row>
    <row r="18429" ht="15.75" customHeight="1" spans="1:2">
      <c r="A18429" s="3" t="str">
        <f>IFERROR(__xludf.DUMMYFUNCTION("GOOGLETRANSLATE(A18429,""en"",""pt"")"),"Não tem uma lente zoom")</f>
        <v>Não tem uma lente zoom</v>
      </c>
      <c r="B18429" s="3">
        <v>0</v>
      </c>
    </row>
    <row r="18430" ht="15.75" customHeight="1" spans="1:2">
      <c r="A18430" s="3" t="str">
        <f>IFERROR(__xludf.DUMMYFUNCTION("GOOGLETRANSLATE(A18430,""en"",""pt"")"),"A conexão ao seu Mac ou PC (dois)")</f>
        <v>A conexão ao seu Mac ou PC (dois)</v>
      </c>
      <c r="B18430" s="3">
        <v>0</v>
      </c>
    </row>
    <row r="18431" ht="15.75" customHeight="1" spans="1:2">
      <c r="A18431" s="3" t="str">
        <f>IFERROR(__xludf.DUMMYFUNCTION("GOOGLETRANSLATE(A18431,""en"",""pt"")"),"baterias")</f>
        <v>baterias</v>
      </c>
      <c r="B18431" s="3">
        <v>0</v>
      </c>
    </row>
    <row r="18432" ht="15.75" customHeight="1" spans="1:2">
      <c r="A18432" s="3" t="str">
        <f>IFERROR(__xludf.DUMMYFUNCTION("GOOGLETRANSLATE(A18432,""en"",""pt"")"),"Sem bateria recarregável")</f>
        <v>Sem bateria recarregável</v>
      </c>
      <c r="B18432" s="3">
        <v>0</v>
      </c>
    </row>
    <row r="18433" ht="15.75" customHeight="1" spans="1:2">
      <c r="A18433" s="3" t="str">
        <f>IFERROR(__xludf.DUMMYFUNCTION("GOOGLETRANSLATE(A18433,""en"",""pt"")"),"zoom limitado, bateria especial")</f>
        <v>zoom limitado, bateria especial</v>
      </c>
      <c r="B18433" s="3">
        <v>0</v>
      </c>
    </row>
    <row r="18434" ht="15.75" customHeight="1" spans="1:2">
      <c r="A18434" s="3" t="str">
        <f>IFERROR(__xludf.DUMMYFUNCTION("GOOGLETRANSLATE(A18434,""en"",""pt"")"),"imagens de baixa")</f>
        <v>imagens de baixa</v>
      </c>
      <c r="B18434" s="3">
        <v>0</v>
      </c>
    </row>
    <row r="18435" ht="15.75" customHeight="1" spans="1:2">
      <c r="A18435" s="3" t="str">
        <f>IFERROR(__xludf.DUMMYFUNCTION("GOOGLETRANSLATE(A18435,""en"",""pt"")"),"imagens pobres, interface pobre, pobre software")</f>
        <v>imagens pobres, interface pobre, pobre software</v>
      </c>
      <c r="B18435" s="3">
        <v>0</v>
      </c>
    </row>
    <row r="18436" ht="15.75" customHeight="1" spans="1:2">
      <c r="A18436" s="3" t="str">
        <f>IFERROR(__xludf.DUMMYFUNCTION("GOOGLETRANSLATE(A18436,""en"",""pt"")"),"funções simplistas, decentemente preços")</f>
        <v>funções simplistas, decentemente preços</v>
      </c>
      <c r="B18436" s="3">
        <v>0</v>
      </c>
    </row>
    <row r="18437" ht="15.75" customHeight="1" spans="1:2">
      <c r="A18437" s="3" t="str">
        <f>IFERROR(__xludf.DUMMYFUNCTION("GOOGLETRANSLATE(A18437,""en"",""pt"")"),"Nenhum!")</f>
        <v>Nenhum!</v>
      </c>
      <c r="B18437" s="3">
        <v>0</v>
      </c>
    </row>
    <row r="18438" ht="15.75" customHeight="1" spans="1:2">
      <c r="A18438" s="3" t="str">
        <f>IFERROR(__xludf.DUMMYFUNCTION("GOOGLETRANSLATE(A18438,""en"",""pt"")"),"Nada")</f>
        <v>Nada</v>
      </c>
      <c r="B18438" s="3">
        <v>0</v>
      </c>
    </row>
    <row r="18439" ht="15.75" customHeight="1" spans="1:2">
      <c r="A18439" s="3" t="str">
        <f>IFERROR(__xludf.DUMMYFUNCTION("GOOGLETRANSLATE(A18439,""en"",""pt"")"),"Bateria, transferência de dados")</f>
        <v>Bateria, transferência de dados</v>
      </c>
      <c r="B18439" s="3">
        <v>0</v>
      </c>
    </row>
    <row r="18440" ht="15.75" customHeight="1" spans="1:2">
      <c r="A18440" s="3" t="str">
        <f>IFERROR(__xludf.DUMMYFUNCTION("GOOGLETRANSLATE(A18440,""en"",""pt"")"),"Juttada")</f>
        <v>Juttada</v>
      </c>
      <c r="B18440" s="3">
        <v>0</v>
      </c>
    </row>
    <row r="18441" ht="15.75" customHeight="1" spans="1:2">
      <c r="A18441" s="3" t="str">
        <f>IFERROR(__xludf.DUMMYFUNCTION("GOOGLETRANSLATE(A18441,""en"",""pt"")"),"Exposição")</f>
        <v>Exposição</v>
      </c>
      <c r="B18441" s="3">
        <v>0</v>
      </c>
    </row>
    <row r="18442" ht="15.75" customHeight="1" spans="1:2">
      <c r="A18442" s="3" t="str">
        <f>IFERROR(__xludf.DUMMYFUNCTION("GOOGLETRANSLATE(A18442,""en"",""pt"")"),"Não a maior resolução disponível")</f>
        <v>Não a maior resolução disponível</v>
      </c>
      <c r="B18442" s="3">
        <v>0</v>
      </c>
    </row>
    <row r="18443" ht="15.75" customHeight="1" spans="1:2">
      <c r="A18443" s="3" t="str">
        <f>IFERROR(__xludf.DUMMYFUNCTION("GOOGLETRANSLATE(A18443,""en"",""pt"")"),"Nenhum significativa")</f>
        <v>Nenhum significativa</v>
      </c>
      <c r="B18443" s="3">
        <v>0</v>
      </c>
    </row>
    <row r="18444" ht="15.75" customHeight="1" spans="1:2">
      <c r="A18444" s="3" t="str">
        <f>IFERROR(__xludf.DUMMYFUNCTION("GOOGLETRANSLATE(A18444,""en"",""pt"")"),"Dois segundos de espera antes de snapshot real, longe imagens não muito boas.")</f>
        <v>Dois segundos de espera antes de snapshot real, longe imagens não muito boas.</v>
      </c>
      <c r="B18444" s="3">
        <v>0</v>
      </c>
    </row>
    <row r="18445" ht="15.75" customHeight="1" spans="1:2">
      <c r="A18445" s="3" t="str">
        <f>IFERROR(__xludf.DUMMYFUNCTION("GOOGLETRANSLATE(A18445,""en"",""pt"")"),"Tipo de feio olhando")</f>
        <v>Tipo de feio olhando</v>
      </c>
      <c r="B18445" s="3">
        <v>0</v>
      </c>
    </row>
    <row r="18446" ht="15.75" customHeight="1" spans="1:2">
      <c r="A18446" s="3" t="str">
        <f>IFERROR(__xludf.DUMMYFUNCTION("GOOGLETRANSLATE(A18446,""en"",""pt"")"),"Vida útil da bateria, tipo de bateria")</f>
        <v>Vida útil da bateria, tipo de bateria</v>
      </c>
      <c r="B18446" s="3">
        <v>0</v>
      </c>
    </row>
    <row r="18447" ht="15.75" customHeight="1" spans="1:2">
      <c r="A18447" s="3" t="str">
        <f>IFERROR(__xludf.DUMMYFUNCTION("GOOGLETRANSLATE(A18447,""en"",""pt"")"),"Nenhum que eu encontrei")</f>
        <v>Nenhum que eu encontrei</v>
      </c>
      <c r="B18447" s="3">
        <v>0</v>
      </c>
    </row>
    <row r="18448" ht="15.75" customHeight="1" spans="1:2">
      <c r="A18448" s="3" t="str">
        <f>IFERROR(__xludf.DUMMYFUNCTION("GOOGLETRANSLATE(A18448,""en"",""pt"")"),"não tão alta qualidade fotográfica como modelos mais caros")</f>
        <v>não tão alta qualidade fotográfica como modelos mais caros</v>
      </c>
      <c r="B18448" s="3">
        <v>0</v>
      </c>
    </row>
    <row r="18449" ht="15.75" customHeight="1" spans="1:2">
      <c r="A18449" s="3" t="str">
        <f>IFERROR(__xludf.DUMMYFUNCTION("GOOGLETRANSLATE(A18449,""en"",""pt"")"),"a muito")</f>
        <v>a muito</v>
      </c>
      <c r="B18449" s="3">
        <v>0</v>
      </c>
    </row>
    <row r="18450" ht="15.75" customHeight="1" spans="1:2">
      <c r="A18450" s="3" t="str">
        <f>IFERROR(__xludf.DUMMYFUNCTION("GOOGLETRANSLATE(A18450,""en"",""pt"")"),"Eu aviso você....")</f>
        <v>Eu aviso você....</v>
      </c>
      <c r="B18450" s="3">
        <v>0</v>
      </c>
    </row>
    <row r="18451" ht="15.75" customHeight="1" spans="1:2">
      <c r="A18451" s="3" t="str">
        <f>IFERROR(__xludf.DUMMYFUNCTION("GOOGLETRANSLATE(A18451,""en"",""pt"")"),"Caro ... Printer ???")</f>
        <v>Caro ... Printer ???</v>
      </c>
      <c r="B18451" s="3">
        <v>0</v>
      </c>
    </row>
    <row r="18452" ht="15.75" customHeight="1" spans="1:2">
      <c r="A18452" s="3" t="str">
        <f>IFERROR(__xludf.DUMMYFUNCTION("GOOGLETRANSLATE(A18452,""en"",""pt"")"),"não grande imagem, não é ótimo preço")</f>
        <v>não grande imagem, não é ótimo preço</v>
      </c>
      <c r="B18452" s="3">
        <v>0</v>
      </c>
    </row>
    <row r="18453" ht="15.75" customHeight="1" spans="1:2">
      <c r="A18453" s="3" t="str">
        <f>IFERROR(__xludf.DUMMYFUNCTION("GOOGLETRANSLATE(A18453,""en"",""pt"")"),"não tão clara como outras câmeras")</f>
        <v>não tão clara como outras câmeras</v>
      </c>
      <c r="B18453" s="3">
        <v>0</v>
      </c>
    </row>
    <row r="18454" ht="15.75" customHeight="1" spans="1:2">
      <c r="A18454" s="3" t="str">
        <f>IFERROR(__xludf.DUMMYFUNCTION("GOOGLETRANSLATE(A18454,""en"",""pt"")"),"útil apenas como uma câmera instantâneo, caro para alguém que prefere física para fotografias digitais")</f>
        <v>útil apenas como uma câmera instantâneo, caro para alguém que prefere física para fotografias digitais</v>
      </c>
      <c r="B18454" s="3">
        <v>0</v>
      </c>
    </row>
    <row r="18455" ht="15.75" customHeight="1" spans="1:2">
      <c r="A18455" s="3" t="str">
        <f>IFERROR(__xludf.DUMMYFUNCTION("GOOGLETRANSLATE(A18455,""en"",""pt"")"),"baterias são caros; interface de usuário poderia ser melhor")</f>
        <v>baterias são caros; interface de usuário poderia ser melhor</v>
      </c>
      <c r="B18455" s="3">
        <v>0</v>
      </c>
    </row>
    <row r="18456" ht="15.75" customHeight="1" spans="1:2">
      <c r="A18456" s="3" t="str">
        <f>IFERROR(__xludf.DUMMYFUNCTION("GOOGLETRANSLATE(A18456,""en"",""pt"")"),"Nenhum")</f>
        <v>Nenhum</v>
      </c>
      <c r="B18456" s="3">
        <v>0</v>
      </c>
    </row>
    <row r="18457" ht="15.75" customHeight="1" spans="1:2">
      <c r="A18457" s="3" t="str">
        <f>IFERROR(__xludf.DUMMYFUNCTION("GOOGLETRANSLATE(A18457,""en"",""pt"")"),"Alto custo, o consumo da bateria")</f>
        <v>Alto custo, o consumo da bateria</v>
      </c>
      <c r="B18457" s="3">
        <v>0</v>
      </c>
    </row>
    <row r="18458" ht="15.75" customHeight="1" spans="1:2">
      <c r="A18458" s="3" t="str">
        <f>IFERROR(__xludf.DUMMYFUNCTION("GOOGLETRANSLATE(A18458,""en"",""pt"")"),"Consumo de energia; deve ser vendido com o kit de energia 'opcional incluído.")</f>
        <v>Consumo de energia; deve ser vendido com o kit de energia 'opcional incluído.</v>
      </c>
      <c r="B18458" s="3">
        <v>0</v>
      </c>
    </row>
    <row r="18459" ht="15.75" customHeight="1" spans="1:2">
      <c r="A18459" s="3" t="str">
        <f>IFERROR(__xludf.DUMMYFUNCTION("GOOGLETRANSLATE(A18459,""en"",""pt"")"),"Custo de obter uma bateria recarregável")</f>
        <v>Custo de obter uma bateria recarregável</v>
      </c>
      <c r="B18459" s="3">
        <v>0</v>
      </c>
    </row>
    <row r="18460" ht="15.75" customHeight="1" spans="1:2">
      <c r="A18460" s="3" t="str">
        <f>IFERROR(__xludf.DUMMYFUNCTION("GOOGLETRANSLATE(A18460,""en"",""pt"")"),"cores pobres em baixa resolução, fácil de dente (ouch!), tipo de pilha arcano")</f>
        <v>cores pobres em baixa resolução, fácil de dente (ouch!), tipo de pilha arcano</v>
      </c>
      <c r="B18460" s="3">
        <v>0</v>
      </c>
    </row>
    <row r="18461" ht="15.75" customHeight="1" spans="1:2">
      <c r="A18461" s="3" t="str">
        <f>IFERROR(__xludf.DUMMYFUNCTION("GOOGLETRANSLATE(A18461,""en"",""pt"")"),"Sem suporte USB")</f>
        <v>Sem suporte USB</v>
      </c>
      <c r="B18461" s="3">
        <v>0</v>
      </c>
    </row>
    <row r="18462" ht="15.75" customHeight="1" spans="1:2">
      <c r="A18462" s="3" t="str">
        <f>IFERROR(__xludf.DUMMYFUNCTION("GOOGLETRANSLATE(A18462,""en"",""pt"")"),"não pode ser utilizado como câmara web")</f>
        <v>não pode ser utilizado como câmara web</v>
      </c>
      <c r="B18462" s="3">
        <v>0</v>
      </c>
    </row>
    <row r="18463" ht="15.75" customHeight="1" spans="1:2">
      <c r="A18463" s="3" t="str">
        <f>IFERROR(__xludf.DUMMYFUNCTION("GOOGLETRANSLATE(A18463,""en"",""pt"")"),"um pouco caro")</f>
        <v>um pouco caro</v>
      </c>
      <c r="B18463" s="3">
        <v>0</v>
      </c>
    </row>
    <row r="18464" ht="15.75" customHeight="1" spans="1:2">
      <c r="A18464" s="3" t="str">
        <f>IFERROR(__xludf.DUMMYFUNCTION("GOOGLETRANSLATE(A18464,""en"",""pt"")"),"Nenhum")</f>
        <v>Nenhum</v>
      </c>
      <c r="B18464" s="3">
        <v>0</v>
      </c>
    </row>
    <row r="18465" ht="15.75" customHeight="1" spans="1:2">
      <c r="A18465" s="3" t="str">
        <f>IFERROR(__xludf.DUMMYFUNCTION("GOOGLETRANSLATE(A18465,""en"",""pt"")"),"Não é um medidor de bateria. redução de olhos vermelhos não funciona bem.")</f>
        <v>Não é um medidor de bateria. redução de olhos vermelhos não funciona bem.</v>
      </c>
      <c r="B18465" s="3">
        <v>0</v>
      </c>
    </row>
    <row r="18466" ht="15.75" customHeight="1" spans="1:2">
      <c r="A18466" s="3" t="str">
        <f>IFERROR(__xludf.DUMMYFUNCTION("GOOGLETRANSLATE(A18466,""en"",""pt"")"),"?")</f>
        <v>?</v>
      </c>
      <c r="B18466" s="3">
        <v>0</v>
      </c>
    </row>
    <row r="18467" ht="15.75" customHeight="1" spans="1:2">
      <c r="A18467" s="3" t="str">
        <f>IFERROR(__xludf.DUMMYFUNCTION("GOOGLETRANSLATE(A18467,""en"",""pt"")"),"Vida útil da bateria, a falta de controles manuais, Custo de bateria recarregável")</f>
        <v>Vida útil da bateria, a falta de controles manuais, Custo de bateria recarregável</v>
      </c>
      <c r="B18467" s="3">
        <v>0</v>
      </c>
    </row>
    <row r="18468" ht="15.75" customHeight="1" spans="1:2">
      <c r="A18468" s="3" t="str">
        <f>IFERROR(__xludf.DUMMYFUNCTION("GOOGLETRANSLATE(A18468,""en"",""pt"")"),"fotos em ambientes exigir mais pensamento, flash é fraco, porta do cartucho CF é frágil")</f>
        <v>fotos em ambientes exigir mais pensamento, flash é fraco, porta do cartucho CF é frágil</v>
      </c>
      <c r="B18468" s="3">
        <v>0</v>
      </c>
    </row>
    <row r="18469" ht="15.75" customHeight="1" spans="1:2">
      <c r="A18469" s="3" t="str">
        <f>IFERROR(__xludf.DUMMYFUNCTION("GOOGLETRANSLATE(A18469,""en"",""pt"")"),"Sem USB, utiliza 2CR5 baterias")</f>
        <v>Sem USB, utiliza 2CR5 baterias</v>
      </c>
      <c r="B18469" s="3">
        <v>0</v>
      </c>
    </row>
    <row r="18470" ht="15.75" customHeight="1" spans="1:2">
      <c r="A18470" s="3" t="str">
        <f>IFERROR(__xludf.DUMMYFUNCTION("GOOGLETRANSLATE(A18470,""en"",""pt"")"),"Software que veio da Canon")</f>
        <v>Software que veio da Canon</v>
      </c>
      <c r="B18470" s="3">
        <v>0</v>
      </c>
    </row>
    <row r="18471" ht="15.75" customHeight="1" spans="1:2">
      <c r="A18471" s="3" t="str">
        <f>IFERROR(__xludf.DUMMYFUNCTION("GOOGLETRANSLATE(A18471,""en"",""pt"")"),"interface serial, bateria estranha")</f>
        <v>interface serial, bateria estranha</v>
      </c>
      <c r="B18471" s="3">
        <v>0</v>
      </c>
    </row>
    <row r="18472" ht="15.75" customHeight="1" spans="1:2">
      <c r="A18472" s="3" t="str">
        <f>IFERROR(__xludf.DUMMYFUNCTION("GOOGLETRANSLATE(A18472,""en"",""pt"")"),"acessórios inatingíveis, período de tempo para tirar uma foto")</f>
        <v>acessórios inatingíveis, período de tempo para tirar uma foto</v>
      </c>
      <c r="B18472" s="3">
        <v>0</v>
      </c>
    </row>
    <row r="18473" ht="15.75" customHeight="1" spans="1:2">
      <c r="A18473" s="3" t="str">
        <f>IFERROR(__xludf.DUMMYFUNCTION("GOOGLETRANSLATE(A18473,""en"",""pt"")"),"nenhuma fonte de alimentação, baterias caras, design pobre")</f>
        <v>nenhuma fonte de alimentação, baterias caras, design pobre</v>
      </c>
      <c r="B18473" s="3">
        <v>0</v>
      </c>
    </row>
    <row r="18474" ht="15.75" customHeight="1" spans="1:2">
      <c r="A18474" s="3" t="str">
        <f>IFERROR(__xludf.DUMMYFUNCTION("GOOGLETRANSLATE(A18474,""en"",""pt"")"),"Precisa de uma mão firme em condições de baixa luz")</f>
        <v>Precisa de uma mão firme em condições de baixa luz</v>
      </c>
      <c r="B18474" s="3">
        <v>0</v>
      </c>
    </row>
    <row r="18475" ht="15.75" customHeight="1" spans="1:2">
      <c r="A18475" s="3" t="str">
        <f>IFERROR(__xludf.DUMMYFUNCTION("GOOGLETRANSLATE(A18475,""en"",""pt"")"),"Pobres indoor tiros, vida útil da bateria")</f>
        <v>Pobres indoor tiros, vida útil da bateria</v>
      </c>
      <c r="B18475" s="3">
        <v>0</v>
      </c>
    </row>
    <row r="18476" ht="15.75" customHeight="1" spans="1:2">
      <c r="A18476" s="3" t="str">
        <f>IFERROR(__xludf.DUMMYFUNCTION("GOOGLETRANSLATE(A18476,""en"",""pt"")"),"Sedento de poder se zoom e LCD são usadas.")</f>
        <v>Sedento de poder se zoom e LCD são usadas.</v>
      </c>
      <c r="B18476" s="3">
        <v>0</v>
      </c>
    </row>
    <row r="18477" ht="15.75" customHeight="1" spans="1:2">
      <c r="A18477" s="3" t="str">
        <f>IFERROR(__xludf.DUMMYFUNCTION("GOOGLETRANSLATE(A18477,""en"",""pt"")"),"baterias são caros")</f>
        <v>baterias são caros</v>
      </c>
      <c r="B18477" s="3">
        <v>0</v>
      </c>
    </row>
    <row r="18478" ht="15.75" customHeight="1" spans="1:2">
      <c r="A18478" s="3" t="str">
        <f>IFERROR(__xludf.DUMMYFUNCTION("GOOGLETRANSLATE(A18478,""en"",""pt"")"),"Tem que comprar o carregador de pilhas")</f>
        <v>Tem que comprar o carregador de pilhas</v>
      </c>
      <c r="B18478" s="3">
        <v>0</v>
      </c>
    </row>
    <row r="18479" ht="15.75" customHeight="1" spans="1:2">
      <c r="A18479" s="3" t="str">
        <f>IFERROR(__xludf.DUMMYFUNCTION("GOOGLETRANSLATE(A18479,""en"",""pt"")"),"Se você não tem carregador de bateria, você não está indo para ser feliz")</f>
        <v>Se você não tem carregador de bateria, você não está indo para ser feliz</v>
      </c>
      <c r="B18479" s="3">
        <v>0</v>
      </c>
    </row>
    <row r="18480" ht="15.75" customHeight="1" spans="1:2">
      <c r="A18480" s="3" t="str">
        <f>IFERROR(__xludf.DUMMYFUNCTION("GOOGLETRANSLATE(A18480,""en"",""pt"")"),"Esta é uma primeira câmera classe que deve atender a maioria das necessidades")</f>
        <v>Esta é uma primeira câmera classe que deve atender a maioria das necessidades</v>
      </c>
      <c r="B18480" s="3">
        <v>0</v>
      </c>
    </row>
    <row r="18481" ht="15.75" customHeight="1" spans="1:2">
      <c r="A18481" s="3" t="str">
        <f>IFERROR(__xludf.DUMMYFUNCTION("GOOGLETRANSLATE(A18481,""en"",""pt"")"),"Carregador de Bateria Custos $$$")</f>
        <v>Carregador de Bateria Custos $$$</v>
      </c>
      <c r="B18481" s="3">
        <v>0</v>
      </c>
    </row>
    <row r="18482" ht="15.75" customHeight="1" spans="1:2">
      <c r="A18482" s="3" t="str">
        <f>IFERROR(__xludf.DUMMYFUNCTION("GOOGLETRANSLATE(A18482,""en"",""pt"")"),"sim")</f>
        <v>sim</v>
      </c>
      <c r="B18482" s="3">
        <v>0</v>
      </c>
    </row>
    <row r="18483" ht="15.75" customHeight="1" spans="1:2">
      <c r="A18483" s="3" t="str">
        <f>IFERROR(__xludf.DUMMYFUNCTION("GOOGLETRANSLATE(A18483,""en"",""pt"")"),"nova tecnologia, tão cedo desatualizado")</f>
        <v>nova tecnologia, tão cedo desatualizado</v>
      </c>
      <c r="B18483" s="3">
        <v>0</v>
      </c>
    </row>
    <row r="18484" ht="15.75" customHeight="1" spans="1:2">
      <c r="A18484" s="3" t="str">
        <f>IFERROR(__xludf.DUMMYFUNCTION("GOOGLETRANSLATE(A18484,""en"",""pt"")"),"flash de meio fraco")</f>
        <v>flash de meio fraco</v>
      </c>
      <c r="B18484" s="3">
        <v>0</v>
      </c>
    </row>
    <row r="18485" ht="15.75" customHeight="1" spans="1:2">
      <c r="A18485" s="3" t="str">
        <f>IFERROR(__xludf.DUMMYFUNCTION("GOOGLETRANSLATE(A18485,""en"",""pt"")"),"come pilhas alcalinas, necessidade de comprar o pacote de energia e bateria extra; melhor ao ar livre do que dentro de casa")</f>
        <v>come pilhas alcalinas, necessidade de comprar o pacote de energia e bateria extra; melhor ao ar livre do que dentro de casa</v>
      </c>
      <c r="B18485" s="3">
        <v>0</v>
      </c>
    </row>
    <row r="18486" ht="15.75" customHeight="1" spans="1:2">
      <c r="A18486" s="3" t="str">
        <f>IFERROR(__xludf.DUMMYFUNCTION("GOOGLETRANSLATE(A18486,""en"",""pt"")"),"curta vida útil da bateria, tamanho pequeno torna difícil para mãos grandes para uso.")</f>
        <v>curta vida útil da bateria, tamanho pequeno torna difícil para mãos grandes para uso.</v>
      </c>
      <c r="B18486" s="3">
        <v>0</v>
      </c>
    </row>
    <row r="18487" ht="15.75" customHeight="1" spans="1:2">
      <c r="A18487" s="3" t="str">
        <f>IFERROR(__xludf.DUMMYFUNCTION("GOOGLETRANSLATE(A18487,""en"",""pt"")"),"Não USB, precisa de alguns extras")</f>
        <v>Não USB, precisa de alguns extras</v>
      </c>
      <c r="B18487" s="3">
        <v>0</v>
      </c>
    </row>
    <row r="18488" ht="15.75" customHeight="1" spans="1:2">
      <c r="A18488" s="3" t="str">
        <f>IFERROR(__xludf.DUMMYFUNCTION("GOOGLETRANSLATE(A18488,""en"",""pt"")"),"Nenhum até agora, realmente!")</f>
        <v>Nenhum até agora, realmente!</v>
      </c>
      <c r="B18488" s="3">
        <v>0</v>
      </c>
    </row>
    <row r="18489" ht="15.75" customHeight="1" spans="1:2">
      <c r="A18489" s="3" t="str">
        <f>IFERROR(__xludf.DUMMYFUNCTION("GOOGLETRANSLATE(A18489,""en"",""pt"")"),"controle de zoom, preço")</f>
        <v>controle de zoom, preço</v>
      </c>
      <c r="B18489" s="3">
        <v>0</v>
      </c>
    </row>
    <row r="18490" ht="15.75" customHeight="1" spans="1:2">
      <c r="A18490" s="3" t="str">
        <f>IFERROR(__xludf.DUMMYFUNCTION("GOOGLETRANSLATE(A18490,""en"",""pt"")"),"O único con é que ele não vem com carregador de bateria")</f>
        <v>O único con é que ele não vem com carregador de bateria</v>
      </c>
      <c r="B18490" s="3">
        <v>0</v>
      </c>
    </row>
    <row r="18491" ht="15.75" customHeight="1" spans="1:2">
      <c r="A18491" s="3" t="str">
        <f>IFERROR(__xludf.DUMMYFUNCTION("GOOGLETRANSLATE(A18491,""en"",""pt"")"),"O Flash não acelerador para baixo bem para macros, imagens ligeiramente mais suaves (não é grande coisa).")</f>
        <v>O Flash não acelerador para baixo bem para macros, imagens ligeiramente mais suaves (não é grande coisa).</v>
      </c>
      <c r="B18491" s="3">
        <v>0</v>
      </c>
    </row>
    <row r="18492" ht="15.75" customHeight="1" spans="1:2">
      <c r="A18492" s="3" t="str">
        <f>IFERROR(__xludf.DUMMYFUNCTION("GOOGLETRANSLATE(A18492,""en"",""pt"")"),"Realmente nada que reclamar.")</f>
        <v>Realmente nada que reclamar.</v>
      </c>
      <c r="B18492" s="3">
        <v>0</v>
      </c>
    </row>
    <row r="18493" ht="15.75" customHeight="1" spans="1:2">
      <c r="A18493" s="3" t="str">
        <f>IFERROR(__xludf.DUMMYFUNCTION("GOOGLETRANSLATE(A18493,""en"",""pt"")"),"Há um pouco de uma curva de aprendizagem com os controles avançados.")</f>
        <v>Há um pouco de uma curva de aprendizagem com os controles avançados.</v>
      </c>
      <c r="B18493" s="3">
        <v>0</v>
      </c>
    </row>
    <row r="18494" ht="15.75" customHeight="1" spans="1:2">
      <c r="A18494" s="3" t="str">
        <f>IFERROR(__xludf.DUMMYFUNCTION("GOOGLETRANSLATE(A18494,""en"",""pt"")"),"Suga pilhas secas como se não houvesse amanhã. Eu recomendo rechargeables.")</f>
        <v>Suga pilhas secas como se não houvesse amanhã. Eu recomendo rechargeables.</v>
      </c>
      <c r="B18494" s="3">
        <v>0</v>
      </c>
    </row>
    <row r="18495" ht="15.75" customHeight="1" spans="1:2">
      <c r="A18495" s="3" t="str">
        <f>IFERROR(__xludf.DUMMYFUNCTION("GOOGLETRANSLATE(A18495,""en"",""pt"")"),"questões olhos vermelhos, menor suavidade imagem, baterias recarregáveis ​​e carregador não incluído")</f>
        <v>questões olhos vermelhos, menor suavidade imagem, baterias recarregáveis ​​e carregador não incluído</v>
      </c>
      <c r="B18495" s="3">
        <v>0</v>
      </c>
    </row>
    <row r="18496" ht="15.75" customHeight="1" spans="1:2">
      <c r="A18496" s="3" t="str">
        <f>IFERROR(__xludf.DUMMYFUNCTION("GOOGLETRANSLATE(A18496,""en"",""pt"")"),"O anel de zoom não é bem-fit - tem um certo jogo. Alguns problemas de olhos vermelhos.")</f>
        <v>O anel de zoom não é bem-fit - tem um certo jogo. Alguns problemas de olhos vermelhos.</v>
      </c>
      <c r="B18496" s="3">
        <v>0</v>
      </c>
    </row>
    <row r="18497" ht="15.75" customHeight="1" spans="1:2">
      <c r="A18497" s="3" t="str">
        <f>IFERROR(__xludf.DUMMYFUNCTION("GOOGLETRANSLATE(A18497,""en"",""pt"")"),"-Bad remoção de olhos vermelhos, -botões muito difícil de imprensa")</f>
        <v>-Bad remoção de olhos vermelhos, -botões muito difícil de imprensa</v>
      </c>
      <c r="B18497" s="3">
        <v>0</v>
      </c>
    </row>
    <row r="18498" ht="15.75" customHeight="1" spans="1:2">
      <c r="A18498" s="3" t="str">
        <f>IFERROR(__xludf.DUMMYFUNCTION("GOOGLETRANSLATE(A18498,""en"",""pt"")"),"Shutter lag, tampa de saída frágil, corpo plasticy, o mau desempenho luz do dia LCD.")</f>
        <v>Shutter lag, tampa de saída frágil, corpo plasticy, o mau desempenho luz do dia LCD.</v>
      </c>
      <c r="B18498" s="3">
        <v>0</v>
      </c>
    </row>
    <row r="18499" ht="15.75" customHeight="1" spans="1:2">
      <c r="A18499" s="3" t="str">
        <f>IFERROR(__xludf.DUMMYFUNCTION("GOOGLETRANSLATE(A18499,""en"",""pt"")"),"vida útil da bateria é curta")</f>
        <v>vida útil da bateria é curta</v>
      </c>
      <c r="B18499" s="3">
        <v>0</v>
      </c>
    </row>
    <row r="18500" ht="15.75" customHeight="1" spans="1:2">
      <c r="A18500" s="3" t="str">
        <f>IFERROR(__xludf.DUMMYFUNCTION("GOOGLETRANSLATE(A18500,""en"",""pt"")"),"qualidade do produto, serviço ao cliente")</f>
        <v>qualidade do produto, serviço ao cliente</v>
      </c>
      <c r="B18500" s="3">
        <v>0</v>
      </c>
    </row>
    <row r="18501" ht="15.75" customHeight="1" spans="1:2">
      <c r="A18501" s="3" t="str">
        <f>IFERROR(__xludf.DUMMYFUNCTION("GOOGLETRANSLATE(A18501,""en"",""pt"")"),"inconsistente flash, leva imagens escuras")</f>
        <v>inconsistente flash, leva imagens escuras</v>
      </c>
      <c r="B18501" s="3">
        <v>0</v>
      </c>
    </row>
    <row r="18502" ht="15.75" customHeight="1" spans="1:2">
      <c r="A18502" s="3" t="str">
        <f>IFERROR(__xludf.DUMMYFUNCTION("GOOGLETRANSLATE(A18502,""en"",""pt"")"),"Pobre de baixa qualidade luz, flash horrível, parou de funcionar depois de um mês")</f>
        <v>Pobre de baixa qualidade luz, flash horrível, parou de funcionar depois de um mês</v>
      </c>
      <c r="B18502" s="3">
        <v>0</v>
      </c>
    </row>
    <row r="18503" ht="15.75" customHeight="1" spans="1:2">
      <c r="A18503" s="3" t="str">
        <f>IFERROR(__xludf.DUMMYFUNCTION("GOOGLETRANSLATE(A18503,""en"",""pt"")"),"atendimento ao cliente terrível.")</f>
        <v>atendimento ao cliente terrível.</v>
      </c>
      <c r="B18503" s="3">
        <v>0</v>
      </c>
    </row>
    <row r="18504" ht="15.75" customHeight="1" spans="1:2">
      <c r="A18504" s="3" t="str">
        <f>IFERROR(__xludf.DUMMYFUNCTION("GOOGLETRANSLATE(A18504,""en"",""pt"")"),"Tamanho. Peso. velocidade de disparo.")</f>
        <v>Tamanho. Peso. velocidade de disparo.</v>
      </c>
      <c r="B18504" s="3">
        <v>0</v>
      </c>
    </row>
    <row r="18505" ht="15.75" customHeight="1" spans="1:2">
      <c r="A18505" s="3" t="str">
        <f>IFERROR(__xludf.DUMMYFUNCTION("GOOGLETRANSLATE(A18505,""en"",""pt"")"),"-Botão de zoom frágil")</f>
        <v>-Botão de zoom frágil</v>
      </c>
      <c r="B18505" s="3">
        <v>0</v>
      </c>
    </row>
    <row r="18506" ht="15.75" customHeight="1" spans="1:2">
      <c r="A18506" s="3" t="str">
        <f>IFERROR(__xludf.DUMMYFUNCTION("GOOGLETRANSLATE(A18506,""en"",""pt"")"),"Pequeno (16MB) cartão de memória, baterias não são recarregáveis. Maior do que alguns outros que eu tentei.")</f>
        <v>Pequeno (16MB) cartão de memória, baterias não são recarregáveis. Maior do que alguns outros que eu tentei.</v>
      </c>
      <c r="B18506" s="3">
        <v>0</v>
      </c>
    </row>
    <row r="18507" ht="15.75" customHeight="1" spans="1:2">
      <c r="A18507" s="3" t="str">
        <f>IFERROR(__xludf.DUMMYFUNCTION("GOOGLETRANSLATE(A18507,""en"",""pt"")"),"tamanho ?, não como sensação sólido como linhas de S e G.")</f>
        <v>tamanho ?, não como sensação sólido como linhas de S e G.</v>
      </c>
      <c r="B18507" s="3">
        <v>0</v>
      </c>
    </row>
    <row r="18508" ht="15.75" customHeight="1" spans="1:2">
      <c r="A18508" s="3" t="str">
        <f>IFERROR(__xludf.DUMMYFUNCTION("GOOGLETRANSLATE(A18508,""en"",""pt"")"),"Confiabilidade. Falha ao trabalho com código de erro E18 no segundo dia fora da caixa.")</f>
        <v>Confiabilidade. Falha ao trabalho com código de erro E18 no segundo dia fora da caixa.</v>
      </c>
      <c r="B18508" s="3">
        <v>0</v>
      </c>
    </row>
    <row r="18509" ht="15.75" customHeight="1" spans="1:2">
      <c r="A18509" s="3" t="str">
        <f>IFERROR(__xludf.DUMMYFUNCTION("GOOGLETRANSLATE(A18509,""en"",""pt"")"),"Tenha cuidado com o seletor de modo. LCD é nítida, mas pequena.")</f>
        <v>Tenha cuidado com o seletor de modo. LCD é nítida, mas pequena.</v>
      </c>
      <c r="B18509" s="3">
        <v>0</v>
      </c>
    </row>
    <row r="18510" ht="15.75" customHeight="1" spans="1:2">
      <c r="A18510" s="3" t="str">
        <f>IFERROR(__xludf.DUMMYFUNCTION("GOOGLETRANSLATE(A18510,""en"",""pt"")"),"Pesado no lado direito por causa das baterias, tem que olhar para on / off botão")</f>
        <v>Pesado no lado direito por causa das baterias, tem que olhar para on / off botão</v>
      </c>
      <c r="B18510" s="3">
        <v>0</v>
      </c>
    </row>
    <row r="18511" ht="15.75" customHeight="1" spans="1:2">
      <c r="A18511" s="3" t="str">
        <f>IFERROR(__xludf.DUMMYFUNCTION("GOOGLETRANSLATE(A18511,""en"",""pt"")"),"Imagens de um pouco obscuro, sem baterias recarregáveis")</f>
        <v>Imagens de um pouco obscuro, sem baterias recarregáveis</v>
      </c>
      <c r="B18511" s="3">
        <v>0</v>
      </c>
    </row>
    <row r="18512" ht="15.75" customHeight="1" spans="1:2">
      <c r="A18512" s="3" t="str">
        <f>IFERROR(__xludf.DUMMYFUNCTION("GOOGLETRANSLATE(A18512,""en"",""pt"")"),"Manual, tampa USB frágil muito pequeno, chave de telefoto frágil,")</f>
        <v>Manual, tampa USB frágil muito pequeno, chave de telefoto frágil,</v>
      </c>
      <c r="B18512" s="3">
        <v>0</v>
      </c>
    </row>
    <row r="18513" ht="15.75" customHeight="1" spans="1:2">
      <c r="A18513" s="3" t="str">
        <f>IFERROR(__xludf.DUMMYFUNCTION("GOOGLETRANSLATE(A18513,""en"",""pt"")"),"Nova câmera está no repairshop. suporte técnico difíceis de encontrar. Ícones difícil.")</f>
        <v>Nova câmera está no repairshop. suporte técnico difíceis de encontrar. Ícones difícil.</v>
      </c>
      <c r="B18513" s="3">
        <v>0</v>
      </c>
    </row>
    <row r="18514" ht="15.75" customHeight="1" spans="1:2">
      <c r="A18514" s="3" t="str">
        <f>IFERROR(__xludf.DUMMYFUNCTION("GOOGLETRANSLATE(A18514,""en"",""pt"")"),"Problema com pinos CF dobrados. Ícones pequenos demais para ler. Software muito limitado.")</f>
        <v>Problema com pinos CF dobrados. Ícones pequenos demais para ler. Software muito limitado.</v>
      </c>
      <c r="B18514" s="3">
        <v>0</v>
      </c>
    </row>
    <row r="18515" ht="15.75" customHeight="1" spans="1:2">
      <c r="A18515" s="3" t="str">
        <f>IFERROR(__xludf.DUMMYFUNCTION("GOOGLETRANSLATE(A18515,""en"",""pt"")"),"Baterias recarregáveis ​​devem ser comprados separadamente")</f>
        <v>Baterias recarregáveis ​​devem ser comprados separadamente</v>
      </c>
      <c r="B18515" s="3">
        <v>0</v>
      </c>
    </row>
    <row r="18516" ht="15.75" customHeight="1" spans="1:2">
      <c r="A18516" s="3" t="str">
        <f>IFERROR(__xludf.DUMMYFUNCTION("GOOGLETRANSLATE(A18516,""en"",""pt"")"),"baterias duplas AA.")</f>
        <v>baterias duplas AA.</v>
      </c>
      <c r="B18516" s="3">
        <v>0</v>
      </c>
    </row>
    <row r="18517" ht="15.75" customHeight="1" spans="1:2">
      <c r="A18517" s="3" t="str">
        <f>IFERROR(__xludf.DUMMYFUNCTION("GOOGLETRANSLATE(A18517,""en"",""pt"")"),"qualidade da lente poderia ser melhor, o atraso do obturador é irritante vs câmeras SLR 35mm")</f>
        <v>qualidade da lente poderia ser melhor, o atraso do obturador é irritante vs câmeras SLR 35mm</v>
      </c>
      <c r="B18517" s="3">
        <v>0</v>
      </c>
    </row>
    <row r="18518" ht="15.75" customHeight="1" spans="1:2">
      <c r="A18518" s="3" t="str">
        <f>IFERROR(__xludf.DUMMYFUNCTION("GOOGLETRANSLATE(A18518,""en"",""pt"")"),"O recurso completo e lista de opções é uma longa lista de aprender!")</f>
        <v>O recurso completo e lista de opções é uma longa lista de aprender!</v>
      </c>
      <c r="B18518" s="3">
        <v>0</v>
      </c>
    </row>
    <row r="18519" ht="15.75" customHeight="1" spans="1:2">
      <c r="A18519" s="3" t="str">
        <f>IFERROR(__xludf.DUMMYFUNCTION("GOOGLETRANSLATE(A18519,""en"",""pt"")"),"Nenhum vale a pena mencionar")</f>
        <v>Nenhum vale a pena mencionar</v>
      </c>
      <c r="B18519" s="3">
        <v>0</v>
      </c>
    </row>
    <row r="18520" ht="15.75" customHeight="1" spans="1:2">
      <c r="A18520" s="3" t="str">
        <f>IFERROR(__xludf.DUMMYFUNCTION("GOOGLETRANSLATE(A18520,""en"",""pt"")"),"Acima de 4,8x zoom não espere clareza.")</f>
        <v>Acima de 4,8x zoom não espere clareza.</v>
      </c>
      <c r="B18520" s="3">
        <v>0</v>
      </c>
    </row>
    <row r="18521" ht="15.75" customHeight="1" spans="1:2">
      <c r="A18521" s="3" t="str">
        <f>IFERROR(__xludf.DUMMYFUNCTION("GOOGLETRANSLATE(A18521,""en"",""pt"")"),"o uso da bateria; software incluído poderia ser melhorado; 16MB incluído é mesquinho.")</f>
        <v>o uso da bateria; software incluído poderia ser melhorado; 16MB incluído é mesquinho.</v>
      </c>
      <c r="B18521" s="3">
        <v>0</v>
      </c>
    </row>
    <row r="18522" ht="15.75" customHeight="1" spans="1:2">
      <c r="A18522" s="3" t="str">
        <f>IFERROR(__xludf.DUMMYFUNCTION("GOOGLETRANSLATE(A18522,""en"",""pt"")"),"pacote de software é fraco - usa pilhas AA regulares")</f>
        <v>pacote de software é fraco - usa pilhas AA regulares</v>
      </c>
      <c r="B18522" s="3">
        <v>0</v>
      </c>
    </row>
    <row r="18523" ht="15.75" customHeight="1" spans="1:2">
      <c r="A18523" s="3" t="str">
        <f>IFERROR(__xludf.DUMMYFUNCTION("GOOGLETRANSLATE(A18523,""en"",""pt"")"),"Nenhum de mencionar")</f>
        <v>Nenhum de mencionar</v>
      </c>
      <c r="B18523" s="3">
        <v>0</v>
      </c>
    </row>
    <row r="18524" ht="15.75" customHeight="1" spans="1:2">
      <c r="A18524" s="3" t="str">
        <f>IFERROR(__xludf.DUMMYFUNCTION("GOOGLETRANSLATE(A18524,""en"",""pt"")"),"16mb cartão inteligente é subdimensionado; mais plástico do que o metal; zoom é de apenas 3x")</f>
        <v>16mb cartão inteligente é subdimensionado; mais plástico do que o metal; zoom é de apenas 3x</v>
      </c>
      <c r="B18524" s="3">
        <v>0</v>
      </c>
    </row>
    <row r="18525" ht="15.75" customHeight="1" spans="1:2">
      <c r="A18525" s="3" t="str">
        <f>IFERROR(__xludf.DUMMYFUNCTION("GOOGLETRANSLATE(A18525,""en"",""pt"")"),"Algumas limitações (como qualquer câmera), menus na tela pode ser confuso")</f>
        <v>Algumas limitações (como qualquer câmera), menus na tela pode ser confuso</v>
      </c>
      <c r="B18525" s="3">
        <v>0</v>
      </c>
    </row>
    <row r="18526" ht="15.75" customHeight="1" spans="1:2">
      <c r="A18526" s="3" t="str">
        <f>IFERROR(__xludf.DUMMYFUNCTION("GOOGLETRANSLATE(A18526,""en"",""pt"")"),"acessórios caros")</f>
        <v>acessórios caros</v>
      </c>
      <c r="B18526" s="3">
        <v>0</v>
      </c>
    </row>
    <row r="18527" ht="15.75" customHeight="1" spans="1:2">
      <c r="A18527" s="3" t="str">
        <f>IFERROR(__xludf.DUMMYFUNCTION("GOOGLETRANSLATE(A18527,""en"",""pt"")"),"Piscar algumas vezes lavagens fora do assunto, o atraso do obturador pode ser significativo, zoom poderia ser melhor.")</f>
        <v>Piscar algumas vezes lavagens fora do assunto, o atraso do obturador pode ser significativo, zoom poderia ser melhor.</v>
      </c>
      <c r="B18527" s="3">
        <v>0</v>
      </c>
    </row>
    <row r="18528" ht="15.75" customHeight="1" spans="1:2">
      <c r="A18528" s="3" t="str">
        <f>IFERROR(__xludf.DUMMYFUNCTION("GOOGLETRANSLATE(A18528,""en"",""pt"")"),"folhas de serviços muito a desejar.")</f>
        <v>folhas de serviços muito a desejar.</v>
      </c>
      <c r="B18528" s="3">
        <v>0</v>
      </c>
    </row>
    <row r="18529" ht="15.75" customHeight="1" spans="1:2">
      <c r="A18529" s="3" t="str">
        <f>IFERROR(__xludf.DUMMYFUNCTION("GOOGLETRANSLATE(A18529,""en"",""pt"")"),"Baterias Hidráulicas rápido, planejar com antecedência")</f>
        <v>Baterias Hidráulicas rápido, planejar com antecedência</v>
      </c>
      <c r="B18529" s="3">
        <v>0</v>
      </c>
    </row>
    <row r="18530" ht="15.75" customHeight="1" spans="1:2">
      <c r="A18530" s="3" t="str">
        <f>IFERROR(__xludf.DUMMYFUNCTION("GOOGLETRANSLATE(A18530,""en"",""pt"")"),"atraso do obturador.")</f>
        <v>atraso do obturador.</v>
      </c>
      <c r="B18530" s="3">
        <v>0</v>
      </c>
    </row>
    <row r="18531" ht="15.75" customHeight="1" spans="1:2">
      <c r="A18531" s="3" t="str">
        <f>IFERROR(__xludf.DUMMYFUNCTION("GOOGLETRANSLATE(A18531,""en"",""pt"")"),"Um pouco sensível a tremer quando se toma detalhe fotos sensíveis. Tripé seria recomendado.")</f>
        <v>Um pouco sensível a tremer quando se toma detalhe fotos sensíveis. Tripé seria recomendado.</v>
      </c>
      <c r="B18531" s="3">
        <v>0</v>
      </c>
    </row>
    <row r="18532" ht="15.75" customHeight="1" spans="1:2">
      <c r="A18532" s="3" t="str">
        <f>IFERROR(__xludf.DUMMYFUNCTION("GOOGLETRANSLATE(A18532,""en"",""pt"")"),"moldura do LCD reflexivo, delicadas capas port / bateria.")</f>
        <v>moldura do LCD reflexivo, delicadas capas port / bateria.</v>
      </c>
      <c r="B18532" s="3">
        <v>0</v>
      </c>
    </row>
    <row r="18533" ht="15.75" customHeight="1" spans="1:2">
      <c r="A18533" s="3" t="str">
        <f>IFERROR(__xludf.DUMMYFUNCTION("GOOGLETRANSLATE(A18533,""en"",""pt"")"),"- baterias embalados, - Cartão embalado flash (16mb)")</f>
        <v>- baterias embalados, - Cartão embalado flash (16mb)</v>
      </c>
      <c r="B18533" s="3">
        <v>0</v>
      </c>
    </row>
    <row r="18534" ht="15.75" customHeight="1" spans="1:2">
      <c r="A18534" s="3" t="str">
        <f>IFERROR(__xludf.DUMMYFUNCTION("GOOGLETRANSLATE(A18534,""en"",""pt"")"),"Um pouco pesado com as baterias 4 AA carregado.")</f>
        <v>Um pouco pesado com as baterias 4 AA carregado.</v>
      </c>
      <c r="B18534" s="3">
        <v>0</v>
      </c>
    </row>
    <row r="18535" ht="15.75" customHeight="1" spans="1:2">
      <c r="A18535" s="3" t="str">
        <f>IFERROR(__xludf.DUMMYFUNCTION("GOOGLETRANSLATE(A18535,""en"",""pt"")"),"Alguns aberração cromática (franjas roxo)")</f>
        <v>Alguns aberração cromática (franjas roxo)</v>
      </c>
      <c r="B18535" s="3">
        <v>0</v>
      </c>
    </row>
    <row r="18536" ht="15.75" customHeight="1" spans="1:2">
      <c r="A18536" s="3" t="str">
        <f>IFERROR(__xludf.DUMMYFUNCTION("GOOGLETRANSLATE(A18536,""en"",""pt"")"),"Corpo de plástico, sem controle de luminosidade para LCD")</f>
        <v>Corpo de plástico, sem controle de luminosidade para LCD</v>
      </c>
      <c r="B18536" s="3">
        <v>0</v>
      </c>
    </row>
    <row r="18537" ht="15.75" customHeight="1" spans="1:2">
      <c r="A18537" s="3" t="str">
        <f>IFERROR(__xludf.DUMMYFUNCTION("GOOGLETRANSLATE(A18537,""en"",""pt"")"),"Manual é acanhado, tampa USB é frágil, 16 MB cartão é muito pequeno")</f>
        <v>Manual é acanhado, tampa USB é frágil, 16 MB cartão é muito pequeno</v>
      </c>
      <c r="B18537" s="3">
        <v>0</v>
      </c>
    </row>
    <row r="18538" ht="15.75" customHeight="1" spans="1:2">
      <c r="A18538" s="3" t="str">
        <f>IFERROR(__xludf.DUMMYFUNCTION("GOOGLETRANSLATE(A18538,""en"",""pt"")"),"O cartão de memória flash fornecido é virtualmente inútil.")</f>
        <v>O cartão de memória flash fornecido é virtualmente inútil.</v>
      </c>
      <c r="B18538" s="3">
        <v>0</v>
      </c>
    </row>
    <row r="18539" ht="15.75" customHeight="1" spans="1:2">
      <c r="A18539" s="3" t="str">
        <f>IFERROR(__xludf.DUMMYFUNCTION("GOOGLETRANSLATE(A18539,""en"",""pt"")"),"Tempo para auto-foco, 2 pacotes de software independentes, por algum motivo")</f>
        <v>Tempo para auto-foco, 2 pacotes de software independentes, por algum motivo</v>
      </c>
      <c r="B18539" s="3">
        <v>0</v>
      </c>
    </row>
    <row r="18540" ht="15.75" customHeight="1" spans="1:2">
      <c r="A18540" s="3" t="str">
        <f>IFERROR(__xludf.DUMMYFUNCTION("GOOGLETRANSLATE(A18540,""en"",""pt"")"),"grande demais para jeans, portas baratos, dentro de olhos vermelhos")</f>
        <v>grande demais para jeans, portas baratos, dentro de olhos vermelhos</v>
      </c>
      <c r="B18540" s="3">
        <v>0</v>
      </c>
    </row>
    <row r="18541" ht="15.75" customHeight="1" spans="1:2">
      <c r="A18541" s="3" t="str">
        <f>IFERROR(__xludf.DUMMYFUNCTION("GOOGLETRANSLATE(A18541,""en"",""pt"")"),"16 cartão MB")</f>
        <v>16 cartão MB</v>
      </c>
      <c r="B18541" s="3">
        <v>0</v>
      </c>
    </row>
    <row r="18542" ht="15.75" customHeight="1" spans="1:2">
      <c r="A18542" s="3" t="str">
        <f>IFERROR(__xludf.DUMMYFUNCTION("GOOGLETRANSLATE(A18542,""en"",""pt"")"),"Sem tampa da lente, caso plástico, LCD is not inset")</f>
        <v>Sem tampa da lente, caso plástico, LCD is not inset</v>
      </c>
      <c r="B18542" s="3">
        <v>0</v>
      </c>
    </row>
    <row r="18543" ht="15.75" customHeight="1" spans="1:2">
      <c r="A18543" s="3" t="str">
        <f>IFERROR(__xludf.DUMMYFUNCTION("GOOGLETRANSLATE(A18543,""en"",""pt"")"),"Carregador")</f>
        <v>Carregador</v>
      </c>
      <c r="B18543" s="3">
        <v>0</v>
      </c>
    </row>
    <row r="18544" ht="15.75" customHeight="1" spans="1:2">
      <c r="A18544" s="3" t="str">
        <f>IFERROR(__xludf.DUMMYFUNCTION("GOOGLETRANSLATE(A18544,""en"",""pt"")"),"de design quadradão, não 100% fotos consistentes")</f>
        <v>de design quadradão, não 100% fotos consistentes</v>
      </c>
      <c r="B18544" s="3">
        <v>0</v>
      </c>
    </row>
    <row r="18545" ht="15.75" customHeight="1" spans="1:2">
      <c r="A18545" s="3" t="str">
        <f>IFERROR(__xludf.DUMMYFUNCTION("GOOGLETRANSLATE(A18545,""en"",""pt"")"),"Pobre óptica visor, preço, Passo em vez de zoom suave.")</f>
        <v>Pobre óptica visor, preço, Passo em vez de zoom suave.</v>
      </c>
      <c r="B18545" s="3">
        <v>0</v>
      </c>
    </row>
    <row r="18546" ht="15.75" customHeight="1" spans="1:2">
      <c r="A18546" s="3" t="str">
        <f>IFERROR(__xludf.DUMMYFUNCTION("GOOGLETRANSLATE(A18546,""en"",""pt"")"),"Um pouco pesado. Nenhuma configuração 1600x1200 tamanho.")</f>
        <v>Um pouco pesado. Nenhuma configuração 1600x1200 tamanho.</v>
      </c>
      <c r="B18546" s="3">
        <v>0</v>
      </c>
    </row>
    <row r="18547" ht="15.75" customHeight="1" spans="1:2">
      <c r="A18547" s="3" t="str">
        <f>IFERROR(__xludf.DUMMYFUNCTION("GOOGLETRANSLATE(A18547,""en"",""pt"")"),"Um pouco difícil de segurar")</f>
        <v>Um pouco difícil de segurar</v>
      </c>
      <c r="B18547" s="3">
        <v>0</v>
      </c>
    </row>
    <row r="18548" ht="15.75" customHeight="1" spans="1:2">
      <c r="A18548" s="3" t="str">
        <f>IFERROR(__xludf.DUMMYFUNCTION("GOOGLETRANSLATE(A18548,""en"",""pt"")"),"tempo de arranque lento, obturador glitchy.")</f>
        <v>tempo de arranque lento, obturador glitchy.</v>
      </c>
      <c r="B18548" s="3">
        <v>0</v>
      </c>
    </row>
    <row r="18549" ht="15.75" customHeight="1" spans="1:2">
      <c r="A18549" s="3" t="str">
        <f>IFERROR(__xludf.DUMMYFUNCTION("GOOGLETRANSLATE(A18549,""en"",""pt"")"),"problemas de foco, visor um pouco pequeno, memória")</f>
        <v>problemas de foco, visor um pouco pequeno, memória</v>
      </c>
      <c r="B18549" s="3">
        <v>0</v>
      </c>
    </row>
    <row r="18550" ht="15.75" customHeight="1" spans="1:2">
      <c r="A18550" s="3" t="str">
        <f>IFERROR(__xludf.DUMMYFUNCTION("GOOGLETRANSLATE(A18550,""en"",""pt"")"),"caro")</f>
        <v>caro</v>
      </c>
      <c r="B18550" s="3">
        <v>0</v>
      </c>
    </row>
    <row r="18551" ht="15.75" customHeight="1" spans="1:2">
      <c r="A18551" s="3" t="str">
        <f>IFERROR(__xludf.DUMMYFUNCTION("GOOGLETRANSLATE(A18551,""en"",""pt"")"),"Parece ser um pouco sobre o lado pesado, piscar 'sombra'.")</f>
        <v>Parece ser um pouco sobre o lado pesado, piscar 'sombra'.</v>
      </c>
      <c r="B18551" s="3">
        <v>0</v>
      </c>
    </row>
    <row r="18552" ht="15.75" customHeight="1" spans="1:2">
      <c r="A18552" s="3" t="str">
        <f>IFERROR(__xludf.DUMMYFUNCTION("GOOGLETRANSLATE(A18552,""en"",""pt"")"),"vermelho elenco ""tela"", às vezes superexpõe")</f>
        <v>vermelho elenco "tela", às vezes superexpõe</v>
      </c>
      <c r="B18552" s="3">
        <v>0</v>
      </c>
    </row>
    <row r="18553" ht="15.75" customHeight="1" spans="1:2">
      <c r="A18553" s="3" t="str">
        <f>IFERROR(__xludf.DUMMYFUNCTION("GOOGLETRANSLATE(A18553,""en"",""pt"")"),"16MB cartão CompactFlash é muito pequeno!")</f>
        <v>16MB cartão CompactFlash é muito pequeno!</v>
      </c>
      <c r="B18553" s="3">
        <v>0</v>
      </c>
    </row>
    <row r="18554" ht="15.75" customHeight="1" spans="1:2">
      <c r="A18554" s="3" t="str">
        <f>IFERROR(__xludf.DUMMYFUNCTION("GOOGLETRANSLATE(A18554,""en"",""pt"")"),"Não confiável. Esta câmera tem quebrado duas vezes em menos de dois anos.")</f>
        <v>Não confiável. Esta câmera tem quebrado duas vezes em menos de dois anos.</v>
      </c>
      <c r="B18554" s="3">
        <v>0</v>
      </c>
    </row>
    <row r="18555" ht="15.75" customHeight="1" spans="1:2">
      <c r="A18555" s="3" t="str">
        <f>IFERROR(__xludf.DUMMYFUNCTION("GOOGLETRANSLATE(A18555,""en"",""pt"")"),"O foco pode ser complicado, alguns modos de visualização estão abaixo do ideal, não 35 milímetros ainda")</f>
        <v>O foco pode ser complicado, alguns modos de visualização estão abaixo do ideal, não 35 milímetros ainda</v>
      </c>
      <c r="B18555" s="3">
        <v>0</v>
      </c>
    </row>
    <row r="18556" ht="15.75" customHeight="1" spans="1:2">
      <c r="A18556" s="3" t="str">
        <f>IFERROR(__xludf.DUMMYFUNCTION("GOOGLETRANSLATE(A18556,""en"",""pt"")"),"Chintzy Optical Viewfinder, qualidade de construção, Poor Ergonomia")</f>
        <v>Chintzy Optical Viewfinder, qualidade de construção, Poor Ergonomia</v>
      </c>
      <c r="B18556" s="3">
        <v>0</v>
      </c>
    </row>
    <row r="18557" ht="15.75" customHeight="1" spans="1:2">
      <c r="A18557" s="3" t="str">
        <f>IFERROR(__xludf.DUMMYFUNCTION("GOOGLETRANSLATE(A18557,""en"",""pt"")"),"visor óptico, elenco magenta no modo Auto.")</f>
        <v>visor óptico, elenco magenta no modo Auto.</v>
      </c>
      <c r="B18557" s="3">
        <v>0</v>
      </c>
    </row>
    <row r="18558" ht="15.75" customHeight="1" spans="1:2">
      <c r="A18558" s="3" t="str">
        <f>IFERROR(__xludf.DUMMYFUNCTION("GOOGLETRANSLATE(A18558,""en"",""pt"")"),"tampa da lente, lento arranque")</f>
        <v>tampa da lente, lento arranque</v>
      </c>
      <c r="B18558" s="3">
        <v>0</v>
      </c>
    </row>
    <row r="18559" ht="15.75" customHeight="1" spans="1:2">
      <c r="A18559" s="3" t="str">
        <f>IFERROR(__xludf.DUMMYFUNCTION("GOOGLETRANSLATE(A18559,""en"",""pt"")"),"Pesado, volumoso, fringing roxo, não amigável do consumidor")</f>
        <v>Pesado, volumoso, fringing roxo, não amigável do consumidor</v>
      </c>
      <c r="B18559" s="3">
        <v>0</v>
      </c>
    </row>
    <row r="18560" ht="15.75" customHeight="1" spans="1:2">
      <c r="A18560" s="3" t="str">
        <f>IFERROR(__xludf.DUMMYFUNCTION("GOOGLETRANSLATE(A18560,""en"",""pt"")"),"Um pouco fraco no modo automático totalmente, o modo RAW difícil de uso")</f>
        <v>Um pouco fraco no modo automático totalmente, o modo RAW difícil de uso</v>
      </c>
      <c r="B18560" s="3">
        <v>0</v>
      </c>
    </row>
    <row r="18561" ht="15.75" customHeight="1" spans="1:2">
      <c r="A18561" s="3" t="str">
        <f>IFERROR(__xludf.DUMMYFUNCTION("GOOGLETRANSLATE(A18561,""en"",""pt"")"),"Não confiável, Pobre controle de qualidade, ridículo view finder, flash fraco")</f>
        <v>Não confiável, Pobre controle de qualidade, ridículo view finder, flash fraco</v>
      </c>
      <c r="B18561" s="3">
        <v>0</v>
      </c>
    </row>
    <row r="18562" ht="15.75" customHeight="1" spans="1:2">
      <c r="A18562" s="3" t="str">
        <f>IFERROR(__xludf.DUMMYFUNCTION("GOOGLETRANSLATE(A18562,""en"",""pt"")"),"Focalizam problemas em certas situações")</f>
        <v>Focalizam problemas em certas situações</v>
      </c>
      <c r="B18562" s="3">
        <v>0</v>
      </c>
    </row>
    <row r="18563" ht="15.75" customHeight="1" spans="1:2">
      <c r="A18563" s="3" t="str">
        <f>IFERROR(__xludf.DUMMYFUNCTION("GOOGLETRANSLATE(A18563,""en"",""pt"")"),"Preço. Canon deveria ter incluído Microdrive")</f>
        <v>Preço. Canon deveria ter incluído Microdrive</v>
      </c>
      <c r="B18563" s="3">
        <v>0</v>
      </c>
    </row>
    <row r="18564" ht="15.75" customHeight="1" spans="1:2">
      <c r="A18564" s="3" t="str">
        <f>IFERROR(__xludf.DUMMYFUNCTION("GOOGLETRANSLATE(A18564,""en"",""pt"")"),"gama lente limitado (sem adaptadores)")</f>
        <v>gama lente limitado (sem adaptadores)</v>
      </c>
      <c r="B18564" s="3">
        <v>0</v>
      </c>
    </row>
    <row r="18565" ht="15.75" customHeight="1" spans="1:2">
      <c r="A18565" s="3" t="str">
        <f>IFERROR(__xludf.DUMMYFUNCTION("GOOGLETRANSLATE(A18565,""en"",""pt"")"),"Segurar era estranho à primeira vista, não mais")</f>
        <v>Segurar era estranho à primeira vista, não mais</v>
      </c>
      <c r="B18565" s="3">
        <v>0</v>
      </c>
    </row>
    <row r="18566" ht="15.75" customHeight="1" spans="1:2">
      <c r="A18566" s="3" t="str">
        <f>IFERROR(__xludf.DUMMYFUNCTION("GOOGLETRANSLATE(A18566,""en"",""pt"")"),"NENHUM")</f>
        <v>NENHUM</v>
      </c>
      <c r="B18566" s="3">
        <v>0</v>
      </c>
    </row>
    <row r="18567" ht="15.75" customHeight="1" spans="1:2">
      <c r="A18567" s="3" t="str">
        <f>IFERROR(__xludf.DUMMYFUNCTION("GOOGLETRANSLATE(A18567,""en"",""pt"")"),"Apenas f8 está disponível a 1/1000 seg")</f>
        <v>Apenas f8 está disponível a 1/1000 seg</v>
      </c>
      <c r="B18567" s="3">
        <v>0</v>
      </c>
    </row>
    <row r="18568" ht="15.75" customHeight="1" spans="1:2">
      <c r="A18568" s="3" t="str">
        <f>IFERROR(__xludf.DUMMYFUNCTION("GOOGLETRANSLATE(A18568,""en"",""pt"")"),"Desajeitado, design retro, tampa da porta frágil")</f>
        <v>Desajeitado, design retro, tampa da porta frágil</v>
      </c>
      <c r="B18568" s="3">
        <v>0</v>
      </c>
    </row>
    <row r="18569" ht="15.75" customHeight="1" spans="1:2">
      <c r="A18569" s="3" t="str">
        <f>IFERROR(__xludf.DUMMYFUNCTION("GOOGLETRANSLATE(A18569,""en"",""pt"")"),"Este retalho de borracha pequena que cobre o lado esquerdo")</f>
        <v>Este retalho de borracha pequena que cobre o lado esquerdo</v>
      </c>
      <c r="B18569" s="3">
        <v>0</v>
      </c>
    </row>
    <row r="18570" ht="15.75" customHeight="1" spans="1:2">
      <c r="A18570" s="3" t="str">
        <f>IFERROR(__xludf.DUMMYFUNCTION("GOOGLETRANSLATE(A18570,""en"",""pt"")"),"pesado bastante, o tempo de inicialização lenta.")</f>
        <v>pesado bastante, o tempo de inicialização lenta.</v>
      </c>
      <c r="B18570" s="3">
        <v>0</v>
      </c>
    </row>
    <row r="18571" ht="15.75" customHeight="1" spans="1:2">
      <c r="A18571" s="3" t="str">
        <f>IFERROR(__xludf.DUMMYFUNCTION("GOOGLETRANSLATE(A18571,""en"",""pt"")"),"Software não de primeira, visor óptico não é grande")</f>
        <v>Software não de primeira, visor óptico não é grande</v>
      </c>
      <c r="B18571" s="3">
        <v>0</v>
      </c>
    </row>
    <row r="18572" ht="15.75" customHeight="1" spans="1:2">
      <c r="A18572" s="3" t="str">
        <f>IFERROR(__xludf.DUMMYFUNCTION("GOOGLETRANSLATE(A18572,""en"",""pt"")"),"preço")</f>
        <v>preço</v>
      </c>
      <c r="B18572" s="3">
        <v>0</v>
      </c>
    </row>
    <row r="18573" ht="15.75" customHeight="1" spans="1:2">
      <c r="A18573" s="3" t="str">
        <f>IFERROR(__xludf.DUMMYFUNCTION("GOOGLETRANSLATE(A18573,""en"",""pt"")"),"Ainda alta no preço para o comprador médio, como eu.")</f>
        <v>Ainda alta no preço para o comprador médio, como eu.</v>
      </c>
      <c r="B18573" s="3">
        <v>0</v>
      </c>
    </row>
    <row r="18574" ht="15.75" customHeight="1" spans="1:2">
      <c r="A18574" s="3" t="str">
        <f>IFERROR(__xludf.DUMMYFUNCTION("GOOGLETRANSLATE(A18574,""en"",""pt"")"),"modo de filme apenas ok")</f>
        <v>modo de filme apenas ok</v>
      </c>
      <c r="B18574" s="3">
        <v>0</v>
      </c>
    </row>
    <row r="18575" ht="15.75" customHeight="1" spans="1:2">
      <c r="A18575" s="3" t="str">
        <f>IFERROR(__xludf.DUMMYFUNCTION("GOOGLETRANSLATE(A18575,""en"",""pt"")"),"No segmento de filtro, focando problemas, adaptadores de luz foco tampa")</f>
        <v>No segmento de filtro, focando problemas, adaptadores de luz foco tampa</v>
      </c>
      <c r="B18575" s="3">
        <v>0</v>
      </c>
    </row>
    <row r="18576" ht="15.75" customHeight="1" spans="1:2">
      <c r="A18576" s="3" t="str">
        <f>IFERROR(__xludf.DUMMYFUNCTION("GOOGLETRANSLATE(A18576,""en"",""pt"")"),"CompactFlash compartimento; muito duro para obter o fora de memória de volta.")</f>
        <v>CompactFlash compartimento; muito duro para obter o fora de memória de volta.</v>
      </c>
      <c r="B18576" s="3">
        <v>0</v>
      </c>
    </row>
    <row r="18577" ht="15.75" customHeight="1" spans="1:2">
      <c r="A18577" s="3" t="str">
        <f>IFERROR(__xludf.DUMMYFUNCTION("GOOGLETRANSLATE(A18577,""en"",""pt"")"),"preço.")</f>
        <v>preço.</v>
      </c>
      <c r="B18577" s="3">
        <v>0</v>
      </c>
    </row>
    <row r="18578" ht="15.75" customHeight="1" spans="1:2">
      <c r="A18578" s="3" t="str">
        <f>IFERROR(__xludf.DUMMYFUNCTION("GOOGLETRANSLATE(A18578,""en"",""pt"")"),"não encontrei nenhuma ainda")</f>
        <v>não encontrei nenhuma ainda</v>
      </c>
      <c r="B18578" s="3">
        <v>0</v>
      </c>
    </row>
    <row r="18579" ht="15.75" customHeight="1" spans="1:2">
      <c r="A18579" s="3" t="str">
        <f>IFERROR(__xludf.DUMMYFUNCTION("GOOGLETRANSLATE(A18579,""en"",""pt"")"),"Borracha Flap, selector de funções seletor giratório, fotos internas")</f>
        <v>Borracha Flap, selector de funções seletor giratório, fotos internas</v>
      </c>
      <c r="B18579" s="3">
        <v>0</v>
      </c>
    </row>
    <row r="18580" ht="15.75" customHeight="1" spans="1:2">
      <c r="A18580" s="3" t="str">
        <f>IFERROR(__xludf.DUMMYFUNCTION("GOOGLETRANSLATE(A18580,""en"",""pt"")"),"metal caixa facilmente arranhado, não pode bloquear o sellector modo.")</f>
        <v>metal caixa facilmente arranhado, não pode bloquear o sellector modo.</v>
      </c>
      <c r="B18580" s="3">
        <v>0</v>
      </c>
    </row>
    <row r="18581" ht="15.75" customHeight="1" spans="1:2">
      <c r="A18581" s="3" t="str">
        <f>IFERROR(__xludf.DUMMYFUNCTION("GOOGLETRANSLATE(A18581,""en"",""pt"")"),"preço (em breve estará obsoleto), visor óptico, durabilidade e qualidade")</f>
        <v>preço (em breve estará obsoleto), visor óptico, durabilidade e qualidade</v>
      </c>
      <c r="B18581" s="3">
        <v>0</v>
      </c>
    </row>
    <row r="18582" ht="15.75" customHeight="1" spans="1:2">
      <c r="A18582" s="3" t="str">
        <f>IFERROR(__xludf.DUMMYFUNCTION("GOOGLETRANSLATE(A18582,""en"",""pt"")"),"Esta câmera é muito caro e foi um pouco difícil de entender tudo sobre ele.")</f>
        <v>Esta câmera é muito caro e foi um pouco difícil de entender tudo sobre ele.</v>
      </c>
      <c r="B18582" s="3">
        <v>0</v>
      </c>
    </row>
    <row r="18583" ht="15.75" customHeight="1" spans="1:2">
      <c r="A18583" s="3" t="str">
        <f>IFERROR(__xludf.DUMMYFUNCTION("GOOGLETRANSLATE(A18583,""en"",""pt"")"),"ergonomia")</f>
        <v>ergonomia</v>
      </c>
      <c r="B18583" s="3">
        <v>0</v>
      </c>
    </row>
    <row r="18584" ht="15.75" customHeight="1" spans="1:2">
      <c r="A18584" s="3" t="str">
        <f>IFERROR(__xludf.DUMMYFUNCTION("GOOGLETRANSLATE(A18584,""en"",""pt"")"),"Difícil confortavelmente. Visor é tão. Odeio a coisa borracha aba")</f>
        <v>Difícil confortavelmente. Visor é tão. Odeio a coisa borracha aba</v>
      </c>
      <c r="B18584" s="3">
        <v>0</v>
      </c>
    </row>
    <row r="18585" ht="15.75" customHeight="1" spans="1:2">
      <c r="A18585" s="3" t="str">
        <f>IFERROR(__xludf.DUMMYFUNCTION("GOOGLETRANSLATE(A18585,""en"",""pt"")"),"baixa do flash powered, porta pressão, durabilidade, confiabilidade")</f>
        <v>baixa do flash powered, porta pressão, durabilidade, confiabilidade</v>
      </c>
      <c r="B18585" s="3">
        <v>0</v>
      </c>
    </row>
    <row r="18586" ht="15.75" customHeight="1" spans="1:2">
      <c r="A18586" s="3" t="str">
        <f>IFERROR(__xludf.DUMMYFUNCTION("GOOGLETRANSLATE(A18586,""en"",""pt"")"),"O caro")</f>
        <v>O caro</v>
      </c>
      <c r="B18586" s="3">
        <v>0</v>
      </c>
    </row>
    <row r="18587" ht="15.75" customHeight="1" spans="1:2">
      <c r="A18587" s="3" t="str">
        <f>IFERROR(__xludf.DUMMYFUNCTION("GOOGLETRANSLATE(A18587,""en"",""pt"")"),"botão de zoom é um pouco estranho")</f>
        <v>botão de zoom é um pouco estranho</v>
      </c>
      <c r="B18587" s="3">
        <v>0</v>
      </c>
    </row>
    <row r="18588" ht="15.75" customHeight="1" spans="1:2">
      <c r="A18588" s="3" t="str">
        <f>IFERROR(__xludf.DUMMYFUNCTION("GOOGLETRANSLATE(A18588,""en"",""pt"")"),"Ainda um pouco fora do alcance para a maioria da renda média-baixa, alguns problemas de design.")</f>
        <v>Ainda um pouco fora do alcance para a maioria da renda média-baixa, alguns problemas de design.</v>
      </c>
      <c r="B18588" s="3">
        <v>0</v>
      </c>
    </row>
    <row r="18589" ht="15.75" customHeight="1" spans="1:2">
      <c r="A18589" s="3" t="str">
        <f>IFERROR(__xludf.DUMMYFUNCTION("GOOGLETRANSLATE(A18589,""en"",""pt"")"),"Nenhum")</f>
        <v>Nenhum</v>
      </c>
      <c r="B18589" s="3">
        <v>0</v>
      </c>
    </row>
    <row r="18590" ht="15.75" customHeight="1" spans="1:2">
      <c r="A18590" s="3" t="str">
        <f>IFERROR(__xludf.DUMMYFUNCTION("GOOGLETRANSLATE(A18590,""en"",""pt"")"),"Nenhum")</f>
        <v>Nenhum</v>
      </c>
      <c r="B18590" s="3">
        <v>0</v>
      </c>
    </row>
    <row r="18591" ht="15.75" customHeight="1" spans="1:2">
      <c r="A18591" s="3" t="str">
        <f>IFERROR(__xludf.DUMMYFUNCTION("GOOGLETRANSLATE(A18591,""en"",""pt"")"),"Ódio que o atraso do obturador!")</f>
        <v>Ódio que o atraso do obturador!</v>
      </c>
      <c r="B18591" s="3">
        <v>0</v>
      </c>
    </row>
    <row r="18592" ht="15.75" customHeight="1" spans="1:2">
      <c r="A18592" s="3" t="str">
        <f>IFERROR(__xludf.DUMMYFUNCTION("GOOGLETRANSLATE(A18592,""en"",""pt"")"),"Volumoso")</f>
        <v>Volumoso</v>
      </c>
      <c r="B18592" s="3">
        <v>0</v>
      </c>
    </row>
    <row r="18593" ht="15.75" customHeight="1" spans="1:2">
      <c r="A18593" s="3" t="str">
        <f>IFERROR(__xludf.DUMMYFUNCTION("GOOGLETRANSLATE(A18593,""en"",""pt"")"),"visor óptico não tão bom, preço")</f>
        <v>visor óptico não tão bom, preço</v>
      </c>
      <c r="B18593" s="3">
        <v>0</v>
      </c>
    </row>
    <row r="18594" ht="15.75" customHeight="1" spans="1:2">
      <c r="A18594" s="3" t="str">
        <f>IFERROR(__xludf.DUMMYFUNCTION("GOOGLETRANSLATE(A18594,""en"",""pt"")"),"Lentes vendidos separadamente. Como a maioria das câmeras, sem luz faz o pics granulado.")</f>
        <v>Lentes vendidos separadamente. Como a maioria das câmeras, sem luz faz o pics granulado.</v>
      </c>
      <c r="B18594" s="3">
        <v>0</v>
      </c>
    </row>
    <row r="18595" ht="15.75" customHeight="1" spans="1:2">
      <c r="A18595" s="3" t="str">
        <f>IFERROR(__xludf.DUMMYFUNCTION("GOOGLETRANSLATE(A18595,""en"",""pt"")"),"o arranque lag é um pouco excessivo")</f>
        <v>o arranque lag é um pouco excessivo</v>
      </c>
      <c r="B18595" s="3">
        <v>0</v>
      </c>
    </row>
    <row r="18596" ht="15.75" customHeight="1" spans="1:2">
      <c r="A18596" s="3" t="str">
        <f>IFERROR(__xludf.DUMMYFUNCTION("GOOGLETRANSLATE(A18596,""en"",""pt"")"),"o modo ""Auto"" é inútil, não para a multidão: Ponto / atirar.")</f>
        <v>o modo "Auto" é inútil, não para a multidão: Ponto / atirar.</v>
      </c>
      <c r="B18596" s="3">
        <v>0</v>
      </c>
    </row>
    <row r="18597" ht="15.75" customHeight="1" spans="1:2">
      <c r="A18597" s="3" t="str">
        <f>IFERROR(__xludf.DUMMYFUNCTION("GOOGLETRANSLATE(A18597,""en"",""pt"")"),"No segmento de filtro, concentrando-se, inicialização lenta, visor óptico imprecisas")</f>
        <v>No segmento de filtro, concentrando-se, inicialização lenta, visor óptico imprecisas</v>
      </c>
      <c r="B18597" s="3">
        <v>0</v>
      </c>
    </row>
    <row r="18598" ht="15.75" customHeight="1" spans="1:2">
      <c r="A18598" s="3" t="str">
        <f>IFERROR(__xludf.DUMMYFUNCTION("GOOGLETRANSLATE(A18598,""en"",""pt"")"),"Nenhum")</f>
        <v>Nenhum</v>
      </c>
      <c r="B18598" s="3">
        <v>0</v>
      </c>
    </row>
    <row r="18599" ht="15.75" customHeight="1" spans="1:2">
      <c r="A18599" s="3" t="str">
        <f>IFERROR(__xludf.DUMMYFUNCTION("GOOGLETRANSLATE(A18599,""en"",""pt"")"),"visor óptico, incluído cartão CF pequena demais para ser prático, software ZoomBrowser da Canon")</f>
        <v>visor óptico, incluído cartão CF pequena demais para ser prático, software ZoomBrowser da Canon</v>
      </c>
      <c r="B18599" s="3">
        <v>0</v>
      </c>
    </row>
    <row r="18600" ht="15.75" customHeight="1" spans="1:2">
      <c r="A18600" s="3" t="str">
        <f>IFERROR(__xludf.DUMMYFUNCTION("GOOGLETRANSLATE(A18600,""en"",""pt"")"),"Tem algumas falhas (ver comentário)")</f>
        <v>Tem algumas falhas (ver comentário)</v>
      </c>
      <c r="B18600" s="3">
        <v>0</v>
      </c>
    </row>
    <row r="18601" ht="15.75" customHeight="1" spans="1:2">
      <c r="A18601" s="3" t="str">
        <f>IFERROR(__xludf.DUMMYFUNCTION("GOOGLETRANSLATE(A18601,""en"",""pt"")"),"O foco manual é um pouco estranho; aberrações cromáticas na luz solar brilhante")</f>
        <v>O foco manual é um pouco estranho; aberrações cromáticas na luz solar brilhante</v>
      </c>
      <c r="B18601" s="3">
        <v>0</v>
      </c>
    </row>
    <row r="18602" ht="15.75" customHeight="1" spans="1:2">
      <c r="A18602" s="3" t="str">
        <f>IFERROR(__xludf.DUMMYFUNCTION("GOOGLETRANSLATE(A18602,""en"",""pt"")"),"medição automática não tão grande. Você precisa saber um pouco sobre a fotografia para uso.")</f>
        <v>medição automática não tão grande. Você precisa saber um pouco sobre a fotografia para uso.</v>
      </c>
      <c r="B18602" s="3">
        <v>0</v>
      </c>
    </row>
    <row r="18603" ht="15.75" customHeight="1" spans="1:2">
      <c r="A18603" s="3" t="str">
        <f>IFERROR(__xludf.DUMMYFUNCTION("GOOGLETRANSLATE(A18603,""en"",""pt"")"),"É um pouco demasiado grande e pesado para carregar no seu bolso.")</f>
        <v>É um pouco demasiado grande e pesado para carregar no seu bolso.</v>
      </c>
      <c r="B18603" s="3">
        <v>0</v>
      </c>
    </row>
    <row r="18604" ht="15.75" customHeight="1" spans="1:2">
      <c r="A18604" s="3" t="str">
        <f>IFERROR(__xludf.DUMMYFUNCTION("GOOGLETRANSLATE(A18604,""en"",""pt"")"),"A volumosa pouco e pesado para o usuário casual. Sem aperto de mão adequada.")</f>
        <v>A volumosa pouco e pesado para o usuário casual. Sem aperto de mão adequada.</v>
      </c>
      <c r="B18604" s="3">
        <v>0</v>
      </c>
    </row>
    <row r="18605" ht="15.75" customHeight="1" spans="1:2">
      <c r="A18605" s="3" t="str">
        <f>IFERROR(__xludf.DUMMYFUNCTION("GOOGLETRANSLATE(A18605,""en"",""pt"")"),"zoom lento, focagem automática não tão rápido como alguns outros digitals")</f>
        <v>zoom lento, focagem automática não tão rápido como alguns outros digitals</v>
      </c>
      <c r="B18605" s="3">
        <v>0</v>
      </c>
    </row>
    <row r="18606" ht="15.75" customHeight="1" spans="1:2">
      <c r="A18606" s="3" t="str">
        <f>IFERROR(__xludf.DUMMYFUNCTION("GOOGLETRANSLATE(A18606,""en"",""pt"")"),"Preço")</f>
        <v>Preço</v>
      </c>
      <c r="B18606" s="3">
        <v>0</v>
      </c>
    </row>
    <row r="18607" ht="15.75" customHeight="1" spans="1:2">
      <c r="A18607" s="3" t="str">
        <f>IFERROR(__xludf.DUMMYFUNCTION("GOOGLETRANSLATE(A18607,""en"",""pt"")"),"Às vezes, o foco lento, carrega a bateria em câmera, carregador externo não incluído.")</f>
        <v>Às vezes, o foco lento, carrega a bateria em câmera, carregador externo não incluído.</v>
      </c>
      <c r="B18607" s="3">
        <v>0</v>
      </c>
    </row>
    <row r="18608" ht="15.75" customHeight="1" spans="1:2">
      <c r="A18608" s="3" t="str">
        <f>IFERROR(__xludf.DUMMYFUNCTION("GOOGLETRANSLATE(A18608,""en"",""pt"")"),"Caro")</f>
        <v>Caro</v>
      </c>
      <c r="B18608" s="3">
        <v>0</v>
      </c>
    </row>
    <row r="18609" ht="15.75" customHeight="1" spans="1:2">
      <c r="A18609" s="3" t="str">
        <f>IFERROR(__xludf.DUMMYFUNCTION("GOOGLETRANSLATE(A18609,""en"",""pt"")"),"Tamanho grande")</f>
        <v>Tamanho grande</v>
      </c>
      <c r="B18609" s="3">
        <v>0</v>
      </c>
    </row>
    <row r="18610" ht="15.75" customHeight="1" spans="1:2">
      <c r="A18610" s="3" t="str">
        <f>IFERROR(__xludf.DUMMYFUNCTION("GOOGLETRANSLATE(A18610,""en"",""pt"")"),"Arranque lento, zoom, e os tempos de autofoco, carrega a bateria à porta fechada, off-set tripé &amp; amp; # 13; &amp; amp; # 10;")</f>
        <v>Arranque lento, zoom, e os tempos de autofoco, carrega a bateria à porta fechada, off-set tripé &amp; amp; # 13; &amp; amp; # 10;</v>
      </c>
      <c r="B18610" s="3">
        <v>0</v>
      </c>
    </row>
    <row r="18611" ht="15.75" customHeight="1" spans="1:2">
      <c r="A18611" s="3" t="str">
        <f>IFERROR(__xludf.DUMMYFUNCTION("GOOGLETRANSLATE(A18611,""en"",""pt"")"),"Não para o inexperiente")</f>
        <v>Não para o inexperiente</v>
      </c>
      <c r="B18611" s="3">
        <v>0</v>
      </c>
    </row>
    <row r="18612" ht="15.75" customHeight="1" spans="1:2">
      <c r="A18612" s="3" t="str">
        <f>IFERROR(__xludf.DUMMYFUNCTION("GOOGLETRANSLATE(A18612,""en"",""pt"")"),"Nenhum")</f>
        <v>Nenhum</v>
      </c>
      <c r="B18612" s="3">
        <v>0</v>
      </c>
    </row>
    <row r="18613" ht="15.75" customHeight="1" spans="1:2">
      <c r="A18613" s="3" t="str">
        <f>IFERROR(__xludf.DUMMYFUNCTION("GOOGLETRANSLATE(A18613,""en"",""pt"")"),"preço, foco mais lento")</f>
        <v>preço, foco mais lento</v>
      </c>
      <c r="B18613" s="3">
        <v>0</v>
      </c>
    </row>
    <row r="18614" ht="15.75" customHeight="1" spans="1:2">
      <c r="A18614" s="3" t="str">
        <f>IFERROR(__xludf.DUMMYFUNCTION("GOOGLETRANSLATE(A18614,""en"",""pt"")"),"tudo lento, sentimento frágil, exige experiência e caro: externa carregador não incluído,")</f>
        <v>tudo lento, sentimento frágil, exige experiência e caro: externa carregador não incluído,</v>
      </c>
      <c r="B18614" s="3">
        <v>0</v>
      </c>
    </row>
    <row r="18615" ht="15.75" customHeight="1" spans="1:2">
      <c r="A18615" s="3" t="str">
        <f>IFERROR(__xludf.DUMMYFUNCTION("GOOGLETRANSLATE(A18615,""en"",""pt"")"),"resposta zoom lento, um pouco longo tempo de inicialização, controles complexos")</f>
        <v>resposta zoom lento, um pouco longo tempo de inicialização, controles complexos</v>
      </c>
      <c r="B18615" s="3">
        <v>0</v>
      </c>
    </row>
    <row r="18616" ht="15.75" customHeight="1" spans="1:2">
      <c r="A18616" s="3" t="str">
        <f>IFERROR(__xludf.DUMMYFUNCTION("GOOGLETRANSLATE(A18616,""en"",""pt"")"),"Preço")</f>
        <v>Preço</v>
      </c>
      <c r="B18616" s="3">
        <v>0</v>
      </c>
    </row>
    <row r="18617" ht="15.75" customHeight="1" spans="1:2">
      <c r="A18617" s="3" t="str">
        <f>IFERROR(__xludf.DUMMYFUNCTION("GOOGLETRANSLATE(A18617,""en"",""pt"")"),"não confiável, caro")</f>
        <v>não confiável, caro</v>
      </c>
      <c r="B18617" s="3">
        <v>0</v>
      </c>
    </row>
    <row r="18618" ht="15.75" customHeight="1" spans="1:2">
      <c r="A18618" s="3" t="str">
        <f>IFERROR(__xludf.DUMMYFUNCTION("GOOGLETRANSLATE(A18618,""en"",""pt"")"),"aperto de mão pobre. preços restritiva.")</f>
        <v>aperto de mão pobre. preços restritiva.</v>
      </c>
      <c r="B18618" s="3">
        <v>0</v>
      </c>
    </row>
    <row r="18619" ht="15.75" customHeight="1" spans="1:2">
      <c r="A18619" s="3" t="str">
        <f>IFERROR(__xludf.DUMMYFUNCTION("GOOGLETRANSLATE(A18619,""en"",""pt"")"),"Caro. O foco automático pode demorar um pouco para se concentrar.")</f>
        <v>Caro. O foco automático pode demorar um pouco para se concentrar.</v>
      </c>
      <c r="B18619" s="3">
        <v>0</v>
      </c>
    </row>
    <row r="18620" ht="15.75" customHeight="1" spans="1:2">
      <c r="A18620" s="3" t="str">
        <f>IFERROR(__xludf.DUMMYFUNCTION("GOOGLETRANSLATE(A18620,""en"",""pt"")"),"&amp; Lt; b &amp; gt; &amp; lt; i &amp; gt; um pouco sobre o lado pesado; não grandes configurações de macro; má concepção tampa da lente &amp; lt;. / b &amp; gt; &amp; lt; / i &amp; gt;")</f>
        <v>&amp; Lt; b &amp; gt; &amp; lt; i &amp; gt; um pouco sobre o lado pesado; não grandes configurações de macro; má concepção tampa da lente &amp; lt;. / b &amp; gt; &amp; lt; / i &amp; gt;</v>
      </c>
      <c r="B18620" s="3">
        <v>0</v>
      </c>
    </row>
    <row r="18621" ht="15.75" customHeight="1" spans="1:2">
      <c r="A18621" s="3" t="str">
        <f>IFERROR(__xludf.DUMMYFUNCTION("GOOGLETRANSLATE(A18621,""en"",""pt"")"),"Não como boa capacidade de macro (sem add-on lentes) como Nikon Coolpix 995.")</f>
        <v>Não como boa capacidade de macro (sem add-on lentes) como Nikon Coolpix 995.</v>
      </c>
      <c r="B18621" s="3">
        <v>0</v>
      </c>
    </row>
    <row r="18622" ht="15.75" customHeight="1" spans="1:2">
      <c r="A18622" s="3" t="str">
        <f>IFERROR(__xludf.DUMMYFUNCTION("GOOGLETRANSLATE(A18622,""en"",""pt"")"),"Nada que importa! A qualidade do áudio não é grande, mas isso é provavelmente verdade para a maioria das câmeras digitais.")</f>
        <v>Nada que importa! A qualidade do áudio não é grande, mas isso é provavelmente verdade para a maioria das câmeras digitais.</v>
      </c>
      <c r="B18622" s="3">
        <v>0</v>
      </c>
    </row>
    <row r="18623" ht="15.75" customHeight="1" spans="1:2">
      <c r="A18623" s="3" t="str">
        <f>IFERROR(__xludf.DUMMYFUNCTION("GOOGLETRANSLATE(A18623,""en"",""pt"")"),"formato RAW é bom privilégio, mas leva um longo tempo para processo")</f>
        <v>formato RAW é bom privilégio, mas leva um longo tempo para processo</v>
      </c>
      <c r="B18623" s="3">
        <v>0</v>
      </c>
    </row>
    <row r="18624" ht="15.75" customHeight="1" spans="1:2">
      <c r="A18624" s="3" t="str">
        <f>IFERROR(__xludf.DUMMYFUNCTION("GOOGLETRANSLATE(A18624,""en"",""pt"")"),"Peso, aperto de mão pode ser emborrachado")</f>
        <v>Peso, aperto de mão pode ser emborrachado</v>
      </c>
      <c r="B18624" s="3">
        <v>0</v>
      </c>
    </row>
    <row r="18625" ht="15.75" customHeight="1" spans="1:2">
      <c r="A18625" s="3" t="str">
        <f>IFERROR(__xludf.DUMMYFUNCTION("GOOGLETRANSLATE(A18625,""en"",""pt"")"),"Pesado, excesso de matar software, características foco pobres, mau capacidade macro. correspondência de cores incorreto.")</f>
        <v>Pesado, excesso de matar software, características foco pobres, mau capacidade macro. correspondência de cores incorreto.</v>
      </c>
      <c r="B18625" s="3">
        <v>0</v>
      </c>
    </row>
    <row r="18626" ht="15.75" customHeight="1" spans="1:2">
      <c r="A18626" s="3" t="str">
        <f>IFERROR(__xludf.DUMMYFUNCTION("GOOGLETRANSLATE(A18626,""en"",""pt"")"),"Consulte revisão corpo.")</f>
        <v>Consulte revisão corpo.</v>
      </c>
      <c r="B18626" s="3">
        <v>0</v>
      </c>
    </row>
    <row r="18627" ht="15.75" customHeight="1" spans="1:2">
      <c r="A18627" s="3" t="str">
        <f>IFERROR(__xludf.DUMMYFUNCTION("GOOGLETRANSLATE(A18627,""en"",""pt"")"),"material de caixa traseira, tampa da lente, imagem crua software do conversor")</f>
        <v>material de caixa traseira, tampa da lente, imagem crua software do conversor</v>
      </c>
      <c r="B18627" s="3">
        <v>0</v>
      </c>
    </row>
    <row r="18628" ht="15.75" customHeight="1" spans="1:2">
      <c r="A18628" s="3" t="str">
        <f>IFERROR(__xludf.DUMMYFUNCTION("GOOGLETRANSLATE(A18628,""en"",""pt"")"),"Sem lentes intercambiáveis")</f>
        <v>Sem lentes intercambiáveis</v>
      </c>
      <c r="B18628" s="3">
        <v>0</v>
      </c>
    </row>
    <row r="18629" ht="15.75" customHeight="1" spans="1:2">
      <c r="A18629" s="3" t="str">
        <f>IFERROR(__xludf.DUMMYFUNCTION("GOOGLETRANSLATE(A18629,""en"",""pt"")"),"barreira UK Preço talvez - mas vale a pena!")</f>
        <v>barreira UK Preço talvez - mas vale a pena!</v>
      </c>
      <c r="B18629" s="3">
        <v>0</v>
      </c>
    </row>
    <row r="18630" ht="15.75" customHeight="1" spans="1:2">
      <c r="A18630" s="3" t="str">
        <f>IFERROR(__xludf.DUMMYFUNCTION("GOOGLETRANSLATE(A18630,""en"",""pt"")"),"corpo de plástico pode quebrar se cair.")</f>
        <v>corpo de plástico pode quebrar se cair.</v>
      </c>
      <c r="B18630" s="3">
        <v>0</v>
      </c>
    </row>
    <row r="18631" ht="15.75" customHeight="1" spans="1:2">
      <c r="A18631" s="3" t="str">
        <f>IFERROR(__xludf.DUMMYFUNCTION("GOOGLETRANSLATE(A18631,""en"",""pt"")"),"nenhum eu posso pensar")</f>
        <v>nenhum eu posso pensar</v>
      </c>
      <c r="B18631" s="3">
        <v>0</v>
      </c>
    </row>
    <row r="18632" ht="15.75" customHeight="1" spans="1:2">
      <c r="A18632" s="3" t="str">
        <f>IFERROR(__xludf.DUMMYFUNCTION("GOOGLETRANSLATE(A18632,""en"",""pt"")"),"lento, e caro.")</f>
        <v>lento, e caro.</v>
      </c>
      <c r="B18632" s="3">
        <v>0</v>
      </c>
    </row>
    <row r="18633" ht="15.75" customHeight="1" spans="1:2">
      <c r="A18633" s="3" t="str">
        <f>IFERROR(__xludf.DUMMYFUNCTION("GOOGLETRANSLATE(A18633,""en"",""pt"")"),"Alguns recursos avançados disponíveis apenas no modo AE, algumas pequenas falhas e aborrecimentos.")</f>
        <v>Alguns recursos avançados disponíveis apenas no modo AE, algumas pequenas falhas e aborrecimentos.</v>
      </c>
      <c r="B18633" s="3">
        <v>0</v>
      </c>
    </row>
    <row r="18634" ht="15.75" customHeight="1" spans="1:2">
      <c r="A18634" s="3" t="str">
        <f>IFERROR(__xludf.DUMMYFUNCTION("GOOGLETRANSLATE(A18634,""en"",""pt"")"),"yt")</f>
        <v>yt</v>
      </c>
      <c r="B18634" s="3">
        <v>0</v>
      </c>
    </row>
    <row r="18635" ht="15.75" customHeight="1" spans="1:2">
      <c r="A18635" s="3" t="str">
        <f>IFERROR(__xludf.DUMMYFUNCTION("GOOGLETRANSLATE(A18635,""en"",""pt"")"),"No 'através do visor"" informação. Tecnologia de ponta = preços dolorosa. Ampliações Limitada")</f>
        <v>No 'através do visor" informação. Tecnologia de ponta = preços dolorosa. Ampliações Limitada</v>
      </c>
      <c r="B18635" s="3">
        <v>0</v>
      </c>
    </row>
    <row r="18636" ht="15.75" customHeight="1" spans="1:2">
      <c r="A18636" s="3" t="str">
        <f>IFERROR(__xludf.DUMMYFUNCTION("GOOGLETRANSLATE(A18636,""en"",""pt"")"),"Apenas para aqueles que tomam o orgulho e alegria em soberba photograpy.")</f>
        <v>Apenas para aqueles que tomam o orgulho e alegria em soberba photograpy.</v>
      </c>
      <c r="B18636" s="3">
        <v>0</v>
      </c>
    </row>
    <row r="18637" ht="15.75" customHeight="1" spans="1:2">
      <c r="A18637" s="3" t="str">
        <f>IFERROR(__xludf.DUMMYFUNCTION("GOOGLETRANSLATE(A18637,""en"",""pt"")"),"Mesmos problemas que todas as câmeras digitais não-profissionais: o atraso do obturador e tempo de inicialização")</f>
        <v>Mesmos problemas que todas as câmeras digitais não-profissionais: o atraso do obturador e tempo de inicialização</v>
      </c>
      <c r="B18637" s="3">
        <v>0</v>
      </c>
    </row>
    <row r="18638" ht="15.75" customHeight="1" spans="1:2">
      <c r="A18638" s="3" t="str">
        <f>IFERROR(__xludf.DUMMYFUNCTION("GOOGLETRANSLATE(A18638,""en"",""pt"")"),"bateria proprietária, a curva de aprendizagem, não trata bem situações de pouca luz.")</f>
        <v>bateria proprietária, a curva de aprendizagem, não trata bem situações de pouca luz.</v>
      </c>
      <c r="B18638" s="3">
        <v>0</v>
      </c>
    </row>
    <row r="18639" ht="15.75" customHeight="1" spans="1:2">
      <c r="A18639" s="3" t="str">
        <f>IFERROR(__xludf.DUMMYFUNCTION("GOOGLETRANSLATE(A18639,""en"",""pt"")"),"Preço. Devo ter esperado para o mais recente G3?")</f>
        <v>Preço. Devo ter esperado para o mais recente G3?</v>
      </c>
      <c r="B18639" s="3">
        <v>0</v>
      </c>
    </row>
    <row r="18640" ht="15.75" customHeight="1" spans="1:2">
      <c r="A18640" s="3" t="str">
        <f>IFERROR(__xludf.DUMMYFUNCTION("GOOGLETRANSLATE(A18640,""en"",""pt"")"),"Um bebê de gordura, Shutter lag é longa")</f>
        <v>Um bebê de gordura, Shutter lag é longa</v>
      </c>
      <c r="B18640" s="3">
        <v>0</v>
      </c>
    </row>
    <row r="18641" ht="15.75" customHeight="1" spans="1:2">
      <c r="A18641" s="3" t="str">
        <f>IFERROR(__xludf.DUMMYFUNCTION("GOOGLETRANSLATE(A18641,""en"",""pt"")"),"Manipulação pode ser desagradável ... compensar tripé.")</f>
        <v>Manipulação pode ser desagradável ... compensar tripé.</v>
      </c>
      <c r="B18641" s="3">
        <v>0</v>
      </c>
    </row>
    <row r="18642" ht="15.75" customHeight="1" spans="1:2">
      <c r="A18642" s="3" t="str">
        <f>IFERROR(__xludf.DUMMYFUNCTION("GOOGLETRANSLATE(A18642,""en"",""pt"")"),"Nenhum")</f>
        <v>Nenhum</v>
      </c>
      <c r="B18642" s="3">
        <v>0</v>
      </c>
    </row>
    <row r="18643" ht="15.75" customHeight="1" spans="1:2">
      <c r="A18643" s="3" t="str">
        <f>IFERROR(__xludf.DUMMYFUNCTION("GOOGLETRANSLATE(A18643,""en"",""pt"")"),"Preço, Grip, e tamanho e peso geral")</f>
        <v>Preço, Grip, e tamanho e peso geral</v>
      </c>
      <c r="B18643" s="3">
        <v>0</v>
      </c>
    </row>
    <row r="18644" ht="15.75" customHeight="1" spans="1:2">
      <c r="A18644" s="3" t="str">
        <f>IFERROR(__xludf.DUMMYFUNCTION("GOOGLETRANSLATE(A18644,""en"",""pt"")"),"Menor concentrando pequenas imperfeições (não afeta significativamente o uso da câmera); um pouco lento, talvez.")</f>
        <v>Menor concentrando pequenas imperfeições (não afeta significativamente o uso da câmera); um pouco lento, talvez.</v>
      </c>
      <c r="B18644" s="3">
        <v>0</v>
      </c>
    </row>
    <row r="18645" ht="15.75" customHeight="1" spans="1:2">
      <c r="A18645" s="3" t="str">
        <f>IFERROR(__xludf.DUMMYFUNCTION("GOOGLETRANSLATE(A18645,""en"",""pt"")"),"Caro, grande, pesado, muito tempo para boot-up, cap lente manual, não leva tiros snap")</f>
        <v>Caro, grande, pesado, muito tempo para boot-up, cap lente manual, não leva tiros snap</v>
      </c>
      <c r="B18645" s="3">
        <v>0</v>
      </c>
    </row>
    <row r="18646" ht="15.75" customHeight="1" spans="1:2">
      <c r="A18646" s="3" t="str">
        <f>IFERROR(__xludf.DUMMYFUNCTION("GOOGLETRANSLATE(A18646,""en"",""pt"")"),"Desejamos o zoom era melhor e vida bettery poderia ser melhor")</f>
        <v>Desejamos o zoom era melhor e vida bettery poderia ser melhor</v>
      </c>
      <c r="B18646" s="3">
        <v>0</v>
      </c>
    </row>
    <row r="18647" ht="15.75" customHeight="1" spans="1:2">
      <c r="A18647" s="3" t="str">
        <f>IFERROR(__xludf.DUMMYFUNCTION("GOOGLETRANSLATE(A18647,""en"",""pt"")"),"Preço ... de volta quando eu comprei.")</f>
        <v>Preço ... de volta quando eu comprei.</v>
      </c>
      <c r="B18647" s="3">
        <v>0</v>
      </c>
    </row>
    <row r="18648" ht="15.75" customHeight="1" spans="1:2">
      <c r="A18648" s="3" t="str">
        <f>IFERROR(__xludf.DUMMYFUNCTION("GOOGLETRANSLATE(A18648,""en"",""pt"")"),"nada")</f>
        <v>nada</v>
      </c>
      <c r="B18648" s="3">
        <v>0</v>
      </c>
    </row>
    <row r="18649" ht="15.75" customHeight="1" spans="1:2">
      <c r="A18649" s="3" t="str">
        <f>IFERROR(__xludf.DUMMYFUNCTION("GOOGLETRANSLATE(A18649,""en"",""pt"")"),"nem todas as características de uma câmera SLR")</f>
        <v>nem todas as características de uma câmera SLR</v>
      </c>
      <c r="B18649" s="3">
        <v>0</v>
      </c>
    </row>
    <row r="18650" ht="15.75" customHeight="1" spans="1:2">
      <c r="A18650" s="3" t="str">
        <f>IFERROR(__xludf.DUMMYFUNCTION("GOOGLETRANSLATE(A18650,""en"",""pt"")"),"Caro para a resolução, um pouco volumoso, a velocidade de transferência não rápido o suficiente")</f>
        <v>Caro para a resolução, um pouco volumoso, a velocidade de transferência não rápido o suficiente</v>
      </c>
      <c r="B18650" s="3">
        <v>0</v>
      </c>
    </row>
    <row r="18651" ht="15.75" customHeight="1" spans="1:2">
      <c r="A18651" s="3" t="str">
        <f>IFERROR(__xludf.DUMMYFUNCTION("GOOGLETRANSLATE(A18651,""en"",""pt"")"),"Um pouco pesado, incluído cartão CF inutilmente pequena.")</f>
        <v>Um pouco pesado, incluído cartão CF inutilmente pequena.</v>
      </c>
      <c r="B18651" s="3">
        <v>0</v>
      </c>
    </row>
    <row r="18652" ht="15.75" customHeight="1" spans="1:2">
      <c r="A18652" s="3" t="str">
        <f>IFERROR(__xludf.DUMMYFUNCTION("GOOGLETRANSLATE(A18652,""en"",""pt"")"),"botão do obturador lenta atuação")</f>
        <v>botão do obturador lenta atuação</v>
      </c>
      <c r="B18652" s="3">
        <v>0</v>
      </c>
    </row>
    <row r="18653" ht="15.75" customHeight="1" spans="1:2">
      <c r="A18653" s="3" t="str">
        <f>IFERROR(__xludf.DUMMYFUNCTION("GOOGLETRANSLATE(A18653,""en"",""pt"")"),"pobre ISO400, a resposta de controle não tão rápido")</f>
        <v>pobre ISO400, a resposta de controle não tão rápido</v>
      </c>
      <c r="B18653" s="3">
        <v>0</v>
      </c>
    </row>
    <row r="18654" ht="15.75" customHeight="1" spans="1:2">
      <c r="A18654" s="3" t="str">
        <f>IFERROR(__xludf.DUMMYFUNCTION("GOOGLETRANSLATE(A18654,""en"",""pt"")"),"Desajeitado e grande, mas vale a pena.")</f>
        <v>Desajeitado e grande, mas vale a pena.</v>
      </c>
      <c r="B18654" s="3">
        <v>0</v>
      </c>
    </row>
    <row r="18655" ht="15.75" customHeight="1" spans="1:2">
      <c r="A18655" s="3" t="str">
        <f>IFERROR(__xludf.DUMMYFUNCTION("GOOGLETRANSLATE(A18655,""en"",""pt"")"),"fracasso total apenas fora da garantia.")</f>
        <v>fracasso total apenas fora da garantia.</v>
      </c>
      <c r="B18655" s="3">
        <v>0</v>
      </c>
    </row>
    <row r="18656" ht="15.75" customHeight="1" spans="1:2">
      <c r="A18656" s="3" t="str">
        <f>IFERROR(__xludf.DUMMYFUNCTION("GOOGLETRANSLATE(A18656,""en"",""pt"")"),"Dioptria poderia usar uma gama mais ampla de ajustamento.")</f>
        <v>Dioptria poderia usar uma gama mais ampla de ajustamento.</v>
      </c>
      <c r="B18656" s="3">
        <v>0</v>
      </c>
    </row>
    <row r="18657" ht="15.75" customHeight="1" spans="1:2">
      <c r="A18657" s="3" t="str">
        <f>IFERROR(__xludf.DUMMYFUNCTION("GOOGLETRANSLATE(A18657,""en"",""pt"")"),"plástico barato (traseiro &amp; amp; porta cf), tripé estranho montar")</f>
        <v>plástico barato (traseiro &amp; amp; porta cf), tripé estranho montar</v>
      </c>
      <c r="B18657" s="3">
        <v>0</v>
      </c>
    </row>
    <row r="18658" ht="15.75" customHeight="1" spans="1:2">
      <c r="A18658" s="3" t="str">
        <f>IFERROR(__xludf.DUMMYFUNCTION("GOOGLETRANSLATE(A18658,""en"",""pt"")"),"Preço")</f>
        <v>Preço</v>
      </c>
      <c r="B18658" s="3">
        <v>0</v>
      </c>
    </row>
    <row r="18659" ht="15.75" customHeight="1" spans="1:2">
      <c r="A18659" s="3" t="str">
        <f>IFERROR(__xludf.DUMMYFUNCTION("GOOGLETRANSLATE(A18659,""en"",""pt"")"),"Um pouco pesado. Para o preço que eu gostaria que incluiu uma maleta.")</f>
        <v>Um pouco pesado. Para o preço que eu gostaria que incluiu uma maleta.</v>
      </c>
      <c r="B18659" s="3">
        <v>0</v>
      </c>
    </row>
    <row r="18660" ht="15.75" customHeight="1" spans="1:2">
      <c r="A18660" s="3" t="str">
        <f>IFERROR(__xludf.DUMMYFUNCTION("GOOGLETRANSLATE(A18660,""en"",""pt"")"),"Nenhum")</f>
        <v>Nenhum</v>
      </c>
      <c r="B18660" s="3">
        <v>0</v>
      </c>
    </row>
    <row r="18661" ht="15.75" customHeight="1" spans="1:2">
      <c r="A18661" s="3" t="str">
        <f>IFERROR(__xludf.DUMMYFUNCTION("GOOGLETRANSLATE(A18661,""en"",""pt"")"),"Um pouco caro, mas muito menos do que Nikon digitals profissionais com mesma qualidade.")</f>
        <v>Um pouco caro, mas muito menos do que Nikon digitals profissionais com mesma qualidade.</v>
      </c>
      <c r="B18661" s="3">
        <v>0</v>
      </c>
    </row>
    <row r="18662" ht="15.75" customHeight="1" spans="1:2">
      <c r="A18662" s="3" t="str">
        <f>IFERROR(__xludf.DUMMYFUNCTION("GOOGLETRANSLATE(A18662,""en"",""pt"")"),"Arranque lento, o alojamento de plástico parcialmente")</f>
        <v>Arranque lento, o alojamento de plástico parcialmente</v>
      </c>
      <c r="B18662" s="3">
        <v>0</v>
      </c>
    </row>
    <row r="18663" ht="15.75" customHeight="1" spans="1:2">
      <c r="A18663" s="3" t="str">
        <f>IFERROR(__xludf.DUMMYFUNCTION("GOOGLETRANSLATE(A18663,""en"",""pt"")"),"Caro e muito de olhos vermelhos, quando usando o Flash")</f>
        <v>Caro e muito de olhos vermelhos, quando usando o Flash</v>
      </c>
      <c r="B18663" s="3">
        <v>0</v>
      </c>
    </row>
    <row r="18664" ht="15.75" customHeight="1" spans="1:2">
      <c r="A18664" s="3" t="str">
        <f>IFERROR(__xludf.DUMMYFUNCTION("GOOGLETRANSLATE(A18664,""en"",""pt"")"),"Caro, não é fácil para mais pessoas para desfrutar. Pequeno e fácil de levar com.")</f>
        <v>Caro, não é fácil para mais pessoas para desfrutar. Pequeno e fácil de levar com.</v>
      </c>
      <c r="B18664" s="3">
        <v>0</v>
      </c>
    </row>
    <row r="18665" ht="15.75" customHeight="1" spans="1:2">
      <c r="A18665" s="3" t="str">
        <f>IFERROR(__xludf.DUMMYFUNCTION("GOOGLETRANSLATE(A18665,""en"",""pt"")"),"zoom digital tem muito a melhorar. Esta é uma câmera pesada.")</f>
        <v>zoom digital tem muito a melhorar. Esta é uma câmera pesada.</v>
      </c>
      <c r="B18665" s="3">
        <v>0</v>
      </c>
    </row>
    <row r="18666" ht="15.75" customHeight="1" spans="1:2">
      <c r="A18666" s="3" t="str">
        <f>IFERROR(__xludf.DUMMYFUNCTION("GOOGLETRANSLATE(A18666,""en"",""pt"")"),"disparador do obturador lenta faz cenas de ação difícil")</f>
        <v>disparador do obturador lenta faz cenas de ação difícil</v>
      </c>
      <c r="B18666" s="3">
        <v>0</v>
      </c>
    </row>
    <row r="18667" ht="15.75" customHeight="1" spans="1:2">
      <c r="A18667" s="3" t="str">
        <f>IFERROR(__xludf.DUMMYFUNCTION("GOOGLETRANSLATE(A18667,""en"",""pt"")"),"caro")</f>
        <v>caro</v>
      </c>
      <c r="B18667" s="3">
        <v>0</v>
      </c>
    </row>
    <row r="18668" ht="15.75" customHeight="1" spans="1:2">
      <c r="A18668" s="3" t="str">
        <f>IFERROR(__xludf.DUMMYFUNCTION("GOOGLETRANSLATE(A18668,""en"",""pt"")"),"Optical visor não é tão grande, não rápido o suficiente para fotos de esportes.")</f>
        <v>Optical visor não é tão grande, não rápido o suficiente para fotos de esportes.</v>
      </c>
      <c r="B18668" s="3">
        <v>0</v>
      </c>
    </row>
    <row r="18669" ht="15.75" customHeight="1" spans="1:2">
      <c r="A18669" s="3" t="str">
        <f>IFERROR(__xludf.DUMMYFUNCTION("GOOGLETRANSLATE(A18669,""en"",""pt"")"),"Nada que eu não esperava antes de comprar. vale nada reclamando.")</f>
        <v>Nada que eu não esperava antes de comprar. vale nada reclamando.</v>
      </c>
      <c r="B18669" s="3">
        <v>0</v>
      </c>
    </row>
    <row r="18670" ht="15.75" customHeight="1" spans="1:2">
      <c r="A18670" s="3" t="str">
        <f>IFERROR(__xludf.DUMMYFUNCTION("GOOGLETRANSLATE(A18670,""en"",""pt"")"),"Preço, Flash fraco.")</f>
        <v>Preço, Flash fraco.</v>
      </c>
      <c r="B18670" s="3">
        <v>0</v>
      </c>
    </row>
    <row r="18671" ht="15.75" customHeight="1" spans="1:2">
      <c r="A18671" s="3" t="str">
        <f>IFERROR(__xludf.DUMMYFUNCTION("GOOGLETRANSLATE(A18671,""en"",""pt"")"),"auto-foco é ""soft"", flash fraco, lente visível no visor")</f>
        <v>auto-foco é "soft", flash fraco, lente visível no visor</v>
      </c>
      <c r="B18671" s="3">
        <v>0</v>
      </c>
    </row>
    <row r="18672" ht="15.75" customHeight="1" spans="1:2">
      <c r="A18672" s="3" t="str">
        <f>IFERROR(__xludf.DUMMYFUNCTION("GOOGLETRANSLATE(A18672,""en"",""pt"")"),"Autofocus difícil com pouca luz &amp; amp; em qualquer coisa, exceto grande angular total.")</f>
        <v>Autofocus difícil com pouca luz &amp; amp; em qualquer coisa, exceto grande angular total.</v>
      </c>
      <c r="B18672" s="3">
        <v>0</v>
      </c>
    </row>
    <row r="18673" ht="15.75" customHeight="1" spans="1:2">
      <c r="A18673" s="3" t="str">
        <f>IFERROR(__xludf.DUMMYFUNCTION("GOOGLETRANSLATE(A18673,""en"",""pt"")"),"ruim Ver finder, zoom limitado, foco automático lento")</f>
        <v>ruim Ver finder, zoom limitado, foco automático lento</v>
      </c>
      <c r="B18673" s="3">
        <v>0</v>
      </c>
    </row>
    <row r="18674" ht="15.75" customHeight="1" spans="1:2">
      <c r="A18674" s="3" t="str">
        <f>IFERROR(__xludf.DUMMYFUNCTION("GOOGLETRANSLATE(A18674,""en"",""pt"")"),"Ver obstrução localizador ... foco lento")</f>
        <v>Ver obstrução localizador ... foco lento</v>
      </c>
      <c r="B18674" s="3">
        <v>0</v>
      </c>
    </row>
    <row r="18675" ht="15.75" customHeight="1" spans="1:2">
      <c r="A18675" s="3" t="str">
        <f>IFERROR(__xludf.DUMMYFUNCTION("GOOGLETRANSLATE(A18675,""en"",""pt"")"),"Navios com pequeno cartão CF de 32mb.")</f>
        <v>Navios com pequeno cartão CF de 32mb.</v>
      </c>
      <c r="B18675" s="3">
        <v>0</v>
      </c>
    </row>
    <row r="18676" ht="15.75" customHeight="1" spans="1:2">
      <c r="A18676" s="3" t="str">
        <f>IFERROR(__xludf.DUMMYFUNCTION("GOOGLETRANSLATE(A18676,""en"",""pt"")"),"&amp; Lt; b &amp; gt; frágil tampa terminal e difícil de usar. software ZoomBrowser necessidades melhorias &amp; lt;. / b &amp; gt;")</f>
        <v>&amp; Lt; b &amp; gt; frágil tampa terminal e difícil de usar. software ZoomBrowser necessidades melhorias &amp; lt;. / b &amp; gt;</v>
      </c>
      <c r="B18676" s="3">
        <v>0</v>
      </c>
    </row>
    <row r="18677" ht="15.75" customHeight="1" spans="1:2">
      <c r="A18677" s="3" t="str">
        <f>IFERROR(__xludf.DUMMYFUNCTION("GOOGLETRANSLATE(A18677,""en"",""pt"")"),"Borradas e fora de foco em ambientes fechados fotos tiradas")</f>
        <v>Borradas e fora de foco em ambientes fechados fotos tiradas</v>
      </c>
      <c r="B18677" s="3">
        <v>0</v>
      </c>
    </row>
    <row r="18678" ht="15.75" customHeight="1" spans="1:2">
      <c r="A18678" s="3" t="str">
        <f>IFERROR(__xludf.DUMMYFUNCTION("GOOGLETRANSLATE(A18678,""en"",""pt"")"),"visor óptico não vale a pena usar")</f>
        <v>visor óptico não vale a pena usar</v>
      </c>
      <c r="B18678" s="3">
        <v>0</v>
      </c>
    </row>
    <row r="18679" ht="15.75" customHeight="1" spans="1:2">
      <c r="A18679" s="3" t="str">
        <f>IFERROR(__xludf.DUMMYFUNCTION("GOOGLETRANSLATE(A18679,""en"",""pt"")"),"superexpostas fotos")</f>
        <v>superexpostas fotos</v>
      </c>
      <c r="B18679" s="3">
        <v>0</v>
      </c>
    </row>
    <row r="18680" ht="15.75" customHeight="1" spans="1:2">
      <c r="A18680" s="3" t="str">
        <f>IFERROR(__xludf.DUMMYFUNCTION("GOOGLETRANSLATE(A18680,""en"",""pt"")"),"O foco automático é pobre em baixa luminosidade e em situações rápidas móveis")</f>
        <v>O foco automático é pobre em baixa luminosidade e em situações rápidas móveis</v>
      </c>
      <c r="B18680" s="3">
        <v>0</v>
      </c>
    </row>
    <row r="18681" ht="15.75" customHeight="1" spans="1:2">
      <c r="A18681" s="3" t="str">
        <f>IFERROR(__xludf.DUMMYFUNCTION("GOOGLETRANSLATE(A18681,""en"",""pt"")"),"um pouco caro")</f>
        <v>um pouco caro</v>
      </c>
      <c r="B18681" s="3">
        <v>0</v>
      </c>
    </row>
    <row r="18682" ht="15.75" customHeight="1" spans="1:2">
      <c r="A18682" s="3" t="str">
        <f>IFERROR(__xludf.DUMMYFUNCTION("GOOGLETRANSLATE(A18682,""en"",""pt"")"),"um pouco caro, mau visor, flash fraco")</f>
        <v>um pouco caro, mau visor, flash fraco</v>
      </c>
      <c r="B18682" s="3">
        <v>0</v>
      </c>
    </row>
    <row r="18683" ht="15.75" customHeight="1" spans="1:2">
      <c r="A18683" s="3" t="str">
        <f>IFERROR(__xludf.DUMMYFUNCTION("GOOGLETRANSLATE(A18683,""en"",""pt"")"),"alça de pescoço (hey - conseguiu dizer algo ruim, não é?)")</f>
        <v>alça de pescoço (hey - conseguiu dizer algo ruim, não é?)</v>
      </c>
      <c r="B18683" s="3">
        <v>0</v>
      </c>
    </row>
    <row r="18684" ht="15.75" customHeight="1" spans="1:2">
      <c r="A18684" s="3" t="str">
        <f>IFERROR(__xludf.DUMMYFUNCTION("GOOGLETRANSLATE(A18684,""en"",""pt"")"),"Nenhum")</f>
        <v>Nenhum</v>
      </c>
      <c r="B18684" s="3">
        <v>0</v>
      </c>
    </row>
    <row r="18685" ht="15.75" customHeight="1" spans="1:2">
      <c r="A18685" s="3" t="str">
        <f>IFERROR(__xludf.DUMMYFUNCTION("GOOGLETRANSLATE(A18685,""en"",""pt"")"),"Horrível, autofocus horrível. Maioria das imagens são borradas.")</f>
        <v>Horrível, autofocus horrível. Maioria das imagens são borradas.</v>
      </c>
      <c r="B18685" s="3">
        <v>0</v>
      </c>
    </row>
    <row r="18686" ht="15.75" customHeight="1" spans="1:2">
      <c r="A18686" s="3" t="str">
        <f>IFERROR(__xludf.DUMMYFUNCTION("GOOGLETRANSLATE(A18686,""en"",""pt"")"),"tempo de bloqueio de focagem muito ruim, mesmo na luz brilhante")</f>
        <v>tempo de bloqueio de focagem muito ruim, mesmo na luz brilhante</v>
      </c>
      <c r="B18686" s="3">
        <v>0</v>
      </c>
    </row>
    <row r="18687" ht="15.75" customHeight="1" spans="1:2">
      <c r="A18687" s="3" t="str">
        <f>IFERROR(__xludf.DUMMYFUNCTION("GOOGLETRANSLATE(A18687,""en"",""pt"")"),"O atraso do obturador é perceptível. Não há forma de colocar filtro protetor sobre sem apego")</f>
        <v>O atraso do obturador é perceptível. Não há forma de colocar filtro protetor sobre sem apego</v>
      </c>
      <c r="B18687" s="3">
        <v>0</v>
      </c>
    </row>
    <row r="18688" ht="15.75" customHeight="1" spans="1:2">
      <c r="A18688" s="3" t="str">
        <f>IFERROR(__xludf.DUMMYFUNCTION("GOOGLETRANSLATE(A18688,""en"",""pt"")"),"Todos os modelos têm limões. Eu tenho um!")</f>
        <v>Todos os modelos têm limões. Eu tenho um!</v>
      </c>
      <c r="B18688" s="3">
        <v>0</v>
      </c>
    </row>
    <row r="18689" ht="15.75" customHeight="1" spans="1:2">
      <c r="A18689" s="3" t="str">
        <f>IFERROR(__xludf.DUMMYFUNCTION("GOOGLETRANSLATE(A18689,""en"",""pt"")"),"AF perde às vezes em 4x em regime macro")</f>
        <v>AF perde às vezes em 4x em regime macro</v>
      </c>
      <c r="B18689" s="3">
        <v>0</v>
      </c>
    </row>
    <row r="18690" ht="15.75" customHeight="1" spans="1:2">
      <c r="A18690" s="3" t="str">
        <f>IFERROR(__xludf.DUMMYFUNCTION("GOOGLETRANSLATE(A18690,""en"",""pt"")"),"Segure um pouco estranho para grandes mãos.")</f>
        <v>Segure um pouco estranho para grandes mãos.</v>
      </c>
      <c r="B18690" s="3">
        <v>0</v>
      </c>
    </row>
    <row r="18691" ht="15.75" customHeight="1" spans="1:2">
      <c r="A18691" s="3" t="str">
        <f>IFERROR(__xludf.DUMMYFUNCTION("GOOGLETRANSLATE(A18691,""en"",""pt"")"),"O manual carece de iniciantes. A tampa da lente poderia ser melhor")</f>
        <v>O manual carece de iniciantes. A tampa da lente poderia ser melhor</v>
      </c>
      <c r="B18691" s="3">
        <v>0</v>
      </c>
    </row>
    <row r="18692" ht="15.75" customHeight="1" spans="1:2">
      <c r="A18692" s="3" t="str">
        <f>IFERROR(__xludf.DUMMYFUNCTION("GOOGLETRANSLATE(A18692,""en"",""pt"")"),"Como um usuário de 35 milímetros de 25 anos, eu encontrei nenhum. Absolutamente encantado com o G3.")</f>
        <v>Como um usuário de 35 milímetros de 25 anos, eu encontrei nenhum. Absolutamente encantado com o G3.</v>
      </c>
      <c r="B18692" s="3">
        <v>0</v>
      </c>
    </row>
    <row r="18693" ht="15.75" customHeight="1" spans="1:2">
      <c r="A18693" s="3" t="str">
        <f>IFERROR(__xludf.DUMMYFUNCTION("GOOGLETRANSLATE(A18693,""en"",""pt"")"),"um pouco volumoso")</f>
        <v>um pouco volumoso</v>
      </c>
      <c r="B18693" s="3">
        <v>0</v>
      </c>
    </row>
    <row r="18694" ht="15.75" customHeight="1" spans="1:2">
      <c r="A18694" s="3" t="str">
        <f>IFERROR(__xludf.DUMMYFUNCTION("GOOGLETRANSLATE(A18694,""en"",""pt"")"),"as questões de cor horríveis deixou as minhas fotos que procuram irrealista &amp; amp; cartoon-like")</f>
        <v>as questões de cor horríveis deixou as minhas fotos que procuram irrealista &amp; amp; cartoon-like</v>
      </c>
      <c r="B18694" s="3">
        <v>0</v>
      </c>
    </row>
    <row r="18695" ht="15.75" customHeight="1" spans="1:2">
      <c r="A18695" s="3" t="str">
        <f>IFERROR(__xludf.DUMMYFUNCTION("GOOGLETRANSLATE(A18695,""en"",""pt"")"),"Nenhum digno de nota")</f>
        <v>Nenhum digno de nota</v>
      </c>
      <c r="B18695" s="3">
        <v>0</v>
      </c>
    </row>
    <row r="18696" ht="15.75" customHeight="1" spans="1:2">
      <c r="A18696" s="3" t="str">
        <f>IFERROR(__xludf.DUMMYFUNCTION("GOOGLETRANSLATE(A18696,""en"",""pt"")"),"Algumas falhas de construção")</f>
        <v>Algumas falhas de construção</v>
      </c>
      <c r="B18696" s="3">
        <v>0</v>
      </c>
    </row>
    <row r="18697" ht="15.75" customHeight="1" spans="1:2">
      <c r="A18697" s="3" t="str">
        <f>IFERROR(__xludf.DUMMYFUNCTION("GOOGLETRANSLATE(A18697,""en"",""pt"")"),"Com 420EX piscar os sente câmera mal equilibradas")</f>
        <v>Com 420EX piscar os sente câmera mal equilibradas</v>
      </c>
      <c r="B18697" s="3">
        <v>0</v>
      </c>
    </row>
    <row r="18698" ht="15.75" customHeight="1" spans="1:2">
      <c r="A18698" s="3" t="str">
        <f>IFERROR(__xludf.DUMMYFUNCTION("GOOGLETRANSLATE(A18698,""en"",""pt"")"),"barril lente visível através do visor óptico.")</f>
        <v>barril lente visível através do visor óptico.</v>
      </c>
      <c r="B18698" s="3">
        <v>0</v>
      </c>
    </row>
    <row r="18699" ht="15.75" customHeight="1" spans="1:2">
      <c r="A18699" s="3" t="str">
        <f>IFERROR(__xludf.DUMMYFUNCTION("GOOGLETRANSLATE(A18699,""en"",""pt"")"),"Bateria proprietária, Poor RAW Software, volumoso, Cap Lens")</f>
        <v>Bateria proprietária, Poor RAW Software, volumoso, Cap Lens</v>
      </c>
      <c r="B18699" s="3">
        <v>0</v>
      </c>
    </row>
    <row r="18700" ht="15.75" customHeight="1" spans="1:2">
      <c r="A18700" s="3" t="str">
        <f>IFERROR(__xludf.DUMMYFUNCTION("GOOGLETRANSLATE(A18700,""en"",""pt"")"),"autofoco em situações de lite baixos, redução de olhos vermelhos não é a melhor, melhor software organizando imagem necessária")</f>
        <v>autofoco em situações de lite baixos, redução de olhos vermelhos não é a melhor, melhor software organizando imagem necessária</v>
      </c>
      <c r="B18700" s="3">
        <v>0</v>
      </c>
    </row>
    <row r="18701" ht="15.75" customHeight="1" spans="1:2">
      <c r="A18701" s="3" t="str">
        <f>IFERROR(__xludf.DUMMYFUNCTION("GOOGLETRANSLATE(A18701,""en"",""pt"")"),"Autofocus Time, Cap Lens")</f>
        <v>Autofocus Time, Cap Lens</v>
      </c>
      <c r="B18701" s="3">
        <v>0</v>
      </c>
    </row>
    <row r="18702" ht="15.75" customHeight="1" spans="1:2">
      <c r="A18702" s="3" t="str">
        <f>IFERROR(__xludf.DUMMYFUNCTION("GOOGLETRANSLATE(A18702,""en"",""pt"")"),"Nenhum")</f>
        <v>Nenhum</v>
      </c>
      <c r="B18702" s="3">
        <v>0</v>
      </c>
    </row>
    <row r="18703" ht="15.75" customHeight="1" spans="1:2">
      <c r="A18703" s="3" t="str">
        <f>IFERROR(__xludf.DUMMYFUNCTION("GOOGLETRANSLATE(A18703,""en"",""pt"")"),"um pouco caro")</f>
        <v>um pouco caro</v>
      </c>
      <c r="B18703" s="3">
        <v>0</v>
      </c>
    </row>
    <row r="18704" ht="15.75" customHeight="1" spans="1:2">
      <c r="A18704" s="3" t="str">
        <f>IFERROR(__xludf.DUMMYFUNCTION("GOOGLETRANSLATE(A18704,""en"",""pt"")"),"Meio chato")</f>
        <v>Meio chato</v>
      </c>
      <c r="B18704" s="3">
        <v>0</v>
      </c>
    </row>
    <row r="18705" ht="15.75" customHeight="1" spans="1:2">
      <c r="A18705" s="3" t="str">
        <f>IFERROR(__xludf.DUMMYFUNCTION("GOOGLETRANSLATE(A18705,""en"",""pt"")"),"Lentos para download")</f>
        <v>Lentos para download</v>
      </c>
      <c r="B18705" s="3">
        <v>0</v>
      </c>
    </row>
    <row r="18706" ht="15.75" customHeight="1" spans="1:2">
      <c r="A18706" s="3" t="str">
        <f>IFERROR(__xludf.DUMMYFUNCTION("GOOGLETRANSLATE(A18706,""en"",""pt"")"),"mas produto barato!")</f>
        <v>mas produto barato!</v>
      </c>
      <c r="B18706" s="3">
        <v>0</v>
      </c>
    </row>
    <row r="18707" ht="15.75" customHeight="1" spans="1:2">
      <c r="A18707" s="3" t="str">
        <f>IFERROR(__xludf.DUMMYFUNCTION("GOOGLETRANSLATE(A18707,""en"",""pt"")"),"autofocus ciclismo é um pouco lento")</f>
        <v>autofocus ciclismo é um pouco lento</v>
      </c>
      <c r="B18707" s="3">
        <v>0</v>
      </c>
    </row>
    <row r="18708" ht="15.75" customHeight="1" spans="1:2">
      <c r="A18708" s="3" t="str">
        <f>IFERROR(__xludf.DUMMYFUNCTION("GOOGLETRANSLATE(A18708,""en"",""pt"")"),"Nenhum")</f>
        <v>Nenhum</v>
      </c>
      <c r="B18708" s="3">
        <v>0</v>
      </c>
    </row>
    <row r="18709" ht="15.75" customHeight="1" spans="1:2">
      <c r="A18709" s="3" t="str">
        <f>IFERROR(__xludf.DUMMYFUNCTION("GOOGLETRANSLATE(A18709,""en"",""pt"")"),"autofocus leva muito tempo")</f>
        <v>autofocus leva muito tempo</v>
      </c>
      <c r="B18709" s="3">
        <v>0</v>
      </c>
    </row>
    <row r="18710" ht="15.75" customHeight="1" spans="1:2">
      <c r="A18710" s="3" t="str">
        <f>IFERROR(__xludf.DUMMYFUNCTION("GOOGLETRANSLATE(A18710,""en"",""pt"")"),"carece de controles manuais, menos popular, volumosos se usado sem flash")</f>
        <v>carece de controles manuais, menos popular, volumosos se usado sem flash</v>
      </c>
      <c r="B18710" s="3">
        <v>0</v>
      </c>
    </row>
    <row r="18711" ht="15.75" customHeight="1" spans="1:2">
      <c r="A18711" s="3" t="str">
        <f>IFERROR(__xludf.DUMMYFUNCTION("GOOGLETRANSLATE(A18711,""en"",""pt"")"),"Apenas 2,5 Zoom")</f>
        <v>Apenas 2,5 Zoom</v>
      </c>
      <c r="B18711" s="3">
        <v>0</v>
      </c>
    </row>
    <row r="18712" ht="15.75" customHeight="1" spans="1:2">
      <c r="A18712" s="3" t="str">
        <f>IFERROR(__xludf.DUMMYFUNCTION("GOOGLETRANSLATE(A18712,""en"",""pt"")"),"tiros da distância, grandes e volumosos.")</f>
        <v>tiros da distância, grandes e volumosos.</v>
      </c>
      <c r="B18712" s="3">
        <v>0</v>
      </c>
    </row>
    <row r="18713" ht="15.75" customHeight="1" spans="1:2">
      <c r="A18713" s="3" t="str">
        <f>IFERROR(__xludf.DUMMYFUNCTION("GOOGLETRANSLATE(A18713,""en"",""pt"")"),"Um pouco pesado. cartão de memória flash 8m pequena incluído. Poderia ter sido um 16m!")</f>
        <v>Um pouco pesado. cartão de memória flash 8m pequena incluído. Poderia ter sido um 16m!</v>
      </c>
      <c r="B18713" s="3">
        <v>0</v>
      </c>
    </row>
    <row r="18714" ht="15.75" customHeight="1" spans="1:2">
      <c r="A18714" s="3" t="str">
        <f>IFERROR(__xludf.DUMMYFUNCTION("GOOGLETRANSLATE(A18714,""en"",""pt"")"),"alguma aberração cromática, o foco tem problemas com pouca luz, sem visor óptico")</f>
        <v>alguma aberração cromática, o foco tem problemas com pouca luz, sem visor óptico</v>
      </c>
      <c r="B18714" s="3">
        <v>0</v>
      </c>
    </row>
    <row r="18715" ht="15.75" customHeight="1" spans="1:2">
      <c r="A18715" s="3" t="s">
        <v>103</v>
      </c>
      <c r="B18715" s="3">
        <v>0</v>
      </c>
    </row>
    <row r="18716" ht="15.75" customHeight="1" spans="1:2">
      <c r="A18716" s="3" t="str">
        <f>IFERROR(__xludf.DUMMYFUNCTION("GOOGLETRANSLATE(A18716,""en"",""pt"")"),"- funcionalidade limitada com série EX flashes &amp; amp; # 13; &amp; amp; # 10; - pobre baixa foco de luz")</f>
        <v>- funcionalidade limitada com série EX flashes &amp; amp; # 13; &amp; amp; # 10; - pobre baixa foco de luz</v>
      </c>
      <c r="B18716" s="3">
        <v>0</v>
      </c>
    </row>
    <row r="18717" ht="15.75" customHeight="1" spans="1:2">
      <c r="A18717" s="3" t="str">
        <f>IFERROR(__xludf.DUMMYFUNCTION("GOOGLETRANSLATE(A18717,""en"",""pt"")"),"Um pouco caro. Não é um verdadeiro câmera de 3 megapixels.")</f>
        <v>Um pouco caro. Não é um verdadeiro câmera de 3 megapixels.</v>
      </c>
      <c r="B18717" s="3">
        <v>0</v>
      </c>
    </row>
    <row r="18718" ht="15.75" customHeight="1" spans="1:2">
      <c r="A18718" s="3" t="str">
        <f>IFERROR(__xludf.DUMMYFUNCTION("GOOGLETRANSLATE(A18718,""en"",""pt"")"),"software Canon não retém informações de tiro ao converter arquivos RAW")</f>
        <v>software Canon não retém informações de tiro ao converter arquivos RAW</v>
      </c>
      <c r="B18718" s="3">
        <v>0</v>
      </c>
    </row>
    <row r="18719" ht="15.75" customHeight="1" spans="1:2">
      <c r="A18719" s="3" t="str">
        <f>IFERROR(__xludf.DUMMYFUNCTION("GOOGLETRANSLATE(A18719,""en"",""pt"")"),"No mais recente com 5 Meg Pixels, Fora de Produção")</f>
        <v>No mais recente com 5 Meg Pixels, Fora de Produção</v>
      </c>
      <c r="B18719" s="3">
        <v>0</v>
      </c>
    </row>
    <row r="18720" ht="15.75" customHeight="1" spans="1:2">
      <c r="A18720" s="3" t="str">
        <f>IFERROR(__xludf.DUMMYFUNCTION("GOOGLETRANSLATE(A18720,""en"",""pt"")"),"construção horrível, horrível vida útil da bateria")</f>
        <v>construção horrível, horrível vida útil da bateria</v>
      </c>
      <c r="B18720" s="3">
        <v>0</v>
      </c>
    </row>
    <row r="18721" ht="15.75" customHeight="1" spans="1:2">
      <c r="A18721" s="3" t="str">
        <f>IFERROR(__xludf.DUMMYFUNCTION("GOOGLETRANSLATE(A18721,""en"",""pt"")"),"Visor elétrico, bateria, Ergonomia, resolução, Cost &amp; amp; # 13; &amp; amp; # 10;")</f>
        <v>Visor elétrico, bateria, Ergonomia, resolução, Cost &amp; amp; # 13; &amp; amp; # 10;</v>
      </c>
      <c r="B18721" s="3">
        <v>0</v>
      </c>
    </row>
    <row r="18722" ht="15.75" customHeight="1" spans="1:2">
      <c r="A18722" s="3" t="str">
        <f>IFERROR(__xludf.DUMMYFUNCTION("GOOGLETRANSLATE(A18722,""en"",""pt"")"),"Sem Função Macro")</f>
        <v>Sem Função Macro</v>
      </c>
      <c r="B18722" s="3">
        <v>0</v>
      </c>
    </row>
    <row r="18723" ht="15.75" customHeight="1" spans="1:2">
      <c r="A18723" s="3" t="str">
        <f>IFERROR(__xludf.DUMMYFUNCTION("GOOGLETRANSLATE(A18723,""en"",""pt"")"),"não pode aceitar pilhas alcalinas, cartão de memória incluído pequeno.")</f>
        <v>não pode aceitar pilhas alcalinas, cartão de memória incluído pequeno.</v>
      </c>
      <c r="B18723" s="3">
        <v>0</v>
      </c>
    </row>
    <row r="18724" ht="15.75" customHeight="1" spans="1:2">
      <c r="A18724" s="3" t="str">
        <f>IFERROR(__xludf.DUMMYFUNCTION("GOOGLETRANSLATE(A18724,""en"",""pt"")"),"O zoom motorizado e visor digital de ter alguma prática; bateria proprietária")</f>
        <v>O zoom motorizado e visor digital de ter alguma prática; bateria proprietária</v>
      </c>
      <c r="B18724" s="3">
        <v>0</v>
      </c>
    </row>
    <row r="18725" ht="15.75" customHeight="1" spans="1:2">
      <c r="A18725" s="3" t="str">
        <f>IFERROR(__xludf.DUMMYFUNCTION("GOOGLETRANSLATE(A18725,""en"",""pt"")"),"fácil perder")</f>
        <v>fácil perder</v>
      </c>
      <c r="B18725" s="3">
        <v>0</v>
      </c>
    </row>
    <row r="18726" ht="15.75" customHeight="1" spans="1:2">
      <c r="A18726" s="3" t="str">
        <f>IFERROR(__xludf.DUMMYFUNCTION("GOOGLETRANSLATE(A18726,""en"",""pt"")"),"invólucro da bateria é frágil.")</f>
        <v>invólucro da bateria é frágil.</v>
      </c>
      <c r="B18726" s="3">
        <v>0</v>
      </c>
    </row>
    <row r="18727" ht="15.75" customHeight="1" spans="1:2">
      <c r="A18727" s="3" t="str">
        <f>IFERROR(__xludf.DUMMYFUNCTION("GOOGLETRANSLATE(A18727,""en"",""pt"")"),"obturador, corpo / screen lenta fácil de zero, zoom é fraco, carregador &amp; amp; bateria não incluída")</f>
        <v>obturador, corpo / screen lenta fácil de zero, zoom é fraco, carregador &amp; amp; bateria não incluída</v>
      </c>
      <c r="B18727" s="3">
        <v>0</v>
      </c>
    </row>
    <row r="18728" ht="15.75" customHeight="1" spans="1:2">
      <c r="A18728" s="3" t="str">
        <f>IFERROR(__xludf.DUMMYFUNCTION("GOOGLETRANSLATE(A18728,""en"",""pt"")"),"8MB de memória padrão não é suficiente")</f>
        <v>8MB de memória padrão não é suficiente</v>
      </c>
      <c r="B18728" s="3">
        <v>0</v>
      </c>
    </row>
    <row r="18729" ht="15.75" customHeight="1" spans="1:2">
      <c r="A18729" s="3" t="str">
        <f>IFERROR(__xludf.DUMMYFUNCTION("GOOGLETRANSLATE(A18729,""en"",""pt"")"),"come-se rapidamente da bateria")</f>
        <v>come-se rapidamente da bateria</v>
      </c>
      <c r="B18729" s="3">
        <v>0</v>
      </c>
    </row>
    <row r="18730" ht="15.75" customHeight="1" spans="1:2">
      <c r="A18730" s="3" t="str">
        <f>IFERROR(__xludf.DUMMYFUNCTION("GOOGLETRANSLATE(A18730,""en"",""pt"")"),"vende por US $ 300. +")</f>
        <v>vende por US $ 300. +</v>
      </c>
      <c r="B18730" s="3">
        <v>0</v>
      </c>
    </row>
    <row r="18731" ht="15.75" customHeight="1" spans="1:2">
      <c r="A18731" s="3" t="str">
        <f>IFERROR(__xludf.DUMMYFUNCTION("GOOGLETRANSLATE(A18731,""en"",""pt"")"),"qualidade de vídeo Bad")</f>
        <v>qualidade de vídeo Bad</v>
      </c>
      <c r="B18731" s="3">
        <v>0</v>
      </c>
    </row>
    <row r="18732" ht="15.75" customHeight="1" spans="1:2">
      <c r="A18732" s="3" t="str">
        <f>IFERROR(__xludf.DUMMYFUNCTION("GOOGLETRANSLATE(A18732,""en"",""pt"")"),"2X OPTICAL, BATERIA")</f>
        <v>2X OPTICAL, BATERIA</v>
      </c>
      <c r="B18732" s="3">
        <v>0</v>
      </c>
    </row>
    <row r="18733" ht="15.75" customHeight="1" spans="1:2">
      <c r="A18733" s="3" t="str">
        <f>IFERROR(__xludf.DUMMYFUNCTION("GOOGLETRANSLATE(A18733,""en"",""pt"")"),"baterias proprietárias, má vida útil da bateria.")</f>
        <v>baterias proprietárias, má vida útil da bateria.</v>
      </c>
      <c r="B18733" s="3">
        <v>0</v>
      </c>
    </row>
    <row r="18734" ht="15.75" customHeight="1" spans="1:2">
      <c r="A18734" s="3" t="str">
        <f>IFERROR(__xludf.DUMMYFUNCTION("GOOGLETRANSLATE(A18734,""en"",""pt"")"),"Eu gostaria de mais idéia sobre o tamanho de impressão .. mas há contras na própria câmera.")</f>
        <v>Eu gostaria de mais idéia sobre o tamanho de impressão .. mas há contras na própria câmera.</v>
      </c>
      <c r="B18734" s="3">
        <v>0</v>
      </c>
    </row>
    <row r="18735" ht="15.75" customHeight="1" spans="1:2">
      <c r="A18735" s="3" t="str">
        <f>IFERROR(__xludf.DUMMYFUNCTION("GOOGLETRANSLATE(A18735,""en"",""pt"")"),"há acessórios, curta duração da bateria")</f>
        <v>há acessórios, curta duração da bateria</v>
      </c>
      <c r="B18735" s="3">
        <v>0</v>
      </c>
    </row>
    <row r="18736" ht="15.75" customHeight="1" spans="1:2">
      <c r="A18736" s="3" t="str">
        <f>IFERROR(__xludf.DUMMYFUNCTION("GOOGLETRANSLATE(A18736,""en"",""pt"")"),"Não há realmente nenhuma contras para esta câmera é uma ótima câmera !!!!!!!!!!!!!")</f>
        <v>Não há realmente nenhuma contras para esta câmera é uma ótima câmera !!!!!!!!!!!!!</v>
      </c>
      <c r="B18736" s="3">
        <v>0</v>
      </c>
    </row>
    <row r="18737" ht="15.75" customHeight="1" spans="1:2">
      <c r="A18737" s="3" t="str">
        <f>IFERROR(__xludf.DUMMYFUNCTION("GOOGLETRANSLATE(A18737,""en"",""pt"")"),"atraso de tiro longo, ineficaz do obturador")</f>
        <v>atraso de tiro longo, ineficaz do obturador</v>
      </c>
      <c r="B18737" s="3">
        <v>0</v>
      </c>
    </row>
    <row r="18738" ht="15.75" customHeight="1" spans="1:2">
      <c r="A18738" s="3" t="str">
        <f>IFERROR(__xludf.DUMMYFUNCTION("GOOGLETRANSLATE(A18738,""en"",""pt"")"),"flash de fraca potência")</f>
        <v>flash de fraca potência</v>
      </c>
      <c r="B18738" s="3">
        <v>0</v>
      </c>
    </row>
    <row r="18739" ht="15.75" customHeight="1" spans="1:2">
      <c r="A18739" s="3" t="str">
        <f>IFERROR(__xludf.DUMMYFUNCTION("GOOGLETRANSLATE(A18739,""en"",""pt"")"),"vida de bateria fraca - você precisa a bateria recarregável")</f>
        <v>vida de bateria fraca - você precisa a bateria recarregável</v>
      </c>
      <c r="B18739" s="3">
        <v>0</v>
      </c>
    </row>
    <row r="18740" ht="15.75" customHeight="1" spans="1:2">
      <c r="A18740" s="3" t="str">
        <f>IFERROR(__xludf.DUMMYFUNCTION("GOOGLETRANSLATE(A18740,""en"",""pt"")"),"Nenhum")</f>
        <v>Nenhum</v>
      </c>
      <c r="B18740" s="3">
        <v>0</v>
      </c>
    </row>
    <row r="18741" ht="15.75" customHeight="1" spans="1:2">
      <c r="A18741" s="3" t="str">
        <f>IFERROR(__xludf.DUMMYFUNCTION("GOOGLETRANSLATE(A18741,""en"",""pt"")"),"A vida da bateria é muito curta. O recurso ""macro"" é mais fraco do que eu esperava.")</f>
        <v>A vida da bateria é muito curta. O recurso "macro" é mais fraco do que eu esperava.</v>
      </c>
      <c r="B18741" s="3">
        <v>0</v>
      </c>
    </row>
    <row r="18742" ht="15.75" customHeight="1" spans="1:2">
      <c r="A18742" s="3" t="str">
        <f>IFERROR(__xludf.DUMMYFUNCTION("GOOGLETRANSLATE(A18742,""en"",""pt"")"),"Um pouco opção de visualização muito pequeno, não fácil,")</f>
        <v>Um pouco opção de visualização muito pequeno, não fácil,</v>
      </c>
      <c r="B18742" s="3">
        <v>0</v>
      </c>
    </row>
    <row r="18743" ht="15.75" customHeight="1" spans="1:2">
      <c r="A18743" s="3" t="str">
        <f>IFERROR(__xludf.DUMMYFUNCTION("GOOGLETRANSLATE(A18743,""en"",""pt"")"),"atraso do obturador, a vida da bateria")</f>
        <v>atraso do obturador, a vida da bateria</v>
      </c>
      <c r="B18743" s="3">
        <v>0</v>
      </c>
    </row>
    <row r="18744" ht="15.75" customHeight="1" spans="1:2">
      <c r="A18744" s="3" t="str">
        <f>IFERROR(__xludf.DUMMYFUNCTION("GOOGLETRANSLATE(A18744,""en"",""pt"")"),"Assim, muitos recursos que você não pode perder as instruções; vida útil da bateria")</f>
        <v>Assim, muitos recursos que você não pode perder as instruções; vida útil da bateria</v>
      </c>
      <c r="B18744" s="3">
        <v>0</v>
      </c>
    </row>
    <row r="18745" ht="15.75" customHeight="1" spans="1:2">
      <c r="A18745" s="3" t="str">
        <f>IFERROR(__xludf.DUMMYFUNCTION("GOOGLETRANSLATE(A18745,""en"",""pt"")"),"Come baterias para cima")</f>
        <v>Come baterias para cima</v>
      </c>
      <c r="B18745" s="3">
        <v>0</v>
      </c>
    </row>
    <row r="18746" ht="15.75" customHeight="1" spans="1:2">
      <c r="A18746" s="3" t="str">
        <f>IFERROR(__xludf.DUMMYFUNCTION("GOOGLETRANSLATE(A18746,""en"",""pt"")"),"No filme-Mode ou Sound.")</f>
        <v>No filme-Mode ou Sound.</v>
      </c>
      <c r="B18746" s="3">
        <v>0</v>
      </c>
    </row>
    <row r="18747" ht="15.75" customHeight="1" spans="1:2">
      <c r="A18747" s="3" t="str">
        <f>IFERROR(__xludf.DUMMYFUNCTION("GOOGLETRANSLATE(A18747,""en"",""pt"")"),"As lentes não adicionais, baterias caras, não zoom suficiente")</f>
        <v>As lentes não adicionais, baterias caras, não zoom suficiente</v>
      </c>
      <c r="B18747" s="3">
        <v>0</v>
      </c>
    </row>
    <row r="18748" ht="15.75" customHeight="1" spans="1:2">
      <c r="A18748" s="3" t="str">
        <f>IFERROR(__xludf.DUMMYFUNCTION("GOOGLETRANSLATE(A18748,""en"",""pt"")"),"Zoom óptico variam um pouco limitado.")</f>
        <v>Zoom óptico variam um pouco limitado.</v>
      </c>
      <c r="B18748" s="3">
        <v>0</v>
      </c>
    </row>
    <row r="18749" ht="15.75" customHeight="1" spans="1:2">
      <c r="A18749" s="3" t="str">
        <f>IFERROR(__xludf.DUMMYFUNCTION("GOOGLETRANSLATE(A18749,""en"",""pt"")"),"Vida útil da bateria, não gosta concerto iluminação")</f>
        <v>Vida útil da bateria, não gosta concerto iluminação</v>
      </c>
      <c r="B18749" s="3">
        <v>0</v>
      </c>
    </row>
    <row r="18750" ht="15.75" customHeight="1" spans="1:2">
      <c r="A18750" s="3" t="str">
        <f>IFERROR(__xludf.DUMMYFUNCTION("GOOGLETRANSLATE(A18750,""en"",""pt"")"),"Nenhum realmente.")</f>
        <v>Nenhum realmente.</v>
      </c>
      <c r="B18750" s="3">
        <v>0</v>
      </c>
    </row>
    <row r="18751" ht="15.75" customHeight="1" spans="1:2">
      <c r="A18751" s="3" t="str">
        <f>IFERROR(__xludf.DUMMYFUNCTION("GOOGLETRANSLATE(A18751,""en"",""pt"")"),"Curta duração da bateria, pouco pesado,")</f>
        <v>Curta duração da bateria, pouco pesado,</v>
      </c>
      <c r="B18751" s="3">
        <v>0</v>
      </c>
    </row>
    <row r="18752" ht="15.75" customHeight="1" spans="1:2">
      <c r="A18752" s="3" t="str">
        <f>IFERROR(__xludf.DUMMYFUNCTION("GOOGLETRANSLATE(A18752,""en"",""pt"")"),"Usa uma grande quantidade de energia")</f>
        <v>Usa uma grande quantidade de energia</v>
      </c>
      <c r="B18752" s="3">
        <v>0</v>
      </c>
    </row>
    <row r="18753" ht="15.75" customHeight="1" spans="1:2">
      <c r="A18753" s="3" t="str">
        <f>IFERROR(__xludf.DUMMYFUNCTION("GOOGLETRANSLATE(A18753,""en"",""pt"")"),"Pequeno LCD, fraca potência, extra NIMH")</f>
        <v>Pequeno LCD, fraca potência, extra NIMH</v>
      </c>
      <c r="B18753" s="3">
        <v>0</v>
      </c>
    </row>
    <row r="18754" ht="15.75" customHeight="1" spans="1:2">
      <c r="A18754" s="3" t="str">
        <f>IFERROR(__xludf.DUMMYFUNCTION("GOOGLETRANSLATE(A18754,""en"",""pt"")"),"bateria recarregável separado, questões microdrive atuais")</f>
        <v>bateria recarregável separado, questões microdrive atuais</v>
      </c>
      <c r="B18754" s="3">
        <v>0</v>
      </c>
    </row>
    <row r="18755" ht="15.75" customHeight="1" spans="1:2">
      <c r="A18755" s="3" t="str">
        <f>IFERROR(__xludf.DUMMYFUNCTION("GOOGLETRANSLATE(A18755,""en"",""pt"")"),"deve ter cuidado e se familiarizar com a câmera para o melhor uso")</f>
        <v>deve ter cuidado e se familiarizar com a câmera para o melhor uso</v>
      </c>
      <c r="B18755" s="3">
        <v>0</v>
      </c>
    </row>
    <row r="18756" ht="15.75" customHeight="1" spans="1:2">
      <c r="A18756" s="3" t="str">
        <f>IFERROR(__xludf.DUMMYFUNCTION("GOOGLETRANSLATE(A18756,""en"",""pt"")"),"Alma Roubos efeitos secundários não mencionados nos avisos")</f>
        <v>Alma Roubos efeitos secundários não mencionados nos avisos</v>
      </c>
      <c r="B18756" s="3">
        <v>0</v>
      </c>
    </row>
    <row r="18757" ht="15.75" customHeight="1" spans="1:2">
      <c r="A18757" s="3" t="str">
        <f>IFERROR(__xludf.DUMMYFUNCTION("GOOGLETRANSLATE(A18757,""en"",""pt"")"),"Vida útil da bateria, 8MB Compact Flash,")</f>
        <v>Vida útil da bateria, 8MB Compact Flash,</v>
      </c>
      <c r="B18757" s="3">
        <v>0</v>
      </c>
    </row>
    <row r="18758" ht="15.75" customHeight="1" spans="1:2">
      <c r="A18758" s="3" t="str">
        <f>IFERROR(__xludf.DUMMYFUNCTION("GOOGLETRANSLATE(A18758,""en"",""pt"")"),"Nenhum")</f>
        <v>Nenhum</v>
      </c>
      <c r="B18758" s="3">
        <v>0</v>
      </c>
    </row>
    <row r="18759" ht="15.75" customHeight="1" spans="1:2">
      <c r="A18759" s="3" t="str">
        <f>IFERROR(__xludf.DUMMYFUNCTION("GOOGLETRANSLATE(A18759,""en"",""pt"")"),"Pouco caro, Armazenamento")</f>
        <v>Pouco caro, Armazenamento</v>
      </c>
      <c r="B18759" s="3">
        <v>0</v>
      </c>
    </row>
    <row r="18760" ht="15.75" customHeight="1" spans="1:2">
      <c r="A18760" s="3" t="str">
        <f>IFERROR(__xludf.DUMMYFUNCTION("GOOGLETRANSLATE(A18760,""en"",""pt"")"),"2x de zoom, bateria proprietária é caro, a falta de controle manual, flash fraco")</f>
        <v>2x de zoom, bateria proprietária é caro, a falta de controle manual, flash fraco</v>
      </c>
      <c r="B18760" s="3">
        <v>0</v>
      </c>
    </row>
    <row r="18761" ht="15.75" customHeight="1" spans="1:2">
      <c r="A18761" s="3" t="str">
        <f>IFERROR(__xludf.DUMMYFUNCTION("GOOGLETRANSLATE(A18761,""en"",""pt"")"),"bateria não-padrão, chave liga / desliga pode continuar por acidente")</f>
        <v>bateria não-padrão, chave liga / desliga pode continuar por acidente</v>
      </c>
      <c r="B18761" s="3">
        <v>0</v>
      </c>
    </row>
    <row r="18762" ht="15.75" customHeight="1" spans="1:2">
      <c r="A18762" s="3" t="str">
        <f>IFERROR(__xludf.DUMMYFUNCTION("GOOGLETRANSLATE(A18762,""en"",""pt"")"),"slow-comparado com 35mm, recurso de curva de aprendizagem")</f>
        <v>slow-comparado com 35mm, recurso de curva de aprendizagem</v>
      </c>
      <c r="B18762" s="3">
        <v>0</v>
      </c>
    </row>
    <row r="18763" ht="15.75" customHeight="1" spans="1:2">
      <c r="A18763" s="3" t="str">
        <f>IFERROR(__xludf.DUMMYFUNCTION("GOOGLETRANSLATE(A18763,""en"",""pt"")"),"curta duração da bateria, max. zoom óptico 2x, nenhuma provisão para flash externo")</f>
        <v>curta duração da bateria, max. zoom óptico 2x, nenhuma provisão para flash externo</v>
      </c>
      <c r="B18763" s="3">
        <v>0</v>
      </c>
    </row>
    <row r="18764" ht="15.75" customHeight="1" spans="1:2">
      <c r="A18764" s="3" t="str">
        <f>IFERROR(__xludf.DUMMYFUNCTION("GOOGLETRANSLATE(A18764,""en"",""pt"")"),"falta da Canon de curso a distância.")</f>
        <v>falta da Canon de curso a distância.</v>
      </c>
      <c r="B18764" s="3">
        <v>0</v>
      </c>
    </row>
    <row r="18765" ht="15.75" customHeight="1" spans="1:2">
      <c r="A18765" s="3" t="str">
        <f>IFERROR(__xludf.DUMMYFUNCTION("GOOGLETRANSLATE(A18765,""en"",""pt"")"),"processo multi-passo para imagens de exclusão, a bateria não é recarregável, somente a memória 8Mb incluído")</f>
        <v>processo multi-passo para imagens de exclusão, a bateria não é recarregável, somente a memória 8Mb incluído</v>
      </c>
      <c r="B18765" s="3">
        <v>0</v>
      </c>
    </row>
    <row r="18766" ht="15.75" customHeight="1" spans="1:2">
      <c r="A18766" s="3" t="str">
        <f>IFERROR(__xludf.DUMMYFUNCTION("GOOGLETRANSLATE(A18766,""en"",""pt"")"),"2x de zoom, utiliza baterias de lítio caros 2CR5")</f>
        <v>2x de zoom, utiliza baterias de lítio caros 2CR5</v>
      </c>
      <c r="B18766" s="3">
        <v>0</v>
      </c>
    </row>
    <row r="18767" ht="15.75" customHeight="1" spans="1:2">
      <c r="A18767" s="3" t="str">
        <f>IFERROR(__xludf.DUMMYFUNCTION("GOOGLETRANSLATE(A18767,""en"",""pt"")"),"A vida da bateria é horrível, uso lcd moderadamente")</f>
        <v>A vida da bateria é horrível, uso lcd moderadamente</v>
      </c>
      <c r="B18767" s="3">
        <v>0</v>
      </c>
    </row>
    <row r="18768" ht="15.75" customHeight="1" spans="1:2">
      <c r="A18768" s="3" t="str">
        <f>IFERROR(__xludf.DUMMYFUNCTION("GOOGLETRANSLATE(A18768,""en"",""pt"")"),"Recarregável bateria extra, pequeno flash")</f>
        <v>Recarregável bateria extra, pequeno flash</v>
      </c>
      <c r="B18768" s="3">
        <v>0</v>
      </c>
    </row>
    <row r="18769" ht="15.75" customHeight="1" spans="1:2">
      <c r="A18769" s="3" t="str">
        <f>IFERROR(__xludf.DUMMYFUNCTION("GOOGLETRANSLATE(A18769,""en"",""pt"")"),"Preço")</f>
        <v>Preço</v>
      </c>
      <c r="B18769" s="3">
        <v>0</v>
      </c>
    </row>
    <row r="18770" ht="15.75" customHeight="1" spans="1:2">
      <c r="A18770" s="3" t="str">
        <f>IFERROR(__xludf.DUMMYFUNCTION("GOOGLETRANSLATE(A18770,""en"",""pt"")"),"come baterias Quando utilizar o flash")</f>
        <v>come baterias Quando utilizar o flash</v>
      </c>
      <c r="B18770" s="3">
        <v>0</v>
      </c>
    </row>
    <row r="18771" ht="15.75" customHeight="1" spans="1:2">
      <c r="A18771" s="3" t="str">
        <f>IFERROR(__xludf.DUMMYFUNCTION("GOOGLETRANSLATE(A18771,""en"",""pt"")"),"O software incluído é buggy")</f>
        <v>O software incluído é buggy</v>
      </c>
      <c r="B18771" s="3">
        <v>0</v>
      </c>
    </row>
    <row r="18772" ht="15.75" customHeight="1" spans="1:2">
      <c r="A18772" s="3" t="str">
        <f>IFERROR(__xludf.DUMMYFUNCTION("GOOGLETRANSLATE(A18772,""en"",""pt"")"),"Bateria drena rápido se você manter a tela LCD em todos os tempos")</f>
        <v>Bateria drena rápido se você manter a tela LCD em todos os tempos</v>
      </c>
      <c r="B18772" s="3">
        <v>0</v>
      </c>
    </row>
    <row r="18773" ht="15.75" customHeight="1" spans="1:2">
      <c r="A18773" s="3" t="str">
        <f>IFERROR(__xludf.DUMMYFUNCTION("GOOGLETRANSLATE(A18773,""en"",""pt"")"),"o consumo da bateria")</f>
        <v>o consumo da bateria</v>
      </c>
      <c r="B18773" s="3">
        <v>0</v>
      </c>
    </row>
    <row r="18774" ht="15.75" customHeight="1" spans="1:2">
      <c r="A18774" s="3" t="str">
        <f>IFERROR(__xludf.DUMMYFUNCTION("GOOGLETRANSLATE(A18774,""en"",""pt"")"),"baterias recarregáveis ​​vendidos separadamente")</f>
        <v>baterias recarregáveis ​​vendidos separadamente</v>
      </c>
      <c r="B18774" s="3">
        <v>0</v>
      </c>
    </row>
    <row r="18775" ht="15.75" customHeight="1" spans="1:2">
      <c r="A18775" s="3" t="str">
        <f>IFERROR(__xludf.DUMMYFUNCTION("GOOGLETRANSLATE(A18775,""en"",""pt"")"),"Tanta vida útil da bateria, Onde está a bateria recarregável?")</f>
        <v>Tanta vida útil da bateria, Onde está a bateria recarregável?</v>
      </c>
      <c r="B18775" s="3">
        <v>0</v>
      </c>
    </row>
    <row r="18776" ht="15.75" customHeight="1" spans="1:2">
      <c r="A18776" s="3" t="str">
        <f>IFERROR(__xludf.DUMMYFUNCTION("GOOGLETRANSLATE(A18776,""en"",""pt"")"),"A vida da bateria")</f>
        <v>A vida da bateria</v>
      </c>
      <c r="B18776" s="3">
        <v>0</v>
      </c>
    </row>
    <row r="18777" ht="15.75" customHeight="1" spans="1:2">
      <c r="A18777" s="3" t="str">
        <f>IFERROR(__xludf.DUMMYFUNCTION("GOOGLETRANSLATE(A18777,""en"",""pt"")"),"nenhum se você não é um fotógrafo profissional")</f>
        <v>nenhum se você não é um fotógrafo profissional</v>
      </c>
      <c r="B18777" s="3">
        <v>0</v>
      </c>
    </row>
    <row r="18778" ht="15.75" customHeight="1" spans="1:2">
      <c r="A18778" s="3" t="str">
        <f>IFERROR(__xludf.DUMMYFUNCTION("GOOGLETRANSLATE(A18778,""en"",""pt"")"),"A vida da bateria, praticamente tem que comprar os rechargables")</f>
        <v>A vida da bateria, praticamente tem que comprar os rechargables</v>
      </c>
      <c r="B18778" s="3">
        <v>0</v>
      </c>
    </row>
    <row r="18779" ht="15.75" customHeight="1" spans="1:2">
      <c r="A18779" s="3" t="str">
        <f>IFERROR(__xludf.DUMMYFUNCTION("GOOGLETRANSLATE(A18779,""en"",""pt"")"),"A vida da bateria exige uma segunda bateria")</f>
        <v>A vida da bateria exige uma segunda bateria</v>
      </c>
      <c r="B18779" s="3">
        <v>0</v>
      </c>
    </row>
    <row r="18780" ht="15.75" customHeight="1" spans="1:2">
      <c r="A18780" s="3" t="str">
        <f>IFERROR(__xludf.DUMMYFUNCTION("GOOGLETRANSLATE(A18780,""en"",""pt"")"),"Nenhum")</f>
        <v>Nenhum</v>
      </c>
      <c r="B18780" s="3">
        <v>0</v>
      </c>
    </row>
    <row r="18781" ht="15.75" customHeight="1" spans="1:2">
      <c r="A18781" s="3" t="str">
        <f>IFERROR(__xludf.DUMMYFUNCTION("GOOGLETRANSLATE(A18781,""en"",""pt"")"),"não pode manter o obturador aberto por mais de 2 segundos, por isso, se você está fazendo isso de tiros da noite, um diferente pode ser mais adequada")</f>
        <v>não pode manter o obturador aberto por mais de 2 segundos, por isso, se você está fazendo isso de tiros da noite, um diferente pode ser mais adequada</v>
      </c>
      <c r="B18781" s="3">
        <v>0</v>
      </c>
    </row>
    <row r="18782" ht="15.75" customHeight="1" spans="1:2">
      <c r="A18782" s="3" t="str">
        <f>IFERROR(__xludf.DUMMYFUNCTION("GOOGLETRANSLATE(A18782,""en"",""pt"")"),"não flash, meio ponto no botão do obturador, não tirar uma foto imediatamente, tem que tomar bateria, incluído o Adobe PhotoDeluxe caiu meu computador")</f>
        <v>não flash, meio ponto no botão do obturador, não tirar uma foto imediatamente, tem que tomar bateria, incluído o Adobe PhotoDeluxe caiu meu computador</v>
      </c>
      <c r="B18782" s="3">
        <v>0</v>
      </c>
    </row>
    <row r="18783" ht="15.75" customHeight="1" spans="1:2">
      <c r="A18783" s="3" t="str">
        <f>IFERROR(__xludf.DUMMYFUNCTION("GOOGLETRANSLATE(A18783,""en"",""pt"")"),"Setup atraso; Necessidade de comprar Acessórios")</f>
        <v>Setup atraso; Necessidade de comprar Acessórios</v>
      </c>
      <c r="B18783" s="3">
        <v>0</v>
      </c>
    </row>
    <row r="18784" ht="15.75" customHeight="1" spans="1:2">
      <c r="A18784" s="3" t="str">
        <f>IFERROR(__xludf.DUMMYFUNCTION("GOOGLETRANSLATE(A18784,""en"",""pt"")"),"Come-se baterias como um terrorista iraniano enlouquecido")</f>
        <v>Come-se baterias como um terrorista iraniano enlouquecido</v>
      </c>
      <c r="B18784" s="3">
        <v>0</v>
      </c>
    </row>
    <row r="18785" ht="15.75" customHeight="1" spans="1:2">
      <c r="A18785" s="3" t="str">
        <f>IFERROR(__xludf.DUMMYFUNCTION("GOOGLETRANSLATE(A18785,""en"",""pt"")"),"Software, poder, zoom")</f>
        <v>Software, poder, zoom</v>
      </c>
      <c r="B18785" s="3">
        <v>0</v>
      </c>
    </row>
    <row r="18786" ht="15.75" customHeight="1" spans="1:2">
      <c r="A18786" s="3" t="str">
        <f>IFERROR(__xludf.DUMMYFUNCTION("GOOGLETRANSLATE(A18786,""en"",""pt"")"),"...")</f>
        <v>...</v>
      </c>
      <c r="B18786" s="3">
        <v>0</v>
      </c>
    </row>
    <row r="18787" ht="15.75" customHeight="1" spans="1:2">
      <c r="A18787" s="3" t="str">
        <f>IFERROR(__xludf.DUMMYFUNCTION("GOOGLETRANSLATE(A18787,""en"",""pt"")"),"alguns problemas de contraste de fase")</f>
        <v>alguns problemas de contraste de fase</v>
      </c>
      <c r="B18787" s="3">
        <v>0</v>
      </c>
    </row>
    <row r="18788" ht="15.75" customHeight="1" spans="1:2">
      <c r="A18788" s="3" t="str">
        <f>IFERROR(__xludf.DUMMYFUNCTION("GOOGLETRANSLATE(A18788,""en"",""pt"")"),"mau consumo de energia, obter o kit de alimentação")</f>
        <v>mau consumo de energia, obter o kit de alimentação</v>
      </c>
      <c r="B18788" s="3">
        <v>0</v>
      </c>
    </row>
    <row r="18789" ht="15.75" customHeight="1" spans="1:2">
      <c r="A18789" s="3" t="str">
        <f>IFERROR(__xludf.DUMMYFUNCTION("GOOGLETRANSLATE(A18789,""en"",""pt"")"),"a menos que você é um idiota como eu")</f>
        <v>a menos que você é um idiota como eu</v>
      </c>
      <c r="B18789" s="3">
        <v>0</v>
      </c>
    </row>
    <row r="18790" ht="15.75" customHeight="1" spans="1:2">
      <c r="A18790" s="3" t="str">
        <f>IFERROR(__xludf.DUMMYFUNCTION("GOOGLETRANSLATE(A18790,""en"",""pt"")"),"precisa carregador de bateria")</f>
        <v>precisa carregador de bateria</v>
      </c>
      <c r="B18790" s="3">
        <v>0</v>
      </c>
    </row>
    <row r="18791" ht="15.75" customHeight="1" spans="1:2">
      <c r="A18791" s="3" t="str">
        <f>IFERROR(__xludf.DUMMYFUNCTION("GOOGLETRANSLATE(A18791,""en"",""pt"")"),"VEJA ACIMA")</f>
        <v>VEJA ACIMA</v>
      </c>
      <c r="B18791" s="3">
        <v>0</v>
      </c>
    </row>
    <row r="18792" ht="15.75" customHeight="1" spans="1:2">
      <c r="A18792" s="3" t="str">
        <f>IFERROR(__xludf.DUMMYFUNCTION("GOOGLETRANSLATE(A18792,""en"",""pt"")"),"devorador de bateria")</f>
        <v>devorador de bateria</v>
      </c>
      <c r="B18792" s="3">
        <v>0</v>
      </c>
    </row>
    <row r="18793" ht="15.75" customHeight="1" spans="1:2">
      <c r="A18793" s="3" t="str">
        <f>IFERROR(__xludf.DUMMYFUNCTION("GOOGLETRANSLATE(A18793,""en"",""pt"")"),"Definitivamente exige o manual para alguns recursos; baterias recarregáveis ​​recomendado.")</f>
        <v>Definitivamente exige o manual para alguns recursos; baterias recarregáveis ​​recomendado.</v>
      </c>
      <c r="B18793" s="3">
        <v>0</v>
      </c>
    </row>
    <row r="18794" ht="15.75" customHeight="1" spans="1:2">
      <c r="A18794" s="3" t="str">
        <f>IFERROR(__xludf.DUMMYFUNCTION("GOOGLETRANSLATE(A18794,""en"",""pt"")"),"Flash fraco, kit de bateria DK110 é de US $ 75 must!")</f>
        <v>Flash fraco, kit de bateria DK110 é de US $ 75 must!</v>
      </c>
      <c r="B18794" s="3">
        <v>0</v>
      </c>
    </row>
    <row r="18795" ht="15.75" customHeight="1" spans="1:2">
      <c r="A18795" s="3" t="str">
        <f>IFERROR(__xludf.DUMMYFUNCTION("GOOGLETRANSLATE(A18795,""en"",""pt"")"),"bateria recarregável e carregador não está incluído, um adicional de US $ 80 on-line")</f>
        <v>bateria recarregável e carregador não está incluído, um adicional de US $ 80 on-line</v>
      </c>
      <c r="B18795" s="3">
        <v>0</v>
      </c>
    </row>
    <row r="18796" ht="15.75" customHeight="1" spans="1:2">
      <c r="A18796" s="3" t="str">
        <f>IFERROR(__xludf.DUMMYFUNCTION("GOOGLETRANSLATE(A18796,""en"",""pt"")"),"Alta velocidade tiros embaçada, curta duração da bateria")</f>
        <v>Alta velocidade tiros embaçada, curta duração da bateria</v>
      </c>
      <c r="B18796" s="3">
        <v>0</v>
      </c>
    </row>
    <row r="18797" ht="15.75" customHeight="1" spans="1:2">
      <c r="A18797" s="3" t="str">
        <f>IFERROR(__xludf.DUMMYFUNCTION("GOOGLETRANSLATE(A18797,""en"",""pt"")"),"Não vem w / bateria recarregável / potência AC, cartão de memória de 8 MB não é suficiente.")</f>
        <v>Não vem w / bateria recarregável / potência AC, cartão de memória de 8 MB não é suficiente.</v>
      </c>
      <c r="B18797" s="3">
        <v>0</v>
      </c>
    </row>
    <row r="18798" ht="15.75" customHeight="1" spans="1:2">
      <c r="A18798" s="3" t="str">
        <f>IFERROR(__xludf.DUMMYFUNCTION("GOOGLETRANSLATE(A18798,""en"",""pt"")"),"poderia ter mais de mega pixles")</f>
        <v>poderia ter mais de mega pixles</v>
      </c>
      <c r="B18798" s="3">
        <v>0</v>
      </c>
    </row>
    <row r="18799" ht="15.75" customHeight="1" spans="1:2">
      <c r="A18799" s="3" t="str">
        <f>IFERROR(__xludf.DUMMYFUNCTION("GOOGLETRANSLATE(A18799,""en"",""pt"")"),"Recarregador ea bateria recarregável não incluído")</f>
        <v>Recarregador ea bateria recarregável não incluído</v>
      </c>
      <c r="B18799" s="3">
        <v>0</v>
      </c>
    </row>
    <row r="18800" ht="15.75" customHeight="1" spans="1:2">
      <c r="A18800" s="3" t="str">
        <f>IFERROR(__xludf.DUMMYFUNCTION("GOOGLETRANSLATE(A18800,""en"",""pt"")"),"bateria é rápido vazia")</f>
        <v>bateria é rápido vazia</v>
      </c>
      <c r="B18800" s="3">
        <v>0</v>
      </c>
    </row>
    <row r="18801" ht="15.75" customHeight="1" spans="1:2">
      <c r="A18801" s="3" t="str">
        <f>IFERROR(__xludf.DUMMYFUNCTION("GOOGLETRANSLATE(A18801,""en"",""pt"")"),"Maior que o S100 Powershot Elph")</f>
        <v>Maior que o S100 Powershot Elph</v>
      </c>
      <c r="B18801" s="3">
        <v>0</v>
      </c>
    </row>
    <row r="18802" ht="15.75" customHeight="1" spans="1:2">
      <c r="A18802" s="3" t="str">
        <f>IFERROR(__xludf.DUMMYFUNCTION("GOOGLETRANSLATE(A18802,""en"",""pt"")"),"O consumo de bateria é ruim")</f>
        <v>O consumo de bateria é ruim</v>
      </c>
      <c r="B18802" s="3">
        <v>0</v>
      </c>
    </row>
    <row r="18803" ht="15.75" customHeight="1" spans="1:2">
      <c r="A18803" s="3" t="str">
        <f>IFERROR(__xludf.DUMMYFUNCTION("GOOGLETRANSLATE(A18803,""en"",""pt"")"),"zoom muito limitado, tons de pele que não faz jus com flash, ni baterias proprietárias")</f>
        <v>zoom muito limitado, tons de pele que não faz jus com flash, ni baterias proprietárias</v>
      </c>
      <c r="B18803" s="3">
        <v>0</v>
      </c>
    </row>
    <row r="18804" ht="15.75" customHeight="1" spans="1:2">
      <c r="A18804" s="3" t="str">
        <f>IFERROR(__xludf.DUMMYFUNCTION("GOOGLETRANSLATE(A18804,""en"",""pt"")"),"umption")</f>
        <v>umption</v>
      </c>
      <c r="B18804" s="3">
        <v>0</v>
      </c>
    </row>
    <row r="18805" ht="15.75" customHeight="1" spans="1:2">
      <c r="A18805" s="3" t="str">
        <f>IFERROR(__xludf.DUMMYFUNCTION("GOOGLETRANSLATE(A18805,""en"",""pt"")"),"Consumida minhas baterias em nenhum momento")</f>
        <v>Consumida minhas baterias em nenhum momento</v>
      </c>
      <c r="B18805" s="3">
        <v>0</v>
      </c>
    </row>
    <row r="18806" ht="15.75" customHeight="1" spans="1:2">
      <c r="A18806" s="3" t="str">
        <f>IFERROR(__xludf.DUMMYFUNCTION("GOOGLETRANSLATE(A18806,""en"",""pt"")"),"Lento tempo press-to-shoot, bateria recarregável é opcional")</f>
        <v>Lento tempo press-to-shoot, bateria recarregável é opcional</v>
      </c>
      <c r="B18806" s="3">
        <v>0</v>
      </c>
    </row>
    <row r="18807" ht="15.75" customHeight="1" spans="1:2">
      <c r="A18807" s="3" t="str">
        <f>IFERROR(__xludf.DUMMYFUNCTION("GOOGLETRANSLATE(A18807,""en"",""pt"")"),"BATERIA ..... eu preciso dizer mais?")</f>
        <v>BATERIA ..... eu preciso dizer mais?</v>
      </c>
      <c r="B18807" s="3">
        <v>0</v>
      </c>
    </row>
    <row r="18808" ht="15.75" customHeight="1" spans="1:2">
      <c r="A18808" s="3" t="str">
        <f>IFERROR(__xludf.DUMMYFUNCTION("GOOGLETRANSLATE(A18808,""en"",""pt"")"),"não pode produzir imagens de melhor qualidade com pouca luz.")</f>
        <v>não pode produzir imagens de melhor qualidade com pouca luz.</v>
      </c>
      <c r="B18808" s="3">
        <v>0</v>
      </c>
    </row>
    <row r="18809" ht="15.75" customHeight="1" spans="1:2">
      <c r="A18809" s="3" t="str">
        <f>IFERROR(__xludf.DUMMYFUNCTION("GOOGLETRANSLATE(A18809,""en"",""pt"")"),"baterias 2CR5 de lítio caros ... nenhum conector PC para um flash externo ... oh bem, é desnecessário")</f>
        <v>baterias 2CR5 de lítio caros ... nenhum conector PC para um flash externo ... oh bem, é desnecessário</v>
      </c>
      <c r="B18809" s="3">
        <v>0</v>
      </c>
    </row>
    <row r="18810" ht="15.75" customHeight="1" spans="1:2">
      <c r="A18810" s="3" t="str">
        <f>IFERROR(__xludf.DUMMYFUNCTION("GOOGLETRANSLATE(A18810,""en"",""pt"")"),"No entanto, outro pouco de propaganda para o Cult of Canon")</f>
        <v>No entanto, outro pouco de propaganda para o Cult of Canon</v>
      </c>
      <c r="B18810" s="3">
        <v>0</v>
      </c>
    </row>
    <row r="18811" ht="15.75" customHeight="1" spans="1:2">
      <c r="A18811" s="3" t="str">
        <f>IFERROR(__xludf.DUMMYFUNCTION("GOOGLETRANSLATE(A18811,""en"",""pt"")"),"não vem com adaptador AC")</f>
        <v>não vem com adaptador AC</v>
      </c>
      <c r="B18811" s="3">
        <v>0</v>
      </c>
    </row>
    <row r="18812" ht="15.75" customHeight="1" spans="1:2">
      <c r="A18812" s="3" t="str">
        <f>IFERROR(__xludf.DUMMYFUNCTION("GOOGLETRANSLATE(A18812,""en"",""pt"")"),"battiers porco")</f>
        <v>battiers porco</v>
      </c>
      <c r="B18812" s="3">
        <v>0</v>
      </c>
    </row>
    <row r="18813" ht="15.75" customHeight="1" spans="1:2">
      <c r="A18813" s="3" t="str">
        <f>IFERROR(__xludf.DUMMYFUNCTION("GOOGLETRANSLATE(A18813,""en"",""pt"")"),"vida pobre da bateria, cor insaturados, não à prova de intempéries em tudo")</f>
        <v>vida pobre da bateria, cor insaturados, não à prova de intempéries em tudo</v>
      </c>
      <c r="B18813" s="3">
        <v>0</v>
      </c>
    </row>
    <row r="18814" ht="15.75" customHeight="1" spans="1:2">
      <c r="A18814" s="3" t="str">
        <f>IFERROR(__xludf.DUMMYFUNCTION("GOOGLETRANSLATE(A18814,""en"",""pt"")"),"vida de bateria fraca!")</f>
        <v>vida de bateria fraca!</v>
      </c>
      <c r="B18814" s="3">
        <v>0</v>
      </c>
    </row>
    <row r="18815" ht="15.75" customHeight="1" spans="1:2">
      <c r="A18815" s="3" t="str">
        <f>IFERROR(__xludf.DUMMYFUNCTION("GOOGLETRANSLATE(A18815,""en"",""pt"")"),"curta duração da bateria")</f>
        <v>curta duração da bateria</v>
      </c>
      <c r="B18815" s="3">
        <v>0</v>
      </c>
    </row>
    <row r="18816" ht="15.75" customHeight="1" spans="1:2">
      <c r="A18816" s="3" t="str">
        <f>IFERROR(__xludf.DUMMYFUNCTION("GOOGLETRANSLATE(A18816,""en"",""pt"")"),"vai embora baterias")</f>
        <v>vai embora baterias</v>
      </c>
      <c r="B18816" s="3">
        <v>0</v>
      </c>
    </row>
    <row r="18817" ht="15.75" customHeight="1" spans="1:2">
      <c r="A18817" s="3" t="str">
        <f>IFERROR(__xludf.DUMMYFUNCTION("GOOGLETRANSLATE(A18817,""en"",""pt"")"),"pequenos pedaços")</f>
        <v>pequenos pedaços</v>
      </c>
      <c r="B18817" s="3">
        <v>0</v>
      </c>
    </row>
    <row r="18818" ht="15.75" customHeight="1" spans="1:2">
      <c r="A18818" s="3" t="str">
        <f>IFERROR(__xludf.DUMMYFUNCTION("GOOGLETRANSLATE(A18818,""en"",""pt"")"),"N / D")</f>
        <v>N / D</v>
      </c>
      <c r="B18818" s="3">
        <v>0</v>
      </c>
    </row>
    <row r="18819" ht="15.75" customHeight="1" spans="1:2">
      <c r="A18819" s="3" t="str">
        <f>IFERROR(__xludf.DUMMYFUNCTION("GOOGLETRANSLATE(A18819,""en"",""pt"")"),"de flash Fracote; lento, lente escura")</f>
        <v>de flash Fracote; lento, lente escura</v>
      </c>
      <c r="B18819" s="3">
        <v>0</v>
      </c>
    </row>
    <row r="18820" ht="15.75" customHeight="1" spans="1:2">
      <c r="A18820" s="3" t="str">
        <f>IFERROR(__xludf.DUMMYFUNCTION("GOOGLETRANSLATE(A18820,""en"",""pt"")"),"Tem problemas captura de objetos em movimento. Não inclui caso e adaptador AC.")</f>
        <v>Tem problemas captura de objetos em movimento. Não inclui caso e adaptador AC.</v>
      </c>
      <c r="B18820" s="3">
        <v>0</v>
      </c>
    </row>
    <row r="18821" ht="15.75" customHeight="1" spans="1:2">
      <c r="A18821" s="3" t="str">
        <f>IFERROR(__xludf.DUMMYFUNCTION("GOOGLETRANSLATE(A18821,""en"",""pt"")"),"Apenas um cartão de memória flash de 8 MB. Um pouco caro.")</f>
        <v>Apenas um cartão de memória flash de 8 MB. Um pouco caro.</v>
      </c>
      <c r="B18821" s="3">
        <v>0</v>
      </c>
    </row>
    <row r="18822" ht="15.75" customHeight="1" spans="1:2">
      <c r="A18822" s="3" t="str">
        <f>IFERROR(__xludf.DUMMYFUNCTION("GOOGLETRANSLATE(A18822,""en"",""pt"")"),"A vida da bateria")</f>
        <v>A vida da bateria</v>
      </c>
      <c r="B18822" s="3">
        <v>0</v>
      </c>
    </row>
    <row r="18823" ht="15.75" customHeight="1" spans="1:2">
      <c r="A18823" s="3" t="str">
        <f>IFERROR(__xludf.DUMMYFUNCTION("GOOGLETRANSLATE(A18823,""en"",""pt"")"),"O cartão CompactFlash é muito pequeno!")</f>
        <v>O cartão CompactFlash é muito pequeno!</v>
      </c>
      <c r="B18823" s="3">
        <v>0</v>
      </c>
    </row>
    <row r="18824" ht="15.75" customHeight="1" spans="1:2">
      <c r="A18824" s="3" t="str">
        <f>IFERROR(__xludf.DUMMYFUNCTION("GOOGLETRANSLATE(A18824,""en"",""pt"")"),"pequeno cartão de ser com (8MB); é isso aí!!!")</f>
        <v>pequeno cartão de ser com (8MB); é isso aí!!!</v>
      </c>
      <c r="B18824" s="3">
        <v>0</v>
      </c>
    </row>
    <row r="18825" ht="15.75" customHeight="1" spans="1:2">
      <c r="A18825" s="3" t="str">
        <f>IFERROR(__xludf.DUMMYFUNCTION("GOOGLETRANSLATE(A18825,""en"",""pt"")"),"Desempenho em tempo frio, Menu, Armazenamento")</f>
        <v>Desempenho em tempo frio, Menu, Armazenamento</v>
      </c>
      <c r="B18825" s="3">
        <v>0</v>
      </c>
    </row>
    <row r="18826" ht="15.75" customHeight="1" spans="1:2">
      <c r="A18826" s="3" t="str">
        <f>IFERROR(__xludf.DUMMYFUNCTION("GOOGLETRANSLATE(A18826,""en"",""pt"")"),"Nada até agora")</f>
        <v>Nada até agora</v>
      </c>
      <c r="B18826" s="3">
        <v>0</v>
      </c>
    </row>
    <row r="18827" ht="15.75" customHeight="1" spans="1:2">
      <c r="A18827" s="3" t="str">
        <f>IFERROR(__xludf.DUMMYFUNCTION("GOOGLETRANSLATE(A18827,""en"",""pt"")"),"-Unidade específica da bateria.")</f>
        <v>-Unidade específica da bateria.</v>
      </c>
      <c r="B18827" s="3">
        <v>0</v>
      </c>
    </row>
    <row r="18828" ht="15.75" customHeight="1" spans="1:2">
      <c r="A18828" s="3" t="str">
        <f>IFERROR(__xludf.DUMMYFUNCTION("GOOGLETRANSLATE(A18828,""en"",""pt"")"),"Caro, o zoom é mais fraco do que Gandhi")</f>
        <v>Caro, o zoom é mais fraco do que Gandhi</v>
      </c>
      <c r="B18828" s="3">
        <v>0</v>
      </c>
    </row>
    <row r="18829" ht="15.75" customHeight="1" spans="1:2">
      <c r="A18829" s="3" t="str">
        <f>IFERROR(__xludf.DUMMYFUNCTION("GOOGLETRANSLATE(A18829,""en"",""pt"")"),"menus desajeitados, 8MB de memória uma vergonha, não de couro transportando caso, o indicador de memória ruim")</f>
        <v>menus desajeitados, 8MB de memória uma vergonha, não de couro transportando caso, o indicador de memória ruim</v>
      </c>
      <c r="B18829" s="3">
        <v>0</v>
      </c>
    </row>
    <row r="18830" ht="15.75" customHeight="1" spans="1:2">
      <c r="A18830" s="3" t="str">
        <f>IFERROR(__xludf.DUMMYFUNCTION("GOOGLETRANSLATE(A18830,""en"",""pt"")"),"Má qualidade - substituído por um novo modelo a cada 6 meses")</f>
        <v>Má qualidade - substituído por um novo modelo a cada 6 meses</v>
      </c>
      <c r="B18830" s="3">
        <v>0</v>
      </c>
    </row>
    <row r="18831" ht="15.75" customHeight="1" spans="1:2">
      <c r="A18831" s="3" t="str">
        <f>IFERROR(__xludf.DUMMYFUNCTION("GOOGLETRANSLATE(A18831,""en"",""pt"")"),"lento, zoom limitada, software")</f>
        <v>lento, zoom limitada, software</v>
      </c>
      <c r="B18831" s="3">
        <v>0</v>
      </c>
    </row>
    <row r="18832" ht="15.75" customHeight="1" spans="1:2">
      <c r="A18832" s="3" t="str">
        <f>IFERROR(__xludf.DUMMYFUNCTION("GOOGLETRANSLATE(A18832,""en"",""pt"")"),"Pobre flash, a falta de opções manuais.")</f>
        <v>Pobre flash, a falta de opções manuais.</v>
      </c>
      <c r="B18832" s="3">
        <v>0</v>
      </c>
    </row>
    <row r="18833" ht="15.75" customHeight="1" spans="1:2">
      <c r="A18833" s="3" t="str">
        <f>IFERROR(__xludf.DUMMYFUNCTION("GOOGLETRANSLATE(A18833,""en"",""pt"")"),"Bateria = anormal (ordem especial); Deve recarregar vezes. Mais lenta a operação em tempo frio.")</f>
        <v>Bateria = anormal (ordem especial); Deve recarregar vezes. Mais lenta a operação em tempo frio.</v>
      </c>
      <c r="B18833" s="3">
        <v>0</v>
      </c>
    </row>
    <row r="18834" ht="15.75" customHeight="1" spans="1:2">
      <c r="A18834" s="3" t="str">
        <f>IFERROR(__xludf.DUMMYFUNCTION("GOOGLETRANSLATE(A18834,""en"",""pt"")"),"Cartão de memória original para pequeno")</f>
        <v>Cartão de memória original para pequeno</v>
      </c>
      <c r="B18834" s="3">
        <v>0</v>
      </c>
    </row>
    <row r="18835" ht="15.75" customHeight="1" spans="1:2">
      <c r="A18835" s="3" t="str">
        <f>IFERROR(__xludf.DUMMYFUNCTION("GOOGLETRANSLATE(A18835,""en"",""pt"")"),"bateria de iões de lítio pode ser caro ...")</f>
        <v>bateria de iões de lítio pode ser caro ...</v>
      </c>
      <c r="B18835" s="3">
        <v>0</v>
      </c>
    </row>
    <row r="18836" ht="15.75" customHeight="1" spans="1:2">
      <c r="A18836" s="3" t="str">
        <f>IFERROR(__xludf.DUMMYFUNCTION("GOOGLETRANSLATE(A18836,""en"",""pt"")"),"a falta de manual do balanço de branco &amp; amp; amp; Selecção da velocidade do obturador, bateria e qualidade porta CF")</f>
        <v>a falta de manual do balanço de branco &amp; amp; amp; Selecção da velocidade do obturador, bateria e qualidade porta CF</v>
      </c>
      <c r="B18836" s="3">
        <v>0</v>
      </c>
    </row>
    <row r="18837" ht="15.75" customHeight="1" spans="1:2">
      <c r="A18837" s="3" t="str">
        <f>IFERROR(__xludf.DUMMYFUNCTION("GOOGLETRANSLATE(A18837,""en"",""pt"")"),"caro")</f>
        <v>caro</v>
      </c>
      <c r="B18837" s="3">
        <v>0</v>
      </c>
    </row>
    <row r="18838" ht="15.75" customHeight="1" spans="1:2">
      <c r="A18838" s="3" t="str">
        <f>IFERROR(__xludf.DUMMYFUNCTION("GOOGLETRANSLATE(A18838,""en"",""pt"")"),"Caro.")</f>
        <v>Caro.</v>
      </c>
      <c r="B18838" s="3">
        <v>0</v>
      </c>
    </row>
    <row r="18839" ht="15.75" customHeight="1" spans="1:2">
      <c r="A18839" s="3" t="str">
        <f>IFERROR(__xludf.DUMMYFUNCTION("GOOGLETRANSLATE(A18839,""en"",""pt"")"),"nenhum caso câmera!")</f>
        <v>nenhum caso câmera!</v>
      </c>
      <c r="B18839" s="3">
        <v>0</v>
      </c>
    </row>
    <row r="18840" ht="15.75" customHeight="1" spans="1:2">
      <c r="A18840" s="3" t="str">
        <f>IFERROR(__xludf.DUMMYFUNCTION("GOOGLETRANSLATE(A18840,""en"",""pt"")"),"Um pouco caro")</f>
        <v>Um pouco caro</v>
      </c>
      <c r="B18840" s="3">
        <v>0</v>
      </c>
    </row>
    <row r="18841" ht="15.75" customHeight="1" spans="1:2">
      <c r="A18841" s="3" t="str">
        <f>IFERROR(__xludf.DUMMYFUNCTION("GOOGLETRANSLATE(A18841,""en"",""pt"")"),"teclas multifunções minúsculos para edição.")</f>
        <v>teclas multifunções minúsculos para edição.</v>
      </c>
      <c r="B18841" s="3">
        <v>0</v>
      </c>
    </row>
    <row r="18842" ht="15.75" customHeight="1" spans="1:2">
      <c r="A18842" s="3" t="str">
        <f>IFERROR(__xludf.DUMMYFUNCTION("GOOGLETRANSLATE(A18842,""en"",""pt"")"),"Um pouco caro, há portas seriais, curta duração da bateria.")</f>
        <v>Um pouco caro, há portas seriais, curta duração da bateria.</v>
      </c>
      <c r="B18842" s="3">
        <v>0</v>
      </c>
    </row>
    <row r="18843" ht="15.75" customHeight="1" spans="1:2">
      <c r="A18843" s="3" t="str">
        <f>IFERROR(__xludf.DUMMYFUNCTION("GOOGLETRANSLATE(A18843,""en"",""pt"")"),"Precisa ser atualizado para fora da direita da caixa")</f>
        <v>Precisa ser atualizado para fora da direita da caixa</v>
      </c>
      <c r="B18843" s="3">
        <v>0</v>
      </c>
    </row>
    <row r="18844" ht="15.75" customHeight="1" spans="1:2">
      <c r="A18844" s="3" t="str">
        <f>IFERROR(__xludf.DUMMYFUNCTION("GOOGLETRANSLATE(A18844,""en"",""pt"")"),"cartão de memória de 8 meg, nenhum vídeo / gravação de áudio")</f>
        <v>cartão de memória de 8 meg, nenhum vídeo / gravação de áudio</v>
      </c>
      <c r="B18844" s="3">
        <v>0</v>
      </c>
    </row>
    <row r="18845" ht="15.75" customHeight="1" spans="1:2">
      <c r="A18845" s="3" t="str">
        <f>IFERROR(__xludf.DUMMYFUNCTION("GOOGLETRANSLATE(A18845,""en"",""pt"")"),"CF enviado é pequena (8 Mb)")</f>
        <v>CF enviado é pequena (8 Mb)</v>
      </c>
      <c r="B18845" s="3">
        <v>0</v>
      </c>
    </row>
    <row r="18846" ht="15.75" customHeight="1" spans="1:2">
      <c r="A18846" s="3" t="str">
        <f>IFERROR(__xludf.DUMMYFUNCTION("GOOGLETRANSLATE(A18846,""en"",""pt"")"),"vida útil da bateria relativamente curta")</f>
        <v>vida útil da bateria relativamente curta</v>
      </c>
      <c r="B18846" s="3">
        <v>0</v>
      </c>
    </row>
    <row r="18847" ht="15.75" customHeight="1" spans="1:2">
      <c r="A18847" s="3" t="str">
        <f>IFERROR(__xludf.DUMMYFUNCTION("GOOGLETRANSLATE(A18847,""en"",""pt"")"),"limites flash após caudas imagem cerca de 8 pés fora")</f>
        <v>limites flash após caudas imagem cerca de 8 pés fora</v>
      </c>
      <c r="B18847" s="3">
        <v>0</v>
      </c>
    </row>
    <row r="18848" ht="15.75" customHeight="1" spans="1:2">
      <c r="A18848" s="3" t="str">
        <f>IFERROR(__xludf.DUMMYFUNCTION("GOOGLETRANSLATE(A18848,""en"",""pt"")"),"curta duração da bateria. problemas USB com NT, Espaço para armazenamento &amp; amp; # 13; &amp; amp; # 10;")</f>
        <v>curta duração da bateria. problemas USB com NT, Espaço para armazenamento &amp; amp; # 13; &amp; amp; # 10;</v>
      </c>
      <c r="B18848" s="3">
        <v>0</v>
      </c>
    </row>
    <row r="18849" ht="15.75" customHeight="1" spans="1:2">
      <c r="A18849" s="3" t="str">
        <f>IFERROR(__xludf.DUMMYFUNCTION("GOOGLETRANSLATE(A18849,""en"",""pt"")"),"cartão de memória flash muito pequeno, tamanho, Suporte")</f>
        <v>cartão de memória flash muito pequeno, tamanho, Suporte</v>
      </c>
      <c r="B18849" s="3">
        <v>0</v>
      </c>
    </row>
    <row r="18850" ht="15.75" customHeight="1" spans="1:2">
      <c r="A18850" s="3" t="str">
        <f>IFERROR(__xludf.DUMMYFUNCTION("GOOGLETRANSLATE(A18850,""en"",""pt"")"),"Comprar acessórios ...")</f>
        <v>Comprar acessórios ...</v>
      </c>
      <c r="B18850" s="3">
        <v>0</v>
      </c>
    </row>
    <row r="18851" ht="15.75" customHeight="1" spans="1:2">
      <c r="A18851" s="3" t="str">
        <f>IFERROR(__xludf.DUMMYFUNCTION("GOOGLETRANSLATE(A18851,""en"",""pt"")"),"fede zoom digital (é o zoom óptico é bom embora).")</f>
        <v>fede zoom digital (é o zoom óptico é bom embora).</v>
      </c>
      <c r="B18851" s="3">
        <v>0</v>
      </c>
    </row>
    <row r="18852" ht="15.75" customHeight="1" spans="1:2">
      <c r="A18852" s="3" t="str">
        <f>IFERROR(__xludf.DUMMYFUNCTION("GOOGLETRANSLATE(A18852,""en"",""pt"")"),"Bateria parece esgotar-se muito rapidamente.")</f>
        <v>Bateria parece esgotar-se muito rapidamente.</v>
      </c>
      <c r="B18852" s="3">
        <v>0</v>
      </c>
    </row>
    <row r="18853" ht="15.75" customHeight="1" spans="1:2">
      <c r="A18853" s="3" t="str">
        <f>IFERROR(__xludf.DUMMYFUNCTION("GOOGLETRANSLATE(A18853,""en"",""pt"")"),"Nenhum")</f>
        <v>Nenhum</v>
      </c>
      <c r="B18853" s="3">
        <v>0</v>
      </c>
    </row>
    <row r="18854" ht="15.75" customHeight="1" spans="1:2">
      <c r="A18854" s="3" t="str">
        <f>IFERROR(__xludf.DUMMYFUNCTION("GOOGLETRANSLATE(A18854,""en"",""pt"")"),"Um pouco lento para ligar, algumas questões de interface, a vida da bateria por carga não é grande.")</f>
        <v>Um pouco lento para ligar, algumas questões de interface, a vida da bateria por carga não é grande.</v>
      </c>
      <c r="B18854" s="3">
        <v>0</v>
      </c>
    </row>
    <row r="18855" ht="15.75" customHeight="1" spans="1:2">
      <c r="A18855" s="3" t="str">
        <f>IFERROR(__xludf.DUMMYFUNCTION("GOOGLETRANSLATE(A18855,""en"",""pt"")"),"A vida da bateria um pouco curto, tamanho do cartão de memória, capacidade de telefoto")</f>
        <v>A vida da bateria um pouco curto, tamanho do cartão de memória, capacidade de telefoto</v>
      </c>
      <c r="B18855" s="3">
        <v>0</v>
      </c>
    </row>
    <row r="18856" ht="15.75" customHeight="1" spans="1:2">
      <c r="A18856" s="3" t="str">
        <f>IFERROR(__xludf.DUMMYFUNCTION("GOOGLETRANSLATE(A18856,""en"",""pt"")"),"Nenhum")</f>
        <v>Nenhum</v>
      </c>
      <c r="B18856" s="3">
        <v>0</v>
      </c>
    </row>
    <row r="18857" ht="15.75" customHeight="1" spans="1:2">
      <c r="A18857" s="3" t="str">
        <f>IFERROR(__xludf.DUMMYFUNCTION("GOOGLETRANSLATE(A18857,""en"",""pt"")"),"2x de zoom óptico, a vida da bateria")</f>
        <v>2x de zoom óptico, a vida da bateria</v>
      </c>
      <c r="B18857" s="3">
        <v>0</v>
      </c>
    </row>
    <row r="18858" ht="15.75" customHeight="1" spans="1:2">
      <c r="A18858" s="3" t="str">
        <f>IFERROR(__xludf.DUMMYFUNCTION("GOOGLETRANSLATE(A18858,""en"",""pt"")"),"morreu após 8 meses de uso.")</f>
        <v>morreu após 8 meses de uso.</v>
      </c>
      <c r="B18858" s="3">
        <v>0</v>
      </c>
    </row>
    <row r="18859" ht="15.75" customHeight="1" spans="1:2">
      <c r="A18859" s="3" t="str">
        <f>IFERROR(__xludf.DUMMYFUNCTION("GOOGLETRANSLATE(A18859,""en"",""pt"")"),"autonomia; nenhum modo manual; carece de recursos avançados; cartão de míseros 8MB; utilizações compactflash; nenhum modo de filme")</f>
        <v>autonomia; nenhum modo manual; carece de recursos avançados; cartão de míseros 8MB; utilizações compactflash; nenhum modo de filme</v>
      </c>
      <c r="B18859" s="3">
        <v>0</v>
      </c>
    </row>
    <row r="18860" ht="15.75" customHeight="1" spans="1:2">
      <c r="A18860" s="3" t="str">
        <f>IFERROR(__xludf.DUMMYFUNCTION("GOOGLETRANSLATE(A18860,""en"",""pt"")"),"só aceita CF1 cartões, algumas peças de plástico, deverá vir com caso")</f>
        <v>só aceita CF1 cartões, algumas peças de plástico, deverá vir com caso</v>
      </c>
      <c r="B18860" s="3">
        <v>0</v>
      </c>
    </row>
    <row r="18861" ht="15.75" customHeight="1" spans="1:2">
      <c r="A18861" s="3" t="str">
        <f>IFERROR(__xludf.DUMMYFUNCTION("GOOGLETRANSLATE(A18861,""en"",""pt"")"),"Pequeno, cartão CF muito pequeno, algumas peças de plástico, lavagens LCD para fora na luz brilhante.")</f>
        <v>Pequeno, cartão CF muito pequeno, algumas peças de plástico, lavagens LCD para fora na luz brilhante.</v>
      </c>
      <c r="B18861" s="3">
        <v>0</v>
      </c>
    </row>
    <row r="18862" ht="15.75" customHeight="1" spans="1:2">
      <c r="A18862" s="3" t="str">
        <f>IFERROR(__xludf.DUMMYFUNCTION("GOOGLETRANSLATE(A18862,""en"",""pt"")"),"Bateria &amp; amp; gerenciamento de software não são tão bons modelos mais recentes")</f>
        <v>Bateria &amp; amp; gerenciamento de software não são tão bons modelos mais recentes</v>
      </c>
      <c r="B18862" s="3">
        <v>0</v>
      </c>
    </row>
    <row r="18863" ht="15.75" customHeight="1" spans="1:2">
      <c r="A18863" s="3" t="str">
        <f>IFERROR(__xludf.DUMMYFUNCTION("GOOGLETRANSLATE(A18863,""en"",""pt"")"),"Durabilidade, vida útil da bateria")</f>
        <v>Durabilidade, vida útil da bateria</v>
      </c>
      <c r="B18863" s="3">
        <v>0</v>
      </c>
    </row>
    <row r="18864" ht="15.75" customHeight="1" spans="1:2">
      <c r="A18864" s="3" t="str">
        <f>IFERROR(__xludf.DUMMYFUNCTION("GOOGLETRANSLATE(A18864,""en"",""pt"")"),"LCD é um pouco pequeno.")</f>
        <v>LCD é um pouco pequeno.</v>
      </c>
      <c r="B18864" s="3">
        <v>0</v>
      </c>
    </row>
    <row r="18865" ht="15.75" customHeight="1" spans="1:2">
      <c r="A18865" s="3" t="str">
        <f>IFERROR(__xludf.DUMMYFUNCTION("GOOGLETRANSLATE(A18865,""en"",""pt"")"),"não tão bom como o PowerShot S10")</f>
        <v>não tão bom como o PowerShot S10</v>
      </c>
      <c r="B18865" s="3">
        <v>0</v>
      </c>
    </row>
    <row r="18866" ht="15.75" customHeight="1" spans="1:2">
      <c r="A18866" s="3" t="str">
        <f>IFERROR(__xludf.DUMMYFUNCTION("GOOGLETRANSLATE(A18866,""en"",""pt"")"),"nenhum modo de filme, relativamente lento")</f>
        <v>nenhum modo de filme, relativamente lento</v>
      </c>
      <c r="B18866" s="3">
        <v>0</v>
      </c>
    </row>
    <row r="18867" ht="15.75" customHeight="1" spans="1:2">
      <c r="A18867" s="3" t="str">
        <f>IFERROR(__xludf.DUMMYFUNCTION("GOOGLETRANSLATE(A18867,""en"",""pt"")"),"Poderia ficar melhor a vida da bateria, mas ainda é suficiente, e você pode comprar baterias de reposição.")</f>
        <v>Poderia ficar melhor a vida da bateria, mas ainda é suficiente, e você pode comprar baterias de reposição.</v>
      </c>
      <c r="B18867" s="3">
        <v>0</v>
      </c>
    </row>
    <row r="18868" ht="15.75" customHeight="1" spans="1:2">
      <c r="A18868" s="3" t="str">
        <f>IFERROR(__xludf.DUMMYFUNCTION("GOOGLETRANSLATE(A18868,""en"",""pt"")"),"Tipo-1 flash-card, cartão só 8MB incluídos, caro")</f>
        <v>Tipo-1 flash-card, cartão só 8MB incluídos, caro</v>
      </c>
      <c r="B18868" s="3">
        <v>0</v>
      </c>
    </row>
    <row r="18869" ht="15.75" customHeight="1" spans="1:2">
      <c r="A18869" s="3" t="str">
        <f>IFERROR(__xludf.DUMMYFUNCTION("GOOGLETRANSLATE(A18869,""en"",""pt"")"),"bateria está fora do padrão, LCD poderia ser melhor ao ar livre, caro")</f>
        <v>bateria está fora do padrão, LCD poderia ser melhor ao ar livre, caro</v>
      </c>
      <c r="B18869" s="3">
        <v>0</v>
      </c>
    </row>
    <row r="18870" ht="15.75" customHeight="1" spans="1:2">
      <c r="A18870" s="3" t="str">
        <f>IFERROR(__xludf.DUMMYFUNCTION("GOOGLETRANSLATE(A18870,""en"",""pt"")"),"operação lenta de viagem do obturador")</f>
        <v>operação lenta de viagem do obturador</v>
      </c>
      <c r="B18870" s="3">
        <v>0</v>
      </c>
    </row>
    <row r="18871" ht="15.75" customHeight="1" spans="1:2">
      <c r="A18871" s="3" t="str">
        <f>IFERROR(__xludf.DUMMYFUNCTION("GOOGLETRANSLATE(A18871,""en"",""pt"")"),"A vida da bateria")</f>
        <v>A vida da bateria</v>
      </c>
      <c r="B18871" s="3">
        <v>0</v>
      </c>
    </row>
    <row r="18872" ht="15.75" customHeight="1" spans="1:2">
      <c r="A18872" s="3" t="str">
        <f>IFERROR(__xludf.DUMMYFUNCTION("GOOGLETRANSLATE(A18872,""en"",""pt"")"),"pequeno cartão, não é fácil de tomar candids à noite")</f>
        <v>pequeno cartão, não é fácil de tomar candids à noite</v>
      </c>
      <c r="B18872" s="3">
        <v>0</v>
      </c>
    </row>
    <row r="18873" ht="15.75" customHeight="1" spans="1:2">
      <c r="A18873" s="3" t="str">
        <f>IFERROR(__xludf.DUMMYFUNCTION("GOOGLETRANSLATE(A18873,""en"",""pt"")"),"quase me deixou louco no começo! Leia a análise.")</f>
        <v>quase me deixou louco no começo! Leia a análise.</v>
      </c>
      <c r="B18873" s="3">
        <v>0</v>
      </c>
    </row>
    <row r="18874" ht="15.75" customHeight="1" spans="1:2">
      <c r="A18874" s="3" t="str">
        <f>IFERROR(__xludf.DUMMYFUNCTION("GOOGLETRANSLATE(A18874,""en"",""pt"")"),"vida útil da bateria, caro a &amp; amp; gt; $ 500")</f>
        <v>vida útil da bateria, caro a &amp; amp; gt; $ 500</v>
      </c>
      <c r="B18874" s="3">
        <v>0</v>
      </c>
    </row>
    <row r="18875" ht="15.75" customHeight="1" spans="1:2">
      <c r="A18875" s="3" t="str">
        <f>IFERROR(__xludf.DUMMYFUNCTION("GOOGLETRANSLATE(A18875,""en"",""pt"")"),"Nenhum")</f>
        <v>Nenhum</v>
      </c>
      <c r="B18875" s="3">
        <v>0</v>
      </c>
    </row>
    <row r="18876" ht="15.75" customHeight="1" spans="1:2">
      <c r="A18876" s="3" t="str">
        <f>IFERROR(__xludf.DUMMYFUNCTION("GOOGLETRANSLATE(A18876,""en"",""pt"")"),"Não para a fotografia muito séria.")</f>
        <v>Não para a fotografia muito séria.</v>
      </c>
      <c r="B18876" s="3">
        <v>0</v>
      </c>
    </row>
    <row r="18877" ht="15.75" customHeight="1" spans="1:2">
      <c r="A18877" s="3" t="str">
        <f>IFERROR(__xludf.DUMMYFUNCTION("GOOGLETRANSLATE(A18877,""en"",""pt"")"),"Underfeatured, baterias não-padrão")</f>
        <v>Underfeatured, baterias não-padrão</v>
      </c>
      <c r="B18877" s="3">
        <v>0</v>
      </c>
    </row>
    <row r="18878" ht="15.75" customHeight="1" spans="1:2">
      <c r="A18878" s="3" t="str">
        <f>IFERROR(__xludf.DUMMYFUNCTION("GOOGLETRANSLATE(A18878,""en"",""pt"")"),"bateria")</f>
        <v>bateria</v>
      </c>
      <c r="B18878" s="3">
        <v>0</v>
      </c>
    </row>
    <row r="18879" ht="15.75" customHeight="1" spans="1:2">
      <c r="A18879" s="3" t="s">
        <v>104</v>
      </c>
      <c r="B18879" s="3">
        <v>0</v>
      </c>
    </row>
    <row r="18880" ht="15.75" customHeight="1" spans="1:2">
      <c r="A18880" s="3" t="str">
        <f>IFERROR(__xludf.DUMMYFUNCTION("GOOGLETRANSLATE(A18880,""en"",""pt"")"),"macio focagem, LCD necessária para tudo")</f>
        <v>macio focagem, LCD necessária para tudo</v>
      </c>
      <c r="B18880" s="3">
        <v>0</v>
      </c>
    </row>
    <row r="18881" ht="15.75" customHeight="1" spans="1:2">
      <c r="A18881" s="3" t="str">
        <f>IFERROR(__xludf.DUMMYFUNCTION("GOOGLETRANSLATE(A18881,""en"",""pt"")"),"Flash fraca, pode ser difícil de usar para grandes mãos")</f>
        <v>Flash fraca, pode ser difícil de usar para grandes mãos</v>
      </c>
      <c r="B18881" s="3">
        <v>0</v>
      </c>
    </row>
    <row r="18882" ht="15.75" customHeight="1" spans="1:2">
      <c r="A18882" s="3" t="s">
        <v>105</v>
      </c>
      <c r="B18882" s="3">
        <v>0</v>
      </c>
    </row>
    <row r="18883" ht="15.75" customHeight="1" spans="1:2">
      <c r="A18883" s="3" t="str">
        <f>IFERROR(__xludf.DUMMYFUNCTION("GOOGLETRANSLATE(A18883,""en"",""pt"")"),"não é fornecido com caso")</f>
        <v>não é fornecido com caso</v>
      </c>
      <c r="B18883" s="3">
        <v>0</v>
      </c>
    </row>
    <row r="18884" ht="15.75" customHeight="1" spans="1:2">
      <c r="A18884" s="3" t="str">
        <f>IFERROR(__xludf.DUMMYFUNCTION("GOOGLETRANSLATE(A18884,""en"",""pt"")"),"Bateria precisa ser substituída rapidamente")</f>
        <v>Bateria precisa ser substituída rapidamente</v>
      </c>
      <c r="B18884" s="3">
        <v>0</v>
      </c>
    </row>
    <row r="18885" ht="15.75" customHeight="1" spans="1:2">
      <c r="A18885" s="3" t="str">
        <f>IFERROR(__xludf.DUMMYFUNCTION("GOOGLETRANSLATE(A18885,""en"",""pt"")"),"zoom de 2x, caro, um pouco lento")</f>
        <v>zoom de 2x, caro, um pouco lento</v>
      </c>
      <c r="B18885" s="3">
        <v>0</v>
      </c>
    </row>
    <row r="18886" ht="15.75" customHeight="1" spans="1:2">
      <c r="A18886" s="3" t="str">
        <f>IFERROR(__xludf.DUMMYFUNCTION("GOOGLETRANSLATE(A18886,""en"",""pt"")"),"não dioptrias (usar seus óculos), 2x de zoom, totalmente automático")</f>
        <v>não dioptrias (usar seus óculos), 2x de zoom, totalmente automático</v>
      </c>
      <c r="B18886" s="3">
        <v>0</v>
      </c>
    </row>
    <row r="18887" ht="15.75" customHeight="1" spans="1:2">
      <c r="A18887" s="3" t="str">
        <f>IFERROR(__xludf.DUMMYFUNCTION("GOOGLETRANSLATE(A18887,""en"",""pt"")"),"Nada, exceto pessoas irritantes que você pedindo &amp; amp; quot; O que é que o &amp; amp; quot;")</f>
        <v>Nada, exceto pessoas irritantes que você pedindo &amp; amp; quot; O que é que o &amp; amp; quot;</v>
      </c>
      <c r="B18887" s="3">
        <v>0</v>
      </c>
    </row>
    <row r="18888" ht="15.75" customHeight="1" spans="1:2">
      <c r="A18888" s="3" t="str">
        <f>IFERROR(__xludf.DUMMYFUNCTION("GOOGLETRANSLATE(A18888,""en"",""pt"")"),"Fotos poderia ter cores mais quentes. Flash também poderia ser melhor.")</f>
        <v>Fotos poderia ter cores mais quentes. Flash também poderia ser melhor.</v>
      </c>
      <c r="B18888" s="3">
        <v>0</v>
      </c>
    </row>
    <row r="18889" ht="15.75" customHeight="1" spans="1:2">
      <c r="A18889" s="3" t="str">
        <f>IFERROR(__xludf.DUMMYFUNCTION("GOOGLETRANSLATE(A18889,""en"",""pt"")"),"software suga")</f>
        <v>software suga</v>
      </c>
      <c r="B18889" s="3">
        <v>0</v>
      </c>
    </row>
    <row r="18890" ht="15.75" customHeight="1" spans="1:2">
      <c r="A18890" s="3" t="str">
        <f>IFERROR(__xludf.DUMMYFUNCTION("GOOGLETRANSLATE(A18890,""en"",""pt"")"),"Despesas ocultas")</f>
        <v>Despesas ocultas</v>
      </c>
      <c r="B18890" s="3">
        <v>0</v>
      </c>
    </row>
    <row r="18891" ht="15.75" customHeight="1" spans="1:2">
      <c r="A18891" s="3" t="str">
        <f>IFERROR(__xludf.DUMMYFUNCTION("GOOGLETRANSLATE(A18891,""en"",""pt"")"),"cartão de 8 MB é maneira pequenos, o preço é alto,")</f>
        <v>cartão de 8 MB é maneira pequenos, o preço é alto,</v>
      </c>
      <c r="B18891" s="3">
        <v>0</v>
      </c>
    </row>
    <row r="18892" ht="15.75" customHeight="1" spans="1:2">
      <c r="A18892" s="3" t="str">
        <f>IFERROR(__xludf.DUMMYFUNCTION("GOOGLETRANSLATE(A18892,""en"",""pt"")"),"Bateria não dura muito tempo, a memória é apertado")</f>
        <v>Bateria não dura muito tempo, a memória é apertado</v>
      </c>
      <c r="B18892" s="3">
        <v>0</v>
      </c>
    </row>
    <row r="18893" ht="15.75" customHeight="1" spans="1:2">
      <c r="A18893" s="3" t="str">
        <f>IFERROR(__xludf.DUMMYFUNCTION("GOOGLETRANSLATE(A18893,""en"",""pt"")"),"Não é o melhor valor")</f>
        <v>Não é o melhor valor</v>
      </c>
      <c r="B18893" s="3">
        <v>0</v>
      </c>
    </row>
    <row r="18894" ht="15.75" customHeight="1" spans="1:2">
      <c r="A18894" s="3" t="str">
        <f>IFERROR(__xludf.DUMMYFUNCTION("GOOGLETRANSLATE(A18894,""en"",""pt"")"),"Algumas características inúteis, extras caros")</f>
        <v>Algumas características inúteis, extras caros</v>
      </c>
      <c r="B18894" s="3">
        <v>0</v>
      </c>
    </row>
    <row r="18895" ht="15.75" customHeight="1" spans="1:2">
      <c r="A18895" s="3" t="str">
        <f>IFERROR(__xludf.DUMMYFUNCTION("GOOGLETRANSLATE(A18895,""en"",""pt"")"),"Necessidade de acessórios extras")</f>
        <v>Necessidade de acessórios extras</v>
      </c>
      <c r="B18895" s="3">
        <v>0</v>
      </c>
    </row>
    <row r="18896" ht="15.75" customHeight="1" spans="1:2">
      <c r="A18896" s="3" t="str">
        <f>IFERROR(__xludf.DUMMYFUNCTION("GOOGLETRANSLATE(A18896,""en"",""pt"")"),"Teve que atualizar depois que eu comprei. No caso de proteção fornecido.")</f>
        <v>Teve que atualizar depois que eu comprei. No caso de proteção fornecido.</v>
      </c>
      <c r="B18896" s="3">
        <v>0</v>
      </c>
    </row>
    <row r="18897" ht="15.75" customHeight="1" spans="1:2">
      <c r="A18897" s="3" t="str">
        <f>IFERROR(__xludf.DUMMYFUNCTION("GOOGLETRANSLATE(A18897,""en"",""pt"")"),"um pouco pesado")</f>
        <v>um pouco pesado</v>
      </c>
      <c r="B18897" s="3">
        <v>0</v>
      </c>
    </row>
    <row r="18898" ht="15.75" customHeight="1" spans="1:2">
      <c r="A18898" s="3" t="str">
        <f>IFERROR(__xludf.DUMMYFUNCTION("GOOGLETRANSLATE(A18898,""en"",""pt"")"),"Realmente curta vida útil da bateria &amp; amp; # 13; &amp; amp; # 10;")</f>
        <v>Realmente curta vida útil da bateria &amp; amp; # 13; &amp; amp; # 10;</v>
      </c>
      <c r="B18898" s="3">
        <v>0</v>
      </c>
    </row>
    <row r="18899" ht="15.75" customHeight="1" spans="1:2">
      <c r="A18899" s="3" t="str">
        <f>IFERROR(__xludf.DUMMYFUNCTION("GOOGLETRANSLATE(A18899,""en"",""pt"")"),"Pode não ser para aqueles que são sérios sobre sua fotografia ...")</f>
        <v>Pode não ser para aqueles que são sérios sobre sua fotografia ...</v>
      </c>
      <c r="B18899" s="3">
        <v>0</v>
      </c>
    </row>
    <row r="18900" ht="15.75" customHeight="1" spans="1:2">
      <c r="A18900" s="3" t="str">
        <f>IFERROR(__xludf.DUMMYFUNCTION("GOOGLETRANSLATE(A18900,""en"",""pt"")"),"Um pouco lento, mas você começar a usar isso.")</f>
        <v>Um pouco lento, mas você começar a usar isso.</v>
      </c>
      <c r="B18900" s="3">
        <v>0</v>
      </c>
    </row>
    <row r="18901" ht="15.75" customHeight="1" spans="1:2">
      <c r="A18901" s="3" t="str">
        <f>IFERROR(__xludf.DUMMYFUNCTION("GOOGLETRANSLATE(A18901,""en"",""pt"")"),"tamanho da tela para o previdente")</f>
        <v>tamanho da tela para o previdente</v>
      </c>
      <c r="B18901" s="3">
        <v>0</v>
      </c>
    </row>
    <row r="18902" ht="15.75" customHeight="1" spans="1:2">
      <c r="A18902" s="3" t="str">
        <f>IFERROR(__xludf.DUMMYFUNCTION("GOOGLETRANSLATE(A18902,""en"",""pt"")"),"Piscar um pouco fraco, precisa de um cartão de memória tamanho decente")</f>
        <v>Piscar um pouco fraco, precisa de um cartão de memória tamanho decente</v>
      </c>
      <c r="B18902" s="3">
        <v>0</v>
      </c>
    </row>
    <row r="18903" ht="15.75" customHeight="1" spans="1:2">
      <c r="A18903" s="3" t="str">
        <f>IFERROR(__xludf.DUMMYFUNCTION("GOOGLETRANSLATE(A18903,""en"",""pt"")"),"cartão de 16MB, a vida da bateria")</f>
        <v>cartão de 16MB, a vida da bateria</v>
      </c>
      <c r="B18903" s="3">
        <v>0</v>
      </c>
    </row>
    <row r="18904" ht="15.75" customHeight="1" spans="1:2">
      <c r="A18904" s="3" t="str">
        <f>IFERROR(__xludf.DUMMYFUNCTION("GOOGLETRANSLATE(A18904,""en"",""pt"")"),"vida útil da bateria limitada")</f>
        <v>vida útil da bateria limitada</v>
      </c>
      <c r="B18904" s="3">
        <v>0</v>
      </c>
    </row>
    <row r="18905" ht="15.75" customHeight="1" spans="1:2">
      <c r="A18905" s="3" t="str">
        <f>IFERROR(__xludf.DUMMYFUNCTION("GOOGLETRANSLATE(A18905,""en"",""pt"")"),"você deve aprender como usá-lo")</f>
        <v>você deve aprender como usá-lo</v>
      </c>
      <c r="B18905" s="3">
        <v>0</v>
      </c>
    </row>
    <row r="18906" ht="15.75" customHeight="1" spans="1:2">
      <c r="A18906" s="3" t="str">
        <f>IFERROR(__xludf.DUMMYFUNCTION("GOOGLETRANSLATE(A18906,""en"",""pt"")"),"Flash fraco, zoom limitado")</f>
        <v>Flash fraco, zoom limitado</v>
      </c>
      <c r="B18906" s="3">
        <v>0</v>
      </c>
    </row>
    <row r="18907" ht="15.75" customHeight="1" spans="1:2">
      <c r="A18907" s="3" t="str">
        <f>IFERROR(__xludf.DUMMYFUNCTION("GOOGLETRANSLATE(A18907,""en"",""pt"")"),"Nenhum significativa")</f>
        <v>Nenhum significativa</v>
      </c>
      <c r="B18907" s="3">
        <v>0</v>
      </c>
    </row>
    <row r="18908" ht="15.75" customHeight="1" spans="1:2">
      <c r="A18908" s="3" t="str">
        <f>IFERROR(__xludf.DUMMYFUNCTION("GOOGLETRANSLATE(A18908,""en"",""pt"")"),"Não suporta Windows 95 USB, necessita de maior cartão CF fora da caixa")</f>
        <v>Não suporta Windows 95 USB, necessita de maior cartão CF fora da caixa</v>
      </c>
      <c r="B18908" s="3">
        <v>0</v>
      </c>
    </row>
    <row r="18909" ht="15.75" customHeight="1" spans="1:2">
      <c r="A18909" s="3" t="str">
        <f>IFERROR(__xludf.DUMMYFUNCTION("GOOGLETRANSLATE(A18909,""en"",""pt"")"),"Zoom poderia ser melhor")</f>
        <v>Zoom poderia ser melhor</v>
      </c>
      <c r="B18909" s="3">
        <v>0</v>
      </c>
    </row>
    <row r="18910" ht="15.75" customHeight="1" spans="1:2">
      <c r="A18910" s="3" t="str">
        <f>IFERROR(__xludf.DUMMYFUNCTION("GOOGLETRANSLATE(A18910,""en"",""pt"")"),"Muito pequeno, para mãos pequenas")</f>
        <v>Muito pequeno, para mãos pequenas</v>
      </c>
      <c r="B18910" s="3">
        <v>0</v>
      </c>
    </row>
    <row r="18911" ht="15.75" customHeight="1" spans="1:2">
      <c r="A18911" s="3" t="str">
        <f>IFERROR(__xludf.DUMMYFUNCTION("GOOGLETRANSLATE(A18911,""en"",""pt"")"),"ViewFinder incorreto, Zoom pequeno, sem Close-ups, Custo")</f>
        <v>ViewFinder incorreto, Zoom pequeno, sem Close-ups, Custo</v>
      </c>
      <c r="B18911" s="3">
        <v>0</v>
      </c>
    </row>
    <row r="18912" ht="15.75" customHeight="1" spans="1:2">
      <c r="A18912" s="3" t="str">
        <f>IFERROR(__xludf.DUMMYFUNCTION("GOOGLETRANSLATE(A18912,""en"",""pt"")"),"imediatamente requer atualização cartão CF, zoom limitada")</f>
        <v>imediatamente requer atualização cartão CF, zoom limitada</v>
      </c>
      <c r="B18912" s="3">
        <v>0</v>
      </c>
    </row>
    <row r="18913" ht="15.75" customHeight="1" spans="1:2">
      <c r="A18913" s="3" t="str">
        <f>IFERROR(__xludf.DUMMYFUNCTION("GOOGLETRANSLATE(A18913,""en"",""pt"")"),"&amp; Lt; b &amp; gt; PEQUENAS LCD, caros em comparação com outros 2 CÂMARAS MEGAPIXEL &amp; lt; / b &amp; gt;")</f>
        <v>&amp; Lt; b &amp; gt; PEQUENAS LCD, caros em comparação com outros 2 CÂMARAS MEGAPIXEL &amp; lt; / b &amp; gt;</v>
      </c>
      <c r="B18913" s="3">
        <v>0</v>
      </c>
    </row>
    <row r="18914" ht="15.75" customHeight="1" spans="1:2">
      <c r="A18914" s="3" t="str">
        <f>IFERROR(__xludf.DUMMYFUNCTION("GOOGLETRANSLATE(A18914,""en"",""pt"")"),"Os contras não contam para muito em comparação aos seus encantos.")</f>
        <v>Os contras não contam para muito em comparação aos seus encantos.</v>
      </c>
      <c r="B18914" s="3">
        <v>0</v>
      </c>
    </row>
    <row r="18915" ht="15.75" customHeight="1" spans="1:2">
      <c r="A18915" s="3" t="str">
        <f>IFERROR(__xludf.DUMMYFUNCTION("GOOGLETRANSLATE(A18915,""en"",""pt"")"),"Apenas 2 imagens tamanhos 1600X1200 e 640X480 &amp; amp;. # 9; &amp; amp; # 9; &amp; amp; # 9;")</f>
        <v>Apenas 2 imagens tamanhos 1600X1200 e 640X480 &amp; amp;. # 9; &amp; amp; # 9; &amp; amp; # 9;</v>
      </c>
      <c r="B18915" s="3">
        <v>0</v>
      </c>
    </row>
    <row r="18916" ht="15.75" customHeight="1" spans="1:2">
      <c r="A18916" s="3" t="str">
        <f>IFERROR(__xludf.DUMMYFUNCTION("GOOGLETRANSLATE(A18916,""en"",""pt"")"),"Comprar um flashcard maior, e vida útil da bateria poderia ser melhor.")</f>
        <v>Comprar um flashcard maior, e vida útil da bateria poderia ser melhor.</v>
      </c>
      <c r="B18916" s="3">
        <v>0</v>
      </c>
    </row>
    <row r="18917" ht="15.75" customHeight="1" spans="1:2">
      <c r="A18917" s="3" t="str">
        <f>IFERROR(__xludf.DUMMYFUNCTION("GOOGLETRANSLATE(A18917,""en"",""pt"")"),"fracote zoom")</f>
        <v>fracote zoom</v>
      </c>
      <c r="B18917" s="3">
        <v>0</v>
      </c>
    </row>
    <row r="18918" ht="15.75" customHeight="1" spans="1:2">
      <c r="A18918" s="3" t="str">
        <f>IFERROR(__xludf.DUMMYFUNCTION("GOOGLETRANSLATE(A18918,""en"",""pt"")"),"Bundle é um pouco fraco.")</f>
        <v>Bundle é um pouco fraco.</v>
      </c>
      <c r="B18918" s="3">
        <v>0</v>
      </c>
    </row>
    <row r="18919" ht="15.75" customHeight="1" spans="1:2">
      <c r="A18919" s="3" t="str">
        <f>IFERROR(__xludf.DUMMYFUNCTION("GOOGLETRANSLATE(A18919,""en"",""pt"")"),"curta duração da bateria, as imagens poderia ser um pouco mais nítida")</f>
        <v>curta duração da bateria, as imagens poderia ser um pouco mais nítida</v>
      </c>
      <c r="B18919" s="3">
        <v>0</v>
      </c>
    </row>
    <row r="18920" ht="15.75" customHeight="1" spans="1:2">
      <c r="A18920" s="3" t="str">
        <f>IFERROR(__xludf.DUMMYFUNCTION("GOOGLETRANSLATE(A18920,""en"",""pt"")"),"carece de recurso, apenas 2,1 megapixels, zoom de 2x única óptico avançado")</f>
        <v>carece de recurso, apenas 2,1 megapixels, zoom de 2x única óptico avançado</v>
      </c>
      <c r="B18920" s="3">
        <v>0</v>
      </c>
    </row>
    <row r="18921" ht="15.75" customHeight="1" spans="1:2">
      <c r="A18921" s="3" t="str">
        <f>IFERROR(__xludf.DUMMYFUNCTION("GOOGLETRANSLATE(A18921,""en"",""pt"")"),"Muito ruim software, mau apoio, armazenamento pequeno, ruim com pouca luz, algumas características.")</f>
        <v>Muito ruim software, mau apoio, armazenamento pequeno, ruim com pouca luz, algumas características.</v>
      </c>
      <c r="B18921" s="3">
        <v>0</v>
      </c>
    </row>
    <row r="18922" ht="15.75" customHeight="1" spans="1:2">
      <c r="A18922" s="3" t="str">
        <f>IFERROR(__xludf.DUMMYFUNCTION("GOOGLETRANSLATE(A18922,""en"",""pt"")"),"No modo manual, as baterias come e tem que remover a carga, LCD baixa resolução")</f>
        <v>No modo manual, as baterias come e tem que remover a carga, LCD baixa resolução</v>
      </c>
      <c r="B18922" s="3">
        <v>0</v>
      </c>
    </row>
    <row r="18923" ht="15.75" customHeight="1" spans="1:2">
      <c r="A18923" s="3" t="str">
        <f>IFERROR(__xludf.DUMMYFUNCTION("GOOGLETRANSLATE(A18923,""en"",""pt"")"),"Muito caro, curta duração da bateria.")</f>
        <v>Muito caro, curta duração da bateria.</v>
      </c>
      <c r="B18923" s="3">
        <v>0</v>
      </c>
    </row>
    <row r="18924" ht="15.75" customHeight="1" spans="1:2">
      <c r="A18924" s="3" t="str">
        <f>IFERROR(__xludf.DUMMYFUNCTION("GOOGLETRANSLATE(A18924,""en"",""pt"")"),"cartões de memória adicionais podem ser caros.")</f>
        <v>cartões de memória adicionais podem ser caros.</v>
      </c>
      <c r="B18924" s="3">
        <v>0</v>
      </c>
    </row>
    <row r="18925" ht="15.75" customHeight="1" spans="1:2">
      <c r="A18925" s="3" t="str">
        <f>IFERROR(__xludf.DUMMYFUNCTION("GOOGLETRANSLATE(A18925,""en"",""pt"")"),"contras")</f>
        <v>contras</v>
      </c>
      <c r="B18925" s="3">
        <v>0</v>
      </c>
    </row>
    <row r="18926" ht="15.75" customHeight="1" spans="1:2">
      <c r="A18926" s="3" t="str">
        <f>IFERROR(__xludf.DUMMYFUNCTION("GOOGLETRANSLATE(A18926,""en"",""pt"")"),"Então é muitos outros. Pode não ser a sua câmara 'momento decisivo'.")</f>
        <v>Então é muitos outros. Pode não ser a sua câmara 'momento decisivo'.</v>
      </c>
      <c r="B18926" s="3">
        <v>0</v>
      </c>
    </row>
    <row r="18927" ht="15.75" customHeight="1" spans="1:2">
      <c r="A18927" s="3" t="str">
        <f>IFERROR(__xludf.DUMMYFUNCTION("GOOGLETRANSLATE(A18927,""en"",""pt"")"),"Fraco Flash, Decent Life Battery, apenas 2 configurações de resolução")</f>
        <v>Fraco Flash, Decent Life Battery, apenas 2 configurações de resolução</v>
      </c>
      <c r="B18927" s="3">
        <v>0</v>
      </c>
    </row>
    <row r="18928" ht="15.75" customHeight="1" spans="1:2">
      <c r="A18928" s="3" t="str">
        <f>IFERROR(__xludf.DUMMYFUNCTION("GOOGLETRANSLATE(A18928,""en"",""pt"")"),"cartão de memória pequeno, vida útil da bateria marginal")</f>
        <v>cartão de memória pequeno, vida útil da bateria marginal</v>
      </c>
      <c r="B18928" s="3">
        <v>0</v>
      </c>
    </row>
    <row r="18929" ht="15.75" customHeight="1" spans="1:2">
      <c r="A18929" s="3" t="str">
        <f>IFERROR(__xludf.DUMMYFUNCTION("GOOGLETRANSLATE(A18929,""en"",""pt"")"),"Apenas um zoom óptico de 2X")</f>
        <v>Apenas um zoom óptico de 2X</v>
      </c>
      <c r="B18929" s="3">
        <v>0</v>
      </c>
    </row>
    <row r="18930" ht="15.75" customHeight="1" spans="1:2">
      <c r="A18930" s="3" t="str">
        <f>IFERROR(__xludf.DUMMYFUNCTION("GOOGLETRANSLATE(A18930,""en"",""pt"")"),"Muito poucos contras, exceto o cartão de 8MB skimpy que vêm com ele")</f>
        <v>Muito poucos contras, exceto o cartão de 8MB skimpy que vêm com ele</v>
      </c>
      <c r="B18930" s="3">
        <v>0</v>
      </c>
    </row>
    <row r="18931" ht="15.75" customHeight="1" spans="1:2">
      <c r="A18931" s="3" t="str">
        <f>IFERROR(__xludf.DUMMYFUNCTION("GOOGLETRANSLATE(A18931,""en"",""pt"")"),"Canon é muito barato para incluir caso ou um cartão CompactFlash maior &amp; amp; # 13; &amp; amp; # 10;")</f>
        <v>Canon é muito barato para incluir caso ou um cartão CompactFlash maior &amp; amp; # 13; &amp; amp; # 10;</v>
      </c>
      <c r="B18931" s="3">
        <v>0</v>
      </c>
    </row>
    <row r="18932" ht="15.75" customHeight="1" spans="1:2">
      <c r="A18932" s="3" t="str">
        <f>IFERROR(__xludf.DUMMYFUNCTION("GOOGLETRANSLATE(A18932,""en"",""pt"")"),"bateria caro &amp; amp; # 13; &amp; amp; # 10; lente não gira (como Nikon950, RicohRDC4300)")</f>
        <v>bateria caro &amp; amp; # 13; &amp; amp; # 10; lente não gira (como Nikon950, RicohRDC4300)</v>
      </c>
      <c r="B18932" s="3">
        <v>0</v>
      </c>
    </row>
    <row r="18933" ht="15.75" customHeight="1" spans="1:2">
      <c r="A18933" s="3" t="str">
        <f>IFERROR(__xludf.DUMMYFUNCTION("GOOGLETRANSLATE(A18933,""en"",""pt"")"),"Um pouco limitado a vida da bateria, mas recarrega rapidamente &amp; amp; peças de reposição estão disponíveis.")</f>
        <v>Um pouco limitado a vida da bateria, mas recarrega rapidamente &amp; amp; peças de reposição estão disponíveis.</v>
      </c>
      <c r="B18933" s="3">
        <v>0</v>
      </c>
    </row>
    <row r="18934" ht="15.75" customHeight="1" spans="1:2">
      <c r="A18934" s="3" t="str">
        <f>IFERROR(__xludf.DUMMYFUNCTION("GOOGLETRANSLATE(A18934,""en"",""pt"")"),"de jeito nenhum")</f>
        <v>de jeito nenhum</v>
      </c>
      <c r="B18934" s="3">
        <v>0</v>
      </c>
    </row>
    <row r="18935" ht="15.75" customHeight="1" spans="1:2">
      <c r="A18935" s="3" t="str">
        <f>IFERROR(__xludf.DUMMYFUNCTION("GOOGLETRANSLATE(A18935,""en"",""pt"")"),"câmera caso não incluído, a vida da bateria ok, heavyish, não é bom para a iluminação pobre.")</f>
        <v>câmera caso não incluído, a vida da bateria ok, heavyish, não é bom para a iluminação pobre.</v>
      </c>
      <c r="B18935" s="3">
        <v>0</v>
      </c>
    </row>
    <row r="18936" ht="15.75" customHeight="1" spans="1:2">
      <c r="A18936" s="3" t="str">
        <f>IFERROR(__xludf.DUMMYFUNCTION("GOOGLETRANSLATE(A18936,""en"",""pt"")"),"memória de 8MB padrão")</f>
        <v>memória de 8MB padrão</v>
      </c>
      <c r="B18936" s="3">
        <v>0</v>
      </c>
    </row>
    <row r="18937" ht="15.75" customHeight="1" spans="1:2">
      <c r="A18937" s="3" t="str">
        <f>IFERROR(__xludf.DUMMYFUNCTION("GOOGLETRANSLATE(A18937,""en"",""pt"")"),"A vida da bateria não quase tempo suficiente.")</f>
        <v>A vida da bateria não quase tempo suficiente.</v>
      </c>
      <c r="B18937" s="3">
        <v>0</v>
      </c>
    </row>
    <row r="18938" ht="15.75" customHeight="1" spans="1:2">
      <c r="A18938" s="3" t="str">
        <f>IFERROR(__xludf.DUMMYFUNCTION("GOOGLETRANSLATE(A18938,""en"",""pt"")"),"Curva de aprendizado")</f>
        <v>Curva de aprendizado</v>
      </c>
      <c r="B18938" s="3">
        <v>0</v>
      </c>
    </row>
    <row r="18939" ht="15.75" customHeight="1" spans="1:2">
      <c r="A18939" s="3" t="str">
        <f>IFERROR(__xludf.DUMMYFUNCTION("GOOGLETRANSLATE(A18939,""en"",""pt"")"),"Lag a partir de quando você pressiona o botão.")</f>
        <v>Lag a partir de quando você pressiona o botão.</v>
      </c>
      <c r="B18939" s="3">
        <v>0</v>
      </c>
    </row>
    <row r="18940" ht="15.75" customHeight="1" spans="1:2">
      <c r="A18940" s="3" t="str">
        <f>IFERROR(__xludf.DUMMYFUNCTION("GOOGLETRANSLATE(A18940,""en"",""pt"")"),"S100 tem apenas um ISO de 100, e zoom digital não é perfeita.")</f>
        <v>S100 tem apenas um ISO de 100, e zoom digital não é perfeita.</v>
      </c>
      <c r="B18940" s="3">
        <v>0</v>
      </c>
    </row>
    <row r="18941" ht="15.75" customHeight="1" spans="1:2">
      <c r="A18941" s="3" t="str">
        <f>IFERROR(__xludf.DUMMYFUNCTION("GOOGLETRANSLATE(A18941,""en"",""pt"")"),"Cartão de memória incluído é pequeno, portas de plástico barato (bateria e CF)")</f>
        <v>Cartão de memória incluído é pequeno, portas de plástico barato (bateria e CF)</v>
      </c>
      <c r="B18941" s="3">
        <v>0</v>
      </c>
    </row>
    <row r="18942" ht="15.75" customHeight="1" spans="1:2">
      <c r="A18942" s="3" t="str">
        <f>IFERROR(__xludf.DUMMYFUNCTION("GOOGLETRANSLATE(A18942,""en"",""pt"")"),"como a maioria das câmeras, ele vem com um pequeno cartão de memória. bateria")</f>
        <v>como a maioria das câmeras, ele vem com um pequeno cartão de memória. bateria</v>
      </c>
      <c r="B18942" s="3">
        <v>0</v>
      </c>
    </row>
    <row r="18943" ht="15.75" customHeight="1" spans="1:2">
      <c r="A18943" s="3" t="str">
        <f>IFERROR(__xludf.DUMMYFUNCTION("GOOGLETRANSLATE(A18943,""en"",""pt"")"),"A vida da bateria, Zoom poderia ser melhor, Switch on Back cai")</f>
        <v>A vida da bateria, Zoom poderia ser melhor, Switch on Back cai</v>
      </c>
      <c r="B18943" s="3">
        <v>0</v>
      </c>
    </row>
    <row r="18944" ht="15.75" customHeight="1" spans="1:2">
      <c r="A18944" s="3" t="str">
        <f>IFERROR(__xludf.DUMMYFUNCTION("GOOGLETRANSLATE(A18944,""en"",""pt"")"),"2X Zoom poderia ser melhor, acanhado 8MB incluídos cartão Compact Flash")</f>
        <v>2X Zoom poderia ser melhor, acanhado 8MB incluídos cartão Compact Flash</v>
      </c>
      <c r="B18944" s="3">
        <v>0</v>
      </c>
    </row>
    <row r="18945" ht="15.75" customHeight="1" spans="1:2">
      <c r="A18945" s="3" t="str">
        <f>IFERROR(__xludf.DUMMYFUNCTION("GOOGLETRANSLATE(A18945,""en"",""pt"")"),"Apenas 2x de zoom. Apenas cartão de 8MB incluídos.")</f>
        <v>Apenas 2x de zoom. Apenas cartão de 8MB incluídos.</v>
      </c>
      <c r="B18945" s="3">
        <v>0</v>
      </c>
    </row>
    <row r="18946" ht="15.75" customHeight="1" spans="1:2">
      <c r="A18946" s="3" t="str">
        <f>IFERROR(__xludf.DUMMYFUNCTION("GOOGLETRANSLATE(A18946,""en"",""pt"")"),"Duração do filme, CF porta sente frágil")</f>
        <v>Duração do filme, CF porta sente frágil</v>
      </c>
      <c r="B18946" s="3">
        <v>0</v>
      </c>
    </row>
    <row r="18947" ht="15.75" customHeight="1" spans="1:2">
      <c r="A18947" s="3" t="str">
        <f>IFERROR(__xludf.DUMMYFUNCTION("GOOGLETRANSLATE(A18947,""en"",""pt"")"),"A vida da bateria, memória incluída, não usa baterias padrão, maior zoom?")</f>
        <v>A vida da bateria, memória incluída, não usa baterias padrão, maior zoom?</v>
      </c>
      <c r="B18947" s="3">
        <v>0</v>
      </c>
    </row>
    <row r="18948" ht="15.75" customHeight="1" spans="1:2">
      <c r="A18948" s="3" t="str">
        <f>IFERROR(__xludf.DUMMYFUNCTION("GOOGLETRANSLATE(A18948,""en"",""pt"")"),"Nenhum")</f>
        <v>Nenhum</v>
      </c>
      <c r="B18948" s="3">
        <v>0</v>
      </c>
    </row>
    <row r="18949" ht="15.75" customHeight="1" spans="1:2">
      <c r="A18949" s="3" t="str">
        <f>IFERROR(__xludf.DUMMYFUNCTION("GOOGLETRANSLATE(A18949,""en"",""pt"")"),"Preço, Bateria Proprietary.")</f>
        <v>Preço, Bateria Proprietary.</v>
      </c>
      <c r="B18949" s="3">
        <v>0</v>
      </c>
    </row>
    <row r="18950" ht="15.75" customHeight="1" spans="1:2">
      <c r="A18950" s="3" t="str">
        <f>IFERROR(__xludf.DUMMYFUNCTION("GOOGLETRANSLATE(A18950,""en"",""pt"")"),"Nenhum realmente.")</f>
        <v>Nenhum realmente.</v>
      </c>
      <c r="B18950" s="3">
        <v>0</v>
      </c>
    </row>
    <row r="18951" ht="15.75" customHeight="1" spans="1:2">
      <c r="A18951" s="3" t="str">
        <f>IFERROR(__xludf.DUMMYFUNCTION("GOOGLETRANSLATE(A18951,""en"",""pt"")"),"cidade impressão digital, nenhum caso, míseros incluído capacidade do cartão CF")</f>
        <v>cidade impressão digital, nenhum caso, míseros incluído capacidade do cartão CF</v>
      </c>
      <c r="B18951" s="3">
        <v>0</v>
      </c>
    </row>
    <row r="18952" ht="15.75" customHeight="1" spans="1:2">
      <c r="A18952" s="3" t="str">
        <f>IFERROR(__xludf.DUMMYFUNCTION("GOOGLETRANSLATE(A18952,""en"",""pt"")"),"Preço e cartão de memória - 8mb")</f>
        <v>Preço e cartão de memória - 8mb</v>
      </c>
      <c r="B18952" s="3">
        <v>0</v>
      </c>
    </row>
    <row r="18953" ht="15.75" customHeight="1" spans="1:2">
      <c r="A18953" s="3" t="str">
        <f>IFERROR(__xludf.DUMMYFUNCTION("GOOGLETRANSLATE(A18953,""en"",""pt"")"),"Hmmm, qualquer?")</f>
        <v>Hmmm, qualquer?</v>
      </c>
      <c r="B18953" s="3">
        <v>0</v>
      </c>
    </row>
    <row r="18954" ht="15.75" customHeight="1" spans="1:2">
      <c r="A18954" s="3" t="str">
        <f>IFERROR(__xludf.DUMMYFUNCTION("GOOGLETRANSLATE(A18954,""en"",""pt"")"),"Para o tamanho e preço? Nenhum.")</f>
        <v>Para o tamanho e preço? Nenhum.</v>
      </c>
      <c r="B18954" s="3">
        <v>0</v>
      </c>
    </row>
    <row r="18955" ht="15.75" customHeight="1" spans="1:2">
      <c r="A18955" s="3" t="str">
        <f>IFERROR(__xludf.DUMMYFUNCTION("GOOGLETRANSLATE(A18955,""en"",""pt"")"),"controles manuais exigem muitas pressiona o botão, o atraso do obturador")</f>
        <v>controles manuais exigem muitas pressiona o botão, o atraso do obturador</v>
      </c>
      <c r="B18955" s="3">
        <v>0</v>
      </c>
    </row>
    <row r="18956" ht="15.75" customHeight="1" spans="1:2">
      <c r="A18956" s="3" t="str">
        <f>IFERROR(__xludf.DUMMYFUNCTION("GOOGLETRANSLATE(A18956,""en"",""pt"")"),"nenhum adaptador AC, 8 MB (somente) cartão")</f>
        <v>nenhum adaptador AC, 8 MB (somente) cartão</v>
      </c>
      <c r="B18956" s="3">
        <v>0</v>
      </c>
    </row>
    <row r="18957" ht="15.75" customHeight="1" spans="1:2">
      <c r="A18957" s="3" t="str">
        <f>IFERROR(__xludf.DUMMYFUNCTION("GOOGLETRANSLATE(A18957,""en"",""pt"")"),"vida útil da bateria ligeiramente curta, zoom digital, não uma câmera de vídeo")</f>
        <v>vida útil da bateria ligeiramente curta, zoom digital, não uma câmera de vídeo</v>
      </c>
      <c r="B18957" s="3">
        <v>0</v>
      </c>
    </row>
    <row r="18958" ht="15.75" customHeight="1" spans="1:2">
      <c r="A18958" s="3" t="str">
        <f>IFERROR(__xludf.DUMMYFUNCTION("GOOGLETRANSLATE(A18958,""en"",""pt"")"),"Flash, a resolução não de ponta, de memória incluído é insuficiente.")</f>
        <v>Flash, a resolução não de ponta, de memória incluído é insuficiente.</v>
      </c>
      <c r="B18958" s="3">
        <v>0</v>
      </c>
    </row>
    <row r="18959" ht="15.75" customHeight="1" spans="1:2">
      <c r="A18959" s="3" t="str">
        <f>IFERROR(__xludf.DUMMYFUNCTION("GOOGLETRANSLATE(A18959,""en"",""pt"")"),"caro para uma câmera de 2 megapixel, nenhum caso de transporte incluído, pequeno CompactFlash incluído")</f>
        <v>caro para uma câmera de 2 megapixel, nenhum caso de transporte incluído, pequeno CompactFlash incluído</v>
      </c>
      <c r="B18959" s="3">
        <v>0</v>
      </c>
    </row>
    <row r="18960" ht="15.75" customHeight="1" spans="1:2">
      <c r="A18960" s="3" t="str">
        <f>IFERROR(__xludf.DUMMYFUNCTION("GOOGLETRANSLATE(A18960,""en"",""pt"")"),"Stingy flash compacto, falta de adaptador de corrente alternada")</f>
        <v>Stingy flash compacto, falta de adaptador de corrente alternada</v>
      </c>
      <c r="B18960" s="3">
        <v>0</v>
      </c>
    </row>
    <row r="18961" ht="15.75" customHeight="1" spans="1:2">
      <c r="A18961" s="3" t="str">
        <f>IFERROR(__xludf.DUMMYFUNCTION("GOOGLETRANSLATE(A18961,""en"",""pt"")"),"A duração da bateria é curta e o cartão de 8MB CF é praticamente inútil")</f>
        <v>A duração da bateria é curta e o cartão de 8MB CF é praticamente inútil</v>
      </c>
      <c r="B18961" s="3">
        <v>0</v>
      </c>
    </row>
    <row r="18962" ht="15.75" customHeight="1" spans="1:2">
      <c r="A18962" s="3" t="str">
        <f>IFERROR(__xludf.DUMMYFUNCTION("GOOGLETRANSLATE(A18962,""en"",""pt"")"),"curta duração da bateria, cartão de memória praticamente inútil, adaptador AC não incluído.")</f>
        <v>curta duração da bateria, cartão de memória praticamente inútil, adaptador AC não incluído.</v>
      </c>
      <c r="B18962" s="3">
        <v>0</v>
      </c>
    </row>
    <row r="18963" ht="15.75" customHeight="1" spans="1:2">
      <c r="A18963" s="3" t="str">
        <f>IFERROR(__xludf.DUMMYFUNCTION("GOOGLETRANSLATE(A18963,""en"",""pt"")"),"Precisa de zoom óptico forte. O cartão de memória flash compacto 8mb incluído é muito insuficiente.")</f>
        <v>Precisa de zoom óptico forte. O cartão de memória flash compacto 8mb incluído é muito insuficiente.</v>
      </c>
      <c r="B18963" s="3">
        <v>0</v>
      </c>
    </row>
    <row r="18964" ht="15.75" customHeight="1" spans="1:2">
      <c r="A18964" s="3" t="str">
        <f>IFERROR(__xludf.DUMMYFUNCTION("GOOGLETRANSLATE(A18964,""en"",""pt"")"),"Software fornecido não parece muito bom")</f>
        <v>Software fornecido não parece muito bom</v>
      </c>
      <c r="B18964" s="3">
        <v>0</v>
      </c>
    </row>
    <row r="18965" ht="15.75" customHeight="1" spans="1:2">
      <c r="A18965" s="3" t="str">
        <f>IFERROR(__xludf.DUMMYFUNCTION("GOOGLETRANSLATE(A18965,""en"",""pt"")"),"A vida da bateria pode ser mais longo, tiro atrasado.")</f>
        <v>A vida da bateria pode ser mais longo, tiro atrasado.</v>
      </c>
      <c r="B18965" s="3">
        <v>0</v>
      </c>
    </row>
    <row r="18966" ht="15.75" customHeight="1" spans="1:2">
      <c r="A18966" s="3" t="str">
        <f>IFERROR(__xludf.DUMMYFUNCTION("GOOGLETRANSLATE(A18966,""en"",""pt"")"),"Não zoom suficiente")</f>
        <v>Não zoom suficiente</v>
      </c>
      <c r="B18966" s="3">
        <v>0</v>
      </c>
    </row>
    <row r="18967" ht="15.75" customHeight="1" spans="1:2">
      <c r="A18967" s="3" t="str">
        <f>IFERROR(__xludf.DUMMYFUNCTION("GOOGLETRANSLATE(A18967,""en"",""pt"")"),"a vida da bateria pobres e atraso do obturador acima da média")</f>
        <v>a vida da bateria pobres e atraso do obturador acima da média</v>
      </c>
      <c r="B18967" s="3">
        <v>0</v>
      </c>
    </row>
    <row r="18968" ht="15.75" customHeight="1" spans="1:2">
      <c r="A18968" s="3" t="str">
        <f>IFERROR(__xludf.DUMMYFUNCTION("GOOGLETRANSLATE(A18968,""en"",""pt"")"),"quebrou depois de uma semana, e câmera de substituição também estava com defeito.")</f>
        <v>quebrou depois de uma semana, e câmera de substituição também estava com defeito.</v>
      </c>
      <c r="B18968" s="3">
        <v>0</v>
      </c>
    </row>
    <row r="18969" ht="15.75" customHeight="1" spans="1:2">
      <c r="A18969" s="3" t="str">
        <f>IFERROR(__xludf.DUMMYFUNCTION("GOOGLETRANSLATE(A18969,""en"",""pt"")"),"ruído de áudio no modo de filme, 2x zoom, 20 segundos filmes, 2,1 MPixel")</f>
        <v>ruído de áudio no modo de filme, 2x zoom, 20 segundos filmes, 2,1 MPixel</v>
      </c>
      <c r="B18969" s="3">
        <v>0</v>
      </c>
    </row>
    <row r="18970" ht="15.75" customHeight="1" spans="1:2">
      <c r="A18970" s="3" t="str">
        <f>IFERROR(__xludf.DUMMYFUNCTION("GOOGLETRANSLATE(A18970,""en"",""pt"")"),"piscar fraco para grandes áreas")</f>
        <v>piscar fraco para grandes áreas</v>
      </c>
      <c r="B18970" s="3">
        <v>0</v>
      </c>
    </row>
    <row r="18971" ht="15.75" customHeight="1" spans="1:2">
      <c r="A18971" s="3" t="str">
        <f>IFERROR(__xludf.DUMMYFUNCTION("GOOGLETRANSLATE(A18971,""en"",""pt"")"),"tampão pequeno para arquivo de filme - seu filme é sobre quando ele está cheio; tripé ajuda.")</f>
        <v>tampão pequeno para arquivo de filme - seu filme é sobre quando ele está cheio; tripé ajuda.</v>
      </c>
      <c r="B18971" s="3">
        <v>0</v>
      </c>
    </row>
    <row r="18972" ht="15.75" customHeight="1" spans="1:2">
      <c r="A18972" s="3" t="str">
        <f>IFERROR(__xludf.DUMMYFUNCTION("GOOGLETRANSLATE(A18972,""en"",""pt"")"),"baterias proprietárias.")</f>
        <v>baterias proprietárias.</v>
      </c>
      <c r="B18972" s="3">
        <v>0</v>
      </c>
    </row>
    <row r="18973" ht="15.75" customHeight="1" spans="1:2">
      <c r="A18973" s="3" t="str">
        <f>IFERROR(__xludf.DUMMYFUNCTION("GOOGLETRANSLATE(A18973,""en"",""pt"")"),"Somente 2.1 mega pixels e 2x de zoom óptico. Não é o melhor, mas é aceitável")</f>
        <v>Somente 2.1 mega pixels e 2x de zoom óptico. Não é o melhor, mas é aceitável</v>
      </c>
      <c r="B18973" s="3">
        <v>0</v>
      </c>
    </row>
    <row r="18974" ht="15.75" customHeight="1" spans="1:2">
      <c r="A18974" s="3" t="str">
        <f>IFERROR(__xludf.DUMMYFUNCTION("GOOGLETRANSLATE(A18974,""en"",""pt"")"),"curta duração da bateria, velocidade do obturador unadjustable")</f>
        <v>curta duração da bateria, velocidade do obturador unadjustable</v>
      </c>
      <c r="B18974" s="3">
        <v>0</v>
      </c>
    </row>
    <row r="18975" ht="15.75" customHeight="1" spans="1:2">
      <c r="A18975" s="3" t="str">
        <f>IFERROR(__xludf.DUMMYFUNCTION("GOOGLETRANSLATE(A18975,""en"",""pt"")"),"acessórios caros, flash prolongado quando tirando fotos")</f>
        <v>acessórios caros, flash prolongado quando tirando fotos</v>
      </c>
      <c r="B18975" s="3">
        <v>0</v>
      </c>
    </row>
    <row r="18976" ht="15.75" customHeight="1" spans="1:2">
      <c r="A18976" s="3" t="str">
        <f>IFERROR(__xludf.DUMMYFUNCTION("GOOGLETRANSLATE(A18976,""en"",""pt"")"),"bateria, menus, forma quadradão / estranho")</f>
        <v>bateria, menus, forma quadradão / estranho</v>
      </c>
      <c r="B18976" s="3">
        <v>0</v>
      </c>
    </row>
    <row r="18977" ht="15.75" customHeight="1" spans="1:2">
      <c r="A18977" s="3" t="str">
        <f>IFERROR(__xludf.DUMMYFUNCTION("GOOGLETRANSLATE(A18977,""en"",""pt"")"),"Comprar uma bateria extra e mantê-lo carregado.")</f>
        <v>Comprar uma bateria extra e mantê-lo carregado.</v>
      </c>
      <c r="B18977" s="3">
        <v>0</v>
      </c>
    </row>
    <row r="18978" ht="15.75" customHeight="1" spans="1:2">
      <c r="A18978" s="3" t="str">
        <f>IFERROR(__xludf.DUMMYFUNCTION("GOOGLETRANSLATE(A18978,""en"",""pt"")"),"zoom Limited, qualidade Flash foto")</f>
        <v>zoom Limited, qualidade Flash foto</v>
      </c>
      <c r="B18978" s="3">
        <v>0</v>
      </c>
    </row>
    <row r="18979" ht="15.75" customHeight="1" spans="1:2">
      <c r="A18979" s="3" t="str">
        <f>IFERROR(__xludf.DUMMYFUNCTION("GOOGLETRANSLATE(A18979,""en"",""pt"")"),"gravação avi de baixa qualidade.")</f>
        <v>gravação avi de baixa qualidade.</v>
      </c>
      <c r="B18979" s="3">
        <v>0</v>
      </c>
    </row>
    <row r="18980" ht="15.75" customHeight="1" spans="1:2">
      <c r="A18980" s="3" t="str">
        <f>IFERROR(__xludf.DUMMYFUNCTION("GOOGLETRANSLATE(A18980,""en"",""pt"")"),"Ouviu falar de um homem 15 minuto ... não, você ouviu falar de uma câmera de 15 minutos.")</f>
        <v>Ouviu falar de um homem 15 minuto ... não, você ouviu falar de uma câmera de 15 minutos.</v>
      </c>
      <c r="B18980" s="3">
        <v>0</v>
      </c>
    </row>
    <row r="18981" ht="15.75" customHeight="1" spans="1:2">
      <c r="A18981" s="3" t="str">
        <f>IFERROR(__xludf.DUMMYFUNCTION("GOOGLETRANSLATE(A18981,""en"",""pt"")"),"Olho vermelho!")</f>
        <v>Olho vermelho!</v>
      </c>
      <c r="B18981" s="3">
        <v>0</v>
      </c>
    </row>
    <row r="18982" ht="15.75" customHeight="1" spans="1:2">
      <c r="A18982" s="3" t="str">
        <f>IFERROR(__xludf.DUMMYFUNCTION("GOOGLETRANSLATE(A18982,""en"",""pt"")"),"vida curta da bateria, zoom limitada, nenhum som na câmera para reprodução de filmes.")</f>
        <v>vida curta da bateria, zoom limitada, nenhum som na câmera para reprodução de filmes.</v>
      </c>
      <c r="B18982" s="3">
        <v>0</v>
      </c>
    </row>
    <row r="18983" ht="15.75" customHeight="1" spans="1:2">
      <c r="A18983" s="3" t="str">
        <f>IFERROR(__xludf.DUMMYFUNCTION("GOOGLETRANSLATE(A18983,""en"",""pt"")"),"Aviso Não buy quebrou 1 mês após a garantia expirou.")</f>
        <v>Aviso Não buy quebrou 1 mês após a garantia expirou.</v>
      </c>
      <c r="B18983" s="3">
        <v>0</v>
      </c>
    </row>
    <row r="18984" ht="15.75" customHeight="1" spans="1:2">
      <c r="A18984" s="3" t="str">
        <f>IFERROR(__xludf.DUMMYFUNCTION("GOOGLETRANSLATE(A18984,""en"",""pt"")"),"Zoom é decepcionante")</f>
        <v>Zoom é decepcionante</v>
      </c>
      <c r="B18984" s="3">
        <v>0</v>
      </c>
    </row>
    <row r="18985" ht="15.75" customHeight="1" spans="1:2">
      <c r="A18985" s="3" t="str">
        <f>IFERROR(__xludf.DUMMYFUNCTION("GOOGLETRANSLATE(A18985,""en"",""pt"")"),"bateria / CF cobre facilmente quebrável, curta vida útil da bateria, o atraso do obturador")</f>
        <v>bateria / CF cobre facilmente quebrável, curta vida útil da bateria, o atraso do obturador</v>
      </c>
      <c r="B18985" s="3">
        <v>0</v>
      </c>
    </row>
    <row r="18986" ht="15.75" customHeight="1" spans="1:2">
      <c r="A18986" s="3" t="str">
        <f>IFERROR(__xludf.DUMMYFUNCTION("GOOGLETRANSLATE(A18986,""en"",""pt"")"),"Pouco caro, a apenas 2x de zoom óptico, apenas a 2 mega pixal")</f>
        <v>Pouco caro, a apenas 2x de zoom óptico, apenas a 2 mega pixal</v>
      </c>
      <c r="B18986" s="3">
        <v>0</v>
      </c>
    </row>
    <row r="18987" ht="15.75" customHeight="1" spans="1:2">
      <c r="A18987" s="3" t="str">
        <f>IFERROR(__xludf.DUMMYFUNCTION("GOOGLETRANSLATE(A18987,""en"",""pt"")"),"Limitados controles manuais, nenhum formato TIFF, flash fraco, caro")</f>
        <v>Limitados controles manuais, nenhum formato TIFF, flash fraco, caro</v>
      </c>
      <c r="B18987" s="3">
        <v>0</v>
      </c>
    </row>
    <row r="18988" ht="15.75" customHeight="1" spans="1:2">
      <c r="A18988" s="3" t="str">
        <f>IFERROR(__xludf.DUMMYFUNCTION("GOOGLETRANSLATE(A18988,""en"",""pt"")"),"exposição lenta faz com que seja difícil de capturar noturnos fotos")</f>
        <v>exposição lenta faz com que seja difícil de capturar noturnos fotos</v>
      </c>
      <c r="B18988" s="3">
        <v>0</v>
      </c>
    </row>
    <row r="18989" ht="15.75" customHeight="1" spans="1:2">
      <c r="A18989" s="3" t="str">
        <f>IFERROR(__xludf.DUMMYFUNCTION("GOOGLETRANSLATE(A18989,""en"",""pt"")"),"Caro. A qualidade da imagem não completamente perfeito.")</f>
        <v>Caro. A qualidade da imagem não completamente perfeito.</v>
      </c>
      <c r="B18989" s="3">
        <v>0</v>
      </c>
    </row>
    <row r="18990" ht="15.75" customHeight="1" spans="1:2">
      <c r="A18990" s="3" t="str">
        <f>IFERROR(__xludf.DUMMYFUNCTION("GOOGLETRANSLATE(A18990,""en"",""pt"")"),"8 MB incluídos CF Card é muito pequeno")</f>
        <v>8 MB incluídos CF Card é muito pequeno</v>
      </c>
      <c r="B18990" s="3">
        <v>0</v>
      </c>
    </row>
    <row r="18991" ht="15.75" customHeight="1" spans="1:2">
      <c r="A18991" s="3" t="str">
        <f>IFERROR(__xludf.DUMMYFUNCTION("GOOGLETRANSLATE(A18991,""en"",""pt"")"),"Nenhuma cobertura em LCD. tiro lento. vida útil da bateria pequena. Nenhuma cobertura fechada.")</f>
        <v>Nenhuma cobertura em LCD. tiro lento. vida útil da bateria pequena. Nenhuma cobertura fechada.</v>
      </c>
      <c r="B18991" s="3">
        <v>0</v>
      </c>
    </row>
    <row r="18992" ht="15.75" customHeight="1" spans="1:2">
      <c r="A18992" s="3" t="str">
        <f>IFERROR(__xludf.DUMMYFUNCTION("GOOGLETRANSLATE(A18992,""en"",""pt"")"),"Tamanho do cartão de memória inicial (16mb), Proprietary Bateria")</f>
        <v>Tamanho do cartão de memória inicial (16mb), Proprietary Bateria</v>
      </c>
      <c r="B18992" s="3">
        <v>0</v>
      </c>
    </row>
    <row r="18993" ht="15.75" customHeight="1" spans="1:2">
      <c r="A18993" s="3" t="str">
        <f>IFERROR(__xludf.DUMMYFUNCTION("GOOGLETRANSLATE(A18993,""en"",""pt"")"),"Tem que comprar memória extra para tirar um monte de fotos")</f>
        <v>Tem que comprar memória extra para tirar um monte de fotos</v>
      </c>
      <c r="B18993" s="3">
        <v>0</v>
      </c>
    </row>
    <row r="18994" ht="15.75" customHeight="1" spans="1:2">
      <c r="A18994" s="3" t="str">
        <f>IFERROR(__xludf.DUMMYFUNCTION("GOOGLETRANSLATE(A18994,""en"",""pt"")"),"Flash fraco, cartão de memória fornecido (8 MB) é insuficiente.")</f>
        <v>Flash fraco, cartão de memória fornecido (8 MB) é insuficiente.</v>
      </c>
      <c r="B18994" s="3">
        <v>0</v>
      </c>
    </row>
    <row r="18995" ht="15.75" customHeight="1" spans="1:2">
      <c r="A18995" s="3" t="str">
        <f>IFERROR(__xludf.DUMMYFUNCTION("GOOGLETRANSLATE(A18995,""en"",""pt"")"),"Menus nem sempre intuitiva, cartão de memória fornecido é muito pequeno")</f>
        <v>Menus nem sempre intuitiva, cartão de memória fornecido é muito pequeno</v>
      </c>
      <c r="B18995" s="3">
        <v>0</v>
      </c>
    </row>
    <row r="18996" ht="15.75" customHeight="1" spans="1:2">
      <c r="A18996" s="3" t="str">
        <f>IFERROR(__xludf.DUMMYFUNCTION("GOOGLETRANSLATE(A18996,""en"",""pt"")"),"A bateria não dura tanto tempo como deveria.")</f>
        <v>A bateria não dura tanto tempo como deveria.</v>
      </c>
      <c r="B18996" s="3">
        <v>0</v>
      </c>
    </row>
    <row r="18997" ht="15.75" customHeight="1" spans="1:2">
      <c r="A18997" s="3" t="str">
        <f>IFERROR(__xludf.DUMMYFUNCTION("GOOGLETRANSLATE(A18997,""en"",""pt"")"),"vida útil da bateria é média, curta, se você tem a tela de visualização opcional no.")</f>
        <v>vida útil da bateria é média, curta, se você tem a tela de visualização opcional no.</v>
      </c>
      <c r="B18997" s="3">
        <v>0</v>
      </c>
    </row>
    <row r="18998" ht="15.75" customHeight="1" spans="1:2">
      <c r="A18998" s="3" t="str">
        <f>IFERROR(__xludf.DUMMYFUNCTION("GOOGLETRANSLATE(A18998,""en"",""pt"")"),"tempo de atraso")</f>
        <v>tempo de atraso</v>
      </c>
      <c r="B18998" s="3">
        <v>0</v>
      </c>
    </row>
    <row r="18999" ht="15.75" customHeight="1" spans="1:2">
      <c r="A18999" s="3" t="str">
        <f>IFERROR(__xludf.DUMMYFUNCTION("GOOGLETRANSLATE(A18999,""en"",""pt"")")," Flash lente de distância focal curta no lado fraco")</f>
        <v> Flash lente de distância focal curta no lado fraco</v>
      </c>
      <c r="B18999" s="3">
        <v>0</v>
      </c>
    </row>
    <row r="19000" ht="15.75" customHeight="1" spans="1:2">
      <c r="A19000" s="3" t="str">
        <f>IFERROR(__xludf.DUMMYFUNCTION("GOOGLETRANSLATE(A19000,""en"",""pt"")"),"Exibição não será desligada no modo ""IMAGE"".")</f>
        <v>Exibição não será desligada no modo "IMAGE".</v>
      </c>
      <c r="B19000" s="3">
        <v>0</v>
      </c>
    </row>
    <row r="19001" ht="15.75" customHeight="1" spans="1:2">
      <c r="A19001" s="3" t="str">
        <f>IFERROR(__xludf.DUMMYFUNCTION("GOOGLETRANSLATE(A19001,""en"",""pt"")"),"baixo desempenho, para rookie única")</f>
        <v>baixo desempenho, para rookie única</v>
      </c>
      <c r="B19001" s="3">
        <v>0</v>
      </c>
    </row>
    <row r="19002" ht="15.75" customHeight="1" spans="1:2">
      <c r="A19002" s="3" t="str">
        <f>IFERROR(__xludf.DUMMYFUNCTION("GOOGLETRANSLATE(A19002,""en"",""pt"")"),"Poderia ser mais compacto. Não funciona muito bem em situações muito escuros.")</f>
        <v>Poderia ser mais compacto. Não funciona muito bem em situações muito escuros.</v>
      </c>
      <c r="B19002" s="3">
        <v>0</v>
      </c>
    </row>
    <row r="19003" ht="15.75" customHeight="1" spans="1:2">
      <c r="A19003" s="3" t="str">
        <f>IFERROR(__xludf.DUMMYFUNCTION("GOOGLETRANSLATE(A19003,""en"",""pt"")"),"devorador de bateria. Recarga unidade / bateria é caro também ...")</f>
        <v>devorador de bateria. Recarga unidade / bateria é caro também ...</v>
      </c>
      <c r="B19003" s="3">
        <v>0</v>
      </c>
    </row>
    <row r="19004" ht="15.75" customHeight="1" spans="1:2">
      <c r="A19004" s="3" t="str">
        <f>IFERROR(__xludf.DUMMYFUNCTION("GOOGLETRANSLATE(A19004,""en"",""pt"")"),"Inoperável no tempo frio")</f>
        <v>Inoperável no tempo frio</v>
      </c>
      <c r="B19004" s="3">
        <v>0</v>
      </c>
    </row>
    <row r="19005" ht="15.75" customHeight="1" spans="1:2">
      <c r="A19005" s="3" t="str">
        <f>IFERROR(__xludf.DUMMYFUNCTION("GOOGLETRANSLATE(A19005,""en"",""pt"")"),"As pessoas sempre sair cinza de aparência e lavada")</f>
        <v>As pessoas sempre sair cinza de aparência e lavada</v>
      </c>
      <c r="B19005" s="3">
        <v>0</v>
      </c>
    </row>
    <row r="19006" ht="15.75" customHeight="1" spans="1:2">
      <c r="A19006" s="3" t="str">
        <f>IFERROR(__xludf.DUMMYFUNCTION("GOOGLETRANSLATE(A19006,""en"",""pt"")"),"Não é possível encontrar baterias recarregáveis ​​agora; ajuste não verdadeiramente o manual")</f>
        <v>Não é possível encontrar baterias recarregáveis ​​agora; ajuste não verdadeiramente o manual</v>
      </c>
      <c r="B19006" s="3">
        <v>0</v>
      </c>
    </row>
    <row r="19007" ht="15.75" customHeight="1" spans="1:2">
      <c r="A19007" s="3" t="str">
        <f>IFERROR(__xludf.DUMMYFUNCTION("GOOGLETRANSLATE(A19007,""en"",""pt"")"),"alto custo")</f>
        <v>alto custo</v>
      </c>
      <c r="B19007" s="3">
        <v>0</v>
      </c>
    </row>
    <row r="19008" ht="15.75" customHeight="1" spans="1:2">
      <c r="A19008" s="3" t="str">
        <f>IFERROR(__xludf.DUMMYFUNCTION("GOOGLETRANSLATE(A19008,""en"",""pt"")"),"... de pálido, lavado para fora procurando pessoas. (Canon diz que não há correção a ser publicado)")</f>
        <v>... de pálido, lavado para fora procurando pessoas. (Canon diz que não há correção a ser publicado)</v>
      </c>
      <c r="B19008" s="3">
        <v>0</v>
      </c>
    </row>
    <row r="19009" ht="15.75" customHeight="1" spans="1:2">
      <c r="A19009" s="3" t="str">
        <f>IFERROR(__xludf.DUMMYFUNCTION("GOOGLETRANSLATE(A19009,""en"",""pt"")"),". Fraca Flash, 2x de zoom &amp; amp; # 13; &amp; amp; # 10; A qualidade da imagem abaixo Nikon 950 &amp; amp; # 13; &amp; amp; # 10; bateria recarregável caro e fraco")</f>
        <v>. Fraca Flash, 2x de zoom &amp; amp; # 13; &amp; amp; # 10; A qualidade da imagem abaixo Nikon 950 &amp; amp; # 13; &amp; amp; # 10; bateria recarregável caro e fraco</v>
      </c>
      <c r="B19009" s="3">
        <v>0</v>
      </c>
    </row>
    <row r="19010" ht="15.75" customHeight="1" spans="1:2">
      <c r="A19010" s="3" t="str">
        <f>IFERROR(__xludf.DUMMYFUNCTION("GOOGLETRANSLATE(A19010,""en"",""pt"")"),"Não vem com uma bateria recarregável (US $ 100 adicionais)")</f>
        <v>Não vem com uma bateria recarregável (US $ 100 adicionais)</v>
      </c>
      <c r="B19010" s="3">
        <v>0</v>
      </c>
    </row>
    <row r="19011" ht="15.75" customHeight="1" spans="1:2">
      <c r="A19011" s="3" t="str">
        <f>IFERROR(__xludf.DUMMYFUNCTION("GOOGLETRANSLATE(A19011,""en"",""pt"")"),"Apenas 2x de zoom, porco Battery (Bateria recarregável opcional)")</f>
        <v>Apenas 2x de zoom, porco Battery (Bateria recarregável opcional)</v>
      </c>
      <c r="B19011" s="3">
        <v>0</v>
      </c>
    </row>
    <row r="19012" ht="15.75" customHeight="1" spans="1:2">
      <c r="A19012" s="3" t="str">
        <f>IFERROR(__xludf.DUMMYFUNCTION("GOOGLETRANSLATE(A19012,""en"",""pt"")"),"nada")</f>
        <v>nada</v>
      </c>
      <c r="B19012" s="3">
        <v>0</v>
      </c>
    </row>
    <row r="19013" ht="15.75" customHeight="1" spans="1:2">
      <c r="A19013" s="3" t="str">
        <f>IFERROR(__xludf.DUMMYFUNCTION("GOOGLETRANSLATE(A19013,""en"",""pt"")"),"Poderia usar mais recursos")</f>
        <v>Poderia usar mais recursos</v>
      </c>
      <c r="B19013" s="3">
        <v>0</v>
      </c>
    </row>
    <row r="19014" ht="15.75" customHeight="1" spans="1:2">
      <c r="A19014" s="3" t="str">
        <f>IFERROR(__xludf.DUMMYFUNCTION("GOOGLETRANSLATE(A19014,""en"",""pt"")"),"Poderia utilizar mais zoom, ao ar livre fotos, por vezes, não natural")</f>
        <v>Poderia utilizar mais zoom, ao ar livre fotos, por vezes, não natural</v>
      </c>
      <c r="B19014" s="3">
        <v>0</v>
      </c>
    </row>
    <row r="19015" ht="15.75" customHeight="1" spans="1:2">
      <c r="A19015" s="3" t="str">
        <f>IFERROR(__xludf.DUMMYFUNCTION("GOOGLETRANSLATE(A19015,""en"",""pt"")"),"preço, mas não é tão ruim")</f>
        <v>preço, mas não é tão ruim</v>
      </c>
      <c r="B19015" s="3">
        <v>0</v>
      </c>
    </row>
    <row r="19016" ht="15.75" customHeight="1" spans="1:2">
      <c r="A19016" s="3" t="str">
        <f>IFERROR(__xludf.DUMMYFUNCTION("GOOGLETRANSLATE(A19016,""en"",""pt"")"),"manuais")</f>
        <v>manuais</v>
      </c>
      <c r="B19016" s="3">
        <v>0</v>
      </c>
    </row>
    <row r="19017" ht="15.75" customHeight="1" spans="1:2">
      <c r="A19017" s="3" t="s">
        <v>106</v>
      </c>
      <c r="B19017" s="3">
        <v>0</v>
      </c>
    </row>
    <row r="19018" ht="15.75" customHeight="1" spans="1:2">
      <c r="A19018" s="3" t="str">
        <f>IFERROR(__xludf.DUMMYFUNCTION("GOOGLETRANSLATE(A19018,""en"",""pt"")"),"zoom óptico de Baixo (2x)")</f>
        <v>zoom óptico de Baixo (2x)</v>
      </c>
      <c r="B19018" s="3">
        <v>0</v>
      </c>
    </row>
    <row r="19019" ht="15.75" customHeight="1" spans="1:2">
      <c r="A19019" s="3" t="str">
        <f>IFERROR(__xludf.DUMMYFUNCTION("GOOGLETRANSLATE(A19019,""en"",""pt"")"),"No caso, tem que comprar a bateria separadamente")</f>
        <v>No caso, tem que comprar a bateria separadamente</v>
      </c>
      <c r="B19019" s="3">
        <v>0</v>
      </c>
    </row>
    <row r="19020" ht="15.75" customHeight="1" spans="1:2">
      <c r="A19020" s="3" t="str">
        <f>IFERROR(__xludf.DUMMYFUNCTION("GOOGLETRANSLATE(A19020,""en"",""pt"")"),"pessoas inocentes podem ter suas almas roubadas!")</f>
        <v>pessoas inocentes podem ter suas almas roubadas!</v>
      </c>
      <c r="B19020" s="3">
        <v>0</v>
      </c>
    </row>
    <row r="19021" ht="15.75" customHeight="1" spans="1:2">
      <c r="A19021" s="3" t="str">
        <f>IFERROR(__xludf.DUMMYFUNCTION("GOOGLETRANSLATE(A19021,""en"",""pt"")"),"- Nenhum")</f>
        <v>- Nenhum</v>
      </c>
      <c r="B19021" s="3">
        <v>0</v>
      </c>
    </row>
    <row r="19022" ht="15.75" customHeight="1" spans="1:2">
      <c r="A19022" s="3" t="str">
        <f>IFERROR(__xludf.DUMMYFUNCTION("GOOGLETRANSLATE(A19022,""en"",""pt"")"),"caro")</f>
        <v>caro</v>
      </c>
      <c r="B19022" s="3">
        <v>0</v>
      </c>
    </row>
    <row r="19023" ht="15.75" customHeight="1" spans="1:2">
      <c r="A19023" s="3" t="str">
        <f>IFERROR(__xludf.DUMMYFUNCTION("GOOGLETRANSLATE(A19023,""en"",""pt"")"),"Horrível serviço ao cliente ... problemas de entrega")</f>
        <v>Horrível serviço ao cliente ... problemas de entrega</v>
      </c>
      <c r="B19023" s="3">
        <v>0</v>
      </c>
    </row>
    <row r="19024" ht="15.75" customHeight="1" spans="1:2">
      <c r="A19024" s="3" t="str">
        <f>IFERROR(__xludf.DUMMYFUNCTION("GOOGLETRANSLATE(A19024,""en"",""pt"")"),"não vem com acessórios suficientes !!!!!!")</f>
        <v>não vem com acessórios suficientes !!!!!!</v>
      </c>
      <c r="B19024" s="3">
        <v>0</v>
      </c>
    </row>
    <row r="19025" ht="15.75" customHeight="1" spans="1:2">
      <c r="A19025" s="3" t="str">
        <f>IFERROR(__xludf.DUMMYFUNCTION("GOOGLETRANSLATE(A19025,""en"",""pt"")"),"- Nenhum")</f>
        <v>- Nenhum</v>
      </c>
      <c r="B19025" s="3">
        <v>0</v>
      </c>
    </row>
    <row r="19026" ht="15.75" customHeight="1" spans="1:2">
      <c r="A19026" s="3" t="str">
        <f>IFERROR(__xludf.DUMMYFUNCTION("GOOGLETRANSLATE(A19026,""en"",""pt"")"),"como todas as câmeras digitais, alcance dinâmico de contraste é pobre em relação ao filme")</f>
        <v>como todas as câmeras digitais, alcance dinâmico de contraste é pobre em relação ao filme</v>
      </c>
      <c r="B19026" s="3">
        <v>0</v>
      </c>
    </row>
    <row r="19027" ht="15.75" customHeight="1" spans="1:2">
      <c r="A19027" s="3" t="str">
        <f>IFERROR(__xludf.DUMMYFUNCTION("GOOGLETRANSLATE(A19027,""en"",""pt"")"),"Nenhum")</f>
        <v>Nenhum</v>
      </c>
      <c r="B19027" s="3">
        <v>0</v>
      </c>
    </row>
    <row r="19028" ht="15.75" customHeight="1" spans="1:2">
      <c r="A19028" s="3" t="str">
        <f>IFERROR(__xludf.DUMMYFUNCTION("GOOGLETRANSLATE(A19028,""en"",""pt"")"),"Precisa de mais zoom e IBM 340 Mb Microdrive")</f>
        <v>Precisa de mais zoom e IBM 340 Mb Microdrive</v>
      </c>
      <c r="B19028" s="3">
        <v>0</v>
      </c>
    </row>
    <row r="19029" ht="15.75" customHeight="1" spans="1:2">
      <c r="A19029" s="3" t="str">
        <f>IFERROR(__xludf.DUMMYFUNCTION("GOOGLETRANSLATE(A19029,""en"",""pt"")"),"Medíocre baixo luz / desempenho de alta velocidade")</f>
        <v>Medíocre baixo luz / desempenho de alta velocidade</v>
      </c>
      <c r="B19029" s="3">
        <v>0</v>
      </c>
    </row>
    <row r="19030" ht="15.75" customHeight="1" spans="1:2">
      <c r="A19030" s="3" t="str">
        <f>IFERROR(__xludf.DUMMYFUNCTION("GOOGLETRANSLATE(A19030,""en"",""pt"")"),"Pode ser caro para obter o máximo proveito dela")</f>
        <v>Pode ser caro para obter o máximo proveito dela</v>
      </c>
      <c r="B19030" s="3">
        <v>0</v>
      </c>
    </row>
    <row r="19031" ht="15.75" customHeight="1" spans="1:2">
      <c r="A19031" s="3" t="str">
        <f>IFERROR(__xludf.DUMMYFUNCTION("GOOGLETRANSLATE(A19031,""en"",""pt"")"),"Precisa de muita luz")</f>
        <v>Precisa de muita luz</v>
      </c>
      <c r="B19031" s="3">
        <v>0</v>
      </c>
    </row>
    <row r="19032" ht="15.75" customHeight="1" spans="1:2">
      <c r="A19032" s="3" t="str">
        <f>IFERROR(__xludf.DUMMYFUNCTION("GOOGLETRANSLATE(A19032,""en"",""pt"")"),"Sem bateria recarregável veio com ele")</f>
        <v>Sem bateria recarregável veio com ele</v>
      </c>
      <c r="B19032" s="3">
        <v>0</v>
      </c>
    </row>
    <row r="19033" ht="15.75" customHeight="1" spans="1:2">
      <c r="A19033" s="3" t="str">
        <f>IFERROR(__xludf.DUMMYFUNCTION("GOOGLETRANSLATE(A19033,""en"",""pt"")"),"vida curta da bateria, Flash fraco, e Urrrrr ..... precisa de mais megapixels?")</f>
        <v>vida curta da bateria, Flash fraco, e Urrrrr ..... precisa de mais megapixels?</v>
      </c>
      <c r="B19033" s="3">
        <v>0</v>
      </c>
    </row>
    <row r="19034" ht="15.75" customHeight="1" spans="1:2">
      <c r="A19034" s="3" t="str">
        <f>IFERROR(__xludf.DUMMYFUNCTION("GOOGLETRANSLATE(A19034,""en"",""pt"")"),"Ainda vem com apenas um cartão de 8 MB CF")</f>
        <v>Ainda vem com apenas um cartão de 8 MB CF</v>
      </c>
      <c r="B19034" s="3">
        <v>0</v>
      </c>
    </row>
    <row r="19035" ht="15.75" customHeight="1" spans="1:2">
      <c r="A19035" s="3" t="str">
        <f>IFERROR(__xludf.DUMMYFUNCTION("GOOGLETRANSLATE(A19035,""en"",""pt"")"),"fracote 8MB cartão Compact Flash")</f>
        <v>fracote 8MB cartão Compact Flash</v>
      </c>
      <c r="B19035" s="3">
        <v>0</v>
      </c>
    </row>
    <row r="19036" ht="15.75" customHeight="1" spans="1:2">
      <c r="A19036" s="3" t="str">
        <f>IFERROR(__xludf.DUMMYFUNCTION("GOOGLETRANSLATE(A19036,""en"",""pt"")"),"Cartão Flash de 8MB (Incluído), Semi-Fraco Flash, curto a vida da bateria, sem zoom com Filmes")</f>
        <v>Cartão Flash de 8MB (Incluído), Semi-Fraco Flash, curto a vida da bateria, sem zoom com Filmes</v>
      </c>
      <c r="B19036" s="3">
        <v>0</v>
      </c>
    </row>
    <row r="19037" ht="15.75" customHeight="1" spans="1:2">
      <c r="A19037" s="3" t="str">
        <f>IFERROR(__xludf.DUMMYFUNCTION("GOOGLETRANSLATE(A19037,""en"",""pt"")"),"vida útil da bateria, a falta de memória")</f>
        <v>vida útil da bateria, a falta de memória</v>
      </c>
      <c r="B19037" s="3">
        <v>0</v>
      </c>
    </row>
    <row r="19038" ht="15.75" customHeight="1" spans="1:2">
      <c r="A19038" s="3" t="str">
        <f>IFERROR(__xludf.DUMMYFUNCTION("GOOGLETRANSLATE(A19038,""en"",""pt"")"),"fotos suaves, bateria proprietária com a vida medíocre.")</f>
        <v>fotos suaves, bateria proprietária com a vida medíocre.</v>
      </c>
      <c r="B19038" s="3">
        <v>0</v>
      </c>
    </row>
    <row r="19039" ht="15.75" customHeight="1" spans="1:2">
      <c r="A19039" s="3" t="str">
        <f>IFERROR(__xludf.DUMMYFUNCTION("GOOGLETRANSLATE(A19039,""en"",""pt"")"),"Canon específica adaptador A / C não incluídos e o mísero cartão de memória flash de 8 MB.")</f>
        <v>Canon específica adaptador A / C não incluídos e o mísero cartão de memória flash de 8 MB.</v>
      </c>
      <c r="B19039" s="3">
        <v>0</v>
      </c>
    </row>
    <row r="19040" ht="15.75" customHeight="1" spans="1:2">
      <c r="A19040" s="3" t="str">
        <f>IFERROR(__xludf.DUMMYFUNCTION("GOOGLETRANSLATE(A19040,""en"",""pt"")"),"Bad qualidade de imagem. (Muito) de flash inadequada.")</f>
        <v>Bad qualidade de imagem. (Muito) de flash inadequada.</v>
      </c>
      <c r="B19040" s="3">
        <v>0</v>
      </c>
    </row>
    <row r="19041" ht="15.75" customHeight="1" spans="1:2">
      <c r="A19041" s="3" t="str">
        <f>IFERROR(__xludf.DUMMYFUNCTION("GOOGLETRANSLATE(A19041,""en"",""pt"")"),"Software é volumoso")</f>
        <v>Software é volumoso</v>
      </c>
      <c r="B19041" s="3">
        <v>0</v>
      </c>
    </row>
    <row r="19042" ht="15.75" customHeight="1" spans="1:2">
      <c r="A19042" s="3" t="str">
        <f>IFERROR(__xludf.DUMMYFUNCTION("GOOGLETRANSLATE(A19042,""en"",""pt"")"),"Skimpy incluído cartão CF, ""apenas"" 2 MP, Limited AVI tempo de gravação")</f>
        <v>Skimpy incluído cartão CF, "apenas" 2 MP, Limited AVI tempo de gravação</v>
      </c>
      <c r="B19042" s="3">
        <v>0</v>
      </c>
    </row>
    <row r="19043" ht="15.75" customHeight="1" spans="1:2">
      <c r="A19043" s="3" t="str">
        <f>IFERROR(__xludf.DUMMYFUNCTION("GOOGLETRANSLATE(A19043,""en"",""pt"")"),"Fraco desempenho de baixa luz, zoom óptico de 2X, curta duração da bateria, pequena fraco Flash &amp; amp; # 13; &amp; amp; # 10;")</f>
        <v>Fraco desempenho de baixa luz, zoom óptico de 2X, curta duração da bateria, pequena fraco Flash &amp; amp; # 13; &amp; amp; # 10;</v>
      </c>
      <c r="B19043" s="3">
        <v>0</v>
      </c>
    </row>
    <row r="19044" ht="15.75" customHeight="1" spans="1:2">
      <c r="A19044" s="3" t="str">
        <f>IFERROR(__xludf.DUMMYFUNCTION("GOOGLETRANSLATE(A19044,""en"",""pt"")"),"Um uso com a mão, por vezes, significa que você abrir o compartimento da bateria, desligar a câmera.")</f>
        <v>Um uso com a mão, por vezes, significa que você abrir o compartimento da bateria, desligar a câmera.</v>
      </c>
      <c r="B19044" s="3">
        <v>0</v>
      </c>
    </row>
    <row r="19045" ht="15.75" customHeight="1" spans="1:2">
      <c r="A19045" s="3" t="str">
        <f>IFERROR(__xludf.DUMMYFUNCTION("GOOGLETRANSLATE(A19045,""en"",""pt"")"),"zoom limitado, não muito bom em tiros distantes, melhor em entes próximos.")</f>
        <v>zoom limitado, não muito bom em tiros distantes, melhor em entes próximos.</v>
      </c>
      <c r="B19045" s="3">
        <v>0</v>
      </c>
    </row>
    <row r="19046" ht="15.75" customHeight="1" spans="1:2">
      <c r="A19046" s="3" t="str">
        <f>IFERROR(__xludf.DUMMYFUNCTION("GOOGLETRANSLATE(A19046,""en"",""pt"")"),"Pobre software e pequeno cartão de memória flash")</f>
        <v>Pobre software e pequeno cartão de memória flash</v>
      </c>
      <c r="B19046" s="3">
        <v>0</v>
      </c>
    </row>
    <row r="19047" ht="15.75" customHeight="1" spans="1:2">
      <c r="A19047" s="3" t="str">
        <f>IFERROR(__xludf.DUMMYFUNCTION("GOOGLETRANSLATE(A19047,""en"",""pt"")"),"única 2X Zoom, adaptador de alimentação caro, nenhum driver USB simples")</f>
        <v>única 2X Zoom, adaptador de alimentação caro, nenhum driver USB simples</v>
      </c>
      <c r="B19047" s="3">
        <v>0</v>
      </c>
    </row>
    <row r="19048" ht="15.75" customHeight="1" spans="1:2">
      <c r="A19048" s="3" t="str">
        <f>IFERROR(__xludf.DUMMYFUNCTION("GOOGLETRANSLATE(A19048,""en"",""pt"")"),"nada")</f>
        <v>nada</v>
      </c>
      <c r="B19048" s="3">
        <v>0</v>
      </c>
    </row>
    <row r="19049" ht="15.75" customHeight="1" spans="1:2">
      <c r="A19049" s="3" t="str">
        <f>IFERROR(__xludf.DUMMYFUNCTION("GOOGLETRANSLATE(A19049,""en"",""pt"")"),"Os vídeos são granulada, câmera ainda é um pouco grosso, e bateria pode durar mais tempo.")</f>
        <v>Os vídeos são granulada, câmera ainda é um pouco grosso, e bateria pode durar mais tempo.</v>
      </c>
      <c r="B19049" s="3">
        <v>0</v>
      </c>
    </row>
    <row r="19050" ht="15.75" customHeight="1" spans="1:2">
      <c r="A19050" s="3" t="str">
        <f>IFERROR(__xludf.DUMMYFUNCTION("GOOGLETRANSLATE(A19050,""en"",""pt"")"),"FOCUS, foco, foco")</f>
        <v>FOCUS, foco, foco</v>
      </c>
      <c r="B19050" s="3">
        <v>0</v>
      </c>
    </row>
    <row r="19051" ht="15.75" customHeight="1" spans="1:2">
      <c r="A19051" s="3" t="str">
        <f>IFERROR(__xludf.DUMMYFUNCTION("GOOGLETRANSLATE(A19051,""en"",""pt"")"),"caso não incluídas, modo de filme muito limitados em termos de tempo.")</f>
        <v>caso não incluídas, modo de filme muito limitados em termos de tempo.</v>
      </c>
      <c r="B19051" s="3">
        <v>0</v>
      </c>
    </row>
    <row r="19052" ht="15.75" customHeight="1" spans="1:2">
      <c r="A19052" s="3" t="str">
        <f>IFERROR(__xludf.DUMMYFUNCTION("GOOGLETRANSLATE(A19052,""en"",""pt"")"),"As pessoas vão querer tomá-lo emprestado de você.")</f>
        <v>As pessoas vão querer tomá-lo emprestado de você.</v>
      </c>
      <c r="B19052" s="3">
        <v>0</v>
      </c>
    </row>
    <row r="19053" ht="15.75" customHeight="1" spans="1:2">
      <c r="A19053" s="3" t="str">
        <f>IFERROR(__xludf.DUMMYFUNCTION("GOOGLETRANSLATE(A19053,""en"",""pt"")"),"Apenas 8 Mg incluídos, nenhum caso incluído")</f>
        <v>Apenas 8 Mg incluídos, nenhum caso incluído</v>
      </c>
      <c r="B19053" s="3">
        <v>0</v>
      </c>
    </row>
    <row r="19054" ht="15.75" customHeight="1" spans="1:2">
      <c r="A19054" s="3" t="str">
        <f>IFERROR(__xludf.DUMMYFUNCTION("GOOGLETRANSLATE(A19054,""en"",""pt"")"),"bateria fraca, cartão de memória muito forte mecanismo de ""ejetar""")</f>
        <v>bateria fraca, cartão de memória muito forte mecanismo de "ejetar"</v>
      </c>
      <c r="B19054" s="3">
        <v>0</v>
      </c>
    </row>
    <row r="19055" ht="15.75" customHeight="1" spans="1:2">
      <c r="A19055" s="3" t="str">
        <f>IFERROR(__xludf.DUMMYFUNCTION("GOOGLETRANSLATE(A19055,""en"",""pt"")"),"Apenas 2 megapixels, zoom minúsculo, alguns controles muito pequenos para serem facilmente usado")</f>
        <v>Apenas 2 megapixels, zoom minúsculo, alguns controles muito pequenos para serem facilmente usado</v>
      </c>
      <c r="B19055" s="3">
        <v>0</v>
      </c>
    </row>
    <row r="19056" ht="15.75" customHeight="1" spans="1:2">
      <c r="A19056" s="3" t="str">
        <f>IFERROR(__xludf.DUMMYFUNCTION("GOOGLETRANSLATE(A19056,""en"",""pt"")"),"Apenas 2 megapixels")</f>
        <v>Apenas 2 megapixels</v>
      </c>
      <c r="B19056" s="3">
        <v>0</v>
      </c>
    </row>
    <row r="19057" ht="15.75" customHeight="1" spans="1:2">
      <c r="A19057" s="3" t="str">
        <f>IFERROR(__xludf.DUMMYFUNCTION("GOOGLETRANSLATE(A19057,""en"",""pt"")"),"A vida da bateria, só vem com 8MB cartão CompactFlash.")</f>
        <v>A vida da bateria, só vem com 8MB cartão CompactFlash.</v>
      </c>
      <c r="B19057" s="3">
        <v>0</v>
      </c>
    </row>
    <row r="19058" ht="15.75" customHeight="1" spans="1:2">
      <c r="A19058" s="3" t="str">
        <f>IFERROR(__xludf.DUMMYFUNCTION("GOOGLETRANSLATE(A19058,""en"",""pt"")"),"qualidade de imagem indiferente; muito pobres imagens de baixa luminosidade.")</f>
        <v>qualidade de imagem indiferente; muito pobres imagens de baixa luminosidade.</v>
      </c>
      <c r="B19058" s="3">
        <v>0</v>
      </c>
    </row>
    <row r="19059" ht="15.75" customHeight="1" spans="1:2">
      <c r="A19059" s="3" t="str">
        <f>IFERROR(__xludf.DUMMYFUNCTION("GOOGLETRANSLATE(A19059,""en"",""pt"")"),"Só o zoom 2X")</f>
        <v>Só o zoom 2X</v>
      </c>
      <c r="B19059" s="3">
        <v>0</v>
      </c>
    </row>
    <row r="19060" ht="15.75" customHeight="1" spans="1:2">
      <c r="A19060" s="3" t="str">
        <f>IFERROR(__xludf.DUMMYFUNCTION("GOOGLETRANSLATE(A19060,""en"",""pt"")"),"Não é bom com pouca luz, não vem com um caso, apenas 8 MB de cartão.")</f>
        <v>Não é bom com pouca luz, não vem com um caso, apenas 8 MB de cartão.</v>
      </c>
      <c r="B19060" s="3">
        <v>0</v>
      </c>
    </row>
    <row r="19061" ht="15.75" customHeight="1" spans="1:2">
      <c r="A19061" s="3" t="str">
        <f>IFERROR(__xludf.DUMMYFUNCTION("GOOGLETRANSLATE(A19061,""en"",""pt"")"),"apenas uma batida muito lenta às vezes com o botão do obturador para capturar incríveis tiros chantagem")</f>
        <v>apenas uma batida muito lenta às vezes com o botão do obturador para capturar incríveis tiros chantagem</v>
      </c>
      <c r="B19061" s="3">
        <v>0</v>
      </c>
    </row>
    <row r="19062" ht="15.75" customHeight="1" spans="1:2">
      <c r="A19062" s="3" t="str">
        <f>IFERROR(__xludf.DUMMYFUNCTION("GOOGLETRANSLATE(A19062,""en"",""pt"")"),"pobre software empacotado")</f>
        <v>pobre software empacotado</v>
      </c>
      <c r="B19062" s="3">
        <v>0</v>
      </c>
    </row>
    <row r="19063" ht="15.75" customHeight="1" spans="1:2">
      <c r="A19063" s="3" t="str">
        <f>IFERROR(__xludf.DUMMYFUNCTION("GOOGLETRANSLATE(A19063,""en"",""pt"")"),"modos manuais difíceis para eu aprender, botão de energia muito perto do obturador.")</f>
        <v>modos manuais difíceis para eu aprender, botão de energia muito perto do obturador.</v>
      </c>
      <c r="B19063" s="3">
        <v>0</v>
      </c>
    </row>
    <row r="19064" ht="15.75" customHeight="1" spans="1:2">
      <c r="A19064" s="3" t="str">
        <f>IFERROR(__xludf.DUMMYFUNCTION("GOOGLETRANSLATE(A19064,""en"",""pt"")"),"preço e 2MP")</f>
        <v>preço e 2MP</v>
      </c>
      <c r="B19064" s="3">
        <v>0</v>
      </c>
    </row>
    <row r="19065" ht="15.75" customHeight="1" spans="1:2">
      <c r="A19065" s="3" t="str">
        <f>IFERROR(__xludf.DUMMYFUNCTION("GOOGLETRANSLATE(A19065,""en"",""pt"")"),"para tentar fazê-lo pelo painel de controle")</f>
        <v>para tentar fazê-lo pelo painel de controle</v>
      </c>
      <c r="B19065" s="3">
        <v>0</v>
      </c>
    </row>
    <row r="19066" ht="15.75" customHeight="1" spans="1:2">
      <c r="A19066" s="3" t="str">
        <f>IFERROR(__xludf.DUMMYFUNCTION("GOOGLETRANSLATE(A19066,""en"",""pt"")"),"Flash fraco, tiro lento")</f>
        <v>Flash fraco, tiro lento</v>
      </c>
      <c r="B19066" s="3">
        <v>0</v>
      </c>
    </row>
    <row r="19067" ht="15.75" customHeight="1" spans="1:2">
      <c r="A19067" s="3" t="str">
        <f>IFERROR(__xludf.DUMMYFUNCTION("GOOGLETRANSLATE(A19067,""en"",""pt"")"),"Nenhum?")</f>
        <v>Nenhum?</v>
      </c>
      <c r="B19067" s="3">
        <v>0</v>
      </c>
    </row>
    <row r="19068" ht="15.75" customHeight="1" spans="1:2">
      <c r="A19068" s="3" t="str">
        <f>IFERROR(__xludf.DUMMYFUNCTION("GOOGLETRANSLATE(A19068,""en"",""pt"")"),"cartão padrão 8mb, flash fraco, curta duração da bateria, nenhum caso, pequeno zoom, velocidade do obturador")</f>
        <v>cartão padrão 8mb, flash fraco, curta duração da bateria, nenhum caso, pequeno zoom, velocidade do obturador</v>
      </c>
      <c r="B19068" s="3">
        <v>0</v>
      </c>
    </row>
    <row r="19069" ht="15.75" customHeight="1" spans="1:2">
      <c r="A19069" s="3" t="str">
        <f>IFERROR(__xludf.DUMMYFUNCTION("GOOGLETRANSLATE(A19069,""en"",""pt"")"),"desempenho ruim Micro. Lento o tempo de arranque.")</f>
        <v>desempenho ruim Micro. Lento o tempo de arranque.</v>
      </c>
      <c r="B19069" s="3">
        <v>0</v>
      </c>
    </row>
    <row r="19070" ht="15.75" customHeight="1" spans="1:2">
      <c r="A19070" s="3" t="str">
        <f>IFERROR(__xludf.DUMMYFUNCTION("GOOGLETRANSLATE(A19070,""en"",""pt"")"),"talvez um zoom óptico maior ...")</f>
        <v>talvez um zoom óptico maior ...</v>
      </c>
      <c r="B19070" s="3">
        <v>0</v>
      </c>
    </row>
    <row r="19071" ht="15.75" customHeight="1" spans="1:2">
      <c r="A19071" s="3" t="str">
        <f>IFERROR(__xludf.DUMMYFUNCTION("GOOGLETRANSLATE(A19071,""en"",""pt"")"),"auto foco fraco, flash fraco")</f>
        <v>auto foco fraco, flash fraco</v>
      </c>
      <c r="B19071" s="3">
        <v>0</v>
      </c>
    </row>
    <row r="19072" ht="15.75" customHeight="1" spans="1:2">
      <c r="A19072" s="3" t="str">
        <f>IFERROR(__xludf.DUMMYFUNCTION("GOOGLETRANSLATE(A19072,""en"",""pt"")"),"Hum .... bem, Canon não dá-los gratuitamente.")</f>
        <v>Hum .... bem, Canon não dá-los gratuitamente.</v>
      </c>
      <c r="B19072" s="3">
        <v>0</v>
      </c>
    </row>
    <row r="19073" ht="15.75" customHeight="1" spans="1:2">
      <c r="A19073" s="3" t="str">
        <f>IFERROR(__xludf.DUMMYFUNCTION("GOOGLETRANSLATE(A19073,""en"",""pt"")"),"pouca luz é embaçada, flash é demais, às vezes, não é suficiente MP,")</f>
        <v>pouca luz é embaçada, flash é demais, às vezes, não é suficiente MP,</v>
      </c>
      <c r="B19073" s="3">
        <v>0</v>
      </c>
    </row>
    <row r="19074" ht="15.75" customHeight="1" spans="1:2">
      <c r="A19074" s="3" t="str">
        <f>IFERROR(__xludf.DUMMYFUNCTION("GOOGLETRANSLATE(A19074,""en"",""pt"")"),"bateria proprietária e carregador.")</f>
        <v>bateria proprietária e carregador.</v>
      </c>
      <c r="B19074" s="3">
        <v>0</v>
      </c>
    </row>
    <row r="19075" ht="15.75" customHeight="1" spans="1:2">
      <c r="A19075" s="3" t="str">
        <f>IFERROR(__xludf.DUMMYFUNCTION("GOOGLETRANSLATE(A19075,""en"",""pt"")"),"má qualidade baixa luz")</f>
        <v>má qualidade baixa luz</v>
      </c>
      <c r="B19075" s="3">
        <v>0</v>
      </c>
    </row>
    <row r="19076" ht="15.75" customHeight="1" spans="1:2">
      <c r="A19076" s="3" t="str">
        <f>IFERROR(__xludf.DUMMYFUNCTION("GOOGLETRANSLATE(A19076,""en"",""pt"")"),"vida útil da bateria baixa, tamanho acanhado no cartão CF incluído")</f>
        <v>vida útil da bateria baixa, tamanho acanhado no cartão CF incluído</v>
      </c>
      <c r="B19076" s="3">
        <v>0</v>
      </c>
    </row>
    <row r="19077" ht="15.75" customHeight="1" spans="1:2">
      <c r="A19077" s="3" t="str">
        <f>IFERROR(__xludf.DUMMYFUNCTION("GOOGLETRANSLATE(A19077,""en"",""pt"")"),"Eu realmente não vejo mal qualquer coisa com esta câmara.")</f>
        <v>Eu realmente não vejo mal qualquer coisa com esta câmara.</v>
      </c>
      <c r="B19077" s="3">
        <v>0</v>
      </c>
    </row>
    <row r="19078" ht="15.75" customHeight="1" spans="1:2">
      <c r="A19078" s="3" t="str">
        <f>IFERROR(__xludf.DUMMYFUNCTION("GOOGLETRANSLATE(A19078,""en"",""pt"")"),"questões de olhos vermelhos, o foco é, por vezes estranho")</f>
        <v>questões de olhos vermelhos, o foco é, por vezes estranho</v>
      </c>
      <c r="B19078" s="3">
        <v>0</v>
      </c>
    </row>
    <row r="19079" ht="15.75" customHeight="1" spans="1:2">
      <c r="A19079" s="3" t="str">
        <f>IFERROR(__xludf.DUMMYFUNCTION("GOOGLETRANSLATE(A19079,""en"",""pt"")"),"lapso de tempo entre pressionar o obturador e recebendo a foto tirada, flash fraco")</f>
        <v>lapso de tempo entre pressionar o obturador e recebendo a foto tirada, flash fraco</v>
      </c>
      <c r="B19079" s="3">
        <v>0</v>
      </c>
    </row>
    <row r="19080" ht="15.75" customHeight="1" spans="1:2">
      <c r="A19080" s="3" t="str">
        <f>IFERROR(__xludf.DUMMYFUNCTION("GOOGLETRANSLATE(A19080,""en"",""pt"")"),"Flash fraco")</f>
        <v>Flash fraco</v>
      </c>
      <c r="B19080" s="3">
        <v>0</v>
      </c>
    </row>
    <row r="19081" ht="15.75" customHeight="1" spans="1:2">
      <c r="A19081" s="3" t="str">
        <f>IFERROR(__xludf.DUMMYFUNCTION("GOOGLETRANSLATE(A19081,""en"",""pt"")"),"Apenas 2 mega pixels e 2x de zoom (óptico)")</f>
        <v>Apenas 2 mega pixels e 2x de zoom (óptico)</v>
      </c>
      <c r="B19081" s="3">
        <v>0</v>
      </c>
    </row>
    <row r="19082" ht="15.75" customHeight="1" spans="1:2">
      <c r="A19082" s="3" t="str">
        <f>IFERROR(__xludf.DUMMYFUNCTION("GOOGLETRANSLATE(A19082,""en"",""pt"")"),"cartão de memória pequeno")</f>
        <v>cartão de memória pequeno</v>
      </c>
      <c r="B19082" s="3">
        <v>0</v>
      </c>
    </row>
    <row r="19083" ht="15.75" customHeight="1" spans="1:2">
      <c r="A19083" s="3" t="str">
        <f>IFERROR(__xludf.DUMMYFUNCTION("GOOGLETRANSLATE(A19083,""en"",""pt"")"),"Demora algum tempo, por vezes, para tirar uma foto.")</f>
        <v>Demora algum tempo, por vezes, para tirar uma foto.</v>
      </c>
      <c r="B19083" s="3">
        <v>0</v>
      </c>
    </row>
    <row r="19084" ht="15.75" customHeight="1" spans="1:2">
      <c r="A19084" s="3" t="str">
        <f>IFERROR(__xludf.DUMMYFUNCTION("GOOGLETRANSLATE(A19084,""en"",""pt"")"),"Não vem com um caso, ou um cartão de memória maior.")</f>
        <v>Não vem com um caso, ou um cartão de memória maior.</v>
      </c>
      <c r="B19084" s="3">
        <v>0</v>
      </c>
    </row>
    <row r="19085" ht="15.75" customHeight="1" spans="1:2">
      <c r="A19085" s="3" t="str">
        <f>IFERROR(__xludf.DUMMYFUNCTION("GOOGLETRANSLATE(A19085,""en"",""pt"")"),"software de computador, a vida da bateria")</f>
        <v>software de computador, a vida da bateria</v>
      </c>
      <c r="B19085" s="3">
        <v>0</v>
      </c>
    </row>
    <row r="19086" ht="15.75" customHeight="1" spans="1:2">
      <c r="A19086" s="3" t="str">
        <f>IFERROR(__xludf.DUMMYFUNCTION("GOOGLETRANSLATE(A19086,""en"",""pt"")"),"Flash fraco, zoom limitado")</f>
        <v>Flash fraco, zoom limitado</v>
      </c>
      <c r="B19086" s="3">
        <v>0</v>
      </c>
    </row>
    <row r="19087" ht="15.75" customHeight="1" spans="1:2">
      <c r="A19087" s="3" t="str">
        <f>IFERROR(__xludf.DUMMYFUNCTION("GOOGLETRANSLATE(A19087,""en"",""pt"")"),"Pobre foco em objetos próximos, zoom óptico de longa distância pobre.")</f>
        <v>Pobre foco em objetos próximos, zoom óptico de longa distância pobre.</v>
      </c>
      <c r="B19087" s="3">
        <v>0</v>
      </c>
    </row>
    <row r="19088" ht="15.75" customHeight="1" spans="1:2">
      <c r="A19088" s="3" t="str">
        <f>IFERROR(__xludf.DUMMYFUNCTION("GOOGLETRANSLATE(A19088,""en"",""pt"")"),"No caso, um pouco Caro")</f>
        <v>No caso, um pouco Caro</v>
      </c>
      <c r="B19088" s="3">
        <v>0</v>
      </c>
    </row>
    <row r="19089" ht="15.75" customHeight="1" spans="1:2">
      <c r="A19089" s="3" t="str">
        <f>IFERROR(__xludf.DUMMYFUNCTION("GOOGLETRANSLATE(A19089,""en"",""pt"")"),"Nenhum anexo externos, lense não rosqueados, estranho tripé local de montagem, software pobres.")</f>
        <v>Nenhum anexo externos, lense não rosqueados, estranho tripé local de montagem, software pobres.</v>
      </c>
      <c r="B19089" s="3">
        <v>0</v>
      </c>
    </row>
    <row r="19090" ht="15.75" customHeight="1" spans="1:2">
      <c r="A19090" s="3" t="str">
        <f>IFERROR(__xludf.DUMMYFUNCTION("GOOGLETRANSLATE(A19090,""en"",""pt"")"),"2x de zoom óptico, Fraco Flash, So-So vida útil da bateria")</f>
        <v>2x de zoom óptico, Fraco Flash, So-So vida útil da bateria</v>
      </c>
      <c r="B19090" s="3">
        <v>0</v>
      </c>
    </row>
    <row r="19091" ht="15.75" customHeight="1" spans="1:2">
      <c r="A19091" s="3" t="str">
        <f>IFERROR(__xludf.DUMMYFUNCTION("GOOGLETRANSLATE(A19091,""en"",""pt"")"),"Fraco desempenho de baixa luz, a vida da bateria pobres, flash fraco, software pobres. ,")</f>
        <v>Fraco desempenho de baixa luz, a vida da bateria pobres, flash fraco, software pobres. ,</v>
      </c>
      <c r="B19091" s="3">
        <v>0</v>
      </c>
    </row>
    <row r="19092" ht="15.75" customHeight="1" spans="1:2">
      <c r="A19092" s="3" t="str">
        <f>IFERROR(__xludf.DUMMYFUNCTION("GOOGLETRANSLATE(A19092,""en"",""pt"")"),"vida pobre da bateria ao usar exibição, somente o zoom óptico de 2X")</f>
        <v>vida pobre da bateria ao usar exibição, somente o zoom óptico de 2X</v>
      </c>
      <c r="B19092" s="3">
        <v>0</v>
      </c>
    </row>
    <row r="19093" ht="15.75" customHeight="1" spans="1:2">
      <c r="A19093" s="3" t="str">
        <f>IFERROR(__xludf.DUMMYFUNCTION("GOOGLETRANSLATE(A19093,""en"",""pt"")"),"Flash fraco, pobre vida útil da bateria")</f>
        <v>Flash fraco, pobre vida útil da bateria</v>
      </c>
      <c r="B19093" s="3">
        <v>0</v>
      </c>
    </row>
    <row r="19094" ht="15.75" customHeight="1" spans="1:2">
      <c r="A19094" s="3" t="str">
        <f>IFERROR(__xludf.DUMMYFUNCTION("GOOGLETRANSLATE(A19094,""en"",""pt"")"),"questões de olhos vermelhos; mais zoom seria bom.")</f>
        <v>questões de olhos vermelhos; mais zoom seria bom.</v>
      </c>
      <c r="B19094" s="3">
        <v>0</v>
      </c>
    </row>
    <row r="19095" ht="15.75" customHeight="1" spans="1:2">
      <c r="A19095" s="3" t="str">
        <f>IFERROR(__xludf.DUMMYFUNCTION("GOOGLETRANSLATE(A19095,""en"",""pt"")"),"Bad medição, deve estar em manual para flash força diante, 3.2 Megapixels comer memória.")</f>
        <v>Bad medição, deve estar em manual para flash força diante, 3.2 Megapixels comer memória.</v>
      </c>
      <c r="B19095" s="3">
        <v>0</v>
      </c>
    </row>
    <row r="19096" ht="15.75" customHeight="1" spans="1:2">
      <c r="A19096" s="3" t="str">
        <f>IFERROR(__xludf.DUMMYFUNCTION("GOOGLETRANSLATE(A19096,""en"",""pt"")"),"Em horários impróprios, devido ao tamanho")</f>
        <v>Em horários impróprios, devido ao tamanho</v>
      </c>
      <c r="B19096" s="3">
        <v>0</v>
      </c>
    </row>
    <row r="19097" ht="15.75" customHeight="1" spans="1:2">
      <c r="A19097" s="3" t="str">
        <f>IFERROR(__xludf.DUMMYFUNCTION("GOOGLETRANSLATE(A19097,""en"",""pt"")"),"Não muito boa para cenas de ação.")</f>
        <v>Não muito boa para cenas de ação.</v>
      </c>
      <c r="B19097" s="3">
        <v>0</v>
      </c>
    </row>
    <row r="19098" ht="15.75" customHeight="1" spans="1:2">
      <c r="A19098" s="3" t="str">
        <f>IFERROR(__xludf.DUMMYFUNCTION("GOOGLETRANSLATE(A19098,""en"",""pt"")"),"2X Zoom")</f>
        <v>2X Zoom</v>
      </c>
      <c r="B19098" s="3">
        <v>0</v>
      </c>
    </row>
    <row r="19099" ht="15.75" customHeight="1" spans="1:2">
      <c r="A19099" s="3" t="str">
        <f>IFERROR(__xludf.DUMMYFUNCTION("GOOGLETRANSLATE(A19099,""en"",""pt"")"),"de flash fraco, de resposta muito lenta quando se utiliza redução de olhos vermelhos")</f>
        <v>de flash fraco, de resposta muito lenta quando se utiliza redução de olhos vermelhos</v>
      </c>
      <c r="B19099" s="3">
        <v>0</v>
      </c>
    </row>
    <row r="19100" ht="15.75" customHeight="1" spans="1:2">
      <c r="A19100" s="3" t="str">
        <f>IFERROR(__xludf.DUMMYFUNCTION("GOOGLETRANSLATE(A19100,""en"",""pt"")"),"ficar bom em touchup olhos vermelhos, mas esta é a con SOMENTE")</f>
        <v>ficar bom em touchup olhos vermelhos, mas esta é a con SOMENTE</v>
      </c>
      <c r="B19100" s="3">
        <v>0</v>
      </c>
    </row>
    <row r="19101" ht="15.75" customHeight="1" spans="1:2">
      <c r="A19101" s="3" t="str">
        <f>IFERROR(__xludf.DUMMYFUNCTION("GOOGLETRANSLATE(A19101,""en"",""pt"")"),"No indicador de bateria status, Shutter lag (câmeras digitais ALL média tê-lo) #!% $!")</f>
        <v>No indicador de bateria status, Shutter lag (câmeras digitais ALL média tê-lo) #!% $!</v>
      </c>
      <c r="B19101" s="3">
        <v>0</v>
      </c>
    </row>
    <row r="19102" ht="15.75" customHeight="1" spans="1:2">
      <c r="A19102" s="3" t="str">
        <f>IFERROR(__xludf.DUMMYFUNCTION("GOOGLETRANSLATE(A19102,""en"",""pt"")"),"zoom óptico limitado")</f>
        <v>zoom óptico limitado</v>
      </c>
      <c r="B19102" s="3">
        <v>0</v>
      </c>
    </row>
    <row r="19103" ht="15.75" customHeight="1" spans="1:2">
      <c r="A19103" s="3" t="str">
        <f>IFERROR(__xludf.DUMMYFUNCTION("GOOGLETRANSLATE(A19103,""en"",""pt"")"),"O zoom não é tão poderoso quanto o resto das características da câmera.")</f>
        <v>O zoom não é tão poderoso quanto o resto das características da câmera.</v>
      </c>
      <c r="B19103" s="3">
        <v>0</v>
      </c>
    </row>
    <row r="19104" ht="15.75" customHeight="1" spans="1:2">
      <c r="A19104" s="3" t="str">
        <f>IFERROR(__xludf.DUMMYFUNCTION("GOOGLETRANSLATE(A19104,""en"",""pt"")"),"alternado facilmente switch de vídeo / câmera, memória CompactFlash é lento")</f>
        <v>alternado facilmente switch de vídeo / câmera, memória CompactFlash é lento</v>
      </c>
      <c r="B19104" s="3">
        <v>0</v>
      </c>
    </row>
    <row r="19105" ht="15.75" customHeight="1" spans="1:2">
      <c r="A19105" s="3" t="str">
        <f>IFERROR(__xludf.DUMMYFUNCTION("GOOGLETRANSLATE(A19105,""en"",""pt"")"),"Pequeno, suavizar marcas exteriores propenso a deixar cair!")</f>
        <v>Pequeno, suavizar marcas exteriores propenso a deixar cair!</v>
      </c>
      <c r="B19105" s="3">
        <v>0</v>
      </c>
    </row>
    <row r="19106" ht="15.75" customHeight="1" spans="1:2">
      <c r="A19106" s="3" t="str">
        <f>IFERROR(__xludf.DUMMYFUNCTION("GOOGLETRANSLATE(A19106,""en"",""pt"")"),"A vida da bateria, ligeira perda de qualidade com pouca luz, flash fraco, minúsculo cartão de 16MB padrão")</f>
        <v>A vida da bateria, ligeira perda de qualidade com pouca luz, flash fraco, minúsculo cartão de 16MB padrão</v>
      </c>
      <c r="B19106" s="3">
        <v>0</v>
      </c>
    </row>
    <row r="19107" ht="15.75" customHeight="1" spans="1:2">
      <c r="A19107" s="3" t="str">
        <f>IFERROR(__xludf.DUMMYFUNCTION("GOOGLETRANSLATE(A19107,""en"",""pt"")"),"Demora um tempo para aprender todas as características bem.")</f>
        <v>Demora um tempo para aprender todas as características bem.</v>
      </c>
      <c r="B19107" s="3">
        <v>0</v>
      </c>
    </row>
    <row r="19108" ht="15.75" customHeight="1" spans="1:2">
      <c r="A19108" s="3" t="str">
        <f>IFERROR(__xludf.DUMMYFUNCTION("GOOGLETRANSLATE(A19108,""en"",""pt"")"),"Nenhum para mim")</f>
        <v>Nenhum para mim</v>
      </c>
      <c r="B19108" s="3">
        <v>0</v>
      </c>
    </row>
    <row r="19109" ht="15.75" customHeight="1" spans="1:2">
      <c r="A19109" s="3" t="str">
        <f>IFERROR(__xludf.DUMMYFUNCTION("GOOGLETRANSLATE(A19109,""en"",""pt"")"),"Red Eye com flash.")</f>
        <v>Red Eye com flash.</v>
      </c>
      <c r="B19109" s="3">
        <v>0</v>
      </c>
    </row>
    <row r="19110" ht="15.75" customHeight="1" spans="1:2">
      <c r="A19110" s="3" t="str">
        <f>IFERROR(__xludf.DUMMYFUNCTION("GOOGLETRANSLATE(A19110,""en"",""pt"")"),"Um pouco pesado")</f>
        <v>Um pouco pesado</v>
      </c>
      <c r="B19110" s="3">
        <v>0</v>
      </c>
    </row>
    <row r="19111" ht="15.75" customHeight="1" spans="1:2">
      <c r="A19111" s="3" t="str">
        <f>IFERROR(__xludf.DUMMYFUNCTION("GOOGLETRANSLATE(A19111,""en"",""pt"")"),"Focando problemas usando o Flash - lente zoom de 2x")</f>
        <v>Focando problemas usando o Flash - lente zoom de 2x</v>
      </c>
      <c r="B19111" s="3">
        <v>0</v>
      </c>
    </row>
    <row r="19112" ht="15.75" customHeight="1" spans="1:2">
      <c r="A19112" s="3" t="str">
        <f>IFERROR(__xludf.DUMMYFUNCTION("GOOGLETRANSLATE(A19112,""en"",""pt"")"),"às vezes a velocidade do obturador for lenta")</f>
        <v>às vezes a velocidade do obturador for lenta</v>
      </c>
      <c r="B19112" s="3">
        <v>0</v>
      </c>
    </row>
    <row r="19113" ht="15.75" customHeight="1" spans="1:2">
      <c r="A19113" s="3" t="str">
        <f>IFERROR(__xludf.DUMMYFUNCTION("GOOGLETRANSLATE(A19113,""en"",""pt"")"),"bateria especial")</f>
        <v>bateria especial</v>
      </c>
      <c r="B19113" s="3">
        <v>0</v>
      </c>
    </row>
    <row r="19114" ht="15.75" customHeight="1" spans="1:2">
      <c r="A19114" s="3" t="str">
        <f>IFERROR(__xludf.DUMMYFUNCTION("GOOGLETRANSLATE(A19114,""en"",""pt"")"),"manual do usuário")</f>
        <v>manual do usuário</v>
      </c>
      <c r="B19114" s="3">
        <v>0</v>
      </c>
    </row>
    <row r="19115" ht="15.75" customHeight="1" spans="1:2">
      <c r="A19115" s="3" t="str">
        <f>IFERROR(__xludf.DUMMYFUNCTION("GOOGLETRANSLATE(A19115,""en"",""pt"")"),"Vida útil da bateria é tão, tamanho de cartão de memória flash fornecido.")</f>
        <v>Vida útil da bateria é tão, tamanho de cartão de memória flash fornecido.</v>
      </c>
      <c r="B19115" s="3">
        <v>0</v>
      </c>
    </row>
    <row r="19116" ht="15.75" customHeight="1" spans="1:2">
      <c r="A19116" s="3" t="str">
        <f>IFERROR(__xludf.DUMMYFUNCTION("GOOGLETRANSLATE(A19116,""en"",""pt"")"),"nenhum indicador de bateria.")</f>
        <v>nenhum indicador de bateria.</v>
      </c>
      <c r="B19116" s="3">
        <v>0</v>
      </c>
    </row>
    <row r="19117" ht="15.75" customHeight="1" spans="1:2">
      <c r="A19117" s="3" t="str">
        <f>IFERROR(__xludf.DUMMYFUNCTION("GOOGLETRANSLATE(A19117,""en"",""pt"")"),"ligeira franjas roxo, flash duvidoso, zoom 2X")</f>
        <v>ligeira franjas roxo, flash duvidoso, zoom 2X</v>
      </c>
      <c r="B19117" s="3">
        <v>0</v>
      </c>
    </row>
    <row r="19118" ht="15.75" customHeight="1" spans="1:2">
      <c r="A19118" s="3" t="str">
        <f>IFERROR(__xludf.DUMMYFUNCTION("GOOGLETRANSLATE(A19118,""en"",""pt"")"),"Não vem com uma câmera. Você terá que comprar um cartão de memória separado.")</f>
        <v>Não vem com uma câmera. Você terá que comprar um cartão de memória separado.</v>
      </c>
      <c r="B19118" s="3">
        <v>0</v>
      </c>
    </row>
    <row r="19119" ht="15.75" customHeight="1" spans="1:2">
      <c r="A19119" s="3" t="str">
        <f>IFERROR(__xludf.DUMMYFUNCTION("GOOGLETRANSLATE(A19119,""en"",""pt"")"),"pobre zoom óptico, quando o zoom digital de baixa qualidade")</f>
        <v>pobre zoom óptico, quando o zoom digital de baixa qualidade</v>
      </c>
      <c r="B19119" s="3">
        <v>0</v>
      </c>
    </row>
    <row r="19120" ht="15.75" customHeight="1" spans="1:2">
      <c r="A19120" s="3" t="str">
        <f>IFERROR(__xludf.DUMMYFUNCTION("GOOGLETRANSLATE(A19120,""en"",""pt"")"),"vida útil da bateria")</f>
        <v>vida útil da bateria</v>
      </c>
      <c r="B19120" s="3">
        <v>0</v>
      </c>
    </row>
    <row r="19121" ht="15.75" customHeight="1" spans="1:2">
      <c r="A19121" s="3" t="str">
        <f>IFERROR(__xludf.DUMMYFUNCTION("GOOGLETRANSLATE(A19121,""en"",""pt"")"),"2X zoom óptico, nenhum indicador de status da bateria, tripé inábil colocação")</f>
        <v>2X zoom óptico, nenhum indicador de status da bateria, tripé inábil colocação</v>
      </c>
      <c r="B19121" s="3">
        <v>0</v>
      </c>
    </row>
    <row r="19122" ht="15.75" customHeight="1" spans="1:2">
      <c r="A19122" s="3" t="str">
        <f>IFERROR(__xludf.DUMMYFUNCTION("GOOGLETRANSLATE(A19122,""en"",""pt"")"),"Sem USB 2.0, 2X Zoom")</f>
        <v>Sem USB 2.0, 2X Zoom</v>
      </c>
      <c r="B19122" s="3">
        <v>0</v>
      </c>
    </row>
    <row r="19123" ht="15.75" customHeight="1" spans="1:2">
      <c r="A19123" s="3" t="str">
        <f>IFERROR(__xludf.DUMMYFUNCTION("GOOGLETRANSLATE(A19123,""en"",""pt"")"),"Apenas um zoom óptico de 2X.")</f>
        <v>Apenas um zoom óptico de 2X.</v>
      </c>
      <c r="B19123" s="3">
        <v>0</v>
      </c>
    </row>
    <row r="19124" ht="15.75" customHeight="1" spans="1:2">
      <c r="A19124" s="3" t="str">
        <f>IFERROR(__xludf.DUMMYFUNCTION("GOOGLETRANSLATE(A19124,""en"",""pt"")"),"CF Card-lo enviado com ... BOO")</f>
        <v>CF Card-lo enviado com ... BOO</v>
      </c>
      <c r="B19124" s="3">
        <v>0</v>
      </c>
    </row>
    <row r="19125" ht="15.75" customHeight="1" spans="1:2">
      <c r="A19125" s="3" t="str">
        <f>IFERROR(__xludf.DUMMYFUNCTION("GOOGLETRANSLATE(A19125,""en"",""pt"")"),"Complicados controles avançados.")</f>
        <v>Complicados controles avançados.</v>
      </c>
      <c r="B19125" s="3">
        <v>0</v>
      </c>
    </row>
    <row r="19126" ht="15.75" customHeight="1" spans="1:2">
      <c r="A19126" s="3" t="str">
        <f>IFERROR(__xludf.DUMMYFUNCTION("GOOGLETRANSLATE(A19126,""en"",""pt"")"),"bateria pequena, de olhos vermelhos")</f>
        <v>bateria pequena, de olhos vermelhos</v>
      </c>
      <c r="B19126" s="3">
        <v>0</v>
      </c>
    </row>
    <row r="19127" ht="15.75" customHeight="1" spans="1:2">
      <c r="A19127" s="3" t="str">
        <f>IFERROR(__xludf.DUMMYFUNCTION("GOOGLETRANSLATE(A19127,""en"",""pt"")"),"A vida da bateria parece variar entre o bem eo meramente adequado.")</f>
        <v>A vida da bateria parece variar entre o bem eo meramente adequado.</v>
      </c>
      <c r="B19127" s="3">
        <v>0</v>
      </c>
    </row>
    <row r="19128" ht="15.75" customHeight="1" spans="1:2">
      <c r="A19128" s="3" t="str">
        <f>IFERROR(__xludf.DUMMYFUNCTION("GOOGLETRANSLATE(A19128,""en"",""pt"")"),"Nenhum")</f>
        <v>Nenhum</v>
      </c>
      <c r="B19128" s="3">
        <v>0</v>
      </c>
    </row>
    <row r="19129" ht="15.75" customHeight="1" spans="1:2">
      <c r="A19129" s="3" t="str">
        <f>IFERROR(__xludf.DUMMYFUNCTION("GOOGLETRANSLATE(A19129,""en"",""pt"")"),"bateria proprietária, o atraso do obturador")</f>
        <v>bateria proprietária, o atraso do obturador</v>
      </c>
      <c r="B19129" s="3">
        <v>0</v>
      </c>
    </row>
    <row r="19130" ht="15.75" customHeight="1" spans="1:2">
      <c r="A19130" s="3" t="str">
        <f>IFERROR(__xludf.DUMMYFUNCTION("GOOGLETRANSLATE(A19130,""en"",""pt"")"),"Mina não veio com caso, mas essa é a única reclamação")</f>
        <v>Mina não veio com caso, mas essa é a única reclamação</v>
      </c>
      <c r="B19130" s="3">
        <v>0</v>
      </c>
    </row>
    <row r="19131" ht="15.75" customHeight="1" spans="1:2">
      <c r="A19131" s="3" t="str">
        <f>IFERROR(__xludf.DUMMYFUNCTION("GOOGLETRANSLATE(A19131,""en"",""pt"")"),"tampa da lente é de plástico, Software é confuso")</f>
        <v>tampa da lente é de plástico, Software é confuso</v>
      </c>
      <c r="B19131" s="3">
        <v>0</v>
      </c>
    </row>
    <row r="19132" ht="15.75" customHeight="1" spans="1:2">
      <c r="A19132" s="3" t="str">
        <f>IFERROR(__xludf.DUMMYFUNCTION("GOOGLETRANSLATE(A19132,""en"",""pt"")"),"bateria caro se esgota rápido. Especialmente no tempo frio.")</f>
        <v>bateria caro se esgota rápido. Especialmente no tempo frio.</v>
      </c>
      <c r="B19132" s="3">
        <v>0</v>
      </c>
    </row>
    <row r="19133" ht="15.75" customHeight="1" spans="1:2">
      <c r="A19133" s="3" t="str">
        <f>IFERROR(__xludf.DUMMYFUNCTION("GOOGLETRANSLATE(A19133,""en"",""pt"")"),"Urmmmmm ... Eu vou pensar sobre isso ... O flash.")</f>
        <v>Urmmmmm ... Eu vou pensar sobre isso ... O flash.</v>
      </c>
      <c r="B19133" s="3">
        <v>0</v>
      </c>
    </row>
    <row r="19134" ht="15.75" customHeight="1" spans="1:2">
      <c r="A19134" s="3" t="str">
        <f>IFERROR(__xludf.DUMMYFUNCTION("GOOGLETRANSLATE(A19134,""en"",""pt"")"),"Extremamente fácil de danos, suporte ao cliente Canon é terrível")</f>
        <v>Extremamente fácil de danos, suporte ao cliente Canon é terrível</v>
      </c>
      <c r="B19134" s="3">
        <v>0</v>
      </c>
    </row>
    <row r="19135" ht="15.75" customHeight="1" spans="1:2">
      <c r="A19135" s="3" t="str">
        <f>IFERROR(__xludf.DUMMYFUNCTION("GOOGLETRANSLATE(A19135,""en"",""pt"")"),"a vida da bateria, a tampa da porta borracha frágil")</f>
        <v>a vida da bateria, a tampa da porta borracha frágil</v>
      </c>
      <c r="B19135" s="3">
        <v>0</v>
      </c>
    </row>
    <row r="19136" ht="15.75" customHeight="1" spans="1:2">
      <c r="A19136" s="3" t="str">
        <f>IFERROR(__xludf.DUMMYFUNCTION("GOOGLETRANSLATE(A19136,""en"",""pt"")"),"A vida da bateria, lentos tempos de ciclo de inicialização, sob-powered em flash &amp; amp; # 13; &amp; amp; # 10;")</f>
        <v>A vida da bateria, lentos tempos de ciclo de inicialização, sob-powered em flash &amp; amp; # 13; &amp; amp; # 10;</v>
      </c>
      <c r="B19136" s="3">
        <v>0</v>
      </c>
    </row>
    <row r="19137" ht="15.75" customHeight="1" spans="1:2">
      <c r="A19137" s="3" t="str">
        <f>IFERROR(__xludf.DUMMYFUNCTION("GOOGLETRANSLATE(A19137,""en"",""pt"")"),"precisa de bateria extra, memória.")</f>
        <v>precisa de bateria extra, memória.</v>
      </c>
      <c r="B19137" s="3">
        <v>0</v>
      </c>
    </row>
    <row r="19138" ht="15.75" customHeight="1" spans="1:2">
      <c r="A19138" s="3" t="str">
        <f>IFERROR(__xludf.DUMMYFUNCTION("GOOGLETRANSLATE(A19138,""en"",""pt"")"),", Cartão de memória estoque frágil não é suficiente, curta duração da bateria")</f>
        <v>, Cartão de memória estoque frágil não é suficiente, curta duração da bateria</v>
      </c>
      <c r="B19138" s="3">
        <v>0</v>
      </c>
    </row>
    <row r="19139" ht="15.75" customHeight="1" spans="1:2">
      <c r="A19139" s="3" t="str">
        <f>IFERROR(__xludf.DUMMYFUNCTION("GOOGLETRANSLATE(A19139,""en"",""pt"")"),"Não pequeno o suficiente, as instruções são um pouco complicado")</f>
        <v>Não pequeno o suficiente, as instruções são um pouco complicado</v>
      </c>
      <c r="B19139" s="3">
        <v>0</v>
      </c>
    </row>
    <row r="19140" ht="15.75" customHeight="1" spans="1:2">
      <c r="A19140" s="3" t="str">
        <f>IFERROR(__xludf.DUMMYFUNCTION("GOOGLETRANSLATE(A19140,""en"",""pt"")"),"Zoom Digital um pouco confuso, necessidade de comprar uma bolsa de transporte.")</f>
        <v>Zoom Digital um pouco confuso, necessidade de comprar uma bolsa de transporte.</v>
      </c>
      <c r="B19140" s="3">
        <v>0</v>
      </c>
    </row>
    <row r="19141" ht="15.75" customHeight="1" spans="1:2">
      <c r="A19141" s="3" t="str">
        <f>IFERROR(__xludf.DUMMYFUNCTION("GOOGLETRANSLATE(A19141,""en"",""pt"")"),"A vida da bateria")</f>
        <v>A vida da bateria</v>
      </c>
      <c r="B19141" s="3">
        <v>0</v>
      </c>
    </row>
    <row r="19142" ht="15.75" customHeight="1" spans="1:2">
      <c r="A19142" s="3" t="str">
        <f>IFERROR(__xludf.DUMMYFUNCTION("GOOGLETRANSLATE(A19142,""en"",""pt"")"),"Vida útil da bateria, Lento arranque, redução de olhos vermelhos não é perfeito, Atendimento ao Cliente")</f>
        <v>Vida útil da bateria, Lento arranque, redução de olhos vermelhos não é perfeito, Atendimento ao Cliente</v>
      </c>
      <c r="B19142" s="3">
        <v>0</v>
      </c>
    </row>
    <row r="19143" ht="15.75" customHeight="1" spans="1:2">
      <c r="A19143" s="3" t="str">
        <f>IFERROR(__xludf.DUMMYFUNCTION("GOOGLETRANSLATE(A19143,""en"",""pt"")"),"??")</f>
        <v>??</v>
      </c>
      <c r="B19143" s="3">
        <v>0</v>
      </c>
    </row>
    <row r="19144" ht="15.75" customHeight="1" spans="1:2">
      <c r="A19144" s="3" t="str">
        <f>IFERROR(__xludf.DUMMYFUNCTION("GOOGLETRANSLATE(A19144,""en"",""pt"")"),"não óptico / zoom digital no modo de gravação de filmes, controlador de hard-to-use, morre de bateria facilmente")</f>
        <v>não óptico / zoom digital no modo de gravação de filmes, controlador de hard-to-use, morre de bateria facilmente</v>
      </c>
      <c r="B19144" s="3">
        <v>0</v>
      </c>
    </row>
    <row r="19145" ht="15.75" customHeight="1" spans="1:2">
      <c r="A19145" s="3" t="str">
        <f>IFERROR(__xludf.DUMMYFUNCTION("GOOGLETRANSLATE(A19145,""en"",""pt"")"),"Flash, Sem indicador de bateria, Não Case.")</f>
        <v>Flash, Sem indicador de bateria, Não Case.</v>
      </c>
      <c r="B19145" s="3">
        <v>0</v>
      </c>
    </row>
    <row r="19146" ht="15.75" customHeight="1" spans="1:2">
      <c r="A19146" s="3" t="str">
        <f>IFERROR(__xludf.DUMMYFUNCTION("GOOGLETRANSLATE(A19146,""en"",""pt"")"),"memória embalados muito pequeno (16mb), curta duração da bateria, processo de carregamento inconveniente")</f>
        <v>memória embalados muito pequeno (16mb), curta duração da bateria, processo de carregamento inconveniente</v>
      </c>
      <c r="B19146" s="3">
        <v>0</v>
      </c>
    </row>
    <row r="19147" ht="15.75" customHeight="1" spans="1:2">
      <c r="A19147" s="3" t="str">
        <f>IFERROR(__xludf.DUMMYFUNCTION("GOOGLETRANSLATE(A19147,""en"",""pt"")"),"lente lenta', câmara não pode ser montado como um drive removível no PC do")</f>
        <v>lente lenta', câmara não pode ser montado como um drive removível no PC do</v>
      </c>
      <c r="B19147" s="3">
        <v>0</v>
      </c>
    </row>
    <row r="19148" ht="15.75" customHeight="1" spans="1:2">
      <c r="A19148" s="3" t="str">
        <f>IFERROR(__xludf.DUMMYFUNCTION("GOOGLETRANSLATE(A19148,""en"",""pt"")"),"Caros, algumas pessoas podem achar software confundindo")</f>
        <v>Caros, algumas pessoas podem achar software confundindo</v>
      </c>
      <c r="B19148" s="3">
        <v>0</v>
      </c>
    </row>
    <row r="19149" ht="15.75" customHeight="1" spans="1:2">
      <c r="A19149" s="3" t="str">
        <f>IFERROR(__xludf.DUMMYFUNCTION("GOOGLETRANSLATE(A19149,""en"",""pt"")"),"Vender alguns de memória com a câmera, por favor.")</f>
        <v>Vender alguns de memória com a câmera, por favor.</v>
      </c>
      <c r="B19149" s="3">
        <v>0</v>
      </c>
    </row>
    <row r="19150" ht="15.75" customHeight="1" spans="1:2">
      <c r="A19150" s="3" t="str">
        <f>IFERROR(__xludf.DUMMYFUNCTION("GOOGLETRANSLATE(A19150,""en"",""pt"")"),"software confuso, curta duração da bateria.")</f>
        <v>software confuso, curta duração da bateria.</v>
      </c>
      <c r="B19150" s="3">
        <v>0</v>
      </c>
    </row>
    <row r="19151" ht="15.75" customHeight="1" spans="1:2">
      <c r="A19151" s="3" t="str">
        <f>IFERROR(__xludf.DUMMYFUNCTION("GOOGLETRANSLATE(A19151,""en"",""pt"")"),"Software, a vida da bateria")</f>
        <v>Software, a vida da bateria</v>
      </c>
      <c r="B19151" s="3">
        <v>0</v>
      </c>
    </row>
    <row r="19152" ht="15.75" customHeight="1" spans="1:2">
      <c r="A19152" s="3" t="str">
        <f>IFERROR(__xludf.DUMMYFUNCTION("GOOGLETRANSLATE(A19152,""en"",""pt"")"),"bateria de costume, 16 MB cartão CF")</f>
        <v>bateria de costume, 16 MB cartão CF</v>
      </c>
      <c r="B19152" s="3">
        <v>0</v>
      </c>
    </row>
    <row r="19153" ht="15.75" customHeight="1" spans="1:2">
      <c r="A19153" s="3" t="str">
        <f>IFERROR(__xludf.DUMMYFUNCTION("GOOGLETRANSLATE(A19153,""en"",""pt"")"),"Um pouco pesado, o controle roqueiro é difícil de uso")</f>
        <v>Um pouco pesado, o controle roqueiro é difícil de uso</v>
      </c>
      <c r="B19153" s="3">
        <v>0</v>
      </c>
    </row>
    <row r="19154" ht="15.75" customHeight="1" spans="1:2">
      <c r="A19154" s="3" t="str">
        <f>IFERROR(__xludf.DUMMYFUNCTION("GOOGLETRANSLATE(A19154,""en"",""pt"")"),"Ligeiramente volumosos, tampa da lente de slides, a vida da bateria, controles ímpares")</f>
        <v>Ligeiramente volumosos, tampa da lente de slides, a vida da bateria, controles ímpares</v>
      </c>
      <c r="B19154" s="3">
        <v>0</v>
      </c>
    </row>
    <row r="19155" ht="15.75" customHeight="1" spans="1:2">
      <c r="A19155" s="3" t="str">
        <f>IFERROR(__xludf.DUMMYFUNCTION("GOOGLETRANSLATE(A19155,""en"",""pt"")"),"Flash é um pouco fraco.")</f>
        <v>Flash é um pouco fraco.</v>
      </c>
      <c r="B19155" s="3">
        <v>0</v>
      </c>
    </row>
    <row r="19156" ht="15.75" customHeight="1" spans="1:2">
      <c r="A19156" s="3" t="str">
        <f>IFERROR(__xludf.DUMMYFUNCTION("GOOGLETRANSLATE(A19156,""en"",""pt"")"),"TONELADAS de recursos ... pode ser uma assustadora pouco às vezes")</f>
        <v>TONELADAS de recursos ... pode ser uma assustadora pouco às vezes</v>
      </c>
      <c r="B19156" s="3">
        <v>0</v>
      </c>
    </row>
    <row r="19157" ht="15.75" customHeight="1" spans="1:2">
      <c r="A19157" s="3" t="str">
        <f>IFERROR(__xludf.DUMMYFUNCTION("GOOGLETRANSLATE(A19157,""en"",""pt"")"),"Flash medíocre, sem sapata de flash, nenhum medidor de bateria, baterias proprietárias.")</f>
        <v>Flash medíocre, sem sapata de flash, nenhum medidor de bateria, baterias proprietárias.</v>
      </c>
      <c r="B19157" s="3">
        <v>0</v>
      </c>
    </row>
    <row r="19158" ht="15.75" customHeight="1" spans="1:2">
      <c r="A19158" s="3" t="str">
        <f>IFERROR(__xludf.DUMMYFUNCTION("GOOGLETRANSLATE(A19158,""en"",""pt"")"),"Os botões são muito sensíveis à humidade, pulverização, etc.")</f>
        <v>Os botões são muito sensíveis à humidade, pulverização, etc.</v>
      </c>
      <c r="B19158" s="3">
        <v>0</v>
      </c>
    </row>
    <row r="19159" ht="15.75" customHeight="1" spans="1:2">
      <c r="A19159" s="3" t="str">
        <f>IFERROR(__xludf.DUMMYFUNCTION("GOOGLETRANSLATE(A19159,""en"",""pt"")"),"funcionalidade menor, sem medidor de bateria")</f>
        <v>funcionalidade menor, sem medidor de bateria</v>
      </c>
      <c r="B19159" s="3">
        <v>0</v>
      </c>
    </row>
    <row r="19160" ht="15.75" customHeight="1" spans="1:2">
      <c r="A19160" s="3" t="str">
        <f>IFERROR(__xludf.DUMMYFUNCTION("GOOGLETRANSLATE(A19160,""en"",""pt"")"),"Peculiar piscar efeito.")</f>
        <v>Peculiar piscar efeito.</v>
      </c>
      <c r="B19160" s="3">
        <v>0</v>
      </c>
    </row>
    <row r="19161" ht="15.75" customHeight="1" spans="1:2">
      <c r="A19161" s="3" t="str">
        <f>IFERROR(__xludf.DUMMYFUNCTION("GOOGLETRANSLATE(A19161,""en"",""pt"")"),"Um pouco pesado, cobrir frente um pouco, nenhum indicador de bateria ""fraco""")</f>
        <v>Um pouco pesado, cobrir frente um pouco, nenhum indicador de bateria "fraco"</v>
      </c>
      <c r="B19161" s="3">
        <v>0</v>
      </c>
    </row>
    <row r="19162" ht="15.75" customHeight="1" spans="1:2">
      <c r="A19162" s="3" t="str">
        <f>IFERROR(__xludf.DUMMYFUNCTION("GOOGLETRANSLATE(A19162,""en"",""pt"")"),"controle é um pouco estranho, vida útil da bateria não é muito longo")</f>
        <v>controle é um pouco estranho, vida útil da bateria não é muito longo</v>
      </c>
      <c r="B19162" s="3">
        <v>0</v>
      </c>
    </row>
    <row r="19163" ht="15.75" customHeight="1" spans="1:2">
      <c r="A19163" s="3" t="str">
        <f>IFERROR(__xludf.DUMMYFUNCTION("GOOGLETRANSLATE(A19163,""en"",""pt"")"),"o Flash")</f>
        <v>o Flash</v>
      </c>
      <c r="B19163" s="3">
        <v>0</v>
      </c>
    </row>
    <row r="19164" ht="15.75" customHeight="1" spans="1:2">
      <c r="A19164" s="3" t="str">
        <f>IFERROR(__xludf.DUMMYFUNCTION("GOOGLETRANSLATE(A19164,""en"",""pt"")"),"Nenhum")</f>
        <v>Nenhum</v>
      </c>
      <c r="B19164" s="3">
        <v>0</v>
      </c>
    </row>
    <row r="19165" ht="15.75" customHeight="1" spans="1:2">
      <c r="A19165" s="3" t="str">
        <f>IFERROR(__xludf.DUMMYFUNCTION("GOOGLETRANSLATE(A19165,""en"",""pt"")"),"Pouco sobre o lado pesado. Maior do que eu preferiria.")</f>
        <v>Pouco sobre o lado pesado. Maior do que eu preferiria.</v>
      </c>
      <c r="B19165" s="3">
        <v>0</v>
      </c>
    </row>
    <row r="19166" ht="15.75" customHeight="1" spans="1:2">
      <c r="A19166" s="3" t="str">
        <f>IFERROR(__xludf.DUMMYFUNCTION("GOOGLETRANSLATE(A19166,""en"",""pt"")"),"RAW formatar uma dor. O foco manual complicado. Software precisa ser melhorado. Sem disparador remoto.")</f>
        <v>RAW formatar uma dor. O foco manual complicado. Software precisa ser melhorado. Sem disparador remoto.</v>
      </c>
      <c r="B19166" s="3">
        <v>0</v>
      </c>
    </row>
    <row r="19167" ht="15.75" customHeight="1" spans="1:2">
      <c r="A19167" s="3" t="str">
        <f>IFERROR(__xludf.DUMMYFUNCTION("GOOGLETRANSLATE(A19167,""en"",""pt"")"),"Deve aprender todas as opções! Muitos! Obter bateria extra!")</f>
        <v>Deve aprender todas as opções! Muitos! Obter bateria extra!</v>
      </c>
      <c r="B19167" s="3">
        <v>0</v>
      </c>
    </row>
    <row r="19168" ht="15.75" customHeight="1" spans="1:2">
      <c r="A19168" s="3" t="str">
        <f>IFERROR(__xludf.DUMMYFUNCTION("GOOGLETRANSLATE(A19168,""en"",""pt"")"),"inúteis pequeno cartão CF incluído, o tempo de acesso mais lento com maior cartão")</f>
        <v>inúteis pequeno cartão CF incluído, o tempo de acesso mais lento com maior cartão</v>
      </c>
      <c r="B19168" s="3">
        <v>0</v>
      </c>
    </row>
    <row r="19169" ht="15.75" customHeight="1" spans="1:2">
      <c r="A19169" s="3" t="str">
        <f>IFERROR(__xludf.DUMMYFUNCTION("GOOGLETRANSLATE(A19169,""en"",""pt"")"),"Eu aviso você.")</f>
        <v>Eu aviso você.</v>
      </c>
      <c r="B19169" s="3">
        <v>0</v>
      </c>
    </row>
    <row r="19170" ht="15.75" customHeight="1" spans="1:2">
      <c r="A19170" s="3" t="str">
        <f>IFERROR(__xludf.DUMMYFUNCTION("GOOGLETRANSLATE(A19170,""en"",""pt"")"),"16MB de memória Compact Flash inadequada para a câmera!")</f>
        <v>16MB de memória Compact Flash inadequada para a câmera!</v>
      </c>
      <c r="B19170" s="3">
        <v>0</v>
      </c>
    </row>
    <row r="19171" ht="15.75" customHeight="1" spans="1:2">
      <c r="A19171" s="3" t="str">
        <f>IFERROR(__xludf.DUMMYFUNCTION("GOOGLETRANSLATE(A19171,""en"",""pt"")"),"Nenhuma cobertura para o ecrã LCD, ZOOM")</f>
        <v>Nenhuma cobertura para o ecrã LCD, ZOOM</v>
      </c>
      <c r="B19171" s="3">
        <v>0</v>
      </c>
    </row>
    <row r="19172" ht="15.75" customHeight="1" spans="1:2">
      <c r="A19172" s="3" t="str">
        <f>IFERROR(__xludf.DUMMYFUNCTION("GOOGLETRANSLATE(A19172,""en"",""pt"")"),"Ele se aquece quando é utilizado durante 20 minutos. Pobre vida &amp; amp bateria; modo noturno cena")</f>
        <v>Ele se aquece quando é utilizado durante 20 minutos. Pobre vida &amp; amp bateria; modo noturno cena</v>
      </c>
      <c r="B19172" s="3">
        <v>0</v>
      </c>
    </row>
    <row r="19173" ht="15.75" customHeight="1" spans="1:2">
      <c r="A19173" s="3" t="str">
        <f>IFERROR(__xludf.DUMMYFUNCTION("GOOGLETRANSLATE(A19173,""en"",""pt"")"),"lente de poeira dentro. distorção de barril.")</f>
        <v>lente de poeira dentro. distorção de barril.</v>
      </c>
      <c r="B19173" s="3">
        <v>0</v>
      </c>
    </row>
    <row r="19174" ht="15.75" customHeight="1" spans="1:2">
      <c r="A19174" s="3" t="str">
        <f>IFERROR(__xludf.DUMMYFUNCTION("GOOGLETRANSLATE(A19174,""en"",""pt"")"),"Não foi possível imprimir A DATA E HORA ON PHOTO QUANDO descarregado no PC.")</f>
        <v>Não foi possível imprimir A DATA E HORA ON PHOTO QUANDO descarregado no PC.</v>
      </c>
      <c r="B19174" s="3">
        <v>0</v>
      </c>
    </row>
    <row r="19175" ht="15.75" customHeight="1" spans="1:2">
      <c r="A19175" s="3" t="str">
        <f>IFERROR(__xludf.DUMMYFUNCTION("GOOGLETRANSLATE(A19175,""en"",""pt"")"),"Primavera do compartimento da bateria é um projeto barato. Flash é apenas OK. A vida da bateria é horrível!")</f>
        <v>Primavera do compartimento da bateria é um projeto barato. Flash é apenas OK. A vida da bateria é horrível!</v>
      </c>
      <c r="B19175" s="3">
        <v>0</v>
      </c>
    </row>
    <row r="19176" ht="15.75" customHeight="1" spans="1:2">
      <c r="A19176" s="3" t="str">
        <f>IFERROR(__xludf.DUMMYFUNCTION("GOOGLETRANSLATE(A19176,""en"",""pt"")"),"Má qualidade de imagem, muito pobre manuais, software muito difícil")</f>
        <v>Má qualidade de imagem, muito pobre manuais, software muito difícil</v>
      </c>
      <c r="B19176" s="3">
        <v>0</v>
      </c>
    </row>
    <row r="19177" ht="15.75" customHeight="1" spans="1:2">
      <c r="A19177" s="3" t="str">
        <f>IFERROR(__xludf.DUMMYFUNCTION("GOOGLETRANSLATE(A19177,""en"",""pt"")"),"não faz bem em close-ups - muitas vezes desfocadas, flash é muito brilhante, sem luz de preenchimento")</f>
        <v>não faz bem em close-ups - muitas vezes desfocadas, flash é muito brilhante, sem luz de preenchimento</v>
      </c>
      <c r="B19177" s="3">
        <v>0</v>
      </c>
    </row>
    <row r="19178" ht="15.75" customHeight="1" spans="1:2">
      <c r="A19178" s="3" t="str">
        <f>IFERROR(__xludf.DUMMYFUNCTION("GOOGLETRANSLATE(A19178,""en"",""pt"")"),"Nada de ruim pode ser dito sobre esta câmera")</f>
        <v>Nada de ruim pode ser dito sobre esta câmera</v>
      </c>
      <c r="B19178" s="3">
        <v>0</v>
      </c>
    </row>
    <row r="19179" ht="15.75" customHeight="1" spans="1:2">
      <c r="A19179" s="3" t="str">
        <f>IFERROR(__xludf.DUMMYFUNCTION("GOOGLETRANSLATE(A19179,""en"",""pt"")"),"Visor arranhões facilmente, vem com apenas uma 16mb flash card")</f>
        <v>Visor arranhões facilmente, vem com apenas uma 16mb flash card</v>
      </c>
      <c r="B19179" s="3">
        <v>0</v>
      </c>
    </row>
    <row r="19180" ht="15.75" customHeight="1" spans="1:2">
      <c r="A19180" s="3" t="str">
        <f>IFERROR(__xludf.DUMMYFUNCTION("GOOGLETRANSLATE(A19180,""en"",""pt"")"),"Não vem com um caso. cartão de memória flash de 16MB permite apenas 20 fotos.")</f>
        <v>Não vem com um caso. cartão de memória flash de 16MB permite apenas 20 fotos.</v>
      </c>
      <c r="B19180" s="3">
        <v>0</v>
      </c>
    </row>
    <row r="19181" ht="15.75" customHeight="1" spans="1:2">
      <c r="A19181" s="3" t="str">
        <f>IFERROR(__xludf.DUMMYFUNCTION("GOOGLETRANSLATE(A19181,""en"",""pt"")"),"Não é bem pequeno o suficiente para o seu bolso, a vida média da bateria")</f>
        <v>Não é bem pequeno o suficiente para o seu bolso, a vida média da bateria</v>
      </c>
      <c r="B19181" s="3">
        <v>0</v>
      </c>
    </row>
    <row r="19182" ht="15.75" customHeight="1" spans="1:2">
      <c r="A19182" s="3" t="str">
        <f>IFERROR(__xludf.DUMMYFUNCTION("GOOGLETRANSLATE(A19182,""en"",""pt"")"),"A vida da bateria é curta, sem flash externo")</f>
        <v>A vida da bateria é curta, sem flash externo</v>
      </c>
      <c r="B19182" s="3">
        <v>0</v>
      </c>
    </row>
    <row r="19183" ht="15.75" customHeight="1" spans="1:2">
      <c r="A19183" s="3" t="str">
        <f>IFERROR(__xludf.DUMMYFUNCTION("GOOGLETRANSLATE(A19183,""en"",""pt"")"),"Não é o mais mega pixels no mercado, cartões CF caro")</f>
        <v>Não é o mais mega pixels no mercado, cartões CF caro</v>
      </c>
      <c r="B19183" s="3">
        <v>0</v>
      </c>
    </row>
    <row r="19184" ht="15.75" customHeight="1" spans="1:2">
      <c r="A19184" s="3" t="str">
        <f>IFERROR(__xludf.DUMMYFUNCTION("GOOGLETRANSLATE(A19184,""en"",""pt"")"),"Que não faz jus estroboscópicas imagens, tonalidades de cor com iluminação interna devido a auto função de equilíbrio de brancos pobres")</f>
        <v>Que não faz jus estroboscópicas imagens, tonalidades de cor com iluminação interna devido a auto função de equilíbrio de brancos pobres</v>
      </c>
      <c r="B19184" s="3">
        <v>0</v>
      </c>
    </row>
    <row r="19185" ht="15.75" customHeight="1" spans="1:2">
      <c r="A19185" s="3" t="str">
        <f>IFERROR(__xludf.DUMMYFUNCTION("GOOGLETRANSLATE(A19185,""en"",""pt"")"),"Frágil mecanismo de deslizamento, foco manual é uma dor.")</f>
        <v>Frágil mecanismo de deslizamento, foco manual é uma dor.</v>
      </c>
      <c r="B19185" s="3">
        <v>0</v>
      </c>
    </row>
    <row r="19186" ht="15.75" customHeight="1" spans="1:2">
      <c r="A19186" s="3" t="str">
        <f>IFERROR(__xludf.DUMMYFUNCTION("GOOGLETRANSLATE(A19186,""en"",""pt"")"),"Caro, só vem com flash de 8 MB, nenhum caso ou adaptador AC")</f>
        <v>Caro, só vem com flash de 8 MB, nenhum caso ou adaptador AC</v>
      </c>
      <c r="B19186" s="3">
        <v>0</v>
      </c>
    </row>
    <row r="19187" ht="15.75" customHeight="1" spans="1:2">
      <c r="A19187" s="3" t="str">
        <f>IFERROR(__xludf.DUMMYFUNCTION("GOOGLETRANSLATE(A19187,""en"",""pt"")"),"adaptador AC não é fornecido. &amp; Amp; # 13; &amp; amp; # 10; preço")</f>
        <v>adaptador AC não é fornecido. &amp; Amp; # 13; &amp; amp; # 10; preço</v>
      </c>
      <c r="B19187" s="3">
        <v>0</v>
      </c>
    </row>
    <row r="19188" ht="15.75" customHeight="1" spans="1:2">
      <c r="A19188" s="3" t="str">
        <f>IFERROR(__xludf.DUMMYFUNCTION("GOOGLETRANSLATE(A19188,""en"",""pt"")"),"Adaptador AC não incluído, gama limitada de flash, sem lentes ou flashes externos")</f>
        <v>Adaptador AC não incluído, gama limitada de flash, sem lentes ou flashes externos</v>
      </c>
      <c r="B19188" s="3">
        <v>0</v>
      </c>
    </row>
    <row r="19189" ht="15.75" customHeight="1" spans="1:2">
      <c r="A19189" s="3" t="str">
        <f>IFERROR(__xludf.DUMMYFUNCTION("GOOGLETRANSLATE(A19189,""en"",""pt"")"),"Não Tipo II Compact Suporte Flash, muito limitado o uso de luz artificial e baixo")</f>
        <v>Não Tipo II Compact Suporte Flash, muito limitado o uso de luz artificial e baixo</v>
      </c>
      <c r="B19189" s="3">
        <v>0</v>
      </c>
    </row>
    <row r="19190" ht="15.75" customHeight="1" spans="1:2">
      <c r="A19190" s="3" t="str">
        <f>IFERROR(__xludf.DUMMYFUNCTION("GOOGLETRANSLATE(A19190,""en"",""pt"")"),"Sob potência de flash")</f>
        <v>Sob potência de flash</v>
      </c>
      <c r="B19190" s="3">
        <v>0</v>
      </c>
    </row>
    <row r="19191" ht="15.75" customHeight="1" spans="1:2">
      <c r="A19191" s="3" t="str">
        <f>IFERROR(__xludf.DUMMYFUNCTION("GOOGLETRANSLATE(A19191,""en"",""pt"")"),"Sob potência de flash")</f>
        <v>Sob potência de flash</v>
      </c>
      <c r="B19191" s="3">
        <v>0</v>
      </c>
    </row>
    <row r="19192" ht="15.75" customHeight="1" spans="1:2">
      <c r="A19192" s="3" t="str">
        <f>IFERROR(__xludf.DUMMYFUNCTION("GOOGLETRANSLATE(A19192,""en"",""pt"")"),"deve ser amigável de alta tecnologia")</f>
        <v>deve ser amigável de alta tecnologia</v>
      </c>
      <c r="B19192" s="3">
        <v>0</v>
      </c>
    </row>
    <row r="19193" ht="15.75" customHeight="1" spans="1:2">
      <c r="A19193" s="3" t="str">
        <f>IFERROR(__xludf.DUMMYFUNCTION("GOOGLETRANSLATE(A19193,""en"",""pt"")"),"A focagem automática não é sempre no alvo, de AVI são bons, mas você realmente precisa deles?")</f>
        <v>A focagem automática não é sempre no alvo, de AVI são bons, mas você realmente precisa deles?</v>
      </c>
      <c r="B19193" s="3">
        <v>0</v>
      </c>
    </row>
    <row r="19194" ht="15.75" customHeight="1" spans="1:2">
      <c r="A19194" s="3" t="str">
        <f>IFERROR(__xludf.DUMMYFUNCTION("GOOGLETRANSLATE(A19194,""en"",""pt"")"),"fotos, por vezes, confuso. Não o maior de flash")</f>
        <v>fotos, por vezes, confuso. Não o maior de flash</v>
      </c>
      <c r="B19194" s="3">
        <v>0</v>
      </c>
    </row>
    <row r="19195" ht="15.75" customHeight="1" spans="1:2">
      <c r="A19195" s="3" t="str">
        <f>IFERROR(__xludf.DUMMYFUNCTION("GOOGLETRANSLATE(A19195,""en"",""pt"")"),"Flash fraco, fraco macro &amp; amp; preço")</f>
        <v>Flash fraco, fraco macro &amp; amp; preço</v>
      </c>
      <c r="B19195" s="3">
        <v>0</v>
      </c>
    </row>
    <row r="19196" ht="15.75" customHeight="1" spans="1:2">
      <c r="A19196" s="3" t="str">
        <f>IFERROR(__xludf.DUMMYFUNCTION("GOOGLETRANSLATE(A19196,""en"",""pt"")"),"Maior do que o S110. preço relativamente elevado.")</f>
        <v>Maior do que o S110. preço relativamente elevado.</v>
      </c>
      <c r="B19196" s="3">
        <v>0</v>
      </c>
    </row>
    <row r="19197" ht="15.75" customHeight="1" spans="1:2">
      <c r="A19197" s="3" t="str">
        <f>IFERROR(__xludf.DUMMYFUNCTION("GOOGLETRANSLATE(A19197,""en"",""pt"")"),"Bateria de propriedade; Visor imprecisa; Memória 8MB")</f>
        <v>Bateria de propriedade; Visor imprecisa; Memória 8MB</v>
      </c>
      <c r="B19197" s="3">
        <v>0</v>
      </c>
    </row>
    <row r="19198" ht="15.75" customHeight="1" spans="1:2">
      <c r="A19198" s="3" t="str">
        <f>IFERROR(__xludf.DUMMYFUNCTION("GOOGLETRANSLATE(A19198,""en"",""pt"")"),"visor imprecisas, vem com apenas cartão de 8Mb CF, usando lcd realmente drena a bateria, PREÇO")</f>
        <v>visor imprecisas, vem com apenas cartão de 8Mb CF, usando lcd realmente drena a bateria, PREÇO</v>
      </c>
      <c r="B19198" s="3">
        <v>0</v>
      </c>
    </row>
    <row r="19199" ht="15.75" customHeight="1" spans="1:2">
      <c r="A19199" s="3" t="str">
        <f>IFERROR(__xludf.DUMMYFUNCTION("GOOGLETRANSLATE(A19199,""en"",""pt"")"),"CompactFlash incompatibilidade, download de software pobres, configurações esquece, interruptor difícil ""selecione""")</f>
        <v>CompactFlash incompatibilidade, download de software pobres, configurações esquece, interruptor difícil "selecione"</v>
      </c>
      <c r="B19199" s="3">
        <v>0</v>
      </c>
    </row>
    <row r="19200" ht="15.75" customHeight="1" spans="1:2">
      <c r="A19200" s="3" t="str">
        <f>IFERROR(__xludf.DUMMYFUNCTION("GOOGLETRANSLATE(A19200,""en"",""pt"")"),"reação lenta do obturador no modo automático. modo de filme inútil com pouca luz. Baterias chupar (literalmente)")</f>
        <v>reação lenta do obturador no modo automático. modo de filme inútil com pouca luz. Baterias chupar (literalmente)</v>
      </c>
      <c r="B19200" s="3">
        <v>0</v>
      </c>
    </row>
    <row r="19201" ht="15.75" customHeight="1" spans="1:2">
      <c r="A19201" s="3" t="str">
        <f>IFERROR(__xludf.DUMMYFUNCTION("GOOGLETRANSLATE(A19201,""en"",""pt"")"),"Poeira entra na ocular e escuro luz auxiliar.")</f>
        <v>Poeira entra na ocular e escuro luz auxiliar.</v>
      </c>
      <c r="B19201" s="3">
        <v>0</v>
      </c>
    </row>
    <row r="19202" ht="15.75" customHeight="1" spans="1:2">
      <c r="A19202" s="3" t="str">
        <f>IFERROR(__xludf.DUMMYFUNCTION("GOOGLETRANSLATE(A19202,""en"",""pt"")"),"Difícil manter estável em 3 zoom X; redução de olhos vermelhos funciona mal.")</f>
        <v>Difícil manter estável em 3 zoom X; redução de olhos vermelhos funciona mal.</v>
      </c>
      <c r="B19202" s="3">
        <v>0</v>
      </c>
    </row>
    <row r="19203" ht="15.75" customHeight="1" spans="1:2">
      <c r="A19203" s="3" t="str">
        <f>IFERROR(__xludf.DUMMYFUNCTION("GOOGLETRANSLATE(A19203,""en"",""pt"")"),"Necessidade de tratar com delicadeza, um pouco longo atraso quando tirando uma foto")</f>
        <v>Necessidade de tratar com delicadeza, um pouco longo atraso quando tirando uma foto</v>
      </c>
      <c r="B19203" s="3">
        <v>0</v>
      </c>
    </row>
    <row r="19204" ht="15.75" customHeight="1" spans="1:2">
      <c r="A19204" s="3" t="str">
        <f>IFERROR(__xludf.DUMMYFUNCTION("GOOGLETRANSLATE(A19204,""en"",""pt"")"),"Um pouco pesado, a vida curta da bateria")</f>
        <v>Um pouco pesado, a vida curta da bateria</v>
      </c>
      <c r="B19204" s="3">
        <v>0</v>
      </c>
    </row>
    <row r="19205" ht="15.75" customHeight="1" spans="1:2">
      <c r="A19205" s="3" t="str">
        <f>IFERROR(__xludf.DUMMYFUNCTION("GOOGLETRANSLATE(A19205,""en"",""pt"")"),"Caro, há opções manuais e pobre capacidade macro &amp; amp;. # 13; &amp; amp; # 10;")</f>
        <v>Caro, há opções manuais e pobre capacidade macro &amp; amp;. # 13; &amp; amp; # 10;</v>
      </c>
      <c r="B19205" s="3">
        <v>0</v>
      </c>
    </row>
    <row r="19206" ht="15.75" customHeight="1" spans="1:2">
      <c r="A19206" s="3" t="str">
        <f>IFERROR(__xludf.DUMMYFUNCTION("GOOGLETRANSLATE(A19206,""en"",""pt"")"),"baterias padrão são um pouco curto na vida.")</f>
        <v>baterias padrão são um pouco curto na vida.</v>
      </c>
      <c r="B19206" s="3">
        <v>0</v>
      </c>
    </row>
    <row r="19207" ht="15.75" customHeight="1" spans="1:2">
      <c r="A19207" s="3" t="str">
        <f>IFERROR(__xludf.DUMMYFUNCTION("GOOGLETRANSLATE(A19207,""en"",""pt"")"),"2 megapixels de resolução")</f>
        <v>2 megapixels de resolução</v>
      </c>
      <c r="B19207" s="3">
        <v>0</v>
      </c>
    </row>
    <row r="19208" ht="15.75" customHeight="1" spans="1:2">
      <c r="A19208" s="3" t="str">
        <f>IFERROR(__xludf.DUMMYFUNCTION("GOOGLETRANSLATE(A19208,""en"",""pt"")"),"Caro para uma câmera de 2 megapixels, há controles manuais")</f>
        <v>Caro para uma câmera de 2 megapixels, há controles manuais</v>
      </c>
      <c r="B19208" s="3">
        <v>0</v>
      </c>
    </row>
    <row r="19209" ht="15.75" customHeight="1" spans="1:2">
      <c r="A19209" s="3" t="str">
        <f>IFERROR(__xludf.DUMMYFUNCTION("GOOGLETRANSLATE(A19209,""en"",""pt"")"),"Falta de funções manuais, flash potência média, apenas 8 MB CF Card, preço")</f>
        <v>Falta de funções manuais, flash potência média, apenas 8 MB CF Card, preço</v>
      </c>
      <c r="B19209" s="3">
        <v>0</v>
      </c>
    </row>
    <row r="19210" ht="15.75" customHeight="1" spans="1:2">
      <c r="A19210" s="3" t="str">
        <f>IFERROR(__xludf.DUMMYFUNCTION("GOOGLETRANSLATE(A19210,""en"",""pt"")"),"Caro, a vida da bateria")</f>
        <v>Caro, a vida da bateria</v>
      </c>
      <c r="B19210" s="3">
        <v>0</v>
      </c>
    </row>
    <row r="19211" ht="15.75" customHeight="1" spans="1:2">
      <c r="A19211" s="3" t="str">
        <f>IFERROR(__xludf.DUMMYFUNCTION("GOOGLETRANSLATE(A19211,""en"",""pt"")"),"tipo de bateria especial, carregador externo, flash é fraco")</f>
        <v>tipo de bateria especial, carregador externo, flash é fraco</v>
      </c>
      <c r="B19211" s="3">
        <v>0</v>
      </c>
    </row>
    <row r="19212" ht="15.75" customHeight="1" spans="1:2">
      <c r="A19212" s="3" t="str">
        <f>IFERROR(__xludf.DUMMYFUNCTION("GOOGLETRANSLATE(A19212,""en"",""pt"")"),"Flash fraco, fraco macro &amp; amp; preço")</f>
        <v>Flash fraco, fraco macro &amp; amp; preço</v>
      </c>
      <c r="B19212" s="3">
        <v>0</v>
      </c>
    </row>
    <row r="19213" ht="15.75" customHeight="1" spans="1:2">
      <c r="A19213" s="3" t="str">
        <f>IFERROR(__xludf.DUMMYFUNCTION("GOOGLETRANSLATE(A19213,""en"",""pt"")"),"Preço, fraca capacidade macro, nenhum áudio em reprodução de vídeo (na câmera apenas)")</f>
        <v>Preço, fraca capacidade macro, nenhum áudio em reprodução de vídeo (na câmera apenas)</v>
      </c>
      <c r="B19213" s="3">
        <v>0</v>
      </c>
    </row>
    <row r="19214" ht="15.75" customHeight="1" spans="1:2">
      <c r="A19214" s="3" t="str">
        <f>IFERROR(__xludf.DUMMYFUNCTION("GOOGLETRANSLATE(A19214,""en"",""pt"")"),"Os clipes de vídeo são 6 segundos no ajuste mais alto, olhos vermelhos nem sempre eficaz")</f>
        <v>Os clipes de vídeo são 6 segundos no ajuste mais alto, olhos vermelhos nem sempre eficaz</v>
      </c>
      <c r="B19214" s="3">
        <v>0</v>
      </c>
    </row>
    <row r="19215" ht="15.75" customHeight="1" spans="1:2">
      <c r="A19215" s="3" t="str">
        <f>IFERROR(__xludf.DUMMYFUNCTION("GOOGLETRANSLATE(A19215,""en"",""pt"")"),"caros, 2.1 megapixels")</f>
        <v>caros, 2.1 megapixels</v>
      </c>
      <c r="B19215" s="3">
        <v>0</v>
      </c>
    </row>
    <row r="19216" ht="15.75" customHeight="1" spans="1:2">
      <c r="A19216" s="3" t="str">
        <f>IFERROR(__xludf.DUMMYFUNCTION("GOOGLETRANSLATE(A19216,""en"",""pt"")"),"Nenhum")</f>
        <v>Nenhum</v>
      </c>
      <c r="B19216" s="3">
        <v>0</v>
      </c>
    </row>
    <row r="19217" ht="15.75" customHeight="1" spans="1:2">
      <c r="A19217" s="3" t="str">
        <f>IFERROR(__xludf.DUMMYFUNCTION("GOOGLETRANSLATE(A19217,""en"",""pt"")"),"vida caro, bateria um pouco curto, piscar um pouco fracas, apenas 2,1 mega pixels")</f>
        <v>vida caro, bateria um pouco curto, piscar um pouco fracas, apenas 2,1 mega pixels</v>
      </c>
      <c r="B19217" s="3">
        <v>0</v>
      </c>
    </row>
    <row r="19218" ht="15.75" customHeight="1" spans="1:2">
      <c r="A19218" s="3" t="str">
        <f>IFERROR(__xludf.DUMMYFUNCTION("GOOGLETRANSLATE(A19218,""en"",""pt"")"),"preço, 8 MB CF cartão, não AC incluído adaptador, flash fraco, ISO 100 exposição única")</f>
        <v>preço, 8 MB CF cartão, não AC incluído adaptador, flash fraco, ISO 100 exposição única</v>
      </c>
      <c r="B19218" s="3">
        <v>0</v>
      </c>
    </row>
    <row r="19219" ht="15.75" customHeight="1" spans="1:2">
      <c r="A19219" s="3" t="str">
        <f>IFERROR(__xludf.DUMMYFUNCTION("GOOGLETRANSLATE(A19219,""en"",""pt"")"),"um pouco alto preço, a bateria não dura tanto tempo quanto o citado")</f>
        <v>um pouco alto preço, a bateria não dura tanto tempo quanto o citado</v>
      </c>
      <c r="B19219" s="3">
        <v>0</v>
      </c>
    </row>
    <row r="19220" ht="15.75" customHeight="1" spans="1:2">
      <c r="A19220" s="3" t="str">
        <f>IFERROR(__xludf.DUMMYFUNCTION("GOOGLETRANSLATE(A19220,""en"",""pt"")"),"Você paga para o tamanho.")</f>
        <v>Você paga para o tamanho.</v>
      </c>
      <c r="B19220" s="3">
        <v>0</v>
      </c>
    </row>
    <row r="19221" ht="15.75" customHeight="1" spans="1:2">
      <c r="A19221" s="3" t="str">
        <f>IFERROR(__xludf.DUMMYFUNCTION("GOOGLETRANSLATE(A19221,""en"",""pt"")"),"2.1 megapixels, Custo, a falta de peças opcionais.")</f>
        <v>2.1 megapixels, Custo, a falta de peças opcionais.</v>
      </c>
      <c r="B19221" s="3">
        <v>0</v>
      </c>
    </row>
    <row r="19222" ht="15.75" customHeight="1" spans="1:2">
      <c r="A19222" s="3" t="str">
        <f>IFERROR(__xludf.DUMMYFUNCTION("GOOGLETRANSLATE(A19222,""en"",""pt"")"),"baixa velocidade do obturador, a vida da bateria")</f>
        <v>baixa velocidade do obturador, a vida da bateria</v>
      </c>
      <c r="B19222" s="3">
        <v>0</v>
      </c>
    </row>
    <row r="19223" ht="15.75" customHeight="1" spans="1:2">
      <c r="A19223" s="3" t="str">
        <f>IFERROR(__xludf.DUMMYFUNCTION("GOOGLETRANSLATE(A19223,""en"",""pt"")"),"só vem com cartão de 8MB CF, tem que ter um maior")</f>
        <v>só vem com cartão de 8MB CF, tem que ter um maior</v>
      </c>
      <c r="B19223" s="3">
        <v>0</v>
      </c>
    </row>
    <row r="19224" ht="15.75" customHeight="1" spans="1:2">
      <c r="A19224" s="3" t="str">
        <f>IFERROR(__xludf.DUMMYFUNCTION("GOOGLETRANSLATE(A19224,""en"",""pt"")"),"Maior do que S200, flash fraco, curta duração da bateria, outras querelas menores.")</f>
        <v>Maior do que S200, flash fraco, curta duração da bateria, outras querelas menores.</v>
      </c>
      <c r="B19224" s="3">
        <v>0</v>
      </c>
    </row>
    <row r="19225" ht="15.75" customHeight="1" spans="1:2">
      <c r="A19225" s="3" t="str">
        <f>IFERROR(__xludf.DUMMYFUNCTION("GOOGLETRANSLATE(A19225,""en"",""pt"")"),"Baixa resolução, pesado, disponibilidade de baterias de reposição.")</f>
        <v>Baixa resolução, pesado, disponibilidade de baterias de reposição.</v>
      </c>
      <c r="B19225" s="3">
        <v>0</v>
      </c>
    </row>
    <row r="19226" ht="15.75" customHeight="1" spans="1:2">
      <c r="A19226" s="3" t="str">
        <f>IFERROR(__xludf.DUMMYFUNCTION("GOOGLETRANSLATE(A19226,""en"",""pt"")"),"Caro, pesado, porta da bateria frágil, 8 mb cartão CF")</f>
        <v>Caro, pesado, porta da bateria frágil, 8 mb cartão CF</v>
      </c>
      <c r="B19226" s="3">
        <v>0</v>
      </c>
    </row>
    <row r="19227" ht="15.75" customHeight="1" spans="1:2">
      <c r="A19227" s="3" t="str">
        <f>IFERROR(__xludf.DUMMYFUNCTION("GOOGLETRANSLATE(A19227,""en"",""pt"")"),"Tripé não soquete centrado por baixo da lente, a cobertura de borracha no lado parece acréscimo.")</f>
        <v>Tripé não soquete centrado por baixo da lente, a cobertura de borracha no lado parece acréscimo.</v>
      </c>
      <c r="B19227" s="3">
        <v>0</v>
      </c>
    </row>
    <row r="19228" ht="15.75" customHeight="1" spans="1:2">
      <c r="A19228" s="3" t="str">
        <f>IFERROR(__xludf.DUMMYFUNCTION("GOOGLETRANSLATE(A19228,""en"",""pt"")"),"Em distâncias mais distantes usando o zoom, as imagens eram escuros e a cor não afiada")</f>
        <v>Em distâncias mais distantes usando o zoom, as imagens eram escuros e a cor não afiada</v>
      </c>
      <c r="B19228" s="3">
        <v>0</v>
      </c>
    </row>
    <row r="19229" ht="15.75" customHeight="1" spans="1:2">
      <c r="A19229" s="3" t="str">
        <f>IFERROR(__xludf.DUMMYFUNCTION("GOOGLETRANSLATE(A19229,""en"",""pt"")"),"Necessidades luva protetora!")</f>
        <v>Necessidades luva protetora!</v>
      </c>
      <c r="B19229" s="3">
        <v>0</v>
      </c>
    </row>
    <row r="19230" ht="15.75" customHeight="1" spans="1:2">
      <c r="A19230" s="3" t="str">
        <f>IFERROR(__xludf.DUMMYFUNCTION("GOOGLETRANSLATE(A19230,""en"",""pt"")"),"A vida da bateria, resposta atrasada ao tirar um instantâneo, há acessórios incluídos")</f>
        <v>A vida da bateria, resposta atrasada ao tirar um instantâneo, há acessórios incluídos</v>
      </c>
      <c r="B19230" s="3">
        <v>0</v>
      </c>
    </row>
    <row r="19231" ht="15.75" customHeight="1" spans="1:2">
      <c r="A19231" s="3" t="str">
        <f>IFERROR(__xludf.DUMMYFUNCTION("GOOGLETRANSLATE(A19231,""en"",""pt"")"),"Desejamos a vida da bateria foi mais longo.")</f>
        <v>Desejamos a vida da bateria foi mais longo.</v>
      </c>
      <c r="B19231" s="3">
        <v>0</v>
      </c>
    </row>
    <row r="19232" ht="15.75" customHeight="1" spans="1:2">
      <c r="A19232" s="3" t="str">
        <f>IFERROR(__xludf.DUMMYFUNCTION("GOOGLETRANSLATE(A19232,""en"",""pt"")"),"Apenas 2,0 Megapixels")</f>
        <v>Apenas 2,0 Megapixels</v>
      </c>
      <c r="B19232" s="3">
        <v>0</v>
      </c>
    </row>
    <row r="19233" ht="15.75" customHeight="1" spans="1:2">
      <c r="A19233" s="3" t="str">
        <f>IFERROR(__xludf.DUMMYFUNCTION("GOOGLETRANSLATE(A19233,""en"",""pt"")"),"Memória Padrão Pequeno")</f>
        <v>Memória Padrão Pequeno</v>
      </c>
      <c r="B19233" s="3">
        <v>0</v>
      </c>
    </row>
    <row r="19234" ht="15.75" customHeight="1" spans="1:2">
      <c r="A19234" s="3" t="str">
        <f>IFERROR(__xludf.DUMMYFUNCTION("GOOGLETRANSLATE(A19234,""en"",""pt"")"),"atraso do obturador, parece pesado, apesar de pequena dimensão")</f>
        <v>atraso do obturador, parece pesado, apesar de pequena dimensão</v>
      </c>
      <c r="B19234" s="3">
        <v>0</v>
      </c>
    </row>
    <row r="19235" ht="15.75" customHeight="1" spans="1:2">
      <c r="A19235" s="3" t="str">
        <f>IFERROR(__xludf.DUMMYFUNCTION("GOOGLETRANSLATE(A19235,""en"",""pt"")"),"O does not bateria durar tanto tempo")</f>
        <v>O does not bateria durar tanto tempo</v>
      </c>
      <c r="B19235" s="3">
        <v>0</v>
      </c>
    </row>
    <row r="19236" ht="15.75" customHeight="1" spans="1:2">
      <c r="A19236" s="3" t="str">
        <f>IFERROR(__xludf.DUMMYFUNCTION("GOOGLETRANSLATE(A19236,""en"",""pt"")"),"Há câmeras menores agora. Piscar lento para aquecer")</f>
        <v>Há câmeras menores agora. Piscar lento para aquecer</v>
      </c>
      <c r="B19236" s="3">
        <v>0</v>
      </c>
    </row>
    <row r="19237" ht="15.75" customHeight="1" spans="1:2">
      <c r="A19237" s="3" t="str">
        <f>IFERROR(__xludf.DUMMYFUNCTION("GOOGLETRANSLATE(A19237,""en"",""pt"")"),"Ainda só uma câmera 2.1Mp e vem com apenas cartão de 8MB.")</f>
        <v>Ainda só uma câmera 2.1Mp e vem com apenas cartão de 8MB.</v>
      </c>
      <c r="B19237" s="3">
        <v>0</v>
      </c>
    </row>
    <row r="19238" ht="15.75" customHeight="1" spans="1:2">
      <c r="A19238" s="3" t="str">
        <f>IFERROR(__xludf.DUMMYFUNCTION("GOOGLETRANSLATE(A19238,""en"",""pt"")"),"Falta de acessórios, tais como nenhum saco para a câmera eo cartão de memória pequena.")</f>
        <v>Falta de acessórios, tais como nenhum saco para a câmera eo cartão de memória pequena.</v>
      </c>
      <c r="B19238" s="3">
        <v>0</v>
      </c>
    </row>
    <row r="19239" ht="15.75" customHeight="1" spans="1:2">
      <c r="A19239" s="3" t="str">
        <f>IFERROR(__xludf.DUMMYFUNCTION("GOOGLETRANSLATE(A19239,""en"",""pt"")"),"Flash fraco, pobre vida útil da bateria")</f>
        <v>Flash fraco, pobre vida útil da bateria</v>
      </c>
      <c r="B19239" s="3">
        <v>0</v>
      </c>
    </row>
    <row r="19240" ht="15.75" customHeight="1" spans="1:2">
      <c r="A19240" s="3" t="str">
        <f>IFERROR(__xludf.DUMMYFUNCTION("GOOGLETRANSLATE(A19240,""en"",""pt"")"),"A imagem nem sempre tomar corretamente quando mantém pressionado o botão.")</f>
        <v>A imagem nem sempre tomar corretamente quando mantém pressionado o botão.</v>
      </c>
      <c r="B19240" s="3">
        <v>0</v>
      </c>
    </row>
    <row r="19241" ht="15.75" customHeight="1" spans="1:2">
      <c r="A19241" s="3" t="str">
        <f>IFERROR(__xludf.DUMMYFUNCTION("GOOGLETRANSLATE(A19241,""en"",""pt"")"),"baixa foco de luz, $$ bateria, sem AC, um pouco $$$")</f>
        <v>baixa foco de luz, $$ bateria, sem AC, um pouco $$$</v>
      </c>
      <c r="B19241" s="3">
        <v>0</v>
      </c>
    </row>
    <row r="19242" ht="15.75" customHeight="1" spans="1:2">
      <c r="A19242" s="3" t="str">
        <f>IFERROR(__xludf.DUMMYFUNCTION("GOOGLETRANSLATE(A19242,""en"",""pt"")"),"Maior do que mais recentes câmeras digitais de preço comparável e qualidade de imagem")</f>
        <v>Maior do que mais recentes câmeras digitais de preço comparável e qualidade de imagem</v>
      </c>
      <c r="B19242" s="3">
        <v>0</v>
      </c>
    </row>
    <row r="19243" ht="15.75" customHeight="1" spans="1:2">
      <c r="A19243" s="3" t="str">
        <f>IFERROR(__xludf.DUMMYFUNCTION("GOOGLETRANSLATE(A19243,""en"",""pt"")"),"precisa de gerenciamento de imagem mais profissional")</f>
        <v>precisa de gerenciamento de imagem mais profissional</v>
      </c>
      <c r="B19243" s="3">
        <v>0</v>
      </c>
    </row>
    <row r="19244" ht="15.75" customHeight="1" spans="1:2">
      <c r="A19244" s="3" t="str">
        <f>IFERROR(__xludf.DUMMYFUNCTION("GOOGLETRANSLATE(A19244,""en"",""pt"")"),"Carece de alguns recursos do G2")</f>
        <v>Carece de alguns recursos do G2</v>
      </c>
      <c r="B19244" s="3">
        <v>0</v>
      </c>
    </row>
    <row r="19245" ht="15.75" customHeight="1" spans="1:2">
      <c r="A19245" s="3" t="str">
        <f>IFERROR(__xludf.DUMMYFUNCTION("GOOGLETRANSLATE(A19245,""en"",""pt"")"),"Autofocus tende a caçar muito, o tempo de inicialização lenta")</f>
        <v>Autofocus tende a caçar muito, o tempo de inicialização lenta</v>
      </c>
      <c r="B19245" s="3">
        <v>0</v>
      </c>
    </row>
    <row r="19246" ht="15.75" customHeight="1" spans="1:2">
      <c r="A19246" s="3" t="str">
        <f>IFERROR(__xludf.DUMMYFUNCTION("GOOGLETRANSLATE(A19246,""en"",""pt"")"),"A vida da bateria, sob-powered flash, nenhuma provisão para add-on lentes ou flash externo &amp; amp; # 13; &amp; amp; # 10;")</f>
        <v>A vida da bateria, sob-powered flash, nenhuma provisão para add-on lentes ou flash externo &amp; amp; # 13; &amp; amp; # 10;</v>
      </c>
      <c r="B19246" s="3">
        <v>0</v>
      </c>
    </row>
    <row r="19247" ht="15.75" customHeight="1" spans="1:2">
      <c r="A19247" s="3" t="str">
        <f>IFERROR(__xludf.DUMMYFUNCTION("GOOGLETRANSLATE(A19247,""en"",""pt"")"),"A vida da bateria, a capacidade de flash limitado.")</f>
        <v>A vida da bateria, a capacidade de flash limitado.</v>
      </c>
      <c r="B19247" s="3">
        <v>0</v>
      </c>
    </row>
    <row r="19248" ht="15.75" customHeight="1" spans="1:2">
      <c r="A19248" s="3" t="str">
        <f>IFERROR(__xludf.DUMMYFUNCTION("GOOGLETRANSLATE(A19248,""en"",""pt"")"),"Lanterna é um pouco descontrolada")</f>
        <v>Lanterna é um pouco descontrolada</v>
      </c>
      <c r="B19248" s="3">
        <v>0</v>
      </c>
    </row>
    <row r="19249" ht="15.75" customHeight="1" spans="1:2">
      <c r="A19249" s="3" t="str">
        <f>IFERROR(__xludf.DUMMYFUNCTION("GOOGLETRANSLATE(A19249,""en"",""pt"")"),"Muito pouco errado com esta pequena jóia!")</f>
        <v>Muito pouco errado com esta pequena jóia!</v>
      </c>
      <c r="B19249" s="3">
        <v>0</v>
      </c>
    </row>
    <row r="19250" ht="15.75" customHeight="1" spans="1:2">
      <c r="A19250" s="3" t="str">
        <f>IFERROR(__xludf.DUMMYFUNCTION("GOOGLETRANSLATE(A19250,""en"",""pt"")"),"Lente durabilidade tampa, resistência a arranhões LCD.")</f>
        <v>Lente durabilidade tampa, resistência a arranhões LCD.</v>
      </c>
      <c r="B19250" s="3">
        <v>0</v>
      </c>
    </row>
    <row r="19251" ht="15.75" customHeight="1" spans="1:2">
      <c r="A19251" s="3" t="str">
        <f>IFERROR(__xludf.DUMMYFUNCTION("GOOGLETRANSLATE(A19251,""en"",""pt"")"),"sot vista-finder ótico perfeitamente alinhado com foto real. baterias proprietárias.")</f>
        <v>sot vista-finder ótico perfeitamente alinhado com foto real. baterias proprietárias.</v>
      </c>
      <c r="B19251" s="3">
        <v>0</v>
      </c>
    </row>
    <row r="19252" ht="15.75" customHeight="1" spans="1:2">
      <c r="A19252" s="3" t="str">
        <f>IFERROR(__xludf.DUMMYFUNCTION("GOOGLETRANSLATE(A19252,""en"",""pt"")"),"Nenhum")</f>
        <v>Nenhum</v>
      </c>
      <c r="B19252" s="3">
        <v>0</v>
      </c>
    </row>
    <row r="19253" ht="15.75" customHeight="1" spans="1:2">
      <c r="A19253" s="3" t="str">
        <f>IFERROR(__xludf.DUMMYFUNCTION("GOOGLETRANSLATE(A19253,""en"",""pt"")"),"a vida da bateria ao usar flash, fornecido cartões de lojas de mídia 7 imagens em qualidade de imagem máximo")</f>
        <v>a vida da bateria ao usar flash, fornecido cartões de lojas de mídia 7 imagens em qualidade de imagem máximo</v>
      </c>
      <c r="B19253" s="3">
        <v>0</v>
      </c>
    </row>
    <row r="19254" ht="15.75" customHeight="1" spans="1:2">
      <c r="A19254" s="3" t="str">
        <f>IFERROR(__xludf.DUMMYFUNCTION("GOOGLETRANSLATE(A19254,""en"",""pt"")"),"Alguns controles podem ser complicado para algumas pessoas a usar. indicador de bateria é pobre.")</f>
        <v>Alguns controles podem ser complicado para algumas pessoas a usar. indicador de bateria é pobre.</v>
      </c>
      <c r="B19254" s="3">
        <v>0</v>
      </c>
    </row>
    <row r="19255" ht="15.75" customHeight="1" spans="1:2">
      <c r="A19255" s="3" t="str">
        <f>IFERROR(__xludf.DUMMYFUNCTION("GOOGLETRANSLATE(A19255,""en"",""pt"")"),"Opcional caso é lixo. tampa da lente, por vezes, salta para fora do alinhamento.")</f>
        <v>Opcional caso é lixo. tampa da lente, por vezes, salta para fora do alinhamento.</v>
      </c>
      <c r="B19255" s="3">
        <v>0</v>
      </c>
    </row>
    <row r="19256" ht="15.75" customHeight="1" spans="1:2">
      <c r="A19256" s="3" t="str">
        <f>IFERROR(__xludf.DUMMYFUNCTION("GOOGLETRANSLATE(A19256,""en"",""pt"")"),"um pouco pesado, não necessariamente user-friendly, software ruim")</f>
        <v>um pouco pesado, não necessariamente user-friendly, software ruim</v>
      </c>
      <c r="B19256" s="3">
        <v>0</v>
      </c>
    </row>
    <row r="19257" ht="15.75" customHeight="1" spans="1:2">
      <c r="A19257" s="3" t="str">
        <f>IFERROR(__xludf.DUMMYFUNCTION("GOOGLETRANSLATE(A19257,""en"",""pt"")"),"curta duração da bateria, botão de alternância difícil de usar e não confiável")</f>
        <v>curta duração da bateria, botão de alternância difícil de usar e não confiável</v>
      </c>
      <c r="B19257" s="3">
        <v>0</v>
      </c>
    </row>
    <row r="19258" ht="15.75" customHeight="1" spans="1:2">
      <c r="A19258" s="3" t="str">
        <f>IFERROR(__xludf.DUMMYFUNCTION("GOOGLETRANSLATE(A19258,""en"",""pt"")"),"flash de fraca potência, má focalização, curta vida útil da bateria.")</f>
        <v>flash de fraca potência, má focalização, curta vida útil da bateria.</v>
      </c>
      <c r="B19258" s="3">
        <v>0</v>
      </c>
    </row>
    <row r="19259" ht="15.75" customHeight="1" spans="1:2">
      <c r="A19259" s="3" t="str">
        <f>IFERROR(__xludf.DUMMYFUNCTION("GOOGLETRANSLATE(A19259,""en"",""pt"")"),"Tela LCD exposto.")</f>
        <v>Tela LCD exposto.</v>
      </c>
      <c r="B19259" s="3">
        <v>0</v>
      </c>
    </row>
    <row r="19260" ht="15.75" customHeight="1" spans="1:2">
      <c r="A19260" s="3" t="str">
        <f>IFERROR(__xludf.DUMMYFUNCTION("GOOGLETRANSLATE(A19260,""en"",""pt"")"),"Para pequena bateria, flash fraco, demora muito tempo. problema de foco manual em Macro.")</f>
        <v>Para pequena bateria, flash fraco, demora muito tempo. problema de foco manual em Macro.</v>
      </c>
      <c r="B19260" s="3">
        <v>0</v>
      </c>
    </row>
    <row r="19261" ht="15.75" customHeight="1" spans="1:2">
      <c r="A19261" s="3" t="str">
        <f>IFERROR(__xludf.DUMMYFUNCTION("GOOGLETRANSLATE(A19261,""en"",""pt"")"),"A vida da bateria, lente Frágil porta, multi-controle, definição Auto")</f>
        <v>A vida da bateria, lente Frágil porta, multi-controle, definição Auto</v>
      </c>
      <c r="B19261" s="3">
        <v>0</v>
      </c>
    </row>
    <row r="19262" ht="15.75" customHeight="1" spans="1:2">
      <c r="A19262" s="3" t="str">
        <f>IFERROR(__xludf.DUMMYFUNCTION("GOOGLETRANSLATE(A19262,""en"",""pt"")"),"Um pouco pesado, Preço")</f>
        <v>Um pouco pesado, Preço</v>
      </c>
      <c r="B19262" s="3">
        <v>0</v>
      </c>
    </row>
    <row r="19263" ht="15.75" customHeight="1" spans="1:2">
      <c r="A19263" s="3" t="str">
        <f>IFERROR(__xludf.DUMMYFUNCTION("GOOGLETRANSLATE(A19263,""en"",""pt"")"),"Ainda um flash fraco e um pouco pobre vida da bateria / decente.")</f>
        <v>Ainda um flash fraco e um pouco pobre vida da bateria / decente.</v>
      </c>
      <c r="B19263" s="3">
        <v>0</v>
      </c>
    </row>
    <row r="19264" ht="15.75" customHeight="1" spans="1:2">
      <c r="A19264" s="3" t="str">
        <f>IFERROR(__xludf.DUMMYFUNCTION("GOOGLETRANSLATE(A19264,""en"",""pt"")"),"Flash fraco, a vida da bateria medíocre, nenhuma provisão para add on lentes ou filtros")</f>
        <v>Flash fraco, a vida da bateria medíocre, nenhuma provisão para add on lentes ou filtros</v>
      </c>
      <c r="B19264" s="3">
        <v>0</v>
      </c>
    </row>
    <row r="19265" ht="15.75" customHeight="1" spans="1:2">
      <c r="A19265" s="3" t="str">
        <f>IFERROR(__xludf.DUMMYFUNCTION("GOOGLETRANSLATE(A19265,""en"",""pt"")"),"Não é realmente compatível para utilização subaquática")</f>
        <v>Não é realmente compatível para utilização subaquática</v>
      </c>
      <c r="B19265" s="3">
        <v>0</v>
      </c>
    </row>
    <row r="19266" ht="15.75" customHeight="1" spans="1:2">
      <c r="A19266" s="3" t="str">
        <f>IFERROR(__xludf.DUMMYFUNCTION("GOOGLETRANSLATE(A19266,""en"",""pt"")"),"Ecrã LCD")</f>
        <v>Ecrã LCD</v>
      </c>
      <c r="B19266" s="3">
        <v>0</v>
      </c>
    </row>
    <row r="19267" ht="15.75" customHeight="1" spans="1:2">
      <c r="A19267" s="3" t="str">
        <f>IFERROR(__xludf.DUMMYFUNCTION("GOOGLETRANSLATE(A19267,""en"",""pt"")"),"Modo Sem RAW")</f>
        <v>Modo Sem RAW</v>
      </c>
      <c r="B19267" s="3">
        <v>0</v>
      </c>
    </row>
    <row r="19268" ht="15.75" customHeight="1" spans="1:2">
      <c r="A19268" s="3" t="str">
        <f>IFERROR(__xludf.DUMMYFUNCTION("GOOGLETRANSLATE(A19268,""en"",""pt"")"),"subexpostas fotos com flash, lâmpada auxiliar AF não produz melhores resultados, seletor de modo pequena")</f>
        <v>subexpostas fotos com flash, lâmpada auxiliar AF não produz melhores resultados, seletor de modo pequena</v>
      </c>
      <c r="B19268" s="3">
        <v>0</v>
      </c>
    </row>
    <row r="19269" ht="15.75" customHeight="1" spans="1:2">
      <c r="A19269" s="3" t="str">
        <f>IFERROR(__xludf.DUMMYFUNCTION("GOOGLETRANSLATE(A19269,""en"",""pt"")"),"vida útil da bateria não é tão grande, fotos noturnas não são uma melhoria")</f>
        <v>vida útil da bateria não é tão grande, fotos noturnas não são uma melhoria</v>
      </c>
      <c r="B19269" s="3">
        <v>0</v>
      </c>
    </row>
    <row r="19270" ht="15.75" customHeight="1" spans="1:2">
      <c r="A19270" s="3" t="str">
        <f>IFERROR(__xludf.DUMMYFUNCTION("GOOGLETRANSLATE(A19270,""en"",""pt"")"),"Alguns controles manuais, flash fraco, a vida da bateria")</f>
        <v>Alguns controles manuais, flash fraco, a vida da bateria</v>
      </c>
      <c r="B19270" s="3">
        <v>0</v>
      </c>
    </row>
    <row r="19271" ht="15.75" customHeight="1" spans="1:2">
      <c r="A19271" s="3" t="str">
        <f>IFERROR(__xludf.DUMMYFUNCTION("GOOGLETRANSLATE(A19271,""en"",""pt"")"),"apontar e disparar única")</f>
        <v>apontar e disparar única</v>
      </c>
      <c r="B19271" s="3">
        <v>0</v>
      </c>
    </row>
    <row r="19272" ht="15.75" customHeight="1" spans="1:2">
      <c r="A19272" s="3" t="str">
        <f>IFERROR(__xludf.DUMMYFUNCTION("GOOGLETRANSLATE(A19272,""en"",""pt"")"),"Multi-Segmento AF não tão grande, mas o foco central está bem.")</f>
        <v>Multi-Segmento AF não tão grande, mas o foco central está bem.</v>
      </c>
      <c r="B19272" s="3">
        <v>0</v>
      </c>
    </row>
    <row r="19273" ht="15.75" customHeight="1" spans="1:2">
      <c r="A19273" s="3" t="str">
        <f>IFERROR(__xludf.DUMMYFUNCTION("GOOGLETRANSLATE(A19273,""en"",""pt"")"),"Nenhum")</f>
        <v>Nenhum</v>
      </c>
      <c r="B19273" s="3">
        <v>0</v>
      </c>
    </row>
    <row r="19274" ht="15.75" customHeight="1" spans="1:2">
      <c r="A19274" s="3" t="str">
        <f>IFERROR(__xludf.DUMMYFUNCTION("GOOGLETRANSLATE(A19274,""en"",""pt"")"),"curva digital de aprendizagem câmera, não tão simples como filme")</f>
        <v>curva digital de aprendizagem câmera, não tão simples como filme</v>
      </c>
      <c r="B19274" s="3">
        <v>0</v>
      </c>
    </row>
    <row r="19275" ht="15.75" customHeight="1" spans="1:2">
      <c r="A19275" s="3" t="str">
        <f>IFERROR(__xludf.DUMMYFUNCTION("GOOGLETRANSLATE(A19275,""en"",""pt"")"),"Preço, flash, é apenas um ponto de uma sessão.")</f>
        <v>Preço, flash, é apenas um ponto de uma sessão.</v>
      </c>
      <c r="B19275" s="3">
        <v>0</v>
      </c>
    </row>
    <row r="19276" ht="15.75" customHeight="1" spans="1:2">
      <c r="A19276" s="3" t="str">
        <f>IFERROR(__xludf.DUMMYFUNCTION("GOOGLETRANSLATE(A19276,""en"",""pt"")"),"nenhum ... exceto que ele é caro, mas vale a pena de dinheiro")</f>
        <v>nenhum ... exceto que ele é caro, mas vale a pena de dinheiro</v>
      </c>
      <c r="B19276" s="3">
        <v>0</v>
      </c>
    </row>
    <row r="19277" ht="15.75" customHeight="1" spans="1:2">
      <c r="A19277" s="3" t="str">
        <f>IFERROR(__xludf.DUMMYFUNCTION("GOOGLETRANSLATE(A19277,""en"",""pt"")"),"Resolução de vídeo de baixo, Não há funções Manual, Bateria Fraca")</f>
        <v>Resolução de vídeo de baixo, Não há funções Manual, Bateria Fraca</v>
      </c>
      <c r="B19277" s="3">
        <v>0</v>
      </c>
    </row>
    <row r="19278" ht="15.75" customHeight="1" spans="1:2">
      <c r="A19278" s="3" t="str">
        <f>IFERROR(__xludf.DUMMYFUNCTION("GOOGLETRANSLATE(A19278,""en"",""pt"")"),"serviço de imagem Canon tem um acordo de direitos autorais sorrateira")</f>
        <v>serviço de imagem Canon tem um acordo de direitos autorais sorrateira</v>
      </c>
      <c r="B19278" s="3">
        <v>0</v>
      </c>
    </row>
    <row r="19279" ht="15.75" customHeight="1" spans="1:2">
      <c r="A19279" s="3" t="str">
        <f>IFERROR(__xludf.DUMMYFUNCTION("GOOGLETRANSLATE(A19279,""en"",""pt"")"),"Um pouco lento vezes foco, preço")</f>
        <v>Um pouco lento vezes foco, preço</v>
      </c>
      <c r="B19279" s="3">
        <v>0</v>
      </c>
    </row>
    <row r="19280" ht="15.75" customHeight="1" spans="1:2">
      <c r="A19280" s="3" t="str">
        <f>IFERROR(__xludf.DUMMYFUNCTION("GOOGLETRANSLATE(A19280,""en"",""pt"")"),"algumas funções manuais, vida útil da bateria")</f>
        <v>algumas funções manuais, vida útil da bateria</v>
      </c>
      <c r="B19280" s="3">
        <v>0</v>
      </c>
    </row>
    <row r="19281" ht="15.75" customHeight="1" spans="1:2">
      <c r="A19281" s="3" t="str">
        <f>IFERROR(__xludf.DUMMYFUNCTION("GOOGLETRANSLATE(A19281,""en"",""pt"")"),"seletor de modo continua a mudar ao colocar em saco de transporte")</f>
        <v>seletor de modo continua a mudar ao colocar em saco de transporte</v>
      </c>
      <c r="B19281" s="3">
        <v>0</v>
      </c>
    </row>
    <row r="19282" ht="15.75" customHeight="1" spans="1:2">
      <c r="A19282" s="3" t="str">
        <f>IFERROR(__xludf.DUMMYFUNCTION("GOOGLETRANSLATE(A19282,""en"",""pt"")"),"Instantâneo")</f>
        <v>Instantâneo</v>
      </c>
      <c r="B19282" s="3">
        <v>0</v>
      </c>
    </row>
    <row r="19283" ht="15.75" customHeight="1" spans="1:2">
      <c r="A19283" s="3" t="str">
        <f>IFERROR(__xludf.DUMMYFUNCTION("GOOGLETRANSLATE(A19283,""en"",""pt"")"),"Pouco caro")</f>
        <v>Pouco caro</v>
      </c>
      <c r="B19283" s="3">
        <v>0</v>
      </c>
    </row>
    <row r="19284" ht="15.75" customHeight="1" spans="1:2">
      <c r="A19284" s="3" t="str">
        <f>IFERROR(__xludf.DUMMYFUNCTION("GOOGLETRANSLATE(A19284,""en"",""pt"")"),"As, Pobre flash, alguns planicidade em fotos, desconfortável, às vezes, espera enquanto tiro")</f>
        <v>As, Pobre flash, alguns planicidade em fotos, desconfortável, às vezes, espera enquanto tiro</v>
      </c>
      <c r="B19284" s="3">
        <v>0</v>
      </c>
    </row>
    <row r="19285" ht="15.75" customHeight="1" spans="1:2">
      <c r="A19285" s="3" t="str">
        <f>IFERROR(__xludf.DUMMYFUNCTION("GOOGLETRANSLATE(A19285,""en"",""pt"")"),"autofocus lento (um pouco barulhento também), um pouco caro, assim-assim a vida da bateria")</f>
        <v>autofocus lento (um pouco barulhento também), um pouco caro, assim-assim a vida da bateria</v>
      </c>
      <c r="B19285" s="3">
        <v>0</v>
      </c>
    </row>
    <row r="19286" ht="15.75" customHeight="1" spans="1:2">
      <c r="A19286" s="3" t="str">
        <f>IFERROR(__xludf.DUMMYFUNCTION("GOOGLETRANSLATE(A19286,""en"",""pt"")"),"muito pouca confiabilidade, péssimo atendimento ao cliente, a focagem automática não confiável, preço elevado")</f>
        <v>muito pouca confiabilidade, péssimo atendimento ao cliente, a focagem automática não confiável, preço elevado</v>
      </c>
      <c r="B19286" s="3">
        <v>0</v>
      </c>
    </row>
    <row r="19287" ht="15.75" customHeight="1" spans="1:2">
      <c r="A19287" s="3" t="str">
        <f>IFERROR(__xludf.DUMMYFUNCTION("GOOGLETRANSLATE(A19287,""en"",""pt"")"),"modo macro ligeiramente ineficaz. Em vez cara.")</f>
        <v>modo macro ligeiramente ineficaz. Em vez cara.</v>
      </c>
      <c r="B19287" s="3">
        <v>0</v>
      </c>
    </row>
    <row r="19288" ht="15.75" customHeight="1" spans="1:2">
      <c r="A19288" s="3" t="str">
        <f>IFERROR(__xludf.DUMMYFUNCTION("GOOGLETRANSLATE(A19288,""en"",""pt"")"),"No caso da câmera incluída, caro")</f>
        <v>No caso da câmera incluída, caro</v>
      </c>
      <c r="B19288" s="3">
        <v>0</v>
      </c>
    </row>
    <row r="19289" ht="15.75" customHeight="1" spans="1:2">
      <c r="A19289" s="3" t="str">
        <f>IFERROR(__xludf.DUMMYFUNCTION("GOOGLETRANSLATE(A19289,""en"",""pt"")"),"Nenhum ainda.")</f>
        <v>Nenhum ainda.</v>
      </c>
      <c r="B19289" s="3">
        <v>0</v>
      </c>
    </row>
    <row r="19290" ht="15.75" customHeight="1" spans="1:2">
      <c r="A19290" s="3" t="str">
        <f>IFERROR(__xludf.DUMMYFUNCTION("GOOGLETRANSLATE(A19290,""en"",""pt"")"),"Os vídeos são de baixa resolução, a vida da bateria é bom, 32 MB cartão é inadequada")</f>
        <v>Os vídeos são de baixa resolução, a vida da bateria é bom, 32 MB cartão é inadequada</v>
      </c>
      <c r="B19290" s="3">
        <v>0</v>
      </c>
    </row>
    <row r="19291" ht="15.75" customHeight="1" spans="1:2">
      <c r="A19291" s="3" t="str">
        <f>IFERROR(__xludf.DUMMYFUNCTION("GOOGLETRANSLATE(A19291,""en"",""pt"")"),"configuração preliminar foi um pouco difícil, mas muito poucos contras!")</f>
        <v>configuração preliminar foi um pouco difícil, mas muito poucos contras!</v>
      </c>
      <c r="B19291" s="3">
        <v>0</v>
      </c>
    </row>
    <row r="19292" ht="15.75" customHeight="1" spans="1:2">
      <c r="A19292" s="3" t="str">
        <f>IFERROR(__xludf.DUMMYFUNCTION("GOOGLETRANSLATE(A19292,""en"",""pt"")"),"vida útil da bateria fraca, nenhuma provisão para add-on lentes ou filtros")</f>
        <v>vida útil da bateria fraca, nenhuma provisão para add-on lentes ou filtros</v>
      </c>
      <c r="B19292" s="3">
        <v>0</v>
      </c>
    </row>
    <row r="19293" ht="15.75" customHeight="1" spans="1:2">
      <c r="A19293" s="3" t="str">
        <f>IFERROR(__xludf.DUMMYFUNCTION("GOOGLETRANSLATE(A19293,""en"",""pt"")"),"3x de zoom da lente, a vida da bateria, preço")</f>
        <v>3x de zoom da lente, a vida da bateria, preço</v>
      </c>
      <c r="B19293" s="3">
        <v>0</v>
      </c>
    </row>
    <row r="19294" ht="15.75" customHeight="1" spans="1:2">
      <c r="A19294" s="3" t="str">
        <f>IFERROR(__xludf.DUMMYFUNCTION("GOOGLETRANSLATE(A19294,""en"",""pt"")"),"software desajeitado. Preço. Bateria vai rápido.")</f>
        <v>software desajeitado. Preço. Bateria vai rápido.</v>
      </c>
      <c r="B19294" s="3">
        <v>0</v>
      </c>
    </row>
    <row r="19295" ht="15.75" customHeight="1" spans="1:2">
      <c r="A19295" s="3" t="str">
        <f>IFERROR(__xludf.DUMMYFUNCTION("GOOGLETRANSLATE(A19295,""en"",""pt"")"),"não pode segurar os lados da câmera ao gravar vídeos, sem zoom no modo MPEG")</f>
        <v>não pode segurar os lados da câmera ao gravar vídeos, sem zoom no modo MPEG</v>
      </c>
      <c r="B19295" s="3">
        <v>0</v>
      </c>
    </row>
    <row r="19296" ht="15.75" customHeight="1" spans="1:2">
      <c r="A19296" s="3" t="str">
        <f>IFERROR(__xludf.DUMMYFUNCTION("GOOGLETRANSLATE(A19296,""en"",""pt"")"),"Kinda caro para alguns.")</f>
        <v>Kinda caro para alguns.</v>
      </c>
      <c r="B19296" s="3">
        <v>0</v>
      </c>
    </row>
    <row r="19297" ht="15.75" customHeight="1" spans="1:2">
      <c r="A19297" s="3" t="str">
        <f>IFERROR(__xludf.DUMMYFUNCTION("GOOGLETRANSLATE(A19297,""en"",""pt"")"),"O preço e software.")</f>
        <v>O preço e software.</v>
      </c>
      <c r="B19297" s="3">
        <v>0</v>
      </c>
    </row>
    <row r="19298" ht="15.75" customHeight="1" spans="1:2">
      <c r="A19298" s="3" t="str">
        <f>IFERROR(__xludf.DUMMYFUNCTION("GOOGLETRANSLATE(A19298,""en"",""pt"")"),"Ergonomia")</f>
        <v>Ergonomia</v>
      </c>
      <c r="B19298" s="3">
        <v>0</v>
      </c>
    </row>
    <row r="19299" ht="15.75" customHeight="1" spans="1:2">
      <c r="A19299" s="3" t="str">
        <f>IFERROR(__xludf.DUMMYFUNCTION("GOOGLETRANSLATE(A19299,""en"",""pt"")"),", Bateria adicional caro, tamanho pequeno cartão de memória flash compacto caro")</f>
        <v>, Bateria adicional caro, tamanho pequeno cartão de memória flash compacto caro</v>
      </c>
      <c r="B19299" s="3">
        <v>0</v>
      </c>
    </row>
    <row r="19300" ht="15.75" customHeight="1" spans="1:2">
      <c r="A19300" s="3" t="str">
        <f>IFERROR(__xludf.DUMMYFUNCTION("GOOGLETRANSLATE(A19300,""en"",""pt"")"),"cobertura de borracha sobre a porta USB, tampa da lente parece mal construída, a libertação lenta do obturador,")</f>
        <v>cobertura de borracha sobre a porta USB, tampa da lente parece mal construída, a libertação lenta do obturador,</v>
      </c>
      <c r="B19300" s="3">
        <v>0</v>
      </c>
    </row>
    <row r="19301" ht="15.75" customHeight="1" spans="1:2">
      <c r="A19301" s="3" t="str">
        <f>IFERROR(__xludf.DUMMYFUNCTION("GOOGLETRANSLATE(A19301,""en"",""pt"")"),"só pode ter bateria proprietária, um pouco no lado gordinho")</f>
        <v>só pode ter bateria proprietária, um pouco no lado gordinho</v>
      </c>
      <c r="B19301" s="3">
        <v>0</v>
      </c>
    </row>
    <row r="19302" ht="15.75" customHeight="1" spans="1:2">
      <c r="A19302" s="3" t="str">
        <f>IFERROR(__xludf.DUMMYFUNCTION("GOOGLETRANSLATE(A19302,""en"",""pt"")"),"vida pobre da bateria")</f>
        <v>vida pobre da bateria</v>
      </c>
      <c r="B19302" s="3">
        <v>0</v>
      </c>
    </row>
    <row r="19303" ht="15.75" customHeight="1" spans="1:2">
      <c r="A19303" s="3" t="str">
        <f>IFERROR(__xludf.DUMMYFUNCTION("GOOGLETRANSLATE(A19303,""en"",""pt"")"),"Somente menores.")</f>
        <v>Somente menores.</v>
      </c>
      <c r="B19303" s="3">
        <v>0</v>
      </c>
    </row>
    <row r="19304" ht="15.75" customHeight="1" spans="1:2">
      <c r="A19304" s="3" t="str">
        <f>IFERROR(__xludf.DUMMYFUNCTION("GOOGLETRANSLATE(A19304,""en"",""pt"")"),"bateria e cartão pequeno inicial CF, única 3x de zoom.")</f>
        <v>bateria e cartão pequeno inicial CF, única 3x de zoom.</v>
      </c>
      <c r="B19304" s="3">
        <v>0</v>
      </c>
    </row>
    <row r="19305" ht="15.75" customHeight="1" spans="1:2">
      <c r="A19305" s="3" t="str">
        <f>IFERROR(__xludf.DUMMYFUNCTION("GOOGLETRANSLATE(A19305,""en"",""pt"")"),"Nenhuma provisão para add-on lentes ou filtros")</f>
        <v>Nenhuma provisão para add-on lentes ou filtros</v>
      </c>
      <c r="B19305" s="3">
        <v>0</v>
      </c>
    </row>
    <row r="19306" ht="15.75" customHeight="1" spans="1:2">
      <c r="A19306" s="3" t="str">
        <f>IFERROR(__xludf.DUMMYFUNCTION("GOOGLETRANSLATE(A19306,""en"",""pt"")"),"4-way botão de navegação &amp; amp; bateria Proprietary")</f>
        <v>4-way botão de navegação &amp; amp; bateria Proprietary</v>
      </c>
      <c r="B19306" s="3">
        <v>0</v>
      </c>
    </row>
    <row r="19307" ht="15.75" customHeight="1" spans="1:2">
      <c r="A19307" s="3" t="str">
        <f>IFERROR(__xludf.DUMMYFUNCTION("GOOGLETRANSLATE(A19307,""en"",""pt"")"),"Algumas fotos tinham olhos vermelhos, não vem com maleta")</f>
        <v>Algumas fotos tinham olhos vermelhos, não vem com maleta</v>
      </c>
      <c r="B19307" s="3">
        <v>0</v>
      </c>
    </row>
    <row r="19308" ht="15.75" customHeight="1" spans="1:2">
      <c r="A19308" s="3" t="str">
        <f>IFERROR(__xludf.DUMMYFUNCTION("GOOGLETRANSLATE(A19308,""en"",""pt"")"),"Underwater habitação não permite controle total, não tão acentuada como a maioria dos 4 câmeras MP")</f>
        <v>Underwater habitação não permite controle total, não tão acentuada como a maioria dos 4 câmeras MP</v>
      </c>
      <c r="B19308" s="3">
        <v>0</v>
      </c>
    </row>
    <row r="19309" ht="15.75" customHeight="1" spans="1:2">
      <c r="A19309" s="3" t="str">
        <f>IFERROR(__xludf.DUMMYFUNCTION("GOOGLETRANSLATE(A19309,""en"",""pt"")"),"Ele deu maus resultados no escuro")</f>
        <v>Ele deu maus resultados no escuro</v>
      </c>
      <c r="B19309" s="3">
        <v>0</v>
      </c>
    </row>
    <row r="19310" ht="15.75" customHeight="1" spans="1:2">
      <c r="A19310" s="3" t="str">
        <f>IFERROR(__xludf.DUMMYFUNCTION("GOOGLETRANSLATE(A19310,""en"",""pt"")"),"Apenas lente zoom de 3x, questões de redução de olhos vermelhos, flash fraco")</f>
        <v>Apenas lente zoom de 3x, questões de redução de olhos vermelhos, flash fraco</v>
      </c>
      <c r="B19310" s="3">
        <v>0</v>
      </c>
    </row>
    <row r="19311" ht="15.75" customHeight="1" spans="1:2">
      <c r="A19311" s="3" t="str">
        <f>IFERROR(__xludf.DUMMYFUNCTION("GOOGLETRANSLATE(A19311,""en"",""pt"")"),"Nenhum indicador de carga da bateria, controlador de menu peculiar, exigente função macro, superfície LCD delicado.")</f>
        <v>Nenhum indicador de carga da bateria, controlador de menu peculiar, exigente função macro, superfície LCD delicado.</v>
      </c>
      <c r="B19311" s="3">
        <v>0</v>
      </c>
    </row>
    <row r="19312" ht="15.75" customHeight="1" spans="1:2">
      <c r="A19312" s="3" t="str">
        <f>IFERROR(__xludf.DUMMYFUNCTION("GOOGLETRANSLATE(A19312,""en"",""pt"")"),"4 Nav maneira. botão é difícil de usar. Baterias são caros.")</f>
        <v>4 Nav maneira. botão é difícil de usar. Baterias são caros.</v>
      </c>
      <c r="B19312" s="3">
        <v>0</v>
      </c>
    </row>
    <row r="19313" ht="15.75" customHeight="1" spans="1:2">
      <c r="A19313" s="3" t="str">
        <f>IFERROR(__xludf.DUMMYFUNCTION("GOOGLETRANSLATE(A19313,""en"",""pt"")"),"4 NAVIG maneira. botões difícil de usar, capacidade macro não o que eu esperava")</f>
        <v>4 NAVIG maneira. botões difícil de usar, capacidade macro não o que eu esperava</v>
      </c>
      <c r="B19313" s="3">
        <v>0</v>
      </c>
    </row>
    <row r="19314" ht="15.75" customHeight="1" spans="1:2">
      <c r="A19314" s="3" t="str">
        <f>IFERROR(__xludf.DUMMYFUNCTION("GOOGLETRANSLATE(A19314,""en"",""pt"")"),"não é realmente uma câmera de bolso. capacidade macro, olhos vermelhos")</f>
        <v>não é realmente uma câmera de bolso. capacidade macro, olhos vermelhos</v>
      </c>
      <c r="B19314" s="3">
        <v>0</v>
      </c>
    </row>
    <row r="19315" ht="15.75" customHeight="1" spans="1:2">
      <c r="A19315" s="3" t="str">
        <f>IFERROR(__xludf.DUMMYFUNCTION("GOOGLETRANSLATE(A19315,""en"",""pt"")"),"mais ruído do que o S45 (da s50 4MP stablemate)")</f>
        <v>mais ruído do que o S45 (da s50 4MP stablemate)</v>
      </c>
      <c r="B19315" s="3">
        <v>0</v>
      </c>
    </row>
    <row r="19316" ht="15.75" customHeight="1" spans="1:2">
      <c r="A19316" s="3" t="str">
        <f>IFERROR(__xludf.DUMMYFUNCTION("GOOGLETRANSLATE(A19316,""en"",""pt"")"),"Carece de flexibilidade de SLRs e tamanho extrema pequena de alguns point-and-shoots")</f>
        <v>Carece de flexibilidade de SLRs e tamanho extrema pequena de alguns point-and-shoots</v>
      </c>
      <c r="B19316" s="3">
        <v>0</v>
      </c>
    </row>
    <row r="19317" ht="15.75" customHeight="1" spans="1:2">
      <c r="A19317" s="3" t="str">
        <f>IFERROR(__xludf.DUMMYFUNCTION("GOOGLETRANSLATE(A19317,""en"",""pt"")"),"vida útil da bateria fraca, sem flash externo")</f>
        <v>vida útil da bateria fraca, sem flash externo</v>
      </c>
      <c r="B19317" s="3">
        <v>0</v>
      </c>
    </row>
    <row r="19318" ht="15.75" customHeight="1" spans="1:2">
      <c r="A19318" s="3" t="str">
        <f>IFERROR(__xludf.DUMMYFUNCTION("GOOGLETRANSLATE(A19318,""en"",""pt"")"),"Caro. 5MP é provavelmente um exagero para a maioria dos usuários.")</f>
        <v>Caro. 5MP é provavelmente um exagero para a maioria dos usuários.</v>
      </c>
      <c r="B19318" s="3">
        <v>0</v>
      </c>
    </row>
    <row r="19319" ht="15.75" customHeight="1" spans="1:2">
      <c r="A19319" s="3" t="str">
        <f>IFERROR(__xludf.DUMMYFUNCTION("GOOGLETRANSLATE(A19319,""en"",""pt"")"),"nenhuma provisão para filtros")</f>
        <v>nenhuma provisão para filtros</v>
      </c>
      <c r="B19319" s="3">
        <v>0</v>
      </c>
    </row>
    <row r="19320" ht="15.75" customHeight="1" spans="1:2">
      <c r="A19320" s="3" t="str">
        <f>IFERROR(__xludf.DUMMYFUNCTION("GOOGLETRANSLATE(A19320,""en"",""pt"")"),"Muito pesado, características manul não vale a pena o peso adicional.")</f>
        <v>Muito pesado, características manul não vale a pena o peso adicional.</v>
      </c>
      <c r="B19320" s="3">
        <v>0</v>
      </c>
    </row>
    <row r="19321" ht="15.75" customHeight="1" spans="1:2">
      <c r="A19321" s="3" t="str">
        <f>IFERROR(__xludf.DUMMYFUNCTION("GOOGLETRANSLATE(A19321,""en"",""pt"")"),"foco ligeiramente macia nos cantos. sensor de imagem não perfeitamente quadrado com corpo da câmera.")</f>
        <v>foco ligeiramente macia nos cantos. sensor de imagem não perfeitamente quadrado com corpo da câmera.</v>
      </c>
      <c r="B19321" s="3">
        <v>0</v>
      </c>
    </row>
    <row r="19322" ht="15.75" customHeight="1" spans="1:2">
      <c r="A19322" s="3" t="str">
        <f>IFERROR(__xludf.DUMMYFUNCTION("GOOGLETRANSLATE(A19322,""en"",""pt"")"),"um pouco barulhento")</f>
        <v>um pouco barulhento</v>
      </c>
      <c r="B19322" s="3">
        <v>0</v>
      </c>
    </row>
    <row r="19323" ht="15.75" customHeight="1" spans="1:2">
      <c r="A19323" s="3" t="str">
        <f>IFERROR(__xludf.DUMMYFUNCTION("GOOGLETRANSLATE(A19323,""en"",""pt"")"),"Barulhento. Nenhum cabo USB incluído.")</f>
        <v>Barulhento. Nenhum cabo USB incluído.</v>
      </c>
      <c r="B19323" s="3">
        <v>0</v>
      </c>
    </row>
    <row r="19324" ht="15.75" customHeight="1" spans="1:2">
      <c r="A19324" s="3" t="str">
        <f>IFERROR(__xludf.DUMMYFUNCTION("GOOGLETRANSLATE(A19324,""en"",""pt"")"),"tinta se esgota muito rapidamente e a impressora é ALTO !!!!!!!!!!")</f>
        <v>tinta se esgota muito rapidamente e a impressora é ALTO !!!!!!!!!!</v>
      </c>
      <c r="B19324" s="3">
        <v>0</v>
      </c>
    </row>
    <row r="19325" ht="15.75" customHeight="1" spans="1:2">
      <c r="A19325" s="3" t="str">
        <f>IFERROR(__xludf.DUMMYFUNCTION("GOOGLETRANSLATE(A19325,""en"",""pt"")"),"barulhento desnecessariamente às vezes.")</f>
        <v>barulhento desnecessariamente às vezes.</v>
      </c>
      <c r="B19325" s="3">
        <v>0</v>
      </c>
    </row>
    <row r="19326" ht="15.75" customHeight="1" spans="1:2">
      <c r="A19326" s="3" t="str">
        <f>IFERROR(__xludf.DUMMYFUNCTION("GOOGLETRANSLATE(A19326,""en"",""pt"")"),"sem cabo incluído, não significou para melhor qualidade de impressão")</f>
        <v>sem cabo incluído, não significou para melhor qualidade de impressão</v>
      </c>
      <c r="B19326" s="3">
        <v>0</v>
      </c>
    </row>
    <row r="19327" ht="15.75" customHeight="1" spans="1:2">
      <c r="A19327" s="3" t="str">
        <f>IFERROR(__xludf.DUMMYFUNCTION("GOOGLETRANSLATE(A19327,""en"",""pt"")"),"Quando usado para fotos tinta acabar rapidamente.")</f>
        <v>Quando usado para fotos tinta acabar rapidamente.</v>
      </c>
      <c r="B19327" s="3">
        <v>0</v>
      </c>
    </row>
    <row r="19328" ht="15.75" customHeight="1" spans="1:2">
      <c r="A19328" s="3" t="str">
        <f>IFERROR(__xludf.DUMMYFUNCTION("GOOGLETRANSLATE(A19328,""en"",""pt"")"),"Sem ligação de porta paralela, lento ""warm-up""")</f>
        <v>Sem ligação de porta paralela, lento "warm-up"</v>
      </c>
      <c r="B19328" s="3">
        <v>0</v>
      </c>
    </row>
    <row r="19329" ht="15.75" customHeight="1" spans="1:2">
      <c r="A19329" s="3" t="str">
        <f>IFERROR(__xludf.DUMMYFUNCTION("GOOGLETRANSLATE(A19329,""en"",""pt"")"),"um frágil bit (mas quem se importa?)")</f>
        <v>um frágil bit (mas quem se importa?)</v>
      </c>
      <c r="B19329" s="3">
        <v>0</v>
      </c>
    </row>
    <row r="19330" ht="15.75" customHeight="1" spans="1:2">
      <c r="A19330" s="3" t="str">
        <f>IFERROR(__xludf.DUMMYFUNCTION("GOOGLETRANSLATE(A19330,""en"",""pt"")"),"Imprime fotos lentamente com baixa qualidade, extremamente longo período de ""aquecimento"" antes de imprimir. Sem paralelo.")</f>
        <v>Imprime fotos lentamente com baixa qualidade, extremamente longo período de "aquecimento" antes de imprimir. Sem paralelo.</v>
      </c>
      <c r="B19330" s="3">
        <v>0</v>
      </c>
    </row>
    <row r="19331" ht="15.75" customHeight="1" spans="1:2">
      <c r="A19331" s="3" t="str">
        <f>IFERROR(__xludf.DUMMYFUNCTION("GOOGLETRANSLATE(A19331,""en"",""pt"")"),"Cartuchos não duram muito tempo na impressão de fotos")</f>
        <v>Cartuchos não duram muito tempo na impressão de fotos</v>
      </c>
      <c r="B19331" s="3">
        <v>0</v>
      </c>
    </row>
    <row r="19332" ht="15.75" customHeight="1" spans="1:2">
      <c r="A19332" s="3" t="str">
        <f>IFERROR(__xludf.DUMMYFUNCTION("GOOGLETRANSLATE(A19332,""en"",""pt"")"),"Ligeiramente mais ruidoso do que modelos similares, cartuchos de tinta mais difícil de encontrar")</f>
        <v>Ligeiramente mais ruidoso do que modelos similares, cartuchos de tinta mais difícil de encontrar</v>
      </c>
      <c r="B19332" s="3">
        <v>0</v>
      </c>
    </row>
    <row r="19333" ht="15.75" customHeight="1" spans="1:2">
      <c r="A19333" s="3" t="str">
        <f>IFERROR(__xludf.DUMMYFUNCTION("GOOGLETRANSLATE(A19333,""en"",""pt"")"),"Não funciona. Muito típica de produtos Canon.")</f>
        <v>Não funciona. Muito típica de produtos Canon.</v>
      </c>
      <c r="B19333" s="3">
        <v>0</v>
      </c>
    </row>
    <row r="19334" ht="15.75" customHeight="1" spans="1:2">
      <c r="A19334" s="3" t="str">
        <f>IFERROR(__xludf.DUMMYFUNCTION("GOOGLETRANSLATE(A19334,""en"",""pt"")"),"Caramba é barulhento!")</f>
        <v>Caramba é barulhento!</v>
      </c>
      <c r="B19334" s="3">
        <v>0</v>
      </c>
    </row>
    <row r="19335" ht="15.75" customHeight="1" spans="1:2">
      <c r="A19335" s="3" t="str">
        <f>IFERROR(__xludf.DUMMYFUNCTION("GOOGLETRANSLATE(A19335,""en"",""pt"")"),"cabo da impressora não incluído, barato construção de descanso papel e bandeja de saída, barulhento")</f>
        <v>cabo da impressora não incluído, barato construção de descanso papel e bandeja de saída, barulhento</v>
      </c>
      <c r="B19335" s="3">
        <v>0</v>
      </c>
    </row>
    <row r="19336" ht="15.75" customHeight="1" spans="1:2">
      <c r="A19336" s="3" t="str">
        <f>IFERROR(__xludf.DUMMYFUNCTION("GOOGLETRANSLATE(A19336,""en"",""pt"")"),"Barulhento por vezes (mas não tão barulhento como rap do meu vizinho) ....")</f>
        <v>Barulhento por vezes (mas não tão barulhento como rap do meu vizinho) ....</v>
      </c>
      <c r="B19336" s="3">
        <v>0</v>
      </c>
    </row>
    <row r="19337" ht="15.75" customHeight="1" spans="1:2">
      <c r="A19337" s="3" t="str">
        <f>IFERROR(__xludf.DUMMYFUNCTION("GOOGLETRANSLATE(A19337,""en"",""pt"")"),"Tinta acabar rapidamente. Barulhento. Lento aquecimento. A tinta não resistente à água. USB-only,")</f>
        <v>Tinta acabar rapidamente. Barulhento. Lento aquecimento. A tinta não resistente à água. USB-only,</v>
      </c>
      <c r="B19337" s="3">
        <v>0</v>
      </c>
    </row>
    <row r="19338" ht="15.75" customHeight="1" spans="1:2">
      <c r="A19338" s="3" t="str">
        <f>IFERROR(__xludf.DUMMYFUNCTION("GOOGLETRANSLATE(A19338,""en"",""pt"")"),"Alto e lento Start Up, a má gestão de tinta!")</f>
        <v>Alto e lento Start Up, a má gestão de tinta!</v>
      </c>
      <c r="B19338" s="3">
        <v>0</v>
      </c>
    </row>
    <row r="19339" ht="15.75" customHeight="1" spans="1:2">
      <c r="A19339" s="3" t="str">
        <f>IFERROR(__xludf.DUMMYFUNCTION("GOOGLETRANSLATE(A19339,""en"",""pt"")"),"Papel alimentar problemas, bandeja de papel fino, limites de projeto de colocação da impressora na mesa.")</f>
        <v>Papel alimentar problemas, bandeja de papel fino, limites de projeto de colocação da impressora na mesa.</v>
      </c>
      <c r="B19339" s="3">
        <v>0</v>
      </c>
    </row>
    <row r="19340" ht="15.75" customHeight="1" spans="1:2">
      <c r="A19340" s="3" t="str">
        <f>IFERROR(__xludf.DUMMYFUNCTION("GOOGLETRANSLATE(A19340,""en"",""pt"")"),"Nenhum para o preço")</f>
        <v>Nenhum para o preço</v>
      </c>
      <c r="B19340" s="3">
        <v>0</v>
      </c>
    </row>
    <row r="19341" ht="15.75" customHeight="1" spans="1:2">
      <c r="A19341" s="3" t="str">
        <f>IFERROR(__xludf.DUMMYFUNCTION("GOOGLETRANSLATE(A19341,""en"",""pt"")"),"Nenhum")</f>
        <v>Nenhum</v>
      </c>
      <c r="B19341" s="3">
        <v>0</v>
      </c>
    </row>
    <row r="19342" ht="15.75" customHeight="1" spans="1:2">
      <c r="A19342" s="3" t="str">
        <f>IFERROR(__xludf.DUMMYFUNCTION("GOOGLETRANSLATE(A19342,""en"",""pt"")"),"Nada até agora")</f>
        <v>Nada até agora</v>
      </c>
      <c r="B19342" s="3">
        <v>0</v>
      </c>
    </row>
    <row r="19343" ht="15.75" customHeight="1" spans="1:2">
      <c r="A19343" s="3" t="str">
        <f>IFERROR(__xludf.DUMMYFUNCTION("GOOGLETRANSLATE(A19343,""en"",""pt"")"),"Instalação do Windows XP. Long Distance número Para Suporte Técnico.")</f>
        <v>Instalação do Windows XP. Long Distance número Para Suporte Técnico.</v>
      </c>
      <c r="B19343" s="3">
        <v>0</v>
      </c>
    </row>
    <row r="19344" ht="15.75" customHeight="1" spans="1:2">
      <c r="A19344" s="3" t="str">
        <f>IFERROR(__xludf.DUMMYFUNCTION("GOOGLETRANSLATE(A19344,""en"",""pt"")"),"alinhamentos tanque de tinta")</f>
        <v>alinhamentos tanque de tinta</v>
      </c>
      <c r="B19344" s="3">
        <v>0</v>
      </c>
    </row>
    <row r="19345" ht="15.75" customHeight="1" spans="1:2">
      <c r="A19345" s="3" t="str">
        <f>IFERROR(__xludf.DUMMYFUNCTION("GOOGLETRANSLATE(A19345,""en"",""pt"")"),"Nenhum realmente.")</f>
        <v>Nenhum realmente.</v>
      </c>
      <c r="B19345" s="3">
        <v>0</v>
      </c>
    </row>
    <row r="19346" ht="15.75" customHeight="1" spans="1:2">
      <c r="A19346" s="3" t="str">
        <f>IFERROR(__xludf.DUMMYFUNCTION("GOOGLETRANSLATE(A19346,""en"",""pt"")"),"Nenhum falar de")</f>
        <v>Nenhum falar de</v>
      </c>
      <c r="B19346" s="3">
        <v>0</v>
      </c>
    </row>
    <row r="19347" ht="15.75" customHeight="1" spans="1:2">
      <c r="A19347" s="3" t="str">
        <f>IFERROR(__xludf.DUMMYFUNCTION("GOOGLETRANSLATE(A19347,""en"",""pt"")"),"Nada até agora")</f>
        <v>Nada até agora</v>
      </c>
      <c r="B19347" s="3">
        <v>0</v>
      </c>
    </row>
    <row r="19348" ht="15.75" customHeight="1" spans="1:2">
      <c r="A19348" s="3" t="str">
        <f>IFERROR(__xludf.DUMMYFUNCTION("GOOGLETRANSLATE(A19348,""en"",""pt"")"),"tinta molhada esfregaços e estraga impressões se você tocar muito cedo. Retarda computador. Barulhento.")</f>
        <v>tinta molhada esfregaços e estraga impressões se você tocar muito cedo. Retarda computador. Barulhento.</v>
      </c>
      <c r="B19348" s="3">
        <v>0</v>
      </c>
    </row>
    <row r="19349" ht="15.75" customHeight="1" spans="1:2">
      <c r="A19349" s="3" t="str">
        <f>IFERROR(__xludf.DUMMYFUNCTION("GOOGLETRANSLATE(A19349,""en"",""pt"")"),"Parece executar uma limpeza cabeça em ligar e desligar: resíduos de tinta.")</f>
        <v>Parece executar uma limpeza cabeça em ligar e desligar: resíduos de tinta.</v>
      </c>
      <c r="B19349" s="3">
        <v>0</v>
      </c>
    </row>
    <row r="19350" ht="15.75" customHeight="1" spans="1:2">
      <c r="A19350" s="3" t="str">
        <f>IFERROR(__xludf.DUMMYFUNCTION("GOOGLETRANSLATE(A19350,""en"",""pt"")"),"nenhum i ter encontrado")</f>
        <v>nenhum i ter encontrado</v>
      </c>
      <c r="B19350" s="3">
        <v>0</v>
      </c>
    </row>
    <row r="19351" ht="15.75" customHeight="1" spans="1:2">
      <c r="A19351" s="3" t="str">
        <f>IFERROR(__xludf.DUMMYFUNCTION("GOOGLETRANSLATE(A19351,""en"",""pt"")"),"nada que eu possa pensar em")</f>
        <v>nada que eu possa pensar em</v>
      </c>
      <c r="B19351" s="3">
        <v>0</v>
      </c>
    </row>
    <row r="19352" ht="15.75" customHeight="1" spans="1:2">
      <c r="A19352" s="3" t="str">
        <f>IFERROR(__xludf.DUMMYFUNCTION("GOOGLETRANSLATE(A19352,""en"",""pt"")"),"Não para Photo Quality, não relâmpago rápido")</f>
        <v>Não para Photo Quality, não relâmpago rápido</v>
      </c>
      <c r="B19352" s="3">
        <v>0</v>
      </c>
    </row>
    <row r="19353" ht="15.75" customHeight="1" spans="1:2">
      <c r="A19353" s="3" t="str">
        <f>IFERROR(__xludf.DUMMYFUNCTION("GOOGLETRANSLATE(A19353,""en"",""pt"")"),"impressão de fotos pobre. Jams com envelopes. A tinta seque lentamente.")</f>
        <v>impressão de fotos pobre. Jams com envelopes. A tinta seque lentamente.</v>
      </c>
      <c r="B19353" s="3">
        <v>0</v>
      </c>
    </row>
    <row r="19354" ht="15.75" customHeight="1" spans="1:2">
      <c r="A19354" s="3" t="str">
        <f>IFERROR(__xludf.DUMMYFUNCTION("GOOGLETRANSLATE(A19354,""en"",""pt"")"),"limpeza não muito impressionante")</f>
        <v>limpeza não muito impressionante</v>
      </c>
      <c r="B19354" s="3">
        <v>0</v>
      </c>
    </row>
    <row r="19355" ht="15.75" customHeight="1" spans="1:2">
      <c r="A19355" s="3" t="str">
        <f>IFERROR(__xludf.DUMMYFUNCTION("GOOGLETRANSLATE(A19355,""en"",""pt"")"),"Problemas de carregamento do driver para o XP. Sem cabos fornecido.")</f>
        <v>Problemas de carregamento do driver para o XP. Sem cabos fornecido.</v>
      </c>
      <c r="B19355" s="3">
        <v>0</v>
      </c>
    </row>
    <row r="19356" ht="15.75" customHeight="1" spans="1:2">
      <c r="A19356" s="3" t="str">
        <f>IFERROR(__xludf.DUMMYFUNCTION("GOOGLETRANSLATE(A19356,""en"",""pt"")"),"treme violentamente e falha frequentemente")</f>
        <v>treme violentamente e falha frequentemente</v>
      </c>
      <c r="B19356" s="3">
        <v>0</v>
      </c>
    </row>
    <row r="19357" ht="15.75" customHeight="1" spans="1:2">
      <c r="A19357" s="3" t="str">
        <f>IFERROR(__xludf.DUMMYFUNCTION("GOOGLETRANSLATE(A19357,""en"",""pt"")"),"Veio com cabeça de impressão defeituosa.")</f>
        <v>Veio com cabeça de impressão defeituosa.</v>
      </c>
      <c r="B19357" s="3">
        <v>0</v>
      </c>
    </row>
    <row r="19358" ht="15.75" customHeight="1" spans="1:2">
      <c r="A19358" s="3" t="str">
        <f>IFERROR(__xludf.DUMMYFUNCTION("GOOGLETRANSLATE(A19358,""en"",""pt"")"),"Puxando a muitas páginas ao mesmo tempo. Não é o melhor qualidade de impressão.")</f>
        <v>Puxando a muitas páginas ao mesmo tempo. Não é o melhor qualidade de impressão.</v>
      </c>
      <c r="B19358" s="3">
        <v>0</v>
      </c>
    </row>
    <row r="19359" ht="15.75" customHeight="1" spans="1:2">
      <c r="A19359" s="3" t="str">
        <f>IFERROR(__xludf.DUMMYFUNCTION("GOOGLETRANSLATE(A19359,""en"",""pt"")"),"Ocupa muito espaço.")</f>
        <v>Ocupa muito espaço.</v>
      </c>
      <c r="B19359" s="3">
        <v>0</v>
      </c>
    </row>
    <row r="19360" ht="15.75" customHeight="1" spans="1:2">
      <c r="A19360" s="3" t="str">
        <f>IFERROR(__xludf.DUMMYFUNCTION("GOOGLETRANSLATE(A19360,""en"",""pt"")"),"Nenhum")</f>
        <v>Nenhum</v>
      </c>
      <c r="B19360" s="3">
        <v>0</v>
      </c>
    </row>
    <row r="19361" ht="15.75" customHeight="1" spans="1:2">
      <c r="A19361" s="3" t="str">
        <f>IFERROR(__xludf.DUMMYFUNCTION("GOOGLETRANSLATE(A19361,""en"",""pt"")"),"Bandeja de papel")</f>
        <v>Bandeja de papel</v>
      </c>
      <c r="B19361" s="3">
        <v>0</v>
      </c>
    </row>
    <row r="19362" ht="15.75" customHeight="1" spans="1:2">
      <c r="A19362" s="3" t="str">
        <f>IFERROR(__xludf.DUMMYFUNCTION("GOOGLETRANSLATE(A19362,""en"",""pt"")"),"Mal construído em algumas áreas.")</f>
        <v>Mal construído em algumas áreas.</v>
      </c>
      <c r="B19362" s="3">
        <v>0</v>
      </c>
    </row>
    <row r="19363" ht="15.75" customHeight="1" spans="1:2">
      <c r="A19363" s="3" t="str">
        <f>IFERROR(__xludf.DUMMYFUNCTION("GOOGLETRANSLATE(A19363,""en"",""pt"")"),"bandejas de papel frágeis.")</f>
        <v>bandejas de papel frágeis.</v>
      </c>
      <c r="B19363" s="3">
        <v>0</v>
      </c>
    </row>
    <row r="19364" ht="15.75" customHeight="1" spans="1:2">
      <c r="A19364" s="3" t="str">
        <f>IFERROR(__xludf.DUMMYFUNCTION("GOOGLETRANSLATE(A19364,""en"",""pt"")"),"Nenhum.")</f>
        <v>Nenhum.</v>
      </c>
      <c r="B19364" s="3">
        <v>0</v>
      </c>
    </row>
    <row r="19365" ht="15.75" customHeight="1" spans="1:2">
      <c r="A19365" s="3" t="str">
        <f>IFERROR(__xludf.DUMMYFUNCTION("GOOGLETRANSLATE(A19365,""en"",""pt"")"),"lote desonesto de cabeças de impressão.")</f>
        <v>lote desonesto de cabeças de impressão.</v>
      </c>
      <c r="B19365" s="3">
        <v>0</v>
      </c>
    </row>
    <row r="19366" ht="15.75" customHeight="1" spans="1:2">
      <c r="A19366" s="3" t="str">
        <f>IFERROR(__xludf.DUMMYFUNCTION("GOOGLETRANSLATE(A19366,""en"",""pt"")"),"Não consigo pensar em nenhum!")</f>
        <v>Não consigo pensar em nenhum!</v>
      </c>
      <c r="B19366" s="3">
        <v>0</v>
      </c>
    </row>
    <row r="19367" ht="15.75" customHeight="1" spans="1:2">
      <c r="A19367" s="3" t="str">
        <f>IFERROR(__xludf.DUMMYFUNCTION("GOOGLETRANSLATE(A19367,""en"",""pt"")"),"É muito grande - leva-se um pouco de espaço na minha mesa.")</f>
        <v>É muito grande - leva-se um pouco de espaço na minha mesa.</v>
      </c>
      <c r="B19367" s="3">
        <v>0</v>
      </c>
    </row>
    <row r="19368" ht="15.75" customHeight="1" spans="1:2">
      <c r="A19368" s="3" t="str">
        <f>IFERROR(__xludf.DUMMYFUNCTION("GOOGLETRANSLATE(A19368,""en"",""pt"")"),"atolamento de papel que não pode ser corrigida por suporte on-line")</f>
        <v>atolamento de papel que não pode ser corrigida por suporte on-line</v>
      </c>
      <c r="B19368" s="3">
        <v>0</v>
      </c>
    </row>
    <row r="19369" ht="15.75" customHeight="1" spans="1:2">
      <c r="A19369" s="3" t="str">
        <f>IFERROR(__xludf.DUMMYFUNCTION("GOOGLETRANSLATE(A19369,""en"",""pt"")"),"ruidoso, lenta, e uma dor de cabeça de manutenção")</f>
        <v>ruidoso, lenta, e uma dor de cabeça de manutenção</v>
      </c>
      <c r="B19369" s="3">
        <v>0</v>
      </c>
    </row>
    <row r="19370" ht="15.75" customHeight="1" spans="1:2">
      <c r="A19370" s="3" t="str">
        <f>IFERROR(__xludf.DUMMYFUNCTION("GOOGLETRANSLATE(A19370,""en"",""pt"")"),"2 reparos de cabeçote de impressão em um ano - Bico Limpeza drenado todos os cartuchos em 5min")</f>
        <v>2 reparos de cabeçote de impressão em um ano - Bico Limpeza drenado todos os cartuchos em 5min</v>
      </c>
      <c r="B19370" s="3">
        <v>0</v>
      </c>
    </row>
    <row r="19371" ht="15.75" customHeight="1" spans="1:2">
      <c r="A19371" s="3" t="str">
        <f>IFERROR(__xludf.DUMMYFUNCTION("GOOGLETRANSLATE(A19371,""en"",""pt"")"),"alimentação de papel na gaveta seria ótimo, comunicação de rede não perfeito")</f>
        <v>alimentação de papel na gaveta seria ótimo, comunicação de rede não perfeito</v>
      </c>
      <c r="B19371" s="3">
        <v>0</v>
      </c>
    </row>
    <row r="19372" ht="15.75" customHeight="1" spans="1:2">
      <c r="A19372" s="3" t="str">
        <f>IFERROR(__xludf.DUMMYFUNCTION("GOOGLETRANSLATE(A19372,""en"",""pt"")"),"qualidade de texto pobres ... e só impressão a cores foto marginal.")</f>
        <v>qualidade de texto pobres ... e só impressão a cores foto marginal.</v>
      </c>
      <c r="B19372" s="3">
        <v>0</v>
      </c>
    </row>
    <row r="19373" ht="15.75" customHeight="1" spans="1:2">
      <c r="A19373" s="3" t="str">
        <f>IFERROR(__xludf.DUMMYFUNCTION("GOOGLETRANSLATE(A19373,""en"",""pt"")"),"custo inicial alto, fora estúpido bandeja")</f>
        <v>custo inicial alto, fora estúpido bandeja</v>
      </c>
      <c r="B19373" s="3">
        <v>0</v>
      </c>
    </row>
    <row r="19374" ht="15.75" customHeight="1" spans="1:2">
      <c r="A19374" s="3" t="str">
        <f>IFERROR(__xludf.DUMMYFUNCTION("GOOGLETRANSLATE(A19374,""en"",""pt"")"),"não veio com qualquer cabo de conexão ...")</f>
        <v>não veio com qualquer cabo de conexão ...</v>
      </c>
      <c r="B19374" s="3">
        <v>0</v>
      </c>
    </row>
    <row r="19375" ht="15.75" customHeight="1" spans="1:2">
      <c r="A19375" s="3" t="str">
        <f>IFERROR(__xludf.DUMMYFUNCTION("GOOGLETRANSLATE(A19375,""en"",""pt"")"),"predefinidas e em drivers precisam ser mexido ligeiramente.")</f>
        <v>predefinidas e em drivers precisam ser mexido ligeiramente.</v>
      </c>
      <c r="B19375" s="3">
        <v>0</v>
      </c>
    </row>
    <row r="19376" ht="15.75" customHeight="1" spans="1:2">
      <c r="A19376" s="3" t="str">
        <f>IFERROR(__xludf.DUMMYFUNCTION("GOOGLETRANSLATE(A19376,""en"",""pt"")"),"bandejas baratos. a qualidade do texto poderia ser melhor em papel comum. papel carregamento barulhento.")</f>
        <v>bandejas baratos. a qualidade do texto poderia ser melhor em papel comum. papel carregamento barulhento.</v>
      </c>
      <c r="B19376" s="3">
        <v>0</v>
      </c>
    </row>
    <row r="19377" ht="15.75" customHeight="1" spans="1:2">
      <c r="A19377" s="3" t="str">
        <f>IFERROR(__xludf.DUMMYFUNCTION("GOOGLETRANSLATE(A19377,""en"",""pt"")"),"Armazena apenas uma pequena quantidade de papel no alimentador")</f>
        <v>Armazena apenas uma pequena quantidade de papel no alimentador</v>
      </c>
      <c r="B19377" s="3">
        <v>0</v>
      </c>
    </row>
    <row r="19378" ht="15.75" customHeight="1" spans="1:2">
      <c r="A19378" s="3" t="str">
        <f>IFERROR(__xludf.DUMMYFUNCTION("GOOGLETRANSLATE(A19378,""en"",""pt"")"),"NENHUM")</f>
        <v>NENHUM</v>
      </c>
      <c r="B19378" s="3">
        <v>0</v>
      </c>
    </row>
    <row r="19379" ht="15.75" customHeight="1" spans="1:2">
      <c r="A19379" s="3" t="str">
        <f>IFERROR(__xludf.DUMMYFUNCTION("GOOGLETRANSLATE(A19379,""en"",""pt"")"),"Oversleeps ... cheio 45 segundos para imprimir após o primeiro comando de impressão.")</f>
        <v>Oversleeps ... cheio 45 segundos para imprimir após o primeiro comando de impressão.</v>
      </c>
      <c r="B19379" s="3">
        <v>0</v>
      </c>
    </row>
    <row r="19380" ht="15.75" customHeight="1" spans="1:2">
      <c r="A19380" s="3" t="str">
        <f>IFERROR(__xludf.DUMMYFUNCTION("GOOGLETRANSLATE(A19380,""en"",""pt"")"),"Tamanho grande.")</f>
        <v>Tamanho grande.</v>
      </c>
      <c r="B19380" s="3">
        <v>0</v>
      </c>
    </row>
    <row r="19381" ht="15.75" customHeight="1" spans="1:2">
      <c r="A19381" s="3" t="str">
        <f>IFERROR(__xludf.DUMMYFUNCTION("GOOGLETRANSLATE(A19381,""en"",""pt"")"),"restos de tinta em alguns trabalhos de impressão.")</f>
        <v>restos de tinta em alguns trabalhos de impressão.</v>
      </c>
      <c r="B19381" s="3">
        <v>0</v>
      </c>
    </row>
    <row r="19382" ht="15.75" customHeight="1" spans="1:2">
      <c r="A19382" s="3" t="str">
        <f>IFERROR(__xludf.DUMMYFUNCTION("GOOGLETRANSLATE(A19382,""en"",""pt"")"),"Nenhum cabo USB incluído.")</f>
        <v>Nenhum cabo USB incluído.</v>
      </c>
      <c r="B19382" s="3">
        <v>0</v>
      </c>
    </row>
    <row r="19383" ht="15.75" customHeight="1" spans="1:2">
      <c r="A19383" s="3" t="str">
        <f>IFERROR(__xludf.DUMMYFUNCTION("GOOGLETRANSLATE(A19383,""en"",""pt"")"),"Não é possível imprimir várias páginas em uma única página")</f>
        <v>Não é possível imprimir várias páginas em uma única página</v>
      </c>
      <c r="B19383" s="3">
        <v>0</v>
      </c>
    </row>
    <row r="19384" ht="15.75" customHeight="1" spans="1:2">
      <c r="A19384" s="3" t="str">
        <f>IFERROR(__xludf.DUMMYFUNCTION("GOOGLETRANSLATE(A19384,""en"",""pt"")"),"não pode aceitar cartões de memória de câmera digital, cabeça de impressão tem de ser substituídas regularmente")</f>
        <v>não pode aceitar cartões de memória de câmera digital, cabeça de impressão tem de ser substituídas regularmente</v>
      </c>
      <c r="B19384" s="3">
        <v>0</v>
      </c>
    </row>
    <row r="19385" ht="15.75" customHeight="1" spans="1:2">
      <c r="A19385" s="3" t="str">
        <f>IFERROR(__xludf.DUMMYFUNCTION("GOOGLETRANSLATE(A19385,""en"",""pt"")"),"saída de papel comum um pouco confuso, sem cabo USB, lento para iniciar")</f>
        <v>saída de papel comum um pouco confuso, sem cabo USB, lento para iniciar</v>
      </c>
      <c r="B19385" s="3">
        <v>0</v>
      </c>
    </row>
    <row r="19386" ht="15.75" customHeight="1" spans="1:2">
      <c r="A19386" s="3" t="str">
        <f>IFERROR(__xludf.DUMMYFUNCTION("GOOGLETRANSLATE(A19386,""en"",""pt"")"),"Sem USB.")</f>
        <v>Sem USB.</v>
      </c>
      <c r="B19386" s="3">
        <v>0</v>
      </c>
    </row>
    <row r="19387" ht="15.75" customHeight="1" spans="1:2">
      <c r="A19387" s="3" t="str">
        <f>IFERROR(__xludf.DUMMYFUNCTION("GOOGLETRANSLATE(A19387,""en"",""pt"")"),"Um pouco barulhento")</f>
        <v>Um pouco barulhento</v>
      </c>
      <c r="B19387" s="3">
        <v>0</v>
      </c>
    </row>
    <row r="19388" ht="15.75" customHeight="1" spans="1:2">
      <c r="A19388" s="3" t="str">
        <f>IFERROR(__xludf.DUMMYFUNCTION("GOOGLETRANSLATE(A19388,""en"",""pt"")"),"Startup velocidade")</f>
        <v>Startup velocidade</v>
      </c>
      <c r="B19388" s="3">
        <v>0</v>
      </c>
    </row>
    <row r="19389" ht="15.75" customHeight="1" spans="1:2">
      <c r="A19389" s="3" t="str">
        <f>IFERROR(__xludf.DUMMYFUNCTION("GOOGLETRANSLATE(A19389,""en"",""pt"")"),"disposição de tabuleiro de papel fino")</f>
        <v>disposição de tabuleiro de papel fino</v>
      </c>
      <c r="B19389" s="3">
        <v>0</v>
      </c>
    </row>
    <row r="19390" ht="15.75" customHeight="1" spans="1:2">
      <c r="A19390" s="3" t="str">
        <f>IFERROR(__xludf.DUMMYFUNCTION("GOOGLETRANSLATE(A19390,""en"",""pt"")"),"não vem com cabo USB / paralelo !!!")</f>
        <v>não vem com cabo USB / paralelo !!!</v>
      </c>
      <c r="B19390" s="3">
        <v>0</v>
      </c>
    </row>
    <row r="19391" ht="15.75" customHeight="1" spans="1:2">
      <c r="A19391" s="3" t="str">
        <f>IFERROR(__xludf.DUMMYFUNCTION("GOOGLETRANSLATE(A19391,""en"",""pt"")"),"bandejas de papel que procuram baratos")</f>
        <v>bandejas de papel que procuram baratos</v>
      </c>
      <c r="B19391" s="3">
        <v>0</v>
      </c>
    </row>
    <row r="19392" ht="15.75" customHeight="1" spans="1:2">
      <c r="A19392" s="3" t="str">
        <f>IFERROR(__xludf.DUMMYFUNCTION("GOOGLETRANSLATE(A19392,""en"",""pt"")"),"Mais de uma impressora tudo-em torno de uma impressora fotográfica dedicada")</f>
        <v>Mais de uma impressora tudo-em torno de uma impressora fotográfica dedicada</v>
      </c>
      <c r="B19392" s="3">
        <v>0</v>
      </c>
    </row>
    <row r="19393" ht="15.75" customHeight="1" spans="1:2">
      <c r="A19393" s="3" t="str">
        <f>IFERROR(__xludf.DUMMYFUNCTION("GOOGLETRANSLATE(A19393,""en"",""pt"")"),"menos de imagens nítidas")</f>
        <v>menos de imagens nítidas</v>
      </c>
      <c r="B19393" s="3">
        <v>0</v>
      </c>
    </row>
    <row r="19394" ht="15.75" customHeight="1" spans="1:2">
      <c r="A19394" s="3" t="str">
        <f>IFERROR(__xludf.DUMMYFUNCTION("GOOGLETRANSLATE(A19394,""en"",""pt"")"),"Apenas parece bom no papel Canon. Caro")</f>
        <v>Apenas parece bom no papel Canon. Caro</v>
      </c>
      <c r="B19394" s="3">
        <v>0</v>
      </c>
    </row>
    <row r="19395" ht="15.75" customHeight="1" spans="1:2">
      <c r="A19395" s="3" t="str">
        <f>IFERROR(__xludf.DUMMYFUNCTION("GOOGLETRANSLATE(A19395,""en"",""pt"")"),"saída de texto não excepcional ou rápido, Mac condutor não possui configurações salvas e utilidade tanque de tinta")</f>
        <v>saída de texto não excepcional ou rápido, Mac condutor não possui configurações salvas e utilidade tanque de tinta</v>
      </c>
      <c r="B19395" s="3">
        <v>0</v>
      </c>
    </row>
    <row r="19396" ht="15.75" customHeight="1" spans="1:2">
      <c r="A19396" s="3" t="str">
        <f>IFERROR(__xludf.DUMMYFUNCTION("GOOGLETRANSLATE(A19396,""en"",""pt"")"),"fotos 4x6 imprimir apenas bem no papel Canon que é caro.")</f>
        <v>fotos 4x6 imprimir apenas bem no papel Canon que é caro.</v>
      </c>
      <c r="B19396" s="3">
        <v>0</v>
      </c>
    </row>
    <row r="19397" ht="15.75" customHeight="1" spans="1:2">
      <c r="A19397" s="3" t="str">
        <f>IFERROR(__xludf.DUMMYFUNCTION("GOOGLETRANSLATE(A19397,""en"",""pt"")"),"nenhum ainda")</f>
        <v>nenhum ainda</v>
      </c>
      <c r="B19397" s="3">
        <v>0</v>
      </c>
    </row>
    <row r="19398" ht="15.75" customHeight="1" spans="1:2">
      <c r="A19398" s="3" t="str">
        <f>IFERROR(__xludf.DUMMYFUNCTION("GOOGLETRANSLATE(A19398,""en"",""pt"")"),"Nenhum como desta vez")</f>
        <v>Nenhum como desta vez</v>
      </c>
      <c r="B19398" s="3">
        <v>0</v>
      </c>
    </row>
    <row r="19399" ht="15.75" customHeight="1" spans="1:2">
      <c r="A19399" s="3" t="str">
        <f>IFERROR(__xludf.DUMMYFUNCTION("GOOGLETRANSLATE(A19399,""en"",""pt"")"),"Nenhum")</f>
        <v>Nenhum</v>
      </c>
      <c r="B19399" s="3">
        <v>0</v>
      </c>
    </row>
    <row r="19400" ht="15.75" customHeight="1" spans="1:2">
      <c r="A19400" s="3" t="str">
        <f>IFERROR(__xludf.DUMMYFUNCTION("GOOGLETRANSLATE(A19400,""en"",""pt"")"),"se eu precisar pegar alguma coisa - tamanho")</f>
        <v>se eu precisar pegar alguma coisa - tamanho</v>
      </c>
      <c r="B19400" s="3">
        <v>0</v>
      </c>
    </row>
    <row r="19401" ht="15.75" customHeight="1" spans="1:2">
      <c r="A19401" s="3" t="str">
        <f>IFERROR(__xludf.DUMMYFUNCTION("GOOGLETRANSLATE(A19401,""en"",""pt"")"),"imagem impressora ainda caro, errado mostrado por epinions no momento da escrita")</f>
        <v>imagem impressora ainda caro, errado mostrado por epinions no momento da escrita</v>
      </c>
      <c r="B19401" s="3">
        <v>0</v>
      </c>
    </row>
    <row r="19402" ht="15.75" customHeight="1" spans="1:2">
      <c r="A19402" s="3" t="str">
        <f>IFERROR(__xludf.DUMMYFUNCTION("GOOGLETRANSLATE(A19402,""en"",""pt"")"),"Deve usar certos tipos de papel fotográfico &amp; amp; # 13; &amp; amp; # 10; Texto preto sangra em papel comum")</f>
        <v>Deve usar certos tipos de papel fotográfico &amp; amp; # 13; &amp; amp; # 10; Texto preto sangra em papel comum</v>
      </c>
      <c r="B19402" s="3">
        <v>0</v>
      </c>
    </row>
    <row r="19403" ht="15.75" customHeight="1" spans="1:2">
      <c r="A19403" s="3" t="str">
        <f>IFERROR(__xludf.DUMMYFUNCTION("GOOGLETRANSLATE(A19403,""en"",""pt"")"),"preço inicial, impressão de texto lento, impressão de texto pobre em papel comum")</f>
        <v>preço inicial, impressão de texto lento, impressão de texto pobre em papel comum</v>
      </c>
      <c r="B19403" s="3">
        <v>0</v>
      </c>
    </row>
    <row r="19404" ht="15.75" customHeight="1" spans="1:2">
      <c r="A19404" s="3" t="str">
        <f>IFERROR(__xludf.DUMMYFUNCTION("GOOGLETRANSLATE(A19404,""en"",""pt"")"),"texto fuzzy em papel comum, Grande, difícil de encontrar papel fotográfico Canon Pro, Caro")</f>
        <v>texto fuzzy em papel comum, Grande, difícil de encontrar papel fotográfico Canon Pro, Caro</v>
      </c>
      <c r="B19404" s="3">
        <v>0</v>
      </c>
    </row>
    <row r="19405" ht="15.75" customHeight="1" spans="1:2">
      <c r="A19405" s="3" t="str">
        <f>IFERROR(__xludf.DUMMYFUNCTION("GOOGLETRANSLATE(A19405,""en"",""pt"")"),"Texto impressão lento, mas utilizável.")</f>
        <v>Texto impressão lento, mas utilizável.</v>
      </c>
      <c r="B19405" s="3">
        <v>0</v>
      </c>
    </row>
    <row r="19406" ht="15.75" customHeight="1" spans="1:2">
      <c r="A19406" s="3" t="str">
        <f>IFERROR(__xludf.DUMMYFUNCTION("GOOGLETRANSLATE(A19406,""en"",""pt"")"),"Diga-me quando você encontra alguma")</f>
        <v>Diga-me quando você encontra alguma</v>
      </c>
      <c r="B19406" s="3">
        <v>0</v>
      </c>
    </row>
    <row r="19407" ht="15.75" customHeight="1" spans="1:2">
      <c r="A19407" s="3" t="str">
        <f>IFERROR(__xludf.DUMMYFUNCTION("GOOGLETRANSLATE(A19407,""en"",""pt"")"),"Pobre de saída em papel fotográfico 3rd party, imprimir um pouco confuso em papel comum")</f>
        <v>Pobre de saída em papel fotográfico 3rd party, imprimir um pouco confuso em papel comum</v>
      </c>
      <c r="B19407" s="3">
        <v>0</v>
      </c>
    </row>
    <row r="19408" ht="15.75" customHeight="1" spans="1:2">
      <c r="A19408" s="3" t="str">
        <f>IFERROR(__xludf.DUMMYFUNCTION("GOOGLETRANSLATE(A19408,""en"",""pt"")"),"aparência de texto irregular. MacOS X apoiar um pouco subdesenvolvida")</f>
        <v>aparência de texto irregular. MacOS X apoiar um pouco subdesenvolvida</v>
      </c>
      <c r="B19408" s="3">
        <v>0</v>
      </c>
    </row>
    <row r="19409" ht="15.75" customHeight="1" spans="1:2">
      <c r="A19409" s="3" t="str">
        <f>IFERROR(__xludf.DUMMYFUNCTION("GOOGLETRANSLATE(A19409,""en"",""pt"")"),"Nenhum ainda, outras que não é uma impressora bom texto.")</f>
        <v>Nenhum ainda, outras que não é uma impressora bom texto.</v>
      </c>
      <c r="B19409" s="3">
        <v>0</v>
      </c>
    </row>
    <row r="19410" ht="15.75" customHeight="1" spans="1:2">
      <c r="A19410" s="3" t="str">
        <f>IFERROR(__xludf.DUMMYFUNCTION("GOOGLETRANSLATE(A19410,""en"",""pt"")"),"nenhum ainda")</f>
        <v>nenhum ainda</v>
      </c>
      <c r="B19410" s="3">
        <v>0</v>
      </c>
    </row>
    <row r="19411" ht="15.75" customHeight="1" spans="1:2">
      <c r="A19411" s="3" t="str">
        <f>IFERROR(__xludf.DUMMYFUNCTION("GOOGLETRANSLATE(A19411,""en"",""pt"")"),"qualidade de texto quando se usa papel regular. Disponibilidade de papel Canon")</f>
        <v>qualidade de texto quando se usa papel regular. Disponibilidade de papel Canon</v>
      </c>
      <c r="B19411" s="3">
        <v>0</v>
      </c>
    </row>
    <row r="19412" ht="15.75" customHeight="1" spans="1:2">
      <c r="A19412" s="3" t="str">
        <f>IFERROR(__xludf.DUMMYFUNCTION("GOOGLETRANSLATE(A19412,""en"",""pt"")"),"nada até agora")</f>
        <v>nada até agora</v>
      </c>
      <c r="B19412" s="3">
        <v>0</v>
      </c>
    </row>
    <row r="19413" ht="15.75" customHeight="1" spans="1:2">
      <c r="A19413" s="3" t="str">
        <f>IFERROR(__xludf.DUMMYFUNCTION("GOOGLETRANSLATE(A19413,""en"",""pt"")"),"avarias principais")</f>
        <v>avarias principais</v>
      </c>
      <c r="B19413" s="3">
        <v>0</v>
      </c>
    </row>
    <row r="19414" ht="15.75" customHeight="1" spans="1:2">
      <c r="A19414" s="3" t="str">
        <f>IFERROR(__xludf.DUMMYFUNCTION("GOOGLETRANSLATE(A19414,""en"",""pt"")"),"saída de texto não é tão acentuada como algumas outras impressoras")</f>
        <v>saída de texto não é tão acentuada como algumas outras impressoras</v>
      </c>
      <c r="B19414" s="3">
        <v>0</v>
      </c>
    </row>
    <row r="19415" ht="15.75" customHeight="1" spans="1:2">
      <c r="A19415" s="3" t="str">
        <f>IFERROR(__xludf.DUMMYFUNCTION("GOOGLETRANSLATE(A19415,""en"",""pt"")"),"Nenhum cabo USB incluído para o preço., Morreu depois de 9 impressões!")</f>
        <v>Nenhum cabo USB incluído para o preço., Morreu depois de 9 impressões!</v>
      </c>
      <c r="B19415" s="3">
        <v>0</v>
      </c>
    </row>
    <row r="19416" ht="15.75" customHeight="1" spans="1:2">
      <c r="A19416" s="3" t="str">
        <f>IFERROR(__xludf.DUMMYFUNCTION("GOOGLETRANSLATE(A19416,""en"",""pt"")"),"A barulhenta pouco, o preço médio,")</f>
        <v>A barulhenta pouco, o preço médio,</v>
      </c>
      <c r="B19416" s="3">
        <v>0</v>
      </c>
    </row>
    <row r="19417" ht="15.75" customHeight="1" spans="1:2">
      <c r="A19417" s="3" t="str">
        <f>IFERROR(__xludf.DUMMYFUNCTION("GOOGLETRANSLATE(A19417,""en"",""pt"")"),"Nenhum")</f>
        <v>Nenhum</v>
      </c>
      <c r="B19417" s="3">
        <v>0</v>
      </c>
    </row>
    <row r="19418" ht="15.75" customHeight="1" spans="1:2">
      <c r="A19418" s="3" t="str">
        <f>IFERROR(__xludf.DUMMYFUNCTION("GOOGLETRANSLATE(A19418,""en"",""pt"")"),"Tinta eo papel fotográfico Canon Pro é muito caro")</f>
        <v>Tinta eo papel fotográfico Canon Pro é muito caro</v>
      </c>
      <c r="B19418" s="3">
        <v>0</v>
      </c>
    </row>
    <row r="19419" ht="15.75" customHeight="1" spans="1:2">
      <c r="A19419" s="3" t="str">
        <f>IFERROR(__xludf.DUMMYFUNCTION("GOOGLETRANSLATE(A19419,""en"",""pt"")"),"Com o suporte de papel e bandeja de saída, a pegada é grande")</f>
        <v>Com o suporte de papel e bandeja de saída, a pegada é grande</v>
      </c>
      <c r="B19419" s="3">
        <v>0</v>
      </c>
    </row>
    <row r="19420" ht="15.75" customHeight="1" spans="1:2">
      <c r="A19420" s="3" t="str">
        <f>IFERROR(__xludf.DUMMYFUNCTION("GOOGLETRANSLATE(A19420,""en"",""pt"")"),"Printer Driver carece de opções para Papel Mate e Visualização de Impressão")</f>
        <v>Printer Driver carece de opções para Papel Mate e Visualização de Impressão</v>
      </c>
      <c r="B19420" s="3">
        <v>0</v>
      </c>
    </row>
    <row r="19421" ht="15.75" customHeight="1" spans="1:2">
      <c r="A19421" s="3" t="str">
        <f>IFERROR(__xludf.DUMMYFUNCTION("GOOGLETRANSLATE(A19421,""en"",""pt"")"),"O preço!")</f>
        <v>O preço!</v>
      </c>
      <c r="B19421" s="3">
        <v>0</v>
      </c>
    </row>
    <row r="19422" ht="15.75" customHeight="1" spans="1:2">
      <c r="A19422" s="3" t="str">
        <f>IFERROR(__xludf.DUMMYFUNCTION("GOOGLETRANSLATE(A19422,""en"",""pt"")"),"Algumas tintas de reposição")</f>
        <v>Algumas tintas de reposição</v>
      </c>
      <c r="B19422" s="3">
        <v>0</v>
      </c>
    </row>
    <row r="19423" ht="15.75" customHeight="1" spans="1:2">
      <c r="A19423" s="3" t="str">
        <f>IFERROR(__xludf.DUMMYFUNCTION("GOOGLETRANSLATE(A19423,""en"",""pt"")"),"suprimentos mal abastecido, USB somente, faixas e pontos visíveis na inspeção de muito perto.")</f>
        <v>suprimentos mal abastecido, USB somente, faixas e pontos visíveis na inspeção de muito perto.</v>
      </c>
      <c r="B19423" s="3">
        <v>0</v>
      </c>
    </row>
    <row r="19424" ht="15.75" customHeight="1" spans="1:2">
      <c r="A19424" s="3" t="str">
        <f>IFERROR(__xludf.DUMMYFUNCTION("GOOGLETRANSLATE(A19424,""en"",""pt"")"),"No papel fosco da Canon. Teve um pouco de dificuldade alimentar envelopes do casamento.")</f>
        <v>No papel fosco da Canon. Teve um pouco de dificuldade alimentar envelopes do casamento.</v>
      </c>
      <c r="B19424" s="3">
        <v>0</v>
      </c>
    </row>
    <row r="19425" ht="15.75" customHeight="1" spans="1:2">
      <c r="A19425" s="3" t="str">
        <f>IFERROR(__xludf.DUMMYFUNCTION("GOOGLETRANSLATE(A19425,""en"",""pt"")"),"Grande, um pouco caro")</f>
        <v>Grande, um pouco caro</v>
      </c>
      <c r="B19425" s="3">
        <v>0</v>
      </c>
    </row>
    <row r="19426" ht="15.75" customHeight="1" spans="1:2">
      <c r="A19426" s="3" t="str">
        <f>IFERROR(__xludf.DUMMYFUNCTION("GOOGLETRANSLATE(A19426,""en"",""pt"")"),"resolução de texto")</f>
        <v>resolução de texto</v>
      </c>
      <c r="B19426" s="3">
        <v>0</v>
      </c>
    </row>
    <row r="19427" ht="15.75" customHeight="1" spans="1:2">
      <c r="A19427" s="3" t="str">
        <f>IFERROR(__xludf.DUMMYFUNCTION("GOOGLETRANSLATE(A19427,""en"",""pt"")"),"papel canon é caro")</f>
        <v>papel canon é caro</v>
      </c>
      <c r="B19427" s="3">
        <v>0</v>
      </c>
    </row>
    <row r="19428" ht="15.75" customHeight="1" spans="1:2">
      <c r="A19428" s="3" t="str">
        <f>IFERROR(__xludf.DUMMYFUNCTION("GOOGLETRANSLATE(A19428,""en"",""pt"")"),"Preço")</f>
        <v>Preço</v>
      </c>
      <c r="B19428" s="3">
        <v>0</v>
      </c>
    </row>
    <row r="19429" ht="15.75" customHeight="1" spans="1:2">
      <c r="A19429" s="3" t="str">
        <f>IFERROR(__xludf.DUMMYFUNCTION("GOOGLETRANSLATE(A19429,""en"",""pt"")"),"cara de tinta e papel")</f>
        <v>cara de tinta e papel</v>
      </c>
      <c r="B19429" s="3">
        <v>0</v>
      </c>
    </row>
    <row r="19430" ht="15.75" customHeight="1" spans="1:2">
      <c r="A19430" s="3" t="str">
        <f>IFERROR(__xludf.DUMMYFUNCTION("GOOGLETRANSLATE(A19430,""en"",""pt"")"),"NENHUM")</f>
        <v>NENHUM</v>
      </c>
      <c r="B19430" s="3">
        <v>0</v>
      </c>
    </row>
    <row r="19431" ht="15.75" customHeight="1" spans="1:2">
      <c r="A19431" s="3" t="str">
        <f>IFERROR(__xludf.DUMMYFUNCTION("GOOGLETRANSLATE(A19431,""en"",""pt"")"),"Preço, Tamanho")</f>
        <v>Preço, Tamanho</v>
      </c>
      <c r="B19431" s="3">
        <v>0</v>
      </c>
    </row>
    <row r="19432" ht="15.75" customHeight="1" spans="1:2">
      <c r="A19432" s="3" t="str">
        <f>IFERROR(__xludf.DUMMYFUNCTION("GOOGLETRANSLATE(A19432,""en"",""pt"")"),"Necessidades TLC e uma grande quantidade de oração para o trabalho em tudo.")</f>
        <v>Necessidades TLC e uma grande quantidade de oração para o trabalho em tudo.</v>
      </c>
      <c r="B19432" s="3">
        <v>0</v>
      </c>
    </row>
    <row r="19433" ht="15.75" customHeight="1" spans="1:2">
      <c r="A19433" s="3" t="str">
        <f>IFERROR(__xludf.DUMMYFUNCTION("GOOGLETRANSLATE(A19433,""en"",""pt"")"),"realmente o único con, não aplique o cânon foto a ele")</f>
        <v>realmente o único con, não aplique o cânon foto a ele</v>
      </c>
      <c r="B19433" s="3">
        <v>0</v>
      </c>
    </row>
    <row r="19434" ht="15.75" customHeight="1" spans="1:2">
      <c r="A19434" s="3" t="str">
        <f>IFERROR(__xludf.DUMMYFUNCTION("GOOGLETRANSLATE(A19434,""en"",""pt"")"),"Ocupa muito espaço na minha mesa.")</f>
        <v>Ocupa muito espaço na minha mesa.</v>
      </c>
      <c r="B19434" s="3">
        <v>0</v>
      </c>
    </row>
    <row r="19435" ht="15.75" customHeight="1" spans="1:2">
      <c r="A19435" s="3" t="str">
        <f>IFERROR(__xludf.DUMMYFUNCTION("GOOGLETRANSLATE(A19435,""en"",""pt"")"),"Grande pegada. Esteja pronto para desistir de alguma prateleira ou balcão espaço.")</f>
        <v>Grande pegada. Esteja pronto para desistir de alguma prateleira ou balcão espaço.</v>
      </c>
      <c r="B19435" s="3">
        <v>0</v>
      </c>
    </row>
    <row r="19436" ht="15.75" customHeight="1" spans="1:2">
      <c r="A19436" s="3" t="str">
        <f>IFERROR(__xludf.DUMMYFUNCTION("GOOGLETRANSLATE(A19436,""en"",""pt"")"),"Sem suporte de rede PC, políticas pobres, somente USB, suprimentos caros e mal abastecido")</f>
        <v>Sem suporte de rede PC, políticas pobres, somente USB, suprimentos caros e mal abastecido</v>
      </c>
      <c r="B19436" s="3">
        <v>0</v>
      </c>
    </row>
    <row r="19437" ht="15.75" customHeight="1" spans="1:2">
      <c r="A19437" s="3" t="str">
        <f>IFERROR(__xludf.DUMMYFUNCTION("GOOGLETRANSLATE(A19437,""en"",""pt"")"),"Esse papel é difícil de encontrar e não vem em 11 x 14.")</f>
        <v>Esse papel é difícil de encontrar e não vem em 11 x 14.</v>
      </c>
      <c r="B19437" s="3">
        <v>0</v>
      </c>
    </row>
    <row r="19438" ht="15.75" customHeight="1" spans="1:2">
      <c r="A19438" s="3" t="str">
        <f>IFERROR(__xludf.DUMMYFUNCTION("GOOGLETRANSLATE(A19438,""en"",""pt"")"),"nada até agora")</f>
        <v>nada até agora</v>
      </c>
      <c r="B19438" s="3">
        <v>0</v>
      </c>
    </row>
    <row r="19439" ht="15.75" customHeight="1" spans="1:2">
      <c r="A19439" s="3" t="str">
        <f>IFERROR(__xludf.DUMMYFUNCTION("GOOGLETRANSLATE(A19439,""en"",""pt"")"),"loader papel precisa de algum trabalho.")</f>
        <v>loader papel precisa de algum trabalho.</v>
      </c>
      <c r="B19439" s="3">
        <v>0</v>
      </c>
    </row>
    <row r="19440" ht="15.75" customHeight="1" spans="1:2">
      <c r="A19440" s="3" t="str">
        <f>IFERROR(__xludf.DUMMYFUNCTION("GOOGLETRANSLATE(A19440,""en"",""pt"")"),"Apenas papel da marca Canon faz impressões decentes; muito alto.")</f>
        <v>Apenas papel da marca Canon faz impressões decentes; muito alto.</v>
      </c>
      <c r="B19440" s="3">
        <v>0</v>
      </c>
    </row>
    <row r="19441" ht="15.75" customHeight="1" spans="1:2">
      <c r="A19441" s="3" t="str">
        <f>IFERROR(__xludf.DUMMYFUNCTION("GOOGLETRANSLATE(A19441,""en"",""pt"")"),"Sem proteção da lente, não é verdade 2.1 Megapixels, sem zoom óptico")</f>
        <v>Sem proteção da lente, não é verdade 2.1 Megapixels, sem zoom óptico</v>
      </c>
      <c r="B19441" s="3">
        <v>0</v>
      </c>
    </row>
    <row r="19442" ht="15.75" customHeight="1" spans="1:2">
      <c r="A19442" s="3" t="str">
        <f>IFERROR(__xludf.DUMMYFUNCTION("GOOGLETRANSLATE(A19442,""en"",""pt"")"),"Caro, não tampa da lente, distorcido Zoom fotos, eu preciso de um MP3-player na minha câmera?")</f>
        <v>Caro, não tampa da lente, distorcido Zoom fotos, eu preciso de um MP3-player na minha câmera?</v>
      </c>
      <c r="B19442" s="3">
        <v>0</v>
      </c>
    </row>
    <row r="19443" ht="15.75" customHeight="1" spans="1:2">
      <c r="A19443" s="3" t="str">
        <f>IFERROR(__xludf.DUMMYFUNCTION("GOOGLETRANSLATE(A19443,""en"",""pt"")"),"Quando cheguei em casa, não funcionou.")</f>
        <v>Quando cheguei em casa, não funcionou.</v>
      </c>
      <c r="B19443" s="3">
        <v>0</v>
      </c>
    </row>
    <row r="19444" ht="15.75" customHeight="1" spans="1:2">
      <c r="A19444" s="3" t="str">
        <f>IFERROR(__xludf.DUMMYFUNCTION("GOOGLETRANSLATE(A19444,""en"",""pt"")"),"minúsculo joystick difícil de manipular. sem tampa da lente. sem zoom óptico. preço.")</f>
        <v>minúsculo joystick difícil de manipular. sem tampa da lente. sem zoom óptico. preço.</v>
      </c>
      <c r="B19444" s="3">
        <v>0</v>
      </c>
    </row>
    <row r="19445" ht="15.75" customHeight="1" spans="1:2">
      <c r="A19445" s="3" t="str">
        <f>IFERROR(__xludf.DUMMYFUNCTION("GOOGLETRANSLATE(A19445,""en"",""pt"")"),"As baterias não são padrão, recarga somente através do berço")</f>
        <v>As baterias não são padrão, recarga somente através do berço</v>
      </c>
      <c r="B19445" s="3">
        <v>0</v>
      </c>
    </row>
    <row r="19446" ht="15.75" customHeight="1" spans="1:2">
      <c r="A19446" s="3" t="str">
        <f>IFERROR(__xludf.DUMMYFUNCTION("GOOGLETRANSLATE(A19446,""en"",""pt"")"),"NÃO HÁ NENHUM!")</f>
        <v>NÃO HÁ NENHUM!</v>
      </c>
      <c r="B19446" s="3">
        <v>0</v>
      </c>
    </row>
    <row r="19447" ht="15.75" customHeight="1" spans="1:2">
      <c r="A19447" s="3" t="str">
        <f>IFERROR(__xludf.DUMMYFUNCTION("GOOGLETRANSLATE(A19447,""en"",""pt"")"),"Nenhum")</f>
        <v>Nenhum</v>
      </c>
      <c r="B19447" s="3">
        <v>0</v>
      </c>
    </row>
    <row r="19448" ht="15.75" customHeight="1" spans="1:2">
      <c r="A19448" s="3" t="str">
        <f>IFERROR(__xludf.DUMMYFUNCTION("GOOGLETRANSLATE(A19448,""en"",""pt"")"),"Caro. Sem zoom óptico. Necessidade docking station para carregar ou a carga da bateria.")</f>
        <v>Caro. Sem zoom óptico. Necessidade docking station para carregar ou a carga da bateria.</v>
      </c>
      <c r="B19448" s="3">
        <v>0</v>
      </c>
    </row>
    <row r="19449" ht="15.75" customHeight="1" spans="1:2">
      <c r="A19449" s="3" t="str">
        <f>IFERROR(__xludf.DUMMYFUNCTION("GOOGLETRANSLATE(A19449,""en"",""pt"")"),"No modo macro, sem zoom óptico, o controle joystick sensível,")</f>
        <v>No modo macro, sem zoom óptico, o controle joystick sensível,</v>
      </c>
      <c r="B19449" s="3">
        <v>0</v>
      </c>
    </row>
    <row r="19450" ht="15.75" customHeight="1" spans="1:2">
      <c r="A19450" s="3" t="str">
        <f>IFERROR(__xludf.DUMMYFUNCTION("GOOGLETRANSLATE(A19450,""en"",""pt"")"),"Nenhum")</f>
        <v>Nenhum</v>
      </c>
      <c r="B19450" s="3">
        <v>0</v>
      </c>
    </row>
    <row r="19451" ht="15.75" customHeight="1" spans="1:2">
      <c r="A19451" s="3" t="str">
        <f>IFERROR(__xludf.DUMMYFUNCTION("GOOGLETRANSLATE(A19451,""en"",""pt"")"),"No modo macro")</f>
        <v>No modo macro</v>
      </c>
      <c r="B19451" s="3">
        <v>0</v>
      </c>
    </row>
    <row r="19452" ht="15.75" customHeight="1" spans="1:2">
      <c r="A19452" s="3" t="str">
        <f>IFERROR(__xludf.DUMMYFUNCTION("GOOGLETRANSLATE(A19452,""en"",""pt"")"),"Devem ser embalados com caixa ou, pelo menos, uma tampa da lente. No Macro.")</f>
        <v>Devem ser embalados com caixa ou, pelo menos, uma tampa da lente. No Macro.</v>
      </c>
      <c r="B19452" s="3">
        <v>0</v>
      </c>
    </row>
    <row r="19453" ht="15.75" customHeight="1" spans="1:2">
      <c r="A19453" s="3" t="str">
        <f>IFERROR(__xludf.DUMMYFUNCTION("GOOGLETRANSLATE(A19453,""en"",""pt"")"),"minúsculo joystick, sem zoom óptico, acessórios adiada.")</f>
        <v>minúsculo joystick, sem zoom óptico, acessórios adiada.</v>
      </c>
      <c r="B19453" s="3">
        <v>0</v>
      </c>
    </row>
    <row r="19454" ht="15.75" customHeight="1" spans="1:2">
      <c r="A19454" s="3" t="str">
        <f>IFERROR(__xludf.DUMMYFUNCTION("GOOGLETRANSLATE(A19454,""en"",""pt"")"),"colocação botão de energia estranha. Sem zoom.")</f>
        <v>colocação botão de energia estranha. Sem zoom.</v>
      </c>
      <c r="B19454" s="3">
        <v>0</v>
      </c>
    </row>
    <row r="19455" ht="15.75" customHeight="1" spans="1:2">
      <c r="A19455" s="3" t="str">
        <f>IFERROR(__xludf.DUMMYFUNCTION("GOOGLETRANSLATE(A19455,""en"",""pt"")"),"Terrível de zoom, o comprimento focal fixo")</f>
        <v>Terrível de zoom, o comprimento focal fixo</v>
      </c>
      <c r="B19455" s="3">
        <v>0</v>
      </c>
    </row>
    <row r="19456" ht="15.75" customHeight="1" spans="1:2">
      <c r="A19456" s="3" t="str">
        <f>IFERROR(__xludf.DUMMYFUNCTION("GOOGLETRANSLATE(A19456,""en"",""pt"")"),"retardar lente de foco fixo (= qualidade de imagem média), sem zoom óptico, sem tripé")</f>
        <v>retardar lente de foco fixo (= qualidade de imagem média), sem zoom óptico, sem tripé</v>
      </c>
      <c r="B19456" s="3">
        <v>0</v>
      </c>
    </row>
    <row r="19457" ht="15.75" customHeight="1" spans="1:2">
      <c r="A19457" s="3" t="str">
        <f>IFERROR(__xludf.DUMMYFUNCTION("GOOGLETRANSLATE(A19457,""en"",""pt"")"),"tampa da ficha pequeno porto fácil de perder, não vem com um caso. Preço.")</f>
        <v>tampa da ficha pequeno porto fácil de perder, não vem com um caso. Preço.</v>
      </c>
      <c r="B19457" s="3">
        <v>0</v>
      </c>
    </row>
    <row r="19458" ht="15.75" customHeight="1" spans="1:2">
      <c r="A19458" s="3" t="str">
        <f>IFERROR(__xludf.DUMMYFUNCTION("GOOGLETRANSLATE(A19458,""en"",""pt"")"),"NADA!")</f>
        <v>NADA!</v>
      </c>
      <c r="B19458" s="3">
        <v>0</v>
      </c>
    </row>
    <row r="19459" ht="15.75" customHeight="1" spans="1:2">
      <c r="A19459" s="3" t="str">
        <f>IFERROR(__xludf.DUMMYFUNCTION("GOOGLETRANSLATE(A19459,""en"",""pt"")"),"Flash não poderoso para o fundo, minúsculo joystick de controle, sem zoom (digital realmente doesnt contagem, qualquer caso / lenscover")</f>
        <v>Flash não poderoso para o fundo, minúsculo joystick de controle, sem zoom (digital realmente doesnt contagem, qualquer caso / lenscover</v>
      </c>
      <c r="B19459" s="3">
        <v>0</v>
      </c>
    </row>
    <row r="19460" ht="15.75" customHeight="1" spans="1:2">
      <c r="A19460" s="3" t="str">
        <f>IFERROR(__xludf.DUMMYFUNCTION("GOOGLETRANSLATE(A19460,""en"",""pt"")"),"Horrível qualidade de imagem. Flash fraco")</f>
        <v>Horrível qualidade de imagem. Flash fraco</v>
      </c>
      <c r="B19460" s="3">
        <v>0</v>
      </c>
    </row>
    <row r="19461" ht="15.75" customHeight="1" spans="1:2">
      <c r="A19461" s="3" t="str">
        <f>IFERROR(__xludf.DUMMYFUNCTION("GOOGLETRANSLATE(A19461,""en"",""pt"")"),"imagens ao ar livre borradas")</f>
        <v>imagens ao ar livre borradas</v>
      </c>
      <c r="B19461" s="3">
        <v>0</v>
      </c>
    </row>
    <row r="19462" ht="15.75" customHeight="1" spans="1:2">
      <c r="A19462" s="3" t="str">
        <f>IFERROR(__xludf.DUMMYFUNCTION("GOOGLETRANSLATE(A19462,""en"",""pt"")"),"mau zoom, nenhum caso")</f>
        <v>mau zoom, nenhum caso</v>
      </c>
      <c r="B19462" s="3">
        <v>0</v>
      </c>
    </row>
    <row r="19463" ht="15.75" customHeight="1" spans="1:2">
      <c r="A19463" s="3" t="str">
        <f>IFERROR(__xludf.DUMMYFUNCTION("GOOGLETRANSLATE(A19463,""en"",""pt"")"),"Manipulação pobre luz ao ar livre, velocidade do obturador lenta, nenhum recurso de macro e nenhum caso.")</f>
        <v>Manipulação pobre luz ao ar livre, velocidade do obturador lenta, nenhum recurso de macro e nenhum caso.</v>
      </c>
      <c r="B19463" s="3">
        <v>0</v>
      </c>
    </row>
    <row r="19464" ht="15.75" customHeight="1" spans="1:2">
      <c r="A19464" s="3" t="str">
        <f>IFERROR(__xludf.DUMMYFUNCTION("GOOGLETRANSLATE(A19464,""en"",""pt"")"),"bateria recarregável, borrada zoom out quando Max")</f>
        <v>bateria recarregável, borrada zoom out quando Max</v>
      </c>
      <c r="B19464" s="3">
        <v>0</v>
      </c>
    </row>
    <row r="19465" ht="15.75" customHeight="1" spans="1:2">
      <c r="A19465" s="3" t="str">
        <f>IFERROR(__xludf.DUMMYFUNCTION("GOOGLETRANSLATE(A19465,""en"",""pt"")"),"preço, a duração da bateria (como é com todas as câmeras, tente usar a tela tão pouco quanto possível.)")</f>
        <v>preço, a duração da bateria (como é com todas as câmeras, tente usar a tela tão pouco quanto possível.)</v>
      </c>
      <c r="B19465" s="3">
        <v>0</v>
      </c>
    </row>
    <row r="19466" ht="15.75" customHeight="1" spans="1:2">
      <c r="A19466" s="3" t="str">
        <f>IFERROR(__xludf.DUMMYFUNCTION("GOOGLETRANSLATE(A19466,""en"",""pt"")"),"nenhum para falar de")</f>
        <v>nenhum para falar de</v>
      </c>
      <c r="B19466" s="3">
        <v>0</v>
      </c>
    </row>
    <row r="19467" ht="15.75" customHeight="1" spans="1:2">
      <c r="A19467" s="3" t="str">
        <f>IFERROR(__xludf.DUMMYFUNCTION("GOOGLETRANSLATE(A19467,""en"",""pt"")"),"zooms em apenas uma parte da imagem")</f>
        <v>zooms em apenas uma parte da imagem</v>
      </c>
      <c r="B19467" s="3">
        <v>0</v>
      </c>
    </row>
    <row r="19468" ht="15.75" customHeight="1" spans="1:2">
      <c r="A19468" s="3" t="str">
        <f>IFERROR(__xludf.DUMMYFUNCTION("GOOGLETRANSLATE(A19468,""en"",""pt"")"),"Zooms porcaria, mas, em seguida, se você queria um zoom que você teria comprado a EX-Z3.")</f>
        <v>Zooms porcaria, mas, em seguida, se você queria um zoom que você teria comprado a EX-Z3.</v>
      </c>
      <c r="B19468" s="3">
        <v>0</v>
      </c>
    </row>
    <row r="19469" ht="15.75" customHeight="1" spans="1:2">
      <c r="A19469" s="3" t="str">
        <f>IFERROR(__xludf.DUMMYFUNCTION("GOOGLETRANSLATE(A19469,""en"",""pt"")"),"Sem Zoom Óptico, Cradle necessário para sincronização.")</f>
        <v>Sem Zoom Óptico, Cradle necessário para sincronização.</v>
      </c>
      <c r="B19469" s="3">
        <v>0</v>
      </c>
    </row>
    <row r="19470" ht="15.75" customHeight="1" spans="1:2">
      <c r="A19470" s="3" t="str">
        <f>IFERROR(__xludf.DUMMYFUNCTION("GOOGLETRANSLATE(A19470,""en"",""pt"")"),"única recarregáveis ​​na base USB, necessidade de comprar periféricos para uma melhor experiência global")</f>
        <v>única recarregáveis ​​na base USB, necessidade de comprar periféricos para uma melhor experiência global</v>
      </c>
      <c r="B19470" s="3">
        <v>0</v>
      </c>
    </row>
    <row r="19471" ht="15.75" customHeight="1" spans="1:2">
      <c r="A19471" s="3" t="str">
        <f>IFERROR(__xludf.DUMMYFUNCTION("GOOGLETRANSLATE(A19471,""en"",""pt"")"),"vida e carregamento da bateria capacidades são um problema")</f>
        <v>vida e carregamento da bateria capacidades são um problema</v>
      </c>
      <c r="B19471" s="3">
        <v>0</v>
      </c>
    </row>
    <row r="19472" ht="15.75" customHeight="1" spans="1:2">
      <c r="A19472" s="3" t="str">
        <f>IFERROR(__xludf.DUMMYFUNCTION("GOOGLETRANSLATE(A19472,""en"",""pt"")"),"A qualidade da imagem é aweful")</f>
        <v>A qualidade da imagem é aweful</v>
      </c>
      <c r="B19472" s="3">
        <v>0</v>
      </c>
    </row>
    <row r="19473" ht="15.75" customHeight="1" spans="1:2">
      <c r="A19473" s="3" t="str">
        <f>IFERROR(__xludf.DUMMYFUNCTION("GOOGLETRANSLATE(A19473,""en"",""pt"")"),"Os cartões SD são caros")</f>
        <v>Os cartões SD são caros</v>
      </c>
      <c r="B19473" s="3">
        <v>0</v>
      </c>
    </row>
    <row r="19474" ht="15.75" customHeight="1" spans="1:2">
      <c r="A19474" s="3" t="str">
        <f>IFERROR(__xludf.DUMMYFUNCTION("GOOGLETRANSLATE(A19474,""en"",""pt"")"),"Sem zoom óptico, não macro, baixa autonomia de bateria, flash da câmera quebrou depois de um mês, glitchy.")</f>
        <v>Sem zoom óptico, não macro, baixa autonomia de bateria, flash da câmera quebrou depois de um mês, glitchy.</v>
      </c>
      <c r="B19474" s="3">
        <v>0</v>
      </c>
    </row>
    <row r="19475" ht="15.75" customHeight="1" spans="1:2">
      <c r="A19475" s="3" t="str">
        <f>IFERROR(__xludf.DUMMYFUNCTION("GOOGLETRANSLATE(A19475,""en"",""pt"")"),"Fácil de perder por causa de seu pequeno tamanho!")</f>
        <v>Fácil de perder por causa de seu pequeno tamanho!</v>
      </c>
      <c r="B19475" s="3">
        <v>0</v>
      </c>
    </row>
    <row r="19476" ht="15.75" customHeight="1" spans="1:2">
      <c r="A19476" s="3" t="str">
        <f>IFERROR(__xludf.DUMMYFUNCTION("GOOGLETRANSLATE(A19476,""en"",""pt"")"),"Não há queixas legítimas - um aviso. Veja a avaliação completa para mais detalhes.")</f>
        <v>Não há queixas legítimas - um aviso. Veja a avaliação completa para mais detalhes.</v>
      </c>
      <c r="B19476" s="3">
        <v>0</v>
      </c>
    </row>
    <row r="19477" ht="15.75" customHeight="1" spans="1:2">
      <c r="A19477" s="3" t="str">
        <f>IFERROR(__xludf.DUMMYFUNCTION("GOOGLETRANSLATE(A19477,""en"",""pt"")"),"Bad digital de Zoom")</f>
        <v>Bad digital de Zoom</v>
      </c>
      <c r="B19477" s="3">
        <v>0</v>
      </c>
    </row>
    <row r="19478" ht="15.75" customHeight="1" spans="1:2">
      <c r="A19478" s="3" t="str">
        <f>IFERROR(__xludf.DUMMYFUNCTION("GOOGLETRANSLATE(A19478,""en"",""pt"")"),"Sem zoom óptico, visor óptico só mostra 80% do que você está atirando")</f>
        <v>Sem zoom óptico, visor óptico só mostra 80% do que você está atirando</v>
      </c>
      <c r="B19478" s="3">
        <v>0</v>
      </c>
    </row>
    <row r="19479" ht="15.75" customHeight="1" spans="1:2">
      <c r="A19479" s="3" t="str">
        <f>IFERROR(__xludf.DUMMYFUNCTION("GOOGLETRANSLATE(A19479,""en"",""pt"")"),"Ele quebra, flash não funciona, sem zoom adequado, morre rápida da bateria.")</f>
        <v>Ele quebra, flash não funciona, sem zoom adequado, morre rápida da bateria.</v>
      </c>
      <c r="B19479" s="3">
        <v>0</v>
      </c>
    </row>
    <row r="19480" ht="15.75" customHeight="1" spans="1:2">
      <c r="A19480" s="3" t="str">
        <f>IFERROR(__xludf.DUMMYFUNCTION("GOOGLETRANSLATE(A19480,""en"",""pt"")"),"equilíbrio de cor Auto não é perfeito, necessidade de usar o dock para todas as conexões")</f>
        <v>equilíbrio de cor Auto não é perfeito, necessidade de usar o dock para todas as conexões</v>
      </c>
      <c r="B19480" s="3">
        <v>0</v>
      </c>
    </row>
    <row r="19481" ht="15.75" customHeight="1" spans="1:2">
      <c r="A19481" s="3" t="str">
        <f>IFERROR(__xludf.DUMMYFUNCTION("GOOGLETRANSLATE(A19481,""en"",""pt"")"),"Precisa de mãos firmes ,, controles Minúsculas")</f>
        <v>Precisa de mãos firmes ,, controles Minúsculas</v>
      </c>
      <c r="B19481" s="3">
        <v>0</v>
      </c>
    </row>
    <row r="19482" ht="15.75" customHeight="1" spans="1:2">
      <c r="A19482" s="3" t="str">
        <f>IFERROR(__xludf.DUMMYFUNCTION("GOOGLETRANSLATE(A19482,""en"",""pt"")"),"Não que eu estou ciente de! Esta câmera é grande!")</f>
        <v>Não que eu estou ciente de! Esta câmera é grande!</v>
      </c>
      <c r="B19482" s="3">
        <v>0</v>
      </c>
    </row>
    <row r="19483" ht="15.75" customHeight="1" spans="1:2">
      <c r="A19483" s="3" t="str">
        <f>IFERROR(__xludf.DUMMYFUNCTION("GOOGLETRANSLATE(A19483,""en"",""pt"")"),"Tela amarelada, ruído de imagem, Bad Zoom Incrementos")</f>
        <v>Tela amarelada, ruído de imagem, Bad Zoom Incrementos</v>
      </c>
      <c r="B19483" s="3">
        <v>0</v>
      </c>
    </row>
    <row r="19484" ht="15.75" customHeight="1" spans="1:2">
      <c r="A19484" s="3" t="str">
        <f>IFERROR(__xludf.DUMMYFUNCTION("GOOGLETRANSLATE(A19484,""en"",""pt"")"),"Difícil focar tiros à distância, os controles podem ""armadilha"" um em opções indesejadas")</f>
        <v>Difícil focar tiros à distância, os controles podem "armadilha" um em opções indesejadas</v>
      </c>
      <c r="B19484" s="3">
        <v>0</v>
      </c>
    </row>
    <row r="19485" ht="15.75" customHeight="1" spans="1:2">
      <c r="A19485" s="3" t="str">
        <f>IFERROR(__xludf.DUMMYFUNCTION("GOOGLETRANSLATE(A19485,""en"",""pt"")"),"- Necessidades mãos firmes")</f>
        <v>- Necessidades mãos firmes</v>
      </c>
      <c r="B19485" s="3">
        <v>0</v>
      </c>
    </row>
    <row r="19486" ht="15.75" customHeight="1" spans="1:2">
      <c r="A19486" s="3" t="str">
        <f>IFERROR(__xludf.DUMMYFUNCTION("GOOGLETRANSLATE(A19486,""en"",""pt"")"),"Deve ter mão firme")</f>
        <v>Deve ter mão firme</v>
      </c>
      <c r="B19486" s="3">
        <v>0</v>
      </c>
    </row>
    <row r="19487" ht="15.75" customHeight="1" spans="1:2">
      <c r="A19487" s="3" t="str">
        <f>IFERROR(__xludf.DUMMYFUNCTION("GOOGLETRANSLATE(A19487,""en"",""pt"")"),"No carregador de viagem - apenas docking station, gerenciamento de memória ruim")</f>
        <v>No carregador de viagem - apenas docking station, gerenciamento de memória ruim</v>
      </c>
      <c r="B19487" s="3">
        <v>0</v>
      </c>
    </row>
    <row r="19488" ht="15.75" customHeight="1" spans="1:2">
      <c r="A19488" s="3" t="str">
        <f>IFERROR(__xludf.DUMMYFUNCTION("GOOGLETRANSLATE(A19488,""en"",""pt"")"),"cor branda, imagens degrada zoom digital")</f>
        <v>cor branda, imagens degrada zoom digital</v>
      </c>
      <c r="B19488" s="3">
        <v>0</v>
      </c>
    </row>
    <row r="19489" ht="15.75" customHeight="1" spans="1:2">
      <c r="A19489" s="3" t="str">
        <f>IFERROR(__xludf.DUMMYFUNCTION("GOOGLETRANSLATE(A19489,""en"",""pt"")"),"Hmmm ... tendo dificuldades com um ""con"".")</f>
        <v>Hmmm ... tendo dificuldades com um "con".</v>
      </c>
      <c r="B19489" s="3">
        <v>0</v>
      </c>
    </row>
    <row r="19490" ht="15.75" customHeight="1" spans="1:2">
      <c r="A19490" s="3" t="str">
        <f>IFERROR(__xludf.DUMMYFUNCTION("GOOGLETRANSLATE(A19490,""en"",""pt"")"),"""Lavagem azul"" ao tirar fotos sob luz solar intensa, conexão serial")</f>
        <v>"Lavagem azul" ao tirar fotos sob luz solar intensa, conexão serial</v>
      </c>
      <c r="B19490" s="3">
        <v>0</v>
      </c>
    </row>
    <row r="19491" ht="15.75" customHeight="1" spans="1:2">
      <c r="A19491" s="3" t="str">
        <f>IFERROR(__xludf.DUMMYFUNCTION("GOOGLETRANSLATE(A19491,""en"",""pt"")"),"come-se pilhas como eles estão saindo de moda, não muito espaço")</f>
        <v>come-se pilhas como eles estão saindo de moda, não muito espaço</v>
      </c>
      <c r="B19491" s="3">
        <v>0</v>
      </c>
    </row>
    <row r="19492" ht="15.75" customHeight="1" spans="1:2">
      <c r="A19492" s="3" t="str">
        <f>IFERROR(__xludf.DUMMYFUNCTION("GOOGLETRANSLATE(A19492,""en"",""pt"")"),"Faltando tantos recursos")</f>
        <v>Faltando tantos recursos</v>
      </c>
      <c r="B19492" s="3">
        <v>0</v>
      </c>
    </row>
    <row r="19493" ht="15.75" customHeight="1" spans="1:2">
      <c r="A19493" s="3" t="str">
        <f>IFERROR(__xludf.DUMMYFUNCTION("GOOGLETRANSLATE(A19493,""en"",""pt"")"),"só funciona na luz brilhante")</f>
        <v>só funciona na luz brilhante</v>
      </c>
      <c r="B19493" s="3">
        <v>0</v>
      </c>
    </row>
    <row r="19494" ht="15.75" customHeight="1" spans="1:2">
      <c r="A19494" s="3" t="str">
        <f>IFERROR(__xludf.DUMMYFUNCTION("GOOGLETRANSLATE(A19494,""en"",""pt"")"),"baixa qualidade de imagem, sem flash, lente fixa")</f>
        <v>baixa qualidade de imagem, sem flash, lente fixa</v>
      </c>
      <c r="B19494" s="3">
        <v>0</v>
      </c>
    </row>
    <row r="19495" ht="15.75" customHeight="1" spans="1:2">
      <c r="A19495" s="3" t="str">
        <f>IFERROR(__xludf.DUMMYFUNCTION("GOOGLETRANSLATE(A19495,""en"",""pt"")"),"Nenhuma mídia removíveis, sem flash, baixas resoluções")</f>
        <v>Nenhuma mídia removíveis, sem flash, baixas resoluções</v>
      </c>
      <c r="B19495" s="3">
        <v>0</v>
      </c>
    </row>
    <row r="19496" ht="15.75" customHeight="1" spans="1:2">
      <c r="A19496" s="3" t="str">
        <f>IFERROR(__xludf.DUMMYFUNCTION("GOOGLETRANSLATE(A19496,""en"",""pt"")"),"Alta de drenagem da bateria / Desenho de maleta em On / Off Switch")</f>
        <v>Alta de drenagem da bateria / Desenho de maleta em On / Off Switch</v>
      </c>
      <c r="B19496" s="3">
        <v>0</v>
      </c>
    </row>
    <row r="19497" ht="15.75" customHeight="1" spans="1:2">
      <c r="A19497" s="3" t="str">
        <f>IFERROR(__xludf.DUMMYFUNCTION("GOOGLETRANSLATE(A19497,""en"",""pt"")"),"No Flash-lenta memória de actualização-No Externa e só baixar serial.")</f>
        <v>No Flash-lenta memória de actualização-No Externa e só baixar serial.</v>
      </c>
      <c r="B19497" s="3">
        <v>0</v>
      </c>
    </row>
    <row r="19498" ht="15.75" customHeight="1" spans="1:2">
      <c r="A19498" s="3" t="str">
        <f>IFERROR(__xludf.DUMMYFUNCTION("GOOGLETRANSLATE(A19498,""en"",""pt"")"),"Sem zoom, sem flash, mau visor, velho.")</f>
        <v>Sem zoom, sem flash, mau visor, velho.</v>
      </c>
      <c r="B19498" s="3">
        <v>0</v>
      </c>
    </row>
    <row r="19499" ht="15.75" customHeight="1" spans="1:2">
      <c r="A19499" s="3" t="str">
        <f>IFERROR(__xludf.DUMMYFUNCTION("GOOGLETRANSLATE(A19499,""en"",""pt"")"),"a vida da bateria ruim, localização plugue")</f>
        <v>a vida da bateria ruim, localização plugue</v>
      </c>
      <c r="B19499" s="3">
        <v>0</v>
      </c>
    </row>
    <row r="19500" ht="15.75" customHeight="1" spans="1:2">
      <c r="A19500" s="3" t="str">
        <f>IFERROR(__xludf.DUMMYFUNCTION("GOOGLETRANSLATE(A19500,""en"",""pt"")"),"Médio Qualidade Switches, lente fixa, In Camera Storage Media, Pixel Densidade")</f>
        <v>Médio Qualidade Switches, lente fixa, In Camera Storage Media, Pixel Densidade</v>
      </c>
      <c r="B19500" s="3">
        <v>0</v>
      </c>
    </row>
    <row r="19501" ht="15.75" customHeight="1" spans="1:2">
      <c r="A19501" s="3" t="str">
        <f>IFERROR(__xludf.DUMMYFUNCTION("GOOGLETRANSLATE(A19501,""en"",""pt"")"),"pobres fotos de qualidade, má memória")</f>
        <v>pobres fotos de qualidade, má memória</v>
      </c>
      <c r="B19501" s="3">
        <v>0</v>
      </c>
    </row>
    <row r="19502" ht="15.75" customHeight="1" spans="1:2">
      <c r="A19502" s="3" t="str">
        <f>IFERROR(__xludf.DUMMYFUNCTION("GOOGLETRANSLATE(A19502,""en"",""pt"")"),"Pobre resolução imagem, sem adicionais de capacidade de armazenamento de fotografias.")</f>
        <v>Pobre resolução imagem, sem adicionais de capacidade de armazenamento de fotografias.</v>
      </c>
      <c r="B19502" s="3">
        <v>0</v>
      </c>
    </row>
    <row r="19503" ht="15.75" customHeight="1" spans="1:2">
      <c r="A19503" s="3" t="str">
        <f>IFERROR(__xludf.DUMMYFUNCTION("GOOGLETRANSLATE(A19503,""en"",""pt"")"),"Baixa resolução; Casio não responde.")</f>
        <v>Baixa resolução; Casio não responde.</v>
      </c>
      <c r="B19503" s="3">
        <v>0</v>
      </c>
    </row>
    <row r="19504" ht="15.75" customHeight="1" spans="1:2">
      <c r="A19504" s="3" t="str">
        <f>IFERROR(__xludf.DUMMYFUNCTION("GOOGLETRANSLATE(A19504,""en"",""pt"")"),"faz companhia não apoiar o seu produto!")</f>
        <v>faz companhia não apoiar o seu produto!</v>
      </c>
      <c r="B19504" s="3">
        <v>0</v>
      </c>
    </row>
    <row r="19505" ht="15.75" customHeight="1" spans="1:2">
      <c r="A19505" s="3" t="str">
        <f>IFERROR(__xludf.DUMMYFUNCTION("GOOGLETRANSLATE(A19505,""en"",""pt"")"),"Sem Zoom")</f>
        <v>Sem Zoom</v>
      </c>
      <c r="B19505" s="3">
        <v>0</v>
      </c>
    </row>
    <row r="19506" ht="15.75" customHeight="1" spans="1:2">
      <c r="A19506" s="3" t="str">
        <f>IFERROR(__xludf.DUMMYFUNCTION("GOOGLETRANSLATE(A19506,""en"",""pt"")"),"qualidade")</f>
        <v>qualidade</v>
      </c>
      <c r="B19506" s="3">
        <v>0</v>
      </c>
    </row>
    <row r="19507" ht="15.75" customHeight="1" spans="1:2">
      <c r="A19507" s="3" t="str">
        <f>IFERROR(__xludf.DUMMYFUNCTION("GOOGLETRANSLATE(A19507,""en"",""pt"")"),"desatualizado")</f>
        <v>desatualizado</v>
      </c>
      <c r="B19507" s="3">
        <v>0</v>
      </c>
    </row>
    <row r="19508" ht="15.75" customHeight="1" spans="1:2">
      <c r="A19508" s="3" t="str">
        <f>IFERROR(__xludf.DUMMYFUNCTION("GOOGLETRANSLATE(A19508,""en"",""pt"")"),"opção de alta resolução não disponível neste modelo.")</f>
        <v>opção de alta resolução não disponível neste modelo.</v>
      </c>
      <c r="B19508" s="3">
        <v>0</v>
      </c>
    </row>
    <row r="19509" ht="15.75" customHeight="1" spans="1:2">
      <c r="A19509" s="3" t="str">
        <f>IFERROR(__xludf.DUMMYFUNCTION("GOOGLETRANSLATE(A19509,""en"",""pt"")"),"Vida útil da bateria, Sem flash")</f>
        <v>Vida útil da bateria, Sem flash</v>
      </c>
      <c r="B19509" s="3">
        <v>0</v>
      </c>
    </row>
    <row r="19510" ht="15.75" customHeight="1" spans="1:2">
      <c r="A19510" s="3" t="str">
        <f>IFERROR(__xludf.DUMMYFUNCTION("GOOGLETRANSLATE(A19510,""en"",""pt"")"),"imagens são pequeno demais para compartilhar com ninguém fora de linha, se você levá-la em férias, você tem que ter acesso a um computador ou limitar-se a 96 imagens para a viagem;")</f>
        <v>imagens são pequeno demais para compartilhar com ninguém fora de linha, se você levá-la em férias, você tem que ter acesso a um computador ou limitar-se a 96 imagens para a viagem;</v>
      </c>
      <c r="B19510" s="3">
        <v>0</v>
      </c>
    </row>
    <row r="19511" ht="15.75" customHeight="1" spans="1:2">
      <c r="A19511" s="3" t="str">
        <f>IFERROR(__xludf.DUMMYFUNCTION("GOOGLETRANSLATE(A19511,""en"",""pt"")"),"não resolução suficiente")</f>
        <v>não resolução suficiente</v>
      </c>
      <c r="B19511" s="3">
        <v>0</v>
      </c>
    </row>
    <row r="19512" ht="15.75" customHeight="1" spans="1:2">
      <c r="A19512" s="3" t="str">
        <f>IFERROR(__xludf.DUMMYFUNCTION("GOOGLETRANSLATE(A19512,""en"",""pt"")"),"pessoas pobres fotos")</f>
        <v>pessoas pobres fotos</v>
      </c>
      <c r="B19512" s="3">
        <v>0</v>
      </c>
    </row>
    <row r="19513" ht="15.75" customHeight="1" spans="1:2">
      <c r="A19513" s="3" t="str">
        <f>IFERROR(__xludf.DUMMYFUNCTION("GOOGLETRANSLATE(A19513,""en"",""pt"")"),"Bad on-off")</f>
        <v>Bad on-off</v>
      </c>
      <c r="B19513" s="3">
        <v>0</v>
      </c>
    </row>
    <row r="19514" ht="15.75" customHeight="1" spans="1:2">
      <c r="A19514" s="3" t="str">
        <f>IFERROR(__xludf.DUMMYFUNCTION("GOOGLETRANSLATE(A19514,""en"",""pt"")"),"No Flash, fades Exibição em Brilhante")</f>
        <v>No Flash, fades Exibição em Brilhante</v>
      </c>
      <c r="B19514" s="3">
        <v>0</v>
      </c>
    </row>
    <row r="19515" ht="15.75" customHeight="1" spans="1:2">
      <c r="A19515" s="3" t="str">
        <f>IFERROR(__xludf.DUMMYFUNCTION("GOOGLETRANSLATE(A19515,""en"",""pt"")"),"fotos de má qualidade, feio, volumosos, e não recursos suficientes.")</f>
        <v>fotos de má qualidade, feio, volumosos, e não recursos suficientes.</v>
      </c>
      <c r="B19515" s="3">
        <v>0</v>
      </c>
    </row>
    <row r="19516" ht="15.75" customHeight="1" spans="1:2">
      <c r="A19516" s="3" t="str">
        <f>IFERROR(__xludf.DUMMYFUNCTION("GOOGLETRANSLATE(A19516,""en"",""pt"")"),"resolução de imagem baixa, baterias come")</f>
        <v>resolução de imagem baixa, baterias come</v>
      </c>
      <c r="B19516" s="3">
        <v>0</v>
      </c>
    </row>
    <row r="19517" ht="15.75" customHeight="1" spans="1:2">
      <c r="A19517" s="3" t="str">
        <f>IFERROR(__xludf.DUMMYFUNCTION("GOOGLETRANSLATE(A19517,""en"",""pt"")"),"Não vem com baterias (nada demais), um pouco volumoso, filmes w / o som.")</f>
        <v>Não vem com baterias (nada demais), um pouco volumoso, filmes w / o som.</v>
      </c>
      <c r="B19517" s="3">
        <v>0</v>
      </c>
    </row>
    <row r="19518" ht="15.75" customHeight="1" spans="1:2">
      <c r="A19518" s="3" t="str">
        <f>IFERROR(__xludf.DUMMYFUNCTION("GOOGLETRANSLATE(A19518,""en"",""pt"")"),"shell barato, baixa autonomia de bateria com flash, software fraco")</f>
        <v>shell barato, baixa autonomia de bateria com flash, software fraco</v>
      </c>
      <c r="B19518" s="3">
        <v>0</v>
      </c>
    </row>
    <row r="19519" ht="15.75" customHeight="1" spans="1:2">
      <c r="A19519" s="3" t="str">
        <f>IFERROR(__xludf.DUMMYFUNCTION("GOOGLETRANSLATE(A19519,""en"",""pt"")"),"NENHUM")</f>
        <v>NENHUM</v>
      </c>
      <c r="B19519" s="3">
        <v>0</v>
      </c>
    </row>
    <row r="19520" ht="15.75" customHeight="1" spans="1:2">
      <c r="A19520" s="3" t="str">
        <f>IFERROR(__xludf.DUMMYFUNCTION("GOOGLETRANSLATE(A19520,""en"",""pt"")"),"Alguns problemas de qualidade de imagem, problemas de design, o estigma de ser um Casio")</f>
        <v>Alguns problemas de qualidade de imagem, problemas de design, o estigma de ser um Casio</v>
      </c>
      <c r="B19520" s="3">
        <v>0</v>
      </c>
    </row>
    <row r="19521" ht="15.75" customHeight="1" spans="1:2">
      <c r="A19521" s="3" t="str">
        <f>IFERROR(__xludf.DUMMYFUNCTION("GOOGLETRANSLATE(A19521,""en"",""pt"")"),"tamanho (é mais volumoso do que a Olympus 400Z) e é preciso pressionar o botão do obturador pela metade por um segundo para deixar a câmera ajustar o foco ea exposição. Se você não fizer isso a imagem pode sair fora de foco. O indicador vazio da bateria t"&amp;"ambém vem se f")</f>
        <v>tamanho (é mais volumoso do que a Olympus 400Z) e é preciso pressionar o botão do obturador pela metade por um segundo para deixar a câmera ajustar o foco ea exposição. Se você não fizer isso a imagem pode sair fora de foco. O indicador vazio da bateria também vem se f</v>
      </c>
      <c r="B19521" s="3">
        <v>0</v>
      </c>
    </row>
    <row r="19522" ht="15.75" customHeight="1" spans="1:2">
      <c r="A19522" s="3" t="str">
        <f>IFERROR(__xludf.DUMMYFUNCTION("GOOGLETRANSLATE(A19522,""en"",""pt"")"),"BATERIA A VIDA SUGA, nenhum microfone para modo de filme, leva 10 segundos para ligar, PhotoShop teria sido bom")</f>
        <v>BATERIA A VIDA SUGA, nenhum microfone para modo de filme, leva 10 segundos para ligar, PhotoShop teria sido bom</v>
      </c>
      <c r="B19522" s="3">
        <v>0</v>
      </c>
    </row>
    <row r="19523" ht="15.75" customHeight="1" spans="1:2">
      <c r="A19523" s="3" t="str">
        <f>IFERROR(__xludf.DUMMYFUNCTION("GOOGLETRANSLATE(A19523,""en"",""pt"")"),"baterias pobres incluídos, adaptador No AC incluído, lento arranque.")</f>
        <v>baterias pobres incluídos, adaptador No AC incluído, lento arranque.</v>
      </c>
      <c r="B19523" s="3">
        <v>0</v>
      </c>
    </row>
    <row r="19524" ht="15.75" customHeight="1" spans="1:2">
      <c r="A19524" s="3" t="str">
        <f>IFERROR(__xludf.DUMMYFUNCTION("GOOGLETRANSLATE(A19524,""en"",""pt"")"),"a vida da bateria pobres, nenhuma opção ion Btry Li, SFTWR um pouco complicado")</f>
        <v>a vida da bateria pobres, nenhuma opção ion Btry Li, SFTWR um pouco complicado</v>
      </c>
      <c r="B19524" s="3">
        <v>0</v>
      </c>
    </row>
    <row r="19525" ht="15.75" customHeight="1" spans="1:2">
      <c r="A19525" s="3" t="str">
        <f>IFERROR(__xludf.DUMMYFUNCTION("GOOGLETRANSLATE(A19525,""en"",""pt"")"),"qualidade da unidade,")</f>
        <v>qualidade da unidade,</v>
      </c>
      <c r="B19525" s="3">
        <v>0</v>
      </c>
    </row>
    <row r="19526" ht="15.75" customHeight="1" spans="1:2">
      <c r="A19526" s="3" t="str">
        <f>IFERROR(__xludf.DUMMYFUNCTION("GOOGLETRANSLATE(A19526,""en"",""pt"")"),"tampa da lente frágil, nenhum adaptador AC")</f>
        <v>tampa da lente frágil, nenhum adaptador AC</v>
      </c>
      <c r="B19526" s="3">
        <v>0</v>
      </c>
    </row>
    <row r="19527" ht="15.75" customHeight="1" spans="1:2">
      <c r="A19527" s="3" t="str">
        <f>IFERROR(__xludf.DUMMYFUNCTION("GOOGLETRANSLATE(A19527,""en"",""pt"")"),"Não há realmente nenhuma contras para este produto, que é uma ótima câmera e tem opções de alta qualidade")</f>
        <v>Não há realmente nenhuma contras para este produto, que é uma ótima câmera e tem opções de alta qualidade</v>
      </c>
      <c r="B19527" s="3">
        <v>0</v>
      </c>
    </row>
    <row r="19528" ht="15.75" customHeight="1" spans="1:2">
      <c r="A19528" s="3" t="str">
        <f>IFERROR(__xludf.DUMMYFUNCTION("GOOGLETRANSLATE(A19528,""en"",""pt"")"),"não uma marca boa")</f>
        <v>não uma marca boa</v>
      </c>
      <c r="B19528" s="3">
        <v>0</v>
      </c>
    </row>
    <row r="19529" ht="15.75" customHeight="1" spans="1:2">
      <c r="A19529" s="3" t="str">
        <f>IFERROR(__xludf.DUMMYFUNCTION("GOOGLETRANSLATE(A19529,""en"",""pt"")"),"software de visualização de imagens desajeitado, a vida curta da bateria com alkalines")</f>
        <v>software de visualização de imagens desajeitado, a vida curta da bateria com alkalines</v>
      </c>
      <c r="B19529" s="3">
        <v>0</v>
      </c>
    </row>
    <row r="19530" ht="15.75" customHeight="1" spans="1:2">
      <c r="A19530" s="3" t="str">
        <f>IFERROR(__xludf.DUMMYFUNCTION("GOOGLETRANSLATE(A19530,""en"",""pt"")"),"Sem gravação de som, nenhuma gravação de filme para além de 30 segundos")</f>
        <v>Sem gravação de som, nenhuma gravação de filme para além de 30 segundos</v>
      </c>
      <c r="B19530" s="3">
        <v>0</v>
      </c>
    </row>
    <row r="19531" ht="15.75" customHeight="1" spans="1:2">
      <c r="A19531" s="3" t="str">
        <f>IFERROR(__xludf.DUMMYFUNCTION("GOOGLETRANSLATE(A19531,""en"",""pt"")"),"vida útil da bateria é baixo, se você pretende utilizar o ecrã em vez do visor")</f>
        <v>vida útil da bateria é baixo, se você pretende utilizar o ecrã em vez do visor</v>
      </c>
      <c r="B19531" s="3">
        <v>0</v>
      </c>
    </row>
    <row r="19532" ht="15.75" customHeight="1" spans="1:2">
      <c r="A19532" s="3" t="str">
        <f>IFERROR(__xludf.DUMMYFUNCTION("GOOGLETRANSLATE(A19532,""en"",""pt"")"),"concentrando-se o tempo de resposta lenta problemas")</f>
        <v>concentrando-se o tempo de resposta lenta problemas</v>
      </c>
      <c r="B19532" s="3">
        <v>0</v>
      </c>
    </row>
    <row r="19533" ht="15.75" customHeight="1" spans="1:2">
      <c r="A19533" s="3" t="str">
        <f>IFERROR(__xludf.DUMMYFUNCTION("GOOGLETRANSLATE(A19533,""en"",""pt"")"),"não leva add em lentes ou filtros")</f>
        <v>não leva add em lentes ou filtros</v>
      </c>
      <c r="B19533" s="3">
        <v>0</v>
      </c>
    </row>
    <row r="19534" ht="15.75" customHeight="1" spans="1:2">
      <c r="A19534" s="3" t="str">
        <f>IFERROR(__xludf.DUMMYFUNCTION("GOOGLETRANSLATE(A19534,""en"",""pt"")"),"Lento Autofoco, pobre baixa foco de luz, cartão de memória pequeno, sem baterias recarregáveis")</f>
        <v>Lento Autofoco, pobre baixa foco de luz, cartão de memória pequeno, sem baterias recarregáveis</v>
      </c>
      <c r="B19534" s="3">
        <v>0</v>
      </c>
    </row>
    <row r="19535" ht="15.75" customHeight="1" spans="1:2">
      <c r="A19535" s="3" t="str">
        <f>IFERROR(__xludf.DUMMYFUNCTION("GOOGLETRANSLATE(A19535,""en"",""pt"")"),"tempo de armazenamento na microdrive")</f>
        <v>tempo de armazenamento na microdrive</v>
      </c>
      <c r="B19535" s="3">
        <v>0</v>
      </c>
    </row>
    <row r="19536" ht="15.75" customHeight="1" spans="1:2">
      <c r="A19536" s="3" t="str">
        <f>IFERROR(__xludf.DUMMYFUNCTION("GOOGLETRANSLATE(A19536,""en"",""pt"")"),"O preço é muito alto!")</f>
        <v>O preço é muito alto!</v>
      </c>
      <c r="B19536" s="3">
        <v>0</v>
      </c>
    </row>
    <row r="19537" ht="15.75" customHeight="1" spans="1:2">
      <c r="A19537" s="3" t="str">
        <f>IFERROR(__xludf.DUMMYFUNCTION("GOOGLETRANSLATE(A19537,""en"",""pt"")"),"A volumosa pouco e pesado")</f>
        <v>A volumosa pouco e pesado</v>
      </c>
      <c r="B19537" s="3">
        <v>0</v>
      </c>
    </row>
    <row r="19538" ht="15.75" customHeight="1" spans="1:2">
      <c r="A19538" s="3" t="str">
        <f>IFERROR(__xludf.DUMMYFUNCTION("GOOGLETRANSLATE(A19538,""en"",""pt"")"),"Lento, design falha com a superexposição de flash - eu estou no meu segundo reparo.")</f>
        <v>Lento, design falha com a superexposição de flash - eu estou no meu segundo reparo.</v>
      </c>
      <c r="B19538" s="3">
        <v>0</v>
      </c>
    </row>
    <row r="19539" ht="15.75" customHeight="1" spans="1:2">
      <c r="A19539" s="3" t="str">
        <f>IFERROR(__xludf.DUMMYFUNCTION("GOOGLETRANSLATE(A19539,""en"",""pt"")"),"Modest a curta duração da bateria.")</f>
        <v>Modest a curta duração da bateria.</v>
      </c>
      <c r="B19539" s="3">
        <v>0</v>
      </c>
    </row>
    <row r="19540" ht="15.75" customHeight="1" spans="1:2">
      <c r="A19540" s="3" t="str">
        <f>IFERROR(__xludf.DUMMYFUNCTION("GOOGLETRANSLATE(A19540,""en"",""pt"")"),"Não há tal coisa com esta câmera!")</f>
        <v>Não há tal coisa com esta câmera!</v>
      </c>
      <c r="B19540" s="3">
        <v>0</v>
      </c>
    </row>
    <row r="19541" ht="15.75" customHeight="1" spans="1:2">
      <c r="A19541" s="3" t="str">
        <f>IFERROR(__xludf.DUMMYFUNCTION("GOOGLETRANSLATE(A19541,""en"",""pt"")"),"A duração da bateria é curta, e eu tive problemas com a porta do cartão de flash.")</f>
        <v>A duração da bateria é curta, e eu tive problemas com a porta do cartão de flash.</v>
      </c>
      <c r="B19541" s="3">
        <v>0</v>
      </c>
    </row>
    <row r="19542" ht="15.75" customHeight="1" spans="1:2">
      <c r="A19542" s="3" t="str">
        <f>IFERROR(__xludf.DUMMYFUNCTION("GOOGLETRANSLATE(A19542,""en"",""pt"")"),"Difícil conseguir microdive / compact flash fora da câmera")</f>
        <v>Difícil conseguir microdive / compact flash fora da câmera</v>
      </c>
      <c r="B19542" s="3">
        <v>0</v>
      </c>
    </row>
    <row r="19543" ht="15.75" customHeight="1" spans="1:2">
      <c r="A19543" s="3" t="str">
        <f>IFERROR(__xludf.DUMMYFUNCTION("GOOGLETRANSLATE(A19543,""en"",""pt"")"),"carga lenta, manipulação de arquivos lenta, curta duração da bateria")</f>
        <v>carga lenta, manipulação de arquivos lenta, curta duração da bateria</v>
      </c>
      <c r="B19543" s="3">
        <v>0</v>
      </c>
    </row>
    <row r="19544" ht="15.75" customHeight="1" spans="1:2">
      <c r="A19544" s="3" t="str">
        <f>IFERROR(__xludf.DUMMYFUNCTION("GOOGLETRANSLATE(A19544,""en"",""pt"")"),"baterias não recarregáveis, carregador ou o adaptador AC. Sem suporte USB para o Windows 95. Não há som para o vídeo. Tamanho grande.")</f>
        <v>baterias não recarregáveis, carregador ou o adaptador AC. Sem suporte USB para o Windows 95. Não há som para o vídeo. Tamanho grande.</v>
      </c>
      <c r="B19544" s="3">
        <v>0</v>
      </c>
    </row>
    <row r="19545" ht="15.75" customHeight="1" spans="1:2">
      <c r="A19545" s="3" t="str">
        <f>IFERROR(__xludf.DUMMYFUNCTION("GOOGLETRANSLATE(A19545,""en"",""pt"")"),"Inconsistente qualidade de fabricação. defeitos do produto são comuns.")</f>
        <v>Inconsistente qualidade de fabricação. defeitos do produto são comuns.</v>
      </c>
      <c r="B19545" s="3">
        <v>0</v>
      </c>
    </row>
    <row r="19546" ht="15.75" customHeight="1" spans="1:2">
      <c r="A19546" s="3" t="str">
        <f>IFERROR(__xludf.DUMMYFUNCTION("GOOGLETRANSLATE(A19546,""en"",""pt"")"),"SERVIÇO, SERVIÇO, SERVIÇO!")</f>
        <v>SERVIÇO, SERVIÇO, SERVIÇO!</v>
      </c>
      <c r="B19546" s="3">
        <v>0</v>
      </c>
    </row>
    <row r="19547" ht="15.75" customHeight="1" spans="1:2">
      <c r="A19547" s="3" t="str">
        <f>IFERROR(__xludf.DUMMYFUNCTION("GOOGLETRANSLATE(A19547,""en"",""pt"")"),"a vida da bateria muito curto. problemas Microdrive; Serviço ao cliente; sem capacidade de se adaptar outra lente.")</f>
        <v>a vida da bateria muito curto. problemas Microdrive; Serviço ao cliente; sem capacidade de se adaptar outra lente.</v>
      </c>
      <c r="B19547" s="3">
        <v>0</v>
      </c>
    </row>
    <row r="19548" ht="15.75" customHeight="1" spans="1:2">
      <c r="A19548" s="3" t="str">
        <f>IFERROR(__xludf.DUMMYFUNCTION("GOOGLETRANSLATE(A19548,""en"",""pt"")"),"Custos de serviço muito alto, a vida da bateria, a falta de pára-sol no visualizador de luz de fundo")</f>
        <v>Custos de serviço muito alto, a vida da bateria, a falta de pára-sol no visualizador de luz de fundo</v>
      </c>
      <c r="B19548" s="3">
        <v>0</v>
      </c>
    </row>
    <row r="19549" ht="15.75" customHeight="1" spans="1:2">
      <c r="A19549" s="3" t="str">
        <f>IFERROR(__xludf.DUMMYFUNCTION("GOOGLETRANSLATE(A19549,""en"",""pt"")"),"Sem suporte USB para o Windows NT, posição da tela obter impressões nariz nele.")</f>
        <v>Sem suporte USB para o Windows NT, posição da tela obter impressões nariz nele.</v>
      </c>
      <c r="B19549" s="3">
        <v>0</v>
      </c>
    </row>
    <row r="19550" ht="15.75" customHeight="1" spans="1:2">
      <c r="A19550" s="3" t="str">
        <f>IFERROR(__xludf.DUMMYFUNCTION("GOOGLETRANSLATE(A19550,""en"",""pt"")"),"Lotes de atraso. Ele usa maneira muito tempo para tirar e guardar uma imagem.")</f>
        <v>Lotes de atraso. Ele usa maneira muito tempo para tirar e guardar uma imagem.</v>
      </c>
      <c r="B19550" s="3">
        <v>0</v>
      </c>
    </row>
    <row r="19551" ht="15.75" customHeight="1" spans="1:2">
      <c r="A19551" s="3" t="str">
        <f>IFERROR(__xludf.DUMMYFUNCTION("GOOGLETRANSLATE(A19551,""en"",""pt"")"),"sem adaptador AC, nenhum adaptador de lente,")</f>
        <v>sem adaptador AC, nenhum adaptador de lente,</v>
      </c>
      <c r="B19551" s="3">
        <v>0</v>
      </c>
    </row>
    <row r="19552" ht="15.75" customHeight="1" spans="1:2">
      <c r="A19552" s="3" t="str">
        <f>IFERROR(__xludf.DUMMYFUNCTION("GOOGLETRANSLATE(A19552,""en"",""pt"")"),"recurso de filme Quicktime poderia ser maior")</f>
        <v>recurso de filme Quicktime poderia ser maior</v>
      </c>
      <c r="B19552" s="3">
        <v>0</v>
      </c>
    </row>
    <row r="19553" ht="15.75" customHeight="1" spans="1:2">
      <c r="A19553" s="3" t="str">
        <f>IFERROR(__xludf.DUMMYFUNCTION("GOOGLETRANSLATE(A19553,""en"",""pt"")"),"si Microdrive muito frágil! Pode ser facilmente quebrado!")</f>
        <v>si Microdrive muito frágil! Pode ser facilmente quebrado!</v>
      </c>
      <c r="B19553" s="3">
        <v>0</v>
      </c>
    </row>
    <row r="19554" ht="15.75" customHeight="1" spans="1:2">
      <c r="A19554" s="3" t="str">
        <f>IFERROR(__xludf.DUMMYFUNCTION("GOOGLETRANSLATE(A19554,""en"",""pt"")"),"tampão lente, sem adaptadores lense")</f>
        <v>tampão lente, sem adaptadores lense</v>
      </c>
      <c r="B19554" s="3">
        <v>0</v>
      </c>
    </row>
    <row r="19555" ht="15.75" customHeight="1" spans="1:2">
      <c r="A19555" s="3" t="str">
        <f>IFERROR(__xludf.DUMMYFUNCTION("GOOGLETRANSLATE(A19555,""en"",""pt"")"),"Usa muita energia da bateria, um pouco lento (ambos são comuns a digicams)")</f>
        <v>Usa muita energia da bateria, um pouco lento (ambos são comuns a digicams)</v>
      </c>
      <c r="B19555" s="3">
        <v>0</v>
      </c>
    </row>
    <row r="19556" ht="15.75" customHeight="1" spans="1:2">
      <c r="A19556" s="3" t="str">
        <f>IFERROR(__xludf.DUMMYFUNCTION("GOOGLETRANSLATE(A19556,""en"",""pt"")"),"vida Baterry é momentâneo")</f>
        <v>vida Baterry é momentâneo</v>
      </c>
      <c r="B19556" s="3">
        <v>0</v>
      </c>
    </row>
    <row r="19557" ht="15.75" customHeight="1" spans="1:2">
      <c r="A19557" s="3" t="str">
        <f>IFERROR(__xludf.DUMMYFUNCTION("GOOGLETRANSLATE(A19557,""en"",""pt"")"),"Produto é defeituoso-FLASH falhar. baterias orçamento limitado")</f>
        <v>Produto é defeituoso-FLASH falhar. baterias orçamento limitado</v>
      </c>
      <c r="B19557" s="3">
        <v>0</v>
      </c>
    </row>
    <row r="19558" ht="15.75" customHeight="1" spans="1:2">
      <c r="A19558" s="3" t="str">
        <f>IFERROR(__xludf.DUMMYFUNCTION("GOOGLETRANSLATE(A19558,""en"",""pt"")"),"preço, recursos de zoom padrão")</f>
        <v>preço, recursos de zoom padrão</v>
      </c>
      <c r="B19558" s="3">
        <v>0</v>
      </c>
    </row>
    <row r="19559" ht="15.75" customHeight="1" spans="1:2">
      <c r="A19559" s="3" t="str">
        <f>IFERROR(__xludf.DUMMYFUNCTION("GOOGLETRANSLATE(A19559,""en"",""pt"")"),"baterias drenos, problemas de foco, nenhuma saída de arquivo TIFF.")</f>
        <v>baterias drenos, problemas de foco, nenhuma saída de arquivo TIFF.</v>
      </c>
      <c r="B19559" s="3">
        <v>0</v>
      </c>
    </row>
    <row r="19560" ht="15.75" customHeight="1" spans="1:2">
      <c r="A19560" s="3" t="str">
        <f>IFERROR(__xludf.DUMMYFUNCTION("GOOGLETRANSLATE(A19560,""en"",""pt"")"),"tempo de gravação lenta")</f>
        <v>tempo de gravação lenta</v>
      </c>
      <c r="B19560" s="3">
        <v>0</v>
      </c>
    </row>
    <row r="19561" ht="15.75" customHeight="1" spans="1:2">
      <c r="A19561" s="3" t="str">
        <f>IFERROR(__xludf.DUMMYFUNCTION("GOOGLETRANSLATE(A19561,""en"",""pt"")"),"criação de USB; carregamento de software incluído; precisa cartão de memória maior")</f>
        <v>criação de USB; carregamento de software incluído; precisa cartão de memória maior</v>
      </c>
      <c r="B19561" s="3">
        <v>0</v>
      </c>
    </row>
    <row r="19562" ht="15.75" customHeight="1" spans="1:2">
      <c r="A19562" s="3" t="str">
        <f>IFERROR(__xludf.DUMMYFUNCTION("GOOGLETRANSLATE(A19562,""en"",""pt"")"),"Demora um tempo para tirar fotos para o computador")</f>
        <v>Demora um tempo para tirar fotos para o computador</v>
      </c>
      <c r="B19562" s="3">
        <v>0</v>
      </c>
    </row>
    <row r="19563" ht="15.75" customHeight="1" spans="1:2">
      <c r="A19563" s="3" t="str">
        <f>IFERROR(__xludf.DUMMYFUNCTION("GOOGLETRANSLATE(A19563,""en"",""pt"")"),"não se concentrar bem, problemas elétricos na lente rotativa, ergonomia pobres, inútil &amp; amp; quot; características &amp; amp; quot;")</f>
        <v>não se concentrar bem, problemas elétricos na lente rotativa, ergonomia pobres, inútil &amp; amp; quot; características &amp; amp; quot;</v>
      </c>
      <c r="B19563" s="3">
        <v>0</v>
      </c>
    </row>
    <row r="19564" ht="15.75" customHeight="1" spans="1:2">
      <c r="A19564" s="3" t="str">
        <f>IFERROR(__xludf.DUMMYFUNCTION("GOOGLETRANSLATE(A19564,""en"",""pt"")"),"lento para carregar, usa muitas baterias, tiros da distância difusas")</f>
        <v>lento para carregar, usa muitas baterias, tiros da distância difusas</v>
      </c>
      <c r="B19564" s="3">
        <v>0</v>
      </c>
    </row>
    <row r="19565" ht="15.75" customHeight="1" spans="1:2">
      <c r="A19565" s="3" t="str">
        <f>IFERROR(__xludf.DUMMYFUNCTION("GOOGLETRANSLATE(A19565,""en"",""pt"")"),"qualidade da cor ruim, baixa resolução, recebendo as imagens para fora da câmera")</f>
        <v>qualidade da cor ruim, baixa resolução, recebendo as imagens para fora da câmera</v>
      </c>
      <c r="B19565" s="3">
        <v>0</v>
      </c>
    </row>
    <row r="19566" ht="15.75" customHeight="1" spans="1:2">
      <c r="A19566" s="3" t="str">
        <f>IFERROR(__xludf.DUMMYFUNCTION("GOOGLETRANSLATE(A19566,""en"",""pt"")"),"muitos recursos, cores ruins")</f>
        <v>muitos recursos, cores ruins</v>
      </c>
      <c r="B19566" s="3">
        <v>0</v>
      </c>
    </row>
    <row r="19567" ht="15.75" customHeight="1" spans="1:2">
      <c r="A19567" s="3" t="str">
        <f>IFERROR(__xludf.DUMMYFUNCTION("GOOGLETRANSLATE(A19567,""en"",""pt"")"),"Impressão de qualidade de imagem não tão grande")</f>
        <v>Impressão de qualidade de imagem não tão grande</v>
      </c>
      <c r="B19567" s="3">
        <v>0</v>
      </c>
    </row>
    <row r="19568" ht="15.75" customHeight="1" spans="1:2">
      <c r="A19568" s="3" t="str">
        <f>IFERROR(__xludf.DUMMYFUNCTION("GOOGLETRANSLATE(A19568,""en"",""pt"")"),"Baixa resolução para muito $$$")</f>
        <v>Baixa resolução para muito $$$</v>
      </c>
      <c r="B19568" s="3">
        <v>0</v>
      </c>
    </row>
    <row r="19569" ht="15.75" customHeight="1" spans="1:2">
      <c r="A19569" s="3" t="str">
        <f>IFERROR(__xludf.DUMMYFUNCTION("GOOGLETRANSLATE(A19569,""en"",""pt"")"),"todo o resto")</f>
        <v>todo o resto</v>
      </c>
      <c r="B19569" s="3">
        <v>0</v>
      </c>
    </row>
    <row r="19570" ht="15.75" customHeight="1" spans="1:2">
      <c r="A19570" s="3" t="str">
        <f>IFERROR(__xludf.DUMMYFUNCTION("GOOGLETRANSLATE(A19570,""en"",""pt"")"),"Não Ver finder, LCD impossível ver no sol")</f>
        <v>Não Ver finder, LCD impossível ver no sol</v>
      </c>
      <c r="B19570" s="3">
        <v>0</v>
      </c>
    </row>
    <row r="19571" ht="15.75" customHeight="1" spans="1:2">
      <c r="A19571" s="3" t="str">
        <f>IFERROR(__xludf.DUMMYFUNCTION("GOOGLETRANSLATE(A19571,""en"",""pt"")"),"No visor, mas o grande led faz bem.")</f>
        <v>No visor, mas o grande led faz bem.</v>
      </c>
      <c r="B19571" s="3">
        <v>0</v>
      </c>
    </row>
    <row r="19572" ht="15.75" customHeight="1" spans="1:2">
      <c r="A19572" s="3" t="str">
        <f>IFERROR(__xludf.DUMMYFUNCTION("GOOGLETRANSLATE(A19572,""en"",""pt"")"),"imagem de impressão de má qualidade")</f>
        <v>imagem de impressão de má qualidade</v>
      </c>
      <c r="B19572" s="3">
        <v>0</v>
      </c>
    </row>
    <row r="19573" ht="15.75" customHeight="1" spans="1:2">
      <c r="A19573" s="3" t="str">
        <f>IFERROR(__xludf.DUMMYFUNCTION("GOOGLETRANSLATE(A19573,""en"",""pt"")"),"Zoom drenos vida útil da bateria, nem visor")</f>
        <v>Zoom drenos vida útil da bateria, nem visor</v>
      </c>
      <c r="B19573" s="3">
        <v>0</v>
      </c>
    </row>
    <row r="19574" ht="15.75" customHeight="1" spans="1:2">
      <c r="A19574" s="3" t="str">
        <f>IFERROR(__xludf.DUMMYFUNCTION("GOOGLETRANSLATE(A19574,""en"",""pt"")"),"No visor. Sem som para filmes. Filmes estão em AVI (não MPEG) formato.")</f>
        <v>No visor. Sem som para filmes. Filmes estão em AVI (não MPEG) formato.</v>
      </c>
      <c r="B19574" s="3">
        <v>0</v>
      </c>
    </row>
    <row r="19575" ht="15.75" customHeight="1" spans="1:2">
      <c r="A19575" s="3" t="str">
        <f>IFERROR(__xludf.DUMMYFUNCTION("GOOGLETRANSLATE(A19575,""en"",""pt"")"),"adaptador AC não incluído")</f>
        <v>adaptador AC não incluído</v>
      </c>
      <c r="B19575" s="3">
        <v>0</v>
      </c>
    </row>
    <row r="19576" ht="15.75" customHeight="1" spans="1:2">
      <c r="A19576" s="3" t="str">
        <f>IFERROR(__xludf.DUMMYFUNCTION("GOOGLETRANSLATE(A19576,""en"",""pt"")"),"pixels 1,3 milhão será ultrapassada em aproximadamente um mês")</f>
        <v>pixels 1,3 milhão será ultrapassada em aproximadamente um mês</v>
      </c>
      <c r="B19576" s="3">
        <v>0</v>
      </c>
    </row>
    <row r="19577" ht="15.75" customHeight="1" spans="1:2">
      <c r="A19577" s="3" t="str">
        <f>IFERROR(__xludf.DUMMYFUNCTION("GOOGLETRANSLATE(A19577,""en"",""pt"")"),"bateria de drenagem rápido, tela LCD, por vezes, difícil de ver.")</f>
        <v>bateria de drenagem rápido, tela LCD, por vezes, difícil de ver.</v>
      </c>
      <c r="B19577" s="3">
        <v>0</v>
      </c>
    </row>
    <row r="19578" ht="15.75" customHeight="1" spans="1:2">
      <c r="A19578" s="3" t="str">
        <f>IFERROR(__xludf.DUMMYFUNCTION("GOOGLETRANSLATE(A19578,""en"",""pt"")"),"Fez-me quebrou como o inferno")</f>
        <v>Fez-me quebrou como o inferno</v>
      </c>
      <c r="B19578" s="3">
        <v>0</v>
      </c>
    </row>
    <row r="19579" ht="15.75" customHeight="1" spans="1:2">
      <c r="A19579" s="3" t="str">
        <f>IFERROR(__xludf.DUMMYFUNCTION("GOOGLETRANSLATE(A19579,""en"",""pt"")"),"Mesmo que todas as câmeras digitais - a vida da bateria e LCD ilegível em pleno sol")</f>
        <v>Mesmo que todas as câmeras digitais - a vida da bateria e LCD ilegível em pleno sol</v>
      </c>
      <c r="B19579" s="3">
        <v>0</v>
      </c>
    </row>
    <row r="19580" ht="15.75" customHeight="1" spans="1:2">
      <c r="A19580" s="3" t="str">
        <f>IFERROR(__xludf.DUMMYFUNCTION("GOOGLETRANSLATE(A19580,""en"",""pt"")"),"Excluindo tiros maus leva muitos passos")</f>
        <v>Excluindo tiros maus leva muitos passos</v>
      </c>
      <c r="B19580" s="3">
        <v>0</v>
      </c>
    </row>
    <row r="19581" ht="15.75" customHeight="1" spans="1:2">
      <c r="A19581" s="3" t="str">
        <f>IFERROR(__xludf.DUMMYFUNCTION("GOOGLETRANSLATE(A19581,""en"",""pt"")"),"Sem ocular, apenas a um display LCD")</f>
        <v>Sem ocular, apenas a um display LCD</v>
      </c>
      <c r="B19581" s="3">
        <v>0</v>
      </c>
    </row>
    <row r="19582" ht="15.75" customHeight="1" spans="1:2">
      <c r="A19582" s="3" t="str">
        <f>IFERROR(__xludf.DUMMYFUNCTION("GOOGLETRANSLATE(A19582,""en"",""pt"")"),"lavagens de tela LCD fora &amp; amp; # 13; &amp; amp; # 10; Camera é volumoso para transportar cerca de")</f>
        <v>lavagens de tela LCD fora &amp; amp; # 13; &amp; amp; # 10; Camera é volumoso para transportar cerca de</v>
      </c>
      <c r="B19582" s="3">
        <v>0</v>
      </c>
    </row>
    <row r="19583" ht="15.75" customHeight="1" spans="1:2">
      <c r="A19583" s="3" t="str">
        <f>IFERROR(__xludf.DUMMYFUNCTION("GOOGLETRANSLATE(A19583,""en"",""pt"")"),"pouco a vida da bateria, LCD em ilegível sol")</f>
        <v>pouco a vida da bateria, LCD em ilegível sol</v>
      </c>
      <c r="B19583" s="3">
        <v>0</v>
      </c>
    </row>
    <row r="19584" ht="15.75" customHeight="1" spans="1:2">
      <c r="A19584" s="3" t="str">
        <f>IFERROR(__xludf.DUMMYFUNCTION("GOOGLETRANSLATE(A19584,""en"",""pt"")"),"Passa por baterias rapidamente- investir em um carregador de bateria.")</f>
        <v>Passa por baterias rapidamente- investir em um carregador de bateria.</v>
      </c>
      <c r="B19584" s="3">
        <v>0</v>
      </c>
    </row>
    <row r="19585" ht="15.75" customHeight="1" spans="1:2">
      <c r="A19585" s="3" t="str">
        <f>IFERROR(__xludf.DUMMYFUNCTION("GOOGLETRANSLATE(A19585,""en"",""pt"")"),"sem flash")</f>
        <v>sem flash</v>
      </c>
      <c r="B19585" s="3">
        <v>0</v>
      </c>
    </row>
    <row r="19586" ht="15.75" customHeight="1" spans="1:2">
      <c r="A19586" s="3" t="str">
        <f>IFERROR(__xludf.DUMMYFUNCTION("GOOGLETRANSLATE(A19586,""en"",""pt"")"),"Sem luz sobre o relógio que você não pode dizer o tempo durante a noite.")</f>
        <v>Sem luz sobre o relógio que você não pode dizer o tempo durante a noite.</v>
      </c>
      <c r="B19586" s="3">
        <v>0</v>
      </c>
    </row>
    <row r="19587" ht="15.75" customHeight="1" spans="1:2">
      <c r="A19587" s="3" t="str">
        <f>IFERROR(__xludf.DUMMYFUNCTION("GOOGLETRANSLATE(A19587,""en"",""pt"")"),"Tamanho, sensação no pulso")</f>
        <v>Tamanho, sensação no pulso</v>
      </c>
      <c r="B19587" s="3">
        <v>0</v>
      </c>
    </row>
    <row r="19588" ht="15.75" customHeight="1" spans="1:2">
      <c r="A19588" s="3" t="str">
        <f>IFERROR(__xludf.DUMMYFUNCTION("GOOGLETRANSLATE(A19588,""en"",""pt"")"),"especificações da câmera limitadas, relógio volumosos")</f>
        <v>especificações da câmera limitadas, relógio volumosos</v>
      </c>
      <c r="B19588" s="3">
        <v>0</v>
      </c>
    </row>
    <row r="19589" ht="15.75" customHeight="1" spans="1:2">
      <c r="A19589" s="3" t="str">
        <f>IFERROR(__xludf.DUMMYFUNCTION("GOOGLETRANSLATE(A19589,""en"",""pt"")"),"No kit de conexão fornecido acrescenta US $ 50 se você quiser manter as imagens")</f>
        <v>No kit de conexão fornecido acrescenta US $ 50 se você quiser manter as imagens</v>
      </c>
      <c r="B19589" s="3">
        <v>0</v>
      </c>
    </row>
    <row r="19590" ht="15.75" customHeight="1" spans="1:2">
      <c r="A19590" s="3" t="str">
        <f>IFERROR(__xludf.DUMMYFUNCTION("GOOGLETRANSLATE(A19590,""en"",""pt"")"),"Poderia usar melhor qualidade de imagem")</f>
        <v>Poderia usar melhor qualidade de imagem</v>
      </c>
      <c r="B19590" s="3">
        <v>0</v>
      </c>
    </row>
    <row r="19591" ht="15.75" customHeight="1" spans="1:2">
      <c r="A19591" s="3" t="str">
        <f>IFERROR(__xludf.DUMMYFUNCTION("GOOGLETRANSLATE(A19591,""en"",""pt"")"),"Má qualidade; sem iluminação")</f>
        <v>Má qualidade; sem iluminação</v>
      </c>
      <c r="B19591" s="3">
        <v>0</v>
      </c>
    </row>
    <row r="19592" ht="15.75" customHeight="1" spans="1:2">
      <c r="A19592" s="3" t="str">
        <f>IFERROR(__xludf.DUMMYFUNCTION("GOOGLETRANSLATE(A19592,""en"",""pt"")"),"você não pode fazer um 8x10 fora das imagens")</f>
        <v>você não pode fazer um 8x10 fora das imagens</v>
      </c>
      <c r="B19592" s="3">
        <v>0</v>
      </c>
    </row>
    <row r="19593" ht="15.75" customHeight="1" spans="1:2">
      <c r="A19593" s="3" t="str">
        <f>IFERROR(__xludf.DUMMYFUNCTION("GOOGLETRANSLATE(A19593,""en"",""pt"")"),"imagens em preto e branco, baixa resolução")</f>
        <v>imagens em preto e branco, baixa resolução</v>
      </c>
      <c r="B19593" s="3">
        <v>0</v>
      </c>
    </row>
    <row r="19594" ht="15.75" customHeight="1" spans="1:2">
      <c r="A19594" s="3" t="str">
        <f>IFERROR(__xludf.DUMMYFUNCTION("GOOGLETRANSLATE(A19594,""en"",""pt"")"),"Um pouco grande demais; PC link deve ser adquirido separadamente")</f>
        <v>Um pouco grande demais; PC link deve ser adquirido separadamente</v>
      </c>
      <c r="B19594" s="3">
        <v>0</v>
      </c>
    </row>
    <row r="19595" ht="15.75" customHeight="1" spans="1:2">
      <c r="A19595" s="3" t="str">
        <f>IFERROR(__xludf.DUMMYFUNCTION("GOOGLETRANSLATE(A19595,""en"",""pt"")"),"Um pouco volumoso, o que só atrai a atenção.")</f>
        <v>Um pouco volumoso, o que só atrai a atenção.</v>
      </c>
      <c r="B19595" s="3">
        <v>0</v>
      </c>
    </row>
    <row r="19596" ht="15.75" customHeight="1" spans="1:2">
      <c r="A19596" s="3" t="str">
        <f>IFERROR(__xludf.DUMMYFUNCTION("GOOGLETRANSLATE(A19596,""en"",""pt"")"),"... Nenhum, se você considerar o que foi projetado para.")</f>
        <v>... Nenhum, se você considerar o que foi projetado para.</v>
      </c>
      <c r="B19596" s="3">
        <v>0</v>
      </c>
    </row>
    <row r="19597" ht="15.75" customHeight="1" spans="1:2">
      <c r="A19597" s="3" t="str">
        <f>IFERROR(__xludf.DUMMYFUNCTION("GOOGLETRANSLATE(A19597,""en"",""pt"")"),"capa de chuva não está ligado, alças poderia ser um pouco mais ergonômico")</f>
        <v>capa de chuva não está ligado, alças poderia ser um pouco mais ergonômico</v>
      </c>
      <c r="B19597" s="3">
        <v>0</v>
      </c>
    </row>
    <row r="19598" ht="15.75" customHeight="1" spans="1:2">
      <c r="A19598" s="3" t="str">
        <f>IFERROR(__xludf.DUMMYFUNCTION("GOOGLETRANSLATE(A19598,""en"",""pt"")"),"Nenhum")</f>
        <v>Nenhum</v>
      </c>
      <c r="B19598" s="3">
        <v>0</v>
      </c>
    </row>
    <row r="19599" ht="15.75" customHeight="1" spans="1:2">
      <c r="A19599" s="3" t="str">
        <f>IFERROR(__xludf.DUMMYFUNCTION("GOOGLETRANSLATE(A19599,""en"",""pt"")"),"nenhuma cesta, chutar as rodas ,, difícil de dobrar vestindo sandálias")</f>
        <v>nenhuma cesta, chutar as rodas ,, difícil de dobrar vestindo sandálias</v>
      </c>
      <c r="B19599" s="3">
        <v>0</v>
      </c>
    </row>
    <row r="19600" ht="15.75" customHeight="1" spans="1:2">
      <c r="A19600" s="3" t="str">
        <f>IFERROR(__xludf.DUMMYFUNCTION("GOOGLETRANSLATE(A19600,""en"",""pt"")"),"As rodas estão posicionadas de forma estrita, reclinar não é muito")</f>
        <v>As rodas estão posicionadas de forma estrita, reclinar não é muito</v>
      </c>
      <c r="B19600" s="3">
        <v>0</v>
      </c>
    </row>
    <row r="19601" ht="15.75" customHeight="1" spans="1:2">
      <c r="A19601" s="3" t="str">
        <f>IFERROR(__xludf.DUMMYFUNCTION("GOOGLETRANSLATE(A19601,""en"",""pt"")"),"Mau serviço ao cliente, copa tende a escorregar quando puxado para trás.")</f>
        <v>Mau serviço ao cliente, copa tende a escorregar quando puxado para trás.</v>
      </c>
      <c r="B19601" s="3">
        <v>0</v>
      </c>
    </row>
    <row r="19602" ht="15.75" customHeight="1" spans="1:2">
      <c r="A19602" s="3" t="str">
        <f>IFERROR(__xludf.DUMMYFUNCTION("GOOGLETRANSLATE(A19602,""en"",""pt"")"),"No cesta material rodante. Poderia usar alças mais altos. apoio para os pés de borracha permite pés para pneus de toque ..")</f>
        <v>No cesta material rodante. Poderia usar alças mais altos. apoio para os pés de borracha permite pés para pneus de toque ..</v>
      </c>
      <c r="B19602" s="3">
        <v>0</v>
      </c>
    </row>
    <row r="19603" ht="15.75" customHeight="1" spans="1:2">
      <c r="A19603" s="3" t="str">
        <f>IFERROR(__xludf.DUMMYFUNCTION("GOOGLETRANSLATE(A19603,""en"",""pt"")"),"Assento não é bom para longas horas de sessão. dossel pequeno.")</f>
        <v>Assento não é bom para longas horas de sessão. dossel pequeno.</v>
      </c>
      <c r="B19603" s="3">
        <v>0</v>
      </c>
    </row>
    <row r="19604" ht="15.75" customHeight="1" spans="1:2">
      <c r="A19604" s="3" t="str">
        <f>IFERROR(__xludf.DUMMYFUNCTION("GOOGLETRANSLATE(A19604,""en"",""pt"")"),"Pode ser difícil de abrir e fechar.")</f>
        <v>Pode ser difícil de abrir e fechar.</v>
      </c>
      <c r="B19604" s="3">
        <v>0</v>
      </c>
    </row>
    <row r="19605" ht="15.75" customHeight="1" spans="1:2">
      <c r="A19605" s="3" t="str">
        <f>IFERROR(__xludf.DUMMYFUNCTION("GOOGLETRANSLATE(A19605,""en"",""pt"")"),"Cesta pequena, não totalmente reclináveis.")</f>
        <v>Cesta pequena, não totalmente reclináveis.</v>
      </c>
      <c r="B19605" s="3">
        <v>0</v>
      </c>
    </row>
    <row r="19606" ht="15.75" customHeight="1" spans="1:2">
      <c r="A19606" s="3" t="str">
        <f>IFERROR(__xludf.DUMMYFUNCTION("GOOGLETRANSLATE(A19606,""en"",""pt"")"),"Cesta é uma piada, tecido tende a desvanecer-se mais rapidamente do que outros carrinhos de criança que eu vi.")</f>
        <v>Cesta é uma piada, tecido tende a desvanecer-se mais rapidamente do que outros carrinhos de criança que eu vi.</v>
      </c>
      <c r="B19606" s="3">
        <v>0</v>
      </c>
    </row>
    <row r="19607" ht="15.75" customHeight="1" spans="1:2">
      <c r="A19607" s="3" t="str">
        <f>IFERROR(__xludf.DUMMYFUNCTION("GOOGLETRANSLATE(A19607,""en"",""pt"")"),"Encadernação rodas giratórias. Pobre, design do quadro flexão. pais curto altura média SÓ!")</f>
        <v>Encadernação rodas giratórias. Pobre, design do quadro flexão. pais curto altura média SÓ!</v>
      </c>
      <c r="B19607" s="3">
        <v>0</v>
      </c>
    </row>
    <row r="19608" ht="15.75" customHeight="1" spans="1:2">
      <c r="A19608" s="3" t="str">
        <f>IFERROR(__xludf.DUMMYFUNCTION("GOOGLETRANSLATE(A19608,""en"",""pt"")"),"Carece de todos os sinos e assobios de alguns preço semelhante, mas carrinhos pesados")</f>
        <v>Carece de todos os sinos e assobios de alguns preço semelhante, mas carrinhos pesados</v>
      </c>
      <c r="B19608" s="3">
        <v>0</v>
      </c>
    </row>
    <row r="19609" ht="15.75" customHeight="1" spans="1:2">
      <c r="A19609" s="3" t="str">
        <f>IFERROR(__xludf.DUMMYFUNCTION("GOOGLETRANSLATE(A19609,""en"",""pt"")"),"steering é muito difícil, a construção leve faz para sentir frágil.")</f>
        <v>steering é muito difícil, a construção leve faz para sentir frágil.</v>
      </c>
      <c r="B19609" s="3">
        <v>0</v>
      </c>
    </row>
    <row r="19610" ht="15.75" customHeight="1" spans="1:2">
      <c r="A19610" s="3" t="str">
        <f>IFERROR(__xludf.DUMMYFUNCTION("GOOGLETRANSLATE(A19610,""en"",""pt"")"),"Combi Atendimento ao Cliente é um atendedor de chamadas. O produto não é durável.")</f>
        <v>Combi Atendimento ao Cliente é um atendedor de chamadas. O produto não é durável.</v>
      </c>
      <c r="B19610" s="3">
        <v>0</v>
      </c>
    </row>
    <row r="19611" ht="15.75" customHeight="1" spans="1:2">
      <c r="A19611" s="3" t="str">
        <f>IFERROR(__xludf.DUMMYFUNCTION("GOOGLETRANSLATE(A19611,""en"",""pt"")"),"Barato fabricado e pequena cesta")</f>
        <v>Barato fabricado e pequena cesta</v>
      </c>
      <c r="B19611" s="3">
        <v>0</v>
      </c>
    </row>
    <row r="19612" ht="15.75" customHeight="1" spans="1:2">
      <c r="A19612" s="3" t="str">
        <f>IFERROR(__xludf.DUMMYFUNCTION("GOOGLETRANSLATE(A19612,""en"",""pt"")"),"precisa isso é melhor espaço de armazenamento compacto para garrafas ou refrigerantes. difícil de encontrar")</f>
        <v>precisa isso é melhor espaço de armazenamento compacto para garrafas ou refrigerantes. difícil de encontrar</v>
      </c>
      <c r="B19612" s="3">
        <v>0</v>
      </c>
    </row>
    <row r="19613" ht="15.75" customHeight="1" spans="1:2">
      <c r="A19613" s="3" t="str">
        <f>IFERROR(__xludf.DUMMYFUNCTION("GOOGLETRANSLATE(A19613,""en"",""pt"")"),"Caro, não reclinam muito, pequena cesta")</f>
        <v>Caro, não reclinam muito, pequena cesta</v>
      </c>
      <c r="B19613" s="3">
        <v>0</v>
      </c>
    </row>
    <row r="19614" ht="15.75" customHeight="1" spans="1:2">
      <c r="A19614" s="3" t="str">
        <f>IFERROR(__xludf.DUMMYFUNCTION("GOOGLETRANSLATE(A19614,""en"",""pt"")"),"dobrável pode ser difícil para algumas pessoas")</f>
        <v>dobrável pode ser difícil para algumas pessoas</v>
      </c>
      <c r="B19614" s="3">
        <v>0</v>
      </c>
    </row>
    <row r="19615" ht="15.75" customHeight="1" spans="1:2">
      <c r="A19615" s="3" t="str">
        <f>IFERROR(__xludf.DUMMYFUNCTION("GOOGLETRANSLATE(A19615,""en"",""pt"")"),"Frágil, desconfortável, pequena cesta, rodas travam")</f>
        <v>Frágil, desconfortável, pequena cesta, rodas travam</v>
      </c>
      <c r="B19615" s="3">
        <v>0</v>
      </c>
    </row>
    <row r="19616" ht="15.75" customHeight="1" spans="1:2">
      <c r="A19616" s="3" t="str">
        <f>IFERROR(__xludf.DUMMYFUNCTION("GOOGLETRANSLATE(A19616,""en"",""pt"")"),"não pode colocar qualquer peso na cesta no no punho ou vai virar.")</f>
        <v>não pode colocar qualquer peso na cesta no no punho ou vai virar.</v>
      </c>
      <c r="B19616" s="3">
        <v>0</v>
      </c>
    </row>
    <row r="19617" ht="15.75" customHeight="1" spans="1:2">
      <c r="A19617" s="3" t="str">
        <f>IFERROR(__xludf.DUMMYFUNCTION("GOOGLETRANSLATE(A19617,""en"",""pt"")"),"Três (em vez de cinco) pontos arnês, pequena cesta de armazenamento.")</f>
        <v>Três (em vez de cinco) pontos arnês, pequena cesta de armazenamento.</v>
      </c>
      <c r="B19617" s="3">
        <v>0</v>
      </c>
    </row>
    <row r="19618" ht="15.75" customHeight="1" spans="1:2">
      <c r="A19618" s="3" t="str">
        <f>IFERROR(__xludf.DUMMYFUNCTION("GOOGLETRANSLATE(A19618,""en"",""pt"")"),"cabo curto, rodas pequenas, wiggly, preço")</f>
        <v>cabo curto, rodas pequenas, wiggly, preço</v>
      </c>
      <c r="B19618" s="3">
        <v>0</v>
      </c>
    </row>
    <row r="19619" ht="15.75" customHeight="1" spans="1:2">
      <c r="A19619" s="3" t="str">
        <f>IFERROR(__xludf.DUMMYFUNCTION("GOOGLETRANSLATE(A19619,""en"",""pt"")"),"Cesta pequena, há porta-copos, não reclinar totalmente.")</f>
        <v>Cesta pequena, há porta-copos, não reclinar totalmente.</v>
      </c>
      <c r="B19619" s="3">
        <v>0</v>
      </c>
    </row>
    <row r="19620" ht="15.75" customHeight="1" spans="1:2">
      <c r="A19620" s="3" t="str">
        <f>IFERROR(__xludf.DUMMYFUNCTION("GOOGLETRANSLATE(A19620,""en"",""pt"")"),"Caro e uma cesta de armazenamento com sarampo.")</f>
        <v>Caro e uma cesta de armazenamento com sarampo.</v>
      </c>
      <c r="B19620" s="3">
        <v>0</v>
      </c>
    </row>
    <row r="19621" ht="15.75" customHeight="1" spans="1:2">
      <c r="A19621" s="3" t="str">
        <f>IFERROR(__xludf.DUMMYFUNCTION("GOOGLETRANSLATE(A19621,""en"",""pt"")"),"não durável para uma criança com mais de 40 LBS.")</f>
        <v>não durável para uma criança com mais de 40 LBS.</v>
      </c>
      <c r="B19621" s="3">
        <v>0</v>
      </c>
    </row>
    <row r="19622" ht="15.75" customHeight="1" spans="1:2">
      <c r="A19622" s="3" t="str">
        <f>IFERROR(__xludf.DUMMYFUNCTION("GOOGLETRANSLATE(A19622,""en"",""pt"")"),"tipo de frágil")</f>
        <v>tipo de frágil</v>
      </c>
      <c r="B19622" s="3">
        <v>0</v>
      </c>
    </row>
    <row r="19623" ht="15.75" customHeight="1" spans="1:2">
      <c r="A19623" s="3" t="str">
        <f>IFERROR(__xludf.DUMMYFUNCTION("GOOGLETRANSLATE(A19623,""en"",""pt"")"),"sem freios!")</f>
        <v>sem freios!</v>
      </c>
      <c r="B19623" s="3">
        <v>0</v>
      </c>
    </row>
    <row r="19624" ht="15.75" customHeight="1" spans="1:2">
      <c r="A19624" s="3" t="str">
        <f>IFERROR(__xludf.DUMMYFUNCTION("GOOGLETRANSLATE(A19624,""en"",""pt"")"),"pequena cesta")</f>
        <v>pequena cesta</v>
      </c>
      <c r="B19624" s="3">
        <v>0</v>
      </c>
    </row>
    <row r="19625" ht="15.75" customHeight="1" spans="1:2">
      <c r="A19625" s="3" t="str">
        <f>IFERROR(__xludf.DUMMYFUNCTION("GOOGLETRANSLATE(A19625,""en"",""pt"")"),"freios deve ser definido para dobrar e cesta esvaziar")</f>
        <v>freios deve ser definido para dobrar e cesta esvaziar</v>
      </c>
      <c r="B19625" s="3">
        <v>0</v>
      </c>
    </row>
    <row r="19626" ht="15.75" customHeight="1" spans="1:2">
      <c r="A19626" s="3" t="str">
        <f>IFERROR(__xludf.DUMMYFUNCTION("GOOGLETRANSLATE(A19626,""en"",""pt"")"),"pequena cesta")</f>
        <v>pequena cesta</v>
      </c>
      <c r="B19626" s="3">
        <v>0</v>
      </c>
    </row>
    <row r="19627" ht="15.75" customHeight="1" spans="1:2">
      <c r="A19627" s="3" t="str">
        <f>IFERROR(__xludf.DUMMYFUNCTION("GOOGLETRANSLATE(A19627,""en"",""pt"")"),"não muito espaço cesta, não reclinar")</f>
        <v>não muito espaço cesta, não reclinar</v>
      </c>
      <c r="B19627" s="3">
        <v>0</v>
      </c>
    </row>
    <row r="19628" ht="15.75" customHeight="1" spans="1:2">
      <c r="A19628" s="3" t="str">
        <f>IFERROR(__xludf.DUMMYFUNCTION("GOOGLETRANSLATE(A19628,""en"",""pt"")"),"o preço, não reclinar totalmente")</f>
        <v>o preço, não reclinar totalmente</v>
      </c>
      <c r="B19628" s="3">
        <v>0</v>
      </c>
    </row>
    <row r="19629" ht="15.75" customHeight="1" spans="1:2">
      <c r="A19629" s="3" t="str">
        <f>IFERROR(__xludf.DUMMYFUNCTION("GOOGLETRANSLATE(A19629,""en"",""pt"")"),"leveza faz sentir vacilante")</f>
        <v>leveza faz sentir vacilante</v>
      </c>
      <c r="B19629" s="3">
        <v>0</v>
      </c>
    </row>
    <row r="19630" ht="15.75" customHeight="1" spans="1:2">
      <c r="A19630" s="3" t="str">
        <f>IFERROR(__xludf.DUMMYFUNCTION("GOOGLETRANSLATE(A19630,""en"",""pt"")"),"Ligeiramente vacilante; rodas pequenas; No lado curto")</f>
        <v>Ligeiramente vacilante; rodas pequenas; No lado curto</v>
      </c>
      <c r="B19630" s="3">
        <v>0</v>
      </c>
    </row>
    <row r="19631" ht="15.75" customHeight="1" spans="1:2">
      <c r="A19631" s="3" t="str">
        <f>IFERROR(__xludf.DUMMYFUNCTION("GOOGLETRANSLATE(A19631,""en"",""pt"")"),"Preço")</f>
        <v>Preço</v>
      </c>
      <c r="B19631" s="3">
        <v>0</v>
      </c>
    </row>
    <row r="19632" ht="15.75" customHeight="1" spans="1:2">
      <c r="A19632" s="3" t="str">
        <f>IFERROR(__xludf.DUMMYFUNCTION("GOOGLETRANSLATE(A19632,""en"",""pt"")"),"mecanismos de ficar depois de algum tempo")</f>
        <v>mecanismos de ficar depois de algum tempo</v>
      </c>
      <c r="B19632" s="3">
        <v>0</v>
      </c>
    </row>
    <row r="19633" ht="15.75" customHeight="1" spans="1:2">
      <c r="A19633" s="3" t="str">
        <f>IFERROR(__xludf.DUMMYFUNCTION("GOOGLETRANSLATE(A19633,""en"",""pt"")"),"alças são muito curtos, não muito robusto")</f>
        <v>alças são muito curtos, não muito robusto</v>
      </c>
      <c r="B19633" s="3">
        <v>0</v>
      </c>
    </row>
    <row r="19634" ht="15.75" customHeight="1" spans="1:2">
      <c r="A19634" s="3" t="str">
        <f>IFERROR(__xludf.DUMMYFUNCTION("GOOGLETRANSLATE(A19634,""en"",""pt"")"),"O cinto de segurança, a pequena cesta, sede frágil, preço elevado")</f>
        <v>O cinto de segurança, a pequena cesta, sede frágil, preço elevado</v>
      </c>
      <c r="B19634" s="3">
        <v>0</v>
      </c>
    </row>
    <row r="19635" ht="15.75" customHeight="1" spans="1:2">
      <c r="A19635" s="3" t="str">
        <f>IFERROR(__xludf.DUMMYFUNCTION("GOOGLETRANSLATE(A19635,""en"",""pt"")"),"cesta um pouco pequeno, o preço um pouco alto")</f>
        <v>cesta um pouco pequeno, o preço um pouco alto</v>
      </c>
      <c r="B19635" s="3">
        <v>0</v>
      </c>
    </row>
    <row r="19636" ht="15.75" customHeight="1" spans="1:2">
      <c r="A19636" s="3" t="str">
        <f>IFERROR(__xludf.DUMMYFUNCTION("GOOGLETRANSLATE(A19636,""en"",""pt"")"),"cinta virilha inconveniente, difícil de menor encosto do banco")</f>
        <v>cinta virilha inconveniente, difícil de menor encosto do banco</v>
      </c>
      <c r="B19636" s="3">
        <v>0</v>
      </c>
    </row>
    <row r="19637" ht="15.75" customHeight="1" spans="1:2">
      <c r="A19637" s="3" t="str">
        <f>IFERROR(__xludf.DUMMYFUNCTION("GOOGLETRANSLATE(A19637,""en"",""pt"")"),"pequena cesta, rodas pequenas, não totalmente recline")</f>
        <v>pequena cesta, rodas pequenas, não totalmente recline</v>
      </c>
      <c r="B19637" s="3">
        <v>0</v>
      </c>
    </row>
    <row r="19638" ht="15.75" customHeight="1" spans="1:2">
      <c r="A19638" s="3" t="str">
        <f>IFERROR(__xludf.DUMMYFUNCTION("GOOGLETRANSLATE(A19638,""en"",""pt"")"),"custo, pequena cesta, por vezes difícil de manobrar com uma mão")</f>
        <v>custo, pequena cesta, por vezes difícil de manobrar com uma mão</v>
      </c>
      <c r="B19638" s="3">
        <v>0</v>
      </c>
    </row>
    <row r="19639" ht="15.75" customHeight="1" spans="1:2">
      <c r="A19639" s="3" t="str">
        <f>IFERROR(__xludf.DUMMYFUNCTION("GOOGLETRANSLATE(A19639,""en"",""pt"")"),"cinto difícil a desapertar")</f>
        <v>cinto difícil a desapertar</v>
      </c>
      <c r="B19639" s="3">
        <v>0</v>
      </c>
    </row>
    <row r="19640" ht="15.75" customHeight="1" spans="1:2">
      <c r="A19640" s="3" t="str">
        <f>IFERROR(__xludf.DUMMYFUNCTION("GOOGLETRANSLATE(A19640,""en"",""pt"")"),"altura punho, e reclinar carrinho")</f>
        <v>altura punho, e reclinar carrinho</v>
      </c>
      <c r="B19640" s="3">
        <v>0</v>
      </c>
    </row>
    <row r="19641" ht="15.75" customHeight="1" spans="1:2">
      <c r="A19641" s="3" t="str">
        <f>IFERROR(__xludf.DUMMYFUNCTION("GOOGLETRANSLATE(A19641,""en"",""pt"")"),"rodas dianteiras ocasionalmente trancar")</f>
        <v>rodas dianteiras ocasionalmente trancar</v>
      </c>
      <c r="B19641" s="3">
        <v>0</v>
      </c>
    </row>
    <row r="19642" ht="15.75" customHeight="1" spans="1:2">
      <c r="A19642" s="3" t="str">
        <f>IFERROR(__xludf.DUMMYFUNCTION("GOOGLETRANSLATE(A19642,""en"",""pt"")"),"frágeis, alças curtas")</f>
        <v>frágeis, alças curtas</v>
      </c>
      <c r="B19642" s="3">
        <v>0</v>
      </c>
    </row>
    <row r="19643" ht="15.75" customHeight="1" spans="1:2">
      <c r="A19643" s="3" t="str">
        <f>IFERROR(__xludf.DUMMYFUNCTION("GOOGLETRANSLATE(A19643,""en"",""pt"")"),"não pode pendurar sacos pesados ​​no punho")</f>
        <v>não pode pendurar sacos pesados ​​no punho</v>
      </c>
      <c r="B19643" s="3">
        <v>0</v>
      </c>
    </row>
    <row r="19644" ht="15.75" customHeight="1" spans="1:2">
      <c r="A19644" s="3" t="str">
        <f>IFERROR(__xludf.DUMMYFUNCTION("GOOGLETRANSLATE(A19644,""en"",""pt"")"),"Cesta pequena, não bandeja do pai")</f>
        <v>Cesta pequena, não bandeja do pai</v>
      </c>
      <c r="B19644" s="3">
        <v>0</v>
      </c>
    </row>
    <row r="19645" ht="15.75" customHeight="1" spans="1:2">
      <c r="A19645" s="3" t="str">
        <f>IFERROR(__xludf.DUMMYFUNCTION("GOOGLETRANSLATE(A19645,""en"",""pt"")"),"caro, pequeno cesto")</f>
        <v>caro, pequeno cesto</v>
      </c>
      <c r="B19645" s="3">
        <v>0</v>
      </c>
    </row>
    <row r="19646" ht="15.75" customHeight="1" spans="1:2">
      <c r="A19646" s="3" t="str">
        <f>IFERROR(__xludf.DUMMYFUNCTION("GOOGLETRANSLATE(A19646,""en"",""pt"")"),"apoio para os pés muito alto; vacilante; não reclinar bem; caro; pequena cesta")</f>
        <v>apoio para os pés muito alto; vacilante; não reclinar bem; caro; pequena cesta</v>
      </c>
      <c r="B19646" s="3">
        <v>0</v>
      </c>
    </row>
    <row r="19647" ht="15.75" customHeight="1" spans="1:2">
      <c r="A19647" s="3" t="str">
        <f>IFERROR(__xludf.DUMMYFUNCTION("GOOGLETRANSLATE(A19647,""en"",""pt"")"),"Virando é um desafio, freios constantemente se trancam, cesta é muito pequeno")</f>
        <v>Virando é um desafio, freios constantemente se trancam, cesta é muito pequeno</v>
      </c>
      <c r="B19647" s="3">
        <v>0</v>
      </c>
    </row>
    <row r="19648" ht="15.75" customHeight="1" spans="1:2">
      <c r="A19648" s="3" t="str">
        <f>IFERROR(__xludf.DUMMYFUNCTION("GOOGLETRANSLATE(A19648,""en"",""pt"")"),"não reclinar todo o caminho para o bebê &amp; amp; # 13; &amp; amp; # 10; &amp; amp; # 13; &amp; amp; # 10; &amp; amp; # 13; &amp; amp; # 10; &amp; amp; # 13; &amp; amp; # 10; alça push baixo demais para pessoas altas.")</f>
        <v>não reclinar todo o caminho para o bebê &amp; amp; # 13; &amp; amp; # 10; &amp; amp; # 13; &amp; amp; # 10; &amp; amp; # 13; &amp; amp; # 10; &amp; amp; # 13; &amp; amp; # 10; alça push baixo demais para pessoas altas.</v>
      </c>
      <c r="B19648" s="3">
        <v>0</v>
      </c>
    </row>
    <row r="19649" ht="15.75" customHeight="1" spans="1:2">
      <c r="A19649" s="3" t="str">
        <f>IFERROR(__xludf.DUMMYFUNCTION("GOOGLETRANSLATE(A19649,""en"",""pt"")"),"pequena cesta que é difícil de alcançar, realmente não recline")</f>
        <v>pequena cesta que é difícil de alcançar, realmente não recline</v>
      </c>
      <c r="B19649" s="3">
        <v>0</v>
      </c>
    </row>
    <row r="19650" ht="15.75" customHeight="1" spans="1:2">
      <c r="A19650" s="3" t="str">
        <f>IFERROR(__xludf.DUMMYFUNCTION("GOOGLETRANSLATE(A19650,""en"",""pt"")"),"cesta é pequeno e difícil de obter itens fora de; rodas traseiras difícil de bloquear / desbloquear")</f>
        <v>cesta é pequeno e difícil de obter itens fora de; rodas traseiras difícil de bloquear / desbloquear</v>
      </c>
      <c r="B19650" s="3">
        <v>0</v>
      </c>
    </row>
    <row r="19651" ht="15.75" customHeight="1" spans="1:2">
      <c r="A19651" s="3" t="str">
        <f>IFERROR(__xludf.DUMMYFUNCTION("GOOGLETRANSLATE(A19651,""en"",""pt"")"),"frágil, não recline, chocalhos, 3 pontos arnês")</f>
        <v>frágil, não recline, chocalhos, 3 pontos arnês</v>
      </c>
      <c r="B19651" s="3">
        <v>0</v>
      </c>
    </row>
    <row r="19652" ht="15.75" customHeight="1" spans="1:2">
      <c r="A19652" s="3" t="str">
        <f>IFERROR(__xludf.DUMMYFUNCTION("GOOGLETRANSLATE(A19652,""en"",""pt"")"),"Não funciona com as crianças pesadas. Assento não estava muito plana")</f>
        <v>Não funciona com as crianças pesadas. Assento não estava muito plana</v>
      </c>
      <c r="B19652" s="3">
        <v>0</v>
      </c>
    </row>
    <row r="19653" ht="15.75" customHeight="1" spans="1:2">
      <c r="A19653" s="3" t="str">
        <f>IFERROR(__xludf.DUMMYFUNCTION("GOOGLETRANSLATE(A19653,""en"",""pt"")"),"rede de arrumação é de difícil acesso. Caro para um carrinho de criança de viagem.")</f>
        <v>rede de arrumação é de difícil acesso. Caro para um carrinho de criança de viagem.</v>
      </c>
      <c r="B19653" s="3">
        <v>0</v>
      </c>
    </row>
    <row r="19654" ht="15.75" customHeight="1" spans="1:2">
      <c r="A19654" s="3" t="str">
        <f>IFERROR(__xludf.DUMMYFUNCTION("GOOGLETRANSLATE(A19654,""en"",""pt"")"),"difícil de entrar no cesto e sem arnês de 5 pontos")</f>
        <v>difícil de entrar no cesto e sem arnês de 5 pontos</v>
      </c>
      <c r="B19654" s="3">
        <v>0</v>
      </c>
    </row>
    <row r="19655" ht="15.75" customHeight="1" spans="1:2">
      <c r="A19655" s="3" t="str">
        <f>IFERROR(__xludf.DUMMYFUNCTION("GOOGLETRANSLATE(A19655,""en"",""pt"")"),"não funciona bem para crianças com mais de 25 libras, rodas dianteiras bloquear no lugar")</f>
        <v>não funciona bem para crianças com mais de 25 libras, rodas dianteiras bloquear no lugar</v>
      </c>
      <c r="B19655" s="3">
        <v>0</v>
      </c>
    </row>
    <row r="19656" ht="15.75" customHeight="1" spans="1:2">
      <c r="A19656" s="3" t="str">
        <f>IFERROR(__xludf.DUMMYFUNCTION("GOOGLETRANSLATE(A19656,""en"",""pt"")"),"Delicado, tem quebrado algumas vezes, carece de recursos como recline completo, bandeja ou suporte de copo.")</f>
        <v>Delicado, tem quebrado algumas vezes, carece de recursos como recline completo, bandeja ou suporte de copo.</v>
      </c>
      <c r="B19656" s="3">
        <v>0</v>
      </c>
    </row>
    <row r="19657" ht="15.75" customHeight="1" spans="1:2">
      <c r="A19657" s="3" t="str">
        <f>IFERROR(__xludf.DUMMYFUNCTION("GOOGLETRANSLATE(A19657,""en"",""pt"")"),"Does &amp; lt; b &amp; gt; não &amp; lt; / b &amp; gt; totalmente reclinar.")</f>
        <v>Does &amp; lt; b &amp; gt; não &amp; lt; / b &amp; gt; totalmente reclinar.</v>
      </c>
      <c r="B19657" s="3">
        <v>0</v>
      </c>
    </row>
    <row r="19658" ht="15.75" customHeight="1" spans="1:2">
      <c r="A19658" s="3" t="str">
        <f>IFERROR(__xludf.DUMMYFUNCTION("GOOGLETRANSLATE(A19658,""en"",""pt"")"),"Durabilidade, Atendimento ao Cliente")</f>
        <v>Durabilidade, Atendimento ao Cliente</v>
      </c>
      <c r="B19658" s="3">
        <v>0</v>
      </c>
    </row>
    <row r="19659" ht="15.75" customHeight="1" spans="1:2">
      <c r="A19659" s="3" t="str">
        <f>IFERROR(__xludf.DUMMYFUNCTION("GOOGLETRANSLATE(A19659,""en"",""pt"")"),"Center Bar que suportes dobráveis ​​alças breaks, é uma falha de projeto CONHECIDO")</f>
        <v>Center Bar que suportes dobráveis ​​alças breaks, é uma falha de projeto CONHECIDO</v>
      </c>
      <c r="B19659" s="3">
        <v>0</v>
      </c>
    </row>
    <row r="19660" ht="15.75" customHeight="1" spans="1:2">
      <c r="A19660" s="3" t="str">
        <f>IFERROR(__xludf.DUMMYFUNCTION("GOOGLETRANSLATE(A19660,""en"",""pt"")"),"Difícil de manobra, não pode pendurar fralda saco na alça.")</f>
        <v>Difícil de manobra, não pode pendurar fralda saco na alça.</v>
      </c>
      <c r="B19660" s="3">
        <v>0</v>
      </c>
    </row>
    <row r="19661" ht="15.75" customHeight="1" spans="1:2">
      <c r="A19661" s="3" t="str">
        <f>IFERROR(__xludf.DUMMYFUNCTION("GOOGLETRANSLATE(A19661,""en"",""pt"")"),"Quebra!")</f>
        <v>Quebra!</v>
      </c>
      <c r="B19661" s="3">
        <v>0</v>
      </c>
    </row>
    <row r="19662" ht="15.75" customHeight="1" spans="1:2">
      <c r="A19662" s="3" t="str">
        <f>IFERROR(__xludf.DUMMYFUNCTION("GOOGLETRANSLATE(A19662,""en"",""pt"")"),"A Combi, pode quebrar se não tomar cuidado, 3 pontos arnês")</f>
        <v>A Combi, pode quebrar se não tomar cuidado, 3 pontos arnês</v>
      </c>
      <c r="B19662" s="3">
        <v>0</v>
      </c>
    </row>
    <row r="19663" ht="15.75" customHeight="1" spans="1:2">
      <c r="A19663" s="3" t="str">
        <f>IFERROR(__xludf.DUMMYFUNCTION("GOOGLETRANSLATE(A19663,""en"",""pt"")"),"Modelo 2001 é de plástico e pode quebrar facilmente.")</f>
        <v>Modelo 2001 é de plástico e pode quebrar facilmente.</v>
      </c>
      <c r="B19663" s="3">
        <v>0</v>
      </c>
    </row>
    <row r="19664" ht="15.75" customHeight="1" spans="1:2">
      <c r="A19664" s="3" t="str">
        <f>IFERROR(__xludf.DUMMYFUNCTION("GOOGLETRANSLATE(A19664,""en"",""pt"")"),"durabilidade, qualidade")</f>
        <v>durabilidade, qualidade</v>
      </c>
      <c r="B19664" s="3">
        <v>0</v>
      </c>
    </row>
    <row r="19665" ht="15.75" customHeight="1" spans="1:2">
      <c r="A19665" s="3" t="str">
        <f>IFERROR(__xludf.DUMMYFUNCTION("GOOGLETRANSLATE(A19665,""en"",""pt"")"),"Muito caros, não muito de uma bandeja do pai, quebras de barra central em modelos mais antigos")</f>
        <v>Muito caros, não muito de uma bandeja do pai, quebras de barra central em modelos mais antigos</v>
      </c>
      <c r="B19665" s="3">
        <v>0</v>
      </c>
    </row>
    <row r="19666" ht="15.75" customHeight="1" spans="1:2">
      <c r="A19666" s="3" t="str">
        <f>IFERROR(__xludf.DUMMYFUNCTION("GOOGLETRANSLATE(A19666,""en"",""pt"")"),"um pouco estridente, não ótimo para grama / acidentada / viagem rochosa")</f>
        <v>um pouco estridente, não ótimo para grama / acidentada / viagem rochosa</v>
      </c>
      <c r="B19666" s="3">
        <v>0</v>
      </c>
    </row>
    <row r="19667" ht="15.75" customHeight="1" spans="1:2">
      <c r="A19667" s="3" t="str">
        <f>IFERROR(__xludf.DUMMYFUNCTION("GOOGLETRANSLATE(A19667,""en"",""pt"")"),"Terrivelmente qualidade barato, breaks barra central, rodas caiam")</f>
        <v>Terrivelmente qualidade barato, breaks barra central, rodas caiam</v>
      </c>
      <c r="B19667" s="3">
        <v>0</v>
      </c>
    </row>
    <row r="19668" ht="15.75" customHeight="1" spans="1:2">
      <c r="A19668" s="3" t="str">
        <f>IFERROR(__xludf.DUMMYFUNCTION("GOOGLETRANSLATE(A19668,""en"",""pt"")"),"guarda-chuva, nenhuma cinta chicote de fios, apenas cintos no colo")</f>
        <v>guarda-chuva, nenhuma cinta chicote de fios, apenas cintos no colo</v>
      </c>
      <c r="B19668" s="3">
        <v>0</v>
      </c>
    </row>
    <row r="19669" ht="15.75" customHeight="1" spans="1:2">
      <c r="A19669" s="3" t="str">
        <f>IFERROR(__xludf.DUMMYFUNCTION("GOOGLETRANSLATE(A19669,""en"",""pt"")"),"3 pontos cinto de segurança, assentos um pouco estreita, cestas muito pequeno")</f>
        <v>3 pontos cinto de segurança, assentos um pouco estreita, cestas muito pequeno</v>
      </c>
      <c r="B19669" s="3">
        <v>0</v>
      </c>
    </row>
    <row r="19670" ht="15.75" customHeight="1" spans="1:2">
      <c r="A19670" s="3" t="str">
        <f>IFERROR(__xludf.DUMMYFUNCTION("GOOGLETRANSLATE(A19670,""en"",""pt"")"),"rodas pequenas, assentos estreitas, caro.")</f>
        <v>rodas pequenas, assentos estreitas, caro.</v>
      </c>
      <c r="B19670" s="3">
        <v>0</v>
      </c>
    </row>
    <row r="19671" ht="15.75" customHeight="1" spans="1:2">
      <c r="A19671" s="3" t="str">
        <f>IFERROR(__xludf.DUMMYFUNCTION("GOOGLETRANSLATE(A19671,""en"",""pt"")"),"Na realidade, é um pedaço de merda (desculpem o meu francês).")</f>
        <v>Na realidade, é um pedaço de merda (desculpem o meu francês).</v>
      </c>
      <c r="B19671" s="3">
        <v>0</v>
      </c>
    </row>
    <row r="19672" ht="15.75" customHeight="1" spans="1:2">
      <c r="A19672" s="3" t="str">
        <f>IFERROR(__xludf.DUMMYFUNCTION("GOOGLETRANSLATE(A19672,""en"",""pt"")"),"poderia ser demasiado estreito para bebês robustos")</f>
        <v>poderia ser demasiado estreito para bebês robustos</v>
      </c>
      <c r="B19672" s="3">
        <v>0</v>
      </c>
    </row>
    <row r="19673" ht="15.75" customHeight="1" spans="1:2">
      <c r="A19673" s="3" t="str">
        <f>IFERROR(__xludf.DUMMYFUNCTION("GOOGLETRANSLATE(A19673,""en"",""pt"")"),"Caro, mas você pode encontrar grandes ofertas na internet")</f>
        <v>Caro, mas você pode encontrar grandes ofertas na internet</v>
      </c>
      <c r="B19673" s="3">
        <v>0</v>
      </c>
    </row>
    <row r="19674" ht="15.75" customHeight="1" spans="1:2">
      <c r="A19674" s="3" t="str">
        <f>IFERROR(__xludf.DUMMYFUNCTION("GOOGLETRANSLATE(A19674,""en"",""pt"")"),"caro, aquém de cada função.")</f>
        <v>caro, aquém de cada função.</v>
      </c>
      <c r="B19674" s="3">
        <v>0</v>
      </c>
    </row>
    <row r="19675" ht="15.75" customHeight="1" spans="1:2">
      <c r="A19675" s="3" t="str">
        <f>IFERROR(__xludf.DUMMYFUNCTION("GOOGLETRANSLATE(A19675,""en"",""pt"")"),"muito caro, pequeno cesto")</f>
        <v>muito caro, pequeno cesto</v>
      </c>
      <c r="B19675" s="3">
        <v>0</v>
      </c>
    </row>
    <row r="19676" ht="15.75" customHeight="1" spans="1:2">
      <c r="A19676" s="3" t="str">
        <f>IFERROR(__xludf.DUMMYFUNCTION("GOOGLETRANSLATE(A19676,""en"",""pt"")"),"malha cesta demasiado pequena, quadro sente instável")</f>
        <v>malha cesta demasiado pequena, quadro sente instável</v>
      </c>
      <c r="B19676" s="3">
        <v>0</v>
      </c>
    </row>
    <row r="19677" ht="15.75" customHeight="1" spans="1:2">
      <c r="A19677" s="3" t="str">
        <f>IFERROR(__xludf.DUMMYFUNCTION("GOOGLETRANSLATE(A19677,""en"",""pt"")"),"Eu não sinto que há qualquer contras sobre este carrinho de criança.")</f>
        <v>Eu não sinto que há qualquer contras sobre este carrinho de criança.</v>
      </c>
      <c r="B19677" s="3">
        <v>0</v>
      </c>
    </row>
    <row r="19678" ht="15.75" customHeight="1" spans="1:2">
      <c r="A19678" s="3" t="str">
        <f>IFERROR(__xludf.DUMMYFUNCTION("GOOGLETRANSLATE(A19678,""en"",""pt"")"),"Cadeira para trás requer prática e área de armazenamento muito pequeno.")</f>
        <v>Cadeira para trás requer prática e área de armazenamento muito pequeno.</v>
      </c>
      <c r="B19678" s="3">
        <v>0</v>
      </c>
    </row>
    <row r="19679" ht="15.75" customHeight="1" spans="1:2">
      <c r="A19679" s="3" t="str">
        <f>IFERROR(__xludf.DUMMYFUNCTION("GOOGLETRANSLATE(A19679,""en"",""pt"")"),"Eu gostaria que tivesse uma alça telescópica e um cesto maior.")</f>
        <v>Eu gostaria que tivesse uma alça telescópica e um cesto maior.</v>
      </c>
      <c r="B19679" s="3">
        <v>0</v>
      </c>
    </row>
    <row r="19680" ht="15.75" customHeight="1" spans="1:2">
      <c r="A19680" s="3" t="str">
        <f>IFERROR(__xludf.DUMMYFUNCTION("GOOGLETRANSLATE(A19680,""en"",""pt"")"),"frágil, não manter-se bem.")</f>
        <v>frágil, não manter-se bem.</v>
      </c>
      <c r="B19680" s="3">
        <v>0</v>
      </c>
    </row>
    <row r="19681" ht="15.75" customHeight="1" spans="1:2">
      <c r="A19681" s="3" t="str">
        <f>IFERROR(__xludf.DUMMYFUNCTION("GOOGLETRANSLATE(A19681,""en"",""pt"")"),"Cesta é um pouco pequeno, mas isso é ok.")</f>
        <v>Cesta é um pouco pequeno, mas isso é ok.</v>
      </c>
      <c r="B19681" s="3">
        <v>0</v>
      </c>
    </row>
    <row r="19682" ht="15.75" customHeight="1" spans="1:2">
      <c r="A19682" s="3" t="str">
        <f>IFERROR(__xludf.DUMMYFUNCTION("GOOGLETRANSLATE(A19682,""en"",""pt"")"),"inclinada assento perigoso para os bebês que não pode sentar-se, recline total somente útil para crianças pequenas")</f>
        <v>inclinada assento perigoso para os bebês que não pode sentar-se, recline total somente útil para crianças pequenas</v>
      </c>
      <c r="B19682" s="3">
        <v>0</v>
      </c>
    </row>
    <row r="19683" ht="15.75" customHeight="1" spans="1:2">
      <c r="A19683" s="3" t="str">
        <f>IFERROR(__xludf.DUMMYFUNCTION("GOOGLETRANSLATE(A19683,""en"",""pt"")"),"mau bocado sobre terreno acidentado")</f>
        <v>mau bocado sobre terreno acidentado</v>
      </c>
      <c r="B19683" s="3">
        <v>0</v>
      </c>
    </row>
    <row r="19684" ht="15.75" customHeight="1" spans="1:2">
      <c r="A19684" s="3" t="str">
        <f>IFERROR(__xludf.DUMMYFUNCTION("GOOGLETRANSLATE(A19684,""en"",""pt"")"),"copa não pode ser movido para a frente para bloquear o sol")</f>
        <v>copa não pode ser movido para a frente para bloquear o sol</v>
      </c>
      <c r="B19684" s="3">
        <v>0</v>
      </c>
    </row>
    <row r="19685" ht="15.75" customHeight="1" spans="1:2">
      <c r="A19685" s="3" t="str">
        <f>IFERROR(__xludf.DUMMYFUNCTION("GOOGLETRANSLATE(A19685,""en"",""pt"")"),"Mau armazenamento, caro")</f>
        <v>Mau armazenamento, caro</v>
      </c>
      <c r="B19685" s="3">
        <v>0</v>
      </c>
    </row>
    <row r="19686" ht="15.75" customHeight="1" spans="1:2">
      <c r="A19686" s="3" t="str">
        <f>IFERROR(__xludf.DUMMYFUNCTION("GOOGLETRANSLATE(A19686,""en"",""pt"")"),"Rodas pequena, Cesta pequena, não é barato")</f>
        <v>Rodas pequena, Cesta pequena, não é barato</v>
      </c>
      <c r="B19686" s="3">
        <v>0</v>
      </c>
    </row>
    <row r="19687" ht="15.75" customHeight="1" spans="1:2">
      <c r="A19687" s="3" t="str">
        <f>IFERROR(__xludf.DUMMYFUNCTION("GOOGLETRANSLATE(A19687,""en"",""pt"")"),"Terrível sub-cesta. Pobres ""de apuramento kick"" na parte de trás.")</f>
        <v>Terrível sub-cesta. Pobres "de apuramento kick" na parte de trás.</v>
      </c>
      <c r="B19687" s="3">
        <v>0</v>
      </c>
    </row>
    <row r="19688" ht="15.75" customHeight="1" spans="1:2">
      <c r="A19688" s="3" t="str">
        <f>IFERROR(__xludf.DUMMYFUNCTION("GOOGLETRANSLATE(A19688,""en"",""pt"")"),"Maneira muito caros")</f>
        <v>Maneira muito caros</v>
      </c>
      <c r="B19688" s="3">
        <v>0</v>
      </c>
    </row>
    <row r="19689" ht="15.75" customHeight="1" spans="1:2">
      <c r="A19689" s="3" t="str">
        <f>IFERROR(__xludf.DUMMYFUNCTION("GOOGLETRANSLATE(A19689,""en"",""pt"")"),"custo, pequena cesta")</f>
        <v>custo, pequena cesta</v>
      </c>
      <c r="B19689" s="3">
        <v>0</v>
      </c>
    </row>
    <row r="19690" ht="15.75" customHeight="1" spans="1:2">
      <c r="A19690" s="3" t="str">
        <f>IFERROR(__xludf.DUMMYFUNCTION("GOOGLETRANSLATE(A19690,""en"",""pt"")"),"rodas difícil de mover, caro")</f>
        <v>rodas difícil de mover, caro</v>
      </c>
      <c r="B19690" s="3">
        <v>0</v>
      </c>
    </row>
    <row r="19691" ht="15.75" customHeight="1" spans="1:2">
      <c r="A19691" s="3" t="str">
        <f>IFERROR(__xludf.DUMMYFUNCTION("GOOGLETRANSLATE(A19691,""en"",""pt"")"),"rodas não recauchutados, No dossel strap seguro ao realizar, cesta pequena.")</f>
        <v>rodas não recauchutados, No dossel strap seguro ao realizar, cesta pequena.</v>
      </c>
      <c r="B19691" s="3">
        <v>0</v>
      </c>
    </row>
    <row r="19692" ht="15.75" customHeight="1" spans="1:2">
      <c r="A19692" s="3" t="str">
        <f>IFERROR(__xludf.DUMMYFUNCTION("GOOGLETRANSLATE(A19692,""en"",""pt"")"),"alças baixos carrinho de criança")</f>
        <v>alças baixos carrinho de criança</v>
      </c>
      <c r="B19692" s="3">
        <v>0</v>
      </c>
    </row>
    <row r="19693" ht="15.75" customHeight="1" spans="1:2">
      <c r="A19693" s="3" t="str">
        <f>IFERROR(__xludf.DUMMYFUNCTION("GOOGLETRANSLATE(A19693,""en"",""pt"")"),"caro")</f>
        <v>caro</v>
      </c>
      <c r="B19693" s="3">
        <v>0</v>
      </c>
    </row>
    <row r="19694" ht="15.75" customHeight="1" spans="1:2">
      <c r="A19694" s="3" t="str">
        <f>IFERROR(__xludf.DUMMYFUNCTION("GOOGLETRANSLATE(A19694,""en"",""pt"")"),"Muito caro")</f>
        <v>Muito caro</v>
      </c>
      <c r="B19694" s="3">
        <v>0</v>
      </c>
    </row>
    <row r="19695" ht="15.75" customHeight="1" spans="1:2">
      <c r="A19695" s="3" t="str">
        <f>IFERROR(__xludf.DUMMYFUNCTION("GOOGLETRANSLATE(A19695,""en"",""pt"")"),"Caro, fica preso em alguns limiares baixos porque é tão leve.")</f>
        <v>Caro, fica preso em alguns limiares baixos porque é tão leve.</v>
      </c>
      <c r="B19695" s="3">
        <v>0</v>
      </c>
    </row>
    <row r="19696" ht="15.75" customHeight="1" spans="1:2">
      <c r="A19696" s="3" t="str">
        <f>IFERROR(__xludf.DUMMYFUNCTION("GOOGLETRANSLATE(A19696,""en"",""pt"")"),"Não imprimir com qualidade.")</f>
        <v>Não imprimir com qualidade.</v>
      </c>
      <c r="B19696" s="3">
        <v>0</v>
      </c>
    </row>
    <row r="19697" ht="15.75" customHeight="1" spans="1:2">
      <c r="A19697" s="3" t="str">
        <f>IFERROR(__xludf.DUMMYFUNCTION("GOOGLETRANSLATE(A19697,""en"",""pt"")"),"Funciona")</f>
        <v>Funciona</v>
      </c>
      <c r="B19697" s="3">
        <v>0</v>
      </c>
    </row>
    <row r="19698" ht="15.75" customHeight="1" spans="1:2">
      <c r="A19698" s="3" t="str">
        <f>IFERROR(__xludf.DUMMYFUNCTION("GOOGLETRANSLATE(A19698,""en"",""pt"")"),"Velocidade lenta, Bad Qualidade de Impressão, Bad resolução e BAD TUDO !!!")</f>
        <v>Velocidade lenta, Bad Qualidade de Impressão, Bad resolução e BAD TUDO !!!</v>
      </c>
      <c r="B19698" s="3">
        <v>0</v>
      </c>
    </row>
    <row r="19699" ht="15.75" customHeight="1" spans="1:2">
      <c r="A19699" s="3" t="str">
        <f>IFERROR(__xludf.DUMMYFUNCTION("GOOGLETRANSLATE(A19699,""en"",""pt"")"),"atolamentos de papel permanecem, velocidades de impressão lenta frequentes, faz uma pausa em trabalhos de impressão.")</f>
        <v>atolamentos de papel permanecem, velocidades de impressão lenta frequentes, faz uma pausa em trabalhos de impressão.</v>
      </c>
      <c r="B19699" s="3">
        <v>0</v>
      </c>
    </row>
    <row r="19700" ht="15.75" customHeight="1" spans="1:2">
      <c r="A19700" s="3" t="str">
        <f>IFERROR(__xludf.DUMMYFUNCTION("GOOGLETRANSLATE(A19700,""en"",""pt"")"),"Slooooooooooww.")</f>
        <v>Slooooooooooww.</v>
      </c>
      <c r="B19700" s="3">
        <v>0</v>
      </c>
    </row>
    <row r="19701" ht="15.75" customHeight="1" spans="1:2">
      <c r="A19701" s="3" t="str">
        <f>IFERROR(__xludf.DUMMYFUNCTION("GOOGLETRANSLATE(A19701,""en"",""pt"")"),"Lento")</f>
        <v>Lento</v>
      </c>
      <c r="B19701" s="3">
        <v>0</v>
      </c>
    </row>
    <row r="19702" ht="15.75" customHeight="1" spans="1:2">
      <c r="A19702" s="3" t="str">
        <f>IFERROR(__xludf.DUMMYFUNCTION("GOOGLETRANSLATE(A19702,""en"",""pt"")"),"Nenhum")</f>
        <v>Nenhum</v>
      </c>
      <c r="B19702" s="3">
        <v>0</v>
      </c>
    </row>
    <row r="19703" ht="15.75" customHeight="1" spans="1:2">
      <c r="A19703" s="3" t="str">
        <f>IFERROR(__xludf.DUMMYFUNCTION("GOOGLETRANSLATE(A19703,""en"",""pt"")"),"Funciona como uma impressora barata")</f>
        <v>Funciona como uma impressora barata</v>
      </c>
      <c r="B19703" s="3">
        <v>0</v>
      </c>
    </row>
    <row r="19704" ht="15.75" customHeight="1" spans="1:2">
      <c r="A19704" s="3" t="str">
        <f>IFERROR(__xludf.DUMMYFUNCTION("GOOGLETRANSLATE(A19704,""en"",""pt"")"),"Grande inconveniente, requer atenção constante")</f>
        <v>Grande inconveniente, requer atenção constante</v>
      </c>
      <c r="B19704" s="3">
        <v>0</v>
      </c>
    </row>
    <row r="19705" ht="15.75" customHeight="1" spans="1:2">
      <c r="A19705" s="3" t="str">
        <f>IFERROR(__xludf.DUMMYFUNCTION("GOOGLETRANSLATE(A19705,""en"",""pt"")"),"Lento como o inferno")</f>
        <v>Lento como o inferno</v>
      </c>
      <c r="B19705" s="3">
        <v>0</v>
      </c>
    </row>
    <row r="19706" ht="15.75" customHeight="1" spans="1:2">
      <c r="A19706" s="3" t="str">
        <f>IFERROR(__xludf.DUMMYFUNCTION("GOOGLETRANSLATE(A19706,""en"",""pt"")"),"imagens de baixa qualidade, é lento, mais trabalho que qualquer outra impressora, freia, a sua interrompida ... para listar alguns")</f>
        <v>imagens de baixa qualidade, é lento, mais trabalho que qualquer outra impressora, freia, a sua interrompida ... para listar alguns</v>
      </c>
      <c r="B19706" s="3">
        <v>0</v>
      </c>
    </row>
    <row r="19707" ht="15.75" customHeight="1" spans="1:2">
      <c r="A19707" s="3" t="str">
        <f>IFERROR(__xludf.DUMMYFUNCTION("GOOGLETRANSLATE(A19707,""en"",""pt"")"),"Não é um HP")</f>
        <v>Não é um HP</v>
      </c>
      <c r="B19707" s="3">
        <v>0</v>
      </c>
    </row>
    <row r="19708" ht="15.75" customHeight="1" spans="1:2">
      <c r="A19708" s="3" t="str">
        <f>IFERROR(__xludf.DUMMYFUNCTION("GOOGLETRANSLATE(A19708,""en"",""pt"")"),"Nenhum")</f>
        <v>Nenhum</v>
      </c>
      <c r="B19708" s="3">
        <v>0</v>
      </c>
    </row>
    <row r="19709" ht="15.75" customHeight="1" spans="1:2">
      <c r="A19709" s="3" t="str">
        <f>IFERROR(__xludf.DUMMYFUNCTION("GOOGLETRANSLATE(A19709,""en"",""pt"")"),"Imprime muito lentamente; baixa qualidade de impressão; quebra facilmente")</f>
        <v>Imprime muito lentamente; baixa qualidade de impressão; quebra facilmente</v>
      </c>
      <c r="B19709" s="3">
        <v>0</v>
      </c>
    </row>
    <row r="19710" ht="15.75" customHeight="1" spans="1:2">
      <c r="A19710" s="3" t="str">
        <f>IFERROR(__xludf.DUMMYFUNCTION("GOOGLETRANSLATE(A19710,""en"",""pt"")"),"Muitos para listar aqui. Leia a análise.")</f>
        <v>Muitos para listar aqui. Leia a análise.</v>
      </c>
      <c r="B19710" s="3">
        <v>0</v>
      </c>
    </row>
    <row r="19711" ht="15.75" customHeight="1" spans="1:2">
      <c r="A19711" s="3" t="str">
        <f>IFERROR(__xludf.DUMMYFUNCTION("GOOGLETRANSLATE(A19711,""en"",""pt"")"),"Ink está em um cartucho e custo 29 - 35 dólares cada.")</f>
        <v>Ink está em um cartucho e custo 29 - 35 dólares cada.</v>
      </c>
      <c r="B19711" s="3">
        <v>0</v>
      </c>
    </row>
    <row r="19712" ht="15.75" customHeight="1" spans="1:2">
      <c r="A19712" s="3" t="str">
        <f>IFERROR(__xludf.DUMMYFUNCTION("GOOGLETRANSLATE(A19712,""en"",""pt"")"),"Tem que segurar as vezes de papel para impressora para imprimir corretamente")</f>
        <v>Tem que segurar as vezes de papel para impressora para imprimir corretamente</v>
      </c>
      <c r="B19712" s="3">
        <v>0</v>
      </c>
    </row>
    <row r="19713" ht="15.75" customHeight="1" spans="1:2">
      <c r="A19713" s="3" t="str">
        <f>IFERROR(__xludf.DUMMYFUNCTION("GOOGLETRANSLATE(A19713,""en"",""pt"")"),"Não é muito boa impressora para impressão de fotografias")</f>
        <v>Não é muito boa impressora para impressão de fotografias</v>
      </c>
      <c r="B19713" s="3">
        <v>0</v>
      </c>
    </row>
    <row r="19714" ht="15.75" customHeight="1" spans="1:2">
      <c r="A19714" s="3" t="str">
        <f>IFERROR(__xludf.DUMMYFUNCTION("GOOGLETRANSLATE(A19714,""en"",""pt"")"),"Nenhum")</f>
        <v>Nenhum</v>
      </c>
      <c r="B19714" s="3">
        <v>0</v>
      </c>
    </row>
    <row r="19715" ht="15.75" customHeight="1" spans="1:2">
      <c r="A19715" s="3" t="str">
        <f>IFERROR(__xludf.DUMMYFUNCTION("GOOGLETRANSLATE(A19715,""en"",""pt"")"),"carregamento superior")</f>
        <v>carregamento superior</v>
      </c>
      <c r="B19715" s="3">
        <v>0</v>
      </c>
    </row>
    <row r="19716" ht="15.75" customHeight="1" spans="1:2">
      <c r="A19716" s="3" t="str">
        <f>IFERROR(__xludf.DUMMYFUNCTION("GOOGLETRANSLATE(A19716,""en"",""pt"")"),"fina apanhador de papel plástico")</f>
        <v>fina apanhador de papel plástico</v>
      </c>
      <c r="B19716" s="3">
        <v>0</v>
      </c>
    </row>
    <row r="19717" ht="15.75" customHeight="1" spans="1:2">
      <c r="A19717" s="3" t="str">
        <f>IFERROR(__xludf.DUMMYFUNCTION("GOOGLETRANSLATE(A19717,""en"",""pt"")"),"custo do cartucho")</f>
        <v>custo do cartucho</v>
      </c>
      <c r="B19717" s="3">
        <v>0</v>
      </c>
    </row>
    <row r="19718" ht="15.75" customHeight="1" spans="1:2">
      <c r="A19718" s="3" t="str">
        <f>IFERROR(__xludf.DUMMYFUNCTION("GOOGLETRANSLATE(A19718,""en"",""pt"")"),"Mal construído, não realmente feito pela Compaq.")</f>
        <v>Mal construído, não realmente feito pela Compaq.</v>
      </c>
      <c r="B19718" s="3">
        <v>0</v>
      </c>
    </row>
    <row r="19719" ht="15.75" customHeight="1" spans="1:2">
      <c r="A19719" s="3" t="str">
        <f>IFERROR(__xludf.DUMMYFUNCTION("GOOGLETRANSLATE(A19719,""en"",""pt"")"),"funções de impressão limitada e configurações, tinta caro")</f>
        <v>funções de impressão limitada e configurações, tinta caro</v>
      </c>
      <c r="B19719" s="3">
        <v>0</v>
      </c>
    </row>
    <row r="19720" ht="15.75" customHeight="1" spans="1:2">
      <c r="A19720" s="3" t="str">
        <f>IFERROR(__xludf.DUMMYFUNCTION("GOOGLETRANSLATE(A19720,""en"",""pt"")"),"lento, imprime verde")</f>
        <v>lento, imprime verde</v>
      </c>
      <c r="B19720" s="3">
        <v>0</v>
      </c>
    </row>
    <row r="19721" ht="15.75" customHeight="1" spans="1:2">
      <c r="A19721" s="3" t="str">
        <f>IFERROR(__xludf.DUMMYFUNCTION("GOOGLETRANSLATE(A19721,""en"",""pt"")"),"Nenhum")</f>
        <v>Nenhum</v>
      </c>
      <c r="B19721" s="3">
        <v>0</v>
      </c>
    </row>
    <row r="19722" ht="15.75" customHeight="1" spans="1:2">
      <c r="A19722" s="3" t="str">
        <f>IFERROR(__xludf.DUMMYFUNCTION("GOOGLETRANSLATE(A19722,""en"",""pt"")"),"impressão a cores, e preço")</f>
        <v>impressão a cores, e preço</v>
      </c>
      <c r="B19722" s="3">
        <v>0</v>
      </c>
    </row>
    <row r="19723" ht="15.75" customHeight="1" spans="1:2">
      <c r="A19723" s="3" t="str">
        <f>IFERROR(__xludf.DUMMYFUNCTION("GOOGLETRANSLATE(A19723,""en"",""pt"")"),"Cartucho custa US $ 34.00 +")</f>
        <v>Cartucho custa US $ 34.00 +</v>
      </c>
      <c r="B19723" s="3">
        <v>0</v>
      </c>
    </row>
    <row r="19724" ht="15.75" customHeight="1" spans="1:2">
      <c r="A19724" s="3" t="str">
        <f>IFERROR(__xludf.DUMMYFUNCTION("GOOGLETRANSLATE(A19724,""en"",""pt"")"),"Não é possível encontrar cartuchos. Tem que usar papel de alta qualidade para uma boa imagem.")</f>
        <v>Não é possível encontrar cartuchos. Tem que usar papel de alta qualidade para uma boa imagem.</v>
      </c>
      <c r="B19724" s="3">
        <v>0</v>
      </c>
    </row>
    <row r="19725" ht="15.75" customHeight="1" spans="1:2">
      <c r="A19725" s="3" t="str">
        <f>IFERROR(__xludf.DUMMYFUNCTION("GOOGLETRANSLATE(A19725,""en"",""pt"")"),"de impressão não pode alta qualidade verdadeiro para a vida fotos")</f>
        <v>de impressão não pode alta qualidade verdadeiro para a vida fotos</v>
      </c>
      <c r="B19725" s="3">
        <v>0</v>
      </c>
    </row>
    <row r="19726" ht="15.75" customHeight="1" spans="1:2">
      <c r="A19726" s="3" t="str">
        <f>IFERROR(__xludf.DUMMYFUNCTION("GOOGLETRANSLATE(A19726,""en"",""pt"")"),"Eu ainda estaria à espera de páginas a serem impressas, se eu tinha feito a minha tese sobre esta")</f>
        <v>Eu ainda estaria à espera de páginas a serem impressas, se eu tinha feito a minha tese sobre esta</v>
      </c>
      <c r="B19726" s="3">
        <v>0</v>
      </c>
    </row>
    <row r="19727" ht="15.75" customHeight="1" spans="1:2">
      <c r="A19727" s="3" t="str">
        <f>IFERROR(__xludf.DUMMYFUNCTION("GOOGLETRANSLATE(A19727,""en"",""pt"")"),"velocidade, tinta")</f>
        <v>velocidade, tinta</v>
      </c>
      <c r="B19727" s="3">
        <v>0</v>
      </c>
    </row>
    <row r="19728" ht="15.75" customHeight="1" spans="1:2">
      <c r="A19728" s="3" t="str">
        <f>IFERROR(__xludf.DUMMYFUNCTION("GOOGLETRANSLATE(A19728,""en"",""pt"")"),"Não pode ser utilizado com o Windows 2000")</f>
        <v>Não pode ser utilizado com o Windows 2000</v>
      </c>
      <c r="B19728" s="3">
        <v>0</v>
      </c>
    </row>
    <row r="19729" ht="15.75" customHeight="1" spans="1:2">
      <c r="A19729" s="3" t="str">
        <f>IFERROR(__xludf.DUMMYFUNCTION("GOOGLETRANSLATE(A19729,""en"",""pt"")"),"Ink Hog, saída Pobre")</f>
        <v>Ink Hog, saída Pobre</v>
      </c>
      <c r="B19729" s="3">
        <v>0</v>
      </c>
    </row>
    <row r="19730" ht="15.75" customHeight="1" spans="1:2">
      <c r="A19730" s="3" t="str">
        <f>IFERROR(__xludf.DUMMYFUNCTION("GOOGLETRANSLATE(A19730,""en"",""pt"")"),"Ele me frustra muitas vezes, os cartuchos são ridiculamente caro")</f>
        <v>Ele me frustra muitas vezes, os cartuchos são ridiculamente caro</v>
      </c>
      <c r="B19730" s="3">
        <v>0</v>
      </c>
    </row>
    <row r="19731" ht="15.75" customHeight="1" spans="1:2">
      <c r="A19731" s="3" t="str">
        <f>IFERROR(__xludf.DUMMYFUNCTION("GOOGLETRANSLATE(A19731,""en"",""pt"")"),"muito lento, cartuchos caros")</f>
        <v>muito lento, cartuchos caros</v>
      </c>
      <c r="B19731" s="3">
        <v>0</v>
      </c>
    </row>
    <row r="19732" ht="15.75" customHeight="1" spans="1:2">
      <c r="A19732" s="3" t="str">
        <f>IFERROR(__xludf.DUMMYFUNCTION("GOOGLETRANSLATE(A19732,""en"",""pt"")"),"geralmente, uma dor")</f>
        <v>geralmente, uma dor</v>
      </c>
      <c r="B19732" s="3">
        <v>0</v>
      </c>
    </row>
    <row r="19733" ht="15.75" customHeight="1" spans="1:2">
      <c r="A19733" s="3" t="str">
        <f>IFERROR(__xludf.DUMMYFUNCTION("GOOGLETRANSLATE(A19733,""en"",""pt"")"),"atolamentos de papel, sons irritantes, assim-assim a qualidade de impressão")</f>
        <v>atolamentos de papel, sons irritantes, assim-assim a qualidade de impressão</v>
      </c>
      <c r="B19733" s="3">
        <v>0</v>
      </c>
    </row>
    <row r="19734" ht="15.75" customHeight="1" spans="1:2">
      <c r="A19734" s="3" t="str">
        <f>IFERROR(__xludf.DUMMYFUNCTION("GOOGLETRANSLATE(A19734,""en"",""pt"")"),"Cores tendem a ficar escuro. Muito pouca memória. Lotes de falhas. Toner é muito caro.")</f>
        <v>Cores tendem a ficar escuro. Muito pouca memória. Lotes de falhas. Toner é muito caro.</v>
      </c>
      <c r="B19734" s="3">
        <v>0</v>
      </c>
    </row>
    <row r="19735" ht="15.75" customHeight="1" spans="1:2">
      <c r="A19735" s="3" t="str">
        <f>IFERROR(__xludf.DUMMYFUNCTION("GOOGLETRANSLATE(A19735,""en"",""pt"")"),"impressão a cores lento, toner caro.")</f>
        <v>impressão a cores lento, toner caro.</v>
      </c>
      <c r="B19735" s="3">
        <v>0</v>
      </c>
    </row>
    <row r="19736" ht="15.75" customHeight="1" spans="1:2">
      <c r="A19736" s="3" t="str">
        <f>IFERROR(__xludf.DUMMYFUNCTION("GOOGLETRANSLATE(A19736,""en"",""pt"")"),"Mais lento e um pouco menor qualidade de cor do que alguns. Mas mais barato também.")</f>
        <v>Mais lento e um pouco menor qualidade de cor do que alguns. Mas mais barato também.</v>
      </c>
      <c r="B19736" s="3">
        <v>0</v>
      </c>
    </row>
    <row r="19737" ht="15.75" customHeight="1" spans="1:2">
      <c r="A19737" s="3" t="str">
        <f>IFERROR(__xludf.DUMMYFUNCTION("GOOGLETRANSLATE(A19737,""en"",""pt"")"),"Qualidade foi granulada. Lentos páginas web de impressão. Mina parou de funcionar após 4 meses.")</f>
        <v>Qualidade foi granulada. Lentos páginas web de impressão. Mina parou de funcionar após 4 meses.</v>
      </c>
      <c r="B19737" s="3">
        <v>0</v>
      </c>
    </row>
    <row r="19738" ht="15.75" customHeight="1" spans="1:2">
      <c r="A19738" s="3" t="str">
        <f>IFERROR(__xludf.DUMMYFUNCTION("GOOGLETRANSLATE(A19738,""en"",""pt"")"),"Muito")</f>
        <v>Muito</v>
      </c>
      <c r="B19738" s="3">
        <v>0</v>
      </c>
    </row>
    <row r="19739" ht="15.75" customHeight="1" spans="1:2">
      <c r="A19739" s="3" t="str">
        <f>IFERROR(__xludf.DUMMYFUNCTION("GOOGLETRANSLATE(A19739,""en"",""pt"")"),"a tinta é lexmark exspinsive")</f>
        <v>a tinta é lexmark exspinsive</v>
      </c>
      <c r="B19739" s="3">
        <v>0</v>
      </c>
    </row>
    <row r="19740" ht="15.75" customHeight="1" spans="1:2">
      <c r="A19740" s="3" t="str">
        <f>IFERROR(__xludf.DUMMYFUNCTION("GOOGLETRANSLATE(A19740,""en"",""pt"")"),"impressão a cores lento, toner caro.")</f>
        <v>impressão a cores lento, toner caro.</v>
      </c>
      <c r="B19740" s="3">
        <v>0</v>
      </c>
    </row>
    <row r="19741" ht="15.75" customHeight="1" spans="1:2">
      <c r="A19741" s="3" t="str">
        <f>IFERROR(__xludf.DUMMYFUNCTION("GOOGLETRANSLATE(A19741,""en"",""pt"")"),"atolamentos de papel, impressão lenta")</f>
        <v>atolamentos de papel, impressão lenta</v>
      </c>
      <c r="B19741" s="3">
        <v>0</v>
      </c>
    </row>
    <row r="19742" ht="15.75" customHeight="1" spans="1:2">
      <c r="A19742" s="3" t="str">
        <f>IFERROR(__xludf.DUMMYFUNCTION("GOOGLETRANSLATE(A19742,""en"",""pt"")"),"Nenhum que eu já vi!")</f>
        <v>Nenhum que eu já vi!</v>
      </c>
      <c r="B19742" s="3">
        <v>0</v>
      </c>
    </row>
    <row r="19743" ht="15.75" customHeight="1" spans="1:2">
      <c r="A19743" s="3" t="str">
        <f>IFERROR(__xludf.DUMMYFUNCTION("GOOGLETRANSLATE(A19743,""en"",""pt"")"),"serviço ao cliente falta")</f>
        <v>serviço ao cliente falta</v>
      </c>
      <c r="B19743" s="3">
        <v>0</v>
      </c>
    </row>
    <row r="19744" ht="15.75" customHeight="1" spans="1:2">
      <c r="A19744" s="3" t="str">
        <f>IFERROR(__xludf.DUMMYFUNCTION("GOOGLETRANSLATE(A19744,""en"",""pt"")"),"LENTO")</f>
        <v>LENTO</v>
      </c>
      <c r="B19744" s="3">
        <v>0</v>
      </c>
    </row>
    <row r="19745" ht="15.75" customHeight="1" spans="1:2">
      <c r="A19745" s="3" t="str">
        <f>IFERROR(__xludf.DUMMYFUNCTION("GOOGLETRANSLATE(A19745,""en"",""pt"")"),"Impressão a cores não é tão grande")</f>
        <v>Impressão a cores não é tão grande</v>
      </c>
      <c r="B19745" s="3">
        <v>0</v>
      </c>
    </row>
    <row r="19746" ht="15.75" customHeight="1" spans="1:2">
      <c r="A19746" s="3" t="str">
        <f>IFERROR(__xludf.DUMMYFUNCTION("GOOGLETRANSLATE(A19746,""en"",""pt"")"),"Nenhum!")</f>
        <v>Nenhum!</v>
      </c>
      <c r="B19746" s="3">
        <v>0</v>
      </c>
    </row>
    <row r="19747" ht="15.75" customHeight="1" spans="1:2">
      <c r="A19747" s="3" t="str">
        <f>IFERROR(__xludf.DUMMYFUNCTION("GOOGLETRANSLATE(A19747,""en"",""pt"")"),"toner caro, resolução mais baixa e uma impressora mais lento do que os padrões de hoje")</f>
        <v>toner caro, resolução mais baixa e uma impressora mais lento do que os padrões de hoje</v>
      </c>
      <c r="B19747" s="3">
        <v>0</v>
      </c>
    </row>
    <row r="19748" ht="15.75" customHeight="1" spans="1:2">
      <c r="A19748" s="3" t="str">
        <f>IFERROR(__xludf.DUMMYFUNCTION("GOOGLETRANSLATE(A19748,""en"",""pt"")"),"Um pouco lento para impressão de alto volume.")</f>
        <v>Um pouco lento para impressão de alto volume.</v>
      </c>
      <c r="B19748" s="3">
        <v>0</v>
      </c>
    </row>
    <row r="19749" ht="15.75" customHeight="1" spans="1:2">
      <c r="A19749" s="3" t="str">
        <f>IFERROR(__xludf.DUMMYFUNCTION("GOOGLETRANSLATE(A19749,""en"",""pt"")"),"Requer uma porta USB")</f>
        <v>Requer uma porta USB</v>
      </c>
      <c r="B19749" s="3">
        <v>0</v>
      </c>
    </row>
    <row r="19750" ht="15.75" customHeight="1" spans="1:2">
      <c r="A19750" s="3" t="str">
        <f>IFERROR(__xludf.DUMMYFUNCTION("GOOGLETRANSLATE(A19750,""en"",""pt"")"),"Em vez feito barata &amp; amp; cartuchos caros")</f>
        <v>Em vez feito barata &amp; amp; cartuchos caros</v>
      </c>
      <c r="B19750" s="3">
        <v>0</v>
      </c>
    </row>
    <row r="19751" ht="15.75" customHeight="1" spans="1:2">
      <c r="A19751" s="3" t="str">
        <f>IFERROR(__xludf.DUMMYFUNCTION("GOOGLETRANSLATE(A19751,""en"",""pt"")"),"Cartuchos de tinta difíceis de encontrar")</f>
        <v>Cartuchos de tinta difíceis de encontrar</v>
      </c>
      <c r="B19751" s="3">
        <v>0</v>
      </c>
    </row>
    <row r="19752" ht="15.75" customHeight="1" spans="1:2">
      <c r="A19752" s="3" t="str">
        <f>IFERROR(__xludf.DUMMYFUNCTION("GOOGLETRANSLATE(A19752,""en"",""pt"")"),"nada até agora!")</f>
        <v>nada até agora!</v>
      </c>
      <c r="B19752" s="3">
        <v>0</v>
      </c>
    </row>
    <row r="19753" ht="15.75" customHeight="1" spans="1:2">
      <c r="A19753" s="3" t="str">
        <f>IFERROR(__xludf.DUMMYFUNCTION("GOOGLETRANSLATE(A19753,""en"",""pt"")"),"Principais problemas de driver")</f>
        <v>Principais problemas de driver</v>
      </c>
      <c r="B19753" s="3">
        <v>0</v>
      </c>
    </row>
    <row r="19754" ht="15.75" customHeight="1" spans="1:2">
      <c r="A19754" s="3" t="str">
        <f>IFERROR(__xludf.DUMMYFUNCTION("GOOGLETRANSLATE(A19754,""en"",""pt"")"),"Impressão de qualidade e velocidade poderia ser melhor, mas para uma impressora barata é grande.")</f>
        <v>Impressão de qualidade e velocidade poderia ser melhor, mas para uma impressora barata é grande.</v>
      </c>
      <c r="B19754" s="3">
        <v>0</v>
      </c>
    </row>
    <row r="19755" ht="15.75" customHeight="1" spans="1:2">
      <c r="A19755" s="3" t="str">
        <f>IFERROR(__xludf.DUMMYFUNCTION("GOOGLETRANSLATE(A19755,""en"",""pt"")"),"precisa de uma melhor &amp; amp; quot; acabada &amp; amp; quot; bandeja")</f>
        <v>precisa de uma melhor &amp; amp; quot; acabada &amp; amp; quot; bandeja</v>
      </c>
      <c r="B19755" s="3">
        <v>0</v>
      </c>
    </row>
    <row r="19756" ht="15.75" customHeight="1" spans="1:2">
      <c r="A19756" s="3" t="str">
        <f>IFERROR(__xludf.DUMMYFUNCTION("GOOGLETRANSLATE(A19756,""en"",""pt"")"),"custo tinta")</f>
        <v>custo tinta</v>
      </c>
      <c r="B19756" s="3">
        <v>0</v>
      </c>
    </row>
    <row r="19757" ht="15.75" customHeight="1" spans="1:2">
      <c r="A19757" s="3" t="str">
        <f>IFERROR(__xludf.DUMMYFUNCTION("GOOGLETRANSLATE(A19757,""en"",""pt"")"),"cartuchos de tinta são tão caros você poderia praticamente comprar uma nova impressora")</f>
        <v>cartuchos de tinta são tão caros você poderia praticamente comprar uma nova impressora</v>
      </c>
      <c r="B19757" s="3">
        <v>0</v>
      </c>
    </row>
    <row r="19758" ht="15.75" customHeight="1" spans="1:2">
      <c r="A19758" s="3" t="str">
        <f>IFERROR(__xludf.DUMMYFUNCTION("GOOGLETRANSLATE(A19758,""en"",""pt"")"),"Lento")</f>
        <v>Lento</v>
      </c>
      <c r="B19758" s="3">
        <v>0</v>
      </c>
    </row>
    <row r="19759" ht="15.75" customHeight="1" spans="1:2">
      <c r="A19759" s="3" t="str">
        <f>IFERROR(__xludf.DUMMYFUNCTION("GOOGLETRANSLATE(A19759,""en"",""pt"")"),"sem problemas")</f>
        <v>sem problemas</v>
      </c>
      <c r="B19759" s="3">
        <v>0</v>
      </c>
    </row>
    <row r="19760" ht="15.75" customHeight="1" spans="1:2">
      <c r="A19760" s="3" t="str">
        <f>IFERROR(__xludf.DUMMYFUNCTION("GOOGLETRANSLATE(A19760,""en"",""pt"")"),"nenhum que eu saiba.")</f>
        <v>nenhum que eu saiba.</v>
      </c>
      <c r="B19760" s="3">
        <v>0</v>
      </c>
    </row>
    <row r="19761" ht="15.75" customHeight="1" spans="1:2">
      <c r="A19761" s="3" t="str">
        <f>IFERROR(__xludf.DUMMYFUNCTION("GOOGLETRANSLATE(A19761,""en"",""pt"")"),"cartuchos extras são um pouco spendy")</f>
        <v>cartuchos extras são um pouco spendy</v>
      </c>
      <c r="B19761" s="3">
        <v>0</v>
      </c>
    </row>
    <row r="19762" ht="15.75" customHeight="1" spans="1:2">
      <c r="A19762" s="3" t="str">
        <f>IFERROR(__xludf.DUMMYFUNCTION("GOOGLETRANSLATE(A19762,""en"",""pt"")"),"pode deixá-lo cair 4 pés e ainda funciona")</f>
        <v>pode deixá-lo cair 4 pés e ainda funciona</v>
      </c>
      <c r="B19762" s="3">
        <v>0</v>
      </c>
    </row>
    <row r="19763" ht="15.75" customHeight="1" spans="1:2">
      <c r="A19763" s="3" t="str">
        <f>IFERROR(__xludf.DUMMYFUNCTION("GOOGLETRANSLATE(A19763,""en"",""pt"")"),"Não muito bem apoiado por Compaq, Feeder Tray é buggy, Photo-Qualidade ... Não.")</f>
        <v>Não muito bem apoiado por Compaq, Feeder Tray é buggy, Photo-Qualidade ... Não.</v>
      </c>
      <c r="B19763" s="3">
        <v>0</v>
      </c>
    </row>
    <row r="19764" ht="15.75" customHeight="1" spans="1:2">
      <c r="A19764" s="3" t="str">
        <f>IFERROR(__xludf.DUMMYFUNCTION("GOOGLETRANSLATE(A19764,""en"",""pt"")"),"Um pouco volumoso")</f>
        <v>Um pouco volumoso</v>
      </c>
      <c r="B19764" s="3">
        <v>0</v>
      </c>
    </row>
    <row r="19765" ht="15.75" customHeight="1" spans="1:2">
      <c r="A19765" s="3" t="str">
        <f>IFERROR(__xludf.DUMMYFUNCTION("GOOGLETRANSLATE(A19765,""en"",""pt"")"),"É alto")</f>
        <v>É alto</v>
      </c>
      <c r="B19765" s="3">
        <v>0</v>
      </c>
    </row>
    <row r="19766" ht="15.75" customHeight="1" spans="1:2">
      <c r="A19766" s="3" t="str">
        <f>IFERROR(__xludf.DUMMYFUNCTION("GOOGLETRANSLATE(A19766,""en"",""pt"")"),"cartucho de tempo de vida")</f>
        <v>cartucho de tempo de vida</v>
      </c>
      <c r="B19766" s="3">
        <v>0</v>
      </c>
    </row>
    <row r="19767" ht="15.75" customHeight="1" spans="1:2">
      <c r="A19767" s="3" t="str">
        <f>IFERROR(__xludf.DUMMYFUNCTION("GOOGLETRANSLATE(A19767,""en"",""pt"")"),"+ $$$$$$$$$$")</f>
        <v>+ $$$$$$$$$$</v>
      </c>
      <c r="B19767" s="3">
        <v>0</v>
      </c>
    </row>
    <row r="19768" ht="15.75" customHeight="1" spans="1:2">
      <c r="A19768" s="3" t="str">
        <f>IFERROR(__xludf.DUMMYFUNCTION("GOOGLETRANSLATE(A19768,""en"",""pt"")"),"Nenhum que eu veja!")</f>
        <v>Nenhum que eu veja!</v>
      </c>
      <c r="B19768" s="3">
        <v>0</v>
      </c>
    </row>
    <row r="19769" ht="15.75" customHeight="1" spans="1:2">
      <c r="A19769" s="3" t="str">
        <f>IFERROR(__xludf.DUMMYFUNCTION("GOOGLETRANSLATE(A19769,""en"",""pt"")"),"funciona quando quer")</f>
        <v>funciona quando quer</v>
      </c>
      <c r="B19769" s="3">
        <v>0</v>
      </c>
    </row>
    <row r="19770" ht="15.75" customHeight="1" spans="1:2">
      <c r="A19770" s="3" t="str">
        <f>IFERROR(__xludf.DUMMYFUNCTION("GOOGLETRANSLATE(A19770,""en"",""pt"")"),"apoio pobres tecnologia, problemas na instalação de drivers &amp; amp; amp; atolamentos de papel.")</f>
        <v>apoio pobres tecnologia, problemas na instalação de drivers &amp; amp; amp; atolamentos de papel.</v>
      </c>
      <c r="B19770" s="3">
        <v>0</v>
      </c>
    </row>
    <row r="19771" ht="15.75" customHeight="1" spans="1:2">
      <c r="A19771" s="3" t="str">
        <f>IFERROR(__xludf.DUMMYFUNCTION("GOOGLETRANSLATE(A19771,""en"",""pt"")"),"N / D")</f>
        <v>N / D</v>
      </c>
      <c r="B19771" s="3">
        <v>0</v>
      </c>
    </row>
    <row r="19772" ht="15.75" customHeight="1" spans="1:2">
      <c r="A19772" s="3" t="str">
        <f>IFERROR(__xludf.DUMMYFUNCTION("GOOGLETRANSLATE(A19772,""en"",""pt"")"),"apoio abismal, órfão rapidamente")</f>
        <v>apoio abismal, órfão rapidamente</v>
      </c>
      <c r="B19772" s="3">
        <v>0</v>
      </c>
    </row>
    <row r="19773" ht="15.75" customHeight="1" spans="1:2">
      <c r="A19773" s="3" t="str">
        <f>IFERROR(__xludf.DUMMYFUNCTION("GOOGLETRANSLATE(A19773,""en"",""pt"")"),"custo de transporte caro")</f>
        <v>custo de transporte caro</v>
      </c>
      <c r="B19773" s="3">
        <v>0</v>
      </c>
    </row>
    <row r="19774" ht="15.75" customHeight="1" spans="1:2">
      <c r="A19774" s="3" t="str">
        <f>IFERROR(__xludf.DUMMYFUNCTION("GOOGLETRANSLATE(A19774,""en"",""pt"")"),"Tamanho")</f>
        <v>Tamanho</v>
      </c>
      <c r="B19774" s="3">
        <v>0</v>
      </c>
    </row>
    <row r="19775" ht="15.75" customHeight="1" spans="1:2">
      <c r="A19775" s="3" t="str">
        <f>IFERROR(__xludf.DUMMYFUNCTION("GOOGLETRANSLATE(A19775,""en"",""pt"")"),"má qualidade de imagem")</f>
        <v>má qualidade de imagem</v>
      </c>
      <c r="B19775" s="3">
        <v>0</v>
      </c>
    </row>
    <row r="19776" ht="15.75" customHeight="1" spans="1:2">
      <c r="A19776" s="3" t="str">
        <f>IFERROR(__xludf.DUMMYFUNCTION("GOOGLETRANSLATE(A19776,""en"",""pt"")"),"encontrar tinta e qualidade de impressão")</f>
        <v>encontrar tinta e qualidade de impressão</v>
      </c>
      <c r="B19776" s="3">
        <v>0</v>
      </c>
    </row>
    <row r="19777" ht="15.75" customHeight="1" spans="1:2">
      <c r="A19777" s="3" t="str">
        <f>IFERROR(__xludf.DUMMYFUNCTION("GOOGLETRANSLATE(A19777,""en"",""pt"")"),"Não há muita diferença entre projecto e de alta qualidade para impressão.")</f>
        <v>Não há muita diferença entre projecto e de alta qualidade para impressão.</v>
      </c>
      <c r="B19777" s="3">
        <v>0</v>
      </c>
    </row>
    <row r="19778" ht="15.75" customHeight="1" spans="1:2">
      <c r="A19778" s="3" t="str">
        <f>IFERROR(__xludf.DUMMYFUNCTION("GOOGLETRANSLATE(A19778,""en"",""pt"")"),"Tinta carro do cartucho quebrou facilmente, o tempo de espera longa para o representante de serviço.")</f>
        <v>Tinta carro do cartucho quebrou facilmente, o tempo de espera longa para o representante de serviço.</v>
      </c>
      <c r="B19778" s="3">
        <v>0</v>
      </c>
    </row>
    <row r="19779" ht="15.75" customHeight="1" spans="1:2">
      <c r="A19779" s="3" t="str">
        <f>IFERROR(__xludf.DUMMYFUNCTION("GOOGLETRANSLATE(A19779,""en"",""pt"")"),"Desagradável ... resultados finais muito desagradável ...")</f>
        <v>Desagradável ... resultados finais muito desagradável ...</v>
      </c>
      <c r="B19779" s="3">
        <v>0</v>
      </c>
    </row>
    <row r="19780" ht="15.75" customHeight="1" spans="1:2">
      <c r="A19780" s="3" t="str">
        <f>IFERROR(__xludf.DUMMYFUNCTION("GOOGLETRANSLATE(A19780,""en"",""pt"")"),"baixa resolução (640x480), não deve funcionar em Win XP")</f>
        <v>baixa resolução (640x480), não deve funcionar em Win XP</v>
      </c>
      <c r="B19780" s="3">
        <v>0</v>
      </c>
    </row>
    <row r="19781" ht="15.75" customHeight="1" spans="1:2">
      <c r="A19781" s="3" t="str">
        <f>IFERROR(__xludf.DUMMYFUNCTION("GOOGLETRANSLATE(A19781,""en"",""pt"")"),"Sem tampa da lente, não é capaz de criar filmes ou ser usado como uma web cam")</f>
        <v>Sem tampa da lente, não é capaz de criar filmes ou ser usado como uma web cam</v>
      </c>
      <c r="B19781" s="3">
        <v>0</v>
      </c>
    </row>
    <row r="19782" ht="15.75" customHeight="1" spans="1:2">
      <c r="A19782" s="3" t="str">
        <f>IFERROR(__xludf.DUMMYFUNCTION("GOOGLETRANSLATE(A19782,""en"",""pt"")"),"Baixa resolução, sem tampa da lente lento, má qualidade de imagem, software de baixa qualidade.")</f>
        <v>Baixa resolução, sem tampa da lente lento, má qualidade de imagem, software de baixa qualidade.</v>
      </c>
      <c r="B19782" s="3">
        <v>0</v>
      </c>
    </row>
    <row r="19783" ht="15.75" customHeight="1" spans="1:2">
      <c r="A19783" s="3" t="str">
        <f>IFERROR(__xludf.DUMMYFUNCTION("GOOGLETRANSLATE(A19783,""en"",""pt"")"),"Não pode ser utilizado em qualquer programa do Windows, mas o Windows 98.")</f>
        <v>Não pode ser utilizado em qualquer programa do Windows, mas o Windows 98.</v>
      </c>
      <c r="B19783" s="3">
        <v>0</v>
      </c>
    </row>
    <row r="19784" ht="15.75" customHeight="1" spans="1:2">
      <c r="A19784" s="3" t="str">
        <f>IFERROR(__xludf.DUMMYFUNCTION("GOOGLETRANSLATE(A19784,""en"",""pt"")"),"Não é compatível com Microsoft XP; 123 baterias caro.")</f>
        <v>Não é compatível com Microsoft XP; 123 baterias caro.</v>
      </c>
      <c r="B19784" s="3">
        <v>0</v>
      </c>
    </row>
    <row r="19785" ht="15.75" customHeight="1" spans="1:2">
      <c r="A19785" s="3" t="str">
        <f>IFERROR(__xludf.DUMMYFUNCTION("GOOGLETRANSLATE(A19785,""en"",""pt"")"),"Baixa resolução nativa, e um truque de marketing torna pior.")</f>
        <v>Baixa resolução nativa, e um truque de marketing torna pior.</v>
      </c>
      <c r="B19785" s="3">
        <v>0</v>
      </c>
    </row>
    <row r="19786" ht="15.75" customHeight="1" spans="1:2">
      <c r="A19786" s="3" t="str">
        <f>IFERROR(__xludf.DUMMYFUNCTION("GOOGLETRANSLATE(A19786,""en"",""pt"")"),"As imagens são, por vezes desfocadas se você não for cuidadoso.")</f>
        <v>As imagens são, por vezes desfocadas se você não for cuidadoso.</v>
      </c>
      <c r="B19786" s="3">
        <v>0</v>
      </c>
    </row>
    <row r="19787" ht="15.75" customHeight="1" spans="1:2">
      <c r="A19787" s="3" t="str">
        <f>IFERROR(__xludf.DUMMYFUNCTION("GOOGLETRANSLATE(A19787,""en"",""pt"")"),"sem display LCD")</f>
        <v>sem display LCD</v>
      </c>
      <c r="B19787" s="3">
        <v>0</v>
      </c>
    </row>
    <row r="19788" ht="15.75" customHeight="1" spans="1:2">
      <c r="A19788" s="3" t="str">
        <f>IFERROR(__xludf.DUMMYFUNCTION("GOOGLETRANSLATE(A19788,""en"",""pt"")"),"É uma câmera digital brinquedo.")</f>
        <v>É uma câmera digital brinquedo.</v>
      </c>
      <c r="B19788" s="3">
        <v>0</v>
      </c>
    </row>
    <row r="19789" ht="15.75" customHeight="1" spans="1:2">
      <c r="A19789" s="3" t="str">
        <f>IFERROR(__xludf.DUMMYFUNCTION("GOOGLETRANSLATE(A19789,""en"",""pt"")"),"Sem flash.")</f>
        <v>Sem flash.</v>
      </c>
      <c r="B19789" s="3">
        <v>0</v>
      </c>
    </row>
    <row r="19790" ht="15.75" customHeight="1" spans="1:2">
      <c r="A19790" s="3" t="str">
        <f>IFERROR(__xludf.DUMMYFUNCTION("GOOGLETRANSLATE(A19790,""en"",""pt"")"),"Má qualidade de imagem, sem flash, auto shut off muito rápido")</f>
        <v>Má qualidade de imagem, sem flash, auto shut off muito rápido</v>
      </c>
      <c r="B19790" s="3">
        <v>0</v>
      </c>
    </row>
    <row r="19791" ht="15.75" customHeight="1" spans="1:2">
      <c r="A19791" s="3" t="str">
        <f>IFERROR(__xludf.DUMMYFUNCTION("GOOGLETRANSLATE(A19791,""en"",""pt"")"),"Auto Desligue muito rapidamente, o menu muito difícil de usar")</f>
        <v>Auto Desligue muito rapidamente, o menu muito difícil de usar</v>
      </c>
      <c r="B19791" s="3">
        <v>0</v>
      </c>
    </row>
    <row r="19792" ht="15.75" customHeight="1" spans="1:2">
      <c r="A19792" s="3" t="str">
        <f>IFERROR(__xludf.DUMMYFUNCTION("GOOGLETRANSLATE(A19792,""en"",""pt"")"),"Má qualidade de imagem, pobre facilidade de uso")</f>
        <v>Má qualidade de imagem, pobre facilidade de uso</v>
      </c>
      <c r="B19792" s="3">
        <v>0</v>
      </c>
    </row>
    <row r="19793" ht="15.75" customHeight="1" spans="1:2">
      <c r="A19793" s="3" t="str">
        <f>IFERROR(__xludf.DUMMYFUNCTION("GOOGLETRANSLATE(A19793,""en"",""pt"")"),"Precisa de um pouco de luz; Sem flash; foco manual")</f>
        <v>Precisa de um pouco de luz; Sem flash; foco manual</v>
      </c>
      <c r="B19793" s="3">
        <v>0</v>
      </c>
    </row>
    <row r="19794" ht="15.75" customHeight="1" spans="1:2">
      <c r="A19794" s="3" t="str">
        <f>IFERROR(__xludf.DUMMYFUNCTION("GOOGLETRANSLATE(A19794,""en"",""pt"")"),"""Tão"" qualidade de imagem para vídeo-conferência, Stand não é prático")</f>
        <v>"Tão" qualidade de imagem para vídeo-conferência, Stand não é prático</v>
      </c>
      <c r="B19794" s="3">
        <v>0</v>
      </c>
    </row>
    <row r="19795" ht="15.75" customHeight="1" spans="1:2">
      <c r="A19795" s="3" t="str">
        <f>IFERROR(__xludf.DUMMYFUNCTION("GOOGLETRANSLATE(A19795,""en"",""pt"")"),"Não é muito confiável, Sem Flash, o CD do driver não funciona")</f>
        <v>Não é muito confiável, Sem Flash, o CD do driver não funciona</v>
      </c>
      <c r="B19795" s="3">
        <v>0</v>
      </c>
    </row>
    <row r="19796" ht="15.75" customHeight="1" spans="1:2">
      <c r="A19796" s="3" t="str">
        <f>IFERROR(__xludf.DUMMYFUNCTION("GOOGLETRANSLATE(A19796,""en"",""pt"")"),"desligamento automático é rápido")</f>
        <v>desligamento automático é rápido</v>
      </c>
      <c r="B19796" s="3">
        <v>0</v>
      </c>
    </row>
    <row r="19797" ht="15.75" customHeight="1" spans="1:2">
      <c r="A19797" s="3" t="str">
        <f>IFERROR(__xludf.DUMMYFUNCTION("GOOGLETRANSLATE(A19797,""en"",""pt"")"),"nenhuma janela de pré-visualização, sem flash")</f>
        <v>nenhuma janela de pré-visualização, sem flash</v>
      </c>
      <c r="B19797" s="3">
        <v>0</v>
      </c>
    </row>
    <row r="19798" ht="15.75" customHeight="1" spans="1:2">
      <c r="A19798" s="3" t="str">
        <f>IFERROR(__xludf.DUMMYFUNCTION("GOOGLETRANSLATE(A19798,""en"",""pt"")"),"maus condutores, não atende sequer meus padrões mínimos")</f>
        <v>maus condutores, não atende sequer meus padrões mínimos</v>
      </c>
      <c r="B19798" s="3">
        <v>0</v>
      </c>
    </row>
    <row r="19799" ht="15.75" customHeight="1" spans="1:2">
      <c r="A19799" s="3" t="str">
        <f>IFERROR(__xludf.DUMMYFUNCTION("GOOGLETRANSLATE(A19799,""en"",""pt"")"),"qualidade de imagem durante a noite ou com pouca luz não é boa.")</f>
        <v>qualidade de imagem durante a noite ou com pouca luz não é boa.</v>
      </c>
      <c r="B19799" s="3">
        <v>0</v>
      </c>
    </row>
    <row r="19800" ht="15.75" customHeight="1" spans="1:2">
      <c r="A19800" s="3" t="str">
        <f>IFERROR(__xludf.DUMMYFUNCTION("GOOGLETRANSLATE(A19800,""en"",""pt"")"),"você deve empurrar uma série de botões para o Flash")</f>
        <v>você deve empurrar uma série de botões para o Flash</v>
      </c>
      <c r="B19800" s="3">
        <v>0</v>
      </c>
    </row>
    <row r="19801" ht="15.75" customHeight="1" spans="1:2">
      <c r="A19801" s="3" t="str">
        <f>IFERROR(__xludf.DUMMYFUNCTION("GOOGLETRANSLATE(A19801,""en"",""pt"")"),"Tudo")</f>
        <v>Tudo</v>
      </c>
      <c r="B19801" s="3">
        <v>0</v>
      </c>
    </row>
    <row r="19802" ht="15.75" customHeight="1" spans="1:2">
      <c r="A19802" s="3" t="str">
        <f>IFERROR(__xludf.DUMMYFUNCTION("GOOGLETRANSLATE(A19802,""en"",""pt"")"),"qualidade Zero")</f>
        <v>qualidade Zero</v>
      </c>
      <c r="B19802" s="3">
        <v>0</v>
      </c>
    </row>
    <row r="19803" ht="15.75" customHeight="1" spans="1:2">
      <c r="A19803" s="3" t="str">
        <f>IFERROR(__xludf.DUMMYFUNCTION("GOOGLETRANSLATE(A19803,""en"",""pt"")"),"Às vezes é muito sensível às condições de luz mista")</f>
        <v>Às vezes é muito sensível às condições de luz mista</v>
      </c>
      <c r="B19803" s="3">
        <v>0</v>
      </c>
    </row>
    <row r="19804" ht="15.75" customHeight="1" spans="1:2">
      <c r="A19804" s="3" t="str">
        <f>IFERROR(__xludf.DUMMYFUNCTION("GOOGLETRANSLATE(A19804,""en"",""pt"")"),"Funciona dentro de casa mal")</f>
        <v>Funciona dentro de casa mal</v>
      </c>
      <c r="B19804" s="3">
        <v>0</v>
      </c>
    </row>
    <row r="19805" ht="15.75" customHeight="1" spans="1:2">
      <c r="A19805" s="3" t="str">
        <f>IFERROR(__xludf.DUMMYFUNCTION("GOOGLETRANSLATE(A19805,""en"",""pt"")"),"sem flash, foco manual, não confiável")</f>
        <v>sem flash, foco manual, não confiável</v>
      </c>
      <c r="B19805" s="3">
        <v>0</v>
      </c>
    </row>
    <row r="19806" ht="15.75" customHeight="1" spans="1:2">
      <c r="A19806" s="3" t="str">
        <f>IFERROR(__xludf.DUMMYFUNCTION("GOOGLETRANSLATE(A19806,""en"",""pt"")"),"Foco Manual, extremamente sensível a &amp; amp; # 13; &amp; amp; # 10; situação de iluminação,")</f>
        <v>Foco Manual, extremamente sensível a &amp; amp; # 13; &amp; amp; # 10; situação de iluminação,</v>
      </c>
      <c r="B19806" s="3">
        <v>0</v>
      </c>
    </row>
    <row r="19807" ht="15.75" customHeight="1" spans="1:2">
      <c r="A19807" s="3" t="str">
        <f>IFERROR(__xludf.DUMMYFUNCTION("GOOGLETRANSLATE(A19807,""en"",""pt"")"),"Impossível se concentrar corretamente, sem flash, muito frágil")</f>
        <v>Impossível se concentrar corretamente, sem flash, muito frágil</v>
      </c>
      <c r="B19807" s="3">
        <v>0</v>
      </c>
    </row>
    <row r="19808" ht="15.75" customHeight="1" spans="1:2">
      <c r="A19808" s="3" t="str">
        <f>IFERROR(__xludf.DUMMYFUNCTION("GOOGLETRANSLATE(A19808,""en"",""pt"")"),"Precisa de luz do dia quando usado como web cam, sem flash, foco manual.")</f>
        <v>Precisa de luz do dia quando usado como web cam, sem flash, foco manual.</v>
      </c>
      <c r="B19808" s="3">
        <v>0</v>
      </c>
    </row>
    <row r="19809" ht="15.75" customHeight="1" spans="1:2">
      <c r="A19809" s="3" t="str">
        <f>IFERROR(__xludf.DUMMYFUNCTION("GOOGLETRANSLATE(A19809,""en"",""pt"")"),"muito difícil de usar, terrível qualidade de imagem")</f>
        <v>muito difícil de usar, terrível qualidade de imagem</v>
      </c>
      <c r="B19809" s="3">
        <v>0</v>
      </c>
    </row>
    <row r="19810" ht="15.75" customHeight="1" spans="1:2">
      <c r="A19810" s="3" t="str">
        <f>IFERROR(__xludf.DUMMYFUNCTION("GOOGLETRANSLATE(A19810,""en"",""pt"")"),"qualidade da imagem")</f>
        <v>qualidade da imagem</v>
      </c>
      <c r="B19810" s="3">
        <v>0</v>
      </c>
    </row>
    <row r="19811" ht="15.75" customHeight="1" spans="1:2">
      <c r="A19811" s="3" t="str">
        <f>IFERROR(__xludf.DUMMYFUNCTION("GOOGLETRANSLATE(A19811,""en"",""pt"")"),"Nenhum")</f>
        <v>Nenhum</v>
      </c>
      <c r="B19811" s="3">
        <v>0</v>
      </c>
    </row>
    <row r="19812" ht="15.75" customHeight="1" spans="1:2">
      <c r="A19812" s="3" t="str">
        <f>IFERROR(__xludf.DUMMYFUNCTION("GOOGLETRANSLATE(A19812,""en"",""pt"")"),"O preço pode ser reduzida devido aos concorrentes")</f>
        <v>O preço pode ser reduzida devido aos concorrentes</v>
      </c>
      <c r="B19812" s="3">
        <v>0</v>
      </c>
    </row>
    <row r="19813" ht="15.75" customHeight="1" spans="1:2">
      <c r="A19813" s="3" t="str">
        <f>IFERROR(__xludf.DUMMYFUNCTION("GOOGLETRANSLATE(A19813,""en"",""pt"")"),"suporte de rede pobres, suporte técnico questionável")</f>
        <v>suporte de rede pobres, suporte técnico questionável</v>
      </c>
      <c r="B19813" s="3">
        <v>0</v>
      </c>
    </row>
    <row r="19814" ht="15.75" customHeight="1" spans="1:2">
      <c r="A19814" s="3" t="str">
        <f>IFERROR(__xludf.DUMMYFUNCTION("GOOGLETRANSLATE(A19814,""en"",""pt"")"),"custo")</f>
        <v>custo</v>
      </c>
      <c r="B19814" s="3">
        <v>0</v>
      </c>
    </row>
    <row r="19815" ht="15.75" customHeight="1" spans="1:2">
      <c r="A19815" s="3" t="str">
        <f>IFERROR(__xludf.DUMMYFUNCTION("GOOGLETRANSLATE(A19815,""en"",""pt"")"),"lento")</f>
        <v>lento</v>
      </c>
      <c r="B19815" s="3">
        <v>0</v>
      </c>
    </row>
    <row r="19816" ht="15.75" customHeight="1" spans="1:2">
      <c r="A19816" s="3" t="str">
        <f>IFERROR(__xludf.DUMMYFUNCTION("GOOGLETRANSLATE(A19816,""en"",""pt"")"),"desenhar")</f>
        <v>desenhar</v>
      </c>
      <c r="B19816" s="3">
        <v>0</v>
      </c>
    </row>
    <row r="19817" ht="15.75" customHeight="1" spans="1:2">
      <c r="A19817" s="3" t="str">
        <f>IFERROR(__xludf.DUMMYFUNCTION("GOOGLETRANSLATE(A19817,""en"",""pt"")"),"motorista inútil para Macintosh")</f>
        <v>motorista inútil para Macintosh</v>
      </c>
      <c r="B19817" s="3">
        <v>0</v>
      </c>
    </row>
    <row r="19818" ht="15.75" customHeight="1" spans="1:2">
      <c r="A19818" s="3" t="str">
        <f>IFERROR(__xludf.DUMMYFUNCTION("GOOGLETRANSLATE(A19818,""en"",""pt"")"),"atolamento de envelopes; tampa azul?")</f>
        <v>atolamento de envelopes; tampa azul?</v>
      </c>
      <c r="B19818" s="3">
        <v>0</v>
      </c>
    </row>
    <row r="19819" ht="15.75" customHeight="1" spans="1:2">
      <c r="A19819" s="3" t="str">
        <f>IFERROR(__xludf.DUMMYFUNCTION("GOOGLETRANSLATE(A19819,""en"",""pt"")"),"mau Mac compatibilidade, problemas de alimentação de papel, congestionamentos de papel")</f>
        <v>mau Mac compatibilidade, problemas de alimentação de papel, congestionamentos de papel</v>
      </c>
      <c r="B19819" s="3">
        <v>0</v>
      </c>
    </row>
    <row r="19820" ht="15.75" customHeight="1" spans="1:2">
      <c r="A19820" s="3" t="str">
        <f>IFERROR(__xludf.DUMMYFUNCTION("GOOGLETRANSLATE(A19820,""en"",""pt"")"),"falsamente anunciado - impressora não é compatível com o MS Word, Appleworks, Final Draft")</f>
        <v>falsamente anunciado - impressora não é compatível com o MS Word, Appleworks, Final Draft</v>
      </c>
      <c r="B19820" s="3">
        <v>0</v>
      </c>
    </row>
    <row r="19821" ht="15.75" customHeight="1" spans="1:2">
      <c r="A19821" s="3" t="str">
        <f>IFERROR(__xludf.DUMMYFUNCTION("GOOGLETRANSLATE(A19821,""en"",""pt"")"),"dimensões grandes, design")</f>
        <v>dimensões grandes, design</v>
      </c>
      <c r="B19821" s="3">
        <v>0</v>
      </c>
    </row>
    <row r="19822" ht="15.75" customHeight="1" spans="1:2">
      <c r="A19822" s="3" t="str">
        <f>IFERROR(__xludf.DUMMYFUNCTION("GOOGLETRANSLATE(A19822,""en"",""pt"")"),"Carece de recursos (daí a sua barateza), meio grande e desajeitado em tamanho")</f>
        <v>Carece de recursos (daí a sua barateza), meio grande e desajeitado em tamanho</v>
      </c>
      <c r="B19822" s="3">
        <v>0</v>
      </c>
    </row>
    <row r="19823" ht="15.75" customHeight="1" spans="1:2">
      <c r="A19823" s="3" t="str">
        <f>IFERROR(__xludf.DUMMYFUNCTION("GOOGLETRANSLATE(A19823,""en"",""pt"")"),"Utiliza baterias muito rapidamente, sem foco manual, sem zoom, demora após encaixe.")</f>
        <v>Utiliza baterias muito rapidamente, sem foco manual, sem zoom, demora após encaixe.</v>
      </c>
      <c r="B19823" s="3">
        <v>0</v>
      </c>
    </row>
    <row r="19824" ht="15.75" customHeight="1" spans="1:2">
      <c r="A19824" s="3" t="str">
        <f>IFERROR(__xludf.DUMMYFUNCTION("GOOGLETRANSLATE(A19824,""en"",""pt"")"),"Sem zoom disponível e drenos baterias muito rapidamente.")</f>
        <v>Sem zoom disponível e drenos baterias muito rapidamente.</v>
      </c>
      <c r="B19824" s="3">
        <v>0</v>
      </c>
    </row>
    <row r="19825" ht="15.75" customHeight="1" spans="1:2">
      <c r="A19825" s="3" t="str">
        <f>IFERROR(__xludf.DUMMYFUNCTION("GOOGLETRANSLATE(A19825,""en"",""pt"")"),"Battery Life Low, botões pequenos")</f>
        <v>Battery Life Low, botões pequenos</v>
      </c>
      <c r="B19825" s="3">
        <v>0</v>
      </c>
    </row>
    <row r="19826" ht="15.75" customHeight="1" spans="1:2">
      <c r="A19826" s="3" t="str">
        <f>IFERROR(__xludf.DUMMYFUNCTION("GOOGLETRANSLATE(A19826,""en"",""pt"")"),"devorador de bateria")</f>
        <v>devorador de bateria</v>
      </c>
      <c r="B19826" s="3">
        <v>0</v>
      </c>
    </row>
    <row r="19827" ht="15.75" customHeight="1" spans="1:2">
      <c r="A19827" s="3" t="str">
        <f>IFERROR(__xludf.DUMMYFUNCTION("GOOGLETRANSLATE(A19827,""en"",""pt"")"),"gizmos não o suficiente para &amp; amp; quot; avançadas &amp; quot; Os lustres da câmera digital")</f>
        <v>gizmos não o suficiente para &amp; amp; quot; avançadas &amp; quot; Os lustres da câmera digital</v>
      </c>
      <c r="B19827" s="3">
        <v>0</v>
      </c>
    </row>
    <row r="19828" ht="15.75" customHeight="1" spans="1:2">
      <c r="A19828" s="3" t="str">
        <f>IFERROR(__xludf.DUMMYFUNCTION("GOOGLETRANSLATE(A19828,""en"",""pt"")"),"Come baterias &amp; amp;. # 13; &amp; amp; # 10; Um pouco sobre o pesado e lado grande &amp; amp;. # 13; &amp; amp; # 10; FocusLock é semi-irritante.")</f>
        <v>Come baterias &amp; amp;. # 13; &amp; amp; # 10; Um pouco sobre o pesado e lado grande &amp; amp;. # 13; &amp; amp; # 10; FocusLock é semi-irritante.</v>
      </c>
      <c r="B19828" s="3">
        <v>0</v>
      </c>
    </row>
    <row r="19829" ht="15.75" customHeight="1" spans="1:2">
      <c r="A19829" s="3" t="str">
        <f>IFERROR(__xludf.DUMMYFUNCTION("GOOGLETRANSLATE(A19829,""en"",""pt"")"),"Utiliza baterias muito rapidamente, sem foco manual, sem zoom, demora após encaixe.")</f>
        <v>Utiliza baterias muito rapidamente, sem foco manual, sem zoom, demora após encaixe.</v>
      </c>
      <c r="B19829" s="3">
        <v>0</v>
      </c>
    </row>
    <row r="19830" ht="15.75" customHeight="1" spans="1:2">
      <c r="A19830" s="3" t="str">
        <f>IFERROR(__xludf.DUMMYFUNCTION("GOOGLETRANSLATE(A19830,""en"",""pt"")"),"fácil de usar")</f>
        <v>fácil de usar</v>
      </c>
      <c r="B19830" s="3">
        <v>0</v>
      </c>
    </row>
    <row r="19831" ht="15.75" customHeight="1" spans="1:2">
      <c r="A19831" s="3" t="str">
        <f>IFERROR(__xludf.DUMMYFUNCTION("GOOGLETRANSLATE(A19831,""en"",""pt"")"),"preço ruim")</f>
        <v>preço ruim</v>
      </c>
      <c r="B19831" s="3">
        <v>0</v>
      </c>
    </row>
    <row r="19832" ht="15.75" customHeight="1" spans="1:2">
      <c r="A19832" s="3" t="str">
        <f>IFERROR(__xludf.DUMMYFUNCTION("GOOGLETRANSLATE(A19832,""en"",""pt"")"),"baterias se esgotam rapidamente")</f>
        <v>baterias se esgotam rapidamente</v>
      </c>
      <c r="B19832" s="3">
        <v>0</v>
      </c>
    </row>
    <row r="19833" ht="15.75" customHeight="1" spans="1:2">
      <c r="A19833" s="3" t="str">
        <f>IFERROR(__xludf.DUMMYFUNCTION("GOOGLETRANSLATE(A19833,""en"",""pt"")"),"Drena as baterias rapidamente.")</f>
        <v>Drena as baterias rapidamente.</v>
      </c>
      <c r="B19833" s="3">
        <v>0</v>
      </c>
    </row>
    <row r="19834" ht="15.75" customHeight="1" spans="1:2">
      <c r="A19834" s="3" t="str">
        <f>IFERROR(__xludf.DUMMYFUNCTION("GOOGLETRANSLATE(A19834,""en"",""pt"")"),"Às vezes, as cores brilhantes são muito escuras")</f>
        <v>Às vezes, as cores brilhantes são muito escuras</v>
      </c>
      <c r="B19834" s="3">
        <v>0</v>
      </c>
    </row>
    <row r="19835" ht="15.75" customHeight="1" spans="1:2">
      <c r="A19835" s="3" t="str">
        <f>IFERROR(__xludf.DUMMYFUNCTION("GOOGLETRANSLATE(A19835,""en"",""pt"")"),"Zoom poderia ser melhor")</f>
        <v>Zoom poderia ser melhor</v>
      </c>
      <c r="B19835" s="3">
        <v>0</v>
      </c>
    </row>
    <row r="19836" ht="15.75" customHeight="1" spans="1:2">
      <c r="A19836" s="3" t="str">
        <f>IFERROR(__xludf.DUMMYFUNCTION("GOOGLETRANSLATE(A19836,""en"",""pt"")"),"sem zoom, má qualidade com flash")</f>
        <v>sem zoom, má qualidade com flash</v>
      </c>
      <c r="B19836" s="3">
        <v>0</v>
      </c>
    </row>
    <row r="19837" ht="15.75" customHeight="1" spans="1:2">
      <c r="A19837" s="3" t="str">
        <f>IFERROR(__xludf.DUMMYFUNCTION("GOOGLETRANSLATE(A19837,""en"",""pt"")"),"É um 'modelo antigo'")</f>
        <v>É um 'modelo antigo'</v>
      </c>
      <c r="B19837" s="3">
        <v>0</v>
      </c>
    </row>
    <row r="19838" ht="15.75" customHeight="1" spans="1:2">
      <c r="A19838" s="3" t="str">
        <f>IFERROR(__xludf.DUMMYFUNCTION("GOOGLETRANSLATE(A19838,""en"",""pt"")"),"gama mais perto seria bom")</f>
        <v>gama mais perto seria bom</v>
      </c>
      <c r="B19838" s="3">
        <v>0</v>
      </c>
    </row>
    <row r="19839" ht="15.75" customHeight="1" spans="1:2">
      <c r="A19839" s="3" t="str">
        <f>IFERROR(__xludf.DUMMYFUNCTION("GOOGLETRANSLATE(A19839,""en"",""pt"")"),"Sua soprando concorrentes fora do mercado!")</f>
        <v>Sua soprando concorrentes fora do mercado!</v>
      </c>
      <c r="B19839" s="3">
        <v>0</v>
      </c>
    </row>
    <row r="19840" ht="15.75" customHeight="1" spans="1:2">
      <c r="A19840" s="3" t="str">
        <f>IFERROR(__xludf.DUMMYFUNCTION("GOOGLETRANSLATE(A19840,""en"",""pt"")"),"quantidade limitada de fotos podem ser tiradas")</f>
        <v>quantidade limitada de fotos podem ser tiradas</v>
      </c>
      <c r="B19840" s="3">
        <v>0</v>
      </c>
    </row>
    <row r="19841" ht="15.75" customHeight="1" spans="1:2">
      <c r="A19841" s="3" t="str">
        <f>IFERROR(__xludf.DUMMYFUNCTION("GOOGLETRANSLATE(A19841,""en"",""pt"")"),"Vida útil da bateria, NO ZOOM")</f>
        <v>Vida útil da bateria, NO ZOOM</v>
      </c>
      <c r="B19841" s="3">
        <v>0</v>
      </c>
    </row>
    <row r="19842" ht="15.75" customHeight="1" spans="1:2">
      <c r="A19842" s="3" t="str">
        <f>IFERROR(__xludf.DUMMYFUNCTION("GOOGLETRANSLATE(A19842,""en"",""pt"")"),"lotes necessidade de complementos como baterias e lentes para torná-lo grande")</f>
        <v>lotes necessidade de complementos como baterias e lentes para torná-lo grande</v>
      </c>
      <c r="B19842" s="3">
        <v>0</v>
      </c>
    </row>
    <row r="19843" ht="15.75" customHeight="1" spans="1:2">
      <c r="A19843" s="3" t="str">
        <f>IFERROR(__xludf.DUMMYFUNCTION("GOOGLETRANSLATE(A19843,""en"",""pt"")"),"sensível a iluminação interna (distorção de cor com luz ruim)")</f>
        <v>sensível a iluminação interna (distorção de cor com luz ruim)</v>
      </c>
      <c r="B19843" s="3">
        <v>0</v>
      </c>
    </row>
    <row r="19844" ht="15.75" customHeight="1" spans="1:2">
      <c r="A19844" s="3" t="str">
        <f>IFERROR(__xludf.DUMMYFUNCTION("GOOGLETRANSLATE(A19844,""en"",""pt"")"),"muito difícil de descobrir como o trabalho")</f>
        <v>muito difícil de descobrir como o trabalho</v>
      </c>
      <c r="B19844" s="3">
        <v>0</v>
      </c>
    </row>
    <row r="19845" ht="15.75" customHeight="1" spans="1:2">
      <c r="A19845" s="3" t="str">
        <f>IFERROR(__xludf.DUMMYFUNCTION("GOOGLETRANSLATE(A19845,""en"",""pt"")"),"Precisa de fornecimento constante de pilhas novas")</f>
        <v>Precisa de fornecimento constante de pilhas novas</v>
      </c>
      <c r="B19845" s="3">
        <v>0</v>
      </c>
    </row>
    <row r="19846" ht="15.75" customHeight="1" spans="1:2">
      <c r="A19846" s="3" t="str">
        <f>IFERROR(__xludf.DUMMYFUNCTION("GOOGLETRANSLATE(A19846,""en"",""pt"")"),"Sem zoom, LCD fica no caminho da mão esquerda")</f>
        <v>Sem zoom, LCD fica no caminho da mão esquerda</v>
      </c>
      <c r="B19846" s="3">
        <v>0</v>
      </c>
    </row>
    <row r="19847" ht="15.75" customHeight="1" spans="1:2">
      <c r="A19847" s="3" t="str">
        <f>IFERROR(__xludf.DUMMYFUNCTION("GOOGLETRANSLATE(A19847,""en"",""pt"")"),"Curta vida de bateria, Terrível fotos com pouca luz")</f>
        <v>Curta vida de bateria, Terrível fotos com pouca luz</v>
      </c>
      <c r="B19847" s="3">
        <v>0</v>
      </c>
    </row>
    <row r="19848" ht="15.75" customHeight="1" spans="1:2">
      <c r="A19848" s="3" t="str">
        <f>IFERROR(__xludf.DUMMYFUNCTION("GOOGLETRANSLATE(A19848,""en"",""pt"")"),"Download serial foto, grande tamanho físico, botões de controle sensível.")</f>
        <v>Download serial foto, grande tamanho físico, botões de controle sensível.</v>
      </c>
      <c r="B19848" s="3">
        <v>0</v>
      </c>
    </row>
    <row r="19849" ht="15.75" customHeight="1" spans="1:2">
      <c r="A19849" s="3" t="str">
        <f>IFERROR(__xludf.DUMMYFUNCTION("GOOGLETRANSLATE(A19849,""en"",""pt"")"),"Grande, desajeitado, pesado, vida de bateria fraca")</f>
        <v>Grande, desajeitado, pesado, vida de bateria fraca</v>
      </c>
      <c r="B19849" s="3">
        <v>0</v>
      </c>
    </row>
    <row r="19850" ht="15.75" customHeight="1" spans="1:2">
      <c r="A19850" s="3" t="str">
        <f>IFERROR(__xludf.DUMMYFUNCTION("GOOGLETRANSLATE(A19850,""en"",""pt"")"),"sem zoom, a falta de vida útil da bateria")</f>
        <v>sem zoom, a falta de vida útil da bateria</v>
      </c>
      <c r="B19850" s="3">
        <v>0</v>
      </c>
    </row>
    <row r="19851" ht="15.75" customHeight="1" spans="1:2">
      <c r="A19851" s="3" t="str">
        <f>IFERROR(__xludf.DUMMYFUNCTION("GOOGLETRANSLATE(A19851,""en"",""pt"")"),"sem zoom óptico, capacidade de disparo noite patética de longo alcance")</f>
        <v>sem zoom óptico, capacidade de disparo noite patética de longo alcance</v>
      </c>
      <c r="B19851" s="3">
        <v>0</v>
      </c>
    </row>
    <row r="19852" ht="15.75" customHeight="1" spans="1:2">
      <c r="A19852" s="3" t="str">
        <f>IFERROR(__xludf.DUMMYFUNCTION("GOOGLETRANSLATE(A19852,""en"",""pt"")"),"Não há recursos de zoom, difícil de obter fotos de ação.")</f>
        <v>Não há recursos de zoom, difícil de obter fotos de ação.</v>
      </c>
      <c r="B19852" s="3">
        <v>0</v>
      </c>
    </row>
    <row r="19853" ht="15.75" customHeight="1" spans="1:2">
      <c r="A19853" s="3" t="str">
        <f>IFERROR(__xludf.DUMMYFUNCTION("GOOGLETRANSLATE(A19853,""en"",""pt"")"),"Sem firewire / USB, um pouco maior do que alguns, leve distorção em alguns ângulos.")</f>
        <v>Sem firewire / USB, um pouco maior do que alguns, leve distorção em alguns ângulos.</v>
      </c>
      <c r="B19853" s="3">
        <v>0</v>
      </c>
    </row>
    <row r="19854" ht="15.75" customHeight="1" spans="1:2">
      <c r="A19854" s="3" t="str">
        <f>IFERROR(__xludf.DUMMYFUNCTION("GOOGLETRANSLATE(A19854,""en"",""pt"")"),"Não é real bom em tiros rápidos.")</f>
        <v>Não é real bom em tiros rápidos.</v>
      </c>
      <c r="B19854" s="3">
        <v>0</v>
      </c>
    </row>
    <row r="19855" ht="15.75" customHeight="1" spans="1:2">
      <c r="A19855" s="3" t="str">
        <f>IFERROR(__xludf.DUMMYFUNCTION("GOOGLETRANSLATE(A19855,""en"",""pt"")"),"Envelhecimento quando comparado aos modelos mais recentes.")</f>
        <v>Envelhecimento quando comparado aos modelos mais recentes.</v>
      </c>
      <c r="B19855" s="3">
        <v>0</v>
      </c>
    </row>
    <row r="19856" ht="15.75" customHeight="1" spans="1:2">
      <c r="A19856" s="3" t="str">
        <f>IFERROR(__xludf.DUMMYFUNCTION("GOOGLETRANSLATE(A19856,""en"",""pt"")"),"Precisa de um melhor recurso de lente zoom")</f>
        <v>Precisa de um melhor recurso de lente zoom</v>
      </c>
      <c r="B19856" s="3">
        <v>0</v>
      </c>
    </row>
    <row r="19857" ht="15.75" customHeight="1" spans="1:2">
      <c r="A19857" s="3" t="str">
        <f>IFERROR(__xludf.DUMMYFUNCTION("GOOGLETRANSLATE(A19857,""en"",""pt"")"),"usa muita energia da bateria ... mas isso é de se esperar com equip digital.")</f>
        <v>usa muita energia da bateria ... mas isso é de se esperar com equip digital.</v>
      </c>
      <c r="B19857" s="3">
        <v>0</v>
      </c>
    </row>
    <row r="19858" ht="15.75" customHeight="1" spans="1:2">
      <c r="A19858" s="3" t="str">
        <f>IFERROR(__xludf.DUMMYFUNCTION("GOOGLETRANSLATE(A19858,""en"",""pt"")"),"Pula uma batida que pode irritá-lo.")</f>
        <v>Pula uma batida que pode irritá-lo.</v>
      </c>
      <c r="B19858" s="3">
        <v>0</v>
      </c>
    </row>
    <row r="19859" ht="15.75" customHeight="1" spans="1:2">
      <c r="A19859" s="3" t="str">
        <f>IFERROR(__xludf.DUMMYFUNCTION("GOOGLETRANSLATE(A19859,""en"",""pt"")"),"A única falha é ter que baixar para o seu computador.")</f>
        <v>A única falha é ter que baixar para o seu computador.</v>
      </c>
      <c r="B19859" s="3">
        <v>0</v>
      </c>
    </row>
    <row r="19860" ht="15.75" customHeight="1" spans="1:2">
      <c r="A19860" s="3" t="str">
        <f>IFERROR(__xludf.DUMMYFUNCTION("GOOGLETRANSLATE(A19860,""en"",""pt"")"),"Se você vai para os produtos que se parecem a melhor, não compre este.")</f>
        <v>Se você vai para os produtos que se parecem a melhor, não compre este.</v>
      </c>
      <c r="B19860" s="3">
        <v>0</v>
      </c>
    </row>
    <row r="19861" ht="15.75" customHeight="1" spans="1:2">
      <c r="A19861" s="3" t="str">
        <f>IFERROR(__xludf.DUMMYFUNCTION("GOOGLETRANSLATE(A19861,""en"",""pt"")"),"lag longo do obturador se não o fizer a pré-focagem.")</f>
        <v>lag longo do obturador se não o fizer a pré-focagem.</v>
      </c>
      <c r="B19861" s="3">
        <v>0</v>
      </c>
    </row>
    <row r="19862" ht="15.75" customHeight="1" spans="1:2">
      <c r="A19862" s="3" t="str">
        <f>IFERROR(__xludf.DUMMYFUNCTION("GOOGLETRANSLATE(A19862,""en"",""pt"")"),"Não pequeno, um pouco caro, nenhum lugar perto de &amp; amp; quot; apontar e disparar &amp; amp; quot;")</f>
        <v>Não pequeno, um pouco caro, nenhum lugar perto de &amp; amp; quot; apontar e disparar &amp; amp; quot;</v>
      </c>
      <c r="B19862" s="3">
        <v>0</v>
      </c>
    </row>
    <row r="19863" ht="15.75" customHeight="1" spans="1:2">
      <c r="A19863" s="3" t="str">
        <f>IFERROR(__xludf.DUMMYFUNCTION("GOOGLETRANSLATE(A19863,""en"",""pt"")"),"Nenhum")</f>
        <v>Nenhum</v>
      </c>
      <c r="B19863" s="3">
        <v>0</v>
      </c>
    </row>
    <row r="19864" ht="15.75" customHeight="1" spans="1:2">
      <c r="A19864" s="3" t="str">
        <f>IFERROR(__xludf.DUMMYFUNCTION("GOOGLETRANSLATE(A19864,""en"",""pt"")"),"Nenhuma conexão UBS ou adaptador ... tempo de resposta lento.")</f>
        <v>Nenhuma conexão UBS ou adaptador ... tempo de resposta lento.</v>
      </c>
      <c r="B19864" s="3">
        <v>0</v>
      </c>
    </row>
    <row r="19865" ht="15.75" customHeight="1" spans="1:2">
      <c r="A19865" s="3" t="str">
        <f>IFERROR(__xludf.DUMMYFUNCTION("GOOGLETRANSLATE(A19865,""en"",""pt"")"),"Um pouco pálido no departamento de saturação. Lens não é tão acentuada.")</f>
        <v>Um pouco pálido no departamento de saturação. Lens não é tão acentuada.</v>
      </c>
      <c r="B19865" s="3">
        <v>0</v>
      </c>
    </row>
    <row r="19866" ht="15.75" customHeight="1" spans="1:2">
      <c r="A19866" s="3" t="str">
        <f>IFERROR(__xludf.DUMMYFUNCTION("GOOGLETRANSLATE(A19866,""en"",""pt"")"),"Um pouco difícil de Programa")</f>
        <v>Um pouco difícil de Programa</v>
      </c>
      <c r="B19866" s="3">
        <v>0</v>
      </c>
    </row>
    <row r="19867" ht="15.75" customHeight="1" spans="1:2">
      <c r="A19867" s="3" t="str">
        <f>IFERROR(__xludf.DUMMYFUNCTION("GOOGLETRANSLATE(A19867,""en"",""pt"")"),"um pouco difícil de segurar")</f>
        <v>um pouco difícil de segurar</v>
      </c>
      <c r="B19867" s="3">
        <v>0</v>
      </c>
    </row>
    <row r="19868" ht="15.75" customHeight="1" spans="1:2">
      <c r="A19868" s="3" t="str">
        <f>IFERROR(__xludf.DUMMYFUNCTION("GOOGLETRANSLATE(A19868,""en"",""pt"")"),"câmera volumosos")</f>
        <v>câmera volumosos</v>
      </c>
      <c r="B19868" s="3">
        <v>0</v>
      </c>
    </row>
    <row r="19869" ht="15.75" customHeight="1" spans="1:2">
      <c r="A19869" s="3" t="str">
        <f>IFERROR(__xludf.DUMMYFUNCTION("GOOGLETRANSLATE(A19869,""en"",""pt"")"),"preços, sem conexão USB, precisa de óculos ou olhos afiados para ler algumas telas de função")</f>
        <v>preços, sem conexão USB, precisa de óculos ou olhos afiados para ler algumas telas de função</v>
      </c>
      <c r="B19869" s="3">
        <v>0</v>
      </c>
    </row>
    <row r="19870" ht="15.75" customHeight="1" spans="1:2">
      <c r="A19870" s="3" t="str">
        <f>IFERROR(__xludf.DUMMYFUNCTION("GOOGLETRANSLATE(A19870,""en"",""pt"")"),"Lentos para download")</f>
        <v>Lentos para download</v>
      </c>
      <c r="B19870" s="3">
        <v>0</v>
      </c>
    </row>
    <row r="19871" ht="15.75" customHeight="1" spans="1:2">
      <c r="A19871" s="3" t="str">
        <f>IFERROR(__xludf.DUMMYFUNCTION("GOOGLETRANSLATE(A19871,""en"",""pt"")"),"colocação de botão")</f>
        <v>colocação de botão</v>
      </c>
      <c r="B19871" s="3">
        <v>0</v>
      </c>
    </row>
    <row r="19872" ht="15.75" customHeight="1" spans="1:2">
      <c r="A19872" s="3" t="str">
        <f>IFERROR(__xludf.DUMMYFUNCTION("GOOGLETRANSLATE(A19872,""en"",""pt"")"),"tampa da lente frágil")</f>
        <v>tampa da lente frágil</v>
      </c>
      <c r="B19872" s="3">
        <v>0</v>
      </c>
    </row>
    <row r="19873" ht="15.75" customHeight="1" spans="1:2">
      <c r="A19873" s="3" t="str">
        <f>IFERROR(__xludf.DUMMYFUNCTION("GOOGLETRANSLATE(A19873,""en"",""pt"")"),"A pulseira é feita para uma pessoa destro, a tampa da lente poderia ser feito melhor.")</f>
        <v>A pulseira é feita para uma pessoa destro, a tampa da lente poderia ser feito melhor.</v>
      </c>
      <c r="B19873" s="3">
        <v>0</v>
      </c>
    </row>
    <row r="19874" ht="15.75" customHeight="1" spans="1:2">
      <c r="A19874" s="3" t="str">
        <f>IFERROR(__xludf.DUMMYFUNCTION("GOOGLETRANSLATE(A19874,""en"",""pt"")"),"baixa velocidade do obturador, visor estranho, nenhum adaptador AC.")</f>
        <v>baixa velocidade do obturador, visor estranho, nenhum adaptador AC.</v>
      </c>
      <c r="B19874" s="3">
        <v>0</v>
      </c>
    </row>
    <row r="19875" ht="15.75" customHeight="1" spans="1:2">
      <c r="A19875" s="3" t="str">
        <f>IFERROR(__xludf.DUMMYFUNCTION("GOOGLETRANSLATE(A19875,""en"",""pt"")"),"um pouco caro, pesado")</f>
        <v>um pouco caro, pesado</v>
      </c>
      <c r="B19875" s="3">
        <v>0</v>
      </c>
    </row>
    <row r="19876" ht="15.75" customHeight="1" spans="1:2">
      <c r="A19876" s="3" t="str">
        <f>IFERROR(__xludf.DUMMYFUNCTION("GOOGLETRANSLATE(A19876,""en"",""pt"")"),"Não A C / Adaptador")</f>
        <v>Não A C / Adaptador</v>
      </c>
      <c r="B19876" s="3">
        <v>0</v>
      </c>
    </row>
    <row r="19877" ht="15.75" customHeight="1" spans="1:2">
      <c r="A19877" s="3" t="str">
        <f>IFERROR(__xludf.DUMMYFUNCTION("GOOGLETRANSLATE(A19877,""en"",""pt"")"),"Só vem com o download de série, nenhuma provisão USB.")</f>
        <v>Só vem com o download de série, nenhuma provisão USB.</v>
      </c>
      <c r="B19877" s="3">
        <v>0</v>
      </c>
    </row>
    <row r="19878" ht="15.75" customHeight="1" spans="1:2">
      <c r="A19878" s="3" t="str">
        <f>IFERROR(__xludf.DUMMYFUNCTION("GOOGLETRANSLATE(A19878,""en"",""pt"")"),"spendy, mas vale a pena")</f>
        <v>spendy, mas vale a pena</v>
      </c>
      <c r="B19878" s="3">
        <v>0</v>
      </c>
    </row>
    <row r="19879" ht="15.75" customHeight="1" spans="1:2">
      <c r="A19879" s="3" t="str">
        <f>IFERROR(__xludf.DUMMYFUNCTION("GOOGLETRANSLATE(A19879,""en"",""pt"")"),"aviso de bateria fraca é uma porcaria, 2 chips de memória, algumas características de difícil acesso, Zoom é temperamental")</f>
        <v>aviso de bateria fraca é uma porcaria, 2 chips de memória, algumas características de difícil acesso, Zoom é temperamental</v>
      </c>
      <c r="B19879" s="3">
        <v>0</v>
      </c>
    </row>
    <row r="19880" ht="15.75" customHeight="1" spans="1:2">
      <c r="A19880" s="3" t="str">
        <f>IFERROR(__xludf.DUMMYFUNCTION("GOOGLETRANSLATE(A19880,""en"",""pt"")"),"tarifa em condições de baixa luminosidade, flash não é muito forte")</f>
        <v>tarifa em condições de baixa luminosidade, flash não é muito forte</v>
      </c>
      <c r="B19880" s="3">
        <v>0</v>
      </c>
    </row>
    <row r="19881" ht="15.75" customHeight="1" spans="1:2">
      <c r="A19881" s="3" t="str">
        <f>IFERROR(__xludf.DUMMYFUNCTION("GOOGLETRANSLATE(A19881,""en"",""pt"")"),"sem zoom óptico, a vida curta da bateria")</f>
        <v>sem zoom óptico, a vida curta da bateria</v>
      </c>
      <c r="B19881" s="3">
        <v>0</v>
      </c>
    </row>
    <row r="19882" ht="15.75" customHeight="1" spans="1:2">
      <c r="A19882" s="3" t="str">
        <f>IFERROR(__xludf.DUMMYFUNCTION("GOOGLETRANSLATE(A19882,""en"",""pt"")"),"Sem zoom óptico")</f>
        <v>Sem zoom óptico</v>
      </c>
      <c r="B19882" s="3">
        <v>0</v>
      </c>
    </row>
    <row r="19883" ht="15.75" customHeight="1" spans="1:2">
      <c r="A19883" s="3" t="str">
        <f>IFERROR(__xludf.DUMMYFUNCTION("GOOGLETRANSLATE(A19883,""en"",""pt"")"),"Vida útil da bateria, não há suporte Microdrive, deve obter AC adaptar setembro")</f>
        <v>Vida útil da bateria, não há suporte Microdrive, deve obter AC adaptar setembro</v>
      </c>
      <c r="B19883" s="3">
        <v>0</v>
      </c>
    </row>
    <row r="19884" ht="15.75" customHeight="1" spans="1:2">
      <c r="A19884" s="3" t="str">
        <f>IFERROR(__xludf.DUMMYFUNCTION("GOOGLETRANSLATE(A19884,""en"",""pt"")"),"curta duração da bateria e olhos vermelhos")</f>
        <v>curta duração da bateria e olhos vermelhos</v>
      </c>
      <c r="B19884" s="3">
        <v>0</v>
      </c>
    </row>
    <row r="19885" ht="15.75" customHeight="1" spans="1:2">
      <c r="A19885" s="3" t="str">
        <f>IFERROR(__xludf.DUMMYFUNCTION("GOOGLETRANSLATE(A19885,""en"",""pt"")"),"qualidade de imagem, a cor é nojento")</f>
        <v>qualidade de imagem, a cor é nojento</v>
      </c>
      <c r="B19885" s="3">
        <v>0</v>
      </c>
    </row>
    <row r="19886" ht="15.75" customHeight="1" spans="1:2">
      <c r="A19886" s="3" t="str">
        <f>IFERROR(__xludf.DUMMYFUNCTION("GOOGLETRANSLATE(A19886,""en"",""pt"")"),"baterias, a falta de adaptador AC, sem zoom óptico")</f>
        <v>baterias, a falta de adaptador AC, sem zoom óptico</v>
      </c>
      <c r="B19886" s="3">
        <v>0</v>
      </c>
    </row>
    <row r="19887" ht="15.75" customHeight="1" spans="1:2">
      <c r="A19887" s="3" t="str">
        <f>IFERROR(__xludf.DUMMYFUNCTION("GOOGLETRANSLATE(A19887,""en"",""pt"")"),"freqüente a recarga da bateria, não tem zoom")</f>
        <v>freqüente a recarga da bateria, não tem zoom</v>
      </c>
      <c r="B19887" s="3">
        <v>0</v>
      </c>
    </row>
    <row r="19888" ht="15.75" customHeight="1" spans="1:2">
      <c r="A19888" s="3" t="str">
        <f>IFERROR(__xludf.DUMMYFUNCTION("GOOGLETRANSLATE(A19888,""en"",""pt"")"),"Nenhum")</f>
        <v>Nenhum</v>
      </c>
      <c r="B19888" s="3">
        <v>0</v>
      </c>
    </row>
    <row r="19889" ht="15.75" customHeight="1" spans="1:2">
      <c r="A19889" s="3" t="str">
        <f>IFERROR(__xludf.DUMMYFUNCTION("GOOGLETRANSLATE(A19889,""en"",""pt"")"),"não é caro")</f>
        <v>não é caro</v>
      </c>
      <c r="B19889" s="3">
        <v>0</v>
      </c>
    </row>
    <row r="19890" ht="15.75" customHeight="1" spans="1:2">
      <c r="A19890" s="3" t="str">
        <f>IFERROR(__xludf.DUMMYFUNCTION("GOOGLETRANSLATE(A19890,""en"",""pt"")"),"vida útil da bateria é curta (constantemente recarregar), apenas um zoom")</f>
        <v>vida útil da bateria é curta (constantemente recarregar), apenas um zoom</v>
      </c>
      <c r="B19890" s="3">
        <v>0</v>
      </c>
    </row>
    <row r="19891" ht="15.75" customHeight="1" spans="1:2">
      <c r="A19891" s="3" t="str">
        <f>IFERROR(__xludf.DUMMYFUNCTION("GOOGLETRANSLATE(A19891,""en"",""pt"")"),"escorredor bateria.")</f>
        <v>escorredor bateria.</v>
      </c>
      <c r="B19891" s="3">
        <v>0</v>
      </c>
    </row>
    <row r="19892" ht="15.75" customHeight="1" spans="1:2">
      <c r="A19892" s="3" t="str">
        <f>IFERROR(__xludf.DUMMYFUNCTION("GOOGLETRANSLATE(A19892,""en"",""pt"")"),"dcprodirect empresa não confiável")</f>
        <v>dcprodirect empresa não confiável</v>
      </c>
      <c r="B19892" s="3">
        <v>0</v>
      </c>
    </row>
    <row r="19893" ht="15.75" customHeight="1" spans="1:2">
      <c r="A19893" s="3" t="str">
        <f>IFERROR(__xludf.DUMMYFUNCTION("GOOGLETRANSLATE(A19893,""en"",""pt"")"),"Como a tecnologia tem melhorado, este é agora um meio da câmera estrada.")</f>
        <v>Como a tecnologia tem melhorado, este é agora um meio da câmera estrada.</v>
      </c>
      <c r="B19893" s="3">
        <v>0</v>
      </c>
    </row>
    <row r="19894" ht="15.75" customHeight="1" spans="1:2">
      <c r="A19894" s="3" t="str">
        <f>IFERROR(__xludf.DUMMYFUNCTION("GOOGLETRANSLATE(A19894,""en"",""pt"")"),"Você pode querer um segundo conjunto de baterias recarregáveis")</f>
        <v>Você pode querer um segundo conjunto de baterias recarregáveis</v>
      </c>
      <c r="B19894" s="3">
        <v>0</v>
      </c>
    </row>
    <row r="19895" ht="15.75" customHeight="1" spans="1:2">
      <c r="A19895" s="3" t="str">
        <f>IFERROR(__xludf.DUMMYFUNCTION("GOOGLETRANSLATE(A19895,""en"",""pt"")"),"cartão Compact Flash pode ser maior.")</f>
        <v>cartão Compact Flash pode ser maior.</v>
      </c>
      <c r="B19895" s="3">
        <v>0</v>
      </c>
    </row>
    <row r="19896" ht="15.75" customHeight="1" spans="1:2">
      <c r="A19896" s="3" t="str">
        <f>IFERROR(__xludf.DUMMYFUNCTION("GOOGLETRANSLATE(A19896,""en"",""pt"")"),"Lag entre as imagens")</f>
        <v>Lag entre as imagens</v>
      </c>
      <c r="B19896" s="3">
        <v>0</v>
      </c>
    </row>
    <row r="19897" ht="15.75" customHeight="1" spans="1:2">
      <c r="A19897" s="3" t="str">
        <f>IFERROR(__xludf.DUMMYFUNCTION("GOOGLETRANSLATE(A19897,""en"",""pt"")"),"não vem com um AC adapter..must ser adquirido separadamente, e não é fácil de encontrar, melhor aposta é a ordem direta de Epson")</f>
        <v>não vem com um AC adapter..must ser adquirido separadamente, e não é fácil de encontrar, melhor aposta é a ordem direta de Epson</v>
      </c>
      <c r="B19897" s="3">
        <v>0</v>
      </c>
    </row>
    <row r="19898" ht="15.75" customHeight="1" spans="1:2">
      <c r="A19898" s="3" t="str">
        <f>IFERROR(__xludf.DUMMYFUNCTION("GOOGLETRANSLATE(A19898,""en"",""pt"")"),"Visor óptico não é precisa por Close Ups, No Uncompressed Capture Mode")</f>
        <v>Visor óptico não é precisa por Close Ups, No Uncompressed Capture Mode</v>
      </c>
      <c r="B19898" s="3">
        <v>0</v>
      </c>
    </row>
    <row r="19899" ht="15.75" customHeight="1" spans="1:2">
      <c r="A19899" s="3" t="str">
        <f>IFERROR(__xludf.DUMMYFUNCTION("GOOGLETRANSLATE(A19899,""en"",""pt"")"),"peculiaridades de interface seriamente irritantes")</f>
        <v>peculiaridades de interface seriamente irritantes</v>
      </c>
      <c r="B19899" s="3">
        <v>0</v>
      </c>
    </row>
    <row r="19900" ht="15.75" customHeight="1" spans="1:2">
      <c r="A19900" s="3" t="str">
        <f>IFERROR(__xludf.DUMMYFUNCTION("GOOGLETRANSLATE(A19900,""en"",""pt"")"),"vida média da bateria")</f>
        <v>vida média da bateria</v>
      </c>
      <c r="B19900" s="3">
        <v>0</v>
      </c>
    </row>
    <row r="19901" ht="15.75" customHeight="1" spans="1:2">
      <c r="A19901" s="3" t="str">
        <f>IFERROR(__xludf.DUMMYFUNCTION("GOOGLETRANSLATE(A19901,""en"",""pt"")"),"Me dê pelo menos 16MB cartão CF; Firmware Ocasionalmente Buggy")</f>
        <v>Me dê pelo menos 16MB cartão CF; Firmware Ocasionalmente Buggy</v>
      </c>
      <c r="B19901" s="3">
        <v>0</v>
      </c>
    </row>
    <row r="19902" ht="15.75" customHeight="1" spans="1:2">
      <c r="A19902" s="3" t="str">
        <f>IFERROR(__xludf.DUMMYFUNCTION("GOOGLETRANSLATE(A19902,""en"",""pt"")"),"não é uma fotografia")</f>
        <v>não é uma fotografia</v>
      </c>
      <c r="B19902" s="3">
        <v>0</v>
      </c>
    </row>
    <row r="19903" ht="15.75" customHeight="1" spans="1:2">
      <c r="A19903" s="3" t="str">
        <f>IFERROR(__xludf.DUMMYFUNCTION("GOOGLETRANSLATE(A19903,""en"",""pt"")"),"LCD fica manchas nariz quando se olha através do visor")</f>
        <v>LCD fica manchas nariz quando se olha através do visor</v>
      </c>
      <c r="B19903" s="3">
        <v>0</v>
      </c>
    </row>
    <row r="19904" ht="15.75" customHeight="1" spans="1:2">
      <c r="A19904" s="3" t="str">
        <f>IFERROR(__xludf.DUMMYFUNCTION("GOOGLETRANSLATE(A19904,""en"",""pt"")"),"Zoom Response é um pouco lento")</f>
        <v>Zoom Response é um pouco lento</v>
      </c>
      <c r="B19904" s="3">
        <v>0</v>
      </c>
    </row>
    <row r="19905" ht="15.75" customHeight="1" spans="1:2">
      <c r="A19905" s="3" t="str">
        <f>IFERROR(__xludf.DUMMYFUNCTION("GOOGLETRANSLATE(A19905,""en"",""pt"")"),"display LCD por vezes demasiado lavadas; às vezes torna difícil julgar como exposto sua foto será")</f>
        <v>display LCD por vezes demasiado lavadas; às vezes torna difícil julgar como exposto sua foto será</v>
      </c>
      <c r="B19905" s="3">
        <v>0</v>
      </c>
    </row>
    <row r="19906" ht="15.75" customHeight="1" spans="1:2">
      <c r="A19906" s="3" t="str">
        <f>IFERROR(__xludf.DUMMYFUNCTION("GOOGLETRANSLATE(A19906,""en"",""pt"")"),"Um pouco pesado para transportar todo o dia.")</f>
        <v>Um pouco pesado para transportar todo o dia.</v>
      </c>
      <c r="B19906" s="3">
        <v>0</v>
      </c>
    </row>
    <row r="19907" ht="15.75" customHeight="1" spans="1:2">
      <c r="A19907" s="3" t="str">
        <f>IFERROR(__xludf.DUMMYFUNCTION("GOOGLETRANSLATE(A19907,""en"",""pt"")"),"As imagens não são precisos quando tomadas a partir do modo LCD")</f>
        <v>As imagens não são precisos quando tomadas a partir do modo LCD</v>
      </c>
      <c r="B19907" s="3">
        <v>0</v>
      </c>
    </row>
    <row r="19908" ht="15.75" customHeight="1" spans="1:2">
      <c r="A19908" s="3" t="str">
        <f>IFERROR(__xludf.DUMMYFUNCTION("GOOGLETRANSLATE(A19908,""en"",""pt"")"),"um pouco ruidoso, os cartuchos de jacto de tinta pequenas")</f>
        <v>um pouco ruidoso, os cartuchos de jacto de tinta pequenas</v>
      </c>
      <c r="B19908" s="3">
        <v>0</v>
      </c>
    </row>
    <row r="19909" ht="15.75" customHeight="1" spans="1:2">
      <c r="A19909" s="3" t="str">
        <f>IFERROR(__xludf.DUMMYFUNCTION("GOOGLETRANSLATE(A19909,""en"",""pt"")"),"Tinta não dura muito tempo ... e ... você tem que ler o manual!")</f>
        <v>Tinta não dura muito tempo ... e ... você tem que ler o manual!</v>
      </c>
      <c r="B19909" s="3">
        <v>0</v>
      </c>
    </row>
    <row r="19910" ht="15.75" customHeight="1" spans="1:2">
      <c r="A19910" s="3" t="str">
        <f>IFERROR(__xludf.DUMMYFUNCTION("GOOGLETRANSLATE(A19910,""en"",""pt"")"),"USB. &amp; Amp; nível de ruído durante a impressão, pequenos poços de tinta.")</f>
        <v>USB. &amp; Amp; nível de ruído durante a impressão, pequenos poços de tinta.</v>
      </c>
      <c r="B19910" s="3">
        <v>0</v>
      </c>
    </row>
    <row r="19911" ht="15.75" customHeight="1" spans="1:2">
      <c r="A19911" s="3" t="str">
        <f>IFERROR(__xludf.DUMMYFUNCTION("GOOGLETRANSLATE(A19911,""en"",""pt"")"),"poços MINÚSCULOS tinta, recargas caras, impressão de ação barulhenta.")</f>
        <v>poços MINÚSCULOS tinta, recargas caras, impressão de ação barulhenta.</v>
      </c>
      <c r="B19911" s="3">
        <v>0</v>
      </c>
    </row>
    <row r="19912" ht="15.75" customHeight="1" spans="1:2">
      <c r="A19912" s="3" t="str">
        <f>IFERROR(__xludf.DUMMYFUNCTION("GOOGLETRANSLATE(A19912,""en"",""pt"")"),"lento, alto, rápido para usar tinta")</f>
        <v>lento, alto, rápido para usar tinta</v>
      </c>
      <c r="B19912" s="3">
        <v>0</v>
      </c>
    </row>
    <row r="19913" ht="15.75" customHeight="1" spans="1:2">
      <c r="A19913" s="3" t="str">
        <f>IFERROR(__xludf.DUMMYFUNCTION("GOOGLETRANSLATE(A19913,""en"",""pt"")"),"Lento, Loud, suporte de peso de papel que contém o papel no alimentador")</f>
        <v>Lento, Loud, suporte de peso de papel que contém o papel no alimentador</v>
      </c>
      <c r="B19913" s="3">
        <v>0</v>
      </c>
    </row>
    <row r="19914" ht="15.75" customHeight="1" spans="1:2">
      <c r="A19914" s="3" t="str">
        <f>IFERROR(__xludf.DUMMYFUNCTION("GOOGLETRANSLATE(A19914,""en"",""pt"")"),"Ruidosamente, pequeno cartucho de tinta preta, não há Centronics (paralelo) ligação.")</f>
        <v>Ruidosamente, pequeno cartucho de tinta preta, não há Centronics (paralelo) ligação.</v>
      </c>
      <c r="B19914" s="3">
        <v>0</v>
      </c>
    </row>
    <row r="19915" ht="15.75" customHeight="1" spans="1:2">
      <c r="A19915" s="3" t="str">
        <f>IFERROR(__xludf.DUMMYFUNCTION("GOOGLETRANSLATE(A19915,""en"",""pt"")"),"um pouco barulhento, a tinta drena um pouco rapidamente")</f>
        <v>um pouco barulhento, a tinta drena um pouco rapidamente</v>
      </c>
      <c r="B19915" s="3">
        <v>0</v>
      </c>
    </row>
    <row r="19916" ht="15.75" customHeight="1" spans="1:2">
      <c r="A19916" s="3" t="str">
        <f>IFERROR(__xludf.DUMMYFUNCTION("GOOGLETRANSLATE(A19916,""en"",""pt"")"),"Barulhento!")</f>
        <v>Barulhento!</v>
      </c>
      <c r="B19916" s="3">
        <v>0</v>
      </c>
    </row>
    <row r="19917" ht="15.75" customHeight="1" spans="1:2">
      <c r="A19917" s="3" t="str">
        <f>IFERROR(__xludf.DUMMYFUNCTION("GOOGLETRANSLATE(A19917,""en"",""pt"")"),"impressora barata")</f>
        <v>impressora barata</v>
      </c>
      <c r="B19917" s="3">
        <v>0</v>
      </c>
    </row>
    <row r="19918" ht="15.75" customHeight="1" spans="1:2">
      <c r="A19918" s="3" t="str">
        <f>IFERROR(__xludf.DUMMYFUNCTION("GOOGLETRANSLATE(A19918,""en"",""pt"")"),"Extremamente barulhento, horrível qualidade de impressão, bebe tinta como um caminhão semi faz gasolina")</f>
        <v>Extremamente barulhento, horrível qualidade de impressão, bebe tinta como um caminhão semi faz gasolina</v>
      </c>
      <c r="B19918" s="3">
        <v>0</v>
      </c>
    </row>
    <row r="19919" ht="15.75" customHeight="1" spans="1:2">
      <c r="A19919" s="3" t="str">
        <f>IFERROR(__xludf.DUMMYFUNCTION("GOOGLETRANSLATE(A19919,""en"",""pt"")"),"Noisy, qualidade de impressão ruim, má construção, wasts tinta limpeza em si, lenta.")</f>
        <v>Noisy, qualidade de impressão ruim, má construção, wasts tinta limpeza em si, lenta.</v>
      </c>
      <c r="B19919" s="3">
        <v>0</v>
      </c>
    </row>
    <row r="19920" ht="15.75" customHeight="1" spans="1:2">
      <c r="A19920" s="3" t="str">
        <f>IFERROR(__xludf.DUMMYFUNCTION("GOOGLETRANSLATE(A19920,""en"",""pt"")"),"cor lenta")</f>
        <v>cor lenta</v>
      </c>
      <c r="B19920" s="3">
        <v>0</v>
      </c>
    </row>
    <row r="19921" ht="15.75" customHeight="1" spans="1:2">
      <c r="A19921" s="3" t="str">
        <f>IFERROR(__xludf.DUMMYFUNCTION("GOOGLETRANSLATE(A19921,""en"",""pt"")"),"muito barulhento. qualidade média de impressão. um pouco lento.")</f>
        <v>muito barulhento. qualidade média de impressão. um pouco lento.</v>
      </c>
      <c r="B19921" s="3">
        <v>0</v>
      </c>
    </row>
    <row r="19922" ht="15.75" customHeight="1" spans="1:2">
      <c r="A19922" s="3" t="str">
        <f>IFERROR(__xludf.DUMMYFUNCTION("GOOGLETRANSLATE(A19922,""en"",""pt"")"),"Super velocidade lenta, utiliza-se cartuchos de tinta muito rapidamente, em voz alta.")</f>
        <v>Super velocidade lenta, utiliza-se cartuchos de tinta muito rapidamente, em voz alta.</v>
      </c>
      <c r="B19922" s="3">
        <v>0</v>
      </c>
    </row>
    <row r="19923" ht="15.75" customHeight="1" spans="1:2">
      <c r="A19923" s="3" t="str">
        <f>IFERROR(__xludf.DUMMYFUNCTION("GOOGLETRANSLATE(A19923,""en"",""pt"")"),"lento, barulhento, capacidade de papel de baixo, percorre toner rapidamente")</f>
        <v>lento, barulhento, capacidade de papel de baixo, percorre toner rapidamente</v>
      </c>
      <c r="B19923" s="3">
        <v>0</v>
      </c>
    </row>
    <row r="19924" ht="15.75" customHeight="1" spans="1:2">
      <c r="A19924" s="3" t="str">
        <f>IFERROR(__xludf.DUMMYFUNCTION("GOOGLETRANSLATE(A19924,""en"",""pt"")"),"Extremamente pobre qualidade.")</f>
        <v>Extremamente pobre qualidade.</v>
      </c>
      <c r="B19924" s="3">
        <v>0</v>
      </c>
    </row>
    <row r="19925" ht="15.75" customHeight="1" spans="1:2">
      <c r="A19925" s="3" t="str">
        <f>IFERROR(__xludf.DUMMYFUNCTION("GOOGLETRANSLATE(A19925,""en"",""pt"")"),"Lento, lento, lento!")</f>
        <v>Lento, lento, lento!</v>
      </c>
      <c r="B19925" s="3">
        <v>0</v>
      </c>
    </row>
    <row r="19926" ht="15.75" customHeight="1" spans="1:2">
      <c r="A19926" s="3" t="str">
        <f>IFERROR(__xludf.DUMMYFUNCTION("GOOGLETRANSLATE(A19926,""en"",""pt"")"),"sensor defeituoso foto extremamente lento impressão vibra muito alto demais problemas de driver de impressora")</f>
        <v>sensor defeituoso foto extremamente lento impressão vibra muito alto demais problemas de driver de impressora</v>
      </c>
      <c r="B19926" s="3">
        <v>0</v>
      </c>
    </row>
    <row r="19927" ht="15.75" customHeight="1" spans="1:2">
      <c r="A19927" s="3" t="str">
        <f>IFERROR(__xludf.DUMMYFUNCTION("GOOGLETRANSLATE(A19927,""en"",""pt"")"),"cartuchos não podem ser recarregados, lento e barulhento")</f>
        <v>cartuchos não podem ser recarregados, lento e barulhento</v>
      </c>
      <c r="B19927" s="3">
        <v>0</v>
      </c>
    </row>
    <row r="19928" ht="15.75" customHeight="1" spans="1:2">
      <c r="A19928" s="3" t="str">
        <f>IFERROR(__xludf.DUMMYFUNCTION("GOOGLETRANSLATE(A19928,""en"",""pt"")"),"Velocidade de impressão, a fome Ink")</f>
        <v>Velocidade de impressão, a fome Ink</v>
      </c>
      <c r="B19928" s="3">
        <v>0</v>
      </c>
    </row>
    <row r="19929" ht="15.75" customHeight="1" spans="1:2">
      <c r="A19929" s="3" t="str">
        <f>IFERROR(__xludf.DUMMYFUNCTION("GOOGLETRANSLATE(A19929,""en"",""pt"")"),"Ink é mais difícil de encontrar.")</f>
        <v>Ink é mais difícil de encontrar.</v>
      </c>
      <c r="B19929" s="3">
        <v>0</v>
      </c>
    </row>
    <row r="19930" ht="15.75" customHeight="1" spans="1:2">
      <c r="A19930" s="3" t="str">
        <f>IFERROR(__xludf.DUMMYFUNCTION("GOOGLETRANSLATE(A19930,""en"",""pt"")"),"Ficar sem tinta muito rápido. Caro mudar cartucho.")</f>
        <v>Ficar sem tinta muito rápido. Caro mudar cartucho.</v>
      </c>
      <c r="B19930" s="3">
        <v>0</v>
      </c>
    </row>
    <row r="19931" ht="15.75" customHeight="1" spans="1:2">
      <c r="A19931" s="3" t="str">
        <f>IFERROR(__xludf.DUMMYFUNCTION("GOOGLETRANSLATE(A19931,""en"",""pt"")"),"Muito lento e muito alto, ficar sem tinta muito rapidamente")</f>
        <v>Muito lento e muito alto, ficar sem tinta muito rapidamente</v>
      </c>
      <c r="B19931" s="3">
        <v>0</v>
      </c>
    </row>
    <row r="19932" ht="15.75" customHeight="1" spans="1:2">
      <c r="A19932" s="3" t="str">
        <f>IFERROR(__xludf.DUMMYFUNCTION("GOOGLETRANSLATE(A19932,""en"",""pt"")"),"Lento e sem valor")</f>
        <v>Lento e sem valor</v>
      </c>
      <c r="B19932" s="3">
        <v>0</v>
      </c>
    </row>
    <row r="19933" ht="15.75" customHeight="1" spans="1:2">
      <c r="A19933" s="3" t="str">
        <f>IFERROR(__xludf.DUMMYFUNCTION("GOOGLETRANSLATE(A19933,""en"",""pt"")"),"tinta caro, não pode reencher os cartuchos utilizando um kit.")</f>
        <v>tinta caro, não pode reencher os cartuchos utilizando um kit.</v>
      </c>
      <c r="B19933" s="3">
        <v>0</v>
      </c>
    </row>
    <row r="19934" ht="15.75" customHeight="1" spans="1:2">
      <c r="A19934" s="3" t="str">
        <f>IFERROR(__xludf.DUMMYFUNCTION("GOOGLETRANSLATE(A19934,""en"",""pt"")"),"Muito, muito lento. Barulhento. lotes usados ​​de tinta.")</f>
        <v>Muito, muito lento. Barulhento. lotes usados ​​de tinta.</v>
      </c>
      <c r="B19934" s="3">
        <v>0</v>
      </c>
    </row>
    <row r="19935" ht="15.75" customHeight="1" spans="1:2">
      <c r="A19935" s="3" t="str">
        <f>IFERROR(__xludf.DUMMYFUNCTION("GOOGLETRANSLATE(A19935,""en"",""pt"")")," Imprime lentamente e usa muita tinta.")</f>
        <v> Imprime lentamente e usa muita tinta.</v>
      </c>
      <c r="B19935" s="3">
        <v>0</v>
      </c>
    </row>
    <row r="19936" ht="15.75" customHeight="1" spans="1:2">
      <c r="A19936" s="3" t="str">
        <f>IFERROR(__xludf.DUMMYFUNCTION("GOOGLETRANSLATE(A19936,""en"",""pt"")"),"tamanho grande, mas funciona bem")</f>
        <v>tamanho grande, mas funciona bem</v>
      </c>
      <c r="B19936" s="3">
        <v>0</v>
      </c>
    </row>
    <row r="19937" ht="15.75" customHeight="1" spans="1:2">
      <c r="A19937" s="3" t="str">
        <f>IFERROR(__xludf.DUMMYFUNCTION("GOOGLETRANSLATE(A19937,""en"",""pt"")"),"Ruído, suporte de papel")</f>
        <v>Ruído, suporte de papel</v>
      </c>
      <c r="B19937" s="3">
        <v>0</v>
      </c>
    </row>
    <row r="19938" ht="15.75" customHeight="1" spans="1:2">
      <c r="A19938" s="3" t="str">
        <f>IFERROR(__xludf.DUMMYFUNCTION("GOOGLETRANSLATE(A19938,""en"",""pt"")"),"Nenhum")</f>
        <v>Nenhum</v>
      </c>
      <c r="B19938" s="3">
        <v>0</v>
      </c>
    </row>
    <row r="19939" ht="15.75" customHeight="1" spans="1:2">
      <c r="A19939" s="3" t="str">
        <f>IFERROR(__xludf.DUMMYFUNCTION("GOOGLETRANSLATE(A19939,""en"",""pt"")"),"Nenhum")</f>
        <v>Nenhum</v>
      </c>
      <c r="B19939" s="3">
        <v>0</v>
      </c>
    </row>
    <row r="19940" ht="15.75" customHeight="1" spans="1:2">
      <c r="A19940" s="3" t="str">
        <f>IFERROR(__xludf.DUMMYFUNCTION("GOOGLETRANSLATE(A19940,""en"",""pt"")"),"Um pouco maior do que a minha última jato de tinta, veja o comentário de dimensões")</f>
        <v>Um pouco maior do que a minha última jato de tinta, veja o comentário de dimensões</v>
      </c>
      <c r="B19940" s="3">
        <v>0</v>
      </c>
    </row>
    <row r="19941" ht="15.75" customHeight="1" spans="1:2">
      <c r="A19941" s="3" t="str">
        <f>IFERROR(__xludf.DUMMYFUNCTION("GOOGLETRANSLATE(A19941,""en"",""pt"")"),"É preciso um pouco de tempo para configurar.")</f>
        <v>É preciso um pouco de tempo para configurar.</v>
      </c>
      <c r="B19941" s="3">
        <v>0</v>
      </c>
    </row>
    <row r="19942" ht="15.75" customHeight="1" spans="1:2">
      <c r="A19942" s="3" t="str">
        <f>IFERROR(__xludf.DUMMYFUNCTION("GOOGLETRANSLATE(A19942,""en"",""pt"")"),"O único problema que tive foi tentar obtê-lo para imprimir cheques do Quicken.")</f>
        <v>O único problema que tive foi tentar obtê-lo para imprimir cheques do Quicken.</v>
      </c>
      <c r="B19942" s="3">
        <v>0</v>
      </c>
    </row>
    <row r="19943" ht="15.75" customHeight="1" spans="1:2">
      <c r="A19943" s="3" t="str">
        <f>IFERROR(__xludf.DUMMYFUNCTION("GOOGLETRANSLATE(A19943,""en"",""pt"")"),"Fotos usar um monte de tinta, um pouco barulhento, não o mais rápido")</f>
        <v>Fotos usar um monte de tinta, um pouco barulhento, não o mais rápido</v>
      </c>
      <c r="B19943" s="3">
        <v>0</v>
      </c>
    </row>
    <row r="19944" ht="15.75" customHeight="1" spans="1:2">
      <c r="A19944" s="3" t="str">
        <f>IFERROR(__xludf.DUMMYFUNCTION("GOOGLETRANSLATE(A19944,""en"",""pt"")"),"Faz barulhos de carga inábil ao inserir papel e ligá-lo.")</f>
        <v>Faz barulhos de carga inábil ao inserir papel e ligá-lo.</v>
      </c>
      <c r="B19944" s="3">
        <v>0</v>
      </c>
    </row>
    <row r="19945" ht="15.75" customHeight="1" spans="1:2">
      <c r="A19945" s="3" t="str">
        <f>IFERROR(__xludf.DUMMYFUNCTION("GOOGLETRANSLATE(A19945,""en"",""pt"")"),"alto")</f>
        <v>alto</v>
      </c>
      <c r="B19945" s="3">
        <v>0</v>
      </c>
    </row>
    <row r="19946" ht="15.75" customHeight="1" spans="1:2">
      <c r="A19946" s="3" t="str">
        <f>IFERROR(__xludf.DUMMYFUNCTION("GOOGLETRANSLATE(A19946,""en"",""pt"")"),"Maneira muito alta.")</f>
        <v>Maneira muito alta.</v>
      </c>
      <c r="B19946" s="3">
        <v>0</v>
      </c>
    </row>
    <row r="19947" ht="15.75" customHeight="1" spans="1:2">
      <c r="A19947" s="3" t="str">
        <f>IFERROR(__xludf.DUMMYFUNCTION("GOOGLETRANSLATE(A19947,""en"",""pt"")"),"Treme muito, faz muito barulho. Toma-se a quantidade de tinta.")</f>
        <v>Treme muito, faz muito barulho. Toma-se a quantidade de tinta.</v>
      </c>
      <c r="B19947" s="3">
        <v>0</v>
      </c>
    </row>
    <row r="19948" ht="15.75" customHeight="1" spans="1:2">
      <c r="A19948" s="3" t="str">
        <f>IFERROR(__xludf.DUMMYFUNCTION("GOOGLETRANSLATE(A19948,""en"",""pt"")"),"Tem que comprar um cabo paralelo ou USB,")</f>
        <v>Tem que comprar um cabo paralelo ou USB,</v>
      </c>
      <c r="B19948" s="3">
        <v>0</v>
      </c>
    </row>
    <row r="19949" ht="15.75" customHeight="1" spans="1:2">
      <c r="A19949" s="3" t="str">
        <f>IFERROR(__xludf.DUMMYFUNCTION("GOOGLETRANSLATE(A19949,""en"",""pt"")"),"Sobre o lado ruidoso")</f>
        <v>Sobre o lado ruidoso</v>
      </c>
      <c r="B19949" s="3">
        <v>0</v>
      </c>
    </row>
    <row r="19950" ht="15.75" customHeight="1" spans="1:2">
      <c r="A19950" s="3" t="str">
        <f>IFERROR(__xludf.DUMMYFUNCTION("GOOGLETRANSLATE(A19950,""en"",""pt"")"),"Nenhum significativa")</f>
        <v>Nenhum significativa</v>
      </c>
      <c r="B19950" s="3">
        <v>0</v>
      </c>
    </row>
    <row r="19951" ht="15.75" customHeight="1" spans="1:2">
      <c r="A19951" s="3" t="str">
        <f>IFERROR(__xludf.DUMMYFUNCTION("GOOGLETRANSLATE(A19951,""en"",""pt"")"),"e velocidade de limpeza")</f>
        <v>e velocidade de limpeza</v>
      </c>
      <c r="B19951" s="3">
        <v>0</v>
      </c>
    </row>
    <row r="19952" ht="15.75" customHeight="1" spans="1:2">
      <c r="A19952" s="3" t="str">
        <f>IFERROR(__xludf.DUMMYFUNCTION("GOOGLETRANSLATE(A19952,""en"",""pt"")"),"Faz muito barulho durante o carregamento do papel, sem cabo paralelo")</f>
        <v>Faz muito barulho durante o carregamento do papel, sem cabo paralelo</v>
      </c>
      <c r="B19952" s="3">
        <v>0</v>
      </c>
    </row>
    <row r="19953" ht="15.75" customHeight="1" spans="1:2">
      <c r="A19953" s="3" t="str">
        <f>IFERROR(__xludf.DUMMYFUNCTION("GOOGLETRANSLATE(A19953,""en"",""pt"")"),"1º de impressora morreu de uma doença mistério! (Leia)")</f>
        <v>1º de impressora morreu de uma doença mistério! (Leia)</v>
      </c>
      <c r="B19953" s="3">
        <v>0</v>
      </c>
    </row>
    <row r="19954" ht="15.75" customHeight="1" spans="1:2">
      <c r="A19954" s="3" t="str">
        <f>IFERROR(__xludf.DUMMYFUNCTION("GOOGLETRANSLATE(A19954,""en"",""pt"")"),"usa muita tinta caro")</f>
        <v>usa muita tinta caro</v>
      </c>
      <c r="B19954" s="3">
        <v>0</v>
      </c>
    </row>
    <row r="19955" ht="15.75" customHeight="1" spans="1:2">
      <c r="A19955" s="3" t="str">
        <f>IFERROR(__xludf.DUMMYFUNCTION("GOOGLETRANSLATE(A19955,""en"",""pt"")"),"Tem que comprar o cabo extra, imprimir qualidade poderia ser um pouco melhor, um pouco barulhento.")</f>
        <v>Tem que comprar o cabo extra, imprimir qualidade poderia ser um pouco melhor, um pouco barulhento.</v>
      </c>
      <c r="B19955" s="3">
        <v>0</v>
      </c>
    </row>
    <row r="19956" ht="15.75" customHeight="1" spans="1:2">
      <c r="A19956" s="3" t="str">
        <f>IFERROR(__xludf.DUMMYFUNCTION("GOOGLETRANSLATE(A19956,""en"",""pt"")"),"porco tinta, devorador de memória, um pouco barulhento")</f>
        <v>porco tinta, devorador de memória, um pouco barulhento</v>
      </c>
      <c r="B19956" s="3">
        <v>0</v>
      </c>
    </row>
    <row r="19957" ht="15.75" customHeight="1" spans="1:2">
      <c r="A19957" s="3" t="str">
        <f>IFERROR(__xludf.DUMMYFUNCTION("GOOGLETRANSLATE(A19957,""en"",""pt"")"),"Cartuchos caros com chip de anti-recarga.")</f>
        <v>Cartuchos caros com chip de anti-recarga.</v>
      </c>
      <c r="B19957" s="3">
        <v>0</v>
      </c>
    </row>
    <row r="19958" ht="15.75" customHeight="1" spans="1:2">
      <c r="A19958" s="3" t="str">
        <f>IFERROR(__xludf.DUMMYFUNCTION("GOOGLETRANSLATE(A19958,""en"",""pt"")"),"Imprimir cartas desbotada e distorcido tinta, preto é realmente cinza carvão.")</f>
        <v>Imprimir cartas desbotada e distorcido tinta, preto é realmente cinza carvão.</v>
      </c>
      <c r="B19958" s="3">
        <v>0</v>
      </c>
    </row>
    <row r="19959" ht="15.75" customHeight="1" spans="1:2">
      <c r="A19959" s="3" t="str">
        <f>IFERROR(__xludf.DUMMYFUNCTION("GOOGLETRANSLATE(A19959,""en"",""pt"")"),"Será que realmente precisa ser essa ampla?")</f>
        <v>Será que realmente precisa ser essa ampla?</v>
      </c>
      <c r="B19959" s="3">
        <v>0</v>
      </c>
    </row>
    <row r="19960" ht="15.75" customHeight="1" spans="1:2">
      <c r="A19960" s="3" t="str">
        <f>IFERROR(__xludf.DUMMYFUNCTION("GOOGLETRANSLATE(A19960,""en"",""pt"")"),"Volumoso, barulhento, às vezes não funciona")</f>
        <v>Volumoso, barulhento, às vezes não funciona</v>
      </c>
      <c r="B19960" s="3">
        <v>0</v>
      </c>
    </row>
    <row r="19961" ht="15.75" customHeight="1" spans="1:2">
      <c r="A19961" s="3" t="str">
        <f>IFERROR(__xludf.DUMMYFUNCTION("GOOGLETRANSLATE(A19961,""en"",""pt"")"),"Má qualidade de imagem, quebra facilmente")</f>
        <v>Má qualidade de imagem, quebra facilmente</v>
      </c>
      <c r="B19961" s="3">
        <v>0</v>
      </c>
    </row>
    <row r="19962" ht="15.75" customHeight="1" spans="1:2">
      <c r="A19962" s="3" t="str">
        <f>IFERROR(__xludf.DUMMYFUNCTION("GOOGLETRANSLATE(A19962,""en"",""pt"")"),"bastante barulhento")</f>
        <v>bastante barulhento</v>
      </c>
      <c r="B19962" s="3">
        <v>0</v>
      </c>
    </row>
    <row r="19963" ht="15.75" customHeight="1" spans="1:2">
      <c r="A19963" s="3" t="str">
        <f>IFERROR(__xludf.DUMMYFUNCTION("GOOGLETRANSLATE(A19963,""en"",""pt"")"),"um pouco alto")</f>
        <v>um pouco alto</v>
      </c>
      <c r="B19963" s="3">
        <v>0</v>
      </c>
    </row>
    <row r="19964" ht="15.75" customHeight="1" spans="1:2">
      <c r="A19964" s="3" t="str">
        <f>IFERROR(__xludf.DUMMYFUNCTION("GOOGLETRANSLATE(A19964,""en"",""pt"")"),"Tamanho, Noise")</f>
        <v>Tamanho, Noise</v>
      </c>
      <c r="B19964" s="3">
        <v>0</v>
      </c>
    </row>
    <row r="19965" ht="15.75" customHeight="1" spans="1:2">
      <c r="A19965" s="3" t="str">
        <f>IFERROR(__xludf.DUMMYFUNCTION("GOOGLETRANSLATE(A19965,""en"",""pt"")"),"confiabilidade TERRÍVEL, constantemente entupimento cabeças de impressão, custo tremendo tinta")</f>
        <v>confiabilidade TERRÍVEL, constantemente entupimento cabeças de impressão, custo tremendo tinta</v>
      </c>
      <c r="B19965" s="3">
        <v>0</v>
      </c>
    </row>
    <row r="19966" ht="15.75" customHeight="1" spans="1:2">
      <c r="A19966" s="3" t="str">
        <f>IFERROR(__xludf.DUMMYFUNCTION("GOOGLETRANSLATE(A19966,""en"",""pt"")"),"tempo alto e bom som para desligar e sobre.")</f>
        <v>tempo alto e bom som para desligar e sobre.</v>
      </c>
      <c r="B19966" s="3">
        <v>0</v>
      </c>
    </row>
    <row r="19967" ht="15.75" customHeight="1" spans="1:2">
      <c r="A19967" s="3" t="str">
        <f>IFERROR(__xludf.DUMMYFUNCTION("GOOGLETRANSLATE(A19967,""en"",""pt"")"),"Barulhento")</f>
        <v>Barulhento</v>
      </c>
      <c r="B19967" s="3">
        <v>0</v>
      </c>
    </row>
    <row r="19968" ht="15.75" customHeight="1" spans="1:2">
      <c r="A19968" s="3" t="str">
        <f>IFERROR(__xludf.DUMMYFUNCTION("GOOGLETRANSLATE(A19968,""en"",""pt"")"),"pobres foto qualidade de impressão")</f>
        <v>pobres foto qualidade de impressão</v>
      </c>
      <c r="B19968" s="3">
        <v>0</v>
      </c>
    </row>
    <row r="19969" ht="15.75" customHeight="1" spans="1:2">
      <c r="A19969" s="3" t="str">
        <f>IFERROR(__xludf.DUMMYFUNCTION("GOOGLETRANSLATE(A19969,""en"",""pt"")"),"bebedor de tinta")</f>
        <v>bebedor de tinta</v>
      </c>
      <c r="B19969" s="3">
        <v>0</v>
      </c>
    </row>
    <row r="19970" ht="15.75" customHeight="1" spans="1:2">
      <c r="A19970" s="3" t="str">
        <f>IFERROR(__xludf.DUMMYFUNCTION("GOOGLETRANSLATE(A19970,""en"",""pt"")"),"Absolutamente nenhuma")</f>
        <v>Absolutamente nenhuma</v>
      </c>
      <c r="B19970" s="3">
        <v>0</v>
      </c>
    </row>
    <row r="19971" ht="15.75" customHeight="1" spans="1:2">
      <c r="A19971" s="3" t="str">
        <f>IFERROR(__xludf.DUMMYFUNCTION("GOOGLETRANSLATE(A19971,""en"",""pt"")"),"cartucho de tinta se esgota rapidamente e é caro")</f>
        <v>cartucho de tinta se esgota rapidamente e é caro</v>
      </c>
      <c r="B19971" s="3">
        <v>0</v>
      </c>
    </row>
    <row r="19972" ht="15.75" customHeight="1" spans="1:2">
      <c r="A19972" s="3" t="str">
        <f>IFERROR(__xludf.DUMMYFUNCTION("GOOGLETRANSLATE(A19972,""en"",""pt"")"),"frágil, tinta muito caros e precisam, necessita de limpeza do bico frequente, tem de ter todas as tintas não vazios")</f>
        <v>frágil, tinta muito caros e precisam, necessita de limpeza do bico frequente, tem de ter todas as tintas não vazios</v>
      </c>
      <c r="B19972" s="3">
        <v>0</v>
      </c>
    </row>
    <row r="19973" ht="15.75" customHeight="1" spans="1:2">
      <c r="A19973" s="3" t="str">
        <f>IFERROR(__xludf.DUMMYFUNCTION("GOOGLETRANSLATE(A19973,""en"",""pt"")"),"Cabeças precisam de limpeza cada vez que eu usá-lo, o desperdício de tinta., Atolamentos de papel.")</f>
        <v>Cabeças precisam de limpeza cada vez que eu usá-lo, o desperdício de tinta., Atolamentos de papel.</v>
      </c>
      <c r="B19973" s="3">
        <v>0</v>
      </c>
    </row>
    <row r="19974" ht="15.75" customHeight="1" spans="1:2">
      <c r="A19974" s="3" t="str">
        <f>IFERROR(__xludf.DUMMYFUNCTION("GOOGLETRANSLATE(A19974,""en"",""pt"")"),"limpa as cabeças de impressão muito, usa tinta")</f>
        <v>limpa as cabeças de impressão muito, usa tinta</v>
      </c>
      <c r="B19974" s="3">
        <v>0</v>
      </c>
    </row>
    <row r="19975" ht="15.75" customHeight="1" spans="1:2">
      <c r="A19975" s="3" t="str">
        <f>IFERROR(__xludf.DUMMYFUNCTION("GOOGLETRANSLATE(A19975,""en"",""pt"")"),"Barulhento, um pouco grande")</f>
        <v>Barulhento, um pouco grande</v>
      </c>
      <c r="B19975" s="3">
        <v>0</v>
      </c>
    </row>
    <row r="19976" ht="15.75" customHeight="1" spans="1:2">
      <c r="A19976" s="3" t="str">
        <f>IFERROR(__xludf.DUMMYFUNCTION("GOOGLETRANSLATE(A19976,""en"",""pt"")"),"Um pouco barulhento quando o papel é carregamento em impressora")</f>
        <v>Um pouco barulhento quando o papel é carregamento em impressora</v>
      </c>
      <c r="B19976" s="3">
        <v>0</v>
      </c>
    </row>
    <row r="19977" ht="15.75" customHeight="1" spans="1:2">
      <c r="A19977" s="3" t="str">
        <f>IFERROR(__xludf.DUMMYFUNCTION("GOOGLETRANSLATE(A19977,""en"",""pt"")"),"cartuchos lascados")</f>
        <v>cartuchos lascados</v>
      </c>
      <c r="B19977" s="3">
        <v>0</v>
      </c>
    </row>
    <row r="19978" ht="15.75" customHeight="1" spans="1:2">
      <c r="A19978" s="3" t="str">
        <f>IFERROR(__xludf.DUMMYFUNCTION("GOOGLETRANSLATE(A19978,""en"",""pt"")"),"Big, Noisey &amp; amp; Ink Thirsty")</f>
        <v>Big, Noisey &amp; amp; Ink Thirsty</v>
      </c>
      <c r="B19978" s="3">
        <v>0</v>
      </c>
    </row>
    <row r="19979" ht="15.75" customHeight="1" spans="1:2">
      <c r="A19979" s="3" t="str">
        <f>IFERROR(__xludf.DUMMYFUNCTION("GOOGLETRANSLATE(A19979,""en"",""pt"")"),"Imagem impressão não é grande em um presente. Os cartuchos também são muito caros!")</f>
        <v>Imagem impressão não é grande em um presente. Os cartuchos também são muito caros!</v>
      </c>
      <c r="B19979" s="3">
        <v>0</v>
      </c>
    </row>
    <row r="19980" ht="15.75" customHeight="1" spans="1:2">
      <c r="A19980" s="3" t="str">
        <f>IFERROR(__xludf.DUMMYFUNCTION("GOOGLETRANSLATE(A19980,""en"",""pt"")"),"Às vezes lento para começar a imprimir como ciclos da impressora através de cartuchos.")</f>
        <v>Às vezes lento para começar a imprimir como ciclos da impressora através de cartuchos.</v>
      </c>
      <c r="B19980" s="3">
        <v>0</v>
      </c>
    </row>
    <row r="19981" ht="15.75" customHeight="1" spans="1:2">
      <c r="A19981" s="3" t="str">
        <f>IFERROR(__xludf.DUMMYFUNCTION("GOOGLETRANSLATE(A19981,""en"",""pt"")"),"Como a maioria das impressoras, em páginas de ar mais quentes se agregam ao alimentar em")</f>
        <v>Como a maioria das impressoras, em páginas de ar mais quentes se agregam ao alimentar em</v>
      </c>
      <c r="B19981" s="3">
        <v>0</v>
      </c>
    </row>
    <row r="19982" ht="15.75" customHeight="1" spans="1:2">
      <c r="A19982" s="3" t="str">
        <f>IFERROR(__xludf.DUMMYFUNCTION("GOOGLETRANSLATE(A19982,""en"",""pt"")"),"problemas com encravamento de papel e de alimentação de papel")</f>
        <v>problemas com encravamento de papel e de alimentação de papel</v>
      </c>
      <c r="B19982" s="3">
        <v>0</v>
      </c>
    </row>
    <row r="19983" ht="15.75" customHeight="1" spans="1:2">
      <c r="A19983" s="3" t="str">
        <f>IFERROR(__xludf.DUMMYFUNCTION("GOOGLETRANSLATE(A19983,""en"",""pt"")"),"A tinta é consumida muito rápido, teve alguns problemas de papel alimentar")</f>
        <v>A tinta é consumida muito rápido, teve alguns problemas de papel alimentar</v>
      </c>
      <c r="B19983" s="3">
        <v>0</v>
      </c>
    </row>
    <row r="19984" ht="15.75" customHeight="1" spans="1:2">
      <c r="A19984" s="3" t="str">
        <f>IFERROR(__xludf.DUMMYFUNCTION("GOOGLETRANSLATE(A19984,""en"",""pt"")"),"Ink dura apenas um mês, a má qualidade de impressão de imagem, cartuchos caros, nenhum cabo incluído")</f>
        <v>Ink dura apenas um mês, a má qualidade de impressão de imagem, cartuchos caros, nenhum cabo incluído</v>
      </c>
      <c r="B19984" s="3">
        <v>0</v>
      </c>
    </row>
    <row r="19985" ht="15.75" customHeight="1" spans="1:2">
      <c r="A19985" s="3" t="str">
        <f>IFERROR(__xludf.DUMMYFUNCTION("GOOGLETRANSLATE(A19985,""en"",""pt"")"),"Mais lento do que as impressoras fotográficas e não pode fazer de ponta para impressão borda.")</f>
        <v>Mais lento do que as impressoras fotográficas e não pode fazer de ponta para impressão borda.</v>
      </c>
      <c r="B19985" s="3">
        <v>0</v>
      </c>
    </row>
    <row r="19986" ht="15.75" customHeight="1" spans="1:2">
      <c r="A19986" s="3" t="str">
        <f>IFERROR(__xludf.DUMMYFUNCTION("GOOGLETRANSLATE(A19986,""en"",""pt"")"),"não ótimo para fotografias fotos")</f>
        <v>não ótimo para fotografias fotos</v>
      </c>
      <c r="B19986" s="3">
        <v>0</v>
      </c>
    </row>
    <row r="19987" ht="15.75" customHeight="1" spans="1:2">
      <c r="A19987" s="3" t="str">
        <f>IFERROR(__xludf.DUMMYFUNCTION("GOOGLETRANSLATE(A19987,""en"",""pt"")"),"um pouco barulhento")</f>
        <v>um pouco barulhento</v>
      </c>
      <c r="B19987" s="3">
        <v>0</v>
      </c>
    </row>
    <row r="19988" ht="15.75" customHeight="1" spans="1:2">
      <c r="A19988" s="3" t="str">
        <f>IFERROR(__xludf.DUMMYFUNCTION("GOOGLETRANSLATE(A19988,""en"",""pt"")"),"Torneamento barulhento ligado e desligado.")</f>
        <v>Torneamento barulhento ligado e desligado.</v>
      </c>
      <c r="B19988" s="3">
        <v>0</v>
      </c>
    </row>
    <row r="19989" ht="15.75" customHeight="1" spans="1:2">
      <c r="A19989" s="3" t="str">
        <f>IFERROR(__xludf.DUMMYFUNCTION("GOOGLETRANSLATE(A19989,""en"",""pt"")"),"nada até agora")</f>
        <v>nada até agora</v>
      </c>
      <c r="B19989" s="3">
        <v>0</v>
      </c>
    </row>
    <row r="19990" ht="15.75" customHeight="1" spans="1:2">
      <c r="A19990" s="3" t="str">
        <f>IFERROR(__xludf.DUMMYFUNCTION("GOOGLETRANSLATE(A19990,""en"",""pt"")"),"Sistema de cartuchos de tinta 2, o custo de tinta")</f>
        <v>Sistema de cartuchos de tinta 2, o custo de tinta</v>
      </c>
      <c r="B19990" s="3">
        <v>0</v>
      </c>
    </row>
    <row r="19991" ht="15.75" customHeight="1" spans="1:2">
      <c r="A19991" s="3" t="str">
        <f>IFERROR(__xludf.DUMMYFUNCTION("GOOGLETRANSLATE(A19991,""en"",""pt"")"),"atolamentos de papel, barulhento, passa por tinta muito rápido.")</f>
        <v>atolamentos de papel, barulhento, passa por tinta muito rápido.</v>
      </c>
      <c r="B19991" s="3">
        <v>0</v>
      </c>
    </row>
    <row r="19992" ht="15.75" customHeight="1" spans="1:2">
      <c r="A19992" s="3" t="str">
        <f>IFERROR(__xludf.DUMMYFUNCTION("GOOGLETRANSLATE(A19992,""en"",""pt"")"),"Um pouco lento")</f>
        <v>Um pouco lento</v>
      </c>
      <c r="B19992" s="3">
        <v>0</v>
      </c>
    </row>
    <row r="19993" ht="15.75" customHeight="1" spans="1:2">
      <c r="A19993" s="3" t="str">
        <f>IFERROR(__xludf.DUMMYFUNCTION("GOOGLETRANSLATE(A19993,""en"",""pt"")"),"SLOW, alto, não puxa papel bem, terrível qualidade de imagem")</f>
        <v>SLOW, alto, não puxa papel bem, terrível qualidade de imagem</v>
      </c>
      <c r="B19993" s="3">
        <v>0</v>
      </c>
    </row>
    <row r="19994" ht="15.75" customHeight="1" spans="1:2">
      <c r="A19994" s="3" t="str">
        <f>IFERROR(__xludf.DUMMYFUNCTION("GOOGLETRANSLATE(A19994,""en"",""pt"")"),"Capacidade de papel pequeno, capacidade de tinta pequeno, lento, cabeça de impressão construído para impressão")</f>
        <v>Capacidade de papel pequeno, capacidade de tinta pequeno, lento, cabeça de impressão construído para impressão</v>
      </c>
      <c r="B19994" s="3">
        <v>0</v>
      </c>
    </row>
    <row r="19995" ht="15.75" customHeight="1" spans="1:2">
      <c r="A19995" s="3" t="str">
        <f>IFERROR(__xludf.DUMMYFUNCTION("GOOGLETRANSLATE(A19995,""en"",""pt"")"),"grande pegada")</f>
        <v>grande pegada</v>
      </c>
      <c r="B19995" s="3">
        <v>0</v>
      </c>
    </row>
    <row r="19996" ht="15.75" customHeight="1" spans="1:2">
      <c r="A19996" s="3" t="str">
        <f>IFERROR(__xludf.DUMMYFUNCTION("GOOGLETRANSLATE(A19996,""en"",""pt"")"),"Não vem com um cabo, por vezes, a tinta não seque corretamente em papel fotográfico")</f>
        <v>Não vem com um cabo, por vezes, a tinta não seque corretamente em papel fotográfico</v>
      </c>
      <c r="B19996" s="3">
        <v>0</v>
      </c>
    </row>
    <row r="19997" ht="15.75" customHeight="1" spans="1:2">
      <c r="A19997" s="3" t="str">
        <f>IFERROR(__xludf.DUMMYFUNCTION("GOOGLETRANSLATE(A19997,""en"",""pt"")"),"Tipo de grande e desajeitado olhando. carregamento de papel barulhento.")</f>
        <v>Tipo de grande e desajeitado olhando. carregamento de papel barulhento.</v>
      </c>
      <c r="B19997" s="3">
        <v>0</v>
      </c>
    </row>
    <row r="19998" ht="15.75" customHeight="1" spans="1:2">
      <c r="A19998" s="3" t="str">
        <f>IFERROR(__xludf.DUMMYFUNCTION("GOOGLETRANSLATE(A19998,""en"",""pt"")"),"Suga tinta como Dracula suga o sangue.")</f>
        <v>Suga tinta como Dracula suga o sangue.</v>
      </c>
      <c r="B19998" s="3">
        <v>0</v>
      </c>
    </row>
    <row r="19999" ht="15.75" customHeight="1" spans="1:2">
      <c r="A19999" s="3" t="str">
        <f>IFERROR(__xludf.DUMMYFUNCTION("GOOGLETRANSLATE(A19999,""en"",""pt"")"),"Lento em modos mais elevados de qualidade, barulhento quando colocar papel, muito lento para iniciar a impressão.")</f>
        <v>Lento em modos mais elevados de qualidade, barulhento quando colocar papel, muito lento para iniciar a impressão.</v>
      </c>
      <c r="B19999" s="3">
        <v>0</v>
      </c>
    </row>
    <row r="20000" ht="15.75" customHeight="1" spans="1:2">
      <c r="A20000" s="3" t="str">
        <f>IFERROR(__xludf.DUMMYFUNCTION("GOOGLETRANSLATE(A20000,""en"",""pt"")"),"bandeja de alimentação de alta, pegada bastante grande")</f>
        <v>bandeja de alimentação de alta, pegada bastante grande</v>
      </c>
      <c r="B20000" s="3">
        <v>0</v>
      </c>
    </row>
    <row r="20001" ht="15.75" customHeight="1" spans="1:2">
      <c r="A20001" s="3" t="str">
        <f>IFERROR(__xludf.DUMMYFUNCTION("GOOGLETRANSLATE(A20001,""en"",""pt"")"),"Passa por um ciclo tipo de limpeza cada vez que você ligá-lo.")</f>
        <v>Passa por um ciclo tipo de limpeza cada vez que você ligá-lo.</v>
      </c>
      <c r="B20001" s="3">
        <v>0</v>
      </c>
    </row>
    <row r="20002" ht="15.75" customHeight="1" spans="1:2">
      <c r="A20002" s="3" t="str">
        <f>IFERROR(__xludf.DUMMYFUNCTION("GOOGLETRANSLATE(A20002,""en"",""pt"")"),"Nenhum Notável")</f>
        <v>Nenhum Notável</v>
      </c>
      <c r="B20002" s="3">
        <v>0</v>
      </c>
    </row>
    <row r="20003" ht="15.75" customHeight="1" spans="1:2">
      <c r="A20003" s="3" t="str">
        <f>IFERROR(__xludf.DUMMYFUNCTION("GOOGLETRANSLATE(A20003,""en"",""pt"")"),"grande bebedor tinta barulhento :(")</f>
        <v>grande bebedor tinta barulhento :(</v>
      </c>
      <c r="B20003" s="3">
        <v>0</v>
      </c>
    </row>
    <row r="20004" ht="15.75" customHeight="1" spans="1:2">
      <c r="A20004" s="3" t="str">
        <f>IFERROR(__xludf.DUMMYFUNCTION("GOOGLETRANSLATE(A20004,""en"",""pt"")"),"Nenhum")</f>
        <v>Nenhum</v>
      </c>
      <c r="B20004" s="3">
        <v>0</v>
      </c>
    </row>
    <row r="20005" ht="15.75" customHeight="1" spans="1:2">
      <c r="A20005" s="3" t="str">
        <f>IFERROR(__xludf.DUMMYFUNCTION("GOOGLETRANSLATE(A20005,""en"",""pt"")"),"é enorme!!! Limitações sobre os tipos de papel")</f>
        <v>é enorme!!! Limitações sobre os tipos de papel</v>
      </c>
      <c r="B20005" s="3">
        <v>0</v>
      </c>
    </row>
    <row r="20006" ht="15.75" customHeight="1" spans="1:2">
      <c r="A20006" s="3" t="str">
        <f>IFERROR(__xludf.DUMMYFUNCTION("GOOGLETRANSLATE(A20006,""en"",""pt"")"),"Requer muito ajustando para obter qualidade desejada.")</f>
        <v>Requer muito ajustando para obter qualidade desejada.</v>
      </c>
      <c r="B20006" s="3">
        <v>0</v>
      </c>
    </row>
    <row r="20007" ht="15.75" customHeight="1" spans="1:2">
      <c r="A20007" s="3" t="str">
        <f>IFERROR(__xludf.DUMMYFUNCTION("GOOGLETRANSLATE(A20007,""en"",""pt"")"),"software de monitoramento de tinta não tão preciso quanto poderia ser")</f>
        <v>software de monitoramento de tinta não tão preciso quanto poderia ser</v>
      </c>
      <c r="B20007" s="3">
        <v>0</v>
      </c>
    </row>
    <row r="20008" ht="15.75" customHeight="1" spans="1:2">
      <c r="A20008" s="3" t="str">
        <f>IFERROR(__xludf.DUMMYFUNCTION("GOOGLETRANSLATE(A20008,""en"",""pt"")"),"Ruidoso, grande pegada, elevada utilização da tinta")</f>
        <v>Ruidoso, grande pegada, elevada utilização da tinta</v>
      </c>
      <c r="B20008" s="3">
        <v>0</v>
      </c>
    </row>
    <row r="20009" ht="15.75" customHeight="1" spans="1:2">
      <c r="A20009" s="3" t="str">
        <f>IFERROR(__xludf.DUMMYFUNCTION("GOOGLETRANSLATE(A20009,""en"",""pt"")"),"Desejo que eu tinha antes!")</f>
        <v>Desejo que eu tinha antes!</v>
      </c>
      <c r="B20009" s="3">
        <v>0</v>
      </c>
    </row>
    <row r="20010" ht="15.75" customHeight="1" spans="1:2">
      <c r="A20010" s="3" t="str">
        <f>IFERROR(__xludf.DUMMYFUNCTION("GOOGLETRANSLATE(A20010,""en"",""pt"")"),"A impressora utiliza a tinta muito rapidamente")</f>
        <v>A impressora utiliza a tinta muito rapidamente</v>
      </c>
      <c r="B20010" s="3">
        <v>0</v>
      </c>
    </row>
    <row r="20011" ht="15.75" customHeight="1" spans="1:2">
      <c r="A20011" s="3" t="str">
        <f>IFERROR(__xludf.DUMMYFUNCTION("GOOGLETRANSLATE(A20011,""en"",""pt"")"),"cor pobres, especialmente fotos.")</f>
        <v>cor pobres, especialmente fotos.</v>
      </c>
      <c r="B20011" s="3">
        <v>0</v>
      </c>
    </row>
    <row r="20012" ht="15.75" customHeight="1" spans="1:2">
      <c r="A20012" s="3" t="str">
        <f>IFERROR(__xludf.DUMMYFUNCTION("GOOGLETRANSLATE(A20012,""en"",""pt"")"),"Tipo de Big, nenhum outro.")</f>
        <v>Tipo de Big, nenhum outro.</v>
      </c>
      <c r="B20012" s="3">
        <v>0</v>
      </c>
    </row>
    <row r="20013" ht="15.75" customHeight="1" spans="1:2">
      <c r="A20013" s="3" t="str">
        <f>IFERROR(__xludf.DUMMYFUNCTION("GOOGLETRANSLATE(A20013,""en"",""pt"")"),"loader papel Loud, papel cai.")</f>
        <v>loader papel Loud, papel cai.</v>
      </c>
      <c r="B20013" s="3">
        <v>0</v>
      </c>
    </row>
    <row r="20014" ht="15.75" customHeight="1" spans="1:2">
      <c r="A20014" s="3" t="str">
        <f>IFERROR(__xludf.DUMMYFUNCTION("GOOGLETRANSLATE(A20014,""en"",""pt"")"),"Caro para executar!")</f>
        <v>Caro para executar!</v>
      </c>
      <c r="B20014" s="3">
        <v>0</v>
      </c>
    </row>
    <row r="20015" ht="15.75" customHeight="1" spans="1:2">
      <c r="A20015" s="3" t="str">
        <f>IFERROR(__xludf.DUMMYFUNCTION("GOOGLETRANSLATE(A20015,""en"",""pt"")"),"Cabeças entupidos e fora do alinhamento; má experiência de seis meses. após a compra")</f>
        <v>Cabeças entupidos e fora do alinhamento; má experiência de seis meses. após a compra</v>
      </c>
      <c r="B20015" s="3">
        <v>0</v>
      </c>
    </row>
    <row r="20016" ht="15.75" customHeight="1" spans="1:2">
      <c r="A20016" s="3" t="str">
        <f>IFERROR(__xludf.DUMMYFUNCTION("GOOGLETRANSLATE(A20016,""en"",""pt"")"),"Cada cor é Individual")</f>
        <v>Cada cor é Individual</v>
      </c>
      <c r="B20016" s="3">
        <v>0</v>
      </c>
    </row>
    <row r="20017" ht="15.75" customHeight="1" spans="1:2">
      <c r="A20017" s="3" t="str">
        <f>IFERROR(__xludf.DUMMYFUNCTION("GOOGLETRANSLATE(A20017,""en"",""pt"")"),"Nenhum!")</f>
        <v>Nenhum!</v>
      </c>
      <c r="B20017" s="3">
        <v>0</v>
      </c>
    </row>
    <row r="20018" ht="15.75" customHeight="1" spans="1:2">
      <c r="A20018" s="3" t="str">
        <f>IFERROR(__xludf.DUMMYFUNCTION("GOOGLETRANSLATE(A20018,""en"",""pt"")"),"a qualidade do texto é menor do que excepcional, alto, bastante volumosos")</f>
        <v>a qualidade do texto é menor do que excepcional, alto, bastante volumosos</v>
      </c>
      <c r="B20018" s="3">
        <v>0</v>
      </c>
    </row>
    <row r="20019" ht="15.75" customHeight="1" spans="1:2">
      <c r="A20019" s="3" t="str">
        <f>IFERROR(__xludf.DUMMYFUNCTION("GOOGLETRANSLATE(A20019,""en"",""pt"")"),"Resíduos de tinta cada vez que você ligá-lo")</f>
        <v>Resíduos de tinta cada vez que você ligá-lo</v>
      </c>
      <c r="B20019" s="3">
        <v>0</v>
      </c>
    </row>
    <row r="20020" ht="15.75" customHeight="1" spans="1:2">
      <c r="A20020" s="3" t="str">
        <f>IFERROR(__xludf.DUMMYFUNCTION("GOOGLETRANSLATE(A20020,""en"",""pt"")"),"Grande pegada; agarra o papel em voz alta; sacode a mesa durante a impressão (!)")</f>
        <v>Grande pegada; agarra o papel em voz alta; sacode a mesa durante a impressão (!)</v>
      </c>
      <c r="B20020" s="3">
        <v>0</v>
      </c>
    </row>
    <row r="20021" ht="15.75" customHeight="1" spans="1:2">
      <c r="A20021" s="3" t="str">
        <f>IFERROR(__xludf.DUMMYFUNCTION("GOOGLETRANSLATE(A20021,""en"",""pt"")"),"Teve que usar até 2 cartuchos inteiros antes que ele parou de imprimir com bandas")</f>
        <v>Teve que usar até 2 cartuchos inteiros antes que ele parou de imprimir com bandas</v>
      </c>
      <c r="B20021" s="3">
        <v>0</v>
      </c>
    </row>
    <row r="20022" ht="15.75" customHeight="1" spans="1:2">
      <c r="A20022" s="3" t="str">
        <f>IFERROR(__xludf.DUMMYFUNCTION("GOOGLETRANSLATE(A20022,""en"",""pt"")"),"Um pouco alto, mas vale a pena.")</f>
        <v>Um pouco alto, mas vale a pena.</v>
      </c>
      <c r="B20022" s="3">
        <v>0</v>
      </c>
    </row>
    <row r="20023" ht="15.75" customHeight="1" spans="1:2">
      <c r="A20023" s="3" t="str">
        <f>IFERROR(__xludf.DUMMYFUNCTION("GOOGLETRANSLATE(A20023,""en"",""pt"")"),"Grande pegada - 18"" por 18"" a extensão mínima.")</f>
        <v>Grande pegada - 18" por 18" a extensão mínima.</v>
      </c>
      <c r="B20023" s="3">
        <v>0</v>
      </c>
    </row>
    <row r="20024" ht="15.75" customHeight="1" spans="1:2">
      <c r="A20024" s="3" t="str">
        <f>IFERROR(__xludf.DUMMYFUNCTION("GOOGLETRANSLATE(A20024,""en"",""pt"")"),"custo do cartucho")</f>
        <v>custo do cartucho</v>
      </c>
      <c r="B20024" s="3">
        <v>0</v>
      </c>
    </row>
    <row r="20025" ht="15.75" customHeight="1" spans="1:2">
      <c r="A20025" s="3" t="str">
        <f>IFERROR(__xludf.DUMMYFUNCTION("GOOGLETRANSLATE(A20025,""en"",""pt"")"),"Custo de cartuchos de impressora da marca Epson")</f>
        <v>Custo de cartuchos de impressora da marca Epson</v>
      </c>
      <c r="B20025" s="3">
        <v>0</v>
      </c>
    </row>
    <row r="20026" ht="15.75" customHeight="1" spans="1:2">
      <c r="A20026" s="3" t="str">
        <f>IFERROR(__xludf.DUMMYFUNCTION("GOOGLETRANSLATE(A20026,""en"",""pt"")"),"Ink Custos &amp; amp; Ligeiramente fora lavada Prints")</f>
        <v>Ink Custos &amp; amp; Ligeiramente fora lavada Prints</v>
      </c>
      <c r="B20026" s="3">
        <v>0</v>
      </c>
    </row>
    <row r="20027" ht="15.75" customHeight="1" spans="1:2">
      <c r="A20027" s="3" t="str">
        <f>IFERROR(__xludf.DUMMYFUNCTION("GOOGLETRANSLATE(A20027,""en"",""pt"")"),"xp questões - correções ineficazes - quase voltou a impressora. (feliz agora)")</f>
        <v>xp questões - correções ineficazes - quase voltou a impressora. (feliz agora)</v>
      </c>
      <c r="B20027" s="3">
        <v>0</v>
      </c>
    </row>
    <row r="20028" ht="15.75" customHeight="1" spans="1:2">
      <c r="A20028" s="3" t="str">
        <f>IFERROR(__xludf.DUMMYFUNCTION("GOOGLETRANSLATE(A20028,""en"",""pt"")"),"Ainda um jato de tinta")</f>
        <v>Ainda um jato de tinta</v>
      </c>
      <c r="B20028" s="3">
        <v>0</v>
      </c>
    </row>
    <row r="20029" ht="15.75" customHeight="1" spans="1:2">
      <c r="A20029" s="3" t="str">
        <f>IFERROR(__xludf.DUMMYFUNCTION("GOOGLETRANSLATE(A20029,""en"",""pt"")"),"Cabeças de impressão tornar-se facilmente suja; rapidamente, Consumíveis incrivelmente caro")</f>
        <v>Cabeças de impressão tornar-se facilmente suja; rapidamente, Consumíveis incrivelmente caro</v>
      </c>
      <c r="B20029" s="3">
        <v>0</v>
      </c>
    </row>
    <row r="20030" ht="15.75" customHeight="1" spans="1:2">
      <c r="A20030" s="3" t="str">
        <f>IFERROR(__xludf.DUMMYFUNCTION("GOOGLETRANSLATE(A20030,""en"",""pt"")"),"Muito lento se usado em computador mais antigo, muito alto carregamento de papel.")</f>
        <v>Muito lento se usado em computador mais antigo, muito alto carregamento de papel.</v>
      </c>
      <c r="B20030" s="3">
        <v>0</v>
      </c>
    </row>
    <row r="20031" ht="15.75" customHeight="1" spans="1:2">
      <c r="A20031" s="3" t="str">
        <f>IFERROR(__xludf.DUMMYFUNCTION("GOOGLETRANSLATE(A20031,""en"",""pt"")"),"da tinta vai custar US $ 60 para todos.")</f>
        <v>da tinta vai custar US $ 60 para todos.</v>
      </c>
      <c r="B20031" s="3">
        <v>0</v>
      </c>
    </row>
    <row r="20032" ht="15.75" customHeight="1" spans="1:2">
      <c r="A20032" s="3" t="str">
        <f>IFERROR(__xludf.DUMMYFUNCTION("GOOGLETRANSLATE(A20032,""en"",""pt"")"),"impressão de fotos não sobrecarregar")</f>
        <v>impressão de fotos não sobrecarregar</v>
      </c>
      <c r="B20032" s="3">
        <v>0</v>
      </c>
    </row>
    <row r="20033" ht="15.75" customHeight="1" spans="1:2">
      <c r="A20033" s="3" t="str">
        <f>IFERROR(__xludf.DUMMYFUNCTION("GOOGLETRANSLATE(A20033,""en"",""pt"")"),"Muito má impressão fotográfico brilhante, desajeitado-olhando")</f>
        <v>Muito má impressão fotográfico brilhante, desajeitado-olhando</v>
      </c>
      <c r="B20033" s="3">
        <v>0</v>
      </c>
    </row>
    <row r="20034" ht="15.75" customHeight="1" spans="1:2">
      <c r="A20034" s="3" t="str">
        <f>IFERROR(__xludf.DUMMYFUNCTION("GOOGLETRANSLATE(A20034,""en"",""pt"")"),"Ink chega a ser caro, mas vale cada impressão.")</f>
        <v>Ink chega a ser caro, mas vale cada impressão.</v>
      </c>
      <c r="B20034" s="3">
        <v>0</v>
      </c>
    </row>
    <row r="20035" ht="15.75" customHeight="1" spans="1:2">
      <c r="A20035" s="3" t="str">
        <f>IFERROR(__xludf.DUMMYFUNCTION("GOOGLETRANSLATE(A20035,""en"",""pt"")"),"motoristas, a qualidade da tinta")</f>
        <v>motoristas, a qualidade da tinta</v>
      </c>
      <c r="B20035" s="3">
        <v>0</v>
      </c>
    </row>
    <row r="20036" ht="15.75" customHeight="1" spans="1:2">
      <c r="A20036" s="3" t="str">
        <f>IFERROR(__xludf.DUMMYFUNCTION("GOOGLETRANSLATE(A20036,""en"",""pt"")"),"Os altos custos de tinta, inicialização lenta, Re-calibra muitas vezes")</f>
        <v>Os altos custos de tinta, inicialização lenta, Re-calibra muitas vezes</v>
      </c>
      <c r="B20036" s="3">
        <v>0</v>
      </c>
    </row>
    <row r="20037" ht="15.75" customHeight="1" spans="1:2">
      <c r="A20037" s="3" t="str">
        <f>IFERROR(__xludf.DUMMYFUNCTION("GOOGLETRANSLATE(A20037,""en"",""pt"")"),"Meu Epson C80 não realizar por muito tempo - parar a impressão 6 meses após a garantia expirou.")</f>
        <v>Meu Epson C80 não realizar por muito tempo - parar a impressão 6 meses após a garantia expirou.</v>
      </c>
      <c r="B20037" s="3">
        <v>0</v>
      </c>
    </row>
    <row r="20038" ht="15.75" customHeight="1" spans="1:2">
      <c r="A20038" s="3" t="str">
        <f>IFERROR(__xludf.DUMMYFUNCTION("GOOGLETRANSLATE(A20038,""en"",""pt"")"),"Nada até agora")</f>
        <v>Nada até agora</v>
      </c>
      <c r="B20038" s="3">
        <v>0</v>
      </c>
    </row>
    <row r="20039" ht="15.75" customHeight="1" spans="1:2">
      <c r="A20039" s="3" t="str">
        <f>IFERROR(__xludf.DUMMYFUNCTION("GOOGLETRANSLATE(A20039,""en"",""pt"")"),"Big pegada, nenhum cabo incluído")</f>
        <v>Big pegada, nenhum cabo incluído</v>
      </c>
      <c r="B20039" s="3">
        <v>0</v>
      </c>
    </row>
    <row r="20040" ht="15.75" customHeight="1" spans="1:2">
      <c r="A20040" s="3" t="str">
        <f>IFERROR(__xludf.DUMMYFUNCTION("GOOGLETRANSLATE(A20040,""en"",""pt"")"),"Nenhum")</f>
        <v>Nenhum</v>
      </c>
      <c r="B20040" s="3">
        <v>0</v>
      </c>
    </row>
    <row r="20041" ht="15.75" customHeight="1" spans="1:2">
      <c r="A20041" s="3" t="str">
        <f>IFERROR(__xludf.DUMMYFUNCTION("GOOGLETRANSLATE(A20041,""en"",""pt"")"),"preço, design volumosos, motoristas hogging memória")</f>
        <v>preço, design volumosos, motoristas hogging memória</v>
      </c>
      <c r="B20041" s="3">
        <v>0</v>
      </c>
    </row>
    <row r="20042" ht="15.75" customHeight="1" spans="1:2">
      <c r="A20042" s="3" t="str">
        <f>IFERROR(__xludf.DUMMYFUNCTION("GOOGLETRANSLATE(A20042,""en"",""pt"")"),"nenhum cabo fornecido")</f>
        <v>nenhum cabo fornecido</v>
      </c>
      <c r="B20042" s="3">
        <v>0</v>
      </c>
    </row>
    <row r="20043" ht="15.75" customHeight="1" spans="1:2">
      <c r="A20043" s="3" t="str">
        <f>IFERROR(__xludf.DUMMYFUNCTION("GOOGLETRANSLATE(A20043,""en"",""pt"")"),"saída de texto não tão bom")</f>
        <v>saída de texto não tão bom</v>
      </c>
      <c r="B20043" s="3">
        <v>0</v>
      </c>
    </row>
    <row r="20044" ht="15.75" customHeight="1" spans="1:2">
      <c r="A20044" s="3" t="str">
        <f>IFERROR(__xludf.DUMMYFUNCTION("GOOGLETRANSLATE(A20044,""en"",""pt"")"),"1. slowwwwwww ---- &amp; amp; # 13; &amp; amp; # 10; 2. muitas janelas irritantes de diálogo --- &amp; amp; # 13; &amp; amp; # 10; 3. suga em uma rede")</f>
        <v>1. slowwwwwww ---- &amp; amp; # 13; &amp; amp; # 10; 2. muitas janelas irritantes de diálogo --- &amp; amp; # 13; &amp; amp; # 10; 3. suga em uma rede</v>
      </c>
      <c r="B20044" s="3">
        <v>0</v>
      </c>
    </row>
    <row r="20045" ht="15.75" customHeight="1" spans="1:2">
      <c r="A20045" s="3" t="str">
        <f>IFERROR(__xludf.DUMMYFUNCTION("GOOGLETRANSLATE(A20045,""en"",""pt"")"),"Clunks e lento no arranque inicial de impressão")</f>
        <v>Clunks e lento no arranque inicial de impressão</v>
      </c>
      <c r="B20045" s="3">
        <v>0</v>
      </c>
    </row>
    <row r="20046" ht="15.75" customHeight="1" spans="1:2">
      <c r="A20046" s="3" t="str">
        <f>IFERROR(__xludf.DUMMYFUNCTION("GOOGLETRANSLATE(A20046,""en"",""pt"")"),"cartuchos de tinta não duram muito tempo ... caro!")</f>
        <v>cartuchos de tinta não duram muito tempo ... caro!</v>
      </c>
      <c r="B20046" s="3">
        <v>0</v>
      </c>
    </row>
    <row r="20047" ht="15.75" customHeight="1" spans="1:2">
      <c r="A20047" s="3" t="str">
        <f>IFERROR(__xludf.DUMMYFUNCTION("GOOGLETRANSLATE(A20047,""en"",""pt"")"),"grande atuação")</f>
        <v>grande atuação</v>
      </c>
      <c r="B20047" s="3">
        <v>0</v>
      </c>
    </row>
    <row r="20048" ht="15.75" customHeight="1" spans="1:2">
      <c r="A20048" s="3" t="str">
        <f>IFERROR(__xludf.DUMMYFUNCTION("GOOGLETRANSLATE(A20048,""en"",""pt"")"),"Nenhum")</f>
        <v>Nenhum</v>
      </c>
      <c r="B20048" s="3">
        <v>0</v>
      </c>
    </row>
    <row r="20049" ht="15.75" customHeight="1" spans="1:2">
      <c r="A20049" s="3" t="str">
        <f>IFERROR(__xludf.DUMMYFUNCTION("GOOGLETRANSLATE(A20049,""en"",""pt"")"),"tintas pouco dispendiosos; sem suporte de impressão ou rolo de papel sem fronteiras")</f>
        <v>tintas pouco dispendiosos; sem suporte de impressão ou rolo de papel sem fronteiras</v>
      </c>
      <c r="B20049" s="3">
        <v>0</v>
      </c>
    </row>
    <row r="20050" ht="15.75" customHeight="1" spans="1:2">
      <c r="A20050" s="3" t="str">
        <f>IFERROR(__xludf.DUMMYFUNCTION("GOOGLETRANSLATE(A20050,""en"",""pt"")"),"Ink é caro! Um pouco grande, barulhento, mas não mais do que outros.")</f>
        <v>Ink é caro! Um pouco grande, barulhento, mas não mais do que outros.</v>
      </c>
      <c r="B20050" s="3">
        <v>0</v>
      </c>
    </row>
    <row r="20051" ht="15.75" customHeight="1" spans="1:2">
      <c r="A20051" s="3" t="str">
        <f>IFERROR(__xludf.DUMMYFUNCTION("GOOGLETRANSLATE(A20051,""en"",""pt"")"),"Não gosta .tif formatos. tamanho de papel pequeno. Chefes gostaria de entupir.")</f>
        <v>Não gosta .tif formatos. tamanho de papel pequeno. Chefes gostaria de entupir.</v>
      </c>
      <c r="B20051" s="3">
        <v>0</v>
      </c>
    </row>
    <row r="20052" ht="15.75" customHeight="1" spans="1:2">
      <c r="A20052" s="3" t="str">
        <f>IFERROR(__xludf.DUMMYFUNCTION("GOOGLETRANSLATE(A20052,""en"",""pt"")"),"Não tente recarregar cartuchos")</f>
        <v>Não tente recarregar cartuchos</v>
      </c>
      <c r="B20052" s="3">
        <v>0</v>
      </c>
    </row>
    <row r="20053" ht="15.75" customHeight="1" spans="1:2">
      <c r="A20053" s="3" t="str">
        <f>IFERROR(__xludf.DUMMYFUNCTION("GOOGLETRANSLATE(A20053,""en"",""pt"")"),"beberrão de tinta se desfaz após seis meses. Grande pegada, marginais habilidades de manuseio de papel.")</f>
        <v>beberrão de tinta se desfaz após seis meses. Grande pegada, marginais habilidades de manuseio de papel.</v>
      </c>
      <c r="B20053" s="3">
        <v>0</v>
      </c>
    </row>
    <row r="20054" ht="15.75" customHeight="1" spans="1:2">
      <c r="A20054" s="3" t="str">
        <f>IFERROR(__xludf.DUMMYFUNCTION("GOOGLETRANSLATE(A20054,""en"",""pt"")"),"limitada a 5 configurações de resolução")</f>
        <v>limitada a 5 configurações de resolução</v>
      </c>
      <c r="B20054" s="3">
        <v>0</v>
      </c>
    </row>
    <row r="20055" ht="15.75" customHeight="1" spans="1:2">
      <c r="A20055" s="3" t="str">
        <f>IFERROR(__xludf.DUMMYFUNCTION("GOOGLETRANSLATE(A20055,""en"",""pt"")"),"um lil barulhento")</f>
        <v>um lil barulhento</v>
      </c>
      <c r="B20055" s="3">
        <v>0</v>
      </c>
    </row>
    <row r="20056" ht="15.75" customHeight="1" spans="1:2">
      <c r="A20056" s="3" t="str">
        <f>IFERROR(__xludf.DUMMYFUNCTION("GOOGLETRANSLATE(A20056,""en"",""pt"")"),"Noisy, deve ser aberta na frente")</f>
        <v>Noisy, deve ser aberta na frente</v>
      </c>
      <c r="B20056" s="3">
        <v>0</v>
      </c>
    </row>
    <row r="20057" ht="15.75" customHeight="1" spans="1:2">
      <c r="A20057" s="3" t="str">
        <f>IFERROR(__xludf.DUMMYFUNCTION("GOOGLETRANSLATE(A20057,""en"",""pt"")"),"Alto custo de Cartucho de tinta preto, capacidade da bandeja de papel, o carregamento de papel alto")</f>
        <v>Alto custo de Cartucho de tinta preto, capacidade da bandeja de papel, o carregamento de papel alto</v>
      </c>
      <c r="B20057" s="3">
        <v>0</v>
      </c>
    </row>
    <row r="20058" ht="15.75" customHeight="1" spans="1:2">
      <c r="A20058" s="3" t="str">
        <f>IFERROR(__xludf.DUMMYFUNCTION("GOOGLETRANSLATE(A20058,""en"",""pt"")"),"alimentação de papel carga")</f>
        <v>alimentação de papel carga</v>
      </c>
      <c r="B20058" s="3">
        <v>0</v>
      </c>
    </row>
    <row r="20059" ht="15.75" customHeight="1" spans="1:2">
      <c r="A20059" s="3" t="str">
        <f>IFERROR(__xludf.DUMMYFUNCTION("GOOGLETRANSLATE(A20059,""en"",""pt"")"),"alimentador barulhento, grande bonita")</f>
        <v>alimentador barulhento, grande bonita</v>
      </c>
      <c r="B20059" s="3">
        <v>0</v>
      </c>
    </row>
    <row r="20060" ht="15.75" customHeight="1" spans="1:2">
      <c r="A20060" s="3" t="str">
        <f>IFERROR(__xludf.DUMMYFUNCTION("GOOGLETRANSLATE(A20060,""en"",""pt"")"),"Fotos, Cor é maçante, a tinta preta não é tão negro como HP de")</f>
        <v>Fotos, Cor é maçante, a tinta preta não é tão negro como HP de</v>
      </c>
      <c r="B20060" s="3">
        <v>0</v>
      </c>
    </row>
    <row r="20061" ht="15.75" customHeight="1" spans="1:2">
      <c r="A20061" s="3" t="str">
        <f>IFERROR(__xludf.DUMMYFUNCTION("GOOGLETRANSLATE(A20061,""en"",""pt"")"),"impressora é na maior tamanho, de alimentação de papel é alto e surpreendente")</f>
        <v>impressora é na maior tamanho, de alimentação de papel é alto e surpreendente</v>
      </c>
      <c r="B20061" s="3">
        <v>0</v>
      </c>
    </row>
    <row r="20062" ht="15.75" customHeight="1" spans="1:2">
      <c r="A20062" s="3" t="str">
        <f>IFERROR(__xludf.DUMMYFUNCTION("GOOGLETRANSLATE(A20062,""en"",""pt"")"),"Deve ser chamar DuraDull")</f>
        <v>Deve ser chamar DuraDull</v>
      </c>
      <c r="B20062" s="3">
        <v>0</v>
      </c>
    </row>
    <row r="20063" ht="15.75" customHeight="1" spans="1:2">
      <c r="A20063" s="3" t="str">
        <f>IFERROR(__xludf.DUMMYFUNCTION("GOOGLETRANSLATE(A20063,""en"",""pt"")"),"Alto!! Assusta meus gatos quando ele inicia.")</f>
        <v>Alto!! Assusta meus gatos quando ele inicia.</v>
      </c>
      <c r="B20063" s="3">
        <v>0</v>
      </c>
    </row>
    <row r="20064" ht="15.75" customHeight="1" spans="1:2">
      <c r="A20064" s="3" t="str">
        <f>IFERROR(__xludf.DUMMYFUNCTION("GOOGLETRANSLATE(A20064,""en"",""pt"")"),"de alimentação de papel barulhento")</f>
        <v>de alimentação de papel barulhento</v>
      </c>
      <c r="B20064" s="3">
        <v>0</v>
      </c>
    </row>
    <row r="20065" ht="15.75" customHeight="1" spans="1:2">
      <c r="A20065" s="3" t="str">
        <f>IFERROR(__xludf.DUMMYFUNCTION("GOOGLETRANSLATE(A20065,""en"",""pt"")"),"carregamento de papel ruidosos; fotos são maçantes, plana")</f>
        <v>carregamento de papel ruidosos; fotos são maçantes, plana</v>
      </c>
      <c r="B20065" s="3">
        <v>0</v>
      </c>
    </row>
    <row r="20066" ht="15.75" customHeight="1" spans="1:2">
      <c r="A20066" s="3" t="str">
        <f>IFERROR(__xludf.DUMMYFUNCTION("GOOGLETRANSLATE(A20066,""en"",""pt"")"),"Sem USB incluído, problema de software em primeiro lugar.")</f>
        <v>Sem USB incluído, problema de software em primeiro lugar.</v>
      </c>
      <c r="B20066" s="3">
        <v>0</v>
      </c>
    </row>
    <row r="20067" ht="15.75" customHeight="1" spans="1:2">
      <c r="A20067" s="3" t="str">
        <f>IFERROR(__xludf.DUMMYFUNCTION("GOOGLETRANSLATE(A20067,""en"",""pt"")"),"Fotos tem baixo contraste, saturação e brilho ,, Muito alimentação Noisy Papel")</f>
        <v>Fotos tem baixo contraste, saturação e brilho ,, Muito alimentação Noisy Papel</v>
      </c>
      <c r="B20067" s="3">
        <v>0</v>
      </c>
    </row>
    <row r="20068" ht="15.75" customHeight="1" spans="1:2">
      <c r="A20068" s="3" t="str">
        <f>IFERROR(__xludf.DUMMYFUNCTION("GOOGLETRANSLATE(A20068,""en"",""pt"")"),"2 unidades foi de barriga para cima ao longo de um período de 13 meses.")</f>
        <v>2 unidades foi de barriga para cima ao longo de um período de 13 meses.</v>
      </c>
      <c r="B20068" s="3">
        <v>0</v>
      </c>
    </row>
    <row r="20069" ht="15.75" customHeight="1" spans="1:2">
      <c r="A20069" s="3" t="str">
        <f>IFERROR(__xludf.DUMMYFUNCTION("GOOGLETRANSLATE(A20069,""en"",""pt"")"),"a alimentação do papel ligeiramente barulhento")</f>
        <v>a alimentação do papel ligeiramente barulhento</v>
      </c>
      <c r="B20069" s="3">
        <v>0</v>
      </c>
    </row>
    <row r="20070" ht="15.75" customHeight="1" spans="1:2">
      <c r="A20070" s="3" t="str">
        <f>IFERROR(__xludf.DUMMYFUNCTION("GOOGLETRANSLATE(A20070,""en"",""pt"")"),"- Não pode fazer Super impressões brilhantes, - Pobre seleção de papel fotográfico compatível.")</f>
        <v>- Não pode fazer Super impressões brilhantes, - Pobre seleção de papel fotográfico compatível.</v>
      </c>
      <c r="B20070" s="3">
        <v>0</v>
      </c>
    </row>
    <row r="20071" ht="15.75" customHeight="1" spans="1:2">
      <c r="A20071" s="3" t="str">
        <f>IFERROR(__xludf.DUMMYFUNCTION("GOOGLETRANSLATE(A20071,""en"",""pt"")"),"Loud, alimentador de papel lento para carregar, desajeitado")</f>
        <v>Loud, alimentador de papel lento para carregar, desajeitado</v>
      </c>
      <c r="B20071" s="3">
        <v>0</v>
      </c>
    </row>
    <row r="20072" ht="15.75" customHeight="1" spans="1:2">
      <c r="A20072" s="3" t="str">
        <f>IFERROR(__xludf.DUMMYFUNCTION("GOOGLETRANSLATE(A20072,""en"",""pt"")"),"Bebedor de tinta caro. Barulhento.")</f>
        <v>Bebedor de tinta caro. Barulhento.</v>
      </c>
      <c r="B20072" s="3">
        <v>0</v>
      </c>
    </row>
    <row r="20073" ht="15.75" customHeight="1" spans="1:2">
      <c r="A20073" s="3" t="str">
        <f>IFERROR(__xludf.DUMMYFUNCTION("GOOGLETRANSLATE(A20073,""en"",""pt"")"),"Cores interromper a impressão, cabeças entupir, nenhuma quantidade de limpeza irá desobstruir; impressões são então inaceitável")</f>
        <v>Cores interromper a impressão, cabeças entupir, nenhuma quantidade de limpeza irá desobstruir; impressões são então inaceitável</v>
      </c>
      <c r="B20073" s="3">
        <v>0</v>
      </c>
    </row>
    <row r="20074" ht="15.75" customHeight="1" spans="1:2">
      <c r="A20074" s="3" t="str">
        <f>IFERROR(__xludf.DUMMYFUNCTION("GOOGLETRANSLATE(A20074,""en"",""pt"")"),"encravamentos de papel, congela do controlador, o carregamento do cartucho de tinta difícil")</f>
        <v>encravamentos de papel, congela do controlador, o carregamento do cartucho de tinta difícil</v>
      </c>
      <c r="B20074" s="3">
        <v>0</v>
      </c>
    </row>
    <row r="20075" ht="15.75" customHeight="1" spans="1:2">
      <c r="A20075" s="3" t="str">
        <f>IFERROR(__xludf.DUMMYFUNCTION("GOOGLETRANSLATE(A20075,""en"",""pt"")"),"Não qualidade fotográfica, mas não muito ruim, não imprime o tamanho total maior")</f>
        <v>Não qualidade fotográfica, mas não muito ruim, não imprime o tamanho total maior</v>
      </c>
      <c r="B20075" s="3">
        <v>0</v>
      </c>
    </row>
    <row r="20076" ht="15.75" customHeight="1" spans="1:2">
      <c r="A20076" s="3" t="str">
        <f>IFERROR(__xludf.DUMMYFUNCTION("GOOGLETRANSLATE(A20076,""en"",""pt"")"),"Não confiáveis, imagens inutilizáveis ​​em momentos")</f>
        <v>Não confiáveis, imagens inutilizáveis ​​em momentos</v>
      </c>
      <c r="B20076" s="3">
        <v>0</v>
      </c>
    </row>
    <row r="20077" ht="15.75" customHeight="1" spans="1:2">
      <c r="A20077" s="3" t="str">
        <f>IFERROR(__xludf.DUMMYFUNCTION("GOOGLETRANSLATE(A20077,""en"",""pt"")"),"tamanho, preço e design")</f>
        <v>tamanho, preço e design</v>
      </c>
      <c r="B20077" s="3">
        <v>0</v>
      </c>
    </row>
    <row r="20078" ht="15.75" customHeight="1" spans="1:2">
      <c r="A20078" s="3" t="str">
        <f>IFERROR(__xludf.DUMMYFUNCTION("GOOGLETRANSLATE(A20078,""en"",""pt"")"),"problemas de alimentação de papel graves e crônicas")</f>
        <v>problemas de alimentação de papel graves e crônicas</v>
      </c>
      <c r="B20078" s="3">
        <v>0</v>
      </c>
    </row>
    <row r="20079" ht="15.75" customHeight="1" spans="1:2">
      <c r="A20079" s="3" t="str">
        <f>IFERROR(__xludf.DUMMYFUNCTION("GOOGLETRANSLATE(A20079,""en"",""pt"")"),"Um pouco barulhento")</f>
        <v>Um pouco barulhento</v>
      </c>
      <c r="B20079" s="3">
        <v>0</v>
      </c>
    </row>
    <row r="20080" ht="15.75" customHeight="1" spans="1:2">
      <c r="A20080" s="3" t="str">
        <f>IFERROR(__xludf.DUMMYFUNCTION("GOOGLETRANSLATE(A20080,""en"",""pt"")"),"HASSLE HASSLE problemas e mais problemas depois disso")</f>
        <v>HASSLE HASSLE problemas e mais problemas depois disso</v>
      </c>
      <c r="B20080" s="3">
        <v>0</v>
      </c>
    </row>
    <row r="20081" ht="15.75" customHeight="1" spans="1:2">
      <c r="A20081" s="3" t="str">
        <f>IFERROR(__xludf.DUMMYFUNCTION("GOOGLETRANSLATE(A20081,""en"",""pt"")"),"Grande em tamanho, barulhento, tinta é caro")</f>
        <v>Grande em tamanho, barulhento, tinta é caro</v>
      </c>
      <c r="B20081" s="3">
        <v>0</v>
      </c>
    </row>
    <row r="20082" ht="15.75" customHeight="1" spans="1:2">
      <c r="A20082" s="3" t="str">
        <f>IFERROR(__xludf.DUMMYFUNCTION("GOOGLETRANSLATE(A20082,""en"",""pt"")"),"Custo de cartuchos de impressão, tamanho, ruído, sem número gratuito para ligar para o serviço")</f>
        <v>Custo de cartuchos de impressão, tamanho, ruído, sem número gratuito para ligar para o serviço</v>
      </c>
      <c r="B20082" s="3">
        <v>0</v>
      </c>
    </row>
    <row r="20083" ht="15.75" customHeight="1" spans="1:2">
      <c r="A20083" s="3" t="str">
        <f>IFERROR(__xludf.DUMMYFUNCTION("GOOGLETRANSLATE(A20083,""en"",""pt"")"),"Pode comer cartuchos de tinta")</f>
        <v>Pode comer cartuchos de tinta</v>
      </c>
      <c r="B20083" s="3">
        <v>0</v>
      </c>
    </row>
    <row r="20084" ht="15.75" customHeight="1" spans="1:2">
      <c r="A20084" s="3" t="str">
        <f>IFERROR(__xludf.DUMMYFUNCTION("GOOGLETRANSLATE(A20084,""en"",""pt"")"),"carregamento de papel ruim, mau serviço ao cliente")</f>
        <v>carregamento de papel ruim, mau serviço ao cliente</v>
      </c>
      <c r="B20084" s="3">
        <v>0</v>
      </c>
    </row>
    <row r="20085" ht="15.75" customHeight="1" spans="1:2">
      <c r="A20085" s="3" t="s">
        <v>107</v>
      </c>
      <c r="B20085" s="3">
        <v>0</v>
      </c>
    </row>
    <row r="20086" ht="15.75" customHeight="1" spans="1:2">
      <c r="A20086" s="3" t="str">
        <f>IFERROR(__xludf.DUMMYFUNCTION("GOOGLETRANSLATE(A20086,""en"",""pt"")"),"não é bom para impressão de etiquetas")</f>
        <v>não é bom para impressão de etiquetas</v>
      </c>
      <c r="B20086" s="3">
        <v>0</v>
      </c>
    </row>
    <row r="20087" ht="15.75" customHeight="1" spans="1:2">
      <c r="A20087" s="3" t="str">
        <f>IFERROR(__xludf.DUMMYFUNCTION("GOOGLETRANSLATE(A20087,""en"",""pt"")"),"programação, impressão de imagens")</f>
        <v>programação, impressão de imagens</v>
      </c>
      <c r="B20087" s="3">
        <v>0</v>
      </c>
    </row>
    <row r="20088" ht="15.75" customHeight="1" spans="1:2">
      <c r="A20088" s="3" t="str">
        <f>IFERROR(__xludf.DUMMYFUNCTION("GOOGLETRANSLATE(A20088,""en"",""pt"")"),"Mesmos problemas, como descrito por JK Hudson - encravamentos de papel, maus condutores")</f>
        <v>Mesmos problemas, como descrito por JK Hudson - encravamentos de papel, maus condutores</v>
      </c>
      <c r="B20088" s="3">
        <v>0</v>
      </c>
    </row>
    <row r="20089" ht="15.75" customHeight="1" spans="1:2">
      <c r="A20089" s="3" t="str">
        <f>IFERROR(__xludf.DUMMYFUNCTION("GOOGLETRANSLATE(A20089,""en"",""pt"")"),"bandeja de papel capacidade frágil e baixa.")</f>
        <v>bandeja de papel capacidade frágil e baixa.</v>
      </c>
      <c r="B20089" s="3">
        <v>0</v>
      </c>
    </row>
    <row r="20090" ht="15.75" customHeight="1" spans="1:2">
      <c r="A20090" s="3" t="str">
        <f>IFERROR(__xludf.DUMMYFUNCTION("GOOGLETRANSLATE(A20090,""en"",""pt"")"),"EPSON GOTAS os drivers de impressora BALL no Mac OSX !!!")</f>
        <v>EPSON GOTAS os drivers de impressora BALL no Mac OSX !!!</v>
      </c>
      <c r="B20090" s="3">
        <v>0</v>
      </c>
    </row>
    <row r="20091" ht="15.75" customHeight="1" spans="1:2">
      <c r="A20091" s="3" t="str">
        <f>IFERROR(__xludf.DUMMYFUNCTION("GOOGLETRANSLATE(A20091,""en"",""pt"")"),"Abortando, centrando")</f>
        <v>Abortando, centrando</v>
      </c>
      <c r="B20091" s="3">
        <v>0</v>
      </c>
    </row>
    <row r="20092" ht="15.75" customHeight="1" spans="1:2">
      <c r="A20092" s="3" t="str">
        <f>IFERROR(__xludf.DUMMYFUNCTION("GOOGLETRANSLATE(A20092,""en"",""pt"")"),"Caro, passa por tinta muito rápido")</f>
        <v>Caro, passa por tinta muito rápido</v>
      </c>
      <c r="B20092" s="3">
        <v>0</v>
      </c>
    </row>
    <row r="20093" ht="15.75" customHeight="1" spans="1:2">
      <c r="A20093" s="3" t="str">
        <f>IFERROR(__xludf.DUMMYFUNCTION("GOOGLETRANSLATE(A20093,""en"",""pt"")"),"grande pegada. não vai caber em um desktop")</f>
        <v>grande pegada. não vai caber em um desktop</v>
      </c>
      <c r="B20093" s="3">
        <v>0</v>
      </c>
    </row>
    <row r="20094" ht="15.75" customHeight="1" spans="1:2">
      <c r="A20094" s="3" t="str">
        <f>IFERROR(__xludf.DUMMYFUNCTION("GOOGLETRANSLATE(A20094,""en"",""pt"")"),"Sem impressão frente e verso")</f>
        <v>Sem impressão frente e verso</v>
      </c>
      <c r="B20094" s="3">
        <v>0</v>
      </c>
    </row>
    <row r="20095" ht="15.75" customHeight="1" spans="1:2">
      <c r="A20095" s="3" t="str">
        <f>IFERROR(__xludf.DUMMYFUNCTION("GOOGLETRANSLATE(A20095,""en"",""pt"")"),"etiqueta de preço elevado, impressão lenta na impressão de grande formato e cartuchos de tinta de alto custo")</f>
        <v>etiqueta de preço elevado, impressão lenta na impressão de grande formato e cartuchos de tinta de alto custo</v>
      </c>
      <c r="B20095" s="3">
        <v>0</v>
      </c>
    </row>
    <row r="20096" ht="15.75" customHeight="1" spans="1:2">
      <c r="A20096" s="3" t="str">
        <f>IFERROR(__xludf.DUMMYFUNCTION("GOOGLETRANSLATE(A20096,""en"",""pt"")"),"Existem melhores impressoras lá fora, mas eles vão ser difíceis de encontrar.")</f>
        <v>Existem melhores impressoras lá fora, mas eles vão ser difíceis de encontrar.</v>
      </c>
      <c r="B20096" s="3">
        <v>0</v>
      </c>
    </row>
    <row r="20097" ht="15.75" customHeight="1" spans="1:2">
      <c r="A20097" s="3" t="str">
        <f>IFERROR(__xludf.DUMMYFUNCTION("GOOGLETRANSLATE(A20097,""en"",""pt"")"),"Imprimir problemas, problemas de alimentação de papel ...")</f>
        <v>Imprimir problemas, problemas de alimentação de papel ...</v>
      </c>
      <c r="B20097" s="3">
        <v>0</v>
      </c>
    </row>
    <row r="20098" ht="15.75" customHeight="1" spans="1:2">
      <c r="A20098" s="3" t="str">
        <f>IFERROR(__xludf.DUMMYFUNCTION("GOOGLETRANSLATE(A20098,""en"",""pt"")"),"atolamentos de papel, cartuchos de alto custo, tempos de impressão longas.")</f>
        <v>atolamentos de papel, cartuchos de alto custo, tempos de impressão longas.</v>
      </c>
      <c r="B20098" s="3">
        <v>0</v>
      </c>
    </row>
    <row r="20099" ht="15.75" customHeight="1" spans="1:2">
      <c r="A20099" s="3" t="str">
        <f>IFERROR(__xludf.DUMMYFUNCTION("GOOGLETRANSLATE(A20099,""en"",""pt"")"),"qualidade de cor pobres; nitidez texto medíocre; não imprime bem com Win ME; lento.")</f>
        <v>qualidade de cor pobres; nitidez texto medíocre; não imprime bem com Win ME; lento.</v>
      </c>
      <c r="B20099" s="3">
        <v>0</v>
      </c>
    </row>
    <row r="20100" ht="15.75" customHeight="1" spans="1:2">
      <c r="A20100" s="3" t="str">
        <f>IFERROR(__xludf.DUMMYFUNCTION("GOOGLETRANSLATE(A20100,""en"",""pt"")"),"os cartuchos de tinta dispendiosos, barulhento. Desperdiça muita tinta na limpeza de cabeças")</f>
        <v>os cartuchos de tinta dispendiosos, barulhento. Desperdiça muita tinta na limpeza de cabeças</v>
      </c>
      <c r="B20100" s="3">
        <v>0</v>
      </c>
    </row>
    <row r="20101" ht="15.75" customHeight="1" spans="1:2">
      <c r="A20101" s="3" t="str">
        <f>IFERROR(__xludf.DUMMYFUNCTION("GOOGLETRANSLATE(A20101,""en"",""pt"")"),"atolamentos de papel são frequentes, passa pelo Ink mais rápido do que você poderia imaginar.")</f>
        <v>atolamentos de papel são frequentes, passa pelo Ink mais rápido do que você poderia imaginar.</v>
      </c>
      <c r="B20101" s="3">
        <v>0</v>
      </c>
    </row>
    <row r="20102" ht="15.75" customHeight="1" spans="1:2">
      <c r="A20102" s="3" t="str">
        <f>IFERROR(__xludf.DUMMYFUNCTION("GOOGLETRANSLATE(A20102,""en"",""pt"")"),"Desliga-se completamente quando qualquer cartucho de tinta está fora.")</f>
        <v>Desliga-se completamente quando qualquer cartucho de tinta está fora.</v>
      </c>
      <c r="B20102" s="3">
        <v>0</v>
      </c>
    </row>
    <row r="20103" ht="15.75" customHeight="1" spans="1:2">
      <c r="A20103" s="3" t="str">
        <f>IFERROR(__xludf.DUMMYFUNCTION("GOOGLETRANSLATE(A20103,""en"",""pt"")"),"Avarias facilmente em garantia apesar")</f>
        <v>Avarias facilmente em garantia apesar</v>
      </c>
      <c r="B20103" s="3">
        <v>0</v>
      </c>
    </row>
    <row r="20104" ht="15.75" customHeight="1" spans="1:2">
      <c r="A20104" s="3" t="str">
        <f>IFERROR(__xludf.DUMMYFUNCTION("GOOGLETRANSLATE(A20104,""en"",""pt"")"),"A cor é Ok, Foto é Bad, lento")</f>
        <v>A cor é Ok, Foto é Bad, lento</v>
      </c>
      <c r="B20104" s="3">
        <v>0</v>
      </c>
    </row>
    <row r="20105" ht="15.75" customHeight="1" spans="1:2">
      <c r="A20105" s="3" t="str">
        <f>IFERROR(__xludf.DUMMYFUNCTION("GOOGLETRANSLATE(A20105,""en"",""pt"")"),"Noisy, ineficiente, leva muito tempo para carga")</f>
        <v>Noisy, ineficiente, leva muito tempo para carga</v>
      </c>
      <c r="B20105" s="3">
        <v>0</v>
      </c>
    </row>
    <row r="20106" ht="15.75" customHeight="1" spans="1:2">
      <c r="A20106" s="3" t="str">
        <f>IFERROR(__xludf.DUMMYFUNCTION("GOOGLETRANSLATE(A20106,""en"",""pt"")"),"usa tinta demasiado rapidamente, a tinta é caro")</f>
        <v>usa tinta demasiado rapidamente, a tinta é caro</v>
      </c>
      <c r="B20106" s="3">
        <v>0</v>
      </c>
    </row>
    <row r="20107" ht="15.75" customHeight="1" spans="1:2">
      <c r="A20107" s="3" t="str">
        <f>IFERROR(__xludf.DUMMYFUNCTION("GOOGLETRANSLATE(A20107,""en"",""pt"")"),"Un-confiável, muito lento, não funciona metade do tempo")</f>
        <v>Un-confiável, muito lento, não funciona metade do tempo</v>
      </c>
      <c r="B20107" s="3">
        <v>0</v>
      </c>
    </row>
    <row r="20108" ht="15.75" customHeight="1" spans="1:2">
      <c r="A20108" s="3" t="str">
        <f>IFERROR(__xludf.DUMMYFUNCTION("GOOGLETRANSLATE(A20108,""en"",""pt"")")," Um pouco lento")</f>
        <v> Um pouco lento</v>
      </c>
      <c r="B20108" s="3">
        <v>0</v>
      </c>
    </row>
    <row r="20109" ht="15.75" customHeight="1" spans="1:2">
      <c r="A20109" s="3" t="str">
        <f>IFERROR(__xludf.DUMMYFUNCTION("GOOGLETRANSLATE(A20109,""en"",""pt"")"),"não tão rápido como alguns outros")</f>
        <v>não tão rápido como alguns outros</v>
      </c>
      <c r="B20109" s="3">
        <v>0</v>
      </c>
    </row>
    <row r="20110" ht="15.75" customHeight="1" spans="1:2">
      <c r="A20110" s="3" t="str">
        <f>IFERROR(__xludf.DUMMYFUNCTION("GOOGLETRANSLATE(A20110,""en"",""pt"")"),"Não a impressora de topo na gama")</f>
        <v>Não a impressora de topo na gama</v>
      </c>
      <c r="B20110" s="3">
        <v>0</v>
      </c>
    </row>
    <row r="20111" ht="15.75" customHeight="1" spans="1:2">
      <c r="A20111" s="3" t="str">
        <f>IFERROR(__xludf.DUMMYFUNCTION("GOOGLETRANSLATE(A20111,""en"",""pt"")"),"maus cor-detalhe impressões")</f>
        <v>maus cor-detalhe impressões</v>
      </c>
      <c r="B20111" s="3">
        <v>0</v>
      </c>
    </row>
    <row r="20112" ht="15.75" customHeight="1" spans="1:2">
      <c r="A20112" s="3" t="str">
        <f>IFERROR(__xludf.DUMMYFUNCTION("GOOGLETRANSLATE(A20112,""en"",""pt"")"),"quando funciona")</f>
        <v>quando funciona</v>
      </c>
      <c r="B20112" s="3">
        <v>0</v>
      </c>
    </row>
    <row r="20113" ht="15.75" customHeight="1" spans="1:2">
      <c r="A20113" s="3" t="str">
        <f>IFERROR(__xludf.DUMMYFUNCTION("GOOGLETRANSLATE(A20113,""en"",""pt"")"),"papel e porco tinta, difícil de cópias completas de qualidade")</f>
        <v>papel e porco tinta, difícil de cópias completas de qualidade</v>
      </c>
      <c r="B20113" s="3">
        <v>0</v>
      </c>
    </row>
    <row r="20114" ht="15.75" customHeight="1" spans="1:2">
      <c r="A20114" s="3" t="str">
        <f>IFERROR(__xludf.DUMMYFUNCTION("GOOGLETRANSLATE(A20114,""en"",""pt"")"),"Tinta acabar rapidamente.")</f>
        <v>Tinta acabar rapidamente.</v>
      </c>
      <c r="B20114" s="3">
        <v>0</v>
      </c>
    </row>
    <row r="20115" ht="15.75" customHeight="1" spans="1:2">
      <c r="A20115" s="3" t="str">
        <f>IFERROR(__xludf.DUMMYFUNCTION("GOOGLETRANSLATE(A20115,""en"",""pt"")"),"Atravessa os cartuchos de tinta rapidamente.")</f>
        <v>Atravessa os cartuchos de tinta rapidamente.</v>
      </c>
      <c r="B20115" s="3">
        <v>0</v>
      </c>
    </row>
    <row r="20116" ht="15.75" customHeight="1" spans="1:2">
      <c r="A20116" s="3" t="str">
        <f>IFERROR(__xludf.DUMMYFUNCTION("GOOGLETRANSLATE(A20116,""en"",""pt"")"),", grande, impressões lentas Baixa qualidade")</f>
        <v>, grande, impressões lentas Baixa qualidade</v>
      </c>
      <c r="B20116" s="3">
        <v>0</v>
      </c>
    </row>
    <row r="20117" ht="15.75" customHeight="1" spans="1:2">
      <c r="A20117" s="3" t="str">
        <f>IFERROR(__xludf.DUMMYFUNCTION("GOOGLETRANSLATE(A20117,""en"",""pt"")"),"Barulhento- Slow-só tem pequena quantidade de papel")</f>
        <v>Barulhento- Slow-só tem pequena quantidade de papel</v>
      </c>
      <c r="B20117" s="3">
        <v>0</v>
      </c>
    </row>
    <row r="20118" ht="15.75" customHeight="1" spans="1:2">
      <c r="A20118" s="3" t="str">
        <f>IFERROR(__xludf.DUMMYFUNCTION("GOOGLETRANSLATE(A20118,""en"",""pt"")"),"cartuchos caros; limitações elétricos")</f>
        <v>cartuchos caros; limitações elétricos</v>
      </c>
      <c r="B20118" s="3">
        <v>0</v>
      </c>
    </row>
    <row r="20119" ht="15.75" customHeight="1" spans="1:2">
      <c r="A20119" s="3" t="str">
        <f>IFERROR(__xludf.DUMMYFUNCTION("GOOGLETRANSLATE(A20119,""en"",""pt"")"),"Suga tinta, e a tinta suga")</f>
        <v>Suga tinta, e a tinta suga</v>
      </c>
      <c r="B20119" s="3">
        <v>0</v>
      </c>
    </row>
    <row r="20120" ht="15.75" customHeight="1" spans="1:2">
      <c r="A20120" s="3" t="str">
        <f>IFERROR(__xludf.DUMMYFUNCTION("GOOGLETRANSLATE(A20120,""en"",""pt"")"),"Passa por cartuchos muito rapidamente.")</f>
        <v>Passa por cartuchos muito rapidamente.</v>
      </c>
      <c r="B20120" s="3">
        <v>0</v>
      </c>
    </row>
    <row r="20121" ht="15.75" customHeight="1" spans="1:2">
      <c r="A20121" s="3" t="str">
        <f>IFERROR(__xludf.DUMMYFUNCTION("GOOGLETRANSLATE(A20121,""en"",""pt"")"),"driver de software, velocidades de impressão")</f>
        <v>driver de software, velocidades de impressão</v>
      </c>
      <c r="B20121" s="3">
        <v>0</v>
      </c>
    </row>
    <row r="20122" ht="15.75" customHeight="1" spans="1:2">
      <c r="A20122" s="3" t="str">
        <f>IFERROR(__xludf.DUMMYFUNCTION("GOOGLETRANSLATE(A20122,""en"",""pt"")"),"pessoal técnico e de impressão")</f>
        <v>pessoal técnico e de impressão</v>
      </c>
      <c r="B20122" s="3">
        <v>0</v>
      </c>
    </row>
    <row r="20123" ht="15.75" customHeight="1" spans="1:2">
      <c r="A20123" s="3" t="str">
        <f>IFERROR(__xludf.DUMMYFUNCTION("GOOGLETRANSLATE(A20123,""en"",""pt"")"),"Não o melhor")</f>
        <v>Não o melhor</v>
      </c>
      <c r="B20123" s="3">
        <v>0</v>
      </c>
    </row>
    <row r="20124" ht="15.75" customHeight="1" spans="1:2">
      <c r="A20124" s="3" t="str">
        <f>IFERROR(__xludf.DUMMYFUNCTION("GOOGLETRANSLATE(A20124,""en"",""pt"")"),"sssslllllloooooowwwwwww")</f>
        <v>sssslllllloooooowwwwwww</v>
      </c>
      <c r="B20124" s="3">
        <v>0</v>
      </c>
    </row>
    <row r="20125" ht="15.75" customHeight="1" spans="1:2">
      <c r="A20125" s="3" t="str">
        <f>IFERROR(__xludf.DUMMYFUNCTION("GOOGLETRANSLATE(A20125,""en"",""pt"")"),"alimentador não funciona bem")</f>
        <v>alimentador não funciona bem</v>
      </c>
      <c r="B20125" s="3">
        <v>0</v>
      </c>
    </row>
    <row r="20126" ht="15.75" customHeight="1" spans="1:2">
      <c r="A20126" s="3" t="str">
        <f>IFERROR(__xludf.DUMMYFUNCTION("GOOGLETRANSLATE(A20126,""en"",""pt"")"),"A qualidade da imagem não é tão grande")</f>
        <v>A qualidade da imagem não é tão grande</v>
      </c>
      <c r="B20126" s="3">
        <v>0</v>
      </c>
    </row>
    <row r="20127" ht="15.75" customHeight="1" spans="1:2">
      <c r="A20127" s="3" t="str">
        <f>IFERROR(__xludf.DUMMYFUNCTION("GOOGLETRANSLATE(A20127,""en"",""pt"")"),"Uso de tinta, Durabilidade")</f>
        <v>Uso de tinta, Durabilidade</v>
      </c>
      <c r="B20127" s="3">
        <v>0</v>
      </c>
    </row>
    <row r="20128" ht="15.75" customHeight="1" spans="1:2">
      <c r="A20128" s="3" t="str">
        <f>IFERROR(__xludf.DUMMYFUNCTION("GOOGLETRANSLATE(A20128,""en"",""pt"")"),"pode imprimir a cores mais rápido")</f>
        <v>pode imprimir a cores mais rápido</v>
      </c>
      <c r="B20128" s="3">
        <v>0</v>
      </c>
    </row>
    <row r="20129" ht="15.75" customHeight="1" spans="1:2">
      <c r="A20129" s="3" t="str">
        <f>IFERROR(__xludf.DUMMYFUNCTION("GOOGLETRANSLATE(A20129,""en"",""pt"")"),"preço I de jato de tinta é caro")</f>
        <v>preço I de jato de tinta é caro</v>
      </c>
      <c r="B20129" s="3">
        <v>0</v>
      </c>
    </row>
    <row r="20130" ht="15.75" customHeight="1" spans="1:2">
      <c r="A20130" s="3" t="str">
        <f>IFERROR(__xludf.DUMMYFUNCTION("GOOGLETRANSLATE(A20130,""en"",""pt"")"),"cartuchos de tinta esgota-se rapidamente ao imprimir em resoluções mais altas")</f>
        <v>cartuchos de tinta esgota-se rapidamente ao imprimir em resoluções mais altas</v>
      </c>
      <c r="B20130" s="3">
        <v>0</v>
      </c>
    </row>
    <row r="20131" ht="15.75" customHeight="1" spans="1:2">
      <c r="A20131" s="3" t="str">
        <f>IFERROR(__xludf.DUMMYFUNCTION("GOOGLETRANSLATE(A20131,""en"",""pt"")"),"carece de algumas featers de impressoras de custo mais elevado")</f>
        <v>carece de algumas featers de impressoras de custo mais elevado</v>
      </c>
      <c r="B20131" s="3">
        <v>0</v>
      </c>
    </row>
    <row r="20132" ht="15.75" customHeight="1" spans="1:2">
      <c r="A20132" s="3" t="str">
        <f>IFERROR(__xludf.DUMMYFUNCTION("GOOGLETRANSLATE(A20132,""en"",""pt"")"),"Tinta mais difícil de encontrar")</f>
        <v>Tinta mais difícil de encontrar</v>
      </c>
      <c r="B20132" s="3">
        <v>0</v>
      </c>
    </row>
    <row r="20133" ht="15.75" customHeight="1" spans="1:2">
      <c r="A20133" s="3" t="str">
        <f>IFERROR(__xludf.DUMMYFUNCTION("GOOGLETRANSLATE(A20133,""en"",""pt"")"),"Apenas uma cópia a cada trinta segundos")</f>
        <v>Apenas uma cópia a cada trinta segundos</v>
      </c>
      <c r="B20133" s="3">
        <v>0</v>
      </c>
    </row>
    <row r="20134" ht="15.75" customHeight="1" spans="1:2">
      <c r="A20134" s="3" t="str">
        <f>IFERROR(__xludf.DUMMYFUNCTION("GOOGLETRANSLATE(A20134,""en"",""pt"")"),"Ink desperdiçado, Papel Encravado")</f>
        <v>Ink desperdiçado, Papel Encravado</v>
      </c>
      <c r="B20134" s="3">
        <v>0</v>
      </c>
    </row>
    <row r="20135" ht="15.75" customHeight="1" spans="1:2">
      <c r="A20135" s="3" t="str">
        <f>IFERROR(__xludf.DUMMYFUNCTION("GOOGLETRANSLATE(A20135,""en"",""pt"")"),"poderia ser mais rápido")</f>
        <v>poderia ser mais rápido</v>
      </c>
      <c r="B20135" s="3">
        <v>0</v>
      </c>
    </row>
    <row r="20136" ht="15.75" customHeight="1" spans="1:2">
      <c r="A20136" s="3" t="str">
        <f>IFERROR(__xludf.DUMMYFUNCTION("GOOGLETRANSLATE(A20136,""en"",""pt"")"),"Lento")</f>
        <v>Lento</v>
      </c>
      <c r="B20136" s="3">
        <v>0</v>
      </c>
    </row>
    <row r="20137" ht="15.75" customHeight="1" spans="1:2">
      <c r="A20137" s="3" t="str">
        <f>IFERROR(__xludf.DUMMYFUNCTION("GOOGLETRANSLATE(A20137,""en"",""pt"")"),"Loud, Pobre qualidade fotográfica, Usage rápida Ink")</f>
        <v>Loud, Pobre qualidade fotográfica, Usage rápida Ink</v>
      </c>
      <c r="B20137" s="3">
        <v>0</v>
      </c>
    </row>
    <row r="20138" ht="15.75" customHeight="1" spans="1:2">
      <c r="A20138" s="3" t="str">
        <f>IFERROR(__xludf.DUMMYFUNCTION("GOOGLETRANSLATE(A20138,""en"",""pt"")"),"Tem que reinstalar cartrages tinta")</f>
        <v>Tem que reinstalar cartrages tinta</v>
      </c>
      <c r="B20138" s="3">
        <v>0</v>
      </c>
    </row>
    <row r="20139" ht="15.75" customHeight="1" spans="1:2">
      <c r="A20139" s="3" t="str">
        <f>IFERROR(__xludf.DUMMYFUNCTION("GOOGLETRANSLATE(A20139,""en"",""pt"")"),"custo de cartuchos de tinta")</f>
        <v>custo de cartuchos de tinta</v>
      </c>
      <c r="B20139" s="3">
        <v>0</v>
      </c>
    </row>
    <row r="20140" ht="15.75" customHeight="1" spans="1:2">
      <c r="A20140" s="3" t="str">
        <f>IFERROR(__xludf.DUMMYFUNCTION("GOOGLETRANSLATE(A20140,""en"",""pt"")"),"não muito longa duração, lento")</f>
        <v>não muito longa duração, lento</v>
      </c>
      <c r="B20140" s="3">
        <v>0</v>
      </c>
    </row>
    <row r="20141" ht="15.75" customHeight="1" spans="1:2">
      <c r="A20141" s="3" t="str">
        <f>IFERROR(__xludf.DUMMYFUNCTION("GOOGLETRANSLATE(A20141,""en"",""pt"")"),"sei que nenhum")</f>
        <v>sei que nenhum</v>
      </c>
      <c r="B20141" s="3">
        <v>0</v>
      </c>
    </row>
    <row r="20142" ht="15.75" customHeight="1" spans="1:2">
      <c r="A20142" s="3" t="str">
        <f>IFERROR(__xludf.DUMMYFUNCTION("GOOGLETRANSLATE(A20142,""en"",""pt"")"),"nada")</f>
        <v>nada</v>
      </c>
      <c r="B20142" s="3">
        <v>0</v>
      </c>
    </row>
    <row r="20143" ht="15.75" customHeight="1" spans="1:2">
      <c r="A20143" s="3" t="str">
        <f>IFERROR(__xludf.DUMMYFUNCTION("GOOGLETRANSLATE(A20143,""en"",""pt"")"),"MUITO DEVAGAR")</f>
        <v>MUITO DEVAGAR</v>
      </c>
      <c r="B20143" s="3">
        <v>0</v>
      </c>
    </row>
    <row r="20144" ht="15.75" customHeight="1" spans="1:2">
      <c r="A20144" s="3" t="str">
        <f>IFERROR(__xludf.DUMMYFUNCTION("GOOGLETRANSLATE(A20144,""en"",""pt"")"),"Nenhum encontrado ainda")</f>
        <v>Nenhum encontrado ainda</v>
      </c>
      <c r="B20144" s="3">
        <v>0</v>
      </c>
    </row>
    <row r="20145" ht="15.75" customHeight="1" spans="1:2">
      <c r="A20145" s="3" t="str">
        <f>IFERROR(__xludf.DUMMYFUNCTION("GOOGLETRANSLATE(A20145,""en"",""pt"")"),"cartuchos caros, impressão ruim")</f>
        <v>cartuchos caros, impressão ruim</v>
      </c>
      <c r="B20145" s="3">
        <v>0</v>
      </c>
    </row>
    <row r="20146" ht="15.75" customHeight="1" spans="1:2">
      <c r="A20146" s="3" t="str">
        <f>IFERROR(__xludf.DUMMYFUNCTION("GOOGLETRANSLATE(A20146,""en"",""pt"")"),"não ótimo para fotos, o custo do cartucho")</f>
        <v>não ótimo para fotos, o custo do cartucho</v>
      </c>
      <c r="B20146" s="3">
        <v>0</v>
      </c>
    </row>
    <row r="20147" ht="15.75" customHeight="1" spans="1:2">
      <c r="A20147" s="3" t="str">
        <f>IFERROR(__xludf.DUMMYFUNCTION("GOOGLETRANSLATE(A20147,""en"",""pt"")"),"alto, usa muita tinta, má qualidade impressões")</f>
        <v>alto, usa muita tinta, má qualidade impressões</v>
      </c>
      <c r="B20147" s="3">
        <v>0</v>
      </c>
    </row>
    <row r="20148" ht="15.75" customHeight="1" spans="1:2">
      <c r="A20148" s="3" t="str">
        <f>IFERROR(__xludf.DUMMYFUNCTION("GOOGLETRANSLATE(A20148,""en"",""pt"")"),"Lento e barulhento.")</f>
        <v>Lento e barulhento.</v>
      </c>
      <c r="B20148" s="3">
        <v>0</v>
      </c>
    </row>
    <row r="20149" ht="15.75" customHeight="1" spans="1:2">
      <c r="A20149" s="3" t="str">
        <f>IFERROR(__xludf.DUMMYFUNCTION("GOOGLETRANSLATE(A20149,""en"",""pt"")"),"nenhum eu amo-o")</f>
        <v>nenhum eu amo-o</v>
      </c>
      <c r="B20149" s="3">
        <v>0</v>
      </c>
    </row>
    <row r="20150" ht="15.75" customHeight="1" spans="1:2">
      <c r="A20150" s="3" t="str">
        <f>IFERROR(__xludf.DUMMYFUNCTION("GOOGLETRANSLATE(A20150,""en"",""pt"")"),"ainda não tão bom como uma foto real, ainda ficar sem tinta")</f>
        <v>ainda não tão bom como uma foto real, ainda ficar sem tinta</v>
      </c>
      <c r="B20150" s="3">
        <v>0</v>
      </c>
    </row>
    <row r="20151" ht="15.75" customHeight="1" spans="1:2">
      <c r="A20151" s="3" t="str">
        <f>IFERROR(__xludf.DUMMYFUNCTION("GOOGLETRANSLATE(A20151,""en"",""pt"")"),"Veja acima eu não tenho espaço para enumerá-los todos aqui.")</f>
        <v>Veja acima eu não tenho espaço para enumerá-los todos aqui.</v>
      </c>
      <c r="B20151" s="3">
        <v>0</v>
      </c>
    </row>
    <row r="20152" ht="15.75" customHeight="1" spans="1:2">
      <c r="A20152" s="3" t="str">
        <f>IFERROR(__xludf.DUMMYFUNCTION("GOOGLETRANSLATE(A20152,""en"",""pt"")"),"baixa qualidade em comparação com outras impressoras que não custam muito mais")</f>
        <v>baixa qualidade em comparação com outras impressoras que não custam muito mais</v>
      </c>
      <c r="B20152" s="3">
        <v>0</v>
      </c>
    </row>
    <row r="20153" ht="15.75" customHeight="1" spans="1:2">
      <c r="A20153" s="3" t="str">
        <f>IFERROR(__xludf.DUMMYFUNCTION("GOOGLETRANSLATE(A20153,""en"",""pt"")"),"lento e alto")</f>
        <v>lento e alto</v>
      </c>
      <c r="B20153" s="3">
        <v>0</v>
      </c>
    </row>
    <row r="20154" ht="15.75" customHeight="1" spans="1:2">
      <c r="A20154" s="3" t="str">
        <f>IFERROR(__xludf.DUMMYFUNCTION("GOOGLETRANSLATE(A20154,""en"",""pt"")"),"Diminuir, dependendo do computador, e tinta usos rapidamente")</f>
        <v>Diminuir, dependendo do computador, e tinta usos rapidamente</v>
      </c>
      <c r="B20154" s="3">
        <v>0</v>
      </c>
    </row>
    <row r="20155" ht="15.75" customHeight="1" spans="1:2">
      <c r="A20155" s="3" t="str">
        <f>IFERROR(__xludf.DUMMYFUNCTION("GOOGLETRANSLATE(A20155,""en"",""pt"")"),"Cartuchos caros")</f>
        <v>Cartuchos caros</v>
      </c>
      <c r="B20155" s="3">
        <v>0</v>
      </c>
    </row>
    <row r="20156" ht="15.75" customHeight="1" spans="1:2">
      <c r="A20156" s="3" t="str">
        <f>IFERROR(__xludf.DUMMYFUNCTION("GOOGLETRANSLATE(A20156,""en"",""pt"")"),"carregamento lento, o consumo de tinta rápido")</f>
        <v>carregamento lento, o consumo de tinta rápido</v>
      </c>
      <c r="B20156" s="3">
        <v>0</v>
      </c>
    </row>
    <row r="20157" ht="15.75" customHeight="1" spans="1:2">
      <c r="A20157" s="3" t="str">
        <f>IFERROR(__xludf.DUMMYFUNCTION("GOOGLETRANSLATE(A20157,""en"",""pt"")"),"Nenhum!")</f>
        <v>Nenhum!</v>
      </c>
      <c r="B20157" s="3">
        <v>0</v>
      </c>
    </row>
    <row r="20158" ht="15.75" customHeight="1" spans="1:2">
      <c r="A20158" s="3" t="str">
        <f>IFERROR(__xludf.DUMMYFUNCTION("GOOGLETRANSLATE(A20158,""en"",""pt"")"),"Não é verdade a qualidade da foto, Epson de tinta é caro")</f>
        <v>Não é verdade a qualidade da foto, Epson de tinta é caro</v>
      </c>
      <c r="B20158" s="3">
        <v>0</v>
      </c>
    </row>
    <row r="20159" ht="15.75" customHeight="1" spans="1:2">
      <c r="A20159" s="3" t="str">
        <f>IFERROR(__xludf.DUMMYFUNCTION("GOOGLETRANSLATE(A20159,""en"",""pt"")"),"Muito lento na impressão.")</f>
        <v>Muito lento na impressão.</v>
      </c>
      <c r="B20159" s="3">
        <v>0</v>
      </c>
    </row>
    <row r="20160" ht="15.75" customHeight="1" spans="1:2">
      <c r="A20160" s="3" t="str">
        <f>IFERROR(__xludf.DUMMYFUNCTION("GOOGLETRANSLATE(A20160,""en"",""pt"")"),"Manchas de tinta e manchas de tinta")</f>
        <v>Manchas de tinta e manchas de tinta</v>
      </c>
      <c r="B20160" s="3">
        <v>0</v>
      </c>
    </row>
    <row r="20161" ht="15.75" customHeight="1" spans="1:2">
      <c r="A20161" s="3" t="str">
        <f>IFERROR(__xludf.DUMMYFUNCTION("GOOGLETRANSLATE(A20161,""en"",""pt"")"),"inútil")</f>
        <v>inútil</v>
      </c>
      <c r="B20161" s="3">
        <v>0</v>
      </c>
    </row>
    <row r="20162" ht="15.75" customHeight="1" spans="1:2">
      <c r="A20162" s="3" t="str">
        <f>IFERROR(__xludf.DUMMYFUNCTION("GOOGLETRANSLATE(A20162,""en"",""pt"")"),"Não foi feito para fotografias")</f>
        <v>Não foi feito para fotografias</v>
      </c>
      <c r="B20162" s="3">
        <v>0</v>
      </c>
    </row>
    <row r="20163" ht="15.75" customHeight="1" spans="1:2">
      <c r="A20163" s="3" t="str">
        <f>IFERROR(__xludf.DUMMYFUNCTION("GOOGLETRANSLATE(A20163,""en"",""pt"")"),"pior qualidade do que alguns modelos mais caros")</f>
        <v>pior qualidade do que alguns modelos mais caros</v>
      </c>
      <c r="B20163" s="3">
        <v>0</v>
      </c>
    </row>
    <row r="20164" ht="15.75" customHeight="1" spans="1:2">
      <c r="A20164" s="3" t="str">
        <f>IFERROR(__xludf.DUMMYFUNCTION("GOOGLETRANSLATE(A20164,""en"",""pt"")"),"Um pouco lento e barulhento")</f>
        <v>Um pouco lento e barulhento</v>
      </c>
      <c r="B20164" s="3">
        <v>0</v>
      </c>
    </row>
    <row r="20165" ht="15.75" customHeight="1" spans="1:2">
      <c r="A20165" s="3" t="str">
        <f>IFERROR(__xludf.DUMMYFUNCTION("GOOGLETRANSLATE(A20165,""en"",""pt"")"),"desastre de alimentação de papel")</f>
        <v>desastre de alimentação de papel</v>
      </c>
      <c r="B20165" s="3">
        <v>0</v>
      </c>
    </row>
    <row r="20166" ht="15.75" customHeight="1" spans="1:2">
      <c r="A20166" s="3" t="str">
        <f>IFERROR(__xludf.DUMMYFUNCTION("GOOGLETRANSLATE(A20166,""en"",""pt"")"),"todo o resto!")</f>
        <v>todo o resto!</v>
      </c>
      <c r="B20166" s="3">
        <v>0</v>
      </c>
    </row>
    <row r="20167" ht="15.75" customHeight="1" spans="1:2">
      <c r="A20167" s="3" t="str">
        <f>IFERROR(__xludf.DUMMYFUNCTION("GOOGLETRANSLATE(A20167,""en"",""pt"")"),"cartuchos caros, assim-assim a qualidade de impressão, velocidade de impressão lenta")</f>
        <v>cartuchos caros, assim-assim a qualidade de impressão, velocidade de impressão lenta</v>
      </c>
      <c r="B20167" s="3">
        <v>0</v>
      </c>
    </row>
    <row r="20168" ht="15.75" customHeight="1" spans="1:2">
      <c r="A20168" s="3" t="str">
        <f>IFERROR(__xludf.DUMMYFUNCTION("GOOGLETRANSLATE(A20168,""en"",""pt"")"),"Passa por tinta como um bebê passa por fraldas, não confiável, lento")</f>
        <v>Passa por tinta como um bebê passa por fraldas, não confiável, lento</v>
      </c>
      <c r="B20168" s="3">
        <v>0</v>
      </c>
    </row>
    <row r="20169" ht="15.75" customHeight="1" spans="1:2">
      <c r="A20169" s="3" t="str">
        <f>IFERROR(__xludf.DUMMYFUNCTION("GOOGLETRANSLATE(A20169,""en"",""pt"")"),"demasiado volumoso")</f>
        <v>demasiado volumoso</v>
      </c>
      <c r="B20169" s="3">
        <v>0</v>
      </c>
    </row>
    <row r="20170" ht="15.75" customHeight="1" spans="1:2">
      <c r="A20170" s="3" t="str">
        <f>IFERROR(__xludf.DUMMYFUNCTION("GOOGLETRANSLATE(A20170,""en"",""pt"")"),"não é bom para a impressão a cores")</f>
        <v>não é bom para a impressão a cores</v>
      </c>
      <c r="B20170" s="3">
        <v>0</v>
      </c>
    </row>
    <row r="20171" ht="15.75" customHeight="1" spans="1:2">
      <c r="A20171" s="3" t="str">
        <f>IFERROR(__xludf.DUMMYFUNCTION("GOOGLETRANSLATE(A20171,""en"",""pt"")"),"Mais lento do que as impressoras mais caras")</f>
        <v>Mais lento do que as impressoras mais caras</v>
      </c>
      <c r="B20171" s="3">
        <v>0</v>
      </c>
    </row>
    <row r="20172" ht="15.75" customHeight="1" spans="1:2">
      <c r="A20172" s="3" t="str">
        <f>IFERROR(__xludf.DUMMYFUNCTION("GOOGLETRANSLATE(A20172,""en"",""pt"")"),"lento, não confiável manutenção, alta")</f>
        <v>lento, não confiável manutenção, alta</v>
      </c>
      <c r="B20172" s="3">
        <v>0</v>
      </c>
    </row>
    <row r="20173" ht="15.75" customHeight="1" spans="1:2">
      <c r="A20173" s="3" t="str">
        <f>IFERROR(__xludf.DUMMYFUNCTION("GOOGLETRANSLATE(A20173,""en"",""pt"")"),"Não imprime com muita freqüência.")</f>
        <v>Não imprime com muita freqüência.</v>
      </c>
      <c r="B20173" s="3">
        <v>0</v>
      </c>
    </row>
    <row r="20174" ht="15.75" customHeight="1" spans="1:2">
      <c r="A20174" s="3" t="str">
        <f>IFERROR(__xludf.DUMMYFUNCTION("GOOGLETRANSLATE(A20174,""en"",""pt"")"),"Loud, lento")</f>
        <v>Loud, lento</v>
      </c>
      <c r="B20174" s="3">
        <v>0</v>
      </c>
    </row>
    <row r="20175" ht="15.75" customHeight="1" spans="1:2">
      <c r="A20175" s="3" t="str">
        <f>IFERROR(__xludf.DUMMYFUNCTION("GOOGLETRANSLATE(A20175,""en"",""pt"")"),"Leva alguns minutos para aquecer")</f>
        <v>Leva alguns minutos para aquecer</v>
      </c>
      <c r="B20175" s="3">
        <v>0</v>
      </c>
    </row>
    <row r="20176" ht="15.75" customHeight="1" spans="1:2">
      <c r="A20176" s="3" t="str">
        <f>IFERROR(__xludf.DUMMYFUNCTION("GOOGLETRANSLATE(A20176,""en"",""pt"")"),"aquecer-se o uso de tinta vez")</f>
        <v>aquecer-se o uso de tinta vez</v>
      </c>
      <c r="B20176" s="3">
        <v>0</v>
      </c>
    </row>
    <row r="20177" ht="15.75" customHeight="1" spans="1:2">
      <c r="A20177" s="3" t="str">
        <f>IFERROR(__xludf.DUMMYFUNCTION("GOOGLETRANSLATE(A20177,""en"",""pt"")"),"Prints muito lento, usa muita tinta")</f>
        <v>Prints muito lento, usa muita tinta</v>
      </c>
      <c r="B20177" s="3">
        <v>0</v>
      </c>
    </row>
    <row r="20178" ht="15.75" customHeight="1" spans="1:2">
      <c r="A20178" s="3" t="str">
        <f>IFERROR(__xludf.DUMMYFUNCTION("GOOGLETRANSLATE(A20178,""en"",""pt"")"),"Nenhum")</f>
        <v>Nenhum</v>
      </c>
      <c r="B20178" s="3">
        <v>0</v>
      </c>
    </row>
    <row r="20179" ht="15.75" customHeight="1" spans="1:2">
      <c r="A20179" s="3" t="str">
        <f>IFERROR(__xludf.DUMMYFUNCTION("GOOGLETRANSLATE(A20179,""en"",""pt"")"),"Eats tinta como um louco, de má qualidade!")</f>
        <v>Eats tinta como um louco, de má qualidade!</v>
      </c>
      <c r="B20179" s="3">
        <v>0</v>
      </c>
    </row>
    <row r="20180" ht="15.75" customHeight="1" spans="1:2">
      <c r="A20180" s="3" t="str">
        <f>IFERROR(__xludf.DUMMYFUNCTION("GOOGLETRANSLATE(A20180,""en"",""pt"")"),"Bebe tinta, alto, não muito vida")</f>
        <v>Bebe tinta, alto, não muito vida</v>
      </c>
      <c r="B20180" s="3">
        <v>0</v>
      </c>
    </row>
    <row r="20181" ht="15.75" customHeight="1" spans="1:2">
      <c r="A20181" s="3" t="str">
        <f>IFERROR(__xludf.DUMMYFUNCTION("GOOGLETRANSLATE(A20181,""en"",""pt"")"),"Tudo depende do que o software que você está usando")</f>
        <v>Tudo depende do que o software que você está usando</v>
      </c>
      <c r="B20181" s="3">
        <v>0</v>
      </c>
    </row>
    <row r="20182" ht="15.75" customHeight="1" spans="1:2">
      <c r="A20182" s="3" t="str">
        <f>IFERROR(__xludf.DUMMYFUNCTION("GOOGLETRANSLATE(A20182,""en"",""pt"")"),"lento, barulhento")</f>
        <v>lento, barulhento</v>
      </c>
      <c r="B20182" s="3">
        <v>0</v>
      </c>
    </row>
    <row r="20183" ht="15.75" customHeight="1" spans="1:2">
      <c r="A20183" s="3" t="str">
        <f>IFERROR(__xludf.DUMMYFUNCTION("GOOGLETRANSLATE(A20183,""en"",""pt"")"),"Usa para muita tinta, atola-se")</f>
        <v>Usa para muita tinta, atola-se</v>
      </c>
      <c r="B20183" s="3">
        <v>0</v>
      </c>
    </row>
    <row r="20184" ht="15.75" customHeight="1" spans="1:2">
      <c r="A20184" s="3" t="str">
        <f>IFERROR(__xludf.DUMMYFUNCTION("GOOGLETRANSLATE(A20184,""en"",""pt"")"),"Bastante ruidosa. Limitado em tamanhos de papel que podem ser alimentados através dele.")</f>
        <v>Bastante ruidosa. Limitado em tamanhos de papel que podem ser alimentados através dele.</v>
      </c>
      <c r="B20184" s="3">
        <v>0</v>
      </c>
    </row>
    <row r="20185" ht="15.75" customHeight="1" spans="1:2">
      <c r="A20185" s="3" t="str">
        <f>IFERROR(__xludf.DUMMYFUNCTION("GOOGLETRANSLATE(A20185,""en"",""pt"")"),"impressões fotográficas caros")</f>
        <v>impressões fotográficas caros</v>
      </c>
      <c r="B20185" s="3">
        <v>0</v>
      </c>
    </row>
    <row r="20186" ht="15.75" customHeight="1" spans="1:2">
      <c r="A20186" s="3" t="str">
        <f>IFERROR(__xludf.DUMMYFUNCTION("GOOGLETRANSLATE(A20186,""en"",""pt"")"),"Velocidade, clareza às vezes")</f>
        <v>Velocidade, clareza às vezes</v>
      </c>
      <c r="B20186" s="3">
        <v>0</v>
      </c>
    </row>
    <row r="20187" ht="15.75" customHeight="1" spans="1:2">
      <c r="A20187" s="3" t="str">
        <f>IFERROR(__xludf.DUMMYFUNCTION("GOOGLETRANSLATE(A20187,""en"",""pt"")"),"Barato")</f>
        <v>Barato</v>
      </c>
      <c r="B20187" s="3">
        <v>0</v>
      </c>
    </row>
    <row r="20188" ht="15.75" customHeight="1" spans="1:2">
      <c r="A20188" s="3" t="str">
        <f>IFERROR(__xludf.DUMMYFUNCTION("GOOGLETRANSLATE(A20188,""en"",""pt"")"),"Tamanho, atolamentos de papel duro para mudar cartuchos de tinta *, Loud, Lento")</f>
        <v>Tamanho, atolamentos de papel duro para mudar cartuchos de tinta *, Loud, Lento</v>
      </c>
      <c r="B20188" s="3">
        <v>0</v>
      </c>
    </row>
    <row r="20189" ht="15.75" customHeight="1" spans="1:2">
      <c r="A20189" s="3" t="str">
        <f>IFERROR(__xludf.DUMMYFUNCTION("GOOGLETRANSLATE(A20189,""en"",""pt"")"),"Baixa qualidade de impressão, de baixa resolução, lento, muito barulhento.")</f>
        <v>Baixa qualidade de impressão, de baixa resolução, lento, muito barulhento.</v>
      </c>
      <c r="B20189" s="3">
        <v>0</v>
      </c>
    </row>
    <row r="20190" ht="15.75" customHeight="1" spans="1:2">
      <c r="A20190" s="3" t="str">
        <f>IFERROR(__xludf.DUMMYFUNCTION("GOOGLETRANSLATE(A20190,""en"",""pt"")"),"A tinta entrar nos rolos e manchas &amp; amp; # 13; &amp; amp; # 10; no papel. Baixa resolução dot-per-inch.")</f>
        <v>A tinta entrar nos rolos e manchas &amp; amp; # 13; &amp; amp; # 10; no papel. Baixa resolução dot-per-inch.</v>
      </c>
      <c r="B20190" s="3">
        <v>0</v>
      </c>
    </row>
    <row r="20191" ht="15.75" customHeight="1" spans="1:2">
      <c r="A20191" s="3" t="str">
        <f>IFERROR(__xludf.DUMMYFUNCTION("GOOGLETRANSLATE(A20191,""en"",""pt"")"),"Funciona muito bem até que aparece até que a tinta começa jorrando todo que era ruim!")</f>
        <v>Funciona muito bem até que aparece até que a tinta começa jorrando todo que era ruim!</v>
      </c>
      <c r="B20191" s="3">
        <v>0</v>
      </c>
    </row>
    <row r="20192" ht="15.75" customHeight="1" spans="1:2">
      <c r="A20192" s="3" t="str">
        <f>IFERROR(__xludf.DUMMYFUNCTION("GOOGLETRANSLATE(A20192,""en"",""pt"")"),"recurso modesto de cartuchos, não disponível Postscript")</f>
        <v>recurso modesto de cartuchos, não disponível Postscript</v>
      </c>
      <c r="B20192" s="3">
        <v>0</v>
      </c>
    </row>
    <row r="20193" ht="15.75" customHeight="1" spans="1:2">
      <c r="A20193" s="3" t="str">
        <f>IFERROR(__xludf.DUMMYFUNCTION("GOOGLETRANSLATE(A20193,""en"",""pt"")"),"Não foi possível encontrar os cartuchos de tinta em Costco.")</f>
        <v>Não foi possível encontrar os cartuchos de tinta em Costco.</v>
      </c>
      <c r="B20193" s="3">
        <v>0</v>
      </c>
    </row>
    <row r="20194" ht="15.75" customHeight="1" spans="1:2">
      <c r="A20194" s="3" t="str">
        <f>IFERROR(__xludf.DUMMYFUNCTION("GOOGLETRANSLATE(A20194,""en"",""pt"")"),"teve de download do driver")</f>
        <v>teve de download do driver</v>
      </c>
      <c r="B20194" s="3">
        <v>0</v>
      </c>
    </row>
    <row r="20195" ht="15.75" customHeight="1" spans="1:2">
      <c r="A20195" s="3" t="str">
        <f>IFERROR(__xludf.DUMMYFUNCTION("GOOGLETRANSLATE(A20195,""en"",""pt"")"),"Nenhum.")</f>
        <v>Nenhum.</v>
      </c>
      <c r="B20195" s="3">
        <v>0</v>
      </c>
    </row>
    <row r="20196" ht="15.75" customHeight="1" spans="1:2">
      <c r="A20196" s="3" t="str">
        <f>IFERROR(__xludf.DUMMYFUNCTION("GOOGLETRANSLATE(A20196,""en"",""pt"")"),"Economia A impressão não é bom.")</f>
        <v>Economia A impressão não é bom.</v>
      </c>
      <c r="B20196" s="3">
        <v>0</v>
      </c>
    </row>
    <row r="20197" ht="15.75" customHeight="1" spans="1:2">
      <c r="A20197" s="3" t="str">
        <f>IFERROR(__xludf.DUMMYFUNCTION("GOOGLETRANSLATE(A20197,""en"",""pt"")"),"Não amigável, alimentador de papel pobre")</f>
        <v>Não amigável, alimentador de papel pobre</v>
      </c>
      <c r="B20197" s="3">
        <v>0</v>
      </c>
    </row>
    <row r="20198" ht="15.75" customHeight="1" spans="1:2">
      <c r="A20198" s="3" t="str">
        <f>IFERROR(__xludf.DUMMYFUNCTION("GOOGLETRANSLATE(A20198,""en"",""pt"")"),"Lento")</f>
        <v>Lento</v>
      </c>
      <c r="B20198" s="3">
        <v>0</v>
      </c>
    </row>
    <row r="20199" ht="15.75" customHeight="1" spans="1:2">
      <c r="A20199" s="3" t="str">
        <f>IFERROR(__xludf.DUMMYFUNCTION("GOOGLETRANSLATE(A20199,""en"",""pt"")"),"sem frescura")</f>
        <v>sem frescura</v>
      </c>
      <c r="B20199" s="3">
        <v>0</v>
      </c>
    </row>
    <row r="20200" ht="15.75" customHeight="1" spans="1:2">
      <c r="A20200" s="3" t="str">
        <f>IFERROR(__xludf.DUMMYFUNCTION("GOOGLETRANSLATE(A20200,""en"",""pt"")"),"alimentador de papel pobre")</f>
        <v>alimentador de papel pobre</v>
      </c>
      <c r="B20200" s="3">
        <v>0</v>
      </c>
    </row>
    <row r="20201" ht="15.75" customHeight="1" spans="1:2">
      <c r="A20201" s="3" t="str">
        <f>IFERROR(__xludf.DUMMYFUNCTION("GOOGLETRANSLATE(A20201,""en"",""pt"")"),"construção mais barato, um pouco barulhento, não é rápido, mas o que você espera?")</f>
        <v>construção mais barato, um pouco barulhento, não é rápido, mas o que você espera?</v>
      </c>
      <c r="B20201" s="3">
        <v>0</v>
      </c>
    </row>
    <row r="20202" ht="15.75" customHeight="1" spans="1:2">
      <c r="A20202" s="3" t="str">
        <f>IFERROR(__xludf.DUMMYFUNCTION("GOOGLETRANSLATE(A20202,""en"",""pt"")"),"Não muda. Prints lento. consumo excessivo de tinta.")</f>
        <v>Não muda. Prints lento. consumo excessivo de tinta.</v>
      </c>
      <c r="B20202" s="3">
        <v>0</v>
      </c>
    </row>
    <row r="20203" ht="15.75" customHeight="1" spans="1:2">
      <c r="A20203" s="3" t="str">
        <f>IFERROR(__xludf.DUMMYFUNCTION("GOOGLETRANSLATE(A20203,""en"",""pt"")"),"Usa um pouco de tinta, mas não é realmente mais do que as impressoras equivalentes.")</f>
        <v>Usa um pouco de tinta, mas não é realmente mais do que as impressoras equivalentes.</v>
      </c>
      <c r="B20203" s="3">
        <v>0</v>
      </c>
    </row>
    <row r="20204" ht="15.75" customHeight="1" spans="1:2">
      <c r="A20204" s="3" t="str">
        <f>IFERROR(__xludf.DUMMYFUNCTION("GOOGLETRANSLATE(A20204,""en"",""pt"")"),"Pode ser barulhento. No interruptor on / off, muito tempo no topo resolução. consome uma grande quantidade de tinta")</f>
        <v>Pode ser barulhento. No interruptor on / off, muito tempo no topo resolução. consome uma grande quantidade de tinta</v>
      </c>
      <c r="B20204" s="3">
        <v>0</v>
      </c>
    </row>
    <row r="20205" ht="15.75" customHeight="1" spans="1:2">
      <c r="A20205" s="3" t="str">
        <f>IFERROR(__xludf.DUMMYFUNCTION("GOOGLETRANSLATE(A20205,""en"",""pt"")"),"Um pouco lento, usa mais tinta do que o habitual")</f>
        <v>Um pouco lento, usa mais tinta do que o habitual</v>
      </c>
      <c r="B20205" s="3">
        <v>0</v>
      </c>
    </row>
    <row r="20206" ht="15.75" customHeight="1" spans="1:2">
      <c r="A20206" s="3" t="str">
        <f>IFERROR(__xludf.DUMMYFUNCTION("GOOGLETRANSLATE(A20206,""en"",""pt"")"),"uma espécie de lento, não para ligar / desligar")</f>
        <v>uma espécie de lento, não para ligar / desligar</v>
      </c>
      <c r="B20206" s="3">
        <v>0</v>
      </c>
    </row>
    <row r="20207" ht="15.75" customHeight="1" spans="1:2">
      <c r="A20207" s="3" t="str">
        <f>IFERROR(__xludf.DUMMYFUNCTION("GOOGLETRANSLATE(A20207,""en"",""pt"")"),"Lento e com fome, sem cabo USB incluído")</f>
        <v>Lento e com fome, sem cabo USB incluído</v>
      </c>
      <c r="B20207" s="3">
        <v>0</v>
      </c>
    </row>
    <row r="20208" ht="15.75" customHeight="1" spans="1:2">
      <c r="A20208" s="3" t="str">
        <f>IFERROR(__xludf.DUMMYFUNCTION("GOOGLETRANSLATE(A20208,""en"",""pt"")"),"altos custos de tinta, baixa qualidade de impressão")</f>
        <v>altos custos de tinta, baixa qualidade de impressão</v>
      </c>
      <c r="B20208" s="3">
        <v>0</v>
      </c>
    </row>
    <row r="20209" ht="15.75" customHeight="1" spans="1:2">
      <c r="A20209" s="3" t="str">
        <f>IFERROR(__xludf.DUMMYFUNCTION("GOOGLETRANSLATE(A20209,""en"",""pt"")"),"Lento, com sede, barulhento, não confiável.")</f>
        <v>Lento, com sede, barulhento, não confiável.</v>
      </c>
      <c r="B20209" s="3">
        <v>0</v>
      </c>
    </row>
    <row r="20210" ht="15.75" customHeight="1" spans="1:2">
      <c r="A20210" s="3" t="str">
        <f>IFERROR(__xludf.DUMMYFUNCTION("GOOGLETRANSLATE(A20210,""en"",""pt"")"),"Ele quebrou e eu não sei por que")</f>
        <v>Ele quebrou e eu não sei por que</v>
      </c>
      <c r="B20210" s="3">
        <v>0</v>
      </c>
    </row>
    <row r="20211" ht="15.75" customHeight="1" spans="1:2">
      <c r="A20211" s="3" t="str">
        <f>IFERROR(__xludf.DUMMYFUNCTION("GOOGLETRANSLATE(A20211,""en"",""pt"")"),"caro carro pequeno tamanho.")</f>
        <v>caro carro pequeno tamanho.</v>
      </c>
      <c r="B20211" s="3">
        <v>0</v>
      </c>
    </row>
    <row r="20212" ht="15.75" customHeight="1" spans="1:2">
      <c r="A20212" s="3" t="str">
        <f>IFERROR(__xludf.DUMMYFUNCTION("GOOGLETRANSLATE(A20212,""en"",""pt"")"),"Muito caro para operar.")</f>
        <v>Muito caro para operar.</v>
      </c>
      <c r="B20212" s="3">
        <v>0</v>
      </c>
    </row>
    <row r="20213" ht="15.75" customHeight="1" spans="1:2">
      <c r="A20213" s="3" t="str">
        <f>IFERROR(__xludf.DUMMYFUNCTION("GOOGLETRANSLATE(A20213,""en"",""pt"")"),"Requer suporte USB, nenhum cabo USB fornecido.")</f>
        <v>Requer suporte USB, nenhum cabo USB fornecido.</v>
      </c>
      <c r="B20213" s="3">
        <v>0</v>
      </c>
    </row>
    <row r="20214" ht="15.75" customHeight="1" spans="1:2">
      <c r="A20214" s="3" t="str">
        <f>IFERROR(__xludf.DUMMYFUNCTION("GOOGLETRANSLATE(A20214,""en"",""pt"")"),"nenhum cabo usb! doh!")</f>
        <v>nenhum cabo usb! doh!</v>
      </c>
      <c r="B20214" s="3">
        <v>0</v>
      </c>
    </row>
    <row r="20215" ht="15.75" customHeight="1" spans="1:2">
      <c r="A20215" s="3" t="str">
        <f>IFERROR(__xludf.DUMMYFUNCTION("GOOGLETRANSLATE(A20215,""en"",""pt"")"),"Não confiável, volumoso, barulhento, lento, caro para ser executado.")</f>
        <v>Não confiável, volumoso, barulhento, lento, caro para ser executado.</v>
      </c>
      <c r="B20215" s="3">
        <v>0</v>
      </c>
    </row>
    <row r="20216" ht="15.75" customHeight="1" spans="1:2">
      <c r="A20216" s="3" t="str">
        <f>IFERROR(__xludf.DUMMYFUNCTION("GOOGLETRANSLATE(A20216,""en"",""pt"")"),"Muito barulhento")</f>
        <v>Muito barulhento</v>
      </c>
      <c r="B20216" s="3">
        <v>0</v>
      </c>
    </row>
    <row r="20217" ht="15.75" customHeight="1" spans="1:2">
      <c r="A20217" s="3" t="str">
        <f>IFERROR(__xludf.DUMMYFUNCTION("GOOGLETRANSLATE(A20217,""en"",""pt"")"),"Nenhum")</f>
        <v>Nenhum</v>
      </c>
      <c r="B20217" s="3">
        <v>0</v>
      </c>
    </row>
    <row r="20218" ht="15.75" customHeight="1" spans="1:2">
      <c r="A20218" s="3" t="str">
        <f>IFERROR(__xludf.DUMMYFUNCTION("GOOGLETRANSLATE(A20218,""en"",""pt"")"),"Os cartuchos de tinta são muito caros")</f>
        <v>Os cartuchos de tinta são muito caros</v>
      </c>
      <c r="B20218" s="3">
        <v>0</v>
      </c>
    </row>
    <row r="20219" ht="15.75" customHeight="1" spans="1:2">
      <c r="A20219" s="3" t="str">
        <f>IFERROR(__xludf.DUMMYFUNCTION("GOOGLETRANSLATE(A20219,""en"",""pt"")"),"má qualidade")</f>
        <v>má qualidade</v>
      </c>
      <c r="B20219" s="3">
        <v>0</v>
      </c>
    </row>
    <row r="20220" ht="15.75" customHeight="1" spans="1:2">
      <c r="A20220" s="3" t="str">
        <f>IFERROR(__xludf.DUMMYFUNCTION("GOOGLETRANSLATE(A20220,""en"",""pt"")"),"Usa tinta rapidamente, muitas vezes imprime mal")</f>
        <v>Usa tinta rapidamente, muitas vezes imprime mal</v>
      </c>
      <c r="B20220" s="3">
        <v>0</v>
      </c>
    </row>
    <row r="20221" ht="15.75" customHeight="1" spans="1:2">
      <c r="A20221" s="3" t="str">
        <f>IFERROR(__xludf.DUMMYFUNCTION("GOOGLETRANSLATE(A20221,""en"",""pt"")"),"Piercing som impressão provoca surdez e cães locais para aparecer na sua porta")</f>
        <v>Piercing som impressão provoca surdez e cães locais para aparecer na sua porta</v>
      </c>
      <c r="B20221" s="3">
        <v>0</v>
      </c>
    </row>
    <row r="20222" ht="15.75" customHeight="1" spans="1:2">
      <c r="A20222" s="3" t="str">
        <f>IFERROR(__xludf.DUMMYFUNCTION("GOOGLETRANSLATE(A20222,""en"",""pt"")"),"pode sujar às vezes, não a mais alta qualidade")</f>
        <v>pode sujar às vezes, não a mais alta qualidade</v>
      </c>
      <c r="B20222" s="3">
        <v>0</v>
      </c>
    </row>
    <row r="20223" ht="15.75" customHeight="1" spans="1:2">
      <c r="A20223" s="3" t="str">
        <f>IFERROR(__xludf.DUMMYFUNCTION("GOOGLETRANSLATE(A20223,""en"",""pt"")"),"Tamanho")</f>
        <v>Tamanho</v>
      </c>
      <c r="B20223" s="3">
        <v>0</v>
      </c>
    </row>
    <row r="20224" ht="15.75" customHeight="1" spans="1:2">
      <c r="A20224" s="3" t="str">
        <f>IFERROR(__xludf.DUMMYFUNCTION("GOOGLETRANSLATE(A20224,""en"",""pt"")"),"problemas de qualidade dinâmica")</f>
        <v>problemas de qualidade dinâmica</v>
      </c>
      <c r="B20224" s="3">
        <v>0</v>
      </c>
    </row>
    <row r="20225" ht="15.75" customHeight="1" spans="1:2">
      <c r="A20225" s="3" t="str">
        <f>IFERROR(__xludf.DUMMYFUNCTION("GOOGLETRANSLATE(A20225,""en"",""pt"")"),"Um pouco fora de data")</f>
        <v>Um pouco fora de data</v>
      </c>
      <c r="B20225" s="3">
        <v>0</v>
      </c>
    </row>
    <row r="20226" ht="15.75" customHeight="1" spans="1:2">
      <c r="A20226" s="3" t="str">
        <f>IFERROR(__xludf.DUMMYFUNCTION("GOOGLETRANSLATE(A20226,""en"",""pt"")"),"Você pode precisar de fones de ouvido")</f>
        <v>Você pode precisar de fones de ouvido</v>
      </c>
      <c r="B20226" s="3">
        <v>0</v>
      </c>
    </row>
    <row r="20227" ht="15.75" customHeight="1" spans="1:2">
      <c r="A20227" s="3" t="str">
        <f>IFERROR(__xludf.DUMMYFUNCTION("GOOGLETRANSLATE(A20227,""en"",""pt"")"),"necessidade revestido, papel caro e de alta res para impressões de boa qualidade, barulhento e lento")</f>
        <v>necessidade revestido, papel caro e de alta res para impressões de boa qualidade, barulhento e lento</v>
      </c>
      <c r="B20227" s="3">
        <v>0</v>
      </c>
    </row>
    <row r="20228" ht="15.75" customHeight="1" spans="1:2">
      <c r="A20228" s="3" t="str">
        <f>IFERROR(__xludf.DUMMYFUNCTION("GOOGLETRANSLATE(A20228,""en"",""pt"")"),"não funcionar, caro para executar, impossível de reparo.")</f>
        <v>não funcionar, caro para executar, impossível de reparo.</v>
      </c>
      <c r="B20228" s="3">
        <v>0</v>
      </c>
    </row>
    <row r="20229" ht="15.75" customHeight="1" spans="1:2">
      <c r="A20229" s="3" t="str">
        <f>IFERROR(__xludf.DUMMYFUNCTION("GOOGLETRANSLATE(A20229,""en"",""pt"")"),"Falha em reconhecer o papel na bandeja.")</f>
        <v>Falha em reconhecer o papel na bandeja.</v>
      </c>
      <c r="B20229" s="3">
        <v>0</v>
      </c>
    </row>
    <row r="20230" ht="15.75" customHeight="1" spans="1:2">
      <c r="A20230" s="3" t="str">
        <f>IFERROR(__xludf.DUMMYFUNCTION("GOOGLETRANSLATE(A20230,""en"",""pt"")"),"lento para uso em escritório, barulhento, pode ser pesado sobre o uso de tinta")</f>
        <v>lento para uso em escritório, barulhento, pode ser pesado sobre o uso de tinta</v>
      </c>
      <c r="B20230" s="3">
        <v>0</v>
      </c>
    </row>
    <row r="20231" ht="15.75" customHeight="1" spans="1:2">
      <c r="A20231" s="3" t="str">
        <f>IFERROR(__xludf.DUMMYFUNCTION("GOOGLETRANSLATE(A20231,""en"",""pt"")"),"Ink é um problema")</f>
        <v>Ink é um problema</v>
      </c>
      <c r="B20231" s="3">
        <v>0</v>
      </c>
    </row>
    <row r="20232" ht="15.75" customHeight="1" spans="1:2">
      <c r="A20232" s="3" t="str">
        <f>IFERROR(__xludf.DUMMYFUNCTION("GOOGLETRANSLATE(A20232,""en"",""pt"")"),"Um pouco muito barulho")</f>
        <v>Um pouco muito barulho</v>
      </c>
      <c r="B20232" s="3">
        <v>0</v>
      </c>
    </row>
    <row r="20233" ht="15.75" customHeight="1" spans="1:2">
      <c r="A20233" s="3" t="str">
        <f>IFERROR(__xludf.DUMMYFUNCTION("GOOGLETRANSLATE(A20233,""en"",""pt"")"),"velocidade de impressão lenta")</f>
        <v>velocidade de impressão lenta</v>
      </c>
      <c r="B20233" s="3">
        <v>0</v>
      </c>
    </row>
    <row r="20234" ht="15.75" customHeight="1" spans="1:2">
      <c r="A20234" s="3" t="str">
        <f>IFERROR(__xludf.DUMMYFUNCTION("GOOGLETRANSLATE(A20234,""en"",""pt"")"),"Barato, como em lixo.")</f>
        <v>Barato, como em lixo.</v>
      </c>
      <c r="B20234" s="3">
        <v>0</v>
      </c>
    </row>
    <row r="20235" ht="15.75" customHeight="1" spans="1:2">
      <c r="A20235" s="3" t="str">
        <f>IFERROR(__xludf.DUMMYFUNCTION("GOOGLETRANSLATE(A20235,""en"",""pt"")"),"de tinta, problemas de alimentação de papel")</f>
        <v>de tinta, problemas de alimentação de papel</v>
      </c>
      <c r="B20235" s="3">
        <v>0</v>
      </c>
    </row>
    <row r="20236" ht="15.75" customHeight="1" spans="1:2">
      <c r="A20236" s="3" t="str">
        <f>IFERROR(__xludf.DUMMYFUNCTION("GOOGLETRANSLATE(A20236,""en"",""pt"")"),"tinta é um pouco caro, a menos que você comprar ao redor")</f>
        <v>tinta é um pouco caro, a menos que você comprar ao redor</v>
      </c>
      <c r="B20236" s="3">
        <v>0</v>
      </c>
    </row>
    <row r="20237" ht="15.75" customHeight="1" spans="1:2">
      <c r="A20237" s="3" t="str">
        <f>IFERROR(__xludf.DUMMYFUNCTION("GOOGLETRANSLATE(A20237,""en"",""pt"")"),"Não perfeito Photo gráficos, mas excelente w / papel certo")</f>
        <v>Não perfeito Photo gráficos, mas excelente w / papel certo</v>
      </c>
      <c r="B20237" s="3">
        <v>0</v>
      </c>
    </row>
    <row r="20238" ht="15.75" customHeight="1" spans="1:2">
      <c r="A20238" s="3" t="str">
        <f>IFERROR(__xludf.DUMMYFUNCTION("GOOGLETRANSLATE(A20238,""en"",""pt"")"),"Utiliza até rápido cartucho de tinta")</f>
        <v>Utiliza até rápido cartucho de tinta</v>
      </c>
      <c r="B20238" s="3">
        <v>0</v>
      </c>
    </row>
    <row r="20239" ht="15.75" customHeight="1" spans="1:2">
      <c r="A20239" s="3" t="str">
        <f>IFERROR(__xludf.DUMMYFUNCTION("GOOGLETRANSLATE(A20239,""en"",""pt"")"),"Nenhum")</f>
        <v>Nenhum</v>
      </c>
      <c r="B20239" s="3">
        <v>0</v>
      </c>
    </row>
    <row r="20240" ht="15.75" customHeight="1" spans="1:2">
      <c r="A20240" s="3" t="str">
        <f>IFERROR(__xludf.DUMMYFUNCTION("GOOGLETRANSLATE(A20240,""en"",""pt"")"),"não pode ver o nível de tinta nos cartuchos")</f>
        <v>não pode ver o nível de tinta nos cartuchos</v>
      </c>
      <c r="B20240" s="3">
        <v>0</v>
      </c>
    </row>
    <row r="20241" ht="15.75" customHeight="1" spans="1:2">
      <c r="A20241" s="3" t="str">
        <f>IFERROR(__xludf.DUMMYFUNCTION("GOOGLETRANSLATE(A20241,""en"",""pt"")"),"não confiável")</f>
        <v>não confiável</v>
      </c>
      <c r="B20241" s="3">
        <v>0</v>
      </c>
    </row>
    <row r="20242" ht="15.75" customHeight="1" spans="1:2">
      <c r="A20242" s="3" t="str">
        <f>IFERROR(__xludf.DUMMYFUNCTION("GOOGLETRANSLATE(A20242,""en"",""pt"")"),"um pouco lento com o &amp; amp; quot; melhor &amp; amp; quot; opção")</f>
        <v>um pouco lento com o &amp; amp; quot; melhor &amp; amp; quot; opção</v>
      </c>
      <c r="B20242" s="3">
        <v>0</v>
      </c>
    </row>
    <row r="20243" ht="15.75" customHeight="1" spans="1:2">
      <c r="A20243" s="3" t="str">
        <f>IFERROR(__xludf.DUMMYFUNCTION("GOOGLETRANSLATE(A20243,""en"",""pt"")"),"nenhum que eu tenho experimentado.")</f>
        <v>nenhum que eu tenho experimentado.</v>
      </c>
      <c r="B20243" s="3">
        <v>0</v>
      </c>
    </row>
    <row r="20244" ht="15.75" customHeight="1" spans="1:2">
      <c r="A20244" s="3" t="str">
        <f>IFERROR(__xludf.DUMMYFUNCTION("GOOGLETRANSLATE(A20244,""en"",""pt"")"),"Há fatores negativos para relatar.")</f>
        <v>Há fatores negativos para relatar.</v>
      </c>
      <c r="B20244" s="3">
        <v>0</v>
      </c>
    </row>
    <row r="20245" ht="15.75" customHeight="1" spans="1:2">
      <c r="A20245" s="3" t="str">
        <f>IFERROR(__xludf.DUMMYFUNCTION("GOOGLETRANSLATE(A20245,""en"",""pt"")"),"Área de cobertura maior do que as impressoras HP")</f>
        <v>Área de cobertura maior do que as impressoras HP</v>
      </c>
      <c r="B20245" s="3">
        <v>0</v>
      </c>
    </row>
    <row r="20246" ht="15.75" customHeight="1" spans="1:2">
      <c r="A20246" s="3" t="str">
        <f>IFERROR(__xludf.DUMMYFUNCTION("GOOGLETRANSLATE(A20246,""en"",""pt"")"),"Não confiável")</f>
        <v>Não confiável</v>
      </c>
      <c r="B20246" s="3">
        <v>0</v>
      </c>
    </row>
    <row r="20247" ht="15.75" customHeight="1" spans="1:2">
      <c r="A20247" s="3" t="str">
        <f>IFERROR(__xludf.DUMMYFUNCTION("GOOGLETRANSLATE(A20247,""en"",""pt"")"),"Usa muita tinta, leva muito tempo para iniciar")</f>
        <v>Usa muita tinta, leva muito tempo para iniciar</v>
      </c>
      <c r="B20247" s="3">
        <v>0</v>
      </c>
    </row>
    <row r="20248" ht="15.75" customHeight="1" spans="1:2">
      <c r="A20248" s="3" t="str">
        <f>IFERROR(__xludf.DUMMYFUNCTION("GOOGLETRANSLATE(A20248,""en"",""pt"")"),"cartucho pode ler vazio quando não está")</f>
        <v>cartucho pode ler vazio quando não está</v>
      </c>
      <c r="B20248" s="3">
        <v>0</v>
      </c>
    </row>
    <row r="20249" ht="15.75" customHeight="1" spans="1:2">
      <c r="A20249" s="3" t="str">
        <f>IFERROR(__xludf.DUMMYFUNCTION("GOOGLETRANSLATE(A20249,""en"",""pt"")"),"os cartuchos de tinta são caros")</f>
        <v>os cartuchos de tinta são caros</v>
      </c>
      <c r="B20249" s="3">
        <v>0</v>
      </c>
    </row>
    <row r="20250" ht="15.75" customHeight="1" spans="1:2">
      <c r="A20250" s="3" t="str">
        <f>IFERROR(__xludf.DUMMYFUNCTION("GOOGLETRANSLATE(A20250,""en"",""pt"")"),"salta ao imprimir")</f>
        <v>salta ao imprimir</v>
      </c>
      <c r="B20250" s="3">
        <v>0</v>
      </c>
    </row>
    <row r="20251" ht="15.75" customHeight="1" spans="1:2">
      <c r="A20251" s="3" t="str">
        <f>IFERROR(__xludf.DUMMYFUNCTION("GOOGLETRANSLATE(A20251,""en"",""pt"")"),"Usa muita tinta, se impresso em melhores definições")</f>
        <v>Usa muita tinta, se impresso em melhores definições</v>
      </c>
      <c r="B20251" s="3">
        <v>0</v>
      </c>
    </row>
    <row r="20252" ht="15.75" customHeight="1" spans="1:2">
      <c r="A20252" s="3" t="str">
        <f>IFERROR(__xludf.DUMMYFUNCTION("GOOGLETRANSLATE(A20252,""en"",""pt"")"),"Nenhum que eu conheço!")</f>
        <v>Nenhum que eu conheço!</v>
      </c>
      <c r="B20252" s="3">
        <v>0</v>
      </c>
    </row>
    <row r="20253" ht="15.75" customHeight="1" spans="1:2">
      <c r="A20253" s="3" t="str">
        <f>IFERROR(__xludf.DUMMYFUNCTION("GOOGLETRANSLATE(A20253,""en"",""pt"")"),"Um pouco caro")</f>
        <v>Um pouco caro</v>
      </c>
      <c r="B20253" s="3">
        <v>0</v>
      </c>
    </row>
    <row r="20254" ht="15.75" customHeight="1" spans="1:2">
      <c r="A20254" s="3" t="str">
        <f>IFERROR(__xludf.DUMMYFUNCTION("GOOGLETRANSLATE(A20254,""en"",""pt"")"),"Tinta acabar rápido, imprime em velocidade moderada")</f>
        <v>Tinta acabar rápido, imprime em velocidade moderada</v>
      </c>
      <c r="B20254" s="3">
        <v>0</v>
      </c>
    </row>
    <row r="20255" ht="15.75" customHeight="1" spans="1:2">
      <c r="A20255" s="3" t="str">
        <f>IFERROR(__xludf.DUMMYFUNCTION("GOOGLETRANSLATE(A20255,""en"",""pt"")"),"Lento na cor,")</f>
        <v>Lento na cor,</v>
      </c>
      <c r="B20255" s="3">
        <v>0</v>
      </c>
    </row>
    <row r="20256" ht="15.75" customHeight="1" spans="1:2">
      <c r="A20256" s="3" t="str">
        <f>IFERROR(__xludf.DUMMYFUNCTION("GOOGLETRANSLATE(A20256,""en"",""pt"")"),"Um pouco lento, mas hey, o que u quer para les de US $ 200")</f>
        <v>Um pouco lento, mas hey, o que u quer para les de US $ 200</v>
      </c>
      <c r="B20256" s="3">
        <v>0</v>
      </c>
    </row>
    <row r="20257" ht="15.75" customHeight="1" spans="1:2">
      <c r="A20257" s="3" t="str">
        <f>IFERROR(__xludf.DUMMYFUNCTION("GOOGLETRANSLATE(A20257,""en"",""pt"")"),"É apenas um plano fede")</f>
        <v>É apenas um plano fede</v>
      </c>
      <c r="B20257" s="3">
        <v>0</v>
      </c>
    </row>
    <row r="20258" ht="15.75" customHeight="1" spans="1:2">
      <c r="A20258" s="3" t="str">
        <f>IFERROR(__xludf.DUMMYFUNCTION("GOOGLETRANSLATE(A20258,""en"",""pt"")"),"qualidade de impressão deteriora rápido, alto preço dos cartuchos de tinta.")</f>
        <v>qualidade de impressão deteriora rápido, alto preço dos cartuchos de tinta.</v>
      </c>
      <c r="B20258" s="3">
        <v>0</v>
      </c>
    </row>
    <row r="20259" ht="15.75" customHeight="1" spans="1:2">
      <c r="A20259" s="3" t="str">
        <f>IFERROR(__xludf.DUMMYFUNCTION("GOOGLETRANSLATE(A20259,""en"",""pt"")"),"Loud, lento para iniciar Up")</f>
        <v>Loud, lento para iniciar Up</v>
      </c>
      <c r="B20259" s="3">
        <v>0</v>
      </c>
    </row>
    <row r="20260" ht="15.75" customHeight="1" spans="1:2">
      <c r="A20260" s="3" t="str">
        <f>IFERROR(__xludf.DUMMYFUNCTION("GOOGLETRANSLATE(A20260,""en"",""pt"")"),"Já não experimentou qualquer")</f>
        <v>Já não experimentou qualquer</v>
      </c>
      <c r="B20260" s="3">
        <v>0</v>
      </c>
    </row>
    <row r="20261" ht="15.75" customHeight="1" spans="1:2">
      <c r="A20261" s="3" t="str">
        <f>IFERROR(__xludf.DUMMYFUNCTION("GOOGLETRANSLATE(A20261,""en"",""pt"")"),"A velocidade de impressão poderia ser melhor")</f>
        <v>A velocidade de impressão poderia ser melhor</v>
      </c>
      <c r="B20261" s="3">
        <v>0</v>
      </c>
    </row>
    <row r="20262" ht="15.75" customHeight="1" spans="1:2">
      <c r="A20262" s="3" t="str">
        <f>IFERROR(__xludf.DUMMYFUNCTION("GOOGLETRANSLATE(A20262,""en"",""pt"")"),"ele usa muita tinta")</f>
        <v>ele usa muita tinta</v>
      </c>
      <c r="B20262" s="3">
        <v>0</v>
      </c>
    </row>
    <row r="20263" ht="15.75" customHeight="1" spans="1:2">
      <c r="A20263" s="3" t="str">
        <f>IFERROR(__xludf.DUMMYFUNCTION("GOOGLETRANSLATE(A20263,""en"",""pt"")"),"barulhento, a primeira impressão demora um pouco para começar")</f>
        <v>barulhento, a primeira impressão demora um pouco para começar</v>
      </c>
      <c r="B20263" s="3">
        <v>0</v>
      </c>
    </row>
    <row r="20264" ht="15.75" customHeight="1" spans="1:2">
      <c r="A20264" s="3" t="str">
        <f>IFERROR(__xludf.DUMMYFUNCTION("GOOGLETRANSLATE(A20264,""en"",""pt"")"),"Noisy, Mudar Cartuchos um aborrecimento, velocidade de impressão um pouco lento")</f>
        <v>Noisy, Mudar Cartuchos um aborrecimento, velocidade de impressão um pouco lento</v>
      </c>
      <c r="B20264" s="3">
        <v>0</v>
      </c>
    </row>
    <row r="20265" ht="15.75" customHeight="1" spans="1:2">
      <c r="A20265" s="3" t="str">
        <f>IFERROR(__xludf.DUMMYFUNCTION("GOOGLETRANSLATE(A20265,""en"",""pt"")"),"Caro para manter")</f>
        <v>Caro para manter</v>
      </c>
      <c r="B20265" s="3">
        <v>0</v>
      </c>
    </row>
    <row r="20266" ht="15.75" customHeight="1" spans="1:2">
      <c r="A20266" s="3" t="str">
        <f>IFERROR(__xludf.DUMMYFUNCTION("GOOGLETRANSLATE(A20266,""en"",""pt"")"),"????")</f>
        <v>????</v>
      </c>
      <c r="B20266" s="3">
        <v>0</v>
      </c>
    </row>
    <row r="20267" ht="15.75" customHeight="1" spans="1:2">
      <c r="A20267" s="3" t="str">
        <f>IFERROR(__xludf.DUMMYFUNCTION("GOOGLETRANSLATE(A20267,""en"",""pt"")"),"Alto custo elevado de tinta,")</f>
        <v>Alto custo elevado de tinta,</v>
      </c>
      <c r="B20267" s="3">
        <v>0</v>
      </c>
    </row>
    <row r="20268" ht="15.75" customHeight="1" spans="1:2">
      <c r="A20268" s="3" t="str">
        <f>IFERROR(__xludf.DUMMYFUNCTION("GOOGLETRANSLATE(A20268,""en"",""pt"")"),"O papel não é facilmente fluir através e a tinta entope às vezes.")</f>
        <v>O papel não é facilmente fluir através e a tinta entope às vezes.</v>
      </c>
      <c r="B20268" s="3">
        <v>0</v>
      </c>
    </row>
    <row r="20269" ht="15.75" customHeight="1" spans="1:2">
      <c r="A20269" s="3" t="str">
        <f>IFERROR(__xludf.DUMMYFUNCTION("GOOGLETRANSLATE(A20269,""en"",""pt"")"),"Custo de impressão por página. Operação de driver de impressora.")</f>
        <v>Custo de impressão por página. Operação de driver de impressora.</v>
      </c>
      <c r="B20269" s="3">
        <v>0</v>
      </c>
    </row>
    <row r="20270" ht="15.75" customHeight="1" spans="1:2">
      <c r="A20270" s="3" t="str">
        <f>IFERROR(__xludf.DUMMYFUNCTION("GOOGLETRANSLATE(A20270,""en"",""pt"")"),"longa poder-em actividade, o sensor não aberta do cartucho de impressão")</f>
        <v>longa poder-em actividade, o sensor não aberta do cartucho de impressão</v>
      </c>
      <c r="B20270" s="3">
        <v>0</v>
      </c>
    </row>
    <row r="20271" ht="15.75" customHeight="1" spans="1:2">
      <c r="A20271" s="3" t="str">
        <f>IFERROR(__xludf.DUMMYFUNCTION("GOOGLETRANSLATE(A20271,""en"",""pt"")"),"Cartucho de mudança de eletrônicos / driver de impressora")</f>
        <v>Cartucho de mudança de eletrônicos / driver de impressora</v>
      </c>
      <c r="B20271" s="3">
        <v>0</v>
      </c>
    </row>
    <row r="20272" ht="15.75" customHeight="1" spans="1:2">
      <c r="A20272" s="3" t="str">
        <f>IFERROR(__xludf.DUMMYFUNCTION("GOOGLETRANSLATE(A20272,""en"",""pt"")"),"Um pouco lento no modo de cor")</f>
        <v>Um pouco lento no modo de cor</v>
      </c>
      <c r="B20272" s="3">
        <v>0</v>
      </c>
    </row>
    <row r="20273" ht="15.75" customHeight="1" spans="1:2">
      <c r="A20273" s="3" t="str">
        <f>IFERROR(__xludf.DUMMYFUNCTION("GOOGLETRANSLATE(A20273,""en"",""pt"")"),"equipamento confiável. Breaks sem motivo.")</f>
        <v>equipamento confiável. Breaks sem motivo.</v>
      </c>
      <c r="B20273" s="3">
        <v>0</v>
      </c>
    </row>
    <row r="20274" ht="15.75" customHeight="1" spans="1:2">
      <c r="A20274" s="3" t="str">
        <f>IFERROR(__xludf.DUMMYFUNCTION("GOOGLETRANSLATE(A20274,""en"",""pt"")"),"DESLIGADA")</f>
        <v>DESLIGADA</v>
      </c>
      <c r="B20274" s="3">
        <v>0</v>
      </c>
    </row>
    <row r="20275" ht="15.75" customHeight="1" spans="1:2">
      <c r="A20275" s="3" t="str">
        <f>IFERROR(__xludf.DUMMYFUNCTION("GOOGLETRANSLATE(A20275,""en"",""pt"")"),"quebra um monte ????")</f>
        <v>quebra um monte ????</v>
      </c>
      <c r="B20275" s="3">
        <v>0</v>
      </c>
    </row>
    <row r="20276" ht="15.75" customHeight="1" spans="1:2">
      <c r="A20276" s="3" t="str">
        <f>IFERROR(__xludf.DUMMYFUNCTION("GOOGLETRANSLATE(A20276,""en"",""pt"")"),"Tanto tempo para começar!")</f>
        <v>Tanto tempo para começar!</v>
      </c>
      <c r="B20276" s="3">
        <v>0</v>
      </c>
    </row>
    <row r="20277" ht="15.75" customHeight="1" spans="1:2">
      <c r="A20277" s="3" t="str">
        <f>IFERROR(__xludf.DUMMYFUNCTION("GOOGLETRANSLATE(A20277,""en"",""pt"")"),"o uso de tinta; cabeças entupidos, a confiabilidade pode ser um problema w / o uso extensivo.")</f>
        <v>o uso de tinta; cabeças entupidos, a confiabilidade pode ser um problema w / o uso extensivo.</v>
      </c>
      <c r="B20277" s="3">
        <v>0</v>
      </c>
    </row>
    <row r="20278" ht="15.75" customHeight="1" spans="1:2">
      <c r="A20278" s="3" t="str">
        <f>IFERROR(__xludf.DUMMYFUNCTION("GOOGLETRANSLATE(A20278,""en"",""pt"")"),"Não é bom o suficiente para artistas profissionais.")</f>
        <v>Não é bom o suficiente para artistas profissionais.</v>
      </c>
      <c r="B20278" s="3">
        <v>0</v>
      </c>
    </row>
    <row r="20279" ht="15.75" customHeight="1" spans="1:2">
      <c r="A20279" s="3" t="str">
        <f>IFERROR(__xludf.DUMMYFUNCTION("GOOGLETRANSLATE(A20279,""en"",""pt"")"),"Se uma cor vai, em seguida, todo o cartucho colorido precisa ser substituído.")</f>
        <v>Se uma cor vai, em seguida, todo o cartucho colorido precisa ser substituído.</v>
      </c>
      <c r="B20279" s="3">
        <v>0</v>
      </c>
    </row>
    <row r="20280" ht="15.75" customHeight="1" spans="1:2">
      <c r="A20280" s="3" t="str">
        <f>IFERROR(__xludf.DUMMYFUNCTION("GOOGLETRANSLATE(A20280,""en"",""pt"")"),"O FILHOTE Faz Tons Of Noise! Se você se importa?")</f>
        <v>O FILHOTE Faz Tons Of Noise! Se você se importa?</v>
      </c>
      <c r="B20280" s="3">
        <v>0</v>
      </c>
    </row>
    <row r="20281" ht="15.75" customHeight="1" spans="1:2">
      <c r="A20281" s="3" t="str">
        <f>IFERROR(__xludf.DUMMYFUNCTION("GOOGLETRANSLATE(A20281,""en"",""pt"")"),"problemas de driver, pobre controle do painel, ineficiente uso de tinta, impressão Problemas de qualidade")</f>
        <v>problemas de driver, pobre controle do painel, ineficiente uso de tinta, impressão Problemas de qualidade</v>
      </c>
      <c r="B20281" s="3">
        <v>0</v>
      </c>
    </row>
    <row r="20282" ht="15.75" customHeight="1" spans="1:2">
      <c r="A20282" s="3" t="str">
        <f>IFERROR(__xludf.DUMMYFUNCTION("GOOGLETRANSLATE(A20282,""en"",""pt"")"),"impressora de grande")</f>
        <v>impressora de grande</v>
      </c>
      <c r="B20282" s="3">
        <v>0</v>
      </c>
    </row>
    <row r="20283" ht="15.75" customHeight="1" spans="1:2">
      <c r="A20283" s="3" t="str">
        <f>IFERROR(__xludf.DUMMYFUNCTION("GOOGLETRANSLATE(A20283,""en"",""pt"")"),"Loud, avarias cabeça de impressão, não muito sensível")</f>
        <v>Loud, avarias cabeça de impressão, não muito sensível</v>
      </c>
      <c r="B20283" s="3">
        <v>0</v>
      </c>
    </row>
    <row r="20284" ht="15.75" customHeight="1" spans="1:2">
      <c r="A20284" s="3" t="str">
        <f>IFERROR(__xludf.DUMMYFUNCTION("GOOGLETRANSLATE(A20284,""en"",""pt"")"),"Nenhum")</f>
        <v>Nenhum</v>
      </c>
      <c r="B20284" s="3">
        <v>0</v>
      </c>
    </row>
    <row r="20285" ht="15.75" customHeight="1" spans="1:2">
      <c r="A20285" s="3" t="str">
        <f>IFERROR(__xludf.DUMMYFUNCTION("GOOGLETRANSLATE(A20285,""en"",""pt"")"),"Loud, fora cartuchos de marca têm entupimento problema, repor após ficar sem papel")</f>
        <v>Loud, fora cartuchos de marca têm entupimento problema, repor após ficar sem papel</v>
      </c>
      <c r="B20285" s="3">
        <v>0</v>
      </c>
    </row>
    <row r="20286" ht="15.75" customHeight="1" spans="1:2">
      <c r="A20286" s="3" t="str">
        <f>IFERROR(__xludf.DUMMYFUNCTION("GOOGLETRANSLATE(A20286,""en"",""pt"")"),"Um pouco alto.")</f>
        <v>Um pouco alto.</v>
      </c>
      <c r="B20286" s="3">
        <v>0</v>
      </c>
    </row>
    <row r="20287" ht="15.75" customHeight="1" spans="1:2">
      <c r="A20287" s="3" t="str">
        <f>IFERROR(__xludf.DUMMYFUNCTION("GOOGLETRANSLATE(A20287,""en"",""pt"")"),"sua Unreliable")</f>
        <v>sua Unreliable</v>
      </c>
      <c r="B20287" s="3">
        <v>0</v>
      </c>
    </row>
    <row r="20288" ht="15.75" customHeight="1" spans="1:2">
      <c r="A20288" s="3" t="str">
        <f>IFERROR(__xludf.DUMMYFUNCTION("GOOGLETRANSLATE(A20288,""en"",""pt"")"),"Muito má qualidade de impressão após ano de uso. feito barata")</f>
        <v>Muito má qualidade de impressão após ano de uso. feito barata</v>
      </c>
      <c r="B20288" s="3">
        <v>0</v>
      </c>
    </row>
    <row r="20289" ht="15.75" customHeight="1" spans="1:2">
      <c r="A20289" s="3" t="str">
        <f>IFERROR(__xludf.DUMMYFUNCTION("GOOGLETRANSLATE(A20289,""en"",""pt"")"),"cabeças de tinta entupir se não for usada a cada semana, mas é facilmente corrigido.")</f>
        <v>cabeças de tinta entupir se não for usada a cada semana, mas é facilmente corrigido.</v>
      </c>
      <c r="B20289" s="3">
        <v>0</v>
      </c>
    </row>
    <row r="20290" ht="15.75" customHeight="1" spans="1:2">
      <c r="A20290" s="3" t="str">
        <f>IFERROR(__xludf.DUMMYFUNCTION("GOOGLETRANSLATE(A20290,""en"",""pt"")"),"Nem as melhores fotos dos quartos, um pouco lento com texto")</f>
        <v>Nem as melhores fotos dos quartos, um pouco lento com texto</v>
      </c>
      <c r="B20290" s="3">
        <v>0</v>
      </c>
    </row>
    <row r="20291" ht="15.75" customHeight="1" spans="1:2">
      <c r="A20291" s="3" t="str">
        <f>IFERROR(__xludf.DUMMYFUNCTION("GOOGLETRANSLATE(A20291,""en"",""pt"")"),"Nenhum!")</f>
        <v>Nenhum!</v>
      </c>
      <c r="B20291" s="3">
        <v>0</v>
      </c>
    </row>
    <row r="20292" ht="15.75" customHeight="1" spans="1:2">
      <c r="A20292" s="3" t="str">
        <f>IFERROR(__xludf.DUMMYFUNCTION("GOOGLETRANSLATE(A20292,""en"",""pt"")"),"muito barulhento")</f>
        <v>muito barulhento</v>
      </c>
      <c r="B20292" s="3">
        <v>0</v>
      </c>
    </row>
    <row r="20293" ht="15.75" customHeight="1" spans="1:2">
      <c r="A20293" s="3" t="str">
        <f>IFERROR(__xludf.DUMMYFUNCTION("GOOGLETRANSLATE(A20293,""en"",""pt"")"),"engasga com grandes arquivos de imagem, software driver tem melhor interface")</f>
        <v>engasga com grandes arquivos de imagem, software driver tem melhor interface</v>
      </c>
      <c r="B20293" s="3">
        <v>0</v>
      </c>
    </row>
    <row r="20294" ht="15.75" customHeight="1" spans="1:2">
      <c r="A20294" s="3" t="str">
        <f>IFERROR(__xludf.DUMMYFUNCTION("GOOGLETRANSLATE(A20294,""en"",""pt"")"),"qualidade de impressão ruim, compotas, mau serviço")</f>
        <v>qualidade de impressão ruim, compotas, mau serviço</v>
      </c>
      <c r="B20294" s="3">
        <v>0</v>
      </c>
    </row>
    <row r="20295" ht="15.75" customHeight="1" spans="1:2">
      <c r="A20295" s="3" t="str">
        <f>IFERROR(__xludf.DUMMYFUNCTION("GOOGLETRANSLATE(A20295,""en"",""pt"")"),"É apenas um pouco barulhento")</f>
        <v>É apenas um pouco barulhento</v>
      </c>
      <c r="B20295" s="3">
        <v>0</v>
      </c>
    </row>
    <row r="20296" ht="15.75" customHeight="1" spans="1:2">
      <c r="A20296" s="3" t="str">
        <f>IFERROR(__xludf.DUMMYFUNCTION("GOOGLETRANSLATE(A20296,""en"",""pt"")"),"cartuchos caros; extremamente barulhento; geléias.")</f>
        <v>cartuchos caros; extremamente barulhento; geléias.</v>
      </c>
      <c r="B20296" s="3">
        <v>0</v>
      </c>
    </row>
    <row r="20297" ht="15.75" customHeight="1" spans="1:2">
      <c r="A20297" s="3" t="str">
        <f>IFERROR(__xludf.DUMMYFUNCTION("GOOGLETRANSLATE(A20297,""en"",""pt"")"),"mau condutor, papel especial caro, qualidade média sub em papel comum")</f>
        <v>mau condutor, papel especial caro, qualidade média sub em papel comum</v>
      </c>
      <c r="B20297" s="3">
        <v>0</v>
      </c>
    </row>
    <row r="20298" ht="15.75" customHeight="1" spans="1:2">
      <c r="A20298" s="3" t="str">
        <f>IFERROR(__xludf.DUMMYFUNCTION("GOOGLETRANSLATE(A20298,""en"",""pt"")"),"Nenhum até agora")</f>
        <v>Nenhum até agora</v>
      </c>
      <c r="B20298" s="3">
        <v>0</v>
      </c>
    </row>
    <row r="20299" ht="15.75" customHeight="1" spans="1:2">
      <c r="A20299" s="3" t="str">
        <f>IFERROR(__xludf.DUMMYFUNCTION("GOOGLETRANSLATE(A20299,""en"",""pt"")")," Pode ser barulhento e leva um tempo para imprimir uma vez ligado")</f>
        <v> Pode ser barulhento e leva um tempo para imprimir uma vez ligado</v>
      </c>
      <c r="B20299" s="3">
        <v>0</v>
      </c>
    </row>
    <row r="20300" ht="15.75" customHeight="1" spans="1:2">
      <c r="A20300" s="3" t="str">
        <f>IFERROR(__xludf.DUMMYFUNCTION("GOOGLETRANSLATE(A20300,""en"",""pt"")"),"Não o mais rápido ou mais poderoso")</f>
        <v>Não o mais rápido ou mais poderoso</v>
      </c>
      <c r="B20300" s="3">
        <v>0</v>
      </c>
    </row>
    <row r="20301" ht="15.75" customHeight="1" spans="1:2">
      <c r="A20301" s="3" t="str">
        <f>IFERROR(__xludf.DUMMYFUNCTION("GOOGLETRANSLATE(A20301,""en"",""pt"")"),"ok qualidade")</f>
        <v>ok qualidade</v>
      </c>
      <c r="B20301" s="3">
        <v>0</v>
      </c>
    </row>
    <row r="20302" ht="15.75" customHeight="1" spans="1:2">
      <c r="A20302" s="3" t="str">
        <f>IFERROR(__xludf.DUMMYFUNCTION("GOOGLETRANSLATE(A20302,""en"",""pt"")"),"Bad construção, design frágil, inútil")</f>
        <v>Bad construção, design frágil, inútil</v>
      </c>
      <c r="B20302" s="3">
        <v>0</v>
      </c>
    </row>
    <row r="20303" ht="15.75" customHeight="1" spans="1:2">
      <c r="A20303" s="3" t="str">
        <f>IFERROR(__xludf.DUMMYFUNCTION("GOOGLETRANSLATE(A20303,""en"",""pt"")"),"Lento; Precisa de papel especial de boa aparência; não built-in porta USB")</f>
        <v>Lento; Precisa de papel especial de boa aparência; não built-in porta USB</v>
      </c>
      <c r="B20303" s="3">
        <v>0</v>
      </c>
    </row>
    <row r="20304" ht="15.75" customHeight="1" spans="1:2">
      <c r="A20304" s="3" t="str">
        <f>IFERROR(__xludf.DUMMYFUNCTION("GOOGLETRANSLATE(A20304,""en"",""pt"")"),"software truques para você usar mais tinta, cartuchos de tinta não duram muito tempo")</f>
        <v>software truques para você usar mais tinta, cartuchos de tinta não duram muito tempo</v>
      </c>
      <c r="B20304" s="3">
        <v>0</v>
      </c>
    </row>
    <row r="20305" ht="15.75" customHeight="1" spans="1:2">
      <c r="A20305" s="3" t="str">
        <f>IFERROR(__xludf.DUMMYFUNCTION("GOOGLETRANSLATE(A20305,""en"",""pt"")"),"operação cara, a baixa confiabilidade, barulhento")</f>
        <v>operação cara, a baixa confiabilidade, barulhento</v>
      </c>
      <c r="B20305" s="3">
        <v>0</v>
      </c>
    </row>
    <row r="20306" ht="15.75" customHeight="1" spans="1:2">
      <c r="A20306" s="3" t="str">
        <f>IFERROR(__xludf.DUMMYFUNCTION("GOOGLETRANSLATE(A20306,""en"",""pt"")"),"Caro para operar, lento, alguns problemas de confiabilidade")</f>
        <v>Caro para operar, lento, alguns problemas de confiabilidade</v>
      </c>
      <c r="B20306" s="3">
        <v>0</v>
      </c>
    </row>
    <row r="20307" ht="15.75" customHeight="1" spans="1:2">
      <c r="A20307" s="3" t="str">
        <f>IFERROR(__xludf.DUMMYFUNCTION("GOOGLETRANSLATE(A20307,""en"",""pt"")"),"Ficar sem tinta com demasiada frequência")</f>
        <v>Ficar sem tinta com demasiada frequência</v>
      </c>
      <c r="B20307" s="3">
        <v>0</v>
      </c>
    </row>
    <row r="20308" ht="15.75" customHeight="1" spans="1:2">
      <c r="A20308" s="3" t="str">
        <f>IFERROR(__xludf.DUMMYFUNCTION("GOOGLETRANSLATE(A20308,""en"",""pt"")"),"lento em comparação com algumas outras impressoras")</f>
        <v>lento em comparação com algumas outras impressoras</v>
      </c>
      <c r="B20308" s="3">
        <v>0</v>
      </c>
    </row>
    <row r="20309" ht="15.75" customHeight="1" spans="1:2">
      <c r="A20309" s="3" t="str">
        <f>IFERROR(__xludf.DUMMYFUNCTION("GOOGLETRANSLATE(A20309,""en"",""pt"")"),"atolamentos de papel, de acesso ao cartucho de tinta, a qualidade de impressão")</f>
        <v>atolamentos de papel, de acesso ao cartucho de tinta, a qualidade de impressão</v>
      </c>
      <c r="B20309" s="3">
        <v>0</v>
      </c>
    </row>
    <row r="20310" ht="15.75" customHeight="1" spans="1:2">
      <c r="A20310" s="3" t="str">
        <f>IFERROR(__xludf.DUMMYFUNCTION("GOOGLETRANSLATE(A20310,""en"",""pt"")"),"Mais lento para imprimir")</f>
        <v>Mais lento para imprimir</v>
      </c>
      <c r="B20310" s="3">
        <v>0</v>
      </c>
    </row>
    <row r="20311" ht="15.75" customHeight="1" spans="1:2">
      <c r="A20311" s="3" t="str">
        <f>IFERROR(__xludf.DUMMYFUNCTION("GOOGLETRANSLATE(A20311,""en"",""pt"")"),"Nenhum")</f>
        <v>Nenhum</v>
      </c>
      <c r="B20311" s="3">
        <v>0</v>
      </c>
    </row>
    <row r="20312" ht="15.75" customHeight="1" spans="1:2">
      <c r="A20312" s="3" t="str">
        <f>IFERROR(__xludf.DUMMYFUNCTION("GOOGLETRANSLATE(A20312,""en"",""pt"")"),"Não funciona bem com papel comum e usa muita tinta")</f>
        <v>Não funciona bem com papel comum e usa muita tinta</v>
      </c>
      <c r="B20312" s="3">
        <v>0</v>
      </c>
    </row>
    <row r="20313" ht="15.75" customHeight="1" spans="1:2">
      <c r="A20313" s="3" t="str">
        <f>IFERROR(__xludf.DUMMYFUNCTION("GOOGLETRANSLATE(A20313,""en"",""pt"")"),"Lento, bebe tinta, difícil de operar")</f>
        <v>Lento, bebe tinta, difícil de operar</v>
      </c>
      <c r="B20313" s="3">
        <v>0</v>
      </c>
    </row>
    <row r="20314" ht="15.75" customHeight="1" spans="1:2">
      <c r="A20314" s="3" t="str">
        <f>IFERROR(__xludf.DUMMYFUNCTION("GOOGLETRANSLATE(A20314,""en"",""pt"")"),"Um pouco caro para usar")</f>
        <v>Um pouco caro para usar</v>
      </c>
      <c r="B20314" s="3">
        <v>0</v>
      </c>
    </row>
    <row r="20315" ht="15.75" customHeight="1" spans="1:2">
      <c r="A20315" s="3" t="str">
        <f>IFERROR(__xludf.DUMMYFUNCTION("GOOGLETRANSLATE(A20315,""en"",""pt"")"),"cabo USB teve de ser adquirido separadamente")</f>
        <v>cabo USB teve de ser adquirido separadamente</v>
      </c>
      <c r="B20315" s="3">
        <v>0</v>
      </c>
    </row>
    <row r="20316" ht="15.75" customHeight="1" spans="1:2">
      <c r="A20316" s="3" t="str">
        <f>IFERROR(__xludf.DUMMYFUNCTION("GOOGLETRANSLATE(A20316,""en"",""pt"")"),"atolamentos de papel, tinta caro, impressão torto, má qualidade de impressão")</f>
        <v>atolamentos de papel, tinta caro, impressão torto, má qualidade de impressão</v>
      </c>
      <c r="B20316" s="3">
        <v>0</v>
      </c>
    </row>
    <row r="20317" ht="15.75" customHeight="1" spans="1:2">
      <c r="A20317" s="3" t="str">
        <f>IFERROR(__xludf.DUMMYFUNCTION("GOOGLETRANSLATE(A20317,""en"",""pt"")"),"utiliza muita tinta, pode ser cloggy")</f>
        <v>utiliza muita tinta, pode ser cloggy</v>
      </c>
      <c r="B20317" s="3">
        <v>0</v>
      </c>
    </row>
    <row r="20318" ht="15.75" customHeight="1" spans="1:2">
      <c r="A20318" s="3" t="str">
        <f>IFERROR(__xludf.DUMMYFUNCTION("GOOGLETRANSLATE(A20318,""en"",""pt"")"),"????")</f>
        <v>????</v>
      </c>
      <c r="B20318" s="3">
        <v>0</v>
      </c>
    </row>
    <row r="20319" ht="15.75" customHeight="1" spans="1:2">
      <c r="A20319" s="3" t="str">
        <f>IFERROR(__xludf.DUMMYFUNCTION("GOOGLETRANSLATE(A20319,""en"",""pt"")"),"ruído, o fato de que ele quebrou")</f>
        <v>ruído, o fato de que ele quebrou</v>
      </c>
      <c r="B20319" s="3">
        <v>0</v>
      </c>
    </row>
    <row r="20320" ht="15.75" customHeight="1" spans="1:2">
      <c r="A20320" s="3" t="str">
        <f>IFERROR(__xludf.DUMMYFUNCTION("GOOGLETRANSLATE(A20320,""en"",""pt"")"),"Barulhento")</f>
        <v>Barulhento</v>
      </c>
      <c r="B20320" s="3">
        <v>0</v>
      </c>
    </row>
    <row r="20321" ht="15.75" customHeight="1" spans="1:2">
      <c r="A20321" s="3" t="str">
        <f>IFERROR(__xludf.DUMMYFUNCTION("GOOGLETRANSLATE(A20321,""en"",""pt"")"),"cartuchos de tinta um pouco caros")</f>
        <v>cartuchos de tinta um pouco caros</v>
      </c>
      <c r="B20321" s="3">
        <v>0</v>
      </c>
    </row>
    <row r="20322" ht="15.75" customHeight="1" spans="1:2">
      <c r="A20322" s="3" t="str">
        <f>IFERROR(__xludf.DUMMYFUNCTION("GOOGLETRANSLATE(A20322,""en"",""pt"")"),"Loud, um pouco lento e ocupa muito espaço")</f>
        <v>Loud, um pouco lento e ocupa muito espaço</v>
      </c>
      <c r="B20322" s="3">
        <v>0</v>
      </c>
    </row>
    <row r="20323" ht="15.75" customHeight="1" spans="1:2">
      <c r="A20323" s="3" t="str">
        <f>IFERROR(__xludf.DUMMYFUNCTION("GOOGLETRANSLATE(A20323,""en"",""pt"")"),"impressão muito ruim qualidade de impressão em modo rápido, problemas com o Windows ME motorista.")</f>
        <v>impressão muito ruim qualidade de impressão em modo rápido, problemas com o Windows ME motorista.</v>
      </c>
      <c r="B20323" s="3">
        <v>0</v>
      </c>
    </row>
    <row r="20324" ht="15.75" customHeight="1" spans="1:2">
      <c r="A20324" s="3" t="str">
        <f>IFERROR(__xludf.DUMMYFUNCTION("GOOGLETRANSLATE(A20324,""en"",""pt"")"),"volumosos pouco levemente,")</f>
        <v>volumosos pouco levemente,</v>
      </c>
      <c r="B20324" s="3">
        <v>0</v>
      </c>
    </row>
    <row r="20325" ht="15.75" customHeight="1" spans="1:2">
      <c r="A20325" s="3" t="str">
        <f>IFERROR(__xludf.DUMMYFUNCTION("GOOGLETRANSLATE(A20325,""en"",""pt"")"),"custos de tinta original e uso")</f>
        <v>custos de tinta original e uso</v>
      </c>
      <c r="B20325" s="3">
        <v>0</v>
      </c>
    </row>
    <row r="20326" ht="15.75" customHeight="1" spans="1:2">
      <c r="A20326" s="3" t="str">
        <f>IFERROR(__xludf.DUMMYFUNCTION("GOOGLETRANSLATE(A20326,""en"",""pt"")"),"Lento.")</f>
        <v>Lento.</v>
      </c>
      <c r="B20326" s="3">
        <v>0</v>
      </c>
    </row>
    <row r="20327" ht="15.75" customHeight="1" spans="1:2">
      <c r="A20327" s="3" t="str">
        <f>IFERROR(__xludf.DUMMYFUNCTION("GOOGLETRANSLATE(A20327,""en"",""pt"")"),"Não rápido, não particularmente barato para ser executado")</f>
        <v>Não rápido, não particularmente barato para ser executado</v>
      </c>
      <c r="B20327" s="3">
        <v>0</v>
      </c>
    </row>
    <row r="20328" ht="15.75" customHeight="1" spans="1:2">
      <c r="A20328" s="3" t="str">
        <f>IFERROR(__xludf.DUMMYFUNCTION("GOOGLETRANSLATE(A20328,""en"",""pt"")"),"uma velocidade de impressão pouco lento")</f>
        <v>uma velocidade de impressão pouco lento</v>
      </c>
      <c r="B20328" s="3">
        <v>0</v>
      </c>
    </row>
    <row r="20329" ht="15.75" customHeight="1" spans="1:2">
      <c r="A20329" s="3" t="str">
        <f>IFERROR(__xludf.DUMMYFUNCTION("GOOGLETRANSLATE(A20329,""en"",""pt"")"),"A durabilidade é questionável, preço por página parece alta, suporte de driver limitada, não pode imprimir em ambos os lados da página")</f>
        <v>A durabilidade é questionável, preço por página parece alta, suporte de driver limitada, não pode imprimir em ambos os lados da página</v>
      </c>
      <c r="B20329" s="3">
        <v>0</v>
      </c>
    </row>
    <row r="20330" ht="15.75" customHeight="1" spans="1:2">
      <c r="A20330" s="3" t="str">
        <f>IFERROR(__xludf.DUMMYFUNCTION("GOOGLETRANSLATE(A20330,""en"",""pt"")"),"um pouco lento, leva um tempo para iniciar")</f>
        <v>um pouco lento, leva um tempo para iniciar</v>
      </c>
      <c r="B20330" s="3">
        <v>0</v>
      </c>
    </row>
    <row r="20331" ht="15.75" customHeight="1" spans="1:2">
      <c r="A20331" s="3" t="str">
        <f>IFERROR(__xludf.DUMMYFUNCTION("GOOGLETRANSLATE(A20331,""en"",""pt"")"),"Difícil dizer quando você está fora de tinta.")</f>
        <v>Difícil dizer quando você está fora de tinta.</v>
      </c>
      <c r="B20331" s="3">
        <v>0</v>
      </c>
    </row>
    <row r="20332" ht="15.75" customHeight="1" spans="1:2">
      <c r="A20332" s="3" t="str">
        <f>IFERROR(__xludf.DUMMYFUNCTION("GOOGLETRANSLATE(A20332,""en"",""pt"")"),"Leva pelo menos 5-10 minutos antes de começar a impressão")</f>
        <v>Leva pelo menos 5-10 minutos antes de começar a impressão</v>
      </c>
      <c r="B20332" s="3">
        <v>0</v>
      </c>
    </row>
    <row r="20333" ht="15.75" customHeight="1" spans="1:2">
      <c r="A20333" s="3" t="str">
        <f>IFERROR(__xludf.DUMMYFUNCTION("GOOGLETRANSLATE(A20333,""en"",""pt"")"),"jogo de cores, suporte técnico")</f>
        <v>jogo de cores, suporte técnico</v>
      </c>
      <c r="B20333" s="3">
        <v>0</v>
      </c>
    </row>
    <row r="20334" ht="15.75" customHeight="1" spans="1:2">
      <c r="A20334" s="3" t="str">
        <f>IFERROR(__xludf.DUMMYFUNCTION("GOOGLETRANSLATE(A20334,""en"",""pt"")"),"Necessidade de acelerar um pouco. Confundindo indicador do nível de tinta depois de uma mudança do cartucho.")</f>
        <v>Necessidade de acelerar um pouco. Confundindo indicador do nível de tinta depois de uma mudança do cartucho.</v>
      </c>
      <c r="B20334" s="3">
        <v>0</v>
      </c>
    </row>
    <row r="20335" ht="15.75" customHeight="1" spans="1:2">
      <c r="A20335" s="3" t="str">
        <f>IFERROR(__xludf.DUMMYFUNCTION("GOOGLETRANSLATE(A20335,""en"",""pt"")"),"Noisy, Software Aged")</f>
        <v>Noisy, Software Aged</v>
      </c>
      <c r="B20335" s="3">
        <v>0</v>
      </c>
    </row>
    <row r="20336" ht="15.75" customHeight="1" spans="1:2">
      <c r="A20336" s="3" t="str">
        <f>IFERROR(__xludf.DUMMYFUNCTION("GOOGLETRANSLATE(A20336,""en"",""pt"")"),"So-so texto papel comum, tinteiros ficar sem bicos um pouco rápido, entupidos.")</f>
        <v>So-so texto papel comum, tinteiros ficar sem bicos um pouco rápido, entupidos.</v>
      </c>
      <c r="B20336" s="3">
        <v>0</v>
      </c>
    </row>
    <row r="20337" ht="15.75" customHeight="1" spans="1:2">
      <c r="A20337" s="3" t="str">
        <f>IFERROR(__xludf.DUMMYFUNCTION("GOOGLETRANSLATE(A20337,""en"",""pt"")"),"problemas de USB quando usado com ME.")</f>
        <v>problemas de USB quando usado com ME.</v>
      </c>
      <c r="B20337" s="3">
        <v>0</v>
      </c>
    </row>
    <row r="20338" ht="15.75" customHeight="1" spans="1:2">
      <c r="A20338" s="3" t="str">
        <f>IFERROR(__xludf.DUMMYFUNCTION("GOOGLETRANSLATE(A20338,""en"",""pt"")"),"Falta de confiabilidade. Lento.")</f>
        <v>Falta de confiabilidade. Lento.</v>
      </c>
      <c r="B20338" s="3">
        <v>0</v>
      </c>
    </row>
    <row r="20339" ht="15.75" customHeight="1" spans="1:2">
      <c r="A20339" s="3" t="str">
        <f>IFERROR(__xludf.DUMMYFUNCTION("GOOGLETRANSLATE(A20339,""en"",""pt"")"),"Fui maneira louca demasiado cedo. Tudo bagunçado.")</f>
        <v>Fui maneira louca demasiado cedo. Tudo bagunçado.</v>
      </c>
      <c r="B20339" s="3">
        <v>0</v>
      </c>
    </row>
    <row r="20340" ht="15.75" customHeight="1" spans="1:2">
      <c r="A20340" s="3" t="str">
        <f>IFERROR(__xludf.DUMMYFUNCTION("GOOGLETRANSLATE(A20340,""en"",""pt"")"),"Os cartuchos de tinta são caros.")</f>
        <v>Os cartuchos de tinta são caros.</v>
      </c>
      <c r="B20340" s="3">
        <v>0</v>
      </c>
    </row>
    <row r="20341" ht="15.75" customHeight="1" spans="1:2">
      <c r="A20341" s="3" t="str">
        <f>IFERROR(__xludf.DUMMYFUNCTION("GOOGLETRANSLATE(A20341,""en"",""pt"")"),"cartuchos vezes entupir, não pára de atolamentos de papel.")</f>
        <v>cartuchos vezes entupir, não pára de atolamentos de papel.</v>
      </c>
      <c r="B20341" s="3">
        <v>0</v>
      </c>
    </row>
    <row r="20342" ht="15.75" customHeight="1" spans="1:2">
      <c r="A20342" s="3" t="str">
        <f>IFERROR(__xludf.DUMMYFUNCTION("GOOGLETRANSLATE(A20342,""en"",""pt"")"),"Suga o seu cartuchos de tinta seca")</f>
        <v>Suga o seu cartuchos de tinta seca</v>
      </c>
      <c r="B20342" s="3">
        <v>0</v>
      </c>
    </row>
    <row r="20343" ht="15.75" customHeight="1" spans="1:2">
      <c r="A20343" s="3" t="str">
        <f>IFERROR(__xludf.DUMMYFUNCTION("GOOGLETRANSLATE(A20343,""en"",""pt"")"),"Serviço")</f>
        <v>Serviço</v>
      </c>
      <c r="B20343" s="3">
        <v>0</v>
      </c>
    </row>
    <row r="20344" ht="15.75" customHeight="1" spans="1:2">
      <c r="A20344" s="3" t="str">
        <f>IFERROR(__xludf.DUMMYFUNCTION("GOOGLETRANSLATE(A20344,""en"",""pt"")"),"Volumoso a bandeja put")</f>
        <v>Volumoso a bandeja put</v>
      </c>
      <c r="B20344" s="3">
        <v>0</v>
      </c>
    </row>
    <row r="20345" ht="15.75" customHeight="1" spans="1:2">
      <c r="A20345" s="3" t="str">
        <f>IFERROR(__xludf.DUMMYFUNCTION("GOOGLETRANSLATE(A20345,""en"",""pt"")"),"Nenhum")</f>
        <v>Nenhum</v>
      </c>
      <c r="B20345" s="3">
        <v>0</v>
      </c>
    </row>
    <row r="20346" ht="15.75" customHeight="1" spans="1:2">
      <c r="A20346" s="3" t="str">
        <f>IFERROR(__xludf.DUMMYFUNCTION("GOOGLETRANSLATE(A20346,""en"",""pt"")"),"Sensível ao papel utilizado, grande pegada")</f>
        <v>Sensível ao papel utilizado, grande pegada</v>
      </c>
      <c r="B20346" s="3">
        <v>0</v>
      </c>
    </row>
    <row r="20347" ht="15.75" customHeight="1" spans="1:2">
      <c r="A20347" s="3" t="str">
        <f>IFERROR(__xludf.DUMMYFUNCTION("GOOGLETRANSLATE(A20347,""en"",""pt"")"),"Nenhum")</f>
        <v>Nenhum</v>
      </c>
      <c r="B20347" s="3">
        <v>0</v>
      </c>
    </row>
    <row r="20348" ht="15.75" customHeight="1" spans="1:2">
      <c r="A20348" s="3" t="str">
        <f>IFERROR(__xludf.DUMMYFUNCTION("GOOGLETRANSLATE(A20348,""en"",""pt"")"),"os cartuchos de tinta são caros da Epson!")</f>
        <v>os cartuchos de tinta são caros da Epson!</v>
      </c>
      <c r="B20348" s="3">
        <v>0</v>
      </c>
    </row>
    <row r="20349" ht="15.75" customHeight="1" spans="1:2">
      <c r="A20349" s="3" t="str">
        <f>IFERROR(__xludf.DUMMYFUNCTION("GOOGLETRANSLATE(A20349,""en"",""pt"")"),"Acorda os vizinhos quando você ligá-lo")</f>
        <v>Acorda os vizinhos quando você ligá-lo</v>
      </c>
      <c r="B20349" s="3">
        <v>0</v>
      </c>
    </row>
    <row r="20350" ht="15.75" customHeight="1" spans="1:2">
      <c r="A20350" s="3" t="str">
        <f>IFERROR(__xludf.DUMMYFUNCTION("GOOGLETRANSLATE(A20350,""en"",""pt"")"),"Eu não gosto de bandeja de papel (mas todos eles são praticamente configurado dessa forma agora)")</f>
        <v>Eu não gosto de bandeja de papel (mas todos eles são praticamente configurado dessa forma agora)</v>
      </c>
      <c r="B20350" s="3">
        <v>0</v>
      </c>
    </row>
    <row r="20351" ht="15.75" customHeight="1" spans="1:2">
      <c r="A20351" s="3" t="str">
        <f>IFERROR(__xludf.DUMMYFUNCTION("GOOGLETRANSLATE(A20351,""en"",""pt"")"),"Você tem que primavera para o papel de fantasia para melhores resultados")</f>
        <v>Você tem que primavera para o papel de fantasia para melhores resultados</v>
      </c>
      <c r="B20351" s="3">
        <v>0</v>
      </c>
    </row>
    <row r="20352" ht="15.75" customHeight="1" spans="1:2">
      <c r="A20352" s="3" t="str">
        <f>IFERROR(__xludf.DUMMYFUNCTION("GOOGLETRANSLATE(A20352,""en"",""pt"")"),"Pobre reprodução de fotos coloridas, barulhento")</f>
        <v>Pobre reprodução de fotos coloridas, barulhento</v>
      </c>
      <c r="B20352" s="3">
        <v>0</v>
      </c>
    </row>
    <row r="20353" ht="15.75" customHeight="1" spans="1:2">
      <c r="A20353" s="3" t="str">
        <f>IFERROR(__xludf.DUMMYFUNCTION("GOOGLETRANSLATE(A20353,""en"",""pt"")"),"Nenhuma volta automática em")</f>
        <v>Nenhuma volta automática em</v>
      </c>
      <c r="B20353" s="3">
        <v>0</v>
      </c>
    </row>
    <row r="20354" ht="15.75" customHeight="1" spans="1:2">
      <c r="A20354" s="3" t="str">
        <f>IFERROR(__xludf.DUMMYFUNCTION("GOOGLETRANSLATE(A20354,""en"",""pt"")"),"morreu prematuramente, lento para começar")</f>
        <v>morreu prematuramente, lento para começar</v>
      </c>
      <c r="B20354" s="3">
        <v>0</v>
      </c>
    </row>
    <row r="20355" ht="15.75" customHeight="1" spans="1:2">
      <c r="A20355" s="3" t="str">
        <f>IFERROR(__xludf.DUMMYFUNCTION("GOOGLETRANSLATE(A20355,""en"",""pt"")"),"Passa através da tinta rapidamente")</f>
        <v>Passa através da tinta rapidamente</v>
      </c>
      <c r="B20355" s="3">
        <v>0</v>
      </c>
    </row>
    <row r="20356" ht="15.75" customHeight="1" spans="1:2">
      <c r="A20356" s="3" t="str">
        <f>IFERROR(__xludf.DUMMYFUNCTION("GOOGLETRANSLATE(A20356,""en"",""pt"")"),"Desejo-lo impresso mais rápido")</f>
        <v>Desejo-lo impresso mais rápido</v>
      </c>
      <c r="B20356" s="3">
        <v>0</v>
      </c>
    </row>
    <row r="20357" ht="15.75" customHeight="1" spans="1:2">
      <c r="A20357" s="3" t="str">
        <f>IFERROR(__xludf.DUMMYFUNCTION("GOOGLETRANSLATE(A20357,""en"",""pt"")"),"tinta vai ficar caro, lento, texto jato de tinta pode manchar.")</f>
        <v>tinta vai ficar caro, lento, texto jato de tinta pode manchar.</v>
      </c>
      <c r="B20357" s="3">
        <v>0</v>
      </c>
    </row>
    <row r="20358" ht="15.75" customHeight="1" spans="1:2">
      <c r="A20358" s="3" t="str">
        <f>IFERROR(__xludf.DUMMYFUNCTION("GOOGLETRANSLATE(A20358,""en"",""pt"")"),"saída Foto de cor requer papel especial para melhores resultados")</f>
        <v>saída Foto de cor requer papel especial para melhores resultados</v>
      </c>
      <c r="B20358" s="3">
        <v>0</v>
      </c>
    </row>
    <row r="20359" ht="15.75" customHeight="1" spans="1:2">
      <c r="A20359" s="3" t="str">
        <f>IFERROR(__xludf.DUMMYFUNCTION("GOOGLETRANSLATE(A20359,""en"",""pt"")"),"Lento")</f>
        <v>Lento</v>
      </c>
      <c r="B20359" s="3">
        <v>0</v>
      </c>
    </row>
    <row r="20360" ht="15.75" customHeight="1" spans="1:2">
      <c r="A20360" s="3" t="str">
        <f>IFERROR(__xludf.DUMMYFUNCTION("GOOGLETRANSLATE(A20360,""en"",""pt"")"),"faz um pouco de ruído, leva tempo nos trabalhos de impressão de qualidade")</f>
        <v>faz um pouco de ruído, leva tempo nos trabalhos de impressão de qualidade</v>
      </c>
      <c r="B20360" s="3">
        <v>0</v>
      </c>
    </row>
    <row r="20361" ht="15.75" customHeight="1" spans="1:2">
      <c r="A20361" s="3" t="str">
        <f>IFERROR(__xludf.DUMMYFUNCTION("GOOGLETRANSLATE(A20361,""en"",""pt"")"),"Nenhum")</f>
        <v>Nenhum</v>
      </c>
      <c r="B20361" s="3">
        <v>0</v>
      </c>
    </row>
    <row r="20362" ht="15.75" customHeight="1" spans="1:2">
      <c r="A20362" s="3" t="str">
        <f>IFERROR(__xludf.DUMMYFUNCTION("GOOGLETRANSLATE(A20362,""en"",""pt"")"),"Pode ser um porco de tinta, por vezes,")</f>
        <v>Pode ser um porco de tinta, por vezes,</v>
      </c>
      <c r="B20362" s="3">
        <v>0</v>
      </c>
    </row>
    <row r="20363" ht="15.75" customHeight="1" spans="1:2">
      <c r="A20363" s="3" t="str">
        <f>IFERROR(__xludf.DUMMYFUNCTION("GOOGLETRANSLATE(A20363,""en"",""pt"")"),"barato")</f>
        <v>barato</v>
      </c>
      <c r="B20363" s="3">
        <v>0</v>
      </c>
    </row>
    <row r="20364" ht="15.75" customHeight="1" spans="1:2">
      <c r="A20364" s="3" t="str">
        <f>IFERROR(__xludf.DUMMYFUNCTION("GOOGLETRANSLATE(A20364,""en"",""pt"")"),"tinta goles, pobre reliabilty")</f>
        <v>tinta goles, pobre reliabilty</v>
      </c>
      <c r="B20364" s="3">
        <v>0</v>
      </c>
    </row>
    <row r="20365" ht="15.75" customHeight="1" spans="1:2">
      <c r="A20365" s="3" t="str">
        <f>IFERROR(__xludf.DUMMYFUNCTION("GOOGLETRANSLATE(A20365,""en"",""pt"")"),"cartuchos de tinta vazios bastante rápido")</f>
        <v>cartuchos de tinta vazios bastante rápido</v>
      </c>
      <c r="B20365" s="3">
        <v>0</v>
      </c>
    </row>
    <row r="20366" ht="15.75" customHeight="1" spans="1:2">
      <c r="A20366" s="3" t="str">
        <f>IFERROR(__xludf.DUMMYFUNCTION("GOOGLETRANSLATE(A20366,""en"",""pt"")"),"Chefes entupir facilmente, mecanismo de alimentação com defeito, mau serviço ao cliente.")</f>
        <v>Chefes entupir facilmente, mecanismo de alimentação com defeito, mau serviço ao cliente.</v>
      </c>
      <c r="B20366" s="3">
        <v>0</v>
      </c>
    </row>
    <row r="20367" ht="15.75" customHeight="1" spans="1:2">
      <c r="A20367" s="3" t="str">
        <f>IFERROR(__xludf.DUMMYFUNCTION("GOOGLETRANSLATE(A20367,""en"",""pt"")"),"Problemático, muito aquecer vezes, beberrão de tinta, jammer papel")</f>
        <v>Problemático, muito aquecer vezes, beberrão de tinta, jammer papel</v>
      </c>
      <c r="B20367" s="3">
        <v>0</v>
      </c>
    </row>
    <row r="20368" ht="15.75" customHeight="1" spans="1:2">
      <c r="A20368" s="3" t="str">
        <f>IFERROR(__xludf.DUMMYFUNCTION("GOOGLETRANSLATE(A20368,""en"",""pt"")"),"problemas de USB; não confiável.")</f>
        <v>problemas de USB; não confiável.</v>
      </c>
      <c r="B20368" s="3">
        <v>0</v>
      </c>
    </row>
    <row r="20369" ht="15.75" customHeight="1" spans="1:2">
      <c r="A20369" s="3" t="str">
        <f>IFERROR(__xludf.DUMMYFUNCTION("GOOGLETRANSLATE(A20369,""en"",""pt"")"),"Nenhum.")</f>
        <v>Nenhum.</v>
      </c>
      <c r="B20369" s="3">
        <v>0</v>
      </c>
    </row>
    <row r="20370" ht="15.75" customHeight="1" spans="1:2">
      <c r="A20370" s="3" t="str">
        <f>IFERROR(__xludf.DUMMYFUNCTION("GOOGLETRANSLATE(A20370,""en"",""pt"")"),"configuração impossível")</f>
        <v>configuração impossível</v>
      </c>
      <c r="B20370" s="3">
        <v>0</v>
      </c>
    </row>
    <row r="20371" ht="15.75" customHeight="1" spans="1:2">
      <c r="A20371" s="3" t="str">
        <f>IFERROR(__xludf.DUMMYFUNCTION("GOOGLETRANSLATE(A20371,""en"",""pt"")"),"não muito elegante para alto")</f>
        <v>não muito elegante para alto</v>
      </c>
      <c r="B20371" s="3">
        <v>0</v>
      </c>
    </row>
    <row r="20372" ht="15.75" customHeight="1" spans="1:2">
      <c r="A20372" s="3" t="str">
        <f>IFERROR(__xludf.DUMMYFUNCTION("GOOGLETRANSLATE(A20372,""en"",""pt"")"),"tinta é caro")</f>
        <v>tinta é caro</v>
      </c>
      <c r="B20372" s="3">
        <v>0</v>
      </c>
    </row>
    <row r="20373" ht="15.75" customHeight="1" spans="1:2">
      <c r="A20373" s="3" t="str">
        <f>IFERROR(__xludf.DUMMYFUNCTION("GOOGLETRANSLATE(A20373,""en"",""pt"")"),"pense tinta")</f>
        <v>pense tinta</v>
      </c>
      <c r="B20373" s="3">
        <v>0</v>
      </c>
    </row>
    <row r="20374" ht="15.75" customHeight="1" spans="1:2">
      <c r="A20374" s="3" t="str">
        <f>IFERROR(__xludf.DUMMYFUNCTION("GOOGLETRANSLATE(A20374,""en"",""pt"")"),"todo o resto")</f>
        <v>todo o resto</v>
      </c>
      <c r="B20374" s="3">
        <v>0</v>
      </c>
    </row>
    <row r="20375" ht="15.75" customHeight="1" spans="1:2">
      <c r="A20375" s="3" t="str">
        <f>IFERROR(__xludf.DUMMYFUNCTION("GOOGLETRANSLATE(A20375,""en"",""pt"")"),"Nenhum cabo USB incluído")</f>
        <v>Nenhum cabo USB incluído</v>
      </c>
      <c r="B20375" s="3">
        <v>0</v>
      </c>
    </row>
    <row r="20376" ht="15.75" customHeight="1" spans="1:2">
      <c r="A20376" s="3" t="str">
        <f>IFERROR(__xludf.DUMMYFUNCTION("GOOGLETRANSLATE(A20376,""en"",""pt"")"),"Eu não gosto do tanque único para a minha tinta de cor. Eu gosto das cores individuais, como a tinta canhão has.The duram mais quando você tem cores individuais para substituir e não um único tanque como a Epson tem.")</f>
        <v>Eu não gosto do tanque único para a minha tinta de cor. Eu gosto das cores individuais, como a tinta canhão has.The duram mais quando você tem cores individuais para substituir e não um único tanque como a Epson tem.</v>
      </c>
      <c r="B20376" s="3">
        <v>0</v>
      </c>
    </row>
    <row r="20377" ht="15.75" customHeight="1" spans="1:2">
      <c r="A20377" s="3" t="str">
        <f>IFERROR(__xludf.DUMMYFUNCTION("GOOGLETRANSLATE(A20377,""en"",""pt"")"),"Faixas pretas / coags após algumas folhas")</f>
        <v>Faixas pretas / coags após algumas folhas</v>
      </c>
      <c r="B20377" s="3">
        <v>0</v>
      </c>
    </row>
    <row r="20378" ht="15.75" customHeight="1" spans="1:2">
      <c r="A20378" s="3" t="str">
        <f>IFERROR(__xludf.DUMMYFUNCTION("GOOGLETRANSLATE(A20378,""en"",""pt"")"),"alto, um pouco irritante instalar")</f>
        <v>alto, um pouco irritante instalar</v>
      </c>
      <c r="B20378" s="3">
        <v>0</v>
      </c>
    </row>
    <row r="20379" ht="15.75" customHeight="1" spans="1:2">
      <c r="A20379" s="3" t="str">
        <f>IFERROR(__xludf.DUMMYFUNCTION("GOOGLETRANSLATE(A20379,""en"",""pt"")"),"Nenhum.")</f>
        <v>Nenhum.</v>
      </c>
      <c r="B20379" s="3">
        <v>0</v>
      </c>
    </row>
    <row r="20380" ht="15.75" customHeight="1" spans="1:2">
      <c r="A20380" s="3" t="str">
        <f>IFERROR(__xludf.DUMMYFUNCTION("GOOGLETRANSLATE(A20380,""en"",""pt"")"),"o que há para não gostar?")</f>
        <v>o que há para não gostar?</v>
      </c>
      <c r="B20380" s="3">
        <v>0</v>
      </c>
    </row>
    <row r="20381" ht="15.75" customHeight="1" spans="1:2">
      <c r="A20381" s="3" t="str">
        <f>IFERROR(__xludf.DUMMYFUNCTION("GOOGLETRANSLATE(A20381,""en"",""pt"")"),"Bandeja de papel irritante")</f>
        <v>Bandeja de papel irritante</v>
      </c>
      <c r="B20381" s="3">
        <v>0</v>
      </c>
    </row>
    <row r="20382" ht="15.75" customHeight="1" spans="1:2">
      <c r="A20382" s="3" t="str">
        <f>IFERROR(__xludf.DUMMYFUNCTION("GOOGLETRANSLATE(A20382,""en"",""pt"")"),"Nenhum")</f>
        <v>Nenhum</v>
      </c>
      <c r="B20382" s="3">
        <v>0</v>
      </c>
    </row>
    <row r="20383" ht="15.75" customHeight="1" spans="1:2">
      <c r="A20383" s="3" t="str">
        <f>IFERROR(__xludf.DUMMYFUNCTION("GOOGLETRANSLATE(A20383,""en"",""pt"")"),"software Mac irritante, trabalhar em rede")</f>
        <v>software Mac irritante, trabalhar em rede</v>
      </c>
      <c r="B20383" s="3">
        <v>0</v>
      </c>
    </row>
    <row r="20384" ht="15.75" customHeight="1" spans="1:2">
      <c r="A20384" s="3" t="str">
        <f>IFERROR(__xludf.DUMMYFUNCTION("GOOGLETRANSLATE(A20384,""en"",""pt"")"),"Incompatíveis com o Windows 98! Serviço ruim")</f>
        <v>Incompatíveis com o Windows 98! Serviço ruim</v>
      </c>
      <c r="B20384" s="3">
        <v>0</v>
      </c>
    </row>
    <row r="20385" ht="15.75" customHeight="1" spans="1:2">
      <c r="A20385" s="3" t="str">
        <f>IFERROR(__xludf.DUMMYFUNCTION("GOOGLETRANSLATE(A20385,""en"",""pt"")"),"AVG velocidade")</f>
        <v>AVG velocidade</v>
      </c>
      <c r="B20385" s="3">
        <v>0</v>
      </c>
    </row>
    <row r="20386" ht="15.75" customHeight="1" spans="1:2">
      <c r="A20386" s="3" t="str">
        <f>IFERROR(__xludf.DUMMYFUNCTION("GOOGLETRANSLATE(A20386,""en"",""pt"")"),"Eu não tenho nenhum")</f>
        <v>Eu não tenho nenhum</v>
      </c>
      <c r="B20386" s="3">
        <v>0</v>
      </c>
    </row>
    <row r="20387" ht="15.75" customHeight="1" spans="1:2">
      <c r="A20387" s="3" t="str">
        <f>IFERROR(__xludf.DUMMYFUNCTION("GOOGLETRANSLATE(A20387,""en"",""pt"")"),"Lento e Noisy no arranque")</f>
        <v>Lento e Noisy no arranque</v>
      </c>
      <c r="B20387" s="3">
        <v>0</v>
      </c>
    </row>
    <row r="20388" ht="15.75" customHeight="1" spans="1:2">
      <c r="A20388" s="3" t="str">
        <f>IFERROR(__xludf.DUMMYFUNCTION("GOOGLETRANSLATE(A20388,""en"",""pt"")"),"custo de cartuchos")</f>
        <v>custo de cartuchos</v>
      </c>
      <c r="B20388" s="3">
        <v>0</v>
      </c>
    </row>
    <row r="20389" ht="15.75" customHeight="1" spans="1:2">
      <c r="A20389" s="3" t="str">
        <f>IFERROR(__xludf.DUMMYFUNCTION("GOOGLETRANSLATE(A20389,""en"",""pt"")"),"gosta de atolamento de papel, por vezes, mas rara")</f>
        <v>gosta de atolamento de papel, por vezes, mas rara</v>
      </c>
      <c r="B20389" s="3">
        <v>0</v>
      </c>
    </row>
    <row r="20390" ht="15.75" customHeight="1" spans="1:2">
      <c r="A20390" s="3" t="str">
        <f>IFERROR(__xludf.DUMMYFUNCTION("GOOGLETRANSLATE(A20390,""en"",""pt"")"),"6 ppm")</f>
        <v>6 ppm</v>
      </c>
      <c r="B20390" s="3">
        <v>0</v>
      </c>
    </row>
    <row r="20391" ht="15.75" customHeight="1" spans="1:2">
      <c r="A20391" s="3" t="str">
        <f>IFERROR(__xludf.DUMMYFUNCTION("GOOGLETRANSLATE(A20391,""en"",""pt"")"),"Nenhum")</f>
        <v>Nenhum</v>
      </c>
      <c r="B20391" s="3">
        <v>0</v>
      </c>
    </row>
    <row r="20392" ht="15.75" customHeight="1" spans="1:2">
      <c r="A20392" s="3" t="str">
        <f>IFERROR(__xludf.DUMMYFUNCTION("GOOGLETRANSLATE(A20392,""en"",""pt"")"),"Lentas, altas, não muito melhor em qualidade que outras impressoras mesma faixa de preço")</f>
        <v>Lentas, altas, não muito melhor em qualidade que outras impressoras mesma faixa de preço</v>
      </c>
      <c r="B20392" s="3">
        <v>0</v>
      </c>
    </row>
    <row r="20393" ht="15.75" customHeight="1" spans="1:2">
      <c r="A20393" s="3" t="str">
        <f>IFERROR(__xludf.DUMMYFUNCTION("GOOGLETRANSLATE(A20393,""en"",""pt"")"),"Alto custo de Cartidges de jacto de tinta.")</f>
        <v>Alto custo de Cartidges de jacto de tinta.</v>
      </c>
      <c r="B20393" s="3">
        <v>0</v>
      </c>
    </row>
    <row r="20394" ht="15.75" customHeight="1" spans="1:2">
      <c r="A20394" s="3" t="str">
        <f>IFERROR(__xludf.DUMMYFUNCTION("GOOGLETRANSLATE(A20394,""en"",""pt"")"),"Eles não são livres ..........")</f>
        <v>Eles não são livres ..........</v>
      </c>
      <c r="B20394" s="3">
        <v>0</v>
      </c>
    </row>
    <row r="20395" ht="15.75" customHeight="1" spans="1:2">
      <c r="A20395" s="3" t="str">
        <f>IFERROR(__xludf.DUMMYFUNCTION("GOOGLETRANSLATE(A20395,""en"",""pt"")"),"custo do cartucho")</f>
        <v>custo do cartucho</v>
      </c>
      <c r="B20395" s="3">
        <v>0</v>
      </c>
    </row>
    <row r="20396" ht="15.75" customHeight="1" spans="1:2">
      <c r="A20396" s="3" t="str">
        <f>IFERROR(__xludf.DUMMYFUNCTION("GOOGLETRANSLATE(A20396,""en"",""pt"")"),"impressões em voz alta")</f>
        <v>impressões em voz alta</v>
      </c>
      <c r="B20396" s="3">
        <v>0</v>
      </c>
    </row>
    <row r="20397" ht="15.75" customHeight="1" spans="1:2">
      <c r="A20397" s="3" t="str">
        <f>IFERROR(__xludf.DUMMYFUNCTION("GOOGLETRANSLATE(A20397,""en"",""pt"")"),"Nenhum")</f>
        <v>Nenhum</v>
      </c>
      <c r="B20397" s="3">
        <v>0</v>
      </c>
    </row>
    <row r="20398" ht="15.75" customHeight="1" spans="1:2">
      <c r="A20398" s="3" t="str">
        <f>IFERROR(__xludf.DUMMYFUNCTION("GOOGLETRANSLATE(A20398,""en"",""pt"")"),"instalação no disco, SLOW")</f>
        <v>instalação no disco, SLOW</v>
      </c>
      <c r="B20398" s="3">
        <v>0</v>
      </c>
    </row>
    <row r="20399" ht="15.75" customHeight="1" spans="1:2">
      <c r="A20399" s="3" t="str">
        <f>IFERROR(__xludf.DUMMYFUNCTION("GOOGLETRANSLATE(A20399,""en"",""pt"")"),"impressão a cores pode ser lenta em resoluções mais altas")</f>
        <v>impressão a cores pode ser lenta em resoluções mais altas</v>
      </c>
      <c r="B20399" s="3">
        <v>0</v>
      </c>
    </row>
    <row r="20400" ht="15.75" customHeight="1" spans="1:2">
      <c r="A20400" s="3" t="str">
        <f>IFERROR(__xludf.DUMMYFUNCTION("GOOGLETRANSLATE(A20400,""en"",""pt"")"),"Não foi possível obter impressora para trabalhar com o computador Windows 98")</f>
        <v>Não foi possível obter impressora para trabalhar com o computador Windows 98</v>
      </c>
      <c r="B20400" s="3">
        <v>0</v>
      </c>
    </row>
    <row r="20401" ht="15.75" customHeight="1" spans="1:2">
      <c r="A20401" s="3" t="str">
        <f>IFERROR(__xludf.DUMMYFUNCTION("GOOGLETRANSLATE(A20401,""en"",""pt"")"),"-Sub par impressão de papel liso, texto sangramento")</f>
        <v>-Sub par impressão de papel liso, texto sangramento</v>
      </c>
      <c r="B20401" s="3">
        <v>0</v>
      </c>
    </row>
    <row r="20402" ht="15.75" customHeight="1" spans="1:2">
      <c r="A20402" s="3" t="str">
        <f>IFERROR(__xludf.DUMMYFUNCTION("GOOGLETRANSLATE(A20402,""en"",""pt"")"),"nenhum ainda")</f>
        <v>nenhum ainda</v>
      </c>
      <c r="B20402" s="3">
        <v>0</v>
      </c>
    </row>
    <row r="20403" ht="15.75" customHeight="1" spans="1:2">
      <c r="A20403" s="3" t="str">
        <f>IFERROR(__xludf.DUMMYFUNCTION("GOOGLETRANSLATE(A20403,""en"",""pt"")"),"impressão de fotos lento em resoluções de alta qualidade")</f>
        <v>impressão de fotos lento em resoluções de alta qualidade</v>
      </c>
      <c r="B20403" s="3">
        <v>0</v>
      </c>
    </row>
    <row r="20404" ht="15.75" customHeight="1" spans="1:2">
      <c r="A20404" s="3" t="str">
        <f>IFERROR(__xludf.DUMMYFUNCTION("GOOGLETRANSLATE(A20404,""en"",""pt"")"),"impressões tão bom, você estará gastando muito $ em papel!")</f>
        <v>impressões tão bom, você estará gastando muito $ em papel!</v>
      </c>
      <c r="B20404" s="3">
        <v>0</v>
      </c>
    </row>
    <row r="20405" ht="15.75" customHeight="1" spans="1:2">
      <c r="A20405" s="3" t="str">
        <f>IFERROR(__xludf.DUMMYFUNCTION("GOOGLETRANSLATE(A20405,""en"",""pt"")"),"impressão de qualidade fotográfica lenta")</f>
        <v>impressão de qualidade fotográfica lenta</v>
      </c>
      <c r="B20405" s="3">
        <v>0</v>
      </c>
    </row>
    <row r="20406" ht="15.75" customHeight="1" spans="1:2">
      <c r="A20406" s="3" t="str">
        <f>IFERROR(__xludf.DUMMYFUNCTION("GOOGLETRANSLATE(A20406,""en"",""pt"")"),"Não extremamente rápido")</f>
        <v>Não extremamente rápido</v>
      </c>
      <c r="B20406" s="3">
        <v>0</v>
      </c>
    </row>
    <row r="20407" ht="15.75" customHeight="1" spans="1:2">
      <c r="A20407" s="3" t="str">
        <f>IFERROR(__xludf.DUMMYFUNCTION("GOOGLETRANSLATE(A20407,""en"",""pt"")"),"Ele fica sem papel! (Mudo piada)")</f>
        <v>Ele fica sem papel! (Mudo piada)</v>
      </c>
      <c r="B20407" s="3">
        <v>0</v>
      </c>
    </row>
    <row r="20408" ht="15.75" customHeight="1" spans="1:2">
      <c r="A20408" s="3" t="str">
        <f>IFERROR(__xludf.DUMMYFUNCTION("GOOGLETRANSLATE(A20408,""en"",""pt"")"),"Noisy, qualidade não é tão boa")</f>
        <v>Noisy, qualidade não é tão boa</v>
      </c>
      <c r="B20408" s="3">
        <v>0</v>
      </c>
    </row>
    <row r="20409" ht="15.75" customHeight="1" spans="1:2">
      <c r="A20409" s="3" t="str">
        <f>IFERROR(__xludf.DUMMYFUNCTION("GOOGLETRANSLATE(A20409,""en"",""pt"")"),"NaNH")</f>
        <v>NaNH</v>
      </c>
      <c r="B20409" s="3">
        <v>0</v>
      </c>
    </row>
    <row r="20410" ht="15.75" customHeight="1" spans="1:2">
      <c r="A20410" s="3" t="str">
        <f>IFERROR(__xludf.DUMMYFUNCTION("GOOGLETRANSLATE(A20410,""en"",""pt"")"),"Tinta acabar rapidamente, baixa qualidade de impressão, preço")</f>
        <v>Tinta acabar rapidamente, baixa qualidade de impressão, preço</v>
      </c>
      <c r="B20410" s="3">
        <v>0</v>
      </c>
    </row>
    <row r="20411" ht="15.75" customHeight="1" spans="1:2">
      <c r="A20411" s="3" t="str">
        <f>IFERROR(__xludf.DUMMYFUNCTION("GOOGLETRANSLATE(A20411,""en"",""pt"")"),"Cartucho de tinta funciona para fora um pouco rápido demais")</f>
        <v>Cartucho de tinta funciona para fora um pouco rápido demais</v>
      </c>
      <c r="B20411" s="3">
        <v>0</v>
      </c>
    </row>
    <row r="20412" ht="15.75" customHeight="1" spans="1:2">
      <c r="A20412" s="3" t="str">
        <f>IFERROR(__xludf.DUMMYFUNCTION("GOOGLETRANSLATE(A20412,""en"",""pt"")")," sua pancada")</f>
        <v> sua pancada</v>
      </c>
      <c r="B20412" s="3">
        <v>0</v>
      </c>
    </row>
    <row r="20413" ht="15.75" customHeight="1" spans="1:2">
      <c r="A20413" s="3" t="str">
        <f>IFERROR(__xludf.DUMMYFUNCTION("GOOGLETRANSLATE(A20413,""en"",""pt"")"),"saída de texto não superior qualidade, barulhento por vezes, ciclo de limpeza é longo")</f>
        <v>saída de texto não superior qualidade, barulhento por vezes, ciclo de limpeza é longo</v>
      </c>
      <c r="B20413" s="3">
        <v>0</v>
      </c>
    </row>
    <row r="20414" ht="15.75" customHeight="1" spans="1:2">
      <c r="A20414" s="3" t="str">
        <f>IFERROR(__xludf.DUMMYFUNCTION("GOOGLETRANSLATE(A20414,""en"",""pt"")"),"Correção de cor é um pouco confuso.")</f>
        <v>Correção de cor é um pouco confuso.</v>
      </c>
      <c r="B20414" s="3">
        <v>0</v>
      </c>
    </row>
    <row r="20415" ht="15.75" customHeight="1" spans="1:2">
      <c r="A20415" s="3" t="str">
        <f>IFERROR(__xludf.DUMMYFUNCTION("GOOGLETRANSLATE(A20415,""en"",""pt"")"),"Alto quando em rápido imprimir.")</f>
        <v>Alto quando em rápido imprimir.</v>
      </c>
      <c r="B20415" s="3">
        <v>0</v>
      </c>
    </row>
    <row r="20416" ht="15.75" customHeight="1" spans="1:2">
      <c r="A20416" s="3" t="str">
        <f>IFERROR(__xludf.DUMMYFUNCTION("GOOGLETRANSLATE(A20416,""en"",""pt"")"),"um pouco lento no get-up-and-go")</f>
        <v>um pouco lento no get-up-and-go</v>
      </c>
      <c r="B20416" s="3">
        <v>0</v>
      </c>
    </row>
    <row r="20417" ht="15.75" customHeight="1" spans="1:2">
      <c r="A20417" s="3" t="str">
        <f>IFERROR(__xludf.DUMMYFUNCTION("GOOGLETRANSLATE(A20417,""en"",""pt"")"),"Suporte técnico")</f>
        <v>Suporte técnico</v>
      </c>
      <c r="B20417" s="3">
        <v>0</v>
      </c>
    </row>
    <row r="20418" ht="15.75" customHeight="1" spans="1:2">
      <c r="A20418" s="3" t="str">
        <f>IFERROR(__xludf.DUMMYFUNCTION("GOOGLETRANSLATE(A20418,""en"",""pt"")"),"saída de papel comum não tão acentuada, lento nos modos de alta qualidade")</f>
        <v>saída de papel comum não tão acentuada, lento nos modos de alta qualidade</v>
      </c>
      <c r="B20418" s="3">
        <v>0</v>
      </c>
    </row>
    <row r="20419" ht="15.75" customHeight="1" spans="1:2">
      <c r="A20419" s="3" t="str">
        <f>IFERROR(__xludf.DUMMYFUNCTION("GOOGLETRANSLATE(A20419,""en"",""pt"")"),"limpeza da cabeça é alto e lento, operação USB podem não ser confiáveis.")</f>
        <v>limpeza da cabeça é alto e lento, operação USB podem não ser confiáveis.</v>
      </c>
      <c r="B20419" s="3">
        <v>0</v>
      </c>
    </row>
    <row r="20420" ht="15.75" customHeight="1" spans="1:2">
      <c r="A20420" s="3" t="str">
        <f>IFERROR(__xludf.DUMMYFUNCTION("GOOGLETRANSLATE(A20420,""en"",""pt"")"),"área de cobertura maior do que algumas impressoras")</f>
        <v>área de cobertura maior do que algumas impressoras</v>
      </c>
      <c r="B20420" s="3">
        <v>0</v>
      </c>
    </row>
    <row r="20421" ht="15.75" customHeight="1" spans="1:2">
      <c r="A20421" s="3" t="str">
        <f>IFERROR(__xludf.DUMMYFUNCTION("GOOGLETRANSLATE(A20421,""en"",""pt"")"),"consumo de tinta tremenda, encravamentos de papel frequentes")</f>
        <v>consumo de tinta tremenda, encravamentos de papel frequentes</v>
      </c>
      <c r="B20421" s="3">
        <v>0</v>
      </c>
    </row>
    <row r="20422" ht="15.75" customHeight="1" spans="1:2">
      <c r="A20422" s="3" t="str">
        <f>IFERROR(__xludf.DUMMYFUNCTION("GOOGLETRANSLATE(A20422,""en"",""pt"")"),"Problemas de detecção com cores e papel")</f>
        <v>Problemas de detecção com cores e papel</v>
      </c>
      <c r="B20422" s="3">
        <v>0</v>
      </c>
    </row>
    <row r="20423" ht="15.75" customHeight="1" spans="1:2">
      <c r="A20423" s="3" t="str">
        <f>IFERROR(__xludf.DUMMYFUNCTION("GOOGLETRANSLATE(A20423,""en"",""pt"")"),"passa por tinta rapidamente e é muito alto")</f>
        <v>passa por tinta rapidamente e é muito alto</v>
      </c>
      <c r="B20423" s="3">
        <v>0</v>
      </c>
    </row>
    <row r="20424" ht="15.75" customHeight="1" spans="1:2">
      <c r="A20424" s="3" t="str">
        <f>IFERROR(__xludf.DUMMYFUNCTION("GOOGLETRANSLATE(A20424,""en"",""pt"")"),"Eu tive problemas com os motoristas, mas atualizações fixo-lo rápido.")</f>
        <v>Eu tive problemas com os motoristas, mas atualizações fixo-lo rápido.</v>
      </c>
      <c r="B20424" s="3">
        <v>0</v>
      </c>
    </row>
    <row r="20425" ht="15.75" customHeight="1" spans="1:2">
      <c r="A20425" s="3" t="str">
        <f>IFERROR(__xludf.DUMMYFUNCTION("GOOGLETRANSLATE(A20425,""en"",""pt"")"),"cartuchos de jacto de tinta muito caro.")</f>
        <v>cartuchos de jacto de tinta muito caro.</v>
      </c>
      <c r="B20425" s="3">
        <v>0</v>
      </c>
    </row>
    <row r="20426" ht="15.75" customHeight="1" spans="1:2">
      <c r="A20426" s="3" t="str">
        <f>IFERROR(__xludf.DUMMYFUNCTION("GOOGLETRANSLATE(A20426,""en"",""pt"")"),"consumo de tinta.")</f>
        <v>consumo de tinta.</v>
      </c>
      <c r="B20426" s="3">
        <v>0</v>
      </c>
    </row>
    <row r="20427" ht="15.75" customHeight="1" spans="1:2">
      <c r="A20427" s="3" t="str">
        <f>IFERROR(__xludf.DUMMYFUNCTION("GOOGLETRANSLATE(A20427,""en"",""pt"")"),"gosta tinta")</f>
        <v>gosta tinta</v>
      </c>
      <c r="B20427" s="3">
        <v>0</v>
      </c>
    </row>
    <row r="20428" ht="15.75" customHeight="1" spans="1:2">
      <c r="A20428" s="3" t="str">
        <f>IFERROR(__xludf.DUMMYFUNCTION("GOOGLETRANSLATE(A20428,""en"",""pt"")"),"Não confiável, barulhento")</f>
        <v>Não confiável, barulhento</v>
      </c>
      <c r="B20428" s="3">
        <v>0</v>
      </c>
    </row>
    <row r="20429" ht="15.75" customHeight="1" spans="1:2">
      <c r="A20429" s="3" t="str">
        <f>IFERROR(__xludf.DUMMYFUNCTION("GOOGLETRANSLATE(A20429,""en"",""pt"")"),"NENHUM")</f>
        <v>NENHUM</v>
      </c>
      <c r="B20429" s="3">
        <v>0</v>
      </c>
    </row>
    <row r="20430" ht="15.75" customHeight="1" spans="1:2">
      <c r="A20430" s="3" t="str">
        <f>IFERROR(__xludf.DUMMYFUNCTION("GOOGLETRANSLATE(A20430,""en"",""pt"")"),"fiabilidade questionável, curto tempo de vida do cartucho de tinta")</f>
        <v>fiabilidade questionável, curto tempo de vida do cartucho de tinta</v>
      </c>
      <c r="B20430" s="3">
        <v>0</v>
      </c>
    </row>
    <row r="20431" ht="15.75" customHeight="1" spans="1:2">
      <c r="A20431" s="3" t="str">
        <f>IFERROR(__xludf.DUMMYFUNCTION("GOOGLETRANSLATE(A20431,""en"",""pt"")"),"qualidade texto preto, não perto de um laser")</f>
        <v>qualidade texto preto, não perto de um laser</v>
      </c>
      <c r="B20431" s="3">
        <v>0</v>
      </c>
    </row>
    <row r="20432" ht="15.75" customHeight="1" spans="1:2">
      <c r="A20432" s="3" t="str">
        <f>IFERROR(__xludf.DUMMYFUNCTION("GOOGLETRANSLATE(A20432,""en"",""pt"")"),"software motorista de buggy em algumas configurações; consumíveis caros")</f>
        <v>software motorista de buggy em algumas configurações; consumíveis caros</v>
      </c>
      <c r="B20432" s="3">
        <v>0</v>
      </c>
    </row>
    <row r="20433" ht="15.75" customHeight="1" spans="1:2">
      <c r="A20433" s="3" t="str">
        <f>IFERROR(__xludf.DUMMYFUNCTION("GOOGLETRANSLATE(A20433,""en"",""pt"")"),"Nada que eu possa pensar em")</f>
        <v>Nada que eu possa pensar em</v>
      </c>
      <c r="B20433" s="3">
        <v>0</v>
      </c>
    </row>
    <row r="20434" ht="15.75" customHeight="1" spans="1:2">
      <c r="A20434" s="3" t="str">
        <f>IFERROR(__xludf.DUMMYFUNCTION("GOOGLETRANSLATE(A20434,""en"",""pt"")"),"consome tinta muito rápido")</f>
        <v>consome tinta muito rápido</v>
      </c>
      <c r="B20434" s="3">
        <v>0</v>
      </c>
    </row>
    <row r="20435" ht="15.75" customHeight="1" spans="1:2">
      <c r="A20435" s="3" t="str">
        <f>IFERROR(__xludf.DUMMYFUNCTION("GOOGLETRANSLATE(A20435,""en"",""pt"")"),"Colocar papel uma trabalheira")</f>
        <v>Colocar papel uma trabalheira</v>
      </c>
      <c r="B20435" s="3">
        <v>0</v>
      </c>
    </row>
    <row r="20436" ht="15.75" customHeight="1" spans="1:2">
      <c r="A20436" s="3" t="str">
        <f>IFERROR(__xludf.DUMMYFUNCTION("GOOGLETRANSLATE(A20436,""en"",""pt"")"),"Ruído, tamancos de tinta de pulverização, devora tinta")</f>
        <v>Ruído, tamancos de tinta de pulverização, devora tinta</v>
      </c>
      <c r="B20436" s="3">
        <v>0</v>
      </c>
    </row>
    <row r="20437" ht="15.75" customHeight="1" spans="1:2">
      <c r="A20437" s="3" t="str">
        <f>IFERROR(__xludf.DUMMYFUNCTION("GOOGLETRANSLATE(A20437,""en"",""pt"")"),"Nenhum")</f>
        <v>Nenhum</v>
      </c>
      <c r="B20437" s="3">
        <v>0</v>
      </c>
    </row>
    <row r="20438" ht="15.75" customHeight="1" spans="1:2">
      <c r="A20438" s="3" t="str">
        <f>IFERROR(__xludf.DUMMYFUNCTION("GOOGLETRANSLATE(A20438,""en"",""pt"")"),"Lento para iniciar, usa muita tinta")</f>
        <v>Lento para iniciar, usa muita tinta</v>
      </c>
      <c r="B20438" s="3">
        <v>0</v>
      </c>
    </row>
    <row r="20439" ht="15.75" customHeight="1" spans="1:2">
      <c r="A20439" s="3" t="str">
        <f>IFERROR(__xludf.DUMMYFUNCTION("GOOGLETRANSLATE(A20439,""en"",""pt"")"),"atolamentos de papel ocasional.")</f>
        <v>atolamentos de papel ocasional.</v>
      </c>
      <c r="B20439" s="3">
        <v>0</v>
      </c>
    </row>
    <row r="20440" ht="15.75" customHeight="1" spans="1:2">
      <c r="A20440" s="3" t="str">
        <f>IFERROR(__xludf.DUMMYFUNCTION("GOOGLETRANSLATE(A20440,""en"",""pt"")"),"problemas do envelope, sedentos de tinta")</f>
        <v>problemas do envelope, sedentos de tinta</v>
      </c>
      <c r="B20440" s="3">
        <v>0</v>
      </c>
    </row>
    <row r="20441" ht="15.75" customHeight="1" spans="1:2">
      <c r="A20441" s="3" t="str">
        <f>IFERROR(__xludf.DUMMYFUNCTION("GOOGLETRANSLATE(A20441,""en"",""pt"")"),"um pouco lento")</f>
        <v>um pouco lento</v>
      </c>
      <c r="B20441" s="3">
        <v>0</v>
      </c>
    </row>
    <row r="20442" ht="15.75" customHeight="1" spans="1:2">
      <c r="A20442" s="3" t="str">
        <f>IFERROR(__xludf.DUMMYFUNCTION("GOOGLETRANSLATE(A20442,""en"",""pt"")"),"Rapidez")</f>
        <v>Rapidez</v>
      </c>
      <c r="B20442" s="3">
        <v>0</v>
      </c>
    </row>
    <row r="20443" ht="15.75" customHeight="1" spans="1:2">
      <c r="A20443" s="3" t="str">
        <f>IFERROR(__xludf.DUMMYFUNCTION("GOOGLETRANSLATE(A20443,""en"",""pt"")"),"Um exercício frustrante em obsolescência planejada.")</f>
        <v>Um exercício frustrante em obsolescência planejada.</v>
      </c>
      <c r="B20443" s="3">
        <v>0</v>
      </c>
    </row>
    <row r="20444" ht="15.75" customHeight="1" spans="1:2">
      <c r="A20444" s="3" t="str">
        <f>IFERROR(__xludf.DUMMYFUNCTION("GOOGLETRANSLATE(A20444,""en"",""pt"")"),"recargas caro, cartuchos de secar muito rápido")</f>
        <v>recargas caro, cartuchos de secar muito rápido</v>
      </c>
      <c r="B20444" s="3">
        <v>0</v>
      </c>
    </row>
    <row r="20445" ht="15.75" customHeight="1" spans="1:2">
      <c r="A20445" s="3" t="str">
        <f>IFERROR(__xludf.DUMMYFUNCTION("GOOGLETRANSLATE(A20445,""en"",""pt"")"),"Nenhum que eu posso pensar")</f>
        <v>Nenhum que eu posso pensar</v>
      </c>
      <c r="B20445" s="3">
        <v>0</v>
      </c>
    </row>
    <row r="20446" ht="15.75" customHeight="1" spans="1:2">
      <c r="A20446" s="3" t="str">
        <f>IFERROR(__xludf.DUMMYFUNCTION("GOOGLETRANSLATE(A20446,""en"",""pt"")"),"Cartuchos de alto custo")</f>
        <v>Cartuchos de alto custo</v>
      </c>
      <c r="B20446" s="3">
        <v>0</v>
      </c>
    </row>
    <row r="20447" ht="15.75" customHeight="1" spans="1:2">
      <c r="A20447" s="3" t="str">
        <f>IFERROR(__xludf.DUMMYFUNCTION("GOOGLETRANSLATE(A20447,""en"",""pt"")"),"Sem cabo incluído")</f>
        <v>Sem cabo incluído</v>
      </c>
      <c r="B20447" s="3">
        <v>0</v>
      </c>
    </row>
    <row r="20448" ht="15.75" customHeight="1" spans="1:2">
      <c r="A20448" s="3" t="str">
        <f>IFERROR(__xludf.DUMMYFUNCTION("GOOGLETRANSLATE(A20448,""en"",""pt"")"),"motoristas não WinME, problemas em cores do photoshop")</f>
        <v>motoristas não WinME, problemas em cores do photoshop</v>
      </c>
      <c r="B20448" s="3">
        <v>0</v>
      </c>
    </row>
    <row r="20449" ht="15.75" customHeight="1" spans="1:2">
      <c r="A20449" s="3" t="str">
        <f>IFERROR(__xludf.DUMMYFUNCTION("GOOGLETRANSLATE(A20449,""en"",""pt"")"),"Não muito")</f>
        <v>Não muito</v>
      </c>
      <c r="B20449" s="3">
        <v>0</v>
      </c>
    </row>
    <row r="20450" ht="15.75" customHeight="1" spans="1:2">
      <c r="A20450" s="3" t="str">
        <f>IFERROR(__xludf.DUMMYFUNCTION("GOOGLETRANSLATE(A20450,""en"",""pt"")"),"cabo de conexão deve ser comprado em separado")</f>
        <v>cabo de conexão deve ser comprado em separado</v>
      </c>
      <c r="B20450" s="3">
        <v>0</v>
      </c>
    </row>
    <row r="20451" ht="15.75" customHeight="1" spans="1:2">
      <c r="A20451" s="3" t="str">
        <f>IFERROR(__xludf.DUMMYFUNCTION("GOOGLETRANSLATE(A20451,""en"",""pt"")"),"realmente não posso resmungar muito em tudo")</f>
        <v>realmente não posso resmungar muito em tudo</v>
      </c>
      <c r="B20451" s="3">
        <v>0</v>
      </c>
    </row>
    <row r="20452" ht="15.75" customHeight="1" spans="1:2">
      <c r="A20452" s="3" t="str">
        <f>IFERROR(__xludf.DUMMYFUNCTION("GOOGLETRANSLATE(A20452,""en"",""pt"")"),"problemas de interface do usb")</f>
        <v>problemas de interface do usb</v>
      </c>
      <c r="B20452" s="3">
        <v>0</v>
      </c>
    </row>
    <row r="20453" ht="15.75" customHeight="1" spans="1:2">
      <c r="A20453" s="3" t="str">
        <f>IFERROR(__xludf.DUMMYFUNCTION("GOOGLETRANSLATE(A20453,""en"",""pt"")"),"Um pouco lento, usa a tinta rapidamente.")</f>
        <v>Um pouco lento, usa a tinta rapidamente.</v>
      </c>
      <c r="B20453" s="3">
        <v>0</v>
      </c>
    </row>
    <row r="20454" ht="15.75" customHeight="1" spans="1:2">
      <c r="A20454" s="3" t="str">
        <f>IFERROR(__xludf.DUMMYFUNCTION("GOOGLETRANSLATE(A20454,""en"",""pt"")"),"Não funcionou com o meu iMac.")</f>
        <v>Não funcionou com o meu iMac.</v>
      </c>
      <c r="B20454" s="3">
        <v>0</v>
      </c>
    </row>
    <row r="20455" ht="15.75" customHeight="1" spans="1:2">
      <c r="A20455" s="3" t="str">
        <f>IFERROR(__xludf.DUMMYFUNCTION("GOOGLETRANSLATE(A20455,""en"",""pt"")"),"Nada até agora!")</f>
        <v>Nada até agora!</v>
      </c>
      <c r="B20455" s="3">
        <v>0</v>
      </c>
    </row>
    <row r="20456" ht="15.75" customHeight="1" spans="1:2">
      <c r="A20456" s="3" t="str">
        <f>IFERROR(__xludf.DUMMYFUNCTION("GOOGLETRANSLATE(A20456,""en"",""pt"")"),"tinta!")</f>
        <v>tinta!</v>
      </c>
      <c r="B20456" s="3">
        <v>0</v>
      </c>
    </row>
    <row r="20457" ht="15.75" customHeight="1" spans="1:2">
      <c r="A20457" s="3" t="str">
        <f>IFERROR(__xludf.DUMMYFUNCTION("GOOGLETRANSLATE(A20457,""en"",""pt"")"),"Um pouco barulhento")</f>
        <v>Um pouco barulhento</v>
      </c>
      <c r="B20457" s="3">
        <v>0</v>
      </c>
    </row>
    <row r="20458" ht="15.75" customHeight="1" spans="1:2">
      <c r="A20458" s="3" t="str">
        <f>IFERROR(__xludf.DUMMYFUNCTION("GOOGLETRANSLATE(A20458,""en"",""pt"")"),"relativamente barulhento e lento")</f>
        <v>relativamente barulhento e lento</v>
      </c>
      <c r="B20458" s="3">
        <v>0</v>
      </c>
    </row>
    <row r="20459" ht="15.75" customHeight="1" spans="1:2">
      <c r="A20459" s="3" t="str">
        <f>IFERROR(__xludf.DUMMYFUNCTION("GOOGLETRANSLATE(A20459,""en"",""pt"")"),"práticas de negócios de má qualidade por Epson")</f>
        <v>práticas de negócios de má qualidade por Epson</v>
      </c>
      <c r="B20459" s="3">
        <v>0</v>
      </c>
    </row>
    <row r="20460" ht="15.75" customHeight="1" spans="1:2">
      <c r="A20460" s="3" t="str">
        <f>IFERROR(__xludf.DUMMYFUNCTION("GOOGLETRANSLATE(A20460,""en"",""pt"")"),"Tinta não dura muito tempo")</f>
        <v>Tinta não dura muito tempo</v>
      </c>
      <c r="B20460" s="3">
        <v>0</v>
      </c>
    </row>
    <row r="20461" ht="15.75" customHeight="1" spans="1:2">
      <c r="A20461" s="3" t="str">
        <f>IFERROR(__xludf.DUMMYFUNCTION("GOOGLETRANSLATE(A20461,""en"",""pt"")"),"vem nos ver através de cores se você quer")</f>
        <v>vem nos ver através de cores se você quer</v>
      </c>
      <c r="B20461" s="3">
        <v>0</v>
      </c>
    </row>
    <row r="20462" ht="15.75" customHeight="1" spans="1:2">
      <c r="A20462" s="3" t="str">
        <f>IFERROR(__xludf.DUMMYFUNCTION("GOOGLETRANSLATE(A20462,""en"",""pt"")"),"Não para t-shirt de cores")</f>
        <v>Não para t-shirt de cores</v>
      </c>
      <c r="B20462" s="3">
        <v>0</v>
      </c>
    </row>
    <row r="20463" ht="15.75" customHeight="1" spans="1:2">
      <c r="A20463" s="3" t="str">
        <f>IFERROR(__xludf.DUMMYFUNCTION("GOOGLETRANSLATE(A20463,""en"",""pt"")"),"vai sangrar em boa estacionário, pode ser lento, único software ok")</f>
        <v>vai sangrar em boa estacionário, pode ser lento, único software ok</v>
      </c>
      <c r="B20463" s="3">
        <v>0</v>
      </c>
    </row>
    <row r="20464" ht="15.75" customHeight="1" spans="1:2">
      <c r="A20464" s="3" t="str">
        <f>IFERROR(__xludf.DUMMYFUNCTION("GOOGLETRANSLATE(A20464,""en"",""pt"")"),"Alto")</f>
        <v>Alto</v>
      </c>
      <c r="B20464" s="3">
        <v>0</v>
      </c>
    </row>
    <row r="20465" ht="15.75" customHeight="1" spans="1:2">
      <c r="A20465" s="3" t="str">
        <f>IFERROR(__xludf.DUMMYFUNCTION("GOOGLETRANSLATE(A20465,""en"",""pt"")"),"Lento, caro tinta")</f>
        <v>Lento, caro tinta</v>
      </c>
      <c r="B20465" s="3">
        <v>0</v>
      </c>
    </row>
    <row r="20466" ht="15.75" customHeight="1" spans="1:2">
      <c r="A20466" s="3" t="str">
        <f>IFERROR(__xludf.DUMMYFUNCTION("GOOGLETRANSLATE(A20466,""en"",""pt"")"),"bebe tinta como um peixe.")</f>
        <v>bebe tinta como um peixe.</v>
      </c>
      <c r="B20466" s="3">
        <v>0</v>
      </c>
    </row>
    <row r="20467" ht="15.75" customHeight="1" spans="1:2">
      <c r="A20467" s="3" t="str">
        <f>IFERROR(__xludf.DUMMYFUNCTION("GOOGLETRANSLATE(A20467,""en"",""pt"")"),"Se os chefes ir, impressora vai. Não &amp; amp; quot; novo chefe cada cartucho &amp; amp; quot; como com a HP ou Lexmark.")</f>
        <v>Se os chefes ir, impressora vai. Não &amp; amp; quot; novo chefe cada cartucho &amp; amp; quot; como com a HP ou Lexmark.</v>
      </c>
      <c r="B20467" s="3">
        <v>0</v>
      </c>
    </row>
    <row r="20468" ht="15.75" customHeight="1" spans="1:2">
      <c r="A20468" s="3" t="str">
        <f>IFERROR(__xludf.DUMMYFUNCTION("GOOGLETRANSLATE(A20468,""en"",""pt"")"),"instalação horrível")</f>
        <v>instalação horrível</v>
      </c>
      <c r="B20468" s="3">
        <v>0</v>
      </c>
    </row>
    <row r="20469" ht="15.75" customHeight="1" spans="1:2">
      <c r="A20469" s="3" t="str">
        <f>IFERROR(__xludf.DUMMYFUNCTION("GOOGLETRANSLATE(A20469,""en"",""pt"")"),"Usa mais tinta do que a maioria das outras impressoras.")</f>
        <v>Usa mais tinta do que a maioria das outras impressoras.</v>
      </c>
      <c r="B20469" s="3">
        <v>0</v>
      </c>
    </row>
    <row r="20470" ht="15.75" customHeight="1" spans="1:2">
      <c r="A20470" s="3" t="str">
        <f>IFERROR(__xludf.DUMMYFUNCTION("GOOGLETRANSLATE(A20470,""en"",""pt"")"),"Passa por barulhento aquecimento e pré-impressão de rotina")</f>
        <v>Passa por barulhento aquecimento e pré-impressão de rotina</v>
      </c>
      <c r="B20470" s="3">
        <v>0</v>
      </c>
    </row>
    <row r="20471" ht="15.75" customHeight="1" spans="1:2">
      <c r="A20471" s="3" t="str">
        <f>IFERROR(__xludf.DUMMYFUNCTION("GOOGLETRANSLATE(A20471,""en"",""pt"")"),"lentos de alta resolução gravuras, cartuchos caros")</f>
        <v>lentos de alta resolução gravuras, cartuchos caros</v>
      </c>
      <c r="B20471" s="3">
        <v>0</v>
      </c>
    </row>
    <row r="20472" ht="15.75" customHeight="1" spans="1:2">
      <c r="A20472" s="3" t="str">
        <f>IFERROR(__xludf.DUMMYFUNCTION("GOOGLETRANSLATE(A20472,""en"",""pt"")"),"um pouco lento")</f>
        <v>um pouco lento</v>
      </c>
      <c r="B20472" s="3">
        <v>0</v>
      </c>
    </row>
    <row r="20473" ht="15.75" customHeight="1" spans="1:2">
      <c r="A20473" s="3" t="str">
        <f>IFERROR(__xludf.DUMMYFUNCTION("GOOGLETRANSLATE(A20473,""en"",""pt"")"),"janelas motorista perde trabalho de impressão se você se esqueceu de ligá-lo, alto no projecto")</f>
        <v>janelas motorista perde trabalho de impressão se você se esqueceu de ligá-lo, alto no projecto</v>
      </c>
      <c r="B20473" s="3">
        <v>0</v>
      </c>
    </row>
    <row r="20474" ht="15.75" customHeight="1" spans="1:2">
      <c r="A20474" s="3" t="str">
        <f>IFERROR(__xludf.DUMMYFUNCTION("GOOGLETRANSLATE(A20474,""en"",""pt"")"),"cartuchos de tinta não duram muito tempo")</f>
        <v>cartuchos de tinta não duram muito tempo</v>
      </c>
      <c r="B20474" s="3">
        <v>0</v>
      </c>
    </row>
    <row r="20475" ht="15.75" customHeight="1" spans="1:2">
      <c r="A20475" s="3" t="str">
        <f>IFERROR(__xludf.DUMMYFUNCTION("GOOGLETRANSLATE(A20475,""en"",""pt"")"),"tinta relativamente caro, usa um monte de tinta para imprimir texto")</f>
        <v>tinta relativamente caro, usa um monte de tinta para imprimir texto</v>
      </c>
      <c r="B20475" s="3">
        <v>0</v>
      </c>
    </row>
    <row r="20476" ht="15.75" customHeight="1" spans="1:2">
      <c r="A20476" s="3" t="str">
        <f>IFERROR(__xludf.DUMMYFUNCTION("GOOGLETRANSLATE(A20476,""en"",""pt"")"),"tinta caro, comer tinta rapidamente demais")</f>
        <v>tinta caro, comer tinta rapidamente demais</v>
      </c>
      <c r="B20476" s="3">
        <v>0</v>
      </c>
    </row>
    <row r="20477" ht="15.75" customHeight="1" spans="1:2">
      <c r="A20477" s="3" t="str">
        <f>IFERROR(__xludf.DUMMYFUNCTION("GOOGLETRANSLATE(A20477,""en"",""pt"")"),"Um pouco lento. Usa tinta-se rapidamente")</f>
        <v>Um pouco lento. Usa tinta-se rapidamente</v>
      </c>
      <c r="B20477" s="3">
        <v>0</v>
      </c>
    </row>
    <row r="20478" ht="15.75" customHeight="1" spans="1:2">
      <c r="A20478" s="3" t="str">
        <f>IFERROR(__xludf.DUMMYFUNCTION("GOOGLETRANSLATE(A20478,""en"",""pt"")"),"opções de impressão complicadas; Tempo de tinta; conflitos de driver")</f>
        <v>opções de impressão complicadas; Tempo de tinta; conflitos de driver</v>
      </c>
      <c r="B20478" s="3">
        <v>0</v>
      </c>
    </row>
    <row r="20479" ht="15.75" customHeight="1" spans="1:2">
      <c r="A20479" s="3" t="str">
        <f>IFERROR(__xludf.DUMMYFUNCTION("GOOGLETRANSLATE(A20479,""en"",""pt"")"),"Passa através da tinta como uma faca quente através de manteiga.")</f>
        <v>Passa através da tinta como uma faca quente através de manteiga.</v>
      </c>
      <c r="B20479" s="3">
        <v>0</v>
      </c>
    </row>
    <row r="20480" ht="15.75" customHeight="1" spans="1:2">
      <c r="A20480" s="3" t="str">
        <f>IFERROR(__xludf.DUMMYFUNCTION("GOOGLETRANSLATE(A20480,""en"",""pt"")"),"Em vez caros tinta; tinta atravessa rapidamente")</f>
        <v>Em vez caros tinta; tinta atravessa rapidamente</v>
      </c>
      <c r="B20480" s="3">
        <v>0</v>
      </c>
    </row>
    <row r="20481" ht="15.75" customHeight="1" spans="1:2">
      <c r="A20481" s="3" t="str">
        <f>IFERROR(__xludf.DUMMYFUNCTION("GOOGLETRANSLATE(A20481,""en"",""pt"")"),"Setup foi difícil.")</f>
        <v>Setup foi difícil.</v>
      </c>
      <c r="B20481" s="3">
        <v>0</v>
      </c>
    </row>
    <row r="20482" ht="15.75" customHeight="1" spans="1:2">
      <c r="A20482" s="3" t="str">
        <f>IFERROR(__xludf.DUMMYFUNCTION("GOOGLETRANSLATE(A20482,""en"",""pt"")"),"Come-se rápido tinta")</f>
        <v>Come-se rápido tinta</v>
      </c>
      <c r="B20482" s="3">
        <v>0</v>
      </c>
    </row>
    <row r="20483" ht="15.75" customHeight="1" spans="1:2">
      <c r="A20483" s="3" t="str">
        <f>IFERROR(__xludf.DUMMYFUNCTION("GOOGLETRANSLATE(A20483,""en"",""pt"")"),"Lento, pouco de um monstro de tinta!")</f>
        <v>Lento, pouco de um monstro de tinta!</v>
      </c>
      <c r="B20483" s="3">
        <v>0</v>
      </c>
    </row>
    <row r="20484" ht="15.75" customHeight="1" spans="1:2">
      <c r="A20484" s="3" t="str">
        <f>IFERROR(__xludf.DUMMYFUNCTION("GOOGLETRANSLATE(A20484,""en"",""pt"")"),"atolamentos de papel constante, de má qualidade, e barulhento")</f>
        <v>atolamentos de papel constante, de má qualidade, e barulhento</v>
      </c>
      <c r="B20484" s="3">
        <v>0</v>
      </c>
    </row>
    <row r="20485" ht="15.75" customHeight="1" spans="1:2">
      <c r="A20485" s="3" t="str">
        <f>IFERROR(__xludf.DUMMYFUNCTION("GOOGLETRANSLATE(A20485,""en"",""pt"")"),"Loud, não foto qualidade, se fora de tinta de cor, não vai imprimir em preto.")</f>
        <v>Loud, não foto qualidade, se fora de tinta de cor, não vai imprimir em preto.</v>
      </c>
      <c r="B20485" s="3">
        <v>0</v>
      </c>
    </row>
    <row r="20486" ht="15.75" customHeight="1" spans="1:2">
      <c r="A20486" s="3" t="str">
        <f>IFERROR(__xludf.DUMMYFUNCTION("GOOGLETRANSLATE(A20486,""en"",""pt"")"),"ruído, ligação, o ruído, o ruído")</f>
        <v>ruído, ligação, o ruído, o ruído</v>
      </c>
      <c r="B20486" s="3">
        <v>0</v>
      </c>
    </row>
    <row r="20487" ht="15.75" customHeight="1" spans="1:2">
      <c r="A20487" s="3" t="str">
        <f>IFERROR(__xludf.DUMMYFUNCTION("GOOGLETRANSLATE(A20487,""en"",""pt"")"),"Cabeças de impressão secar muito rápido .. e eu preciso de um replament")</f>
        <v>Cabeças de impressão secar muito rápido .. e eu preciso de um replament</v>
      </c>
      <c r="B20487" s="3">
        <v>0</v>
      </c>
    </row>
    <row r="20488" ht="15.75" customHeight="1" spans="1:2">
      <c r="A20488" s="3" t="str">
        <f>IFERROR(__xludf.DUMMYFUNCTION("GOOGLETRANSLATE(A20488,""en"",""pt"")"),"atolamentos de papel aleatórios")</f>
        <v>atolamentos de papel aleatórios</v>
      </c>
      <c r="B20488" s="3">
        <v>0</v>
      </c>
    </row>
    <row r="20489" ht="15.75" customHeight="1" spans="1:2">
      <c r="A20489" s="3" t="str">
        <f>IFERROR(__xludf.DUMMYFUNCTION("GOOGLETRANSLATE(A20489,""en"",""pt"")"),"Um pouco de gordura - ocupa espaço")</f>
        <v>Um pouco de gordura - ocupa espaço</v>
      </c>
      <c r="B20489" s="3">
        <v>0</v>
      </c>
    </row>
    <row r="20490" ht="15.75" customHeight="1" spans="1:2">
      <c r="A20490" s="3" t="str">
        <f>IFERROR(__xludf.DUMMYFUNCTION("GOOGLETRANSLATE(A20490,""en"",""pt"")"),"n / D")</f>
        <v>n / D</v>
      </c>
      <c r="B20490" s="3">
        <v>0</v>
      </c>
    </row>
    <row r="20491" ht="15.75" customHeight="1" spans="1:2">
      <c r="A20491" s="3" t="str">
        <f>IFERROR(__xludf.DUMMYFUNCTION("GOOGLETRANSLATE(A20491,""en"",""pt"")"),"Barulhento")</f>
        <v>Barulhento</v>
      </c>
      <c r="B20491" s="3">
        <v>0</v>
      </c>
    </row>
    <row r="20492" ht="15.75" customHeight="1" spans="1:2">
      <c r="A20492" s="3" t="str">
        <f>IFERROR(__xludf.DUMMYFUNCTION("GOOGLETRANSLATE(A20492,""en"",""pt"")"),"Alto")</f>
        <v>Alto</v>
      </c>
      <c r="B20492" s="3">
        <v>0</v>
      </c>
    </row>
    <row r="20493" ht="15.75" customHeight="1" spans="1:2">
      <c r="A20493" s="3" t="str">
        <f>IFERROR(__xludf.DUMMYFUNCTION("GOOGLETRANSLATE(A20493,""en"",""pt"")"),"não é facilmente networkable")</f>
        <v>não é facilmente networkable</v>
      </c>
      <c r="B20493" s="3">
        <v>0</v>
      </c>
    </row>
    <row r="20494" ht="15.75" customHeight="1" spans="1:2">
      <c r="A20494" s="3" t="str">
        <f>IFERROR(__xludf.DUMMYFUNCTION("GOOGLETRANSLATE(A20494,""en"",""pt"")"),"substituições de tinta são caros")</f>
        <v>substituições de tinta são caros</v>
      </c>
      <c r="B20494" s="3">
        <v>0</v>
      </c>
    </row>
    <row r="20495" ht="15.75" customHeight="1" spans="1:2">
      <c r="A20495" s="3" t="str">
        <f>IFERROR(__xludf.DUMMYFUNCTION("GOOGLETRANSLATE(A20495,""en"",""pt"")"),"Nenhum")</f>
        <v>Nenhum</v>
      </c>
      <c r="B20495" s="3">
        <v>0</v>
      </c>
    </row>
    <row r="20496" ht="15.75" customHeight="1" spans="1:2">
      <c r="A20496" s="3" t="str">
        <f>IFERROR(__xludf.DUMMYFUNCTION("GOOGLETRANSLATE(A20496,""en"",""pt"")"),"Veio com Software Out-Of-Date")</f>
        <v>Veio com Software Out-Of-Date</v>
      </c>
      <c r="B20496" s="3">
        <v>0</v>
      </c>
    </row>
    <row r="20497" ht="15.75" customHeight="1" spans="1:2">
      <c r="A20497" s="3" t="str">
        <f>IFERROR(__xludf.DUMMYFUNCTION("GOOGLETRANSLATE(A20497,""en"",""pt"")"),"falhas raros")</f>
        <v>falhas raros</v>
      </c>
      <c r="B20497" s="3">
        <v>0</v>
      </c>
    </row>
    <row r="20498" ht="15.75" customHeight="1" spans="1:2">
      <c r="A20498" s="3" t="str">
        <f>IFERROR(__xludf.DUMMYFUNCTION("GOOGLETRANSLATE(A20498,""en"",""pt"")"),"Alguns pequenos problemas raros. Chefes secar demasiado frequentemente.")</f>
        <v>Alguns pequenos problemas raros. Chefes secar demasiado frequentemente.</v>
      </c>
      <c r="B20498" s="3">
        <v>0</v>
      </c>
    </row>
    <row r="20499" ht="15.75" customHeight="1" spans="1:2">
      <c r="A20499" s="3" t="str">
        <f>IFERROR(__xludf.DUMMYFUNCTION("GOOGLETRANSLATE(A20499,""en"",""pt"")"),"Loud, exigente")</f>
        <v>Loud, exigente</v>
      </c>
      <c r="B20499" s="3">
        <v>0</v>
      </c>
    </row>
    <row r="20500" ht="15.75" customHeight="1" spans="1:2">
      <c r="A20500" s="3" t="str">
        <f>IFERROR(__xludf.DUMMYFUNCTION("GOOGLETRANSLATE(A20500,""en"",""pt"")"),"problemas de alimentação de papel")</f>
        <v>problemas de alimentação de papel</v>
      </c>
      <c r="B20500" s="3">
        <v>0</v>
      </c>
    </row>
    <row r="20501" ht="15.75" customHeight="1" spans="1:2">
      <c r="A20501" s="3" t="str">
        <f>IFERROR(__xludf.DUMMYFUNCTION("GOOGLETRANSLATE(A20501,""en"",""pt"")"),"impressão centro de fora em algumas coisas")</f>
        <v>impressão centro de fora em algumas coisas</v>
      </c>
      <c r="B20501" s="3">
        <v>0</v>
      </c>
    </row>
    <row r="20502" ht="15.75" customHeight="1" spans="1:2">
      <c r="A20502" s="3" t="str">
        <f>IFERROR(__xludf.DUMMYFUNCTION("GOOGLETRANSLATE(A20502,""en"",""pt"")"),"Tinha para enviar uma volta")</f>
        <v>Tinha para enviar uma volta</v>
      </c>
      <c r="B20502" s="3">
        <v>0</v>
      </c>
    </row>
    <row r="20503" ht="15.75" customHeight="1" spans="1:2">
      <c r="A20503" s="3" t="str">
        <f>IFERROR(__xludf.DUMMYFUNCTION("GOOGLETRANSLATE(A20503,""en"",""pt"")"),"resulta cor melhor em papel especial")</f>
        <v>resulta cor melhor em papel especial</v>
      </c>
      <c r="B20503" s="3">
        <v>0</v>
      </c>
    </row>
    <row r="20504" ht="15.75" customHeight="1" spans="1:2">
      <c r="A20504" s="3" t="str">
        <f>IFERROR(__xludf.DUMMYFUNCTION("GOOGLETRANSLATE(A20504,""en"",""pt"")"),"barulhento quando você ligá-lo, mas tudo bem ...")</f>
        <v>barulhento quando você ligá-lo, mas tudo bem ...</v>
      </c>
      <c r="B20504" s="3">
        <v>0</v>
      </c>
    </row>
    <row r="20505" ht="15.75" customHeight="1" spans="1:2">
      <c r="A20505" s="3" t="str">
        <f>IFERROR(__xludf.DUMMYFUNCTION("GOOGLETRANSLATE(A20505,""en"",""pt"")"),"Poderia ser um pouco mais rápido")</f>
        <v>Poderia ser um pouco mais rápido</v>
      </c>
      <c r="B20505" s="3">
        <v>0</v>
      </c>
    </row>
    <row r="20506" ht="15.75" customHeight="1" spans="1:2">
      <c r="A20506" s="3" t="str">
        <f>IFERROR(__xludf.DUMMYFUNCTION("GOOGLETRANSLATE(A20506,""en"",""pt"")"),"Tinta Problemas, Long Warm Up, Limpeza na morno não funciona, problemas de alimentação também.")</f>
        <v>Tinta Problemas, Long Warm Up, Limpeza na morno não funciona, problemas de alimentação também.</v>
      </c>
      <c r="B20506" s="3">
        <v>0</v>
      </c>
    </row>
    <row r="20507" ht="15.75" customHeight="1" spans="1:2">
      <c r="A20507" s="3" t="str">
        <f>IFERROR(__xludf.DUMMYFUNCTION("GOOGLETRANSLATE(A20507,""en"",""pt"")"),"Ruído, o ruído, o ruído")</f>
        <v>Ruído, o ruído, o ruído</v>
      </c>
      <c r="B20507" s="3">
        <v>0</v>
      </c>
    </row>
    <row r="20508" ht="15.75" customHeight="1" spans="1:2">
      <c r="A20508" s="3" t="str">
        <f>IFERROR(__xludf.DUMMYFUNCTION("GOOGLETRANSLATE(A20508,""en"",""pt"")"),"Alto start-up, um pouco barulhento")</f>
        <v>Alto start-up, um pouco barulhento</v>
      </c>
      <c r="B20508" s="3">
        <v>0</v>
      </c>
    </row>
    <row r="20509" ht="15.75" customHeight="1" spans="1:2">
      <c r="A20509" s="3" t="str">
        <f>IFERROR(__xludf.DUMMYFUNCTION("GOOGLETRANSLATE(A20509,""en"",""pt"")"),"imprimir problemas de alinhamento. lento. irreparável. projeto estranho. pouco controlo no painel. falhou após 6 meses.")</f>
        <v>imprimir problemas de alinhamento. lento. irreparável. projeto estranho. pouco controlo no painel. falhou após 6 meses.</v>
      </c>
      <c r="B20509" s="3">
        <v>0</v>
      </c>
    </row>
    <row r="20510" ht="15.75" customHeight="1" spans="1:2">
      <c r="A20510" s="3" t="str">
        <f>IFERROR(__xludf.DUMMYFUNCTION("GOOGLETRANSLATE(A20510,""en"",""pt"")"),"você recebe o que você paga, isso não é para impressão de fotos")</f>
        <v>você recebe o que você paga, isso não é para impressão de fotos</v>
      </c>
      <c r="B20510" s="3">
        <v>0</v>
      </c>
    </row>
    <row r="20511" ht="15.75" customHeight="1" spans="1:2">
      <c r="A20511" s="3" t="str">
        <f>IFERROR(__xludf.DUMMYFUNCTION("GOOGLETRANSLATE(A20511,""en"",""pt"")"),"Má qualidade em papel barato.")</f>
        <v>Má qualidade em papel barato.</v>
      </c>
      <c r="B20511" s="3">
        <v>0</v>
      </c>
    </row>
    <row r="20512" ht="15.75" customHeight="1" spans="1:2">
      <c r="A20512" s="3" t="str">
        <f>IFERROR(__xludf.DUMMYFUNCTION("GOOGLETRANSLATE(A20512,""en"",""pt"")"),"Confiabilidade é horrível")</f>
        <v>Confiabilidade é horrível</v>
      </c>
      <c r="B20512" s="3">
        <v>0</v>
      </c>
    </row>
    <row r="20513" ht="15.75" customHeight="1" spans="1:2">
      <c r="A20513" s="3" t="str">
        <f>IFERROR(__xludf.DUMMYFUNCTION("GOOGLETRANSLATE(A20513,""en"",""pt"")"),"Dá às vezes erro")</f>
        <v>Dá às vezes erro</v>
      </c>
      <c r="B20513" s="3">
        <v>0</v>
      </c>
    </row>
    <row r="20514" ht="15.75" customHeight="1" spans="1:2">
      <c r="A20514" s="3" t="str">
        <f>IFERROR(__xludf.DUMMYFUNCTION("GOOGLETRANSLATE(A20514,""en"",""pt"")"),"tinta preta que esfregaços.")</f>
        <v>tinta preta que esfregaços.</v>
      </c>
      <c r="B20514" s="3">
        <v>0</v>
      </c>
    </row>
    <row r="20515" ht="15.75" customHeight="1" spans="1:2">
      <c r="A20515" s="3" t="str">
        <f>IFERROR(__xludf.DUMMYFUNCTION("GOOGLETRANSLATE(A20515,""en"",""pt"")"),"Muito bagunçado; Tinta depleets mesmo quando o cartucho não é utilizado; nunca encontrou cartuchos genéricos compatíveis.")</f>
        <v>Muito bagunçado; Tinta depleets mesmo quando o cartucho não é utilizado; nunca encontrou cartuchos genéricos compatíveis.</v>
      </c>
      <c r="B20515" s="3">
        <v>0</v>
      </c>
    </row>
    <row r="20516" ht="15.75" customHeight="1" spans="1:2">
      <c r="A20516" s="3" t="str">
        <f>IFERROR(__xludf.DUMMYFUNCTION("GOOGLETRANSLATE(A20516,""en"",""pt"")"),"Os cartuchos de tinta são caros.")</f>
        <v>Os cartuchos de tinta são caros.</v>
      </c>
      <c r="B20516" s="3">
        <v>0</v>
      </c>
    </row>
    <row r="20517" ht="15.75" customHeight="1" spans="1:2">
      <c r="A20517" s="3" t="str">
        <f>IFERROR(__xludf.DUMMYFUNCTION("GOOGLETRANSLATE(A20517,""en"",""pt"")"),"Sem cabos na caixa")</f>
        <v>Sem cabos na caixa</v>
      </c>
      <c r="B20517" s="3">
        <v>0</v>
      </c>
    </row>
    <row r="20518" ht="15.75" customHeight="1" spans="1:2">
      <c r="A20518" s="3" t="str">
        <f>IFERROR(__xludf.DUMMYFUNCTION("GOOGLETRANSLATE(A20518,""en"",""pt"")"),"faixas horizontais acontece com muita freqüência")</f>
        <v>faixas horizontais acontece com muita freqüência</v>
      </c>
      <c r="B20518" s="3">
        <v>0</v>
      </c>
    </row>
    <row r="20519" ht="15.75" customHeight="1" spans="1:2">
      <c r="A20519" s="3" t="str">
        <f>IFERROR(__xludf.DUMMYFUNCTION("GOOGLETRANSLATE(A20519,""en"",""pt"")"),"A tinta é muito caro!")</f>
        <v>A tinta é muito caro!</v>
      </c>
      <c r="B20519" s="3">
        <v>0</v>
      </c>
    </row>
    <row r="20520" ht="15.75" customHeight="1" spans="1:2">
      <c r="A20520" s="3" t="str">
        <f>IFERROR(__xludf.DUMMYFUNCTION("GOOGLETRANSLATE(A20520,""en"",""pt"")"),"saída de texto assim-assim, o consumo de tinta, manutenção da cabeça de impressão")</f>
        <v>saída de texto assim-assim, o consumo de tinta, manutenção da cabeça de impressão</v>
      </c>
      <c r="B20520" s="3">
        <v>0</v>
      </c>
    </row>
    <row r="20521" ht="15.75" customHeight="1" spans="1:2">
      <c r="A20521" s="3" t="str">
        <f>IFERROR(__xludf.DUMMYFUNCTION("GOOGLETRANSLATE(A20521,""en"",""pt"")"),"Ocasionalmente não vai alimentar envelopes, manchas.")</f>
        <v>Ocasionalmente não vai alimentar envelopes, manchas.</v>
      </c>
      <c r="B20521" s="3">
        <v>0</v>
      </c>
    </row>
    <row r="20522" ht="15.75" customHeight="1" spans="1:2">
      <c r="A20522" s="3" t="str">
        <f>IFERROR(__xludf.DUMMYFUNCTION("GOOGLETRANSLATE(A20522,""en"",""pt"")"),"cabeças de impressão desgastam")</f>
        <v>cabeças de impressão desgastam</v>
      </c>
      <c r="B20522" s="3">
        <v>0</v>
      </c>
    </row>
    <row r="20523" ht="15.75" customHeight="1" spans="1:2">
      <c r="A20523" s="3" t="str">
        <f>IFERROR(__xludf.DUMMYFUNCTION("GOOGLETRANSLATE(A20523,""en"",""pt"")"),"atolamentos na impressora muito facilmente.")</f>
        <v>atolamentos na impressora muito facilmente.</v>
      </c>
      <c r="B20523" s="3">
        <v>0</v>
      </c>
    </row>
    <row r="20524" ht="15.75" customHeight="1" spans="1:2">
      <c r="A20524" s="3" t="str">
        <f>IFERROR(__xludf.DUMMYFUNCTION("GOOGLETRANSLATE(A20524,""en"",""pt"")"),"Não encontrei nenhum ainda")</f>
        <v>Não encontrei nenhum ainda</v>
      </c>
      <c r="B20524" s="3">
        <v>0</v>
      </c>
    </row>
    <row r="20525" ht="15.75" customHeight="1" spans="1:2">
      <c r="A20525" s="3" t="str">
        <f>IFERROR(__xludf.DUMMYFUNCTION("GOOGLETRANSLATE(A20525,""en"",""pt"")"),"O tamanho do próprio é um pouco grande impressora.")</f>
        <v>O tamanho do próprio é um pouco grande impressora.</v>
      </c>
      <c r="B20525" s="3">
        <v>0</v>
      </c>
    </row>
    <row r="20526" ht="15.75" customHeight="1" spans="1:2">
      <c r="A20526" s="3" t="str">
        <f>IFERROR(__xludf.DUMMYFUNCTION("GOOGLETRANSLATE(A20526,""en"",""pt"")"),"qualidade de texto, velocidade, consumo, design e outros oddments")</f>
        <v>qualidade de texto, velocidade, consumo, design e outros oddments</v>
      </c>
      <c r="B20526" s="3">
        <v>0</v>
      </c>
    </row>
    <row r="20527" ht="15.75" customHeight="1" spans="1:2">
      <c r="A20527" s="3" t="str">
        <f>IFERROR(__xludf.DUMMYFUNCTION("GOOGLETRANSLATE(A20527,""en"",""pt"")"),"Não encontrei nenhum.")</f>
        <v>Não encontrei nenhum.</v>
      </c>
      <c r="B20527" s="3">
        <v>0</v>
      </c>
    </row>
    <row r="20528" ht="15.75" customHeight="1" spans="1:2">
      <c r="A20528" s="3" t="str">
        <f>IFERROR(__xludf.DUMMYFUNCTION("GOOGLETRANSLATE(A20528,""en"",""pt"")"),"bandejas de papel um tanto frágil")</f>
        <v>bandejas de papel um tanto frágil</v>
      </c>
      <c r="B20528" s="3">
        <v>0</v>
      </c>
    </row>
    <row r="20529" ht="15.75" customHeight="1" spans="1:2">
      <c r="A20529" s="3" t="str">
        <f>IFERROR(__xludf.DUMMYFUNCTION("GOOGLETRANSLATE(A20529,""en"",""pt"")"),"Nenhum")</f>
        <v>Nenhum</v>
      </c>
      <c r="B20529" s="3">
        <v>0</v>
      </c>
    </row>
    <row r="20530" ht="15.75" customHeight="1" spans="1:2">
      <c r="A20530" s="3" t="str">
        <f>IFERROR(__xludf.DUMMYFUNCTION("GOOGLETRANSLATE(A20530,""en"",""pt"")"),"custos futuro a jato de tinta (assim é qualquer outra impressora jato de tinta)")</f>
        <v>custos futuro a jato de tinta (assim é qualquer outra impressora jato de tinta)</v>
      </c>
      <c r="B20530" s="3">
        <v>0</v>
      </c>
    </row>
    <row r="20531" ht="15.75" customHeight="1" spans="1:2">
      <c r="A20531" s="3" t="str">
        <f>IFERROR(__xludf.DUMMYFUNCTION("GOOGLETRANSLATE(A20531,""en"",""pt"")"),"Tamanho")</f>
        <v>Tamanho</v>
      </c>
      <c r="B20531" s="3">
        <v>0</v>
      </c>
    </row>
    <row r="20532" ht="15.75" customHeight="1" spans="1:2">
      <c r="A20532" s="3" t="str">
        <f>IFERROR(__xludf.DUMMYFUNCTION("GOOGLETRANSLATE(A20532,""en"",""pt"")"),"tinteiros pequenos, software inchado")</f>
        <v>tinteiros pequenos, software inchado</v>
      </c>
      <c r="B20532" s="3">
        <v>0</v>
      </c>
    </row>
    <row r="20533" ht="15.75" customHeight="1" spans="1:2">
      <c r="A20533" s="3" t="str">
        <f>IFERROR(__xludf.DUMMYFUNCTION("GOOGLETRANSLATE(A20533,""en"",""pt"")"),"Usa muita tinta")</f>
        <v>Usa muita tinta</v>
      </c>
      <c r="B20533" s="3">
        <v>0</v>
      </c>
    </row>
    <row r="20534" ht="15.75" customHeight="1" spans="1:2">
      <c r="A20534" s="3" t="str">
        <f>IFERROR(__xludf.DUMMYFUNCTION("GOOGLETRANSLATE(A20534,""en"",""pt"")"),"Passa por cor rápida de tinta, do cartucho de tinta amarela muito pequeno")</f>
        <v>Passa por cor rápida de tinta, do cartucho de tinta amarela muito pequeno</v>
      </c>
      <c r="B20534" s="3">
        <v>0</v>
      </c>
    </row>
    <row r="20535" ht="15.75" customHeight="1" spans="1:2">
      <c r="A20535" s="3" t="str">
        <f>IFERROR(__xludf.DUMMYFUNCTION("GOOGLETRANSLATE(A20535,""en"",""pt"")"),"Nenhum")</f>
        <v>Nenhum</v>
      </c>
      <c r="B20535" s="3">
        <v>0</v>
      </c>
    </row>
    <row r="20536" ht="15.75" customHeight="1" spans="1:2">
      <c r="A20536" s="3" t="str">
        <f>IFERROR(__xludf.DUMMYFUNCTION("GOOGLETRANSLATE(A20536,""en"",""pt"")"),"tinta caro")</f>
        <v>tinta caro</v>
      </c>
      <c r="B20536" s="3">
        <v>0</v>
      </c>
    </row>
    <row r="20537" ht="15.75" customHeight="1" spans="1:2">
      <c r="A20537" s="3" t="str">
        <f>IFERROR(__xludf.DUMMYFUNCTION("GOOGLETRANSLATE(A20537,""en"",""pt"")"),"PAPEL, Compatibilidade")</f>
        <v>PAPEL, Compatibilidade</v>
      </c>
      <c r="B20537" s="3">
        <v>0</v>
      </c>
    </row>
    <row r="20538" ht="15.75" customHeight="1" spans="1:2">
      <c r="A20538" s="3" t="str">
        <f>IFERROR(__xludf.DUMMYFUNCTION("GOOGLETRANSLATE(A20538,""en"",""pt"")"),"grande cópia do pé, alto. UPDATE: Quebras de facilmente!")</f>
        <v>grande cópia do pé, alto. UPDATE: Quebras de facilmente!</v>
      </c>
      <c r="B20538" s="3">
        <v>0</v>
      </c>
    </row>
    <row r="20539" ht="15.75" customHeight="1" spans="1:2">
      <c r="A20539" s="3" t="str">
        <f>IFERROR(__xludf.DUMMYFUNCTION("GOOGLETRANSLATE(A20539,""en"",""pt"")"),"Eles esqueceram meu manual! Barulhento")</f>
        <v>Eles esqueceram meu manual! Barulhento</v>
      </c>
      <c r="B20539" s="3">
        <v>0</v>
      </c>
    </row>
    <row r="20540" ht="15.75" customHeight="1" spans="1:2">
      <c r="A20540" s="3" t="str">
        <f>IFERROR(__xludf.DUMMYFUNCTION("GOOGLETRANSLATE(A20540,""en"",""pt"")"),"Feeds 2 páginas de uma só vez, ocasionalmente,")</f>
        <v>Feeds 2 páginas de uma só vez, ocasionalmente,</v>
      </c>
      <c r="B20540" s="3">
        <v>0</v>
      </c>
    </row>
    <row r="20541" ht="15.75" customHeight="1" spans="1:2">
      <c r="A20541" s="3" t="str">
        <f>IFERROR(__xludf.DUMMYFUNCTION("GOOGLETRANSLATE(A20541,""en"",""pt"")"),"Ficar sem tinta dentro de dois meses, se você imprime muito pouco. cartuchos caros")</f>
        <v>Ficar sem tinta dentro de dois meses, se você imprime muito pouco. cartuchos caros</v>
      </c>
      <c r="B20541" s="3">
        <v>0</v>
      </c>
    </row>
    <row r="20542" ht="15.75" customHeight="1" spans="1:2">
      <c r="A20542" s="3" t="str">
        <f>IFERROR(__xludf.DUMMYFUNCTION("GOOGLETRANSLATE(A20542,""en"",""pt"")"),"A cabeça de impressão entope facilmente, exigindo uma grande quantidade de tinta para limpar.")</f>
        <v>A cabeça de impressão entope facilmente, exigindo uma grande quantidade de tinta para limpar.</v>
      </c>
      <c r="B20542" s="3">
        <v>0</v>
      </c>
    </row>
    <row r="20543" ht="15.75" customHeight="1" spans="1:2">
      <c r="A20543" s="3" t="str">
        <f>IFERROR(__xludf.DUMMYFUNCTION("GOOGLETRANSLATE(A20543,""en"",""pt"")"),"serviço incoerente")</f>
        <v>serviço incoerente</v>
      </c>
      <c r="B20543" s="3">
        <v>0</v>
      </c>
    </row>
    <row r="20544" ht="15.75" customHeight="1" spans="1:2">
      <c r="A20544" s="3" t="str">
        <f>IFERROR(__xludf.DUMMYFUNCTION("GOOGLETRANSLATE(A20544,""en"",""pt"")"),"porco tinta, bastante alto quando se imprime")</f>
        <v>porco tinta, bastante alto quando se imprime</v>
      </c>
      <c r="B20544" s="3">
        <v>0</v>
      </c>
    </row>
    <row r="20545" ht="15.75" customHeight="1" spans="1:2">
      <c r="A20545" s="3" t="str">
        <f>IFERROR(__xludf.DUMMYFUNCTION("GOOGLETRANSLATE(A20545,""en"",""pt"")"),"VERY NOISY !, B &amp; amp; W cartucho de tinta esvaziado rapidamente, a configuração não é tão fácil como os outros")</f>
        <v>VERY NOISY !, B &amp; amp; W cartucho de tinta esvaziado rapidamente, a configuração não é tão fácil como os outros</v>
      </c>
      <c r="B20545" s="3">
        <v>0</v>
      </c>
    </row>
    <row r="20546" ht="15.75" customHeight="1" spans="1:2">
      <c r="A20546" s="3" t="str">
        <f>IFERROR(__xludf.DUMMYFUNCTION("GOOGLETRANSLATE(A20546,""en"",""pt"")"),"cartuchos de tinta abundância necessário, atolamentos de papel, ""recurso"" inevitável limpeza automática, não recargas clone.")</f>
        <v>cartuchos de tinta abundância necessário, atolamentos de papel, "recurso" inevitável limpeza automática, não recargas clone.</v>
      </c>
      <c r="B20546" s="3">
        <v>0</v>
      </c>
    </row>
    <row r="20547" ht="15.75" customHeight="1" spans="1:2">
      <c r="A20547" s="3" t="str">
        <f>IFERROR(__xludf.DUMMYFUNCTION("GOOGLETRANSLATE(A20547,""en"",""pt"")"),"Às vezes lento, tinta caro (embora há mais barata recargas genéricos!)")</f>
        <v>Às vezes lento, tinta caro (embora há mais barata recargas genéricos!)</v>
      </c>
      <c r="B20547" s="3">
        <v>0</v>
      </c>
    </row>
    <row r="20548" ht="15.75" customHeight="1" spans="1:2">
      <c r="A20548" s="3" t="str">
        <f>IFERROR(__xludf.DUMMYFUNCTION("GOOGLETRANSLATE(A20548,""en"",""pt"")"),"O papel é alimentado de três ou quatro folhas por vez. Um cartucho de um mês, não é brincadeira.")</f>
        <v>O papel é alimentado de três ou quatro folhas por vez. Um cartucho de um mês, não é brincadeira.</v>
      </c>
      <c r="B20548" s="3">
        <v>0</v>
      </c>
    </row>
    <row r="20549" ht="15.75" customHeight="1" spans="1:2">
      <c r="A20549" s="3" t="str">
        <f>IFERROR(__xludf.DUMMYFUNCTION("GOOGLETRANSLATE(A20549,""en"",""pt"")"),"Nenhum")</f>
        <v>Nenhum</v>
      </c>
      <c r="B20549" s="3">
        <v>0</v>
      </c>
    </row>
    <row r="20550" ht="15.75" customHeight="1" spans="1:2">
      <c r="A20550" s="3" t="str">
        <f>IFERROR(__xludf.DUMMYFUNCTION("GOOGLETRANSLATE(A20550,""en"",""pt"")"),"Avarias facilmente (ver casos documentados abaixo)")</f>
        <v>Avarias facilmente (ver casos documentados abaixo)</v>
      </c>
      <c r="B20550" s="3">
        <v>0</v>
      </c>
    </row>
    <row r="20551" ht="15.75" customHeight="1" spans="1:2">
      <c r="A20551" s="3" t="str">
        <f>IFERROR(__xludf.DUMMYFUNCTION("GOOGLETRANSLATE(A20551,""en"",""pt"")"),"Um porco de tinta")</f>
        <v>Um porco de tinta</v>
      </c>
      <c r="B20551" s="3">
        <v>0</v>
      </c>
    </row>
    <row r="20552" ht="15.75" customHeight="1" spans="1:2">
      <c r="A20552" s="3" t="str">
        <f>IFERROR(__xludf.DUMMYFUNCTION("GOOGLETRANSLATE(A20552,""en"",""pt"")"),"Frágil")</f>
        <v>Frágil</v>
      </c>
      <c r="B20552" s="3">
        <v>0</v>
      </c>
    </row>
    <row r="20553" ht="15.75" customHeight="1" spans="1:2">
      <c r="A20553" s="3" t="str">
        <f>IFERROR(__xludf.DUMMYFUNCTION("GOOGLETRANSLATE(A20553,""en"",""pt"")"),"Barulhento. Lento. Caro para ser executado. Problemas de software em abundância.")</f>
        <v>Barulhento. Lento. Caro para ser executado. Problemas de software em abundância.</v>
      </c>
      <c r="B20553" s="3">
        <v>0</v>
      </c>
    </row>
    <row r="20554" ht="15.75" customHeight="1" spans="1:2">
      <c r="A20554" s="3" t="str">
        <f>IFERROR(__xludf.DUMMYFUNCTION("GOOGLETRANSLATE(A20554,""en"",""pt"")"),"alto, usa uma grande quantidade de tinta que é caro")</f>
        <v>alto, usa uma grande quantidade de tinta que é caro</v>
      </c>
      <c r="B20554" s="3">
        <v>0</v>
      </c>
    </row>
    <row r="20555" ht="15.75" customHeight="1" spans="1:2">
      <c r="A20555" s="3" t="str">
        <f>IFERROR(__xludf.DUMMYFUNCTION("GOOGLETRANSLATE(A20555,""en"",""pt"")"),"tinta caro")</f>
        <v>tinta caro</v>
      </c>
      <c r="B20555" s="3">
        <v>0</v>
      </c>
    </row>
    <row r="20556" ht="15.75" customHeight="1" spans="1:2">
      <c r="A20556" s="3" t="str">
        <f>IFERROR(__xludf.DUMMYFUNCTION("GOOGLETRANSLATE(A20556,""en"",""pt"")"),"Outrageous Ink preço, com Proprietary Chips em cartucho!")</f>
        <v>Outrageous Ink preço, com Proprietary Chips em cartucho!</v>
      </c>
      <c r="B20556" s="3">
        <v>0</v>
      </c>
    </row>
    <row r="20557" ht="15.75" customHeight="1" spans="1:2">
      <c r="A20557" s="3" t="str">
        <f>IFERROR(__xludf.DUMMYFUNCTION("GOOGLETRANSLATE(A20557,""en"",""pt"")"),"Extremamente barulhento, manuseio de papel pobre, usa a tinta rapidamente")</f>
        <v>Extremamente barulhento, manuseio de papel pobre, usa a tinta rapidamente</v>
      </c>
      <c r="B20557" s="3">
        <v>0</v>
      </c>
    </row>
    <row r="20558" ht="15.75" customHeight="1" spans="1:2">
      <c r="A20558" s="3" t="str">
        <f>IFERROR(__xludf.DUMMYFUNCTION("GOOGLETRANSLATE(A20558,""en"",""pt"")"),"Usa muita tinta")</f>
        <v>Usa muita tinta</v>
      </c>
      <c r="B20558" s="3">
        <v>0</v>
      </c>
    </row>
    <row r="20559" ht="15.75" customHeight="1" spans="1:2">
      <c r="A20559" s="3" t="str">
        <f>IFERROR(__xludf.DUMMYFUNCTION("GOOGLETRANSLATE(A20559,""en"",""pt"")"),"os cartuchos de tinta unrefillable surpreendentemente caro.")</f>
        <v>os cartuchos de tinta unrefillable surpreendentemente caro.</v>
      </c>
      <c r="B20559" s="3">
        <v>0</v>
      </c>
    </row>
    <row r="20560" ht="15.75" customHeight="1" spans="1:2">
      <c r="A20560" s="3" t="str">
        <f>IFERROR(__xludf.DUMMYFUNCTION("GOOGLETRANSLATE(A20560,""en"",""pt"")"),"Compotas, geléias, compotas ... e uma grande impressão cabeças problema withthe.")</f>
        <v>Compotas, geléias, compotas ... e uma grande impressão cabeças problema withthe.</v>
      </c>
      <c r="B20560" s="3">
        <v>0</v>
      </c>
    </row>
    <row r="20561" ht="15.75" customHeight="1" spans="1:2">
      <c r="A20561" s="3" t="str">
        <f>IFERROR(__xludf.DUMMYFUNCTION("GOOGLETRANSLATE(A20561,""en"",""pt"")"),"De atolamentos de papel e tinta acabar rápido demais")</f>
        <v>De atolamentos de papel e tinta acabar rápido demais</v>
      </c>
      <c r="B20561" s="3">
        <v>0</v>
      </c>
    </row>
    <row r="20562" ht="15.75" customHeight="1" spans="1:2">
      <c r="A20562" s="3" t="str">
        <f>IFERROR(__xludf.DUMMYFUNCTION("GOOGLETRANSLATE(A20562,""en"",""pt"")"),"N / D")</f>
        <v>N / D</v>
      </c>
      <c r="B20562" s="3">
        <v>0</v>
      </c>
    </row>
    <row r="20563" ht="15.75" customHeight="1" spans="1:2">
      <c r="A20563" s="3" t="str">
        <f>IFERROR(__xludf.DUMMYFUNCTION("GOOGLETRANSLATE(A20563,""en"",""pt"")"),"Oh tanto.")</f>
        <v>Oh tanto.</v>
      </c>
      <c r="B20563" s="3">
        <v>0</v>
      </c>
    </row>
    <row r="20564" ht="15.75" customHeight="1" spans="1:2">
      <c r="A20564" s="3" t="str">
        <f>IFERROR(__xludf.DUMMYFUNCTION("GOOGLETRANSLATE(A20564,""en"",""pt"")"),"cara de tinta e papel")</f>
        <v>cara de tinta e papel</v>
      </c>
      <c r="B20564" s="3">
        <v>0</v>
      </c>
    </row>
    <row r="20565" ht="15.75" customHeight="1" spans="1:2">
      <c r="A20565" s="3" t="str">
        <f>IFERROR(__xludf.DUMMYFUNCTION("GOOGLETRANSLATE(A20565,""en"",""pt"")"),"NENHUM")</f>
        <v>NENHUM</v>
      </c>
      <c r="B20565" s="3">
        <v>0</v>
      </c>
    </row>
    <row r="20566" ht="15.75" customHeight="1" spans="1:2">
      <c r="A20566" s="3" t="str">
        <f>IFERROR(__xludf.DUMMYFUNCTION("GOOGLETRANSLATE(A20566,""en"",""pt"")"),"Tal como acontece com todos os jatos de tinta, cartuchos de caros. É alto")</f>
        <v>Tal como acontece com todos os jatos de tinta, cartuchos de caros. É alto</v>
      </c>
      <c r="B20566" s="3">
        <v>0</v>
      </c>
    </row>
    <row r="20567" ht="15.75" customHeight="1" spans="1:2">
      <c r="A20567" s="3" t="str">
        <f>IFERROR(__xludf.DUMMYFUNCTION("GOOGLETRANSLATE(A20567,""en"",""pt"")"),"... muito ruim os cartuchos de tinta não seguem o modo de preço da impressora.")</f>
        <v>... muito ruim os cartuchos de tinta não seguem o modo de preço da impressora.</v>
      </c>
      <c r="B20567" s="3">
        <v>0</v>
      </c>
    </row>
    <row r="20568" ht="15.75" customHeight="1" spans="1:2">
      <c r="A20568" s="3" t="str">
        <f>IFERROR(__xludf.DUMMYFUNCTION("GOOGLETRANSLATE(A20568,""en"",""pt"")"),"Algum ruído parte interna")</f>
        <v>Algum ruído parte interna</v>
      </c>
      <c r="B20568" s="3">
        <v>0</v>
      </c>
    </row>
    <row r="20569" ht="15.75" customHeight="1" spans="1:2">
      <c r="A20569" s="3" t="str">
        <f>IFERROR(__xludf.DUMMYFUNCTION("GOOGLETRANSLATE(A20569,""en"",""pt"")"),"não passar por tinta bastante rápido, tinta spendy")</f>
        <v>não passar por tinta bastante rápido, tinta spendy</v>
      </c>
      <c r="B20569" s="3">
        <v>0</v>
      </c>
    </row>
    <row r="20570" ht="15.75" customHeight="1" spans="1:2">
      <c r="A20570" s="3" t="str">
        <f>IFERROR(__xludf.DUMMYFUNCTION("GOOGLETRANSLATE(A20570,""en"",""pt"")"),"Pequeno Tinteiro")</f>
        <v>Pequeno Tinteiro</v>
      </c>
      <c r="B20570" s="3">
        <v>0</v>
      </c>
    </row>
    <row r="20571" ht="15.75" customHeight="1" spans="1:2">
      <c r="A20571" s="3" t="str">
        <f>IFERROR(__xludf.DUMMYFUNCTION("GOOGLETRANSLATE(A20571,""en"",""pt"")"),"Lento......")</f>
        <v>Lento......</v>
      </c>
      <c r="B20571" s="3">
        <v>0</v>
      </c>
    </row>
    <row r="20572" ht="15.75" customHeight="1" spans="1:2">
      <c r="A20572" s="3" t="str">
        <f>IFERROR(__xludf.DUMMYFUNCTION("GOOGLETRANSLATE(A20572,""en"",""pt"")"),"tinta come, adornos")</f>
        <v>tinta come, adornos</v>
      </c>
      <c r="B20572" s="3">
        <v>0</v>
      </c>
    </row>
    <row r="20573" ht="15.75" customHeight="1" spans="1:2">
      <c r="A20573" s="3" t="str">
        <f>IFERROR(__xludf.DUMMYFUNCTION("GOOGLETRANSLATE(A20573,""en"",""pt"")"),"Poucos, exceto imprimir velocidade.")</f>
        <v>Poucos, exceto imprimir velocidade.</v>
      </c>
      <c r="B20573" s="3">
        <v>0</v>
      </c>
    </row>
    <row r="20574" ht="15.75" customHeight="1" spans="1:2">
      <c r="A20574" s="3" t="str">
        <f>IFERROR(__xludf.DUMMYFUNCTION("GOOGLETRANSLATE(A20574,""en"",""pt"")"),"Pode ser lento e parece inalar a tinta.")</f>
        <v>Pode ser lento e parece inalar a tinta.</v>
      </c>
      <c r="B20574" s="3">
        <v>0</v>
      </c>
    </row>
    <row r="20575" ht="15.75" customHeight="1" spans="1:2">
      <c r="A20575" s="3" t="str">
        <f>IFERROR(__xludf.DUMMYFUNCTION("GOOGLETRANSLATE(A20575,""en"",""pt"")"),"MUITO tinta-sede, furtiva de jacto de tinta do cartucho de desactivar embutido")</f>
        <v>MUITO tinta-sede, furtiva de jacto de tinta do cartucho de desactivar embutido</v>
      </c>
      <c r="B20575" s="3">
        <v>0</v>
      </c>
    </row>
    <row r="20576" ht="15.75" customHeight="1" spans="1:2">
      <c r="A20576" s="3" t="str">
        <f>IFERROR(__xludf.DUMMYFUNCTION("GOOGLETRANSLATE(A20576,""en"",""pt"")"),"porco tinta, alto, se move muito, construção frágil,, cartuchos de tinta caros não confiáveis")</f>
        <v>porco tinta, alto, se move muito, construção frágil,, cartuchos de tinta caros não confiáveis</v>
      </c>
      <c r="B20576" s="3">
        <v>0</v>
      </c>
    </row>
    <row r="20577" ht="15.75" customHeight="1" spans="1:2">
      <c r="A20577" s="3" t="str">
        <f>IFERROR(__xludf.DUMMYFUNCTION("GOOGLETRANSLATE(A20577,""en"",""pt"")"),"pouco de um porco de tinta, barulhento")</f>
        <v>pouco de um porco de tinta, barulhento</v>
      </c>
      <c r="B20577" s="3">
        <v>0</v>
      </c>
    </row>
    <row r="20578" ht="15.75" customHeight="1" spans="1:2">
      <c r="A20578" s="3" t="str">
        <f>IFERROR(__xludf.DUMMYFUNCTION("GOOGLETRANSLATE(A20578,""en"",""pt"")"),"se houver, seria que a tinta vai rápido")</f>
        <v>se houver, seria que a tinta vai rápido</v>
      </c>
      <c r="B20578" s="3">
        <v>0</v>
      </c>
    </row>
    <row r="20579" ht="15.75" customHeight="1" spans="1:2">
      <c r="A20579" s="3" t="str">
        <f>IFERROR(__xludf.DUMMYFUNCTION("GOOGLETRANSLATE(A20579,""en"",""pt"")"),"Limpeza de tinta ciclo come de uma forma significativa.")</f>
        <v>Limpeza de tinta ciclo come de uma forma significativa.</v>
      </c>
      <c r="B20579" s="3">
        <v>0</v>
      </c>
    </row>
    <row r="20580" ht="15.75" customHeight="1" spans="1:2">
      <c r="A20580" s="3" t="str">
        <f>IFERROR(__xludf.DUMMYFUNCTION("GOOGLETRANSLATE(A20580,""en"",""pt"")"),"alimentação vertical cheio de pó; bandeja de saída frágil")</f>
        <v>alimentação vertical cheio de pó; bandeja de saída frágil</v>
      </c>
      <c r="B20580" s="3">
        <v>0</v>
      </c>
    </row>
    <row r="20581" ht="15.75" customHeight="1" spans="1:2">
      <c r="A20581" s="3" t="str">
        <f>IFERROR(__xludf.DUMMYFUNCTION("GOOGLETRANSLATE(A20581,""en"",""pt"")"),"Despesa papel, Noise")</f>
        <v>Despesa papel, Noise</v>
      </c>
      <c r="B20581" s="3">
        <v>0</v>
      </c>
    </row>
    <row r="20582" ht="15.75" customHeight="1" spans="1:2">
      <c r="A20582" s="3" t="str">
        <f>IFERROR(__xludf.DUMMYFUNCTION("GOOGLETRANSLATE(A20582,""en"",""pt"")"),"impressão muito alto; pequeno cartucho preto")</f>
        <v>impressão muito alto; pequeno cartucho preto</v>
      </c>
      <c r="B20582" s="3">
        <v>0</v>
      </c>
    </row>
    <row r="20583" ht="15.75" customHeight="1" spans="1:2">
      <c r="A20583" s="3" t="str">
        <f>IFERROR(__xludf.DUMMYFUNCTION("GOOGLETRANSLATE(A20583,""en"",""pt"")"),"O que eu comprei não executar de forma consistente em todos os")</f>
        <v>O que eu comprei não executar de forma consistente em todos os</v>
      </c>
      <c r="B20583" s="3">
        <v>0</v>
      </c>
    </row>
    <row r="20584" ht="15.75" customHeight="1" spans="1:2">
      <c r="A20584" s="3" t="str">
        <f>IFERROR(__xludf.DUMMYFUNCTION("GOOGLETRANSLATE(A20584,""en"",""pt"")"),"ficar sem tinta rapidamente")</f>
        <v>ficar sem tinta rapidamente</v>
      </c>
      <c r="B20584" s="3">
        <v>0</v>
      </c>
    </row>
    <row r="20585" ht="15.75" customHeight="1" spans="1:2">
      <c r="A20585" s="3" t="str">
        <f>IFERROR(__xludf.DUMMYFUNCTION("GOOGLETRANSLATE(A20585,""en"",""pt"")"),"quantidade limitada de carga do papel")</f>
        <v>quantidade limitada de carga do papel</v>
      </c>
      <c r="B20585" s="3">
        <v>0</v>
      </c>
    </row>
    <row r="20586" ht="15.75" customHeight="1" spans="1:2">
      <c r="A20586" s="3" t="str">
        <f>IFERROR(__xludf.DUMMYFUNCTION("GOOGLETRANSLATE(A20586,""en"",""pt"")"),"Nem um único")</f>
        <v>Nem um único</v>
      </c>
      <c r="B20586" s="3">
        <v>0</v>
      </c>
    </row>
    <row r="20587" ht="15.75" customHeight="1" spans="1:2">
      <c r="A20587" s="3" t="str">
        <f>IFERROR(__xludf.DUMMYFUNCTION("GOOGLETRANSLATE(A20587,""en"",""pt"")"),"O design é um pouco dorkey para nós Macho nerds")</f>
        <v>O design é um pouco dorkey para nós Macho nerds</v>
      </c>
      <c r="B20587" s="3">
        <v>0</v>
      </c>
    </row>
    <row r="20588" ht="15.75" customHeight="1" spans="1:2">
      <c r="A20588" s="3" t="str">
        <f>IFERROR(__xludf.DUMMYFUNCTION("GOOGLETRANSLATE(A20588,""en"",""pt"")"),"os cartuchos de tinta dispendiosos, assim que a impressão em papel comum")</f>
        <v>os cartuchos de tinta dispendiosos, assim que a impressão em papel comum</v>
      </c>
      <c r="B20588" s="3">
        <v>0</v>
      </c>
    </row>
    <row r="20589" ht="15.75" customHeight="1" spans="1:2">
      <c r="A20589" s="3" t="str">
        <f>IFERROR(__xludf.DUMMYFUNCTION("GOOGLETRANSLATE(A20589,""en"",""pt"")"),"A coisa não vai funcionar")</f>
        <v>A coisa não vai funcionar</v>
      </c>
      <c r="B20589" s="3">
        <v>0</v>
      </c>
    </row>
    <row r="20590" ht="15.75" customHeight="1" spans="1:2">
      <c r="A20590" s="3" t="str">
        <f>IFERROR(__xludf.DUMMYFUNCTION("GOOGLETRANSLATE(A20590,""en"",""pt"")"),"Cartuchos de tinta Durante são precificados")</f>
        <v>Cartuchos de tinta Durante são precificados</v>
      </c>
      <c r="B20590" s="3">
        <v>0</v>
      </c>
    </row>
    <row r="20591" ht="15.75" customHeight="1" spans="1:2">
      <c r="A20591" s="3" t="str">
        <f>IFERROR(__xludf.DUMMYFUNCTION("GOOGLETRANSLATE(A20591,""en"",""pt"")"),"Deve recarga de cartuchos antes de secar ou então eles serão rejeitados")</f>
        <v>Deve recarga de cartuchos antes de secar ou então eles serão rejeitados</v>
      </c>
      <c r="B20591" s="3">
        <v>0</v>
      </c>
    </row>
    <row r="20592" ht="15.75" customHeight="1" spans="1:2">
      <c r="A20592" s="3" t="str">
        <f>IFERROR(__xludf.DUMMYFUNCTION("GOOGLETRANSLATE(A20592,""en"",""pt"")"),"DOA, papel mastigado, incrivelmente barato construção, muito preocupante, frágil, alto.")</f>
        <v>DOA, papel mastigado, incrivelmente barato construção, muito preocupante, frágil, alto.</v>
      </c>
      <c r="B20592" s="3">
        <v>0</v>
      </c>
    </row>
    <row r="20593" ht="15.75" customHeight="1" spans="1:2">
      <c r="A20593" s="3" t="str">
        <f>IFERROR(__xludf.DUMMYFUNCTION("GOOGLETRANSLATE(A20593,""en"",""pt"")"),"Frágil, facilmente quebrado, a cabeça fica desalinhado frequentemente")</f>
        <v>Frágil, facilmente quebrado, a cabeça fica desalinhado frequentemente</v>
      </c>
      <c r="B20593" s="3">
        <v>0</v>
      </c>
    </row>
    <row r="20594" ht="15.75" customHeight="1" spans="1:2">
      <c r="A20594" s="3" t="str">
        <f>IFERROR(__xludf.DUMMYFUNCTION("GOOGLETRANSLATE(A20594,""en"",""pt"")"),"Nenhum")</f>
        <v>Nenhum</v>
      </c>
      <c r="B20594" s="3">
        <v>0</v>
      </c>
    </row>
    <row r="20595" ht="15.75" customHeight="1" spans="1:2">
      <c r="A20595" s="3" t="str">
        <f>IFERROR(__xludf.DUMMYFUNCTION("GOOGLETRANSLATE(A20595,""en"",""pt"")"),"impressão um pouco lento. (Especialmente cor) Ink parece usar-se rapidamente.")</f>
        <v>impressão um pouco lento. (Especialmente cor) Ink parece usar-se rapidamente.</v>
      </c>
      <c r="B20595" s="3">
        <v>0</v>
      </c>
    </row>
    <row r="20596" ht="15.75" customHeight="1" spans="1:2">
      <c r="A20596" s="3" t="str">
        <f>IFERROR(__xludf.DUMMYFUNCTION("GOOGLETRANSLATE(A20596,""en"",""pt"")"),"Nenhum")</f>
        <v>Nenhum</v>
      </c>
      <c r="B20596" s="3">
        <v>0</v>
      </c>
    </row>
    <row r="20597" ht="15.75" customHeight="1" spans="1:2">
      <c r="A20597" s="3" t="str">
        <f>IFERROR(__xludf.DUMMYFUNCTION("GOOGLETRANSLATE(A20597,""en"",""pt"")"),"Fotos têm um tom estranho, tinta é caro. Sem suporte de rede.")</f>
        <v>Fotos têm um tom estranho, tinta é caro. Sem suporte de rede.</v>
      </c>
      <c r="B20597" s="3">
        <v>0</v>
      </c>
    </row>
    <row r="20598" ht="15.75" customHeight="1" spans="1:2">
      <c r="A20598" s="3" t="str">
        <f>IFERROR(__xludf.DUMMYFUNCTION("GOOGLETRANSLATE(A20598,""en"",""pt"")"),"custos de cartuchos deve vir para baixo")</f>
        <v>custos de cartuchos deve vir para baixo</v>
      </c>
      <c r="B20598" s="3">
        <v>0</v>
      </c>
    </row>
    <row r="20599" ht="15.75" customHeight="1" spans="1:2">
      <c r="A20599" s="3" t="str">
        <f>IFERROR(__xludf.DUMMYFUNCTION("GOOGLETRANSLATE(A20599,""en"",""pt"")"),"Barulhento")</f>
        <v>Barulhento</v>
      </c>
      <c r="B20599" s="3">
        <v>0</v>
      </c>
    </row>
    <row r="20600" ht="15.75" customHeight="1" spans="1:2">
      <c r="A20600" s="3" t="str">
        <f>IFERROR(__xludf.DUMMYFUNCTION("GOOGLETRANSLATE(A20600,""en"",""pt"")"),"Sobre o lado ruidoso")</f>
        <v>Sobre o lado ruidoso</v>
      </c>
      <c r="B20600" s="3">
        <v>0</v>
      </c>
    </row>
    <row r="20601" ht="15.75" customHeight="1" spans="1:2">
      <c r="A20601" s="3" t="str">
        <f>IFERROR(__xludf.DUMMYFUNCTION("GOOGLETRANSLATE(A20601,""en"",""pt"")"),"Como todos Epson é, é uma impressora barulhenta")</f>
        <v>Como todos Epson é, é uma impressora barulhenta</v>
      </c>
      <c r="B20601" s="3">
        <v>0</v>
      </c>
    </row>
    <row r="20602" ht="15.75" customHeight="1" spans="1:2">
      <c r="A20602" s="3" t="str">
        <f>IFERROR(__xludf.DUMMYFUNCTION("GOOGLETRANSLATE(A20602,""en"",""pt"")"),"Alto durante a impressão, alto preço de cartuchos de reposição.")</f>
        <v>Alto durante a impressão, alto preço de cartuchos de reposição.</v>
      </c>
      <c r="B20602" s="3">
        <v>0</v>
      </c>
    </row>
    <row r="20603" ht="15.75" customHeight="1" spans="1:2">
      <c r="A20603" s="3" t="str">
        <f>IFERROR(__xludf.DUMMYFUNCTION("GOOGLETRANSLATE(A20603,""en"",""pt"")"),"Um pouco barulhento no arranque")</f>
        <v>Um pouco barulhento no arranque</v>
      </c>
      <c r="B20603" s="3">
        <v>0</v>
      </c>
    </row>
    <row r="20604" ht="15.75" customHeight="1" spans="1:2">
      <c r="A20604" s="3" t="str">
        <f>IFERROR(__xludf.DUMMYFUNCTION("GOOGLETRANSLATE(A20604,""en"",""pt"")"),"alguma dificuldade instalação Para mim, cartuchos constatação difíceis")</f>
        <v>alguma dificuldade instalação Para mim, cartuchos constatação difíceis</v>
      </c>
      <c r="B20604" s="3">
        <v>0</v>
      </c>
    </row>
    <row r="20605" ht="15.75" customHeight="1" spans="1:2">
      <c r="A20605" s="3" t="str">
        <f>IFERROR(__xludf.DUMMYFUNCTION("GOOGLETRANSLATE(A20605,""en"",""pt"")"),"Qualidade da mecânica da impressora podem faltar.")</f>
        <v>Qualidade da mecânica da impressora podem faltar.</v>
      </c>
      <c r="B20605" s="3">
        <v>0</v>
      </c>
    </row>
    <row r="20606" ht="15.75" customHeight="1" spans="1:2">
      <c r="A20606" s="3" t="str">
        <f>IFERROR(__xludf.DUMMYFUNCTION("GOOGLETRANSLATE(A20606,""en"",""pt"")"),"Eu corri para fora f tinta preta após 3 meses")</f>
        <v>Eu corri para fora f tinta preta após 3 meses</v>
      </c>
      <c r="B20606" s="3">
        <v>0</v>
      </c>
    </row>
    <row r="20607" ht="15.75" customHeight="1" spans="1:2">
      <c r="A20607" s="3" t="str">
        <f>IFERROR(__xludf.DUMMYFUNCTION("GOOGLETRANSLATE(A20607,""en"",""pt"")"),"Requer Bi-direcional cabo, ou USB, paralela costuma cabo de porta padrão de trabalho'.")</f>
        <v>Requer Bi-direcional cabo, ou USB, paralela costuma cabo de porta padrão de trabalho'.</v>
      </c>
      <c r="B20607" s="3">
        <v>0</v>
      </c>
    </row>
    <row r="20608" ht="15.75" customHeight="1" spans="1:2">
      <c r="A20608" s="3" t="str">
        <f>IFERROR(__xludf.DUMMYFUNCTION("GOOGLETRANSLATE(A20608,""en"",""pt"")"),"tinta caro ($ 60 para ambos os cartuchos), Noisy, construção baratos, tinta Resíduos")</f>
        <v>tinta caro ($ 60 para ambos os cartuchos), Noisy, construção baratos, tinta Resíduos</v>
      </c>
      <c r="B20608" s="3">
        <v>0</v>
      </c>
    </row>
    <row r="20609" ht="15.75" customHeight="1" spans="1:2">
      <c r="A20609" s="3" t="str">
        <f>IFERROR(__xludf.DUMMYFUNCTION("GOOGLETRANSLATE(A20609,""en"",""pt"")"),"trabalhos de impressão um pouco obscuro, operação de motosserra-alto")</f>
        <v>trabalhos de impressão um pouco obscuro, operação de motosserra-alto</v>
      </c>
      <c r="B20609" s="3">
        <v>0</v>
      </c>
    </row>
    <row r="20610" ht="15.75" customHeight="1" spans="1:2">
      <c r="A20610" s="3" t="str">
        <f>IFERROR(__xludf.DUMMYFUNCTION("GOOGLETRANSLATE(A20610,""en"",""pt"")"),"ventosa tinta, dificuldades mecânicas.")</f>
        <v>ventosa tinta, dificuldades mecânicas.</v>
      </c>
      <c r="B20610" s="3">
        <v>0</v>
      </c>
    </row>
    <row r="20611" ht="15.75" customHeight="1" spans="1:2">
      <c r="A20611" s="3" t="str">
        <f>IFERROR(__xludf.DUMMYFUNCTION("GOOGLETRANSLATE(A20611,""en"",""pt"")"),"Ruidoso, cartuchos de impressora dispendiosos")</f>
        <v>Ruidoso, cartuchos de impressora dispendiosos</v>
      </c>
      <c r="B20611" s="3">
        <v>0</v>
      </c>
    </row>
    <row r="20612" ht="15.75" customHeight="1" spans="1:2">
      <c r="A20612" s="3" t="str">
        <f>IFERROR(__xludf.DUMMYFUNCTION("GOOGLETRANSLATE(A20612,""en"",""pt"")"),"Os cartuchos de tinta são caros. Faded Economia qualidade modo Build é chocante")</f>
        <v>Os cartuchos de tinta são caros. Faded Economia qualidade modo Build é chocante</v>
      </c>
      <c r="B20612" s="3">
        <v>0</v>
      </c>
    </row>
    <row r="20613" ht="15.75" customHeight="1" spans="1:2">
      <c r="A20613" s="3" t="str">
        <f>IFERROR(__xludf.DUMMYFUNCTION("GOOGLETRANSLATE(A20613,""en"",""pt"")"),"barulhento, usa tinta rápida, incapaz de encontrar substitutos de tinta; etc ...")</f>
        <v>barulhento, usa tinta rápida, incapaz de encontrar substitutos de tinta; etc ...</v>
      </c>
      <c r="B20613" s="3">
        <v>0</v>
      </c>
    </row>
    <row r="20614" ht="15.75" customHeight="1" spans="1:2">
      <c r="A20614" s="3" t="str">
        <f>IFERROR(__xludf.DUMMYFUNCTION("GOOGLETRANSLATE(A20614,""en"",""pt"")"),"Barulhento")</f>
        <v>Barulhento</v>
      </c>
      <c r="B20614" s="3">
        <v>0</v>
      </c>
    </row>
    <row r="20615" ht="15.75" customHeight="1" spans="1:2">
      <c r="A20615" s="3" t="str">
        <f>IFERROR(__xludf.DUMMYFUNCTION("GOOGLETRANSLATE(A20615,""en"",""pt"")"),"Um pouco alto, cartuchos de tinta CARAS")</f>
        <v>Um pouco alto, cartuchos de tinta CARAS</v>
      </c>
      <c r="B20615" s="3">
        <v>0</v>
      </c>
    </row>
    <row r="20616" ht="15.75" customHeight="1" spans="1:2">
      <c r="A20616" s="3" t="str">
        <f>IFERROR(__xludf.DUMMYFUNCTION("GOOGLETRANSLATE(A20616,""en"",""pt"")"),"a função de impressão Whiny, consome tinta como um veículo com rodas 18.")</f>
        <v>a função de impressão Whiny, consome tinta como um veículo com rodas 18.</v>
      </c>
      <c r="B20616" s="3">
        <v>0</v>
      </c>
    </row>
    <row r="20617" ht="15.75" customHeight="1" spans="1:2">
      <c r="A20617" s="3" t="str">
        <f>IFERROR(__xludf.DUMMYFUNCTION("GOOGLETRANSLATE(A20617,""en"",""pt"")"),"Papel alimentar problemas, utiliza tinta rapidamente")</f>
        <v>Papel alimentar problemas, utiliza tinta rapidamente</v>
      </c>
      <c r="B20617" s="3">
        <v>0</v>
      </c>
    </row>
    <row r="20618" ht="15.75" customHeight="1" spans="1:2">
      <c r="A20618" s="3" t="str">
        <f>IFERROR(__xludf.DUMMYFUNCTION("GOOGLETRANSLATE(A20618,""en"",""pt"")"),"Carcaça é um imã de poeira, não tão tranquila como você gostaria para uso doméstico")</f>
        <v>Carcaça é um imã de poeira, não tão tranquila como você gostaria para uso doméstico</v>
      </c>
      <c r="B20618" s="3">
        <v>0</v>
      </c>
    </row>
    <row r="20619" ht="15.75" customHeight="1" spans="1:2">
      <c r="A20619" s="3" t="str">
        <f>IFERROR(__xludf.DUMMYFUNCTION("GOOGLETRANSLATE(A20619,""en"",""pt"")"),"Alto alto alto")</f>
        <v>Alto alto alto</v>
      </c>
      <c r="B20619" s="3">
        <v>0</v>
      </c>
    </row>
    <row r="20620" ht="15.75" customHeight="1" spans="1:2">
      <c r="A20620" s="3" t="str">
        <f>IFERROR(__xludf.DUMMYFUNCTION("GOOGLETRANSLATE(A20620,""en"",""pt"")"),"Lento de impressão a cores w / página inteira, cartuchos caros")</f>
        <v>Lento de impressão a cores w / página inteira, cartuchos caros</v>
      </c>
      <c r="B20620" s="3">
        <v>0</v>
      </c>
    </row>
    <row r="20621" ht="15.75" customHeight="1" spans="1:2">
      <c r="A20621" s="3" t="str">
        <f>IFERROR(__xludf.DUMMYFUNCTION("GOOGLETRANSLATE(A20621,""en"",""pt"")"),"NO tinta nos cartuchos OEM caros!")</f>
        <v>NO tinta nos cartuchos OEM caros!</v>
      </c>
      <c r="B20621" s="3">
        <v>0</v>
      </c>
    </row>
    <row r="20622" ht="15.75" customHeight="1" spans="1:2">
      <c r="A20622" s="3" t="str">
        <f>IFERROR(__xludf.DUMMYFUNCTION("GOOGLETRANSLATE(A20622,""en"",""pt"")"),"Funky do processo excessivamente longo antes de começar a imprimir EATS RÁPIDO DE TINTA caros!")</f>
        <v>Funky do processo excessivamente longo antes de começar a imprimir EATS RÁPIDO DE TINTA caros!</v>
      </c>
      <c r="B20622" s="3">
        <v>0</v>
      </c>
    </row>
    <row r="20623" ht="15.75" customHeight="1" spans="1:2">
      <c r="A20623" s="3" t="str">
        <f>IFERROR(__xludf.DUMMYFUNCTION("GOOGLETRANSLATE(A20623,""en"",""pt"")"),"Loud, retardar em começar os trabalhos de impressão, não é muito durável.")</f>
        <v>Loud, retardar em começar os trabalhos de impressão, não é muito durável.</v>
      </c>
      <c r="B20623" s="3">
        <v>0</v>
      </c>
    </row>
    <row r="20624" ht="15.75" customHeight="1" spans="1:2">
      <c r="A20624" s="3" t="str">
        <f>IFERROR(__xludf.DUMMYFUNCTION("GOOGLETRANSLATE(A20624,""en"",""pt"")"),"Custo dos cartuchos = vender a sua casa.")</f>
        <v>Custo dos cartuchos = vender a sua casa.</v>
      </c>
      <c r="B20624" s="3">
        <v>0</v>
      </c>
    </row>
    <row r="20625" ht="15.75" customHeight="1" spans="1:2">
      <c r="A20625" s="3" t="str">
        <f>IFERROR(__xludf.DUMMYFUNCTION("GOOGLETRANSLATE(A20625,""en"",""pt"")"),"Você tem que esperar um longo tempo antes de ser impressa para o processo primming.")</f>
        <v>Você tem que esperar um longo tempo antes de ser impressa para o processo primming.</v>
      </c>
      <c r="B20625" s="3">
        <v>0</v>
      </c>
    </row>
    <row r="20626" ht="15.75" customHeight="1" spans="1:2">
      <c r="A20626" s="3" t="str">
        <f>IFERROR(__xludf.DUMMYFUNCTION("GOOGLETRANSLATE(A20626,""en"",""pt"")"),"ruídos ridículas e longo tempo de espera antes de imprimir começa")</f>
        <v>ruídos ridículas e longo tempo de espera antes de imprimir começa</v>
      </c>
      <c r="B20626" s="3">
        <v>0</v>
      </c>
    </row>
    <row r="20627" ht="15.75" customHeight="1" spans="1:2">
      <c r="A20627" s="3" t="str">
        <f>IFERROR(__xludf.DUMMYFUNCTION("GOOGLETRANSLATE(A20627,""en"",""pt"")"),"Barulhento e difícil de uso")</f>
        <v>Barulhento e difícil de uso</v>
      </c>
      <c r="B20627" s="3">
        <v>0</v>
      </c>
    </row>
    <row r="20628" ht="15.75" customHeight="1" spans="1:2">
      <c r="A20628" s="3" t="str">
        <f>IFERROR(__xludf.DUMMYFUNCTION("GOOGLETRANSLATE(A20628,""en"",""pt"")"),"Longo período de aquecimento")</f>
        <v>Longo período de aquecimento</v>
      </c>
      <c r="B20628" s="3">
        <v>0</v>
      </c>
    </row>
    <row r="20629" ht="15.75" customHeight="1" spans="1:2">
      <c r="A20629" s="3" t="str">
        <f>IFERROR(__xludf.DUMMYFUNCTION("GOOGLETRANSLATE(A20629,""en"",""pt"")"),"Fotos coloridas usar muita tinta ...")</f>
        <v>Fotos coloridas usar muita tinta ...</v>
      </c>
      <c r="B20629" s="3">
        <v>0</v>
      </c>
    </row>
    <row r="20630" ht="15.75" customHeight="1" spans="1:2">
      <c r="A20630" s="3" t="str">
        <f>IFERROR(__xludf.DUMMYFUNCTION("GOOGLETRANSLATE(A20630,""en"",""pt"")"),"Leva um tempo para ficar pronto para imprimir. 1-5 minutos!")</f>
        <v>Leva um tempo para ficar pronto para imprimir. 1-5 minutos!</v>
      </c>
      <c r="B20630" s="3">
        <v>0</v>
      </c>
    </row>
    <row r="20631" ht="15.75" customHeight="1" spans="1:2">
      <c r="A20631" s="3" t="str">
        <f>IFERROR(__xludf.DUMMYFUNCTION("GOOGLETRANSLATE(A20631,""en"",""pt"")"),"um pouco barulhento")</f>
        <v>um pouco barulhento</v>
      </c>
      <c r="B20631" s="3">
        <v>0</v>
      </c>
    </row>
    <row r="20632" ht="15.75" customHeight="1" spans="1:2">
      <c r="A20632" s="3" t="str">
        <f>IFERROR(__xludf.DUMMYFUNCTION("GOOGLETRANSLATE(A20632,""en"",""pt"")"),"Não Qualidade Fotográfica")</f>
        <v>Não Qualidade Fotográfica</v>
      </c>
      <c r="B20632" s="3">
        <v>0</v>
      </c>
    </row>
    <row r="20633" ht="15.75" customHeight="1" spans="1:2">
      <c r="A20633" s="3" t="str">
        <f>IFERROR(__xludf.DUMMYFUNCTION("GOOGLETRANSLATE(A20633,""en"",""pt"")"),"bandejas frágeis")</f>
        <v>bandejas frágeis</v>
      </c>
      <c r="B20633" s="3">
        <v>0</v>
      </c>
    </row>
    <row r="20634" ht="15.75" customHeight="1" spans="1:2">
      <c r="A20634" s="3" t="str">
        <f>IFERROR(__xludf.DUMMYFUNCTION("GOOGLETRANSLATE(A20634,""en"",""pt"")"),"Ink é caro e vai rápido")</f>
        <v>Ink é caro e vai rápido</v>
      </c>
      <c r="B20634" s="3">
        <v>0</v>
      </c>
    </row>
    <row r="20635" ht="15.75" customHeight="1" spans="1:2">
      <c r="A20635" s="3" t="str">
        <f>IFERROR(__xludf.DUMMYFUNCTION("GOOGLETRANSLATE(A20635,""en"",""pt"")"),"Tempo de aquecimento é de 7 minutos, quando ligado.")</f>
        <v>Tempo de aquecimento é de 7 minutos, quando ligado.</v>
      </c>
      <c r="B20635" s="3">
        <v>0</v>
      </c>
    </row>
    <row r="20636" ht="15.75" customHeight="1" spans="1:2">
      <c r="A20636" s="3" t="str">
        <f>IFERROR(__xludf.DUMMYFUNCTION("GOOGLETRANSLATE(A20636,""en"",""pt"")"),"O tempo de aquecimento muito longo e barulhento.")</f>
        <v>O tempo de aquecimento muito longo e barulhento.</v>
      </c>
      <c r="B20636" s="3">
        <v>0</v>
      </c>
    </row>
    <row r="20637" ht="15.75" customHeight="1" spans="1:2">
      <c r="A20637" s="3" t="str">
        <f>IFERROR(__xludf.DUMMYFUNCTION("GOOGLETRANSLATE(A20637,""en"",""pt"")"),"A ""Printer Lance-afastado! Noise, o custo de fornecimento, EPSON Falta de número 800")</f>
        <v>A "Printer Lance-afastado! Noise, o custo de fornecimento, EPSON Falta de número 800</v>
      </c>
      <c r="B20637" s="3">
        <v>0</v>
      </c>
    </row>
    <row r="20638" ht="15.75" customHeight="1" spans="1:2">
      <c r="A20638" s="3" t="str">
        <f>IFERROR(__xludf.DUMMYFUNCTION("GOOGLETRANSLATE(A20638,""en"",""pt"")"),"Parece limpar as cabeças antes de trabalho quase todos os impressão; impressão de texto sujo.")</f>
        <v>Parece limpar as cabeças antes de trabalho quase todos os impressão; impressão de texto sujo.</v>
      </c>
      <c r="B20638" s="3">
        <v>0</v>
      </c>
    </row>
    <row r="20639" ht="15.75" customHeight="1" spans="1:2">
      <c r="A20639" s="3" t="str">
        <f>IFERROR(__xludf.DUMMYFUNCTION("GOOGLETRANSLATE(A20639,""en"",""pt"")"),"caro (impressora e do cartucho), limpa muito frequentemente (fazendo sons)")</f>
        <v>caro (impressora e do cartucho), limpa muito frequentemente (fazendo sons)</v>
      </c>
      <c r="B20639" s="3">
        <v>0</v>
      </c>
    </row>
    <row r="20640" ht="15.75" customHeight="1" spans="1:2">
      <c r="A20640" s="3" t="str">
        <f>IFERROR(__xludf.DUMMYFUNCTION("GOOGLETRANSLATE(A20640,""en"",""pt"")"),"tinta caro, devido à construção de limpeza, sobrecarga")</f>
        <v>tinta caro, devido à construção de limpeza, sobrecarga</v>
      </c>
      <c r="B20640" s="3">
        <v>0</v>
      </c>
    </row>
    <row r="20641" ht="15.75" customHeight="1" spans="1:2">
      <c r="A20641" s="3" t="str">
        <f>IFERROR(__xludf.DUMMYFUNCTION("GOOGLETRANSLATE(A20641,""en"",""pt"")"),"tinta caro. Não gosta de cartuchos de clones.")</f>
        <v>tinta caro. Não gosta de cartuchos de clones.</v>
      </c>
      <c r="B20641" s="3">
        <v>0</v>
      </c>
    </row>
    <row r="20642" ht="15.75" customHeight="1" spans="1:2">
      <c r="A20642" s="3" t="str">
        <f>IFERROR(__xludf.DUMMYFUNCTION("GOOGLETRANSLATE(A20642,""en"",""pt"")"),"Nenhum encontrado ainda")</f>
        <v>Nenhum encontrado ainda</v>
      </c>
      <c r="B20642" s="3">
        <v>0</v>
      </c>
    </row>
    <row r="20643" ht="15.75" customHeight="1" spans="1:2">
      <c r="A20643" s="3" t="str">
        <f>IFERROR(__xludf.DUMMYFUNCTION("GOOGLETRANSLATE(A20643,""en"",""pt"")"),"cabeça de impressão não faz parte do cartucho e, esta impressora tende a ficar tamancos de cabeça.")</f>
        <v>cabeça de impressão não faz parte do cartucho e, esta impressora tende a ficar tamancos de cabeça.</v>
      </c>
      <c r="B20643" s="3">
        <v>0</v>
      </c>
    </row>
    <row r="20644" ht="15.75" customHeight="1" spans="1:2">
      <c r="A20644" s="3" t="str">
        <f>IFERROR(__xludf.DUMMYFUNCTION("GOOGLETRANSLATE(A20644,""en"",""pt"")"),"A substituição frequente do cartucho de tinta, impressão desorganizados, e problemas frequentes")</f>
        <v>A substituição frequente do cartucho de tinta, impressão desorganizados, e problemas frequentes</v>
      </c>
      <c r="B20644" s="3">
        <v>0</v>
      </c>
    </row>
    <row r="20645" ht="15.75" customHeight="1" spans="1:2">
      <c r="A20645" s="3" t="str">
        <f>IFERROR(__xludf.DUMMYFUNCTION("GOOGLETRANSLATE(A20645,""en"",""pt"")"),"não se sustenta no longo prazo")</f>
        <v>não se sustenta no longo prazo</v>
      </c>
      <c r="B20645" s="3">
        <v>0</v>
      </c>
    </row>
    <row r="20646" ht="15.75" customHeight="1" spans="1:2">
      <c r="A20646" s="3" t="str">
        <f>IFERROR(__xludf.DUMMYFUNCTION("GOOGLETRANSLATE(A20646,""en"",""pt"")"),"Não encontrei nenhum.")</f>
        <v>Não encontrei nenhum.</v>
      </c>
      <c r="B20646" s="3">
        <v>0</v>
      </c>
    </row>
    <row r="20647" ht="15.75" customHeight="1" spans="1:2">
      <c r="A20647" s="3" t="str">
        <f>IFERROR(__xludf.DUMMYFUNCTION("GOOGLETRANSLATE(A20647,""en"",""pt"")"),"não muito rápida e os cartuchos de tinta caros")</f>
        <v>não muito rápida e os cartuchos de tinta caros</v>
      </c>
      <c r="B20647" s="3">
        <v>0</v>
      </c>
    </row>
    <row r="20648" ht="15.75" customHeight="1" spans="1:2">
      <c r="A20648" s="3" t="str">
        <f>IFERROR(__xludf.DUMMYFUNCTION("GOOGLETRANSLATE(A20648,""en"",""pt"")"),"Usa a cor em como louco!")</f>
        <v>Usa a cor em como louco!</v>
      </c>
      <c r="B20648" s="3">
        <v>0</v>
      </c>
    </row>
    <row r="20649" ht="15.75" customHeight="1" spans="1:2">
      <c r="A20649" s="3" t="str">
        <f>IFERROR(__xludf.DUMMYFUNCTION("GOOGLETRANSLATE(A20649,""en"",""pt"")"),"Medíocre qualidade fotográfica; &amp; amp; # 13; &amp; amp; # 10; Cartucho Expensive; &amp; amp; # 13; &amp; amp; # 10; Inflexível mudando cartuchos; &amp; amp; # 13; &amp; amp; # 10; Mostrar marca de impressão na parte de trás.")</f>
        <v>Medíocre qualidade fotográfica; &amp; amp; # 13; &amp; amp; # 10; Cartucho Expensive; &amp; amp; # 13; &amp; amp; # 10; Inflexível mudando cartuchos; &amp; amp; # 13; &amp; amp; # 10; Mostrar marca de impressão na parte de trás.</v>
      </c>
      <c r="B20649" s="3">
        <v>0</v>
      </c>
    </row>
    <row r="20650" ht="15.75" customHeight="1" spans="1:2">
      <c r="A20650" s="3" t="str">
        <f>IFERROR(__xludf.DUMMYFUNCTION("GOOGLETRANSLATE(A20650,""en"",""pt"")"),"vai mal em cerca de 2 anos, inkjets entupir e torná-lo sem valor")</f>
        <v>vai mal em cerca de 2 anos, inkjets entupir e torná-lo sem valor</v>
      </c>
      <c r="B20650" s="3">
        <v>0</v>
      </c>
    </row>
    <row r="20651" ht="15.75" customHeight="1" spans="1:2">
      <c r="A20651" s="3" t="str">
        <f>IFERROR(__xludf.DUMMYFUNCTION("GOOGLETRANSLATE(A20651,""en"",""pt"")"),"sem grandes falhas")</f>
        <v>sem grandes falhas</v>
      </c>
      <c r="B20651" s="3">
        <v>0</v>
      </c>
    </row>
    <row r="20652" ht="15.75" customHeight="1" spans="1:2">
      <c r="A20652" s="3" t="str">
        <f>IFERROR(__xludf.DUMMYFUNCTION("GOOGLETRANSLATE(A20652,""en"",""pt"")"),"nada até agora")</f>
        <v>nada até agora</v>
      </c>
      <c r="B20652" s="3">
        <v>0</v>
      </c>
    </row>
    <row r="20653" ht="15.75" customHeight="1" spans="1:2">
      <c r="A20653" s="3" t="str">
        <f>IFERROR(__xludf.DUMMYFUNCTION("GOOGLETRANSLATE(A20653,""en"",""pt"")"),"Tamanho físico")</f>
        <v>Tamanho físico</v>
      </c>
      <c r="B20653" s="3">
        <v>0</v>
      </c>
    </row>
    <row r="20654" ht="15.75" customHeight="1" spans="1:2">
      <c r="A20654" s="3" t="str">
        <f>IFERROR(__xludf.DUMMYFUNCTION("GOOGLETRANSLATE(A20654,""en"",""pt"")"),"Grande impressora, tinteiros pequenos")</f>
        <v>Grande impressora, tinteiros pequenos</v>
      </c>
      <c r="B20654" s="3">
        <v>0</v>
      </c>
    </row>
    <row r="20655" ht="15.75" customHeight="1" spans="1:2">
      <c r="A20655" s="3" t="str">
        <f>IFERROR(__xludf.DUMMYFUNCTION("GOOGLETRANSLATE(A20655,""en"",""pt"")"),"qualidade de texto pobre")</f>
        <v>qualidade de texto pobre</v>
      </c>
      <c r="B20655" s="3">
        <v>0</v>
      </c>
    </row>
    <row r="20656" ht="15.75" customHeight="1" spans="1:2">
      <c r="A20656" s="3" t="str">
        <f>IFERROR(__xludf.DUMMYFUNCTION("GOOGLETRANSLATE(A20656,""en"",""pt"")"),"recarga de cartuchos caros")</f>
        <v>recarga de cartuchos caros</v>
      </c>
      <c r="B20656" s="3">
        <v>0</v>
      </c>
    </row>
    <row r="20657" ht="15.75" customHeight="1" spans="1:2">
      <c r="A20657" s="3" t="str">
        <f>IFERROR(__xludf.DUMMYFUNCTION("GOOGLETRANSLATE(A20657,""en"",""pt"")"),"difícil para os amantes da HP para a transição até")</f>
        <v>difícil para os amantes da HP para a transição até</v>
      </c>
      <c r="B20657" s="3">
        <v>0</v>
      </c>
    </row>
    <row r="20658" ht="15.75" customHeight="1" spans="1:2">
      <c r="A20658" s="3" t="str">
        <f>IFERROR(__xludf.DUMMYFUNCTION("GOOGLETRANSLATE(A20658,""en"",""pt"")"),"reprodução de cor Bad")</f>
        <v>reprodução de cor Bad</v>
      </c>
      <c r="B20658" s="3">
        <v>0</v>
      </c>
    </row>
    <row r="20659" ht="15.75" customHeight="1" spans="1:2">
      <c r="A20659" s="3" t="str">
        <f>IFERROR(__xludf.DUMMYFUNCTION("GOOGLETRANSLATE(A20659,""en"",""pt"")"),"qualidade Tex")</f>
        <v>qualidade Tex</v>
      </c>
      <c r="B20659" s="3">
        <v>0</v>
      </c>
    </row>
    <row r="20660" ht="15.75" customHeight="1" spans="1:2">
      <c r="A20660" s="3" t="str">
        <f>IFERROR(__xludf.DUMMYFUNCTION("GOOGLETRANSLATE(A20660,""en"",""pt"")"),"muitos erros")</f>
        <v>muitos erros</v>
      </c>
      <c r="B20660" s="3">
        <v>0</v>
      </c>
    </row>
    <row r="20661" ht="15.75" customHeight="1" spans="1:2">
      <c r="A20661" s="3" t="str">
        <f>IFERROR(__xludf.DUMMYFUNCTION("GOOGLETRANSLATE(A20661,""en"",""pt"")"),"os cartuchos de tinta cara.")</f>
        <v>os cartuchos de tinta cara.</v>
      </c>
      <c r="B20661" s="3">
        <v>0</v>
      </c>
    </row>
    <row r="20662" ht="15.75" customHeight="1" spans="1:2">
      <c r="A20662" s="3" t="str">
        <f>IFERROR(__xludf.DUMMYFUNCTION("GOOGLETRANSLATE(A20662,""en"",""pt"")"),"Nenhum")</f>
        <v>Nenhum</v>
      </c>
      <c r="B20662" s="3">
        <v>0</v>
      </c>
    </row>
    <row r="20663" ht="15.75" customHeight="1" spans="1:2">
      <c r="A20663" s="3" t="str">
        <f>IFERROR(__xludf.DUMMYFUNCTION("GOOGLETRANSLATE(A20663,""en"",""pt"")"),"Não tão acentuada como alguns novos jatos de tinta")</f>
        <v>Não tão acentuada como alguns novos jatos de tinta</v>
      </c>
      <c r="B20663" s="3">
        <v>0</v>
      </c>
    </row>
    <row r="20664" ht="15.75" customHeight="1" spans="1:2">
      <c r="A20664" s="3" t="str">
        <f>IFERROR(__xludf.DUMMYFUNCTION("GOOGLETRANSLATE(A20664,""en"",""pt"")"),"Tinta de alto preço, contínua auto-limpeza, Mais lento do que a maioria das outras impressoras.")</f>
        <v>Tinta de alto preço, contínua auto-limpeza, Mais lento do que a maioria das outras impressoras.</v>
      </c>
      <c r="B20664" s="3">
        <v>0</v>
      </c>
    </row>
    <row r="20665" ht="15.75" customHeight="1" spans="1:2">
      <c r="A20665" s="3" t="str">
        <f>IFERROR(__xludf.DUMMYFUNCTION("GOOGLETRANSLATE(A20665,""en"",""pt"")"),"Big, há compatibilidade USB com WIN95")</f>
        <v>Big, há compatibilidade USB com WIN95</v>
      </c>
      <c r="B20665" s="3">
        <v>0</v>
      </c>
    </row>
    <row r="20666" ht="15.75" customHeight="1" spans="1:2">
      <c r="A20666" s="3" t="str">
        <f>IFERROR(__xludf.DUMMYFUNCTION("GOOGLETRANSLATE(A20666,""en"",""pt"")"),"Pode demorar alguns segundos para iniciar")</f>
        <v>Pode demorar alguns segundos para iniciar</v>
      </c>
      <c r="B20666" s="3">
        <v>0</v>
      </c>
    </row>
    <row r="20667" ht="15.75" customHeight="1" spans="1:2">
      <c r="A20667" s="3" t="str">
        <f>IFERROR(__xludf.DUMMYFUNCTION("GOOGLETRANSLATE(A20667,""en"",""pt"")"),"Não o melhor")</f>
        <v>Não o melhor</v>
      </c>
      <c r="B20667" s="3">
        <v>0</v>
      </c>
    </row>
    <row r="20668" ht="15.75" customHeight="1" spans="1:2">
      <c r="A20668" s="3" t="str">
        <f>IFERROR(__xludf.DUMMYFUNCTION("GOOGLETRANSLATE(A20668,""en"",""pt"")"),"o uso de tinta é bastante elevado")</f>
        <v>o uso de tinta é bastante elevado</v>
      </c>
      <c r="B20668" s="3">
        <v>0</v>
      </c>
    </row>
    <row r="20669" ht="15.75" customHeight="1" spans="1:2">
      <c r="A20669" s="3" t="str">
        <f>IFERROR(__xludf.DUMMYFUNCTION("GOOGLETRANSLATE(A20669,""en"",""pt"")"),"substituição de tinta")</f>
        <v>substituição de tinta</v>
      </c>
      <c r="B20669" s="3">
        <v>0</v>
      </c>
    </row>
    <row r="20670" ht="15.75" customHeight="1" spans="1:2">
      <c r="A20670" s="3" t="str">
        <f>IFERROR(__xludf.DUMMYFUNCTION("GOOGLETRANSLATE(A20670,""en"",""pt"")"),"alimentação de papel, ruído, driver de impressora")</f>
        <v>alimentação de papel, ruído, driver de impressora</v>
      </c>
      <c r="B20670" s="3">
        <v>0</v>
      </c>
    </row>
    <row r="20671" ht="15.75" customHeight="1" spans="1:2">
      <c r="A20671" s="3" t="str">
        <f>IFERROR(__xludf.DUMMYFUNCTION("GOOGLETRANSLATE(A20671,""en"",""pt"")"),"impressão de papel comum")</f>
        <v>impressão de papel comum</v>
      </c>
      <c r="B20671" s="3">
        <v>0</v>
      </c>
    </row>
    <row r="20672" ht="15.75" customHeight="1" spans="1:2">
      <c r="A20672" s="3" t="str">
        <f>IFERROR(__xludf.DUMMYFUNCTION("GOOGLETRANSLATE(A20672,""en"",""pt"")"),"superior / alimentação posterior saliência bandeja")</f>
        <v>superior / alimentação posterior saliência bandeja</v>
      </c>
      <c r="B20672" s="3">
        <v>0</v>
      </c>
    </row>
    <row r="20673" ht="15.75" customHeight="1" spans="1:2">
      <c r="A20673" s="3" t="str">
        <f>IFERROR(__xludf.DUMMYFUNCTION("GOOGLETRANSLATE(A20673,""en"",""pt"")"),"Utiliza tinta de cor rapidamente. Difícil de encontrar 860 recargas de tinta sobre os grampos.")</f>
        <v>Utiliza tinta de cor rapidamente. Difícil de encontrar 860 recargas de tinta sobre os grampos.</v>
      </c>
      <c r="B20673" s="3">
        <v>0</v>
      </c>
    </row>
    <row r="20674" ht="15.75" customHeight="1" spans="1:2">
      <c r="A20674" s="3" t="str">
        <f>IFERROR(__xludf.DUMMYFUNCTION("GOOGLETRANSLATE(A20674,""en"",""pt"")"),"Nenhum")</f>
        <v>Nenhum</v>
      </c>
      <c r="B20674" s="3">
        <v>0</v>
      </c>
    </row>
    <row r="20675" ht="15.75" customHeight="1" spans="1:2">
      <c r="A20675" s="3" t="str">
        <f>IFERROR(__xludf.DUMMYFUNCTION("GOOGLETRANSLATE(A20675,""en"",""pt"")"),"não imprime cor se cartucho preto está vazio.")</f>
        <v>não imprime cor se cartucho preto está vazio.</v>
      </c>
      <c r="B20675" s="3">
        <v>0</v>
      </c>
    </row>
    <row r="20676" ht="15.75" customHeight="1" spans="1:2">
      <c r="A20676" s="3" t="str">
        <f>IFERROR(__xludf.DUMMYFUNCTION("GOOGLETRANSLATE(A20676,""en"",""pt"")"),"Novos cartuchos muito caro.")</f>
        <v>Novos cartuchos muito caro.</v>
      </c>
      <c r="B20676" s="3">
        <v>0</v>
      </c>
    </row>
    <row r="20677" ht="15.75" customHeight="1" spans="1:2">
      <c r="A20677" s="3" t="str">
        <f>IFERROR(__xludf.DUMMYFUNCTION("GOOGLETRANSLATE(A20677,""en"",""pt"")"),"Não vem com cabos")</f>
        <v>Não vem com cabos</v>
      </c>
      <c r="B20677" s="3">
        <v>0</v>
      </c>
    </row>
    <row r="20678" ht="15.75" customHeight="1" spans="1:2">
      <c r="A20678" s="3" t="str">
        <f>IFERROR(__xludf.DUMMYFUNCTION("GOOGLETRANSLATE(A20678,""en"",""pt"")"),"Requer um pouco de manutenção para prevenir a jatos de tinta de secagem.")</f>
        <v>Requer um pouco de manutenção para prevenir a jatos de tinta de secagem.</v>
      </c>
      <c r="B20678" s="3">
        <v>0</v>
      </c>
    </row>
    <row r="20679" ht="15.75" customHeight="1" spans="1:2">
      <c r="A20679" s="3" t="str">
        <f>IFERROR(__xludf.DUMMYFUNCTION("GOOGLETRANSLATE(A20679,""en"",""pt"")"),"Nenhum!!!")</f>
        <v>Nenhum!!!</v>
      </c>
      <c r="B20679" s="3">
        <v>0</v>
      </c>
    </row>
    <row r="20680" ht="15.75" customHeight="1" spans="1:2">
      <c r="A20680" s="3" t="str">
        <f>IFERROR(__xludf.DUMMYFUNCTION("GOOGLETRANSLATE(A20680,""en"",""pt"")"),"cartuchos de tinta provavelmente não recarregáveis, informou potencial para cabeças entupir.")</f>
        <v>cartuchos de tinta provavelmente não recarregáveis, informou potencial para cabeças entupir.</v>
      </c>
      <c r="B20680" s="3">
        <v>0</v>
      </c>
    </row>
    <row r="20681" ht="15.75" customHeight="1" spans="1:2">
      <c r="A20681" s="3" t="str">
        <f>IFERROR(__xludf.DUMMYFUNCTION("GOOGLETRANSLATE(A20681,""en"",""pt"")"),"Nenhum cabo (paralela ou USB)")</f>
        <v>Nenhum cabo (paralela ou USB)</v>
      </c>
      <c r="B20681" s="3">
        <v>0</v>
      </c>
    </row>
    <row r="20682" ht="15.75" customHeight="1" spans="1:2">
      <c r="A20682" s="3" t="str">
        <f>IFERROR(__xludf.DUMMYFUNCTION("GOOGLETRANSLATE(A20682,""en"",""pt"")"),"não muito rápido")</f>
        <v>não muito rápido</v>
      </c>
      <c r="B20682" s="3">
        <v>0</v>
      </c>
    </row>
    <row r="20683" ht="15.75" customHeight="1" spans="1:2">
      <c r="A20683" s="3" t="str">
        <f>IFERROR(__xludf.DUMMYFUNCTION("GOOGLETRANSLATE(A20683,""en"",""pt"")"),"se você usar papel crapy você terá de fotos crapy")</f>
        <v>se você usar papel crapy você terá de fotos crapy</v>
      </c>
      <c r="B20683" s="3">
        <v>0</v>
      </c>
    </row>
    <row r="20684" ht="15.75" customHeight="1" spans="1:2">
      <c r="A20684" s="3" t="str">
        <f>IFERROR(__xludf.DUMMYFUNCTION("GOOGLETRANSLATE(A20684,""en"",""pt"")"),"cartuchos de tinta pode correr para fora mais rápido do que outros")</f>
        <v>cartuchos de tinta pode correr para fora mais rápido do que outros</v>
      </c>
      <c r="B20684" s="3">
        <v>0</v>
      </c>
    </row>
    <row r="20685" ht="15.75" customHeight="1" spans="1:2">
      <c r="A20685" s="3" t="str">
        <f>IFERROR(__xludf.DUMMYFUNCTION("GOOGLETRANSLATE(A20685,""en"",""pt"")"),"Longo tempo de latência para se aquecer antes de imprimir.")</f>
        <v>Longo tempo de latência para se aquecer antes de imprimir.</v>
      </c>
      <c r="B20685" s="3">
        <v>0</v>
      </c>
    </row>
    <row r="20686" ht="15.75" customHeight="1" spans="1:2">
      <c r="A20686" s="3" t="str">
        <f>IFERROR(__xludf.DUMMYFUNCTION("GOOGLETRANSLATE(A20686,""en"",""pt"")"),"Manchas na página depois de não ter impresso por um tempo.")</f>
        <v>Manchas na página depois de não ter impresso por um tempo.</v>
      </c>
      <c r="B20686" s="3">
        <v>0</v>
      </c>
    </row>
    <row r="20687" ht="15.75" customHeight="1" spans="1:2">
      <c r="A20687" s="3" t="str">
        <f>IFERROR(__xludf.DUMMYFUNCTION("GOOGLETRANSLATE(A20687,""en"",""pt"")"),"Limpeza cabeças pode ser problemático, não há suporte Linux")</f>
        <v>Limpeza cabeças pode ser problemático, não há suporte Linux</v>
      </c>
      <c r="B20687" s="3">
        <v>0</v>
      </c>
    </row>
    <row r="20688" ht="15.75" customHeight="1" spans="1:2">
      <c r="A20688" s="3" t="str">
        <f>IFERROR(__xludf.DUMMYFUNCTION("GOOGLETRANSLATE(A20688,""en"",""pt"")"),"Requer limpezas repetidas, exigente sobre papel")</f>
        <v>Requer limpezas repetidas, exigente sobre papel</v>
      </c>
      <c r="B20688" s="3">
        <v>0</v>
      </c>
    </row>
    <row r="20689" ht="15.75" customHeight="1" spans="1:2">
      <c r="A20689" s="3" t="str">
        <f>IFERROR(__xludf.DUMMYFUNCTION("GOOGLETRANSLATE(A20689,""en"",""pt"")"),"Chefes entupir facilmente e cartuchos de impressão custar uma fortuna.")</f>
        <v>Chefes entupir facilmente e cartuchos de impressão custar uma fortuna.</v>
      </c>
      <c r="B20689" s="3">
        <v>0</v>
      </c>
    </row>
    <row r="20690" ht="15.75" customHeight="1" spans="1:2">
      <c r="A20690" s="3" t="str">
        <f>IFERROR(__xludf.DUMMYFUNCTION("GOOGLETRANSLATE(A20690,""en"",""pt"")"),"não funcionou")</f>
        <v>não funcionou</v>
      </c>
      <c r="B20690" s="3">
        <v>0</v>
      </c>
    </row>
    <row r="20691" ht="15.75" customHeight="1" spans="1:2">
      <c r="A20691" s="3" t="str">
        <f>IFERROR(__xludf.DUMMYFUNCTION("GOOGLETRANSLATE(A20691,""en"",""pt"")"),"Nenhum")</f>
        <v>Nenhum</v>
      </c>
      <c r="B20691" s="3">
        <v>0</v>
      </c>
    </row>
    <row r="20692" ht="15.75" customHeight="1" spans="1:2">
      <c r="A20692" s="3" t="str">
        <f>IFERROR(__xludf.DUMMYFUNCTION("GOOGLETRANSLATE(A20692,""en"",""pt"")"),"Não consigo pensar em nenhum coisas razoáveis ​​para colocar aqui!")</f>
        <v>Não consigo pensar em nenhum coisas razoáveis ​​para colocar aqui!</v>
      </c>
      <c r="B20692" s="3">
        <v>0</v>
      </c>
    </row>
    <row r="20693" ht="15.75" customHeight="1" spans="1:2">
      <c r="A20693" s="3" t="str">
        <f>IFERROR(__xludf.DUMMYFUNCTION("GOOGLETRANSLATE(A20693,""en"",""pt"")"),"Muito devagar")</f>
        <v>Muito devagar</v>
      </c>
      <c r="B20693" s="3">
        <v>0</v>
      </c>
    </row>
    <row r="20694" ht="15.75" customHeight="1" spans="1:2">
      <c r="A20694" s="3" t="str">
        <f>IFERROR(__xludf.DUMMYFUNCTION("GOOGLETRANSLATE(A20694,""en"",""pt"")"),"bandeja de papel frágil, pouco inspirador software empacotado, imprimir cabeças não faz parte dos cartuchos")</f>
        <v>bandeja de papel frágil, pouco inspirador software empacotado, imprimir cabeças não faz parte dos cartuchos</v>
      </c>
      <c r="B20694" s="3">
        <v>0</v>
      </c>
    </row>
    <row r="20695" ht="15.75" customHeight="1" spans="1:2">
      <c r="A20695" s="3" t="str">
        <f>IFERROR(__xludf.DUMMYFUNCTION("GOOGLETRANSLATE(A20695,""en"",""pt"")"),"lento papel, mais pesado causa problemas, configuração USB complicado")</f>
        <v>lento papel, mais pesado causa problemas, configuração USB complicado</v>
      </c>
      <c r="B20695" s="3">
        <v>0</v>
      </c>
    </row>
    <row r="20696" ht="15.75" customHeight="1" spans="1:2">
      <c r="A20696" s="3" t="str">
        <f>IFERROR(__xludf.DUMMYFUNCTION("GOOGLETRANSLATE(A20696,""en"",""pt"")"),"BEBIDAS tinta. cabeças de impressão entupir continuamente.")</f>
        <v>BEBIDAS tinta. cabeças de impressão entupir continuamente.</v>
      </c>
      <c r="B20696" s="3">
        <v>0</v>
      </c>
    </row>
    <row r="20697" ht="15.75" customHeight="1" spans="1:2">
      <c r="A20697" s="3" t="str">
        <f>IFERROR(__xludf.DUMMYFUNCTION("GOOGLETRANSLATE(A20697,""en"",""pt"")"),"Nenhum")</f>
        <v>Nenhum</v>
      </c>
      <c r="B20697" s="3">
        <v>0</v>
      </c>
    </row>
    <row r="20698" ht="15.75" customHeight="1" spans="1:2">
      <c r="A20698" s="3" t="str">
        <f>IFERROR(__xludf.DUMMYFUNCTION("GOOGLETRANSLATE(A20698,""en"",""pt"")"),"Tinta preços são loucos!")</f>
        <v>Tinta preços são loucos!</v>
      </c>
      <c r="B20698" s="3">
        <v>0</v>
      </c>
    </row>
    <row r="20699" ht="15.75" customHeight="1" spans="1:2">
      <c r="A20699" s="3" t="str">
        <f>IFERROR(__xludf.DUMMYFUNCTION("GOOGLETRANSLATE(A20699,""en"",""pt"")"),"não tão rápido como reivindicado")</f>
        <v>não tão rápido como reivindicado</v>
      </c>
      <c r="B20699" s="3">
        <v>0</v>
      </c>
    </row>
    <row r="20700" ht="15.75" customHeight="1" spans="1:2">
      <c r="A20700" s="3" t="str">
        <f>IFERROR(__xludf.DUMMYFUNCTION("GOOGLETRANSLATE(A20700,""en"",""pt"")"),"Dois modelos que tentou simplesmente não funcionou.")</f>
        <v>Dois modelos que tentou simplesmente não funcionou.</v>
      </c>
      <c r="B20700" s="3">
        <v>0</v>
      </c>
    </row>
    <row r="20701" ht="15.75" customHeight="1" spans="1:2">
      <c r="A20701" s="3" t="str">
        <f>IFERROR(__xludf.DUMMYFUNCTION("GOOGLETRANSLATE(A20701,""en"",""pt"")"),"cabeças de impressão entupidos muito facilmente tornando a máquina inútil.")</f>
        <v>cabeças de impressão entupidos muito facilmente tornando a máquina inútil.</v>
      </c>
      <c r="B20701" s="3">
        <v>0</v>
      </c>
    </row>
    <row r="20702" ht="15.75" customHeight="1" spans="1:2">
      <c r="A20702" s="3" t="str">
        <f>IFERROR(__xludf.DUMMYFUNCTION("GOOGLETRANSLATE(A20702,""en"",""pt"")"),"Imprimir custo de substituição do cartucho, software Cheesy pacote")</f>
        <v>Imprimir custo de substituição do cartucho, software Cheesy pacote</v>
      </c>
      <c r="B20702" s="3">
        <v>0</v>
      </c>
    </row>
    <row r="20703" ht="15.75" customHeight="1" spans="1:2">
      <c r="A20703" s="3" t="str">
        <f>IFERROR(__xludf.DUMMYFUNCTION("GOOGLETRANSLATE(A20703,""en"",""pt"")"),"Muito novo para todas as lojas para ter cartuchos de tinta, ainda.")</f>
        <v>Muito novo para todas as lojas para ter cartuchos de tinta, ainda.</v>
      </c>
      <c r="B20703" s="3">
        <v>0</v>
      </c>
    </row>
    <row r="20704" ht="15.75" customHeight="1" spans="1:2">
      <c r="A20704" s="3" t="str">
        <f>IFERROR(__xludf.DUMMYFUNCTION("GOOGLETRANSLATE(A20704,""en"",""pt"")"),"ainda não")</f>
        <v>ainda não</v>
      </c>
      <c r="B20704" s="3">
        <v>0</v>
      </c>
    </row>
    <row r="20705" ht="15.75" customHeight="1" spans="1:2">
      <c r="A20705" s="3" t="str">
        <f>IFERROR(__xludf.DUMMYFUNCTION("GOOGLETRANSLATE(A20705,""en"",""pt"")"),"Bad b &amp; amp; amp; W imagens")</f>
        <v>Bad b &amp; amp; amp; W imagens</v>
      </c>
      <c r="B20705" s="3">
        <v>0</v>
      </c>
    </row>
    <row r="20706" ht="15.75" customHeight="1" spans="1:2">
      <c r="A20706" s="3" t="str">
        <f>IFERROR(__xludf.DUMMYFUNCTION("GOOGLETRANSLATE(A20706,""en"",""pt"")"),"Custo de tinta, o custo do papel")</f>
        <v>Custo de tinta, o custo do papel</v>
      </c>
      <c r="B20706" s="3">
        <v>0</v>
      </c>
    </row>
    <row r="20707" ht="15.75" customHeight="1" spans="1:2">
      <c r="A20707" s="3" t="str">
        <f>IFERROR(__xludf.DUMMYFUNCTION("GOOGLETRANSLATE(A20707,""en"",""pt"")"),"Desejo que era um pouco mais rápido ao imprimir fotos")</f>
        <v>Desejo que era um pouco mais rápido ao imprimir fotos</v>
      </c>
      <c r="B20707" s="3">
        <v>0</v>
      </c>
    </row>
    <row r="20708" ht="15.75" customHeight="1" spans="1:2">
      <c r="A20708" s="3" t="str">
        <f>IFERROR(__xludf.DUMMYFUNCTION("GOOGLETRANSLATE(A20708,""en"",""pt"")"),"Falta de utilidade no driver da impressora para a substituição de jato de tinta; qualidade de impressão é totalmente dependente da qualidade do papel.")</f>
        <v>Falta de utilidade no driver da impressora para a substituição de jato de tinta; qualidade de impressão é totalmente dependente da qualidade do papel.</v>
      </c>
      <c r="B20708" s="3">
        <v>0</v>
      </c>
    </row>
    <row r="20709" ht="15.75" customHeight="1" spans="1:2">
      <c r="A20709" s="3" t="str">
        <f>IFERROR(__xludf.DUMMYFUNCTION("GOOGLETRANSLATE(A20709,""en"",""pt"")"),"Tinta do comedor, alterações do cartucho de tinta.")</f>
        <v>Tinta do comedor, alterações do cartucho de tinta.</v>
      </c>
      <c r="B20709" s="3">
        <v>0</v>
      </c>
    </row>
    <row r="20710" ht="15.75" customHeight="1" spans="1:2">
      <c r="A20710" s="3" t="str">
        <f>IFERROR(__xludf.DUMMYFUNCTION("GOOGLETRANSLATE(A20710,""en"",""pt"")"),"A qualidade da foto é bom, mas não ótimo.")</f>
        <v>A qualidade da foto é bom, mas não ótimo.</v>
      </c>
      <c r="B20710" s="3">
        <v>0</v>
      </c>
    </row>
    <row r="20711" ht="15.75" customHeight="1" spans="1:2">
      <c r="A20711" s="3" t="str">
        <f>IFERROR(__xludf.DUMMYFUNCTION("GOOGLETRANSLATE(A20711,""en"",""pt"")"),"Nenhum")</f>
        <v>Nenhum</v>
      </c>
      <c r="B20711" s="3">
        <v>0</v>
      </c>
    </row>
    <row r="20712" ht="15.75" customHeight="1" spans="1:2">
      <c r="A20712" s="3" t="str">
        <f>IFERROR(__xludf.DUMMYFUNCTION("GOOGLETRANSLATE(A20712,""en"",""pt"")"),"bandeja de saída de papel poderia ser feito um pouco melhor. O software incluído é terrível.")</f>
        <v>bandeja de saída de papel poderia ser feito um pouco melhor. O software incluído é terrível.</v>
      </c>
      <c r="B20712" s="3">
        <v>0</v>
      </c>
    </row>
    <row r="20713" ht="15.75" customHeight="1" spans="1:2">
      <c r="A20713" s="3" t="str">
        <f>IFERROR(__xludf.DUMMYFUNCTION("GOOGLETRANSLATE(A20713,""en"",""pt"")"),"nenhum a este preço")</f>
        <v>nenhum a este preço</v>
      </c>
      <c r="B20713" s="3">
        <v>0</v>
      </c>
    </row>
    <row r="20714" ht="15.75" customHeight="1" spans="1:2">
      <c r="A20714" s="3" t="str">
        <f>IFERROR(__xludf.DUMMYFUNCTION("GOOGLETRANSLATE(A20714,""en"",""pt"")"),"Lento, tinta se esgota rapidamente")</f>
        <v>Lento, tinta se esgota rapidamente</v>
      </c>
      <c r="B20714" s="3">
        <v>0</v>
      </c>
    </row>
    <row r="20715" ht="15.75" customHeight="1" spans="1:2">
      <c r="A20715" s="3" t="str">
        <f>IFERROR(__xludf.DUMMYFUNCTION("GOOGLETRANSLATE(A20715,""en"",""pt"")"),"cores borradas, manchas de ponta, ver pontos / linhas")</f>
        <v>cores borradas, manchas de ponta, ver pontos / linhas</v>
      </c>
      <c r="B20715" s="3">
        <v>0</v>
      </c>
    </row>
    <row r="20716" ht="15.75" customHeight="1" spans="1:2">
      <c r="A20716" s="3" t="str">
        <f>IFERROR(__xludf.DUMMYFUNCTION("GOOGLETRANSLATE(A20716,""en"",""pt"")"),"Não é o mais elegante à procura de impressora, bandeja de entrada de papel fraco &amp; amp;. # 13; &amp; amp; # 10;")</f>
        <v>Não é o mais elegante à procura de impressora, bandeja de entrada de papel fraco &amp; amp;. # 13; &amp; amp; # 10;</v>
      </c>
      <c r="B20716" s="3">
        <v>0</v>
      </c>
    </row>
    <row r="20717" ht="15.75" customHeight="1" spans="1:2">
      <c r="A20717" s="3" t="str">
        <f>IFERROR(__xludf.DUMMYFUNCTION("GOOGLETRANSLATE(A20717,""en"",""pt"")"),"Descobrir quais configurações funcionam melhor com diferentes tipos de papel")</f>
        <v>Descobrir quais configurações funcionam melhor com diferentes tipos de papel</v>
      </c>
      <c r="B20717" s="3">
        <v>0</v>
      </c>
    </row>
    <row r="20718" ht="15.75" customHeight="1" spans="1:2">
      <c r="A20718" s="3" t="str">
        <f>IFERROR(__xludf.DUMMYFUNCTION("GOOGLETRANSLATE(A20718,""en"",""pt"")"),"cartucho de cor única vs. tanques independentes.")</f>
        <v>cartucho de cor única vs. tanques independentes.</v>
      </c>
      <c r="B20718" s="3">
        <v>0</v>
      </c>
    </row>
    <row r="20719" ht="15.75" customHeight="1" spans="1:2">
      <c r="A20719" s="3" t="str">
        <f>IFERROR(__xludf.DUMMYFUNCTION("GOOGLETRANSLATE(A20719,""en"",""pt"")"),"Confiabilidade")</f>
        <v>Confiabilidade</v>
      </c>
      <c r="B20719" s="3">
        <v>0</v>
      </c>
    </row>
    <row r="20720" ht="15.75" customHeight="1" spans="1:2">
      <c r="A20720" s="3" t="str">
        <f>IFERROR(__xludf.DUMMYFUNCTION("GOOGLETRANSLATE(A20720,""en"",""pt"")"),"Nenhum")</f>
        <v>Nenhum</v>
      </c>
      <c r="B20720" s="3">
        <v>0</v>
      </c>
    </row>
    <row r="20721" ht="15.75" customHeight="1" spans="1:2">
      <c r="A20721" s="3" t="str">
        <f>IFERROR(__xludf.DUMMYFUNCTION("GOOGLETRANSLATE(A20721,""en"",""pt"")"),"Um pouco lento?")</f>
        <v>Um pouco lento?</v>
      </c>
      <c r="B20721" s="3">
        <v>0</v>
      </c>
    </row>
    <row r="20722" ht="15.75" customHeight="1" spans="1:2">
      <c r="A20722" s="3" t="str">
        <f>IFERROR(__xludf.DUMMYFUNCTION("GOOGLETRANSLATE(A20722,""en"",""pt"")"),"Nenhum realmente, a tinta parece caro, mas o mesmo acontece com toner")</f>
        <v>Nenhum realmente, a tinta parece caro, mas o mesmo acontece com toner</v>
      </c>
      <c r="B20722" s="3">
        <v>0</v>
      </c>
    </row>
    <row r="20723" ht="15.75" customHeight="1" spans="1:2">
      <c r="A20723" s="3" t="str">
        <f>IFERROR(__xludf.DUMMYFUNCTION("GOOGLETRANSLATE(A20723,""en"",""pt"")"),"tinta caro; significativa ""faixas"" em impressões de fotografias; também ""idiot-proof""; barulhento.")</f>
        <v>tinta caro; significativa "faixas" em impressões de fotografias; também "idiot-proof"; barulhento.</v>
      </c>
      <c r="B20723" s="3">
        <v>0</v>
      </c>
    </row>
    <row r="20724" ht="15.75" customHeight="1" spans="1:2">
      <c r="A20724" s="3" t="str">
        <f>IFERROR(__xludf.DUMMYFUNCTION("GOOGLETRANSLATE(A20724,""en"",""pt"")"),"Nenhum")</f>
        <v>Nenhum</v>
      </c>
      <c r="B20724" s="3">
        <v>0</v>
      </c>
    </row>
    <row r="20725" ht="15.75" customHeight="1" spans="1:2">
      <c r="A20725" s="3" t="str">
        <f>IFERROR(__xludf.DUMMYFUNCTION("GOOGLETRANSLATE(A20725,""en"",""pt"")"),"Noisy quando você ligá-lo. Bad qualidade de cor ao imprimir em papel fotográfico!")</f>
        <v>Noisy quando você ligá-lo. Bad qualidade de cor ao imprimir em papel fotográfico!</v>
      </c>
      <c r="B20725" s="3">
        <v>0</v>
      </c>
    </row>
    <row r="20726" ht="15.75" customHeight="1" spans="1:2">
      <c r="A20726" s="3" t="str">
        <f>IFERROR(__xludf.DUMMYFUNCTION("GOOGLETRANSLATE(A20726,""en"",""pt"")"),"Ele não permite que você para recarga de cartuchos e às vezes tem problemas de alimentação de papel.")</f>
        <v>Ele não permite que você para recarga de cartuchos e às vezes tem problemas de alimentação de papel.</v>
      </c>
      <c r="B20726" s="3">
        <v>0</v>
      </c>
    </row>
    <row r="20727" ht="15.75" customHeight="1" spans="1:2">
      <c r="A20727" s="3" t="str">
        <f>IFERROR(__xludf.DUMMYFUNCTION("GOOGLETRANSLATE(A20727,""en"",""pt"")"),"Nenhum")</f>
        <v>Nenhum</v>
      </c>
      <c r="B20727" s="3">
        <v>0</v>
      </c>
    </row>
    <row r="20728" ht="15.75" customHeight="1" spans="1:2">
      <c r="A20728" s="3" t="str">
        <f>IFERROR(__xludf.DUMMYFUNCTION("GOOGLETRANSLATE(A20728,""en"",""pt"")"),"Não tão rápido como reivindicado")</f>
        <v>Não tão rápido como reivindicado</v>
      </c>
      <c r="B20728" s="3">
        <v>0</v>
      </c>
    </row>
    <row r="20729" ht="15.75" customHeight="1" spans="1:2">
      <c r="A20729" s="3" t="str">
        <f>IFERROR(__xludf.DUMMYFUNCTION("GOOGLETRANSLATE(A20729,""en"",""pt"")"),"Ele agita muito quando a impressão.")</f>
        <v>Ele agita muito quando a impressão.</v>
      </c>
      <c r="B20729" s="3">
        <v>0</v>
      </c>
    </row>
    <row r="20730" ht="15.75" customHeight="1" spans="1:2">
      <c r="A20730" s="3" t="str">
        <f>IFERROR(__xludf.DUMMYFUNCTION("GOOGLETRANSLATE(A20730,""en"",""pt"")"),"motoristas causou problema com porta de impressora, teve de suporte chamada tecnologia. Mas mesmo que foi uma boa experiência no final.")</f>
        <v>motoristas causou problema com porta de impressora, teve de suporte chamada tecnologia. Mas mesmo que foi uma boa experiência no final.</v>
      </c>
      <c r="B20730" s="3">
        <v>0</v>
      </c>
    </row>
    <row r="20731" ht="15.75" customHeight="1" spans="1:2">
      <c r="A20731" s="3" t="str">
        <f>IFERROR(__xludf.DUMMYFUNCTION("GOOGLETRANSLATE(A20731,""en"",""pt"")"),"Não imprime bem em papel comum como algumas outras impressoras")</f>
        <v>Não imprime bem em papel comum como algumas outras impressoras</v>
      </c>
      <c r="B20731" s="3">
        <v>0</v>
      </c>
    </row>
    <row r="20732" ht="15.75" customHeight="1" spans="1:2">
      <c r="A20732" s="3" t="str">
        <f>IFERROR(__xludf.DUMMYFUNCTION("GOOGLETRANSLATE(A20732,""en"",""pt"")"),"A tinta pode ser caro")</f>
        <v>A tinta pode ser caro</v>
      </c>
      <c r="B20732" s="3">
        <v>0</v>
      </c>
    </row>
    <row r="20733" ht="15.75" customHeight="1" spans="1:2">
      <c r="A20733" s="3" t="str">
        <f>IFERROR(__xludf.DUMMYFUNCTION("GOOGLETRANSLATE(A20733,""en"",""pt"")"),"O preço de US $ 200 a US $ 249. &amp; amp; # 13; &amp; amp; # 10; &amp; amp; # 13; &amp; amp; # 10;")</f>
        <v>O preço de US $ 200 a US $ 249. &amp; amp; # 13; &amp; amp; # 10; &amp; amp; # 13; &amp; amp; # 10;</v>
      </c>
      <c r="B20733" s="3">
        <v>0</v>
      </c>
    </row>
    <row r="20734" ht="15.75" customHeight="1" spans="1:2">
      <c r="A20734" s="3" t="str">
        <f>IFERROR(__xludf.DUMMYFUNCTION("GOOGLETRANSLATE(A20734,""en"",""pt"")"),"design não está a par com outras impressoras Epson")</f>
        <v>design não está a par com outras impressoras Epson</v>
      </c>
      <c r="B20734" s="3">
        <v>0</v>
      </c>
    </row>
    <row r="20735" ht="15.75" customHeight="1" spans="1:2">
      <c r="A20735" s="3" t="str">
        <f>IFERROR(__xludf.DUMMYFUNCTION("GOOGLETRANSLATE(A20735,""en"",""pt"")"),"Ainda um pouco de cor impressão lenta.")</f>
        <v>Ainda um pouco de cor impressão lenta.</v>
      </c>
      <c r="B20735" s="3">
        <v>0</v>
      </c>
    </row>
    <row r="20736" ht="15.75" customHeight="1" spans="1:2">
      <c r="A20736" s="3" t="str">
        <f>IFERROR(__xludf.DUMMYFUNCTION("GOOGLETRANSLATE(A20736,""en"",""pt"")"),"impressão silenciosa, mas o manuseio de papel barulhento, sem fax, cabo USB curto.")</f>
        <v>impressão silenciosa, mas o manuseio de papel barulhento, sem fax, cabo USB curto.</v>
      </c>
      <c r="B20736" s="3">
        <v>0</v>
      </c>
    </row>
    <row r="20737" ht="15.75" customHeight="1" spans="1:2">
      <c r="A20737" s="3" t="str">
        <f>IFERROR(__xludf.DUMMYFUNCTION("GOOGLETRANSLATE(A20737,""en"",""pt"")"),"consumo de tinta, a porta não paralelo")</f>
        <v>consumo de tinta, a porta não paralelo</v>
      </c>
      <c r="B20737" s="3">
        <v>0</v>
      </c>
    </row>
    <row r="20738" ht="15.75" customHeight="1" spans="1:2">
      <c r="A20738" s="3" t="str">
        <f>IFERROR(__xludf.DUMMYFUNCTION("GOOGLETRANSLATE(A20738,""en"",""pt"")"),"Ruidosos, atolamentos de papel")</f>
        <v>Ruidosos, atolamentos de papel</v>
      </c>
      <c r="B20738" s="3">
        <v>0</v>
      </c>
    </row>
    <row r="20739" ht="15.75" customHeight="1" spans="1:2">
      <c r="A20739" s="3" t="str">
        <f>IFERROR(__xludf.DUMMYFUNCTION("GOOGLETRANSLATE(A20739,""en"",""pt"")"),"é um pouco barulhento pouco, mas não muito ruim.")</f>
        <v>é um pouco barulhento pouco, mas não muito ruim.</v>
      </c>
      <c r="B20739" s="3">
        <v>0</v>
      </c>
    </row>
    <row r="20740" ht="15.75" customHeight="1" spans="1:2">
      <c r="A20740" s="3" t="str">
        <f>IFERROR(__xludf.DUMMYFUNCTION("GOOGLETRANSLATE(A20740,""en"",""pt"")"),"BARULHO")</f>
        <v>BARULHO</v>
      </c>
      <c r="B20740" s="3">
        <v>0</v>
      </c>
    </row>
    <row r="20741" ht="15.75" customHeight="1" spans="1:2">
      <c r="A20741" s="3" t="str">
        <f>IFERROR(__xludf.DUMMYFUNCTION("GOOGLETRANSLATE(A20741,""en"",""pt"")"),"Printer é barulhento, cabo USB é curto, o tempo de aquecimento.")</f>
        <v>Printer é barulhento, cabo USB é curto, o tempo de aquecimento.</v>
      </c>
      <c r="B20741" s="3">
        <v>0</v>
      </c>
    </row>
    <row r="20742" ht="15.75" customHeight="1" spans="1:2">
      <c r="A20742" s="3" t="str">
        <f>IFERROR(__xludf.DUMMYFUNCTION("GOOGLETRANSLATE(A20742,""en"",""pt"")"),"alimentação de papel ruim., Cartuchos não recarregáveis.")</f>
        <v>alimentação de papel ruim., Cartuchos não recarregáveis.</v>
      </c>
      <c r="B20742" s="3">
        <v>0</v>
      </c>
    </row>
    <row r="20743" ht="15.75" customHeight="1" spans="1:2">
      <c r="A20743" s="3" t="str">
        <f>IFERROR(__xludf.DUMMYFUNCTION("GOOGLETRANSLATE(A20743,""en"",""pt"")"),"Você recebe o que você paga")</f>
        <v>Você recebe o que você paga</v>
      </c>
      <c r="B20743" s="3">
        <v>0</v>
      </c>
    </row>
    <row r="20744" ht="15.75" customHeight="1" spans="1:2">
      <c r="A20744" s="3" t="str">
        <f>IFERROR(__xludf.DUMMYFUNCTION("GOOGLETRANSLATE(A20744,""en"",""pt"")"),"cabo USB curto")</f>
        <v>cabo USB curto</v>
      </c>
      <c r="B20744" s="3">
        <v>0</v>
      </c>
    </row>
    <row r="20745" ht="15.75" customHeight="1" spans="1:2">
      <c r="A20745" s="3" t="str">
        <f>IFERROR(__xludf.DUMMYFUNCTION("GOOGLETRANSLATE(A20745,""en"",""pt"")"),"Problemas com o papel, Loud, Ink consome")</f>
        <v>Problemas com o papel, Loud, Ink consome</v>
      </c>
      <c r="B20745" s="3">
        <v>0</v>
      </c>
    </row>
    <row r="20746" ht="15.75" customHeight="1" spans="1:2">
      <c r="A20746" s="3" t="str">
        <f>IFERROR(__xludf.DUMMYFUNCTION("GOOGLETRANSLATE(A20746,""en"",""pt"")"),"loader papel pequeno, atolamentos de papel")</f>
        <v>loader papel pequeno, atolamentos de papel</v>
      </c>
      <c r="B20746" s="3">
        <v>0</v>
      </c>
    </row>
    <row r="20747" ht="15.75" customHeight="1" spans="1:2">
      <c r="A20747" s="3" t="str">
        <f>IFERROR(__xludf.DUMMYFUNCTION("GOOGLETRANSLATE(A20747,""en"",""pt"")"),"muitos breakdowns.had para substituir quatro vezes. Eles não querem dar novas unidades única remodelados.")</f>
        <v>muitos breakdowns.had para substituir quatro vezes. Eles não querem dar novas unidades única remodelados.</v>
      </c>
      <c r="B20747" s="3">
        <v>0</v>
      </c>
    </row>
    <row r="20748" ht="15.75" customHeight="1" spans="1:2">
      <c r="A20748" s="3" t="str">
        <f>IFERROR(__xludf.DUMMYFUNCTION("GOOGLETRANSLATE(A20748,""en"",""pt"")"),"Velocidade de impressão, consumo de tinta, erro de digitalização, software de impressão de foto")</f>
        <v>Velocidade de impressão, consumo de tinta, erro de digitalização, software de impressão de foto</v>
      </c>
      <c r="B20748" s="3">
        <v>0</v>
      </c>
    </row>
    <row r="20749" ht="15.75" customHeight="1" spans="1:2">
      <c r="A20749" s="3" t="str">
        <f>IFERROR(__xludf.DUMMYFUNCTION("GOOGLETRANSLATE(A20749,""en"",""pt"")"),"O papel é alimentado a partir da volta. software pobres. Baixa qualidade de impressão")</f>
        <v>O papel é alimentado a partir da volta. software pobres. Baixa qualidade de impressão</v>
      </c>
      <c r="B20749" s="3">
        <v>0</v>
      </c>
    </row>
    <row r="20750" ht="15.75" customHeight="1" spans="1:2">
      <c r="A20750" s="3" t="str">
        <f>IFERROR(__xludf.DUMMYFUNCTION("GOOGLETRANSLATE(A20750,""en"",""pt"")"),"Alimentando mecanismo é ruidoso, peculiaridades do controlador")</f>
        <v>Alimentando mecanismo é ruidoso, peculiaridades do controlador</v>
      </c>
      <c r="B20750" s="3">
        <v>0</v>
      </c>
    </row>
    <row r="20751" ht="15.75" customHeight="1" spans="1:2">
      <c r="A20751" s="3" t="str">
        <f>IFERROR(__xludf.DUMMYFUNCTION("GOOGLETRANSLATE(A20751,""en"",""pt"")"),"É um pouco barulhento quando ele começa a alimentar o papel completamente.")</f>
        <v>É um pouco barulhento quando ele começa a alimentar o papel completamente.</v>
      </c>
      <c r="B20751" s="3">
        <v>0</v>
      </c>
    </row>
    <row r="20752" ht="15.75" customHeight="1" spans="1:2">
      <c r="A20752" s="3" t="str">
        <f>IFERROR(__xludf.DUMMYFUNCTION("GOOGLETRANSLATE(A20752,""en"",""pt"")"),"A barulhenta pouco quando se pega uma folha de papel")</f>
        <v>A barulhenta pouco quando se pega uma folha de papel</v>
      </c>
      <c r="B20752" s="3">
        <v>0</v>
      </c>
    </row>
    <row r="20753" ht="15.75" customHeight="1" spans="1:2">
      <c r="A20753" s="3" t="str">
        <f>IFERROR(__xludf.DUMMYFUNCTION("GOOGLETRANSLATE(A20753,""en"",""pt"")"),"NENHUM!!!")</f>
        <v>NENHUM!!!</v>
      </c>
      <c r="B20753" s="3">
        <v>0</v>
      </c>
    </row>
    <row r="20754" ht="15.75" customHeight="1" spans="1:2">
      <c r="A20754" s="3" t="str">
        <f>IFERROR(__xludf.DUMMYFUNCTION("GOOGLETRANSLATE(A20754,""en"",""pt"")"),"alimentação de papel muito alto.")</f>
        <v>alimentação de papel muito alto.</v>
      </c>
      <c r="B20754" s="3">
        <v>0</v>
      </c>
    </row>
    <row r="20755" ht="15.75" customHeight="1" spans="1:2">
      <c r="A20755" s="3" t="str">
        <f>IFERROR(__xludf.DUMMYFUNCTION("GOOGLETRANSLATE(A20755,""en"",""pt"")"),"Foto reprodução de cor pobres")</f>
        <v>Foto reprodução de cor pobres</v>
      </c>
      <c r="B20755" s="3">
        <v>0</v>
      </c>
    </row>
    <row r="20756" ht="15.75" customHeight="1" spans="1:2">
      <c r="A20756" s="3" t="str">
        <f>IFERROR(__xludf.DUMMYFUNCTION("GOOGLETRANSLATE(A20756,""en"",""pt"")"),"cama de digitalização / cópia de plástico deve ser de vidro, alguns componentes de software não é estável.")</f>
        <v>cama de digitalização / cópia de plástico deve ser de vidro, alguns componentes de software não é estável.</v>
      </c>
      <c r="B20756" s="3">
        <v>0</v>
      </c>
    </row>
    <row r="20757" ht="15.75" customHeight="1" spans="1:2">
      <c r="A20757" s="3" t="str">
        <f>IFERROR(__xludf.DUMMYFUNCTION("GOOGLETRANSLATE(A20757,""en"",""pt"")"),"Nenhum!")</f>
        <v>Nenhum!</v>
      </c>
      <c r="B20757" s="3">
        <v>0</v>
      </c>
    </row>
    <row r="20758" ht="15.75" customHeight="1" spans="1:2">
      <c r="A20758" s="3" t="str">
        <f>IFERROR(__xludf.DUMMYFUNCTION("GOOGLETRANSLATE(A20758,""en"",""pt"")"),"Não Foto qualidade de impressão. Cores saem pobres.")</f>
        <v>Não Foto qualidade de impressão. Cores saem pobres.</v>
      </c>
      <c r="B20758" s="3">
        <v>0</v>
      </c>
    </row>
    <row r="20759" ht="15.75" customHeight="1" spans="1:2">
      <c r="A20759" s="3" t="str">
        <f>IFERROR(__xludf.DUMMYFUNCTION("GOOGLETRANSLATE(A20759,""en"",""pt"")"),"alimentação de papel barulhento (mas de confiança) e impressão média foto; flat bed copiar somente.")</f>
        <v>alimentação de papel barulhento (mas de confiança) e impressão média foto; flat bed copiar somente.</v>
      </c>
      <c r="B20759" s="3">
        <v>0</v>
      </c>
    </row>
    <row r="20760" ht="15.75" customHeight="1" spans="1:2">
      <c r="A20760" s="3" t="str">
        <f>IFERROR(__xludf.DUMMYFUNCTION("GOOGLETRANSLATE(A20760,""en"",""pt"")"),"mecanismo de alimentação é muito alto e surpreendente. O mais alto nível de impressão a cores é muito lento")</f>
        <v>mecanismo de alimentação é muito alto e surpreendente. O mais alto nível de impressão a cores é muito lento</v>
      </c>
      <c r="B20760" s="3">
        <v>0</v>
      </c>
    </row>
    <row r="20761" ht="15.75" customHeight="1" spans="1:2">
      <c r="A20761" s="3" t="str">
        <f>IFERROR(__xludf.DUMMYFUNCTION("GOOGLETRANSLATE(A20761,""en"",""pt"")"),"Mais caro do que CX3200 em quase mesmas características, se move muito e papel alto carregamento")</f>
        <v>Mais caro do que CX3200 em quase mesmas características, se move muito e papel alto carregamento</v>
      </c>
      <c r="B20761" s="3">
        <v>0</v>
      </c>
    </row>
    <row r="20762" ht="15.75" customHeight="1" spans="1:2">
      <c r="A20762" s="3" t="str">
        <f>IFERROR(__xludf.DUMMYFUNCTION("GOOGLETRANSLATE(A20762,""en"",""pt"")"),"A volumosa pouco, scanner é apenas 8,5 X 11 pol., Nenhuma auto-on recurso")</f>
        <v>A volumosa pouco, scanner é apenas 8,5 X 11 pol., Nenhuma auto-on recurso</v>
      </c>
      <c r="B20762" s="3">
        <v>0</v>
      </c>
    </row>
    <row r="20763" ht="15.75" customHeight="1" spans="1:2">
      <c r="A20763" s="3" t="str">
        <f>IFERROR(__xludf.DUMMYFUNCTION("GOOGLETRANSLATE(A20763,""en"",""pt"")"),"barulhento e empurrões do papel")</f>
        <v>barulhento e empurrões do papel</v>
      </c>
      <c r="B20763" s="3">
        <v>0</v>
      </c>
    </row>
    <row r="20764" ht="15.75" customHeight="1" spans="1:2">
      <c r="A20764" s="3" t="str">
        <f>IFERROR(__xludf.DUMMYFUNCTION("GOOGLETRANSLATE(A20764,""en"",""pt"")"),"Nada, exceto quando se agarra papel isso assusta você por causa do barulho repentino.")</f>
        <v>Nada, exceto quando se agarra papel isso assusta você por causa do barulho repentino.</v>
      </c>
      <c r="B20764" s="3">
        <v>0</v>
      </c>
    </row>
    <row r="20765" ht="15.75" customHeight="1" spans="1:2">
      <c r="A20765" s="3" t="str">
        <f>IFERROR(__xludf.DUMMYFUNCTION("GOOGLETRANSLATE(A20765,""en"",""pt"")"),"som alto quando o papel está entrando da impressora, som plástico barato ao fechar scanner.")</f>
        <v>som alto quando o papel está entrando da impressora, som plástico barato ao fechar scanner.</v>
      </c>
      <c r="B20765" s="3">
        <v>0</v>
      </c>
    </row>
    <row r="20766" ht="15.75" customHeight="1" spans="1:2">
      <c r="A20766" s="3" t="str">
        <f>IFERROR(__xludf.DUMMYFUNCTION("GOOGLETRANSLATE(A20766,""en"",""pt"")"),"tamanho, cor impressão não para os padrões de fotografias")</f>
        <v>tamanho, cor impressão não para os padrões de fotografias</v>
      </c>
      <c r="B20766" s="3">
        <v>0</v>
      </c>
    </row>
    <row r="20767" ht="15.75" customHeight="1" spans="1:2">
      <c r="A20767" s="3" t="str">
        <f>IFERROR(__xludf.DUMMYFUNCTION("GOOGLETRANSLATE(A20767,""en"",""pt"")"),"retardar, por vezes, com maior jobs..and tende a ter salta em linhas")</f>
        <v>retardar, por vezes, com maior jobs..and tende a ter salta em linhas</v>
      </c>
      <c r="B20767" s="3">
        <v>0</v>
      </c>
    </row>
    <row r="20768" ht="15.75" customHeight="1" spans="1:2">
      <c r="A20768" s="3" t="str">
        <f>IFERROR(__xludf.DUMMYFUNCTION("GOOGLETRANSLATE(A20768,""en"",""pt"")"),"cartucho colorido não abastecido em todas as lojas")</f>
        <v>cartucho colorido não abastecido em todas as lojas</v>
      </c>
      <c r="B20768" s="3">
        <v>0</v>
      </c>
    </row>
    <row r="20769" ht="15.75" customHeight="1" spans="1:2">
      <c r="A20769" s="3" t="str">
        <f>IFERROR(__xludf.DUMMYFUNCTION("GOOGLETRANSLATE(A20769,""en"",""pt"")"),"OEM tintas não-arquivo, um pouco lento.")</f>
        <v>OEM tintas não-arquivo, um pouco lento.</v>
      </c>
      <c r="B20769" s="3">
        <v>0</v>
      </c>
    </row>
    <row r="20770" ht="15.75" customHeight="1" spans="1:2">
      <c r="A20770" s="3" t="str">
        <f>IFERROR(__xludf.DUMMYFUNCTION("GOOGLETRANSLATE(A20770,""en"",""pt"")"),"por vezes, a porta de rede precisa ser reposto (não um problema para a maioria dos usuários domésticos)")</f>
        <v>por vezes, a porta de rede precisa ser reposto (não um problema para a maioria dos usuários domésticos)</v>
      </c>
      <c r="B20770" s="3">
        <v>0</v>
      </c>
    </row>
    <row r="20771" ht="15.75" customHeight="1" spans="1:2">
      <c r="A20771" s="3" t="str">
        <f>IFERROR(__xludf.DUMMYFUNCTION("GOOGLETRANSLATE(A20771,""en"",""pt"")"),"tamanho volumoso, sensação extravagante, curta duração saída de cores")</f>
        <v>tamanho volumoso, sensação extravagante, curta duração saída de cores</v>
      </c>
      <c r="B20771" s="3">
        <v>0</v>
      </c>
    </row>
    <row r="20772" ht="15.75" customHeight="1" spans="1:2">
      <c r="A20772" s="3" t="str">
        <f>IFERROR(__xludf.DUMMYFUNCTION("GOOGLETRANSLATE(A20772,""en"",""pt"")"),"saturação de tinta pesada faz com que ondulante de papel, as trocas de cartuchos frequentes, tendência para entupir")</f>
        <v>saturação de tinta pesada faz com que ondulante de papel, as trocas de cartuchos frequentes, tendência para entupir</v>
      </c>
      <c r="B20772" s="3">
        <v>0</v>
      </c>
    </row>
    <row r="20773" ht="15.75" customHeight="1" spans="1:2">
      <c r="A20773" s="3" t="str">
        <f>IFERROR(__xludf.DUMMYFUNCTION("GOOGLETRANSLATE(A20773,""en"",""pt"")"),"Alto preço em cartuchos de lojas locais")</f>
        <v>Alto preço em cartuchos de lojas locais</v>
      </c>
      <c r="B20773" s="3">
        <v>0</v>
      </c>
    </row>
    <row r="20774" ht="15.75" customHeight="1" spans="1:2">
      <c r="A20774" s="3" t="str">
        <f>IFERROR(__xludf.DUMMYFUNCTION("GOOGLETRANSLATE(A20774,""en"",""pt"")"),"tintas desaparecendo rapidamente, velocidade lenta em texto")</f>
        <v>tintas desaparecendo rapidamente, velocidade lenta em texto</v>
      </c>
      <c r="B20774" s="3">
        <v>0</v>
      </c>
    </row>
    <row r="20775" ht="15.75" customHeight="1" spans="1:2">
      <c r="A20775" s="3" t="str">
        <f>IFERROR(__xludf.DUMMYFUNCTION("GOOGLETRANSLATE(A20775,""en"",""pt"")"),"as imagens de curta duração")</f>
        <v>as imagens de curta duração</v>
      </c>
      <c r="B20775" s="3">
        <v>0</v>
      </c>
    </row>
    <row r="20776" ht="15.75" customHeight="1" spans="1:2">
      <c r="A20776" s="3" t="str">
        <f>IFERROR(__xludf.DUMMYFUNCTION("GOOGLETRANSLATE(A20776,""en"",""pt"")"),"A qualidade não é tão bom como esperado")</f>
        <v>A qualidade não é tão bom como esperado</v>
      </c>
      <c r="B20776" s="3">
        <v>0</v>
      </c>
    </row>
    <row r="20777" ht="15.75" customHeight="1" spans="1:2">
      <c r="A20777" s="3" t="str">
        <f>IFERROR(__xludf.DUMMYFUNCTION("GOOGLETRANSLATE(A20777,""en"",""pt"")"),"nada até agora...")</f>
        <v>nada até agora...</v>
      </c>
      <c r="B20777" s="3">
        <v>0</v>
      </c>
    </row>
    <row r="20778" ht="15.75" customHeight="1" spans="1:2">
      <c r="A20778" s="3" t="str">
        <f>IFERROR(__xludf.DUMMYFUNCTION("GOOGLETRANSLATE(A20778,""en"",""pt"")"),"Um pouco caro / lenta para impressão de documentos normais")</f>
        <v>Um pouco caro / lenta para impressão de documentos normais</v>
      </c>
      <c r="B20778" s="3">
        <v>0</v>
      </c>
    </row>
    <row r="20779" ht="15.75" customHeight="1" spans="1:2">
      <c r="A20779" s="3" t="str">
        <f>IFERROR(__xludf.DUMMYFUNCTION("GOOGLETRANSLATE(A20779,""en"",""pt"")"),"Non-arquivo, todas as cores no cartucho")</f>
        <v>Non-arquivo, todas as cores no cartucho</v>
      </c>
      <c r="B20779" s="3">
        <v>0</v>
      </c>
    </row>
    <row r="20780" ht="15.75" customHeight="1" spans="1:2">
      <c r="A20780" s="3" t="str">
        <f>IFERROR(__xludf.DUMMYFUNCTION("GOOGLETRANSLATE(A20780,""en"",""pt"")"),"Custo do papel, documentação pobre")</f>
        <v>Custo do papel, documentação pobre</v>
      </c>
      <c r="B20780" s="3">
        <v>0</v>
      </c>
    </row>
    <row r="20781" ht="15.75" customHeight="1" spans="1:2">
      <c r="A20781" s="3" t="str">
        <f>IFERROR(__xludf.DUMMYFUNCTION("GOOGLETRANSLATE(A20781,""en"",""pt"")"),"computador lascado cartuchos, não pode facilmente usar o sistema CIS, tinta relativamente caro")</f>
        <v>computador lascado cartuchos, não pode facilmente usar o sistema CIS, tinta relativamente caro</v>
      </c>
      <c r="B20781" s="3">
        <v>0</v>
      </c>
    </row>
    <row r="20782" ht="15.75" customHeight="1" spans="1:2">
      <c r="A20782" s="3" t="str">
        <f>IFERROR(__xludf.DUMMYFUNCTION("GOOGLETRANSLATE(A20782,""en"",""pt"")"),"não vem com tudo o necessário para configurá-lo, difícil de encontrar papel, má software")</f>
        <v>não vem com tudo o necessário para configurá-lo, difícil de encontrar papel, má software</v>
      </c>
      <c r="B20782" s="3">
        <v>0</v>
      </c>
    </row>
    <row r="20783" ht="15.75" customHeight="1" spans="1:2">
      <c r="A20783" s="3" t="str">
        <f>IFERROR(__xludf.DUMMYFUNCTION("GOOGLETRANSLATE(A20783,""en"",""pt"")"),"Um pouco caro para muitos.")</f>
        <v>Um pouco caro para muitos.</v>
      </c>
      <c r="B20783" s="3">
        <v>0</v>
      </c>
    </row>
    <row r="20784" ht="15.75" customHeight="1" spans="1:2">
      <c r="A20784" s="3" t="str">
        <f>IFERROR(__xludf.DUMMYFUNCTION("GOOGLETRANSLATE(A20784,""en"",""pt"")"),"Maior impressora, a impressão lento, com máxima de dpi, não vem com um cabo USB.")</f>
        <v>Maior impressora, a impressão lento, com máxima de dpi, não vem com um cabo USB.</v>
      </c>
      <c r="B20784" s="3">
        <v>0</v>
      </c>
    </row>
    <row r="20785" ht="15.75" customHeight="1" spans="1:2">
      <c r="A20785" s="3" t="str">
        <f>IFERROR(__xludf.DUMMYFUNCTION("GOOGLETRANSLATE(A20785,""en"",""pt"")"),"Não vem com um cabo USB.")</f>
        <v>Não vem com um cabo USB.</v>
      </c>
      <c r="B20785" s="3">
        <v>0</v>
      </c>
    </row>
    <row r="20786" ht="15.75" customHeight="1" spans="1:2">
      <c r="A20786" s="3" t="str">
        <f>IFERROR(__xludf.DUMMYFUNCTION("GOOGLETRANSLATE(A20786,""en"",""pt"")"),"carrinhos ... para pequenas, caro, lascado. Não mostram tinta com tinta restante. Obstruções cabeça com tintas não-Epson")</f>
        <v>carrinhos ... para pequenas, caro, lascado. Não mostram tinta com tinta restante. Obstruções cabeça com tintas não-Epson</v>
      </c>
      <c r="B20786" s="3">
        <v>0</v>
      </c>
    </row>
    <row r="20787" ht="15.75" customHeight="1" spans="1:2">
      <c r="A20787" s="3" t="str">
        <f>IFERROR(__xludf.DUMMYFUNCTION("GOOGLETRANSLATE(A20787,""en"",""pt"")"),"Terrível problema com cabeças fiquem entupidos repetidamente. Tente encontrar uma alternativa mais confiável.")</f>
        <v>Terrível problema com cabeças fiquem entupidos repetidamente. Tente encontrar uma alternativa mais confiável.</v>
      </c>
      <c r="B20787" s="3">
        <v>0</v>
      </c>
    </row>
    <row r="20788" ht="15.75" customHeight="1" spans="1:2">
      <c r="A20788" s="3" t="str">
        <f>IFERROR(__xludf.DUMMYFUNCTION("GOOGLETRANSLATE(A20788,""en"",""pt"")"),"Cabeças necessitam de limpeza frequente, a tinta usada para cima rapidamente. Máquina não é para principiantes")</f>
        <v>Cabeças necessitam de limpeza frequente, a tinta usada para cima rapidamente. Máquina não é para principiantes</v>
      </c>
      <c r="B20788" s="3">
        <v>0</v>
      </c>
    </row>
    <row r="20789" ht="15.75" customHeight="1" spans="1:2">
      <c r="A20789" s="3" t="str">
        <f>IFERROR(__xludf.DUMMYFUNCTION("GOOGLETRANSLATE(A20789,""en"",""pt"")"),"caro para executar, cabeça de impressão morreu um mês após a garantia")</f>
        <v>caro para executar, cabeça de impressão morreu um mês após a garantia</v>
      </c>
      <c r="B20789" s="3">
        <v>0</v>
      </c>
    </row>
    <row r="20790" ht="15.75" customHeight="1" spans="1:2">
      <c r="A20790" s="3" t="str">
        <f>IFERROR(__xludf.DUMMYFUNCTION("GOOGLETRANSLATE(A20790,""en"",""pt"")"),"não pode mudar tinteiros separados, tinta vai rápido")</f>
        <v>não pode mudar tinteiros separados, tinta vai rápido</v>
      </c>
      <c r="B20790" s="3">
        <v>0</v>
      </c>
    </row>
    <row r="20791" ht="15.75" customHeight="1" spans="1:2">
      <c r="A20791" s="3" t="str">
        <f>IFERROR(__xludf.DUMMYFUNCTION("GOOGLETRANSLATE(A20791,""en"",""pt"")"),"Os bicos entupir constantemente")</f>
        <v>Os bicos entupir constantemente</v>
      </c>
      <c r="B20791" s="3">
        <v>0</v>
      </c>
    </row>
    <row r="20792" ht="15.75" customHeight="1" spans="1:2">
      <c r="A20792" s="3" t="str">
        <f>IFERROR(__xludf.DUMMYFUNCTION("GOOGLETRANSLATE(A20792,""en"",""pt"")"),"Os cartuchos de tinta são muito pequenos")</f>
        <v>Os cartuchos de tinta são muito pequenos</v>
      </c>
      <c r="B20792" s="3">
        <v>0</v>
      </c>
    </row>
    <row r="20793" ht="15.75" customHeight="1" spans="1:2">
      <c r="A20793" s="3" t="str">
        <f>IFERROR(__xludf.DUMMYFUNCTION("GOOGLETRANSLATE(A20793,""en"",""pt"")"),"suporte porta paralela questionável, caro")</f>
        <v>suporte porta paralela questionável, caro</v>
      </c>
      <c r="B20793" s="3">
        <v>0</v>
      </c>
    </row>
    <row r="20794" ht="15.75" customHeight="1" spans="1:2">
      <c r="A20794" s="3" t="str">
        <f>IFERROR(__xludf.DUMMYFUNCTION("GOOGLETRANSLATE(A20794,""en"",""pt"")"),"consumíveis caros")</f>
        <v>consumíveis caros</v>
      </c>
      <c r="B20794" s="3">
        <v>0</v>
      </c>
    </row>
    <row r="20795" ht="15.75" customHeight="1" spans="1:2">
      <c r="A20795" s="3" t="str">
        <f>IFERROR(__xludf.DUMMYFUNCTION("GOOGLETRANSLATE(A20795,""en"",""pt"")"),"limpeza cabeças muito, não EPS compatível, software necessidade RIP para imprimir EPS")</f>
        <v>limpeza cabeças muito, não EPS compatível, software necessidade RIP para imprimir EPS</v>
      </c>
      <c r="B20795" s="3">
        <v>0</v>
      </c>
    </row>
    <row r="20796" ht="15.75" customHeight="1" spans="1:2">
      <c r="A20796" s="3" t="str">
        <f>IFERROR(__xludf.DUMMYFUNCTION("GOOGLETRANSLATE(A20796,""en"",""pt"")"),"investimento inicial caro")</f>
        <v>investimento inicial caro</v>
      </c>
      <c r="B20796" s="3">
        <v>0</v>
      </c>
    </row>
    <row r="20797" ht="15.75" customHeight="1" spans="1:2">
      <c r="A20797" s="3" t="str">
        <f>IFERROR(__xludf.DUMMYFUNCTION("GOOGLETRANSLATE(A20797,""en"",""pt"")"),"Caro, Metamerismo muito evidentes (muda para verde demais), dolorosamente lento, consome muita tinta.")</f>
        <v>Caro, Metamerismo muito evidentes (muda para verde demais), dolorosamente lento, consome muita tinta.</v>
      </c>
      <c r="B20797" s="3">
        <v>0</v>
      </c>
    </row>
    <row r="20798" ht="15.75" customHeight="1" spans="1:2">
      <c r="A20798" s="3" t="str">
        <f>IFERROR(__xludf.DUMMYFUNCTION("GOOGLETRANSLATE(A20798,""en"",""pt"")"),"papel fosco fica muito molhado")</f>
        <v>papel fosco fica muito molhado</v>
      </c>
      <c r="B20798" s="3">
        <v>0</v>
      </c>
    </row>
    <row r="20799" ht="15.75" customHeight="1" spans="1:2">
      <c r="A20799" s="3" t="str">
        <f>IFERROR(__xludf.DUMMYFUNCTION("GOOGLETRANSLATE(A20799,""en"",""pt"")"),"Muito sério problema de mudança de laranja")</f>
        <v>Muito sério problema de mudança de laranja</v>
      </c>
      <c r="B20799" s="3">
        <v>0</v>
      </c>
    </row>
    <row r="20800" ht="15.75" customHeight="1" spans="1:2">
      <c r="A20800" s="3" t="str">
        <f>IFERROR(__xludf.DUMMYFUNCTION("GOOGLETRANSLATE(A20800,""en"",""pt"")"),"Não é possível imprimir um 16x20 (dica para Epson)")</f>
        <v>Não é possível imprimir um 16x20 (dica para Epson)</v>
      </c>
      <c r="B20800" s="3">
        <v>0</v>
      </c>
    </row>
    <row r="20801" ht="15.75" customHeight="1" spans="1:2">
      <c r="A20801" s="3" t="str">
        <f>IFERROR(__xludf.DUMMYFUNCTION("GOOGLETRANSLATE(A20801,""en"",""pt"")"),"Nenhum")</f>
        <v>Nenhum</v>
      </c>
      <c r="B20801" s="3">
        <v>0</v>
      </c>
    </row>
    <row r="20802" ht="15.75" customHeight="1" spans="1:2">
      <c r="A20802" s="3" t="str">
        <f>IFERROR(__xludf.DUMMYFUNCTION("GOOGLETRANSLATE(A20802,""en"",""pt"")"),"Nenhum")</f>
        <v>Nenhum</v>
      </c>
      <c r="B20802" s="3">
        <v>0</v>
      </c>
    </row>
    <row r="20803" ht="15.75" customHeight="1" spans="1:2">
      <c r="A20803" s="3" t="str">
        <f>IFERROR(__xludf.DUMMYFUNCTION("GOOGLETRANSLATE(A20803,""en"",""pt"")"),"ter o cuidado de usar o papel adequado.")</f>
        <v>ter o cuidado de usar o papel adequado.</v>
      </c>
      <c r="B20803" s="3">
        <v>0</v>
      </c>
    </row>
    <row r="20804" ht="15.75" customHeight="1" spans="1:2">
      <c r="A20804" s="3" t="str">
        <f>IFERROR(__xludf.DUMMYFUNCTION("GOOGLETRANSLATE(A20804,""en"",""pt"")"),"Nenhum até hoje")</f>
        <v>Nenhum até hoje</v>
      </c>
      <c r="B20804" s="3">
        <v>0</v>
      </c>
    </row>
    <row r="20805" ht="15.75" customHeight="1" spans="1:2">
      <c r="A20805" s="3" t="str">
        <f>IFERROR(__xludf.DUMMYFUNCTION("GOOGLETRANSLATE(A20805,""en"",""pt"")"),"Custo")</f>
        <v>Custo</v>
      </c>
      <c r="B20805" s="3">
        <v>0</v>
      </c>
    </row>
    <row r="20806" ht="15.75" customHeight="1" spans="1:2">
      <c r="A20806" s="3" t="str">
        <f>IFERROR(__xludf.DUMMYFUNCTION("GOOGLETRANSLATE(A20806,""en"",""pt"")"),"cartuchos podem ser difíceis de encontrar")</f>
        <v>cartuchos podem ser difíceis de encontrar</v>
      </c>
      <c r="B20806" s="3">
        <v>0</v>
      </c>
    </row>
    <row r="20807" ht="15.75" customHeight="1" spans="1:2">
      <c r="A20807" s="3" t="str">
        <f>IFERROR(__xludf.DUMMYFUNCTION("GOOGLETRANSLATE(A20807,""en"",""pt"")"),"Preço pode ser assustador")</f>
        <v>Preço pode ser assustador</v>
      </c>
      <c r="B20807" s="3">
        <v>0</v>
      </c>
    </row>
    <row r="20808" ht="15.75" customHeight="1" spans="1:2">
      <c r="A20808" s="3" t="str">
        <f>IFERROR(__xludf.DUMMYFUNCTION("GOOGLETRANSLATE(A20808,""en"",""pt"")"),"só deve ser usada como uma impressora de fotos!")</f>
        <v>só deve ser usada como uma impressora de fotos!</v>
      </c>
      <c r="B20808" s="3">
        <v>0</v>
      </c>
    </row>
    <row r="20809" ht="15.75" customHeight="1" spans="1:2">
      <c r="A20809" s="3" t="str">
        <f>IFERROR(__xludf.DUMMYFUNCTION("GOOGLETRANSLATE(A20809,""en"",""pt"")"),"Não imprime a borda, Descontinuado para o 1280")</f>
        <v>Não imprime a borda, Descontinuado para o 1280</v>
      </c>
      <c r="B20809" s="3">
        <v>0</v>
      </c>
    </row>
    <row r="20810" ht="15.75" customHeight="1" spans="1:2">
      <c r="A20810" s="3" t="str">
        <f>IFERROR(__xludf.DUMMYFUNCTION("GOOGLETRANSLATE(A20810,""en"",""pt"")"),"caro, velocidade de impressão lenta")</f>
        <v>caro, velocidade de impressão lenta</v>
      </c>
      <c r="B20810" s="3">
        <v>0</v>
      </c>
    </row>
    <row r="20811" ht="15.75" customHeight="1" spans="1:2">
      <c r="A20811" s="3" t="str">
        <f>IFERROR(__xludf.DUMMYFUNCTION("GOOGLETRANSLATE(A20811,""en"",""pt"")"),"Nenhum encontrado até agora")</f>
        <v>Nenhum encontrado até agora</v>
      </c>
      <c r="B20811" s="3">
        <v>0</v>
      </c>
    </row>
    <row r="20812" ht="15.75" customHeight="1" spans="1:2">
      <c r="A20812" s="3" t="str">
        <f>IFERROR(__xludf.DUMMYFUNCTION("GOOGLETRANSLATE(A20812,""en"",""pt"")"),"os cartuchos de tinta tipo de caro")</f>
        <v>os cartuchos de tinta tipo de caro</v>
      </c>
      <c r="B20812" s="3">
        <v>0</v>
      </c>
    </row>
    <row r="20813" ht="15.75" customHeight="1" spans="1:2">
      <c r="A20813" s="3" t="str">
        <f>IFERROR(__xludf.DUMMYFUNCTION("GOOGLETRANSLATE(A20813,""en"",""pt"")"),"Nenhum")</f>
        <v>Nenhum</v>
      </c>
      <c r="B20813" s="3">
        <v>0</v>
      </c>
    </row>
    <row r="20814" ht="15.75" customHeight="1" spans="1:2">
      <c r="A20814" s="3" t="str">
        <f>IFERROR(__xludf.DUMMYFUNCTION("GOOGLETRANSLATE(A20814,""en"",""pt"")"),"ainda imprimir mesmo tamanho que o 1200, carrinhos de tinta mais difícil de encontrar (por enquanto)")</f>
        <v>ainda imprimir mesmo tamanho que o 1200, carrinhos de tinta mais difícil de encontrar (por enquanto)</v>
      </c>
      <c r="B20814" s="3">
        <v>0</v>
      </c>
    </row>
    <row r="20815" ht="15.75" customHeight="1" spans="1:2">
      <c r="A20815" s="3" t="str">
        <f>IFERROR(__xludf.DUMMYFUNCTION("GOOGLETRANSLATE(A20815,""en"",""pt"")"),"Rapidez")</f>
        <v>Rapidez</v>
      </c>
      <c r="B20815" s="3">
        <v>0</v>
      </c>
    </row>
    <row r="20816" ht="15.75" customHeight="1" spans="1:2">
      <c r="A20816" s="3" t="str">
        <f>IFERROR(__xludf.DUMMYFUNCTION("GOOGLETRANSLATE(A20816,""en"",""pt"")"),"de tinta pode ser caro")</f>
        <v>de tinta pode ser caro</v>
      </c>
      <c r="B20816" s="3">
        <v>0</v>
      </c>
    </row>
    <row r="20817" ht="15.75" customHeight="1" spans="1:2">
      <c r="A20817" s="3" t="str">
        <f>IFERROR(__xludf.DUMMYFUNCTION("GOOGLETRANSLATE(A20817,""en"",""pt"")"),"rodas de pizza.")</f>
        <v>rodas de pizza.</v>
      </c>
      <c r="B20817" s="3">
        <v>0</v>
      </c>
    </row>
    <row r="20818" ht="15.75" customHeight="1" spans="1:2">
      <c r="A20818" s="3" t="str">
        <f>IFERROR(__xludf.DUMMYFUNCTION("GOOGLETRANSLATE(A20818,""en"",""pt"")"),"desconhecido confiabilidade a longo prazo,")</f>
        <v>desconhecido confiabilidade a longo prazo,</v>
      </c>
      <c r="B20818" s="3">
        <v>0</v>
      </c>
    </row>
    <row r="20819" ht="15.75" customHeight="1" spans="1:2">
      <c r="A20819" s="3" t="str">
        <f>IFERROR(__xludf.DUMMYFUNCTION("GOOGLETRANSLATE(A20819,""en"",""pt"")"),"não vai servir uma xícara de café (mas ele será impresso um grande!)")</f>
        <v>não vai servir uma xícara de café (mas ele será impresso um grande!)</v>
      </c>
      <c r="B20819" s="3">
        <v>0</v>
      </c>
    </row>
    <row r="20820" ht="15.75" customHeight="1" spans="1:2">
      <c r="A20820" s="3" t="str">
        <f>IFERROR(__xludf.DUMMYFUNCTION("GOOGLETRANSLATE(A20820,""en"",""pt"")"),"Nenhum.")</f>
        <v>Nenhum.</v>
      </c>
      <c r="B20820" s="3">
        <v>0</v>
      </c>
    </row>
    <row r="20821" ht="15.75" customHeight="1" spans="1:2">
      <c r="A20821" s="3" t="str">
        <f>IFERROR(__xludf.DUMMYFUNCTION("GOOGLETRANSLATE(A20821,""en"",""pt"")"),"Nenhum")</f>
        <v>Nenhum</v>
      </c>
      <c r="B20821" s="3">
        <v>0</v>
      </c>
    </row>
    <row r="20822" ht="15.75" customHeight="1" spans="1:2">
      <c r="A20822" s="3" t="str">
        <f>IFERROR(__xludf.DUMMYFUNCTION("GOOGLETRANSLATE(A20822,""en"",""pt"")"),"Não vem com um cabo")</f>
        <v>Não vem com um cabo</v>
      </c>
      <c r="B20822" s="3">
        <v>0</v>
      </c>
    </row>
    <row r="20823" ht="15.75" customHeight="1" spans="1:2">
      <c r="A20823" s="3" t="str">
        <f>IFERROR(__xludf.DUMMYFUNCTION("GOOGLETRANSLATE(A20823,""en"",""pt"")"),"saída de texto terrivelmente lento.")</f>
        <v>saída de texto terrivelmente lento.</v>
      </c>
      <c r="B20823" s="3">
        <v>0</v>
      </c>
    </row>
    <row r="20824" ht="15.75" customHeight="1" spans="1:2">
      <c r="A20824" s="3" t="str">
        <f>IFERROR(__xludf.DUMMYFUNCTION("GOOGLETRANSLATE(A20824,""en"",""pt"")"),"alguns hesitar estranho em alta resolução")</f>
        <v>alguns hesitar estranho em alta resolução</v>
      </c>
      <c r="B20824" s="3">
        <v>0</v>
      </c>
    </row>
    <row r="20825" ht="15.75" customHeight="1" spans="1:2">
      <c r="A20825" s="3" t="str">
        <f>IFERROR(__xludf.DUMMYFUNCTION("GOOGLETRANSLATE(A20825,""en"",""pt"")"),"Preço, velocidade, facilidade de utilização, qualidade de impressão")</f>
        <v>Preço, velocidade, facilidade de utilização, qualidade de impressão</v>
      </c>
      <c r="B20825" s="3">
        <v>0</v>
      </c>
    </row>
    <row r="20826" ht="15.75" customHeight="1" spans="1:2">
      <c r="A20826" s="3" t="str">
        <f>IFERROR(__xludf.DUMMYFUNCTION("GOOGLETRANSLATE(A20826,""en"",""pt"")"),"o custo ?")</f>
        <v>o custo ?</v>
      </c>
      <c r="B20826" s="3">
        <v>0</v>
      </c>
    </row>
    <row r="20827" ht="15.75" customHeight="1" spans="1:2">
      <c r="A20827" s="3" t="str">
        <f>IFERROR(__xludf.DUMMYFUNCTION("GOOGLETRANSLATE(A20827,""en"",""pt"")"),"não foi encontrado nenhum, para uso doméstico. Não bom o suficiente para trabalho de produção - vara para sub corante para que")</f>
        <v>não foi encontrado nenhum, para uso doméstico. Não bom o suficiente para trabalho de produção - vara para sub corante para que</v>
      </c>
      <c r="B20827" s="3">
        <v>0</v>
      </c>
    </row>
    <row r="20828" ht="15.75" customHeight="1" spans="1:2">
      <c r="A20828" s="3" t="str">
        <f>IFERROR(__xludf.DUMMYFUNCTION("GOOGLETRANSLATE(A20828,""en"",""pt"")"),"mudanças de cor na produção em menos de 24 horas!")</f>
        <v>mudanças de cor na produção em menos de 24 horas!</v>
      </c>
      <c r="B20828" s="3">
        <v>0</v>
      </c>
    </row>
    <row r="20829" ht="15.75" customHeight="1" spans="1:2">
      <c r="A20829" s="3" t="str">
        <f>IFERROR(__xludf.DUMMYFUNCTION("GOOGLETRANSLATE(A20829,""en"",""pt"")"),"papel caro e tinta, e não muito papel para escolher pela Epson")</f>
        <v>papel caro e tinta, e não muito papel para escolher pela Epson</v>
      </c>
      <c r="B20829" s="3">
        <v>0</v>
      </c>
    </row>
    <row r="20830" ht="15.75" customHeight="1" spans="1:2">
      <c r="A20830" s="3" t="str">
        <f>IFERROR(__xludf.DUMMYFUNCTION("GOOGLETRANSLATE(A20830,""en"",""pt"")"),"Caro para manter. Lento. Indisponibilidade de tintas.")</f>
        <v>Caro para manter. Lento. Indisponibilidade de tintas.</v>
      </c>
      <c r="B20830" s="3">
        <v>0</v>
      </c>
    </row>
    <row r="20831" ht="15.75" customHeight="1" spans="1:2">
      <c r="A20831" s="3" t="str">
        <f>IFERROR(__xludf.DUMMYFUNCTION("GOOGLETRANSLATE(A20831,""en"",""pt"")"),"O preço de mais de US $ 300.")</f>
        <v>O preço de mais de US $ 300.</v>
      </c>
      <c r="B20831" s="3">
        <v>0</v>
      </c>
    </row>
    <row r="20832" ht="15.75" customHeight="1" spans="1:2">
      <c r="A20832" s="3" t="str">
        <f>IFERROR(__xludf.DUMMYFUNCTION("GOOGLETRANSLATE(A20832,""en"",""pt"")"),"problemas de arquivo de tinta. Difícil de encontrar cartuchos de cor de substituição.")</f>
        <v>problemas de arquivo de tinta. Difícil de encontrar cartuchos de cor de substituição.</v>
      </c>
      <c r="B20832" s="3">
        <v>0</v>
      </c>
    </row>
    <row r="20833" ht="15.75" customHeight="1" spans="1:2">
      <c r="A20833" s="3" t="str">
        <f>IFERROR(__xludf.DUMMYFUNCTION("GOOGLETRANSLATE(A20833,""en"",""pt"")"),"Preço! Way demais para apenas uma impressora.")</f>
        <v>Preço! Way demais para apenas uma impressora.</v>
      </c>
      <c r="B20833" s="3">
        <v>0</v>
      </c>
    </row>
    <row r="20834" ht="15.75" customHeight="1" spans="1:2">
      <c r="A20834" s="3" t="str">
        <f>IFERROR(__xludf.DUMMYFUNCTION("GOOGLETRANSLATE(A20834,""en"",""pt"")"),"Faz uma confusão do rolo de impressão de tinta, fronteiras, nenhum adaptador rolo")</f>
        <v>Faz uma confusão do rolo de impressão de tinta, fronteiras, nenhum adaptador rolo</v>
      </c>
      <c r="B20834" s="3">
        <v>0</v>
      </c>
    </row>
    <row r="20835" ht="15.75" customHeight="1" spans="1:2">
      <c r="A20835" s="3" t="str">
        <f>IFERROR(__xludf.DUMMYFUNCTION("GOOGLETRANSLATE(A20835,""en"",""pt"")"),"configurações ideais não listado no manual., não funciona com RIPs partido 3'rd.,,")</f>
        <v>configurações ideais não listado no manual., não funciona com RIPs partido 3'rd.,,</v>
      </c>
      <c r="B20835" s="3">
        <v>0</v>
      </c>
    </row>
    <row r="20836" ht="15.75" customHeight="1" spans="1:2">
      <c r="A20836" s="3" t="str">
        <f>IFERROR(__xludf.DUMMYFUNCTION("GOOGLETRANSLATE(A20836,""en"",""pt"")"),"Nenhum")</f>
        <v>Nenhum</v>
      </c>
      <c r="B20836" s="3">
        <v>0</v>
      </c>
    </row>
    <row r="20837" ht="15.75" customHeight="1" spans="1:2">
      <c r="A20837" s="3" t="str">
        <f>IFERROR(__xludf.DUMMYFUNCTION("GOOGLETRANSLATE(A20837,""en"",""pt"")"),"Há muitos!")</f>
        <v>Há muitos!</v>
      </c>
      <c r="B20837" s="3">
        <v>0</v>
      </c>
    </row>
    <row r="20838" ht="15.75" customHeight="1" spans="1:2">
      <c r="A20838" s="3" t="str">
        <f>IFERROR(__xludf.DUMMYFUNCTION("GOOGLETRANSLATE(A20838,""en"",""pt"")"),"cores suaves e negros pobres em papel brilhante Premimum")</f>
        <v>cores suaves e negros pobres em papel brilhante Premimum</v>
      </c>
      <c r="B20838" s="3">
        <v>0</v>
      </c>
    </row>
    <row r="20839" ht="15.75" customHeight="1" spans="1:2">
      <c r="A20839" s="3" t="str">
        <f>IFERROR(__xludf.DUMMYFUNCTION("GOOGLETRANSLATE(A20839,""en"",""pt"")"),"Prémio fotos brilhantes sofrem de bronzeamento ...")</f>
        <v>Prémio fotos brilhantes sofrem de bronzeamento ...</v>
      </c>
      <c r="B20839" s="3">
        <v>0</v>
      </c>
    </row>
    <row r="20840" ht="15.75" customHeight="1" spans="1:2">
      <c r="A20840" s="3" t="str">
        <f>IFERROR(__xludf.DUMMYFUNCTION("GOOGLETRANSLATE(A20840,""en"",""pt"")"),"As definições ideais para o trabalho com gerenciamento de cores não flui óbvio; impressão lenta para a qualidade máxima")</f>
        <v>As definições ideais para o trabalho com gerenciamento de cores não flui óbvio; impressão lenta para a qualidade máxima</v>
      </c>
      <c r="B20840" s="3">
        <v>0</v>
      </c>
    </row>
    <row r="20841" ht="15.75" customHeight="1" spans="1:2">
      <c r="A20841" s="3" t="str">
        <f>IFERROR(__xludf.DUMMYFUNCTION("GOOGLETRANSLATE(A20841,""en"",""pt"")"),"Esta impressora é estritamente para imprimir em papéis Matte ... outros, em seguida, que é completamente inútil ...")</f>
        <v>Esta impressora é estritamente para imprimir em papéis Matte ... outros, em seguida, que é completamente inútil ...</v>
      </c>
      <c r="B20841" s="3">
        <v>0</v>
      </c>
    </row>
    <row r="20842" ht="15.75" customHeight="1" spans="1:2">
      <c r="A20842" s="3" t="str">
        <f>IFERROR(__xludf.DUMMYFUNCTION("GOOGLETRANSLATE(A20842,""en"",""pt"")"),"Para algumas pessoas o tamanho da impressora pode ser um problema")</f>
        <v>Para algumas pessoas o tamanho da impressora pode ser um problema</v>
      </c>
      <c r="B20842" s="3">
        <v>0</v>
      </c>
    </row>
    <row r="20843" ht="15.75" customHeight="1" spans="1:2">
      <c r="A20843" s="3" t="str">
        <f>IFERROR(__xludf.DUMMYFUNCTION("GOOGLETRANSLATE(A20843,""en"",""pt"")"),"Não funciona bem em tudo em papel normal ou compensados")</f>
        <v>Não funciona bem em tudo em papel normal ou compensados</v>
      </c>
      <c r="B20843" s="3">
        <v>0</v>
      </c>
    </row>
    <row r="20844" ht="15.75" customHeight="1" spans="1:2">
      <c r="A20844" s="3" t="str">
        <f>IFERROR(__xludf.DUMMYFUNCTION("GOOGLETRANSLATE(A20844,""en"",""pt"")"),"O custo de cerca de US $ 600 é um pouco alto para a maioria!")</f>
        <v>O custo de cerca de US $ 600 é um pouco alto para a maioria!</v>
      </c>
      <c r="B20844" s="3">
        <v>0</v>
      </c>
    </row>
    <row r="20845" ht="15.75" customHeight="1" spans="1:2">
      <c r="A20845" s="3" t="str">
        <f>IFERROR(__xludf.DUMMYFUNCTION("GOOGLETRANSLATE(A20845,""en"",""pt"")"),"Preço")</f>
        <v>Preço</v>
      </c>
      <c r="B20845" s="3">
        <v>0</v>
      </c>
    </row>
    <row r="20846" ht="15.75" customHeight="1" spans="1:2">
      <c r="A20846" s="3" t="str">
        <f>IFERROR(__xludf.DUMMYFUNCTION("GOOGLETRANSLATE(A20846,""en"",""pt"")"),"O 2200 é em suma oferta e 7 tintas não são baratos!")</f>
        <v>O 2200 é em suma oferta e 7 tintas não são baratos!</v>
      </c>
      <c r="B20846" s="3">
        <v>0</v>
      </c>
    </row>
    <row r="20847" ht="15.75" customHeight="1" spans="1:2">
      <c r="A20847" s="3" t="str">
        <f>IFERROR(__xludf.DUMMYFUNCTION("GOOGLETRANSLATE(A20847,""en"",""pt"")"),"tintas não compatíveis com todos os papéis")</f>
        <v>tintas não compatíveis com todos os papéis</v>
      </c>
      <c r="B20847" s="3">
        <v>0</v>
      </c>
    </row>
    <row r="20848" ht="15.75" customHeight="1" spans="1:2">
      <c r="A20848" s="3" t="str">
        <f>IFERROR(__xludf.DUMMYFUNCTION("GOOGLETRANSLATE(A20848,""en"",""pt"")"),"Nenhum")</f>
        <v>Nenhum</v>
      </c>
      <c r="B20848" s="3">
        <v>0</v>
      </c>
    </row>
    <row r="20849" ht="15.75" customHeight="1" spans="1:2">
      <c r="A20849" s="3" t="str">
        <f>IFERROR(__xludf.DUMMYFUNCTION("GOOGLETRANSLATE(A20849,""en"",""pt"")"),"Lento, teve a sua problemas mecânicos")</f>
        <v>Lento, teve a sua problemas mecânicos</v>
      </c>
      <c r="B20849" s="3">
        <v>0</v>
      </c>
    </row>
    <row r="20850" ht="15.75" customHeight="1" spans="1:2">
      <c r="A20850" s="3" t="str">
        <f>IFERROR(__xludf.DUMMYFUNCTION("GOOGLETRANSLATE(A20850,""en"",""pt"")"),"Nunca funciona,, cartuchos de tinta caros lentas direita")</f>
        <v>Nunca funciona,, cartuchos de tinta caros lentas direita</v>
      </c>
      <c r="B20850" s="3">
        <v>0</v>
      </c>
    </row>
    <row r="20851" ht="15.75" customHeight="1" spans="1:2">
      <c r="A20851" s="3" t="str">
        <f>IFERROR(__xludf.DUMMYFUNCTION("GOOGLETRANSLATE(A20851,""en"",""pt"")"),"utilizações limitadas, Loud, lento, caro para manter")</f>
        <v>utilizações limitadas, Loud, lento, caro para manter</v>
      </c>
      <c r="B20851" s="3">
        <v>0</v>
      </c>
    </row>
    <row r="20852" ht="15.75" customHeight="1" spans="1:2">
      <c r="A20852" s="3" t="str">
        <f>IFERROR(__xludf.DUMMYFUNCTION("GOOGLETRANSLATE(A20852,""en"",""pt"")"),"I não funciona depois que")</f>
        <v>I não funciona depois que</v>
      </c>
      <c r="B20852" s="3">
        <v>0</v>
      </c>
    </row>
    <row r="20853" ht="15.75" customHeight="1" spans="1:2">
      <c r="A20853" s="3" t="str">
        <f>IFERROR(__xludf.DUMMYFUNCTION("GOOGLETRANSLATE(A20853,""en"",""pt"")"),"Difícil de manutenção limpa, terrível, alto preço, suporte terrível")</f>
        <v>Difícil de manutenção limpa, terrível, alto preço, suporte terrível</v>
      </c>
      <c r="B20853" s="3">
        <v>0</v>
      </c>
    </row>
    <row r="20854" ht="15.75" customHeight="1" spans="1:2">
      <c r="A20854" s="3" t="str">
        <f>IFERROR(__xludf.DUMMYFUNCTION("GOOGLETRANSLATE(A20854,""en"",""pt"")"),"texto maçante")</f>
        <v>texto maçante</v>
      </c>
      <c r="B20854" s="3">
        <v>0</v>
      </c>
    </row>
    <row r="20855" ht="15.75" customHeight="1" spans="1:2">
      <c r="A20855" s="3" t="str">
        <f>IFERROR(__xludf.DUMMYFUNCTION("GOOGLETRANSLATE(A20855,""en"",""pt"")"),"lento, propenso a problemas mecânicos.")</f>
        <v>lento, propenso a problemas mecânicos.</v>
      </c>
      <c r="B20855" s="3">
        <v>0</v>
      </c>
    </row>
    <row r="20856" ht="15.75" customHeight="1" spans="1:2">
      <c r="A20856" s="3" t="str">
        <f>IFERROR(__xludf.DUMMYFUNCTION("GOOGLETRANSLATE(A20856,""en"",""pt"")"),"lento")</f>
        <v>lento</v>
      </c>
      <c r="B20856" s="3">
        <v>0</v>
      </c>
    </row>
    <row r="20857" ht="15.75" customHeight="1" spans="1:2">
      <c r="A20857" s="3" t="str">
        <f>IFERROR(__xludf.DUMMYFUNCTION("GOOGLETRANSLATE(A20857,""en"",""pt"")"),"lento, não o texto mais nítido que o mundo")</f>
        <v>lento, não o texto mais nítido que o mundo</v>
      </c>
      <c r="B20857" s="3">
        <v>0</v>
      </c>
    </row>
    <row r="20858" ht="15.75" customHeight="1" spans="1:2">
      <c r="A20858" s="3" t="str">
        <f>IFERROR(__xludf.DUMMYFUNCTION("GOOGLETRANSLATE(A20858,""en"",""pt"")"),"NÃO CONFIÁVEL")</f>
        <v>NÃO CONFIÁVEL</v>
      </c>
      <c r="B20858" s="3">
        <v>0</v>
      </c>
    </row>
    <row r="20859" ht="15.75" customHeight="1" spans="1:2">
      <c r="A20859" s="3" t="str">
        <f>IFERROR(__xludf.DUMMYFUNCTION("GOOGLETRANSLATE(A20859,""en"",""pt"")"),"pequenos poços de tinta, lento")</f>
        <v>pequenos poços de tinta, lento</v>
      </c>
      <c r="B20859" s="3">
        <v>0</v>
      </c>
    </row>
    <row r="20860" ht="15.75" customHeight="1" spans="1:2">
      <c r="A20860" s="3" t="str">
        <f>IFERROR(__xludf.DUMMYFUNCTION("GOOGLETRANSLATE(A20860,""en"",""pt"")"),"cartucho preto e branco muito pequeno.")</f>
        <v>cartucho preto e branco muito pequeno.</v>
      </c>
      <c r="B20860" s="3">
        <v>0</v>
      </c>
    </row>
    <row r="20861" ht="15.75" customHeight="1" spans="1:2">
      <c r="A20861" s="3" t="str">
        <f>IFERROR(__xludf.DUMMYFUNCTION("GOOGLETRANSLATE(A20861,""en"",""pt"")"),"cartuchos de tinta de marca são caros")</f>
        <v>cartuchos de tinta de marca são caros</v>
      </c>
      <c r="B20861" s="3">
        <v>0</v>
      </c>
    </row>
    <row r="20862" ht="15.75" customHeight="1" spans="1:2">
      <c r="A20862" s="3" t="str">
        <f>IFERROR(__xludf.DUMMYFUNCTION("GOOGLETRANSLATE(A20862,""en"",""pt"")"),"Mau desempenho, não reconhece Mac OS 9,04")</f>
        <v>Mau desempenho, não reconhece Mac OS 9,04</v>
      </c>
      <c r="B20862" s="3">
        <v>0</v>
      </c>
    </row>
    <row r="20863" ht="15.75" customHeight="1" spans="1:2">
      <c r="A20863" s="3" t="str">
        <f>IFERROR(__xludf.DUMMYFUNCTION("GOOGLETRANSLATE(A20863,""en"",""pt"")"),"transferência de dados é lenta")</f>
        <v>transferência de dados é lenta</v>
      </c>
      <c r="B20863" s="3">
        <v>0</v>
      </c>
    </row>
    <row r="20864" ht="15.75" customHeight="1" spans="1:2">
      <c r="A20864" s="3" t="str">
        <f>IFERROR(__xludf.DUMMYFUNCTION("GOOGLETRANSLATE(A20864,""en"",""pt"")"),"Lento, má resolução de cor, barulhento")</f>
        <v>Lento, má resolução de cor, barulhento</v>
      </c>
      <c r="B20864" s="3">
        <v>0</v>
      </c>
    </row>
    <row r="20865" ht="15.75" customHeight="1" spans="1:2">
      <c r="A20865" s="3" t="str">
        <f>IFERROR(__xludf.DUMMYFUNCTION("GOOGLETRANSLATE(A20865,""en"",""pt"")"),"Lento, Loud, eu disse lento ???")</f>
        <v>Lento, Loud, eu disse lento ???</v>
      </c>
      <c r="B20865" s="3">
        <v>0</v>
      </c>
    </row>
    <row r="20866" ht="15.75" customHeight="1" spans="1:2">
      <c r="A20866" s="3" t="str">
        <f>IFERROR(__xludf.DUMMYFUNCTION("GOOGLETRANSLATE(A20866,""en"",""pt"")"),"gestão de cartucho. Interrompido.")</f>
        <v>gestão de cartucho. Interrompido.</v>
      </c>
      <c r="B20866" s="3">
        <v>0</v>
      </c>
    </row>
    <row r="20867" ht="15.75" customHeight="1" spans="1:2">
      <c r="A20867" s="3" t="str">
        <f>IFERROR(__xludf.DUMMYFUNCTION("GOOGLETRANSLATE(A20867,""en"",""pt"")"),"Problemas no dimensionamento de saída de impressões de imagens.")</f>
        <v>Problemas no dimensionamento de saída de impressões de imagens.</v>
      </c>
      <c r="B20867" s="3">
        <v>0</v>
      </c>
    </row>
    <row r="20868" ht="15.75" customHeight="1" spans="1:2">
      <c r="A20868" s="3" t="str">
        <f>IFERROR(__xludf.DUMMYFUNCTION("GOOGLETRANSLATE(A20868,""en"",""pt"")"),"cartuchos de tinta não são comuns e devem ser especialmente encomendados.")</f>
        <v>cartuchos de tinta não são comuns e devem ser especialmente encomendados.</v>
      </c>
      <c r="B20868" s="3">
        <v>0</v>
      </c>
    </row>
    <row r="20869" ht="15.75" customHeight="1" spans="1:2">
      <c r="A20869" s="3" t="str">
        <f>IFERROR(__xludf.DUMMYFUNCTION("GOOGLETRANSLATE(A20869,""en"",""pt"")"),"Instalação no Disco Software, Extra cuidados necessários")</f>
        <v>Instalação no Disco Software, Extra cuidados necessários</v>
      </c>
      <c r="B20869" s="3">
        <v>0</v>
      </c>
    </row>
    <row r="20870" ht="15.75" customHeight="1" spans="1:2">
      <c r="A20870" s="3" t="str">
        <f>IFERROR(__xludf.DUMMYFUNCTION("GOOGLETRANSLATE(A20870,""en"",""pt"")"),"bicos de tinta têm de ser limpos regularmente")</f>
        <v>bicos de tinta têm de ser limpos regularmente</v>
      </c>
      <c r="B20870" s="3">
        <v>0</v>
      </c>
    </row>
    <row r="20871" ht="15.75" customHeight="1" spans="1:2">
      <c r="A20871" s="3" t="str">
        <f>IFERROR(__xludf.DUMMYFUNCTION("GOOGLETRANSLATE(A20871,""en"",""pt"")"),"Nenhum")</f>
        <v>Nenhum</v>
      </c>
      <c r="B20871" s="3">
        <v>0</v>
      </c>
    </row>
    <row r="20872" ht="15.75" customHeight="1" spans="1:2">
      <c r="A20872" s="3" t="str">
        <f>IFERROR(__xludf.DUMMYFUNCTION("GOOGLETRANSLATE(A20872,""en"",""pt"")"),"mais lento do que as impressoras multifuncionais, usa muita tinta, calibração complicado")</f>
        <v>mais lento do que as impressoras multifuncionais, usa muita tinta, calibração complicado</v>
      </c>
      <c r="B20872" s="3">
        <v>0</v>
      </c>
    </row>
    <row r="20873" ht="15.75" customHeight="1" spans="1:2">
      <c r="A20873" s="3" t="str">
        <f>IFERROR(__xludf.DUMMYFUNCTION("GOOGLETRANSLATE(A20873,""en"",""pt"")"),"design liso, velocidade")</f>
        <v>design liso, velocidade</v>
      </c>
      <c r="B20873" s="3">
        <v>0</v>
      </c>
    </row>
    <row r="20874" ht="15.75" customHeight="1" spans="1:2">
      <c r="A20874" s="3" t="str">
        <f>IFERROR(__xludf.DUMMYFUNCTION("GOOGLETRANSLATE(A20874,""en"",""pt"")"),"Muito devagar")</f>
        <v>Muito devagar</v>
      </c>
      <c r="B20874" s="3">
        <v>0</v>
      </c>
    </row>
    <row r="20875" ht="15.75" customHeight="1" spans="1:2">
      <c r="A20875" s="3" t="str">
        <f>IFERROR(__xludf.DUMMYFUNCTION("GOOGLETRANSLATE(A20875,""en"",""pt"")"),"B e W sofre")</f>
        <v>B e W sofre</v>
      </c>
      <c r="B20875" s="3">
        <v>0</v>
      </c>
    </row>
    <row r="20876" ht="15.75" customHeight="1" spans="1:2">
      <c r="A20876" s="3" t="str">
        <f>IFERROR(__xludf.DUMMYFUNCTION("GOOGLETRANSLATE(A20876,""en"",""pt"")"),"Inicializar às vezes é uma dor")</f>
        <v>Inicializar às vezes é uma dor</v>
      </c>
      <c r="B20876" s="3">
        <v>0</v>
      </c>
    </row>
    <row r="20877" ht="15.75" customHeight="1" spans="1:2">
      <c r="A20877" s="3" t="str">
        <f>IFERROR(__xludf.DUMMYFUNCTION("GOOGLETRANSLATE(A20877,""en"",""pt"")"),"Não é o fastest.But isso é tudo.")</f>
        <v>Não é o fastest.But isso é tudo.</v>
      </c>
      <c r="B20877" s="3">
        <v>0</v>
      </c>
    </row>
    <row r="20878" ht="15.75" customHeight="1" spans="1:2">
      <c r="A20878" s="3" t="str">
        <f>IFERROR(__xludf.DUMMYFUNCTION("GOOGLETRANSLATE(A20878,""en"",""pt"")"),"um pouco barulhento")</f>
        <v>um pouco barulhento</v>
      </c>
      <c r="B20878" s="3">
        <v>0</v>
      </c>
    </row>
    <row r="20879" ht="15.75" customHeight="1" spans="1:2">
      <c r="A20879" s="3" t="str">
        <f>IFERROR(__xludf.DUMMYFUNCTION("GOOGLETRANSLATE(A20879,""en"",""pt"")"),"lento, mas hey, você está imprimindo uma foto")</f>
        <v>lento, mas hey, você está imprimindo uma foto</v>
      </c>
      <c r="B20879" s="3">
        <v>0</v>
      </c>
    </row>
    <row r="20880" ht="15.75" customHeight="1" spans="1:2">
      <c r="A20880" s="3" t="str">
        <f>IFERROR(__xludf.DUMMYFUNCTION("GOOGLETRANSLATE(A20880,""en"",""pt"")"),"usa rápido tinta, mas é preciso tinta para fazer uma imagem")</f>
        <v>usa rápido tinta, mas é preciso tinta para fazer uma imagem</v>
      </c>
      <c r="B20880" s="3">
        <v>0</v>
      </c>
    </row>
    <row r="20881" ht="15.75" customHeight="1" spans="1:2">
      <c r="A20881" s="3" t="str">
        <f>IFERROR(__xludf.DUMMYFUNCTION("GOOGLETRANSLATE(A20881,""en"",""pt"")"),"Cartucho de Vida / Configuração; Velocidades lentas")</f>
        <v>Cartucho de Vida / Configuração; Velocidades lentas</v>
      </c>
      <c r="B20881" s="3">
        <v>0</v>
      </c>
    </row>
    <row r="20882" ht="15.75" customHeight="1" spans="1:2">
      <c r="A20882" s="3" t="str">
        <f>IFERROR(__xludf.DUMMYFUNCTION("GOOGLETRANSLATE(A20882,""en"",""pt"")"),"Lento")</f>
        <v>Lento</v>
      </c>
      <c r="B20882" s="3">
        <v>0</v>
      </c>
    </row>
    <row r="20883" ht="15.75" customHeight="1" spans="1:2">
      <c r="A20883" s="3" t="str">
        <f>IFERROR(__xludf.DUMMYFUNCTION("GOOGLETRANSLATE(A20883,""en"",""pt"")"),"Rapidez")</f>
        <v>Rapidez</v>
      </c>
      <c r="B20883" s="3">
        <v>0</v>
      </c>
    </row>
    <row r="20884" ht="15.75" customHeight="1" spans="1:2">
      <c r="A20884" s="3" t="str">
        <f>IFERROR(__xludf.DUMMYFUNCTION("GOOGLETRANSLATE(A20884,""en"",""pt"")"),"Papel fotográfico caro")</f>
        <v>Papel fotográfico caro</v>
      </c>
      <c r="B20884" s="3">
        <v>0</v>
      </c>
    </row>
    <row r="20885" ht="15.75" customHeight="1" spans="1:2">
      <c r="A20885" s="3" t="str">
        <f>IFERROR(__xludf.DUMMYFUNCTION("GOOGLETRANSLATE(A20885,""en"",""pt"")"),"Não há drivers de OS X, não faz bem em papel fotográfico HP")</f>
        <v>Não há drivers de OS X, não faz bem em papel fotográfico HP</v>
      </c>
      <c r="B20885" s="3">
        <v>0</v>
      </c>
    </row>
    <row r="20886" ht="15.75" customHeight="1" spans="1:2">
      <c r="A20886" s="3" t="str">
        <f>IFERROR(__xludf.DUMMYFUNCTION("GOOGLETRANSLATE(A20886,""en"",""pt"")"),"Eles poderiam ter feito a coisa mais rápido.")</f>
        <v>Eles poderiam ter feito a coisa mais rápido.</v>
      </c>
      <c r="B20886" s="3">
        <v>0</v>
      </c>
    </row>
    <row r="20887" ht="15.75" customHeight="1" spans="1:2">
      <c r="A20887" s="3" t="str">
        <f>IFERROR(__xludf.DUMMYFUNCTION("GOOGLETRANSLATE(A20887,""en"",""pt"")"),"Eles poderiam ter feito a coisa mais rápido.")</f>
        <v>Eles poderiam ter feito a coisa mais rápido.</v>
      </c>
      <c r="B20887" s="3">
        <v>0</v>
      </c>
    </row>
    <row r="20888" ht="15.75" customHeight="1" spans="1:2">
      <c r="A20888" s="3" t="str">
        <f>IFERROR(__xludf.DUMMYFUNCTION("GOOGLETRANSLATE(A20888,""en"",""pt"")"),"Lento, difícil encontrar tinta de cor em tijolo &amp; amp; argamassa")</f>
        <v>Lento, difícil encontrar tinta de cor em tijolo &amp; amp; argamassa</v>
      </c>
      <c r="B20888" s="3">
        <v>0</v>
      </c>
    </row>
    <row r="20889" ht="15.75" customHeight="1" spans="1:2">
      <c r="A20889" s="3" t="str">
        <f>IFERROR(__xludf.DUMMYFUNCTION("GOOGLETRANSLATE(A20889,""en"",""pt"")"),"Imprimir tempo (mas fácil para encurtar)")</f>
        <v>Imprimir tempo (mas fácil para encurtar)</v>
      </c>
      <c r="B20889" s="3">
        <v>0</v>
      </c>
    </row>
    <row r="20890" ht="15.75" customHeight="1" spans="1:2">
      <c r="A20890" s="3" t="str">
        <f>IFERROR(__xludf.DUMMYFUNCTION("GOOGLETRANSLATE(A20890,""en"",""pt"")"),"Como outros disseram, lento para iniciar e barulhento.")</f>
        <v>Como outros disseram, lento para iniciar e barulhento.</v>
      </c>
      <c r="B20890" s="3">
        <v>0</v>
      </c>
    </row>
    <row r="20891" ht="15.75" customHeight="1" spans="1:2">
      <c r="A20891" s="3" t="str">
        <f>IFERROR(__xludf.DUMMYFUNCTION("GOOGLETRANSLATE(A20891,""en"",""pt"")"),"Lento, muito barulhento, construção barata, a vida de tinta curto, melhor pode ser tido por muito menos")</f>
        <v>Lento, muito barulhento, construção barata, a vida de tinta curto, melhor pode ser tido por muito menos</v>
      </c>
      <c r="B20891" s="3">
        <v>0</v>
      </c>
    </row>
    <row r="20892" ht="15.75" customHeight="1" spans="1:2">
      <c r="A20892" s="3" t="str">
        <f>IFERROR(__xludf.DUMMYFUNCTION("GOOGLETRANSLATE(A20892,""en"",""pt"")"),"alto, lento, bebe tinta")</f>
        <v>alto, lento, bebe tinta</v>
      </c>
      <c r="B20892" s="3">
        <v>0</v>
      </c>
    </row>
    <row r="20893" ht="15.75" customHeight="1" spans="1:2">
      <c r="A20893" s="3" t="str">
        <f>IFERROR(__xludf.DUMMYFUNCTION("GOOGLETRANSLATE(A20893,""en"",""pt"")"),"Noisy, tamancos facilmente, muito lento &amp; amp; # 13; &amp; amp; # 10; &amp; amp; # 13; &amp; amp; # 10;")</f>
        <v>Noisy, tamancos facilmente, muito lento &amp; amp; # 13; &amp; amp; # 10; &amp; amp; # 13; &amp; amp; # 10;</v>
      </c>
      <c r="B20893" s="3">
        <v>0</v>
      </c>
    </row>
    <row r="20894" ht="15.75" customHeight="1" spans="1:2">
      <c r="A20894" s="3" t="str">
        <f>IFERROR(__xludf.DUMMYFUNCTION("GOOGLETRANSLATE(A20894,""en"",""pt"")"),"construção muito barato. Ink caro.")</f>
        <v>construção muito barato. Ink caro.</v>
      </c>
      <c r="B20894" s="3">
        <v>0</v>
      </c>
    </row>
    <row r="20895" ht="15.75" customHeight="1" spans="1:2">
      <c r="A20895" s="3" t="str">
        <f>IFERROR(__xludf.DUMMYFUNCTION("GOOGLETRANSLATE(A20895,""en"",""pt"")"),"Barulhento, lento, só funciona bem em papel Epson, suga tinta como se não houvesse amanhã.")</f>
        <v>Barulhento, lento, só funciona bem em papel Epson, suga tinta como se não houvesse amanhã.</v>
      </c>
      <c r="B20895" s="3">
        <v>0</v>
      </c>
    </row>
    <row r="20896" ht="15.75" customHeight="1" spans="1:2">
      <c r="A20896" s="3" t="str">
        <f>IFERROR(__xludf.DUMMYFUNCTION("GOOGLETRANSLATE(A20896,""en"",""pt"")"),"Bebe de tinta, tamancos facilmente")</f>
        <v>Bebe de tinta, tamancos facilmente</v>
      </c>
      <c r="B20896" s="3">
        <v>0</v>
      </c>
    </row>
    <row r="20897" ht="15.75" customHeight="1" spans="1:2">
      <c r="A20897" s="3" t="str">
        <f>IFERROR(__xludf.DUMMYFUNCTION("GOOGLETRANSLATE(A20897,""en"",""pt"")"),"Lento, barulhento, a longevidade de impressão")</f>
        <v>Lento, barulhento, a longevidade de impressão</v>
      </c>
      <c r="B20897" s="3">
        <v>0</v>
      </c>
    </row>
    <row r="20898" ht="15.75" customHeight="1" spans="1:2">
      <c r="A20898" s="3" t="str">
        <f>IFERROR(__xludf.DUMMYFUNCTION("GOOGLETRANSLATE(A20898,""en"",""pt"")"),"lento, usa muita tinta, barulhento")</f>
        <v>lento, usa muita tinta, barulhento</v>
      </c>
      <c r="B20898" s="3">
        <v>0</v>
      </c>
    </row>
    <row r="20899" ht="15.75" customHeight="1" spans="1:2">
      <c r="A20899" s="3" t="str">
        <f>IFERROR(__xludf.DUMMYFUNCTION("GOOGLETRANSLATE(A20899,""en"",""pt"")"),"Tamancos, consome tinta, construção de qualidade ruim, atolamentos de papel freqüentes.")</f>
        <v>Tamancos, consome tinta, construção de qualidade ruim, atolamentos de papel freqüentes.</v>
      </c>
      <c r="B20899" s="3">
        <v>0</v>
      </c>
    </row>
    <row r="20900" ht="15.75" customHeight="1" spans="1:2">
      <c r="A20900" s="3" t="str">
        <f>IFERROR(__xludf.DUMMYFUNCTION("GOOGLETRANSLATE(A20900,""en"",""pt"")"),"nada")</f>
        <v>nada</v>
      </c>
      <c r="B20900" s="3">
        <v>0</v>
      </c>
    </row>
    <row r="20901" ht="15.75" customHeight="1" spans="1:2">
      <c r="A20901" s="3" t="str">
        <f>IFERROR(__xludf.DUMMYFUNCTION("GOOGLETRANSLATE(A20901,""en"",""pt"")"),"papel encravar frequentemente, bebe tinta como a água, tamancos de tinta, muitas vezes, a qualidade de impressão apenas tolerável.")</f>
        <v>papel encravar frequentemente, bebe tinta como a água, tamancos de tinta, muitas vezes, a qualidade de impressão apenas tolerável.</v>
      </c>
      <c r="B20901" s="3">
        <v>0</v>
      </c>
    </row>
    <row r="20902" ht="15.75" customHeight="1" spans="1:2">
      <c r="A20902" s="3" t="str">
        <f>IFERROR(__xludf.DUMMYFUNCTION("GOOGLETRANSLATE(A20902,""en"",""pt"")"),"Alto e lento")</f>
        <v>Alto e lento</v>
      </c>
      <c r="B20902" s="3">
        <v>0</v>
      </c>
    </row>
    <row r="20903" ht="15.75" customHeight="1" spans="1:2">
      <c r="A20903" s="3" t="str">
        <f>IFERROR(__xludf.DUMMYFUNCTION("GOOGLETRANSLATE(A20903,""en"",""pt"")"),"barulhento, bebe tinta, compotas facilmente")</f>
        <v>barulhento, bebe tinta, compotas facilmente</v>
      </c>
      <c r="B20903" s="3">
        <v>0</v>
      </c>
    </row>
    <row r="20904" ht="15.75" customHeight="1" spans="1:2">
      <c r="A20904" s="3" t="str">
        <f>IFERROR(__xludf.DUMMYFUNCTION("GOOGLETRANSLATE(A20904,""en"",""pt"")"),"adornos e lenta de arranque, o consumo de tinta. vida pouca tinta")</f>
        <v>adornos e lenta de arranque, o consumo de tinta. vida pouca tinta</v>
      </c>
      <c r="B20904" s="3">
        <v>0</v>
      </c>
    </row>
    <row r="20905" ht="15.75" customHeight="1" spans="1:2">
      <c r="A20905" s="3" t="str">
        <f>IFERROR(__xludf.DUMMYFUNCTION("GOOGLETRANSLATE(A20905,""en"",""pt"")"),"Jams com papéis especiais; utiliza tinta rapidamente; apenas média para o texto")</f>
        <v>Jams com papéis especiais; utiliza tinta rapidamente; apenas média para o texto</v>
      </c>
      <c r="B20905" s="3">
        <v>0</v>
      </c>
    </row>
    <row r="20906" ht="15.75" customHeight="1" spans="1:2">
      <c r="A20906" s="3" t="str">
        <f>IFERROR(__xludf.DUMMYFUNCTION("GOOGLETRANSLATE(A20906,""en"",""pt"")"),"Um pouco lento (mais rápido ao imprimir com um computador)")</f>
        <v>Um pouco lento (mais rápido ao imprimir com um computador)</v>
      </c>
      <c r="B20906" s="3">
        <v>0</v>
      </c>
    </row>
    <row r="20907" ht="15.75" customHeight="1" spans="1:2">
      <c r="A20907" s="3" t="s">
        <v>108</v>
      </c>
      <c r="B20907" s="3">
        <v>0</v>
      </c>
    </row>
    <row r="20908" ht="15.75" customHeight="1" spans="1:2">
      <c r="A20908" s="3" t="str">
        <f>IFERROR(__xludf.DUMMYFUNCTION("GOOGLETRANSLATE(A20908,""en"",""pt"")"),"Se você imprimir fotografias, a tinta se esgota rapidamente. impressão Hi-res é lento.")</f>
        <v>Se você imprimir fotografias, a tinta se esgota rapidamente. impressão Hi-res é lento.</v>
      </c>
      <c r="B20908" s="3">
        <v>0</v>
      </c>
    </row>
    <row r="20909" ht="15.75" customHeight="1" spans="1:2">
      <c r="A20909" s="3" t="str">
        <f>IFERROR(__xludf.DUMMYFUNCTION("GOOGLETRANSLATE(A20909,""en"",""pt"")"),"Software é um pouco de decepção &amp; amp; # 13; &amp; amp; # 10 ;.")</f>
        <v>Software é um pouco de decepção &amp; amp; # 13; &amp; amp; # 10 ;.</v>
      </c>
      <c r="B20909" s="3">
        <v>0</v>
      </c>
    </row>
    <row r="20910" ht="15.75" customHeight="1" spans="1:2">
      <c r="A20910" s="3" t="str">
        <f>IFERROR(__xludf.DUMMYFUNCTION("GOOGLETRANSLATE(A20910,""en"",""pt"")"),"Nenhum eu encontrei ainda")</f>
        <v>Nenhum eu encontrei ainda</v>
      </c>
      <c r="B20910" s="3">
        <v>0</v>
      </c>
    </row>
    <row r="20911" ht="15.75" customHeight="1" spans="1:2">
      <c r="A20911" s="3" t="str">
        <f>IFERROR(__xludf.DUMMYFUNCTION("GOOGLETRANSLATE(A20911,""en"",""pt"")"),"Adaptadores necessários para diferentes cartões de memória")</f>
        <v>Adaptadores necessários para diferentes cartões de memória</v>
      </c>
      <c r="B20911" s="3">
        <v>0</v>
      </c>
    </row>
    <row r="20912" ht="15.75" customHeight="1" spans="1:2">
      <c r="A20912" s="3" t="str">
        <f>IFERROR(__xludf.DUMMYFUNCTION("GOOGLETRANSLATE(A20912,""en"",""pt"")"),"Difícil de encontrar, instalar e software tem alguns problemas.")</f>
        <v>Difícil de encontrar, instalar e software tem alguns problemas.</v>
      </c>
      <c r="B20912" s="3">
        <v>0</v>
      </c>
    </row>
    <row r="20913" ht="15.75" customHeight="1" spans="1:2">
      <c r="A20913" s="3" t="str">
        <f>IFERROR(__xludf.DUMMYFUNCTION("GOOGLETRANSLATE(A20913,""en"",""pt"")"),"Noisy, tamancos facilmente, lento &amp; amp; # 13; &amp; amp; # 10;")</f>
        <v>Noisy, tamancos facilmente, lento &amp; amp; # 13; &amp; amp; # 10;</v>
      </c>
      <c r="B20913" s="3">
        <v>0</v>
      </c>
    </row>
    <row r="20914" ht="15.75" customHeight="1" spans="1:2">
      <c r="A20914" s="3" t="str">
        <f>IFERROR(__xludf.DUMMYFUNCTION("GOOGLETRANSLATE(A20914,""en"",""pt"")"),"um pouco barulhento, um pouco lento, mas vale a pena a qualidade")</f>
        <v>um pouco barulhento, um pouco lento, mas vale a pena a qualidade</v>
      </c>
      <c r="B20914" s="3">
        <v>0</v>
      </c>
    </row>
    <row r="20915" ht="15.75" customHeight="1" spans="1:2">
      <c r="A20915" s="3" t="str">
        <f>IFERROR(__xludf.DUMMYFUNCTION("GOOGLETRANSLATE(A20915,""en"",""pt"")"),"Barulhento, às vezes recursos de correção de cores não funcionam corretamente.")</f>
        <v>Barulhento, às vezes recursos de correção de cores não funcionam corretamente.</v>
      </c>
      <c r="B20915" s="3">
        <v>0</v>
      </c>
    </row>
    <row r="20916" ht="15.75" customHeight="1" spans="1:2">
      <c r="A20916" s="3" t="str">
        <f>IFERROR(__xludf.DUMMYFUNCTION("GOOGLETRANSLATE(A20916,""en"",""pt"")"),"Slooooooooow, enorme, não vem w / obrigatório cabo USB.")</f>
        <v>Slooooooooow, enorme, não vem w / obrigatório cabo USB.</v>
      </c>
      <c r="B20916" s="3">
        <v>0</v>
      </c>
    </row>
    <row r="20917" ht="15.75" customHeight="1" spans="1:2">
      <c r="A20917" s="3" t="str">
        <f>IFERROR(__xludf.DUMMYFUNCTION("GOOGLETRANSLATE(A20917,""en"",""pt"")"),"cartuchos de tinta caros, muitas desperdício de tamancos de compensação de tinta")</f>
        <v>cartuchos de tinta caros, muitas desperdício de tamancos de compensação de tinta</v>
      </c>
      <c r="B20917" s="3">
        <v>0</v>
      </c>
    </row>
    <row r="20918" ht="15.75" customHeight="1" spans="1:2">
      <c r="A20918" s="3" t="str">
        <f>IFERROR(__xludf.DUMMYFUNCTION("GOOGLETRANSLATE(A20918,""en"",""pt"")"),"Um pouco barulhento.")</f>
        <v>Um pouco barulhento.</v>
      </c>
      <c r="B20918" s="3">
        <v>0</v>
      </c>
    </row>
    <row r="20919" ht="15.75" customHeight="1" spans="1:2">
      <c r="A20919" s="3" t="str">
        <f>IFERROR(__xludf.DUMMYFUNCTION("GOOGLETRANSLATE(A20919,""en"",""pt"")"),"Usa toneladas de tinta e precisa de limpeza da cabeça constante")</f>
        <v>Usa toneladas de tinta e precisa de limpeza da cabeça constante</v>
      </c>
      <c r="B20919" s="3">
        <v>0</v>
      </c>
    </row>
    <row r="20920" ht="15.75" customHeight="1" spans="1:2">
      <c r="A20920" s="3" t="str">
        <f>IFERROR(__xludf.DUMMYFUNCTION("GOOGLETRANSLATE(A20920,""en"",""pt"")"),"Nenhum dos software para impressão ou edição era compatível com o XP.")</f>
        <v>Nenhum dos software para impressão ou edição era compatível com o XP.</v>
      </c>
      <c r="B20920" s="3">
        <v>0</v>
      </c>
    </row>
    <row r="20921" ht="15.75" customHeight="1" spans="1:2">
      <c r="A20921" s="3" t="str">
        <f>IFERROR(__xludf.DUMMYFUNCTION("GOOGLETRANSLATE(A20921,""en"",""pt"")"),"Tudo o resto é muito pobre.")</f>
        <v>Tudo o resto é muito pobre.</v>
      </c>
      <c r="B20921" s="3">
        <v>0</v>
      </c>
    </row>
    <row r="20922" ht="15.75" customHeight="1" spans="1:2">
      <c r="A20922" s="3" t="str">
        <f>IFERROR(__xludf.DUMMYFUNCTION("GOOGLETRANSLATE(A20922,""en"",""pt"")"),"Come tinta, tamancos constantemente, compotas de alimentação de papel, tinta, cartuchos de propriedade caros.")</f>
        <v>Come tinta, tamancos constantemente, compotas de alimentação de papel, tinta, cartuchos de propriedade caros.</v>
      </c>
      <c r="B20922" s="3">
        <v>0</v>
      </c>
    </row>
    <row r="20923" ht="15.75" customHeight="1" spans="1:2">
      <c r="A20923" s="3" t="str">
        <f>IFERROR(__xludf.DUMMYFUNCTION("GOOGLETRANSLATE(A20923,""en"",""pt"")"),"bandeja de saída é frágil, não comer tinta ao fazer impressões de alta qualidade")</f>
        <v>bandeja de saída é frágil, não comer tinta ao fazer impressões de alta qualidade</v>
      </c>
      <c r="B20923" s="3">
        <v>0</v>
      </c>
    </row>
    <row r="20924" ht="15.75" customHeight="1" spans="1:2">
      <c r="A20924" s="3" t="str">
        <f>IFERROR(__xludf.DUMMYFUNCTION("GOOGLETRANSLATE(A20924,""en"",""pt"")"),"Precisa de adaptadores de cartão, impressão sem bordas um pouco confuso")</f>
        <v>Precisa de adaptadores de cartão, impressão sem bordas um pouco confuso</v>
      </c>
      <c r="B20924" s="3">
        <v>0</v>
      </c>
    </row>
    <row r="20925" ht="15.75" customHeight="1" spans="1:2">
      <c r="A20925" s="3" t="str">
        <f>IFERROR(__xludf.DUMMYFUNCTION("GOOGLETRANSLATE(A20925,""en"",""pt"")"),"tamancos, comer tinta, botões mal rotulados, difícil de usar")</f>
        <v>tamancos, comer tinta, botões mal rotulados, difícil de usar</v>
      </c>
      <c r="B20925" s="3">
        <v>0</v>
      </c>
    </row>
    <row r="20926" ht="15.75" customHeight="1" spans="1:2">
      <c r="A20926" s="3" t="str">
        <f>IFERROR(__xludf.DUMMYFUNCTION("GOOGLETRANSLATE(A20926,""en"",""pt"")"),"Extremamente pequenos tinteiros. Esteja preparado para comprar esses cartuchos em grupos de 5.")</f>
        <v>Extremamente pequenos tinteiros. Esteja preparado para comprar esses cartuchos em grupos de 5.</v>
      </c>
      <c r="B20926" s="3">
        <v>0</v>
      </c>
    </row>
    <row r="20927" ht="15.75" customHeight="1" spans="1:2">
      <c r="A20927" s="3" t="str">
        <f>IFERROR(__xludf.DUMMYFUNCTION("GOOGLETRANSLATE(A20927,""en"",""pt"")"),"Muito lento, consome tinta fazer auto limpezas, bicos de obstrução, muito barulhento, apoio pobres")</f>
        <v>Muito lento, consome tinta fazer auto limpezas, bicos de obstrução, muito barulhento, apoio pobres</v>
      </c>
      <c r="B20927" s="3">
        <v>0</v>
      </c>
    </row>
    <row r="20928" ht="15.75" customHeight="1" spans="1:2">
      <c r="A20928" s="3" t="str">
        <f>IFERROR(__xludf.DUMMYFUNCTION("GOOGLETRANSLATE(A20928,""en"",""pt"")"),"tamancos com frequência, motorista não funciona bem, mau serviço ao cliente")</f>
        <v>tamancos com frequência, motorista não funciona bem, mau serviço ao cliente</v>
      </c>
      <c r="B20928" s="3">
        <v>0</v>
      </c>
    </row>
    <row r="20929" ht="15.75" customHeight="1" spans="1:2">
      <c r="A20929" s="3" t="str">
        <f>IFERROR(__xludf.DUMMYFUNCTION("GOOGLETRANSLATE(A20929,""en"",""pt"")"),"Imprimir qualidade não como tinta esperado e bebidas.")</f>
        <v>Imprimir qualidade não como tinta esperado e bebidas.</v>
      </c>
      <c r="B20929" s="3">
        <v>0</v>
      </c>
    </row>
    <row r="20930" ht="15.75" customHeight="1" spans="1:2">
      <c r="A20930" s="3" t="str">
        <f>IFERROR(__xludf.DUMMYFUNCTION("GOOGLETRANSLATE(A20930,""en"",""pt"")"),"A tela visualizador de cartão de memória é um extra de R $ 99,00")</f>
        <v>A tela visualizador de cartão de memória é um extra de R $ 99,00</v>
      </c>
      <c r="B20930" s="3">
        <v>0</v>
      </c>
    </row>
    <row r="20931" ht="15.75" customHeight="1" spans="1:2">
      <c r="A20931" s="3" t="str">
        <f>IFERROR(__xludf.DUMMYFUNCTION("GOOGLETRANSLATE(A20931,""en"",""pt"")"),"Software leva algum tempo para dominar. Alguns recursos não utilizável com redes.")</f>
        <v>Software leva algum tempo para dominar. Alguns recursos não utilizável com redes.</v>
      </c>
      <c r="B20931" s="3">
        <v>0</v>
      </c>
    </row>
    <row r="20932" ht="15.75" customHeight="1" spans="1:2">
      <c r="A20932" s="3" t="str">
        <f>IFERROR(__xludf.DUMMYFUNCTION("GOOGLETRANSLATE(A20932,""en"",""pt"")"),"Alto. Alta.")</f>
        <v>Alto. Alta.</v>
      </c>
      <c r="B20932" s="3">
        <v>0</v>
      </c>
    </row>
    <row r="20933" ht="15.75" customHeight="1" spans="1:2">
      <c r="A20933" s="3" t="str">
        <f>IFERROR(__xludf.DUMMYFUNCTION("GOOGLETRANSLATE(A20933,""en"",""pt"")"),"Não trabalho (stand-alone) com cartão SD de 16 MB")</f>
        <v>Não trabalho (stand-alone) com cartão SD de 16 MB</v>
      </c>
      <c r="B20933" s="3">
        <v>0</v>
      </c>
    </row>
    <row r="20934" ht="15.75" customHeight="1" spans="1:2">
      <c r="A20934" s="3" t="str">
        <f>IFERROR(__xludf.DUMMYFUNCTION("GOOGLETRANSLATE(A20934,""en"",""pt"")"),"Consome oferecem de tinta. Não é bom para uso em escritório.")</f>
        <v>Consome oferecem de tinta. Não é bom para uso em escritório.</v>
      </c>
      <c r="B20934" s="3">
        <v>0</v>
      </c>
    </row>
    <row r="20935" ht="15.75" customHeight="1" spans="1:2">
      <c r="A20935" s="3" t="str">
        <f>IFERROR(__xludf.DUMMYFUNCTION("GOOGLETRANSLATE(A20935,""en"",""pt"")"),"Os cartuchos de tinta são caros e esgota-se rapidamente")</f>
        <v>Os cartuchos de tinta são caros e esgota-se rapidamente</v>
      </c>
      <c r="B20935" s="3">
        <v>0</v>
      </c>
    </row>
    <row r="20936" ht="15.75" customHeight="1" spans="1:2">
      <c r="A20936" s="3" t="str">
        <f>IFERROR(__xludf.DUMMYFUNCTION("GOOGLETRANSLATE(A20936,""en"",""pt"")"),"Noisy, cabeças entupir, e alguns programas podem lidar sem fronteiras.")</f>
        <v>Noisy, cabeças entupir, e alguns programas podem lidar sem fronteiras.</v>
      </c>
      <c r="B20936" s="3">
        <v>0</v>
      </c>
    </row>
    <row r="20937" ht="15.75" customHeight="1" spans="1:2">
      <c r="A20937" s="3" t="str">
        <f>IFERROR(__xludf.DUMMYFUNCTION("GOOGLETRANSLATE(A20937,""en"",""pt"")")," Utiliza até um monte de tinta, os cartuchos são caros, não muito rápido na impressão")</f>
        <v> Utiliza até um monte de tinta, os cartuchos são caros, não muito rápido na impressão</v>
      </c>
      <c r="B20937" s="3">
        <v>0</v>
      </c>
    </row>
    <row r="20938" ht="15.75" customHeight="1" spans="1:2">
      <c r="A20938" s="3" t="str">
        <f>IFERROR(__xludf.DUMMYFUNCTION("GOOGLETRANSLATE(A20938,""en"",""pt"")"),"Ele lamenta.")</f>
        <v>Ele lamenta.</v>
      </c>
      <c r="B20938" s="3">
        <v>0</v>
      </c>
    </row>
    <row r="20939" ht="15.75" customHeight="1" spans="1:2">
      <c r="A20939" s="3" t="str">
        <f>IFERROR(__xludf.DUMMYFUNCTION("GOOGLETRANSLATE(A20939,""en"",""pt"")"),"Ruidoso, o utilizador tinta")</f>
        <v>Ruidoso, o utilizador tinta</v>
      </c>
      <c r="B20939" s="3">
        <v>0</v>
      </c>
    </row>
    <row r="20940" ht="15.75" customHeight="1" spans="1:2">
      <c r="A20940" s="3" t="str">
        <f>IFERROR(__xludf.DUMMYFUNCTION("GOOGLETRANSLATE(A20940,""en"",""pt"")"),"Usa muita tinta e precisa ser usado regularmente.")</f>
        <v>Usa muita tinta e precisa ser usado regularmente.</v>
      </c>
      <c r="B20940" s="3">
        <v>0</v>
      </c>
    </row>
    <row r="20941" ht="15.75" customHeight="1" spans="1:2">
      <c r="A20941" s="3" t="str">
        <f>IFERROR(__xludf.DUMMYFUNCTION("GOOGLETRANSLATE(A20941,""en"",""pt"")"),"Usos Os lotes de tinta, um pouco, uma cor do cartucho de tinta em vez de tanques individuais")</f>
        <v>Usos Os lotes de tinta, um pouco, uma cor do cartucho de tinta em vez de tanques individuais</v>
      </c>
      <c r="B20941" s="3">
        <v>0</v>
      </c>
    </row>
    <row r="20942" ht="15.75" customHeight="1" spans="1:2">
      <c r="A20942" s="3" t="str">
        <f>IFERROR(__xludf.DUMMYFUNCTION("GOOGLETRANSLATE(A20942,""en"",""pt"")"),"Necessidades freqüentam ciclos headclean")</f>
        <v>Necessidades freqüentam ciclos headclean</v>
      </c>
      <c r="B20942" s="3">
        <v>0</v>
      </c>
    </row>
    <row r="20943" ht="15.75" customHeight="1" spans="1:2">
      <c r="A20943" s="3" t="str">
        <f>IFERROR(__xludf.DUMMYFUNCTION("GOOGLETRANSLATE(A20943,""en"",""pt"")"),"Noisy arranque ... usa muita tinta")</f>
        <v>Noisy arranque ... usa muita tinta</v>
      </c>
      <c r="B20943" s="3">
        <v>0</v>
      </c>
    </row>
    <row r="20944" ht="15.75" customHeight="1" spans="1:2">
      <c r="A20944" s="3" t="str">
        <f>IFERROR(__xludf.DUMMYFUNCTION("GOOGLETRANSLATE(A20944,""en"",""pt"")"),"porco de tinta, cartuchos de caros, barulhento")</f>
        <v>porco de tinta, cartuchos de caros, barulhento</v>
      </c>
      <c r="B20944" s="3">
        <v>0</v>
      </c>
    </row>
    <row r="20945" ht="15.75" customHeight="1" spans="1:2">
      <c r="A20945" s="3" t="str">
        <f>IFERROR(__xludf.DUMMYFUNCTION("GOOGLETRANSLATE(A20945,""en"",""pt"")"),"cartuchos de tinta muito caro, barulhento quando se começa, cabeças de impressão entupir o tempo todo.")</f>
        <v>cartuchos de tinta muito caro, barulhento quando se começa, cabeças de impressão entupir o tempo todo.</v>
      </c>
      <c r="B20945" s="3">
        <v>0</v>
      </c>
    </row>
    <row r="20946" ht="15.75" customHeight="1" spans="1:2">
      <c r="A20946" s="3" t="str">
        <f>IFERROR(__xludf.DUMMYFUNCTION("GOOGLETRANSLATE(A20946,""en"",""pt"")"),"Ele roda sem tinta bastante rápido.")</f>
        <v>Ele roda sem tinta bastante rápido.</v>
      </c>
      <c r="B20946" s="3">
        <v>0</v>
      </c>
    </row>
    <row r="20947" ht="15.75" customHeight="1" spans="1:2">
      <c r="A20947" s="3" t="str">
        <f>IFERROR(__xludf.DUMMYFUNCTION("GOOGLETRANSLATE(A20947,""en"",""pt"")"),"impressão lenta começa.")</f>
        <v>impressão lenta começa.</v>
      </c>
      <c r="B20947" s="3">
        <v>0</v>
      </c>
    </row>
    <row r="20948" ht="15.75" customHeight="1" spans="1:2">
      <c r="A20948" s="3" t="str">
        <f>IFERROR(__xludf.DUMMYFUNCTION("GOOGLETRANSLATE(A20948,""en"",""pt"")"),"os cartuchos de tinta caros, construção frágil")</f>
        <v>os cartuchos de tinta caros, construção frágil</v>
      </c>
      <c r="B20948" s="3">
        <v>0</v>
      </c>
    </row>
    <row r="20949" ht="15.75" customHeight="1" spans="1:2">
      <c r="A20949" s="3" t="str">
        <f>IFERROR(__xludf.DUMMYFUNCTION("GOOGLETRANSLATE(A20949,""en"",""pt"")"),"muito devagar; cartuchos muito caros e não duram muito tempo")</f>
        <v>muito devagar; cartuchos muito caros e não duram muito tempo</v>
      </c>
      <c r="B20949" s="3">
        <v>0</v>
      </c>
    </row>
    <row r="20950" ht="15.75" customHeight="1" spans="1:2">
      <c r="A20950" s="3" t="str">
        <f>IFERROR(__xludf.DUMMYFUNCTION("GOOGLETRANSLATE(A20950,""en"",""pt"")"),"saída de texto não tão estelar, velocidades de impressão lenta, cara mídia e cartuchos de tinta")</f>
        <v>saída de texto não tão estelar, velocidades de impressão lenta, cara mídia e cartuchos de tinta</v>
      </c>
      <c r="B20950" s="3">
        <v>0</v>
      </c>
    </row>
    <row r="20951" ht="15.75" customHeight="1" spans="1:2">
      <c r="A20951" s="3" t="str">
        <f>IFERROR(__xludf.DUMMYFUNCTION("GOOGLETRANSLATE(A20951,""en"",""pt"")"),"tinta caro, impressão de fotos lento, requer papel Epson")</f>
        <v>tinta caro, impressão de fotos lento, requer papel Epson</v>
      </c>
      <c r="B20951" s="3">
        <v>0</v>
      </c>
    </row>
    <row r="20952" ht="15.75" customHeight="1" spans="1:2">
      <c r="A20952" s="3" t="str">
        <f>IFERROR(__xludf.DUMMYFUNCTION("GOOGLETRANSLATE(A20952,""en"",""pt"")"),"Relativamente alta Ink Consumo, custo Cartridge")</f>
        <v>Relativamente alta Ink Consumo, custo Cartridge</v>
      </c>
      <c r="B20952" s="3">
        <v>0</v>
      </c>
    </row>
    <row r="20953" ht="15.75" customHeight="1" spans="1:2">
      <c r="A20953" s="3" t="str">
        <f>IFERROR(__xludf.DUMMYFUNCTION("GOOGLETRANSLATE(A20953,""en"",""pt"")"),"o uso de tinta, atendimento ao cliente Epson, alto")</f>
        <v>o uso de tinta, atendimento ao cliente Epson, alto</v>
      </c>
      <c r="B20953" s="3">
        <v>0</v>
      </c>
    </row>
    <row r="20954" ht="15.75" customHeight="1" spans="1:2">
      <c r="A20954" s="3" t="str">
        <f>IFERROR(__xludf.DUMMYFUNCTION("GOOGLETRANSLATE(A20954,""en"",""pt"")"),"No geral, os cartuchos são *** MUITO CARO ***, também um B &amp; amp; questão W.")</f>
        <v>No geral, os cartuchos são *** MUITO CARO ***, também um B &amp; amp; questão W.</v>
      </c>
      <c r="B20954" s="3">
        <v>0</v>
      </c>
    </row>
    <row r="20955" ht="15.75" customHeight="1" spans="1:2">
      <c r="A20955" s="3" t="str">
        <f>IFERROR(__xludf.DUMMYFUNCTION("GOOGLETRANSLATE(A20955,""en"",""pt"")"),"consumo Awful tinta !, consumo de tinta terrível !, consumo de tinta Awful!")</f>
        <v>consumo Awful tinta !, consumo de tinta terrível !, consumo de tinta Awful!</v>
      </c>
      <c r="B20955" s="3">
        <v>0</v>
      </c>
    </row>
    <row r="20956" ht="15.75" customHeight="1" spans="1:2">
      <c r="A20956" s="3" t="str">
        <f>IFERROR(__xludf.DUMMYFUNCTION("GOOGLETRANSLATE(A20956,""en"",""pt"")"),"Engole tinta caro, lento")</f>
        <v>Engole tinta caro, lento</v>
      </c>
      <c r="B20956" s="3">
        <v>0</v>
      </c>
    </row>
    <row r="20957" ht="15.75" customHeight="1" spans="1:2">
      <c r="A20957" s="3" t="str">
        <f>IFERROR(__xludf.DUMMYFUNCTION("GOOGLETRANSLATE(A20957,""en"",""pt"")"),"velocidade de impressão lenta, usos um monte de tinta")</f>
        <v>velocidade de impressão lenta, usos um monte de tinta</v>
      </c>
      <c r="B20957" s="3">
        <v>0</v>
      </c>
    </row>
    <row r="20958" ht="15.75" customHeight="1" spans="1:2">
      <c r="A20958" s="3" t="str">
        <f>IFERROR(__xludf.DUMMYFUNCTION("GOOGLETRANSLATE(A20958,""en"",""pt"")"),".70c por impressão com papel de alta qualidade, lenta")</f>
        <v>.70c por impressão com papel de alta qualidade, lenta</v>
      </c>
      <c r="B20958" s="3">
        <v>0</v>
      </c>
    </row>
    <row r="20959" ht="15.75" customHeight="1" spans="1:2">
      <c r="A20959" s="3" t="str">
        <f>IFERROR(__xludf.DUMMYFUNCTION("GOOGLETRANSLATE(A20959,""en"",""pt"")"),"um problema cartucho ""tinta de secagem"" aparentemente único. leia sobre a minha experiência.")</f>
        <v>um problema cartucho "tinta de secagem" aparentemente único. leia sobre a minha experiência.</v>
      </c>
      <c r="B20959" s="3">
        <v>0</v>
      </c>
    </row>
    <row r="20960" ht="15.75" customHeight="1" spans="1:2">
      <c r="A20960" s="3" t="str">
        <f>IFERROR(__xludf.DUMMYFUNCTION("GOOGLETRANSLATE(A20960,""en"",""pt"")"),"Poderia ser mais rápido e tinta poderia durar um pouco mais")</f>
        <v>Poderia ser mais rápido e tinta poderia durar um pouco mais</v>
      </c>
      <c r="B20960" s="3">
        <v>0</v>
      </c>
    </row>
    <row r="20961" ht="15.75" customHeight="1" spans="1:2">
      <c r="A20961" s="3" t="str">
        <f>IFERROR(__xludf.DUMMYFUNCTION("GOOGLETRANSLATE(A20961,""en"",""pt"")"),"Noisy e lento")</f>
        <v>Noisy e lento</v>
      </c>
      <c r="B20961" s="3">
        <v>0</v>
      </c>
    </row>
    <row r="20962" ht="15.75" customHeight="1" spans="1:2">
      <c r="A20962" s="3" t="str">
        <f>IFERROR(__xludf.DUMMYFUNCTION("GOOGLETRANSLATE(A20962,""en"",""pt"")"),"Não é possível imprimir em tudo se um cartucho está vazio.")</f>
        <v>Não é possível imprimir em tudo se um cartucho está vazio.</v>
      </c>
      <c r="B20962" s="3">
        <v>0</v>
      </c>
    </row>
    <row r="20963" ht="15.75" customHeight="1" spans="1:2">
      <c r="A20963" s="3" t="str">
        <f>IFERROR(__xludf.DUMMYFUNCTION("GOOGLETRANSLATE(A20963,""en"",""pt"")"),"período de aquecimento,, tinta caro lento, tinta acabar rápida")</f>
        <v>período de aquecimento,, tinta caro lento, tinta acabar rápida</v>
      </c>
      <c r="B20963" s="3">
        <v>0</v>
      </c>
    </row>
    <row r="20964" ht="15.75" customHeight="1" spans="1:2">
      <c r="A20964" s="3" t="str">
        <f>IFERROR(__xludf.DUMMYFUNCTION("GOOGLETRANSLATE(A20964,""en"",""pt"")"),"Sedento de tinta, operação cara, funeral barato")</f>
        <v>Sedento de tinta, operação cara, funeral barato</v>
      </c>
      <c r="B20964" s="3">
        <v>0</v>
      </c>
    </row>
    <row r="20965" ht="15.75" customHeight="1" spans="1:2">
      <c r="A20965" s="3" t="str">
        <f>IFERROR(__xludf.DUMMYFUNCTION("GOOGLETRANSLATE(A20965,""en"",""pt"")"),"CABEÇAS entupida !!!")</f>
        <v>CABEÇAS entupida !!!</v>
      </c>
      <c r="B20965" s="3">
        <v>0</v>
      </c>
    </row>
    <row r="20966" ht="15.75" customHeight="1" spans="1:2">
      <c r="A20966" s="3" t="str">
        <f>IFERROR(__xludf.DUMMYFUNCTION("GOOGLETRANSLATE(A20966,""en"",""pt"")"),"Não seria bom para a impressão de produção")</f>
        <v>Não seria bom para a impressão de produção</v>
      </c>
      <c r="B20966" s="3">
        <v>0</v>
      </c>
    </row>
    <row r="20967" ht="15.75" customHeight="1" spans="1:2">
      <c r="A20967" s="3" t="str">
        <f>IFERROR(__xludf.DUMMYFUNCTION("GOOGLETRANSLATE(A20967,""en"",""pt"")"),"barulhento, má qualidade de impressão, suporte pobre tecnologia, passa por tinta como a água")</f>
        <v>barulhento, má qualidade de impressão, suporte pobre tecnologia, passa por tinta como a água</v>
      </c>
      <c r="B20967" s="3">
        <v>0</v>
      </c>
    </row>
    <row r="20968" ht="15.75" customHeight="1" spans="1:2">
      <c r="A20968" s="3" t="str">
        <f>IFERROR(__xludf.DUMMYFUNCTION("GOOGLETRANSLATE(A20968,""en"",""pt"")"),"Software forças remoção de cartuchos de tinta muito caros !!")</f>
        <v>Software forças remoção de cartuchos de tinta muito caros !!</v>
      </c>
      <c r="B20968" s="3">
        <v>0</v>
      </c>
    </row>
    <row r="20969" ht="15.75" customHeight="1" spans="1:2">
      <c r="A20969" s="3" t="str">
        <f>IFERROR(__xludf.DUMMYFUNCTION("GOOGLETRANSLATE(A20969,""en"",""pt"")"),"BEBIDAS DE TINTA !!!!!")</f>
        <v>BEBIDAS DE TINTA !!!!!</v>
      </c>
      <c r="B20969" s="3">
        <v>0</v>
      </c>
    </row>
    <row r="20970" ht="15.75" customHeight="1" spans="1:2">
      <c r="A20970" s="3" t="str">
        <f>IFERROR(__xludf.DUMMYFUNCTION("GOOGLETRANSLATE(A20970,""en"",""pt"")"),"Ink sempre entope e corre muito rápido.")</f>
        <v>Ink sempre entope e corre muito rápido.</v>
      </c>
      <c r="B20970" s="3">
        <v>0</v>
      </c>
    </row>
    <row r="20971" ht="15.75" customHeight="1" spans="1:2">
      <c r="A20971" s="3" t="str">
        <f>IFERROR(__xludf.DUMMYFUNCTION("GOOGLETRANSLATE(A20971,""en"",""pt"")"),"poeira mata-lo, cabeças entupidos, usa muita tinta")</f>
        <v>poeira mata-lo, cabeças entupidos, usa muita tinta</v>
      </c>
      <c r="B20971" s="3">
        <v>0</v>
      </c>
    </row>
    <row r="20972" ht="15.75" customHeight="1" spans="1:2">
      <c r="A20972" s="3" t="str">
        <f>IFERROR(__xludf.DUMMYFUNCTION("GOOGLETRANSLATE(A20972,""en"",""pt"")"),"Sua demasiado pesado para caber no meu lixo da cozinha pode.")</f>
        <v>Sua demasiado pesado para caber no meu lixo da cozinha pode.</v>
      </c>
      <c r="B20972" s="3">
        <v>0</v>
      </c>
    </row>
    <row r="20973" ht="15.75" customHeight="1" spans="1:2">
      <c r="A20973" s="3" t="str">
        <f>IFERROR(__xludf.DUMMYFUNCTION("GOOGLETRANSLATE(A20973,""en"",""pt"")"),"tinta caro, lento, o entupimento pode ser um problema.")</f>
        <v>tinta caro, lento, o entupimento pode ser um problema.</v>
      </c>
      <c r="B20973" s="3">
        <v>0</v>
      </c>
    </row>
    <row r="20974" ht="15.75" customHeight="1" spans="1:2">
      <c r="A20974" s="3" t="str">
        <f>IFERROR(__xludf.DUMMYFUNCTION("GOOGLETRANSLATE(A20974,""en"",""pt"")"),"Um pouco barulhento")</f>
        <v>Um pouco barulhento</v>
      </c>
      <c r="B20974" s="3">
        <v>0</v>
      </c>
    </row>
    <row r="20975" ht="15.75" customHeight="1" spans="1:2">
      <c r="A20975" s="3" t="str">
        <f>IFERROR(__xludf.DUMMYFUNCTION("GOOGLETRANSLATE(A20975,""en"",""pt"")"),"controles desejo eram na frente")</f>
        <v>controles desejo eram na frente</v>
      </c>
      <c r="B20975" s="3">
        <v>0</v>
      </c>
    </row>
    <row r="20976" ht="15.75" customHeight="1" spans="1:2">
      <c r="A20976" s="3" t="str">
        <f>IFERROR(__xludf.DUMMYFUNCTION("GOOGLETRANSLATE(A20976,""en"",""pt"")"),"Alta utilização de tinta, Mecânica pobre, pobre Qualidade de Impressão")</f>
        <v>Alta utilização de tinta, Mecânica pobre, pobre Qualidade de Impressão</v>
      </c>
      <c r="B20976" s="3">
        <v>0</v>
      </c>
    </row>
    <row r="20977" ht="15.75" customHeight="1" spans="1:2">
      <c r="A20977" s="3" t="str">
        <f>IFERROR(__xludf.DUMMYFUNCTION("GOOGLETRANSLATE(A20977,""en"",""pt"")"),"Software não é tão intuitiva quanto poderia ser.")</f>
        <v>Software não é tão intuitiva quanto poderia ser.</v>
      </c>
      <c r="B20977" s="3">
        <v>0</v>
      </c>
    </row>
    <row r="20978" ht="15.75" customHeight="1" spans="1:2">
      <c r="A20978" s="3" t="str">
        <f>IFERROR(__xludf.DUMMYFUNCTION("GOOGLETRANSLATE(A20978,""en"",""pt"")"),"Lousy Warranty.Ink otário em US $ 25 um pop.")</f>
        <v>Lousy Warranty.Ink otário em US $ 25 um pop.</v>
      </c>
      <c r="B20978" s="3">
        <v>0</v>
      </c>
    </row>
    <row r="20979" ht="15.75" customHeight="1" spans="1:2">
      <c r="A20979" s="3" t="str">
        <f>IFERROR(__xludf.DUMMYFUNCTION("GOOGLETRANSLATE(A20979,""en"",""pt"")"),"entupimento freqüentes, software assim-assim")</f>
        <v>entupimento freqüentes, software assim-assim</v>
      </c>
      <c r="B20979" s="3">
        <v>0</v>
      </c>
    </row>
    <row r="20980" ht="15.75" customHeight="1" spans="1:2">
      <c r="A20980" s="3" t="str">
        <f>IFERROR(__xludf.DUMMYFUNCTION("GOOGLETRANSLATE(A20980,""en"",""pt"")"),"grande foto é e serviço parece ótimo (até agora)")</f>
        <v>grande foto é e serviço parece ótimo (até agora)</v>
      </c>
      <c r="B20980" s="3">
        <v>0</v>
      </c>
    </row>
    <row r="20981" ht="15.75" customHeight="1" spans="1:2">
      <c r="A20981" s="3" t="str">
        <f>IFERROR(__xludf.DUMMYFUNCTION("GOOGLETRANSLATE(A20981,""en"",""pt"")"),"porco tinta, pagar US $ 30 para 10-15 páginas impressas. não pode ficar ocioso.")</f>
        <v>porco tinta, pagar US $ 30 para 10-15 páginas impressas. não pode ficar ocioso.</v>
      </c>
      <c r="B20981" s="3">
        <v>0</v>
      </c>
    </row>
    <row r="20982" ht="15.75" customHeight="1" spans="1:2">
      <c r="A20982" s="3" t="str">
        <f>IFERROR(__xludf.DUMMYFUNCTION("GOOGLETRANSLATE(A20982,""en"",""pt"")"),"Tudo. Não vale a pena o selo de correio no rebate com")</f>
        <v>Tudo. Não vale a pena o selo de correio no rebate com</v>
      </c>
      <c r="B20982" s="3">
        <v>0</v>
      </c>
    </row>
    <row r="20983" ht="15.75" customHeight="1" spans="1:2">
      <c r="A20983" s="3" t="str">
        <f>IFERROR(__xludf.DUMMYFUNCTION("GOOGLETRANSLATE(A20983,""en"",""pt"")"),"Melhor usar papel Epson para fotos")</f>
        <v>Melhor usar papel Epson para fotos</v>
      </c>
      <c r="B20983" s="3">
        <v>0</v>
      </c>
    </row>
    <row r="20984" ht="15.75" customHeight="1" spans="1:2">
      <c r="A20984" s="3" t="str">
        <f>IFERROR(__xludf.DUMMYFUNCTION("GOOGLETRANSLATE(A20984,""en"",""pt"")"),"alto, lento, usa muita tinta, gravuras não é 100% confiável, tanto para textos ou fotos")</f>
        <v>alto, lento, usa muita tinta, gravuras não é 100% confiável, tanto para textos ou fotos</v>
      </c>
      <c r="B20984" s="3">
        <v>0</v>
      </c>
    </row>
    <row r="20985" ht="15.75" customHeight="1" spans="1:2">
      <c r="A20985" s="3" t="str">
        <f>IFERROR(__xludf.DUMMYFUNCTION("GOOGLETRANSLATE(A20985,""en"",""pt"")"),"Nunca funciona, nunca funciona, Ok, às vezes funciona, mas frustrante")</f>
        <v>Nunca funciona, nunca funciona, Ok, às vezes funciona, mas frustrante</v>
      </c>
      <c r="B20985" s="3">
        <v>0</v>
      </c>
    </row>
    <row r="20986" ht="15.75" customHeight="1" spans="1:2">
      <c r="A20986" s="3" t="str">
        <f>IFERROR(__xludf.DUMMYFUNCTION("GOOGLETRANSLATE(A20986,""en"",""pt"")"),"porco tinta, problema ocasional com obstrução de tinta, cartuchos de caros")</f>
        <v>porco tinta, problema ocasional com obstrução de tinta, cartuchos de caros</v>
      </c>
      <c r="B20986" s="3">
        <v>0</v>
      </c>
    </row>
    <row r="20987" ht="15.75" customHeight="1" spans="1:2">
      <c r="A20987" s="3" t="str">
        <f>IFERROR(__xludf.DUMMYFUNCTION("GOOGLETRANSLATE(A20987,""en"",""pt"")"),"não tão rápido quanto você pode querer, impressão de texto pobre")</f>
        <v>não tão rápido quanto você pode querer, impressão de texto pobre</v>
      </c>
      <c r="B20987" s="3">
        <v>0</v>
      </c>
    </row>
    <row r="20988" ht="15.75" customHeight="1" spans="1:2">
      <c r="A20988" s="3" t="str">
        <f>IFERROR(__xludf.DUMMYFUNCTION("GOOGLETRANSLATE(A20988,""en"",""pt"")"),"qualidade &amp; amp texto; velocidade não é bom - &amp; amp; # 13; &amp; amp; # 10; cartuchos de tinta eletrônicos caros")</f>
        <v>qualidade &amp; amp texto; velocidade não é bom - &amp; amp; # 13; &amp; amp; # 10; cartuchos de tinta eletrônicos caros</v>
      </c>
      <c r="B20988" s="3">
        <v>0</v>
      </c>
    </row>
    <row r="20989" ht="15.75" customHeight="1" spans="1:2">
      <c r="A20989" s="3" t="str">
        <f>IFERROR(__xludf.DUMMYFUNCTION("GOOGLETRANSLATE(A20989,""en"",""pt"")"),"-Doesn't tem capacidade de grande formato")</f>
        <v>-Doesn't tem capacidade de grande formato</v>
      </c>
      <c r="B20989" s="3">
        <v>0</v>
      </c>
    </row>
    <row r="20990" ht="15.75" customHeight="1" spans="1:2">
      <c r="A20990" s="3" t="str">
        <f>IFERROR(__xludf.DUMMYFUNCTION("GOOGLETRANSLATE(A20990,""en"",""pt"")"),"Nenhum cabo USB fornecido")</f>
        <v>Nenhum cabo USB fornecido</v>
      </c>
      <c r="B20990" s="3">
        <v>0</v>
      </c>
    </row>
    <row r="20991" ht="15.75" customHeight="1" spans="1:2">
      <c r="A20991" s="3" t="str">
        <f>IFERROR(__xludf.DUMMYFUNCTION("GOOGLETRANSLATE(A20991,""en"",""pt"")"),"cabeça entupimento de impressão, a saída medíocre em papel comum")</f>
        <v>cabeça entupimento de impressão, a saída medíocre em papel comum</v>
      </c>
      <c r="B20991" s="3">
        <v>0</v>
      </c>
    </row>
    <row r="20992" ht="15.75" customHeight="1" spans="1:2">
      <c r="A20992" s="3" t="str">
        <f>IFERROR(__xludf.DUMMYFUNCTION("GOOGLETRANSLATE(A20992,""en"",""pt"")"),"preço do papel brilhante para ele")</f>
        <v>preço do papel brilhante para ele</v>
      </c>
      <c r="B20992" s="3">
        <v>0</v>
      </c>
    </row>
    <row r="20993" ht="15.75" customHeight="1" spans="1:2">
      <c r="A20993" s="3" t="str">
        <f>IFERROR(__xludf.DUMMYFUNCTION("GOOGLETRANSLATE(A20993,""en"",""pt"")"),"Foto qualidade de impressão não tão bom como concorrentes")</f>
        <v>Foto qualidade de impressão não tão bom como concorrentes</v>
      </c>
      <c r="B20993" s="3">
        <v>0</v>
      </c>
    </row>
    <row r="20994" ht="15.75" customHeight="1" spans="1:2">
      <c r="A20994" s="3" t="str">
        <f>IFERROR(__xludf.DUMMYFUNCTION("GOOGLETRANSLATE(A20994,""en"",""pt"")"),"Ainda um pouco barulhento")</f>
        <v>Ainda um pouco barulhento</v>
      </c>
      <c r="B20994" s="3">
        <v>0</v>
      </c>
    </row>
    <row r="20995" ht="15.75" customHeight="1" spans="1:2">
      <c r="A20995" s="3" t="str">
        <f>IFERROR(__xludf.DUMMYFUNCTION("GOOGLETRANSLATE(A20995,""en"",""pt"")"),"trabalho eu for HP (apenas brincando)")</f>
        <v>trabalho eu for HP (apenas brincando)</v>
      </c>
      <c r="B20995" s="3">
        <v>0</v>
      </c>
    </row>
    <row r="20996" ht="15.75" customHeight="1" spans="1:2">
      <c r="A20996" s="3" t="str">
        <f>IFERROR(__xludf.DUMMYFUNCTION("GOOGLETRANSLATE(A20996,""en"",""pt"")"),"Sem cabo incluído - mas impressoras não incluí-los!")</f>
        <v>Sem cabo incluído - mas impressoras não incluí-los!</v>
      </c>
      <c r="B20996" s="3">
        <v>0</v>
      </c>
    </row>
    <row r="20997" ht="15.75" customHeight="1" spans="1:2">
      <c r="A20997" s="3" t="str">
        <f>IFERROR(__xludf.DUMMYFUNCTION("GOOGLETRANSLATE(A20997,""en"",""pt"")"),"tintas caros")</f>
        <v>tintas caros</v>
      </c>
      <c r="B20997" s="3">
        <v>0</v>
      </c>
    </row>
    <row r="20998" ht="15.75" customHeight="1" spans="1:2">
      <c r="A20998" s="3" t="str">
        <f>IFERROR(__xludf.DUMMYFUNCTION("GOOGLETRANSLATE(A20998,""en"",""pt"")"),"Pode ser caro para ser executado")</f>
        <v>Pode ser caro para ser executado</v>
      </c>
      <c r="B20998" s="3">
        <v>0</v>
      </c>
    </row>
    <row r="20999" ht="15.75" customHeight="1" spans="1:2">
      <c r="A20999" s="3" t="str">
        <f>IFERROR(__xludf.DUMMYFUNCTION("GOOGLETRANSLATE(A20999,""en"",""pt"")"),"texto preto e branco não tão bom, problema mudança de cor (mas afeta apenas um tipo de papel e algumas áreas de alto nível de ozônio)")</f>
        <v>texto preto e branco não tão bom, problema mudança de cor (mas afeta apenas um tipo de papel e algumas áreas de alto nível de ozônio)</v>
      </c>
      <c r="B20999" s="3">
        <v>0</v>
      </c>
    </row>
    <row r="21000" ht="15.75" customHeight="1" spans="1:2">
      <c r="A21000" s="3" t="str">
        <f>IFERROR(__xludf.DUMMYFUNCTION("GOOGLETRANSLATE(A21000,""en"",""pt"")"),"consumo de tinta é pouco demais.")</f>
        <v>consumo de tinta é pouco demais.</v>
      </c>
      <c r="B21000" s="3">
        <v>0</v>
      </c>
    </row>
    <row r="21001" ht="15.75" customHeight="1" spans="1:2">
      <c r="A21001" s="3" t="str">
        <f>IFERROR(__xludf.DUMMYFUNCTION("GOOGLETRANSLATE(A21001,""en"",""pt"")"),"Nenhum ainda!")</f>
        <v>Nenhum ainda!</v>
      </c>
      <c r="B21001" s="3">
        <v>0</v>
      </c>
    </row>
    <row r="21002" ht="15.75" customHeight="1" spans="1:2">
      <c r="A21002" s="3" t="str">
        <f>IFERROR(__xludf.DUMMYFUNCTION("GOOGLETRANSLATE(A21002,""en"",""pt"")"),"Consulte a descrição abaixo")</f>
        <v>Consulte a descrição abaixo</v>
      </c>
      <c r="B21002" s="3">
        <v>0</v>
      </c>
    </row>
    <row r="21003" ht="15.75" customHeight="1" spans="1:2">
      <c r="A21003" s="3" t="str">
        <f>IFERROR(__xludf.DUMMYFUNCTION("GOOGLETRANSLATE(A21003,""en"",""pt"")"),"sedento de tinta (não é pior do que outros jatos de tinta)")</f>
        <v>sedento de tinta (não é pior do que outros jatos de tinta)</v>
      </c>
      <c r="B21003" s="3">
        <v>0</v>
      </c>
    </row>
    <row r="21004" ht="15.75" customHeight="1" spans="1:2">
      <c r="A21004" s="3" t="str">
        <f>IFERROR(__xludf.DUMMYFUNCTION("GOOGLETRANSLATE(A21004,""en"",""pt"")"),"um pouco lento para o texto, mas não é realmente significou para isso. os cartuchos de tinta dispendiosos")</f>
        <v>um pouco lento para o texto, mas não é realmente significou para isso. os cartuchos de tinta dispendiosos</v>
      </c>
      <c r="B21004" s="3">
        <v>0</v>
      </c>
    </row>
    <row r="21005" ht="15.75" customHeight="1" spans="1:2">
      <c r="A21005" s="3" t="str">
        <f>IFERROR(__xludf.DUMMYFUNCTION("GOOGLETRANSLATE(A21005,""en"",""pt"")"),"Use papel Epson para obter melhores resultados")</f>
        <v>Use papel Epson para obter melhores resultados</v>
      </c>
      <c r="B21005" s="3">
        <v>0</v>
      </c>
    </row>
    <row r="21006" ht="15.75" customHeight="1" spans="1:2">
      <c r="A21006" s="3" t="str">
        <f>IFERROR(__xludf.DUMMYFUNCTION("GOOGLETRANSLATE(A21006,""en"",""pt"")"),"não pode fazer grandes impressões em formato poster")</f>
        <v>não pode fazer grandes impressões em formato poster</v>
      </c>
      <c r="B21006" s="3">
        <v>0</v>
      </c>
    </row>
    <row r="21007" ht="15.75" customHeight="1" spans="1:2">
      <c r="A21007" s="3" t="str">
        <f>IFERROR(__xludf.DUMMYFUNCTION("GOOGLETRANSLATE(A21007,""en"",""pt"")"),"Tem que usar tintas originais da Epson")</f>
        <v>Tem que usar tintas originais da Epson</v>
      </c>
      <c r="B21007" s="3">
        <v>0</v>
      </c>
    </row>
    <row r="21008" ht="15.75" customHeight="1" spans="1:2">
      <c r="A21008" s="3" t="str">
        <f>IFERROR(__xludf.DUMMYFUNCTION("GOOGLETRANSLATE(A21008,""en"",""pt"")"),"papel Epson necessário para obter os melhores resultados")</f>
        <v>papel Epson necessário para obter os melhores resultados</v>
      </c>
      <c r="B21008" s="3">
        <v>0</v>
      </c>
    </row>
    <row r="21009" ht="15.75" customHeight="1" spans="1:2">
      <c r="A21009" s="3" t="str">
        <f>IFERROR(__xludf.DUMMYFUNCTION("GOOGLETRANSLATE(A21009,""en"",""pt"")"),"Ink é caro")</f>
        <v>Ink é caro</v>
      </c>
      <c r="B21009" s="3">
        <v>0</v>
      </c>
    </row>
    <row r="21010" ht="15.75" customHeight="1" spans="1:2">
      <c r="A21010" s="3" t="str">
        <f>IFERROR(__xludf.DUMMYFUNCTION("GOOGLETRANSLATE(A21010,""en"",""pt"")"),"tinteiros pequenos")</f>
        <v>tinteiros pequenos</v>
      </c>
      <c r="B21010" s="3">
        <v>0</v>
      </c>
    </row>
    <row r="21011" ht="15.75" customHeight="1" spans="1:2">
      <c r="A21011" s="3" t="str">
        <f>IFERROR(__xludf.DUMMYFUNCTION("GOOGLETRANSLATE(A21011,""en"",""pt"")"),"saída de texto média (não será confundido com laser)")</f>
        <v>saída de texto média (não será confundido com laser)</v>
      </c>
      <c r="B21011" s="3">
        <v>0</v>
      </c>
    </row>
    <row r="21012" ht="15.75" customHeight="1" spans="1:2">
      <c r="A21012" s="3" t="str">
        <f>IFERROR(__xludf.DUMMYFUNCTION("GOOGLETRANSLATE(A21012,""en"",""pt"")"),"Requer papel pesado para obter os melhores resultados, tinteiros pequenos")</f>
        <v>Requer papel pesado para obter os melhores resultados, tinteiros pequenos</v>
      </c>
      <c r="B21012" s="3">
        <v>0</v>
      </c>
    </row>
    <row r="21013" ht="15.75" customHeight="1" spans="1:2">
      <c r="A21013" s="3" t="str">
        <f>IFERROR(__xludf.DUMMYFUNCTION("GOOGLETRANSLATE(A21013,""en"",""pt"")"),"motoristas flakey, leitor de flash compacto não isso, faltam recursos úteis da próxima geração")</f>
        <v>motoristas flakey, leitor de flash compacto não isso, faltam recursos úteis da próxima geração</v>
      </c>
      <c r="B21013" s="3">
        <v>0</v>
      </c>
    </row>
    <row r="21014" ht="15.75" customHeight="1" spans="1:2">
      <c r="A21014" s="3" t="str">
        <f>IFERROR(__xludf.DUMMYFUNCTION("GOOGLETRANSLATE(A21014,""en"",""pt"")"),"tinteiros pequenos, sem cabo USB")</f>
        <v>tinteiros pequenos, sem cabo USB</v>
      </c>
      <c r="B21014" s="3">
        <v>0</v>
      </c>
    </row>
    <row r="21015" ht="15.75" customHeight="1" spans="1:2">
      <c r="A21015" s="3" t="str">
        <f>IFERROR(__xludf.DUMMYFUNCTION("GOOGLETRANSLATE(A21015,""en"",""pt"")"),"papel brilhante para qualquer impressora pode ser caro.")</f>
        <v>papel brilhante para qualquer impressora pode ser caro.</v>
      </c>
      <c r="B21015" s="3">
        <v>0</v>
      </c>
    </row>
    <row r="21016" ht="15.75" customHeight="1" spans="1:2">
      <c r="A21016" s="3" t="str">
        <f>IFERROR(__xludf.DUMMYFUNCTION("GOOGLETRANSLATE(A21016,""en"",""pt"")"),"Sem fornecido cabo USB.")</f>
        <v>Sem fornecido cabo USB.</v>
      </c>
      <c r="B21016" s="3">
        <v>0</v>
      </c>
    </row>
    <row r="21017" ht="15.75" customHeight="1" spans="1:2">
      <c r="A21017" s="3" t="str">
        <f>IFERROR(__xludf.DUMMYFUNCTION("GOOGLETRANSLATE(A21017,""en"",""pt"")"),"Alto custo por página. tinteiros pequenos. saída de texto lento.")</f>
        <v>Alto custo por página. tinteiros pequenos. saída de texto lento.</v>
      </c>
      <c r="B21017" s="3">
        <v>0</v>
      </c>
    </row>
    <row r="21018" ht="15.75" customHeight="1" spans="1:2">
      <c r="A21018" s="3" t="str">
        <f>IFERROR(__xludf.DUMMYFUNCTION("GOOGLETRANSLATE(A21018,""en"",""pt"")"),"impressão lento, qualidade média")</f>
        <v>impressão lento, qualidade média</v>
      </c>
      <c r="B21018" s="3">
        <v>0</v>
      </c>
    </row>
    <row r="21019" ht="15.75" customHeight="1" spans="1:2">
      <c r="A21019" s="3" t="str">
        <f>IFERROR(__xludf.DUMMYFUNCTION("GOOGLETRANSLATE(A21019,""en"",""pt"")"),"custo de operação")</f>
        <v>custo de operação</v>
      </c>
      <c r="B21019" s="3">
        <v>0</v>
      </c>
    </row>
    <row r="21020" ht="15.75" customHeight="1" spans="1:2">
      <c r="A21020" s="3" t="str">
        <f>IFERROR(__xludf.DUMMYFUNCTION("GOOGLETRANSLATE(A21020,""en"",""pt"")"),"papel fotográfico e recargas de tinta ou caro a menos que você encontrar boas vendas na internet.")</f>
        <v>papel fotográfico e recargas de tinta ou caro a menos que você encontrar boas vendas na internet.</v>
      </c>
      <c r="B21020" s="3">
        <v>0</v>
      </c>
    </row>
    <row r="21021" ht="15.75" customHeight="1" spans="1:2">
      <c r="A21021" s="3" t="str">
        <f>IFERROR(__xludf.DUMMYFUNCTION("GOOGLETRANSLATE(A21021,""en"",""pt"")"),"qualidade média de texto, velocidade")</f>
        <v>qualidade média de texto, velocidade</v>
      </c>
      <c r="B21021" s="3">
        <v>0</v>
      </c>
    </row>
    <row r="21022" ht="15.75" customHeight="1" spans="1:2">
      <c r="A21022" s="3" t="str">
        <f>IFERROR(__xludf.DUMMYFUNCTION("GOOGLETRANSLATE(A21022,""en"",""pt"")"),"Tinta e papel pode ser caro se você só faz página inteira imagens de alta qualidade")</f>
        <v>Tinta e papel pode ser caro se você só faz página inteira imagens de alta qualidade</v>
      </c>
      <c r="B21022" s="3">
        <v>0</v>
      </c>
    </row>
    <row r="21023" ht="15.75" customHeight="1" spans="1:2">
      <c r="A21023" s="3" t="str">
        <f>IFERROR(__xludf.DUMMYFUNCTION("GOOGLETRANSLATE(A21023,""en"",""pt"")"),"As cópias podem ter uma mudança de cor dramática para laranja. Leia mais antes de comprar!")</f>
        <v>As cópias podem ter uma mudança de cor dramática para laranja. Leia mais antes de comprar!</v>
      </c>
      <c r="B21023" s="3">
        <v>0</v>
      </c>
    </row>
    <row r="21024" ht="15.75" customHeight="1" spans="1:2">
      <c r="A21024" s="3" t="str">
        <f>IFERROR(__xludf.DUMMYFUNCTION("GOOGLETRANSLATE(A21024,""en"",""pt"")"),"Usa muita tinta. rolo de papel é difícil de carregar.")</f>
        <v>Usa muita tinta. rolo de papel é difícil de carregar.</v>
      </c>
      <c r="B21024" s="3">
        <v>0</v>
      </c>
    </row>
    <row r="21025" ht="15.75" customHeight="1" spans="1:2">
      <c r="A21025" s="3" t="str">
        <f>IFERROR(__xludf.DUMMYFUNCTION("GOOGLETRANSLATE(A21025,""en"",""pt"")"),"muito novo para encontrar um")</f>
        <v>muito novo para encontrar um</v>
      </c>
      <c r="B21025" s="3">
        <v>0</v>
      </c>
    </row>
    <row r="21026" ht="15.75" customHeight="1" spans="1:2">
      <c r="A21026" s="3" t="str">
        <f>IFERROR(__xludf.DUMMYFUNCTION("GOOGLETRANSLATE(A21026,""en"",""pt"")"),"Tanques de cor deve ser maior.")</f>
        <v>Tanques de cor deve ser maior.</v>
      </c>
      <c r="B21026" s="3">
        <v>0</v>
      </c>
    </row>
    <row r="21027" ht="15.75" customHeight="1" spans="1:2">
      <c r="A21027" s="3" t="str">
        <f>IFERROR(__xludf.DUMMYFUNCTION("GOOGLETRANSLATE(A21027,""en"",""pt"")"),"As tintas são caros como é o alto brilho, boa papel.")</f>
        <v>As tintas são caros como é o alto brilho, boa papel.</v>
      </c>
      <c r="B21027" s="3">
        <v>0</v>
      </c>
    </row>
    <row r="21028" ht="15.75" customHeight="1" spans="1:2">
      <c r="A21028" s="3" t="str">
        <f>IFERROR(__xludf.DUMMYFUNCTION("GOOGLETRANSLATE(A21028,""en"",""pt"")"),"Os cartuchos de tinta são dispendiosos; como antes mencionado nos comentários anteriores, mas comprar no Ebay!")</f>
        <v>Os cartuchos de tinta são dispendiosos; como antes mencionado nos comentários anteriores, mas comprar no Ebay!</v>
      </c>
      <c r="B21028" s="3">
        <v>0</v>
      </c>
    </row>
    <row r="21029" ht="15.75" customHeight="1" spans="1:2">
      <c r="A21029" s="3" t="str">
        <f>IFERROR(__xludf.DUMMYFUNCTION("GOOGLETRANSLATE(A21029,""en"",""pt"")"),"precisa de uma impressora de alta qualidade, distância fotos tendem a ser difusa")</f>
        <v>precisa de uma impressora de alta qualidade, distância fotos tendem a ser difusa</v>
      </c>
      <c r="B21029" s="3">
        <v>0</v>
      </c>
    </row>
    <row r="21030" ht="15.75" customHeight="1" spans="1:2">
      <c r="A21030" s="3" t="str">
        <f>IFERROR(__xludf.DUMMYFUNCTION("GOOGLETRANSLATE(A21030,""en"",""pt"")"),"não pode pensar em qualquer")</f>
        <v>não pode pensar em qualquer</v>
      </c>
      <c r="B21030" s="3">
        <v>0</v>
      </c>
    </row>
    <row r="21031" ht="15.75" customHeight="1" spans="1:2">
      <c r="A21031" s="3" t="str">
        <f>IFERROR(__xludf.DUMMYFUNCTION("GOOGLETRANSLATE(A21031,""en"",""pt"")"),"curta duração da bateria")</f>
        <v>curta duração da bateria</v>
      </c>
      <c r="B21031" s="3">
        <v>0</v>
      </c>
    </row>
    <row r="21032" ht="15.75" customHeight="1" spans="1:2">
      <c r="A21032" s="3" t="str">
        <f>IFERROR(__xludf.DUMMYFUNCTION("GOOGLETRANSLATE(A21032,""en"",""pt"")"),"baterias orçamento limitado")</f>
        <v>baterias orçamento limitado</v>
      </c>
      <c r="B21032" s="3">
        <v>0</v>
      </c>
    </row>
    <row r="21033" ht="15.75" customHeight="1" spans="1:2">
      <c r="A21033" s="3" t="str">
        <f>IFERROR(__xludf.DUMMYFUNCTION("GOOGLETRANSLATE(A21033,""en"",""pt"")"),"Não Hard Copy fotos")</f>
        <v>Não Hard Copy fotos</v>
      </c>
      <c r="B21033" s="3">
        <v>0</v>
      </c>
    </row>
    <row r="21034" ht="15.75" customHeight="1" spans="1:2">
      <c r="A21034" s="3" t="str">
        <f>IFERROR(__xludf.DUMMYFUNCTION("GOOGLETRANSLATE(A21034,""en"",""pt"")"),"nenhuma lente zoom")</f>
        <v>nenhuma lente zoom</v>
      </c>
      <c r="B21034" s="3">
        <v>0</v>
      </c>
    </row>
    <row r="21035" ht="15.75" customHeight="1" spans="1:2">
      <c r="A21035" s="3" t="str">
        <f>IFERROR(__xludf.DUMMYFUNCTION("GOOGLETRANSLATE(A21035,""en"",""pt"")"),"curta duração da bateria")</f>
        <v>curta duração da bateria</v>
      </c>
      <c r="B21035" s="3">
        <v>0</v>
      </c>
    </row>
    <row r="21036" ht="15.75" customHeight="1" spans="1:2">
      <c r="A21036" s="3" t="str">
        <f>IFERROR(__xludf.DUMMYFUNCTION("GOOGLETRANSLATE(A21036,""en"",""pt"")"),"Deve ter equipamento extra (impressora), usa baterias que pode morrer, discos de substituição caros, usa espaço no disco rígido")</f>
        <v>Deve ter equipamento extra (impressora), usa baterias que pode morrer, discos de substituição caros, usa espaço no disco rígido</v>
      </c>
      <c r="B21036" s="3">
        <v>0</v>
      </c>
    </row>
    <row r="21037" ht="15.75" customHeight="1" spans="1:2">
      <c r="A21037" s="3" t="str">
        <f>IFERROR(__xludf.DUMMYFUNCTION("GOOGLETRANSLATE(A21037,""en"",""pt"")"),"nada até agora")</f>
        <v>nada até agora</v>
      </c>
      <c r="B21037" s="3">
        <v>0</v>
      </c>
    </row>
    <row r="21038" ht="15.75" customHeight="1" spans="1:2">
      <c r="A21038" s="3" t="str">
        <f>IFERROR(__xludf.DUMMYFUNCTION("GOOGLETRANSLATE(A21038,""en"",""pt"")"),"nenhum até o momento")</f>
        <v>nenhum até o momento</v>
      </c>
      <c r="B21038" s="3">
        <v>0</v>
      </c>
    </row>
    <row r="21039" ht="15.75" customHeight="1" spans="1:2">
      <c r="A21039" s="3" t="str">
        <f>IFERROR(__xludf.DUMMYFUNCTION("GOOGLETRANSLATE(A21039,""en"",""pt"")"),"Nenhum")</f>
        <v>Nenhum</v>
      </c>
      <c r="B21039" s="3">
        <v>0</v>
      </c>
    </row>
    <row r="21040" ht="15.75" customHeight="1" spans="1:2">
      <c r="A21040" s="3" t="str">
        <f>IFERROR(__xludf.DUMMYFUNCTION("GOOGLETRANSLATE(A21040,""en"",""pt"")"),"faltando a funcionalidade de controle remoto; não fornecida fonte de alimentação externa")</f>
        <v>faltando a funcionalidade de controle remoto; não fornecida fonte de alimentação externa</v>
      </c>
      <c r="B21040" s="3">
        <v>0</v>
      </c>
    </row>
    <row r="21041" ht="15.75" customHeight="1" spans="1:2">
      <c r="A21041" s="3" t="str">
        <f>IFERROR(__xludf.DUMMYFUNCTION("GOOGLETRANSLATE(A21041,""en"",""pt"")"),"Nenhum")</f>
        <v>Nenhum</v>
      </c>
      <c r="B21041" s="3">
        <v>0</v>
      </c>
    </row>
    <row r="21042" ht="15.75" customHeight="1" spans="1:2">
      <c r="A21042" s="3" t="str">
        <f>IFERROR(__xludf.DUMMYFUNCTION("GOOGLETRANSLATE(A21042,""en"",""pt"")"),"Baterias se esgotam rapidamente")</f>
        <v>Baterias se esgotam rapidamente</v>
      </c>
      <c r="B21042" s="3">
        <v>0</v>
      </c>
    </row>
    <row r="21043" ht="15.75" customHeight="1" spans="1:2">
      <c r="A21043" s="3" t="str">
        <f>IFERROR(__xludf.DUMMYFUNCTION("GOOGLETRANSLATE(A21043,""en"",""pt"")"),"não é real resistente / nenhum adaptador de energia")</f>
        <v>não é real resistente / nenhum adaptador de energia</v>
      </c>
      <c r="B21043" s="3">
        <v>0</v>
      </c>
    </row>
    <row r="21044" ht="15.75" customHeight="1" spans="1:2">
      <c r="A21044" s="3" t="str">
        <f>IFERROR(__xludf.DUMMYFUNCTION("GOOGLETRANSLATE(A21044,""en"",""pt"")"),"Sem zoom, nenhum dispositivo de armazenamento removível, não é bom para cénicas ou longas fotos à distância, usa-se baterias rapidamente")</f>
        <v>Sem zoom, nenhum dispositivo de armazenamento removível, não é bom para cénicas ou longas fotos à distância, usa-se baterias rapidamente</v>
      </c>
      <c r="B21044" s="3">
        <v>0</v>
      </c>
    </row>
    <row r="21045" ht="15.75" customHeight="1" spans="1:2">
      <c r="A21045" s="3" t="str">
        <f>IFERROR(__xludf.DUMMYFUNCTION("GOOGLETRANSLATE(A21045,""en"",""pt"")"),"nada")</f>
        <v>nada</v>
      </c>
      <c r="B21045" s="3">
        <v>0</v>
      </c>
    </row>
    <row r="21046" ht="15.75" customHeight="1" spans="1:2">
      <c r="A21046" s="3" t="str">
        <f>IFERROR(__xludf.DUMMYFUNCTION("GOOGLETRANSLATE(A21046,""en"",""pt"")"),"Baterias e Zoom")</f>
        <v>Baterias e Zoom</v>
      </c>
      <c r="B21046" s="3">
        <v>0</v>
      </c>
    </row>
    <row r="21047" ht="15.75" customHeight="1" spans="1:2">
      <c r="A21047" s="3" t="str">
        <f>IFERROR(__xludf.DUMMYFUNCTION("GOOGLETRANSLATE(A21047,""en"",""pt"")"),"exterior Plain")</f>
        <v>exterior Plain</v>
      </c>
      <c r="B21047" s="3">
        <v>0</v>
      </c>
    </row>
    <row r="21048" ht="15.75" customHeight="1" spans="1:2">
      <c r="A21048" s="3" t="str">
        <f>IFERROR(__xludf.DUMMYFUNCTION("GOOGLETRANSLATE(A21048,""en"",""pt"")"),"Cabos muito perto")</f>
        <v>Cabos muito perto</v>
      </c>
      <c r="B21048" s="3">
        <v>0</v>
      </c>
    </row>
    <row r="21049" ht="15.75" customHeight="1" spans="1:2">
      <c r="A21049" s="3" t="str">
        <f>IFERROR(__xludf.DUMMYFUNCTION("GOOGLETRANSLATE(A21049,""en"",""pt"")"),"Pouco difícil em baterias")</f>
        <v>Pouco difícil em baterias</v>
      </c>
      <c r="B21049" s="3">
        <v>0</v>
      </c>
    </row>
    <row r="21050" ht="15.75" customHeight="1" spans="1:2">
      <c r="A21050" s="3" t="str">
        <f>IFERROR(__xludf.DUMMYFUNCTION("GOOGLETRANSLATE(A21050,""en"",""pt"")"),"tempo de bateria curta")</f>
        <v>tempo de bateria curta</v>
      </c>
      <c r="B21050" s="3">
        <v>0</v>
      </c>
    </row>
    <row r="21051" ht="15.75" customHeight="1" spans="1:2">
      <c r="A21051" s="3" t="str">
        <f>IFERROR(__xludf.DUMMYFUNCTION("GOOGLETRANSLATE(A21051,""en"",""pt"")"),"sem zoom óptico, come baterias como louco quando vê com tela de LCD")</f>
        <v>sem zoom óptico, come baterias como louco quando vê com tela de LCD</v>
      </c>
      <c r="B21051" s="3">
        <v>0</v>
      </c>
    </row>
    <row r="21052" ht="15.75" customHeight="1" spans="1:2">
      <c r="A21052" s="3" t="str">
        <f>IFERROR(__xludf.DUMMYFUNCTION("GOOGLETRANSLATE(A21052,""en"",""pt"")"),"Nenhum")</f>
        <v>Nenhum</v>
      </c>
      <c r="B21052" s="3">
        <v>0</v>
      </c>
    </row>
    <row r="21053" ht="15.75" customHeight="1" spans="1:2">
      <c r="A21053" s="3" t="str">
        <f>IFERROR(__xludf.DUMMYFUNCTION("GOOGLETRANSLATE(A21053,""en"",""pt"")"),"?")</f>
        <v>?</v>
      </c>
      <c r="B21053" s="3">
        <v>0</v>
      </c>
    </row>
    <row r="21054" ht="15.75" customHeight="1" spans="1:2">
      <c r="A21054" s="3" t="str">
        <f>IFERROR(__xludf.DUMMYFUNCTION("GOOGLETRANSLATE(A21054,""en"",""pt"")"),"baixa qualidade de imagem, curta duração da bateria")</f>
        <v>baixa qualidade de imagem, curta duração da bateria</v>
      </c>
      <c r="B21054" s="3">
        <v>0</v>
      </c>
    </row>
    <row r="21055" ht="15.75" customHeight="1" spans="1:2">
      <c r="A21055" s="3" t="str">
        <f>IFERROR(__xludf.DUMMYFUNCTION("GOOGLETRANSLATE(A21055,""en"",""pt"")"),"Curta vida útil da bateria")</f>
        <v>Curta vida útil da bateria</v>
      </c>
      <c r="B21055" s="3">
        <v>0</v>
      </c>
    </row>
    <row r="21056" ht="15.75" customHeight="1" spans="1:2">
      <c r="A21056" s="3" t="str">
        <f>IFERROR(__xludf.DUMMYFUNCTION("GOOGLETRANSLATE(A21056,""en"",""pt"")"),"Nada que eu não posso viver sem.")</f>
        <v>Nada que eu não posso viver sem.</v>
      </c>
      <c r="B21056" s="3">
        <v>0</v>
      </c>
    </row>
    <row r="21057" ht="15.75" customHeight="1" spans="1:2">
      <c r="A21057" s="3" t="str">
        <f>IFERROR(__xludf.DUMMYFUNCTION("GOOGLETRANSLATE(A21057,""en"",""pt"")"),"Os botões são muito pequenos")</f>
        <v>Os botões são muito pequenos</v>
      </c>
      <c r="B21057" s="3">
        <v>0</v>
      </c>
    </row>
    <row r="21058" ht="15.75" customHeight="1" spans="1:2">
      <c r="A21058" s="3" t="str">
        <f>IFERROR(__xludf.DUMMYFUNCTION("GOOGLETRANSLATE(A21058,""en"",""pt"")"),"Não é muito impressionante qualidade de imagem.")</f>
        <v>Não é muito impressionante qualidade de imagem.</v>
      </c>
      <c r="B21058" s="3">
        <v>0</v>
      </c>
    </row>
    <row r="21059" ht="15.75" customHeight="1" spans="1:2">
      <c r="A21059" s="3" t="str">
        <f>IFERROR(__xludf.DUMMYFUNCTION("GOOGLETRANSLATE(A21059,""en"",""pt"")"),"Uso da bateria, sem tampa da lente")</f>
        <v>Uso da bateria, sem tampa da lente</v>
      </c>
      <c r="B21059" s="3">
        <v>0</v>
      </c>
    </row>
    <row r="21060" ht="15.75" customHeight="1" spans="1:2">
      <c r="A21060" s="3" t="str">
        <f>IFERROR(__xludf.DUMMYFUNCTION("GOOGLETRANSLATE(A21060,""en"",""pt"")"),"nada até agora")</f>
        <v>nada até agora</v>
      </c>
      <c r="B21060" s="3">
        <v>0</v>
      </c>
    </row>
    <row r="21061" ht="15.75" customHeight="1" spans="1:2">
      <c r="A21061" s="3" t="str">
        <f>IFERROR(__xludf.DUMMYFUNCTION("GOOGLETRANSLATE(A21061,""en"",""pt"")"),"o uso da bateria")</f>
        <v>o uso da bateria</v>
      </c>
      <c r="B21061" s="3">
        <v>0</v>
      </c>
    </row>
    <row r="21062" ht="15.75" customHeight="1" spans="1:2">
      <c r="A21062" s="3" t="str">
        <f>IFERROR(__xludf.DUMMYFUNCTION("GOOGLETRANSLATE(A21062,""en"",""pt"")"),"Sem zoom e, portanto, pobre para muitos cenário fotos")</f>
        <v>Sem zoom e, portanto, pobre para muitos cenário fotos</v>
      </c>
      <c r="B21062" s="3">
        <v>0</v>
      </c>
    </row>
    <row r="21063" ht="15.75" customHeight="1" spans="1:2">
      <c r="A21063" s="3" t="str">
        <f>IFERROR(__xludf.DUMMYFUNCTION("GOOGLETRANSLATE(A21063,""en"",""pt"")"),"A vida da bateria é não foram inexistentes!")</f>
        <v>A vida da bateria é não foram inexistentes!</v>
      </c>
      <c r="B21063" s="3">
        <v>0</v>
      </c>
    </row>
    <row r="21064" ht="15.75" customHeight="1" spans="1:2">
      <c r="A21064" s="3" t="str">
        <f>IFERROR(__xludf.DUMMYFUNCTION("GOOGLETRANSLATE(A21064,""en"",""pt"")"),"Sem zoom")</f>
        <v>Sem zoom</v>
      </c>
      <c r="B21064" s="3">
        <v>0</v>
      </c>
    </row>
    <row r="21065" ht="15.75" customHeight="1" spans="1:2">
      <c r="A21065" s="3" t="str">
        <f>IFERROR(__xludf.DUMMYFUNCTION("GOOGLETRANSLATE(A21065,""en"",""pt"")"),"Pouco zoom, usando LCD consome baterias rápidas")</f>
        <v>Pouco zoom, usando LCD consome baterias rápidas</v>
      </c>
      <c r="B21065" s="3">
        <v>0</v>
      </c>
    </row>
    <row r="21066" ht="15.75" customHeight="1" spans="1:2">
      <c r="A21066" s="3" t="str">
        <f>IFERROR(__xludf.DUMMYFUNCTION("GOOGLETRANSLATE(A21066,""en"",""pt"")"),"Sem tampa da lente é isso!")</f>
        <v>Sem tampa da lente é isso!</v>
      </c>
      <c r="B21066" s="3">
        <v>0</v>
      </c>
    </row>
    <row r="21067" ht="15.75" customHeight="1" spans="1:2">
      <c r="A21067" s="3" t="str">
        <f>IFERROR(__xludf.DUMMYFUNCTION("GOOGLETRANSLATE(A21067,""en"",""pt"")"),"Sem tampa da lente, nenhum caso incluído")</f>
        <v>Sem tampa da lente, nenhum caso incluído</v>
      </c>
      <c r="B21067" s="3">
        <v>0</v>
      </c>
    </row>
    <row r="21068" ht="15.75" customHeight="1" spans="1:2">
      <c r="A21068" s="3" t="str">
        <f>IFERROR(__xludf.DUMMYFUNCTION("GOOGLETRANSLATE(A21068,""en"",""pt"")"),"garantia de qualidade pobre.")</f>
        <v>garantia de qualidade pobre.</v>
      </c>
      <c r="B21068" s="3">
        <v>0</v>
      </c>
    </row>
    <row r="21069" ht="15.75" customHeight="1" spans="1:2">
      <c r="A21069" s="3" t="str">
        <f>IFERROR(__xludf.DUMMYFUNCTION("GOOGLETRANSLATE(A21069,""en"",""pt"")"),"Sem foco automático / tampa da lente, flash automático não para o meu gosto. Lens aparece fora de foco.")</f>
        <v>Sem foco automático / tampa da lente, flash automático não para o meu gosto. Lens aparece fora de foco.</v>
      </c>
      <c r="B21069" s="3">
        <v>0</v>
      </c>
    </row>
    <row r="21070" ht="15.75" customHeight="1" spans="1:2">
      <c r="A21070" s="3" t="str">
        <f>IFERROR(__xludf.DUMMYFUNCTION("GOOGLETRANSLATE(A21070,""en"",""pt"")"),"tempos lentos turn-on / armazenamento, sem zoom óptico, curta duração da bateria")</f>
        <v>tempos lentos turn-on / armazenamento, sem zoom óptico, curta duração da bateria</v>
      </c>
      <c r="B21070" s="3">
        <v>0</v>
      </c>
    </row>
    <row r="21071" ht="15.75" customHeight="1" spans="1:2">
      <c r="A21071" s="3" t="str">
        <f>IFERROR(__xludf.DUMMYFUNCTION("GOOGLETRANSLATE(A21071,""en"",""pt"")"),"Pouco versatilidade, má qualidade de imagem, não muito durável, pobre apoio de Fuji")</f>
        <v>Pouco versatilidade, má qualidade de imagem, não muito durável, pobre apoio de Fuji</v>
      </c>
      <c r="B21071" s="3">
        <v>0</v>
      </c>
    </row>
    <row r="21072" ht="15.75" customHeight="1" spans="1:2">
      <c r="A21072" s="3" t="str">
        <f>IFERROR(__xludf.DUMMYFUNCTION("GOOGLETRANSLATE(A21072,""en"",""pt"")"),"sem tampa da lente")</f>
        <v>sem tampa da lente</v>
      </c>
      <c r="B21072" s="3">
        <v>0</v>
      </c>
    </row>
    <row r="21073" ht="15.75" customHeight="1" spans="1:2">
      <c r="A21073" s="3" t="str">
        <f>IFERROR(__xludf.DUMMYFUNCTION("GOOGLETRANSLATE(A21073,""en"",""pt"")"),"Intervalo de tempo entre pressionar o botão do obturador e gravar a fotografia.")</f>
        <v>Intervalo de tempo entre pressionar o botão do obturador e gravar a fotografia.</v>
      </c>
      <c r="B21073" s="3">
        <v>0</v>
      </c>
    </row>
    <row r="21074" ht="15.75" customHeight="1" spans="1:2">
      <c r="A21074" s="3" t="str">
        <f>IFERROR(__xludf.DUMMYFUNCTION("GOOGLETRANSLATE(A21074,""en"",""pt"")"),"Sem tampa da lente. visor LCD pode ser difícil de ver sob certas condições.")</f>
        <v>Sem tampa da lente. visor LCD pode ser difícil de ver sob certas condições.</v>
      </c>
      <c r="B21074" s="3">
        <v>0</v>
      </c>
    </row>
    <row r="21075" ht="15.75" customHeight="1" spans="1:2">
      <c r="A21075" s="3" t="str">
        <f>IFERROR(__xludf.DUMMYFUNCTION("GOOGLETRANSLATE(A21075,""en"",""pt"")"),"Nenhum verdadeiro recurso de zoom, menos opções para os usuários mais avançados")</f>
        <v>Nenhum verdadeiro recurso de zoom, menos opções para os usuários mais avançados</v>
      </c>
      <c r="B21075" s="3">
        <v>0</v>
      </c>
    </row>
    <row r="21076" ht="15.75" customHeight="1" spans="1:2">
      <c r="A21076" s="3" t="str">
        <f>IFERROR(__xludf.DUMMYFUNCTION("GOOGLETRANSLATE(A21076,""en"",""pt"")"),"sem zoom, a vida curta da bateria")</f>
        <v>sem zoom, a vida curta da bateria</v>
      </c>
      <c r="B21076" s="3">
        <v>0</v>
      </c>
    </row>
    <row r="21077" ht="15.75" customHeight="1" spans="1:2">
      <c r="A21077" s="3" t="str">
        <f>IFERROR(__xludf.DUMMYFUNCTION("GOOGLETRANSLATE(A21077,""en"",""pt"")"),"Realmente suga baterias, mas o que câmera digital não, digital em vez de zoom óptico.")</f>
        <v>Realmente suga baterias, mas o que câmera digital não, digital em vez de zoom óptico.</v>
      </c>
      <c r="B21077" s="3">
        <v>0</v>
      </c>
    </row>
    <row r="21078" ht="15.75" customHeight="1" spans="1:2">
      <c r="A21078" s="3" t="str">
        <f>IFERROR(__xludf.DUMMYFUNCTION("GOOGLETRANSLATE(A21078,""en"",""pt"")"),"Esta câmera é lento para ligar, e não tem um zoom muito impressionante")</f>
        <v>Esta câmera é lento para ligar, e não tem um zoom muito impressionante</v>
      </c>
      <c r="B21078" s="3">
        <v>0</v>
      </c>
    </row>
    <row r="21079" ht="15.75" customHeight="1" spans="1:2">
      <c r="A21079" s="3" t="str">
        <f>IFERROR(__xludf.DUMMYFUNCTION("GOOGLETRANSLATE(A21079,""en"",""pt"")"),"Bateria, Display e Compatibilidade")</f>
        <v>Bateria, Display e Compatibilidade</v>
      </c>
      <c r="B21079" s="3">
        <v>0</v>
      </c>
    </row>
    <row r="21080" ht="15.75" customHeight="1" spans="1:2">
      <c r="A21080" s="3" t="str">
        <f>IFERROR(__xludf.DUMMYFUNCTION("GOOGLETRANSLATE(A21080,""en"",""pt"")"),"Flash muito próximo à lente, a qualidade de imagem poderia ser melhor")</f>
        <v>Flash muito próximo à lente, a qualidade de imagem poderia ser melhor</v>
      </c>
      <c r="B21080" s="3">
        <v>0</v>
      </c>
    </row>
    <row r="21081" ht="15.75" customHeight="1" spans="1:2">
      <c r="A21081" s="3" t="str">
        <f>IFERROR(__xludf.DUMMYFUNCTION("GOOGLETRANSLATE(A21081,""en"",""pt"")"),"Realmente usa-se pilhas rápido, adaptador de energia é um bocado caro")</f>
        <v>Realmente usa-se pilhas rápido, adaptador de energia é um bocado caro</v>
      </c>
      <c r="B21081" s="3">
        <v>0</v>
      </c>
    </row>
    <row r="21082" ht="15.75" customHeight="1" spans="1:2">
      <c r="A21082" s="3" t="str">
        <f>IFERROR(__xludf.DUMMYFUNCTION("GOOGLETRANSLATE(A21082,""en"",""pt"")"),"AMAZINGLY má qualidade de imagem")</f>
        <v>AMAZINGLY má qualidade de imagem</v>
      </c>
      <c r="B21082" s="3">
        <v>0</v>
      </c>
    </row>
    <row r="21083" ht="15.75" customHeight="1" spans="1:2">
      <c r="A21083" s="3" t="str">
        <f>IFERROR(__xludf.DUMMYFUNCTION("GOOGLETRANSLATE(A21083,""en"",""pt"")"),"tiro próximo não é fácil de obter um bom")</f>
        <v>tiro próximo não é fácil de obter um bom</v>
      </c>
      <c r="B21083" s="3">
        <v>0</v>
      </c>
    </row>
    <row r="21084" ht="15.75" customHeight="1" spans="1:2">
      <c r="A21084" s="3" t="str">
        <f>IFERROR(__xludf.DUMMYFUNCTION("GOOGLETRANSLATE(A21084,""en"",""pt"")"),"Não constante qualidade de imagem")</f>
        <v>Não constante qualidade de imagem</v>
      </c>
      <c r="B21084" s="3">
        <v>0</v>
      </c>
    </row>
    <row r="21085" ht="15.75" customHeight="1" spans="1:2">
      <c r="A21085" s="3" t="str">
        <f>IFERROR(__xludf.DUMMYFUNCTION("GOOGLETRANSLATE(A21085,""en"",""pt"")"),"não vai fazer tudo")</f>
        <v>não vai fazer tudo</v>
      </c>
      <c r="B21085" s="3">
        <v>0</v>
      </c>
    </row>
    <row r="21086" ht="15.75" customHeight="1" spans="1:2">
      <c r="A21086" s="3" t="str">
        <f>IFERROR(__xludf.DUMMYFUNCTION("GOOGLETRANSLATE(A21086,""en"",""pt"")"),"Sem tampa da lente, de olhos vermelhos")</f>
        <v>Sem tampa da lente, de olhos vermelhos</v>
      </c>
      <c r="B21086" s="3">
        <v>0</v>
      </c>
    </row>
    <row r="21087" ht="15.75" customHeight="1" spans="1:2">
      <c r="A21087" s="3" t="str">
        <f>IFERROR(__xludf.DUMMYFUNCTION("GOOGLETRANSLATE(A21087,""en"",""pt"")"),"Usando flash com tiros escura noite")</f>
        <v>Usando flash com tiros escura noite</v>
      </c>
      <c r="B21087" s="3">
        <v>0</v>
      </c>
    </row>
    <row r="21088" ht="15.75" customHeight="1" spans="1:2">
      <c r="A21088" s="3" t="str">
        <f>IFERROR(__xludf.DUMMYFUNCTION("GOOGLETRANSLATE(A21088,""en"",""pt"")"),"Sem zoom, sem tampa da lente")</f>
        <v>Sem zoom, sem tampa da lente</v>
      </c>
      <c r="B21088" s="3">
        <v>0</v>
      </c>
    </row>
    <row r="21089" ht="15.75" customHeight="1" spans="1:2">
      <c r="A21089" s="3" t="str">
        <f>IFERROR(__xludf.DUMMYFUNCTION("GOOGLETRANSLATE(A21089,""en"",""pt"")"),"difícil de alinhar tiros")</f>
        <v>difícil de alinhar tiros</v>
      </c>
      <c r="B21089" s="3">
        <v>0</v>
      </c>
    </row>
    <row r="21090" ht="15.75" customHeight="1" spans="1:2">
      <c r="A21090" s="3" t="str">
        <f>IFERROR(__xludf.DUMMYFUNCTION("GOOGLETRANSLATE(A21090,""en"",""pt"")"),"A qualidade da imagem não é sempre bom, as baterias não duram muito tempo")</f>
        <v>A qualidade da imagem não é sempre bom, as baterias não duram muito tempo</v>
      </c>
      <c r="B21090" s="3">
        <v>0</v>
      </c>
    </row>
    <row r="21091" ht="15.75" customHeight="1" spans="1:2">
      <c r="A21091" s="3" t="str">
        <f>IFERROR(__xludf.DUMMYFUNCTION("GOOGLETRANSLATE(A21091,""en"",""pt"")"),"come Baterias")</f>
        <v>come Baterias</v>
      </c>
      <c r="B21091" s="3">
        <v>0</v>
      </c>
    </row>
    <row r="21092" ht="15.75" customHeight="1" spans="1:2">
      <c r="A21092" s="3" t="str">
        <f>IFERROR(__xludf.DUMMYFUNCTION("GOOGLETRANSLATE(A21092,""en"",""pt"")"),"Sem zoom")</f>
        <v>Sem zoom</v>
      </c>
      <c r="B21092" s="3">
        <v>0</v>
      </c>
    </row>
    <row r="21093" ht="15.75" customHeight="1" spans="1:2">
      <c r="A21093" s="3" t="str">
        <f>IFERROR(__xludf.DUMMYFUNCTION("GOOGLETRANSLATE(A21093,""en"",""pt"")"),"sem tampa, aprender a bateria conserve")</f>
        <v>sem tampa, aprender a bateria conserve</v>
      </c>
      <c r="B21093" s="3">
        <v>0</v>
      </c>
    </row>
    <row r="21094" ht="15.75" customHeight="1" spans="1:2">
      <c r="A21094" s="3" t="str">
        <f>IFERROR(__xludf.DUMMYFUNCTION("GOOGLETRANSLATE(A21094,""en"",""pt"")"),"Sem tampa da lente, foco fixo, sem zoom")</f>
        <v>Sem tampa da lente, foco fixo, sem zoom</v>
      </c>
      <c r="B21094" s="3">
        <v>0</v>
      </c>
    </row>
    <row r="21095" ht="15.75" customHeight="1" spans="1:2">
      <c r="A21095" s="3" t="str">
        <f>IFERROR(__xludf.DUMMYFUNCTION("GOOGLETRANSLATE(A21095,""en"",""pt"")"),"Sem Zoom, Red Pictures")</f>
        <v>Sem Zoom, Red Pictures</v>
      </c>
      <c r="B21095" s="3">
        <v>0</v>
      </c>
    </row>
    <row r="21096" ht="15.75" customHeight="1" spans="1:2">
      <c r="A21096" s="3" t="str">
        <f>IFERROR(__xludf.DUMMYFUNCTION("GOOGLETRANSLATE(A21096,""en"",""pt"")"),"Sem tampa da lente, nenhum caso")</f>
        <v>Sem tampa da lente, nenhum caso</v>
      </c>
      <c r="B21096" s="3">
        <v>0</v>
      </c>
    </row>
    <row r="21097" ht="15.75" customHeight="1" spans="1:2">
      <c r="A21097" s="3" t="str">
        <f>IFERROR(__xludf.DUMMYFUNCTION("GOOGLETRANSLATE(A21097,""en"",""pt"")"),"nenhuma lente zoom")</f>
        <v>nenhuma lente zoom</v>
      </c>
      <c r="B21097" s="3">
        <v>0</v>
      </c>
    </row>
    <row r="21098" ht="15.75" customHeight="1" spans="1:2">
      <c r="A21098" s="3" t="str">
        <f>IFERROR(__xludf.DUMMYFUNCTION("GOOGLETRANSLATE(A21098,""en"",""pt"")"),"Lente não tem cobertura, tem problema com fiapos na lente.")</f>
        <v>Lente não tem cobertura, tem problema com fiapos na lente.</v>
      </c>
      <c r="B21098" s="3">
        <v>0</v>
      </c>
    </row>
    <row r="21099" ht="15.75" customHeight="1" spans="1:2">
      <c r="A21099" s="3" t="str">
        <f>IFERROR(__xludf.DUMMYFUNCTION("GOOGLETRANSLATE(A21099,""en"",""pt"")"),"Sem tampa da lente")</f>
        <v>Sem tampa da lente</v>
      </c>
      <c r="B21099" s="3">
        <v>0</v>
      </c>
    </row>
    <row r="21100" ht="15.75" customHeight="1" spans="1:2">
      <c r="A21100" s="3" t="str">
        <f>IFERROR(__xludf.DUMMYFUNCTION("GOOGLETRANSLATE(A21100,""en"",""pt"")"),"Após um período difícil de baixar as fotos para o computador")</f>
        <v>Após um período difícil de baixar as fotos para o computador</v>
      </c>
      <c r="B21100" s="3">
        <v>0</v>
      </c>
    </row>
    <row r="21101" ht="15.75" customHeight="1" spans="1:2">
      <c r="A21101" s="3" t="str">
        <f>IFERROR(__xludf.DUMMYFUNCTION("GOOGLETRANSLATE(A21101,""en"",""pt"")"),"nenhuma tampa, nenhuma lente zoom, curta duração da bateria")</f>
        <v>nenhuma tampa, nenhuma lente zoom, curta duração da bateria</v>
      </c>
      <c r="B21101" s="3">
        <v>0</v>
      </c>
    </row>
    <row r="21102" ht="15.75" customHeight="1" spans="1:2">
      <c r="A21102" s="3" t="str">
        <f>IFERROR(__xludf.DUMMYFUNCTION("GOOGLETRANSLATE(A21102,""en"",""pt"")"),"Sem tampa da lente")</f>
        <v>Sem tampa da lente</v>
      </c>
      <c r="B21102" s="3">
        <v>0</v>
      </c>
    </row>
    <row r="21103" ht="15.75" customHeight="1" spans="1:2">
      <c r="A21103" s="3" t="str">
        <f>IFERROR(__xludf.DUMMYFUNCTION("GOOGLETRANSLATE(A21103,""en"",""pt"")"),"NENHUM")</f>
        <v>NENHUM</v>
      </c>
      <c r="B21103" s="3">
        <v>0</v>
      </c>
    </row>
    <row r="21104" ht="15.75" customHeight="1" spans="1:2">
      <c r="A21104" s="3" t="str">
        <f>IFERROR(__xludf.DUMMYFUNCTION("GOOGLETRANSLATE(A21104,""en"",""pt"")"),"Não é um monte de recursos, a tela usa a energia da bateria rapidamente")</f>
        <v>Não é um monte de recursos, a tela usa a energia da bateria rapidamente</v>
      </c>
      <c r="B21104" s="3">
        <v>0</v>
      </c>
    </row>
    <row r="21105" ht="15.75" customHeight="1" spans="1:2">
      <c r="A21105" s="3" t="str">
        <f>IFERROR(__xludf.DUMMYFUNCTION("GOOGLETRANSLATE(A21105,""en"",""pt"")"),"tamanhos de imagem")</f>
        <v>tamanhos de imagem</v>
      </c>
      <c r="B21105" s="3">
        <v>0</v>
      </c>
    </row>
    <row r="21106" ht="15.75" customHeight="1" spans="1:2">
      <c r="A21106" s="3" t="str">
        <f>IFERROR(__xludf.DUMMYFUNCTION("GOOGLETRANSLATE(A21106,""en"",""pt"")"),"Noseprints no visor LCD")</f>
        <v>Noseprints no visor LCD</v>
      </c>
      <c r="B21106" s="3">
        <v>0</v>
      </c>
    </row>
    <row r="21107" ht="15.75" customHeight="1" spans="1:2">
      <c r="A21107" s="3" t="str">
        <f>IFERROR(__xludf.DUMMYFUNCTION("GOOGLETRANSLATE(A21107,""en"",""pt"")"),"Sem proteção da lente, obter um bom caso")</f>
        <v>Sem proteção da lente, obter um bom caso</v>
      </c>
      <c r="B21107" s="3">
        <v>0</v>
      </c>
    </row>
    <row r="21108" ht="15.75" customHeight="1" spans="1:2">
      <c r="A21108" s="3" t="str">
        <f>IFERROR(__xludf.DUMMYFUNCTION("GOOGLETRANSLATE(A21108,""en"",""pt"")"),"Red Eye, cartão de 4 MB, e drenagem da bateria.")</f>
        <v>Red Eye, cartão de 4 MB, e drenagem da bateria.</v>
      </c>
      <c r="B21108" s="3">
        <v>0</v>
      </c>
    </row>
    <row r="21109" ht="15.75" customHeight="1" spans="1:2">
      <c r="A21109" s="3" t="str">
        <f>IFERROR(__xludf.DUMMYFUNCTION("GOOGLETRANSLATE(A21109,""en"",""pt"")"),"cartão de memória pequeno!")</f>
        <v>cartão de memória pequeno!</v>
      </c>
      <c r="B21109" s="3">
        <v>0</v>
      </c>
    </row>
    <row r="21110" ht="15.75" customHeight="1" spans="1:2">
      <c r="A21110" s="3" t="str">
        <f>IFERROR(__xludf.DUMMYFUNCTION("GOOGLETRANSLATE(A21110,""en"",""pt"")"),"não sem limitações, as configurações são perdidas quando as pilhas são alteradas")</f>
        <v>não sem limitações, as configurações são perdidas quando as pilhas são alteradas</v>
      </c>
      <c r="B21110" s="3">
        <v>0</v>
      </c>
    </row>
    <row r="21111" ht="15.75" customHeight="1" spans="1:2">
      <c r="A21111" s="3" t="str">
        <f>IFERROR(__xludf.DUMMYFUNCTION("GOOGLETRANSLATE(A21111,""en"",""pt"")"),"Pouco difícil de ver tiros borradas no ecrã LCD; Nariz fica no caminho")</f>
        <v>Pouco difícil de ver tiros borradas no ecrã LCD; Nariz fica no caminho</v>
      </c>
      <c r="B21111" s="3">
        <v>0</v>
      </c>
    </row>
    <row r="21112" ht="15.75" customHeight="1" spans="1:2">
      <c r="A21112" s="3" t="str">
        <f>IFERROR(__xludf.DUMMYFUNCTION("GOOGLETRANSLATE(A21112,""en"",""pt"")"),"LCD propenso a arranhões.")</f>
        <v>LCD propenso a arranhões.</v>
      </c>
      <c r="B21112" s="3">
        <v>0</v>
      </c>
    </row>
    <row r="21113" ht="15.75" customHeight="1" spans="1:2">
      <c r="A21113" s="3" t="str">
        <f>IFERROR(__xludf.DUMMYFUNCTION("GOOGLETRANSLATE(A21113,""en"",""pt"")"),"Só vem com um cartão inteligente 8mb")</f>
        <v>Só vem com um cartão inteligente 8mb</v>
      </c>
      <c r="B21113" s="3">
        <v>0</v>
      </c>
    </row>
    <row r="21114" ht="15.75" customHeight="1" spans="1:2">
      <c r="A21114" s="3" t="str">
        <f>IFERROR(__xludf.DUMMYFUNCTION("GOOGLETRANSLATE(A21114,""en"",""pt"")"),"Suga baterias, a tela é difícil de ver em condições de luz.")</f>
        <v>Suga baterias, a tela é difícil de ver em condições de luz.</v>
      </c>
      <c r="B21114" s="3">
        <v>0</v>
      </c>
    </row>
    <row r="21115" ht="15.75" customHeight="1" spans="1:2">
      <c r="A21115" s="3" t="str">
        <f>IFERROR(__xludf.DUMMYFUNCTION("GOOGLETRANSLATE(A21115,""en"",""pt"")"),"tampa da lente, exibição fraca, 4Mb incluído media")</f>
        <v>tampa da lente, exibição fraca, 4Mb incluído media</v>
      </c>
      <c r="B21115" s="3">
        <v>0</v>
      </c>
    </row>
    <row r="21116" ht="15.75" customHeight="1" spans="1:2">
      <c r="A21116" s="3" t="str">
        <f>IFERROR(__xludf.DUMMYFUNCTION("GOOGLETRANSLATE(A21116,""en"",""pt"")"),"tampa da lente é poder weak.sucks quando visualiza o ecrã LCD")</f>
        <v>tampa da lente é poder weak.sucks quando visualiza o ecrã LCD</v>
      </c>
      <c r="B21116" s="3">
        <v>0</v>
      </c>
    </row>
    <row r="21117" ht="15.75" customHeight="1" spans="1:2">
      <c r="A21117" s="3" t="str">
        <f>IFERROR(__xludf.DUMMYFUNCTION("GOOGLETRANSLATE(A21117,""en"",""pt"")"),"~ Tamanho volumoso")</f>
        <v>~ Tamanho volumoso</v>
      </c>
      <c r="B21117" s="3">
        <v>0</v>
      </c>
    </row>
    <row r="21118" ht="15.75" customHeight="1" spans="1:2">
      <c r="A21118" s="3" t="str">
        <f>IFERROR(__xludf.DUMMYFUNCTION("GOOGLETRANSLATE(A21118,""en"",""pt"")"),"Difícil de ler visor LCD, botões minúsculos, alguns controles manuais, flash fraco. Toda a construção de plástico.")</f>
        <v>Difícil de ler visor LCD, botões minúsculos, alguns controles manuais, flash fraco. Toda a construção de plástico.</v>
      </c>
      <c r="B21118" s="3">
        <v>0</v>
      </c>
    </row>
    <row r="21119" ht="15.75" customHeight="1" spans="1:2">
      <c r="A21119" s="3" t="str">
        <f>IFERROR(__xludf.DUMMYFUNCTION("GOOGLETRANSLATE(A21119,""en"",""pt"")"),"tampa da lente arranhões no corpo, incapaz de TV de conexão; ecrã TFT é difícil ver debaixo do sol; display LCD falta na parte superior da câmera")</f>
        <v>tampa da lente arranhões no corpo, incapaz de TV de conexão; ecrã TFT é difícil ver debaixo do sol; display LCD falta na parte superior da câmera</v>
      </c>
      <c r="B21119" s="3">
        <v>0</v>
      </c>
    </row>
    <row r="21120" ht="15.75" customHeight="1" spans="1:2">
      <c r="A21120" s="3" t="str">
        <f>IFERROR(__xludf.DUMMYFUNCTION("GOOGLETRANSLATE(A21120,""en"",""pt"")"),"problema de olhos vermelhos terrível")</f>
        <v>problema de olhos vermelhos terrível</v>
      </c>
      <c r="B21120" s="3">
        <v>0</v>
      </c>
    </row>
    <row r="21121" ht="15.75" customHeight="1" spans="1:2">
      <c r="A21121" s="3" t="str">
        <f>IFERROR(__xludf.DUMMYFUNCTION("GOOGLETRANSLATE(A21121,""en"",""pt"")"),"pobre vida bateria padrão")</f>
        <v>pobre vida bateria padrão</v>
      </c>
      <c r="B21121" s="3">
        <v>0</v>
      </c>
    </row>
    <row r="21122" ht="15.75" customHeight="1" spans="1:2">
      <c r="A21122" s="3" t="str">
        <f>IFERROR(__xludf.DUMMYFUNCTION("GOOGLETRANSLATE(A21122,""en"",""pt"")"),"Curta vida útil da bateria, cartão pequeno flash incluído")</f>
        <v>Curta vida útil da bateria, cartão pequeno flash incluído</v>
      </c>
      <c r="B21122" s="3">
        <v>0</v>
      </c>
    </row>
    <row r="21123" ht="15.75" customHeight="1" spans="1:2">
      <c r="A21123" s="3" t="str">
        <f>IFERROR(__xludf.DUMMYFUNCTION("GOOGLETRANSLATE(A21123,""en"",""pt"")"),"Eh ... baterias vida e olhos vermelhos (mas leia)")</f>
        <v>Eh ... baterias vida e olhos vermelhos (mas leia)</v>
      </c>
      <c r="B21123" s="3">
        <v>0</v>
      </c>
    </row>
    <row r="21124" ht="15.75" customHeight="1" spans="1:2">
      <c r="A21124" s="3" t="str">
        <f>IFERROR(__xludf.DUMMYFUNCTION("GOOGLETRANSLATE(A21124,""en"",""pt"")"),"Pouca memória.")</f>
        <v>Pouca memória.</v>
      </c>
      <c r="B21124" s="3">
        <v>0</v>
      </c>
    </row>
    <row r="21125" ht="15.75" customHeight="1" spans="1:2">
      <c r="A21125" s="3" t="str">
        <f>IFERROR(__xludf.DUMMYFUNCTION("GOOGLETRANSLATE(A21125,""en"",""pt"")"),"tem que mantê-la realmente estável")</f>
        <v>tem que mantê-la realmente estável</v>
      </c>
      <c r="B21125" s="3">
        <v>0</v>
      </c>
    </row>
    <row r="21126" ht="15.75" customHeight="1" spans="1:2">
      <c r="A21126" s="3" t="str">
        <f>IFERROR(__xludf.DUMMYFUNCTION("GOOGLETRANSLATE(A21126,""en"",""pt"")"),"dentro imagens são de má qualidade.")</f>
        <v>dentro imagens são de má qualidade.</v>
      </c>
      <c r="B21126" s="3">
        <v>0</v>
      </c>
    </row>
    <row r="21127" ht="15.75" customHeight="1" spans="1:2">
      <c r="A21127" s="3" t="str">
        <f>IFERROR(__xludf.DUMMYFUNCTION("GOOGLETRANSLATE(A21127,""en"",""pt"")"),"curta duração da bateria")</f>
        <v>curta duração da bateria</v>
      </c>
      <c r="B21127" s="3">
        <v>0</v>
      </c>
    </row>
    <row r="21128" ht="15.75" customHeight="1" spans="1:2">
      <c r="A21128" s="3" t="str">
        <f>IFERROR(__xludf.DUMMYFUNCTION("GOOGLETRANSLATE(A21128,""en"",""pt"")"),"Sem saída de vídeo, tela vid pequeno")</f>
        <v>Sem saída de vídeo, tela vid pequeno</v>
      </c>
      <c r="B21128" s="3">
        <v>0</v>
      </c>
    </row>
    <row r="21129" ht="15.75" customHeight="1" spans="1:2">
      <c r="A21129" s="3" t="str">
        <f>IFERROR(__xludf.DUMMYFUNCTION("GOOGLETRANSLATE(A21129,""en"",""pt"")"),"vida útil da bateria")</f>
        <v>vida útil da bateria</v>
      </c>
      <c r="B21129" s="3">
        <v>0</v>
      </c>
    </row>
    <row r="21130" ht="15.75" customHeight="1" spans="1:2">
      <c r="A21130" s="3" t="str">
        <f>IFERROR(__xludf.DUMMYFUNCTION("GOOGLETRANSLATE(A21130,""en"",""pt"")"),"a falta de saída de vídeo, a vida da bateria um pouco curta")</f>
        <v>a falta de saída de vídeo, a vida da bateria um pouco curta</v>
      </c>
      <c r="B21130" s="3">
        <v>0</v>
      </c>
    </row>
    <row r="21131" ht="15.75" customHeight="1" spans="1:2">
      <c r="A21131" s="3" t="str">
        <f>IFERROR(__xludf.DUMMYFUNCTION("GOOGLETRANSLATE(A21131,""en"",""pt"")"),"pequena memória incluído")</f>
        <v>pequena memória incluído</v>
      </c>
      <c r="B21131" s="3">
        <v>0</v>
      </c>
    </row>
    <row r="21132" ht="15.75" customHeight="1" spans="1:2">
      <c r="A21132" s="3" t="str">
        <f>IFERROR(__xludf.DUMMYFUNCTION("GOOGLETRANSLATE(A21132,""en"",""pt"")"),"dreno de energia, sem tampa da porta USB, 4MB de cartão de mídia inteligentes,")</f>
        <v>dreno de energia, sem tampa da porta USB, 4MB de cartão de mídia inteligentes,</v>
      </c>
      <c r="B21132" s="3">
        <v>0</v>
      </c>
    </row>
    <row r="21133" ht="15.75" customHeight="1" spans="1:2">
      <c r="A21133" s="3" t="str">
        <f>IFERROR(__xludf.DUMMYFUNCTION("GOOGLETRANSLATE(A21133,""en"",""pt"")"),"cartão de memória pequeno e come através de baterias, de forma que você deseja atualizar para baterias recarregáveis ​​e um MB Flash Card 32.")</f>
        <v>cartão de memória pequeno e come através de baterias, de forma que você deseja atualizar para baterias recarregáveis ​​e um MB Flash Card 32.</v>
      </c>
      <c r="B21133" s="3">
        <v>0</v>
      </c>
    </row>
    <row r="21134" ht="15.75" customHeight="1" spans="1:2">
      <c r="A21134" s="3" t="str">
        <f>IFERROR(__xludf.DUMMYFUNCTION("GOOGLETRANSLATE(A21134,""en"",""pt"")"),"baterias come")</f>
        <v>baterias come</v>
      </c>
      <c r="B21134" s="3">
        <v>0</v>
      </c>
    </row>
    <row r="21135" ht="15.75" customHeight="1" spans="1:2">
      <c r="A21135" s="3" t="str">
        <f>IFERROR(__xludf.DUMMYFUNCTION("GOOGLETRANSLATE(A21135,""en"",""pt"")"),"A volumosa pouco bit")</f>
        <v>A volumosa pouco bit</v>
      </c>
      <c r="B21135" s="3">
        <v>0</v>
      </c>
    </row>
    <row r="21136" ht="15.75" customHeight="1" spans="1:2">
      <c r="A21136" s="3" t="str">
        <f>IFERROR(__xludf.DUMMYFUNCTION("GOOGLETRANSLATE(A21136,""en"",""pt"")"),"Nenhuma interface de TV. 4 MB cartão vem com ele.")</f>
        <v>Nenhuma interface de TV. 4 MB cartão vem com ele.</v>
      </c>
      <c r="B21136" s="3">
        <v>0</v>
      </c>
    </row>
    <row r="21137" ht="15.75" customHeight="1" spans="1:2">
      <c r="A21137" s="3" t="str">
        <f>IFERROR(__xludf.DUMMYFUNCTION("GOOGLETRANSLATE(A21137,""en"",""pt"")"),"cartão de 4MB, o pics granulado")</f>
        <v>cartão de 4MB, o pics granulado</v>
      </c>
      <c r="B21137" s="3">
        <v>0</v>
      </c>
    </row>
    <row r="21138" ht="15.75" customHeight="1" spans="1:2">
      <c r="A21138" s="3" t="str">
        <f>IFERROR(__xludf.DUMMYFUNCTION("GOOGLETRANSLATE(A21138,""en"",""pt"")"),"má colocação da luz de status")</f>
        <v>má colocação da luz de status</v>
      </c>
      <c r="B21138" s="3">
        <v>0</v>
      </c>
    </row>
    <row r="21139" ht="15.75" customHeight="1" spans="1:2">
      <c r="A21139" s="3" t="str">
        <f>IFERROR(__xludf.DUMMYFUNCTION("GOOGLETRANSLATE(A21139,""en"",""pt"")"),"Não muito memória, suga bateria sério")</f>
        <v>Não muito memória, suga bateria sério</v>
      </c>
      <c r="B21139" s="3">
        <v>0</v>
      </c>
    </row>
    <row r="21140" ht="15.75" customHeight="1" spans="1:2">
      <c r="A21140" s="3" t="str">
        <f>IFERROR(__xludf.DUMMYFUNCTION("GOOGLETRANSLATE(A21140,""en"",""pt"")"),"olho vermelho")</f>
        <v>olho vermelho</v>
      </c>
      <c r="B21140" s="3">
        <v>0</v>
      </c>
    </row>
    <row r="21141" ht="15.75" customHeight="1" spans="1:2">
      <c r="A21141" s="3" t="str">
        <f>IFERROR(__xludf.DUMMYFUNCTION("GOOGLETRANSLATE(A21141,""en"",""pt"")"),"A vida da bateria")</f>
        <v>A vida da bateria</v>
      </c>
      <c r="B21141" s="3">
        <v>0</v>
      </c>
    </row>
    <row r="21142" ht="15.75" customHeight="1" spans="1:2">
      <c r="A21142" s="3" t="str">
        <f>IFERROR(__xludf.DUMMYFUNCTION("GOOGLETRANSLATE(A21142,""en"",""pt"")"),"Nenhum, realmente")</f>
        <v>Nenhum, realmente</v>
      </c>
      <c r="B21142" s="3">
        <v>0</v>
      </c>
    </row>
    <row r="21143" ht="15.75" customHeight="1" spans="1:2">
      <c r="A21143" s="3" t="str">
        <f>IFERROR(__xludf.DUMMYFUNCTION("GOOGLETRANSLATE(A21143,""en"",""pt"")"),"olho vermelho, fornecido unicamente 4MB")</f>
        <v>olho vermelho, fornecido unicamente 4MB</v>
      </c>
      <c r="B21143" s="3">
        <v>0</v>
      </c>
    </row>
    <row r="21144" ht="15.75" customHeight="1" spans="1:2">
      <c r="A21144" s="3" t="str">
        <f>IFERROR(__xludf.DUMMYFUNCTION("GOOGLETRANSLATE(A21144,""en"",""pt"")"),"cartão de memória de 4 MB")</f>
        <v>cartão de memória de 4 MB</v>
      </c>
      <c r="B21144" s="3">
        <v>0</v>
      </c>
    </row>
    <row r="21145" ht="15.75" customHeight="1" spans="1:2">
      <c r="A21145" s="3" t="str">
        <f>IFERROR(__xludf.DUMMYFUNCTION("GOOGLETRANSLATE(A21145,""en"",""pt"")"),"cartão de memória de 4 MB")</f>
        <v>cartão de memória de 4 MB</v>
      </c>
      <c r="B21145" s="3">
        <v>0</v>
      </c>
    </row>
    <row r="21146" ht="15.75" customHeight="1" spans="1:2">
      <c r="A21146" s="3" t="str">
        <f>IFERROR(__xludf.DUMMYFUNCTION("GOOGLETRANSLATE(A21146,""en"",""pt"")"),"nenhum caso ou adaptador")</f>
        <v>nenhum caso ou adaptador</v>
      </c>
      <c r="B21146" s="3">
        <v>0</v>
      </c>
    </row>
    <row r="21147" ht="15.75" customHeight="1" spans="1:2">
      <c r="A21147" s="3" t="str">
        <f>IFERROR(__xludf.DUMMYFUNCTION("GOOGLETRANSLATE(A21147,""en"",""pt"")"),"vida útil da bateria")</f>
        <v>vida útil da bateria</v>
      </c>
      <c r="B21147" s="3">
        <v>0</v>
      </c>
    </row>
    <row r="21148" ht="15.75" customHeight="1" spans="1:2">
      <c r="A21148" s="3" t="str">
        <f>IFERROR(__xludf.DUMMYFUNCTION("GOOGLETRANSLATE(A21148,""en"",""pt"")"),"velocidades lentas")</f>
        <v>velocidades lentas</v>
      </c>
      <c r="B21148" s="3">
        <v>0</v>
      </c>
    </row>
    <row r="21149" ht="15.75" customHeight="1" spans="1:2">
      <c r="A21149" s="3" t="str">
        <f>IFERROR(__xludf.DUMMYFUNCTION("GOOGLETRANSLATE(A21149,""en"",""pt"")"),"não encontrei nenhuma ainda")</f>
        <v>não encontrei nenhuma ainda</v>
      </c>
      <c r="B21149" s="3">
        <v>0</v>
      </c>
    </row>
    <row r="21150" ht="15.75" customHeight="1" spans="1:2">
      <c r="A21150" s="3" t="str">
        <f>IFERROR(__xludf.DUMMYFUNCTION("GOOGLETRANSLATE(A21150,""en"",""pt"")"),"Difícil de disco de formato, a vida da bateria muito curta.")</f>
        <v>Difícil de disco de formato, a vida da bateria muito curta.</v>
      </c>
      <c r="B21150" s="3">
        <v>0</v>
      </c>
    </row>
    <row r="21151" ht="15.75" customHeight="1" spans="1:2">
      <c r="A21151" s="3" t="str">
        <f>IFERROR(__xludf.DUMMYFUNCTION("GOOGLETRANSLATE(A21151,""en"",""pt"")"),"sem tampa da lente")</f>
        <v>sem tampa da lente</v>
      </c>
      <c r="B21151" s="3">
        <v>0</v>
      </c>
    </row>
    <row r="21152" ht="15.75" customHeight="1" spans="1:2">
      <c r="A21152" s="3" t="str">
        <f>IFERROR(__xludf.DUMMYFUNCTION("GOOGLETRANSLATE(A21152,""en"",""pt"")"),"lente ""janela"" de vidro é um pouco exposta.")</f>
        <v>lente "janela" de vidro é um pouco exposta.</v>
      </c>
      <c r="B21152" s="3">
        <v>0</v>
      </c>
    </row>
    <row r="21153" ht="15.75" customHeight="1" spans="1:2">
      <c r="A21153" s="3" t="str">
        <f>IFERROR(__xludf.DUMMYFUNCTION("GOOGLETRANSLATE(A21153,""en"",""pt"")"),"Sem Lens Cover, Faltando Recursos avançados, Zoom Digital necessidades de melhoria")</f>
        <v>Sem Lens Cover, Faltando Recursos avançados, Zoom Digital necessidades de melhoria</v>
      </c>
      <c r="B21153" s="3">
        <v>0</v>
      </c>
    </row>
    <row r="21154" ht="15.75" customHeight="1" spans="1:2">
      <c r="A21154" s="3" t="str">
        <f>IFERROR(__xludf.DUMMYFUNCTION("GOOGLETRANSLATE(A21154,""en"",""pt"")"),"Não há recursos avançados e sem protetor de lente")</f>
        <v>Não há recursos avançados e sem protetor de lente</v>
      </c>
      <c r="B21154" s="3">
        <v>0</v>
      </c>
    </row>
    <row r="21155" ht="15.75" customHeight="1" spans="1:2">
      <c r="A21155" s="3" t="str">
        <f>IFERROR(__xludf.DUMMYFUNCTION("GOOGLETRANSLATE(A21155,""en"",""pt"")"),"Grande demais para bolsos, não muito profundidade de campo. Pobre imprimir configurações de pixels inferior.")</f>
        <v>Grande demais para bolsos, não muito profundidade de campo. Pobre imprimir configurações de pixels inferior.</v>
      </c>
      <c r="B21155" s="3">
        <v>0</v>
      </c>
    </row>
    <row r="21156" ht="15.75" customHeight="1" spans="1:2">
      <c r="A21156" s="3" t="str">
        <f>IFERROR(__xludf.DUMMYFUNCTION("GOOGLETRANSLATE(A21156,""en"",""pt"")"),"Leva tempo para instalar o software.")</f>
        <v>Leva tempo para instalar o software.</v>
      </c>
      <c r="B21156" s="3">
        <v>0</v>
      </c>
    </row>
    <row r="21157" ht="15.75" customHeight="1" spans="1:2">
      <c r="A21157" s="3" t="str">
        <f>IFERROR(__xludf.DUMMYFUNCTION("GOOGLETRANSLATE(A21157,""en"",""pt"")"),"Necessidade de estudar os protocolos com cuidado, necessidades acessórios, precisa de zoom óptico")</f>
        <v>Necessidade de estudar os protocolos com cuidado, necessidades acessórios, precisa de zoom óptico</v>
      </c>
      <c r="B21157" s="3">
        <v>0</v>
      </c>
    </row>
    <row r="21158" ht="15.75" customHeight="1" spans="1:2">
      <c r="A21158" s="3" t="str">
        <f>IFERROR(__xludf.DUMMYFUNCTION("GOOGLETRANSLATE(A21158,""en"",""pt"")"),"Menus são difíceis, e ainda a limitação de ser uma câmera digital.")</f>
        <v>Menus são difíceis, e ainda a limitação de ser uma câmera digital.</v>
      </c>
      <c r="B21158" s="3">
        <v>0</v>
      </c>
    </row>
    <row r="21159" ht="15.75" customHeight="1" spans="1:2">
      <c r="A21159" s="3" t="str">
        <f>IFERROR(__xludf.DUMMYFUNCTION("GOOGLETRANSLATE(A21159,""en"",""pt"")"),"Câmera forma um pouco estranho, algumas fotos saem muito escuras.")</f>
        <v>Câmera forma um pouco estranho, algumas fotos saem muito escuras.</v>
      </c>
      <c r="B21159" s="3">
        <v>0</v>
      </c>
    </row>
    <row r="21160" ht="15.75" customHeight="1" spans="1:2">
      <c r="A21160" s="3" t="str">
        <f>IFERROR(__xludf.DUMMYFUNCTION("GOOGLETRANSLATE(A21160,""en"",""pt"")"),"Necessidades smartmedia maior capacidade, sem zoom óptico, distorce imagens ligeiramente")</f>
        <v>Necessidades smartmedia maior capacidade, sem zoom óptico, distorce imagens ligeiramente</v>
      </c>
      <c r="B21160" s="3">
        <v>0</v>
      </c>
    </row>
    <row r="21161" ht="15.75" customHeight="1" spans="1:2">
      <c r="A21161" s="3" t="str">
        <f>IFERROR(__xludf.DUMMYFUNCTION("GOOGLETRANSLATE(A21161,""en"",""pt"")"),"Sem zoom óptico, lente desprotegida, sem tampa, consumo de bateria é alta")</f>
        <v>Sem zoom óptico, lente desprotegida, sem tampa, consumo de bateria é alta</v>
      </c>
      <c r="B21161" s="3">
        <v>0</v>
      </c>
    </row>
    <row r="21162" ht="15.75" customHeight="1" spans="1:2">
      <c r="A21162" s="3" t="str">
        <f>IFERROR(__xludf.DUMMYFUNCTION("GOOGLETRANSLATE(A21162,""en"",""pt"")"),"Não tão boa imagem sob luz momento de baixa / noite")</f>
        <v>Não tão boa imagem sob luz momento de baixa / noite</v>
      </c>
      <c r="B21162" s="3">
        <v>0</v>
      </c>
    </row>
    <row r="21163" ht="15.75" customHeight="1" spans="1:2">
      <c r="A21163" s="3" t="str">
        <f>IFERROR(__xludf.DUMMYFUNCTION("GOOGLETRANSLATE(A21163,""en"",""pt"")"),"Nenhum")</f>
        <v>Nenhum</v>
      </c>
      <c r="B21163" s="3">
        <v>0</v>
      </c>
    </row>
    <row r="21164" ht="15.75" customHeight="1" spans="1:2">
      <c r="A21164" s="3" t="str">
        <f>IFERROR(__xludf.DUMMYFUNCTION("GOOGLETRANSLATE(A21164,""en"",""pt"")"),"a falta de zoom óptico, a clareza da tela principal")</f>
        <v>a falta de zoom óptico, a clareza da tela principal</v>
      </c>
      <c r="B21164" s="3">
        <v>0</v>
      </c>
    </row>
    <row r="21165" ht="15.75" customHeight="1" spans="1:2">
      <c r="A21165" s="3" t="s">
        <v>109</v>
      </c>
      <c r="B21165" s="3">
        <v>0</v>
      </c>
    </row>
    <row r="21166" ht="15.75" customHeight="1" spans="1:2">
      <c r="A21166" s="3" t="str">
        <f>IFERROR(__xludf.DUMMYFUNCTION("GOOGLETRANSLATE(A21166,""en"",""pt"")"),"Nenhum até agora para me")</f>
        <v>Nenhum até agora para me</v>
      </c>
      <c r="B21166" s="3">
        <v>0</v>
      </c>
    </row>
    <row r="21167" ht="15.75" customHeight="1" spans="1:2">
      <c r="A21167" s="3" t="str">
        <f>IFERROR(__xludf.DUMMYFUNCTION("GOOGLETRANSLATE(A21167,""en"",""pt"")"),"Eu não tenho nenhum")</f>
        <v>Eu não tenho nenhum</v>
      </c>
      <c r="B21167" s="3">
        <v>0</v>
      </c>
    </row>
    <row r="21168" ht="15.75" customHeight="1" spans="1:2">
      <c r="A21168" s="3" t="str">
        <f>IFERROR(__xludf.DUMMYFUNCTION("GOOGLETRANSLATE(A21168,""en"",""pt"")"),"Lens - apenas qualidade")</f>
        <v>Lens - apenas qualidade</v>
      </c>
      <c r="B21168" s="3">
        <v>0</v>
      </c>
    </row>
    <row r="21169" ht="15.75" customHeight="1" spans="1:2">
      <c r="A21169" s="3" t="str">
        <f>IFERROR(__xludf.DUMMYFUNCTION("GOOGLETRANSLATE(A21169,""en"",""pt"")"),"curta duração da bateria, alguns recursos avançados.")</f>
        <v>curta duração da bateria, alguns recursos avançados.</v>
      </c>
      <c r="B21169" s="3">
        <v>0</v>
      </c>
    </row>
    <row r="21170" ht="15.75" customHeight="1" spans="1:2">
      <c r="A21170" s="3" t="str">
        <f>IFERROR(__xludf.DUMMYFUNCTION("GOOGLETRANSLATE(A21170,""en"",""pt"")"),"operação Lens, firmware, forma.")</f>
        <v>operação Lens, firmware, forma.</v>
      </c>
      <c r="B21170" s="3">
        <v>0</v>
      </c>
    </row>
    <row r="21171" ht="15.75" customHeight="1" spans="1:2">
      <c r="A21171" s="3" t="str">
        <f>IFERROR(__xludf.DUMMYFUNCTION("GOOGLETRANSLATE(A21171,""en"",""pt"")"),"Lento entre as imagens")</f>
        <v>Lento entre as imagens</v>
      </c>
      <c r="B21171" s="3">
        <v>0</v>
      </c>
    </row>
    <row r="21172" ht="15.75" customHeight="1" spans="1:2">
      <c r="A21172" s="3" t="str">
        <f>IFERROR(__xludf.DUMMYFUNCTION("GOOGLETRANSLATE(A21172,""en"",""pt"")"),"não muitos realmente, faz o que deveria a esse preço bem")</f>
        <v>não muitos realmente, faz o que deveria a esse preço bem</v>
      </c>
      <c r="B21172" s="3">
        <v>0</v>
      </c>
    </row>
    <row r="21173" ht="15.75" customHeight="1" spans="1:2">
      <c r="A21173" s="3" t="str">
        <f>IFERROR(__xludf.DUMMYFUNCTION("GOOGLETRANSLATE(A21173,""en"",""pt"")"),"Como todas as câmeras digitais que você tem que esperar entre disparos")</f>
        <v>Como todas as câmeras digitais que você tem que esperar entre disparos</v>
      </c>
      <c r="B21173" s="3">
        <v>0</v>
      </c>
    </row>
    <row r="21174" ht="15.75" customHeight="1" spans="1:2">
      <c r="A21174" s="3" t="str">
        <f>IFERROR(__xludf.DUMMYFUNCTION("GOOGLETRANSLATE(A21174,""en"",""pt"")"),"precisa comprar mais memória, baterias recarregáveis, carregador de bateria e adaptador, (todos por cerca de US $ 100)")</f>
        <v>precisa comprar mais memória, baterias recarregáveis, carregador de bateria e adaptador, (todos por cerca de US $ 100)</v>
      </c>
      <c r="B21174" s="3">
        <v>0</v>
      </c>
    </row>
    <row r="21175" ht="15.75" customHeight="1" spans="1:2">
      <c r="A21175" s="3" t="str">
        <f>IFERROR(__xludf.DUMMYFUNCTION("GOOGLETRANSLATE(A21175,""en"",""pt"")"),"Atraso na tomada a imagem após o disparo do obturador é pressionado.")</f>
        <v>Atraso na tomada a imagem após o disparo do obturador é pressionado.</v>
      </c>
      <c r="B21175" s="3">
        <v>0</v>
      </c>
    </row>
    <row r="21176" ht="15.75" customHeight="1" spans="1:2">
      <c r="A21176" s="3" t="str">
        <f>IFERROR(__xludf.DUMMYFUNCTION("GOOGLETRANSLATE(A21176,""en"",""pt"")"),"Slippery Case, Pobre Lens Cover Design, uploads lentos")</f>
        <v>Slippery Case, Pobre Lens Cover Design, uploads lentos</v>
      </c>
      <c r="B21176" s="3">
        <v>0</v>
      </c>
    </row>
    <row r="21177" ht="15.75" customHeight="1" spans="1:2">
      <c r="A21177" s="3" t="str">
        <f>IFERROR(__xludf.DUMMYFUNCTION("GOOGLETRANSLATE(A21177,""en"",""pt"")"),"Tela é um pouco escuro, mas não um problema real para mim ..")</f>
        <v>Tela é um pouco escuro, mas não um problema real para mim ..</v>
      </c>
      <c r="B21177" s="3">
        <v>0</v>
      </c>
    </row>
    <row r="21178" ht="15.75" customHeight="1" spans="1:2">
      <c r="A21178" s="3" t="str">
        <f>IFERROR(__xludf.DUMMYFUNCTION("GOOGLETRANSLATE(A21178,""en"",""pt"")"),"curta duração da bateria, só vem com 8MB cartão")</f>
        <v>curta duração da bateria, só vem com 8MB cartão</v>
      </c>
      <c r="B21178" s="3">
        <v>0</v>
      </c>
    </row>
    <row r="21179" ht="15.75" customHeight="1" spans="1:2">
      <c r="A21179" s="3" t="str">
        <f>IFERROR(__xludf.DUMMYFUNCTION("GOOGLETRANSLATE(A21179,""en"",""pt"")"),"energia da bateria")</f>
        <v>energia da bateria</v>
      </c>
      <c r="B21179" s="3">
        <v>0</v>
      </c>
    </row>
    <row r="21180" ht="15.75" customHeight="1" spans="1:2">
      <c r="A21180" s="3" t="str">
        <f>IFERROR(__xludf.DUMMYFUNCTION("GOOGLETRANSLATE(A21180,""en"",""pt"")"),"Como acontece com qualquer câmera digital, comprar pilhas recarregáveis ​​e um adaptador.")</f>
        <v>Como acontece com qualquer câmera digital, comprar pilhas recarregáveis ​​e um adaptador.</v>
      </c>
      <c r="B21180" s="3">
        <v>0</v>
      </c>
    </row>
    <row r="21181" ht="15.75" customHeight="1" spans="1:2">
      <c r="A21181" s="3" t="str">
        <f>IFERROR(__xludf.DUMMYFUNCTION("GOOGLETRANSLATE(A21181,""en"",""pt"")"),"Bebe o suco da bateria, má seleção de interface do OS.")</f>
        <v>Bebe o suco da bateria, má seleção de interface do OS.</v>
      </c>
      <c r="B21181" s="3">
        <v>0</v>
      </c>
    </row>
    <row r="21182" ht="15.75" customHeight="1" spans="1:2">
      <c r="A21182" s="3" t="str">
        <f>IFERROR(__xludf.DUMMYFUNCTION("GOOGLETRANSLATE(A21182,""en"",""pt"")"),"difícil de ver fora da tela LCD, precisa de mais zoom")</f>
        <v>difícil de ver fora da tela LCD, precisa de mais zoom</v>
      </c>
      <c r="B21182" s="3">
        <v>0</v>
      </c>
    </row>
    <row r="21183" ht="15.75" customHeight="1" spans="1:2">
      <c r="A21183" s="3" t="str">
        <f>IFERROR(__xludf.DUMMYFUNCTION("GOOGLETRANSLATE(A21183,""en"",""pt"")"),"tampa da lente muito barato e frágil, fabricação barata.")</f>
        <v>tampa da lente muito barato e frágil, fabricação barata.</v>
      </c>
      <c r="B21183" s="3">
        <v>0</v>
      </c>
    </row>
    <row r="21184" ht="15.75" customHeight="1" spans="1:2">
      <c r="A21184" s="3" t="str">
        <f>IFERROR(__xludf.DUMMYFUNCTION("GOOGLETRANSLATE(A21184,""en"",""pt"")"),"Nenhum até agora para me")</f>
        <v>Nenhum até agora para me</v>
      </c>
      <c r="B21184" s="3">
        <v>0</v>
      </c>
    </row>
    <row r="21185" ht="15.75" customHeight="1" spans="1:2">
      <c r="A21185" s="3" t="str">
        <f>IFERROR(__xludf.DUMMYFUNCTION("GOOGLETRANSLATE(A21185,""en"",""pt"")"),"há clipes de vídeo")</f>
        <v>há clipes de vídeo</v>
      </c>
      <c r="B21185" s="3">
        <v>0</v>
      </c>
    </row>
    <row r="21186" ht="15.75" customHeight="1" spans="1:2">
      <c r="A21186" s="3" t="str">
        <f>IFERROR(__xludf.DUMMYFUNCTION("GOOGLETRANSLATE(A21186,""en"",""pt"")"),"Lento, não adaptador AC, o tamanho, a duração da bateria")</f>
        <v>Lento, não adaptador AC, o tamanho, a duração da bateria</v>
      </c>
      <c r="B21186" s="3">
        <v>0</v>
      </c>
    </row>
    <row r="21187" ht="15.75" customHeight="1" spans="1:2">
      <c r="A21187" s="3" t="str">
        <f>IFERROR(__xludf.DUMMYFUNCTION("GOOGLETRANSLATE(A21187,""en"",""pt"")"),"velocidade lenta, o mau desempenho de pouca luz")</f>
        <v>velocidade lenta, o mau desempenho de pouca luz</v>
      </c>
      <c r="B21187" s="3">
        <v>0</v>
      </c>
    </row>
    <row r="21188" ht="15.75" customHeight="1" spans="1:2">
      <c r="A21188" s="3" t="str">
        <f>IFERROR(__xludf.DUMMYFUNCTION("GOOGLETRANSLATE(A21188,""en"",""pt"")"),"Nenhum encontrado até o momento .....")</f>
        <v>Nenhum encontrado até o momento .....</v>
      </c>
      <c r="B21188" s="3">
        <v>0</v>
      </c>
    </row>
    <row r="21189" ht="15.75" customHeight="1" spans="1:2">
      <c r="A21189" s="3" t="str">
        <f>IFERROR(__xludf.DUMMYFUNCTION("GOOGLETRANSLATE(A21189,""en"",""pt"")"),"pequena tela LCD.")</f>
        <v>pequena tela LCD.</v>
      </c>
      <c r="B21189" s="3">
        <v>0</v>
      </c>
    </row>
    <row r="21190" ht="15.75" customHeight="1" spans="1:2">
      <c r="A21190" s="3" t="str">
        <f>IFERROR(__xludf.DUMMYFUNCTION("GOOGLETRANSLATE(A21190,""en"",""pt"")"),"A vida da bateria é muito curta. adaptador AC é difícil de encontrar.")</f>
        <v>A vida da bateria é muito curta. adaptador AC é difícil de encontrar.</v>
      </c>
      <c r="B21190" s="3">
        <v>0</v>
      </c>
    </row>
    <row r="21191" ht="15.75" customHeight="1" spans="1:2">
      <c r="A21191" s="3" t="str">
        <f>IFERROR(__xludf.DUMMYFUNCTION("GOOGLETRANSLATE(A21191,""en"",""pt"")"),"Utiliza baterias rapidamente")</f>
        <v>Utiliza baterias rapidamente</v>
      </c>
      <c r="B21191" s="3">
        <v>0</v>
      </c>
    </row>
    <row r="21192" ht="15.75" customHeight="1" spans="1:2">
      <c r="A21192" s="3" t="str">
        <f>IFERROR(__xludf.DUMMYFUNCTION("GOOGLETRANSLATE(A21192,""en"",""pt"")"),"Realmente requer baterias recarregáveis.")</f>
        <v>Realmente requer baterias recarregáveis.</v>
      </c>
      <c r="B21192" s="3">
        <v>0</v>
      </c>
    </row>
    <row r="21193" ht="15.75" customHeight="1" spans="1:2">
      <c r="A21193" s="3" t="str">
        <f>IFERROR(__xludf.DUMMYFUNCTION("GOOGLETRANSLATE(A21193,""en"",""pt"")"),"uso da bateria")</f>
        <v>uso da bateria</v>
      </c>
      <c r="B21193" s="3">
        <v>0</v>
      </c>
    </row>
    <row r="21194" ht="15.75" customHeight="1" spans="1:2">
      <c r="A21194" s="3" t="str">
        <f>IFERROR(__xludf.DUMMYFUNCTION("GOOGLETRANSLATE(A21194,""en"",""pt"")"),"nada")</f>
        <v>nada</v>
      </c>
      <c r="B21194" s="3">
        <v>0</v>
      </c>
    </row>
    <row r="21195" ht="15.75" customHeight="1" spans="1:2">
      <c r="A21195" s="3" t="str">
        <f>IFERROR(__xludf.DUMMYFUNCTION("GOOGLETRANSLATE(A21195,""en"",""pt"")"),"câmera muito frágil. Apenas 8 megas de memória, adaptador e baterias recarregáveis ​​vendidos separadamente.")</f>
        <v>câmera muito frágil. Apenas 8 megas de memória, adaptador e baterias recarregáveis ​​vendidos separadamente.</v>
      </c>
      <c r="B21195" s="3">
        <v>0</v>
      </c>
    </row>
    <row r="21196" ht="15.75" customHeight="1" spans="1:2">
      <c r="A21196" s="3" t="str">
        <f>IFERROR(__xludf.DUMMYFUNCTION("GOOGLETRANSLATE(A21196,""en"",""pt"")"),"Pode ser mais do que alguns querem pagar por uma câmera digital")</f>
        <v>Pode ser mais do que alguns querem pagar por uma câmera digital</v>
      </c>
      <c r="B21196" s="3">
        <v>0</v>
      </c>
    </row>
    <row r="21197" ht="15.75" customHeight="1" spans="1:2">
      <c r="A21197" s="3" t="s">
        <v>110</v>
      </c>
      <c r="B21197" s="3">
        <v>0</v>
      </c>
    </row>
    <row r="21198" ht="15.75" customHeight="1" spans="1:2">
      <c r="A21198" s="3" t="str">
        <f>IFERROR(__xludf.DUMMYFUNCTION("GOOGLETRANSLATE(A21198,""en"",""pt"")"),"As baterias não parecem durar muito tempo.")</f>
        <v>As baterias não parecem durar muito tempo.</v>
      </c>
      <c r="B21198" s="3">
        <v>0</v>
      </c>
    </row>
    <row r="21199" ht="15.75" customHeight="1" spans="1:2">
      <c r="A21199" s="3" t="str">
        <f>IFERROR(__xludf.DUMMYFUNCTION("GOOGLETRANSLATE(A21199,""en"",""pt"")"),"A vida da bateria, construção de imagem.")</f>
        <v>A vida da bateria, construção de imagem.</v>
      </c>
      <c r="B21199" s="3">
        <v>0</v>
      </c>
    </row>
    <row r="21200" ht="15.75" customHeight="1" spans="1:2">
      <c r="A21200" s="3" t="str">
        <f>IFERROR(__xludf.DUMMYFUNCTION("GOOGLETRANSLATE(A21200,""en"",""pt"")"),"Nenhum ainda")</f>
        <v>Nenhum ainda</v>
      </c>
      <c r="B21200" s="3">
        <v>0</v>
      </c>
    </row>
    <row r="21201" ht="15.75" customHeight="1" spans="1:2">
      <c r="A21201" s="3" t="str">
        <f>IFERROR(__xludf.DUMMYFUNCTION("GOOGLETRANSLATE(A21201,""en"",""pt"")"),"Não real das reclamações, se sente um pouco demasiado ""plástico-y"", o wish foi um pouco mais fino")</f>
        <v>Não real das reclamações, se sente um pouco demasiado "plástico-y", o wish foi um pouco mais fino</v>
      </c>
      <c r="B21201" s="3">
        <v>0</v>
      </c>
    </row>
    <row r="21202" ht="15.75" customHeight="1" spans="1:2">
      <c r="A21202" s="3" t="str">
        <f>IFERROR(__xludf.DUMMYFUNCTION("GOOGLETRANSLATE(A21202,""en"",""pt"")"),"Nenhum ainda")</f>
        <v>Nenhum ainda</v>
      </c>
      <c r="B21202" s="3">
        <v>0</v>
      </c>
    </row>
    <row r="21203" ht="15.75" customHeight="1" spans="1:2">
      <c r="A21203" s="3" t="str">
        <f>IFERROR(__xludf.DUMMYFUNCTION("GOOGLETRANSLATE(A21203,""en"",""pt"")"),"Viewfinder é um pouco pequeno para o meu gosto, flash requer alguma prática")</f>
        <v>Viewfinder é um pouco pequeno para o meu gosto, flash requer alguma prática</v>
      </c>
      <c r="B21203" s="3">
        <v>0</v>
      </c>
    </row>
    <row r="21204" ht="15.75" customHeight="1" spans="1:2">
      <c r="A21204" s="3" t="str">
        <f>IFERROR(__xludf.DUMMYFUNCTION("GOOGLETRANSLATE(A21204,""en"",""pt"")"),"Nenhum vale a pena mencionar")</f>
        <v>Nenhum vale a pena mencionar</v>
      </c>
      <c r="B21204" s="3">
        <v>0</v>
      </c>
    </row>
    <row r="21205" ht="15.75" customHeight="1" spans="1:2">
      <c r="A21205" s="3" t="str">
        <f>IFERROR(__xludf.DUMMYFUNCTION("GOOGLETRANSLATE(A21205,""en"",""pt"")"),"O Flash não é grande")</f>
        <v>O Flash não é grande</v>
      </c>
      <c r="B21205" s="3">
        <v>0</v>
      </c>
    </row>
    <row r="21206" ht="15.75" customHeight="1" spans="1:2">
      <c r="A21206" s="3" t="str">
        <f>IFERROR(__xludf.DUMMYFUNCTION("GOOGLETRANSLATE(A21206,""en"",""pt"")"),"forma de espessura não é tão bom como Nikon 775; voltada para point &amp; amp; shooters")</f>
        <v>forma de espessura não é tão bom como Nikon 775; voltada para point &amp; amp; shooters</v>
      </c>
      <c r="B21206" s="3">
        <v>0</v>
      </c>
    </row>
    <row r="21207" ht="15.75" customHeight="1" spans="1:2">
      <c r="A21207" s="3" t="str">
        <f>IFERROR(__xludf.DUMMYFUNCTION("GOOGLETRANSLATE(A21207,""en"",""pt"")"),"Comprimento entre fotos; Sem áudio para filmes")</f>
        <v>Comprimento entre fotos; Sem áudio para filmes</v>
      </c>
      <c r="B21207" s="3">
        <v>0</v>
      </c>
    </row>
    <row r="21208" ht="15.75" customHeight="1" spans="1:2">
      <c r="A21208" s="3" t="str">
        <f>IFERROR(__xludf.DUMMYFUNCTION("GOOGLETRANSLATE(A21208,""en"",""pt"")"),"A qualidade da imagem não tão bom como algumas outras marcas, sensação barato para corpo.")</f>
        <v>A qualidade da imagem não tão bom como algumas outras marcas, sensação barato para corpo.</v>
      </c>
      <c r="B21208" s="3">
        <v>0</v>
      </c>
    </row>
    <row r="21209" ht="15.75" customHeight="1" spans="1:2">
      <c r="A21209" s="3" t="str">
        <f>IFERROR(__xludf.DUMMYFUNCTION("GOOGLETRANSLATE(A21209,""en"",""pt"")"),"Carece de ajustes ISO / recursos para opções mais avançadas.")</f>
        <v>Carece de ajustes ISO / recursos para opções mais avançadas.</v>
      </c>
      <c r="B21209" s="3">
        <v>0</v>
      </c>
    </row>
    <row r="21210" ht="15.75" customHeight="1" spans="1:2">
      <c r="A21210" s="3" t="str">
        <f>IFERROR(__xludf.DUMMYFUNCTION("GOOGLETRANSLATE(A21210,""en"",""pt"")"),"chassis ligeiramente grossa")</f>
        <v>chassis ligeiramente grossa</v>
      </c>
      <c r="B21210" s="3">
        <v>0</v>
      </c>
    </row>
    <row r="21211" ht="15.75" customHeight="1" spans="1:2">
      <c r="A21211" s="3" t="str">
        <f>IFERROR(__xludf.DUMMYFUNCTION("GOOGLETRANSLATE(A21211,""en"",""pt"")"),"tem que ser muito firme para tirar uma foto grande.")</f>
        <v>tem que ser muito firme para tirar uma foto grande.</v>
      </c>
      <c r="B21211" s="3">
        <v>0</v>
      </c>
    </row>
    <row r="21212" ht="15.75" customHeight="1" spans="1:2">
      <c r="A21212" s="3" t="str">
        <f>IFERROR(__xludf.DUMMYFUNCTION("GOOGLETRANSLATE(A21212,""en"",""pt"")"),"Sem som para filmes.")</f>
        <v>Sem som para filmes.</v>
      </c>
      <c r="B21212" s="3">
        <v>0</v>
      </c>
    </row>
    <row r="21213" ht="15.75" customHeight="1" spans="1:2">
      <c r="A21213" s="3" t="str">
        <f>IFERROR(__xludf.DUMMYFUNCTION("GOOGLETRANSLATE(A21213,""en"",""pt"")"),"Não há áudio no modo de filme.")</f>
        <v>Não há áudio no modo de filme.</v>
      </c>
      <c r="B21213" s="3">
        <v>0</v>
      </c>
    </row>
    <row r="21214" ht="15.75" customHeight="1" spans="1:2">
      <c r="A21214" s="3" t="str">
        <f>IFERROR(__xludf.DUMMYFUNCTION("GOOGLETRANSLATE(A21214,""en"",""pt"")"),"tampa da lente mal projetado, configurações de nenhum manual")</f>
        <v>tampa da lente mal projetado, configurações de nenhum manual</v>
      </c>
      <c r="B21214" s="3">
        <v>0</v>
      </c>
    </row>
    <row r="21215" ht="15.75" customHeight="1" spans="1:2">
      <c r="A21215" s="3" t="str">
        <f>IFERROR(__xludf.DUMMYFUNCTION("GOOGLETRANSLATE(A21215,""en"",""pt"")"),"Meio em blocos e não-ergonômico")</f>
        <v>Meio em blocos e não-ergonômico</v>
      </c>
      <c r="B21215" s="3">
        <v>0</v>
      </c>
    </row>
    <row r="21216" ht="15.75" customHeight="1" spans="1:2">
      <c r="A21216" s="3" t="str">
        <f>IFERROR(__xludf.DUMMYFUNCTION("GOOGLETRANSLATE(A21216,""en"",""pt"")"),"nenhum para escrever sobre")</f>
        <v>nenhum para escrever sobre</v>
      </c>
      <c r="B21216" s="3">
        <v>0</v>
      </c>
    </row>
    <row r="21217" ht="15.75" customHeight="1" spans="1:2">
      <c r="A21217" s="3" t="str">
        <f>IFERROR(__xludf.DUMMYFUNCTION("GOOGLETRANSLATE(A21217,""en"",""pt"")"),"Nenhum ... Camera seria perfeito se um pouco menos volumoso ...")</f>
        <v>Nenhum ... Camera seria perfeito se um pouco menos volumoso ...</v>
      </c>
      <c r="B21217" s="3">
        <v>0</v>
      </c>
    </row>
    <row r="21218" ht="15.75" customHeight="1" spans="1:2">
      <c r="A21218" s="3" t="str">
        <f>IFERROR(__xludf.DUMMYFUNCTION("GOOGLETRANSLATE(A21218,""en"",""pt"")"),"A tampa da lente fica no meu caminho.")</f>
        <v>A tampa da lente fica no meu caminho.</v>
      </c>
      <c r="B21218" s="3">
        <v>0</v>
      </c>
    </row>
    <row r="21219" ht="15.75" customHeight="1" spans="1:2">
      <c r="A21219" s="3" t="str">
        <f>IFERROR(__xludf.DUMMYFUNCTION("GOOGLETRANSLATE(A21219,""en"",""pt"")"),"Parece ter um monte de olhos vermelhos")</f>
        <v>Parece ter um monte de olhos vermelhos</v>
      </c>
      <c r="B21219" s="3">
        <v>0</v>
      </c>
    </row>
    <row r="21220" ht="15.75" customHeight="1" spans="1:2">
      <c r="A21220" s="3" t="str">
        <f>IFERROR(__xludf.DUMMYFUNCTION("GOOGLETRANSLATE(A21220,""en"",""pt"")"),"Sem saída de vídeo, cartão de mídia combinado / compartimento da bateria, impulsionado menu de operação &amp; amp; # 13; &amp; amp; # 10;")</f>
        <v>Sem saída de vídeo, cartão de mídia combinado / compartimento da bateria, impulsionado menu de operação &amp; amp; # 13; &amp; amp; # 10;</v>
      </c>
      <c r="B21220" s="3">
        <v>0</v>
      </c>
    </row>
    <row r="21221" ht="15.75" customHeight="1" spans="1:2">
      <c r="A21221" s="3" t="str">
        <f>IFERROR(__xludf.DUMMYFUNCTION("GOOGLETRANSLATE(A21221,""en"",""pt"")"),"recarga da bateria freqüente, nenhum caso de armazenamento, pequeno chassis para grandes mãos")</f>
        <v>recarga da bateria freqüente, nenhum caso de armazenamento, pequeno chassis para grandes mãos</v>
      </c>
      <c r="B21221" s="3">
        <v>0</v>
      </c>
    </row>
    <row r="21222" ht="15.75" customHeight="1" spans="1:2">
      <c r="A21222" s="3" t="str">
        <f>IFERROR(__xludf.DUMMYFUNCTION("GOOGLETRANSLATE(A21222,""en"",""pt"")"),"por vezes difícil de obter pix da câmera para o computador")</f>
        <v>por vezes difícil de obter pix da câmera para o computador</v>
      </c>
      <c r="B21222" s="3">
        <v>0</v>
      </c>
    </row>
    <row r="21223" ht="15.75" customHeight="1" spans="1:2">
      <c r="A21223" s="3" t="str">
        <f>IFERROR(__xludf.DUMMYFUNCTION("GOOGLETRANSLATE(A21223,""en"",""pt"")"),"As operações manuais não são grandes.")</f>
        <v>As operações manuais não são grandes.</v>
      </c>
      <c r="B21223" s="3">
        <v>0</v>
      </c>
    </row>
    <row r="21224" ht="15.75" customHeight="1" spans="1:2">
      <c r="A21224" s="3" t="str">
        <f>IFERROR(__xludf.DUMMYFUNCTION("GOOGLETRANSLATE(A21224,""en"",""pt"")"),"construção barato, menus confusos")</f>
        <v>construção barato, menus confusos</v>
      </c>
      <c r="B21224" s="3">
        <v>0</v>
      </c>
    </row>
    <row r="21225" ht="15.75" customHeight="1" spans="1:2">
      <c r="A21225" s="3" t="str">
        <f>IFERROR(__xludf.DUMMYFUNCTION("GOOGLETRANSLATE(A21225,""en"",""pt"")"),"vida útil da bateria, a falta de adaptador AC, software PC desajeitado")</f>
        <v>vida útil da bateria, a falta de adaptador AC, software PC desajeitado</v>
      </c>
      <c r="B21225" s="3">
        <v>0</v>
      </c>
    </row>
    <row r="21226" ht="15.75" customHeight="1" spans="1:2">
      <c r="A21226" s="3" t="str">
        <f>IFERROR(__xludf.DUMMYFUNCTION("GOOGLETRANSLATE(A21226,""en"",""pt"")"),"vida útil da bateria baixa, sem áudio para vídeo")</f>
        <v>vida útil da bateria baixa, sem áudio para vídeo</v>
      </c>
      <c r="B21226" s="3">
        <v>0</v>
      </c>
    </row>
    <row r="21227" ht="15.75" customHeight="1" spans="1:2">
      <c r="A21227" s="3" t="str">
        <f>IFERROR(__xludf.DUMMYFUNCTION("GOOGLETRANSLATE(A21227,""en"",""pt"")"),"Piscar um pouco fraco. Nenhum som com filmes (não um enorme con).")</f>
        <v>Piscar um pouco fraco. Nenhum som com filmes (não um enorme con).</v>
      </c>
      <c r="B21227" s="3">
        <v>0</v>
      </c>
    </row>
    <row r="21228" ht="15.75" customHeight="1" spans="1:2">
      <c r="A21228" s="3" t="str">
        <f>IFERROR(__xludf.DUMMYFUNCTION("GOOGLETRANSLATE(A21228,""en"",""pt"")"),"manuais muito difícil de seguir, muitas revisões do proprietário.")</f>
        <v>manuais muito difícil de seguir, muitas revisões do proprietário.</v>
      </c>
      <c r="B21228" s="3">
        <v>0</v>
      </c>
    </row>
    <row r="21229" ht="15.75" customHeight="1" spans="1:2">
      <c r="A21229" s="3" t="str">
        <f>IFERROR(__xludf.DUMMYFUNCTION("GOOGLETRANSLATE(A21229,""en"",""pt"")"),"Vida útil da bateria não é longo para uma carga")</f>
        <v>Vida útil da bateria não é longo para uma carga</v>
      </c>
      <c r="B21229" s="3">
        <v>0</v>
      </c>
    </row>
    <row r="21230" ht="15.75" customHeight="1" spans="1:2">
      <c r="A21230" s="3" t="str">
        <f>IFERROR(__xludf.DUMMYFUNCTION("GOOGLETRANSLATE(A21230,""en"",""pt"")"),"Escuras fotos em ambientes internos")</f>
        <v>Escuras fotos em ambientes internos</v>
      </c>
      <c r="B21230" s="3">
        <v>0</v>
      </c>
    </row>
    <row r="21231" ht="15.75" customHeight="1" spans="1:2">
      <c r="A21231" s="3" t="str">
        <f>IFERROR(__xludf.DUMMYFUNCTION("GOOGLETRANSLATE(A21231,""en"",""pt"")"),"2 MP, sensação cheapy, lcd difícil ver, a vida morcego.")</f>
        <v>2 MP, sensação cheapy, lcd difícil ver, a vida morcego.</v>
      </c>
      <c r="B21231" s="3">
        <v>0</v>
      </c>
    </row>
    <row r="21232" ht="15.75" customHeight="1" spans="1:2">
      <c r="A21232" s="3" t="str">
        <f>IFERROR(__xludf.DUMMYFUNCTION("GOOGLETRANSLATE(A21232,""en"",""pt"")"),"Não tão bom em Macros")</f>
        <v>Não tão bom em Macros</v>
      </c>
      <c r="B21232" s="3">
        <v>0</v>
      </c>
    </row>
    <row r="21233" ht="15.75" customHeight="1" spans="1:2">
      <c r="A21233" s="3" t="str">
        <f>IFERROR(__xludf.DUMMYFUNCTION("GOOGLETRANSLATE(A21233,""en"",""pt"")"),"6 meses e eu ainda não encontrei um.")</f>
        <v>6 meses e eu ainda não encontrei um.</v>
      </c>
      <c r="B21233" s="3">
        <v>0</v>
      </c>
    </row>
    <row r="21234" ht="15.75" customHeight="1" spans="1:2">
      <c r="A21234" s="3" t="str">
        <f>IFERROR(__xludf.DUMMYFUNCTION("GOOGLETRANSLATE(A21234,""en"",""pt"")"),"opcional adaptador AC (e! necessário), cartão de memória pequena, média de vida da bateria.")</f>
        <v>opcional adaptador AC (e! necessário), cartão de memória pequena, média de vida da bateria.</v>
      </c>
      <c r="B21234" s="3">
        <v>0</v>
      </c>
    </row>
    <row r="21235" ht="15.75" customHeight="1" spans="1:2">
      <c r="A21235" s="3" t="str">
        <f>IFERROR(__xludf.DUMMYFUNCTION("GOOGLETRANSLATE(A21235,""en"",""pt"")"),"tela LCD não muito brilhante, Não há forma de striaght conexão para TV.")</f>
        <v>tela LCD não muito brilhante, Não há forma de striaght conexão para TV.</v>
      </c>
      <c r="B21235" s="3">
        <v>0</v>
      </c>
    </row>
    <row r="21236" ht="15.75" customHeight="1" spans="1:2">
      <c r="A21236" s="3" t="str">
        <f>IFERROR(__xludf.DUMMYFUNCTION("GOOGLETRANSLATE(A21236,""en"",""pt"")"),"apoio pobres Fuji e câmera muito frágil.")</f>
        <v>apoio pobres Fuji e câmera muito frágil.</v>
      </c>
      <c r="B21236" s="3">
        <v>0</v>
      </c>
    </row>
    <row r="21237" ht="15.75" customHeight="1" spans="1:2">
      <c r="A21237" s="3" t="str">
        <f>IFERROR(__xludf.DUMMYFUNCTION("GOOGLETRANSLATE(A21237,""en"",""pt"")"),"menus são um pouco 'estúpidos'; moradia barata")</f>
        <v>menus são um pouco 'estúpidos'; moradia barata</v>
      </c>
      <c r="B21237" s="3">
        <v>0</v>
      </c>
    </row>
    <row r="21238" ht="15.75" customHeight="1" spans="1:2">
      <c r="A21238" s="3" t="str">
        <f>IFERROR(__xludf.DUMMYFUNCTION("GOOGLETRANSLATE(A21238,""en"",""pt"")"),"As baterias NiMH, adaptador AC não incluído.")</f>
        <v>As baterias NiMH, adaptador AC não incluído.</v>
      </c>
      <c r="B21238" s="3">
        <v>0</v>
      </c>
    </row>
    <row r="21239" ht="15.75" customHeight="1" spans="1:2">
      <c r="A21239" s="3" t="str">
        <f>IFERROR(__xludf.DUMMYFUNCTION("GOOGLETRANSLATE(A21239,""en"",""pt"")"),"não está feliz com o uso da bateria e zoom")</f>
        <v>não está feliz com o uso da bateria e zoom</v>
      </c>
      <c r="B21239" s="3">
        <v>0</v>
      </c>
    </row>
    <row r="21240" ht="15.75" customHeight="1" spans="1:2">
      <c r="A21240" s="3" t="str">
        <f>IFERROR(__xludf.DUMMYFUNCTION("GOOGLETRANSLATE(A21240,""en"",""pt"")"),"controle do obturador pobre, as imagens terríveis usando flash, imagens terríveis que usam dentro de casa luz natural.")</f>
        <v>controle do obturador pobre, as imagens terríveis usando flash, imagens terríveis que usam dentro de casa luz natural.</v>
      </c>
      <c r="B21240" s="3">
        <v>0</v>
      </c>
    </row>
    <row r="21241" ht="15.75" customHeight="1" spans="1:2">
      <c r="A21241" s="3" t="str">
        <f>IFERROR(__xludf.DUMMYFUNCTION("GOOGLETRANSLATE(A21241,""en"",""pt"")"),"Lag ligeira entre as imagens e não perdoar das mãos trêmulas.")</f>
        <v>Lag ligeira entre as imagens e não perdoar das mãos trêmulas.</v>
      </c>
      <c r="B21241" s="3">
        <v>0</v>
      </c>
    </row>
    <row r="21242" ht="15.75" customHeight="1" spans="1:2">
      <c r="A21242" s="3" t="str">
        <f>IFERROR(__xludf.DUMMYFUNCTION("GOOGLETRANSLATE(A21242,""en"",""pt"")"),"uso inicial de menu e funções lentas com batt morto.")</f>
        <v>uso inicial de menu e funções lentas com batt morto.</v>
      </c>
      <c r="B21242" s="3">
        <v>0</v>
      </c>
    </row>
    <row r="21243" ht="15.75" customHeight="1" spans="1:2">
      <c r="A21243" s="3" t="str">
        <f>IFERROR(__xludf.DUMMYFUNCTION("GOOGLETRANSLATE(A21243,""en"",""pt"")"),"Vai mortos muitas vezes com lente ainda estendida")</f>
        <v>Vai mortos muitas vezes com lente ainda estendida</v>
      </c>
      <c r="B21243" s="3">
        <v>0</v>
      </c>
    </row>
    <row r="21244" ht="15.75" customHeight="1" spans="1:2">
      <c r="A21244" s="3" t="str">
        <f>IFERROR(__xludf.DUMMYFUNCTION("GOOGLETRANSLATE(A21244,""en"",""pt"")"),"sente um pouco barato, não pode ligar a TV ou outras fontes")</f>
        <v>sente um pouco barato, não pode ligar a TV ou outras fontes</v>
      </c>
      <c r="B21244" s="3">
        <v>0</v>
      </c>
    </row>
    <row r="21245" ht="15.75" customHeight="1" spans="1:2">
      <c r="A21245" s="3" t="str">
        <f>IFERROR(__xludf.DUMMYFUNCTION("GOOGLETRANSLATE(A21245,""en"",""pt"")"),"Um pouco volumoso, lente frágil (quebra muito facilmente)")</f>
        <v>Um pouco volumoso, lente frágil (quebra muito facilmente)</v>
      </c>
      <c r="B21245" s="3">
        <v>0</v>
      </c>
    </row>
    <row r="21246" ht="15.75" customHeight="1" spans="1:2">
      <c r="A21246" s="3" t="str">
        <f>IFERROR(__xludf.DUMMYFUNCTION("GOOGLETRANSLATE(A21246,""en"",""pt"")"),"Muitas configurações necessitam passar por menus no LCD")</f>
        <v>Muitas configurações necessitam passar por menus no LCD</v>
      </c>
      <c r="B21246" s="3">
        <v>0</v>
      </c>
    </row>
    <row r="21247" ht="15.75" customHeight="1" spans="1:2">
      <c r="A21247" s="3" t="str">
        <f>IFERROR(__xludf.DUMMYFUNCTION("GOOGLETRANSLATE(A21247,""en"",""pt"")"),"A qualidade da imagem pode ser inconsistente, duvidoso qualidade de baixa luz ... construir medíocre.")</f>
        <v>A qualidade da imagem pode ser inconsistente, duvidoso qualidade de baixa luz ... construir medíocre.</v>
      </c>
      <c r="B21247" s="3">
        <v>0</v>
      </c>
    </row>
    <row r="21248" ht="15.75" customHeight="1" spans="1:2">
      <c r="A21248" s="3" t="str">
        <f>IFERROR(__xludf.DUMMYFUNCTION("GOOGLETRANSLATE(A21248,""en"",""pt"")"),"nenhum adaptador ou caso")</f>
        <v>nenhum adaptador ou caso</v>
      </c>
      <c r="B21248" s="3">
        <v>0</v>
      </c>
    </row>
    <row r="21249" ht="15.75" customHeight="1" spans="1:2">
      <c r="A21249" s="3" t="str">
        <f>IFERROR(__xludf.DUMMYFUNCTION("GOOGLETRANSLATE(A21249,""en"",""pt"")"),"Nenhum som; há modos de auto-cena")</f>
        <v>Nenhum som; há modos de auto-cena</v>
      </c>
      <c r="B21249" s="3">
        <v>0</v>
      </c>
    </row>
    <row r="21250" ht="15.75" customHeight="1" spans="1:2">
      <c r="A21250" s="3" t="str">
        <f>IFERROR(__xludf.DUMMYFUNCTION("GOOGLETRANSLATE(A21250,""en"",""pt"")"),"Nenhum")</f>
        <v>Nenhum</v>
      </c>
      <c r="B21250" s="3">
        <v>0</v>
      </c>
    </row>
    <row r="21251" ht="15.75" customHeight="1" spans="1:2">
      <c r="A21251" s="3" t="str">
        <f>IFERROR(__xludf.DUMMYFUNCTION("GOOGLETRANSLATE(A21251,""en"",""pt"")"),"sistema de menus complexos. LCD difícil de ler na luz brilhante")</f>
        <v>sistema de menus complexos. LCD difícil de ler na luz brilhante</v>
      </c>
      <c r="B21251" s="3">
        <v>0</v>
      </c>
    </row>
    <row r="21252" ht="15.75" customHeight="1" spans="1:2">
      <c r="A21252" s="3" t="str">
        <f>IFERROR(__xludf.DUMMYFUNCTION("GOOGLETRANSLATE(A21252,""en"",""pt"")"),"visor e visor LCD um pouco demasiado perto uns dos outros.")</f>
        <v>visor e visor LCD um pouco demasiado perto uns dos outros.</v>
      </c>
      <c r="B21252" s="3">
        <v>0</v>
      </c>
    </row>
    <row r="21253" ht="15.75" customHeight="1" spans="1:2">
      <c r="A21253" s="3" t="str">
        <f>IFERROR(__xludf.DUMMYFUNCTION("GOOGLETRANSLATE(A21253,""en"",""pt"")"),"Nenhum som de recurso filme.")</f>
        <v>Nenhum som de recurso filme.</v>
      </c>
      <c r="B21253" s="3">
        <v>0</v>
      </c>
    </row>
    <row r="21254" ht="15.75" customHeight="1" spans="1:2">
      <c r="A21254" s="3" t="str">
        <f>IFERROR(__xludf.DUMMYFUNCTION("GOOGLETRANSLATE(A21254,""en"",""pt"")"),"vida útil da bateria, e nenhum som em filmes curtos.")</f>
        <v>vida útil da bateria, e nenhum som em filmes curtos.</v>
      </c>
      <c r="B21254" s="3">
        <v>0</v>
      </c>
    </row>
    <row r="21255" ht="15.75" customHeight="1" spans="1:2">
      <c r="A21255" s="3" t="str">
        <f>IFERROR(__xludf.DUMMYFUNCTION("GOOGLETRANSLATE(A21255,""en"",""pt"")"),"um pouco grande para conter")</f>
        <v>um pouco grande para conter</v>
      </c>
      <c r="B21255" s="3">
        <v>0</v>
      </c>
    </row>
    <row r="21256" ht="15.75" customHeight="1" spans="1:2">
      <c r="A21256" s="3" t="s">
        <v>111</v>
      </c>
      <c r="B21256" s="3">
        <v>0</v>
      </c>
    </row>
    <row r="21257" ht="15.75" customHeight="1" spans="1:2">
      <c r="A21257" s="3" t="str">
        <f>IFERROR(__xludf.DUMMYFUNCTION("GOOGLETRANSLATE(A21257,""en"",""pt"")"),"Nao muitos")</f>
        <v>Nao muitos</v>
      </c>
      <c r="B21257" s="3">
        <v>0</v>
      </c>
    </row>
    <row r="21258" ht="15.75" customHeight="1" spans="1:2">
      <c r="A21258" s="3" t="str">
        <f>IFERROR(__xludf.DUMMYFUNCTION("GOOGLETRANSLATE(A21258,""en"",""pt"")"),"A bateria recarregável não dura muito tempo.")</f>
        <v>A bateria recarregável não dura muito tempo.</v>
      </c>
      <c r="B21258" s="3">
        <v>0</v>
      </c>
    </row>
    <row r="21259" ht="15.75" customHeight="1" spans="1:2">
      <c r="A21259" s="3" t="str">
        <f>IFERROR(__xludf.DUMMYFUNCTION("GOOGLETRANSLATE(A21259,""en"",""pt"")"),"Incluído pobre software.")</f>
        <v>Incluído pobre software.</v>
      </c>
      <c r="B21259" s="3">
        <v>0</v>
      </c>
    </row>
    <row r="21260" ht="15.75" customHeight="1" spans="1:2">
      <c r="A21260" s="3" t="str">
        <f>IFERROR(__xludf.DUMMYFUNCTION("GOOGLETRANSLATE(A21260,""en"",""pt"")"),"Bateria cobrir um pouco frágil")</f>
        <v>Bateria cobrir um pouco frágil</v>
      </c>
      <c r="B21260" s="3">
        <v>0</v>
      </c>
    </row>
    <row r="21261" ht="15.75" customHeight="1" spans="1:2">
      <c r="A21261" s="3" t="str">
        <f>IFERROR(__xludf.DUMMYFUNCTION("GOOGLETRANSLATE(A21261,""en"",""pt"")"),"Difícil de ver a tela LCD sob luz solar intensa.")</f>
        <v>Difícil de ver a tela LCD sob luz solar intensa.</v>
      </c>
      <c r="B21261" s="3">
        <v>0</v>
      </c>
    </row>
    <row r="21262" ht="15.75" customHeight="1" spans="1:2">
      <c r="A21262" s="3" t="str">
        <f>IFERROR(__xludf.DUMMYFUNCTION("GOOGLETRANSLATE(A21262,""en"",""pt"")"),"Come-se pilhas AA regulares que estão incluídos. Melhor com suas próprias baterias recarregáveis.")</f>
        <v>Come-se pilhas AA regulares que estão incluídos. Melhor com suas próprias baterias recarregáveis.</v>
      </c>
      <c r="B21262" s="3">
        <v>0</v>
      </c>
    </row>
    <row r="21263" ht="15.75" customHeight="1" spans="1:2">
      <c r="A21263" s="3" t="str">
        <f>IFERROR(__xludf.DUMMYFUNCTION("GOOGLETRANSLATE(A21263,""en"",""pt"")"),"Obter algumas baterias recarregáveis.")</f>
        <v>Obter algumas baterias recarregáveis.</v>
      </c>
      <c r="B21263" s="3">
        <v>0</v>
      </c>
    </row>
    <row r="21264" ht="15.75" customHeight="1" spans="1:2">
      <c r="A21264" s="3" t="str">
        <f>IFERROR(__xludf.DUMMYFUNCTION("GOOGLETRANSLATE(A21264,""en"",""pt"")"),"Flash fraco, limitado macro, software limitado")</f>
        <v>Flash fraco, limitado macro, software limitado</v>
      </c>
      <c r="B21264" s="3">
        <v>0</v>
      </c>
    </row>
    <row r="21265" ht="15.75" customHeight="1" spans="1:2">
      <c r="A21265" s="3" t="str">
        <f>IFERROR(__xludf.DUMMYFUNCTION("GOOGLETRANSLATE(A21265,""en"",""pt"")"),"módulos de memória proprietários. Corpo poderia ser mais elegante. Software fraco.")</f>
        <v>módulos de memória proprietários. Corpo poderia ser mais elegante. Software fraco.</v>
      </c>
      <c r="B21265" s="3">
        <v>0</v>
      </c>
    </row>
    <row r="21266" ht="15.75" customHeight="1" spans="1:2">
      <c r="A21266" s="3" t="str">
        <f>IFERROR(__xludf.DUMMYFUNCTION("GOOGLETRANSLATE(A21266,""en"",""pt"")"),"Poucos, se algum")</f>
        <v>Poucos, se algum</v>
      </c>
      <c r="B21266" s="3">
        <v>0</v>
      </c>
    </row>
    <row r="21267" ht="15.75" customHeight="1" spans="1:2">
      <c r="A21267" s="3" t="str">
        <f>IFERROR(__xludf.DUMMYFUNCTION("GOOGLETRANSLATE(A21267,""en"",""pt"")"),"Nenhum considerando o preço.")</f>
        <v>Nenhum considerando o preço.</v>
      </c>
      <c r="B21267" s="3">
        <v>0</v>
      </c>
    </row>
    <row r="21268" ht="15.75" customHeight="1" spans="1:2">
      <c r="A21268" s="3" t="str">
        <f>IFERROR(__xludf.DUMMYFUNCTION("GOOGLETRANSLATE(A21268,""en"",""pt"")"),"O atraso do obturador, tempo de recarga do flash e de memória proprietária.")</f>
        <v>O atraso do obturador, tempo de recarga do flash e de memória proprietária.</v>
      </c>
      <c r="B21268" s="3">
        <v>0</v>
      </c>
    </row>
    <row r="21269" ht="15.75" customHeight="1" spans="1:2">
      <c r="A21269" s="3" t="str">
        <f>IFERROR(__xludf.DUMMYFUNCTION("GOOGLETRANSLATE(A21269,""en"",""pt"")"),"Bastante volumosa de largura, a vida da bateria horrível.")</f>
        <v>Bastante volumosa de largura, a vida da bateria horrível.</v>
      </c>
      <c r="B21269" s="3">
        <v>0</v>
      </c>
    </row>
    <row r="21270" ht="15.75" customHeight="1" spans="1:2">
      <c r="A21270" s="3" t="str">
        <f>IFERROR(__xludf.DUMMYFUNCTION("GOOGLETRANSLATE(A21270,""en"",""pt"")"),"bordas perto distorcidas, carga do flash lento, precisa de mais botões.")</f>
        <v>bordas perto distorcidas, carga do flash lento, precisa de mais botões.</v>
      </c>
      <c r="B21270" s="3">
        <v>0</v>
      </c>
    </row>
    <row r="21271" ht="15.75" customHeight="1" spans="1:2">
      <c r="A21271" s="3" t="str">
        <f>IFERROR(__xludf.DUMMYFUNCTION("GOOGLETRANSLATE(A21271,""en"",""pt"")"),"Ligeira indefinição se você não esperar o tempo suficiente para o foco, a vida da bateria, Escuro LCD ...")</f>
        <v>Ligeira indefinição se você não esperar o tempo suficiente para o foco, a vida da bateria, Escuro LCD ...</v>
      </c>
      <c r="B21271" s="3">
        <v>0</v>
      </c>
    </row>
    <row r="21272" ht="15.75" customHeight="1" spans="1:2">
      <c r="A21272" s="3" t="str">
        <f>IFERROR(__xludf.DUMMYFUNCTION("GOOGLETRANSLATE(A21272,""en"",""pt"")"),"As baterias não duram muito tempo, tempo entre tiros de imagem.")</f>
        <v>As baterias não duram muito tempo, tempo entre tiros de imagem.</v>
      </c>
      <c r="B21272" s="3">
        <v>0</v>
      </c>
    </row>
    <row r="21273" ht="15.75" customHeight="1" spans="1:2">
      <c r="A21273" s="3" t="str">
        <f>IFERROR(__xludf.DUMMYFUNCTION("GOOGLETRANSLATE(A21273,""en"",""pt"")"),"Shutter Lag")</f>
        <v>Shutter Lag</v>
      </c>
      <c r="B21273" s="3">
        <v>0</v>
      </c>
    </row>
    <row r="21274" ht="15.75" customHeight="1" spans="1:2">
      <c r="A21274" s="3" t="str">
        <f>IFERROR(__xludf.DUMMYFUNCTION("GOOGLETRANSLATE(A21274,""en"",""pt"")"),"A duração da bateria é curta, recarga lenta entre os disparos de imagem")</f>
        <v>A duração da bateria é curta, recarga lenta entre os disparos de imagem</v>
      </c>
      <c r="B21274" s="3">
        <v>0</v>
      </c>
    </row>
    <row r="21275" ht="15.75" customHeight="1" spans="1:2">
      <c r="A21275" s="3" t="str">
        <f>IFERROR(__xludf.DUMMYFUNCTION("GOOGLETRANSLATE(A21275,""en"",""pt"")"),"Demasiado tempo entre as imagens, não o suficiente botões")</f>
        <v>Demasiado tempo entre as imagens, não o suficiente botões</v>
      </c>
      <c r="B21275" s="3">
        <v>0</v>
      </c>
    </row>
    <row r="21276" ht="15.75" customHeight="1" spans="1:2">
      <c r="A21276" s="3" t="str">
        <f>IFERROR(__xludf.DUMMYFUNCTION("GOOGLETRANSLATE(A21276,""en"",""pt"")"),"flash não é dominado, 8/7 segundo tempo de reciclagem")</f>
        <v>flash não é dominado, 8/7 segundo tempo de reciclagem</v>
      </c>
      <c r="B21276" s="3">
        <v>0</v>
      </c>
    </row>
    <row r="21277" ht="15.75" customHeight="1" spans="1:2">
      <c r="A21277" s="3" t="str">
        <f>IFERROR(__xludf.DUMMYFUNCTION("GOOGLETRANSLATE(A21277,""en"",""pt"")"),"Tem que ter tampa da lente aberta para ver fotos no modo de exibição.")</f>
        <v>Tem que ter tampa da lente aberta para ver fotos no modo de exibição.</v>
      </c>
      <c r="B21277" s="3">
        <v>0</v>
      </c>
    </row>
    <row r="21278" ht="15.75" customHeight="1" spans="1:2">
      <c r="A21278" s="3" t="str">
        <f>IFERROR(__xludf.DUMMYFUNCTION("GOOGLETRANSLATE(A21278,""en"",""pt"")"),"lag ligeira entre as imagens, não muito software, Utiliza cartões de memória XD")</f>
        <v>lag ligeira entre as imagens, não muito software, Utiliza cartões de memória XD</v>
      </c>
      <c r="B21278" s="3">
        <v>0</v>
      </c>
    </row>
    <row r="21279" ht="15.75" customHeight="1" spans="1:2">
      <c r="A21279" s="3" t="str">
        <f>IFERROR(__xludf.DUMMYFUNCTION("GOOGLETRANSLATE(A21279,""en"",""pt"")"),"baixa velocidade do obturador, as más condições de pouca luz.")</f>
        <v>baixa velocidade do obturador, as más condições de pouca luz.</v>
      </c>
      <c r="B21279" s="3">
        <v>0</v>
      </c>
    </row>
    <row r="21280" ht="15.75" customHeight="1" spans="1:2">
      <c r="A21280" s="3" t="str">
        <f>IFERROR(__xludf.DUMMYFUNCTION("GOOGLETRANSLATE(A21280,""en"",""pt"")"),"velocidade do obturador lenta às vezes.")</f>
        <v>velocidade do obturador lenta às vezes.</v>
      </c>
      <c r="B21280" s="3">
        <v>0</v>
      </c>
    </row>
    <row r="21281" ht="15.75" customHeight="1" spans="1:2">
      <c r="A21281" s="3" t="str">
        <f>IFERROR(__xludf.DUMMYFUNCTION("GOOGLETRANSLATE(A21281,""en"",""pt"")"),"Ver escuro Finder, Shutter Lag entre Pictures, armazenamento limitado em cartão")</f>
        <v>Ver escuro Finder, Shutter Lag entre Pictures, armazenamento limitado em cartão</v>
      </c>
      <c r="B21281" s="3">
        <v>0</v>
      </c>
    </row>
    <row r="21282" ht="15.75" customHeight="1" spans="1:2">
      <c r="A21282" s="3" t="str">
        <f>IFERROR(__xludf.DUMMYFUNCTION("GOOGLETRANSLATE(A21282,""en"",""pt"")"),"Boa sorte tentando encontrar baterias recarregáveis ​​mais Fugi. Os cartões de memória são caros.")</f>
        <v>Boa sorte tentando encontrar baterias recarregáveis ​​mais Fugi. Os cartões de memória são caros.</v>
      </c>
      <c r="B21282" s="3">
        <v>0</v>
      </c>
    </row>
    <row r="21283" ht="15.75" customHeight="1" spans="1:2">
      <c r="A21283" s="3" t="str">
        <f>IFERROR(__xludf.DUMMYFUNCTION("GOOGLETRANSLATE(A21283,""en"",""pt"")"),"Não muitos, um pouco lento entre Pictures")</f>
        <v>Não muitos, um pouco lento entre Pictures</v>
      </c>
      <c r="B21283" s="3">
        <v>0</v>
      </c>
    </row>
    <row r="21284" ht="15.75" customHeight="1" spans="1:2">
      <c r="A21284" s="3" t="str">
        <f>IFERROR(__xludf.DUMMYFUNCTION("GOOGLETRANSLATE(A21284,""en"",""pt"")"),"algumas fotos saem escuro, não é bom para os profissionais")</f>
        <v>algumas fotos saem escuro, não é bom para os profissionais</v>
      </c>
      <c r="B21284" s="3">
        <v>0</v>
      </c>
    </row>
    <row r="21285" ht="15.75" customHeight="1" spans="1:2">
      <c r="A21285" s="3" t="str">
        <f>IFERROR(__xludf.DUMMYFUNCTION("GOOGLETRANSLATE(A21285,""en"",""pt"")"),"A vida da bateria, melhor com baterias recarregáveis")</f>
        <v>A vida da bateria, melhor com baterias recarregáveis</v>
      </c>
      <c r="B21285" s="3">
        <v>0</v>
      </c>
    </row>
    <row r="21286" ht="15.75" customHeight="1" spans="1:2">
      <c r="A21286" s="3" t="str">
        <f>IFERROR(__xludf.DUMMYFUNCTION("GOOGLETRANSLATE(A21286,""en"",""pt"")"),"Forma muito grosso, reparação necessária")</f>
        <v>Forma muito grosso, reparação necessária</v>
      </c>
      <c r="B21286" s="3">
        <v>0</v>
      </c>
    </row>
    <row r="21287" ht="15.75" customHeight="1" spans="1:2">
      <c r="A21287" s="3" t="str">
        <f>IFERROR(__xludf.DUMMYFUNCTION("GOOGLETRANSLATE(A21287,""en"",""pt"")"),"Pobre desempenho de pouca luz, esmagadora de flash")</f>
        <v>Pobre desempenho de pouca luz, esmagadora de flash</v>
      </c>
      <c r="B21287" s="3">
        <v>0</v>
      </c>
    </row>
    <row r="21288" ht="15.75" customHeight="1" spans="1:2">
      <c r="A21288" s="3" t="str">
        <f>IFERROR(__xludf.DUMMYFUNCTION("GOOGLETRANSLATE(A21288,""en"",""pt"")"),"Veiwfinder é um pouco fora, difícil olhar através, câmera é um comedor bateria.")</f>
        <v>Veiwfinder é um pouco fora, difícil olhar através, câmera é um comedor bateria.</v>
      </c>
      <c r="B21288" s="3">
        <v>0</v>
      </c>
    </row>
    <row r="21289" ht="15.75" customHeight="1" spans="1:2">
      <c r="A21289" s="3" t="str">
        <f>IFERROR(__xludf.DUMMYFUNCTION("GOOGLETRANSLATE(A21289,""en"",""pt"")"),"custo cartões de memória")</f>
        <v>custo cartões de memória</v>
      </c>
      <c r="B21289" s="3">
        <v>0</v>
      </c>
    </row>
    <row r="21290" ht="15.75" customHeight="1" spans="1:2">
      <c r="A21290" s="3" t="str">
        <f>IFERROR(__xludf.DUMMYFUNCTION("GOOGLETRANSLATE(A21290,""en"",""pt"")"),"Nenhum software incluído para edição detalhada, mas alguns de edição disponíveis na página álbum")</f>
        <v>Nenhum software incluído para edição detalhada, mas alguns de edição disponíveis na página álbum</v>
      </c>
      <c r="B21290" s="3">
        <v>0</v>
      </c>
    </row>
    <row r="21291" ht="15.75" customHeight="1" spans="1:2">
      <c r="A21291" s="3" t="str">
        <f>IFERROR(__xludf.DUMMYFUNCTION("GOOGLETRANSLATE(A21291,""en"",""pt"")"),"deslizante tampa da lente tem um ponto furando")</f>
        <v>deslizante tampa da lente tem um ponto furando</v>
      </c>
      <c r="B21291" s="3">
        <v>0</v>
      </c>
    </row>
    <row r="21292" ht="15.75" customHeight="1" spans="1:2">
      <c r="A21292" s="3" t="str">
        <f>IFERROR(__xludf.DUMMYFUNCTION("GOOGLETRANSLATE(A21292,""en"",""pt"")"),"Tirar a foto maldito já !!!")</f>
        <v>Tirar a foto maldito já !!!</v>
      </c>
      <c r="B21292" s="3">
        <v>0</v>
      </c>
    </row>
    <row r="21293" ht="15.75" customHeight="1" spans="1:2">
      <c r="A21293" s="3" t="str">
        <f>IFERROR(__xludf.DUMMYFUNCTION("GOOGLETRANSLATE(A21293,""en"",""pt"")"),"A câmera quebrou depois de seis meses.")</f>
        <v>A câmera quebrou depois de seis meses.</v>
      </c>
      <c r="B21293" s="3">
        <v>0</v>
      </c>
    </row>
    <row r="21294" ht="15.75" customHeight="1" spans="1:2">
      <c r="A21294" s="3" t="str">
        <f>IFERROR(__xludf.DUMMYFUNCTION("GOOGLETRANSLATE(A21294,""en"",""pt"")"),"passa por pilhas AA rápido, difícil de LCD com iluminação brilhante")</f>
        <v>passa por pilhas AA rápido, difícil de LCD com iluminação brilhante</v>
      </c>
      <c r="B21294" s="3">
        <v>0</v>
      </c>
    </row>
    <row r="21295" ht="15.75" customHeight="1" spans="1:2">
      <c r="A21295" s="3" t="str">
        <f>IFERROR(__xludf.DUMMYFUNCTION("GOOGLETRANSLATE(A21295,""en"",""pt"")"),"não é bom para todas as condições de luz, carece de recursos avançados, menus irritantes, tempo de reset longo")</f>
        <v>não é bom para todas as condições de luz, carece de recursos avançados, menus irritantes, tempo de reset longo</v>
      </c>
      <c r="B21295" s="3">
        <v>0</v>
      </c>
    </row>
    <row r="21296" ht="15.75" customHeight="1" spans="1:2">
      <c r="A21296" s="3" t="str">
        <f>IFERROR(__xludf.DUMMYFUNCTION("GOOGLETRANSLATE(A21296,""en"",""pt"")"),"A vida da bateria, mas você pode melhorar isso se você comprar um adaptador AC para downloads.")</f>
        <v>A vida da bateria, mas você pode melhorar isso se você comprar um adaptador AC para downloads.</v>
      </c>
      <c r="B21296" s="3">
        <v>0</v>
      </c>
    </row>
    <row r="21297" ht="15.75" customHeight="1" spans="1:2">
      <c r="A21297" s="3" t="str">
        <f>IFERROR(__xludf.DUMMYFUNCTION("GOOGLETRANSLATE(A21297,""en"",""pt"")"),"formato de armazenamento proprietário, sem baterias recarregáveis ​​incluído")</f>
        <v>formato de armazenamento proprietário, sem baterias recarregáveis ​​incluído</v>
      </c>
      <c r="B21297" s="3">
        <v>0</v>
      </c>
    </row>
    <row r="21298" ht="15.75" customHeight="1" spans="1:2">
      <c r="A21298" s="3" t="str">
        <f>IFERROR(__xludf.DUMMYFUNCTION("GOOGLETRANSLATE(A21298,""en"",""pt"")"),"display LCD muito escuro, a vida da bateria, funções habituais não tem próprios botões")</f>
        <v>display LCD muito escuro, a vida da bateria, funções habituais não tem próprios botões</v>
      </c>
      <c r="B21298" s="3">
        <v>0</v>
      </c>
    </row>
    <row r="21299" ht="15.75" customHeight="1" spans="1:2">
      <c r="A21299" s="3" t="str">
        <f>IFERROR(__xludf.DUMMYFUNCTION("GOOGLETRANSLATE(A21299,""en"",""pt"")"),"come baterias rapidamente")</f>
        <v>come baterias rapidamente</v>
      </c>
      <c r="B21299" s="3">
        <v>0</v>
      </c>
    </row>
    <row r="21300" ht="15.75" customHeight="1" spans="1:2">
      <c r="A21300" s="3" t="str">
        <f>IFERROR(__xludf.DUMMYFUNCTION("GOOGLETRANSLATE(A21300,""en"",""pt"")"),"No caso incluído, a vida da bateria")</f>
        <v>No caso incluído, a vida da bateria</v>
      </c>
      <c r="B21300" s="3">
        <v>0</v>
      </c>
    </row>
    <row r="21301" ht="15.75" customHeight="1" spans="1:2">
      <c r="A21301" s="3" t="str">
        <f>IFERROR(__xludf.DUMMYFUNCTION("GOOGLETRANSLATE(A21301,""en"",""pt"")"),"SUGA PARA ME")</f>
        <v>SUGA PARA ME</v>
      </c>
      <c r="B21301" s="3">
        <v>0</v>
      </c>
    </row>
    <row r="21302" ht="15.75" customHeight="1" spans="1:2">
      <c r="A21302" s="3" t="str">
        <f>IFERROR(__xludf.DUMMYFUNCTION("GOOGLETRANSLATE(A21302,""en"",""pt"")"),"recarga de flash lento.")</f>
        <v>recarga de flash lento.</v>
      </c>
      <c r="B21302" s="3">
        <v>0</v>
      </c>
    </row>
    <row r="21303" ht="15.75" customHeight="1" spans="1:2">
      <c r="A21303" s="3" t="str">
        <f>IFERROR(__xludf.DUMMYFUNCTION("GOOGLETRANSLATE(A21303,""en"",""pt"")"),"tamanho maior do que outras câmeras de qualidade similar no mercado")</f>
        <v>tamanho maior do que outras câmeras de qualidade similar no mercado</v>
      </c>
      <c r="B21303" s="3">
        <v>0</v>
      </c>
    </row>
    <row r="21304" ht="15.75" customHeight="1" spans="1:2">
      <c r="A21304" s="3" t="str">
        <f>IFERROR(__xludf.DUMMYFUNCTION("GOOGLETRANSLATE(A21304,""en"",""pt"")"),"Passa por baterias rápido, tela escura no LCD e visor óptico")</f>
        <v>Passa por baterias rápido, tela escura no LCD e visor óptico</v>
      </c>
      <c r="B21304" s="3">
        <v>0</v>
      </c>
    </row>
    <row r="21305" ht="15.75" customHeight="1" spans="1:2">
      <c r="A21305" s="3" t="str">
        <f>IFERROR(__xludf.DUMMYFUNCTION("GOOGLETRANSLATE(A21305,""en"",""pt"")"),"UPDATE: A minha lente com defeito.")</f>
        <v>UPDATE: A minha lente com defeito.</v>
      </c>
      <c r="B21305" s="3">
        <v>0</v>
      </c>
    </row>
    <row r="21306" ht="15.75" customHeight="1" spans="1:2">
      <c r="A21306" s="3" t="str">
        <f>IFERROR(__xludf.DUMMYFUNCTION("GOOGLETRANSLATE(A21306,""en"",""pt"")"),"Pode ser um pouco peculiar, Mina defeito.")</f>
        <v>Pode ser um pouco peculiar, Mina defeito.</v>
      </c>
      <c r="B21306" s="3">
        <v>0</v>
      </c>
    </row>
    <row r="21307" ht="15.75" customHeight="1" spans="1:2">
      <c r="A21307" s="3" t="str">
        <f>IFERROR(__xludf.DUMMYFUNCTION("GOOGLETRANSLATE(A21307,""en"",""pt"")"),"Frames por segundo são um pouco mais lento do que o que deveria ser!")</f>
        <v>Frames por segundo são um pouco mais lento do que o que deveria ser!</v>
      </c>
      <c r="B21307" s="3">
        <v>0</v>
      </c>
    </row>
    <row r="21308" ht="15.75" customHeight="1" spans="1:2">
      <c r="A21308" s="3" t="str">
        <f>IFERROR(__xludf.DUMMYFUNCTION("GOOGLETRANSLATE(A21308,""en"",""pt"")"),"display LCD às vezes escuro; Fotografar em interiores de baixa luz difíceis; tampa da lente removível")</f>
        <v>display LCD às vezes escuro; Fotografar em interiores de baixa luz difíceis; tampa da lente removível</v>
      </c>
      <c r="B21308" s="3">
        <v>0</v>
      </c>
    </row>
    <row r="21309" ht="15.75" customHeight="1" spans="1:2">
      <c r="A21309" s="3" t="str">
        <f>IFERROR(__xludf.DUMMYFUNCTION("GOOGLETRANSLATE(A21309,""en"",""pt"")"),"display LCD pobre com pouca luz, atraso no tiro")</f>
        <v>display LCD pobre com pouca luz, atraso no tiro</v>
      </c>
      <c r="B21309" s="3">
        <v>0</v>
      </c>
    </row>
    <row r="21310" ht="15.75" customHeight="1" spans="1:2">
      <c r="A21310" s="3" t="str">
        <f>IFERROR(__xludf.DUMMYFUNCTION("GOOGLETRANSLATE(A21310,""en"",""pt"")"),"difícil ver visor / lcd em condições de iluminação extremas")</f>
        <v>difícil ver visor / lcd em condições de iluminação extremas</v>
      </c>
      <c r="B21310" s="3">
        <v>0</v>
      </c>
    </row>
    <row r="21311" ht="15.75" customHeight="1" spans="1:2">
      <c r="A21311" s="3" t="str">
        <f>IFERROR(__xludf.DUMMYFUNCTION("GOOGLETRANSLATE(A21311,""en"",""pt"")"),"Má visibilidade em salas escuras e sem memória do número de quadros")</f>
        <v>Má visibilidade em salas escuras e sem memória do número de quadros</v>
      </c>
      <c r="B21311" s="3">
        <v>0</v>
      </c>
    </row>
    <row r="21312" ht="15.75" customHeight="1" spans="1:2">
      <c r="A21312" s="3" t="str">
        <f>IFERROR(__xludf.DUMMYFUNCTION("GOOGLETRANSLATE(A21312,""en"",""pt"")"),"Poucos recursos manuais")</f>
        <v>Poucos recursos manuais</v>
      </c>
      <c r="B21312" s="3">
        <v>0</v>
      </c>
    </row>
    <row r="21313" ht="15.75" customHeight="1" spans="1:2">
      <c r="A21313" s="3" t="str">
        <f>IFERROR(__xludf.DUMMYFUNCTION("GOOGLETRANSLATE(A21313,""en"",""pt"")"),"Não como muitas opções manuais ou sinos + assobios como os outros")</f>
        <v>Não como muitas opções manuais ou sinos + assobios como os outros</v>
      </c>
      <c r="B21313" s="3">
        <v>0</v>
      </c>
    </row>
    <row r="21314" ht="15.75" customHeight="1" spans="1:2">
      <c r="A21314" s="3" t="str">
        <f>IFERROR(__xludf.DUMMYFUNCTION("GOOGLETRANSLATE(A21314,""en"",""pt"")"),"não encontrei nada ainda.")</f>
        <v>não encontrei nada ainda.</v>
      </c>
      <c r="B21314" s="3">
        <v>0</v>
      </c>
    </row>
    <row r="21315" ht="15.75" customHeight="1" spans="1:2">
      <c r="A21315" s="3" t="str">
        <f>IFERROR(__xludf.DUMMYFUNCTION("GOOGLETRANSLATE(A21315,""en"",""pt"")"),"colocação botão de energia, modo macro sensível")</f>
        <v>colocação botão de energia, modo macro sensível</v>
      </c>
      <c r="B21315" s="3">
        <v>0</v>
      </c>
    </row>
    <row r="21316" ht="15.75" customHeight="1" spans="1:2">
      <c r="A21316" s="3" t="str">
        <f>IFERROR(__xludf.DUMMYFUNCTION("GOOGLETRANSLATE(A21316,""en"",""pt"")"),"Baterias são consumidos rapidamente, foco automático pobres e LCD / Interior visibilidade EVF")</f>
        <v>Baterias são consumidos rapidamente, foco automático pobres e LCD / Interior visibilidade EVF</v>
      </c>
      <c r="B21316" s="3">
        <v>0</v>
      </c>
    </row>
    <row r="21317" ht="15.75" customHeight="1" spans="1:2">
      <c r="A21317" s="3" t="str">
        <f>IFERROR(__xludf.DUMMYFUNCTION("GOOGLETRANSLATE(A21317,""en"",""pt"")"),"inábil para segurar")</f>
        <v>inábil para segurar</v>
      </c>
      <c r="B21317" s="3">
        <v>0</v>
      </c>
    </row>
    <row r="21318" ht="15.75" customHeight="1" spans="1:2">
      <c r="A21318" s="3" t="str">
        <f>IFERROR(__xludf.DUMMYFUNCTION("GOOGLETRANSLATE(A21318,""en"",""pt"")"),"Hog bateria. pausa ligeira antes de imagem é realmente tomadas. Não é possível anexar uma lente telescópica.")</f>
        <v>Hog bateria. pausa ligeira antes de imagem é realmente tomadas. Não é possível anexar uma lente telescópica.</v>
      </c>
      <c r="B21318" s="3">
        <v>0</v>
      </c>
    </row>
    <row r="21319" ht="15.75" customHeight="1" spans="1:2">
      <c r="A21319" s="3" t="str">
        <f>IFERROR(__xludf.DUMMYFUNCTION("GOOGLETRANSLATE(A21319,""en"",""pt"")"),"pilhas alcalinas durou apenas alguns minutos")</f>
        <v>pilhas alcalinas durou apenas alguns minutos</v>
      </c>
      <c r="B21319" s="3">
        <v>0</v>
      </c>
    </row>
    <row r="21320" ht="15.75" customHeight="1" spans="1:2">
      <c r="A21320" s="3" t="str">
        <f>IFERROR(__xludf.DUMMYFUNCTION("GOOGLETRANSLATE(A21320,""en"",""pt"")"),"impressões granuladas de flash ou de baixa luz fotos.")</f>
        <v>impressões granuladas de flash ou de baixa luz fotos.</v>
      </c>
      <c r="B21320" s="3">
        <v>0</v>
      </c>
    </row>
    <row r="21321" ht="15.75" customHeight="1" spans="1:2">
      <c r="A21321" s="3" t="str">
        <f>IFERROR(__xludf.DUMMYFUNCTION("GOOGLETRANSLATE(A21321,""en"",""pt"")"),"Terríveis fotos em condições de pouca luz, nenhuma indicação de LCD para carga da bateria.,")</f>
        <v>Terríveis fotos em condições de pouca luz, nenhuma indicação de LCD para carga da bateria.,</v>
      </c>
      <c r="B21321" s="3">
        <v>0</v>
      </c>
    </row>
    <row r="21322" ht="15.75" customHeight="1" spans="1:2">
      <c r="A21322" s="3" t="str">
        <f>IFERROR(__xludf.DUMMYFUNCTION("GOOGLETRANSLATE(A21322,""en"",""pt"")"),"robusto, um pouco desinteressante")</f>
        <v>robusto, um pouco desinteressante</v>
      </c>
      <c r="B21322" s="3">
        <v>0</v>
      </c>
    </row>
    <row r="21323" ht="15.75" customHeight="1" spans="1:2">
      <c r="A21323" s="3" t="str">
        <f>IFERROR(__xludf.DUMMYFUNCTION("GOOGLETRANSLATE(A21323,""en"",""pt"")"),"visor LCD / eletrônico é difícil ver sob certas condições de iluminação.")</f>
        <v>visor LCD / eletrônico é difícil ver sob certas condições de iluminação.</v>
      </c>
      <c r="B21323" s="3">
        <v>0</v>
      </c>
    </row>
    <row r="21324" ht="15.75" customHeight="1" spans="1:2">
      <c r="A21324" s="3" t="str">
        <f>IFERROR(__xludf.DUMMYFUNCTION("GOOGLETRANSLATE(A21324,""en"",""pt"")"),"LCD / Visor é fraca com pouca luz")</f>
        <v>LCD / Visor é fraca com pouca luz</v>
      </c>
      <c r="B21324" s="3">
        <v>0</v>
      </c>
    </row>
    <row r="21325" ht="15.75" customHeight="1" spans="1:2">
      <c r="A21325" s="3" t="str">
        <f>IFERROR(__xludf.DUMMYFUNCTION("GOOGLETRANSLATE(A21325,""en"",""pt"")"),"Flash só atinge 10 pés, Não construído em tampa da lente,,,")</f>
        <v>Flash só atinge 10 pés, Não construído em tampa da lente,,,</v>
      </c>
      <c r="B21325" s="3">
        <v>0</v>
      </c>
    </row>
    <row r="21326" ht="15.75" customHeight="1" spans="1:2">
      <c r="A21326" s="3" t="str">
        <f>IFERROR(__xludf.DUMMYFUNCTION("GOOGLETRANSLATE(A21326,""en"",""pt"")"),"Usa baterias rapidamente.")</f>
        <v>Usa baterias rapidamente.</v>
      </c>
      <c r="B21326" s="3">
        <v>0</v>
      </c>
    </row>
    <row r="21327" ht="15.75" customHeight="1" spans="1:2">
      <c r="A21327" s="3" t="str">
        <f>IFERROR(__xludf.DUMMYFUNCTION("GOOGLETRANSLATE(A21327,""en"",""pt"")"),"Visor óptico pode ser escuro com pouca luz, sem cobertura automática lente.")</f>
        <v>Visor óptico pode ser escuro com pouca luz, sem cobertura automática lente.</v>
      </c>
      <c r="B21327" s="3">
        <v>0</v>
      </c>
    </row>
    <row r="21328" ht="15.75" customHeight="1" spans="1:2">
      <c r="A21328" s="3" t="str">
        <f>IFERROR(__xludf.DUMMYFUNCTION("GOOGLETRANSLATE(A21328,""en"",""pt"")"),"um pouco quadrada e pesada")</f>
        <v>um pouco quadrada e pesada</v>
      </c>
      <c r="B21328" s="3">
        <v>0</v>
      </c>
    </row>
    <row r="21329" ht="15.75" customHeight="1" spans="1:2">
      <c r="A21329" s="3" t="str">
        <f>IFERROR(__xludf.DUMMYFUNCTION("GOOGLETRANSLATE(A21329,""en"",""pt"")"),"EVF difícil ver com pouca luz, tampa da lente fraco, sempre repõe a numeração das imagens")</f>
        <v>EVF difícil ver com pouca luz, tampa da lente fraco, sempre repõe a numeração das imagens</v>
      </c>
      <c r="B21329" s="3">
        <v>0</v>
      </c>
    </row>
    <row r="21330" ht="15.75" customHeight="1" spans="1:2">
      <c r="A21330" s="3" t="str">
        <f>IFERROR(__xludf.DUMMYFUNCTION("GOOGLETRANSLATE(A21330,""en"",""pt"")"),"atraso tiro, nenhum caso.")</f>
        <v>atraso tiro, nenhum caso.</v>
      </c>
      <c r="B21330" s="3">
        <v>0</v>
      </c>
    </row>
    <row r="21331" ht="15.75" customHeight="1" spans="1:2">
      <c r="A21331" s="3" t="str">
        <f>IFERROR(__xludf.DUMMYFUNCTION("GOOGLETRANSLATE(A21331,""en"",""pt"")"),"atraso na tomada de fotos, ruim com pouca luz, a vida curta da bateria")</f>
        <v>atraso na tomada de fotos, ruim com pouca luz, a vida curta da bateria</v>
      </c>
      <c r="B21331" s="3">
        <v>0</v>
      </c>
    </row>
    <row r="21332" ht="15.75" customHeight="1" spans="1:2">
      <c r="A21332" s="3" t="str">
        <f>IFERROR(__xludf.DUMMYFUNCTION("GOOGLETRANSLATE(A21332,""en"",""pt"")"),"EVF é muito escuro em situações de pouca luz")</f>
        <v>EVF é muito escuro em situações de pouca luz</v>
      </c>
      <c r="B21332" s="3">
        <v>0</v>
      </c>
    </row>
    <row r="21333" ht="15.75" customHeight="1" spans="1:2">
      <c r="A21333" s="3" t="str">
        <f>IFERROR(__xludf.DUMMYFUNCTION("GOOGLETRANSLATE(A21333,""en"",""pt"")"),"Digital visor não pode exibir imagens com pouca luz.")</f>
        <v>Digital visor não pode exibir imagens com pouca luz.</v>
      </c>
      <c r="B21333" s="3">
        <v>0</v>
      </c>
    </row>
    <row r="21334" ht="15.75" customHeight="1" spans="1:2">
      <c r="A21334" s="3" t="str">
        <f>IFERROR(__xludf.DUMMYFUNCTION("GOOGLETRANSLATE(A21334,""en"",""pt"")"),"LCD / EVF muito escuro")</f>
        <v>LCD / EVF muito escuro</v>
      </c>
      <c r="B21334" s="3">
        <v>0</v>
      </c>
    </row>
    <row r="21335" ht="15.75" customHeight="1" spans="1:2">
      <c r="A21335" s="3" t="str">
        <f>IFERROR(__xludf.DUMMYFUNCTION("GOOGLETRANSLATE(A21335,""en"",""pt"")"),"Eletrônica View Finder e LCD não funcionam bem com pouca luz, software empacotado não é grande.")</f>
        <v>Eletrônica View Finder e LCD não funcionam bem com pouca luz, software empacotado não é grande.</v>
      </c>
      <c r="B21335" s="3">
        <v>0</v>
      </c>
    </row>
    <row r="21336" ht="15.75" customHeight="1" spans="1:2">
      <c r="A21336" s="3" t="str">
        <f>IFERROR(__xludf.DUMMYFUNCTION("GOOGLETRANSLATE(A21336,""en"",""pt"")"),"Difícil de localizar assunto em condições de pouca luz")</f>
        <v>Difícil de localizar assunto em condições de pouca luz</v>
      </c>
      <c r="B21336" s="3">
        <v>0</v>
      </c>
    </row>
    <row r="21337" ht="15.75" customHeight="1" spans="1:2">
      <c r="A21337" s="3" t="str">
        <f>IFERROR(__xludf.DUMMYFUNCTION("GOOGLETRANSLATE(A21337,""en"",""pt"")"),"o atraso da imagem ligeira. cartão de memória xD muito pequena pode ser facilmente perdida. Camera é volumoso")</f>
        <v>o atraso da imagem ligeira. cartão de memória xD muito pequena pode ser facilmente perdida. Camera é volumoso</v>
      </c>
      <c r="B21337" s="3">
        <v>0</v>
      </c>
    </row>
    <row r="21338" ht="15.75" customHeight="1" spans="1:2">
      <c r="A21338" s="3" t="str">
        <f>IFERROR(__xludf.DUMMYFUNCTION("GOOGLETRANSLATE(A21338,""en"",""pt"")"),"tampa da lente é difícil voltar off.")</f>
        <v>tampa da lente é difícil voltar off.</v>
      </c>
      <c r="B21338" s="3">
        <v>0</v>
      </c>
    </row>
    <row r="21339" ht="15.75" customHeight="1" spans="1:2">
      <c r="A21339" s="3" t="str">
        <f>IFERROR(__xludf.DUMMYFUNCTION("GOOGLETRANSLATE(A21339,""en"",""pt"")"),"Sem luz ajuda foco, limitada capacidades manuais e mal projetado modo macro")</f>
        <v>Sem luz ajuda foco, limitada capacidades manuais e mal projetado modo macro</v>
      </c>
      <c r="B21339" s="3">
        <v>0</v>
      </c>
    </row>
    <row r="21340" ht="15.75" customHeight="1" spans="1:2">
      <c r="A21340" s="3" t="str">
        <f>IFERROR(__xludf.DUMMYFUNCTION("GOOGLETRANSLATE(A21340,""en"",""pt"")"),"A falta de opções de controlo manual, fixo sensibilidade ISO (100)")</f>
        <v>A falta de opções de controlo manual, fixo sensibilidade ISO (100)</v>
      </c>
      <c r="B21340" s="3">
        <v>0</v>
      </c>
    </row>
    <row r="21341" ht="15.75" customHeight="1" spans="1:2">
      <c r="A21341" s="3" t="str">
        <f>IFERROR(__xludf.DUMMYFUNCTION("GOOGLETRANSLATE(A21341,""en"",""pt"")"),"marcações de direção bateria, tampa da lente manual, flash manual pop-up")</f>
        <v>marcações de direção bateria, tampa da lente manual, flash manual pop-up</v>
      </c>
      <c r="B21341" s="3">
        <v>0</v>
      </c>
    </row>
    <row r="21342" ht="15.75" customHeight="1" spans="1:2">
      <c r="A21342" s="3" t="str">
        <f>IFERROR(__xludf.DUMMYFUNCTION("GOOGLETRANSLATE(A21342,""en"",""pt"")"),"visor, tampa da lente, sente brinquedo-ish")</f>
        <v>visor, tampa da lente, sente brinquedo-ish</v>
      </c>
      <c r="B21342" s="3">
        <v>0</v>
      </c>
    </row>
    <row r="21343" ht="15.75" customHeight="1" spans="1:2">
      <c r="A21343" s="3" t="str">
        <f>IFERROR(__xludf.DUMMYFUNCTION("GOOGLETRANSLATE(A21343,""en"",""pt"")"),"marcações de direção de bateria difícil de ler")</f>
        <v>marcações de direção de bateria difícil de ler</v>
      </c>
      <c r="B21343" s="3">
        <v>0</v>
      </c>
    </row>
    <row r="21344" ht="15.75" customHeight="1" spans="1:2">
      <c r="A21344" s="3" t="str">
        <f>IFERROR(__xludf.DUMMYFUNCTION("GOOGLETRANSLATE(A21344,""en"",""pt"")"),"Volumoso")</f>
        <v>Volumoso</v>
      </c>
      <c r="B21344" s="3">
        <v>0</v>
      </c>
    </row>
    <row r="21345" ht="15.75" customHeight="1" spans="1:2">
      <c r="A21345" s="3" t="str">
        <f>IFERROR(__xludf.DUMMYFUNCTION("GOOGLETRANSLATE(A21345,""en"",""pt"")"),"Shutter lag, não posso ver através de LCD / EVF no escuro.")</f>
        <v>Shutter lag, não posso ver através de LCD / EVF no escuro.</v>
      </c>
      <c r="B21345" s="3">
        <v>0</v>
      </c>
    </row>
    <row r="21346" ht="15.75" customHeight="1" spans="1:2">
      <c r="A21346" s="3" t="str">
        <f>IFERROR(__xludf.DUMMYFUNCTION("GOOGLETRANSLATE(A21346,""en"",""pt"")"),"visor digital (não óptico), opções manuais, software")</f>
        <v>visor digital (não óptico), opções manuais, software</v>
      </c>
      <c r="B21346" s="3">
        <v>0</v>
      </c>
    </row>
    <row r="21347" ht="15.75" customHeight="1" spans="1:2">
      <c r="A21347" s="3" t="str">
        <f>IFERROR(__xludf.DUMMYFUNCTION("GOOGLETRANSLATE(A21347,""en"",""pt"")"),"Tenho que concordar com todos a tampa da lente é terrível.")</f>
        <v>Tenho que concordar com todos a tampa da lente é terrível.</v>
      </c>
      <c r="B21347" s="3">
        <v>0</v>
      </c>
    </row>
    <row r="21348" ht="15.75" customHeight="1" spans="1:2">
      <c r="A21348" s="3" t="str">
        <f>IFERROR(__xludf.DUMMYFUNCTION("GOOGLETRANSLATE(A21348,""en"",""pt"")"),"obturador, tampa da lente horrível, e configurações")</f>
        <v>obturador, tampa da lente horrível, e configurações</v>
      </c>
      <c r="B21348" s="3">
        <v>0</v>
      </c>
    </row>
    <row r="21349" ht="15.75" customHeight="1" spans="1:2">
      <c r="A21349" s="3" t="str">
        <f>IFERROR(__xludf.DUMMYFUNCTION("GOOGLETRANSLATE(A21349,""en"",""pt"")"),"A bateria não lhe dar muito aviso antes de ele verifica para fora. Menos do que 60 segundos.")</f>
        <v>A bateria não lhe dar muito aviso antes de ele verifica para fora. Menos do que 60 segundos.</v>
      </c>
      <c r="B21349" s="3">
        <v>0</v>
      </c>
    </row>
    <row r="21350" ht="15.75" customHeight="1" spans="1:2">
      <c r="A21350" s="3" t="str">
        <f>IFERROR(__xludf.DUMMYFUNCTION("GOOGLETRANSLATE(A21350,""en"",""pt"")"),"Cap Lens defeituoso, Auto Focus nem sempre trabalhando, magro 16Mb Cartão xD")</f>
        <v>Cap Lens defeituoso, Auto Focus nem sempre trabalhando, magro 16Mb Cartão xD</v>
      </c>
      <c r="B21350" s="3">
        <v>0</v>
      </c>
    </row>
    <row r="21351" ht="15.75" customHeight="1" spans="1:2">
      <c r="A21351" s="3" t="str">
        <f>IFERROR(__xludf.DUMMYFUNCTION("GOOGLETRANSLATE(A21351,""en"",""pt"")"),"Não para o fotógrafo especialista, vem com um cartão de memória pequeno")</f>
        <v>Não para o fotógrafo especialista, vem com um cartão de memória pequeno</v>
      </c>
      <c r="B21351" s="3">
        <v>0</v>
      </c>
    </row>
    <row r="21352" ht="15.75" customHeight="1" spans="1:2">
      <c r="A21352" s="3" t="str">
        <f>IFERROR(__xludf.DUMMYFUNCTION("GOOGLETRANSLATE(A21352,""en"",""pt"")"),"Não consigo pensar em qualquer")</f>
        <v>Não consigo pensar em qualquer</v>
      </c>
      <c r="B21352" s="3">
        <v>0</v>
      </c>
    </row>
    <row r="21353" ht="15.75" customHeight="1" spans="1:2">
      <c r="A21353" s="3" t="str">
        <f>IFERROR(__xludf.DUMMYFUNCTION("GOOGLETRANSLATE(A21353,""en"",""pt"")"),"Não tenho certeza há qualquer")</f>
        <v>Não tenho certeza há qualquer</v>
      </c>
      <c r="B21353" s="3">
        <v>0</v>
      </c>
    </row>
    <row r="21354" ht="15.75" customHeight="1" spans="1:2">
      <c r="A21354" s="3" t="str">
        <f>IFERROR(__xludf.DUMMYFUNCTION("GOOGLETRANSLATE(A21354,""en"",""pt"")"),"tampa da lente mantém cair.")</f>
        <v>tampa da lente mantém cair.</v>
      </c>
      <c r="B21354" s="3">
        <v>0</v>
      </c>
    </row>
    <row r="21355" ht="15.75" customHeight="1" spans="1:2">
      <c r="A21355" s="3" t="str">
        <f>IFERROR(__xludf.DUMMYFUNCTION("GOOGLETRANSLATE(A21355,""en"",""pt"")"),"Visor (/ low-light noite), pobres indicadores de status da bateria, tampa da lente projeto")</f>
        <v>Visor (/ low-light noite), pobres indicadores de status da bateria, tampa da lente projeto</v>
      </c>
      <c r="B21355" s="3">
        <v>0</v>
      </c>
    </row>
    <row r="21356" ht="15.75" customHeight="1" spans="1:2">
      <c r="A21356" s="3" t="str">
        <f>IFERROR(__xludf.DUMMYFUNCTION("GOOGLETRANSLATE(A21356,""en"",""pt"")"),"Forma é a única desvantagem de")</f>
        <v>Forma é a única desvantagem de</v>
      </c>
      <c r="B21356" s="3">
        <v>0</v>
      </c>
    </row>
    <row r="21357" ht="15.75" customHeight="1" spans="1:2">
      <c r="A21357" s="3" t="str">
        <f>IFERROR(__xludf.DUMMYFUNCTION("GOOGLETRANSLATE(A21357,""en"",""pt"")"),"Bad em movimento fotografando")</f>
        <v>Bad em movimento fotografando</v>
      </c>
      <c r="B21357" s="3">
        <v>0</v>
      </c>
    </row>
    <row r="21358" ht="15.75" customHeight="1" spans="1:2">
      <c r="A21358" s="3" t="str">
        <f>IFERROR(__xludf.DUMMYFUNCTION("GOOGLETRANSLATE(A21358,""en"",""pt"")"),"Nenhum")</f>
        <v>Nenhum</v>
      </c>
      <c r="B21358" s="3">
        <v>0</v>
      </c>
    </row>
    <row r="21359" ht="15.75" customHeight="1" spans="1:2">
      <c r="A21359" s="3" t="str">
        <f>IFERROR(__xludf.DUMMYFUNCTION("GOOGLETRANSLATE(A21359,""en"",""pt"")"),"Outro cartão de memória diferente")</f>
        <v>Outro cartão de memória diferente</v>
      </c>
      <c r="B21359" s="3">
        <v>0</v>
      </c>
    </row>
    <row r="21360" ht="15.75" customHeight="1" spans="1:2">
      <c r="A21360" s="3" t="str">
        <f>IFERROR(__xludf.DUMMYFUNCTION("GOOGLETRANSLATE(A21360,""en"",""pt"")"),"Baterias parecem correr para baixo rápida, de flash fotos ficar escuro até estalou.")</f>
        <v>Baterias parecem correr para baixo rápida, de flash fotos ficar escuro até estalou.</v>
      </c>
      <c r="B21360" s="3">
        <v>0</v>
      </c>
    </row>
    <row r="21361" ht="15.75" customHeight="1" spans="1:2">
      <c r="A21361" s="3" t="str">
        <f>IFERROR(__xludf.DUMMYFUNCTION("GOOGLETRANSLATE(A21361,""en"",""pt"")"),"Sem Black &amp; amp; Branco ou sépia configurações, (embora você pode usar o seu software)")</f>
        <v>Sem Black &amp; amp; Branco ou sépia configurações, (embora você pode usar o seu software)</v>
      </c>
      <c r="B21361" s="3">
        <v>0</v>
      </c>
    </row>
    <row r="21362" ht="15.75" customHeight="1" spans="1:2">
      <c r="A21362" s="3" t="str">
        <f>IFERROR(__xludf.DUMMYFUNCTION("GOOGLETRANSLATE(A21362,""en"",""pt"")"),"As baterias parecem correr para baixo muito rapidamente na câmara")</f>
        <v>As baterias parecem correr para baixo muito rapidamente na câmara</v>
      </c>
      <c r="B21362" s="3">
        <v>0</v>
      </c>
    </row>
    <row r="21363" ht="15.75" customHeight="1" spans="1:2">
      <c r="A21363" s="3" t="str">
        <f>IFERROR(__xludf.DUMMYFUNCTION("GOOGLETRANSLATE(A21363,""en"",""pt"")"),"tiros de movimento não são tão bons. Baterias ir w / o aviso prévio. Tampa da lente.")</f>
        <v>tiros de movimento não são tão bons. Baterias ir w / o aviso prévio. Tampa da lente.</v>
      </c>
      <c r="B21363" s="3">
        <v>0</v>
      </c>
    </row>
    <row r="21364" ht="15.75" customHeight="1" spans="1:2">
      <c r="A21364" s="3" t="str">
        <f>IFERROR(__xludf.DUMMYFUNCTION("GOOGLETRANSLATE(A21364,""en"",""pt"")"),"fica um pouco na velocidade do obturador, EVF é um pouco embaçada, foco automático precisa tweeking.")</f>
        <v>fica um pouco na velocidade do obturador, EVF é um pouco embaçada, foco automático precisa tweeking.</v>
      </c>
      <c r="B21364" s="3">
        <v>0</v>
      </c>
    </row>
    <row r="21365" ht="15.75" customHeight="1" spans="1:2">
      <c r="A21365" s="3" t="str">
        <f>IFERROR(__xludf.DUMMYFUNCTION("GOOGLETRANSLATE(A21365,""en"",""pt"")"),"fotos desfocadas para cenas de ação mínimo; tempo de atraso.")</f>
        <v>fotos desfocadas para cenas de ação mínimo; tempo de atraso.</v>
      </c>
      <c r="B21365" s="3">
        <v>0</v>
      </c>
    </row>
    <row r="21366" ht="15.75" customHeight="1" spans="1:2">
      <c r="A21366" s="3" t="str">
        <f>IFERROR(__xludf.DUMMYFUNCTION("GOOGLETRANSLATE(A21366,""en"",""pt"")"),"Nenhum")</f>
        <v>Nenhum</v>
      </c>
      <c r="B21366" s="3">
        <v>0</v>
      </c>
    </row>
    <row r="21367" ht="15.75" customHeight="1" spans="1:2">
      <c r="A21367" s="3" t="str">
        <f>IFERROR(__xludf.DUMMYFUNCTION("GOOGLETRANSLATE(A21367,""en"",""pt"")"),"tela LCD não tão acentuada como poderia ser.")</f>
        <v>tela LCD não tão acentuada como poderia ser.</v>
      </c>
      <c r="B21367" s="3">
        <v>0</v>
      </c>
    </row>
    <row r="21368" ht="15.75" customHeight="1" spans="1:2">
      <c r="A21368" s="3" t="str">
        <f>IFERROR(__xludf.DUMMYFUNCTION("GOOGLETRANSLATE(A21368,""en"",""pt"")"),"No modo de escalonamento, No manual do Zoom")</f>
        <v>No modo de escalonamento, No manual do Zoom</v>
      </c>
      <c r="B21368" s="3">
        <v>0</v>
      </c>
    </row>
    <row r="21369" ht="15.75" customHeight="1" spans="1:2">
      <c r="A21369" s="3" t="str">
        <f>IFERROR(__xludf.DUMMYFUNCTION("GOOGLETRANSLATE(A21369,""en"",""pt"")"),"Preso em ISO 100! não pode tirar fotos em ambientes fechados sem flash ou tripé")</f>
        <v>Preso em ISO 100! não pode tirar fotos em ambientes fechados sem flash ou tripé</v>
      </c>
      <c r="B21369" s="3">
        <v>0</v>
      </c>
    </row>
    <row r="21370" ht="15.75" customHeight="1" spans="1:2">
      <c r="A21370" s="3" t="str">
        <f>IFERROR(__xludf.DUMMYFUNCTION("GOOGLETRANSLATE(A21370,""en"",""pt"")"),"Até agora eu não encontrei nenhuma.")</f>
        <v>Até agora eu não encontrei nenhuma.</v>
      </c>
      <c r="B21370" s="3">
        <v>0</v>
      </c>
    </row>
    <row r="21371" ht="15.75" customHeight="1" spans="1:2">
      <c r="A21371" s="3" t="str">
        <f>IFERROR(__xludf.DUMMYFUNCTION("GOOGLETRANSLATE(A21371,""en"",""pt"")"),"Difícil de tirar fotos com pouca luz.")</f>
        <v>Difícil de tirar fotos com pouca luz.</v>
      </c>
      <c r="B21371" s="3">
        <v>0</v>
      </c>
    </row>
    <row r="21372" ht="15.75" customHeight="1" spans="1:2">
      <c r="A21372" s="3" t="str">
        <f>IFERROR(__xludf.DUMMYFUNCTION("GOOGLETRANSLATE(A21372,""en"",""pt"")"),"operação de luz de baixa pobres, deve ser avaliado em melhor do que ISO 100")</f>
        <v>operação de luz de baixa pobres, deve ser avaliado em melhor do que ISO 100</v>
      </c>
      <c r="B21372" s="3">
        <v>0</v>
      </c>
    </row>
    <row r="21373" ht="15.75" customHeight="1" spans="1:2">
      <c r="A21373" s="3" t="str">
        <f>IFERROR(__xludf.DUMMYFUNCTION("GOOGLETRANSLATE(A21373,""en"",""pt"")"),"tampa da lente frágil")</f>
        <v>tampa da lente frágil</v>
      </c>
      <c r="B21373" s="3">
        <v>0</v>
      </c>
    </row>
    <row r="21374" ht="15.75" customHeight="1" spans="1:2">
      <c r="A21374" s="3" t="str">
        <f>IFERROR(__xludf.DUMMYFUNCTION("GOOGLETRANSLATE(A21374,""en"",""pt"")"),"Não encontrei nenhum ainda")</f>
        <v>Não encontrei nenhum ainda</v>
      </c>
      <c r="B21374" s="3">
        <v>0</v>
      </c>
    </row>
    <row r="21375" ht="15.75" customHeight="1" spans="1:2">
      <c r="A21375" s="3" t="str">
        <f>IFERROR(__xludf.DUMMYFUNCTION("GOOGLETRANSLATE(A21375,""en"",""pt"")"),"Difícil descobrir como se conectar ao computador, tendo problemas e precisam de apoio técnico.")</f>
        <v>Difícil descobrir como se conectar ao computador, tendo problemas e precisam de apoio técnico.</v>
      </c>
      <c r="B21375" s="3">
        <v>0</v>
      </c>
    </row>
    <row r="21376" ht="15.75" customHeight="1" spans="1:2">
      <c r="A21376" s="3" t="str">
        <f>IFERROR(__xludf.DUMMYFUNCTION("GOOGLETRANSLATE(A21376,""en"",""pt"")"),"cartão de memória XD, um pouco volumoso, ASA (apenas 200), as fotos podem ficar desfocada sem flash")</f>
        <v>cartão de memória XD, um pouco volumoso, ASA (apenas 200), as fotos podem ficar desfocada sem flash</v>
      </c>
      <c r="B21376" s="3">
        <v>0</v>
      </c>
    </row>
    <row r="21377" ht="15.75" customHeight="1" spans="1:2">
      <c r="A21377" s="3" t="str">
        <f>IFERROR(__xludf.DUMMYFUNCTION("GOOGLETRANSLATE(A21377,""en"",""pt"")"),"Usa XD que não está prontamente disponível, zoom está no lugar estranho")</f>
        <v>Usa XD que não está prontamente disponível, zoom está no lugar estranho</v>
      </c>
      <c r="B21377" s="3">
        <v>0</v>
      </c>
    </row>
    <row r="21378" ht="15.75" customHeight="1" spans="1:2">
      <c r="A21378" s="3" t="str">
        <f>IFERROR(__xludf.DUMMYFUNCTION("GOOGLETRANSLATE(A21378,""en"",""pt"")"),"tampa da lente cai facilmente")</f>
        <v>tampa da lente cai facilmente</v>
      </c>
      <c r="B21378" s="3">
        <v>0</v>
      </c>
    </row>
    <row r="21379" ht="15.75" customHeight="1" spans="1:2">
      <c r="A21379" s="3" t="str">
        <f>IFERROR(__xludf.DUMMYFUNCTION("GOOGLETRANSLATE(A21379,""en"",""pt"")"),"Sem suporte de ancoragem (cabo USB apenas).")</f>
        <v>Sem suporte de ancoragem (cabo USB apenas).</v>
      </c>
      <c r="B21379" s="3">
        <v>0</v>
      </c>
    </row>
    <row r="21380" ht="15.75" customHeight="1" spans="1:2">
      <c r="A21380" s="3" t="str">
        <f>IFERROR(__xludf.DUMMYFUNCTION("GOOGLETRANSLATE(A21380,""en"",""pt"")"),"Um caso de vinil seria um bom acessório padrão.")</f>
        <v>Um caso de vinil seria um bom acessório padrão.</v>
      </c>
      <c r="B21380" s="3">
        <v>0</v>
      </c>
    </row>
    <row r="21381" ht="15.75" customHeight="1" spans="1:2">
      <c r="A21381" s="3" t="str">
        <f>IFERROR(__xludf.DUMMYFUNCTION("GOOGLETRANSLATE(A21381,""en"",""pt"")"),"Bateria mata o tempo")</f>
        <v>Bateria mata o tempo</v>
      </c>
      <c r="B21381" s="3">
        <v>0</v>
      </c>
    </row>
    <row r="21382" ht="15.75" customHeight="1" spans="1:2">
      <c r="A21382" s="3" t="str">
        <f>IFERROR(__xludf.DUMMYFUNCTION("GOOGLETRANSLATE(A21382,""en"",""pt"")"),"Caro, maior do que Elph")</f>
        <v>Caro, maior do que Elph</v>
      </c>
      <c r="B21382" s="3">
        <v>0</v>
      </c>
    </row>
    <row r="21383" ht="15.75" customHeight="1" spans="1:2">
      <c r="A21383" s="3" t="str">
        <f>IFERROR(__xludf.DUMMYFUNCTION("GOOGLETRANSLATE(A21383,""en"",""pt"")"),"Got limpou e jogou tag telefone com muitas pessoas @ Fujifilm EUA")</f>
        <v>Got limpou e jogou tag telefone com muitas pessoas @ Fujifilm EUA</v>
      </c>
      <c r="B21383" s="3">
        <v>0</v>
      </c>
    </row>
    <row r="21384" ht="15.75" customHeight="1" spans="1:2">
      <c r="A21384" s="3" t="str">
        <f>IFERROR(__xludf.DUMMYFUNCTION("GOOGLETRANSLATE(A21384,""en"",""pt"")"),"pode eliminar todos os tiros se não tomar cuidado com apagar")</f>
        <v>pode eliminar todos os tiros se não tomar cuidado com apagar</v>
      </c>
      <c r="B21384" s="3">
        <v>0</v>
      </c>
    </row>
    <row r="21385" ht="15.75" customHeight="1" spans="1:2">
      <c r="A21385" s="3" t="str">
        <f>IFERROR(__xludf.DUMMYFUNCTION("GOOGLETRANSLATE(A21385,""en"",""pt"")"),"adaptador sem AC")</f>
        <v>adaptador sem AC</v>
      </c>
      <c r="B21385" s="3">
        <v>0</v>
      </c>
    </row>
    <row r="21386" ht="15.75" customHeight="1" spans="1:2">
      <c r="A21386" s="3" t="str">
        <f>IFERROR(__xludf.DUMMYFUNCTION("GOOGLETRANSLATE(A21386,""en"",""pt"")"),"memória pequeno (cartão padrão) e sem zoom mecânica")</f>
        <v>memória pequeno (cartão padrão) e sem zoom mecânica</v>
      </c>
      <c r="B21386" s="3">
        <v>0</v>
      </c>
    </row>
    <row r="21387" ht="15.75" customHeight="1" spans="1:2">
      <c r="A21387" s="3" t="str">
        <f>IFERROR(__xludf.DUMMYFUNCTION("GOOGLETRANSLATE(A21387,""en"",""pt"")"),"recurso de MP3 bobo, vida útil da bateria, Armazenamento.")</f>
        <v>recurso de MP3 bobo, vida útil da bateria, Armazenamento.</v>
      </c>
      <c r="B21387" s="3">
        <v>0</v>
      </c>
    </row>
    <row r="21388" ht="15.75" customHeight="1" spans="1:2">
      <c r="A21388" s="3" t="str">
        <f>IFERROR(__xludf.DUMMYFUNCTION("GOOGLETRANSLATE(A21388,""en"",""pt"")"),"-limited armazenamento, o desempenho médio da câmara, com um fraco desempenho alcalino")</f>
        <v>-limited armazenamento, o desempenho médio da câmara, com um fraco desempenho alcalino</v>
      </c>
      <c r="B21388" s="3">
        <v>0</v>
      </c>
    </row>
    <row r="21389" ht="15.75" customHeight="1" spans="1:2">
      <c r="A21389" s="3" t="str">
        <f>IFERROR(__xludf.DUMMYFUNCTION("GOOGLETRANSLATE(A21389,""en"",""pt"")"),"Alto uso da bateria, proprietária MP3 (deve usar o software e SmartDisk incluído apenas.)")</f>
        <v>Alto uso da bateria, proprietária MP3 (deve usar o software e SmartDisk incluído apenas.)</v>
      </c>
      <c r="B21389" s="3">
        <v>0</v>
      </c>
    </row>
    <row r="21390" ht="15.75" customHeight="1" spans="1:2">
      <c r="A21390" s="3" t="str">
        <f>IFERROR(__xludf.DUMMYFUNCTION("GOOGLETRANSLATE(A21390,""en"",""pt"")"),"NO OPTICAL ZOOM, No estojo de transporte, nenhuma navegação pasta para imagens ou mp3")</f>
        <v>NO OPTICAL ZOOM, No estojo de transporte, nenhuma navegação pasta para imagens ou mp3</v>
      </c>
      <c r="B21390" s="3">
        <v>0</v>
      </c>
    </row>
    <row r="21391" ht="15.75" customHeight="1" spans="1:2">
      <c r="A21391" s="3" t="str">
        <f>IFERROR(__xludf.DUMMYFUNCTION("GOOGLETRANSLATE(A21391,""en"",""pt"")"),"logo acima qualidade de imagem média, foco pobres à noite")</f>
        <v>logo acima qualidade de imagem média, foco pobres à noite</v>
      </c>
      <c r="B21391" s="3">
        <v>0</v>
      </c>
    </row>
    <row r="21392" ht="15.75" customHeight="1" spans="1:2">
      <c r="A21392" s="3" t="str">
        <f>IFERROR(__xludf.DUMMYFUNCTION("GOOGLETRANSLATE(A21392,""en"",""pt"")"),"cabo de computador de propriedade")</f>
        <v>cabo de computador de propriedade</v>
      </c>
      <c r="B21392" s="3">
        <v>0</v>
      </c>
    </row>
    <row r="21393" ht="15.75" customHeight="1" spans="1:2">
      <c r="A21393" s="3" t="str">
        <f>IFERROR(__xludf.DUMMYFUNCTION("GOOGLETRANSLATE(A21393,""en"",""pt"")"),"suga a energia da bateria, mas rechargeables um grande trabalho.")</f>
        <v>suga a energia da bateria, mas rechargeables um grande trabalho.</v>
      </c>
      <c r="B21393" s="3">
        <v>0</v>
      </c>
    </row>
    <row r="21394" ht="15.75" customHeight="1" spans="1:2">
      <c r="A21394" s="3" t="str">
        <f>IFERROR(__xludf.DUMMYFUNCTION("GOOGLETRANSLATE(A21394,""en"",""pt"")"),"As cores são maçante, não há muito controle manual")</f>
        <v>As cores são maçante, não há muito controle manual</v>
      </c>
      <c r="B21394" s="3">
        <v>0</v>
      </c>
    </row>
    <row r="21395" ht="15.75" customHeight="1" spans="1:2">
      <c r="A21395" s="3" t="str">
        <f>IFERROR(__xludf.DUMMYFUNCTION("GOOGLETRANSLATE(A21395,""en"",""pt"")"),"resolução limitada; instantâneo")</f>
        <v>resolução limitada; instantâneo</v>
      </c>
      <c r="B21395" s="3">
        <v>0</v>
      </c>
    </row>
    <row r="21396" ht="15.75" customHeight="1" spans="1:2">
      <c r="A21396" s="3" t="str">
        <f>IFERROR(__xludf.DUMMYFUNCTION("GOOGLETRANSLATE(A21396,""en"",""pt"")"),"Tão pequena que não é levado a sério até que as impressões são produzidos")</f>
        <v>Tão pequena que não é levado a sério até que as impressões são produzidos</v>
      </c>
      <c r="B21396" s="3">
        <v>0</v>
      </c>
    </row>
    <row r="21397" ht="15.75" customHeight="1" spans="1:2">
      <c r="A21397" s="3" t="str">
        <f>IFERROR(__xludf.DUMMYFUNCTION("GOOGLETRANSLATE(A21397,""en"",""pt"")"),"Forma leva um pouco de tempo para se acostumar.")</f>
        <v>Forma leva um pouco de tempo para se acostumar.</v>
      </c>
      <c r="B21397" s="3">
        <v>0</v>
      </c>
    </row>
    <row r="21398" ht="15.75" customHeight="1" spans="1:2">
      <c r="A21398" s="3" t="str">
        <f>IFERROR(__xludf.DUMMYFUNCTION("GOOGLETRANSLATE(A21398,""en"",""pt"")"),"Eu ainda acho que os preços I pago é alto.")</f>
        <v>Eu ainda acho que os preços I pago é alto.</v>
      </c>
      <c r="B21398" s="3">
        <v>0</v>
      </c>
    </row>
    <row r="21399" ht="15.75" customHeight="1" spans="1:2">
      <c r="A21399" s="3" t="str">
        <f>IFERROR(__xludf.DUMMYFUNCTION("GOOGLETRANSLATE(A21399,""en"",""pt"")"),"gostaria que teve melhor fast-imagens em movimento")</f>
        <v>gostaria que teve melhor fast-imagens em movimento</v>
      </c>
      <c r="B21399" s="3">
        <v>0</v>
      </c>
    </row>
    <row r="21400" ht="15.75" customHeight="1" spans="1:2">
      <c r="A21400" s="3" t="str">
        <f>IFERROR(__xludf.DUMMYFUNCTION("GOOGLETRANSLATE(A21400,""en"",""pt"")"),"Pequena lente aberturas relógio média para fora a vibração da câmara")</f>
        <v>Pequena lente aberturas relógio média para fora a vibração da câmara</v>
      </c>
      <c r="B21400" s="3">
        <v>0</v>
      </c>
    </row>
    <row r="21401" ht="15.75" customHeight="1" spans="1:2">
      <c r="A21401" s="3" t="str">
        <f>IFERROR(__xludf.DUMMYFUNCTION("GOOGLETRANSLATE(A21401,""en"",""pt"")"),"Borrada com pouca luz.")</f>
        <v>Borrada com pouca luz.</v>
      </c>
      <c r="B21401" s="3">
        <v>0</v>
      </c>
    </row>
    <row r="21402" ht="15.75" customHeight="1" spans="1:2">
      <c r="A21402" s="3" t="str">
        <f>IFERROR(__xludf.DUMMYFUNCTION("GOOGLETRANSLATE(A21402,""en"",""pt"")"),"Para meu uso há muito poucos - close-ups única 20 centímetros")</f>
        <v>Para meu uso há muito poucos - close-ups única 20 centímetros</v>
      </c>
      <c r="B21402" s="3">
        <v>0</v>
      </c>
    </row>
    <row r="21403" ht="15.75" customHeight="1" spans="1:2">
      <c r="A21403" s="3" t="str">
        <f>IFERROR(__xludf.DUMMYFUNCTION("GOOGLETRANSLATE(A21403,""en"",""pt"")"),"carregador standerd é lento")</f>
        <v>carregador standerd é lento</v>
      </c>
      <c r="B21403" s="3">
        <v>0</v>
      </c>
    </row>
    <row r="21404" ht="15.75" customHeight="1" spans="1:2">
      <c r="A21404" s="3" t="str">
        <f>IFERROR(__xludf.DUMMYFUNCTION("GOOGLETRANSLATE(A21404,""en"",""pt"")"),"Preço, flash fraco, escolhas resolução limitada")</f>
        <v>Preço, flash fraco, escolhas resolução limitada</v>
      </c>
      <c r="B21404" s="3">
        <v>0</v>
      </c>
    </row>
    <row r="21405" ht="15.75" customHeight="1" spans="1:2">
      <c r="A21405" s="3" t="str">
        <f>IFERROR(__xludf.DUMMYFUNCTION("GOOGLETRANSLATE(A21405,""en"",""pt"")"),"Suga, potência do flash do AA")</f>
        <v>Suga, potência do flash do AA</v>
      </c>
      <c r="B21405" s="3">
        <v>0</v>
      </c>
    </row>
    <row r="21406" ht="15.75" customHeight="1" spans="1:2">
      <c r="A21406" s="3" t="str">
        <f>IFERROR(__xludf.DUMMYFUNCTION("GOOGLETRANSLATE(A21406,""en"",""pt"")"),"tipo de caro")</f>
        <v>tipo de caro</v>
      </c>
      <c r="B21406" s="3">
        <v>0</v>
      </c>
    </row>
    <row r="21407" ht="15.75" customHeight="1" spans="1:2">
      <c r="A21407" s="3" t="str">
        <f>IFERROR(__xludf.DUMMYFUNCTION("GOOGLETRANSLATE(A21407,""en"",""pt"")"),"colocação estranha de botões de zoom; onde está AutoVisualização?")</f>
        <v>colocação estranha de botões de zoom; onde está AutoVisualização?</v>
      </c>
      <c r="B21407" s="3">
        <v>0</v>
      </c>
    </row>
    <row r="21408" ht="15.75" customHeight="1" spans="1:2">
      <c r="A21408" s="3" t="str">
        <f>IFERROR(__xludf.DUMMYFUNCTION("GOOGLETRANSLATE(A21408,""en"",""pt"")"),"só a qualidade de imagem média")</f>
        <v>só a qualidade de imagem média</v>
      </c>
      <c r="B21408" s="3">
        <v>0</v>
      </c>
    </row>
    <row r="21409" ht="15.75" customHeight="1" spans="1:2">
      <c r="A21409" s="3" t="str">
        <f>IFERROR(__xludf.DUMMYFUNCTION("GOOGLETRANSLATE(A21409,""en"",""pt"")"),"vida útil da bateria é baixo")</f>
        <v>vida útil da bateria é baixo</v>
      </c>
      <c r="B21409" s="3">
        <v>0</v>
      </c>
    </row>
    <row r="21410" ht="15.75" customHeight="1" spans="1:2">
      <c r="A21410" s="3" t="str">
        <f>IFERROR(__xludf.DUMMYFUNCTION("GOOGLETRANSLATE(A21410,""en"",""pt"")"),"Caro!")</f>
        <v>Caro!</v>
      </c>
      <c r="B21410" s="3">
        <v>0</v>
      </c>
    </row>
    <row r="21411" ht="15.75" customHeight="1" spans="1:2">
      <c r="A21411" s="3" t="str">
        <f>IFERROR(__xludf.DUMMYFUNCTION("GOOGLETRANSLATE(A21411,""en"",""pt"")"),"preço")</f>
        <v>preço</v>
      </c>
      <c r="B21411" s="3">
        <v>0</v>
      </c>
    </row>
    <row r="21412" ht="15.75" customHeight="1" spans="1:2">
      <c r="A21412" s="3" t="str">
        <f>IFERROR(__xludf.DUMMYFUNCTION("GOOGLETRANSLATE(A21412,""en"",""pt"")"),"Não vai se concentrar em pouca luz.")</f>
        <v>Não vai se concentrar em pouca luz.</v>
      </c>
      <c r="B21412" s="3">
        <v>0</v>
      </c>
    </row>
    <row r="21413" ht="15.75" customHeight="1" spans="1:2">
      <c r="A21413" s="3" t="str">
        <f>IFERROR(__xludf.DUMMYFUNCTION("GOOGLETRANSLATE(A21413,""en"",""pt"")"),"vida útil da bateria")</f>
        <v>vida útil da bateria</v>
      </c>
      <c r="B21413" s="3">
        <v>0</v>
      </c>
    </row>
    <row r="21414" ht="15.75" customHeight="1" spans="1:2">
      <c r="A21414" s="3" t="str">
        <f>IFERROR(__xludf.DUMMYFUNCTION("GOOGLETRANSLATE(A21414,""en"",""pt"")"),"Sem acesso a matérias-pixels")</f>
        <v>Sem acesso a matérias-pixels</v>
      </c>
      <c r="B21414" s="3">
        <v>0</v>
      </c>
    </row>
    <row r="21415" ht="15.75" customHeight="1" spans="1:2">
      <c r="A21415" s="3" t="str">
        <f>IFERROR(__xludf.DUMMYFUNCTION("GOOGLETRANSLATE(A21415,""en"",""pt"")"),"Deixa de corresponder às expectativas")</f>
        <v>Deixa de corresponder às expectativas</v>
      </c>
      <c r="B21415" s="3">
        <v>0</v>
      </c>
    </row>
    <row r="21416" ht="15.75" customHeight="1" spans="1:2">
      <c r="A21416" s="3" t="str">
        <f>IFERROR(__xludf.DUMMYFUNCTION("GOOGLETRANSLATE(A21416,""en"",""pt"")"),"vida útil da bateria")</f>
        <v>vida útil da bateria</v>
      </c>
      <c r="B21416" s="3">
        <v>0</v>
      </c>
    </row>
    <row r="21417" ht="15.75" customHeight="1" spans="1:2">
      <c r="A21417" s="3" t="str">
        <f>IFERROR(__xludf.DUMMYFUNCTION("GOOGLETRANSLATE(A21417,""en"",""pt"")"),"usando bateria ecrã LCD drenos")</f>
        <v>usando bateria ecrã LCD drenos</v>
      </c>
      <c r="B21417" s="3">
        <v>0</v>
      </c>
    </row>
    <row r="21418" ht="15.75" customHeight="1" spans="1:2">
      <c r="A21418" s="3" t="str">
        <f>IFERROR(__xludf.DUMMYFUNCTION("GOOGLETRANSLATE(A21418,""en"",""pt"")"),"porta de flash pegajoso, por vezes difícil de espera")</f>
        <v>porta de flash pegajoso, por vezes difícil de espera</v>
      </c>
      <c r="B21418" s="3">
        <v>0</v>
      </c>
    </row>
    <row r="21419" ht="15.75" customHeight="1" spans="1:2">
      <c r="A21419" s="3" t="str">
        <f>IFERROR(__xludf.DUMMYFUNCTION("GOOGLETRANSLATE(A21419,""en"",""pt"")"),"bateria, talvez uma célula de lítio, em vez")</f>
        <v>bateria, talvez uma célula de lítio, em vez</v>
      </c>
      <c r="B21419" s="3">
        <v>0</v>
      </c>
    </row>
    <row r="21420" ht="15.75" customHeight="1" spans="1:2">
      <c r="A21420" s="3" t="str">
        <f>IFERROR(__xludf.DUMMYFUNCTION("GOOGLETRANSLATE(A21420,""en"",""pt"")"),"um pouco caro, os filmes não são reproduzidos no Windows Media Player padrão")</f>
        <v>um pouco caro, os filmes não são reproduzidos no Windows Media Player padrão</v>
      </c>
      <c r="B21420" s="3">
        <v>0</v>
      </c>
    </row>
    <row r="21421" ht="15.75" customHeight="1" spans="1:2">
      <c r="A21421" s="3" t="str">
        <f>IFERROR(__xludf.DUMMYFUNCTION("GOOGLETRANSLATE(A21421,""en"",""pt"")"),"Suga as baterias. O Flash não aparecer automaticamente, se necessário.")</f>
        <v>Suga as baterias. O Flash não aparecer automaticamente, se necessário.</v>
      </c>
      <c r="B21421" s="3">
        <v>0</v>
      </c>
    </row>
    <row r="21422" ht="15.75" customHeight="1" spans="1:2">
      <c r="A21422" s="3" t="str">
        <f>IFERROR(__xludf.DUMMYFUNCTION("GOOGLETRANSLATE(A21422,""en"",""pt"")"),"barril distorção, sem 1600x1200, fotos borradas, ergonomia, modo manual, usb jack, flash, nenhum caso")</f>
        <v>barril distorção, sem 1600x1200, fotos borradas, ergonomia, modo manual, usb jack, flash, nenhum caso</v>
      </c>
      <c r="B21422" s="3">
        <v>0</v>
      </c>
    </row>
    <row r="21423" ht="15.75" customHeight="1" spans="1:2">
      <c r="A21423" s="3" t="str">
        <f>IFERROR(__xludf.DUMMYFUNCTION("GOOGLETRANSLATE(A21423,""en"",""pt"")"),"não mais alta resolução - Nikon 990, a Olympus 3030 melhor qualidade de imagem ainda maior")</f>
        <v>não mais alta resolução - Nikon 990, a Olympus 3030 melhor qualidade de imagem ainda maior</v>
      </c>
      <c r="B21423" s="3">
        <v>0</v>
      </c>
    </row>
    <row r="21424" ht="15.75" customHeight="1" spans="1:2">
      <c r="A21424" s="3" t="str">
        <f>IFERROR(__xludf.DUMMYFUNCTION("GOOGLETRANSLATE(A21424,""en"",""pt"")"),"caro")</f>
        <v>caro</v>
      </c>
      <c r="B21424" s="3">
        <v>0</v>
      </c>
    </row>
    <row r="21425" ht="15.75" customHeight="1" spans="1:2">
      <c r="A21425" s="3" t="str">
        <f>IFERROR(__xludf.DUMMYFUNCTION("GOOGLETRANSLATE(A21425,""en"",""pt"")"),"nenhuma configuração de resolução média")</f>
        <v>nenhuma configuração de resolução média</v>
      </c>
      <c r="B21425" s="3">
        <v>0</v>
      </c>
    </row>
    <row r="21426" ht="15.75" customHeight="1" spans="1:2">
      <c r="A21426" s="3" t="str">
        <f>IFERROR(__xludf.DUMMYFUNCTION("GOOGLETRANSLATE(A21426,""en"",""pt"")"),"n / D")</f>
        <v>n / D</v>
      </c>
      <c r="B21426" s="3">
        <v>0</v>
      </c>
    </row>
    <row r="21427" ht="15.75" customHeight="1" spans="1:2">
      <c r="A21427" s="3" t="str">
        <f>IFERROR(__xludf.DUMMYFUNCTION("GOOGLETRANSLATE(A21427,""en"",""pt"")"),"Não há contras que eu posso falar!")</f>
        <v>Não há contras que eu posso falar!</v>
      </c>
      <c r="B21427" s="3">
        <v>0</v>
      </c>
    </row>
    <row r="21428" ht="15.75" customHeight="1" spans="1:2">
      <c r="A21428" s="3" t="str">
        <f>IFERROR(__xludf.DUMMYFUNCTION("GOOGLETRANSLATE(A21428,""en"",""pt"")"),"Auto foco requer algum finesse, opções manuais são apenas uma novidade")</f>
        <v>Auto foco requer algum finesse, opções manuais são apenas uma novidade</v>
      </c>
      <c r="B21428" s="3">
        <v>0</v>
      </c>
    </row>
    <row r="21429" ht="15.75" customHeight="1" spans="1:2">
      <c r="A21429" s="3" t="str">
        <f>IFERROR(__xludf.DUMMYFUNCTION("GOOGLETRANSLATE(A21429,""en"",""pt"")"),"lente poderia ser mais acentuada nas bordas, o foco, por vezes, complicado com pouca luz")</f>
        <v>lente poderia ser mais acentuada nas bordas, o foco, por vezes, complicado com pouca luz</v>
      </c>
      <c r="B21429" s="3">
        <v>0</v>
      </c>
    </row>
    <row r="21430" ht="15.75" customHeight="1" spans="1:2">
      <c r="A21430" s="3" t="str">
        <f>IFERROR(__xludf.DUMMYFUNCTION("GOOGLETRANSLATE(A21430,""en"",""pt"")"),"Para o menu novos usuários é um pouco confuso. Basta ler o manual!")</f>
        <v>Para o menu novos usuários é um pouco confuso. Basta ler o manual!</v>
      </c>
      <c r="B21430" s="3">
        <v>0</v>
      </c>
    </row>
    <row r="21431" ht="15.75" customHeight="1" spans="1:2">
      <c r="A21431" s="3" t="str">
        <f>IFERROR(__xludf.DUMMYFUNCTION("GOOGLETRANSLATE(A21431,""en"",""pt"")"),"Pouco estranho para segurar.")</f>
        <v>Pouco estranho para segurar.</v>
      </c>
      <c r="B21431" s="3">
        <v>0</v>
      </c>
    </row>
    <row r="21432" ht="15.75" customHeight="1" spans="1:2">
      <c r="A21432" s="3" t="str">
        <f>IFERROR(__xludf.DUMMYFUNCTION("GOOGLETRANSLATE(A21432,""en"",""pt"")"),"flash de luz fraca, botões de controlo de zoom não intuitivos, para amadores única")</f>
        <v>flash de luz fraca, botões de controlo de zoom não intuitivos, para amadores única</v>
      </c>
      <c r="B21432" s="3">
        <v>0</v>
      </c>
    </row>
    <row r="21433" ht="15.75" customHeight="1" spans="1:2">
      <c r="A21433" s="3" t="str">
        <f>IFERROR(__xludf.DUMMYFUNCTION("GOOGLETRANSLATE(A21433,""en"",""pt"")"),"Falta de controle do obturador / aperature. sistema de menu complicado para recursos avançados.")</f>
        <v>Falta de controle do obturador / aperature. sistema de menu complicado para recursos avançados.</v>
      </c>
      <c r="B21433" s="3">
        <v>0</v>
      </c>
    </row>
    <row r="21434" ht="15.75" customHeight="1" spans="1:2">
      <c r="A21434" s="3" t="str">
        <f>IFERROR(__xludf.DUMMYFUNCTION("GOOGLETRANSLATE(A21434,""en"",""pt"")"),"Difícil de se concentrar em condições de pouca luz.")</f>
        <v>Difícil de se concentrar em condições de pouca luz.</v>
      </c>
      <c r="B21434" s="3">
        <v>0</v>
      </c>
    </row>
    <row r="21435" ht="15.75" customHeight="1" spans="1:2">
      <c r="A21435" s="3" t="str">
        <f>IFERROR(__xludf.DUMMYFUNCTION("GOOGLETRANSLATE(A21435,""en"",""pt"")"),"Foco pobres, não é fácil de manusear com uma mão. Não o suficiente Operação manual")</f>
        <v>Foco pobres, não é fácil de manusear com uma mão. Não o suficiente Operação manual</v>
      </c>
      <c r="B21435" s="3">
        <v>0</v>
      </c>
    </row>
    <row r="21436" ht="15.75" customHeight="1" spans="1:2">
      <c r="A21436" s="3" t="str">
        <f>IFERROR(__xludf.DUMMYFUNCTION("GOOGLETRANSLATE(A21436,""en"",""pt"")"),"Battery Saver fecha off recurso LCD muito cedo, a vida da bateria, visor eletrônico")</f>
        <v>Battery Saver fecha off recurso LCD muito cedo, a vida da bateria, visor eletrônico</v>
      </c>
      <c r="B21436" s="3">
        <v>0</v>
      </c>
    </row>
    <row r="21437" ht="15.75" customHeight="1" spans="1:2">
      <c r="A21437" s="3" t="str">
        <f>IFERROR(__xludf.DUMMYFUNCTION("GOOGLETRANSLATE(A21437,""en"",""pt"")"),"bateria")</f>
        <v>bateria</v>
      </c>
      <c r="B21437" s="3">
        <v>0</v>
      </c>
    </row>
    <row r="21438" ht="15.75" customHeight="1" spans="1:2">
      <c r="A21438" s="3" t="str">
        <f>IFERROR(__xludf.DUMMYFUNCTION("GOOGLETRANSLATE(A21438,""en"",""pt"")"),"Exif espectador e lançador são complicados, você será frustrado tentando d / l w / USB port")</f>
        <v>Exif espectador e lançador são complicados, você será frustrado tentando d / l w / USB port</v>
      </c>
      <c r="B21438" s="3">
        <v>0</v>
      </c>
    </row>
    <row r="21439" ht="15.75" customHeight="1" spans="1:2">
      <c r="A21439" s="3" t="str">
        <f>IFERROR(__xludf.DUMMYFUNCTION("GOOGLETRANSLATE(A21439,""en"",""pt"")"),"computador congela durante várias vezes durante a transferência USB, granuladas interior pics, usa bateria para cima rápida")</f>
        <v>computador congela durante várias vezes durante a transferência USB, granuladas interior pics, usa bateria para cima rápida</v>
      </c>
      <c r="B21439" s="3">
        <v>0</v>
      </c>
    </row>
    <row r="21440" ht="15.75" customHeight="1" spans="1:2">
      <c r="A21440" s="3" t="str">
        <f>IFERROR(__xludf.DUMMYFUNCTION("GOOGLETRANSLATE(A21440,""en"",""pt"")"),"descarregamento USB-cabo da BMI é problemático; 'SmartMedia' cartões de armazenamento são caros; não stablization imagem.")</f>
        <v>descarregamento USB-cabo da BMI é problemático; 'SmartMedia' cartões de armazenamento são caros; não stablization imagem.</v>
      </c>
      <c r="B21440" s="3">
        <v>0</v>
      </c>
    </row>
    <row r="21441" ht="15.75" customHeight="1" spans="1:2">
      <c r="A21441" s="3" t="str">
        <f>IFERROR(__xludf.DUMMYFUNCTION("GOOGLETRANSLATE(A21441,""en"",""pt"")"),"Seria ainda melhor com um visor óptico uma algumas outras opções.")</f>
        <v>Seria ainda melhor com um visor óptico uma algumas outras opções.</v>
      </c>
      <c r="B21441" s="3">
        <v>0</v>
      </c>
    </row>
    <row r="21442" ht="15.75" customHeight="1" spans="1:2">
      <c r="A21442" s="3" t="str">
        <f>IFERROR(__xludf.DUMMYFUNCTION("GOOGLETRANSLATE(A21442,""en"",""pt"")"),"curta duração da bateria")</f>
        <v>curta duração da bateria</v>
      </c>
      <c r="B21442" s="3">
        <v>0</v>
      </c>
    </row>
    <row r="21443" ht="15.75" customHeight="1" spans="1:2">
      <c r="A21443" s="3" t="str">
        <f>IFERROR(__xludf.DUMMYFUNCTION("GOOGLETRANSLATE(A21443,""en"",""pt"")"),"Smartmedia 64 megas limites número de imagens em maior resolução")</f>
        <v>Smartmedia 64 megas limites número de imagens em maior resolução</v>
      </c>
      <c r="B21443" s="3">
        <v>0</v>
      </c>
    </row>
    <row r="21444" ht="15.75" customHeight="1" spans="1:2">
      <c r="A21444" s="3" t="str">
        <f>IFERROR(__xludf.DUMMYFUNCTION("GOOGLETRANSLATE(A21444,""en"",""pt"")"),"Visor impossível usar exterior com óculos de sol, e difícil sem eles")</f>
        <v>Visor impossível usar exterior com óculos de sol, e difícil sem eles</v>
      </c>
      <c r="B21444" s="3">
        <v>0</v>
      </c>
    </row>
    <row r="21445" ht="15.75" customHeight="1" spans="1:2">
      <c r="A21445" s="3" t="str">
        <f>IFERROR(__xludf.DUMMYFUNCTION("GOOGLETRANSLATE(A21445,""en"",""pt"")"),"piscam quebrado quando comprado e teve de ser substituído")</f>
        <v>piscam quebrado quando comprado e teve de ser substituído</v>
      </c>
      <c r="B21445" s="3">
        <v>0</v>
      </c>
    </row>
    <row r="21446" ht="15.75" customHeight="1" spans="1:2">
      <c r="A21446" s="3" t="str">
        <f>IFERROR(__xludf.DUMMYFUNCTION("GOOGLETRANSLATE(A21446,""en"",""pt"")"),"come seu disco rígido; despesa relativa de cartões de mídia inteligentes, aplicações multimídia")</f>
        <v>come seu disco rígido; despesa relativa de cartões de mídia inteligentes, aplicações multimídia</v>
      </c>
      <c r="B21446" s="3">
        <v>0</v>
      </c>
    </row>
    <row r="21447" ht="15.75" customHeight="1" spans="1:2">
      <c r="A21447" s="3" t="str">
        <f>IFERROR(__xludf.DUMMYFUNCTION("GOOGLETRANSLATE(A21447,""en"",""pt"")"),"Os tiros interiores parecer granulada, mesmo com flash; sem áudio com vídeo")</f>
        <v>Os tiros interiores parecer granulada, mesmo com flash; sem áudio com vídeo</v>
      </c>
      <c r="B21447" s="3">
        <v>0</v>
      </c>
    </row>
    <row r="21448" ht="15.75" customHeight="1" spans="1:2">
      <c r="A21448" s="3" t="str">
        <f>IFERROR(__xludf.DUMMYFUNCTION("GOOGLETRANSLATE(A21448,""en"",""pt"")"),"falha de software, há segmentos de filtro, poder rápida salvar, vida curta da bateria")</f>
        <v>falha de software, há segmentos de filtro, poder rápida salvar, vida curta da bateria</v>
      </c>
      <c r="B21448" s="3">
        <v>0</v>
      </c>
    </row>
    <row r="21449" ht="15.75" customHeight="1" spans="1:2">
      <c r="A21449" s="3" t="str">
        <f>IFERROR(__xludf.DUMMYFUNCTION("GOOGLETRANSLATE(A21449,""en"",""pt"")"),"bateria, provavelmente pilhas AA padrão seria torná-lo mais versátil")</f>
        <v>bateria, provavelmente pilhas AA padrão seria torná-lo mais versátil</v>
      </c>
      <c r="B21449" s="3">
        <v>0</v>
      </c>
    </row>
    <row r="21450" ht="15.75" customHeight="1" spans="1:2">
      <c r="A21450" s="3" t="str">
        <f>IFERROR(__xludf.DUMMYFUNCTION("GOOGLETRANSLATE(A21450,""en"",""pt"")"),"Por que gastar tanto quando 4700 é melhor")</f>
        <v>Por que gastar tanto quando 4700 é melhor</v>
      </c>
      <c r="B21450" s="3">
        <v>0</v>
      </c>
    </row>
    <row r="21451" ht="15.75" customHeight="1" spans="1:2">
      <c r="A21451" s="3" t="str">
        <f>IFERROR(__xludf.DUMMYFUNCTION("GOOGLETRANSLATE(A21451,""en"",""pt"")"),"Trivial coisas interface, opção de filme é apenas um tack-on, quase demasiado pequeno para mãos maiores")</f>
        <v>Trivial coisas interface, opção de filme é apenas um tack-on, quase demasiado pequeno para mãos maiores</v>
      </c>
      <c r="B21451" s="3">
        <v>0</v>
      </c>
    </row>
    <row r="21452" ht="15.75" customHeight="1" spans="1:2">
      <c r="A21452" s="3" t="str">
        <f>IFERROR(__xludf.DUMMYFUNCTION("GOOGLETRANSLATE(A21452,""en"",""pt"")"),"Flash poderia ter sido um pouco mais poderosa, Definitivamente precisa de um Smart Card 64MB")</f>
        <v>Flash poderia ter sido um pouco mais poderosa, Definitivamente precisa de um Smart Card 64MB</v>
      </c>
      <c r="B21452" s="3">
        <v>0</v>
      </c>
    </row>
    <row r="21453" ht="15.75" customHeight="1" spans="1:2">
      <c r="A21453" s="3" t="str">
        <f>IFERROR(__xludf.DUMMYFUNCTION("GOOGLETRANSLATE(A21453,""en"",""pt"")"),"Só vem com um cartão de 16MB")</f>
        <v>Só vem com um cartão de 16MB</v>
      </c>
      <c r="B21453" s="3">
        <v>0</v>
      </c>
    </row>
    <row r="21454" ht="15.75" customHeight="1" spans="1:2">
      <c r="A21454" s="3" t="str">
        <f>IFERROR(__xludf.DUMMYFUNCTION("GOOGLETRANSLATE(A21454,""en"",""pt"")"),"Não totalmente compatível com Mac, precisa de um maior Smart Media Card")</f>
        <v>Não totalmente compatível com Mac, precisa de um maior Smart Media Card</v>
      </c>
      <c r="B21454" s="3">
        <v>0</v>
      </c>
    </row>
    <row r="21455" ht="15.75" customHeight="1" spans="1:2">
      <c r="A21455" s="3" t="str">
        <f>IFERROR(__xludf.DUMMYFUNCTION("GOOGLETRANSLATE(A21455,""en"",""pt"")"),"Distantes Imagens Pobres, da bateria se desgasta rapidamente, Pequenas e inábil para segurar")</f>
        <v>Distantes Imagens Pobres, da bateria se desgasta rapidamente, Pequenas e inábil para segurar</v>
      </c>
      <c r="B21455" s="3">
        <v>0</v>
      </c>
    </row>
    <row r="21456" ht="15.75" customHeight="1" spans="1:2">
      <c r="A21456" s="3" t="str">
        <f>IFERROR(__xludf.DUMMYFUNCTION("GOOGLETRANSLATE(A21456,""en"",""pt"")"),"O manual de instruções é um pouco vago em algumas seções.")</f>
        <v>O manual de instruções é um pouco vago em algumas seções.</v>
      </c>
      <c r="B21456" s="3">
        <v>0</v>
      </c>
    </row>
    <row r="21457" ht="15.75" customHeight="1" spans="1:2">
      <c r="A21457" s="3" t="str">
        <f>IFERROR(__xludf.DUMMYFUNCTION("GOOGLETRANSLATE(A21457,""en"",""pt"")"),"Caro, teve problemas com os vídeos no meu PC")</f>
        <v>Caro, teve problemas com os vídeos no meu PC</v>
      </c>
      <c r="B21457" s="3">
        <v>0</v>
      </c>
    </row>
    <row r="21458" ht="15.75" customHeight="1" spans="1:2">
      <c r="A21458" s="3" t="str">
        <f>IFERROR(__xludf.DUMMYFUNCTION("GOOGLETRANSLATE(A21458,""en"",""pt"")"),"Nenhum")</f>
        <v>Nenhum</v>
      </c>
      <c r="B21458" s="3">
        <v>0</v>
      </c>
    </row>
    <row r="21459" ht="15.75" customHeight="1" spans="1:2">
      <c r="A21459" s="3" t="str">
        <f>IFERROR(__xludf.DUMMYFUNCTION("GOOGLETRANSLATE(A21459,""en"",""pt"")"),"não se concentrar muito bem! Não é possível obter ajuda de Fuji. Bateria é um passo para trás.")</f>
        <v>não se concentrar muito bem! Não é possível obter ajuda de Fuji. Bateria é um passo para trás.</v>
      </c>
      <c r="B21459" s="3">
        <v>0</v>
      </c>
    </row>
    <row r="21460" ht="15.75" customHeight="1" spans="1:2">
      <c r="A21460" s="3" t="str">
        <f>IFERROR(__xludf.DUMMYFUNCTION("GOOGLETRANSLATE(A21460,""en"",""pt"")"),"Nenhum")</f>
        <v>Nenhum</v>
      </c>
      <c r="B21460" s="3">
        <v>0</v>
      </c>
    </row>
    <row r="21461" ht="15.75" customHeight="1" spans="1:2">
      <c r="A21461" s="3" t="str">
        <f>IFERROR(__xludf.DUMMYFUNCTION("GOOGLETRANSLATE(A21461,""en"",""pt"")"),"Nenhum")</f>
        <v>Nenhum</v>
      </c>
      <c r="B21461" s="3">
        <v>0</v>
      </c>
    </row>
    <row r="21462" ht="15.75" customHeight="1" spans="1:2">
      <c r="A21462" s="3" t="str">
        <f>IFERROR(__xludf.DUMMYFUNCTION("GOOGLETRANSLATE(A21462,""en"",""pt"")"),"visor, sem microfone para vídeo, limitando a velocidade do obturador")</f>
        <v>visor, sem microfone para vídeo, limitando a velocidade do obturador</v>
      </c>
      <c r="B21462" s="3">
        <v>0</v>
      </c>
    </row>
    <row r="21463" ht="15.75" customHeight="1" spans="1:2">
      <c r="A21463" s="3" t="str">
        <f>IFERROR(__xludf.DUMMYFUNCTION("GOOGLETRANSLATE(A21463,""en"",""pt"")"),"bateria bastante fraco, enquadramento imprecisa do visor, suporte para carregador não fornecido")</f>
        <v>bateria bastante fraco, enquadramento imprecisa do visor, suporte para carregador não fornecido</v>
      </c>
      <c r="B21463" s="3">
        <v>0</v>
      </c>
    </row>
    <row r="21464" ht="15.75" customHeight="1" spans="1:2">
      <c r="A21464" s="3" t="str">
        <f>IFERROR(__xludf.DUMMYFUNCTION("GOOGLETRANSLATE(A21464,""en"",""pt"")"),"imagens do visor granuladas, só vem com cartão de 8Mb SM")</f>
        <v>imagens do visor granuladas, só vem com cartão de 8Mb SM</v>
      </c>
      <c r="B21464" s="3">
        <v>0</v>
      </c>
    </row>
    <row r="21465" ht="15.75" customHeight="1" spans="1:2">
      <c r="A21465" s="3" t="str">
        <f>IFERROR(__xludf.DUMMYFUNCTION("GOOGLETRANSLATE(A21465,""en"",""pt"")"),"Plasticky, não LCD giratório, beberrão bateria &amp; amp; quente durante a operação")</f>
        <v>Plasticky, não LCD giratório, beberrão bateria &amp; amp; quente durante a operação</v>
      </c>
      <c r="B21465" s="3">
        <v>0</v>
      </c>
    </row>
    <row r="21466" ht="15.75" customHeight="1" spans="1:2">
      <c r="A21466" s="3" t="str">
        <f>IFERROR(__xludf.DUMMYFUNCTION("GOOGLETRANSLATE(A21466,""en"",""pt"")"),"Longo atraso entre recargas flash, &amp; amp; único cartão de memória de 16MB.")</f>
        <v>Longo atraso entre recargas flash, &amp; amp; único cartão de memória de 16MB.</v>
      </c>
      <c r="B21466" s="3">
        <v>0</v>
      </c>
    </row>
    <row r="21467" ht="15.75" customHeight="1" spans="1:2">
      <c r="A21467" s="3" t="str">
        <f>IFERROR(__xludf.DUMMYFUNCTION("GOOGLETRANSLATE(A21467,""en"",""pt"")"),"piscar como em todos Digitais inadequada")</f>
        <v>piscar como em todos Digitais inadequada</v>
      </c>
      <c r="B21467" s="3">
        <v>0</v>
      </c>
    </row>
    <row r="21468" ht="15.75" customHeight="1" spans="1:2">
      <c r="A21468" s="3" t="str">
        <f>IFERROR(__xludf.DUMMYFUNCTION("GOOGLETRANSLATE(A21468,""en"",""pt"")"),"inicialização lenta. carga lenta em Flash entre as imagens")</f>
        <v>inicialização lenta. carga lenta em Flash entre as imagens</v>
      </c>
      <c r="B21468" s="3">
        <v>0</v>
      </c>
    </row>
    <row r="21469" ht="15.75" customHeight="1" spans="1:2">
      <c r="A21469" s="3" t="str">
        <f>IFERROR(__xludf.DUMMYFUNCTION("GOOGLETRANSLATE(A21469,""en"",""pt"")"),"terrível vida útil da bateria. desempenho lento. visor eletrônico. ISO 400 parece insuficiente.")</f>
        <v>terrível vida útil da bateria. desempenho lento. visor eletrônico. ISO 400 parece insuficiente.</v>
      </c>
      <c r="B21469" s="3">
        <v>0</v>
      </c>
    </row>
    <row r="21470" ht="15.75" customHeight="1" spans="1:2">
      <c r="A21470" s="3" t="str">
        <f>IFERROR(__xludf.DUMMYFUNCTION("GOOGLETRANSLATE(A21470,""en"",""pt"")"),"vida útil da bateria")</f>
        <v>vida útil da bateria</v>
      </c>
      <c r="B21470" s="3">
        <v>0</v>
      </c>
    </row>
    <row r="21471" ht="15.75" customHeight="1" spans="1:2">
      <c r="A21471" s="3" t="str">
        <f>IFERROR(__xludf.DUMMYFUNCTION("GOOGLETRANSLATE(A21471,""en"",""pt"")"),"uso de energia, visor, som filme, disponibilidade, preço.")</f>
        <v>uso de energia, visor, som filme, disponibilidade, preço.</v>
      </c>
      <c r="B21471" s="3">
        <v>0</v>
      </c>
    </row>
    <row r="21472" ht="15.75" customHeight="1" spans="1:2">
      <c r="A21472" s="3" t="str">
        <f>IFERROR(__xludf.DUMMYFUNCTION("GOOGLETRANSLATE(A21472,""en"",""pt"")"),"Ainda olhando")</f>
        <v>Ainda olhando</v>
      </c>
      <c r="B21472" s="3">
        <v>0</v>
      </c>
    </row>
    <row r="21473" ht="15.75" customHeight="1" spans="1:2">
      <c r="A21473" s="3" t="str">
        <f>IFERROR(__xludf.DUMMYFUNCTION("GOOGLETRANSLATE(A21473,""en"",""pt"")"),"Sem zoom óptico, a qualidade da lente poderia ser melhor")</f>
        <v>Sem zoom óptico, a qualidade da lente poderia ser melhor</v>
      </c>
      <c r="B21473" s="3">
        <v>0</v>
      </c>
    </row>
    <row r="21474" ht="15.75" customHeight="1" spans="1:2">
      <c r="A21474" s="3" t="str">
        <f>IFERROR(__xludf.DUMMYFUNCTION("GOOGLETRANSLATE(A21474,""en"",""pt"")"),"Viciante!")</f>
        <v>Viciante!</v>
      </c>
      <c r="B21474" s="3">
        <v>0</v>
      </c>
    </row>
    <row r="21475" ht="15.75" customHeight="1" spans="1:2">
      <c r="A21475" s="3" t="str">
        <f>IFERROR(__xludf.DUMMYFUNCTION("GOOGLETRANSLATE(A21475,""en"",""pt"")"),"display LCD suga baterias de secagem rápida")</f>
        <v>display LCD suga baterias de secagem rápida</v>
      </c>
      <c r="B21475" s="3">
        <v>0</v>
      </c>
    </row>
    <row r="21476" ht="15.75" customHeight="1" spans="1:2">
      <c r="A21476" s="3" t="str">
        <f>IFERROR(__xludf.DUMMYFUNCTION("GOOGLETRANSLATE(A21476,""en"",""pt"")"),"Nenhum")</f>
        <v>Nenhum</v>
      </c>
      <c r="B21476" s="3">
        <v>0</v>
      </c>
    </row>
    <row r="21477" ht="15.75" customHeight="1" spans="1:2">
      <c r="A21477" s="3" t="str">
        <f>IFERROR(__xludf.DUMMYFUNCTION("GOOGLETRANSLATE(A21477,""en"",""pt"")"),"proteção de olhos vermelhos fraco, nenhum adaptador de energia.")</f>
        <v>proteção de olhos vermelhos fraco, nenhum adaptador de energia.</v>
      </c>
      <c r="B21477" s="3">
        <v>0</v>
      </c>
    </row>
    <row r="21478" ht="15.75" customHeight="1" spans="1:2">
      <c r="A21478" s="3" t="str">
        <f>IFERROR(__xludf.DUMMYFUNCTION("GOOGLETRANSLATE(A21478,""en"",""pt"")"),"Escuro visor tem um monte de luz para ver fotos em ambientes internos")</f>
        <v>Escuro visor tem um monte de luz para ver fotos em ambientes internos</v>
      </c>
      <c r="B21478" s="3">
        <v>0</v>
      </c>
    </row>
    <row r="21479" ht="15.75" customHeight="1" spans="1:2">
      <c r="A21479" s="3" t="str">
        <f>IFERROR(__xludf.DUMMYFUNCTION("GOOGLETRANSLATE(A21479,""en"",""pt"")"),"Um monte de direções para ler.")</f>
        <v>Um monte de direções para ler.</v>
      </c>
      <c r="B21479" s="3">
        <v>0</v>
      </c>
    </row>
    <row r="21480" ht="15.75" customHeight="1" spans="1:2">
      <c r="A21480" s="3" t="str">
        <f>IFERROR(__xludf.DUMMYFUNCTION("GOOGLETRANSLATE(A21480,""en"",""pt"")"),"Não muito de função de zoom")</f>
        <v>Não muito de função de zoom</v>
      </c>
      <c r="B21480" s="3">
        <v>0</v>
      </c>
    </row>
    <row r="21481" ht="15.75" customHeight="1" spans="1:2">
      <c r="A21481" s="3" t="str">
        <f>IFERROR(__xludf.DUMMYFUNCTION("GOOGLETRANSLATE(A21481,""en"",""pt"")"),"Um pouco ""plasticy"" na sensação. modo de redução de olhos vermelhos não funciona muito bem.")</f>
        <v>Um pouco "plasticy" na sensação. modo de redução de olhos vermelhos não funciona muito bem.</v>
      </c>
      <c r="B21481" s="3">
        <v>0</v>
      </c>
    </row>
    <row r="21482" ht="15.75" customHeight="1" spans="1:2">
      <c r="A21482" s="3" t="str">
        <f>IFERROR(__xludf.DUMMYFUNCTION("GOOGLETRANSLATE(A21482,""en"",""pt"")"),"configurações estão confundindo")</f>
        <v>configurações estão confundindo</v>
      </c>
      <c r="B21482" s="3">
        <v>0</v>
      </c>
    </row>
    <row r="21483" ht="15.75" customHeight="1" spans="1:2">
      <c r="A21483" s="3" t="str">
        <f>IFERROR(__xludf.DUMMYFUNCTION("GOOGLETRANSLATE(A21483,""en"",""pt"")"),"Um pouco delicada, não dado baterias recarregáveis ​​(como fornecido com alguns dos modelos Fuji FinePix)")</f>
        <v>Um pouco delicada, não dado baterias recarregáveis ​​(como fornecido com alguns dos modelos Fuji FinePix)</v>
      </c>
      <c r="B21483" s="3">
        <v>0</v>
      </c>
    </row>
    <row r="21484" ht="15.75" customHeight="1" spans="1:2">
      <c r="A21484" s="3" t="str">
        <f>IFERROR(__xludf.DUMMYFUNCTION("GOOGLETRANSLATE(A21484,""en"",""pt"")"),"manchas em fotos, por vezes,")</f>
        <v>manchas em fotos, por vezes,</v>
      </c>
      <c r="B21484" s="3">
        <v>0</v>
      </c>
    </row>
    <row r="21485" ht="15.75" customHeight="1" spans="1:2">
      <c r="A21485" s="3" t="s">
        <v>112</v>
      </c>
      <c r="B21485" s="3">
        <v>0</v>
      </c>
    </row>
    <row r="21486" ht="15.75" customHeight="1" spans="1:2">
      <c r="A21486" s="3" t="str">
        <f>IFERROR(__xludf.DUMMYFUNCTION("GOOGLETRANSLATE(A21486,""en"",""pt"")"),"A vida da bateria, não zoom óptico")</f>
        <v>A vida da bateria, não zoom óptico</v>
      </c>
      <c r="B21486" s="3">
        <v>0</v>
      </c>
    </row>
    <row r="21487" ht="15.75" customHeight="1" spans="1:2">
      <c r="A21487" s="3" t="str">
        <f>IFERROR(__xludf.DUMMYFUNCTION("GOOGLETRANSLATE(A21487,""en"",""pt"")"),"Não muito muitos recursos")</f>
        <v>Não muito muitos recursos</v>
      </c>
      <c r="B21487" s="3">
        <v>0</v>
      </c>
    </row>
    <row r="21488" ht="15.75" customHeight="1" spans="1:2">
      <c r="A21488" s="3" t="str">
        <f>IFERROR(__xludf.DUMMYFUNCTION("GOOGLETRANSLATE(A21488,""en"",""pt"")"),"Low Battery Life menu de navegação complicada")</f>
        <v>Low Battery Life menu de navegação complicada</v>
      </c>
      <c r="B21488" s="3">
        <v>0</v>
      </c>
    </row>
    <row r="21489" ht="15.75" customHeight="1" spans="1:2">
      <c r="A21489" s="3" t="str">
        <f>IFERROR(__xludf.DUMMYFUNCTION("GOOGLETRANSLATE(A21489,""en"",""pt"")"),"vida de bateria fraca")</f>
        <v>vida de bateria fraca</v>
      </c>
      <c r="B21489" s="3">
        <v>0</v>
      </c>
    </row>
    <row r="21490" ht="15.75" customHeight="1" spans="1:2">
      <c r="A21490" s="3" t="str">
        <f>IFERROR(__xludf.DUMMYFUNCTION("GOOGLETRANSLATE(A21490,""en"",""pt"")"),"Come-se pilhas com os LCD ON + nenhum adaptador de energia fornecido.")</f>
        <v>Come-se pilhas com os LCD ON + nenhum adaptador de energia fornecido.</v>
      </c>
      <c r="B21490" s="3">
        <v>0</v>
      </c>
    </row>
    <row r="21491" ht="15.75" customHeight="1" spans="1:2">
      <c r="A21491" s="3" t="str">
        <f>IFERROR(__xludf.DUMMYFUNCTION("GOOGLETRANSLATE(A21491,""en"",""pt"")"),"curta duração da bateria")</f>
        <v>curta duração da bateria</v>
      </c>
      <c r="B21491" s="3">
        <v>0</v>
      </c>
    </row>
    <row r="21492" ht="15.75" customHeight="1" spans="1:2">
      <c r="A21492" s="3" t="str">
        <f>IFERROR(__xludf.DUMMYFUNCTION("GOOGLETRANSLATE(A21492,""en"",""pt"")"),"baterias usadas muito rápido, sem zoom óptico")</f>
        <v>baterias usadas muito rápido, sem zoom óptico</v>
      </c>
      <c r="B21492" s="3">
        <v>0</v>
      </c>
    </row>
    <row r="21493" ht="15.75" customHeight="1" spans="1:2">
      <c r="A21493" s="3" t="str">
        <f>IFERROR(__xludf.DUMMYFUNCTION("GOOGLETRANSLATE(A21493,""en"",""pt"")"),"Leia a revisão")</f>
        <v>Leia a revisão</v>
      </c>
      <c r="B21493" s="3">
        <v>0</v>
      </c>
    </row>
    <row r="21494" ht="15.75" customHeight="1" spans="1:2">
      <c r="A21494" s="3" t="s">
        <v>102</v>
      </c>
      <c r="B21494" s="3">
        <v>0</v>
      </c>
    </row>
    <row r="21495" ht="15.75" customHeight="1" spans="1:2">
      <c r="A21495" s="3" t="str">
        <f>IFERROR(__xludf.DUMMYFUNCTION("GOOGLETRANSLATE(A21495,""en"",""pt"")"),"vida útil da bateria, cargas de mídia inteligentes para a área da bateria, sem zoom óptico")</f>
        <v>vida útil da bateria, cargas de mídia inteligentes para a área da bateria, sem zoom óptico</v>
      </c>
      <c r="B21495" s="3">
        <v>0</v>
      </c>
    </row>
    <row r="21496" ht="15.75" customHeight="1" spans="1:2">
      <c r="A21496" s="3" t="str">
        <f>IFERROR(__xludf.DUMMYFUNCTION("GOOGLETRANSLATE(A21496,""en"",""pt"")"),"software barato, baterias come, fácil de ligar acidentalmente.")</f>
        <v>software barato, baterias come, fácil de ligar acidentalmente.</v>
      </c>
      <c r="B21496" s="3">
        <v>0</v>
      </c>
    </row>
    <row r="21497" ht="15.75" customHeight="1" spans="1:2">
      <c r="A21497" s="3" t="str">
        <f>IFERROR(__xludf.DUMMYFUNCTION("GOOGLETRANSLATE(A21497,""en"",""pt"")"),"vida útil da bateria")</f>
        <v>vida útil da bateria</v>
      </c>
      <c r="B21497" s="3">
        <v>0</v>
      </c>
    </row>
    <row r="21498" ht="15.75" customHeight="1" spans="1:2">
      <c r="A21498" s="3" t="str">
        <f>IFERROR(__xludf.DUMMYFUNCTION("GOOGLETRANSLATE(A21498,""en"",""pt"")"),"NENHUM")</f>
        <v>NENHUM</v>
      </c>
      <c r="B21498" s="3">
        <v>0</v>
      </c>
    </row>
    <row r="21499" ht="15.75" customHeight="1" spans="1:2">
      <c r="A21499" s="3" t="str">
        <f>IFERROR(__xludf.DUMMYFUNCTION("GOOGLETRANSLATE(A21499,""en"",""pt"")"),"só pode gravar vídeo durante 20 segundos de cada vez.")</f>
        <v>só pode gravar vídeo durante 20 segundos de cada vez.</v>
      </c>
      <c r="B21499" s="3">
        <v>0</v>
      </c>
    </row>
    <row r="21500" ht="15.75" customHeight="1" spans="1:2">
      <c r="A21500" s="3" t="str">
        <f>IFERROR(__xludf.DUMMYFUNCTION("GOOGLETRANSLATE(A21500,""en"",""pt"")"),"Difícil em baterias, de difícil utilização em condições de pouca luminosidade, zoom inútil, limitando a qualidade de imagem")</f>
        <v>Difícil em baterias, de difícil utilização em condições de pouca luminosidade, zoom inútil, limitando a qualidade de imagem</v>
      </c>
      <c r="B21500" s="3">
        <v>0</v>
      </c>
    </row>
    <row r="21501" ht="15.75" customHeight="1" spans="1:2">
      <c r="A21501" s="3" t="str">
        <f>IFERROR(__xludf.DUMMYFUNCTION("GOOGLETRANSLATE(A21501,""en"",""pt"")"),"lente fixa / sem zoom óptico, sem capacidade de som, flash off só no manual do")</f>
        <v>lente fixa / sem zoom óptico, sem capacidade de som, flash off só no manual do</v>
      </c>
      <c r="B21501" s="3">
        <v>0</v>
      </c>
    </row>
    <row r="21502" ht="15.75" customHeight="1" spans="1:2">
      <c r="A21502" s="3" t="str">
        <f>IFERROR(__xludf.DUMMYFUNCTION("GOOGLETRANSLATE(A21502,""en"",""pt"")"),"zoom digital 2X (então basicamente não aumentar)")</f>
        <v>zoom digital 2X (então basicamente não aumentar)</v>
      </c>
      <c r="B21502" s="3">
        <v>0</v>
      </c>
    </row>
    <row r="21503" ht="15.75" customHeight="1" spans="1:2">
      <c r="A21503" s="3" t="str">
        <f>IFERROR(__xludf.DUMMYFUNCTION("GOOGLETRANSLATE(A21503,""en"",""pt"")"),"Imagens precisa cor e / ou correção de brilho, pouco ou nenhum zoom.")</f>
        <v>Imagens precisa cor e / ou correção de brilho, pouco ou nenhum zoom.</v>
      </c>
      <c r="B21503" s="3">
        <v>0</v>
      </c>
    </row>
    <row r="21504" ht="15.75" customHeight="1" spans="1:2">
      <c r="A21504" s="3" t="str">
        <f>IFERROR(__xludf.DUMMYFUNCTION("GOOGLETRANSLATE(A21504,""en"",""pt"")"),"Outros modelos tendem a ser mais barato")</f>
        <v>Outros modelos tendem a ser mais barato</v>
      </c>
      <c r="B21504" s="3">
        <v>0</v>
      </c>
    </row>
    <row r="21505" ht="15.75" customHeight="1" spans="1:2">
      <c r="A21505" s="3" t="str">
        <f>IFERROR(__xludf.DUMMYFUNCTION("GOOGLETRANSLATE(A21505,""en"",""pt"")"),"curta duração da bateria. Nenhum som em clipes de vídeo.")</f>
        <v>curta duração da bateria. Nenhum som em clipes de vídeo.</v>
      </c>
      <c r="B21505" s="3">
        <v>0</v>
      </c>
    </row>
    <row r="21506" ht="15.75" customHeight="1" spans="1:2">
      <c r="A21506" s="3" t="str">
        <f>IFERROR(__xludf.DUMMYFUNCTION("GOOGLETRANSLATE(A21506,""en"",""pt"")"),"Escuro = Bad, Trepidação da Câmara")</f>
        <v>Escuro = Bad, Trepidação da Câmara</v>
      </c>
      <c r="B21506" s="3">
        <v>0</v>
      </c>
    </row>
    <row r="21507" ht="15.75" customHeight="1" spans="1:2">
      <c r="A21507" s="3" t="str">
        <f>IFERROR(__xludf.DUMMYFUNCTION("GOOGLETRANSLATE(A21507,""en"",""pt"")"),"Nenhum som no modo de filme")</f>
        <v>Nenhum som no modo de filme</v>
      </c>
      <c r="B21507" s="3">
        <v>0</v>
      </c>
    </row>
    <row r="21508" ht="15.75" customHeight="1" spans="1:2">
      <c r="A21508" s="3" t="str">
        <f>IFERROR(__xludf.DUMMYFUNCTION("GOOGLETRANSLATE(A21508,""en"",""pt"")"),"É digital. Alguns add ons são uma obrigação e custam mais.")</f>
        <v>É digital. Alguns add ons são uma obrigação e custam mais.</v>
      </c>
      <c r="B21508" s="3">
        <v>0</v>
      </c>
    </row>
    <row r="21509" ht="15.75" customHeight="1" spans="1:2">
      <c r="A21509" s="3" t="str">
        <f>IFERROR(__xludf.DUMMYFUNCTION("GOOGLETRANSLATE(A21509,""en"",""pt"")"),"O modo de filme (vídeo) não tem som.")</f>
        <v>O modo de filme (vídeo) não tem som.</v>
      </c>
      <c r="B21509" s="3">
        <v>0</v>
      </c>
    </row>
    <row r="21510" ht="15.75" customHeight="1" spans="1:2">
      <c r="A21510" s="3" t="str">
        <f>IFERROR(__xludf.DUMMYFUNCTION("GOOGLETRANSLATE(A21510,""en"",""pt"")"),"Drenos baterias muito rápido, não tirar boas fotografias de grande plano.")</f>
        <v>Drenos baterias muito rápido, não tirar boas fotografias de grande plano.</v>
      </c>
      <c r="B21510" s="3">
        <v>0</v>
      </c>
    </row>
    <row r="21511" ht="15.75" customHeight="1" spans="1:2">
      <c r="A21511" s="3" t="str">
        <f>IFERROR(__xludf.DUMMYFUNCTION("GOOGLETRANSLATE(A21511,""en"",""pt"")"),"definição ISO fixa, filmes Horrible")</f>
        <v>definição ISO fixa, filmes Horrible</v>
      </c>
      <c r="B21511" s="3">
        <v>0</v>
      </c>
    </row>
    <row r="21512" ht="15.75" customHeight="1" spans="1:2">
      <c r="A21512" s="3" t="str">
        <f>IFERROR(__xludf.DUMMYFUNCTION("GOOGLETRANSLATE(A21512,""en"",""pt"")"),"nenhum caso ou a / c adaptadores incluídos, software um pouco básico")</f>
        <v>nenhum caso ou a / c adaptadores incluídos, software um pouco básico</v>
      </c>
      <c r="B21512" s="3">
        <v>0</v>
      </c>
    </row>
    <row r="21513" ht="15.75" customHeight="1" spans="1:2">
      <c r="A21513" s="3" t="str">
        <f>IFERROR(__xludf.DUMMYFUNCTION("GOOGLETRANSLATE(A21513,""en"",""pt"")"),"Sem Adaptador AC incluído.")</f>
        <v>Sem Adaptador AC incluído.</v>
      </c>
      <c r="B21513" s="3">
        <v>0</v>
      </c>
    </row>
    <row r="21514" ht="15.75" customHeight="1" spans="1:2">
      <c r="A21514" s="3" t="str">
        <f>IFERROR(__xludf.DUMMYFUNCTION("GOOGLETRANSLATE(A21514,""en"",""pt"")"),"modo de filme não que ótimo!")</f>
        <v>modo de filme não que ótimo!</v>
      </c>
      <c r="B21514" s="3">
        <v>0</v>
      </c>
    </row>
    <row r="21515" ht="15.75" customHeight="1" spans="1:2">
      <c r="A21515" s="3" t="str">
        <f>IFERROR(__xludf.DUMMYFUNCTION("GOOGLETRANSLATE(A21515,""en"",""pt"")"),"memória caro")</f>
        <v>memória caro</v>
      </c>
      <c r="B21515" s="3">
        <v>0</v>
      </c>
    </row>
    <row r="21516" ht="15.75" customHeight="1" spans="1:2">
      <c r="A21516" s="3" t="str">
        <f>IFERROR(__xludf.DUMMYFUNCTION("GOOGLETRANSLATE(A21516,""en"",""pt"")"),"curta duração da bateria")</f>
        <v>curta duração da bateria</v>
      </c>
      <c r="B21516" s="3">
        <v>0</v>
      </c>
    </row>
    <row r="21517" ht="15.75" customHeight="1" spans="1:2">
      <c r="A21517" s="3" t="str">
        <f>IFERROR(__xludf.DUMMYFUNCTION("GOOGLETRANSLATE(A21517,""en"",""pt"")"),"Nenhum som com filmes digitais (embora a qualidade da imagem é boa)")</f>
        <v>Nenhum som com filmes digitais (embora a qualidade da imagem é boa)</v>
      </c>
      <c r="B21517" s="3">
        <v>0</v>
      </c>
    </row>
    <row r="21518" ht="15.75" customHeight="1" spans="1:2">
      <c r="A21518" s="3" t="str">
        <f>IFERROR(__xludf.DUMMYFUNCTION("GOOGLETRANSLATE(A21518,""en"",""pt"")"),"$ 599 MSRP.")</f>
        <v>$ 599 MSRP.</v>
      </c>
      <c r="B21518" s="3">
        <v>0</v>
      </c>
    </row>
    <row r="21519" ht="15.75" customHeight="1" spans="1:2">
      <c r="A21519" s="3" t="str">
        <f>IFERROR(__xludf.DUMMYFUNCTION("GOOGLETRANSLATE(A21519,""en"",""pt"")"),"Automáticas dentro de balanço de branco e sistema de menu.")</f>
        <v>Automáticas dentro de balanço de branco e sistema de menu.</v>
      </c>
      <c r="B21519" s="3">
        <v>0</v>
      </c>
    </row>
    <row r="21520" ht="15.75" customHeight="1" spans="1:2">
      <c r="A21520" s="3" t="str">
        <f>IFERROR(__xludf.DUMMYFUNCTION("GOOGLETRANSLATE(A21520,""en"",""pt"")"),"Saída de vídeo em Docking Station, a falta de PAL, carregador rápido custa extra")</f>
        <v>Saída de vídeo em Docking Station, a falta de PAL, carregador rápido custa extra</v>
      </c>
      <c r="B21520" s="3">
        <v>0</v>
      </c>
    </row>
    <row r="21521" ht="15.75" customHeight="1" spans="1:2">
      <c r="A21521" s="3" t="str">
        <f>IFERROR(__xludf.DUMMYFUNCTION("GOOGLETRANSLATE(A21521,""en"",""pt"")"),"os habituais contras pequena câmera: alguns olhos vermelhos, apenas ok flash, bateria menor")</f>
        <v>os habituais contras pequena câmera: alguns olhos vermelhos, apenas ok flash, bateria menor</v>
      </c>
      <c r="B21521" s="3">
        <v>0</v>
      </c>
    </row>
    <row r="21522" ht="15.75" customHeight="1" spans="1:2">
      <c r="A21522" s="3" t="str">
        <f>IFERROR(__xludf.DUMMYFUNCTION("GOOGLETRANSLATE(A21522,""en"",""pt"")"),"Layout, bateria.")</f>
        <v>Layout, bateria.</v>
      </c>
      <c r="B21522" s="3">
        <v>0</v>
      </c>
    </row>
    <row r="21523" ht="15.75" customHeight="1" spans="1:2">
      <c r="A21523" s="3" t="str">
        <f>IFERROR(__xludf.DUMMYFUNCTION("GOOGLETRANSLATE(A21523,""en"",""pt"")"),"Menus são pequenos.")</f>
        <v>Menus são pequenos.</v>
      </c>
      <c r="B21523" s="3">
        <v>0</v>
      </c>
    </row>
    <row r="21524" ht="15.75" customHeight="1" spans="1:2">
      <c r="A21524" s="3" t="str">
        <f>IFERROR(__xludf.DUMMYFUNCTION("GOOGLETRANSLATE(A21524,""en"",""pt"")"),"Alguns olhos vermelhos")</f>
        <v>Alguns olhos vermelhos</v>
      </c>
      <c r="B21524" s="3">
        <v>0</v>
      </c>
    </row>
    <row r="21525" ht="15.75" customHeight="1" spans="1:2">
      <c r="A21525" s="3" t="str">
        <f>IFERROR(__xludf.DUMMYFUNCTION("GOOGLETRANSLATE(A21525,""en"",""pt"")"),"forma formato vertical e 8 maneira selector tomada para se acostumar.")</f>
        <v>forma formato vertical e 8 maneira selector tomada para se acostumar.</v>
      </c>
      <c r="B21525" s="3">
        <v>0</v>
      </c>
    </row>
    <row r="21526" ht="15.75" customHeight="1" spans="1:2">
      <c r="A21526" s="3" t="str">
        <f>IFERROR(__xludf.DUMMYFUNCTION("GOOGLETRANSLATE(A21526,""en"",""pt"")"),"não mais bateria NP-80, base de suporte os custos extra")</f>
        <v>não mais bateria NP-80, base de suporte os custos extra</v>
      </c>
      <c r="B21526" s="3">
        <v>0</v>
      </c>
    </row>
    <row r="21527" ht="15.75" customHeight="1" spans="1:2">
      <c r="A21527" s="3" t="str">
        <f>IFERROR(__xludf.DUMMYFUNCTION("GOOGLETRANSLATE(A21527,""en"",""pt"")"),"problemas de foco automático; Velocidade do obturador no modo Auto.")</f>
        <v>problemas de foco automático; Velocidade do obturador no modo Auto.</v>
      </c>
      <c r="B21527" s="3">
        <v>0</v>
      </c>
    </row>
    <row r="21528" ht="15.75" customHeight="1" spans="1:2">
      <c r="A21528" s="3" t="str">
        <f>IFERROR(__xludf.DUMMYFUNCTION("GOOGLETRANSLATE(A21528,""en"",""pt"")"),"5-hr tempo de recarga, microfone pick-up não é sensível o suficiente, nenhuma bolsa")</f>
        <v>5-hr tempo de recarga, microfone pick-up não é sensível o suficiente, nenhuma bolsa</v>
      </c>
      <c r="B21528" s="3">
        <v>0</v>
      </c>
    </row>
    <row r="21529" ht="15.75" customHeight="1" spans="1:2">
      <c r="A21529" s="3" t="str">
        <f>IFERROR(__xludf.DUMMYFUNCTION("GOOGLETRANSLATE(A21529,""en"",""pt"")"),"n / D")</f>
        <v>n / D</v>
      </c>
      <c r="B21529" s="3">
        <v>0</v>
      </c>
    </row>
    <row r="21530" ht="15.75" customHeight="1" spans="1:2">
      <c r="A21530" s="3" t="str">
        <f>IFERROR(__xludf.DUMMYFUNCTION("GOOGLETRANSLATE(A21530,""en"",""pt"")"),"carregamento lento se você tiver um leitor de cartão")</f>
        <v>carregamento lento se você tiver um leitor de cartão</v>
      </c>
      <c r="B21530" s="3">
        <v>0</v>
      </c>
    </row>
    <row r="21531" ht="15.75" customHeight="1" spans="1:2">
      <c r="A21531" s="3" t="str">
        <f>IFERROR(__xludf.DUMMYFUNCTION("GOOGLETRANSLATE(A21531,""en"",""pt"")"),"utiliza baterias mais rápido do que você pode espirrar, sem zoom")</f>
        <v>utiliza baterias mais rápido do que você pode espirrar, sem zoom</v>
      </c>
      <c r="B21531" s="3">
        <v>0</v>
      </c>
    </row>
    <row r="21532" ht="15.75" customHeight="1" spans="1:2">
      <c r="A21532" s="3" t="str">
        <f>IFERROR(__xludf.DUMMYFUNCTION("GOOGLETRANSLATE(A21532,""en"",""pt"")"),"erros de quadros ocasionais.")</f>
        <v>erros de quadros ocasionais.</v>
      </c>
      <c r="B21532" s="3">
        <v>0</v>
      </c>
    </row>
    <row r="21533" ht="15.75" customHeight="1" spans="1:2">
      <c r="A21533" s="3" t="str">
        <f>IFERROR(__xludf.DUMMYFUNCTION("GOOGLETRANSLATE(A21533,""en"",""pt"")"),"Melhor começar baterias Ni-Cad")</f>
        <v>Melhor começar baterias Ni-Cad</v>
      </c>
      <c r="B21533" s="3">
        <v>0</v>
      </c>
    </row>
    <row r="21534" ht="15.75" customHeight="1" spans="1:2">
      <c r="A21534" s="3" t="str">
        <f>IFERROR(__xludf.DUMMYFUNCTION("GOOGLETRANSLATE(A21534,""en"",""pt"")"),"não pode pensar em qualquer")</f>
        <v>não pode pensar em qualquer</v>
      </c>
      <c r="B21534" s="3">
        <v>0</v>
      </c>
    </row>
    <row r="21535" ht="15.75" customHeight="1" spans="1:2">
      <c r="A21535" s="3" t="str">
        <f>IFERROR(__xludf.DUMMYFUNCTION("GOOGLETRANSLATE(A21535,""en"",""pt"")"),"não construído em zoom, software simplista")</f>
        <v>não construído em zoom, software simplista</v>
      </c>
      <c r="B21535" s="3">
        <v>0</v>
      </c>
    </row>
    <row r="21536" ht="15.75" customHeight="1" spans="1:2">
      <c r="A21536" s="3" t="str">
        <f>IFERROR(__xludf.DUMMYFUNCTION("GOOGLETRANSLATE(A21536,""en"",""pt"")"),"precisa que o adaptador AC")</f>
        <v>precisa que o adaptador AC</v>
      </c>
      <c r="B21536" s="3">
        <v>0</v>
      </c>
    </row>
    <row r="21537" ht="15.75" customHeight="1" spans="1:2">
      <c r="A21537" s="3" t="str">
        <f>IFERROR(__xludf.DUMMYFUNCTION("GOOGLETRANSLATE(A21537,""en"",""pt"")"),"come-se baterias muito rapidamente, como qualquer outra câmera digital")</f>
        <v>come-se baterias muito rapidamente, como qualquer outra câmera digital</v>
      </c>
      <c r="B21537" s="3">
        <v>0</v>
      </c>
    </row>
    <row r="21538" ht="15.75" customHeight="1" spans="1:2">
      <c r="A21538" s="3" t="str">
        <f>IFERROR(__xludf.DUMMYFUNCTION("GOOGLETRANSLATE(A21538,""en"",""pt"")"),"interface série pequeno, mudo posicionamento da lente / flash.")</f>
        <v>interface série pequeno, mudo posicionamento da lente / flash.</v>
      </c>
      <c r="B21538" s="3">
        <v>0</v>
      </c>
    </row>
    <row r="21539" ht="15.75" customHeight="1" spans="1:2">
      <c r="A21539" s="3" t="str">
        <f>IFERROR(__xludf.DUMMYFUNCTION("GOOGLETRANSLATE(A21539,""en"",""pt"")"),"não pode parar de tirar fotos Eu sou viciado :)")</f>
        <v>não pode parar de tirar fotos Eu sou viciado :)</v>
      </c>
      <c r="B21539" s="3">
        <v>0</v>
      </c>
    </row>
    <row r="21540" ht="15.75" customHeight="1" spans="1:2">
      <c r="A21540" s="3" t="str">
        <f>IFERROR(__xludf.DUMMYFUNCTION("GOOGLETRANSLATE(A21540,""en"",""pt"")"),"É preciso obter outros produtos para apoiá-lo")</f>
        <v>É preciso obter outros produtos para apoiá-lo</v>
      </c>
      <c r="B21540" s="3">
        <v>0</v>
      </c>
    </row>
    <row r="21541" ht="15.75" customHeight="1" spans="1:2">
      <c r="A21541" s="3" t="str">
        <f>IFERROR(__xludf.DUMMYFUNCTION("GOOGLETRANSLATE(A21541,""en"",""pt"")"),"sem cobertura lense")</f>
        <v>sem cobertura lense</v>
      </c>
      <c r="B21541" s="3">
        <v>0</v>
      </c>
    </row>
    <row r="21542" ht="15.75" customHeight="1" spans="1:2">
      <c r="A21542" s="3" t="str">
        <f>IFERROR(__xludf.DUMMYFUNCTION("GOOGLETRANSLATE(A21542,""en"",""pt"")"),"Waterspots em algumas fotos, a vida da bateria poderia ser melhor, difícil de fotos em close-up de captura, o upload para o computador lento.")</f>
        <v>Waterspots em algumas fotos, a vida da bateria poderia ser melhor, difícil de fotos em close-up de captura, o upload para o computador lento.</v>
      </c>
      <c r="B21542" s="3">
        <v>0</v>
      </c>
    </row>
    <row r="21543" ht="15.75" customHeight="1" spans="1:2">
      <c r="A21543" s="3" t="str">
        <f>IFERROR(__xludf.DUMMYFUNCTION("GOOGLETRANSLATE(A21543,""en"",""pt"")"),"tamanho da imagem, upload lento, 'estranho' que procuram fotos")</f>
        <v>tamanho da imagem, upload lento, 'estranho' que procuram fotos</v>
      </c>
      <c r="B21543" s="3">
        <v>0</v>
      </c>
    </row>
    <row r="21544" ht="15.75" customHeight="1" spans="1:2">
      <c r="A21544" s="3" t="str">
        <f>IFERROR(__xludf.DUMMYFUNCTION("GOOGLETRANSLATE(A21544,""en"",""pt"")"),"qualidade de imagem inconsistentes")</f>
        <v>qualidade de imagem inconsistentes</v>
      </c>
      <c r="B21544" s="3">
        <v>0</v>
      </c>
    </row>
    <row r="21545" ht="15.75" customHeight="1" spans="1:2">
      <c r="A21545" s="3" t="str">
        <f>IFERROR(__xludf.DUMMYFUNCTION("GOOGLETRANSLATE(A21545,""en"",""pt"")"),"lento")</f>
        <v>lento</v>
      </c>
      <c r="B21545" s="3">
        <v>0</v>
      </c>
    </row>
    <row r="21546" ht="15.75" customHeight="1" spans="1:2">
      <c r="A21546" s="3" t="str">
        <f>IFERROR(__xludf.DUMMYFUNCTION("GOOGLETRANSLATE(A21546,""en"",""pt"")"),"nenhuma lente")</f>
        <v>nenhuma lente</v>
      </c>
      <c r="B21546" s="3">
        <v>0</v>
      </c>
    </row>
    <row r="21547" ht="15.75" customHeight="1" spans="1:2">
      <c r="A21547" s="3" t="str">
        <f>IFERROR(__xludf.DUMMYFUNCTION("GOOGLETRANSLATE(A21547,""en"",""pt"")"),"A vida da bateria")</f>
        <v>A vida da bateria</v>
      </c>
      <c r="B21547" s="3">
        <v>0</v>
      </c>
    </row>
    <row r="21548" ht="15.75" customHeight="1" spans="1:2">
      <c r="A21548" s="3" t="str">
        <f>IFERROR(__xludf.DUMMYFUNCTION("GOOGLETRANSLATE(A21548,""en"",""pt"")"),"Digital como vs. zoom óptico, a velocidade de download lenta usando cabo serial")</f>
        <v>Digital como vs. zoom óptico, a velocidade de download lenta usando cabo serial</v>
      </c>
      <c r="B21548" s="3">
        <v>0</v>
      </c>
    </row>
    <row r="21549" ht="15.75" customHeight="1" spans="1:2">
      <c r="A21549" s="3" t="str">
        <f>IFERROR(__xludf.DUMMYFUNCTION("GOOGLETRANSLATE(A21549,""en"",""pt"")"),"Sem zoom óptico, baterias ir mais rápido, flash fraco")</f>
        <v>Sem zoom óptico, baterias ir mais rápido, flash fraco</v>
      </c>
      <c r="B21549" s="3">
        <v>0</v>
      </c>
    </row>
    <row r="21550" ht="15.75" customHeight="1" spans="1:2">
      <c r="A21550" s="3" t="str">
        <f>IFERROR(__xludf.DUMMYFUNCTION("GOOGLETRANSLATE(A21550,""en"",""pt"")"),"Nenhum que eu posso encontrar")</f>
        <v>Nenhum que eu posso encontrar</v>
      </c>
      <c r="B21550" s="3">
        <v>0</v>
      </c>
    </row>
    <row r="21551" ht="15.75" customHeight="1" spans="1:2">
      <c r="A21551" s="3" t="str">
        <f>IFERROR(__xludf.DUMMYFUNCTION("GOOGLETRANSLATE(A21551,""en"",""pt"")"),"Não é possível criar arquivos TIFF")</f>
        <v>Não é possível criar arquivos TIFF</v>
      </c>
      <c r="B21551" s="3">
        <v>0</v>
      </c>
    </row>
    <row r="21552" ht="15.75" customHeight="1" spans="1:2">
      <c r="A21552" s="3" t="s">
        <v>113</v>
      </c>
      <c r="B21552" s="3">
        <v>0</v>
      </c>
    </row>
    <row r="21553" ht="15.75" customHeight="1" spans="1:2">
      <c r="A21553" s="3" t="str">
        <f>IFERROR(__xludf.DUMMYFUNCTION("GOOGLETRANSLATE(A21553,""en"",""pt"")"),"ponto de água ocasional.")</f>
        <v>ponto de água ocasional.</v>
      </c>
      <c r="B21553" s="3">
        <v>0</v>
      </c>
    </row>
    <row r="21554" ht="15.75" customHeight="1" spans="1:2">
      <c r="A21554" s="3" t="str">
        <f>IFERROR(__xludf.DUMMYFUNCTION("GOOGLETRANSLATE(A21554,""en"",""pt"")"),"de download lento, viciante.")</f>
        <v>de download lento, viciante.</v>
      </c>
      <c r="B21554" s="3">
        <v>0</v>
      </c>
    </row>
    <row r="21555" ht="15.75" customHeight="1" spans="1:2">
      <c r="A21555" s="3" t="str">
        <f>IFERROR(__xludf.DUMMYFUNCTION("GOOGLETRANSLATE(A21555,""en"",""pt"")"),"bordas visor óptico não estão bem definidos, mas é isso!")</f>
        <v>bordas visor óptico não estão bem definidos, mas é isso!</v>
      </c>
      <c r="B21555" s="3">
        <v>0</v>
      </c>
    </row>
    <row r="21556" ht="15.75" customHeight="1" spans="1:2">
      <c r="A21556" s="3" t="str">
        <f>IFERROR(__xludf.DUMMYFUNCTION("GOOGLETRANSLATE(A21556,""en"",""pt"")"),"baterias vão rápida")</f>
        <v>baterias vão rápida</v>
      </c>
      <c r="B21556" s="3">
        <v>0</v>
      </c>
    </row>
    <row r="21557" ht="15.75" customHeight="1" spans="1:2">
      <c r="A21557" s="3" t="str">
        <f>IFERROR(__xludf.DUMMYFUNCTION("GOOGLETRANSLATE(A21557,""en"",""pt"")"),"Não usb, nenhum estojo de transporte ou de saída de vídeo")</f>
        <v>Não usb, nenhum estojo de transporte ou de saída de vídeo</v>
      </c>
      <c r="B21557" s="3">
        <v>0</v>
      </c>
    </row>
    <row r="21558" ht="15.75" customHeight="1" spans="1:2">
      <c r="A21558" s="3" t="str">
        <f>IFERROR(__xludf.DUMMYFUNCTION("GOOGLETRANSLATE(A21558,""en"",""pt"")"),"Memória é limitada.")</f>
        <v>Memória é limitada.</v>
      </c>
      <c r="B21558" s="3">
        <v>0</v>
      </c>
    </row>
    <row r="21559" ht="15.75" customHeight="1" spans="1:2">
      <c r="A21559" s="3" t="str">
        <f>IFERROR(__xludf.DUMMYFUNCTION("GOOGLETRANSLATE(A21559,""en"",""pt"")"),"lotes de dinheiro para transportar cerca de")</f>
        <v>lotes de dinheiro para transportar cerca de</v>
      </c>
      <c r="B21559" s="3">
        <v>0</v>
      </c>
    </row>
    <row r="21560" ht="15.75" customHeight="1" spans="1:2">
      <c r="A21560" s="3" t="str">
        <f>IFERROR(__xludf.DUMMYFUNCTION("GOOGLETRANSLATE(A21560,""en"",""pt"")"),"Nenhum")</f>
        <v>Nenhum</v>
      </c>
      <c r="B21560" s="3">
        <v>0</v>
      </c>
    </row>
    <row r="21561" ht="15.75" customHeight="1" spans="1:2">
      <c r="A21561" s="3" t="str">
        <f>IFERROR(__xludf.DUMMYFUNCTION("GOOGLETRANSLATE(A21561,""en"",""pt"")"),"adaptador de cabo de alimentação não incluído")</f>
        <v>adaptador de cabo de alimentação não incluído</v>
      </c>
      <c r="B21561" s="3">
        <v>0</v>
      </c>
    </row>
    <row r="21562" ht="15.75" customHeight="1" spans="1:2">
      <c r="A21562" s="3" t="str">
        <f>IFERROR(__xludf.DUMMYFUNCTION("GOOGLETRANSLATE(A21562,""en"",""pt"")"),"Nenhum")</f>
        <v>Nenhum</v>
      </c>
      <c r="B21562" s="3">
        <v>0</v>
      </c>
    </row>
    <row r="21563" ht="15.75" customHeight="1" spans="1:2">
      <c r="A21563" s="3" t="str">
        <f>IFERROR(__xludf.DUMMYFUNCTION("GOOGLETRANSLATE(A21563,""en"",""pt"")"),"passa da bateria")</f>
        <v>passa da bateria</v>
      </c>
      <c r="B21563" s="3">
        <v>0</v>
      </c>
    </row>
    <row r="21564" ht="15.75" customHeight="1" spans="1:2">
      <c r="A21564" s="3" t="str">
        <f>IFERROR(__xludf.DUMMYFUNCTION("GOOGLETRANSLATE(A21564,""en"",""pt"")"),"imagens difusas")</f>
        <v>imagens difusas</v>
      </c>
      <c r="B21564" s="3">
        <v>0</v>
      </c>
    </row>
    <row r="21565" ht="15.75" customHeight="1" spans="1:2">
      <c r="A21565" s="3" t="str">
        <f>IFERROR(__xludf.DUMMYFUNCTION("GOOGLETRANSLATE(A21565,""en"",""pt"")"),"baterias de mudança, muitas vezes, imagens maiores que 8x10 detalhe solto")</f>
        <v>baterias de mudança, muitas vezes, imagens maiores que 8x10 detalhe solto</v>
      </c>
      <c r="B21565" s="3">
        <v>0</v>
      </c>
    </row>
    <row r="21566" ht="15.75" customHeight="1" spans="1:2">
      <c r="A21566" s="3" t="str">
        <f>IFERROR(__xludf.DUMMYFUNCTION("GOOGLETRANSLATE(A21566,""en"",""pt"")"),"nada até agora")</f>
        <v>nada até agora</v>
      </c>
      <c r="B21566" s="3">
        <v>0</v>
      </c>
    </row>
    <row r="21567" ht="15.75" customHeight="1" spans="1:2">
      <c r="A21567" s="3" t="str">
        <f>IFERROR(__xludf.DUMMYFUNCTION("GOOGLETRANSLATE(A21567,""en"",""pt"")"),"suga baterias")</f>
        <v>suga baterias</v>
      </c>
      <c r="B21567" s="3">
        <v>0</v>
      </c>
    </row>
    <row r="21568" ht="15.75" customHeight="1" spans="1:2">
      <c r="A21568" s="3" t="str">
        <f>IFERROR(__xludf.DUMMYFUNCTION("GOOGLETRANSLATE(A21568,""en"",""pt"")"),"extras que você precisa")</f>
        <v>extras que você precisa</v>
      </c>
      <c r="B21568" s="3">
        <v>0</v>
      </c>
    </row>
    <row r="21569" ht="15.75" customHeight="1" spans="1:2">
      <c r="A21569" s="3" t="str">
        <f>IFERROR(__xludf.DUMMYFUNCTION("GOOGLETRANSLATE(A21569,""en"",""pt"")"),"há contras")</f>
        <v>há contras</v>
      </c>
      <c r="B21569" s="3">
        <v>0</v>
      </c>
    </row>
    <row r="21570" ht="15.75" customHeight="1" spans="1:2">
      <c r="A21570" s="3" t="str">
        <f>IFERROR(__xludf.DUMMYFUNCTION("GOOGLETRANSLATE(A21570,""en"",""pt"")"),"acessórios encontrando difícil")</f>
        <v>acessórios encontrando difícil</v>
      </c>
      <c r="B21570" s="3">
        <v>0</v>
      </c>
    </row>
    <row r="21571" ht="15.75" customHeight="1" spans="1:2">
      <c r="A21571" s="3" t="str">
        <f>IFERROR(__xludf.DUMMYFUNCTION("GOOGLETRANSLATE(A21571,""en"",""pt"")"),"A vida da bateria não o suficiente")</f>
        <v>A vida da bateria não o suficiente</v>
      </c>
      <c r="B21571" s="3">
        <v>0</v>
      </c>
    </row>
    <row r="21572" ht="15.75" customHeight="1" spans="1:2">
      <c r="A21572" s="3" t="str">
        <f>IFERROR(__xludf.DUMMYFUNCTION("GOOGLETRANSLATE(A21572,""en"",""pt"")"),"memória pequeno")</f>
        <v>memória pequeno</v>
      </c>
      <c r="B21572" s="3">
        <v>0</v>
      </c>
    </row>
    <row r="21573" ht="15.75" customHeight="1" spans="1:2">
      <c r="A21573" s="3" t="str">
        <f>IFERROR(__xludf.DUMMYFUNCTION("GOOGLETRANSLATE(A21573,""en"",""pt"")"),"Poderia incluir maleta ...")</f>
        <v>Poderia incluir maleta ...</v>
      </c>
      <c r="B21573" s="3">
        <v>0</v>
      </c>
    </row>
    <row r="21574" ht="15.75" customHeight="1" spans="1:2">
      <c r="A21574" s="3" t="str">
        <f>IFERROR(__xludf.DUMMYFUNCTION("GOOGLETRANSLATE(A21574,""en"",""pt"")"),"vida útil da bateria, velocidade de transferência")</f>
        <v>vida útil da bateria, velocidade de transferência</v>
      </c>
      <c r="B21574" s="3">
        <v>0</v>
      </c>
    </row>
    <row r="21575" ht="15.75" customHeight="1" spans="1:2">
      <c r="A21575" s="3" t="str">
        <f>IFERROR(__xludf.DUMMYFUNCTION("GOOGLETRANSLATE(A21575,""en"",""pt"")"),"Nenhum!")</f>
        <v>Nenhum!</v>
      </c>
      <c r="B21575" s="3">
        <v>0</v>
      </c>
    </row>
    <row r="21576" ht="15.75" customHeight="1" spans="1:2">
      <c r="A21576" s="3" t="str">
        <f>IFERROR(__xludf.DUMMYFUNCTION("GOOGLETRANSLATE(A21576,""en"",""pt"")"),"pequena tela LCD, a vida curta da bateria")</f>
        <v>pequena tela LCD, a vida curta da bateria</v>
      </c>
      <c r="B21576" s="3">
        <v>0</v>
      </c>
    </row>
    <row r="21577" ht="15.75" customHeight="1" spans="1:2">
      <c r="A21577" s="3" t="str">
        <f>IFERROR(__xludf.DUMMYFUNCTION("GOOGLETRANSLATE(A21577,""en"",""pt"")"),"sem zoom óptico")</f>
        <v>sem zoom óptico</v>
      </c>
      <c r="B21577" s="3">
        <v>0</v>
      </c>
    </row>
    <row r="21578" ht="15.75" customHeight="1" spans="1:2">
      <c r="A21578" s="3" t="str">
        <f>IFERROR(__xludf.DUMMYFUNCTION("GOOGLETRANSLATE(A21578,""en"",""pt"")"),"Eu gostaria que tivesse um modo burst como a Olympus d-340-r para permitir a ação rápida e gravação de eventos esportivos. Eu posso aprender a viver sem ele especialmente desde que a qualidade das imagens impressas é muito melhor do que a Olympus.")</f>
        <v>Eu gostaria que tivesse um modo burst como a Olympus d-340-r para permitir a ação rápida e gravação de eventos esportivos. Eu posso aprender a viver sem ele especialmente desde que a qualidade das imagens impressas é muito melhor do que a Olympus.</v>
      </c>
      <c r="B21578" s="3">
        <v>0</v>
      </c>
    </row>
    <row r="21579" ht="15.75" customHeight="1" spans="1:2">
      <c r="A21579" s="3" t="str">
        <f>IFERROR(__xludf.DUMMYFUNCTION("GOOGLETRANSLATE(A21579,""en"",""pt"")"),"armazenamento de cartão smart media")</f>
        <v>armazenamento de cartão smart media</v>
      </c>
      <c r="B21579" s="3">
        <v>0</v>
      </c>
    </row>
    <row r="21580" ht="15.75" customHeight="1" spans="1:2">
      <c r="A21580" s="3" t="str">
        <f>IFERROR(__xludf.DUMMYFUNCTION("GOOGLETRANSLATE(A21580,""en"",""pt"")"),"Noções sobre a mudança de filme para o disco")</f>
        <v>Noções sobre a mudança de filme para o disco</v>
      </c>
      <c r="B21580" s="3">
        <v>0</v>
      </c>
    </row>
    <row r="21581" ht="15.75" customHeight="1" spans="1:2">
      <c r="A21581" s="3" t="str">
        <f>IFERROR(__xludf.DUMMYFUNCTION("GOOGLETRANSLATE(A21581,""en"",""pt"")"),"baterias de baixa qualidade e come")</f>
        <v>baterias de baixa qualidade e come</v>
      </c>
      <c r="B21581" s="3">
        <v>0</v>
      </c>
    </row>
    <row r="21582" ht="15.75" customHeight="1" spans="1:2">
      <c r="A21582" s="3" t="str">
        <f>IFERROR(__xludf.DUMMYFUNCTION("GOOGLETRANSLATE(A21582,""en"",""pt"")"),"Quer tirar pic é o tempo todo")</f>
        <v>Quer tirar pic é o tempo todo</v>
      </c>
      <c r="B21582" s="3">
        <v>0</v>
      </c>
    </row>
    <row r="21583" ht="15.75" customHeight="1" spans="1:2">
      <c r="A21583" s="3" t="str">
        <f>IFERROR(__xludf.DUMMYFUNCTION("GOOGLETRANSLATE(A21583,""en"",""pt"")"),"vida útil da bateria, cartão smartmedia é muito pequeno")</f>
        <v>vida útil da bateria, cartão smartmedia é muito pequeno</v>
      </c>
      <c r="B21583" s="3">
        <v>0</v>
      </c>
    </row>
    <row r="21584" ht="15.75" customHeight="1" spans="1:2">
      <c r="A21584" s="3" t="str">
        <f>IFERROR(__xludf.DUMMYFUNCTION("GOOGLETRANSLATE(A21584,""en"",""pt"")"),"Fuji, usando um adaptador AC 5V un-essencial, disponível apenas a partir deles! Parece suspeito ...")</f>
        <v>Fuji, usando um adaptador AC 5V un-essencial, disponível apenas a partir deles! Parece suspeito ...</v>
      </c>
      <c r="B21584" s="3">
        <v>0</v>
      </c>
    </row>
    <row r="21585" ht="15.75" customHeight="1" spans="1:2">
      <c r="A21585" s="3" t="str">
        <f>IFERROR(__xludf.DUMMYFUNCTION("GOOGLETRANSLATE(A21585,""en"",""pt"")"),"cartão de memória pequeno e modo de zoom pobres")</f>
        <v>cartão de memória pequeno e modo de zoom pobres</v>
      </c>
      <c r="B21585" s="3">
        <v>0</v>
      </c>
    </row>
    <row r="21586" ht="15.75" customHeight="1" spans="1:2">
      <c r="A21586" s="3" t="str">
        <f>IFERROR(__xludf.DUMMYFUNCTION("GOOGLETRANSLATE(A21586,""en"",""pt"")"),"lento tempo de download &amp; amp; amp; pouco degradação em fotos em salas mal iluminadas")</f>
        <v>lento tempo de download &amp; amp; amp; pouco degradação em fotos em salas mal iluminadas</v>
      </c>
      <c r="B21586" s="3">
        <v>0</v>
      </c>
    </row>
    <row r="21587" ht="15.75" customHeight="1" spans="1:2">
      <c r="A21587" s="3" t="str">
        <f>IFERROR(__xludf.DUMMYFUNCTION("GOOGLETRANSLATE(A21587,""en"",""pt"")"),"sem tampa da lente")</f>
        <v>sem tampa da lente</v>
      </c>
      <c r="B21587" s="3">
        <v>0</v>
      </c>
    </row>
    <row r="21588" ht="15.75" customHeight="1" spans="1:2">
      <c r="A21588" s="3" t="str">
        <f>IFERROR(__xludf.DUMMYFUNCTION("GOOGLETRANSLATE(A21588,""en"",""pt"")"),"Nenhum")</f>
        <v>Nenhum</v>
      </c>
      <c r="B21588" s="3">
        <v>0</v>
      </c>
    </row>
    <row r="21589" ht="15.75" customHeight="1" spans="1:2">
      <c r="A21589" s="3" t="str">
        <f>IFERROR(__xludf.DUMMYFUNCTION("GOOGLETRANSLATE(A21589,""en"",""pt"")"),"Estritamente formato de arquivo JPEG")</f>
        <v>Estritamente formato de arquivo JPEG</v>
      </c>
      <c r="B21589" s="3">
        <v>0</v>
      </c>
    </row>
    <row r="21590" ht="15.75" customHeight="1" spans="1:2">
      <c r="A21590" s="3" t="str">
        <f>IFERROR(__xludf.DUMMYFUNCTION("GOOGLETRANSLATE(A21590,""en"",""pt"")"),"má qualidade de imagem")</f>
        <v>má qualidade de imagem</v>
      </c>
      <c r="B21590" s="3">
        <v>0</v>
      </c>
    </row>
    <row r="21591" ht="15.75" customHeight="1" spans="1:2">
      <c r="A21591" s="3" t="str">
        <f>IFERROR(__xludf.DUMMYFUNCTION("GOOGLETRANSLATE(A21591,""en"",""pt"")"),"Sem zoom óptico. cartão SM muito pequeno.")</f>
        <v>Sem zoom óptico. cartão SM muito pequeno.</v>
      </c>
      <c r="B21591" s="3">
        <v>0</v>
      </c>
    </row>
    <row r="21592" ht="15.75" customHeight="1" spans="1:2">
      <c r="A21592" s="3" t="str">
        <f>IFERROR(__xludf.DUMMYFUNCTION("GOOGLETRANSLATE(A21592,""en"",""pt"")"),"Veja acima :)")</f>
        <v>Veja acima :)</v>
      </c>
      <c r="B21592" s="3">
        <v>0</v>
      </c>
    </row>
    <row r="21593" ht="15.75" customHeight="1" spans="1:2">
      <c r="A21593" s="3" t="str">
        <f>IFERROR(__xludf.DUMMYFUNCTION("GOOGLETRANSLATE(A21593,""en"",""pt"")"),"tempo de transferência lenta")</f>
        <v>tempo de transferência lenta</v>
      </c>
      <c r="B21593" s="3">
        <v>0</v>
      </c>
    </row>
    <row r="21594" ht="15.75" customHeight="1" spans="1:2">
      <c r="A21594" s="3" t="str">
        <f>IFERROR(__xludf.DUMMYFUNCTION("GOOGLETRANSLATE(A21594,""en"",""pt"")"),"Lento câmera onboard - transferência de computador, a imagem mostrada na tela LCD antes de tiro é um brilhante pouco do que a imagem final, sem cobertura lense")</f>
        <v>Lento câmera onboard - transferência de computador, a imagem mostrada na tela LCD antes de tiro é um brilhante pouco do que a imagem final, sem cobertura lense</v>
      </c>
      <c r="B21594" s="3">
        <v>0</v>
      </c>
    </row>
    <row r="21595" ht="15.75" customHeight="1" spans="1:2">
      <c r="A21595" s="3" t="str">
        <f>IFERROR(__xludf.DUMMYFUNCTION("GOOGLETRANSLATE(A21595,""en"",""pt"")"),"software empacotado inútil, nenhum cabo DC incluído, zoom é meio estranho, não apresentam laden")</f>
        <v>software empacotado inútil, nenhum cabo DC incluído, zoom é meio estranho, não apresentam laden</v>
      </c>
      <c r="B21595" s="3">
        <v>0</v>
      </c>
    </row>
    <row r="21596" ht="15.75" customHeight="1" spans="1:2">
      <c r="A21596" s="3" t="str">
        <f>IFERROR(__xludf.DUMMYFUNCTION("GOOGLETRANSLATE(A21596,""en"",""pt"")"),"adaptador de energia caro!")</f>
        <v>adaptador de energia caro!</v>
      </c>
      <c r="B21596" s="3">
        <v>0</v>
      </c>
    </row>
    <row r="21597" ht="15.75" customHeight="1" spans="1:2">
      <c r="A21597" s="3" t="str">
        <f>IFERROR(__xludf.DUMMYFUNCTION("GOOGLETRANSLATE(A21597,""en"",""pt"")"),"Precisa de ferramenta extra para transferência rápida de imagens")</f>
        <v>Precisa de ferramenta extra para transferência rápida de imagens</v>
      </c>
      <c r="B21597" s="3">
        <v>0</v>
      </c>
    </row>
    <row r="21598" ht="15.75" customHeight="1" spans="1:2">
      <c r="A21598" s="3" t="str">
        <f>IFERROR(__xludf.DUMMYFUNCTION("GOOGLETRANSLATE(A21598,""en"",""pt"")"),"mau zoom")</f>
        <v>mau zoom</v>
      </c>
      <c r="B21598" s="3">
        <v>0</v>
      </c>
    </row>
    <row r="21599" ht="15.75" customHeight="1" spans="1:2">
      <c r="A21599" s="3" t="str">
        <f>IFERROR(__xludf.DUMMYFUNCTION("GOOGLETRANSLATE(A21599,""en"",""pt"")"),"come Baterias")</f>
        <v>come Baterias</v>
      </c>
      <c r="B21599" s="3">
        <v>0</v>
      </c>
    </row>
    <row r="21600" ht="15.75" customHeight="1" spans="1:2">
      <c r="A21600" s="3" t="str">
        <f>IFERROR(__xludf.DUMMYFUNCTION("GOOGLETRANSLATE(A21600,""en"",""pt"")"),"Às vezes, pontos de luz em fotos")</f>
        <v>Às vezes, pontos de luz em fotos</v>
      </c>
      <c r="B21600" s="3">
        <v>0</v>
      </c>
    </row>
    <row r="21601" ht="15.75" customHeight="1" spans="1:2">
      <c r="A21601" s="3" t="str">
        <f>IFERROR(__xludf.DUMMYFUNCTION("GOOGLETRANSLATE(A21601,""en"",""pt"")"),"armazenamento Smartmedia, drenos LCD baterias rapidamente, muito pouco zoom.")</f>
        <v>armazenamento Smartmedia, drenos LCD baterias rapidamente, muito pouco zoom.</v>
      </c>
      <c r="B21601" s="3">
        <v>0</v>
      </c>
    </row>
    <row r="21602" ht="15.75" customHeight="1" spans="1:2">
      <c r="A21602" s="3" t="str">
        <f>IFERROR(__xludf.DUMMYFUNCTION("GOOGLETRANSLATE(A21602,""en"",""pt"")"),"má qualidade de imagem, controle de qualidade questionável")</f>
        <v>má qualidade de imagem, controle de qualidade questionável</v>
      </c>
      <c r="B21602" s="3">
        <v>0</v>
      </c>
    </row>
    <row r="21603" ht="15.75" customHeight="1" spans="1:2">
      <c r="A21603" s="3" t="str">
        <f>IFERROR(__xludf.DUMMYFUNCTION("GOOGLETRANSLATE(A21603,""en"",""pt"")"),"imagens difusas")</f>
        <v>imagens difusas</v>
      </c>
      <c r="B21603" s="3">
        <v>0</v>
      </c>
    </row>
    <row r="21604" ht="15.75" customHeight="1" spans="1:2">
      <c r="A21604" s="3" t="str">
        <f>IFERROR(__xludf.DUMMYFUNCTION("GOOGLETRANSLATE(A21604,""en"",""pt"")"),"mostrador parece frágil ...")</f>
        <v>mostrador parece frágil ...</v>
      </c>
      <c r="B21604" s="3">
        <v>0</v>
      </c>
    </row>
    <row r="21605" ht="15.75" customHeight="1" spans="1:2">
      <c r="A21605" s="3" t="str">
        <f>IFERROR(__xludf.DUMMYFUNCTION("GOOGLETRANSLATE(A21605,""en"",""pt"")"),"Baterias ?????")</f>
        <v>Baterias ?????</v>
      </c>
      <c r="B21605" s="3">
        <v>0</v>
      </c>
    </row>
    <row r="21606" ht="15.75" customHeight="1" spans="1:2">
      <c r="A21606" s="3" t="str">
        <f>IFERROR(__xludf.DUMMYFUNCTION("GOOGLETRANSLATE(A21606,""en"",""pt"")"),"Nenhum caso. Lens é vulnerável a danos.")</f>
        <v>Nenhum caso. Lens é vulnerável a danos.</v>
      </c>
      <c r="B21606" s="3">
        <v>0</v>
      </c>
    </row>
    <row r="21607" ht="15.75" customHeight="1" spans="1:2">
      <c r="A21607" s="3" t="str">
        <f>IFERROR(__xludf.DUMMYFUNCTION("GOOGLETRANSLATE(A21607,""en"",""pt"")"),"Pode precisar de acessórios, câmera começando a mostrar idade")</f>
        <v>Pode precisar de acessórios, câmera começando a mostrar idade</v>
      </c>
      <c r="B21607" s="3">
        <v>0</v>
      </c>
    </row>
    <row r="21608" ht="15.75" customHeight="1" spans="1:2">
      <c r="A21608" s="3" t="str">
        <f>IFERROR(__xludf.DUMMYFUNCTION("GOOGLETRANSLATE(A21608,""en"",""pt"")"),"Utiliza uma porta em série de transferência, sem um adaptador de CC no pacote.")</f>
        <v>Utiliza uma porta em série de transferência, sem um adaptador de CC no pacote.</v>
      </c>
      <c r="B21608" s="3">
        <v>0</v>
      </c>
    </row>
    <row r="21609" ht="15.75" customHeight="1" spans="1:2">
      <c r="A21609" s="3" t="str">
        <f>IFERROR(__xludf.DUMMYFUNCTION("GOOGLETRANSLATE(A21609,""en"",""pt"")"),"Muito pobre vida útil da bateria, a função de zoom é terrível e, infelizmente, a lista continua")</f>
        <v>Muito pobre vida útil da bateria, a função de zoom é terrível e, infelizmente, a lista continua</v>
      </c>
      <c r="B21609" s="3">
        <v>0</v>
      </c>
    </row>
    <row r="21610" ht="15.75" customHeight="1" spans="1:2">
      <c r="A21610" s="3" t="str">
        <f>IFERROR(__xludf.DUMMYFUNCTION("GOOGLETRANSLATE(A21610,""en"",""pt"")"),"sem tampa da lente, tem que comprar um monte de acessórios para chegar até a velocidade")</f>
        <v>sem tampa da lente, tem que comprar um monte de acessórios para chegar até a velocidade</v>
      </c>
      <c r="B21610" s="3">
        <v>0</v>
      </c>
    </row>
    <row r="21611" ht="15.75" customHeight="1" spans="1:2">
      <c r="A21611" s="3" t="str">
        <f>IFERROR(__xludf.DUMMYFUNCTION("GOOGLETRANSLATE(A21611,""en"",""pt"")"),"Não tem um flash")</f>
        <v>Não tem um flash</v>
      </c>
      <c r="B21611" s="3">
        <v>0</v>
      </c>
    </row>
    <row r="21612" ht="15.75" customHeight="1" spans="1:2">
      <c r="A21612" s="3" t="str">
        <f>IFERROR(__xludf.DUMMYFUNCTION("GOOGLETRANSLATE(A21612,""en"",""pt"")"),"Falta de plug sincronização e firewire, usa muitas baterias, muito frágeis, ISO 320")</f>
        <v>Falta de plug sincronização e firewire, usa muitas baterias, muito frágeis, ISO 320</v>
      </c>
      <c r="B21612" s="3">
        <v>0</v>
      </c>
    </row>
    <row r="21613" ht="15.75" customHeight="1" spans="1:2">
      <c r="A21613" s="3" t="str">
        <f>IFERROR(__xludf.DUMMYFUNCTION("GOOGLETRANSLATE(A21613,""en"",""pt"")"),"Pesado. Não a deixe cair, caixa de plástico, mas tão bom quanto o N65!")</f>
        <v>Pesado. Não a deixe cair, caixa de plástico, mas tão bom quanto o N65!</v>
      </c>
      <c r="B21613" s="3">
        <v>0</v>
      </c>
    </row>
    <row r="21614" ht="15.75" customHeight="1" spans="1:2">
      <c r="A21614" s="3" t="str">
        <f>IFERROR(__xludf.DUMMYFUNCTION("GOOGLETRANSLATE(A21614,""en"",""pt"")"),"nenhum i ter encontrado")</f>
        <v>nenhum i ter encontrado</v>
      </c>
      <c r="B21614" s="3">
        <v>0</v>
      </c>
    </row>
    <row r="21615" ht="15.75" customHeight="1" spans="1:2">
      <c r="A21615" s="3" t="str">
        <f>IFERROR(__xludf.DUMMYFUNCTION("GOOGLETRANSLATE(A21615,""en"",""pt"")"),"Não tão indestrutível como câmeras de preços mais elevados, mito 6.1 megapixel")</f>
        <v>Não tão indestrutível como câmeras de preços mais elevados, mito 6.1 megapixel</v>
      </c>
      <c r="B21615" s="3">
        <v>0</v>
      </c>
    </row>
    <row r="21616" ht="15.75" customHeight="1" spans="1:2">
      <c r="A21616" s="3" t="str">
        <f>IFERROR(__xludf.DUMMYFUNCTION("GOOGLETRANSLATE(A21616,""en"",""pt"")"),"125'sec de flash Syncro., 320 ISO ...")</f>
        <v>125'sec de flash Syncro., 320 ISO ...</v>
      </c>
      <c r="B21616" s="3">
        <v>0</v>
      </c>
    </row>
    <row r="21617" ht="15.75" customHeight="1" spans="1:2">
      <c r="A21617" s="3" t="str">
        <f>IFERROR(__xludf.DUMMYFUNCTION("GOOGLETRANSLATE(A21617,""en"",""pt"")"),"corpo N60, ISO 320, sem medidor de ponto, menus e operação não são intuitivo.")</f>
        <v>corpo N60, ISO 320, sem medidor de ponto, menus e operação não são intuitivo.</v>
      </c>
      <c r="B21617" s="3">
        <v>0</v>
      </c>
    </row>
    <row r="21618" ht="15.75" customHeight="1" spans="1:2">
      <c r="A21618" s="3" t="str">
        <f>IFERROR(__xludf.DUMMYFUNCTION("GOOGLETRANSLATE(A21618,""en"",""pt"")"),"preço")</f>
        <v>preço</v>
      </c>
      <c r="B21618" s="3">
        <v>0</v>
      </c>
    </row>
    <row r="21619" ht="15.75" customHeight="1" spans="1:2">
      <c r="A21619" s="3" t="str">
        <f>IFERROR(__xludf.DUMMYFUNCTION("GOOGLETRANSLATE(A21619,""en"",""pt"")"),"Como qualquer câmera flexível, isto é, com muitos controles e posibilities, e não para os recém-chegados, não para apontar e atiradores. manual de instruções bastante boa, Nikon tem de vídeo utilizado em câmeras de iodetos para ajudar a aprender muitos co"&amp;"ntroles; pode ser Fuji deve fazer mesmo.")</f>
        <v>Como qualquer câmera flexível, isto é, com muitos controles e posibilities, e não para os recém-chegados, não para apontar e atiradores. manual de instruções bastante boa, Nikon tem de vídeo utilizado em câmeras de iodetos para ajudar a aprender muitos controles; pode ser Fuji deve fazer mesmo.</v>
      </c>
      <c r="B21619" s="3">
        <v>0</v>
      </c>
    </row>
    <row r="21620" ht="15.75" customHeight="1" spans="1:2">
      <c r="A21620" s="3" t="str">
        <f>IFERROR(__xludf.DUMMYFUNCTION("GOOGLETRANSLATE(A21620,""en"",""pt"")"),"Eu não encontrei nenhum.")</f>
        <v>Eu não encontrei nenhum.</v>
      </c>
      <c r="B21620" s="3">
        <v>0</v>
      </c>
    </row>
    <row r="21621" ht="15.75" customHeight="1" spans="1:2">
      <c r="A21621" s="3" t="str">
        <f>IFERROR(__xludf.DUMMYFUNCTION("GOOGLETRANSLATE(A21621,""en"",""pt"")"),"corpo F60, ISO 320 é a classificação mais baixa")</f>
        <v>corpo F60, ISO 320 é a classificação mais baixa</v>
      </c>
      <c r="B21621" s="3">
        <v>0</v>
      </c>
    </row>
    <row r="21622" ht="15.75" customHeight="1" spans="1:2">
      <c r="A21622" s="3" t="str">
        <f>IFERROR(__xludf.DUMMYFUNCTION("GOOGLETRANSLATE(A21622,""en"",""pt"")"),"algum sangramento no res elevado")</f>
        <v>algum sangramento no res elevado</v>
      </c>
      <c r="B21622" s="3">
        <v>0</v>
      </c>
    </row>
    <row r="21623" ht="15.75" customHeight="1" spans="1:2">
      <c r="A21623" s="3" t="str">
        <f>IFERROR(__xludf.DUMMYFUNCTION("GOOGLETRANSLATE(A21623,""en"",""pt"")"),"Um porco de armazenamento e alimentação. Ele pode ficar rápido caro.")</f>
        <v>Um porco de armazenamento e alimentação. Ele pode ficar rápido caro.</v>
      </c>
      <c r="B21623" s="3">
        <v>0</v>
      </c>
    </row>
    <row r="21624" ht="15.75" customHeight="1" spans="1:2">
      <c r="A21624" s="3" t="str">
        <f>IFERROR(__xludf.DUMMYFUNCTION("GOOGLETRANSLATE(A21624,""en"",""pt"")"),"Suga a energia da bateria ... rechargables Ni-MH são essenciais. Armazenamento caro a menos que você usar IBM Microdrive.")</f>
        <v>Suga a energia da bateria ... rechargables Ni-MH são essenciais. Armazenamento caro a menos que você usar IBM Microdrive.</v>
      </c>
      <c r="B21624" s="3">
        <v>0</v>
      </c>
    </row>
    <row r="21625" ht="15.75" customHeight="1" spans="1:2">
      <c r="A21625" s="3" t="str">
        <f>IFERROR(__xludf.DUMMYFUNCTION("GOOGLETRANSLATE(A21625,""en"",""pt"")"),"3.3m pixels efetivos, preço elevado, faltando algumas características úteis")</f>
        <v>3.3m pixels efetivos, preço elevado, faltando algumas características úteis</v>
      </c>
      <c r="B21625" s="3">
        <v>0</v>
      </c>
    </row>
    <row r="21626" ht="15.75" customHeight="1" spans="1:2">
      <c r="A21626" s="3" t="str">
        <f>IFERROR(__xludf.DUMMYFUNCTION("GOOGLETRANSLATE(A21626,""en"",""pt"")"),"O S602 é um verdadeiro porco potência")</f>
        <v>O S602 é um verdadeiro porco potência</v>
      </c>
      <c r="B21626" s="3">
        <v>0</v>
      </c>
    </row>
    <row r="21627" ht="15.75" customHeight="1" spans="1:2">
      <c r="A21627" s="3" t="str">
        <f>IFERROR(__xludf.DUMMYFUNCTION("GOOGLETRANSLATE(A21627,""en"",""pt"")"),"Demasiado lento para esportes, zoom, nenhum filtro de proteção não quente")</f>
        <v>Demasiado lento para esportes, zoom, nenhum filtro de proteção não quente</v>
      </c>
      <c r="B21627" s="3">
        <v>0</v>
      </c>
    </row>
    <row r="21628" ht="15.75" customHeight="1" spans="1:2">
      <c r="A21628" s="3" t="str">
        <f>IFERROR(__xludf.DUMMYFUNCTION("GOOGLETRANSLATE(A21628,""en"",""pt"")"),"Nada que eu possa pensar em")</f>
        <v>Nada que eu possa pensar em</v>
      </c>
      <c r="B21628" s="3">
        <v>0</v>
      </c>
    </row>
    <row r="21629" ht="15.75" customHeight="1" spans="1:2">
      <c r="A21629" s="3" t="str">
        <f>IFERROR(__xludf.DUMMYFUNCTION("GOOGLETRANSLATE(A21629,""en"",""pt"")"),"Poderia usar luz auxiliar de foco para o escuro com foco")</f>
        <v>Poderia usar luz auxiliar de foco para o escuro com foco</v>
      </c>
      <c r="B21629" s="3">
        <v>0</v>
      </c>
    </row>
    <row r="21630" ht="15.75" customHeight="1" spans="1:2">
      <c r="A21630" s="3" t="str">
        <f>IFERROR(__xludf.DUMMYFUNCTION("GOOGLETRANSLATE(A21630,""en"",""pt"")"),"Encontrar um com todos os extras ao preço mais baixo")</f>
        <v>Encontrar um com todos os extras ao preço mais baixo</v>
      </c>
      <c r="B21630" s="3">
        <v>0</v>
      </c>
    </row>
    <row r="21631" ht="15.75" customHeight="1" spans="1:2">
      <c r="A21631" s="3" t="str">
        <f>IFERROR(__xludf.DUMMYFUNCTION("GOOGLETRANSLATE(A21631,""en"",""pt"")"),"porco de energia, micro tamanho e fumbility")</f>
        <v>porco de energia, micro tamanho e fumbility</v>
      </c>
      <c r="B21631" s="3">
        <v>0</v>
      </c>
    </row>
    <row r="21632" ht="15.75" customHeight="1" spans="1:2">
      <c r="A21632" s="3" t="str">
        <f>IFERROR(__xludf.DUMMYFUNCTION("GOOGLETRANSLATE(A21632,""en"",""pt"")"),"Limitado a 3,1 MP")</f>
        <v>Limitado a 3,1 MP</v>
      </c>
      <c r="B21632" s="3">
        <v>0</v>
      </c>
    </row>
    <row r="21633" ht="15.75" customHeight="1" spans="1:2">
      <c r="A21633" s="3" t="str">
        <f>IFERROR(__xludf.DUMMYFUNCTION("GOOGLETRANSLATE(A21633,""en"",""pt"")"),"abraço poder,, sem atualizações de baixa luz com foco folhas alguns a desejar firmware")</f>
        <v>abraço poder,, sem atualizações de baixa luz com foco folhas alguns a desejar firmware</v>
      </c>
      <c r="B21633" s="3">
        <v>0</v>
      </c>
    </row>
    <row r="21634" ht="15.75" customHeight="1" spans="1:2">
      <c r="A21634" s="3" t="str">
        <f>IFERROR(__xludf.DUMMYFUNCTION("GOOGLETRANSLATE(A21634,""en"",""pt"")"),"Mas tentar algo tão simples como anexar um filtro UV de proteção.")</f>
        <v>Mas tentar algo tão simples como anexar um filtro UV de proteção.</v>
      </c>
      <c r="B21634" s="3">
        <v>0</v>
      </c>
    </row>
    <row r="21635" ht="15.75" customHeight="1" spans="1:2">
      <c r="A21635" s="3" t="str">
        <f>IFERROR(__xludf.DUMMYFUNCTION("GOOGLETRANSLATE(A21635,""en"",""pt"")"),"Pode levar algum tempo para aprender todos os recursos.")</f>
        <v>Pode levar algum tempo para aprender todos os recursos.</v>
      </c>
      <c r="B21635" s="3">
        <v>0</v>
      </c>
    </row>
    <row r="21636" ht="15.75" customHeight="1" spans="1:2">
      <c r="A21636" s="3" t="str">
        <f>IFERROR(__xludf.DUMMYFUNCTION("GOOGLETRANSLATE(A21636,""en"",""pt"")"),"Um pouco volumoso, utiliza baterias rapidamente, leva vários segundos para ligar / desligar")</f>
        <v>Um pouco volumoso, utiliza baterias rapidamente, leva vários segundos para ligar / desligar</v>
      </c>
      <c r="B21636" s="3">
        <v>0</v>
      </c>
    </row>
    <row r="21637" ht="15.75" customHeight="1" spans="1:2">
      <c r="A21637" s="3" t="str">
        <f>IFERROR(__xludf.DUMMYFUNCTION("GOOGLETRANSLATE(A21637,""en"",""pt"")"),"NENHUM")</f>
        <v>NENHUM</v>
      </c>
      <c r="B21637" s="3">
        <v>0</v>
      </c>
    </row>
    <row r="21638" ht="15.75" customHeight="1" spans="1:2">
      <c r="A21638" s="3" t="str">
        <f>IFERROR(__xludf.DUMMYFUNCTION("GOOGLETRANSLATE(A21638,""en"",""pt"")"),"Come baterias como doces")</f>
        <v>Come baterias como doces</v>
      </c>
      <c r="B21638" s="3">
        <v>0</v>
      </c>
    </row>
    <row r="21639" ht="15.75" customHeight="1" spans="1:2">
      <c r="A21639" s="3" t="str">
        <f>IFERROR(__xludf.DUMMYFUNCTION("GOOGLETRANSLATE(A21639,""en"",""pt"")"),"Não zoom durante o modo de filme; muitos cartões CF não compatíveis com o modo de filme")</f>
        <v>Não zoom durante o modo de filme; muitos cartões CF não compatíveis com o modo de filme</v>
      </c>
      <c r="B21639" s="3">
        <v>0</v>
      </c>
    </row>
    <row r="21640" ht="15.75" customHeight="1" spans="1:2">
      <c r="A21640" s="3" t="str">
        <f>IFERROR(__xludf.DUMMYFUNCTION("GOOGLETRANSLATE(A21640,""en"",""pt"")"),"Sem auto-foco lâmpada auxiliar, (non-móvel) tela fixa LCD")</f>
        <v>Sem auto-foco lâmpada auxiliar, (non-móvel) tela fixa LCD</v>
      </c>
      <c r="B21640" s="3">
        <v>0</v>
      </c>
    </row>
    <row r="21641" ht="15.75" customHeight="1" spans="1:2">
      <c r="A21641" s="3" t="str">
        <f>IFERROR(__xludf.DUMMYFUNCTION("GOOGLETRANSLATE(A21641,""en"",""pt"")"),"1. A leitura cuidadosa da documentação uma obrigação, 2. Will Fuji construir uma estrela no follow-up?")</f>
        <v>1. A leitura cuidadosa da documentação uma obrigação, 2. Will Fuji construir uma estrela no follow-up?</v>
      </c>
      <c r="B21641" s="3">
        <v>0</v>
      </c>
    </row>
    <row r="21642" ht="15.75" customHeight="1" spans="1:2">
      <c r="A21642" s="3" t="str">
        <f>IFERROR(__xludf.DUMMYFUNCTION("GOOGLETRANSLATE(A21642,""en"",""pt"")"),"Fraca capacidade concentrando-luz baixa, com fome de poder")</f>
        <v>Fraca capacidade concentrando-luz baixa, com fome de poder</v>
      </c>
      <c r="B21642" s="3">
        <v>0</v>
      </c>
    </row>
    <row r="21643" ht="15.75" customHeight="1" spans="1:2">
      <c r="A21643" s="3" t="str">
        <f>IFERROR(__xludf.DUMMYFUNCTION("GOOGLETRANSLATE(A21643,""en"",""pt"")"),"Lenta ou difícil pouca luz incidindo, lag foco manual, No tomada para PC?")</f>
        <v>Lenta ou difícil pouca luz incidindo, lag foco manual, No tomada para PC?</v>
      </c>
      <c r="B21643" s="3">
        <v>0</v>
      </c>
    </row>
    <row r="21644" ht="15.75" customHeight="1" spans="1:2">
      <c r="A21644" s="3" t="s">
        <v>114</v>
      </c>
      <c r="B21644" s="3">
        <v>0</v>
      </c>
    </row>
    <row r="21645" ht="15.75" customHeight="1" spans="1:2">
      <c r="A21645" s="3" t="str">
        <f>IFERROR(__xludf.DUMMYFUNCTION("GOOGLETRANSLATE(A21645,""en"",""pt"")"),"Preço foi um pouco íngreme, e só vem com um cartão de 16mb.")</f>
        <v>Preço foi um pouco íngreme, e só vem com um cartão de 16mb.</v>
      </c>
      <c r="B21645" s="3">
        <v>0</v>
      </c>
    </row>
    <row r="21646" ht="15.75" customHeight="1" spans="1:2">
      <c r="A21646" s="3" t="str">
        <f>IFERROR(__xludf.DUMMYFUNCTION("GOOGLETRANSLATE(A21646,""en"",""pt"")"),"Nenhum")</f>
        <v>Nenhum</v>
      </c>
      <c r="B21646" s="3">
        <v>0</v>
      </c>
    </row>
    <row r="21647" ht="15.75" customHeight="1" spans="1:2">
      <c r="A21647" s="3" t="str">
        <f>IFERROR(__xludf.DUMMYFUNCTION("GOOGLETRANSLATE(A21647,""en"",""pt"")"),"Analisar mais de 100 fotos de uma só vez pode ser um pouco lento")</f>
        <v>Analisar mais de 100 fotos de uma só vez pode ser um pouco lento</v>
      </c>
      <c r="B21647" s="3">
        <v>0</v>
      </c>
    </row>
    <row r="21648" ht="15.75" customHeight="1" spans="1:2">
      <c r="A21648" s="3" t="str">
        <f>IFERROR(__xludf.DUMMYFUNCTION("GOOGLETRANSLATE(A21648,""en"",""pt"")"),"$ 800 ainda é muito, apesar de que é um ótimo valor em comparação com a concorrência")</f>
        <v>$ 800 ainda é muito, apesar de que é um ótimo valor em comparação com a concorrência</v>
      </c>
      <c r="B21648" s="3">
        <v>0</v>
      </c>
    </row>
    <row r="21649" ht="15.75" customHeight="1" spans="1:2">
      <c r="A21649" s="3" t="str">
        <f>IFERROR(__xludf.DUMMYFUNCTION("GOOGLETRANSLATE(A21649,""en"",""pt"")"),"número insano de recursos, o uso da bateria intensa bastante")</f>
        <v>número insano de recursos, o uso da bateria intensa bastante</v>
      </c>
      <c r="B21649" s="3">
        <v>0</v>
      </c>
    </row>
    <row r="21650" ht="15.75" customHeight="1" spans="1:2">
      <c r="A21650" s="3" t="str">
        <f>IFERROR(__xludf.DUMMYFUNCTION("GOOGLETRANSLATE(A21650,""en"",""pt"")"),"Nenhum ainda")</f>
        <v>Nenhum ainda</v>
      </c>
      <c r="B21650" s="3">
        <v>0</v>
      </c>
    </row>
    <row r="21651" ht="15.75" customHeight="1" spans="1:2">
      <c r="A21651" s="3" t="str">
        <f>IFERROR(__xludf.DUMMYFUNCTION("GOOGLETRANSLATE(A21651,""en"",""pt"")"),"O foco manual é complicado, não é verdade de 6.1 megapixels")</f>
        <v>O foco manual é complicado, não é verdade de 6.1 megapixels</v>
      </c>
      <c r="B21651" s="3">
        <v>0</v>
      </c>
    </row>
    <row r="21652" ht="15.75" customHeight="1" spans="1:2">
      <c r="A21652" s="3" t="str">
        <f>IFERROR(__xludf.DUMMYFUNCTION("GOOGLETRANSLATE(A21652,""en"",""pt"")"),"Nenhum")</f>
        <v>Nenhum</v>
      </c>
      <c r="B21652" s="3">
        <v>0</v>
      </c>
    </row>
    <row r="21653" ht="15.75" customHeight="1" spans="1:2">
      <c r="A21653" s="3" t="str">
        <f>IFERROR(__xludf.DUMMYFUNCTION("GOOGLETRANSLATE(A21653,""en"",""pt"")"),"fora de foco em algumas vezes de pouca luz (minor)")</f>
        <v>fora de foco em algumas vezes de pouca luz (minor)</v>
      </c>
      <c r="B21653" s="3">
        <v>0</v>
      </c>
    </row>
    <row r="21654" ht="15.75" customHeight="1" spans="1:2">
      <c r="A21654" s="3" t="str">
        <f>IFERROR(__xludf.DUMMYFUNCTION("GOOGLETRANSLATE(A21654,""en"",""pt"")"),"tamanho pequeno leva algum tempo para se acostumar")</f>
        <v>tamanho pequeno leva algum tempo para se acostumar</v>
      </c>
      <c r="B21654" s="3">
        <v>0</v>
      </c>
    </row>
    <row r="21655" ht="15.75" customHeight="1" spans="1:2">
      <c r="A21655" s="3" t="str">
        <f>IFERROR(__xludf.DUMMYFUNCTION("GOOGLETRANSLATE(A21655,""en"",""pt"")"),"carregador de corrente internos")</f>
        <v>carregador de corrente internos</v>
      </c>
      <c r="B21655" s="3">
        <v>0</v>
      </c>
    </row>
    <row r="21656" ht="15.75" customHeight="1" spans="1:2">
      <c r="A21656" s="3" t="str">
        <f>IFERROR(__xludf.DUMMYFUNCTION("GOOGLETRANSLATE(A21656,""en"",""pt"")"),"Não duráveis, má qualidade de imagem, pobre de flash.")</f>
        <v>Não duráveis, má qualidade de imagem, pobre de flash.</v>
      </c>
      <c r="B21656" s="3">
        <v>0</v>
      </c>
    </row>
    <row r="21657" ht="15.75" customHeight="1" spans="1:2">
      <c r="A21657" s="3" t="str">
        <f>IFERROR(__xludf.DUMMYFUNCTION("GOOGLETRANSLATE(A21657,""en"",""pt"")"),"Contras: Às vezes as imagens tiverem muito vermelho para eles. Zoom não é muito bom. Se você não é real perto de assunto, imagem está tremida.")</f>
        <v>Contras: Às vezes as imagens tiverem muito vermelho para eles. Zoom não é muito bom. Se você não é real perto de assunto, imagem está tremida.</v>
      </c>
      <c r="B21657" s="3">
        <v>0</v>
      </c>
    </row>
    <row r="21658" ht="15.75" customHeight="1" spans="1:2">
      <c r="A21658" s="3" t="str">
        <f>IFERROR(__xludf.DUMMYFUNCTION("GOOGLETRANSLATE(A21658,""en"",""pt"")"),"Nenhum")</f>
        <v>Nenhum</v>
      </c>
      <c r="B21658" s="3">
        <v>0</v>
      </c>
    </row>
    <row r="21659" ht="15.75" customHeight="1" spans="1:2">
      <c r="A21659" s="3" t="str">
        <f>IFERROR(__xludf.DUMMYFUNCTION("GOOGLETRANSLATE(A21659,""en"",""pt"")"),"continua a não chegar perto de 35 milímetros")</f>
        <v>continua a não chegar perto de 35 milímetros</v>
      </c>
      <c r="B21659" s="3">
        <v>0</v>
      </c>
    </row>
    <row r="21660" ht="15.75" customHeight="1" spans="1:2">
      <c r="A21660" s="3" t="str">
        <f>IFERROR(__xludf.DUMMYFUNCTION("GOOGLETRANSLATE(A21660,""en"",""pt"")"),"não USB")</f>
        <v>não USB</v>
      </c>
      <c r="B21660" s="3">
        <v>0</v>
      </c>
    </row>
    <row r="21661" ht="15.75" customHeight="1" spans="1:2">
      <c r="A21661" s="3" t="str">
        <f>IFERROR(__xludf.DUMMYFUNCTION("GOOGLETRANSLATE(A21661,""en"",""pt"")"),"curta duração da bateria, a usabilidade de exibição ao ar livre")</f>
        <v>curta duração da bateria, a usabilidade de exibição ao ar livre</v>
      </c>
      <c r="B21661" s="3">
        <v>0</v>
      </c>
    </row>
    <row r="21662" ht="15.75" customHeight="1" spans="1:2">
      <c r="A21662" s="3" t="str">
        <f>IFERROR(__xludf.DUMMYFUNCTION("GOOGLETRANSLATE(A21662,""en"",""pt"")"),"Dentro resultados desiguais, sob condições de baixa luz")</f>
        <v>Dentro resultados desiguais, sob condições de baixa luz</v>
      </c>
      <c r="B21662" s="3">
        <v>0</v>
      </c>
    </row>
    <row r="21663" ht="15.75" customHeight="1" spans="1:2">
      <c r="A21663" s="3" t="s">
        <v>115</v>
      </c>
      <c r="B21663" s="3">
        <v>0</v>
      </c>
    </row>
    <row r="21664" ht="15.75" customHeight="1" spans="1:2">
      <c r="A21664" s="3" t="str">
        <f>IFERROR(__xludf.DUMMYFUNCTION("GOOGLETRANSLATE(A21664,""en"",""pt"")"),"Flash fraco, pobre para pessoas com mãos grandes")</f>
        <v>Flash fraco, pobre para pessoas com mãos grandes</v>
      </c>
      <c r="B21664" s="3">
        <v>0</v>
      </c>
    </row>
    <row r="21665" ht="15.75" customHeight="1" spans="1:2">
      <c r="A21665" s="3" t="str">
        <f>IFERROR(__xludf.DUMMYFUNCTION("GOOGLETRANSLATE(A21665,""en"",""pt"")"),"velocidades de porta paralela lento - Não USB")</f>
        <v>velocidades de porta paralela lento - Não USB</v>
      </c>
      <c r="B21665" s="3">
        <v>0</v>
      </c>
    </row>
    <row r="21666" ht="15.75" customHeight="1" spans="1:2">
      <c r="A21666" s="3" t="str">
        <f>IFERROR(__xludf.DUMMYFUNCTION("GOOGLETRANSLATE(A21666,""en"",""pt"")"),"Tudo!")</f>
        <v>Tudo!</v>
      </c>
      <c r="B21666" s="3">
        <v>0</v>
      </c>
    </row>
    <row r="21667" ht="15.75" customHeight="1" spans="1:2">
      <c r="A21667" s="3" t="str">
        <f>IFERROR(__xludf.DUMMYFUNCTION("GOOGLETRANSLATE(A21667,""en"",""pt"")"),"Não a deixe cair !! Segunda bateria pode ser necessária")</f>
        <v>Não a deixe cair !! Segunda bateria pode ser necessária</v>
      </c>
      <c r="B21667" s="3">
        <v>0</v>
      </c>
    </row>
    <row r="21668" ht="15.75" customHeight="1" spans="1:2">
      <c r="A21668" s="3" t="str">
        <f>IFERROR(__xludf.DUMMYFUNCTION("GOOGLETRANSLATE(A21668,""en"",""pt"")"),"Menos recursos do que a concorrência, as preocupações de perto de qualidade de imagem, proporções diferentes nas resoluções de apoio")</f>
        <v>Menos recursos do que a concorrência, as preocupações de perto de qualidade de imagem, proporções diferentes nas resoluções de apoio</v>
      </c>
      <c r="B21668" s="3">
        <v>0</v>
      </c>
    </row>
    <row r="21669" ht="15.75" customHeight="1" spans="1:2">
      <c r="A21669" s="3" t="s">
        <v>102</v>
      </c>
      <c r="B21669" s="3">
        <v>0</v>
      </c>
    </row>
    <row r="21670" ht="15.75" customHeight="1" spans="1:2">
      <c r="A21670" s="3" t="str">
        <f>IFERROR(__xludf.DUMMYFUNCTION("GOOGLETRANSLATE(A21670,""en"",""pt"")"),"Nenhum")</f>
        <v>Nenhum</v>
      </c>
      <c r="B21670" s="3">
        <v>0</v>
      </c>
    </row>
    <row r="21671" ht="15.75" customHeight="1" spans="1:2">
      <c r="A21671" s="3" t="str">
        <f>IFERROR(__xludf.DUMMYFUNCTION("GOOGLETRANSLATE(A21671,""en"",""pt"")"),"download lento")</f>
        <v>download lento</v>
      </c>
      <c r="B21671" s="3">
        <v>0</v>
      </c>
    </row>
    <row r="21672" ht="15.75" customHeight="1" spans="1:2">
      <c r="A21672" s="3" t="str">
        <f>IFERROR(__xludf.DUMMYFUNCTION("GOOGLETRANSLATE(A21672,""en"",""pt"")"),"Nenhum")</f>
        <v>Nenhum</v>
      </c>
      <c r="B21672" s="3">
        <v>0</v>
      </c>
    </row>
    <row r="21673" ht="15.75" customHeight="1" spans="1:2">
      <c r="A21673" s="3" t="str">
        <f>IFERROR(__xludf.DUMMYFUNCTION("GOOGLETRANSLATE(A21673,""en"",""pt"")"),"Mantenha o seu 35 milímetros também")</f>
        <v>Mantenha o seu 35 milímetros também</v>
      </c>
      <c r="B21673" s="3">
        <v>0</v>
      </c>
    </row>
    <row r="21674" ht="15.75" customHeight="1" spans="1:2">
      <c r="A21674" s="3" t="str">
        <f>IFERROR(__xludf.DUMMYFUNCTION("GOOGLETRANSLATE(A21674,""en"",""pt"")"),"O flash está sempre ligado, pisca em grandes quartos não suficientes")</f>
        <v>O flash está sempre ligado, pisca em grandes quartos não suficientes</v>
      </c>
      <c r="B21674" s="3">
        <v>0</v>
      </c>
    </row>
    <row r="21675" ht="15.75" customHeight="1" spans="1:2">
      <c r="A21675" s="3" t="str">
        <f>IFERROR(__xludf.DUMMYFUNCTION("GOOGLETRANSLATE(A21675,""en"",""pt"")"),"pesado para seu tamanho")</f>
        <v>pesado para seu tamanho</v>
      </c>
      <c r="B21675" s="3">
        <v>0</v>
      </c>
    </row>
    <row r="21676" ht="15.75" customHeight="1" spans="1:2">
      <c r="A21676" s="3" t="str">
        <f>IFERROR(__xludf.DUMMYFUNCTION("GOOGLETRANSLATE(A21676,""en"",""pt"")"),"Consulte esta epinion.")</f>
        <v>Consulte esta epinion.</v>
      </c>
      <c r="B21676" s="3">
        <v>0</v>
      </c>
    </row>
    <row r="21677" ht="15.75" customHeight="1" spans="1:2">
      <c r="A21677" s="3" t="str">
        <f>IFERROR(__xludf.DUMMYFUNCTION("GOOGLETRANSLATE(A21677,""en"",""pt"")"),"As pessoas vão ficar com ciúmes.")</f>
        <v>As pessoas vão ficar com ciúmes.</v>
      </c>
      <c r="B21677" s="3">
        <v>0</v>
      </c>
    </row>
    <row r="21678" ht="15.75" customHeight="1" spans="1:2">
      <c r="A21678" s="3" t="str">
        <f>IFERROR(__xludf.DUMMYFUNCTION("GOOGLETRANSLATE(A21678,""en"",""pt"")"),"porta de carregamento lento, recurso de olhos vermelhos não funciona como prometido")</f>
        <v>porta de carregamento lento, recurso de olhos vermelhos não funciona como prometido</v>
      </c>
      <c r="B21678" s="3">
        <v>0</v>
      </c>
    </row>
    <row r="21679" ht="15.75" customHeight="1" spans="1:2">
      <c r="A21679" s="3" t="str">
        <f>IFERROR(__xludf.DUMMYFUNCTION("GOOGLETRANSLATE(A21679,""en"",""pt"")"),"Ainda não descobri como mudar o relógio de AM para PM")</f>
        <v>Ainda não descobri como mudar o relógio de AM para PM</v>
      </c>
      <c r="B21679" s="3">
        <v>0</v>
      </c>
    </row>
    <row r="21680" ht="15.75" customHeight="1" spans="1:2">
      <c r="A21680" s="3" t="str">
        <f>IFERROR(__xludf.DUMMYFUNCTION("GOOGLETRANSLATE(A21680,""en"",""pt"")"),"Sem zoom real, lentos para download")</f>
        <v>Sem zoom real, lentos para download</v>
      </c>
      <c r="B21680" s="3">
        <v>0</v>
      </c>
    </row>
    <row r="21681" ht="15.75" customHeight="1" spans="1:2">
      <c r="A21681" s="3" t="s">
        <v>116</v>
      </c>
      <c r="B21681" s="3">
        <v>0</v>
      </c>
    </row>
    <row r="21682" ht="15.75" customHeight="1" spans="1:2">
      <c r="A21682" s="3" t="str">
        <f>IFERROR(__xludf.DUMMYFUNCTION("GOOGLETRANSLATE(A21682,""en"",""pt"")"),"Sem RAM")</f>
        <v>Sem RAM</v>
      </c>
      <c r="B21682" s="3">
        <v>0</v>
      </c>
    </row>
    <row r="21683" ht="15.75" customHeight="1" spans="1:2">
      <c r="A21683" s="3" t="str">
        <f>IFERROR(__xludf.DUMMYFUNCTION("GOOGLETRANSLATE(A21683,""en"",""pt"")"),"Sem zoom óptico, sem USB")</f>
        <v>Sem zoom óptico, sem USB</v>
      </c>
      <c r="B21683" s="3">
        <v>0</v>
      </c>
    </row>
    <row r="21684" ht="15.75" customHeight="1" spans="1:2">
      <c r="A21684" s="3" t="str">
        <f>IFERROR(__xludf.DUMMYFUNCTION("GOOGLETRANSLATE(A21684,""en"",""pt"")"),"curta duração da bateria")</f>
        <v>curta duração da bateria</v>
      </c>
      <c r="B21684" s="3">
        <v>0</v>
      </c>
    </row>
    <row r="21685" ht="15.75" customHeight="1" spans="1:2">
      <c r="A21685" s="3" t="str">
        <f>IFERROR(__xludf.DUMMYFUNCTION("GOOGLETRANSLATE(A21685,""en"",""pt"")"),"A vida da bateria [mas veja revisão].")</f>
        <v>A vida da bateria [mas veja revisão].</v>
      </c>
      <c r="B21685" s="3">
        <v>0</v>
      </c>
    </row>
    <row r="21686" ht="15.75" customHeight="1" spans="1:2">
      <c r="A21686" s="3" t="str">
        <f>IFERROR(__xludf.DUMMYFUNCTION("GOOGLETRANSLATE(A21686,""en"",""pt"")"),"Falta de USB e outros")</f>
        <v>Falta de USB e outros</v>
      </c>
      <c r="B21686" s="3">
        <v>0</v>
      </c>
    </row>
    <row r="21687" ht="15.75" customHeight="1" spans="1:2">
      <c r="A21687" s="3" t="str">
        <f>IFERROR(__xludf.DUMMYFUNCTION("GOOGLETRANSLATE(A21687,""en"",""pt"")"),"Não USB e sem zoom óptico, não é ótimo com pouca luz")</f>
        <v>Não USB e sem zoom óptico, não é ótimo com pouca luz</v>
      </c>
      <c r="B21687" s="3">
        <v>0</v>
      </c>
    </row>
    <row r="21688" ht="15.75" customHeight="1" spans="1:2">
      <c r="A21688" s="3" t="str">
        <f>IFERROR(__xludf.DUMMYFUNCTION("GOOGLETRANSLATE(A21688,""en"",""pt"")"),"porta serial lenta, Lente de zoom, o processamento de alta resolução")</f>
        <v>porta serial lenta, Lente de zoom, o processamento de alta resolução</v>
      </c>
      <c r="B21688" s="3">
        <v>0</v>
      </c>
    </row>
    <row r="21689" ht="15.75" customHeight="1" spans="1:2">
      <c r="A21689" s="3" t="str">
        <f>IFERROR(__xludf.DUMMYFUNCTION("GOOGLETRANSLATE(A21689,""en"",""pt"")"),"construção barato, medíocre JPEG de, design pobre, pobre LCD")</f>
        <v>construção barato, medíocre JPEG de, design pobre, pobre LCD</v>
      </c>
      <c r="B21689" s="3">
        <v>0</v>
      </c>
    </row>
    <row r="21690" ht="15.75" customHeight="1" spans="1:2">
      <c r="A21690" s="3" t="str">
        <f>IFERROR(__xludf.DUMMYFUNCTION("GOOGLETRANSLATE(A21690,""en"",""pt"")"),"qualidade de imagem pobre")</f>
        <v>qualidade de imagem pobre</v>
      </c>
      <c r="B21690" s="3">
        <v>0</v>
      </c>
    </row>
    <row r="21691" ht="15.75" customHeight="1" spans="1:2">
      <c r="A21691" s="3" t="str">
        <f>IFERROR(__xludf.DUMMYFUNCTION("GOOGLETRANSLATE(A21691,""en"",""pt"")"),"exibição lenta")</f>
        <v>exibição lenta</v>
      </c>
      <c r="B21691" s="3">
        <v>0</v>
      </c>
    </row>
    <row r="21692" ht="15.75" customHeight="1" spans="1:2">
      <c r="A21692" s="3" t="str">
        <f>IFERROR(__xludf.DUMMYFUNCTION("GOOGLETRANSLATE(A21692,""en"",""pt"")"),"má qualidade de imagem, flash fraco, tiros maçantes escuras")</f>
        <v>má qualidade de imagem, flash fraco, tiros maçantes escuras</v>
      </c>
      <c r="B21692" s="3">
        <v>0</v>
      </c>
    </row>
    <row r="21693" ht="15.75" customHeight="1" spans="1:2">
      <c r="A21693" s="3" t="str">
        <f>IFERROR(__xludf.DUMMYFUNCTION("GOOGLETRANSLATE(A21693,""en"",""pt"")"),"f parada lento no F4 que é aberta.")</f>
        <v>f parada lento no F4 que é aberta.</v>
      </c>
      <c r="B21693" s="3">
        <v>0</v>
      </c>
    </row>
    <row r="21694" ht="15.75" customHeight="1" spans="1:2">
      <c r="A21694" s="3" t="str">
        <f>IFERROR(__xludf.DUMMYFUNCTION("GOOGLETRANSLATE(A21694,""en"",""pt"")"),"Lento")</f>
        <v>Lento</v>
      </c>
      <c r="B21694" s="3">
        <v>0</v>
      </c>
    </row>
    <row r="21695" ht="15.75" customHeight="1" spans="1:2">
      <c r="A21695" s="3" t="str">
        <f>IFERROR(__xludf.DUMMYFUNCTION("GOOGLETRANSLATE(A21695,""en"",""pt"")"),"Velocidade lenta. controles complexos, intercâmbios modo lento")</f>
        <v>Velocidade lenta. controles complexos, intercâmbios modo lento</v>
      </c>
      <c r="B21695" s="3">
        <v>0</v>
      </c>
    </row>
    <row r="21696" ht="15.75" customHeight="1" spans="1:2">
      <c r="A21696" s="3" t="str">
        <f>IFERROR(__xludf.DUMMYFUNCTION("GOOGLETRANSLATE(A21696,""en"",""pt"")"),"Atraso na captura de imagem, bateria")</f>
        <v>Atraso na captura de imagem, bateria</v>
      </c>
      <c r="B21696" s="3">
        <v>0</v>
      </c>
    </row>
    <row r="21697" ht="15.75" customHeight="1" spans="1:2">
      <c r="A21697" s="3" t="str">
        <f>IFERROR(__xludf.DUMMYFUNCTION("GOOGLETRANSLATE(A21697,""en"",""pt"")"),"tampão lente manual")</f>
        <v>tampão lente manual</v>
      </c>
      <c r="B21697" s="3">
        <v>0</v>
      </c>
    </row>
    <row r="21698" ht="15.75" customHeight="1" spans="1:2">
      <c r="A21698" s="3" t="str">
        <f>IFERROR(__xludf.DUMMYFUNCTION("GOOGLETRANSLATE(A21698,""en"",""pt"")"),"precisam de mais zoom!")</f>
        <v>precisam de mais zoom!</v>
      </c>
      <c r="B21698" s="3">
        <v>0</v>
      </c>
    </row>
    <row r="21699" ht="15.75" customHeight="1" spans="1:2">
      <c r="A21699" s="3" t="str">
        <f>IFERROR(__xludf.DUMMYFUNCTION("GOOGLETRANSLATE(A21699,""en"",""pt"")"),"óptica em vez escuras, um pouco lento &amp; amp; # 13; &amp; amp; # 10;")</f>
        <v>óptica em vez escuras, um pouco lento &amp; amp; # 13; &amp; amp; # 10;</v>
      </c>
      <c r="B21699" s="3">
        <v>0</v>
      </c>
    </row>
    <row r="21700" ht="15.75" customHeight="1" spans="1:2">
      <c r="A21700" s="3" t="str">
        <f>IFERROR(__xludf.DUMMYFUNCTION("GOOGLETRANSLATE(A21700,""en"",""pt"")"),"configurações estranhas mais lento do que outro FUJI de")</f>
        <v>configurações estranhas mais lento do que outro FUJI de</v>
      </c>
      <c r="B21700" s="3">
        <v>0</v>
      </c>
    </row>
    <row r="21701" ht="15.75" customHeight="1" spans="1:2">
      <c r="A21701" s="3" t="str">
        <f>IFERROR(__xludf.DUMMYFUNCTION("GOOGLETRANSLATE(A21701,""en"",""pt"")"),"tempo de reciclagem lenta entre os disparos. Sem zoom óptico.")</f>
        <v>tempo de reciclagem lenta entre os disparos. Sem zoom óptico.</v>
      </c>
      <c r="B21701" s="3">
        <v>0</v>
      </c>
    </row>
    <row r="21702" ht="15.75" customHeight="1" spans="1:2">
      <c r="A21702" s="3" t="str">
        <f>IFERROR(__xludf.DUMMYFUNCTION("GOOGLETRANSLATE(A21702,""en"",""pt"")"),"tira uma fotografia lenta")</f>
        <v>tira uma fotografia lenta</v>
      </c>
      <c r="B21702" s="3">
        <v>0</v>
      </c>
    </row>
    <row r="21703" ht="15.75" customHeight="1" spans="1:2">
      <c r="A21703" s="3" t="str">
        <f>IFERROR(__xludf.DUMMYFUNCTION("GOOGLETRANSLATE(A21703,""en"",""pt"")"),"alcance do flash, downloads lentos, contas de bateria")</f>
        <v>alcance do flash, downloads lentos, contas de bateria</v>
      </c>
      <c r="B21703" s="3">
        <v>0</v>
      </c>
    </row>
    <row r="21704" ht="15.75" customHeight="1" spans="1:2">
      <c r="A21704" s="3" t="str">
        <f>IFERROR(__xludf.DUMMYFUNCTION("GOOGLETRANSLATE(A21704,""en"",""pt"")"),"Sem zoom")</f>
        <v>Sem zoom</v>
      </c>
      <c r="B21704" s="3">
        <v>0</v>
      </c>
    </row>
    <row r="21705" ht="15.75" customHeight="1" spans="1:2">
      <c r="A21705" s="3" t="str">
        <f>IFERROR(__xludf.DUMMYFUNCTION("GOOGLETRANSLATE(A21705,""en"",""pt"")"),"MX 500 não tem zoom")</f>
        <v>MX 500 não tem zoom</v>
      </c>
      <c r="B21705" s="3">
        <v>0</v>
      </c>
    </row>
    <row r="21706" ht="15.75" customHeight="1" spans="1:2">
      <c r="A21706" s="3" t="str">
        <f>IFERROR(__xludf.DUMMYFUNCTION("GOOGLETRANSLATE(A21706,""en"",""pt"")"),"não tem zoom óptico, piscar o suficiente para não forte para longe fotos, 3 segundos de atraso antes que você pode disparar outra imagem, nenhum modo de mpeg")</f>
        <v>não tem zoom óptico, piscar o suficiente para não forte para longe fotos, 3 segundos de atraso antes que você pode disparar outra imagem, nenhum modo de mpeg</v>
      </c>
      <c r="B21706" s="3">
        <v>0</v>
      </c>
    </row>
    <row r="21707" ht="15.75" customHeight="1" spans="1:2">
      <c r="A21707" s="3" t="str">
        <f>IFERROR(__xludf.DUMMYFUNCTION("GOOGLETRANSLATE(A21707,""en"",""pt"")"),"Lento para download, sem zoom ou características especiais")</f>
        <v>Lento para download, sem zoom ou características especiais</v>
      </c>
      <c r="B21707" s="3">
        <v>0</v>
      </c>
    </row>
    <row r="21708" ht="15.75" customHeight="1" spans="1:2">
      <c r="A21708" s="3" t="str">
        <f>IFERROR(__xludf.DUMMYFUNCTION("GOOGLETRANSLATE(A21708,""en"",""pt"")"),"nem sempre funciona em todas as condições de iluminação")</f>
        <v>nem sempre funciona em todas as condições de iluminação</v>
      </c>
      <c r="B21708" s="3">
        <v>0</v>
      </c>
    </row>
    <row r="21709" ht="15.75" customHeight="1" spans="1:2">
      <c r="A21709" s="3" t="str">
        <f>IFERROR(__xludf.DUMMYFUNCTION("GOOGLETRANSLATE(A21709,""en"",""pt"")"),"limitações flash, curta vida de bateria, Sem Zoom Óptico, Transferência de Imagem lenta")</f>
        <v>limitações flash, curta vida de bateria, Sem Zoom Óptico, Transferência de Imagem lenta</v>
      </c>
      <c r="B21709" s="3">
        <v>0</v>
      </c>
    </row>
    <row r="21710" ht="15.75" customHeight="1" spans="1:2">
      <c r="A21710" s="3" t="str">
        <f>IFERROR(__xludf.DUMMYFUNCTION("GOOGLETRANSLATE(A21710,""en"",""pt"")"),"curta duração da bateria, taxa de transferência lenta, periféricos Caro / add-ons")</f>
        <v>curta duração da bateria, taxa de transferência lenta, periféricos Caro / add-ons</v>
      </c>
      <c r="B21710" s="3">
        <v>0</v>
      </c>
    </row>
    <row r="21711" ht="15.75" customHeight="1" spans="1:2">
      <c r="A21711" s="3" t="str">
        <f>IFERROR(__xludf.DUMMYFUNCTION("GOOGLETRANSLATE(A21711,""en"",""pt"")"),"fotos internas têm ligeiro tom avermelhado")</f>
        <v>fotos internas têm ligeiro tom avermelhado</v>
      </c>
      <c r="B21711" s="3">
        <v>0</v>
      </c>
    </row>
    <row r="21712" ht="15.75" customHeight="1" spans="1:2">
      <c r="A21712" s="3" t="str">
        <f>IFERROR(__xludf.DUMMYFUNCTION("GOOGLETRANSLATE(A21712,""en"",""pt"")"),"vida útil da bateria")</f>
        <v>vida útil da bateria</v>
      </c>
      <c r="B21712" s="3">
        <v>0</v>
      </c>
    </row>
    <row r="21713" ht="15.75" customHeight="1" spans="1:2">
      <c r="A21713" s="3" t="str">
        <f>IFERROR(__xludf.DUMMYFUNCTION("GOOGLETRANSLATE(A21713,""en"",""pt"")"),"qualidade irregular em algumas fotos, impressões não é grande")</f>
        <v>qualidade irregular em algumas fotos, impressões não é grande</v>
      </c>
      <c r="B21713" s="3">
        <v>0</v>
      </c>
    </row>
    <row r="21714" ht="15.75" customHeight="1" spans="1:2">
      <c r="A21714" s="3" t="str">
        <f>IFERROR(__xludf.DUMMYFUNCTION("GOOGLETRANSLATE(A21714,""en"",""pt"")"),"upload para o computador está lento")</f>
        <v>upload para o computador está lento</v>
      </c>
      <c r="B21714" s="3">
        <v>0</v>
      </c>
    </row>
    <row r="21715" ht="15.75" customHeight="1" spans="1:2">
      <c r="A21715" s="3" t="str">
        <f>IFERROR(__xludf.DUMMYFUNCTION("GOOGLETRANSLATE(A21715,""en"",""pt"")"),"Flash fraca e só um cartão de 2 MB com a unidade")</f>
        <v>Flash fraca e só um cartão de 2 MB com a unidade</v>
      </c>
      <c r="B21715" s="3">
        <v>0</v>
      </c>
    </row>
    <row r="21716" ht="15.75" customHeight="1" spans="1:2">
      <c r="A21716" s="3" t="str">
        <f>IFERROR(__xludf.DUMMYFUNCTION("GOOGLETRANSLATE(A21716,""en"",""pt"")"),"Flash-obra menos confiável; afundamentos de qualidade de imagem.")</f>
        <v>Flash-obra menos confiável; afundamentos de qualidade de imagem.</v>
      </c>
      <c r="B21716" s="3">
        <v>0</v>
      </c>
    </row>
    <row r="21717" ht="15.75" customHeight="1" spans="1:2">
      <c r="A21717" s="3" t="str">
        <f>IFERROR(__xludf.DUMMYFUNCTION("GOOGLETRANSLATE(A21717,""en"",""pt"")"),"Sem zoom óptico")</f>
        <v>Sem zoom óptico</v>
      </c>
      <c r="B21717" s="3">
        <v>0</v>
      </c>
    </row>
    <row r="21718" ht="15.75" customHeight="1" spans="1:2">
      <c r="A21718" s="3" t="str">
        <f>IFERROR(__xludf.DUMMYFUNCTION("GOOGLETRANSLATE(A21718,""en"",""pt"")"),"último modelo anos, mais cartões de memória necessários")</f>
        <v>último modelo anos, mais cartões de memória necessários</v>
      </c>
      <c r="B21718" s="3">
        <v>0</v>
      </c>
    </row>
    <row r="21719" ht="15.75" customHeight="1" spans="1:2">
      <c r="A21719" s="3" t="str">
        <f>IFERROR(__xludf.DUMMYFUNCTION("GOOGLETRANSLATE(A21719,""en"",""pt"")"),"Nenhum que eu encontrei ainda.")</f>
        <v>Nenhum que eu encontrei ainda.</v>
      </c>
      <c r="B21719" s="3">
        <v>0</v>
      </c>
    </row>
    <row r="21720" ht="15.75" customHeight="1" spans="1:2">
      <c r="A21720" s="3" t="str">
        <f>IFERROR(__xludf.DUMMYFUNCTION("GOOGLETRANSLATE(A21720,""en"",""pt"")"),"Deve enviar com maior cartão de mem")</f>
        <v>Deve enviar com maior cartão de mem</v>
      </c>
      <c r="B21720" s="3">
        <v>0</v>
      </c>
    </row>
    <row r="21721" ht="15.75" customHeight="1" spans="1:2">
      <c r="A21721" s="3" t="str">
        <f>IFERROR(__xludf.DUMMYFUNCTION("GOOGLETRANSLATE(A21721,""en"",""pt"")"),"deve ler o manual, bateria")</f>
        <v>deve ler o manual, bateria</v>
      </c>
      <c r="B21721" s="3">
        <v>0</v>
      </c>
    </row>
    <row r="21722" ht="15.75" customHeight="1" spans="1:2">
      <c r="A21722" s="3" t="str">
        <f>IFERROR(__xludf.DUMMYFUNCTION("GOOGLETRANSLATE(A21722,""en"",""pt"")"),"vida útil da bateria limitada")</f>
        <v>vida útil da bateria limitada</v>
      </c>
      <c r="B21722" s="3">
        <v>0</v>
      </c>
    </row>
    <row r="21723" ht="15.75" customHeight="1" spans="1:2">
      <c r="A21723" s="3" t="str">
        <f>IFERROR(__xludf.DUMMYFUNCTION("GOOGLETRANSLATE(A21723,""en"",""pt"")"),"O tamanho da resolução não pode competir com novos modelos")</f>
        <v>O tamanho da resolução não pode competir com novos modelos</v>
      </c>
      <c r="B21723" s="3">
        <v>0</v>
      </c>
    </row>
    <row r="21724" ht="15.75" customHeight="1" spans="1:2">
      <c r="A21724" s="3" t="str">
        <f>IFERROR(__xludf.DUMMYFUNCTION("GOOGLETRANSLATE(A21724,""en"",""pt"")"),"Um pouco muito pouco")</f>
        <v>Um pouco muito pouco</v>
      </c>
      <c r="B21724" s="3">
        <v>0</v>
      </c>
    </row>
    <row r="21725" ht="15.75" customHeight="1" spans="1:2">
      <c r="A21725" s="3" t="str">
        <f>IFERROR(__xludf.DUMMYFUNCTION("GOOGLETRANSLATE(A21725,""en"",""pt"")"),"frente aberta")</f>
        <v>frente aberta</v>
      </c>
      <c r="B21725" s="3">
        <v>0</v>
      </c>
    </row>
    <row r="21726" ht="15.75" customHeight="1" spans="1:2">
      <c r="A21726" s="3" t="str">
        <f>IFERROR(__xludf.DUMMYFUNCTION("GOOGLETRANSLATE(A21726,""en"",""pt"")"),"Muito difícil de lidar ... apenas 2 reclina")</f>
        <v>Muito difícil de lidar ... apenas 2 reclina</v>
      </c>
      <c r="B21726" s="3">
        <v>0</v>
      </c>
    </row>
    <row r="21727" ht="15.75" customHeight="1" spans="1:2">
      <c r="A21727" s="3" t="str">
        <f>IFERROR(__xludf.DUMMYFUNCTION("GOOGLETRANSLATE(A21727,""en"",""pt"")"),"Stroller única reclina em duas posições")</f>
        <v>Stroller única reclina em duas posições</v>
      </c>
      <c r="B21727" s="3">
        <v>0</v>
      </c>
    </row>
    <row r="21728" ht="15.75" customHeight="1" spans="1:2">
      <c r="A21728" s="3" t="str">
        <f>IFERROR(__xludf.DUMMYFUNCTION("GOOGLETRANSLATE(A21728,""en"",""pt"")"),"Somente duas posições no carrinho de criança, assento de carro fica pesado, apoio de cabeça infantil Não.")</f>
        <v>Somente duas posições no carrinho de criança, assento de carro fica pesado, apoio de cabeça infantil Não.</v>
      </c>
      <c r="B21728" s="3">
        <v>0</v>
      </c>
    </row>
    <row r="21729" ht="15.75" customHeight="1" spans="1:2">
      <c r="A21729" s="3" t="str">
        <f>IFERROR(__xludf.DUMMYFUNCTION("GOOGLETRANSLATE(A21729,""en"",""pt"")"),"Um pouco difícil de montar")</f>
        <v>Um pouco difícil de montar</v>
      </c>
      <c r="B21729" s="3">
        <v>0</v>
      </c>
    </row>
    <row r="21730" ht="15.75" customHeight="1" spans="1:2">
      <c r="A21730" s="3" t="str">
        <f>IFERROR(__xludf.DUMMYFUNCTION("GOOGLETRANSLATE(A21730,""en"",""pt"")"),"Não houve especificações peso / altura que eu vi nas direções ou na caixa.")</f>
        <v>Não houve especificações peso / altura que eu vi nas direções ou na caixa.</v>
      </c>
      <c r="B21730" s="3">
        <v>0</v>
      </c>
    </row>
    <row r="21731" ht="15.75" customHeight="1" spans="1:2">
      <c r="A21731" s="3" t="str">
        <f>IFERROR(__xludf.DUMMYFUNCTION("GOOGLETRANSLATE(A21731,""en"",""pt"")"),"Nenhum")</f>
        <v>Nenhum</v>
      </c>
      <c r="B21731" s="3">
        <v>0</v>
      </c>
    </row>
    <row r="21732" ht="15.75" customHeight="1" spans="1:2">
      <c r="A21732" s="3" t="str">
        <f>IFERROR(__xludf.DUMMYFUNCTION("GOOGLETRANSLATE(A21732,""en"",""pt"")"),"Não é bom para uso ao ar livre.")</f>
        <v>Não é bom para uso ao ar livre.</v>
      </c>
      <c r="B21732" s="3">
        <v>0</v>
      </c>
    </row>
    <row r="21733" ht="15.75" customHeight="1" spans="1:2">
      <c r="A21733" s="3" t="str">
        <f>IFERROR(__xludf.DUMMYFUNCTION("GOOGLETRANSLATE(A21733,""en"",""pt"")"),"Fivela difícil a liberação; cesta de difícil acesso quando assento do carrinho é reclinada")</f>
        <v>Fivela difícil a liberação; cesta de difícil acesso quando assento do carrinho é reclinada</v>
      </c>
      <c r="B21733" s="3">
        <v>0</v>
      </c>
    </row>
    <row r="21734" ht="15.75" customHeight="1" spans="1:2">
      <c r="A21734" s="3" t="str">
        <f>IFERROR(__xludf.DUMMYFUNCTION("GOOGLETRANSLATE(A21734,""en"",""pt"")"),"Muitas partes de acompanhar")</f>
        <v>Muitas partes de acompanhar</v>
      </c>
      <c r="B21734" s="3">
        <v>0</v>
      </c>
    </row>
    <row r="21735" ht="15.75" customHeight="1" spans="1:2">
      <c r="A21735" s="3" t="str">
        <f>IFERROR(__xludf.DUMMYFUNCTION("GOOGLETRANSLATE(A21735,""en"",""pt"")"),"quebra facilmente")</f>
        <v>quebra facilmente</v>
      </c>
      <c r="B21735" s="3">
        <v>0</v>
      </c>
    </row>
    <row r="21736" ht="15.75" customHeight="1" spans="1:2">
      <c r="A21736" s="3" t="str">
        <f>IFERROR(__xludf.DUMMYFUNCTION("GOOGLETRANSLATE(A21736,""en"",""pt"")"),"beber jiggles bandeja um pouco")</f>
        <v>beber jiggles bandeja um pouco</v>
      </c>
      <c r="B21736" s="3">
        <v>0</v>
      </c>
    </row>
    <row r="21737" ht="15.75" customHeight="1" spans="1:2">
      <c r="A21737" s="3" t="str">
        <f>IFERROR(__xludf.DUMMYFUNCTION("GOOGLETRANSLATE(A21737,""en"",""pt"")"),"Não o maior carrinho de passeio.")</f>
        <v>Não o maior carrinho de passeio.</v>
      </c>
      <c r="B21737" s="3">
        <v>0</v>
      </c>
    </row>
    <row r="21738" ht="15.75" customHeight="1" spans="1:2">
      <c r="A21738" s="3" t="str">
        <f>IFERROR(__xludf.DUMMYFUNCTION("GOOGLETRANSLATE(A21738,""en"",""pt"")"),"Não há nenhuma versão light para 2 crianças e os estalos da cesta não se ater.")</f>
        <v>Não há nenhuma versão light para 2 crianças e os estalos da cesta não se ater.</v>
      </c>
      <c r="B21738" s="3">
        <v>0</v>
      </c>
    </row>
    <row r="21739" ht="15.75" customHeight="1" spans="1:2">
      <c r="A21739" s="3" t="str">
        <f>IFERROR(__xludf.DUMMYFUNCTION("GOOGLETRANSLATE(A21739,""en"",""pt"")"),"Meu abertura tronco é estreita para coloca-lo no porta-malas é um aborrecimento")</f>
        <v>Meu abertura tronco é estreita para coloca-lo no porta-malas é um aborrecimento</v>
      </c>
      <c r="B21739" s="3">
        <v>0</v>
      </c>
    </row>
    <row r="21740" ht="15.75" customHeight="1" spans="1:2">
      <c r="A21740" s="3" t="str">
        <f>IFERROR(__xludf.DUMMYFUNCTION("GOOGLETRANSLATE(A21740,""en"",""pt"")"),"freios traseiros não são o maior")</f>
        <v>freios traseiros não são o maior</v>
      </c>
      <c r="B21740" s="3">
        <v>0</v>
      </c>
    </row>
    <row r="21741" ht="15.75" customHeight="1" spans="1:2">
      <c r="A21741" s="3" t="str">
        <f>IFERROR(__xludf.DUMMYFUNCTION("GOOGLETRANSLATE(A21741,""en"",""pt"")"),"Nenhum")</f>
        <v>Nenhum</v>
      </c>
      <c r="B21741" s="3">
        <v>0</v>
      </c>
    </row>
    <row r="21742" ht="15.75" customHeight="1" spans="1:2">
      <c r="A21742" s="3" t="str">
        <f>IFERROR(__xludf.DUMMYFUNCTION("GOOGLETRANSLATE(A21742,""en"",""pt"")"),"Difícil de empurrar e manobrar")</f>
        <v>Difícil de empurrar e manobrar</v>
      </c>
      <c r="B21742" s="3">
        <v>0</v>
      </c>
    </row>
    <row r="21743" ht="15.75" customHeight="1" spans="1:2">
      <c r="A21743" s="3" t="str">
        <f>IFERROR(__xludf.DUMMYFUNCTION("GOOGLETRANSLATE(A21743,""en"",""pt"")"),"nada")</f>
        <v>nada</v>
      </c>
      <c r="B21743" s="3">
        <v>0</v>
      </c>
    </row>
    <row r="21744" ht="15.75" customHeight="1" spans="1:2">
      <c r="A21744" s="3" t="str">
        <f>IFERROR(__xludf.DUMMYFUNCTION("GOOGLETRANSLATE(A21744,""en"",""pt"")"),"grande demais para tronco, assento não couber em carrinhos de compras")</f>
        <v>grande demais para tronco, assento não couber em carrinhos de compras</v>
      </c>
      <c r="B21744" s="3">
        <v>0</v>
      </c>
    </row>
    <row r="21745" ht="15.75" customHeight="1" spans="1:2">
      <c r="A21745" s="3" t="str">
        <f>IFERROR(__xludf.DUMMYFUNCTION("GOOGLETRANSLATE(A21745,""en"",""pt"")"),"única posição, paus de cinto de segurança de um reclinar e não parece resistente")</f>
        <v>única posição, paus de cinto de segurança de um reclinar e não parece resistente</v>
      </c>
      <c r="B21745" s="3">
        <v>0</v>
      </c>
    </row>
    <row r="21746" ht="15.75" customHeight="1" spans="1:2">
      <c r="A21746" s="3" t="str">
        <f>IFERROR(__xludf.DUMMYFUNCTION("GOOGLETRANSLATE(A21746,""en"",""pt"")"),"Não é bom para uso em lugares apertados")</f>
        <v>Não é bom para uso em lugares apertados</v>
      </c>
      <c r="B21746" s="3">
        <v>0</v>
      </c>
    </row>
    <row r="21747" ht="15.75" customHeight="1" spans="1:2">
      <c r="A21747" s="3" t="str">
        <f>IFERROR(__xludf.DUMMYFUNCTION("GOOGLETRANSLATE(A21747,""en"",""pt"")"),"NENHUM")</f>
        <v>NENHUM</v>
      </c>
      <c r="B21747" s="3">
        <v>0</v>
      </c>
    </row>
    <row r="21748" ht="15.75" customHeight="1" spans="1:2">
      <c r="A21748" s="3" t="str">
        <f>IFERROR(__xludf.DUMMYFUNCTION("GOOGLETRANSLATE(A21748,""en"",""pt"")"),"Nenhum")</f>
        <v>Nenhum</v>
      </c>
      <c r="B21748" s="3">
        <v>0</v>
      </c>
    </row>
    <row r="21749" ht="15.75" customHeight="1" spans="1:2">
      <c r="A21749" s="3" t="str">
        <f>IFERROR(__xludf.DUMMYFUNCTION("GOOGLETRANSLATE(A21749,""en"",""pt"")"),"não é fácil de abrir e fechar")</f>
        <v>não é fácil de abrir e fechar</v>
      </c>
      <c r="B21749" s="3">
        <v>0</v>
      </c>
    </row>
    <row r="21750" ht="15.75" customHeight="1" spans="1:2">
      <c r="A21750" s="3" t="str">
        <f>IFERROR(__xludf.DUMMYFUNCTION("GOOGLETRANSLATE(A21750,""en"",""pt"")"),"Cesta no fundo não é suficientemente grande para conter sacos das fraldas")</f>
        <v>Cesta no fundo não é suficientemente grande para conter sacos das fraldas</v>
      </c>
      <c r="B21750" s="3">
        <v>0</v>
      </c>
    </row>
    <row r="21751" ht="15.75" customHeight="1" spans="1:2">
      <c r="A21751" s="3" t="str">
        <f>IFERROR(__xludf.DUMMYFUNCTION("GOOGLETRANSLATE(A21751,""en"",""pt"")"),"única reclina para duas posições")</f>
        <v>única reclina para duas posições</v>
      </c>
      <c r="B21751" s="3">
        <v>0</v>
      </c>
    </row>
    <row r="21752" ht="15.75" customHeight="1" spans="1:2">
      <c r="A21752" s="3" t="str">
        <f>IFERROR(__xludf.DUMMYFUNCTION("GOOGLETRANSLATE(A21752,""en"",""pt"")"),"não disponível em temas do berçário")</f>
        <v>não disponível em temas do berçário</v>
      </c>
      <c r="B21752" s="3">
        <v>0</v>
      </c>
    </row>
    <row r="21753" ht="15.75" customHeight="1" spans="1:2">
      <c r="A21753" s="3" t="str">
        <f>IFERROR(__xludf.DUMMYFUNCTION("GOOGLETRANSLATE(A21753,""en"",""pt"")"),"Tem problemas com grandes solavancos")</f>
        <v>Tem problemas com grandes solavancos</v>
      </c>
      <c r="B21753" s="3">
        <v>0</v>
      </c>
    </row>
    <row r="21754" ht="15.75" customHeight="1" spans="1:2">
      <c r="A21754" s="3" t="str">
        <f>IFERROR(__xludf.DUMMYFUNCTION("GOOGLETRANSLATE(A21754,""en"",""pt"")"),"arranhões de plástico")</f>
        <v>arranhões de plástico</v>
      </c>
      <c r="B21754" s="3">
        <v>0</v>
      </c>
    </row>
    <row r="21755" ht="15.75" customHeight="1" spans="1:2">
      <c r="A21755" s="3" t="str">
        <f>IFERROR(__xludf.DUMMYFUNCTION("GOOGLETRANSLATE(A21755,""en"",""pt"")"),"É muito grande, mas ainda é muito grande")</f>
        <v>É muito grande, mas ainda é muito grande</v>
      </c>
      <c r="B21755" s="3">
        <v>0</v>
      </c>
    </row>
    <row r="21756" ht="15.75" customHeight="1" spans="1:2">
      <c r="A21756" s="3" t="str">
        <f>IFERROR(__xludf.DUMMYFUNCTION("GOOGLETRANSLATE(A21756,""en"",""pt"")"),"às vezes carrinho de guinchos")</f>
        <v>às vezes carrinho de guinchos</v>
      </c>
      <c r="B21756" s="3">
        <v>0</v>
      </c>
    </row>
    <row r="21757" ht="15.75" customHeight="1" spans="1:2">
      <c r="A21757" s="3" t="str">
        <f>IFERROR(__xludf.DUMMYFUNCTION("GOOGLETRANSLATE(A21757,""en"",""pt"")"),"Questionável durabilidade a longo prazo")</f>
        <v>Questionável durabilidade a longo prazo</v>
      </c>
      <c r="B21757" s="3">
        <v>0</v>
      </c>
    </row>
    <row r="21758" ht="15.75" customHeight="1" spans="1:2">
      <c r="A21758" s="3" t="str">
        <f>IFERROR(__xludf.DUMMYFUNCTION("GOOGLETRANSLATE(A21758,""en"",""pt"")"),"Preço um pouco alto, mas vale cada centavo.")</f>
        <v>Preço um pouco alto, mas vale cada centavo.</v>
      </c>
      <c r="B21758" s="3">
        <v>0</v>
      </c>
    </row>
    <row r="21759" ht="15.75" customHeight="1" spans="1:2">
      <c r="A21759" s="3" t="str">
        <f>IFERROR(__xludf.DUMMYFUNCTION("GOOGLETRANSLATE(A21759,""en"",""pt"")"),"Ranger rodas! almofada repousa no solo quando dobrado")</f>
        <v>Ranger rodas! almofada repousa no solo quando dobrado</v>
      </c>
      <c r="B21759" s="3">
        <v>0</v>
      </c>
    </row>
    <row r="21760" ht="15.75" customHeight="1" spans="1:2">
      <c r="A21760" s="3" t="str">
        <f>IFERROR(__xludf.DUMMYFUNCTION("GOOGLETRANSLATE(A21760,""en"",""pt"")"),"pesado, não facilmente limpo.")</f>
        <v>pesado, não facilmente limpo.</v>
      </c>
      <c r="B21760" s="3">
        <v>0</v>
      </c>
    </row>
    <row r="21761" ht="15.75" customHeight="1" spans="1:2">
      <c r="A21761" s="3" t="str">
        <f>IFERROR(__xludf.DUMMYFUNCTION("GOOGLETRANSLATE(A21761,""en"",""pt"")"),"não foi o primeiro carrinho de criança que eu comprei")</f>
        <v>não foi o primeiro carrinho de criança que eu comprei</v>
      </c>
      <c r="B21761" s="3">
        <v>0</v>
      </c>
    </row>
    <row r="21762" ht="15.75" customHeight="1" spans="1:2">
      <c r="A21762" s="3" t="str">
        <f>IFERROR(__xludf.DUMMYFUNCTION("GOOGLETRANSLATE(A21762,""en"",""pt"")"),"?")</f>
        <v>?</v>
      </c>
      <c r="B21762" s="3">
        <v>0</v>
      </c>
    </row>
    <row r="21763" ht="15.75" customHeight="1" spans="1:2">
      <c r="A21763" s="3" t="str">
        <f>IFERROR(__xludf.DUMMYFUNCTION("GOOGLETRANSLATE(A21763,""en"",""pt"")"),"Janela no topo do dossel é menor faz com que seja mais difícil de ver criança")</f>
        <v>Janela no topo do dossel é menor faz com que seja mais difícil de ver criança</v>
      </c>
      <c r="B21763" s="3">
        <v>0</v>
      </c>
    </row>
    <row r="21764" ht="15.75" customHeight="1" spans="1:2">
      <c r="A21764" s="3" t="str">
        <f>IFERROR(__xludf.DUMMYFUNCTION("GOOGLETRANSLATE(A21764,""en"",""pt"")"),"Ocupa a maior parte do seu espaço de tronco")</f>
        <v>Ocupa a maior parte do seu espaço de tronco</v>
      </c>
      <c r="B21764" s="3">
        <v>0</v>
      </c>
    </row>
    <row r="21765" ht="15.75" customHeight="1" spans="1:2">
      <c r="A21765" s="3" t="str">
        <f>IFERROR(__xludf.DUMMYFUNCTION("GOOGLETRANSLATE(A21765,""en"",""pt"")"),"bandeja frontal arranha chão.")</f>
        <v>bandeja frontal arranha chão.</v>
      </c>
      <c r="B21765" s="3">
        <v>0</v>
      </c>
    </row>
    <row r="21766" ht="15.75" customHeight="1" spans="1:2">
      <c r="A21766" s="3" t="str">
        <f>IFERROR(__xludf.DUMMYFUNCTION("GOOGLETRANSLATE(A21766,""en"",""pt"")"),"Lotes de montagem, difícil de navegar ocupa metade do tronco")</f>
        <v>Lotes de montagem, difícil de navegar ocupa metade do tronco</v>
      </c>
      <c r="B21766" s="3">
        <v>0</v>
      </c>
    </row>
    <row r="21767" ht="15.75" customHeight="1" spans="1:2">
      <c r="A21767" s="3" t="str">
        <f>IFERROR(__xludf.DUMMYFUNCTION("GOOGLETRANSLATE(A21767,""en"",""pt"")"),"não resistente, quebrar facilmente")</f>
        <v>não resistente, quebrar facilmente</v>
      </c>
      <c r="B21767" s="3">
        <v>0</v>
      </c>
    </row>
    <row r="21768" ht="15.75" customHeight="1" spans="1:2">
      <c r="A21768" s="3" t="str">
        <f>IFERROR(__xludf.DUMMYFUNCTION("GOOGLETRANSLATE(A21768,""en"",""pt"")"),"Eu não tenho qualquer :)")</f>
        <v>Eu não tenho qualquer :)</v>
      </c>
      <c r="B21768" s="3">
        <v>0</v>
      </c>
    </row>
    <row r="21769" ht="15.75" customHeight="1" spans="1:2">
      <c r="A21769" s="3" t="str">
        <f>IFERROR(__xludf.DUMMYFUNCTION("GOOGLETRANSLATE(A21769,""en"",""pt"")"),"muito desconfortável")</f>
        <v>muito desconfortável</v>
      </c>
      <c r="B21769" s="3">
        <v>0</v>
      </c>
    </row>
    <row r="21770" ht="15.75" customHeight="1" spans="1:2">
      <c r="A21770" s="3" t="str">
        <f>IFERROR(__xludf.DUMMYFUNCTION("GOOGLETRANSLATE(A21770,""en"",""pt"")"),"Nenhum")</f>
        <v>Nenhum</v>
      </c>
      <c r="B21770" s="3">
        <v>0</v>
      </c>
    </row>
    <row r="21771" ht="15.75" customHeight="1" spans="1:2">
      <c r="A21771" s="3" t="str">
        <f>IFERROR(__xludf.DUMMYFUNCTION("GOOGLETRANSLATE(A21771,""en"",""pt"")"),"Nenhum")</f>
        <v>Nenhum</v>
      </c>
      <c r="B21771" s="3">
        <v>0</v>
      </c>
    </row>
    <row r="21772" ht="15.75" customHeight="1" spans="1:2">
      <c r="A21772" s="3" t="str">
        <f>IFERROR(__xludf.DUMMYFUNCTION("GOOGLETRANSLATE(A21772,""en"",""pt"")"),"Nenhum")</f>
        <v>Nenhum</v>
      </c>
      <c r="B21772" s="3">
        <v>0</v>
      </c>
    </row>
    <row r="21773" ht="15.75" customHeight="1" spans="1:2">
      <c r="A21773" s="3" t="str">
        <f>IFERROR(__xludf.DUMMYFUNCTION("GOOGLETRANSLATE(A21773,""en"",""pt"")"),"características reclinar limitado, mecanismo de dobragem estranho")</f>
        <v>características reclinar limitado, mecanismo de dobragem estranho</v>
      </c>
      <c r="B21773" s="3">
        <v>0</v>
      </c>
    </row>
    <row r="21774" ht="15.75" customHeight="1" spans="1:2">
      <c r="A21774" s="3" t="str">
        <f>IFERROR(__xludf.DUMMYFUNCTION("GOOGLETRANSLATE(A21774,""en"",""pt"")"),"não um real grande cor ou padrão variedade")</f>
        <v>não um real grande cor ou padrão variedade</v>
      </c>
      <c r="B21774" s="3">
        <v>0</v>
      </c>
    </row>
    <row r="21775" ht="15.75" customHeight="1" spans="1:2">
      <c r="A21775" s="3" t="str">
        <f>IFERROR(__xludf.DUMMYFUNCTION("GOOGLETRANSLATE(A21775,""en"",""pt"")"),"descansos tabuleiro de alimentação no chão quando dobradas")</f>
        <v>descansos tabuleiro de alimentação no chão quando dobradas</v>
      </c>
      <c r="B21775" s="3">
        <v>0</v>
      </c>
    </row>
    <row r="21776" ht="15.75" customHeight="1" spans="1:2">
      <c r="A21776" s="3" t="str">
        <f>IFERROR(__xludf.DUMMYFUNCTION("GOOGLETRANSLATE(A21776,""en"",""pt"")"),"deslizamentos almofada, cesta inacessível, dobráveis ​​causas almofada para estar no chão")</f>
        <v>deslizamentos almofada, cesta inacessível, dobráveis ​​causas almofada para estar no chão</v>
      </c>
      <c r="B21776" s="3">
        <v>0</v>
      </c>
    </row>
    <row r="21777" ht="15.75" customHeight="1" spans="1:2">
      <c r="A21777" s="3" t="str">
        <f>IFERROR(__xludf.DUMMYFUNCTION("GOOGLETRANSLATE(A21777,""en"",""pt"")"),"rodas Wobble, nenhum guarda-sol adequada")</f>
        <v>rodas Wobble, nenhum guarda-sol adequada</v>
      </c>
      <c r="B21777" s="3">
        <v>0</v>
      </c>
    </row>
    <row r="21778" ht="15.75" customHeight="1" spans="1:2">
      <c r="A21778" s="3" t="str">
        <f>IFERROR(__xludf.DUMMYFUNCTION("GOOGLETRANSLATE(A21778,""en"",""pt"")"),"Nenhum")</f>
        <v>Nenhum</v>
      </c>
      <c r="B21778" s="3">
        <v>0</v>
      </c>
    </row>
    <row r="21779" ht="15.75" customHeight="1" spans="1:2">
      <c r="A21779" s="3" t="str">
        <f>IFERROR(__xludf.DUMMYFUNCTION("GOOGLETRANSLATE(A21779,""en"",""pt"")"),"NENHUM =}")</f>
        <v>NENHUM =}</v>
      </c>
      <c r="B21779" s="3">
        <v>0</v>
      </c>
    </row>
    <row r="21780" ht="15.75" customHeight="1" spans="1:2">
      <c r="A21780" s="3" t="str">
        <f>IFERROR(__xludf.DUMMYFUNCTION("GOOGLETRANSLATE(A21780,""en"",""pt"")"),"difícil ajustar reclinar com uma mão, quando dobrado ele repousa sobre a bandeja de lanche")</f>
        <v>difícil ajustar reclinar com uma mão, quando dobrado ele repousa sobre a bandeja de lanche</v>
      </c>
      <c r="B21780" s="3">
        <v>0</v>
      </c>
    </row>
    <row r="21781" ht="15.75" customHeight="1" spans="1:2">
      <c r="A21781" s="3" t="str">
        <f>IFERROR(__xludf.DUMMYFUNCTION("GOOGLETRANSLATE(A21781,""en"",""pt"")"),"Muito grande quando dobrado, pequeno por baixo carrinho")</f>
        <v>Muito grande quando dobrado, pequeno por baixo carrinho</v>
      </c>
      <c r="B21781" s="3">
        <v>0</v>
      </c>
    </row>
    <row r="21782" ht="15.75" customHeight="1" spans="1:2">
      <c r="A21782" s="3" t="str">
        <f>IFERROR(__xludf.DUMMYFUNCTION("GOOGLETRANSLATE(A21782,""en"",""pt"")"),"Pesado, grande")</f>
        <v>Pesado, grande</v>
      </c>
      <c r="B21782" s="3">
        <v>0</v>
      </c>
    </row>
    <row r="21783" ht="15.75" customHeight="1" spans="1:2">
      <c r="A21783" s="3" t="str">
        <f>IFERROR(__xludf.DUMMYFUNCTION("GOOGLETRANSLATE(A21783,""en"",""pt"")"),"Bulkly, pesado, &amp; amp; Dispendioso.")</f>
        <v>Bulkly, pesado, &amp; amp; Dispendioso.</v>
      </c>
      <c r="B21783" s="3">
        <v>0</v>
      </c>
    </row>
    <row r="21784" ht="15.75" customHeight="1" spans="1:2">
      <c r="A21784" s="3" t="str">
        <f>IFERROR(__xludf.DUMMYFUNCTION("GOOGLETRANSLATE(A21784,""en"",""pt"")"),"Volumosos quando dobrado, difícil de manobrar como as crianças crescem, nenhuma bandeja adulto chave / bebida.")</f>
        <v>Volumosos quando dobrado, difícil de manobrar como as crianças crescem, nenhuma bandeja adulto chave / bebida.</v>
      </c>
      <c r="B21784" s="3">
        <v>0</v>
      </c>
    </row>
    <row r="21785" ht="15.75" customHeight="1" spans="1:2">
      <c r="A21785" s="3" t="str">
        <f>IFERROR(__xludf.DUMMYFUNCTION("GOOGLETRANSLATE(A21785,""en"",""pt"")"),"pesado e ocupa muito espaço")</f>
        <v>pesado e ocupa muito espaço</v>
      </c>
      <c r="B21785" s="3">
        <v>0</v>
      </c>
    </row>
    <row r="21786" ht="15.75" customHeight="1" spans="1:2">
      <c r="A21786" s="3" t="str">
        <f>IFERROR(__xludf.DUMMYFUNCTION("GOOGLETRANSLATE(A21786,""en"",""pt"")"),"Volumosos, pesados, cesta deve ser feito melhor.")</f>
        <v>Volumosos, pesados, cesta deve ser feito melhor.</v>
      </c>
      <c r="B21786" s="3">
        <v>0</v>
      </c>
    </row>
    <row r="21787" ht="15.75" customHeight="1" spans="1:2">
      <c r="A21787" s="3" t="str">
        <f>IFERROR(__xludf.DUMMYFUNCTION("GOOGLETRANSLATE(A21787,""en"",""pt"")"),"Pesado, grande")</f>
        <v>Pesado, grande</v>
      </c>
      <c r="B21787" s="3">
        <v>0</v>
      </c>
    </row>
    <row r="21788" ht="15.75" customHeight="1" spans="1:2">
      <c r="A21788" s="3" t="str">
        <f>IFERROR(__xludf.DUMMYFUNCTION("GOOGLETRANSLATE(A21788,""en"",""pt"")"),"Nenhum.")</f>
        <v>Nenhum.</v>
      </c>
      <c r="B21788" s="3">
        <v>0</v>
      </c>
    </row>
    <row r="21789" ht="15.75" customHeight="1" spans="1:2">
      <c r="A21789" s="3" t="str">
        <f>IFERROR(__xludf.DUMMYFUNCTION("GOOGLETRANSLATE(A21789,""en"",""pt"")"),"não se dobra muito compacto.")</f>
        <v>não se dobra muito compacto.</v>
      </c>
      <c r="B21789" s="3">
        <v>0</v>
      </c>
    </row>
    <row r="21790" ht="15.75" customHeight="1" spans="1:2">
      <c r="A21790" s="3" t="str">
        <f>IFERROR(__xludf.DUMMYFUNCTION("GOOGLETRANSLATE(A21790,""en"",""pt"")"),"Sem suporte de copo, janela traseira na copa")</f>
        <v>Sem suporte de copo, janela traseira na copa</v>
      </c>
      <c r="B21790" s="3">
        <v>0</v>
      </c>
    </row>
    <row r="21791" ht="15.75" customHeight="1" spans="1:2">
      <c r="A21791" s="3" t="str">
        <f>IFERROR(__xludf.DUMMYFUNCTION("GOOGLETRANSLATE(A21791,""en"",""pt"")"),"As rodas de obter, por vezes preso ao tentar dobrá-la.")</f>
        <v>As rodas de obter, por vezes preso ao tentar dobrá-la.</v>
      </c>
      <c r="B21791" s="3">
        <v>0</v>
      </c>
    </row>
    <row r="21792" ht="15.75" customHeight="1" spans="1:2">
      <c r="A21792" s="3" t="str">
        <f>IFERROR(__xludf.DUMMYFUNCTION("GOOGLETRANSLATE(A21792,""en"",""pt"")"),"não vai caber no caminhão de um Escort")</f>
        <v>não vai caber no caminhão de um Escort</v>
      </c>
      <c r="B21792" s="3">
        <v>0</v>
      </c>
    </row>
    <row r="21793" ht="15.75" customHeight="1" spans="1:2">
      <c r="A21793" s="3" t="str">
        <f>IFERROR(__xludf.DUMMYFUNCTION("GOOGLETRANSLATE(A21793,""en"",""pt"")"),"O material é mais feio do que o pecado.")</f>
        <v>O material é mais feio do que o pecado.</v>
      </c>
      <c r="B21793" s="3">
        <v>0</v>
      </c>
    </row>
    <row r="21794" ht="15.75" customHeight="1" spans="1:2">
      <c r="A21794" s="3" t="str">
        <f>IFERROR(__xludf.DUMMYFUNCTION("GOOGLETRANSLATE(A21794,""en"",""pt"")"),"Tem um monte de espaço de armazenamento no tronco.")</f>
        <v>Tem um monte de espaço de armazenamento no tronco.</v>
      </c>
      <c r="B21794" s="3">
        <v>0</v>
      </c>
    </row>
    <row r="21795" ht="15.75" customHeight="1" spans="1:2">
      <c r="A21795" s="3" t="str">
        <f>IFERROR(__xludf.DUMMYFUNCTION("GOOGLETRANSLATE(A21795,""en"",""pt"")"),"pagar extra para o assento infantil, volumoso")</f>
        <v>pagar extra para o assento infantil, volumoso</v>
      </c>
      <c r="B21795" s="3">
        <v>0</v>
      </c>
    </row>
    <row r="21796" ht="15.75" customHeight="1" spans="1:2">
      <c r="A21796" s="3" t="str">
        <f>IFERROR(__xludf.DUMMYFUNCTION("GOOGLETRANSLATE(A21796,""en"",""pt"")"),"um pouco caro")</f>
        <v>um pouco caro</v>
      </c>
      <c r="B21796" s="3">
        <v>0</v>
      </c>
    </row>
    <row r="21797" ht="15.75" customHeight="1" spans="1:2">
      <c r="A21797" s="3" t="str">
        <f>IFERROR(__xludf.DUMMYFUNCTION("GOOGLETRANSLATE(A21797,""en"",""pt"")"),"caro, volumoso")</f>
        <v>caro, volumoso</v>
      </c>
      <c r="B21797" s="3">
        <v>0</v>
      </c>
    </row>
    <row r="21798" ht="15.75" customHeight="1" spans="1:2">
      <c r="A21798" s="3" t="str">
        <f>IFERROR(__xludf.DUMMYFUNCTION("GOOGLETRANSLATE(A21798,""en"",""pt"")"),"Nenhum!")</f>
        <v>Nenhum!</v>
      </c>
      <c r="B21798" s="3">
        <v>0</v>
      </c>
    </row>
    <row r="21799" ht="15.75" customHeight="1" spans="1:2">
      <c r="A21799" s="3" t="str">
        <f>IFERROR(__xludf.DUMMYFUNCTION("GOOGLETRANSLATE(A21799,""en"",""pt"")"),"Squeeeeeeky, e então alguns")</f>
        <v>Squeeeeeeky, e então alguns</v>
      </c>
      <c r="B21799" s="3">
        <v>0</v>
      </c>
    </row>
    <row r="21800" ht="15.75" customHeight="1" spans="1:2">
      <c r="A21800" s="3" t="str">
        <f>IFERROR(__xludf.DUMMYFUNCTION("GOOGLETRANSLATE(A21800,""en"",""pt"")"),"Um pouco complicado")</f>
        <v>Um pouco complicado</v>
      </c>
      <c r="B21800" s="3">
        <v>0</v>
      </c>
    </row>
    <row r="21801" ht="15.75" customHeight="1" spans="1:2">
      <c r="A21801" s="3" t="str">
        <f>IFERROR(__xludf.DUMMYFUNCTION("GOOGLETRANSLATE(A21801,""en"",""pt"")"),"Tem um monte de espaço de tronco")</f>
        <v>Tem um monte de espaço de tronco</v>
      </c>
      <c r="B21801" s="3">
        <v>0</v>
      </c>
    </row>
    <row r="21802" ht="15.75" customHeight="1" spans="1:2">
      <c r="A21802" s="3" t="str">
        <f>IFERROR(__xludf.DUMMYFUNCTION("GOOGLETRANSLATE(A21802,""en"",""pt"")"),"Só pode ser empurrado por trás e sol fica nos olhos do bebê.")</f>
        <v>Só pode ser empurrado por trás e sol fica nos olhos do bebê.</v>
      </c>
      <c r="B21802" s="3">
        <v>0</v>
      </c>
    </row>
    <row r="21803" ht="15.75" customHeight="1" spans="1:2">
      <c r="A21803" s="3" t="str">
        <f>IFERROR(__xludf.DUMMYFUNCTION("GOOGLETRANSLATE(A21803,""en"",""pt"")"),"projetos não é suficiente")</f>
        <v>projetos não é suficiente</v>
      </c>
      <c r="B21803" s="3">
        <v>0</v>
      </c>
    </row>
    <row r="21804" ht="15.75" customHeight="1" spans="1:2">
      <c r="A21804" s="3" t="str">
        <f>IFERROR(__xludf.DUMMYFUNCTION("GOOGLETRANSLATE(A21804,""en"",""pt"")"),"só pode usar a parte de assento com crianças até 20 lbs.")</f>
        <v>só pode usar a parte de assento com crianças até 20 lbs.</v>
      </c>
      <c r="B21804" s="3">
        <v>0</v>
      </c>
    </row>
    <row r="21805" ht="15.75" customHeight="1" spans="1:2">
      <c r="A21805" s="3" t="str">
        <f>IFERROR(__xludf.DUMMYFUNCTION("GOOGLETRANSLATE(A21805,""en"",""pt"")"),"rodas grandes ocupar espaço")</f>
        <v>rodas grandes ocupar espaço</v>
      </c>
      <c r="B21805" s="3">
        <v>0</v>
      </c>
    </row>
    <row r="21806" ht="15.75" customHeight="1" spans="1:2">
      <c r="A21806" s="3" t="str">
        <f>IFERROR(__xludf.DUMMYFUNCTION("GOOGLETRANSLATE(A21806,""en"",""pt"")"),"Volumoso. Custo.")</f>
        <v>Volumoso. Custo.</v>
      </c>
      <c r="B21806" s="3">
        <v>0</v>
      </c>
    </row>
    <row r="21807" ht="15.75" customHeight="1" spans="1:2">
      <c r="A21807" s="3" t="str">
        <f>IFERROR(__xludf.DUMMYFUNCTION("GOOGLETRANSLATE(A21807,""en"",""pt"")"),"Nenhum realmente")</f>
        <v>Nenhum realmente</v>
      </c>
      <c r="B21807" s="3">
        <v>0</v>
      </c>
    </row>
    <row r="21808" ht="15.75" customHeight="1" spans="1:2">
      <c r="A21808" s="3" t="str">
        <f>IFERROR(__xludf.DUMMYFUNCTION("GOOGLETRANSLATE(A21808,""en"",""pt"")"),"grande para mala do carro, rodas rangentes, bandeja de comida para bebé riscado.")</f>
        <v>grande para mala do carro, rodas rangentes, bandeja de comida para bebé riscado.</v>
      </c>
      <c r="B21808" s="3">
        <v>0</v>
      </c>
    </row>
    <row r="21809" ht="15.75" customHeight="1" spans="1:2">
      <c r="A21809" s="3" t="str">
        <f>IFERROR(__xludf.DUMMYFUNCTION("GOOGLETRANSLATE(A21809,""en"",""pt"")"),"o projeto de assento de carro infantil é pobre, a bandeja aparece fora facilmente")</f>
        <v>o projeto de assento de carro infantil é pobre, a bandeja aparece fora facilmente</v>
      </c>
      <c r="B21809" s="3">
        <v>0</v>
      </c>
    </row>
    <row r="21810" ht="15.75" customHeight="1" spans="1:2">
      <c r="A21810" s="3" t="str">
        <f>IFERROR(__xludf.DUMMYFUNCTION("GOOGLETRANSLATE(A21810,""en"",""pt"")"),"tecido desgastou fácil eo assento acolchoado vem com o tempo")</f>
        <v>tecido desgastou fácil eo assento acolchoado vem com o tempo</v>
      </c>
      <c r="B21810" s="3">
        <v>0</v>
      </c>
    </row>
    <row r="21811" ht="15.75" customHeight="1" spans="1:2">
      <c r="A21811" s="3" t="str">
        <f>IFERROR(__xludf.DUMMYFUNCTION("GOOGLETRANSLATE(A21811,""en"",""pt"")"),"Volumoso, pesado, leva-se um monte de espaço de tronco.")</f>
        <v>Volumoso, pesado, leva-se um monte de espaço de tronco.</v>
      </c>
      <c r="B21811" s="3">
        <v>0</v>
      </c>
    </row>
    <row r="21812" ht="15.75" customHeight="1" spans="1:2">
      <c r="A21812" s="3" t="str">
        <f>IFERROR(__xludf.DUMMYFUNCTION("GOOGLETRANSLATE(A21812,""en"",""pt"")"),"volumoso, pesado, difícil para as pessoas curtas de dobrar, ampla")</f>
        <v>volumoso, pesado, difícil para as pessoas curtas de dobrar, ampla</v>
      </c>
      <c r="B21812" s="3">
        <v>0</v>
      </c>
    </row>
    <row r="21813" ht="15.75" customHeight="1" spans="1:2">
      <c r="A21813" s="3" t="str">
        <f>IFERROR(__xludf.DUMMYFUNCTION("GOOGLETRANSLATE(A21813,""en"",""pt"")"),"cinto de segurança é difícil de ajustar, amortecimento mínima")</f>
        <v>cinto de segurança é difícil de ajustar, amortecimento mínima</v>
      </c>
      <c r="B21813" s="3">
        <v>0</v>
      </c>
    </row>
    <row r="21814" ht="15.75" customHeight="1" spans="1:2">
      <c r="A21814" s="3" t="str">
        <f>IFERROR(__xludf.DUMMYFUNCTION("GOOGLETRANSLATE(A21814,""en"",""pt"")"),"a cesta no fundo do carrinho vai rasgar se embalado para tanto")</f>
        <v>a cesta no fundo do carrinho vai rasgar se embalado para tanto</v>
      </c>
      <c r="B21814" s="3">
        <v>0</v>
      </c>
    </row>
    <row r="21815" ht="15.75" customHeight="1" spans="1:2">
      <c r="A21815" s="3" t="str">
        <f>IFERROR(__xludf.DUMMYFUNCTION("GOOGLETRANSLATE(A21815,""en"",""pt"")"),"Difícil de manobra &amp; amp; # 13; &amp; amp; # 10; podem ser volumosos")</f>
        <v>Difícil de manobra &amp; amp; # 13; &amp; amp; # 10; podem ser volumosos</v>
      </c>
      <c r="B21815" s="3">
        <v>0</v>
      </c>
    </row>
    <row r="21816" ht="15.75" customHeight="1" spans="1:2">
      <c r="A21816" s="3" t="str">
        <f>IFERROR(__xludf.DUMMYFUNCTION("GOOGLETRANSLATE(A21816,""en"",""pt"")"),"Frágil Straps, pequeno suporte para copos adulto, muito difícil de dirigir e transformar.")</f>
        <v>Frágil Straps, pequeno suporte para copos adulto, muito difícil de dirigir e transformar.</v>
      </c>
      <c r="B21816" s="3">
        <v>0</v>
      </c>
    </row>
    <row r="21817" ht="15.75" customHeight="1" spans="1:2">
      <c r="A21817" s="3" t="str">
        <f>IFERROR(__xludf.DUMMYFUNCTION("GOOGLETRANSLATE(A21817,""en"",""pt"")"),"portador infantil pesado, ocupa espaço de armazenamento")</f>
        <v>portador infantil pesado, ocupa espaço de armazenamento</v>
      </c>
      <c r="B21817" s="3">
        <v>0</v>
      </c>
    </row>
    <row r="21818" ht="15.75" customHeight="1" spans="1:2">
      <c r="A21818" s="3" t="str">
        <f>IFERROR(__xludf.DUMMYFUNCTION("GOOGLETRANSLATE(A21818,""en"",""pt"")"),"Ficou um pouco estridente após 6 meses de uso.")</f>
        <v>Ficou um pouco estridente após 6 meses de uso.</v>
      </c>
      <c r="B21818" s="3">
        <v>0</v>
      </c>
    </row>
    <row r="21819" ht="15.75" customHeight="1" spans="1:2">
      <c r="A21819" s="3" t="str">
        <f>IFERROR(__xludf.DUMMYFUNCTION("GOOGLETRANSLATE(A21819,""en"",""pt"")"),"O assento de carro é muito pequeno meu filho cresceu fora dele em quatro meses.")</f>
        <v>O assento de carro é muito pequeno meu filho cresceu fora dele em quatro meses.</v>
      </c>
      <c r="B21819" s="3">
        <v>0</v>
      </c>
    </row>
    <row r="21820" ht="15.75" customHeight="1" spans="1:2">
      <c r="A21820" s="3" t="str">
        <f>IFERROR(__xludf.DUMMYFUNCTION("GOOGLETRANSLATE(A21820,""en"",""pt"")"),"Bandeja atinge chão quando dobrar, rangido suave nas rodas depois de algum uso.")</f>
        <v>Bandeja atinge chão quando dobrar, rangido suave nas rodas depois de algum uso.</v>
      </c>
      <c r="B21820" s="3">
        <v>0</v>
      </c>
    </row>
    <row r="21821" ht="15.75" customHeight="1" spans="1:2">
      <c r="A21821" s="3" t="str">
        <f>IFERROR(__xludf.DUMMYFUNCTION("GOOGLETRANSLATE(A21821,""en"",""pt"")"),"Muito grandes-hogs um monte de espaço do carro, não muito ""cute"" padrões.")</f>
        <v>Muito grandes-hogs um monte de espaço do carro, não muito "cute" padrões.</v>
      </c>
      <c r="B21821" s="3">
        <v>0</v>
      </c>
    </row>
    <row r="21822" ht="15.75" customHeight="1" spans="1:2">
      <c r="A21822" s="3" t="str">
        <f>IFERROR(__xludf.DUMMYFUNCTION("GOOGLETRANSLATE(A21822,""en"",""pt"")"),"grande e volumoso, tem um monte de espaço de tronco")</f>
        <v>grande e volumoso, tem um monte de espaço de tronco</v>
      </c>
      <c r="B21822" s="3">
        <v>0</v>
      </c>
    </row>
    <row r="21823" ht="15.75" customHeight="1" spans="1:2">
      <c r="A21823" s="3" t="str">
        <f>IFERROR(__xludf.DUMMYFUNCTION("GOOGLETRANSLATE(A21823,""en"",""pt"")"),"cintas difícil ajustar, tem que remover os dois suportes para copos adulto e criança para dobrar")</f>
        <v>cintas difícil ajustar, tem que remover os dois suportes para copos adulto e criança para dobrar</v>
      </c>
      <c r="B21823" s="3">
        <v>0</v>
      </c>
    </row>
    <row r="21824" ht="15.75" customHeight="1" spans="1:2">
      <c r="A21824" s="3" t="str">
        <f>IFERROR(__xludf.DUMMYFUNCTION("GOOGLETRANSLATE(A21824,""en"",""pt"")"),"Guinchos. Difícil de desmontar a limpo!")</f>
        <v>Guinchos. Difícil de desmontar a limpo!</v>
      </c>
      <c r="B21824" s="3">
        <v>0</v>
      </c>
    </row>
    <row r="21825" ht="15.75" customHeight="1" spans="1:2">
      <c r="A21825" s="3" t="str">
        <f>IFERROR(__xludf.DUMMYFUNCTION("GOOGLETRANSLATE(A21825,""en"",""pt"")"),"arranhões")</f>
        <v>arranhões</v>
      </c>
      <c r="B21825" s="3">
        <v>0</v>
      </c>
    </row>
    <row r="21826" ht="15.75" customHeight="1" spans="1:2">
      <c r="A21826" s="3" t="str">
        <f>IFERROR(__xludf.DUMMYFUNCTION("GOOGLETRANSLATE(A21826,""en"",""pt"")"),"tecido chintzy")</f>
        <v>tecido chintzy</v>
      </c>
      <c r="B21826" s="3">
        <v>0</v>
      </c>
    </row>
    <row r="21827" ht="15.75" customHeight="1" spans="1:2">
      <c r="A21827" s="3" t="str">
        <f>IFERROR(__xludf.DUMMYFUNCTION("GOOGLETRANSLATE(A21827,""en"",""pt"")"),"Ele range um pouco depois de 1 ano de caminhar uma milha com ele quase todos os dias")</f>
        <v>Ele range um pouco depois de 1 ano de caminhar uma milha com ele quase todos os dias</v>
      </c>
      <c r="B21827" s="3">
        <v>0</v>
      </c>
    </row>
    <row r="21828" ht="15.75" customHeight="1" spans="1:2">
      <c r="A21828" s="3" t="str">
        <f>IFERROR(__xludf.DUMMYFUNCTION("GOOGLETRANSLATE(A21828,""en"",""pt"")"),"Os freios são duas alavancas separadas, difícil de ajustar o cinto de segurança")</f>
        <v>Os freios são duas alavancas separadas, difícil de ajustar o cinto de segurança</v>
      </c>
      <c r="B21828" s="3">
        <v>0</v>
      </c>
    </row>
    <row r="21829" ht="15.75" customHeight="1" spans="1:2">
      <c r="A21829" s="3" t="str">
        <f>IFERROR(__xludf.DUMMYFUNCTION("GOOGLETRANSLATE(A21829,""en"",""pt"")"),"Rack de armazenamento sob o assento não é totalmente acessível quando assento na recline completo")</f>
        <v>Rack de armazenamento sob o assento não é totalmente acessível quando assento na recline completo</v>
      </c>
      <c r="B21829" s="3">
        <v>0</v>
      </c>
    </row>
    <row r="21830" ht="15.75" customHeight="1" spans="1:2">
      <c r="A21830" s="3" t="str">
        <f>IFERROR(__xludf.DUMMYFUNCTION("GOOGLETRANSLATE(A21830,""en"",""pt"")"),"Nenhum que me deparei")</f>
        <v>Nenhum que me deparei</v>
      </c>
      <c r="B21830" s="3">
        <v>0</v>
      </c>
    </row>
    <row r="21831" ht="15.75" customHeight="1" spans="1:2">
      <c r="A21831" s="3" t="str">
        <f>IFERROR(__xludf.DUMMYFUNCTION("GOOGLETRANSLATE(A21831,""en"",""pt"")"),"Ele se desfaz após 4 meses e se torna pesado para carregar")</f>
        <v>Ele se desfaz após 4 meses e se torna pesado para carregar</v>
      </c>
      <c r="B21831" s="3">
        <v>0</v>
      </c>
    </row>
    <row r="21832" ht="15.75" customHeight="1" spans="1:2">
      <c r="A21832" s="3" t="str">
        <f>IFERROR(__xludf.DUMMYFUNCTION("GOOGLETRANSLATE(A21832,""en"",""pt"")"),"Nenhum!!!!")</f>
        <v>Nenhum!!!!</v>
      </c>
      <c r="B21832" s="3">
        <v>0</v>
      </c>
    </row>
    <row r="21833" ht="15.75" customHeight="1" spans="1:2">
      <c r="A21833" s="3" t="str">
        <f>IFERROR(__xludf.DUMMYFUNCTION("GOOGLETRANSLATE(A21833,""en"",""pt"")"),"volumosos no tronco")</f>
        <v>volumosos no tronco</v>
      </c>
      <c r="B21833" s="3">
        <v>0</v>
      </c>
    </row>
    <row r="21834" ht="15.75" customHeight="1" spans="1:2">
      <c r="A21834" s="3" t="str">
        <f>IFERROR(__xludf.DUMMYFUNCTION("GOOGLETRANSLATE(A21834,""en"",""pt"")"),"bebês maiores não se encaixam tão bem.")</f>
        <v>bebês maiores não se encaixam tão bem.</v>
      </c>
      <c r="B21834" s="3">
        <v>0</v>
      </c>
    </row>
    <row r="21835" ht="15.75" customHeight="1" spans="1:2">
      <c r="A21835" s="3" t="str">
        <f>IFERROR(__xludf.DUMMYFUNCTION("GOOGLETRANSLATE(A21835,""en"",""pt"")"),"Desgasta-se rapidamente, e difícil de limpar")</f>
        <v>Desgasta-se rapidamente, e difícil de limpar</v>
      </c>
      <c r="B21835" s="3">
        <v>0</v>
      </c>
    </row>
    <row r="21836" ht="15.75" customHeight="1" spans="1:2">
      <c r="A21836" s="3" t="str">
        <f>IFERROR(__xludf.DUMMYFUNCTION("GOOGLETRANSLATE(A21836,""en"",""pt"")"),"Ocupa TONELADAS de espaço de tronco")</f>
        <v>Ocupa TONELADAS de espaço de tronco</v>
      </c>
      <c r="B21836" s="3">
        <v>0</v>
      </c>
    </row>
    <row r="21837" ht="15.75" customHeight="1" spans="1:2">
      <c r="A21837" s="3" t="str">
        <f>IFERROR(__xludf.DUMMYFUNCTION("GOOGLETRANSLATE(A21837,""en"",""pt"")"),"Carrinho de criança é uma espécie de pesado.")</f>
        <v>Carrinho de criança é uma espécie de pesado.</v>
      </c>
      <c r="B21837" s="3">
        <v>0</v>
      </c>
    </row>
    <row r="21838" ht="15.75" customHeight="1" spans="1:2">
      <c r="A21838" s="3" t="s">
        <v>117</v>
      </c>
      <c r="B21838" s="3">
        <v>0</v>
      </c>
    </row>
    <row r="21839" ht="15.75" customHeight="1" spans="1:2">
      <c r="A21839" s="3" t="str">
        <f>IFERROR(__xludf.DUMMYFUNCTION("GOOGLETRANSLATE(A21839,""en"",""pt"")"),"caro, volumoso e pesado")</f>
        <v>caro, volumoso e pesado</v>
      </c>
      <c r="B21839" s="3">
        <v>0</v>
      </c>
    </row>
    <row r="21840" ht="15.75" customHeight="1" spans="1:2">
      <c r="A21840" s="3" t="str">
        <f>IFERROR(__xludf.DUMMYFUNCTION("GOOGLETRANSLATE(A21840,""en"",""pt"")"),"O carrinho é muito grande e difícil de manobra através de compras ilhas em lojas de departamento.")</f>
        <v>O carrinho é muito grande e difícil de manobra através de compras ilhas em lojas de departamento.</v>
      </c>
      <c r="B21840" s="3">
        <v>0</v>
      </c>
    </row>
    <row r="21841" ht="15.75" customHeight="1" spans="1:2">
      <c r="A21841" s="3" t="str">
        <f>IFERROR(__xludf.DUMMYFUNCTION("GOOGLETRANSLATE(A21841,""en"",""pt"")"),"ocupa um monte de espaço de tronco")</f>
        <v>ocupa um monte de espaço de tronco</v>
      </c>
      <c r="B21841" s="3">
        <v>0</v>
      </c>
    </row>
    <row r="21842" ht="15.75" customHeight="1" spans="1:2">
      <c r="A21842" s="3" t="str">
        <f>IFERROR(__xludf.DUMMYFUNCTION("GOOGLETRANSLATE(A21842,""en"",""pt"")"),"ligeiramente complicado")</f>
        <v>ligeiramente complicado</v>
      </c>
      <c r="B21842" s="3">
        <v>0</v>
      </c>
    </row>
    <row r="21843" ht="15.75" customHeight="1" spans="1:2">
      <c r="A21843" s="3" t="str">
        <f>IFERROR(__xludf.DUMMYFUNCTION("GOOGLETRANSLATE(A21843,""en"",""pt"")"),"Volumoso")</f>
        <v>Volumoso</v>
      </c>
      <c r="B21843" s="3">
        <v>0</v>
      </c>
    </row>
    <row r="21844" ht="15.75" customHeight="1" spans="1:2">
      <c r="A21844" s="3" t="str">
        <f>IFERROR(__xludf.DUMMYFUNCTION("GOOGLETRANSLATE(A21844,""en"",""pt"")"),"Algumas pequenas falhas, mas nada grave")</f>
        <v>Algumas pequenas falhas, mas nada grave</v>
      </c>
      <c r="B21844" s="3">
        <v>0</v>
      </c>
    </row>
    <row r="21845" ht="15.75" customHeight="1" spans="1:2">
      <c r="A21845" s="3" t="str">
        <f>IFERROR(__xludf.DUMMYFUNCTION("GOOGLETRANSLATE(A21845,""en"",""pt"")"),"inconvenientes menores encontrados em quase qualquer carrinho")</f>
        <v>inconvenientes menores encontrados em quase qualquer carrinho</v>
      </c>
      <c r="B21845" s="3">
        <v>0</v>
      </c>
    </row>
    <row r="21846" ht="15.75" customHeight="1" spans="1:2">
      <c r="A21846" s="3" t="str">
        <f>IFERROR(__xludf.DUMMYFUNCTION("GOOGLETRANSLATE(A21846,""en"",""pt"")"),"Ainda um pouco pesado para levantar.")</f>
        <v>Ainda um pouco pesado para levantar.</v>
      </c>
      <c r="B21846" s="3">
        <v>0</v>
      </c>
    </row>
    <row r="21847" ht="15.75" customHeight="1" spans="1:2">
      <c r="A21847" s="3" t="str">
        <f>IFERROR(__xludf.DUMMYFUNCTION("GOOGLETRANSLATE(A21847,""en"",""pt"")"),"Pode ser difícil de remover assento infantil de base e de carrinho de criança, 3 pontos arnês")</f>
        <v>Pode ser difícil de remover assento infantil de base e de carrinho de criança, 3 pontos arnês</v>
      </c>
      <c r="B21847" s="3">
        <v>0</v>
      </c>
    </row>
    <row r="21848" ht="15.75" customHeight="1" spans="1:2">
      <c r="A21848" s="3" t="str">
        <f>IFERROR(__xludf.DUMMYFUNCTION("GOOGLETRANSLATE(A21848,""en"",""pt"")"),"O apoio de cabeça carseat é um pouco estranho; não para bebês mais de 26 polegadas")</f>
        <v>O apoio de cabeça carseat é um pouco estranho; não para bebês mais de 26 polegadas</v>
      </c>
      <c r="B21848" s="3">
        <v>0</v>
      </c>
    </row>
    <row r="21849" ht="15.75" customHeight="1" spans="1:2">
      <c r="A21849" s="3" t="str">
        <f>IFERROR(__xludf.DUMMYFUNCTION("GOOGLETRANSLATE(A21849,""en"",""pt"")"),"Difícil de encontrar devido à demanda.")</f>
        <v>Difícil de encontrar devido à demanda.</v>
      </c>
      <c r="B21849" s="3">
        <v>0</v>
      </c>
    </row>
    <row r="21850" ht="15.75" customHeight="1" spans="1:2">
      <c r="A21850" s="3" t="str">
        <f>IFERROR(__xludf.DUMMYFUNCTION("GOOGLETRANSLATE(A21850,""en"",""pt"")"),"Eu não tive quaisquer problemas com este produto.")</f>
        <v>Eu não tive quaisquer problemas com este produto.</v>
      </c>
      <c r="B21850" s="3">
        <v>0</v>
      </c>
    </row>
    <row r="21851" ht="15.75" customHeight="1" spans="1:2">
      <c r="A21851" s="3" t="str">
        <f>IFERROR(__xludf.DUMMYFUNCTION("GOOGLETRANSLATE(A21851,""en"",""pt"")"),"O assento de carro fica superada nos 3 meses !!")</f>
        <v>O assento de carro fica superada nos 3 meses !!</v>
      </c>
      <c r="B21851" s="3">
        <v>0</v>
      </c>
    </row>
    <row r="21852" ht="15.75" customHeight="1" spans="1:2">
      <c r="A21852" s="3" t="str">
        <f>IFERROR(__xludf.DUMMYFUNCTION("GOOGLETRANSLATE(A21852,""en"",""pt"")"),"não suporto-lo na posição dobrada como outros carrinhos")</f>
        <v>não suporto-lo na posição dobrada como outros carrinhos</v>
      </c>
      <c r="B21852" s="3">
        <v>0</v>
      </c>
    </row>
    <row r="21853" ht="15.75" customHeight="1" spans="1:2">
      <c r="A21853" s="3" t="str">
        <f>IFERROR(__xludf.DUMMYFUNCTION("GOOGLETRANSLATE(A21853,""en"",""pt"")"),"Carrinho de criança não é adequado para uma criança, rodas rangem, carrinho de criança não parece resistente")</f>
        <v>Carrinho de criança não é adequado para uma criança, rodas rangem, carrinho de criança não parece resistente</v>
      </c>
      <c r="B21853" s="3">
        <v>0</v>
      </c>
    </row>
    <row r="21854" ht="15.75" customHeight="1" spans="1:2">
      <c r="A21854" s="3" t="str">
        <f>IFERROR(__xludf.DUMMYFUNCTION("GOOGLETRANSLATE(A21854,""en"",""pt"")"),"Tal como acontece com a maioria dos carrinhos, leva-se algum espaço no carro")</f>
        <v>Tal como acontece com a maioria dos carrinhos, leva-se algum espaço no carro</v>
      </c>
      <c r="B21854" s="3">
        <v>0</v>
      </c>
    </row>
    <row r="21855" ht="15.75" customHeight="1" spans="1:2">
      <c r="A21855" s="3" t="str">
        <f>IFERROR(__xludf.DUMMYFUNCTION("GOOGLETRANSLATE(A21855,""en"",""pt"")"),"um pouco sobre o lado pesado ao realizar")</f>
        <v>um pouco sobre o lado pesado ao realizar</v>
      </c>
      <c r="B21855" s="3">
        <v>0</v>
      </c>
    </row>
    <row r="21856" ht="15.75" customHeight="1" spans="1:2">
      <c r="A21856" s="3" t="str">
        <f>IFERROR(__xludf.DUMMYFUNCTION("GOOGLETRANSLATE(A21856,""en"",""pt"")"),"libertação de duas mãos para dobrar")</f>
        <v>libertação de duas mãos para dobrar</v>
      </c>
      <c r="B21856" s="3">
        <v>0</v>
      </c>
    </row>
    <row r="21857" ht="15.75" customHeight="1" spans="1:2">
      <c r="A21857" s="3" t="str">
        <f>IFERROR(__xludf.DUMMYFUNCTION("GOOGLETRANSLATE(A21857,""en"",""pt"")"),"nada a big to mention")</f>
        <v>nada a big to mention</v>
      </c>
      <c r="B21857" s="3">
        <v>0</v>
      </c>
    </row>
    <row r="21858" ht="15.75" customHeight="1" spans="1:2">
      <c r="A21858" s="3" t="str">
        <f>IFERROR(__xludf.DUMMYFUNCTION("GOOGLETRANSLATE(A21858,""en"",""pt"")"),"Devo dizer que este carrinho tem padrões muito feias. Ele também pode ser volumosos.")</f>
        <v>Devo dizer que este carrinho tem padrões muito feias. Ele também pode ser volumosos.</v>
      </c>
      <c r="B21858" s="3">
        <v>0</v>
      </c>
    </row>
    <row r="21859" ht="15.75" customHeight="1" spans="1:2">
      <c r="A21859" s="3" t="str">
        <f>IFERROR(__xludf.DUMMYFUNCTION("GOOGLETRANSLATE(A21859,""en"",""pt"")"),"nenhum que eu encontrei ainda")</f>
        <v>nenhum que eu encontrei ainda</v>
      </c>
      <c r="B21859" s="3">
        <v>0</v>
      </c>
    </row>
    <row r="21860" ht="15.75" customHeight="1" spans="1:2">
      <c r="A21860" s="3" t="str">
        <f>IFERROR(__xludf.DUMMYFUNCTION("GOOGLETRANSLATE(A21860,""en"",""pt"")"),"Uma mão dobragem difícil, incómoda cadeirinha / transportador")</f>
        <v>Uma mão dobragem difícil, incómoda cadeirinha / transportador</v>
      </c>
      <c r="B21860" s="3">
        <v>0</v>
      </c>
    </row>
    <row r="21861" ht="15.75" customHeight="1" spans="1:2">
      <c r="A21861" s="3" t="str">
        <f>IFERROR(__xludf.DUMMYFUNCTION("GOOGLETRANSLATE(A21861,""en"",""pt"")"),"base de difícil de instalar")</f>
        <v>base de difícil de instalar</v>
      </c>
      <c r="B21861" s="3">
        <v>0</v>
      </c>
    </row>
    <row r="21862" ht="15.75" customHeight="1" spans="1:2">
      <c r="A21862" s="3" t="str">
        <f>IFERROR(__xludf.DUMMYFUNCTION("GOOGLETRANSLATE(A21862,""en"",""pt"")"),"carrinhos um pouco estranho para perto")</f>
        <v>carrinhos um pouco estranho para perto</v>
      </c>
      <c r="B21862" s="3">
        <v>0</v>
      </c>
    </row>
    <row r="21863" ht="15.75" customHeight="1" spans="1:2">
      <c r="A21863" s="3" t="str">
        <f>IFERROR(__xludf.DUMMYFUNCTION("GOOGLETRANSLATE(A21863,""en"",""pt"")"),"Pára-sol na carrinho de criança poderia ser maior")</f>
        <v>Pára-sol na carrinho de criança poderia ser maior</v>
      </c>
      <c r="B21863" s="3">
        <v>0</v>
      </c>
    </row>
    <row r="21864" ht="15.75" customHeight="1" spans="1:2">
      <c r="A21864" s="3" t="str">
        <f>IFERROR(__xludf.DUMMYFUNCTION("GOOGLETRANSLATE(A21864,""en"",""pt"")"),"Volumoso")</f>
        <v>Volumoso</v>
      </c>
      <c r="B21864" s="3">
        <v>0</v>
      </c>
    </row>
    <row r="21865" ht="15.75" customHeight="1" spans="1:2">
      <c r="A21865" s="3" t="str">
        <f>IFERROR(__xludf.DUMMYFUNCTION("GOOGLETRANSLATE(A21865,""en"",""pt"")"),"Não é algo que pode dobrar sob o seu braço, se você está correndo para pegar um trem ou metrô, entrando em um táxi, ou apenas quando se viaja.")</f>
        <v>Não é algo que pode dobrar sob o seu braço, se você está correndo para pegar um trem ou metrô, entrando em um táxi, ou apenas quando se viaja.</v>
      </c>
      <c r="B21865" s="3">
        <v>0</v>
      </c>
    </row>
    <row r="21866" ht="15.75" customHeight="1" spans="1:2">
      <c r="A21866" s="3" t="str">
        <f>IFERROR(__xludf.DUMMYFUNCTION("GOOGLETRANSLATE(A21866,""en"",""pt"")"),"pesados ​​e volumosos")</f>
        <v>pesados ​​e volumosos</v>
      </c>
      <c r="B21866" s="3">
        <v>0</v>
      </c>
    </row>
    <row r="21867" ht="15.75" customHeight="1" spans="1:2">
      <c r="A21867" s="3" t="str">
        <f>IFERROR(__xludf.DUMMYFUNCTION("GOOGLETRANSLATE(A21867,""en"",""pt"")"),"alça é alto para um shortie como eu!")</f>
        <v>alça é alto para um shortie como eu!</v>
      </c>
      <c r="B21867" s="3">
        <v>0</v>
      </c>
    </row>
    <row r="21868" ht="15.75" customHeight="1" spans="1:2">
      <c r="A21868" s="3" t="str">
        <f>IFERROR(__xludf.DUMMYFUNCTION("GOOGLETRANSLATE(A21868,""en"",""pt"")"),"você ainda vai precisar de um carrinho de criança de viagem; bases addtn'l única aproveitar. por carta")</f>
        <v>você ainda vai precisar de um carrinho de criança de viagem; bases addtn'l única aproveitar. por carta</v>
      </c>
      <c r="B21868" s="3">
        <v>0</v>
      </c>
    </row>
    <row r="21869" ht="15.75" customHeight="1" spans="1:2">
      <c r="A21869" s="3" t="str">
        <f>IFERROR(__xludf.DUMMYFUNCTION("GOOGLETRANSLATE(A21869,""en"",""pt"")"),"carrinho de criança frágil, carrinho de criança não recline")</f>
        <v>carrinho de criança frágil, carrinho de criança não recline</v>
      </c>
      <c r="B21869" s="3">
        <v>0</v>
      </c>
    </row>
    <row r="21870" ht="15.75" customHeight="1" spans="1:2">
      <c r="A21870" s="3" t="str">
        <f>IFERROR(__xludf.DUMMYFUNCTION("GOOGLETRANSLATE(A21870,""en"",""pt"")"),"um pouco mais armazenamento necessário")</f>
        <v>um pouco mais armazenamento necessário</v>
      </c>
      <c r="B21870" s="3">
        <v>0</v>
      </c>
    </row>
    <row r="21871" ht="15.75" customHeight="1" spans="1:2">
      <c r="A21871" s="3" t="str">
        <f>IFERROR(__xludf.DUMMYFUNCTION("GOOGLETRANSLATE(A21871,""en"",""pt"")"),"Volumosos e pesados")</f>
        <v>Volumosos e pesados</v>
      </c>
      <c r="B21871" s="3">
        <v>0</v>
      </c>
    </row>
    <row r="21872" ht="15.75" customHeight="1" spans="1:2">
      <c r="A21872" s="3" t="str">
        <f>IFERROR(__xludf.DUMMYFUNCTION("GOOGLETRANSLATE(A21872,""en"",""pt"")"),"dobragem poderia ser um problema para alguns.")</f>
        <v>dobragem poderia ser um problema para alguns.</v>
      </c>
      <c r="B21872" s="3">
        <v>0</v>
      </c>
    </row>
    <row r="21873" ht="15.75" customHeight="1" spans="1:2">
      <c r="A21873" s="3" t="str">
        <f>IFERROR(__xludf.DUMMYFUNCTION("GOOGLETRANSLATE(A21873,""en"",""pt"")"),"nada realmente ruim a dizer sobre isso")</f>
        <v>nada realmente ruim a dizer sobre isso</v>
      </c>
      <c r="B21873" s="3">
        <v>0</v>
      </c>
    </row>
    <row r="21874" ht="15.75" customHeight="1" spans="1:2">
      <c r="A21874" s="3" t="str">
        <f>IFERROR(__xludf.DUMMYFUNCTION("GOOGLETRANSLATE(A21874,""en"",""pt"")"),"Frequentemente usado em demasia e desajeitado para transportar")</f>
        <v>Frequentemente usado em demasia e desajeitado para transportar</v>
      </c>
      <c r="B21874" s="3">
        <v>0</v>
      </c>
    </row>
    <row r="21875" ht="15.75" customHeight="1" spans="1:2">
      <c r="A21875" s="3" t="str">
        <f>IFERROR(__xludf.DUMMYFUNCTION("GOOGLETRANSLATE(A21875,""en"",""pt"")"),"folheto")</f>
        <v>folheto</v>
      </c>
      <c r="B21875" s="3">
        <v>0</v>
      </c>
    </row>
    <row r="21876" ht="15.75" customHeight="1" spans="1:2">
      <c r="A21876" s="3" t="str">
        <f>IFERROR(__xludf.DUMMYFUNCTION("GOOGLETRANSLATE(A21876,""en"",""pt"")"),"Um pouco pesado, leva-se um monte de quarto")</f>
        <v>Um pouco pesado, leva-se um monte de quarto</v>
      </c>
      <c r="B21876" s="3">
        <v>0</v>
      </c>
    </row>
    <row r="21877" ht="15.75" customHeight="1" spans="1:2">
      <c r="A21877" s="3" t="str">
        <f>IFERROR(__xludf.DUMMYFUNCTION("GOOGLETRANSLATE(A21877,""en"",""pt"")"),"É uma espécie de grande e desajeitado e às vezes pode ser difícil de configurar.")</f>
        <v>É uma espécie de grande e desajeitado e às vezes pode ser difícil de configurar.</v>
      </c>
      <c r="B21877" s="3">
        <v>0</v>
      </c>
    </row>
    <row r="21878" ht="15.75" customHeight="1" spans="1:2">
      <c r="A21878" s="3" t="str">
        <f>IFERROR(__xludf.DUMMYFUNCTION("GOOGLETRANSLATE(A21878,""en"",""pt"")"),"as rodas grandes torná-lo volumoso")</f>
        <v>as rodas grandes torná-lo volumoso</v>
      </c>
      <c r="B21878" s="3">
        <v>0</v>
      </c>
    </row>
    <row r="21879" ht="15.75" customHeight="1" spans="1:2">
      <c r="A21879" s="3" t="str">
        <f>IFERROR(__xludf.DUMMYFUNCTION("GOOGLETRANSLATE(A21879,""en"",""pt"")"),"Nem tudo o que eu posso ver.")</f>
        <v>Nem tudo o que eu posso ver.</v>
      </c>
      <c r="B21879" s="3">
        <v>0</v>
      </c>
    </row>
    <row r="21880" ht="15.75" customHeight="1" spans="1:2">
      <c r="A21880" s="3" t="str">
        <f>IFERROR(__xludf.DUMMYFUNCTION("GOOGLETRANSLATE(A21880,""en"",""pt"")"),"Grande, pesado, rodas de guincho")</f>
        <v>Grande, pesado, rodas de guincho</v>
      </c>
      <c r="B21880" s="3">
        <v>0</v>
      </c>
    </row>
    <row r="21881" ht="15.75" customHeight="1" spans="1:2">
      <c r="A21881" s="3" t="str">
        <f>IFERROR(__xludf.DUMMYFUNCTION("GOOGLETRANSLATE(A21881,""en"",""pt"")"),"frágil, meu quebrou")</f>
        <v>frágil, meu quebrou</v>
      </c>
      <c r="B21881" s="3">
        <v>0</v>
      </c>
    </row>
    <row r="21882" ht="15.75" customHeight="1" spans="1:2">
      <c r="A21882" s="3" t="str">
        <f>IFERROR(__xludf.DUMMYFUNCTION("GOOGLETRANSLATE(A21882,""en"",""pt"")"),"Um monte de dinheiro para nada, não há muito espaço, má direção")</f>
        <v>Um monte de dinheiro para nada, não há muito espaço, má direção</v>
      </c>
      <c r="B21882" s="3">
        <v>0</v>
      </c>
    </row>
    <row r="21883" ht="15.75" customHeight="1" spans="1:2">
      <c r="A21883" s="3" t="str">
        <f>IFERROR(__xludf.DUMMYFUNCTION("GOOGLETRANSLATE(A21883,""en"",""pt"")"),"Pesado e um pouco volumoso no tronco.")</f>
        <v>Pesado e um pouco volumoso no tronco.</v>
      </c>
      <c r="B21883" s="3">
        <v>0</v>
      </c>
    </row>
    <row r="21884" ht="15.75" customHeight="1" spans="1:2">
      <c r="A21884" s="3" t="str">
        <f>IFERROR(__xludf.DUMMYFUNCTION("GOOGLETRANSLATE(A21884,""en"",""pt"")"),"alça no transportador")</f>
        <v>alça no transportador</v>
      </c>
      <c r="B21884" s="3">
        <v>0</v>
      </c>
    </row>
    <row r="21885" ht="15.75" customHeight="1" spans="1:2">
      <c r="A21885" s="3" t="str">
        <f>IFERROR(__xludf.DUMMYFUNCTION("GOOGLETRANSLATE(A21885,""en"",""pt"")"),"Nenhum")</f>
        <v>Nenhum</v>
      </c>
      <c r="B21885" s="3">
        <v>0</v>
      </c>
    </row>
    <row r="21886" ht="15.75" customHeight="1" spans="1:2">
      <c r="A21886" s="3" t="str">
        <f>IFERROR(__xludf.DUMMYFUNCTION("GOOGLETRANSLATE(A21886,""en"",""pt"")"),"precisa das duas mãos para dobrar ou desdobrar!")</f>
        <v>precisa das duas mãos para dobrar ou desdobrar!</v>
      </c>
      <c r="B21886" s="3">
        <v>0</v>
      </c>
    </row>
    <row r="21887" ht="15.75" customHeight="1" spans="1:2">
      <c r="A21887" s="3" t="str">
        <f>IFERROR(__xludf.DUMMYFUNCTION("GOOGLETRANSLATE(A21887,""en"",""pt"")"),"carrinho de criança pesado")</f>
        <v>carrinho de criança pesado</v>
      </c>
      <c r="B21887" s="3">
        <v>0</v>
      </c>
    </row>
    <row r="21888" ht="15.75" customHeight="1" spans="1:2">
      <c r="A21888" s="3" t="str">
        <f>IFERROR(__xludf.DUMMYFUNCTION("GOOGLETRANSLATE(A21888,""en"",""pt"")"),"pesados, volumosos, perigos dobráveis")</f>
        <v>pesados, volumosos, perigos dobráveis</v>
      </c>
      <c r="B21888" s="3">
        <v>0</v>
      </c>
    </row>
    <row r="21889" ht="15.75" customHeight="1" spans="1:2">
      <c r="A21889" s="3" t="str">
        <f>IFERROR(__xludf.DUMMYFUNCTION("GOOGLETRANSLATE(A21889,""en"",""pt"")"),"Volumoso, não isento de pé quando dobrado")</f>
        <v>Volumoso, não isento de pé quando dobrado</v>
      </c>
      <c r="B21889" s="3">
        <v>0</v>
      </c>
    </row>
    <row r="21890" ht="15.75" customHeight="1" spans="1:2">
      <c r="A21890" s="3" t="str">
        <f>IFERROR(__xludf.DUMMYFUNCTION("GOOGLETRANSLATE(A21890,""en"",""pt"")"),"O assento de carro é difícil de realizar quando seu filho fica acima de 14-15 libras")</f>
        <v>O assento de carro é difícil de realizar quando seu filho fica acima de 14-15 libras</v>
      </c>
      <c r="B21890" s="3">
        <v>0</v>
      </c>
    </row>
    <row r="21891" ht="15.75" customHeight="1" spans="1:2">
      <c r="A21891" s="3" t="str">
        <f>IFERROR(__xludf.DUMMYFUNCTION("GOOGLETRANSLATE(A21891,""en"",""pt"")"),"Tudo sobre ele.")</f>
        <v>Tudo sobre ele.</v>
      </c>
      <c r="B21891" s="3">
        <v>0</v>
      </c>
    </row>
    <row r="21892" ht="15.75" customHeight="1" spans="1:2">
      <c r="A21892" s="3" t="str">
        <f>IFERROR(__xludf.DUMMYFUNCTION("GOOGLETRANSLATE(A21892,""en"",""pt"")"),"não tão compacto quanto um carrinho guarda-chuva")</f>
        <v>não tão compacto quanto um carrinho guarda-chuva</v>
      </c>
      <c r="B21892" s="3">
        <v>0</v>
      </c>
    </row>
    <row r="21893" ht="15.75" customHeight="1" spans="1:2">
      <c r="A21893" s="3" t="str">
        <f>IFERROR(__xludf.DUMMYFUNCTION("GOOGLETRANSLATE(A21893,""en"",""pt"")"),"Nenhum!!!!")</f>
        <v>Nenhum!!!!</v>
      </c>
      <c r="B21893" s="3">
        <v>0</v>
      </c>
    </row>
    <row r="21894" ht="15.75" customHeight="1" spans="1:2">
      <c r="A21894" s="3" t="str">
        <f>IFERROR(__xludf.DUMMYFUNCTION("GOOGLETRANSLATE(A21894,""en"",""pt"")"),"Transportadora é um pouco pesado - mas todos os modelos parecem ser.")</f>
        <v>Transportadora é um pouco pesado - mas todos os modelos parecem ser.</v>
      </c>
      <c r="B21894" s="3">
        <v>0</v>
      </c>
    </row>
    <row r="21895" ht="15.75" customHeight="1" spans="1:2">
      <c r="A21895" s="3" t="str">
        <f>IFERROR(__xludf.DUMMYFUNCTION("GOOGLETRANSLATE(A21895,""en"",""pt"")"),"O ajuste do banco é complicado")</f>
        <v>O ajuste do banco é complicado</v>
      </c>
      <c r="B21895" s="3">
        <v>0</v>
      </c>
    </row>
    <row r="21896" ht="15.75" customHeight="1" spans="1:2">
      <c r="A21896" s="3" t="str">
        <f>IFERROR(__xludf.DUMMYFUNCTION("GOOGLETRANSLATE(A21896,""en"",""pt"")"),"Podem ser volumosos, não revertendo-handle e copa")</f>
        <v>Podem ser volumosos, não revertendo-handle e copa</v>
      </c>
      <c r="B21896" s="3">
        <v>0</v>
      </c>
    </row>
    <row r="21897" ht="15.75" customHeight="1" spans="1:2">
      <c r="A21897" s="3" t="str">
        <f>IFERROR(__xludf.DUMMYFUNCTION("GOOGLETRANSLATE(A21897,""en"",""pt"")"),"Não o suficiente reclinado posições")</f>
        <v>Não o suficiente reclinado posições</v>
      </c>
      <c r="B21897" s="3">
        <v>0</v>
      </c>
    </row>
    <row r="21898" ht="15.75" customHeight="1" spans="1:2">
      <c r="A21898" s="3" t="str">
        <f>IFERROR(__xludf.DUMMYFUNCTION("GOOGLETRANSLATE(A21898,""en"",""pt"")"),"Carseat em si é bastante pesado para transportar cerca sem o carrinho")</f>
        <v>Carseat em si é bastante pesado para transportar cerca sem o carrinho</v>
      </c>
      <c r="B21898" s="3">
        <v>0</v>
      </c>
    </row>
    <row r="21899" ht="15.75" customHeight="1" spans="1:2">
      <c r="A21899" s="3" t="str">
        <f>IFERROR(__xludf.DUMMYFUNCTION("GOOGLETRANSLATE(A21899,""en"",""pt"")"),"design de tecido não a volta mais bonita.")</f>
        <v>design de tecido não a volta mais bonita.</v>
      </c>
      <c r="B21899" s="3">
        <v>0</v>
      </c>
    </row>
    <row r="21900" ht="15.75" customHeight="1" spans="1:2">
      <c r="A21900" s="3" t="str">
        <f>IFERROR(__xludf.DUMMYFUNCTION("GOOGLETRANSLATE(A21900,""en"",""pt"")"),"Chiado Rodas e volumosos")</f>
        <v>Chiado Rodas e volumosos</v>
      </c>
      <c r="B21900" s="3">
        <v>0</v>
      </c>
    </row>
    <row r="21901" ht="15.75" customHeight="1" spans="1:2">
      <c r="A21901" s="3" t="str">
        <f>IFERROR(__xludf.DUMMYFUNCTION("GOOGLETRANSLATE(A21901,""en"",""pt"")"),"Desmorona")</f>
        <v>Desmorona</v>
      </c>
      <c r="B21901" s="3">
        <v>0</v>
      </c>
    </row>
    <row r="21902" ht="15.75" customHeight="1" spans="1:2">
      <c r="A21902" s="3" t="str">
        <f>IFERROR(__xludf.DUMMYFUNCTION("GOOGLETRANSLATE(A21902,""en"",""pt"")"),"Um pouco pesado, não para sportcars com pequenos troncos")</f>
        <v>Um pouco pesado, não para sportcars com pequenos troncos</v>
      </c>
      <c r="B21902" s="3">
        <v>0</v>
      </c>
    </row>
    <row r="21903" ht="15.75" customHeight="1" spans="1:2">
      <c r="A21903" s="3" t="str">
        <f>IFERROR(__xludf.DUMMYFUNCTION("GOOGLETRANSLATE(A21903,""en"",""pt"")"),"grande bastante para tronco, rodas rangentes")</f>
        <v>grande bastante para tronco, rodas rangentes</v>
      </c>
      <c r="B21903" s="3">
        <v>0</v>
      </c>
    </row>
    <row r="21904" ht="15.75" customHeight="1" spans="1:2">
      <c r="A21904" s="3" t="str">
        <f>IFERROR(__xludf.DUMMYFUNCTION("GOOGLETRANSLATE(A21904,""en"",""pt"")"),"carrinho de criança é volumoso e leva um monte de espaço de carga")</f>
        <v>carrinho de criança é volumoso e leva um monte de espaço de carga</v>
      </c>
      <c r="B21904" s="3">
        <v>0</v>
      </c>
    </row>
    <row r="21905" ht="15.75" customHeight="1" spans="1:2">
      <c r="A21905" s="3" t="str">
        <f>IFERROR(__xludf.DUMMYFUNCTION("GOOGLETRANSLATE(A21905,""en"",""pt"")"),"nenhum para me")</f>
        <v>nenhum para me</v>
      </c>
      <c r="B21905" s="3">
        <v>0</v>
      </c>
    </row>
    <row r="21906" ht="15.75" customHeight="1" spans="1:2">
      <c r="A21906" s="3" t="str">
        <f>IFERROR(__xludf.DUMMYFUNCTION("GOOGLETRANSLATE(A21906,""en"",""pt"")"),"assento de carro estranho para transportar")</f>
        <v>assento de carro estranho para transportar</v>
      </c>
      <c r="B21906" s="3">
        <v>0</v>
      </c>
    </row>
    <row r="21907" ht="15.75" customHeight="1" spans="1:2">
      <c r="A21907" s="3" t="str">
        <f>IFERROR(__xludf.DUMMYFUNCTION("GOOGLETRANSLATE(A21907,""en"",""pt"")"),"Uma ampla pouco.")</f>
        <v>Uma ampla pouco.</v>
      </c>
      <c r="B21907" s="3">
        <v>0</v>
      </c>
    </row>
    <row r="21908" ht="15.75" customHeight="1" spans="1:2">
      <c r="A21908" s="3" t="str">
        <f>IFERROR(__xludf.DUMMYFUNCTION("GOOGLETRANSLATE(A21908,""en"",""pt"")"),"Alittle volumoso para sair do carro. Assento de carro é um pouco pesado.")</f>
        <v>Alittle volumoso para sair do carro. Assento de carro é um pouco pesado.</v>
      </c>
      <c r="B21908" s="3">
        <v>0</v>
      </c>
    </row>
    <row r="21909" ht="15.75" customHeight="1" spans="1:2">
      <c r="A21909" s="3" t="str">
        <f>IFERROR(__xludf.DUMMYFUNCTION("GOOGLETRANSLATE(A21909,""en"",""pt"")"),"Nenhum")</f>
        <v>Nenhum</v>
      </c>
      <c r="B21909" s="3">
        <v>0</v>
      </c>
    </row>
    <row r="21910" ht="15.75" customHeight="1" spans="1:2">
      <c r="A21910" s="3" t="str">
        <f>IFERROR(__xludf.DUMMYFUNCTION("GOOGLETRANSLATE(A21910,""en"",""pt"")"),"Bebê quase caiu de carrinho sobre um piso de cimento.")</f>
        <v>Bebê quase caiu de carrinho sobre um piso de cimento.</v>
      </c>
      <c r="B21910" s="3">
        <v>0</v>
      </c>
    </row>
    <row r="21911" ht="15.75" customHeight="1" spans="1:2">
      <c r="A21911" s="3" t="str">
        <f>IFERROR(__xludf.DUMMYFUNCTION("GOOGLETRANSLATE(A21911,""en"",""pt"")"),"um pouco caro")</f>
        <v>um pouco caro</v>
      </c>
      <c r="B21911" s="3">
        <v>0</v>
      </c>
    </row>
    <row r="21912" ht="15.75" customHeight="1" spans="1:2">
      <c r="A21912" s="3" t="str">
        <f>IFERROR(__xludf.DUMMYFUNCTION("GOOGLETRANSLATE(A21912,""en"",""pt"")"),"Caro")</f>
        <v>Caro</v>
      </c>
      <c r="B21912" s="3">
        <v>0</v>
      </c>
    </row>
    <row r="21913" ht="15.75" customHeight="1" spans="1:2">
      <c r="A21913" s="3" t="str">
        <f>IFERROR(__xludf.DUMMYFUNCTION("GOOGLETRANSLATE(A21913,""en"",""pt"")"),"Difícil de dirigir &amp; amp; amp; dobrar, pesado")</f>
        <v>Difícil de dirigir &amp; amp; amp; dobrar, pesado</v>
      </c>
      <c r="B21913" s="3">
        <v>0</v>
      </c>
    </row>
    <row r="21914" ht="15.75" customHeight="1" spans="1:2">
      <c r="A21914" s="3" t="str">
        <f>IFERROR(__xludf.DUMMYFUNCTION("GOOGLETRANSLATE(A21914,""en"",""pt"")"),"maior do que o carrinho de costume")</f>
        <v>maior do que o carrinho de costume</v>
      </c>
      <c r="B21914" s="3">
        <v>0</v>
      </c>
    </row>
    <row r="21915" ht="15.75" customHeight="1" spans="1:2">
      <c r="A21915" s="3" t="str">
        <f>IFERROR(__xludf.DUMMYFUNCTION("GOOGLETRANSLATE(A21915,""en"",""pt"")"),"menor")</f>
        <v>menor</v>
      </c>
      <c r="B21915" s="3">
        <v>0</v>
      </c>
    </row>
    <row r="21916" ht="15.75" customHeight="1" spans="1:2">
      <c r="A21916" s="3" t="str">
        <f>IFERROR(__xludf.DUMMYFUNCTION("GOOGLETRANSLATE(A21916,""en"",""pt"")"),"caro")</f>
        <v>caro</v>
      </c>
      <c r="B21916" s="3">
        <v>0</v>
      </c>
    </row>
    <row r="21917" ht="15.75" customHeight="1" spans="1:2">
      <c r="A21917" s="3" t="str">
        <f>IFERROR(__xludf.DUMMYFUNCTION("GOOGLETRANSLATE(A21917,""en"",""pt"")"),"Debaixo Cesta de armazenamento é pequeno")</f>
        <v>Debaixo Cesta de armazenamento é pequeno</v>
      </c>
      <c r="B21917" s="3">
        <v>0</v>
      </c>
    </row>
    <row r="21918" ht="15.75" customHeight="1" spans="1:2">
      <c r="A21918" s="3" t="str">
        <f>IFERROR(__xludf.DUMMYFUNCTION("GOOGLETRANSLATE(A21918,""en"",""pt"")"),"não")</f>
        <v>não</v>
      </c>
      <c r="B21918" s="3">
        <v>0</v>
      </c>
    </row>
    <row r="21919" ht="15.75" customHeight="1" spans="1:2">
      <c r="A21919" s="3" t="str">
        <f>IFERROR(__xludf.DUMMYFUNCTION("GOOGLETRANSLATE(A21919,""en"",""pt"")"),"nenhum identificador reversível, 2 posições de assento")</f>
        <v>nenhum identificador reversível, 2 posições de assento</v>
      </c>
      <c r="B21919" s="3">
        <v>0</v>
      </c>
    </row>
    <row r="21920" ht="15.75" customHeight="1" spans="1:2">
      <c r="A21920" s="3" t="str">
        <f>IFERROR(__xludf.DUMMYFUNCTION("GOOGLETRANSLATE(A21920,""en"",""pt"")"),"Rodas ranger, repousa sobre a bandeja quando armazenado")</f>
        <v>Rodas ranger, repousa sobre a bandeja quando armazenado</v>
      </c>
      <c r="B21920" s="3">
        <v>0</v>
      </c>
    </row>
    <row r="21921" ht="15.75" customHeight="1" spans="1:2">
      <c r="A21921" s="3" t="str">
        <f>IFERROR(__xludf.DUMMYFUNCTION("GOOGLETRANSLATE(A21921,""en"",""pt"")"),"pesados, volumosos, apenas 2 opções de reclinar")</f>
        <v>pesados, volumosos, apenas 2 opções de reclinar</v>
      </c>
      <c r="B21921" s="3">
        <v>0</v>
      </c>
    </row>
    <row r="21922" ht="15.75" customHeight="1" spans="1:2">
      <c r="A21922" s="3" t="str">
        <f>IFERROR(__xludf.DUMMYFUNCTION("GOOGLETRANSLATE(A21922,""en"",""pt"")"),"Assim que o bebê cresce para fora do assento de carro")</f>
        <v>Assim que o bebê cresce para fora do assento de carro</v>
      </c>
      <c r="B21922" s="3">
        <v>0</v>
      </c>
    </row>
    <row r="21923" ht="15.75" customHeight="1" spans="1:2">
      <c r="A21923" s="3" t="str">
        <f>IFERROR(__xludf.DUMMYFUNCTION("GOOGLETRANSLATE(A21923,""en"",""pt"")"),"Necessidade de comprar um assento de carro depois de 20 libras.")</f>
        <v>Necessidade de comprar um assento de carro depois de 20 libras.</v>
      </c>
      <c r="B21923" s="3">
        <v>0</v>
      </c>
    </row>
    <row r="21924" ht="15.75" customHeight="1" spans="1:2">
      <c r="A21924" s="3" t="str">
        <f>IFERROR(__xludf.DUMMYFUNCTION("GOOGLETRANSLATE(A21924,""en"",""pt"")"),"roda sibilante, que foi substituída.")</f>
        <v>roda sibilante, que foi substituída.</v>
      </c>
      <c r="B21924" s="3">
        <v>0</v>
      </c>
    </row>
    <row r="21925" ht="15.75" customHeight="1" spans="1:2">
      <c r="A21925" s="3" t="str">
        <f>IFERROR(__xludf.DUMMYFUNCTION("GOOGLETRANSLATE(A21925,""en"",""pt"")"),"Volumoso")</f>
        <v>Volumoso</v>
      </c>
      <c r="B21925" s="3">
        <v>0</v>
      </c>
    </row>
    <row r="21926" ht="15.75" customHeight="1" spans="1:2">
      <c r="A21926" s="3" t="str">
        <f>IFERROR(__xludf.DUMMYFUNCTION("GOOGLETRANSLATE(A21926,""en"",""pt"")"),"Tamanho")</f>
        <v>Tamanho</v>
      </c>
      <c r="B21926" s="3">
        <v>0</v>
      </c>
    </row>
    <row r="21927" ht="15.75" customHeight="1" spans="1:2">
      <c r="A21927" s="3" t="str">
        <f>IFERROR(__xludf.DUMMYFUNCTION("GOOGLETRANSLATE(A21927,""en"",""pt"")"),"Precisa de um guarda-sol direccionável")</f>
        <v>Precisa de um guarda-sol direccionável</v>
      </c>
      <c r="B21927" s="3">
        <v>0</v>
      </c>
    </row>
    <row r="21928" ht="15.75" customHeight="1" spans="1:2">
      <c r="A21928" s="3" t="str">
        <f>IFERROR(__xludf.DUMMYFUNCTION("GOOGLETRANSLATE(A21928,""en"",""pt"")"),"Para grandes e volumosos")</f>
        <v>Para grandes e volumosos</v>
      </c>
      <c r="B21928" s="3">
        <v>0</v>
      </c>
    </row>
    <row r="21929" ht="15.75" customHeight="1" spans="1:2">
      <c r="A21929" s="3" t="str">
        <f>IFERROR(__xludf.DUMMYFUNCTION("GOOGLETRANSLATE(A21929,""en"",""pt"")"),"ocupa muito espaço no tronco")</f>
        <v>ocupa muito espaço no tronco</v>
      </c>
      <c r="B21929" s="3">
        <v>0</v>
      </c>
    </row>
    <row r="21930" ht="15.75" customHeight="1" spans="1:2">
      <c r="A21930" s="3" t="str">
        <f>IFERROR(__xludf.DUMMYFUNCTION("GOOGLETRANSLATE(A21930,""en"",""pt"")"),"Assento de carro um pouco volumoso")</f>
        <v>Assento de carro um pouco volumoso</v>
      </c>
      <c r="B21930" s="3">
        <v>0</v>
      </c>
    </row>
    <row r="21931" ht="15.75" customHeight="1" spans="1:2">
      <c r="A21931" s="3" t="str">
        <f>IFERROR(__xludf.DUMMYFUNCTION("GOOGLETRANSLATE(A21931,""en"",""pt"")"),"rodas grandes")</f>
        <v>rodas grandes</v>
      </c>
      <c r="B21931" s="3">
        <v>0</v>
      </c>
    </row>
    <row r="21932" ht="15.75" customHeight="1" spans="1:2">
      <c r="A21932" s="3" t="str">
        <f>IFERROR(__xludf.DUMMYFUNCTION("GOOGLETRANSLATE(A21932,""en"",""pt"")"),"poderia dobrar um pouco mais fácil")</f>
        <v>poderia dobrar um pouco mais fácil</v>
      </c>
      <c r="B21932" s="3">
        <v>0</v>
      </c>
    </row>
    <row r="21933" ht="15.75" customHeight="1" spans="1:2">
      <c r="A21933" s="3" t="str">
        <f>IFERROR(__xludf.DUMMYFUNCTION("GOOGLETRANSLATE(A21933,""en"",""pt"")"),"Bandeja de plástico fica arranhada com muita facilidade ao dobrar-se.")</f>
        <v>Bandeja de plástico fica arranhada com muita facilidade ao dobrar-se.</v>
      </c>
      <c r="B21933" s="3">
        <v>0</v>
      </c>
    </row>
    <row r="21934" ht="15.75" customHeight="1" spans="1:2">
      <c r="A21934" s="3" t="str">
        <f>IFERROR(__xludf.DUMMYFUNCTION("GOOGLETRANSLATE(A21934,""en"",""pt"")"),"porta-copos não funcionam muito bem")</f>
        <v>porta-copos não funcionam muito bem</v>
      </c>
      <c r="B21934" s="3">
        <v>0</v>
      </c>
    </row>
    <row r="21935" ht="15.75" customHeight="1" spans="1:2">
      <c r="A21935" s="3" t="str">
        <f>IFERROR(__xludf.DUMMYFUNCTION("GOOGLETRANSLATE(A21935,""en"",""pt"")"),"Stroller dobra engraçado")</f>
        <v>Stroller dobra engraçado</v>
      </c>
      <c r="B21935" s="3">
        <v>0</v>
      </c>
    </row>
    <row r="21936" ht="15.75" customHeight="1" spans="1:2">
      <c r="A21936" s="3" t="str">
        <f>IFERROR(__xludf.DUMMYFUNCTION("GOOGLETRANSLATE(A21936,""en"",""pt"")"),"carrinho de criança pode ser um pouco pesado quando floded baixo")</f>
        <v>carrinho de criança pode ser um pouco pesado quando floded baixo</v>
      </c>
      <c r="B21936" s="3">
        <v>0</v>
      </c>
    </row>
    <row r="21937" ht="15.75" customHeight="1" spans="1:2">
      <c r="A21937" s="3" t="str">
        <f>IFERROR(__xludf.DUMMYFUNCTION("GOOGLETRANSLATE(A21937,""en"",""pt"")"),"peso-pesado")</f>
        <v>peso-pesado</v>
      </c>
      <c r="B21937" s="3">
        <v>0</v>
      </c>
    </row>
    <row r="21938" ht="15.75" customHeight="1" spans="1:2">
      <c r="A21938" s="3" t="str">
        <f>IFERROR(__xludf.DUMMYFUNCTION("GOOGLETRANSLATE(A21938,""en"",""pt"")"),"bandeja facilmente riscado")</f>
        <v>bandeja facilmente riscado</v>
      </c>
      <c r="B21938" s="3">
        <v>0</v>
      </c>
    </row>
    <row r="21939" ht="15.75" customHeight="1" spans="1:2">
      <c r="A21939" s="3" t="str">
        <f>IFERROR(__xludf.DUMMYFUNCTION("GOOGLETRANSLATE(A21939,""en"",""pt"")"),"freios traseiros")</f>
        <v>freios traseiros</v>
      </c>
      <c r="B21939" s="3">
        <v>0</v>
      </c>
    </row>
    <row r="21940" ht="15.75" customHeight="1" spans="1:2">
      <c r="A21940" s="3" t="str">
        <f>IFERROR(__xludf.DUMMYFUNCTION("GOOGLETRANSLATE(A21940,""en"",""pt"")"),"muito caro")</f>
        <v>muito caro</v>
      </c>
      <c r="B21940" s="3">
        <v>0</v>
      </c>
    </row>
    <row r="21941" ht="15.75" customHeight="1" spans="1:2">
      <c r="A21941" s="3" t="str">
        <f>IFERROR(__xludf.DUMMYFUNCTION("GOOGLETRANSLATE(A21941,""en"",""pt"")"),"correias transportadoras são muito pequenos")</f>
        <v>correias transportadoras são muito pequenos</v>
      </c>
      <c r="B21941" s="3">
        <v>0</v>
      </c>
    </row>
    <row r="21942" ht="15.75" customHeight="1" spans="1:2">
      <c r="A21942" s="3" t="str">
        <f>IFERROR(__xludf.DUMMYFUNCTION("GOOGLETRANSLATE(A21942,""en"",""pt"")"),"Demasiado volumoso, rodas guinchou e preso alot.Not muito fácil de abrir e fechar!")</f>
        <v>Demasiado volumoso, rodas guinchou e preso alot.Not muito fácil de abrir e fechar!</v>
      </c>
      <c r="B21942" s="3">
        <v>0</v>
      </c>
    </row>
    <row r="21943" ht="15.75" customHeight="1" spans="1:2">
      <c r="A21943" s="3" t="str">
        <f>IFERROR(__xludf.DUMMYFUNCTION("GOOGLETRANSLATE(A21943,""en"",""pt"")"),"Tem um monte de espaço de tronco, mas provavelmente não mais do que a maioria.")</f>
        <v>Tem um monte de espaço de tronco, mas provavelmente não mais do que a maioria.</v>
      </c>
      <c r="B21943" s="3">
        <v>0</v>
      </c>
    </row>
    <row r="21944" ht="15.75" customHeight="1" spans="1:2">
      <c r="A21944" s="3" t="str">
        <f>IFERROR(__xludf.DUMMYFUNCTION("GOOGLETRANSLATE(A21944,""en"",""pt"")"),"Grande quando dobrada, ocupa mais de um terço do meu espaço de tronco (mid-size auto).")</f>
        <v>Grande quando dobrada, ocupa mais de um terço do meu espaço de tronco (mid-size auto).</v>
      </c>
      <c r="B21944" s="3">
        <v>0</v>
      </c>
    </row>
    <row r="21945" ht="15.75" customHeight="1" spans="1:2">
      <c r="A21945" s="3" t="str">
        <f>IFERROR(__xludf.DUMMYFUNCTION("GOOGLETRANSLATE(A21945,""en"",""pt"")"),"As rodas de crack; assento vai virar bolor se não for devidamente secar.")</f>
        <v>As rodas de crack; assento vai virar bolor se não for devidamente secar.</v>
      </c>
      <c r="B21945" s="3">
        <v>0</v>
      </c>
    </row>
    <row r="21946" ht="15.75" customHeight="1" spans="1:2">
      <c r="A21946" s="3" t="str">
        <f>IFERROR(__xludf.DUMMYFUNCTION("GOOGLETRANSLATE(A21946,""en"",""pt"")"),"Sem apoio de pernas, cesta difícil de chegar ao assento totalmente reclinada.")</f>
        <v>Sem apoio de pernas, cesta difícil de chegar ao assento totalmente reclinada.</v>
      </c>
      <c r="B21946" s="3">
        <v>0</v>
      </c>
    </row>
    <row r="21947" ht="15.75" customHeight="1" spans="1:2">
      <c r="A21947" s="3" t="str">
        <f>IFERROR(__xludf.DUMMYFUNCTION("GOOGLETRANSLATE(A21947,""en"",""pt"")"),"Necessidades de visualização janela para a copa. Cesta impossível de alcançar quando totalmente reclinada.")</f>
        <v>Necessidades de visualização janela para a copa. Cesta impossível de alcançar quando totalmente reclinada.</v>
      </c>
      <c r="B21947" s="3">
        <v>0</v>
      </c>
    </row>
    <row r="21948" ht="15.75" customHeight="1" spans="1:2">
      <c r="A21948" s="3" t="str">
        <f>IFERROR(__xludf.DUMMYFUNCTION("GOOGLETRANSLATE(A21948,""en"",""pt"")"),"uma mão dobra não deve ser um ponto de venda, dossel")</f>
        <v>uma mão dobra não deve ser um ponto de venda, dossel</v>
      </c>
      <c r="B21948" s="3">
        <v>0</v>
      </c>
    </row>
    <row r="21949" ht="15.75" customHeight="1" spans="1:2">
      <c r="A21949" s="3" t="str">
        <f>IFERROR(__xludf.DUMMYFUNCTION("GOOGLETRANSLATE(A21949,""en"",""pt"")"),"Canopy pode ser maior, recline leva tempo para se acostumar")</f>
        <v>Canopy pode ser maior, recline leva tempo para se acostumar</v>
      </c>
      <c r="B21949" s="3">
        <v>0</v>
      </c>
    </row>
    <row r="21950" ht="15.75" customHeight="1" spans="1:2">
      <c r="A21950" s="3" t="str">
        <f>IFERROR(__xludf.DUMMYFUNCTION("GOOGLETRANSLATE(A21950,""en"",""pt"")"),"cesta é inacessível quando assento é todo o caminho")</f>
        <v>cesta é inacessível quando assento é todo o caminho</v>
      </c>
      <c r="B21950" s="3">
        <v>0</v>
      </c>
    </row>
    <row r="21951" ht="15.75" customHeight="1" spans="1:2">
      <c r="A21951" s="3" t="str">
        <f>IFERROR(__xludf.DUMMYFUNCTION("GOOGLETRANSLATE(A21951,""en"",""pt"")"),"Canopy, recline e cesta de armazenamento.")</f>
        <v>Canopy, recline e cesta de armazenamento.</v>
      </c>
      <c r="B21951" s="3">
        <v>0</v>
      </c>
    </row>
    <row r="21952" ht="15.75" customHeight="1" spans="1:2">
      <c r="A21952" s="3" t="str">
        <f>IFERROR(__xludf.DUMMYFUNCTION("GOOGLETRANSLATE(A21952,""en"",""pt"")"),"Nenhum que eu posso pensar.")</f>
        <v>Nenhum que eu posso pensar.</v>
      </c>
      <c r="B21952" s="3">
        <v>0</v>
      </c>
    </row>
    <row r="21953" ht="15.75" customHeight="1" spans="1:2">
      <c r="A21953" s="3" t="str">
        <f>IFERROR(__xludf.DUMMYFUNCTION("GOOGLETRANSLATE(A21953,""en"",""pt"")"),"Difícil chegar ao cesta")</f>
        <v>Difícil chegar ao cesta</v>
      </c>
      <c r="B21953" s="3">
        <v>0</v>
      </c>
    </row>
    <row r="21954" ht="15.75" customHeight="1" spans="1:2">
      <c r="A21954" s="3" t="str">
        <f>IFERROR(__xludf.DUMMYFUNCTION("GOOGLETRANSLATE(A21954,""en"",""pt"")"),"Cesta inacessível ao usar com assento de carro infantil")</f>
        <v>Cesta inacessível ao usar com assento de carro infantil</v>
      </c>
      <c r="B21954" s="3">
        <v>0</v>
      </c>
    </row>
    <row r="21955" ht="15.75" customHeight="1" spans="1:2">
      <c r="A21955" s="3" t="str">
        <f>IFERROR(__xludf.DUMMYFUNCTION("GOOGLETRANSLATE(A21955,""en"",""pt"")"),"Fades e desmorona")</f>
        <v>Fades e desmorona</v>
      </c>
      <c r="B21955" s="3">
        <v>0</v>
      </c>
    </row>
    <row r="21956" ht="15.75" customHeight="1" spans="1:2">
      <c r="A21956" s="3" t="str">
        <f>IFERROR(__xludf.DUMMYFUNCTION("GOOGLETRANSLATE(A21956,""en"",""pt"")"),"Derrame suportes da bebida do pai de bruços, em acessível cesta de armazenamento quando assento de carro está instalado.")</f>
        <v>Derrame suportes da bebida do pai de bruços, em acessível cesta de armazenamento quando assento de carro está instalado.</v>
      </c>
      <c r="B21956" s="3">
        <v>0</v>
      </c>
    </row>
    <row r="21957" ht="15.75" customHeight="1" spans="1:2">
      <c r="A21957" s="3" t="str">
        <f>IFERROR(__xludf.DUMMYFUNCTION("GOOGLETRANSLATE(A21957,""en"",""pt"")"),"não tão ágil depois de um par de meses")</f>
        <v>não tão ágil depois de um par de meses</v>
      </c>
      <c r="B21957" s="3">
        <v>0</v>
      </c>
    </row>
    <row r="21958" ht="15.75" customHeight="1" spans="1:2">
      <c r="A21958" s="3" t="str">
        <f>IFERROR(__xludf.DUMMYFUNCTION("GOOGLETRANSLATE(A21958,""en"",""pt"")"),"Somente rodas dianteiras girar, guiador não reversível.")</f>
        <v>Somente rodas dianteiras girar, guiador não reversível.</v>
      </c>
      <c r="B21958" s="3">
        <v>0</v>
      </c>
    </row>
    <row r="21959" ht="15.75" customHeight="1" spans="1:2">
      <c r="A21959" s="3" t="str">
        <f>IFERROR(__xludf.DUMMYFUNCTION("GOOGLETRANSLATE(A21959,""en"",""pt"")"),"inconsistente")</f>
        <v>inconsistente</v>
      </c>
      <c r="B21959" s="3">
        <v>0</v>
      </c>
    </row>
    <row r="21960" ht="15.75" customHeight="1" spans="1:2">
      <c r="A21960" s="3" t="str">
        <f>IFERROR(__xludf.DUMMYFUNCTION("GOOGLETRANSLATE(A21960,""en"",""pt"")"),"Cesta pequena, um pouco complicado a entrar em colapso.")</f>
        <v>Cesta pequena, um pouco complicado a entrar em colapso.</v>
      </c>
      <c r="B21960" s="3">
        <v>0</v>
      </c>
    </row>
    <row r="21961" ht="15.75" customHeight="1" spans="1:2">
      <c r="A21961" s="3" t="str">
        <f>IFERROR(__xludf.DUMMYFUNCTION("GOOGLETRANSLATE(A21961,""en"",""pt"")"),"Nao muitos!")</f>
        <v>Nao muitos!</v>
      </c>
      <c r="B21961" s="3">
        <v>0</v>
      </c>
    </row>
    <row r="21962" ht="15.75" customHeight="1" spans="1:2">
      <c r="A21962" s="3" t="str">
        <f>IFERROR(__xludf.DUMMYFUNCTION("GOOGLETRANSLATE(A21962,""en"",""pt"")"),"Nenhuma janela no dossel, sem arnês de 5 pontos")</f>
        <v>Nenhuma janela no dossel, sem arnês de 5 pontos</v>
      </c>
      <c r="B21962" s="3">
        <v>0</v>
      </c>
    </row>
    <row r="21963" ht="15.75" customHeight="1" spans="1:2">
      <c r="A21963" s="3" t="str">
        <f>IFERROR(__xludf.DUMMYFUNCTION("GOOGLETRANSLATE(A21963,""en"",""pt"")"),"Ainda um pouco volumoso")</f>
        <v>Ainda um pouco volumoso</v>
      </c>
      <c r="B21963" s="3">
        <v>0</v>
      </c>
    </row>
    <row r="21964" ht="15.75" customHeight="1" spans="1:2">
      <c r="A21964" s="3" t="str">
        <f>IFERROR(__xludf.DUMMYFUNCTION("GOOGLETRANSLATE(A21964,""en"",""pt"")"),"Pesados ​​e volumosos para carros menores, traseira é um pouco aberta no carrinho.")</f>
        <v>Pesados ​​e volumosos para carros menores, traseira é um pouco aberta no carrinho.</v>
      </c>
      <c r="B21964" s="3">
        <v>0</v>
      </c>
    </row>
    <row r="21965" ht="15.75" customHeight="1" spans="1:2">
      <c r="A21965" s="3" t="str">
        <f>IFERROR(__xludf.DUMMYFUNCTION("GOOGLETRANSLATE(A21965,""en"",""pt"")"),"Parte inferior do carrinho tem um pára-choques de plástico que aparece fora às vezes!")</f>
        <v>Parte inferior do carrinho tem um pára-choques de plástico que aparece fora às vezes!</v>
      </c>
      <c r="B21965" s="3">
        <v>0</v>
      </c>
    </row>
    <row r="21966" ht="15.75" customHeight="1" spans="1:2">
      <c r="A21966" s="3" t="str">
        <f>IFERROR(__xludf.DUMMYFUNCTION("GOOGLETRANSLATE(A21966,""en"",""pt"")"),"mais caros do que alguns, padrões limitados disponíveis")</f>
        <v>mais caros do que alguns, padrões limitados disponíveis</v>
      </c>
      <c r="B21966" s="3">
        <v>0</v>
      </c>
    </row>
    <row r="21967" ht="15.75" customHeight="1" spans="1:2">
      <c r="A21967" s="3" t="str">
        <f>IFERROR(__xludf.DUMMYFUNCTION("GOOGLETRANSLATE(A21967,""en"",""pt"")"),"Problemas a entrar e sair do tronco")</f>
        <v>Problemas a entrar e sair do tronco</v>
      </c>
      <c r="B21967" s="3">
        <v>0</v>
      </c>
    </row>
    <row r="21968" ht="15.75" customHeight="1" spans="1:2">
      <c r="A21968" s="3" t="str">
        <f>IFERROR(__xludf.DUMMYFUNCTION("GOOGLETRANSLATE(A21968,""en"",""pt"")"),"desajeitado e inábil para transportar")</f>
        <v>desajeitado e inábil para transportar</v>
      </c>
      <c r="B21968" s="3">
        <v>0</v>
      </c>
    </row>
    <row r="21969" ht="15.75" customHeight="1" spans="1:2">
      <c r="A21969" s="3" t="str">
        <f>IFERROR(__xludf.DUMMYFUNCTION("GOOGLETRANSLATE(A21969,""en"",""pt"")"),"mal projetado")</f>
        <v>mal projetado</v>
      </c>
      <c r="B21969" s="3">
        <v>0</v>
      </c>
    </row>
    <row r="21970" ht="15.75" customHeight="1" spans="1:2">
      <c r="A21970" s="3" t="str">
        <f>IFERROR(__xludf.DUMMYFUNCTION("GOOGLETRANSLATE(A21970,""en"",""pt"")"),"Ocupa muito espaço no tronco")</f>
        <v>Ocupa muito espaço no tronco</v>
      </c>
      <c r="B21970" s="3">
        <v>0</v>
      </c>
    </row>
    <row r="21971" ht="15.75" customHeight="1" spans="1:2">
      <c r="A21971" s="3" t="str">
        <f>IFERROR(__xludf.DUMMYFUNCTION("GOOGLETRANSLATE(A21971,""en"",""pt"")"),"Tiras para o carseat são um pouco curta, teve de extensões de ordem")</f>
        <v>Tiras para o carseat são um pouco curta, teve de extensões de ordem</v>
      </c>
      <c r="B21971" s="3">
        <v>0</v>
      </c>
    </row>
    <row r="21972" ht="15.75" customHeight="1" spans="1:2">
      <c r="A21972" s="3" t="str">
        <f>IFERROR(__xludf.DUMMYFUNCTION("GOOGLETRANSLATE(A21972,""en"",""pt"")"),"caro; carrinho dobrado não estável quando em pé esquerdo; cinta chicote curto")</f>
        <v>caro; carrinho dobrado não estável quando em pé esquerdo; cinta chicote curto</v>
      </c>
      <c r="B21972" s="3">
        <v>0</v>
      </c>
    </row>
    <row r="21973" ht="15.75" customHeight="1" spans="1:2">
      <c r="A21973" s="3" t="str">
        <f>IFERROR(__xludf.DUMMYFUNCTION("GOOGLETRANSLATE(A21973,""en"",""pt"")"),"Tiras em assento de carro muito curto")</f>
        <v>Tiras em assento de carro muito curto</v>
      </c>
      <c r="B21973" s="3">
        <v>0</v>
      </c>
    </row>
    <row r="21974" ht="15.75" customHeight="1" spans="1:2">
      <c r="A21974" s="3" t="str">
        <f>IFERROR(__xludf.DUMMYFUNCTION("GOOGLETRANSLATE(A21974,""en"",""pt"")"),"Toma-se um monte de espaço, cintas são muito curtos no carseat, Stroller Medíocre")</f>
        <v>Toma-se um monte de espaço, cintas são muito curtos no carseat, Stroller Medíocre</v>
      </c>
      <c r="B21974" s="3">
        <v>0</v>
      </c>
    </row>
    <row r="21975" ht="15.75" customHeight="1" spans="1:2">
      <c r="A21975" s="3" t="str">
        <f>IFERROR(__xludf.DUMMYFUNCTION("GOOGLETRANSLATE(A21975,""en"",""pt"")"),"cartuchos bastante caros.")</f>
        <v>cartuchos bastante caros.</v>
      </c>
      <c r="B21975" s="3">
        <v>0</v>
      </c>
    </row>
    <row r="21976" ht="15.75" customHeight="1" spans="1:2">
      <c r="A21976" s="3" t="str">
        <f>IFERROR(__xludf.DUMMYFUNCTION("GOOGLETRANSLATE(A21976,""en"",""pt"")"),"Os cartuchos de tinta caro")</f>
        <v>Os cartuchos de tinta caro</v>
      </c>
      <c r="B21976" s="3">
        <v>0</v>
      </c>
    </row>
    <row r="21977" ht="15.75" customHeight="1" spans="1:2">
      <c r="A21977" s="3" t="str">
        <f>IFERROR(__xludf.DUMMYFUNCTION("GOOGLETRANSLATE(A21977,""en"",""pt"")"),"Não uma impressora a laser")</f>
        <v>Não uma impressora a laser</v>
      </c>
      <c r="B21977" s="3">
        <v>0</v>
      </c>
    </row>
    <row r="21978" ht="15.75" customHeight="1" spans="1:2">
      <c r="A21978" s="3" t="str">
        <f>IFERROR(__xludf.DUMMYFUNCTION("GOOGLETRANSLATE(A21978,""en"",""pt"")"),"Precisa de um melhor suporte para impressão em rede no NT e 2000")</f>
        <v>Precisa de um melhor suporte para impressão em rede no NT e 2000</v>
      </c>
      <c r="B21978" s="3">
        <v>0</v>
      </c>
    </row>
    <row r="21979" ht="15.75" customHeight="1" spans="1:2">
      <c r="A21979" s="3" t="str">
        <f>IFERROR(__xludf.DUMMYFUNCTION("GOOGLETRANSLATE(A21979,""en"",""pt"")"),"É da expectativa de vida é curto")</f>
        <v>É da expectativa de vida é curto</v>
      </c>
      <c r="B21979" s="3">
        <v>0</v>
      </c>
    </row>
    <row r="21980" ht="15.75" customHeight="1" spans="1:2">
      <c r="A21980" s="3" t="str">
        <f>IFERROR(__xludf.DUMMYFUNCTION("GOOGLETRANSLATE(A21980,""en"",""pt"")"),"um pouco caro")</f>
        <v>um pouco caro</v>
      </c>
      <c r="B21980" s="3">
        <v>0</v>
      </c>
    </row>
    <row r="21981" ht="15.75" customHeight="1" spans="1:2">
      <c r="A21981" s="3" t="str">
        <f>IFERROR(__xludf.DUMMYFUNCTION("GOOGLETRANSLATE(A21981,""en"",""pt"")"),"Preço, cartuchos de tinta são mais caros")</f>
        <v>Preço, cartuchos de tinta são mais caros</v>
      </c>
      <c r="B21981" s="3">
        <v>0</v>
      </c>
    </row>
    <row r="21982" ht="15.75" customHeight="1" spans="1:2">
      <c r="A21982" s="3" t="str">
        <f>IFERROR(__xludf.DUMMYFUNCTION("GOOGLETRANSLATE(A21982,""en"",""pt"")"),"Moderadamente maior Pegada; Alta Faixa de Preço")</f>
        <v>Moderadamente maior Pegada; Alta Faixa de Preço</v>
      </c>
      <c r="B21982" s="3">
        <v>0</v>
      </c>
    </row>
    <row r="21983" ht="15.75" customHeight="1" spans="1:2">
      <c r="A21983" s="3" t="str">
        <f>IFERROR(__xludf.DUMMYFUNCTION("GOOGLETRANSLATE(A21983,""en"",""pt"")"),"sem USB, questão menor")</f>
        <v>sem USB, questão menor</v>
      </c>
      <c r="B21983" s="3">
        <v>0</v>
      </c>
    </row>
    <row r="21984" ht="15.75" customHeight="1" spans="1:2">
      <c r="A21984" s="3" t="str">
        <f>IFERROR(__xludf.DUMMYFUNCTION("GOOGLETRANSLATE(A21984,""en"",""pt"")"),"Caros cabeças cartuchos de tinta e impressão quando necessário substituído")</f>
        <v>Caros cabeças cartuchos de tinta e impressão quando necessário substituído</v>
      </c>
      <c r="B21984" s="3">
        <v>0</v>
      </c>
    </row>
    <row r="21985" ht="15.75" customHeight="1" spans="1:2">
      <c r="A21985" s="3" t="str">
        <f>IFERROR(__xludf.DUMMYFUNCTION("GOOGLETRANSLATE(A21985,""en"",""pt"")"),"Não gosta de envelopes e gostaria que tivesse maior capacidade da bandeja de papel.")</f>
        <v>Não gosta de envelopes e gostaria que tivesse maior capacidade da bandeja de papel.</v>
      </c>
      <c r="B21985" s="3">
        <v>0</v>
      </c>
    </row>
    <row r="21986" ht="15.75" customHeight="1" spans="1:2">
      <c r="A21986" s="3" t="str">
        <f>IFERROR(__xludf.DUMMYFUNCTION("GOOGLETRANSLATE(A21986,""en"",""pt"")"),"Absolutamente flakey, referência política HP segredo de substituição do cabeçote de impressão.")</f>
        <v>Absolutamente flakey, referência política HP segredo de substituição do cabeçote de impressão.</v>
      </c>
      <c r="B21986" s="3">
        <v>0</v>
      </c>
    </row>
    <row r="21987" ht="15.75" customHeight="1" spans="1:2">
      <c r="A21987" s="3" t="str">
        <f>IFERROR(__xludf.DUMMYFUNCTION("GOOGLETRANSLATE(A21987,""en"",""pt"")"),"barulhento, lenta, cara, cabeças de impressão só está disponível on-line")</f>
        <v>barulhento, lenta, cara, cabeças de impressão só está disponível on-line</v>
      </c>
      <c r="B21987" s="3">
        <v>0</v>
      </c>
    </row>
    <row r="21988" ht="15.75" customHeight="1" spans="1:2">
      <c r="A21988" s="3" t="str">
        <f>IFERROR(__xludf.DUMMYFUNCTION("GOOGLETRANSLATE(A21988,""en"",""pt"")"),"Grande, mas compreensível devido ao &amp; amp; # 13; &amp; amp; # 10; 12x18 impressões")</f>
        <v>Grande, mas compreensível devido ao &amp; amp; # 13; &amp; amp; # 10; 12x18 impressões</v>
      </c>
      <c r="B21988" s="3">
        <v>0</v>
      </c>
    </row>
    <row r="21989" ht="15.75" customHeight="1" spans="1:2">
      <c r="A21989" s="3" t="str">
        <f>IFERROR(__xludf.DUMMYFUNCTION("GOOGLETRANSLATE(A21989,""en"",""pt"")"),"Um pouco barulhento, grande pegada, sem suporte bi-direcional com WIN XP")</f>
        <v>Um pouco barulhento, grande pegada, sem suporte bi-direcional com WIN XP</v>
      </c>
      <c r="B21989" s="3">
        <v>0</v>
      </c>
    </row>
    <row r="21990" ht="15.75" customHeight="1" spans="1:2">
      <c r="A21990" s="3" t="str">
        <f>IFERROR(__xludf.DUMMYFUNCTION("GOOGLETRANSLATE(A21990,""en"",""pt"")"),"Caro no começo, mas esta é uma impressora de negócio, afinal.")</f>
        <v>Caro no começo, mas esta é uma impressora de negócio, afinal.</v>
      </c>
      <c r="B21990" s="3">
        <v>0</v>
      </c>
    </row>
    <row r="21991" ht="15.75" customHeight="1" spans="1:2">
      <c r="A21991" s="3" t="str">
        <f>IFERROR(__xludf.DUMMYFUNCTION("GOOGLETRANSLATE(A21991,""en"",""pt"")"),"NENHUM")</f>
        <v>NENHUM</v>
      </c>
      <c r="B21991" s="3">
        <v>0</v>
      </c>
    </row>
    <row r="21992" ht="15.75" customHeight="1" spans="1:2">
      <c r="A21992" s="3" t="str">
        <f>IFERROR(__xludf.DUMMYFUNCTION("GOOGLETRANSLATE(A21992,""en"",""pt"")"),"Preço; documentação impressa; alavanca de bloqueio da cabeça de impressão; tabuleiro de alimentação manual posterior.")</f>
        <v>Preço; documentação impressa; alavanca de bloqueio da cabeça de impressão; tabuleiro de alimentação manual posterior.</v>
      </c>
      <c r="B21992" s="3">
        <v>0</v>
      </c>
    </row>
    <row r="21993" ht="15.75" customHeight="1" spans="1:2">
      <c r="A21993" s="3" t="str">
        <f>IFERROR(__xludf.DUMMYFUNCTION("GOOGLETRANSLATE(A21993,""en"",""pt"")"),"Pior qualquer serviço ao cliente.")</f>
        <v>Pior qualquer serviço ao cliente.</v>
      </c>
      <c r="B21993" s="3">
        <v>0</v>
      </c>
    </row>
    <row r="21994" ht="15.75" customHeight="1" spans="1:2">
      <c r="A21994" s="3" t="str">
        <f>IFERROR(__xludf.DUMMYFUNCTION("GOOGLETRANSLATE(A21994,""en"",""pt"")"),"alimentação traseira, ausência de ""sem fronteira"" imprimir, bandeja de papel é desajeitado (queixa marginal)")</f>
        <v>alimentação traseira, ausência de "sem fronteira" imprimir, bandeja de papel é desajeitado (queixa marginal)</v>
      </c>
      <c r="B21994" s="3">
        <v>0</v>
      </c>
    </row>
    <row r="21995" ht="15.75" customHeight="1" spans="1:2">
      <c r="A21995" s="3" t="str">
        <f>IFERROR(__xludf.DUMMYFUNCTION("GOOGLETRANSLATE(A21995,""en"",""pt"")"),"custo inicial, tamanho físico, não há suporte ColorSync")</f>
        <v>custo inicial, tamanho físico, não há suporte ColorSync</v>
      </c>
      <c r="B21995" s="3">
        <v>0</v>
      </c>
    </row>
    <row r="21996" ht="15.75" customHeight="1" spans="1:2">
      <c r="A21996" s="3" t="str">
        <f>IFERROR(__xludf.DUMMYFUNCTION("GOOGLETRANSLATE(A21996,""en"",""pt"")"),"hardware Buggy, software buggy.")</f>
        <v>hardware Buggy, software buggy.</v>
      </c>
      <c r="B21996" s="3">
        <v>0</v>
      </c>
    </row>
    <row r="21997" ht="15.75" customHeight="1" spans="1:2">
      <c r="A21997" s="3" t="str">
        <f>IFERROR(__xludf.DUMMYFUNCTION("GOOGLETRANSLATE(A21997,""en"",""pt"")"),"Prints torto, não é possível imprimir a borda, não impermeável, nenhum manual de usuário")</f>
        <v>Prints torto, não é possível imprimir a borda, não impermeável, nenhum manual de usuário</v>
      </c>
      <c r="B21997" s="3">
        <v>0</v>
      </c>
    </row>
    <row r="21998" ht="15.75" customHeight="1" spans="1:2">
      <c r="A21998" s="3" t="str">
        <f>IFERROR(__xludf.DUMMYFUNCTION("GOOGLETRANSLATE(A21998,""en"",""pt"")"),"primeira página lento, muito grande máquina, caro")</f>
        <v>primeira página lento, muito grande máquina, caro</v>
      </c>
      <c r="B21998" s="3">
        <v>0</v>
      </c>
    </row>
    <row r="21999" ht="15.75" customHeight="1" spans="1:2">
      <c r="A21999" s="3" t="str">
        <f>IFERROR(__xludf.DUMMYFUNCTION("GOOGLETRANSLATE(A21999,""en"",""pt"")"),"demasiado grande para o desktop em casa, alto e barulhento, atrai uma grande quantidade de poder")</f>
        <v>demasiado grande para o desktop em casa, alto e barulhento, atrai uma grande quantidade de poder</v>
      </c>
      <c r="B21999" s="3">
        <v>0</v>
      </c>
    </row>
    <row r="22000" ht="15.75" customHeight="1" spans="1:2">
      <c r="A22000" s="3" t="str">
        <f>IFERROR(__xludf.DUMMYFUNCTION("GOOGLETRANSLATE(A22000,""en"",""pt"")"),"impressora caro e comsumables")</f>
        <v>impressora caro e comsumables</v>
      </c>
      <c r="B22000" s="3">
        <v>0</v>
      </c>
    </row>
    <row r="22001" ht="15.75" customHeight="1" spans="1:2">
      <c r="A22001" s="3" t="str">
        <f>IFERROR(__xludf.DUMMYFUNCTION("GOOGLETRANSLATE(A22001,""en"",""pt"")"),"-se preço frente é chocante, no entanto se paga em pouco tempo")</f>
        <v>-se preço frente é chocante, no entanto se paga em pouco tempo</v>
      </c>
      <c r="B22001" s="3">
        <v>0</v>
      </c>
    </row>
    <row r="22002" ht="15.75" customHeight="1" spans="1:2">
      <c r="A22002" s="3" t="str">
        <f>IFERROR(__xludf.DUMMYFUNCTION("GOOGLETRANSLATE(A22002,""en"",""pt"")"),"Toner é um pouco sobre o lado caro.")</f>
        <v>Toner é um pouco sobre o lado caro.</v>
      </c>
      <c r="B22002" s="3">
        <v>0</v>
      </c>
    </row>
    <row r="22003" ht="15.75" customHeight="1" spans="1:2">
      <c r="A22003" s="3" t="str">
        <f>IFERROR(__xludf.DUMMYFUNCTION("GOOGLETRANSLATE(A22003,""en"",""pt"")"),"ruído, velocidade")</f>
        <v>ruído, velocidade</v>
      </c>
      <c r="B22003" s="3">
        <v>0</v>
      </c>
    </row>
    <row r="22004" ht="15.75" customHeight="1" spans="1:2">
      <c r="A22004" s="3" t="str">
        <f>IFERROR(__xludf.DUMMYFUNCTION("GOOGLETRANSLATE(A22004,""en"",""pt"")"),"Você nunca será capaz de movê-lo novamente")</f>
        <v>Você nunca será capaz de movê-lo novamente</v>
      </c>
      <c r="B22004" s="3">
        <v>0</v>
      </c>
    </row>
    <row r="22005" ht="15.75" customHeight="1" spans="1:2">
      <c r="A22005" s="3" t="str">
        <f>IFERROR(__xludf.DUMMYFUNCTION("GOOGLETRANSLATE(A22005,""en"",""pt"")"),"Leva cerca de 3-4 minutos para aquecer.")</f>
        <v>Leva cerca de 3-4 minutos para aquecer.</v>
      </c>
      <c r="B22005" s="3">
        <v>0</v>
      </c>
    </row>
    <row r="22006" ht="15.75" customHeight="1" spans="1:2">
      <c r="A22006" s="3" t="str">
        <f>IFERROR(__xludf.DUMMYFUNCTION("GOOGLETRANSLATE(A22006,""en"",""pt"")"),"grande, caro para indivíduos")</f>
        <v>grande, caro para indivíduos</v>
      </c>
      <c r="B22006" s="3">
        <v>0</v>
      </c>
    </row>
    <row r="22007" ht="15.75" customHeight="1" spans="1:2">
      <c r="A22007" s="3" t="str">
        <f>IFERROR(__xludf.DUMMYFUNCTION("GOOGLETRANSLATE(A22007,""en"",""pt"")"),"Barulhento; grande e pesado")</f>
        <v>Barulhento; grande e pesado</v>
      </c>
      <c r="B22007" s="3">
        <v>0</v>
      </c>
    </row>
    <row r="22008" ht="15.75" customHeight="1" spans="1:2">
      <c r="A22008" s="3" t="str">
        <f>IFERROR(__xludf.DUMMYFUNCTION("GOOGLETRANSLATE(A22008,""en"",""pt"")"),"Hora de aquecimento")</f>
        <v>Hora de aquecimento</v>
      </c>
      <c r="B22008" s="3">
        <v>0</v>
      </c>
    </row>
    <row r="22009" ht="15.75" customHeight="1" spans="1:2">
      <c r="A22009" s="3" t="str">
        <f>IFERROR(__xludf.DUMMYFUNCTION("GOOGLETRANSLATE(A22009,""en"",""pt"")"),"Nenhum")</f>
        <v>Nenhum</v>
      </c>
      <c r="B22009" s="3">
        <v>0</v>
      </c>
    </row>
    <row r="22010" ht="15.75" customHeight="1" spans="1:2">
      <c r="A22010" s="3" t="str">
        <f>IFERROR(__xludf.DUMMYFUNCTION("GOOGLETRANSLATE(A22010,""en"",""pt"")"),"fantasmas ainda ocorre")</f>
        <v>fantasmas ainda ocorre</v>
      </c>
      <c r="B22010" s="3">
        <v>0</v>
      </c>
    </row>
    <row r="22011" ht="15.75" customHeight="1" spans="1:2">
      <c r="A22011" s="3" t="str">
        <f>IFERROR(__xludf.DUMMYFUNCTION("GOOGLETRANSLATE(A22011,""en"",""pt"")"),"wewweefc")</f>
        <v>wewweefc</v>
      </c>
      <c r="B22011" s="3">
        <v>0</v>
      </c>
    </row>
    <row r="22012" ht="15.75" customHeight="1" spans="1:2">
      <c r="A22012" s="3" t="str">
        <f>IFERROR(__xludf.DUMMYFUNCTION("GOOGLETRANSLATE(A22012,""en"",""pt"")"),"Não muito nesta categoria .... preço para alguns.")</f>
        <v>Não muito nesta categoria .... preço para alguns.</v>
      </c>
      <c r="B22012" s="3">
        <v>0</v>
      </c>
    </row>
    <row r="22013" ht="15.75" customHeight="1" spans="1:2">
      <c r="A22013" s="3" t="str">
        <f>IFERROR(__xludf.DUMMYFUNCTION("GOOGLETRANSLATE(A22013,""en"",""pt"")"),"tempo de aquecimento, área de grande")</f>
        <v>tempo de aquecimento, área de grande</v>
      </c>
      <c r="B22013" s="3">
        <v>0</v>
      </c>
    </row>
    <row r="22014" ht="15.75" customHeight="1" spans="1:2">
      <c r="A22014" s="3" t="str">
        <f>IFERROR(__xludf.DUMMYFUNCTION("GOOGLETRANSLATE(A22014,""en"",""pt"")"),"É grande")</f>
        <v>É grande</v>
      </c>
      <c r="B22014" s="3">
        <v>0</v>
      </c>
    </row>
    <row r="22015" ht="15.75" customHeight="1" spans="1:2">
      <c r="A22015" s="3" t="str">
        <f>IFERROR(__xludf.DUMMYFUNCTION("GOOGLETRANSLATE(A22015,""en"",""pt"")"),"é mais do que um bubblejet, mas espere até ver a qualidade!")</f>
        <v>é mais do que um bubblejet, mas espere até ver a qualidade!</v>
      </c>
      <c r="B22015" s="3">
        <v>0</v>
      </c>
    </row>
    <row r="22016" ht="15.75" customHeight="1" spans="1:2">
      <c r="A22016" s="3" t="str">
        <f>IFERROR(__xludf.DUMMYFUNCTION("GOOGLETRANSLATE(A22016,""en"",""pt"")"),"Velocidade, o ruído, display de vida útil restante de consumíveis")</f>
        <v>Velocidade, o ruído, display de vida útil restante de consumíveis</v>
      </c>
      <c r="B22016" s="3">
        <v>0</v>
      </c>
    </row>
    <row r="22017" ht="15.75" customHeight="1" spans="1:2">
      <c r="A22017" s="3" t="str">
        <f>IFERROR(__xludf.DUMMYFUNCTION("GOOGLETRANSLATE(A22017,""en"",""pt"")"),"Longo aquecer vezes.")</f>
        <v>Longo aquecer vezes.</v>
      </c>
      <c r="B22017" s="3">
        <v>0</v>
      </c>
    </row>
    <row r="22018" ht="15.75" customHeight="1" spans="1:2">
      <c r="A22018" s="3" t="str">
        <f>IFERROR(__xludf.DUMMYFUNCTION("GOOGLETRANSLATE(A22018,""en"",""pt"")"),"A cor é viciante.")</f>
        <v>A cor é viciante.</v>
      </c>
      <c r="B22018" s="3">
        <v>0</v>
      </c>
    </row>
    <row r="22019" ht="15.75" customHeight="1" spans="1:2">
      <c r="A22019" s="3" t="str">
        <f>IFERROR(__xludf.DUMMYFUNCTION("GOOGLETRANSLATE(A22019,""en"",""pt"")"),"Muito pesado e grande. Lento para retornar do modo de espera.")</f>
        <v>Muito pesado e grande. Lento para retornar do modo de espera.</v>
      </c>
      <c r="B22019" s="3">
        <v>0</v>
      </c>
    </row>
    <row r="22020" ht="15.75" customHeight="1" spans="1:2">
      <c r="A22020" s="3" t="str">
        <f>IFERROR(__xludf.DUMMYFUNCTION("GOOGLETRANSLATE(A22020,""en"",""pt"")"),"BIG (não adequado para estar na recepção)")</f>
        <v>BIG (não adequado para estar na recepção)</v>
      </c>
      <c r="B22020" s="3">
        <v>0</v>
      </c>
    </row>
    <row r="22021" ht="15.75" customHeight="1" spans="1:2">
      <c r="A22021" s="3" t="str">
        <f>IFERROR(__xludf.DUMMYFUNCTION("GOOGLETRANSLATE(A22021,""en"",""pt"")"),"outlet Home Power pode ser inadequada. Veja especificação HP.")</f>
        <v>outlet Home Power pode ser inadequada. Veja especificação HP.</v>
      </c>
      <c r="B22021" s="3">
        <v>0</v>
      </c>
    </row>
    <row r="22022" ht="15.75" customHeight="1" spans="1:2">
      <c r="A22022" s="3" t="str">
        <f>IFERROR(__xludf.DUMMYFUNCTION("GOOGLETRANSLATE(A22022,""en"",""pt"")"),"Longo Tempo de aquecimento / lenta primeira página a imprimir em cores")</f>
        <v>Longo Tempo de aquecimento / lenta primeira página a imprimir em cores</v>
      </c>
      <c r="B22022" s="3">
        <v>0</v>
      </c>
    </row>
    <row r="22023" ht="15.75" customHeight="1" spans="1:2">
      <c r="A22023" s="3" t="str">
        <f>IFERROR(__xludf.DUMMYFUNCTION("GOOGLETRANSLATE(A22023,""en"",""pt"")"),"Grande, pesado, caro, requer muita energia.")</f>
        <v>Grande, pesado, caro, requer muita energia.</v>
      </c>
      <c r="B22023" s="3">
        <v>0</v>
      </c>
    </row>
    <row r="22024" ht="15.75" customHeight="1" spans="1:2">
      <c r="A22024" s="3" t="str">
        <f>IFERROR(__xludf.DUMMYFUNCTION("GOOGLETRANSLATE(A22024,""en"",""pt"")"),"poder Casa típica não adequados, tempos de aquecimento")</f>
        <v>poder Casa típica não adequados, tempos de aquecimento</v>
      </c>
      <c r="B22024" s="3">
        <v>0</v>
      </c>
    </row>
    <row r="22025" ht="15.75" customHeight="1" spans="1:2">
      <c r="A22025" s="3" t="str">
        <f>IFERROR(__xludf.DUMMYFUNCTION("GOOGLETRANSLATE(A22025,""en"",""pt"")"),"JAMS PAPEL constantes")</f>
        <v>JAMS PAPEL constantes</v>
      </c>
      <c r="B22025" s="3">
        <v>0</v>
      </c>
    </row>
    <row r="22026" ht="15.75" customHeight="1" spans="1:2">
      <c r="A22026" s="3" t="str">
        <f>IFERROR(__xludf.DUMMYFUNCTION("GOOGLETRANSLATE(A22026,""en"",""pt"")"),"custo inicial caro e consumerables, lento para aquecer fora do modo de espera")</f>
        <v>custo inicial caro e consumerables, lento para aquecer fora do modo de espera</v>
      </c>
      <c r="B22026" s="3">
        <v>0</v>
      </c>
    </row>
    <row r="22027" ht="15.75" customHeight="1" spans="1:2">
      <c r="A22027" s="3" t="str">
        <f>IFERROR(__xludf.DUMMYFUNCTION("GOOGLETRANSLATE(A22027,""en"",""pt"")"),"Nenhum")</f>
        <v>Nenhum</v>
      </c>
      <c r="B22027" s="3">
        <v>0</v>
      </c>
    </row>
    <row r="22028" ht="15.75" customHeight="1" spans="1:2">
      <c r="A22028" s="3" t="str">
        <f>IFERROR(__xludf.DUMMYFUNCTION("GOOGLETRANSLATE(A22028,""en"",""pt"")"),"Às vezes um pouco demasiado forte para as folhas de luz de papel.")</f>
        <v>Às vezes um pouco demasiado forte para as folhas de luz de papel.</v>
      </c>
      <c r="B22028" s="3">
        <v>0</v>
      </c>
    </row>
    <row r="22029" ht="15.75" customHeight="1" spans="1:2">
      <c r="A22029" s="3" t="str">
        <f>IFERROR(__xludf.DUMMYFUNCTION("GOOGLETRANSLATE(A22029,""en"",""pt"")"),"Extremamente pobre software, difícil de abortar trabalhos de impressão.")</f>
        <v>Extremamente pobre software, difícil de abortar trabalhos de impressão.</v>
      </c>
      <c r="B22029" s="3">
        <v>0</v>
      </c>
    </row>
    <row r="22030" ht="15.75" customHeight="1" spans="1:2">
      <c r="A22030" s="3" t="str">
        <f>IFERROR(__xludf.DUMMYFUNCTION("GOOGLETRANSLATE(A22030,""en"",""pt"")"),"Problemas com papel grosso")</f>
        <v>Problemas com papel grosso</v>
      </c>
      <c r="B22030" s="3">
        <v>0</v>
      </c>
    </row>
    <row r="22031" ht="15.75" customHeight="1" spans="1:2">
      <c r="A22031" s="3" t="str">
        <f>IFERROR(__xludf.DUMMYFUNCTION("GOOGLETRANSLATE(A22031,""en"",""pt"")"),"Preto é mais de um cinza muito, muito escuro. Grande pegada.")</f>
        <v>Preto é mais de um cinza muito, muito escuro. Grande pegada.</v>
      </c>
      <c r="B22031" s="3">
        <v>0</v>
      </c>
    </row>
    <row r="22032" ht="15.75" customHeight="1" spans="1:2">
      <c r="A22032" s="3" t="str">
        <f>IFERROR(__xludf.DUMMYFUNCTION("GOOGLETRANSLATE(A22032,""en"",""pt"")"),"Caro em comparação com outras impressoras")</f>
        <v>Caro em comparação com outras impressoras</v>
      </c>
      <c r="B22032" s="3">
        <v>0</v>
      </c>
    </row>
    <row r="22033" ht="15.75" customHeight="1" spans="1:2">
      <c r="A22033" s="3" t="str">
        <f>IFERROR(__xludf.DUMMYFUNCTION("GOOGLETRANSLATE(A22033,""en"",""pt"")"),"Lento")</f>
        <v>Lento</v>
      </c>
      <c r="B22033" s="3">
        <v>0</v>
      </c>
    </row>
    <row r="22034" ht="15.75" customHeight="1" spans="1:2">
      <c r="A22034" s="3" t="str">
        <f>IFERROR(__xludf.DUMMYFUNCTION("GOOGLETRANSLATE(A22034,""en"",""pt"")"),"Rápido, mas não rápido.")</f>
        <v>Rápido, mas não rápido.</v>
      </c>
      <c r="B22034" s="3">
        <v>0</v>
      </c>
    </row>
    <row r="22035" ht="15.75" customHeight="1" spans="1:2">
      <c r="A22035" s="3" t="str">
        <f>IFERROR(__xludf.DUMMYFUNCTION("GOOGLETRANSLATE(A22035,""en"",""pt"")"),"volumosos em tamanho devido ao tamanho de papel grande")</f>
        <v>volumosos em tamanho devido ao tamanho de papel grande</v>
      </c>
      <c r="B22035" s="3">
        <v>0</v>
      </c>
    </row>
    <row r="22036" ht="15.75" customHeight="1" spans="1:2">
      <c r="A22036" s="3" t="str">
        <f>IFERROR(__xludf.DUMMYFUNCTION("GOOGLETRANSLATE(A22036,""en"",""pt"")"),"Não encontrei qualquer ................... ainda.")</f>
        <v>Não encontrei qualquer ................... ainda.</v>
      </c>
      <c r="B22036" s="3">
        <v>0</v>
      </c>
    </row>
    <row r="22037" ht="15.75" customHeight="1" spans="1:2">
      <c r="A22037" s="3" t="str">
        <f>IFERROR(__xludf.DUMMYFUNCTION("GOOGLETRANSLATE(A22037,""en"",""pt"")"),"Nenhum que eu encontrei para este ponto")</f>
        <v>Nenhum que eu encontrei para este ponto</v>
      </c>
      <c r="B22037" s="3">
        <v>0</v>
      </c>
    </row>
    <row r="22038" ht="15.75" customHeight="1" spans="1:2">
      <c r="A22038" s="3" t="str">
        <f>IFERROR(__xludf.DUMMYFUNCTION("GOOGLETRANSLATE(A22038,""en"",""pt"")"),"não será facilmente sangrar até a borda inferior do papel")</f>
        <v>não será facilmente sangrar até a borda inferior do papel</v>
      </c>
      <c r="B22038" s="3">
        <v>0</v>
      </c>
    </row>
    <row r="22039" ht="15.75" customHeight="1" spans="1:2">
      <c r="A22039" s="3" t="str">
        <f>IFERROR(__xludf.DUMMYFUNCTION("GOOGLETRANSLATE(A22039,""en"",""pt"")"),"alimentações em branco irritantes, compotas em papel barato")</f>
        <v>alimentações em branco irritantes, compotas em papel barato</v>
      </c>
      <c r="B22039" s="3">
        <v>0</v>
      </c>
    </row>
    <row r="22040" ht="15.75" customHeight="1" spans="1:2">
      <c r="A22040" s="3" t="str">
        <f>IFERROR(__xludf.DUMMYFUNCTION("GOOGLETRANSLATE(A22040,""en"",""pt"")"),"Impressão rápida e precisa, versátil")</f>
        <v>Impressão rápida e precisa, versátil</v>
      </c>
      <c r="B22040" s="3">
        <v>0</v>
      </c>
    </row>
    <row r="22041" ht="15.75" customHeight="1" spans="1:2">
      <c r="A22041" s="3" t="str">
        <f>IFERROR(__xludf.DUMMYFUNCTION("GOOGLETRANSLATE(A22041,""en"",""pt"")"),"Nenhum se você tem espaço para um!")</f>
        <v>Nenhum se você tem espaço para um!</v>
      </c>
      <c r="B22041" s="3">
        <v>0</v>
      </c>
    </row>
    <row r="22042" ht="15.75" customHeight="1" spans="1:2">
      <c r="A22042" s="3" t="str">
        <f>IFERROR(__xludf.DUMMYFUNCTION("GOOGLETRANSLATE(A22042,""en"",""pt"")"),"questões menores sobre paperhandling com papel grosso.")</f>
        <v>questões menores sobre paperhandling com papel grosso.</v>
      </c>
      <c r="B22042" s="3">
        <v>0</v>
      </c>
    </row>
    <row r="22043" ht="15.75" customHeight="1" spans="1:2">
      <c r="A22043" s="3" t="str">
        <f>IFERROR(__xludf.DUMMYFUNCTION("GOOGLETRANSLATE(A22043,""en"",""pt"")"),"modo rápido é marginalmente barulhento.")</f>
        <v>modo rápido é marginalmente barulhento.</v>
      </c>
      <c r="B22043" s="3">
        <v>0</v>
      </c>
    </row>
    <row r="22044" ht="15.75" customHeight="1" spans="1:2">
      <c r="A22044" s="3" t="str">
        <f>IFERROR(__xludf.DUMMYFUNCTION("GOOGLETRANSLATE(A22044,""en"",""pt"")"),"cabo de alimentação curto, ocupa muito espaço na mesa")</f>
        <v>cabo de alimentação curto, ocupa muito espaço na mesa</v>
      </c>
      <c r="B22044" s="3">
        <v>0</v>
      </c>
    </row>
    <row r="22045" ht="15.75" customHeight="1" spans="1:2">
      <c r="A22045" s="3" t="str">
        <f>IFERROR(__xludf.DUMMYFUNCTION("GOOGLETRANSLATE(A22045,""en"",""pt"")"),"compatibilidade de formatos - problemas com arquivos EPS")</f>
        <v>compatibilidade de formatos - problemas com arquivos EPS</v>
      </c>
      <c r="B22045" s="3">
        <v>0</v>
      </c>
    </row>
    <row r="22046" ht="15.75" customHeight="1" spans="1:2">
      <c r="A22046" s="3" t="str">
        <f>IFERROR(__xludf.DUMMYFUNCTION("GOOGLETRANSLATE(A22046,""en"",""pt"")"),"Pode ser um pouco caro para alguns.")</f>
        <v>Pode ser um pouco caro para alguns.</v>
      </c>
      <c r="B22046" s="3">
        <v>0</v>
      </c>
    </row>
    <row r="22047" ht="15.75" customHeight="1" spans="1:2">
      <c r="A22047" s="3" t="str">
        <f>IFERROR(__xludf.DUMMYFUNCTION("GOOGLETRANSLATE(A22047,""en"",""pt"")"),"Nenhum até agora, exceto que é meio feio")</f>
        <v>Nenhum até agora, exceto que é meio feio</v>
      </c>
      <c r="B22047" s="3">
        <v>0</v>
      </c>
    </row>
    <row r="22048" ht="15.75" customHeight="1" spans="1:2">
      <c r="A22048" s="3" t="str">
        <f>IFERROR(__xludf.DUMMYFUNCTION("GOOGLETRANSLATE(A22048,""en"",""pt"")"),"barata feita, compotas, ocasionalmente,")</f>
        <v>barata feita, compotas, ocasionalmente,</v>
      </c>
      <c r="B22048" s="3">
        <v>0</v>
      </c>
    </row>
    <row r="22049" ht="15.75" customHeight="1" spans="1:2">
      <c r="A22049" s="3" t="str">
        <f>IFERROR(__xludf.DUMMYFUNCTION("GOOGLETRANSLATE(A22049,""en"",""pt"")"),"cartucho preto deve ser adquirido separadamente. De congestionamentos provável que apenas uma folha é alimentada em.")</f>
        <v>cartucho preto deve ser adquirido separadamente. De congestionamentos provável que apenas uma folha é alimentada em.</v>
      </c>
      <c r="B22049" s="3">
        <v>0</v>
      </c>
    </row>
    <row r="22050" ht="15.75" customHeight="1" spans="1:2">
      <c r="A22050" s="3" t="str">
        <f>IFERROR(__xludf.DUMMYFUNCTION("GOOGLETRANSLATE(A22050,""en"",""pt"")"),"Nenhum encontrado, no entanto, teve que jogar fora meu bom 4 em 1 hp .....")</f>
        <v>Nenhum encontrado, no entanto, teve que jogar fora meu bom 4 em 1 hp .....</v>
      </c>
      <c r="B22050" s="3">
        <v>0</v>
      </c>
    </row>
    <row r="22051" ht="15.75" customHeight="1" spans="1:2">
      <c r="A22051" s="3" t="str">
        <f>IFERROR(__xludf.DUMMYFUNCTION("GOOGLETRANSLATE(A22051,""en"",""pt"")"),"Parou de trabalhar um mês após garantia expirou.")</f>
        <v>Parou de trabalhar um mês após garantia expirou.</v>
      </c>
      <c r="B22051" s="3">
        <v>0</v>
      </c>
    </row>
    <row r="22052" ht="15.75" customHeight="1" spans="1:2">
      <c r="A22052" s="3" t="str">
        <f>IFERROR(__xludf.DUMMYFUNCTION("GOOGLETRANSLATE(A22052,""en"",""pt"")"),"Sem tinta preta, deve ser adquirido separadamente. Nenhum cabo USB 2.0 incluído, deve ser adquirido separadamente.")</f>
        <v>Sem tinta preta, deve ser adquirido separadamente. Nenhum cabo USB 2.0 incluído, deve ser adquirido separadamente.</v>
      </c>
      <c r="B22052" s="3">
        <v>0</v>
      </c>
    </row>
    <row r="22053" ht="15.75" customHeight="1" spans="1:2">
      <c r="A22053" s="3" t="str">
        <f>IFERROR(__xludf.DUMMYFUNCTION("GOOGLETRANSLATE(A22053,""en"",""pt"")"),"Às vezes tem tomada problemas em papel e agita muito quando se imprime")</f>
        <v>Às vezes tem tomada problemas em papel e agita muito quando se imprime</v>
      </c>
      <c r="B22053" s="3">
        <v>0</v>
      </c>
    </row>
    <row r="22054" ht="15.75" customHeight="1" spans="1:2">
      <c r="A22054" s="3" t="str">
        <f>IFERROR(__xludf.DUMMYFUNCTION("GOOGLETRANSLATE(A22054,""en"",""pt"")"),"Quebrou!!!")</f>
        <v>Quebrou!!!</v>
      </c>
      <c r="B22054" s="3">
        <v>0</v>
      </c>
    </row>
    <row r="22055" ht="15.75" customHeight="1" spans="1:2">
      <c r="A22055" s="3" t="str">
        <f>IFERROR(__xludf.DUMMYFUNCTION("GOOGLETRANSLATE(A22055,""en"",""pt"")"),"Caros cartuchos de tinta!")</f>
        <v>Caros cartuchos de tinta!</v>
      </c>
      <c r="B22055" s="3">
        <v>0</v>
      </c>
    </row>
    <row r="22056" ht="15.75" customHeight="1" spans="1:2">
      <c r="A22056" s="3" t="str">
        <f>IFERROR(__xludf.DUMMYFUNCTION("GOOGLETRANSLATE(A22056,""en"",""pt"")"),"Falha no projeto que faz com que a impressora para morrer em pouco tempo")</f>
        <v>Falha no projeto que faz com que a impressora para morrer em pouco tempo</v>
      </c>
      <c r="B22056" s="3">
        <v>0</v>
      </c>
    </row>
    <row r="22057" ht="15.75" customHeight="1" spans="1:2">
      <c r="A22057" s="3" t="str">
        <f>IFERROR(__xludf.DUMMYFUNCTION("GOOGLETRANSLATE(A22057,""en"",""pt"")"),"durou 5 meses, em seguida, quebrou. HOG tinta total !!!")</f>
        <v>durou 5 meses, em seguida, quebrou. HOG tinta total !!!</v>
      </c>
      <c r="B22057" s="3">
        <v>0</v>
      </c>
    </row>
    <row r="22058" ht="15.75" customHeight="1" spans="1:2">
      <c r="A22058" s="3" t="str">
        <f>IFERROR(__xludf.DUMMYFUNCTION("GOOGLETRANSLATE(A22058,""en"",""pt"")"),"nenhum ainda")</f>
        <v>nenhum ainda</v>
      </c>
      <c r="B22058" s="3">
        <v>0</v>
      </c>
    </row>
    <row r="22059" ht="15.75" customHeight="1" spans="1:2">
      <c r="A22059" s="3" t="str">
        <f>IFERROR(__xludf.DUMMYFUNCTION("GOOGLETRANSLATE(A22059,""en"",""pt"")"),"Nenhum")</f>
        <v>Nenhum</v>
      </c>
      <c r="B22059" s="3">
        <v>0</v>
      </c>
    </row>
    <row r="22060" ht="15.75" customHeight="1" spans="1:2">
      <c r="A22060" s="3" t="str">
        <f>IFERROR(__xludf.DUMMYFUNCTION("GOOGLETRANSLATE(A22060,""en"",""pt"")"),"design de hardware pobres, funções de software pobres. tintas caros e baixa taxa de páginas / cartucho")</f>
        <v>design de hardware pobres, funções de software pobres. tintas caros e baixa taxa de páginas / cartucho</v>
      </c>
      <c r="B22060" s="3">
        <v>0</v>
      </c>
    </row>
    <row r="22061" ht="15.75" customHeight="1" spans="1:2">
      <c r="A22061" s="3" t="str">
        <f>IFERROR(__xludf.DUMMYFUNCTION("GOOGLETRANSLATE(A22061,""en"",""pt"")"),"Os custos de manutenção, a colaboração")</f>
        <v>Os custos de manutenção, a colaboração</v>
      </c>
      <c r="B22061" s="3">
        <v>0</v>
      </c>
    </row>
    <row r="22062" ht="15.75" customHeight="1" spans="1:2">
      <c r="A22062" s="3" t="str">
        <f>IFERROR(__xludf.DUMMYFUNCTION("GOOGLETRANSLATE(A22062,""en"",""pt"")"),"Frágil, caro manter substituindo tinta")</f>
        <v>Frágil, caro manter substituindo tinta</v>
      </c>
      <c r="B22062" s="3">
        <v>0</v>
      </c>
    </row>
    <row r="22063" ht="15.75" customHeight="1" spans="1:2">
      <c r="A22063" s="3" t="str">
        <f>IFERROR(__xludf.DUMMYFUNCTION("GOOGLETRANSLATE(A22063,""en"",""pt"")"),"nenhum ainda")</f>
        <v>nenhum ainda</v>
      </c>
      <c r="B22063" s="3">
        <v>0</v>
      </c>
    </row>
    <row r="22064" ht="15.75" customHeight="1" spans="1:2">
      <c r="A22064" s="3" t="str">
        <f>IFERROR(__xludf.DUMMYFUNCTION("GOOGLETRANSLATE(A22064,""en"",""pt"")"),"surpreendentemente alto")</f>
        <v>surpreendentemente alto</v>
      </c>
      <c r="B22064" s="3">
        <v>0</v>
      </c>
    </row>
    <row r="22065" ht="15.75" customHeight="1" spans="1:2">
      <c r="A22065" s="3" t="str">
        <f>IFERROR(__xludf.DUMMYFUNCTION("GOOGLETRANSLATE(A22065,""en"",""pt"")"),"nenhum ainda")</f>
        <v>nenhum ainda</v>
      </c>
      <c r="B22065" s="3">
        <v>0</v>
      </c>
    </row>
    <row r="22066" ht="15.75" customHeight="1" spans="1:2">
      <c r="A22066" s="3" t="str">
        <f>IFERROR(__xludf.DUMMYFUNCTION("GOOGLETRANSLATE(A22066,""en"",""pt"")"),"tinta preta não é impermeável, não modo de escala de cinzentos.")</f>
        <v>tinta preta não é impermeável, não modo de escala de cinzentos.</v>
      </c>
      <c r="B22066" s="3">
        <v>0</v>
      </c>
    </row>
    <row r="22067" ht="15.75" customHeight="1" spans="1:2">
      <c r="A22067" s="3" t="str">
        <f>IFERROR(__xludf.DUMMYFUNCTION("GOOGLETRANSLATE(A22067,""en"",""pt"")"),", cartuchos de re-enchimento a un PEQUENAS de jacto de tinta.")</f>
        <v>, cartuchos de re-enchimento a un PEQUENAS de jacto de tinta.</v>
      </c>
      <c r="B22067" s="3">
        <v>0</v>
      </c>
    </row>
    <row r="22068" ht="15.75" customHeight="1" spans="1:2">
      <c r="A22068" s="3" t="str">
        <f>IFERROR(__xludf.DUMMYFUNCTION("GOOGLETRANSLATE(A22068,""en"",""pt"")"),"não imprime às vezes, inclusive no momento. Faz um ruído de roda e manchas de tinta.")</f>
        <v>não imprime às vezes, inclusive no momento. Faz um ruído de roda e manchas de tinta.</v>
      </c>
      <c r="B22068" s="3">
        <v>0</v>
      </c>
    </row>
    <row r="22069" ht="15.75" customHeight="1" spans="1:2">
      <c r="A22069" s="3" t="str">
        <f>IFERROR(__xludf.DUMMYFUNCTION("GOOGLETRANSLATE(A22069,""en"",""pt"")"),"design barato / hardware, peças móveis realmente se soltou e caiu.")</f>
        <v>design barato / hardware, peças móveis realmente se soltou e caiu.</v>
      </c>
      <c r="B22069" s="3">
        <v>0</v>
      </c>
    </row>
    <row r="22070" ht="15.75" customHeight="1" spans="1:2">
      <c r="A22070" s="3" t="str">
        <f>IFERROR(__xludf.DUMMYFUNCTION("GOOGLETRANSLATE(A22070,""en"",""pt"")"),"driver do Windows tem problema, tinta Catridge parecem não ter vida longa.")</f>
        <v>driver do Windows tem problema, tinta Catridge parecem não ter vida longa.</v>
      </c>
      <c r="B22070" s="3">
        <v>0</v>
      </c>
    </row>
    <row r="22071" ht="15.75" customHeight="1" spans="1:2">
      <c r="A22071" s="3" t="str">
        <f>IFERROR(__xludf.DUMMYFUNCTION("GOOGLETRANSLATE(A22071,""en"",""pt"")"),"Nenhum mesmo")</f>
        <v>Nenhum mesmo</v>
      </c>
      <c r="B22071" s="3">
        <v>0</v>
      </c>
    </row>
    <row r="22072" ht="15.75" customHeight="1" spans="1:2">
      <c r="A22072" s="3" t="str">
        <f>IFERROR(__xludf.DUMMYFUNCTION("GOOGLETRANSLATE(A22072,""en"",""pt"")"),"Não realmente 'foto-qualidade'")</f>
        <v>Não realmente 'foto-qualidade'</v>
      </c>
      <c r="B22072" s="3">
        <v>0</v>
      </c>
    </row>
    <row r="22073" ht="15.75" customHeight="1" spans="1:2">
      <c r="A22073" s="3" t="str">
        <f>IFERROR(__xludf.DUMMYFUNCTION("GOOGLETRANSLATE(A22073,""en"",""pt"")"),"Não encontrei qualquer ainda ...")</f>
        <v>Não encontrei qualquer ainda ...</v>
      </c>
      <c r="B22073" s="3">
        <v>0</v>
      </c>
    </row>
    <row r="22074" ht="15.75" customHeight="1" spans="1:2">
      <c r="A22074" s="3" t="str">
        <f>IFERROR(__xludf.DUMMYFUNCTION("GOOGLETRANSLATE(A22074,""en"",""pt"")"),"Pior custo operacional de qualquer impressora no mercado: # 15 cartucho é uma farsa # 45.")</f>
        <v>Pior custo operacional de qualquer impressora no mercado: # 15 cartucho é uma farsa # 45.</v>
      </c>
      <c r="B22074" s="3">
        <v>0</v>
      </c>
    </row>
    <row r="22075" ht="15.75" customHeight="1" spans="1:2">
      <c r="A22075" s="3" t="str">
        <f>IFERROR(__xludf.DUMMYFUNCTION("GOOGLETRANSLATE(A22075,""en"",""pt"")"),"Nenhum slot foto 4x6, com esta qualidade de impressão, ela deve estar lá!")</f>
        <v>Nenhum slot foto 4x6, com esta qualidade de impressão, ela deve estar lá!</v>
      </c>
      <c r="B22075" s="3">
        <v>0</v>
      </c>
    </row>
    <row r="22076" ht="15.75" customHeight="1" spans="1:2">
      <c r="A22076" s="3" t="str">
        <f>IFERROR(__xludf.DUMMYFUNCTION("GOOGLETRANSLATE(A22076,""en"",""pt"")"),"Ocasionalmente não será impresso ou ignora páginas")</f>
        <v>Ocasionalmente não será impresso ou ignora páginas</v>
      </c>
      <c r="B22076" s="3">
        <v>0</v>
      </c>
    </row>
    <row r="22077" ht="15.75" customHeight="1" spans="1:2">
      <c r="A22077" s="3" t="str">
        <f>IFERROR(__xludf.DUMMYFUNCTION("GOOGLETRANSLATE(A22077,""en"",""pt"")"),"Não consigo pensar em nenhum.")</f>
        <v>Não consigo pensar em nenhum.</v>
      </c>
      <c r="B22077" s="3">
        <v>0</v>
      </c>
    </row>
    <row r="22078" ht="15.75" customHeight="1" spans="1:2">
      <c r="A22078" s="3" t="str">
        <f>IFERROR(__xludf.DUMMYFUNCTION("GOOGLETRANSLATE(A22078,""en"",""pt"")"),"Não real de 4800 dpi! (É quase impossível)")</f>
        <v>Não real de 4800 dpi! (É quase impossível)</v>
      </c>
      <c r="B22078" s="3">
        <v>0</v>
      </c>
    </row>
    <row r="22079" ht="15.75" customHeight="1" spans="1:2">
      <c r="A22079" s="3" t="str">
        <f>IFERROR(__xludf.DUMMYFUNCTION("GOOGLETRANSLATE(A22079,""en"",""pt"")"),"Nada até agora.")</f>
        <v>Nada até agora.</v>
      </c>
      <c r="B22079" s="3">
        <v>0</v>
      </c>
    </row>
    <row r="22080" ht="15.75" customHeight="1" spans="1:2">
      <c r="A22080" s="3" t="str">
        <f>IFERROR(__xludf.DUMMYFUNCTION("GOOGLETRANSLATE(A22080,""en"",""pt"")"),"não vem com o cabo USB para a instalação, deve ser comprado separadamente")</f>
        <v>não vem com o cabo USB para a instalação, deve ser comprado separadamente</v>
      </c>
      <c r="B22080" s="3">
        <v>0</v>
      </c>
    </row>
    <row r="22081" ht="15.75" customHeight="1" spans="1:2">
      <c r="A22081" s="3" t="str">
        <f>IFERROR(__xludf.DUMMYFUNCTION("GOOGLETRANSLATE(A22081,""en"",""pt"")"),"PESADO!")</f>
        <v>PESADO!</v>
      </c>
      <c r="B22081" s="3">
        <v>0</v>
      </c>
    </row>
    <row r="22082" ht="15.75" customHeight="1" spans="1:2">
      <c r="A22082" s="3" t="str">
        <f>IFERROR(__xludf.DUMMYFUNCTION("GOOGLETRANSLATE(A22082,""en"",""pt"")"),"A tinta é também extremamente caros !!!")</f>
        <v>A tinta é também extremamente caros !!!</v>
      </c>
      <c r="B22082" s="3">
        <v>0</v>
      </c>
    </row>
    <row r="22083" ht="15.75" customHeight="1" spans="1:2">
      <c r="A22083" s="3" t="str">
        <f>IFERROR(__xludf.DUMMYFUNCTION("GOOGLETRANSLATE(A22083,""en"",""pt"")"),"Não muito alto, mas não o mais silencioso também.")</f>
        <v>Não muito alto, mas não o mais silencioso também.</v>
      </c>
      <c r="B22083" s="3">
        <v>0</v>
      </c>
    </row>
    <row r="22084" ht="15.75" customHeight="1" spans="1:2">
      <c r="A22084" s="3" t="str">
        <f>IFERROR(__xludf.DUMMYFUNCTION("GOOGLETRANSLATE(A22084,""en"",""pt"")"),"Não é o melhor produto HP!")</f>
        <v>Não é o melhor produto HP!</v>
      </c>
      <c r="B22084" s="3">
        <v>0</v>
      </c>
    </row>
    <row r="22085" ht="15.75" customHeight="1" spans="1:2">
      <c r="A22085" s="3" t="str">
        <f>IFERROR(__xludf.DUMMYFUNCTION("GOOGLETRANSLATE(A22085,""en"",""pt"")"),"Um pouco barulhento quando ajustando-se")</f>
        <v>Um pouco barulhento quando ajustando-se</v>
      </c>
      <c r="B22085" s="3">
        <v>0</v>
      </c>
    </row>
    <row r="22086" ht="15.75" customHeight="1" spans="1:2">
      <c r="A22086" s="3" t="str">
        <f>IFERROR(__xludf.DUMMYFUNCTION("GOOGLETRANSLATE(A22086,""en"",""pt"")"),"carregamento de papel é uma delicada pouco, * A impressora CD Software")</f>
        <v>carregamento de papel é uma delicada pouco, * A impressora CD Software</v>
      </c>
      <c r="B22086" s="3">
        <v>0</v>
      </c>
    </row>
    <row r="22087" ht="15.75" customHeight="1" spans="1:2">
      <c r="A22087" s="3" t="str">
        <f>IFERROR(__xludf.DUMMYFUNCTION("GOOGLETRANSLATE(A22087,""en"",""pt"")"),"Ficar sem tinta rapidamente")</f>
        <v>Ficar sem tinta rapidamente</v>
      </c>
      <c r="B22087" s="3">
        <v>0</v>
      </c>
    </row>
    <row r="22088" ht="15.75" customHeight="1" spans="1:2">
      <c r="A22088" s="3" t="str">
        <f>IFERROR(__xludf.DUMMYFUNCTION("GOOGLETRANSLATE(A22088,""en"",""pt"")"),"grande, design, nenhum cabo usb")</f>
        <v>grande, design, nenhum cabo usb</v>
      </c>
      <c r="B22088" s="3">
        <v>0</v>
      </c>
    </row>
    <row r="22089" ht="15.75" customHeight="1" spans="1:2">
      <c r="A22089" s="3" t="str">
        <f>IFERROR(__xludf.DUMMYFUNCTION("GOOGLETRANSLATE(A22089,""en"",""pt"")"),"Lento para começar. software inchado.")</f>
        <v>Lento para começar. software inchado.</v>
      </c>
      <c r="B22089" s="3">
        <v>0</v>
      </c>
    </row>
    <row r="22090" ht="15.75" customHeight="1" spans="1:2">
      <c r="A22090" s="3" t="str">
        <f>IFERROR(__xludf.DUMMYFUNCTION("GOOGLETRANSLATE(A22090,""en"",""pt"")"),"velocidades de impressão mais lento do que a oposição, Tinta carrinhos caro")</f>
        <v>velocidades de impressão mais lento do que a oposição, Tinta carrinhos caro</v>
      </c>
      <c r="B22090" s="3">
        <v>0</v>
      </c>
    </row>
    <row r="22091" ht="15.75" customHeight="1" spans="1:2">
      <c r="A22091" s="3" t="str">
        <f>IFERROR(__xludf.DUMMYFUNCTION("GOOGLETRANSLATE(A22091,""en"",""pt"")"),"lentos, páginas molhadas sair da impressora.")</f>
        <v>lentos, páginas molhadas sair da impressora.</v>
      </c>
      <c r="B22091" s="3">
        <v>0</v>
      </c>
    </row>
    <row r="22092" ht="15.75" customHeight="1" spans="1:2">
      <c r="A22092" s="3" t="str">
        <f>IFERROR(__xludf.DUMMYFUNCTION("GOOGLETRANSLATE(A22092,""en"",""pt"")"),"Rápido desbotamento em determinados papéis se deixados desprotegidos. As dificuldades com a carga de papel.")</f>
        <v>Rápido desbotamento em determinados papéis se deixados desprotegidos. As dificuldades com a carga de papel.</v>
      </c>
      <c r="B22092" s="3">
        <v>0</v>
      </c>
    </row>
    <row r="22093" ht="15.75" customHeight="1" spans="1:2">
      <c r="A22093" s="3" t="str">
        <f>IFERROR(__xludf.DUMMYFUNCTION("GOOGLETRANSLATE(A22093,""en"",""pt"")"),"caro tinta.")</f>
        <v>caro tinta.</v>
      </c>
      <c r="B22093" s="3">
        <v>0</v>
      </c>
    </row>
    <row r="22094" ht="15.75" customHeight="1" spans="1:2">
      <c r="A22094" s="3" t="str">
        <f>IFERROR(__xludf.DUMMYFUNCTION("GOOGLETRANSLATE(A22094,""en"",""pt"")"),"Barulhento, um pouco confuso para configurar.")</f>
        <v>Barulhento, um pouco confuso para configurar.</v>
      </c>
      <c r="B22094" s="3">
        <v>0</v>
      </c>
    </row>
    <row r="22095" ht="15.75" customHeight="1" spans="1:2">
      <c r="A22095" s="3" t="str">
        <f>IFERROR(__xludf.DUMMYFUNCTION("GOOGLETRANSLATE(A22095,""en"",""pt"")"),"Alto, não uma impressora Photo Quality, No cabo de impressora.")</f>
        <v>Alto, não uma impressora Photo Quality, No cabo de impressora.</v>
      </c>
      <c r="B22095" s="3">
        <v>0</v>
      </c>
    </row>
    <row r="22096" ht="15.75" customHeight="1" spans="1:2">
      <c r="A22096" s="3" t="str">
        <f>IFERROR(__xludf.DUMMYFUNCTION("GOOGLETRANSLATE(A22096,""en"",""pt"")"),"Nenhum")</f>
        <v>Nenhum</v>
      </c>
      <c r="B22096" s="3">
        <v>0</v>
      </c>
    </row>
    <row r="22097" ht="15.75" customHeight="1" spans="1:2">
      <c r="A22097" s="3" t="str">
        <f>IFERROR(__xludf.DUMMYFUNCTION("GOOGLETRANSLATE(A22097,""en"",""pt"")"),"A qualidade de impressão é menor a menos que usando papel caro")</f>
        <v>A qualidade de impressão é menor a menos que usando papel caro</v>
      </c>
      <c r="B22097" s="3">
        <v>0</v>
      </c>
    </row>
    <row r="22098" ht="15.75" customHeight="1" spans="1:2">
      <c r="A22098" s="3" t="str">
        <f>IFERROR(__xludf.DUMMYFUNCTION("GOOGLETRANSLATE(A22098,""en"",""pt"")"),"baixo dpi, Prints lento, Un-confiável")</f>
        <v>baixo dpi, Prints lento, Un-confiável</v>
      </c>
      <c r="B22098" s="3">
        <v>0</v>
      </c>
    </row>
    <row r="22099" ht="15.75" customHeight="1" spans="1:2">
      <c r="A22099" s="3" t="str">
        <f>IFERROR(__xludf.DUMMYFUNCTION("GOOGLETRANSLATE(A22099,""en"",""pt"")"),"parece que não pode mudar a cor ....")</f>
        <v>parece que não pode mudar a cor ....</v>
      </c>
      <c r="B22099" s="3">
        <v>0</v>
      </c>
    </row>
    <row r="22100" ht="15.75" customHeight="1" spans="1:2">
      <c r="A22100" s="3" t="str">
        <f>IFERROR(__xludf.DUMMYFUNCTION("GOOGLETRANSLATE(A22100,""en"",""pt"")"),"Baixa resolução")</f>
        <v>Baixa resolução</v>
      </c>
      <c r="B22100" s="3">
        <v>0</v>
      </c>
    </row>
    <row r="22101" ht="15.75" customHeight="1" spans="1:2">
      <c r="A22101" s="3" t="str">
        <f>IFERROR(__xludf.DUMMYFUNCTION("GOOGLETRANSLATE(A22101,""en"",""pt"")"),"muito devagar")</f>
        <v>muito devagar</v>
      </c>
      <c r="B22101" s="3">
        <v>0</v>
      </c>
    </row>
    <row r="22102" ht="15.75" customHeight="1" spans="1:2">
      <c r="A22102" s="3" t="str">
        <f>IFERROR(__xludf.DUMMYFUNCTION("GOOGLETRANSLATE(A22102,""en"",""pt"")"),"lento, má qualidade, má alimentação de papel, caro no longo prazo")</f>
        <v>lento, má qualidade, má alimentação de papel, caro no longo prazo</v>
      </c>
      <c r="B22102" s="3">
        <v>0</v>
      </c>
    </row>
    <row r="22103" ht="15.75" customHeight="1" spans="1:2">
      <c r="A22103" s="3" t="str">
        <f>IFERROR(__xludf.DUMMYFUNCTION("GOOGLETRANSLATE(A22103,""en"",""pt"")"),"Jams / usa muita tinta")</f>
        <v>Jams / usa muita tinta</v>
      </c>
      <c r="B22103" s="3">
        <v>0</v>
      </c>
    </row>
    <row r="22104" ht="15.75" customHeight="1" spans="1:2">
      <c r="A22104" s="3" t="str">
        <f>IFERROR(__xludf.DUMMYFUNCTION("GOOGLETRANSLATE(A22104,""en"",""pt"")"),"Alterar os cartuchos para / cor preta, lento")</f>
        <v>Alterar os cartuchos para / cor preta, lento</v>
      </c>
      <c r="B22104" s="3">
        <v>0</v>
      </c>
    </row>
    <row r="22105" ht="15.75" customHeight="1" spans="1:2">
      <c r="A22105" s="3" t="str">
        <f>IFERROR(__xludf.DUMMYFUNCTION("GOOGLETRANSLATE(A22105,""en"",""pt"")"),"texto de baixa resolução, cor pálida, lento")</f>
        <v>texto de baixa resolução, cor pálida, lento</v>
      </c>
      <c r="B22105" s="3">
        <v>0</v>
      </c>
    </row>
    <row r="22106" ht="15.75" customHeight="1" spans="1:2">
      <c r="A22106" s="3" t="str">
        <f>IFERROR(__xludf.DUMMYFUNCTION("GOOGLETRANSLATE(A22106,""en"",""pt"")"),"tinta acabar, por vezes, envelope configurações errado")</f>
        <v>tinta acabar, por vezes, envelope configurações errado</v>
      </c>
      <c r="B22106" s="3">
        <v>0</v>
      </c>
    </row>
    <row r="22107" ht="15.75" customHeight="1" spans="1:2">
      <c r="A22107" s="3" t="str">
        <f>IFERROR(__xludf.DUMMYFUNCTION("GOOGLETRANSLATE(A22107,""en"",""pt"")"),"impressão de baixa qualidade")</f>
        <v>impressão de baixa qualidade</v>
      </c>
      <c r="B22107" s="3">
        <v>0</v>
      </c>
    </row>
    <row r="22108" ht="15.75" customHeight="1" spans="1:2">
      <c r="A22108" s="3" t="str">
        <f>IFERROR(__xludf.DUMMYFUNCTION("GOOGLETRANSLATE(A22108,""en"",""pt"")"),"cartuchos de cor são de alto custo")</f>
        <v>cartuchos de cor são de alto custo</v>
      </c>
      <c r="B22108" s="3">
        <v>0</v>
      </c>
    </row>
    <row r="22109" ht="15.75" customHeight="1" spans="1:2">
      <c r="A22109" s="3" t="str">
        <f>IFERROR(__xludf.DUMMYFUNCTION("GOOGLETRANSLATE(A22109,""en"",""pt"")"),"como sempre mais caro do que linhas comparáveis")</f>
        <v>como sempre mais caro do que linhas comparáveis</v>
      </c>
      <c r="B22109" s="3">
        <v>0</v>
      </c>
    </row>
    <row r="22110" ht="15.75" customHeight="1" spans="1:2">
      <c r="A22110" s="3" t="str">
        <f>IFERROR(__xludf.DUMMYFUNCTION("GOOGLETRANSLATE(A22110,""en"",""pt"")"),"não funciona somtimes")</f>
        <v>não funciona somtimes</v>
      </c>
      <c r="B22110" s="3">
        <v>0</v>
      </c>
    </row>
    <row r="22111" ht="15.75" customHeight="1" spans="1:2">
      <c r="A22111" s="3" t="str">
        <f>IFERROR(__xludf.DUMMYFUNCTION("GOOGLETRANSLATE(A22111,""en"",""pt"")"),"Preto ou cor de impressão")</f>
        <v>Preto ou cor de impressão</v>
      </c>
      <c r="B22111" s="3">
        <v>0</v>
      </c>
    </row>
    <row r="22112" ht="15.75" customHeight="1" spans="1:2">
      <c r="A22112" s="3" t="str">
        <f>IFERROR(__xludf.DUMMYFUNCTION("GOOGLETRANSLATE(A22112,""en"",""pt"")"),"tudo o mais é melhor")</f>
        <v>tudo o mais é melhor</v>
      </c>
      <c r="B22112" s="3">
        <v>0</v>
      </c>
    </row>
    <row r="22113" ht="15.75" customHeight="1" spans="1:2">
      <c r="A22113" s="3" t="str">
        <f>IFERROR(__xludf.DUMMYFUNCTION("GOOGLETRANSLATE(A22113,""en"",""pt"")"),"compotas, às vezes se o papel não está em linha reta")</f>
        <v>compotas, às vezes se o papel não está em linha reta</v>
      </c>
      <c r="B22113" s="3">
        <v>0</v>
      </c>
    </row>
    <row r="22114" ht="15.75" customHeight="1" spans="1:2">
      <c r="A22114" s="3" t="str">
        <f>IFERROR(__xludf.DUMMYFUNCTION("GOOGLETRANSLATE(A22114,""en"",""pt"")"),"atolamentos de papel mais frequentemente do que a quantidade de impressões feitas!")</f>
        <v>atolamentos de papel mais frequentemente do que a quantidade de impressões feitas!</v>
      </c>
      <c r="B22114" s="3">
        <v>0</v>
      </c>
    </row>
    <row r="22115" ht="15.75" customHeight="1" spans="1:2">
      <c r="A22115" s="3" t="str">
        <f>IFERROR(__xludf.DUMMYFUNCTION("GOOGLETRANSLATE(A22115,""en"",""pt"")"),"Nenhum ainda.")</f>
        <v>Nenhum ainda.</v>
      </c>
      <c r="B22115" s="3">
        <v>0</v>
      </c>
    </row>
    <row r="22116" ht="15.75" customHeight="1" spans="1:2">
      <c r="A22116" s="3" t="str">
        <f>IFERROR(__xludf.DUMMYFUNCTION("GOOGLETRANSLATE(A22116,""en"",""pt"")"),"custos de tinta caros !, parece ocupar mais espaço na mesa por causa do design do UFO")</f>
        <v>custos de tinta caros !, parece ocupar mais espaço na mesa por causa do design do UFO</v>
      </c>
      <c r="B22116" s="3">
        <v>0</v>
      </c>
    </row>
    <row r="22117" ht="15.75" customHeight="1" spans="1:2">
      <c r="A22117" s="3" t="str">
        <f>IFERROR(__xludf.DUMMYFUNCTION("GOOGLETRANSLATE(A22117,""en"",""pt"")"),"É um pouco irritante que você tem que mudar cartucho para impressões de fotografias.")</f>
        <v>É um pouco irritante que você tem que mudar cartucho para impressões de fotografias.</v>
      </c>
      <c r="B22117" s="3">
        <v>0</v>
      </c>
    </row>
    <row r="22118" ht="15.75" customHeight="1" spans="1:2">
      <c r="A22118" s="3" t="str">
        <f>IFERROR(__xludf.DUMMYFUNCTION("GOOGLETRANSLATE(A22118,""en"",""pt"")"),"Adicionando papel poderia ser mais fácil")</f>
        <v>Adicionando papel poderia ser mais fácil</v>
      </c>
      <c r="B22118" s="3">
        <v>0</v>
      </c>
    </row>
    <row r="22119" ht="15.75" customHeight="1" spans="1:2">
      <c r="A22119" s="3" t="str">
        <f>IFERROR(__xludf.DUMMYFUNCTION("GOOGLETRANSLATE(A22119,""en"",""pt"")"),"sistema de cartucho, design frágil.")</f>
        <v>sistema de cartucho, design frágil.</v>
      </c>
      <c r="B22119" s="3">
        <v>0</v>
      </c>
    </row>
    <row r="22120" ht="15.75" customHeight="1" spans="1:2">
      <c r="A22120" s="3" t="str">
        <f>IFERROR(__xludf.DUMMYFUNCTION("GOOGLETRANSLATE(A22120,""en"",""pt"")"),"Não são muitos: plástico Frágil, instalar rede pateta, alinhamento crítica dura")</f>
        <v>Não são muitos: plástico Frágil, instalar rede pateta, alinhamento crítica dura</v>
      </c>
      <c r="B22120" s="3">
        <v>0</v>
      </c>
    </row>
    <row r="22121" ht="15.75" customHeight="1" spans="1:2">
      <c r="A22121" s="3" t="str">
        <f>IFERROR(__xludf.DUMMYFUNCTION("GOOGLETRANSLATE(A22121,""en"",""pt"")"),"Grande pegada, Win2000 buggy, sem cabos")</f>
        <v>Grande pegada, Win2000 buggy, sem cabos</v>
      </c>
      <c r="B22121" s="3">
        <v>0</v>
      </c>
    </row>
    <row r="22122" ht="15.75" customHeight="1" spans="1:2">
      <c r="A22122" s="3" t="str">
        <f>IFERROR(__xludf.DUMMYFUNCTION("GOOGLETRANSLATE(A22122,""en"",""pt"")"),"Você tem que trocar os cartuchos preto e fotográfico, que vão no mesmo slot")</f>
        <v>Você tem que trocar os cartuchos preto e fotográfico, que vão no mesmo slot</v>
      </c>
      <c r="B22122" s="3">
        <v>0</v>
      </c>
    </row>
    <row r="22123" ht="15.75" customHeight="1" spans="1:2">
      <c r="A22123" s="3" t="str">
        <f>IFERROR(__xludf.DUMMYFUNCTION("GOOGLETRANSLATE(A22123,""en"",""pt"")"),"Não são muitos: plástico Frágil, instalar rede pateta, alinhamento crítica dura")</f>
        <v>Não são muitos: plástico Frágil, instalar rede pateta, alinhamento crítica dura</v>
      </c>
      <c r="B22123" s="3">
        <v>0</v>
      </c>
    </row>
    <row r="22124" ht="15.75" customHeight="1" spans="1:2">
      <c r="A22124" s="3" t="str">
        <f>IFERROR(__xludf.DUMMYFUNCTION("GOOGLETRANSLATE(A22124,""en"",""pt"")"),"Big, bandeja de saída frágil, sem cabo USB incluído")</f>
        <v>Big, bandeja de saída frágil, sem cabo USB incluído</v>
      </c>
      <c r="B22124" s="3">
        <v>0</v>
      </c>
    </row>
    <row r="22125" ht="15.75" customHeight="1" spans="1:2">
      <c r="A22125" s="3" t="str">
        <f>IFERROR(__xludf.DUMMYFUNCTION("GOOGLETRANSLATE(A22125,""en"",""pt"")"),"Cartuchos de tinta pequeno e pouco dispendioso.")</f>
        <v>Cartuchos de tinta pequeno e pouco dispendioso.</v>
      </c>
      <c r="B22125" s="3">
        <v>0</v>
      </c>
    </row>
    <row r="22126" ht="15.75" customHeight="1" spans="1:2">
      <c r="A22126" s="3" t="str">
        <f>IFERROR(__xludf.DUMMYFUNCTION("GOOGLETRANSLATE(A22126,""en"",""pt"")"),"preço do cartucho")</f>
        <v>preço do cartucho</v>
      </c>
      <c r="B22126" s="3">
        <v>0</v>
      </c>
    </row>
    <row r="22127" ht="15.75" customHeight="1" spans="1:2">
      <c r="A22127" s="3" t="str">
        <f>IFERROR(__xludf.DUMMYFUNCTION("GOOGLETRANSLATE(A22127,""en"",""pt"")"),"cartucho preto não dedicado com o cartucho fotográfico, tinta caro")</f>
        <v>cartucho preto não dedicado com o cartucho fotográfico, tinta caro</v>
      </c>
      <c r="B22127" s="3">
        <v>0</v>
      </c>
    </row>
    <row r="22128" ht="15.75" customHeight="1" spans="1:2">
      <c r="A22128" s="3" t="str">
        <f>IFERROR(__xludf.DUMMYFUNCTION("GOOGLETRANSLATE(A22128,""en"",""pt"")"),"Os cartuchos de tinta mais pequena, mas ainda caro. Ligeiramente frágil.")</f>
        <v>Os cartuchos de tinta mais pequena, mas ainda caro. Ligeiramente frágil.</v>
      </c>
      <c r="B22128" s="3">
        <v>0</v>
      </c>
    </row>
    <row r="22129" ht="15.75" customHeight="1" spans="1:2">
      <c r="A22129" s="3" t="str">
        <f>IFERROR(__xludf.DUMMYFUNCTION("GOOGLETRANSLATE(A22129,""en"",""pt"")"),"preços íngremes para cartuchos de tinta de substituição.")</f>
        <v>preços íngremes para cartuchos de tinta de substituição.</v>
      </c>
      <c r="B22129" s="3">
        <v>0</v>
      </c>
    </row>
    <row r="22130" ht="15.75" customHeight="1" spans="1:2">
      <c r="A22130" s="3" t="str">
        <f>IFERROR(__xludf.DUMMYFUNCTION("GOOGLETRANSLATE(A22130,""en"",""pt"")"),"Caros cartuchos de tinta")</f>
        <v>Caros cartuchos de tinta</v>
      </c>
      <c r="B22130" s="3">
        <v>0</v>
      </c>
    </row>
    <row r="22131" ht="15.75" customHeight="1" spans="1:2">
      <c r="A22131" s="3" t="str">
        <f>IFERROR(__xludf.DUMMYFUNCTION("GOOGLETRANSLATE(A22131,""en"",""pt"")"),"consumíveis caros, como a maioria dos jatos de tinta")</f>
        <v>consumíveis caros, como a maioria dos jatos de tinta</v>
      </c>
      <c r="B22131" s="3">
        <v>0</v>
      </c>
    </row>
    <row r="22132" ht="15.75" customHeight="1" spans="1:2">
      <c r="A22132" s="3" t="str">
        <f>IFERROR(__xludf.DUMMYFUNCTION("GOOGLETRANSLATE(A22132,""en"",""pt"")"),"carregamento de papel é difícil")</f>
        <v>carregamento de papel é difícil</v>
      </c>
      <c r="B22132" s="3">
        <v>0</v>
      </c>
    </row>
    <row r="22133" ht="15.75" customHeight="1" spans="1:2">
      <c r="A22133" s="3" t="str">
        <f>IFERROR(__xludf.DUMMYFUNCTION("GOOGLETRANSLATE(A22133,""en"",""pt"")"),"Os cartuchos de tinta são bastante pequenas, anunciado PPM é mais lento do que real.")</f>
        <v>Os cartuchos de tinta são bastante pequenas, anunciado PPM é mais lento do que real.</v>
      </c>
      <c r="B22133" s="3">
        <v>0</v>
      </c>
    </row>
    <row r="22134" ht="15.75" customHeight="1" spans="1:2">
      <c r="A22134" s="3" t="str">
        <f>IFERROR(__xludf.DUMMYFUNCTION("GOOGLETRANSLATE(A22134,""en"",""pt"")"),"faltando motorista maçã, nenhum cabo USB incluído")</f>
        <v>faltando motorista maçã, nenhum cabo USB incluído</v>
      </c>
      <c r="B22134" s="3">
        <v>0</v>
      </c>
    </row>
    <row r="22135" ht="15.75" customHeight="1" spans="1:2">
      <c r="A22135" s="3" t="str">
        <f>IFERROR(__xludf.DUMMYFUNCTION("GOOGLETRANSLATE(A22135,""en"",""pt"")"),"Um pouco no lado volumoso.")</f>
        <v>Um pouco no lado volumoso.</v>
      </c>
      <c r="B22135" s="3">
        <v>0</v>
      </c>
    </row>
    <row r="22136" ht="15.75" customHeight="1" spans="1:2">
      <c r="A22136" s="3" t="str">
        <f>IFERROR(__xludf.DUMMYFUNCTION("GOOGLETRANSLATE(A22136,""en"",""pt"")"),"cor sem brilho, tinta HORRIVELMANTE caro.")</f>
        <v>cor sem brilho, tinta HORRIVELMANTE caro.</v>
      </c>
      <c r="B22136" s="3">
        <v>0</v>
      </c>
    </row>
    <row r="22137" ht="15.75" customHeight="1" spans="1:2">
      <c r="A22137" s="3" t="str">
        <f>IFERROR(__xludf.DUMMYFUNCTION("GOOGLETRANSLATE(A22137,""en"",""pt"")"),"Cinzento cor mostra poeira MAL, os preços de tinta são exorbitante, e não recargas, ou genéricos disponível.")</f>
        <v>Cinzento cor mostra poeira MAL, os preços de tinta são exorbitante, e não recargas, ou genéricos disponível.</v>
      </c>
      <c r="B22137" s="3">
        <v>0</v>
      </c>
    </row>
    <row r="22138" ht="15.75" customHeight="1" spans="1:2">
      <c r="A22138" s="3" t="str">
        <f>IFERROR(__xludf.DUMMYFUNCTION("GOOGLETRANSLATE(A22138,""en"",""pt"")"),"custo de tinta a cores")</f>
        <v>custo de tinta a cores</v>
      </c>
      <c r="B22138" s="3">
        <v>0</v>
      </c>
    </row>
    <row r="22139" ht="15.75" customHeight="1" spans="1:2">
      <c r="A22139" s="3" t="str">
        <f>IFERROR(__xludf.DUMMYFUNCTION("GOOGLETRANSLATE(A22139,""en"",""pt"")"),"Nenhum")</f>
        <v>Nenhum</v>
      </c>
      <c r="B22139" s="3">
        <v>0</v>
      </c>
    </row>
    <row r="22140" ht="15.75" customHeight="1" spans="1:2">
      <c r="A22140" s="3" t="str">
        <f>IFERROR(__xludf.DUMMYFUNCTION("GOOGLETRANSLATE(A22140,""en"",""pt"")"),"Se desgasta rapidamente.")</f>
        <v>Se desgasta rapidamente.</v>
      </c>
      <c r="B22140" s="3">
        <v>0</v>
      </c>
    </row>
    <row r="22141" ht="15.75" customHeight="1" spans="1:2">
      <c r="A22141" s="3" t="str">
        <f>IFERROR(__xludf.DUMMYFUNCTION("GOOGLETRANSLATE(A22141,""en"",""pt"")"),"Os cartuchos são um pouco caro (provavelmente devido a cabeça de impressão construído sobre os mesmos).")</f>
        <v>Os cartuchos são um pouco caro (provavelmente devido a cabeça de impressão construído sobre os mesmos).</v>
      </c>
      <c r="B22141" s="3">
        <v>0</v>
      </c>
    </row>
    <row r="22142" ht="15.75" customHeight="1" spans="1:2">
      <c r="A22142" s="3" t="str">
        <f>IFERROR(__xludf.DUMMYFUNCTION("GOOGLETRANSLATE(A22142,""en"",""pt"")"),"Não é possível imprimir em papel de cor goldenrod!")</f>
        <v>Não é possível imprimir em papel de cor goldenrod!</v>
      </c>
      <c r="B22142" s="3">
        <v>0</v>
      </c>
    </row>
    <row r="22143" ht="15.75" customHeight="1" spans="1:2">
      <c r="A22143" s="3" t="str">
        <f>IFERROR(__xludf.DUMMYFUNCTION("GOOGLETRANSLATE(A22143,""en"",""pt"")"),"Custo Inkjet / Página, poder tijolo Miss Piggy, sem cabo USB, texto OK, S L O W")</f>
        <v>Custo Inkjet / Página, poder tijolo Miss Piggy, sem cabo USB, texto OK, S L O W</v>
      </c>
      <c r="B22143" s="3">
        <v>0</v>
      </c>
    </row>
    <row r="22144" ht="15.75" customHeight="1" spans="1:2">
      <c r="A22144" s="3" t="str">
        <f>IFERROR(__xludf.DUMMYFUNCTION("GOOGLETRANSLATE(A22144,""en"",""pt"")"),"Usa tinta mais rápido do que qualquer outra impressora que já vi., Volumoso.")</f>
        <v>Usa tinta mais rápido do que qualquer outra impressora que já vi., Volumoso.</v>
      </c>
      <c r="B22144" s="3">
        <v>0</v>
      </c>
    </row>
    <row r="22145" ht="15.75" customHeight="1" spans="1:2">
      <c r="A22145" s="3" t="str">
        <f>IFERROR(__xludf.DUMMYFUNCTION("GOOGLETRANSLATE(A22145,""en"",""pt"")"),"Grande pegada, comprar o seu próprio cabo, transformador enorme no cabo de alimentação")</f>
        <v>Grande pegada, comprar o seu próprio cabo, transformador enorme no cabo de alimentação</v>
      </c>
      <c r="B22145" s="3">
        <v>0</v>
      </c>
    </row>
    <row r="22146" ht="15.75" customHeight="1" spans="1:2">
      <c r="A22146" s="3" t="str">
        <f>IFERROR(__xludf.DUMMYFUNCTION("GOOGLETRANSLATE(A22146,""en"",""pt"")"),"O custo da tinta é um pouco abaixo da média")</f>
        <v>O custo da tinta é um pouco abaixo da média</v>
      </c>
      <c r="B22146" s="3">
        <v>0</v>
      </c>
    </row>
    <row r="22147" ht="15.75" customHeight="1" spans="1:2">
      <c r="A22147" s="3" t="str">
        <f>IFERROR(__xludf.DUMMYFUNCTION("GOOGLETRANSLATE(A22147,""en"",""pt"")"),"Os cartuchos de tinta são mais caros")</f>
        <v>Os cartuchos de tinta são mais caros</v>
      </c>
      <c r="B22147" s="3">
        <v>0</v>
      </c>
    </row>
    <row r="22148" ht="15.75" customHeight="1" spans="1:2">
      <c r="A22148" s="3" t="str">
        <f>IFERROR(__xludf.DUMMYFUNCTION("GOOGLETRANSLATE(A22148,""en"",""pt"")"),"Os cartuchos de tinta são pequenos, caso contrário, uma grande impressão!")</f>
        <v>Os cartuchos de tinta são pequenos, caso contrário, uma grande impressão!</v>
      </c>
      <c r="B22148" s="3">
        <v>0</v>
      </c>
    </row>
    <row r="22149" ht="15.75" customHeight="1" spans="1:2">
      <c r="A22149" s="3" t="str">
        <f>IFERROR(__xludf.DUMMYFUNCTION("GOOGLETRANSLATE(A22149,""en"",""pt"")"),"custos do cartucho de tinta")</f>
        <v>custos do cartucho de tinta</v>
      </c>
      <c r="B22149" s="3">
        <v>0</v>
      </c>
    </row>
    <row r="22150" ht="15.75" customHeight="1" spans="1:2">
      <c r="A22150" s="3" t="str">
        <f>IFERROR(__xludf.DUMMYFUNCTION("GOOGLETRANSLATE(A22150,""en"",""pt"")"),"ocupa muito espaço em uma mesa")</f>
        <v>ocupa muito espaço em uma mesa</v>
      </c>
      <c r="B22150" s="3">
        <v>0</v>
      </c>
    </row>
    <row r="22151" ht="15.75" customHeight="1" spans="1:2">
      <c r="A22151" s="3" t="str">
        <f>IFERROR(__xludf.DUMMYFUNCTION("GOOGLETRANSLATE(A22151,""en"",""pt"")"),"tinta expansiva !, única 19ml de tinta preta, de plástico \ detentores de tinta de cobertura tende a freio.")</f>
        <v>tinta expansiva !, única 19ml de tinta preta, de plástico \ detentores de tinta de cobertura tende a freio.</v>
      </c>
      <c r="B22151" s="3">
        <v>0</v>
      </c>
    </row>
    <row r="22152" ht="15.75" customHeight="1" spans="1:2">
      <c r="A22152" s="3" t="str">
        <f>IFERROR(__xludf.DUMMYFUNCTION("GOOGLETRANSLATE(A22152,""en"",""pt"")"),"De curta duração, os cartuchos de tinta; melhor para fotos e relatórios do que texto simples.,")</f>
        <v>De curta duração, os cartuchos de tinta; melhor para fotos e relatórios do que texto simples.,</v>
      </c>
      <c r="B22152" s="3">
        <v>0</v>
      </c>
    </row>
    <row r="22153" ht="15.75" customHeight="1" spans="1:2">
      <c r="A22153" s="3" t="str">
        <f>IFERROR(__xludf.DUMMYFUNCTION("GOOGLETRANSLATE(A22153,""en"",""pt"")"),"adaptador de energia AC é mal projetado")</f>
        <v>adaptador de energia AC é mal projetado</v>
      </c>
      <c r="B22153" s="3">
        <v>0</v>
      </c>
    </row>
    <row r="22154" ht="15.75" customHeight="1" spans="1:2">
      <c r="A22154" s="3" t="str">
        <f>IFERROR(__xludf.DUMMYFUNCTION("GOOGLETRANSLATE(A22154,""en"",""pt"")"),"Tal como acontece com todos os jatos de tinta, do cartucho de custo")</f>
        <v>Tal como acontece com todos os jatos de tinta, do cartucho de custo</v>
      </c>
      <c r="B22154" s="3">
        <v>0</v>
      </c>
    </row>
    <row r="22155" ht="15.75" customHeight="1" spans="1:2">
      <c r="A22155" s="3" t="str">
        <f>IFERROR(__xludf.DUMMYFUNCTION("GOOGLETRANSLATE(A22155,""en"",""pt"")"),"Decide ir às vezes loucas, imprimir coisas obscuras.")</f>
        <v>Decide ir às vezes loucas, imprimir coisas obscuras.</v>
      </c>
      <c r="B22155" s="3">
        <v>0</v>
      </c>
    </row>
    <row r="22156" ht="15.75" customHeight="1" spans="1:2">
      <c r="A22156" s="3" t="str">
        <f>IFERROR(__xludf.DUMMYFUNCTION("GOOGLETRANSLATE(A22156,""en"",""pt"")"),"Algumas questões ""design"". vida útil do cartucho. cartuchos caro.")</f>
        <v>Algumas questões "design". vida útil do cartucho. cartuchos caro.</v>
      </c>
      <c r="B22156" s="3">
        <v>0</v>
      </c>
    </row>
    <row r="22157" ht="15.75" customHeight="1" spans="1:2">
      <c r="A22157" s="3" t="str">
        <f>IFERROR(__xludf.DUMMYFUNCTION("GOOGLETRANSLATE(A22157,""en"",""pt"")"),"Tal como acontece com a maioria das impressoras jato de tinta colorida da HP são um pouco sobre o lado caro.")</f>
        <v>Tal como acontece com a maioria das impressoras jato de tinta colorida da HP são um pouco sobre o lado caro.</v>
      </c>
      <c r="B22157" s="3">
        <v>0</v>
      </c>
    </row>
    <row r="22158" ht="15.75" customHeight="1" spans="1:2">
      <c r="A22158" s="3" t="str">
        <f>IFERROR(__xludf.DUMMYFUNCTION("GOOGLETRANSLATE(A22158,""en"",""pt"")"),"não a melhor qualidade, alguns compotas, LOUD")</f>
        <v>não a melhor qualidade, alguns compotas, LOUD</v>
      </c>
      <c r="B22158" s="3">
        <v>0</v>
      </c>
    </row>
    <row r="22159" ht="15.75" customHeight="1" spans="1:2">
      <c r="A22159" s="3" t="str">
        <f>IFERROR(__xludf.DUMMYFUNCTION("GOOGLETRANSLATE(A22159,""en"",""pt"")"),"Produto inútil, de garantia é uma piada!")</f>
        <v>Produto inútil, de garantia é uma piada!</v>
      </c>
      <c r="B22159" s="3">
        <v>0</v>
      </c>
    </row>
    <row r="22160" ht="15.75" customHeight="1" spans="1:2">
      <c r="A22160" s="3" t="str">
        <f>IFERROR(__xludf.DUMMYFUNCTION("GOOGLETRANSLATE(A22160,""en"",""pt"")"),"adaptador AC alto, franze um pouco de papel")</f>
        <v>adaptador AC alto, franze um pouco de papel</v>
      </c>
      <c r="B22160" s="3">
        <v>0</v>
      </c>
    </row>
    <row r="22161" ht="15.75" customHeight="1" spans="1:2">
      <c r="A22161" s="3" t="str">
        <f>IFERROR(__xludf.DUMMYFUNCTION("GOOGLETRANSLATE(A22161,""en"",""pt"")"),"Mais lento do que eu gostaria")</f>
        <v>Mais lento do que eu gostaria</v>
      </c>
      <c r="B22161" s="3">
        <v>0</v>
      </c>
    </row>
    <row r="22162" ht="15.75" customHeight="1" spans="1:2">
      <c r="A22162" s="3" t="str">
        <f>IFERROR(__xludf.DUMMYFUNCTION("GOOGLETRANSLATE(A22162,""en"",""pt"")"),"Muito pobre Item e taxas abusivas de Atendimento ao Cliente")</f>
        <v>Muito pobre Item e taxas abusivas de Atendimento ao Cliente</v>
      </c>
      <c r="B22162" s="3">
        <v>0</v>
      </c>
    </row>
    <row r="22163" ht="15.75" customHeight="1" spans="1:2">
      <c r="A22163" s="3" t="str">
        <f>IFERROR(__xludf.DUMMYFUNCTION("GOOGLETRANSLATE(A22163,""en"",""pt"")"),"comedor tinta")</f>
        <v>comedor tinta</v>
      </c>
      <c r="B22163" s="3">
        <v>0</v>
      </c>
    </row>
    <row r="22164" ht="15.75" customHeight="1" spans="1:2">
      <c r="A22164" s="3" t="str">
        <f>IFERROR(__xludf.DUMMYFUNCTION("GOOGLETRANSLATE(A22164,""en"",""pt"")"),"má qualidade de impressão")</f>
        <v>má qualidade de impressão</v>
      </c>
      <c r="B22164" s="3">
        <v>0</v>
      </c>
    </row>
    <row r="22165" ht="15.75" customHeight="1" spans="1:2">
      <c r="A22165" s="3" t="str">
        <f>IFERROR(__xludf.DUMMYFUNCTION("GOOGLETRANSLATE(A22165,""en"",""pt"")"),"Ainda muito barulhento, &amp; lt; i &amp; gt; Esses cartuchos custar quanto !! ?? &amp; lt; / i &amp; gt;")</f>
        <v>Ainda muito barulhento, &amp; lt; i &amp; gt; Esses cartuchos custar quanto !! ?? &amp; lt; / i &amp; gt;</v>
      </c>
      <c r="B22165" s="3">
        <v>0</v>
      </c>
    </row>
    <row r="22166" ht="15.75" customHeight="1" spans="1:2">
      <c r="A22166" s="3" t="str">
        <f>IFERROR(__xludf.DUMMYFUNCTION("GOOGLETRANSLATE(A22166,""en"",""pt"")"),"só pode usar um cartucho preto ou cor de uma só vez")</f>
        <v>só pode usar um cartucho preto ou cor de uma só vez</v>
      </c>
      <c r="B22166" s="3">
        <v>0</v>
      </c>
    </row>
    <row r="22167" ht="15.75" customHeight="1" spans="1:2">
      <c r="A22167" s="3" t="str">
        <f>IFERROR(__xludf.DUMMYFUNCTION("GOOGLETRANSLATE(A22167,""en"",""pt"")"),"É HP")</f>
        <v>É HP</v>
      </c>
      <c r="B22167" s="3">
        <v>0</v>
      </c>
    </row>
    <row r="22168" ht="15.75" customHeight="1" spans="1:2">
      <c r="A22168" s="3" t="str">
        <f>IFERROR(__xludf.DUMMYFUNCTION("GOOGLETRANSLATE(A22168,""en"",""pt"")"),"Má qualidade, retarda sistema de PC para um rastreamento, imprimir dolorosamente lento")</f>
        <v>Má qualidade, retarda sistema de PC para um rastreamento, imprimir dolorosamente lento</v>
      </c>
      <c r="B22168" s="3">
        <v>0</v>
      </c>
    </row>
    <row r="22169" ht="15.75" customHeight="1" spans="1:2">
      <c r="A22169" s="3" t="str">
        <f>IFERROR(__xludf.DUMMYFUNCTION("GOOGLETRANSLATE(A22169,""en"",""pt"")"),"Necessita de tinta especial para resultados fotográficos mesmo decente. Muito lento na impressão de fotos.")</f>
        <v>Necessita de tinta especial para resultados fotográficos mesmo decente. Muito lento na impressão de fotos.</v>
      </c>
      <c r="B22169" s="3">
        <v>0</v>
      </c>
    </row>
    <row r="22170" ht="15.75" customHeight="1" spans="1:2">
      <c r="A22170" s="3" t="str">
        <f>IFERROR(__xludf.DUMMYFUNCTION("GOOGLETRANSLATE(A22170,""en"",""pt"")"),"não o melhor lá fora")</f>
        <v>não o melhor lá fora</v>
      </c>
      <c r="B22170" s="3">
        <v>0</v>
      </c>
    </row>
    <row r="22171" ht="15.75" customHeight="1" spans="1:2">
      <c r="A22171" s="3" t="str">
        <f>IFERROR(__xludf.DUMMYFUNCTION("GOOGLETRANSLATE(A22171,""en"",""pt"")"),"má qualidade da foto")</f>
        <v>má qualidade da foto</v>
      </c>
      <c r="B22171" s="3">
        <v>0</v>
      </c>
    </row>
    <row r="22172" ht="15.75" customHeight="1" spans="1:2">
      <c r="A22172" s="3" t="str">
        <f>IFERROR(__xludf.DUMMYFUNCTION("GOOGLETRANSLATE(A22172,""en"",""pt"")"),"Um pouco barulhento")</f>
        <v>Um pouco barulhento</v>
      </c>
      <c r="B22172" s="3">
        <v>0</v>
      </c>
    </row>
    <row r="22173" ht="15.75" customHeight="1" spans="1:2">
      <c r="A22173" s="3" t="str">
        <f>IFERROR(__xludf.DUMMYFUNCTION("GOOGLETRANSLATE(A22173,""en"",""pt"")"),"um pouco barulhento, saída foto um pouco escura.")</f>
        <v>um pouco barulhento, saída foto um pouco escura.</v>
      </c>
      <c r="B22173" s="3">
        <v>0</v>
      </c>
    </row>
    <row r="22174" ht="15.75" customHeight="1" spans="1:2">
      <c r="A22174" s="3" t="str">
        <f>IFERROR(__xludf.DUMMYFUNCTION("GOOGLETRANSLATE(A22174,""en"",""pt"")"),"um pouco mais lento do que outras impressoras HP, mas não caracol")</f>
        <v>um pouco mais lento do que outras impressoras HP, mas não caracol</v>
      </c>
      <c r="B22174" s="3">
        <v>0</v>
      </c>
    </row>
    <row r="22175" ht="15.75" customHeight="1" spans="1:2">
      <c r="A22175" s="3" t="str">
        <f>IFERROR(__xludf.DUMMYFUNCTION("GOOGLETRANSLATE(A22175,""en"",""pt"")"),"Alto que qualquer coisa que eu já ouvi! Tão lento como Madre Teresa a um strip.")</f>
        <v>Alto que qualquer coisa que eu já ouvi! Tão lento como Madre Teresa a um strip.</v>
      </c>
      <c r="B22175" s="3">
        <v>0</v>
      </c>
    </row>
    <row r="22176" ht="15.75" customHeight="1" spans="1:2">
      <c r="A22176" s="3" t="str">
        <f>IFERROR(__xludf.DUMMYFUNCTION("GOOGLETRANSLATE(A22176,""en"",""pt"")"),"resolução de impressão lenta, baixo")</f>
        <v>resolução de impressão lenta, baixo</v>
      </c>
      <c r="B22176" s="3">
        <v>0</v>
      </c>
    </row>
    <row r="22177" ht="15.75" customHeight="1" spans="1:2">
      <c r="A22177" s="3" t="str">
        <f>IFERROR(__xludf.DUMMYFUNCTION("GOOGLETRANSLATE(A22177,""en"",""pt"")"),"Tudo")</f>
        <v>Tudo</v>
      </c>
      <c r="B22177" s="3">
        <v>0</v>
      </c>
    </row>
    <row r="22178" ht="15.75" customHeight="1" spans="1:2">
      <c r="A22178" s="3" t="str">
        <f>IFERROR(__xludf.DUMMYFUNCTION("GOOGLETRANSLATE(A22178,""en"",""pt"")"),"É um processo lento, e que a tinta não é barato")</f>
        <v>É um processo lento, e que a tinta não é barato</v>
      </c>
      <c r="B22178" s="3">
        <v>0</v>
      </c>
    </row>
    <row r="22179" ht="15.75" customHeight="1" spans="1:2">
      <c r="A22179" s="3" t="str">
        <f>IFERROR(__xludf.DUMMYFUNCTION("GOOGLETRANSLATE(A22179,""en"",""pt"")"),"processo de impressão lento")</f>
        <v>processo de impressão lento</v>
      </c>
      <c r="B22179" s="3">
        <v>0</v>
      </c>
    </row>
    <row r="22180" ht="15.75" customHeight="1" spans="1:2">
      <c r="A22180" s="3" t="str">
        <f>IFERROR(__xludf.DUMMYFUNCTION("GOOGLETRANSLATE(A22180,""en"",""pt"")"),"rejeita cartuchos de tinta, quando desligado")</f>
        <v>rejeita cartuchos de tinta, quando desligado</v>
      </c>
      <c r="B22180" s="3">
        <v>0</v>
      </c>
    </row>
    <row r="22181" ht="15.75" customHeight="1" spans="1:2">
      <c r="A22181" s="3" t="str">
        <f>IFERROR(__xludf.DUMMYFUNCTION("GOOGLETRANSLATE(A22181,""en"",""pt"")"),"Um pouco lento")</f>
        <v>Um pouco lento</v>
      </c>
      <c r="B22181" s="3">
        <v>0</v>
      </c>
    </row>
    <row r="22182" ht="15.75" customHeight="1" spans="1:2">
      <c r="A22182" s="3" t="str">
        <f>IFERROR(__xludf.DUMMYFUNCTION("GOOGLETRANSLATE(A22182,""en"",""pt"")"),"Ink Jet Cartuchos são caros")</f>
        <v>Ink Jet Cartuchos são caros</v>
      </c>
      <c r="B22182" s="3">
        <v>0</v>
      </c>
    </row>
    <row r="22183" ht="15.75" customHeight="1" spans="1:2">
      <c r="A22183" s="3" t="str">
        <f>IFERROR(__xludf.DUMMYFUNCTION("GOOGLETRANSLATE(A22183,""en"",""pt"")"),"barulhento,")</f>
        <v>barulhento,</v>
      </c>
      <c r="B22183" s="3">
        <v>0</v>
      </c>
    </row>
    <row r="22184" ht="15.75" customHeight="1" spans="1:2">
      <c r="A22184" s="3" t="str">
        <f>IFERROR(__xludf.DUMMYFUNCTION("GOOGLETRANSLATE(A22184,""en"",""pt"")"),"nenhum ainda")</f>
        <v>nenhum ainda</v>
      </c>
      <c r="B22184" s="3">
        <v>0</v>
      </c>
    </row>
    <row r="22185" ht="15.75" customHeight="1" spans="1:2">
      <c r="A22185" s="3" t="str">
        <f>IFERROR(__xludf.DUMMYFUNCTION("GOOGLETRANSLATE(A22185,""en"",""pt"")"),"sem problemas")</f>
        <v>sem problemas</v>
      </c>
      <c r="B22185" s="3">
        <v>0</v>
      </c>
    </row>
    <row r="22186" ht="15.75" customHeight="1" spans="1:2">
      <c r="A22186" s="3" t="str">
        <f>IFERROR(__xludf.DUMMYFUNCTION("GOOGLETRANSLATE(A22186,""en"",""pt"")"),"Má Qualidade em Fotos, Lento")</f>
        <v>Má Qualidade em Fotos, Lento</v>
      </c>
      <c r="B22186" s="3">
        <v>0</v>
      </c>
    </row>
    <row r="22187" ht="15.75" customHeight="1" spans="1:2">
      <c r="A22187" s="3" t="str">
        <f>IFERROR(__xludf.DUMMYFUNCTION("GOOGLETRANSLATE(A22187,""en"",""pt"")"),"a alimentação do papel problemas")</f>
        <v>a alimentação do papel problemas</v>
      </c>
      <c r="B22187" s="3">
        <v>0</v>
      </c>
    </row>
    <row r="22188" ht="15.75" customHeight="1" spans="1:2">
      <c r="A22188" s="3" t="str">
        <f>IFERROR(__xludf.DUMMYFUNCTION("GOOGLETRANSLATE(A22188,""en"",""pt"")"),"Muito barulhento e instável ao imprimir")</f>
        <v>Muito barulhento e instável ao imprimir</v>
      </c>
      <c r="B22188" s="3">
        <v>0</v>
      </c>
    </row>
    <row r="22189" ht="15.75" customHeight="1" spans="1:2">
      <c r="A22189" s="3" t="str">
        <f>IFERROR(__xludf.DUMMYFUNCTION("GOOGLETRANSLATE(A22189,""en"",""pt"")"),"Nível de ruído, atolamento de envelopes durante a impressão")</f>
        <v>Nível de ruído, atolamento de envelopes durante a impressão</v>
      </c>
      <c r="B22189" s="3">
        <v>0</v>
      </c>
    </row>
    <row r="22190" ht="15.75" customHeight="1" spans="1:2">
      <c r="A22190" s="3" t="str">
        <f>IFERROR(__xludf.DUMMYFUNCTION("GOOGLETRANSLATE(A22190,""en"",""pt"")"),"tinta tende a correr")</f>
        <v>tinta tende a correr</v>
      </c>
      <c r="B22190" s="3">
        <v>0</v>
      </c>
    </row>
    <row r="22191" ht="15.75" customHeight="1" spans="1:2">
      <c r="A22191" s="3" t="str">
        <f>IFERROR(__xludf.DUMMYFUNCTION("GOOGLETRANSLATE(A22191,""en"",""pt"")"),"fotos Feira de qualidade e barulhento")</f>
        <v>fotos Feira de qualidade e barulhento</v>
      </c>
      <c r="B22191" s="3">
        <v>0</v>
      </c>
    </row>
    <row r="22192" ht="15.75" customHeight="1" spans="1:2">
      <c r="A22192" s="3" t="str">
        <f>IFERROR(__xludf.DUMMYFUNCTION("GOOGLETRANSLATE(A22192,""en"",""pt"")"),"não faz muito além de impressão")</f>
        <v>não faz muito além de impressão</v>
      </c>
      <c r="B22192" s="3">
        <v>0</v>
      </c>
    </row>
    <row r="22193" ht="15.75" customHeight="1" spans="1:2">
      <c r="A22193" s="3" t="str">
        <f>IFERROR(__xludf.DUMMYFUNCTION("GOOGLETRANSLATE(A22193,""en"",""pt"")"),"imprimir fotografias, atendimento ao cliente")</f>
        <v>imprimir fotografias, atendimento ao cliente</v>
      </c>
      <c r="B22193" s="3">
        <v>0</v>
      </c>
    </row>
    <row r="22194" ht="15.75" customHeight="1" spans="1:2">
      <c r="A22194" s="3" t="str">
        <f>IFERROR(__xludf.DUMMYFUNCTION("GOOGLETRANSLATE(A22194,""en"",""pt"")"),"Custo de operação")</f>
        <v>Custo de operação</v>
      </c>
      <c r="B22194" s="3">
        <v>0</v>
      </c>
    </row>
    <row r="22195" ht="15.75" customHeight="1" spans="1:2">
      <c r="A22195" s="3" t="str">
        <f>IFERROR(__xludf.DUMMYFUNCTION("GOOGLETRANSLATE(A22195,""en"",""pt"")"),"Manchas, má qualidade de impressão, o ruído, recusando-se a imprimir, imprimindo símbolos inúteis &amp; amp; amp; personagens")</f>
        <v>Manchas, má qualidade de impressão, o ruído, recusando-se a imprimir, imprimindo símbolos inúteis &amp; amp; amp; personagens</v>
      </c>
      <c r="B22195" s="3">
        <v>0</v>
      </c>
    </row>
    <row r="22196" ht="15.75" customHeight="1" spans="1:2">
      <c r="A22196" s="3" t="str">
        <f>IFERROR(__xludf.DUMMYFUNCTION("GOOGLETRANSLATE(A22196,""en"",""pt"")"),"Isso requer um pouco de esforço de sua parte ......")</f>
        <v>Isso requer um pouco de esforço de sua parte ......</v>
      </c>
      <c r="B22196" s="3">
        <v>0</v>
      </c>
    </row>
    <row r="22197" ht="15.75" customHeight="1" spans="1:2">
      <c r="A22197" s="3" t="str">
        <f>IFERROR(__xludf.DUMMYFUNCTION("GOOGLETRANSLATE(A22197,""en"",""pt"")"),"tinta preta esfregaços vezes na minha")</f>
        <v>tinta preta esfregaços vezes na minha</v>
      </c>
      <c r="B22197" s="3">
        <v>0</v>
      </c>
    </row>
    <row r="22198" ht="15.75" customHeight="1" spans="1:2">
      <c r="A22198" s="3" t="str">
        <f>IFERROR(__xludf.DUMMYFUNCTION("GOOGLETRANSLATE(A22198,""en"",""pt"")"),"o preço do cartucho, o tamanho da impressora")</f>
        <v>o preço do cartucho, o tamanho da impressora</v>
      </c>
      <c r="B22198" s="3">
        <v>0</v>
      </c>
    </row>
    <row r="22199" ht="15.75" customHeight="1" spans="1:2">
      <c r="A22199" s="3" t="str">
        <f>IFERROR(__xludf.DUMMYFUNCTION("GOOGLETRANSLATE(A22199,""en"",""pt"")"),"sempre alega estar sem papel")</f>
        <v>sempre alega estar sem papel</v>
      </c>
      <c r="B22199" s="3">
        <v>0</v>
      </c>
    </row>
    <row r="22200" ht="15.75" customHeight="1" spans="1:2">
      <c r="A22200" s="3" t="str">
        <f>IFERROR(__xludf.DUMMYFUNCTION("GOOGLETRANSLATE(A22200,""en"",""pt"")"),"Nenhum")</f>
        <v>Nenhum</v>
      </c>
      <c r="B22200" s="3">
        <v>0</v>
      </c>
    </row>
    <row r="22201" ht="15.75" customHeight="1" spans="1:2">
      <c r="A22201" s="3" t="str">
        <f>IFERROR(__xludf.DUMMYFUNCTION("GOOGLETRANSLATE(A22201,""en"",""pt"")"),"Não confiável, não é compatível com muitos programas de software")</f>
        <v>Não confiável, não é compatível com muitos programas de software</v>
      </c>
      <c r="B22201" s="3">
        <v>0</v>
      </c>
    </row>
    <row r="22202" ht="15.75" customHeight="1" spans="1:2">
      <c r="A22202" s="3" t="str">
        <f>IFERROR(__xludf.DUMMYFUNCTION("GOOGLETRANSLATE(A22202,""en"",""pt"")"),"velocidades lentas, cartucho fotográfico não é um verdadeiro ** Foto Ret II")</f>
        <v>velocidades lentas, cartucho fotográfico não é um verdadeiro ** Foto Ret II</v>
      </c>
      <c r="B22202" s="3">
        <v>0</v>
      </c>
    </row>
    <row r="22203" ht="15.75" customHeight="1" spans="1:2">
      <c r="A22203" s="3" t="str">
        <f>IFERROR(__xludf.DUMMYFUNCTION("GOOGLETRANSLATE(A22203,""en"",""pt"")"),"Nenhum para o preço")</f>
        <v>Nenhum para o preço</v>
      </c>
      <c r="B22203" s="3">
        <v>0</v>
      </c>
    </row>
    <row r="22204" ht="15.75" customHeight="1" spans="1:2">
      <c r="A22204" s="3" t="str">
        <f>IFERROR(__xludf.DUMMYFUNCTION("GOOGLETRANSLATE(A22204,""en"",""pt"")"),", A qualidade horrível, máquina terrível lento")</f>
        <v>, A qualidade horrível, máquina terrível lento</v>
      </c>
      <c r="B22204" s="3">
        <v>0</v>
      </c>
    </row>
    <row r="22205" ht="15.75" customHeight="1" spans="1:2">
      <c r="A22205" s="3" t="str">
        <f>IFERROR(__xludf.DUMMYFUNCTION("GOOGLETRANSLATE(A22205,""en"",""pt"")"),"disponibilidade de tinta, lento em imagens")</f>
        <v>disponibilidade de tinta, lento em imagens</v>
      </c>
      <c r="B22205" s="3">
        <v>0</v>
      </c>
    </row>
    <row r="22206" ht="15.75" customHeight="1" spans="1:2">
      <c r="A22206" s="3" t="str">
        <f>IFERROR(__xludf.DUMMYFUNCTION("GOOGLETRANSLATE(A22206,""en"",""pt"")"),"Não funciona muito frequentemente")</f>
        <v>Não funciona muito frequentemente</v>
      </c>
      <c r="B22206" s="3">
        <v>0</v>
      </c>
    </row>
    <row r="22207" ht="15.75" customHeight="1" spans="1:2">
      <c r="A22207" s="3" t="str">
        <f>IFERROR(__xludf.DUMMYFUNCTION("GOOGLETRANSLATE(A22207,""en"",""pt"")"),"custo de cartucho de tinta de substituição")</f>
        <v>custo de cartucho de tinta de substituição</v>
      </c>
      <c r="B22207" s="3">
        <v>0</v>
      </c>
    </row>
    <row r="22208" ht="15.75" customHeight="1" spans="1:2">
      <c r="A22208" s="3" t="str">
        <f>IFERROR(__xludf.DUMMYFUNCTION("GOOGLETRANSLATE(A22208,""en"",""pt"")"),"Lento")</f>
        <v>Lento</v>
      </c>
      <c r="B22208" s="3">
        <v>0</v>
      </c>
    </row>
    <row r="22209" ht="15.75" customHeight="1" spans="1:2">
      <c r="A22209" s="3" t="str">
        <f>IFERROR(__xludf.DUMMYFUNCTION("GOOGLETRANSLATE(A22209,""en"",""pt"")"),"Cor bom, mas não tão bom quanto você pode precisar")</f>
        <v>Cor bom, mas não tão bom quanto você pode precisar</v>
      </c>
      <c r="B22209" s="3">
        <v>0</v>
      </c>
    </row>
    <row r="22210" ht="15.75" customHeight="1" spans="1:2">
      <c r="A22210" s="3" t="str">
        <f>IFERROR(__xludf.DUMMYFUNCTION("GOOGLETRANSLATE(A22210,""en"",""pt"")"),"Mais ruidoso do que os meus Canon, puxa mais de 1 folha de papel através de uma vez.")</f>
        <v>Mais ruidoso do que os meus Canon, puxa mais de 1 folha de papel através de uma vez.</v>
      </c>
      <c r="B22210" s="3">
        <v>0</v>
      </c>
    </row>
    <row r="22211" ht="15.75" customHeight="1" spans="1:2">
      <c r="A22211" s="3" t="str">
        <f>IFERROR(__xludf.DUMMYFUNCTION("GOOGLETRANSLATE(A22211,""en"",""pt"")"),"Não funciona com muitos programas")</f>
        <v>Não funciona com muitos programas</v>
      </c>
      <c r="B22211" s="3">
        <v>0</v>
      </c>
    </row>
    <row r="22212" ht="15.75" customHeight="1" spans="1:2">
      <c r="A22212" s="3" t="str">
        <f>IFERROR(__xludf.DUMMYFUNCTION("GOOGLETRANSLATE(A22212,""en"",""pt"")"),"precisa de novos carrinhos de tinta a cada tantas vezes como fazem todas as impressoras")</f>
        <v>precisa de novos carrinhos de tinta a cada tantas vezes como fazem todas as impressoras</v>
      </c>
      <c r="B22212" s="3">
        <v>0</v>
      </c>
    </row>
    <row r="22213" ht="15.75" customHeight="1" spans="1:2">
      <c r="A22213" s="3" t="str">
        <f>IFERROR(__xludf.DUMMYFUNCTION("GOOGLETRANSLATE(A22213,""en"",""pt"")"),"Nenhum")</f>
        <v>Nenhum</v>
      </c>
      <c r="B22213" s="3">
        <v>0</v>
      </c>
    </row>
    <row r="22214" ht="15.75" customHeight="1" spans="1:2">
      <c r="A22214" s="3" t="str">
        <f>IFERROR(__xludf.DUMMYFUNCTION("GOOGLETRANSLATE(A22214,""en"",""pt"")"),"Bad longevidade, e pobre valor para o dinheiro")</f>
        <v>Bad longevidade, e pobre valor para o dinheiro</v>
      </c>
      <c r="B22214" s="3">
        <v>0</v>
      </c>
    </row>
    <row r="22215" ht="15.75" customHeight="1" spans="1:2">
      <c r="A22215" s="3" t="str">
        <f>IFERROR(__xludf.DUMMYFUNCTION("GOOGLETRANSLATE(A22215,""en"",""pt"")"),"lento")</f>
        <v>lento</v>
      </c>
      <c r="B22215" s="3">
        <v>0</v>
      </c>
    </row>
    <row r="22216" ht="15.75" customHeight="1" spans="1:2">
      <c r="A22216" s="3" t="str">
        <f>IFERROR(__xludf.DUMMYFUNCTION("GOOGLETRANSLATE(A22216,""en"",""pt"")"),"Rapidez")</f>
        <v>Rapidez</v>
      </c>
      <c r="B22216" s="3">
        <v>0</v>
      </c>
    </row>
    <row r="22217" ht="15.75" customHeight="1" spans="1:2">
      <c r="A22217" s="3" t="str">
        <f>IFERROR(__xludf.DUMMYFUNCTION("GOOGLETRANSLATE(A22217,""en"",""pt"")"),"qualidade de cor e dpi são coxos, preço muito alto para os resultados insatisfatórios, e muito barulhento!")</f>
        <v>qualidade de cor e dpi são coxos, preço muito alto para os resultados insatisfatórios, e muito barulhento!</v>
      </c>
      <c r="B22217" s="3">
        <v>0</v>
      </c>
    </row>
    <row r="22218" ht="15.75" customHeight="1" spans="1:2">
      <c r="A22218" s="3" t="str">
        <f>IFERROR(__xludf.DUMMYFUNCTION("GOOGLETRANSLATE(A22218,""en"",""pt"")"),"um pouco lento")</f>
        <v>um pouco lento</v>
      </c>
      <c r="B22218" s="3">
        <v>0</v>
      </c>
    </row>
    <row r="22219" ht="15.75" customHeight="1" spans="1:2">
      <c r="A22219" s="3" t="str">
        <f>IFERROR(__xludf.DUMMYFUNCTION("GOOGLETRANSLATE(A22219,""en"",""pt"")"),"slowwwww")</f>
        <v>slowwwww</v>
      </c>
      <c r="B22219" s="3">
        <v>0</v>
      </c>
    </row>
    <row r="22220" ht="15.75" customHeight="1" spans="1:2">
      <c r="A22220" s="3" t="str">
        <f>IFERROR(__xludf.DUMMYFUNCTION("GOOGLETRANSLATE(A22220,""en"",""pt"")"),"Não imprime extremamente rápido, embora não seja lento mal.")</f>
        <v>Não imprime extremamente rápido, embora não seja lento mal.</v>
      </c>
      <c r="B22220" s="3">
        <v>0</v>
      </c>
    </row>
    <row r="22221" ht="15.75" customHeight="1" spans="1:2">
      <c r="A22221" s="3" t="str">
        <f>IFERROR(__xludf.DUMMYFUNCTION("GOOGLETRANSLATE(A22221,""en"",""pt"")"),"Barulhento, lento e desajeitado. Sem USB.")</f>
        <v>Barulhento, lento e desajeitado. Sem USB.</v>
      </c>
      <c r="B22221" s="3">
        <v>0</v>
      </c>
    </row>
    <row r="22222" ht="15.75" customHeight="1" spans="1:2">
      <c r="A22222" s="3" t="str">
        <f>IFERROR(__xludf.DUMMYFUNCTION("GOOGLETRANSLATE(A22222,""en"",""pt"")"),"Slllowwwwww, incapaz de realmente multi-tarefa")</f>
        <v>Slllowwwwww, incapaz de realmente multi-tarefa</v>
      </c>
      <c r="B22222" s="3">
        <v>0</v>
      </c>
    </row>
    <row r="22223" ht="15.75" customHeight="1" spans="1:2">
      <c r="A22223" s="3" t="str">
        <f>IFERROR(__xludf.DUMMYFUNCTION("GOOGLETRANSLATE(A22223,""en"",""pt"")"),"não consigo encontrar nada de negativo a dizer sobre esta impressora")</f>
        <v>não consigo encontrar nada de negativo a dizer sobre esta impressora</v>
      </c>
      <c r="B22223" s="3">
        <v>0</v>
      </c>
    </row>
    <row r="22224" ht="15.75" customHeight="1" spans="1:2">
      <c r="A22224" s="3" t="str">
        <f>IFERROR(__xludf.DUMMYFUNCTION("GOOGLETRANSLATE(A22224,""en"",""pt"")"),"Um pouco lento, problemas de software ocasionais e difícil de descobrir.")</f>
        <v>Um pouco lento, problemas de software ocasionais e difícil de descobrir.</v>
      </c>
      <c r="B22224" s="3">
        <v>0</v>
      </c>
    </row>
    <row r="22225" ht="15.75" customHeight="1" spans="1:2">
      <c r="A22225" s="3" t="str">
        <f>IFERROR(__xludf.DUMMYFUNCTION("GOOGLETRANSLATE(A22225,""en"",""pt"")"),"TODO O RESTO!!!!")</f>
        <v>TODO O RESTO!!!!</v>
      </c>
      <c r="B22225" s="3">
        <v>0</v>
      </c>
    </row>
    <row r="22226" ht="15.75" customHeight="1" spans="1:2">
      <c r="A22226" s="3" t="str">
        <f>IFERROR(__xludf.DUMMYFUNCTION("GOOGLETRANSLATE(A22226,""en"",""pt"")"),"confiabilidade, volumoso")</f>
        <v>confiabilidade, volumoso</v>
      </c>
      <c r="B22226" s="3">
        <v>0</v>
      </c>
    </row>
    <row r="22227" ht="15.75" customHeight="1" spans="1:2">
      <c r="A22227" s="3" t="str">
        <f>IFERROR(__xludf.DUMMYFUNCTION("GOOGLETRANSLATE(A22227,""en"",""pt"")"),"Grandes e volumosos")</f>
        <v>Grandes e volumosos</v>
      </c>
      <c r="B22227" s="3">
        <v>0</v>
      </c>
    </row>
    <row r="22228" ht="15.75" customHeight="1" spans="1:2">
      <c r="A22228" s="3" t="str">
        <f>IFERROR(__xludf.DUMMYFUNCTION("GOOGLETRANSLATE(A22228,""en"",""pt"")"),"não sei de qualquer")</f>
        <v>não sei de qualquer</v>
      </c>
      <c r="B22228" s="3">
        <v>0</v>
      </c>
    </row>
    <row r="22229" ht="15.75" customHeight="1" spans="1:2">
      <c r="A22229" s="3" t="str">
        <f>IFERROR(__xludf.DUMMYFUNCTION("GOOGLETRANSLATE(A22229,""en"",""pt"")"),"Ruído, problemas de alimentação, operação áspera")</f>
        <v>Ruído, problemas de alimentação, operação áspera</v>
      </c>
      <c r="B22229" s="3">
        <v>0</v>
      </c>
    </row>
    <row r="22230" ht="15.75" customHeight="1" spans="1:2">
      <c r="A22230" s="3" t="str">
        <f>IFERROR(__xludf.DUMMYFUNCTION("GOOGLETRANSLATE(A22230,""en"",""pt"")"),"má qualidade da foto, lento")</f>
        <v>má qualidade da foto, lento</v>
      </c>
      <c r="B22230" s="3">
        <v>0</v>
      </c>
    </row>
    <row r="22231" ht="15.75" customHeight="1" spans="1:2">
      <c r="A22231" s="3" t="str">
        <f>IFERROR(__xludf.DUMMYFUNCTION("GOOGLETRANSLATE(A22231,""en"",""pt"")"),"manchas ocasionais, gráficos granulado, grandes margens")</f>
        <v>manchas ocasionais, gráficos granulado, grandes margens</v>
      </c>
      <c r="B22231" s="3">
        <v>0</v>
      </c>
    </row>
    <row r="22232" ht="15.75" customHeight="1" spans="1:2">
      <c r="A22232" s="3" t="str">
        <f>IFERROR(__xludf.DUMMYFUNCTION("GOOGLETRANSLATE(A22232,""en"",""pt"")"),"grande pegada, memória insuficiente")</f>
        <v>grande pegada, memória insuficiente</v>
      </c>
      <c r="B22232" s="3">
        <v>0</v>
      </c>
    </row>
    <row r="22233" ht="15.75" customHeight="1" spans="1:2">
      <c r="A22233" s="3" t="str">
        <f>IFERROR(__xludf.DUMMYFUNCTION("GOOGLETRANSLATE(A22233,""en"",""pt"")"),"SERVIÇO AO CLIENTE")</f>
        <v>SERVIÇO AO CLIENTE</v>
      </c>
      <c r="B22233" s="3">
        <v>0</v>
      </c>
    </row>
    <row r="22234" ht="15.75" customHeight="1" spans="1:2">
      <c r="A22234" s="3" t="str">
        <f>IFERROR(__xludf.DUMMYFUNCTION("GOOGLETRANSLATE(A22234,""en"",""pt"")"),"impressão a preto e branco horrível")</f>
        <v>impressão a preto e branco horrível</v>
      </c>
      <c r="B22234" s="3">
        <v>0</v>
      </c>
    </row>
    <row r="22235" ht="15.75" customHeight="1" spans="1:2">
      <c r="A22235" s="3" t="str">
        <f>IFERROR(__xludf.DUMMYFUNCTION("GOOGLETRANSLATE(A22235,""en"",""pt"")"),"Muito lento, sem compatibilidade com outros cabos da impressora, a qualidade da cor não é muito grande")</f>
        <v>Muito lento, sem compatibilidade com outros cabos da impressora, a qualidade da cor não é muito grande</v>
      </c>
      <c r="B22235" s="3">
        <v>0</v>
      </c>
    </row>
    <row r="22236" ht="15.75" customHeight="1" spans="1:2">
      <c r="A22236" s="3" t="str">
        <f>IFERROR(__xludf.DUMMYFUNCTION("GOOGLETRANSLATE(A22236,""en"",""pt"")"),"Só se tinta eram mais baratos (a tinta)")</f>
        <v>Só se tinta eram mais baratos (a tinta)</v>
      </c>
      <c r="B22236" s="3">
        <v>0</v>
      </c>
    </row>
    <row r="22237" ht="15.75" customHeight="1" spans="1:2">
      <c r="A22237" s="3" t="str">
        <f>IFERROR(__xludf.DUMMYFUNCTION("GOOGLETRANSLATE(A22237,""en"",""pt"")"),"Nenhum")</f>
        <v>Nenhum</v>
      </c>
      <c r="B22237" s="3">
        <v>0</v>
      </c>
    </row>
    <row r="22238" ht="15.75" customHeight="1" spans="1:2">
      <c r="A22238" s="3" t="str">
        <f>IFERROR(__xludf.DUMMYFUNCTION("GOOGLETRANSLATE(A22238,""en"",""pt"")"),"Lento, controlador da CPU impressora intensivo, o custo do cartucho de tinta.")</f>
        <v>Lento, controlador da CPU impressora intensivo, o custo do cartucho de tinta.</v>
      </c>
      <c r="B22238" s="3">
        <v>0</v>
      </c>
    </row>
    <row r="22239" ht="15.75" customHeight="1" spans="1:2">
      <c r="A22239" s="3" t="str">
        <f>IFERROR(__xludf.DUMMYFUNCTION("GOOGLETRANSLATE(A22239,""en"",""pt"")"),"Pode retardar pc para baixo")</f>
        <v>Pode retardar pc para baixo</v>
      </c>
      <c r="B22239" s="3">
        <v>0</v>
      </c>
    </row>
    <row r="22240" ht="15.75" customHeight="1" spans="1:2">
      <c r="A22240" s="3" t="str">
        <f>IFERROR(__xludf.DUMMYFUNCTION("GOOGLETRANSLATE(A22240,""en"",""pt"")"),"Nenhum.")</f>
        <v>Nenhum.</v>
      </c>
      <c r="B22240" s="3">
        <v>0</v>
      </c>
    </row>
    <row r="22241" ht="15.75" customHeight="1" spans="1:2">
      <c r="A22241" s="3" t="str">
        <f>IFERROR(__xludf.DUMMYFUNCTION("GOOGLETRANSLATE(A22241,""en"",""pt"")"),"qualidade de impressão, impressão lenta, garantia")</f>
        <v>qualidade de impressão, impressão lenta, garantia</v>
      </c>
      <c r="B22241" s="3">
        <v>0</v>
      </c>
    </row>
    <row r="22242" ht="15.75" customHeight="1" spans="1:2">
      <c r="A22242" s="3" t="str">
        <f>IFERROR(__xludf.DUMMYFUNCTION("GOOGLETRANSLATE(A22242,""en"",""pt"")"),"Não uma impressora confiável com warrenty shor e má qualidade de impressão")</f>
        <v>Não uma impressora confiável com warrenty shor e má qualidade de impressão</v>
      </c>
      <c r="B22242" s="3">
        <v>0</v>
      </c>
    </row>
    <row r="22243" ht="15.75" customHeight="1" spans="1:2">
      <c r="A22243" s="3" t="str">
        <f>IFERROR(__xludf.DUMMYFUNCTION("GOOGLETRANSLATE(A22243,""en"",""pt"")"),"Toma dois cartuchos Como a maioria, eles são caros")</f>
        <v>Toma dois cartuchos Como a maioria, eles são caros</v>
      </c>
      <c r="B22243" s="3">
        <v>0</v>
      </c>
    </row>
    <row r="22244" ht="15.75" customHeight="1" spans="1:2">
      <c r="A22244" s="3" t="str">
        <f>IFERROR(__xludf.DUMMYFUNCTION("GOOGLETRANSLATE(A22244,""en"",""pt"")"),"ligeiramente granulosa")</f>
        <v>ligeiramente granulosa</v>
      </c>
      <c r="B22244" s="3">
        <v>0</v>
      </c>
    </row>
    <row r="22245" ht="15.75" customHeight="1" spans="1:2">
      <c r="A22245" s="3" t="str">
        <f>IFERROR(__xludf.DUMMYFUNCTION("GOOGLETRANSLATE(A22245,""en"",""pt"")"),"Leva muito tempo para imprimir qualquer coisa no melhor modo de qualidade.")</f>
        <v>Leva muito tempo para imprimir qualquer coisa no melhor modo de qualidade.</v>
      </c>
      <c r="B22245" s="3">
        <v>0</v>
      </c>
    </row>
    <row r="22246" ht="15.75" customHeight="1" spans="1:2">
      <c r="A22246" s="3" t="str">
        <f>IFERROR(__xludf.DUMMYFUNCTION("GOOGLETRANSLATE(A22246,""en"",""pt"")"),"Lento e alto - bem, mais alto do que a minha impressora anterior.")</f>
        <v>Lento e alto - bem, mais alto do que a minha impressora anterior.</v>
      </c>
      <c r="B22246" s="3">
        <v>0</v>
      </c>
    </row>
    <row r="22247" ht="15.75" customHeight="1" spans="1:2">
      <c r="A22247" s="3" t="str">
        <f>IFERROR(__xludf.DUMMYFUNCTION("GOOGLETRANSLATE(A22247,""en"",""pt"")"),"Lentos e pouco confiáveis")</f>
        <v>Lentos e pouco confiáveis</v>
      </c>
      <c r="B22247" s="3">
        <v>0</v>
      </c>
    </row>
    <row r="22248" ht="15.75" customHeight="1" spans="1:2">
      <c r="A22248" s="3" t="str">
        <f>IFERROR(__xludf.DUMMYFUNCTION("GOOGLETRANSLATE(A22248,""en"",""pt"")"),"Lentos e pouco confiáveis")</f>
        <v>Lentos e pouco confiáveis</v>
      </c>
      <c r="B22248" s="3">
        <v>0</v>
      </c>
    </row>
    <row r="22249" ht="15.75" customHeight="1" spans="1:2">
      <c r="A22249" s="3" t="str">
        <f>IFERROR(__xludf.DUMMYFUNCTION("GOOGLETRANSLATE(A22249,""en"",""pt"")"),"Sem boa Win2k motorista, Lento")</f>
        <v>Sem boa Win2k motorista, Lento</v>
      </c>
      <c r="B22249" s="3">
        <v>0</v>
      </c>
    </row>
    <row r="22250" ht="15.75" customHeight="1" spans="1:2">
      <c r="A22250" s="3" t="str">
        <f>IFERROR(__xludf.DUMMYFUNCTION("GOOGLETRANSLATE(A22250,""en"",""pt"")"),"USB pode ser difícil de ligar, se você não sabe o que está fazendo")</f>
        <v>USB pode ser difícil de ligar, se você não sabe o que está fazendo</v>
      </c>
      <c r="B22250" s="3">
        <v>0</v>
      </c>
    </row>
    <row r="22251" ht="15.75" customHeight="1" spans="1:2">
      <c r="A22251" s="3" t="str">
        <f>IFERROR(__xludf.DUMMYFUNCTION("GOOGLETRANSLATE(A22251,""en"",""pt"")"),"Uma impressora lento com baixa resolução e os cartuchos de tinta caros.")</f>
        <v>Uma impressora lento com baixa resolução e os cartuchos de tinta caros.</v>
      </c>
      <c r="B22251" s="3">
        <v>0</v>
      </c>
    </row>
    <row r="22252" ht="15.75" customHeight="1" spans="1:2">
      <c r="A22252" s="3" t="str">
        <f>IFERROR(__xludf.DUMMYFUNCTION("GOOGLETRANSLATE(A22252,""en"",""pt"")"),"Bastante lento e frustrante.")</f>
        <v>Bastante lento e frustrante.</v>
      </c>
      <c r="B22252" s="3">
        <v>0</v>
      </c>
    </row>
    <row r="22253" ht="15.75" customHeight="1" spans="1:2">
      <c r="A22253" s="3" t="str">
        <f>IFERROR(__xludf.DUMMYFUNCTION("GOOGLETRANSLATE(A22253,""en"",""pt"")"),"nenhum para falar de")</f>
        <v>nenhum para falar de</v>
      </c>
      <c r="B22253" s="3">
        <v>0</v>
      </c>
    </row>
    <row r="22254" ht="15.75" customHeight="1" spans="1:2">
      <c r="A22254" s="3" t="str">
        <f>IFERROR(__xludf.DUMMYFUNCTION("GOOGLETRANSLATE(A22254,""en"",""pt"")"),"não a maior velocidade")</f>
        <v>não a maior velocidade</v>
      </c>
      <c r="B22254" s="3">
        <v>0</v>
      </c>
    </row>
    <row r="22255" ht="15.75" customHeight="1" spans="1:2">
      <c r="A22255" s="3" t="str">
        <f>IFERROR(__xludf.DUMMYFUNCTION("GOOGLETRANSLATE(A22255,""en"",""pt"")"),"Lento!!!")</f>
        <v>Lento!!!</v>
      </c>
      <c r="B22255" s="3">
        <v>0</v>
      </c>
    </row>
    <row r="22256" ht="15.75" customHeight="1" spans="1:2">
      <c r="A22256" s="3" t="str">
        <f>IFERROR(__xludf.DUMMYFUNCTION("GOOGLETRANSLATE(A22256,""en"",""pt"")"),"Um pouco barulhento, que é meio grande em comparação com algumas impressoras")</f>
        <v>Um pouco barulhento, que é meio grande em comparação com algumas impressoras</v>
      </c>
      <c r="B22256" s="3">
        <v>0</v>
      </c>
    </row>
    <row r="22257" ht="15.75" customHeight="1" spans="1:2">
      <c r="A22257" s="3" t="str">
        <f>IFERROR(__xludf.DUMMYFUNCTION("GOOGLETRANSLATE(A22257,""en"",""pt"")"),"cartuchos caros, baixa qualidade, lento.")</f>
        <v>cartuchos caros, baixa qualidade, lento.</v>
      </c>
      <c r="B22257" s="3">
        <v>0</v>
      </c>
    </row>
    <row r="22258" ht="15.75" customHeight="1" spans="1:2">
      <c r="A22258" s="3" t="str">
        <f>IFERROR(__xludf.DUMMYFUNCTION("GOOGLETRANSLATE(A22258,""en"",""pt"")"),"Má qualidade de imagem? lento.")</f>
        <v>Má qualidade de imagem? lento.</v>
      </c>
      <c r="B22258" s="3">
        <v>0</v>
      </c>
    </row>
    <row r="22259" ht="15.75" customHeight="1" spans="1:2">
      <c r="A22259" s="3" t="str">
        <f>IFERROR(__xludf.DUMMYFUNCTION("GOOGLETRANSLATE(A22259,""en"",""pt"")"),"Prints muito lentamente ao imprimir em alta qualidade")</f>
        <v>Prints muito lentamente ao imprimir em alta qualidade</v>
      </c>
      <c r="B22259" s="3">
        <v>0</v>
      </c>
    </row>
    <row r="22260" ht="15.75" customHeight="1" spans="1:2">
      <c r="A22260" s="3" t="str">
        <f>IFERROR(__xludf.DUMMYFUNCTION("GOOGLETRANSLATE(A22260,""en"",""pt"")"),"Lento, não tão clara como os outros Deskjets.")</f>
        <v>Lento, não tão clara como os outros Deskjets.</v>
      </c>
      <c r="B22260" s="3">
        <v>0</v>
      </c>
    </row>
    <row r="22261" ht="15.75" customHeight="1" spans="1:2">
      <c r="A22261" s="3" t="str">
        <f>IFERROR(__xludf.DUMMYFUNCTION("GOOGLETRANSLATE(A22261,""en"",""pt"")"),"Lento. Barulhento. Flimsily construído.")</f>
        <v>Lento. Barulhento. Flimsily construído.</v>
      </c>
      <c r="B22261" s="3">
        <v>0</v>
      </c>
    </row>
    <row r="22262" ht="15.75" customHeight="1" spans="1:2">
      <c r="A22262" s="3" t="str">
        <f>IFERROR(__xludf.DUMMYFUNCTION("GOOGLETRANSLATE(A22262,""en"",""pt"")"),"Bastante ruidosa, cartuchos caros, impressões a cores são lentos")</f>
        <v>Bastante ruidosa, cartuchos caros, impressões a cores são lentos</v>
      </c>
      <c r="B22262" s="3">
        <v>0</v>
      </c>
    </row>
    <row r="22263" ht="15.75" customHeight="1" spans="1:2">
      <c r="A22263" s="3" t="str">
        <f>IFERROR(__xludf.DUMMYFUNCTION("GOOGLETRANSLATE(A22263,""en"",""pt"")"),"Leva muito tempo para imprimir uma página, barulhento, vários passos para instalar.")</f>
        <v>Leva muito tempo para imprimir uma página, barulhento, vários passos para instalar.</v>
      </c>
      <c r="B22263" s="3">
        <v>0</v>
      </c>
    </row>
    <row r="22264" ht="15.75" customHeight="1" spans="1:2">
      <c r="A22264" s="3" t="str">
        <f>IFERROR(__xludf.DUMMYFUNCTION("GOOGLETRANSLATE(A22264,""en"",""pt"")"),"As páginas são impressas lento se eles são a preto e branco ou a cores. A qualidade é pobre.")</f>
        <v>As páginas são impressas lento se eles são a preto e branco ou a cores. A qualidade é pobre.</v>
      </c>
      <c r="B22264" s="3">
        <v>0</v>
      </c>
    </row>
    <row r="22265" ht="15.75" customHeight="1" spans="1:2">
      <c r="A22265" s="3" t="str">
        <f>IFERROR(__xludf.DUMMYFUNCTION("GOOGLETRANSLATE(A22265,""en"",""pt"")"),"It &amp; amp; quot; pensa &amp; amp; quot; um tempo antes de ser impressa.")</f>
        <v>It &amp; amp; quot; pensa &amp; amp; quot; um tempo antes de ser impressa.</v>
      </c>
      <c r="B22265" s="3">
        <v>0</v>
      </c>
    </row>
    <row r="22266" ht="15.75" customHeight="1" spans="1:2">
      <c r="A22266" s="3" t="str">
        <f>IFERROR(__xludf.DUMMYFUNCTION("GOOGLETRANSLATE(A22266,""en"",""pt"")"),"reprodução de fotos sem brilho (que se espera nesta faixa de preço)")</f>
        <v>reprodução de fotos sem brilho (que se espera nesta faixa de preço)</v>
      </c>
      <c r="B22266" s="3">
        <v>0</v>
      </c>
    </row>
    <row r="22267" ht="15.75" customHeight="1" spans="1:2">
      <c r="A22267" s="3" t="str">
        <f>IFERROR(__xludf.DUMMYFUNCTION("GOOGLETRANSLATE(A22267,""en"",""pt"")"),"velocidades de impressão de cor lenta")</f>
        <v>velocidades de impressão de cor lenta</v>
      </c>
      <c r="B22267" s="3">
        <v>0</v>
      </c>
    </row>
    <row r="22268" ht="15.75" customHeight="1" spans="1:2">
      <c r="A22268" s="3" t="str">
        <f>IFERROR(__xludf.DUMMYFUNCTION("GOOGLETRANSLATE(A22268,""en"",""pt"")"),"Nenhum")</f>
        <v>Nenhum</v>
      </c>
      <c r="B22268" s="3">
        <v>0</v>
      </c>
    </row>
    <row r="22269" ht="15.75" customHeight="1" spans="1:2">
      <c r="A22269" s="3" t="str">
        <f>IFERROR(__xludf.DUMMYFUNCTION("GOOGLETRANSLATE(A22269,""en"",""pt"")"),"$ 35 cartuchos e tinta esperar ter reparos feitos.")</f>
        <v>$ 35 cartuchos e tinta esperar ter reparos feitos.</v>
      </c>
      <c r="B22269" s="3">
        <v>0</v>
      </c>
    </row>
    <row r="22270" ht="15.75" customHeight="1" spans="1:2">
      <c r="A22270" s="3" t="str">
        <f>IFERROR(__xludf.DUMMYFUNCTION("GOOGLETRANSLATE(A22270,""en"",""pt"")"),"carrapatos, atolamentos de papel falsos, conexões ruins")</f>
        <v>carrapatos, atolamentos de papel falsos, conexões ruins</v>
      </c>
      <c r="B22270" s="3">
        <v>0</v>
      </c>
    </row>
    <row r="22271" ht="15.75" customHeight="1" spans="1:2">
      <c r="A22271" s="3" t="str">
        <f>IFERROR(__xludf.DUMMYFUNCTION("GOOGLETRANSLATE(A22271,""en"",""pt"")"),"Eu não encontrei qualquer coisa que eu não gostei")</f>
        <v>Eu não encontrei qualquer coisa que eu não gostei</v>
      </c>
      <c r="B22271" s="3">
        <v>0</v>
      </c>
    </row>
    <row r="22272" ht="15.75" customHeight="1" spans="1:2">
      <c r="A22272" s="3" t="str">
        <f>IFERROR(__xludf.DUMMYFUNCTION("GOOGLETRANSLATE(A22272,""en"",""pt"")"),"Fácil de tinta mancha, pequena quantidade de papel realizada, envelopes difícil de usar")</f>
        <v>Fácil de tinta mancha, pequena quantidade de papel realizada, envelopes difícil de usar</v>
      </c>
      <c r="B22272" s="3">
        <v>0</v>
      </c>
    </row>
    <row r="22273" ht="15.75" customHeight="1" spans="1:2">
      <c r="A22273" s="3" t="str">
        <f>IFERROR(__xludf.DUMMYFUNCTION("GOOGLETRANSLATE(A22273,""en"",""pt"")"),"tinta esgota-se rapidamente, em voz alta, instável, a impressão é terrível")</f>
        <v>tinta esgota-se rapidamente, em voz alta, instável, a impressão é terrível</v>
      </c>
      <c r="B22273" s="3">
        <v>0</v>
      </c>
    </row>
    <row r="22274" ht="15.75" customHeight="1" spans="1:2">
      <c r="A22274" s="3" t="str">
        <f>IFERROR(__xludf.DUMMYFUNCTION("GOOGLETRANSLATE(A22274,""en"",""pt"")"),"má qualidade")</f>
        <v>má qualidade</v>
      </c>
      <c r="B22274" s="3">
        <v>0</v>
      </c>
    </row>
    <row r="22275" ht="15.75" customHeight="1" spans="1:2">
      <c r="A22275" s="3" t="str">
        <f>IFERROR(__xludf.DUMMYFUNCTION("GOOGLETRANSLATE(A22275,""en"",""pt"")"),"Lentos, muitas vezes faixas e pistas")</f>
        <v>Lentos, muitas vezes faixas e pistas</v>
      </c>
      <c r="B22275" s="3">
        <v>0</v>
      </c>
    </row>
    <row r="22276" ht="15.75" customHeight="1" spans="1:2">
      <c r="A22276" s="3" t="str">
        <f>IFERROR(__xludf.DUMMYFUNCTION("GOOGLETRANSLATE(A22276,""en"",""pt"")"),"barulhento, boa apenas para usuários individuais e usuários SOHO")</f>
        <v>barulhento, boa apenas para usuários individuais e usuários SOHO</v>
      </c>
      <c r="B22276" s="3">
        <v>0</v>
      </c>
    </row>
    <row r="22277" ht="15.75" customHeight="1" spans="1:2">
      <c r="A22277" s="3" t="str">
        <f>IFERROR(__xludf.DUMMYFUNCTION("GOOGLETRANSLATE(A22277,""en"",""pt"")"),"minas um pouco quebrado = (")</f>
        <v>minas um pouco quebrado = (</v>
      </c>
      <c r="B22277" s="3">
        <v>0</v>
      </c>
    </row>
    <row r="22278" ht="15.75" customHeight="1" spans="1:2">
      <c r="A22278" s="3" t="str">
        <f>IFERROR(__xludf.DUMMYFUNCTION("GOOGLETRANSLATE(A22278,""en"",""pt"")"),"Ele parece usar a tinta preta um pouco rápido.")</f>
        <v>Ele parece usar a tinta preta um pouco rápido.</v>
      </c>
      <c r="B22278" s="3">
        <v>0</v>
      </c>
    </row>
    <row r="22279" ht="15.75" customHeight="1" spans="1:2">
      <c r="A22279" s="3" t="str">
        <f>IFERROR(__xludf.DUMMYFUNCTION("GOOGLETRANSLATE(A22279,""en"",""pt"")"),"porcos recursos do sistema, qualidade de impressão ruim, má qualidade do texto, manchas, manchas durante a impressão, sem uso de rede, nenhum carneiro")</f>
        <v>porcos recursos do sistema, qualidade de impressão ruim, má qualidade do texto, manchas, manchas durante a impressão, sem uso de rede, nenhum carneiro</v>
      </c>
      <c r="B22279" s="3">
        <v>0</v>
      </c>
    </row>
    <row r="22280" ht="15.75" customHeight="1" spans="1:2">
      <c r="A22280" s="3" t="str">
        <f>IFERROR(__xludf.DUMMYFUNCTION("GOOGLETRANSLATE(A22280,""en"",""pt"")"),"alguns problemas aqui e ali, mas quem disse que eu era uma tecnologia génio!")</f>
        <v>alguns problemas aqui e ali, mas quem disse que eu era uma tecnologia génio!</v>
      </c>
      <c r="B22280" s="3">
        <v>0</v>
      </c>
    </row>
    <row r="22281" ht="15.75" customHeight="1" spans="1:2">
      <c r="A22281" s="3" t="str">
        <f>IFERROR(__xludf.DUMMYFUNCTION("GOOGLETRANSLATE(A22281,""en"",""pt"")"),"Retardar ainda abaixo de impressão de imagem médio")</f>
        <v>Retardar ainda abaixo de impressão de imagem médio</v>
      </c>
      <c r="B22281" s="3">
        <v>0</v>
      </c>
    </row>
    <row r="22282" ht="15.75" customHeight="1" spans="1:2">
      <c r="A22282" s="3" t="str">
        <f>IFERROR(__xludf.DUMMYFUNCTION("GOOGLETRANSLATE(A22282,""en"",""pt"")"),"ligeiramente batidos ao imprimir")</f>
        <v>ligeiramente batidos ao imprimir</v>
      </c>
      <c r="B22282" s="3">
        <v>0</v>
      </c>
    </row>
    <row r="22283" ht="15.75" customHeight="1" spans="1:2">
      <c r="A22283" s="3" t="str">
        <f>IFERROR(__xludf.DUMMYFUNCTION("GOOGLETRANSLATE(A22283,""en"",""pt"")"),"Não é a impressora top-of-the-line.")</f>
        <v>Não é a impressora top-of-the-line.</v>
      </c>
      <c r="B22283" s="3">
        <v>0</v>
      </c>
    </row>
    <row r="22284" ht="15.75" customHeight="1" spans="1:2">
      <c r="A22284" s="3" t="str">
        <f>IFERROR(__xludf.DUMMYFUNCTION("GOOGLETRANSLATE(A22284,""en"",""pt"")"),"sem queixas")</f>
        <v>sem queixas</v>
      </c>
      <c r="B22284" s="3">
        <v>0</v>
      </c>
    </row>
    <row r="22285" ht="15.75" customHeight="1" spans="1:2">
      <c r="A22285" s="3" t="str">
        <f>IFERROR(__xludf.DUMMYFUNCTION("GOOGLETRANSLATE(A22285,""en"",""pt"")"),"Sem exibição na tela do uso do cartucho, para que você saiba quando você está ficando baixo.")</f>
        <v>Sem exibição na tela do uso do cartucho, para que você saiba quando você está ficando baixo.</v>
      </c>
      <c r="B22285" s="3">
        <v>0</v>
      </c>
    </row>
    <row r="22286" ht="15.75" customHeight="1" spans="1:2">
      <c r="A22286" s="3" t="str">
        <f>IFERROR(__xludf.DUMMYFUNCTION("GOOGLETRANSLATE(A22286,""en"",""pt"")"),"Nada de mais.")</f>
        <v>Nada de mais.</v>
      </c>
      <c r="B22286" s="3">
        <v>0</v>
      </c>
    </row>
    <row r="22287" ht="15.75" customHeight="1" spans="1:2">
      <c r="A22287" s="3" t="str">
        <f>IFERROR(__xludf.DUMMYFUNCTION("GOOGLETRANSLATE(A22287,""en"",""pt"")"),"custo da tinta.")</f>
        <v>custo da tinta.</v>
      </c>
      <c r="B22287" s="3">
        <v>0</v>
      </c>
    </row>
    <row r="22288" ht="15.75" customHeight="1" spans="1:2">
      <c r="A22288" s="3" t="str">
        <f>IFERROR(__xludf.DUMMYFUNCTION("GOOGLETRANSLATE(A22288,""en"",""pt"")"),"Não tão rápido como as impressoras HP série 800")</f>
        <v>Não tão rápido como as impressoras HP série 800</v>
      </c>
      <c r="B22288" s="3">
        <v>0</v>
      </c>
    </row>
    <row r="22289" ht="15.75" customHeight="1" spans="1:2">
      <c r="A22289" s="3" t="str">
        <f>IFERROR(__xludf.DUMMYFUNCTION("GOOGLETRANSLATE(A22289,""en"",""pt"")"),"mau de imprimir gráficos, quebrou após 3 meses")</f>
        <v>mau de imprimir gráficos, quebrou após 3 meses</v>
      </c>
      <c r="B22289" s="3">
        <v>0</v>
      </c>
    </row>
    <row r="22290" ht="15.75" customHeight="1" spans="1:2">
      <c r="A22290" s="3" t="str">
        <f>IFERROR(__xludf.DUMMYFUNCTION("GOOGLETRANSLATE(A22290,""en"",""pt"")"),"Tem que usar fontes Hewlett Packard")</f>
        <v>Tem que usar fontes Hewlett Packard</v>
      </c>
      <c r="B22290" s="3">
        <v>0</v>
      </c>
    </row>
    <row r="22291" ht="15.75" customHeight="1" spans="1:2">
      <c r="A22291" s="3" t="str">
        <f>IFERROR(__xludf.DUMMYFUNCTION("GOOGLETRANSLATE(A22291,""en"",""pt"")"),"não gostaria de compartilhar com outras impressoras")</f>
        <v>não gostaria de compartilhar com outras impressoras</v>
      </c>
      <c r="B22291" s="3">
        <v>0</v>
      </c>
    </row>
    <row r="22292" ht="15.75" customHeight="1" spans="1:2">
      <c r="A22292" s="3" t="str">
        <f>IFERROR(__xludf.DUMMYFUNCTION("GOOGLETRANSLATE(A22292,""en"",""pt"")"),"?")</f>
        <v>?</v>
      </c>
      <c r="B22292" s="3">
        <v>0</v>
      </c>
    </row>
    <row r="22293" ht="15.75" customHeight="1" spans="1:2">
      <c r="A22293" s="3" t="str">
        <f>IFERROR(__xludf.DUMMYFUNCTION("GOOGLETRANSLATE(A22293,""en"",""pt"")"),"nenhum que eu posso ver")</f>
        <v>nenhum que eu posso ver</v>
      </c>
      <c r="B22293" s="3">
        <v>0</v>
      </c>
    </row>
    <row r="22294" ht="15.75" customHeight="1" spans="1:2">
      <c r="A22294" s="3" t="str">
        <f>IFERROR(__xludf.DUMMYFUNCTION("GOOGLETRANSLATE(A22294,""en"",""pt"")"),"não, alimentação única auto-shut off para envelopes")</f>
        <v>não, alimentação única auto-shut off para envelopes</v>
      </c>
      <c r="B22294" s="3">
        <v>0</v>
      </c>
    </row>
    <row r="22295" ht="15.75" customHeight="1" spans="1:2">
      <c r="A22295" s="3" t="str">
        <f>IFERROR(__xludf.DUMMYFUNCTION("GOOGLETRANSLATE(A22295,""en"",""pt"")"),"lento, única &amp; amp; quot; ok &amp; amp; quot; qualidade")</f>
        <v>lento, única &amp; amp; quot; ok &amp; amp; quot; qualidade</v>
      </c>
      <c r="B22295" s="3">
        <v>0</v>
      </c>
    </row>
    <row r="22296" ht="15.75" customHeight="1" spans="1:2">
      <c r="A22296" s="3" t="str">
        <f>IFERROR(__xludf.DUMMYFUNCTION("GOOGLETRANSLATE(A22296,""en"",""pt"")"),"pode não ser o melhor para gráficos complexos")</f>
        <v>pode não ser o melhor para gráficos complexos</v>
      </c>
      <c r="B22296" s="3">
        <v>0</v>
      </c>
    </row>
    <row r="22297" ht="15.75" customHeight="1" spans="1:2">
      <c r="A22297" s="3" t="str">
        <f>IFERROR(__xludf.DUMMYFUNCTION("GOOGLETRANSLATE(A22297,""en"",""pt"")"),"A impressão a cores é mais demorada")</f>
        <v>A impressão a cores é mais demorada</v>
      </c>
      <c r="B22297" s="3">
        <v>0</v>
      </c>
    </row>
    <row r="22298" ht="15.75" customHeight="1" spans="1:2">
      <c r="A22298" s="3" t="str">
        <f>IFERROR(__xludf.DUMMYFUNCTION("GOOGLETRANSLATE(A22298,""en"",""pt"")"),"ocasionais manchas de tinta")</f>
        <v>ocasionais manchas de tinta</v>
      </c>
      <c r="B22298" s="3">
        <v>0</v>
      </c>
    </row>
    <row r="22299" ht="15.75" customHeight="1" spans="1:2">
      <c r="A22299" s="3" t="str">
        <f>IFERROR(__xludf.DUMMYFUNCTION("GOOGLETRANSLATE(A22299,""en"",""pt"")"),"trava ocasionalmente se, cartuchos são caros")</f>
        <v>trava ocasionalmente se, cartuchos são caros</v>
      </c>
      <c r="B22299" s="3">
        <v>0</v>
      </c>
    </row>
    <row r="22300" ht="15.75" customHeight="1" spans="1:2">
      <c r="A22300" s="3" t="str">
        <f>IFERROR(__xludf.DUMMYFUNCTION("GOOGLETRANSLATE(A22300,""en"",""pt"")"),"passa pela tinta!")</f>
        <v>passa pela tinta!</v>
      </c>
      <c r="B22300" s="3">
        <v>0</v>
      </c>
    </row>
    <row r="22301" ht="15.75" customHeight="1" spans="1:2">
      <c r="A22301" s="3" t="str">
        <f>IFERROR(__xludf.DUMMYFUNCTION("GOOGLETRANSLATE(A22301,""en"",""pt"")"),"i imprimir demais")</f>
        <v>i imprimir demais</v>
      </c>
      <c r="B22301" s="3">
        <v>0</v>
      </c>
    </row>
    <row r="22302" ht="15.75" customHeight="1" spans="1:2">
      <c r="A22302" s="3" t="str">
        <f>IFERROR(__xludf.DUMMYFUNCTION("GOOGLETRANSLATE(A22302,""en"",""pt"")"),"um pouco mais lento do que as unidades mais caras")</f>
        <v>um pouco mais lento do que as unidades mais caras</v>
      </c>
      <c r="B22302" s="3">
        <v>0</v>
      </c>
    </row>
    <row r="22303" ht="15.75" customHeight="1" spans="1:2">
      <c r="A22303" s="3" t="str">
        <f>IFERROR(__xludf.DUMMYFUNCTION("GOOGLETRANSLATE(A22303,""en"",""pt"")"),"imperfeito")</f>
        <v>imperfeito</v>
      </c>
      <c r="B22303" s="3">
        <v>0</v>
      </c>
    </row>
    <row r="22304" ht="15.75" customHeight="1" spans="1:2">
      <c r="A22304" s="3" t="str">
        <f>IFERROR(__xludf.DUMMYFUNCTION("GOOGLETRANSLATE(A22304,""en"",""pt"")"),"Palavras saem Smeared, impressão Erros, tinta sai difusa")</f>
        <v>Palavras saem Smeared, impressão Erros, tinta sai difusa</v>
      </c>
      <c r="B22304" s="3">
        <v>0</v>
      </c>
    </row>
    <row r="22305" ht="15.75" customHeight="1" spans="1:2">
      <c r="A22305" s="3" t="str">
        <f>IFERROR(__xludf.DUMMYFUNCTION("GOOGLETRANSLATE(A22305,""en"",""pt"")"),"diz que é fora do papel quando não é")</f>
        <v>diz que é fora do papel quando não é</v>
      </c>
      <c r="B22305" s="3">
        <v>0</v>
      </c>
    </row>
    <row r="22306" ht="15.75" customHeight="1" spans="1:2">
      <c r="A22306" s="3" t="str">
        <f>IFERROR(__xludf.DUMMYFUNCTION("GOOGLETRANSLATE(A22306,""en"",""pt"")"),"um pouco lento &amp; amp; amp; recargas caras")</f>
        <v>um pouco lento &amp; amp; amp; recargas caras</v>
      </c>
      <c r="B22306" s="3">
        <v>0</v>
      </c>
    </row>
    <row r="22307" ht="15.75" customHeight="1" spans="1:2">
      <c r="A22307" s="3" t="str">
        <f>IFERROR(__xludf.DUMMYFUNCTION("GOOGLETRANSLATE(A22307,""en"",""pt"")"),"software pobres")</f>
        <v>software pobres</v>
      </c>
      <c r="B22307" s="3">
        <v>0</v>
      </c>
    </row>
    <row r="22308" ht="15.75" customHeight="1" spans="1:2">
      <c r="A22308" s="3" t="str">
        <f>IFERROR(__xludf.DUMMYFUNCTION("GOOGLETRANSLATE(A22308,""en"",""pt"")"),"TUDO")</f>
        <v>TUDO</v>
      </c>
      <c r="B22308" s="3">
        <v>0</v>
      </c>
    </row>
    <row r="22309" ht="15.75" customHeight="1" spans="1:2">
      <c r="A22309" s="3" t="str">
        <f>IFERROR(__xludf.DUMMYFUNCTION("GOOGLETRANSLATE(A22309,""en"",""pt"")"),"Custo do Cartucho")</f>
        <v>Custo do Cartucho</v>
      </c>
      <c r="B22309" s="3">
        <v>0</v>
      </c>
    </row>
    <row r="22310" ht="15.75" customHeight="1" spans="1:2">
      <c r="A22310" s="3" t="str">
        <f>IFERROR(__xludf.DUMMYFUNCTION("GOOGLETRANSLATE(A22310,""en"",""pt"")"),"A velocidade é um pouco vagaroso.")</f>
        <v>A velocidade é um pouco vagaroso.</v>
      </c>
      <c r="B22310" s="3">
        <v>0</v>
      </c>
    </row>
    <row r="22311" ht="15.75" customHeight="1" spans="1:2">
      <c r="A22311" s="3" t="str">
        <f>IFERROR(__xludf.DUMMYFUNCTION("GOOGLETRANSLATE(A22311,""en"",""pt"")"),"forma, não a qualidade mais afiada")</f>
        <v>forma, não a qualidade mais afiada</v>
      </c>
      <c r="B22311" s="3">
        <v>0</v>
      </c>
    </row>
    <row r="22312" ht="15.75" customHeight="1" spans="1:2">
      <c r="A22312" s="3" t="str">
        <f>IFERROR(__xludf.DUMMYFUNCTION("GOOGLETRANSLATE(A22312,""en"",""pt"")"),"Nenhum")</f>
        <v>Nenhum</v>
      </c>
      <c r="B22312" s="3">
        <v>0</v>
      </c>
    </row>
    <row r="22313" ht="15.75" customHeight="1" spans="1:2">
      <c r="A22313" s="3" t="str">
        <f>IFERROR(__xludf.DUMMYFUNCTION("GOOGLETRANSLATE(A22313,""en"",""pt"")"),"Muito barulho, retarda computador para baixo, aperta minha suporte da impressora")</f>
        <v>Muito barulho, retarda computador para baixo, aperta minha suporte da impressora</v>
      </c>
      <c r="B22313" s="3">
        <v>0</v>
      </c>
    </row>
    <row r="22314" ht="15.75" customHeight="1" spans="1:2">
      <c r="A22314" s="3" t="str">
        <f>IFERROR(__xludf.DUMMYFUNCTION("GOOGLETRANSLATE(A22314,""en"",""pt"")"),"Não tão boa qualidade de cor em comparação com Cânones igualmente preços etc. e cartuchos de tinta caro.")</f>
        <v>Não tão boa qualidade de cor em comparação com Cânones igualmente preços etc. e cartuchos de tinta caro.</v>
      </c>
      <c r="B22314" s="3">
        <v>0</v>
      </c>
    </row>
    <row r="22315" ht="15.75" customHeight="1" spans="1:2">
      <c r="A22315" s="3" t="str">
        <f>IFERROR(__xludf.DUMMYFUNCTION("GOOGLETRANSLATE(A22315,""en"",""pt"")"),"nenhum para o preço")</f>
        <v>nenhum para o preço</v>
      </c>
      <c r="B22315" s="3">
        <v>0</v>
      </c>
    </row>
    <row r="22316" ht="15.75" customHeight="1" spans="1:2">
      <c r="A22316" s="3" t="str">
        <f>IFERROR(__xludf.DUMMYFUNCTION("GOOGLETRANSLATE(A22316,""en"",""pt"")"),"desperdício de papel, má impressão, preto e branco única")</f>
        <v>desperdício de papel, má impressão, preto e branco única</v>
      </c>
      <c r="B22316" s="3">
        <v>0</v>
      </c>
    </row>
    <row r="22317" ht="15.75" customHeight="1" spans="1:2">
      <c r="A22317" s="3" t="str">
        <f>IFERROR(__xludf.DUMMYFUNCTION("GOOGLETRANSLATE(A22317,""en"",""pt"")"),"Nenhum")</f>
        <v>Nenhum</v>
      </c>
      <c r="B22317" s="3">
        <v>0</v>
      </c>
    </row>
    <row r="22318" ht="15.75" customHeight="1" spans="1:2">
      <c r="A22318" s="3" t="str">
        <f>IFERROR(__xludf.DUMMYFUNCTION("GOOGLETRANSLATE(A22318,""en"",""pt"")"),"TUDO")</f>
        <v>TUDO</v>
      </c>
      <c r="B22318" s="3">
        <v>0</v>
      </c>
    </row>
    <row r="22319" ht="15.75" customHeight="1" spans="1:2">
      <c r="A22319" s="3" t="str">
        <f>IFERROR(__xludf.DUMMYFUNCTION("GOOGLETRANSLATE(A22319,""en"",""pt"")"),"Você recebe o que você paga")</f>
        <v>Você recebe o que você paga</v>
      </c>
      <c r="B22319" s="3">
        <v>0</v>
      </c>
    </row>
    <row r="22320" ht="15.75" customHeight="1" spans="1:2">
      <c r="A22320" s="3" t="str">
        <f>IFERROR(__xludf.DUMMYFUNCTION("GOOGLETRANSLATE(A22320,""en"",""pt"")"),"Can Streak / impressão da Feira de Qualidade")</f>
        <v>Can Streak / impressão da Feira de Qualidade</v>
      </c>
      <c r="B22320" s="3">
        <v>0</v>
      </c>
    </row>
    <row r="22321" ht="15.75" customHeight="1" spans="1:2">
      <c r="A22321" s="3" t="str">
        <f>IFERROR(__xludf.DUMMYFUNCTION("GOOGLETRANSLATE(A22321,""en"",""pt"")"),"os cartuchos de tinta de cor são caros")</f>
        <v>os cartuchos de tinta de cor são caros</v>
      </c>
      <c r="B22321" s="3">
        <v>0</v>
      </c>
    </row>
    <row r="22322" ht="15.75" customHeight="1" spans="1:2">
      <c r="A22322" s="3" t="str">
        <f>IFERROR(__xludf.DUMMYFUNCTION("GOOGLETRANSLATE(A22322,""en"",""pt"")"),"Somente qualidade média, e às vezes cores inadequações (geralmente somente se os cartuchos de tinta são baixos).")</f>
        <v>Somente qualidade média, e às vezes cores inadequações (geralmente somente se os cartuchos de tinta são baixos).</v>
      </c>
      <c r="B22322" s="3">
        <v>0</v>
      </c>
    </row>
    <row r="22323" ht="15.75" customHeight="1" spans="1:2">
      <c r="A22323" s="3" t="str">
        <f>IFERROR(__xludf.DUMMYFUNCTION("GOOGLETRANSLATE(A22323,""en"",""pt"")"),"listando constantemente")</f>
        <v>listando constantemente</v>
      </c>
      <c r="B22323" s="3">
        <v>0</v>
      </c>
    </row>
    <row r="22324" ht="15.75" customHeight="1" spans="1:2">
      <c r="A22324" s="3" t="str">
        <f>IFERROR(__xludf.DUMMYFUNCTION("GOOGLETRANSLATE(A22324,""en"",""pt"")"),"Nenhum")</f>
        <v>Nenhum</v>
      </c>
      <c r="B22324" s="3">
        <v>0</v>
      </c>
    </row>
    <row r="22325" ht="15.75" customHeight="1" spans="1:2">
      <c r="A22325" s="3" t="str">
        <f>IFERROR(__xludf.DUMMYFUNCTION("GOOGLETRANSLATE(A22325,""en"",""pt"")"),"Não a impressão mais alta definição disponíveis")</f>
        <v>Não a impressão mais alta definição disponíveis</v>
      </c>
      <c r="B22325" s="3">
        <v>0</v>
      </c>
    </row>
    <row r="22326" ht="15.75" customHeight="1" spans="1:2">
      <c r="A22326" s="3" t="str">
        <f>IFERROR(__xludf.DUMMYFUNCTION("GOOGLETRANSLATE(A22326,""en"",""pt"")"),"Riscos de tinta")</f>
        <v>Riscos de tinta</v>
      </c>
      <c r="B22326" s="3">
        <v>0</v>
      </c>
    </row>
    <row r="22327" ht="15.75" customHeight="1" spans="1:2">
      <c r="A22327" s="3" t="str">
        <f>IFERROR(__xludf.DUMMYFUNCTION("GOOGLETRANSLATE(A22327,""en"",""pt"")"),"Não lidar com cor bem, é muito, muito barulhento durante a impressão.")</f>
        <v>Não lidar com cor bem, é muito, muito barulhento durante a impressão.</v>
      </c>
      <c r="B22327" s="3">
        <v>0</v>
      </c>
    </row>
    <row r="22328" ht="15.75" customHeight="1" spans="1:2">
      <c r="A22328" s="3" t="str">
        <f>IFERROR(__xludf.DUMMYFUNCTION("GOOGLETRANSLATE(A22328,""en"",""pt"")"),"compotas muito e rápido quebrou")</f>
        <v>compotas muito e rápido quebrou</v>
      </c>
      <c r="B22328" s="3">
        <v>0</v>
      </c>
    </row>
    <row r="22329" ht="15.75" customHeight="1" spans="1:2">
      <c r="A22329" s="3" t="str">
        <f>IFERROR(__xludf.DUMMYFUNCTION("GOOGLETRANSLATE(A22329,""en"",""pt"")"),"Noise, baixou de qualidade ao longo do tempo.")</f>
        <v>Noise, baixou de qualidade ao longo do tempo.</v>
      </c>
      <c r="B22329" s="3">
        <v>0</v>
      </c>
    </row>
    <row r="22330" ht="15.75" customHeight="1" spans="1:2">
      <c r="A22330" s="3" t="str">
        <f>IFERROR(__xludf.DUMMYFUNCTION("GOOGLETRANSLATE(A22330,""en"",""pt"")"),"não é bom para aplicações de imagem profissionais, retarda o seu computador quando em execução")</f>
        <v>não é bom para aplicações de imagem profissionais, retarda o seu computador quando em execução</v>
      </c>
      <c r="B22330" s="3">
        <v>0</v>
      </c>
    </row>
    <row r="22331" ht="15.75" customHeight="1" spans="1:2">
      <c r="A22331" s="3" t="str">
        <f>IFERROR(__xludf.DUMMYFUNCTION("GOOGLETRANSLATE(A22331,""en"",""pt"")"),"luz amarela, alto")</f>
        <v>luz amarela, alto</v>
      </c>
      <c r="B22331" s="3">
        <v>0</v>
      </c>
    </row>
    <row r="22332" ht="15.75" customHeight="1" spans="1:2">
      <c r="A22332" s="3" t="str">
        <f>IFERROR(__xludf.DUMMYFUNCTION("GOOGLETRANSLATE(A22332,""en"",""pt"")"),"leia opinião para mais detalhes, muitos para listar aqui.")</f>
        <v>leia opinião para mais detalhes, muitos para listar aqui.</v>
      </c>
      <c r="B22332" s="3">
        <v>0</v>
      </c>
    </row>
    <row r="22333" ht="15.75" customHeight="1" spans="1:2">
      <c r="A22333" s="3" t="str">
        <f>IFERROR(__xludf.DUMMYFUNCTION("GOOGLETRANSLATE(A22333,""en"",""pt"")"),"HP Deskjet 697C")</f>
        <v>HP Deskjet 697C</v>
      </c>
      <c r="B22333" s="3">
        <v>0</v>
      </c>
    </row>
    <row r="22334" ht="15.75" customHeight="1" spans="1:2">
      <c r="A22334" s="3" t="str">
        <f>IFERROR(__xludf.DUMMYFUNCTION("GOOGLETRANSLATE(A22334,""en"",""pt"")"),"LOUD, volumoso")</f>
        <v>LOUD, volumoso</v>
      </c>
      <c r="B22334" s="3">
        <v>0</v>
      </c>
    </row>
    <row r="22335" ht="15.75" customHeight="1" spans="1:2">
      <c r="A22335" s="3" t="str">
        <f>IFERROR(__xludf.DUMMYFUNCTION("GOOGLETRANSLATE(A22335,""en"",""pt"")"),"Nunca se sabe quando ele vai trabalhar")</f>
        <v>Nunca se sabe quando ele vai trabalhar</v>
      </c>
      <c r="B22335" s="3">
        <v>0</v>
      </c>
    </row>
    <row r="22336" ht="15.75" customHeight="1" spans="1:2">
      <c r="A22336" s="3" t="str">
        <f>IFERROR(__xludf.DUMMYFUNCTION("GOOGLETRANSLATE(A22336,""en"",""pt"")"),"política anti-cliente corporativo HP")</f>
        <v>política anti-cliente corporativo HP</v>
      </c>
      <c r="B22336" s="3">
        <v>0</v>
      </c>
    </row>
    <row r="22337" ht="15.75" customHeight="1" spans="1:2">
      <c r="A22337" s="3" t="str">
        <f>IFERROR(__xludf.DUMMYFUNCTION("GOOGLETRANSLATE(A22337,""en"",""pt"")"),"cartuchos, mas acho que todos eles são caros!")</f>
        <v>cartuchos, mas acho que todos eles são caros!</v>
      </c>
      <c r="B22337" s="3">
        <v>0</v>
      </c>
    </row>
    <row r="22338" ht="15.75" customHeight="1" spans="1:2">
      <c r="A22338" s="3" t="str">
        <f>IFERROR(__xludf.DUMMYFUNCTION("GOOGLETRANSLATE(A22338,""en"",""pt"")"),"velocidade lenta, atolamentos de papel")</f>
        <v>velocidade lenta, atolamentos de papel</v>
      </c>
      <c r="B22338" s="3">
        <v>0</v>
      </c>
    </row>
    <row r="22339" ht="15.75" customHeight="1" spans="1:2">
      <c r="A22339" s="3" t="str">
        <f>IFERROR(__xludf.DUMMYFUNCTION("GOOGLETRANSLATE(A22339,""en"",""pt"")"),"Não encontrei nenhum.")</f>
        <v>Não encontrei nenhum.</v>
      </c>
      <c r="B22339" s="3">
        <v>0</v>
      </c>
    </row>
    <row r="22340" ht="15.75" customHeight="1" spans="1:2">
      <c r="A22340" s="3" t="str">
        <f>IFERROR(__xludf.DUMMYFUNCTION("GOOGLETRANSLATE(A22340,""en"",""pt"")"),"Não era livre (única coisa que eu poderia pensar)")</f>
        <v>Não era livre (única coisa que eu poderia pensar)</v>
      </c>
      <c r="B22340" s="3">
        <v>0</v>
      </c>
    </row>
    <row r="22341" ht="15.75" customHeight="1" spans="1:2">
      <c r="A22341" s="3" t="str">
        <f>IFERROR(__xludf.DUMMYFUNCTION("GOOGLETRANSLATE(A22341,""en"",""pt"")"),"baixas reservas de tinta")</f>
        <v>baixas reservas de tinta</v>
      </c>
      <c r="B22341" s="3">
        <v>0</v>
      </c>
    </row>
    <row r="22342" ht="15.75" customHeight="1" spans="1:2">
      <c r="A22342" s="3" t="str">
        <f>IFERROR(__xludf.DUMMYFUNCTION("GOOGLETRANSLATE(A22342,""en"",""pt"")"),"Preço de cartuchos")</f>
        <v>Preço de cartuchos</v>
      </c>
      <c r="B22342" s="3">
        <v>0</v>
      </c>
    </row>
    <row r="22343" ht="15.75" customHeight="1" spans="1:2">
      <c r="A22343" s="3" t="str">
        <f>IFERROR(__xludf.DUMMYFUNCTION("GOOGLETRANSLATE(A22343,""en"",""pt"")"),"custo de tinta")</f>
        <v>custo de tinta</v>
      </c>
      <c r="B22343" s="3">
        <v>0</v>
      </c>
    </row>
    <row r="22344" ht="15.75" customHeight="1" spans="1:2">
      <c r="A22344" s="3" t="str">
        <f>IFERROR(__xludf.DUMMYFUNCTION("GOOGLETRANSLATE(A22344,""en"",""pt"")"),"Não reembolsaram tinha qualquer")</f>
        <v>Não reembolsaram tinha qualquer</v>
      </c>
      <c r="B22344" s="3">
        <v>0</v>
      </c>
    </row>
    <row r="22345" ht="15.75" customHeight="1" spans="1:2">
      <c r="A22345" s="3" t="str">
        <f>IFERROR(__xludf.DUMMYFUNCTION("GOOGLETRANSLATE(A22345,""en"",""pt"")"),"O preço é mais elevado do que algumas marcas.")</f>
        <v>O preço é mais elevado do que algumas marcas.</v>
      </c>
      <c r="B22345" s="3">
        <v>0</v>
      </c>
    </row>
    <row r="22346" ht="15.75" customHeight="1" spans="1:2">
      <c r="A22346" s="3" t="str">
        <f>IFERROR(__xludf.DUMMYFUNCTION("GOOGLETRANSLATE(A22346,""en"",""pt"")"),"Nenhum")</f>
        <v>Nenhum</v>
      </c>
      <c r="B22346" s="3">
        <v>0</v>
      </c>
    </row>
    <row r="22347" ht="15.75" customHeight="1" spans="1:2">
      <c r="A22347" s="3" t="str">
        <f>IFERROR(__xludf.DUMMYFUNCTION("GOOGLETRANSLATE(A22347,""en"",""pt"")"),"Nenhum")</f>
        <v>Nenhum</v>
      </c>
      <c r="B22347" s="3">
        <v>0</v>
      </c>
    </row>
    <row r="22348" ht="15.75" customHeight="1" spans="1:2">
      <c r="A22348" s="3" t="str">
        <f>IFERROR(__xludf.DUMMYFUNCTION("GOOGLETRANSLATE(A22348,""en"",""pt"")"),"programa de instalação é terrível.")</f>
        <v>programa de instalação é terrível.</v>
      </c>
      <c r="B22348" s="3">
        <v>0</v>
      </c>
    </row>
    <row r="22349" ht="15.75" customHeight="1" spans="1:2">
      <c r="A22349" s="3" t="str">
        <f>IFERROR(__xludf.DUMMYFUNCTION("GOOGLETRANSLATE(A22349,""en"",""pt"")"),"projeto péssimo na bandeja de papel")</f>
        <v>projeto péssimo na bandeja de papel</v>
      </c>
      <c r="B22349" s="3">
        <v>0</v>
      </c>
    </row>
    <row r="22350" ht="15.75" customHeight="1" spans="1:2">
      <c r="A22350" s="3" t="str">
        <f>IFERROR(__xludf.DUMMYFUNCTION("GOOGLETRANSLATE(A22350,""en"",""pt"")"),"Nenhum")</f>
        <v>Nenhum</v>
      </c>
      <c r="B22350" s="3">
        <v>0</v>
      </c>
    </row>
    <row r="22351" ht="15.75" customHeight="1" spans="1:2">
      <c r="A22351" s="3" t="str">
        <f>IFERROR(__xludf.DUMMYFUNCTION("GOOGLETRANSLATE(A22351,""en"",""pt"")"),"A qualidade da foto limitado a papéis mais sofisticados")</f>
        <v>A qualidade da foto limitado a papéis mais sofisticados</v>
      </c>
      <c r="B22351" s="3">
        <v>0</v>
      </c>
    </row>
    <row r="22352" ht="15.75" customHeight="1" spans="1:2">
      <c r="A22352" s="3" t="str">
        <f>IFERROR(__xludf.DUMMYFUNCTION("GOOGLETRANSLATE(A22352,""en"",""pt"")"),"eu não posso pensar em qualquer")</f>
        <v>eu não posso pensar em qualquer</v>
      </c>
      <c r="B22352" s="3">
        <v>0</v>
      </c>
    </row>
    <row r="22353" ht="15.75" customHeight="1" spans="1:2">
      <c r="A22353" s="3" t="str">
        <f>IFERROR(__xludf.DUMMYFUNCTION("GOOGLETRANSLATE(A22353,""en"",""pt"")"),"Nenhum")</f>
        <v>Nenhum</v>
      </c>
      <c r="B22353" s="3">
        <v>0</v>
      </c>
    </row>
    <row r="22354" ht="15.75" customHeight="1" spans="1:2">
      <c r="A22354" s="3" t="str">
        <f>IFERROR(__xludf.DUMMYFUNCTION("GOOGLETRANSLATE(A22354,""en"",""pt"")"),"Muito inconveniente em DOS")</f>
        <v>Muito inconveniente em DOS</v>
      </c>
      <c r="B22354" s="3">
        <v>0</v>
      </c>
    </row>
    <row r="22355" ht="15.75" customHeight="1" spans="1:2">
      <c r="A22355" s="3" t="str">
        <f>IFERROR(__xludf.DUMMYFUNCTION("GOOGLETRANSLATE(A22355,""en"",""pt"")"),"motoristas?")</f>
        <v>motoristas?</v>
      </c>
      <c r="B22355" s="3">
        <v>0</v>
      </c>
    </row>
    <row r="22356" ht="15.75" customHeight="1" spans="1:2">
      <c r="A22356" s="3" t="str">
        <f>IFERROR(__xludf.DUMMYFUNCTION("GOOGLETRANSLATE(A22356,""en"",""pt"")"),"3 páginas por minuto a cores")</f>
        <v>3 páginas por minuto a cores</v>
      </c>
      <c r="B22356" s="3">
        <v>0</v>
      </c>
    </row>
    <row r="22357" ht="15.75" customHeight="1" spans="1:2">
      <c r="A22357" s="3" t="str">
        <f>IFERROR(__xludf.DUMMYFUNCTION("GOOGLETRANSLATE(A22357,""en"",""pt"")"),"não USB")</f>
        <v>não USB</v>
      </c>
      <c r="B22357" s="3">
        <v>0</v>
      </c>
    </row>
    <row r="22358" ht="15.75" customHeight="1" spans="1:2">
      <c r="A22358" s="3" t="str">
        <f>IFERROR(__xludf.DUMMYFUNCTION("GOOGLETRANSLATE(A22358,""en"",""pt"")"),"Lado a acção lado às vezes treme mesa")</f>
        <v>Lado a acção lado às vezes treme mesa</v>
      </c>
      <c r="B22358" s="3">
        <v>0</v>
      </c>
    </row>
    <row r="22359" ht="15.75" customHeight="1" spans="1:2">
      <c r="A22359" s="3" t="str">
        <f>IFERROR(__xludf.DUMMYFUNCTION("GOOGLETRANSLATE(A22359,""en"",""pt"")"),"melhores opções disponíveis")</f>
        <v>melhores opções disponíveis</v>
      </c>
      <c r="B22359" s="3">
        <v>0</v>
      </c>
    </row>
    <row r="22360" ht="15.75" customHeight="1" spans="1:2">
      <c r="A22360" s="3" t="str">
        <f>IFERROR(__xludf.DUMMYFUNCTION("GOOGLETRANSLATE(A22360,""en"",""pt"")"),"motoristas conflito Bi-direcional com NT 4.0")</f>
        <v>motoristas conflito Bi-direcional com NT 4.0</v>
      </c>
      <c r="B22360" s="3">
        <v>0</v>
      </c>
    </row>
    <row r="22361" ht="15.75" customHeight="1" spans="1:2">
      <c r="A22361" s="3" t="str">
        <f>IFERROR(__xludf.DUMMYFUNCTION("GOOGLETRANSLATE(A22361,""en"",""pt"")"),"Nada até agora.")</f>
        <v>Nada até agora.</v>
      </c>
      <c r="B22361" s="3">
        <v>0</v>
      </c>
    </row>
    <row r="22362" ht="15.75" customHeight="1" spans="1:2">
      <c r="A22362" s="3" t="str">
        <f>IFERROR(__xludf.DUMMYFUNCTION("GOOGLETRANSLATE(A22362,""en"",""pt"")"),"impressão a cores lento")</f>
        <v>impressão a cores lento</v>
      </c>
      <c r="B22362" s="3">
        <v>0</v>
      </c>
    </row>
    <row r="22363" ht="15.75" customHeight="1" spans="1:2">
      <c r="A22363" s="3" t="str">
        <f>IFERROR(__xludf.DUMMYFUNCTION("GOOGLETRANSLATE(A22363,""en"",""pt"")"),"Pode ser caro para o cartlidge tinta")</f>
        <v>Pode ser caro para o cartlidge tinta</v>
      </c>
      <c r="B22363" s="3">
        <v>0</v>
      </c>
    </row>
    <row r="22364" ht="15.75" customHeight="1" spans="1:2">
      <c r="A22364" s="3" t="str">
        <f>IFERROR(__xludf.DUMMYFUNCTION("GOOGLETRANSLATE(A22364,""en"",""pt"")"),"nenhum até o momento")</f>
        <v>nenhum até o momento</v>
      </c>
      <c r="B22364" s="3">
        <v>0</v>
      </c>
    </row>
    <row r="22365" ht="15.75" customHeight="1" spans="1:2">
      <c r="A22365" s="3" t="str">
        <f>IFERROR(__xludf.DUMMYFUNCTION("GOOGLETRANSLATE(A22365,""en"",""pt"")"),"serviço ao cliente deixa espaço para melhorias")</f>
        <v>serviço ao cliente deixa espaço para melhorias</v>
      </c>
      <c r="B22365" s="3">
        <v>0</v>
      </c>
    </row>
    <row r="22366" ht="15.75" customHeight="1" spans="1:2">
      <c r="A22366" s="3" t="str">
        <f>IFERROR(__xludf.DUMMYFUNCTION("GOOGLETRANSLATE(A22366,""en"",""pt"")"),"pode pensar em ninguém a não ser que você quer real velocidade")</f>
        <v>pode pensar em ninguém a não ser que você quer real velocidade</v>
      </c>
      <c r="B22366" s="3">
        <v>0</v>
      </c>
    </row>
    <row r="22367" ht="15.75" customHeight="1" spans="1:2">
      <c r="A22367" s="3" t="str">
        <f>IFERROR(__xludf.DUMMYFUNCTION("GOOGLETRANSLATE(A22367,""en"",""pt"")"),"lento tempo de impressão de cor, especialmente em alta definição")</f>
        <v>lento tempo de impressão de cor, especialmente em alta definição</v>
      </c>
      <c r="B22367" s="3">
        <v>0</v>
      </c>
    </row>
    <row r="22368" ht="15.75" customHeight="1" spans="1:2">
      <c r="A22368" s="3" t="str">
        <f>IFERROR(__xludf.DUMMYFUNCTION("GOOGLETRANSLATE(A22368,""en"",""pt"")"),"retardar a impressão de fotos")</f>
        <v>retardar a impressão de fotos</v>
      </c>
      <c r="B22368" s="3">
        <v>0</v>
      </c>
    </row>
    <row r="22369" ht="15.75" customHeight="1" spans="1:2">
      <c r="A22369" s="3" t="str">
        <f>IFERROR(__xludf.DUMMYFUNCTION("GOOGLETRANSLATE(A22369,""en"",""pt"")"),"Eu não encontrei nenhum ainda")</f>
        <v>Eu não encontrei nenhum ainda</v>
      </c>
      <c r="B22369" s="3">
        <v>0</v>
      </c>
    </row>
    <row r="22370" ht="15.75" customHeight="1" spans="1:2">
      <c r="A22370" s="3" t="str">
        <f>IFERROR(__xludf.DUMMYFUNCTION("GOOGLETRANSLATE(A22370,""en"",""pt"")"),"Nenhum")</f>
        <v>Nenhum</v>
      </c>
      <c r="B22370" s="3">
        <v>0</v>
      </c>
    </row>
    <row r="22371" ht="15.75" customHeight="1" spans="1:2">
      <c r="A22371" s="3" t="str">
        <f>IFERROR(__xludf.DUMMYFUNCTION("GOOGLETRANSLATE(A22371,""en"",""pt"")"),"tamanho e forma")</f>
        <v>tamanho e forma</v>
      </c>
      <c r="B22371" s="3">
        <v>0</v>
      </c>
    </row>
    <row r="22372" ht="15.75" customHeight="1" spans="1:2">
      <c r="A22372" s="3" t="str">
        <f>IFERROR(__xludf.DUMMYFUNCTION("GOOGLETRANSLATE(A22372,""en"",""pt"")"),"Qualidade média impressão a cores")</f>
        <v>Qualidade média impressão a cores</v>
      </c>
      <c r="B22372" s="3">
        <v>0</v>
      </c>
    </row>
    <row r="22373" ht="15.75" customHeight="1" spans="1:2">
      <c r="A22373" s="3" t="str">
        <f>IFERROR(__xludf.DUMMYFUNCTION("GOOGLETRANSLATE(A22373,""en"",""pt"")"),"custo do cartucho e desperdício de duas das três cores")</f>
        <v>custo do cartucho e desperdício de duas das três cores</v>
      </c>
      <c r="B22373" s="3">
        <v>0</v>
      </c>
    </row>
    <row r="22374" ht="15.75" customHeight="1" spans="1:2">
      <c r="A22374" s="3" t="str">
        <f>IFERROR(__xludf.DUMMYFUNCTION("GOOGLETRANSLATE(A22374,""en"",""pt"")"),"Nenhum")</f>
        <v>Nenhum</v>
      </c>
      <c r="B22374" s="3">
        <v>0</v>
      </c>
    </row>
    <row r="22375" ht="15.75" customHeight="1" spans="1:2">
      <c r="A22375" s="3" t="str">
        <f>IFERROR(__xludf.DUMMYFUNCTION("GOOGLETRANSLATE(A22375,""en"",""pt"")"),"$ 25 - US $ 35 para um cartucho de tinta de substituição")</f>
        <v>$ 25 - US $ 35 para um cartucho de tinta de substituição</v>
      </c>
      <c r="B22375" s="3">
        <v>0</v>
      </c>
    </row>
    <row r="22376" ht="15.75" customHeight="1" spans="1:2">
      <c r="A22376" s="3" t="str">
        <f>IFERROR(__xludf.DUMMYFUNCTION("GOOGLETRANSLATE(A22376,""en"",""pt"")"),"cabo de impressora que você tem que comprar separadamente")</f>
        <v>cabo de impressora que você tem que comprar separadamente</v>
      </c>
      <c r="B22376" s="3">
        <v>0</v>
      </c>
    </row>
    <row r="22377" ht="15.75" customHeight="1" spans="1:2">
      <c r="A22377" s="3" t="str">
        <f>IFERROR(__xludf.DUMMYFUNCTION("GOOGLETRANSLATE(A22377,""en"",""pt"")"),"Não consigo pensar em um")</f>
        <v>Não consigo pensar em um</v>
      </c>
      <c r="B22377" s="3">
        <v>0</v>
      </c>
    </row>
    <row r="22378" ht="15.75" customHeight="1" spans="1:2">
      <c r="A22378" s="3" t="str">
        <f>IFERROR(__xludf.DUMMYFUNCTION("GOOGLETRANSLATE(A22378,""en"",""pt"")"),"tamanho estranho")</f>
        <v>tamanho estranho</v>
      </c>
      <c r="B22378" s="3">
        <v>0</v>
      </c>
    </row>
    <row r="22379" ht="15.75" customHeight="1" spans="1:2">
      <c r="A22379" s="3" t="str">
        <f>IFERROR(__xludf.DUMMYFUNCTION("GOOGLETRANSLATE(A22379,""en"",""pt"")"),"software da impressora melhor no canhão")</f>
        <v>software da impressora melhor no canhão</v>
      </c>
      <c r="B22379" s="3">
        <v>0</v>
      </c>
    </row>
    <row r="22380" ht="15.75" customHeight="1" spans="1:2">
      <c r="A22380" s="3" t="str">
        <f>IFERROR(__xludf.DUMMYFUNCTION("GOOGLETRANSLATE(A22380,""en"",""pt"")"),"Só funciona com o Windows")</f>
        <v>Só funciona com o Windows</v>
      </c>
      <c r="B22380" s="3">
        <v>0</v>
      </c>
    </row>
    <row r="22381" ht="15.75" customHeight="1" spans="1:2">
      <c r="A22381" s="3" t="str">
        <f>IFERROR(__xludf.DUMMYFUNCTION("GOOGLETRANSLATE(A22381,""en"",""pt"")"),"pequena de cartucho de tinta")</f>
        <v>pequena de cartucho de tinta</v>
      </c>
      <c r="B22381" s="3">
        <v>0</v>
      </c>
    </row>
    <row r="22382" ht="15.75" customHeight="1" spans="1:2">
      <c r="A22382" s="3" t="str">
        <f>IFERROR(__xludf.DUMMYFUNCTION("GOOGLETRANSLATE(A22382,""en"",""pt"")"),"Pode ser um pouco lento quando colocado em &amp; amp; quot; O melhor &amp; amp; quot; modo")</f>
        <v>Pode ser um pouco lento quando colocado em &amp; amp; quot; O melhor &amp; amp; quot; modo</v>
      </c>
      <c r="B22382" s="3">
        <v>0</v>
      </c>
    </row>
    <row r="22383" ht="15.75" customHeight="1" spans="1:2">
      <c r="A22383" s="3" t="str">
        <f>IFERROR(__xludf.DUMMYFUNCTION("GOOGLETRANSLATE(A22383,""en"",""pt"")"),"não muito rápido")</f>
        <v>não muito rápido</v>
      </c>
      <c r="B22383" s="3">
        <v>0</v>
      </c>
    </row>
    <row r="22384" ht="15.75" customHeight="1" spans="1:2">
      <c r="A22384" s="3" t="str">
        <f>IFERROR(__xludf.DUMMYFUNCTION("GOOGLETRANSLATE(A22384,""en"",""pt"")"),"Nenhum")</f>
        <v>Nenhum</v>
      </c>
      <c r="B22384" s="3">
        <v>0</v>
      </c>
    </row>
    <row r="22385" ht="15.75" customHeight="1" spans="1:2">
      <c r="A22385" s="3" t="str">
        <f>IFERROR(__xludf.DUMMYFUNCTION("GOOGLETRANSLATE(A22385,""en"",""pt"")"),"nada!")</f>
        <v>nada!</v>
      </c>
      <c r="B22385" s="3">
        <v>0</v>
      </c>
    </row>
    <row r="22386" ht="15.75" customHeight="1" spans="1:2">
      <c r="A22386" s="3" t="str">
        <f>IFERROR(__xludf.DUMMYFUNCTION("GOOGLETRANSLATE(A22386,""en"",""pt"")"),"A impressão a cores é lento")</f>
        <v>A impressão a cores é lento</v>
      </c>
      <c r="B22386" s="3">
        <v>0</v>
      </c>
    </row>
    <row r="22387" ht="15.75" customHeight="1" spans="1:2">
      <c r="A22387" s="3" t="str">
        <f>IFERROR(__xludf.DUMMYFUNCTION("GOOGLETRANSLATE(A22387,""en"",""pt"")"),"lento")</f>
        <v>lento</v>
      </c>
      <c r="B22387" s="3">
        <v>0</v>
      </c>
    </row>
    <row r="22388" ht="15.75" customHeight="1" spans="1:2">
      <c r="A22388" s="3" t="str">
        <f>IFERROR(__xludf.DUMMYFUNCTION("GOOGLETRANSLATE(A22388,""en"",""pt"")"),"712C não tem USB, cartuchos custa dinheiro!")</f>
        <v>712C não tem USB, cartuchos custa dinheiro!</v>
      </c>
      <c r="B22388" s="3">
        <v>0</v>
      </c>
    </row>
    <row r="22389" ht="15.75" customHeight="1" spans="1:2">
      <c r="A22389" s="3" t="str">
        <f>IFERROR(__xludf.DUMMYFUNCTION("GOOGLETRANSLATE(A22389,""en"",""pt"")"),"processamento mais lento")</f>
        <v>processamento mais lento</v>
      </c>
      <c r="B22389" s="3">
        <v>0</v>
      </c>
    </row>
    <row r="22390" ht="15.75" customHeight="1" spans="1:2">
      <c r="A22390" s="3" t="str">
        <f>IFERROR(__xludf.DUMMYFUNCTION("GOOGLETRANSLATE(A22390,""en"",""pt"")"),"Má qualidade de imagem, come-se cartuchos de tinta rápidas")</f>
        <v>Má qualidade de imagem, come-se cartuchos de tinta rápidas</v>
      </c>
      <c r="B22390" s="3">
        <v>0</v>
      </c>
    </row>
    <row r="22391" ht="15.75" customHeight="1" spans="1:2">
      <c r="A22391" s="3" t="str">
        <f>IFERROR(__xludf.DUMMYFUNCTION("GOOGLETRANSLATE(A22391,""en"",""pt"")"),"custo de tinta")</f>
        <v>custo de tinta</v>
      </c>
      <c r="B22391" s="3">
        <v>0</v>
      </c>
    </row>
    <row r="22392" ht="15.75" customHeight="1" spans="1:2">
      <c r="A22392" s="3" t="str">
        <f>IFERROR(__xludf.DUMMYFUNCTION("GOOGLETRANSLATE(A22392,""en"",""pt"")"),"Não é a impressora mais rápida")</f>
        <v>Não é a impressora mais rápida</v>
      </c>
      <c r="B22392" s="3">
        <v>0</v>
      </c>
    </row>
    <row r="22393" ht="15.75" customHeight="1" spans="1:2">
      <c r="A22393" s="3" t="str">
        <f>IFERROR(__xludf.DUMMYFUNCTION("GOOGLETRANSLATE(A22393,""en"",""pt"")"),"Não muito rápido, bandeja de papel pequena")</f>
        <v>Não muito rápido, bandeja de papel pequena</v>
      </c>
      <c r="B22393" s="3">
        <v>0</v>
      </c>
    </row>
    <row r="22394" ht="15.75" customHeight="1" spans="1:2">
      <c r="A22394" s="3" t="str">
        <f>IFERROR(__xludf.DUMMYFUNCTION("GOOGLETRANSLATE(A22394,""en"",""pt"")"),"Não têm qualquer a esta hora!")</f>
        <v>Não têm qualquer a esta hora!</v>
      </c>
      <c r="B22394" s="3">
        <v>0</v>
      </c>
    </row>
    <row r="22395" ht="15.75" customHeight="1" spans="1:2">
      <c r="A22395" s="3" t="str">
        <f>IFERROR(__xludf.DUMMYFUNCTION("GOOGLETRANSLATE(A22395,""en"",""pt"")"),"Nenhum")</f>
        <v>Nenhum</v>
      </c>
      <c r="B22395" s="3">
        <v>0</v>
      </c>
    </row>
    <row r="22396" ht="15.75" customHeight="1" spans="1:2">
      <c r="A22396" s="3" t="str">
        <f>IFERROR(__xludf.DUMMYFUNCTION("GOOGLETRANSLATE(A22396,""en"",""pt"")"),"Nenhum para falar.")</f>
        <v>Nenhum para falar.</v>
      </c>
      <c r="B22396" s="3">
        <v>0</v>
      </c>
    </row>
    <row r="22397" ht="15.75" customHeight="1" spans="1:2">
      <c r="A22397" s="3" t="str">
        <f>IFERROR(__xludf.DUMMYFUNCTION("GOOGLETRANSLATE(A22397,""en"",""pt"")"),"um pouco lento")</f>
        <v>um pouco lento</v>
      </c>
      <c r="B22397" s="3">
        <v>0</v>
      </c>
    </row>
    <row r="22398" ht="15.75" customHeight="1" spans="1:2">
      <c r="A22398" s="3" t="str">
        <f>IFERROR(__xludf.DUMMYFUNCTION("GOOGLETRANSLATE(A22398,""en"",""pt"")"),"nenhum se destaca.")</f>
        <v>nenhum se destaca.</v>
      </c>
      <c r="B22398" s="3">
        <v>0</v>
      </c>
    </row>
    <row r="22399" ht="15.75" customHeight="1" spans="1:2">
      <c r="A22399" s="3" t="str">
        <f>IFERROR(__xludf.DUMMYFUNCTION("GOOGLETRANSLATE(A22399,""en"",""pt"")"),"Mais lento do que LaserJets")</f>
        <v>Mais lento do que LaserJets</v>
      </c>
      <c r="B22399" s="3">
        <v>0</v>
      </c>
    </row>
    <row r="22400" ht="15.75" customHeight="1" spans="1:2">
      <c r="A22400" s="3" t="str">
        <f>IFERROR(__xludf.DUMMYFUNCTION("GOOGLETRANSLATE(A22400,""en"",""pt"")"),"um pouco lento")</f>
        <v>um pouco lento</v>
      </c>
      <c r="B22400" s="3">
        <v>0</v>
      </c>
    </row>
    <row r="22401" ht="15.75" customHeight="1" spans="1:2">
      <c r="A22401" s="3" t="str">
        <f>IFERROR(__xludf.DUMMYFUNCTION("GOOGLETRANSLATE(A22401,""en"",""pt"")"),"O tamanho e custo do cartucho de tinta")</f>
        <v>O tamanho e custo do cartucho de tinta</v>
      </c>
      <c r="B22401" s="3">
        <v>0</v>
      </c>
    </row>
    <row r="22402" ht="15.75" customHeight="1" spans="1:2">
      <c r="A22402" s="3" t="str">
        <f>IFERROR(__xludf.DUMMYFUNCTION("GOOGLETRANSLATE(A22402,""en"",""pt"")"),"às vezes as coisas as mais pequenas pode estragar tudo")</f>
        <v>às vezes as coisas as mais pequenas pode estragar tudo</v>
      </c>
      <c r="B22402" s="3">
        <v>0</v>
      </c>
    </row>
    <row r="22403" ht="15.75" customHeight="1" spans="1:2">
      <c r="A22403" s="3" t="str">
        <f>IFERROR(__xludf.DUMMYFUNCTION("GOOGLETRANSLATE(A22403,""en"",""pt"")"),"Treme muito, lenta ao imprimir um monte de cor, cartuchos pode ser caro")</f>
        <v>Treme muito, lenta ao imprimir um monte de cor, cartuchos pode ser caro</v>
      </c>
      <c r="B22403" s="3">
        <v>0</v>
      </c>
    </row>
    <row r="22404" ht="15.75" customHeight="1" spans="1:2">
      <c r="A22404" s="3" t="str">
        <f>IFERROR(__xludf.DUMMYFUNCTION("GOOGLETRANSLATE(A22404,""en"",""pt"")"),"Nenhum mesmo")</f>
        <v>Nenhum mesmo</v>
      </c>
      <c r="B22404" s="3">
        <v>0</v>
      </c>
    </row>
    <row r="22405" ht="15.75" customHeight="1" spans="1:2">
      <c r="A22405" s="3" t="str">
        <f>IFERROR(__xludf.DUMMYFUNCTION("GOOGLETRANSLATE(A22405,""en"",""pt"")"),"Os cartuchos de tinta são caros.")</f>
        <v>Os cartuchos de tinta são caros.</v>
      </c>
      <c r="B22405" s="3">
        <v>0</v>
      </c>
    </row>
    <row r="22406" ht="15.75" customHeight="1" spans="1:2">
      <c r="A22406" s="3" t="str">
        <f>IFERROR(__xludf.DUMMYFUNCTION("GOOGLETRANSLATE(A22406,""en"",""pt"")"),"Tamanho da própria impressora")</f>
        <v>Tamanho da própria impressora</v>
      </c>
      <c r="B22406" s="3">
        <v>0</v>
      </c>
    </row>
    <row r="22407" ht="15.75" customHeight="1" spans="1:2">
      <c r="A22407" s="3" t="str">
        <f>IFERROR(__xludf.DUMMYFUNCTION("GOOGLETRANSLATE(A22407,""en"",""pt"")"),"Pode não ser o mais novo de impressora no mercado ... hey, é um clássico!")</f>
        <v>Pode não ser o mais novo de impressora no mercado ... hey, é um clássico!</v>
      </c>
      <c r="B22407" s="3">
        <v>0</v>
      </c>
    </row>
    <row r="22408" ht="15.75" customHeight="1" spans="1:2">
      <c r="A22408" s="3" t="str">
        <f>IFERROR(__xludf.DUMMYFUNCTION("GOOGLETRANSLATE(A22408,""en"",""pt"")"),"Nenhum que eu posso pensar ..")</f>
        <v>Nenhum que eu posso pensar ..</v>
      </c>
      <c r="B22408" s="3">
        <v>0</v>
      </c>
    </row>
    <row r="22409" ht="15.75" customHeight="1" spans="1:2">
      <c r="A22409" s="3" t="str">
        <f>IFERROR(__xludf.DUMMYFUNCTION("GOOGLETRANSLATE(A22409,""en"",""pt"")"),"eles não dão-los")</f>
        <v>eles não dão-los</v>
      </c>
      <c r="B22409" s="3">
        <v>0</v>
      </c>
    </row>
    <row r="22410" ht="15.75" customHeight="1" spans="1:2">
      <c r="A22410" s="3" t="str">
        <f>IFERROR(__xludf.DUMMYFUNCTION("GOOGLETRANSLATE(A22410,""en"",""pt"")"),"Barulhento. Não vai demorar cartolina pesado.")</f>
        <v>Barulhento. Não vai demorar cartolina pesado.</v>
      </c>
      <c r="B22410" s="3">
        <v>0</v>
      </c>
    </row>
    <row r="22411" ht="15.75" customHeight="1" spans="1:2">
      <c r="A22411" s="3" t="str">
        <f>IFERROR(__xludf.DUMMYFUNCTION("GOOGLETRANSLATE(A22411,""en"",""pt"")"),"A HP não tem um número de 800 para suporte técnico")</f>
        <v>A HP não tem um número de 800 para suporte técnico</v>
      </c>
      <c r="B22411" s="3">
        <v>0</v>
      </c>
    </row>
    <row r="22412" ht="15.75" customHeight="1" spans="1:2">
      <c r="A22412" s="3" t="str">
        <f>IFERROR(__xludf.DUMMYFUNCTION("GOOGLETRANSLATE(A22412,""en"",""pt"")"),"Não vai poeira em si!")</f>
        <v>Não vai poeira em si!</v>
      </c>
      <c r="B22412" s="3">
        <v>0</v>
      </c>
    </row>
    <row r="22413" ht="15.75" customHeight="1" spans="1:2">
      <c r="A22413" s="3" t="str">
        <f>IFERROR(__xludf.DUMMYFUNCTION("GOOGLETRANSLATE(A22413,""en"",""pt"")"),"A escolha limitada de cores sobre o caso")</f>
        <v>A escolha limitada de cores sobre o caso</v>
      </c>
      <c r="B22413" s="3">
        <v>0</v>
      </c>
    </row>
    <row r="22414" ht="15.75" customHeight="1" spans="1:2">
      <c r="A22414" s="3" t="str">
        <f>IFERROR(__xludf.DUMMYFUNCTION("GOOGLETRANSLATE(A22414,""en"",""pt"")"),"Velocidade e baixo (não para fins profissionais) de qualidade")</f>
        <v>Velocidade e baixo (não para fins profissionais) de qualidade</v>
      </c>
      <c r="B22414" s="3">
        <v>0</v>
      </c>
    </row>
    <row r="22415" ht="15.75" customHeight="1" spans="1:2">
      <c r="A22415" s="3" t="str">
        <f>IFERROR(__xludf.DUMMYFUNCTION("GOOGLETRANSLATE(A22415,""en"",""pt"")"),"Um pouco volumoso")</f>
        <v>Um pouco volumoso</v>
      </c>
      <c r="B22415" s="3">
        <v>0</v>
      </c>
    </row>
    <row r="22416" ht="15.75" customHeight="1" spans="1:2">
      <c r="A22416" s="3" t="str">
        <f>IFERROR(__xludf.DUMMYFUNCTION("GOOGLETRANSLATE(A22416,""en"",""pt"")"),"Existem melhores impressoras lá fora.")</f>
        <v>Existem melhores impressoras lá fora.</v>
      </c>
      <c r="B22416" s="3">
        <v>0</v>
      </c>
    </row>
    <row r="22417" ht="15.75" customHeight="1" spans="1:2">
      <c r="A22417" s="3" t="str">
        <f>IFERROR(__xludf.DUMMYFUNCTION("GOOGLETRANSLATE(A22417,""en"",""pt"")"),"Mesmo que outras impressoras: toner caro!")</f>
        <v>Mesmo que outras impressoras: toner caro!</v>
      </c>
      <c r="B22417" s="3">
        <v>0</v>
      </c>
    </row>
    <row r="22418" ht="15.75" customHeight="1" spans="1:2">
      <c r="A22418" s="3" t="str">
        <f>IFERROR(__xludf.DUMMYFUNCTION("GOOGLETRANSLATE(A22418,""en"",""pt"")"),"bandeja de papel apenas ""gosta"" algumas folhas.")</f>
        <v>bandeja de papel apenas "gosta" algumas folhas.</v>
      </c>
      <c r="B22418" s="3">
        <v>0</v>
      </c>
    </row>
    <row r="22419" ht="15.75" customHeight="1" spans="1:2">
      <c r="A22419" s="3" t="str">
        <f>IFERROR(__xludf.DUMMYFUNCTION("GOOGLETRANSLATE(A22419,""en"",""pt"")"),"Prints muito lento")</f>
        <v>Prints muito lento</v>
      </c>
      <c r="B22419" s="3">
        <v>0</v>
      </c>
    </row>
    <row r="22420" ht="15.75" customHeight="1" spans="1:2">
      <c r="A22420" s="3" t="str">
        <f>IFERROR(__xludf.DUMMYFUNCTION("GOOGLETRANSLATE(A22420,""en"",""pt"")"),"Drivers")</f>
        <v>Drivers</v>
      </c>
      <c r="B22420" s="3">
        <v>0</v>
      </c>
    </row>
    <row r="22421" ht="15.75" customHeight="1" spans="1:2">
      <c r="A22421" s="3" t="str">
        <f>IFERROR(__xludf.DUMMYFUNCTION("GOOGLETRANSLATE(A22421,""en"",""pt"")"),"Recargas são muito caros")</f>
        <v>Recargas são muito caros</v>
      </c>
      <c r="B22421" s="3">
        <v>0</v>
      </c>
    </row>
    <row r="22422" ht="15.75" customHeight="1" spans="1:2">
      <c r="A22422" s="3" t="str">
        <f>IFERROR(__xludf.DUMMYFUNCTION("GOOGLETRANSLATE(A22422,""en"",""pt"")"),"Foto imprimindo um pouco lento")</f>
        <v>Foto imprimindo um pouco lento</v>
      </c>
      <c r="B22422" s="3">
        <v>0</v>
      </c>
    </row>
    <row r="22423" ht="15.75" customHeight="1" spans="1:2">
      <c r="A22423" s="3" t="str">
        <f>IFERROR(__xludf.DUMMYFUNCTION("GOOGLETRANSLATE(A22423,""en"",""pt"")"),"Nenhum")</f>
        <v>Nenhum</v>
      </c>
      <c r="B22423" s="3">
        <v>0</v>
      </c>
    </row>
    <row r="22424" ht="15.75" customHeight="1" spans="1:2">
      <c r="A22424" s="3" t="str">
        <f>IFERROR(__xludf.DUMMYFUNCTION("GOOGLETRANSLATE(A22424,""en"",""pt"")"),"Não que eu tenha notado")</f>
        <v>Não que eu tenha notado</v>
      </c>
      <c r="B22424" s="3">
        <v>0</v>
      </c>
    </row>
    <row r="22425" ht="15.75" customHeight="1" spans="1:2">
      <c r="A22425" s="3" t="str">
        <f>IFERROR(__xludf.DUMMYFUNCTION("GOOGLETRANSLATE(A22425,""en"",""pt"")"),"Dor na parte traseira para configurar através de uma rede.")</f>
        <v>Dor na parte traseira para configurar através de uma rede.</v>
      </c>
      <c r="B22425" s="3">
        <v>0</v>
      </c>
    </row>
    <row r="22426" ht="15.75" customHeight="1" spans="1:2">
      <c r="A22426" s="3" t="str">
        <f>IFERROR(__xludf.DUMMYFUNCTION("GOOGLETRANSLATE(A22426,""en"",""pt"")"),"Nenhum")</f>
        <v>Nenhum</v>
      </c>
      <c r="B22426" s="3">
        <v>0</v>
      </c>
    </row>
    <row r="22427" ht="15.75" customHeight="1" spans="1:2">
      <c r="A22427" s="3" t="str">
        <f>IFERROR(__xludf.DUMMYFUNCTION("GOOGLETRANSLATE(A22427,""en"",""pt"")"),"Necessita de uma mudança de tinta preta frequente")</f>
        <v>Necessita de uma mudança de tinta preta frequente</v>
      </c>
      <c r="B22427" s="3">
        <v>0</v>
      </c>
    </row>
    <row r="22428" ht="15.75" customHeight="1" spans="1:2">
      <c r="A22428" s="3" t="str">
        <f>IFERROR(__xludf.DUMMYFUNCTION("GOOGLETRANSLATE(A22428,""en"",""pt"")"),"custo de cartuchos")</f>
        <v>custo de cartuchos</v>
      </c>
      <c r="B22428" s="3">
        <v>0</v>
      </c>
    </row>
    <row r="22429" ht="15.75" customHeight="1" spans="1:2">
      <c r="A22429" s="3" t="str">
        <f>IFERROR(__xludf.DUMMYFUNCTION("GOOGLETRANSLATE(A22429,""en"",""pt"")"),"não tão rápido como alguns podem gostar")</f>
        <v>não tão rápido como alguns podem gostar</v>
      </c>
      <c r="B22429" s="3">
        <v>0</v>
      </c>
    </row>
    <row r="22430" ht="15.75" customHeight="1" spans="1:2">
      <c r="A22430" s="3" t="str">
        <f>IFERROR(__xludf.DUMMYFUNCTION("GOOGLETRANSLATE(A22430,""en"",""pt"")"),"lento")</f>
        <v>lento</v>
      </c>
      <c r="B22430" s="3">
        <v>0</v>
      </c>
    </row>
    <row r="22431" ht="15.75" customHeight="1" spans="1:2">
      <c r="A22431" s="3" t="str">
        <f>IFERROR(__xludf.DUMMYFUNCTION("GOOGLETRANSLATE(A22431,""en"",""pt"")"),"Impressão lenta em papel fotográfico")</f>
        <v>Impressão lenta em papel fotográfico</v>
      </c>
      <c r="B22431" s="3">
        <v>0</v>
      </c>
    </row>
    <row r="22432" ht="15.75" customHeight="1" spans="1:2">
      <c r="A22432" s="3" t="str">
        <f>IFERROR(__xludf.DUMMYFUNCTION("GOOGLETRANSLATE(A22432,""en"",""pt"")"),"não a qualidade da foto")</f>
        <v>não a qualidade da foto</v>
      </c>
      <c r="B22432" s="3">
        <v>0</v>
      </c>
    </row>
    <row r="22433" ht="15.75" customHeight="1" spans="1:2">
      <c r="A22433" s="3" t="str">
        <f>IFERROR(__xludf.DUMMYFUNCTION("GOOGLETRANSLATE(A22433,""en"",""pt"")"),"Ele roda sem tinta e eu tenho que esperar !!!!")</f>
        <v>Ele roda sem tinta e eu tenho que esperar !!!!</v>
      </c>
      <c r="B22433" s="3">
        <v>0</v>
      </c>
    </row>
    <row r="22434" ht="15.75" customHeight="1" spans="1:2">
      <c r="A22434" s="3" t="str">
        <f>IFERROR(__xludf.DUMMYFUNCTION("GOOGLETRANSLATE(A22434,""en"",""pt"")"),"Impressora ficar mais ruidosa à medida que envelhece.")</f>
        <v>Impressora ficar mais ruidosa à medida que envelhece.</v>
      </c>
      <c r="B22434" s="3">
        <v>0</v>
      </c>
    </row>
    <row r="22435" ht="15.75" customHeight="1" spans="1:2">
      <c r="A22435" s="3" t="str">
        <f>IFERROR(__xludf.DUMMYFUNCTION("GOOGLETRANSLATE(A22435,""en"",""pt"")"),"interrompido")</f>
        <v>interrompido</v>
      </c>
      <c r="B22435" s="3">
        <v>0</v>
      </c>
    </row>
    <row r="22436" ht="15.75" customHeight="1" spans="1:2">
      <c r="A22436" s="3" t="str">
        <f>IFERROR(__xludf.DUMMYFUNCTION("GOOGLETRANSLATE(A22436,""en"",""pt"")"),"Como sempre, você tem que mantê-lo, e ser diligente em garantir que o software que é executado não irá falhar.")</f>
        <v>Como sempre, você tem que mantê-lo, e ser diligente em garantir que o software que é executado não irá falhar.</v>
      </c>
      <c r="B22436" s="3">
        <v>0</v>
      </c>
    </row>
    <row r="22437" ht="15.75" customHeight="1" spans="1:2">
      <c r="A22437" s="3" t="str">
        <f>IFERROR(__xludf.DUMMYFUNCTION("GOOGLETRANSLATE(A22437,""en"",""pt"")"),"Apenas con é que eles já não vendê-los.")</f>
        <v>Apenas con é que eles já não vendê-los.</v>
      </c>
      <c r="B22437" s="3">
        <v>0</v>
      </c>
    </row>
    <row r="22438" ht="15.75" customHeight="1" spans="1:2">
      <c r="A22438" s="3" t="str">
        <f>IFERROR(__xludf.DUMMYFUNCTION("GOOGLETRANSLATE(A22438,""en"",""pt"")"),"bandeja de papel pequeno.")</f>
        <v>bandeja de papel pequeno.</v>
      </c>
      <c r="B22438" s="3">
        <v>0</v>
      </c>
    </row>
    <row r="22439" ht="15.75" customHeight="1" spans="1:2">
      <c r="A22439" s="3" t="str">
        <f>IFERROR(__xludf.DUMMYFUNCTION("GOOGLETRANSLATE(A22439,""en"",""pt"")"),"nenhum eu encontrei")</f>
        <v>nenhum eu encontrei</v>
      </c>
      <c r="B22439" s="3">
        <v>0</v>
      </c>
    </row>
    <row r="22440" ht="15.75" customHeight="1" spans="1:2">
      <c r="A22440" s="3" t="str">
        <f>IFERROR(__xludf.DUMMYFUNCTION("GOOGLETRANSLATE(A22440,""en"",""pt"")"),"cartucho de papel pequeno")</f>
        <v>cartucho de papel pequeno</v>
      </c>
      <c r="B22440" s="3">
        <v>0</v>
      </c>
    </row>
    <row r="22441" ht="15.75" customHeight="1" spans="1:2">
      <c r="A22441" s="3" t="str">
        <f>IFERROR(__xludf.DUMMYFUNCTION("GOOGLETRANSLATE(A22441,""en"",""pt"")"),"poderia ser mais rápido, S-H-A-K-Y")</f>
        <v>poderia ser mais rápido, S-H-A-K-Y</v>
      </c>
      <c r="B22441" s="3">
        <v>0</v>
      </c>
    </row>
    <row r="22442" ht="15.75" customHeight="1" spans="1:2">
      <c r="A22442" s="3" t="str">
        <f>IFERROR(__xludf.DUMMYFUNCTION("GOOGLETRANSLATE(A22442,""en"",""pt"")"),"Um pouco lento na cor, vibra um pouco")</f>
        <v>Um pouco lento na cor, vibra um pouco</v>
      </c>
      <c r="B22442" s="3">
        <v>0</v>
      </c>
    </row>
    <row r="22443" ht="15.75" customHeight="1" spans="1:2">
      <c r="A22443" s="3" t="str">
        <f>IFERROR(__xludf.DUMMYFUNCTION("GOOGLETRANSLATE(A22443,""en"",""pt"")"),"Não acho que há qualquer a este.")</f>
        <v>Não acho que há qualquer a este.</v>
      </c>
      <c r="B22443" s="3">
        <v>0</v>
      </c>
    </row>
    <row r="22444" ht="15.75" customHeight="1" spans="1:2">
      <c r="A22444" s="3" t="str">
        <f>IFERROR(__xludf.DUMMYFUNCTION("GOOGLETRANSLATE(A22444,""en"",""pt"")"),"Nenhum vêm à mente.")</f>
        <v>Nenhum vêm à mente.</v>
      </c>
      <c r="B22444" s="3">
        <v>0</v>
      </c>
    </row>
    <row r="22445" ht="15.75" customHeight="1" spans="1:2">
      <c r="A22445" s="3" t="str">
        <f>IFERROR(__xludf.DUMMYFUNCTION("GOOGLETRANSLATE(A22445,""en"",""pt"")"),"não imprime como uma impressora a laser")</f>
        <v>não imprime como uma impressora a laser</v>
      </c>
      <c r="B22445" s="3">
        <v>0</v>
      </c>
    </row>
    <row r="22446" ht="15.75" customHeight="1" spans="1:2">
      <c r="A22446" s="3" t="str">
        <f>IFERROR(__xludf.DUMMYFUNCTION("GOOGLETRANSLATE(A22446,""en"",""pt"")"),"A impressora demora um pouco mais para imprimir projetos cor")</f>
        <v>A impressora demora um pouco mais para imprimir projetos cor</v>
      </c>
      <c r="B22446" s="3">
        <v>0</v>
      </c>
    </row>
    <row r="22447" ht="15.75" customHeight="1" spans="1:2">
      <c r="A22447" s="3" t="str">
        <f>IFERROR(__xludf.DUMMYFUNCTION("GOOGLETRANSLATE(A22447,""en"",""pt"")"),"Nenhum")</f>
        <v>Nenhum</v>
      </c>
      <c r="B22447" s="3">
        <v>0</v>
      </c>
    </row>
    <row r="22448" ht="15.75" customHeight="1" spans="1:2">
      <c r="A22448" s="3" t="str">
        <f>IFERROR(__xludf.DUMMYFUNCTION("GOOGLETRANSLATE(A22448,""en"",""pt"")"),"Lento para imagens de alta qualidade")</f>
        <v>Lento para imagens de alta qualidade</v>
      </c>
      <c r="B22448" s="3">
        <v>0</v>
      </c>
    </row>
    <row r="22449" ht="15.75" customHeight="1" spans="1:2">
      <c r="A22449" s="3" t="str">
        <f>IFERROR(__xludf.DUMMYFUNCTION("GOOGLETRANSLATE(A22449,""en"",""pt"")"),"Nenhum")</f>
        <v>Nenhum</v>
      </c>
      <c r="B22449" s="3">
        <v>0</v>
      </c>
    </row>
    <row r="22450" ht="15.75" customHeight="1" spans="1:2">
      <c r="A22450" s="3" t="str">
        <f>IFERROR(__xludf.DUMMYFUNCTION("GOOGLETRANSLATE(A22450,""en"",""pt"")"),"Nenhum!")</f>
        <v>Nenhum!</v>
      </c>
      <c r="B22450" s="3">
        <v>0</v>
      </c>
    </row>
    <row r="22451" ht="15.75" customHeight="1" spans="1:2">
      <c r="A22451" s="3" t="str">
        <f>IFERROR(__xludf.DUMMYFUNCTION("GOOGLETRANSLATE(A22451,""en"",""pt"")"),"Não tão rápido como impressoras a laser")</f>
        <v>Não tão rápido como impressoras a laser</v>
      </c>
      <c r="B22451" s="3">
        <v>0</v>
      </c>
    </row>
    <row r="22452" ht="15.75" customHeight="1" spans="1:2">
      <c r="A22452" s="3" t="str">
        <f>IFERROR(__xludf.DUMMYFUNCTION("GOOGLETRANSLATE(A22452,""en"",""pt"")"),"Custo dos cartuchos, tamanho de impressão")</f>
        <v>Custo dos cartuchos, tamanho de impressão</v>
      </c>
      <c r="B22452" s="3">
        <v>0</v>
      </c>
    </row>
    <row r="22453" ht="15.75" customHeight="1" spans="1:2">
      <c r="A22453" s="3" t="str">
        <f>IFERROR(__xludf.DUMMYFUNCTION("GOOGLETRANSLATE(A22453,""en"",""pt"")"),"Lento quando imprimir a cores.")</f>
        <v>Lento quando imprimir a cores.</v>
      </c>
      <c r="B22453" s="3">
        <v>0</v>
      </c>
    </row>
    <row r="22454" ht="15.75" customHeight="1" spans="1:2">
      <c r="A22454" s="3" t="str">
        <f>IFERROR(__xludf.DUMMYFUNCTION("GOOGLETRANSLATE(A22454,""en"",""pt"")"),"Enrolando de Páginas")</f>
        <v>Enrolando de Páginas</v>
      </c>
      <c r="B22454" s="3">
        <v>0</v>
      </c>
    </row>
    <row r="22455" ht="15.75" customHeight="1" spans="1:2">
      <c r="A22455" s="3" t="str">
        <f>IFERROR(__xludf.DUMMYFUNCTION("GOOGLETRANSLATE(A22455,""en"",""pt"")"),"há contras de modo que nunca")</f>
        <v>há contras de modo que nunca</v>
      </c>
      <c r="B22455" s="3">
        <v>0</v>
      </c>
    </row>
    <row r="22456" ht="15.75" customHeight="1" spans="1:2">
      <c r="A22456" s="3" t="str">
        <f>IFERROR(__xludf.DUMMYFUNCTION("GOOGLETRANSLATE(A22456,""en"",""pt"")"),"Grande demais para a minha pequena mesa")</f>
        <v>Grande demais para a minha pequena mesa</v>
      </c>
      <c r="B22456" s="3">
        <v>0</v>
      </c>
    </row>
    <row r="22457" ht="15.75" customHeight="1" spans="1:2">
      <c r="A22457" s="3" t="str">
        <f>IFERROR(__xludf.DUMMYFUNCTION("GOOGLETRANSLATE(A22457,""en"",""pt"")"),"Não é um laser, mas não custa muito.")</f>
        <v>Não é um laser, mas não custa muito.</v>
      </c>
      <c r="B22457" s="3">
        <v>0</v>
      </c>
    </row>
    <row r="22458" ht="15.75" customHeight="1" spans="1:2">
      <c r="A22458" s="3" t="str">
        <f>IFERROR(__xludf.DUMMYFUNCTION("GOOGLETRANSLATE(A22458,""en"",""pt"")"),"Impulsionada (dependente de memória), sem impressão DOS janelas")</f>
        <v>Impulsionada (dependente de memória), sem impressão DOS janelas</v>
      </c>
      <c r="B22458" s="3">
        <v>0</v>
      </c>
    </row>
    <row r="22459" ht="15.75" customHeight="1" spans="1:2">
      <c r="A22459" s="3" t="str">
        <f>IFERROR(__xludf.DUMMYFUNCTION("GOOGLETRANSLATE(A22459,""en"",""pt"")"),"Nenhum")</f>
        <v>Nenhum</v>
      </c>
      <c r="B22459" s="3">
        <v>0</v>
      </c>
    </row>
    <row r="22460" ht="15.75" customHeight="1" spans="1:2">
      <c r="A22460" s="3" t="str">
        <f>IFERROR(__xludf.DUMMYFUNCTION("GOOGLETRANSLATE(A22460,""en"",""pt"")"),"O uso de papel de qualidade padrão, a tinta pode sujar até secar (o que leva apenas alguns segundos)")</f>
        <v>O uso de papel de qualidade padrão, a tinta pode sujar até secar (o que leva apenas alguns segundos)</v>
      </c>
      <c r="B22460" s="3">
        <v>0</v>
      </c>
    </row>
    <row r="22461" ht="15.75" customHeight="1" spans="1:2">
      <c r="A22461" s="3" t="str">
        <f>IFERROR(__xludf.DUMMYFUNCTION("GOOGLETRANSLATE(A22461,""en"",""pt"")"),"bandeja de papel pequena (100 folhas)")</f>
        <v>bandeja de papel pequena (100 folhas)</v>
      </c>
      <c r="B22461" s="3">
        <v>0</v>
      </c>
    </row>
    <row r="22462" ht="15.75" customHeight="1" spans="1:2">
      <c r="A22462" s="3" t="str">
        <f>IFERROR(__xludf.DUMMYFUNCTION("GOOGLETRANSLATE(A22462,""en"",""pt"")"),"usa CPU para processamento de imagens")</f>
        <v>usa CPU para processamento de imagens</v>
      </c>
      <c r="B22462" s="3">
        <v>0</v>
      </c>
    </row>
    <row r="22463" ht="15.75" customHeight="1" spans="1:2">
      <c r="A22463" s="3" t="str">
        <f>IFERROR(__xludf.DUMMYFUNCTION("GOOGLETRANSLATE(A22463,""en"",""pt"")"),"custo de cartucho de impressora.")</f>
        <v>custo de cartucho de impressora.</v>
      </c>
      <c r="B22463" s="3">
        <v>0</v>
      </c>
    </row>
    <row r="22464" ht="15.75" customHeight="1" spans="1:2">
      <c r="A22464" s="3" t="str">
        <f>IFERROR(__xludf.DUMMYFUNCTION("GOOGLETRANSLATE(A22464,""en"",""pt"")"),"Nenhum")</f>
        <v>Nenhum</v>
      </c>
      <c r="B22464" s="3">
        <v>0</v>
      </c>
    </row>
    <row r="22465" ht="15.75" customHeight="1" spans="1:2">
      <c r="A22465" s="3" t="str">
        <f>IFERROR(__xludf.DUMMYFUNCTION("GOOGLETRANSLATE(A22465,""en"",""pt"")"),"Nenhum")</f>
        <v>Nenhum</v>
      </c>
      <c r="B22465" s="3">
        <v>0</v>
      </c>
    </row>
    <row r="22466" ht="15.75" customHeight="1" spans="1:2">
      <c r="A22466" s="3" t="str">
        <f>IFERROR(__xludf.DUMMYFUNCTION("GOOGLETRANSLATE(A22466,""en"",""pt"")"),"hum ...... um pouco sobre o lado caro")</f>
        <v>hum ...... um pouco sobre o lado caro</v>
      </c>
      <c r="B22466" s="3">
        <v>0</v>
      </c>
    </row>
    <row r="22467" ht="15.75" customHeight="1" spans="1:2">
      <c r="A22467" s="3" t="str">
        <f>IFERROR(__xludf.DUMMYFUNCTION("GOOGLETRANSLATE(A22467,""en"",""pt"")"),"Nenhum")</f>
        <v>Nenhum</v>
      </c>
      <c r="B22467" s="3">
        <v>0</v>
      </c>
    </row>
    <row r="22468" ht="15.75" customHeight="1" spans="1:2">
      <c r="A22468" s="3" t="str">
        <f>IFERROR(__xludf.DUMMYFUNCTION("GOOGLETRANSLATE(A22468,""en"",""pt"")"),"Nenhum")</f>
        <v>Nenhum</v>
      </c>
      <c r="B22468" s="3">
        <v>0</v>
      </c>
    </row>
    <row r="22469" ht="15.75" customHeight="1" spans="1:2">
      <c r="A22469" s="3" t="str">
        <f>IFERROR(__xludf.DUMMYFUNCTION("GOOGLETRANSLATE(A22469,""en"",""pt"")"),"tinta é lento em comparação com a laser")</f>
        <v>tinta é lento em comparação com a laser</v>
      </c>
      <c r="B22469" s="3">
        <v>0</v>
      </c>
    </row>
    <row r="22470" ht="15.75" customHeight="1" spans="1:2">
      <c r="A22470" s="3" t="str">
        <f>IFERROR(__xludf.DUMMYFUNCTION("GOOGLETRANSLATE(A22470,""en"",""pt"")"),"Não fax!")</f>
        <v>Não fax!</v>
      </c>
      <c r="B22470" s="3">
        <v>0</v>
      </c>
    </row>
    <row r="22471" ht="15.75" customHeight="1" spans="1:2">
      <c r="A22471" s="3" t="str">
        <f>IFERROR(__xludf.DUMMYFUNCTION("GOOGLETRANSLATE(A22471,""en"",""pt"")"),"nada")</f>
        <v>nada</v>
      </c>
      <c r="B22471" s="3">
        <v>0</v>
      </c>
    </row>
    <row r="22472" ht="15.75" customHeight="1" spans="1:2">
      <c r="A22472" s="3" t="str">
        <f>IFERROR(__xludf.DUMMYFUNCTION("GOOGLETRANSLATE(A22472,""en"",""pt"")"),"Não realmente.")</f>
        <v>Não realmente.</v>
      </c>
      <c r="B22472" s="3">
        <v>0</v>
      </c>
    </row>
    <row r="22473" ht="15.75" customHeight="1" spans="1:2">
      <c r="A22473" s="3" t="str">
        <f>IFERROR(__xludf.DUMMYFUNCTION("GOOGLETRANSLATE(A22473,""en"",""pt"")"),"Não muito - Ligação Paralela :-(")</f>
        <v>Não muito - Ligação Paralela :-(</v>
      </c>
      <c r="B22473" s="3">
        <v>0</v>
      </c>
    </row>
    <row r="22474" ht="15.75" customHeight="1" spans="1:2">
      <c r="A22474" s="3" t="str">
        <f>IFERROR(__xludf.DUMMYFUNCTION("GOOGLETRANSLATE(A22474,""en"",""pt"")"),"Nenhum!")</f>
        <v>Nenhum!</v>
      </c>
      <c r="B22474" s="3">
        <v>0</v>
      </c>
    </row>
    <row r="22475" ht="15.75" customHeight="1" spans="1:2">
      <c r="A22475" s="3" t="str">
        <f>IFERROR(__xludf.DUMMYFUNCTION("GOOGLETRANSLATE(A22475,""en"",""pt"")"),"não é caro o suficiente!")</f>
        <v>não é caro o suficiente!</v>
      </c>
      <c r="B22475" s="3">
        <v>0</v>
      </c>
    </row>
    <row r="22476" ht="15.75" customHeight="1" spans="1:2">
      <c r="A22476" s="3" t="str">
        <f>IFERROR(__xludf.DUMMYFUNCTION("GOOGLETRANSLATE(A22476,""en"",""pt"")"),"Cartuchos são realmente caros")</f>
        <v>Cartuchos são realmente caros</v>
      </c>
      <c r="B22476" s="3">
        <v>0</v>
      </c>
    </row>
    <row r="22477" ht="15.75" customHeight="1" spans="1:2">
      <c r="A22477" s="3" t="str">
        <f>IFERROR(__xludf.DUMMYFUNCTION("GOOGLETRANSLATE(A22477,""en"",""pt"")"),"Apenas detém 10 envelopes")</f>
        <v>Apenas detém 10 envelopes</v>
      </c>
      <c r="B22477" s="3">
        <v>0</v>
      </c>
    </row>
    <row r="22478" ht="15.75" customHeight="1" spans="1:2">
      <c r="A22478" s="3" t="str">
        <f>IFERROR(__xludf.DUMMYFUNCTION("GOOGLETRANSLATE(A22478,""en"",""pt"")"),"não detém um monte de papel")</f>
        <v>não detém um monte de papel</v>
      </c>
      <c r="B22478" s="3">
        <v>0</v>
      </c>
    </row>
    <row r="22479" ht="15.75" customHeight="1" spans="1:2">
      <c r="A22479" s="3" t="str">
        <f>IFERROR(__xludf.DUMMYFUNCTION("GOOGLETRANSLATE(A22479,""en"",""pt"")"),"cartidges impressora muito caros")</f>
        <v>cartidges impressora muito caros</v>
      </c>
      <c r="B22479" s="3">
        <v>0</v>
      </c>
    </row>
    <row r="22480" ht="15.75" customHeight="1" spans="1:2">
      <c r="A22480" s="3" t="str">
        <f>IFERROR(__xludf.DUMMYFUNCTION("GOOGLETRANSLATE(A22480,""en"",""pt"")"),"custo de cartuchos de tinta")</f>
        <v>custo de cartuchos de tinta</v>
      </c>
      <c r="B22480" s="3">
        <v>0</v>
      </c>
    </row>
    <row r="22481" ht="15.75" customHeight="1" spans="1:2">
      <c r="A22481" s="3" t="str">
        <f>IFERROR(__xludf.DUMMYFUNCTION("GOOGLETRANSLATE(A22481,""en"",""pt"")"),"Um pouco lento se o seu com pressa")</f>
        <v>Um pouco lento se o seu com pressa</v>
      </c>
      <c r="B22481" s="3">
        <v>0</v>
      </c>
    </row>
    <row r="22482" ht="15.75" customHeight="1" spans="1:2">
      <c r="A22482" s="3" t="str">
        <f>IFERROR(__xludf.DUMMYFUNCTION("GOOGLETRANSLATE(A22482,""en"",""pt"")"),"uso de memória horrível, desestabilizando em multitarefa ambiente.")</f>
        <v>uso de memória horrível, desestabilizando em multitarefa ambiente.</v>
      </c>
      <c r="B22482" s="3">
        <v>0</v>
      </c>
    </row>
    <row r="22483" ht="15.75" customHeight="1" spans="1:2">
      <c r="A22483" s="3" t="str">
        <f>IFERROR(__xludf.DUMMYFUNCTION("GOOGLETRANSLATE(A22483,""en"",""pt"")"),"pode ser lento em grandes projetos")</f>
        <v>pode ser lento em grandes projetos</v>
      </c>
      <c r="B22483" s="3">
        <v>0</v>
      </c>
    </row>
    <row r="22484" ht="15.75" customHeight="1" spans="1:2">
      <c r="A22484" s="3" t="str">
        <f>IFERROR(__xludf.DUMMYFUNCTION("GOOGLETRANSLATE(A22484,""en"",""pt"")"),"Eu não sei")</f>
        <v>Eu não sei</v>
      </c>
      <c r="B22484" s="3">
        <v>0</v>
      </c>
    </row>
    <row r="22485" ht="15.75" customHeight="1" spans="1:2">
      <c r="A22485" s="3" t="str">
        <f>IFERROR(__xludf.DUMMYFUNCTION("GOOGLETRANSLATE(A22485,""en"",""pt"")"),"Muitos de atolamentos de papel, uma longa espera em fotos")</f>
        <v>Muitos de atolamentos de papel, uma longa espera em fotos</v>
      </c>
      <c r="B22485" s="3">
        <v>0</v>
      </c>
    </row>
    <row r="22486" ht="15.75" customHeight="1" spans="1:2">
      <c r="A22486" s="3" t="str">
        <f>IFERROR(__xludf.DUMMYFUNCTION("GOOGLETRANSLATE(A22486,""en"",""pt"")"),"1.Low-Res fotos não vai ficar bem nesta impressora. 2.slow em trabalhos de fotografia.")</f>
        <v>1.Low-Res fotos não vai ficar bem nesta impressora. 2.slow em trabalhos de fotografia.</v>
      </c>
      <c r="B22486" s="3">
        <v>0</v>
      </c>
    </row>
    <row r="22487" ht="15.75" customHeight="1" spans="1:2">
      <c r="A22487" s="3" t="str">
        <f>IFERROR(__xludf.DUMMYFUNCTION("GOOGLETRANSLATE(A22487,""en"",""pt"")"),"instalação difícil, interface de software")</f>
        <v>instalação difícil, interface de software</v>
      </c>
      <c r="B22487" s="3">
        <v>0</v>
      </c>
    </row>
    <row r="22488" ht="15.75" customHeight="1" spans="1:2">
      <c r="A22488" s="3" t="str">
        <f>IFERROR(__xludf.DUMMYFUNCTION("GOOGLETRANSLATE(A22488,""en"",""pt"")"),"caro")</f>
        <v>caro</v>
      </c>
      <c r="B22488" s="3">
        <v>0</v>
      </c>
    </row>
    <row r="22489" ht="15.75" customHeight="1" spans="1:2">
      <c r="A22489" s="3" t="str">
        <f>IFERROR(__xludf.DUMMYFUNCTION("GOOGLETRANSLATE(A22489,""en"",""pt"")"),"Fácil de usar")</f>
        <v>Fácil de usar</v>
      </c>
      <c r="B22489" s="3">
        <v>0</v>
      </c>
    </row>
    <row r="22490" ht="15.75" customHeight="1" spans="1:2">
      <c r="A22490" s="3" t="str">
        <f>IFERROR(__xludf.DUMMYFUNCTION("GOOGLETRANSLATE(A22490,""en"",""pt"")"),"sometime cor fora em impressões a cores")</f>
        <v>sometime cor fora em impressões a cores</v>
      </c>
      <c r="B22490" s="3">
        <v>0</v>
      </c>
    </row>
    <row r="22491" ht="15.75" customHeight="1" spans="1:2">
      <c r="A22491" s="3" t="str">
        <f>IFERROR(__xludf.DUMMYFUNCTION("GOOGLETRANSLATE(A22491,""en"",""pt"")"),"um pouco lento")</f>
        <v>um pouco lento</v>
      </c>
      <c r="B22491" s="3">
        <v>0</v>
      </c>
    </row>
    <row r="22492" ht="15.75" customHeight="1" spans="1:2">
      <c r="A22492" s="3" t="str">
        <f>IFERROR(__xludf.DUMMYFUNCTION("GOOGLETRANSLATE(A22492,""en"",""pt"")"),"Nenhum")</f>
        <v>Nenhum</v>
      </c>
      <c r="B22492" s="3">
        <v>0</v>
      </c>
    </row>
    <row r="22493" ht="15.75" customHeight="1" spans="1:2">
      <c r="A22493" s="3" t="str">
        <f>IFERROR(__xludf.DUMMYFUNCTION("GOOGLETRANSLATE(A22493,""en"",""pt"")"),"Nenhum que eu encontrei")</f>
        <v>Nenhum que eu encontrei</v>
      </c>
      <c r="B22493" s="3">
        <v>0</v>
      </c>
    </row>
    <row r="22494" ht="15.75" customHeight="1" spans="1:2">
      <c r="A22494" s="3" t="str">
        <f>IFERROR(__xludf.DUMMYFUNCTION("GOOGLETRANSLATE(A22494,""en"",""pt"")"),"Cópias secar um pouco lento às vezes, por isso tome cuidado")</f>
        <v>Cópias secar um pouco lento às vezes, por isso tome cuidado</v>
      </c>
      <c r="B22494" s="3">
        <v>0</v>
      </c>
    </row>
    <row r="22495" ht="15.75" customHeight="1" spans="1:2">
      <c r="A22495" s="3" t="str">
        <f>IFERROR(__xludf.DUMMYFUNCTION("GOOGLETRANSLATE(A22495,""en"",""pt"")"),"Nenhum")</f>
        <v>Nenhum</v>
      </c>
      <c r="B22495" s="3">
        <v>0</v>
      </c>
    </row>
    <row r="22496" ht="15.75" customHeight="1" spans="1:2">
      <c r="A22496" s="3" t="str">
        <f>IFERROR(__xludf.DUMMYFUNCTION("GOOGLETRANSLATE(A22496,""en"",""pt"")"),"Nenhum")</f>
        <v>Nenhum</v>
      </c>
      <c r="B22496" s="3">
        <v>0</v>
      </c>
    </row>
    <row r="22497" ht="15.75" customHeight="1" spans="1:2">
      <c r="A22497" s="3" t="str">
        <f>IFERROR(__xludf.DUMMYFUNCTION("GOOGLETRANSLATE(A22497,""en"",""pt"")"),"Um pouco lento")</f>
        <v>Um pouco lento</v>
      </c>
      <c r="B22497" s="3">
        <v>0</v>
      </c>
    </row>
    <row r="22498" ht="15.75" customHeight="1" spans="1:2">
      <c r="A22498" s="3" t="str">
        <f>IFERROR(__xludf.DUMMYFUNCTION("GOOGLETRANSLATE(A22498,""en"",""pt"")"),"Nenhum")</f>
        <v>Nenhum</v>
      </c>
      <c r="B22498" s="3">
        <v>0</v>
      </c>
    </row>
    <row r="22499" ht="15.75" customHeight="1" spans="1:2">
      <c r="A22499" s="3" t="str">
        <f>IFERROR(__xludf.DUMMYFUNCTION("GOOGLETRANSLATE(A22499,""en"",""pt"")"),"A cor é bom para uma unidade de casa, mas não profissional")</f>
        <v>A cor é bom para uma unidade de casa, mas não profissional</v>
      </c>
      <c r="B22499" s="3">
        <v>0</v>
      </c>
    </row>
    <row r="22500" ht="15.75" customHeight="1" spans="1:2">
      <c r="A22500" s="3" t="str">
        <f>IFERROR(__xludf.DUMMYFUNCTION("GOOGLETRANSLATE(A22500,""en"",""pt"")"),"Nenhum")</f>
        <v>Nenhum</v>
      </c>
      <c r="B22500" s="3">
        <v>0</v>
      </c>
    </row>
    <row r="22501" ht="15.75" customHeight="1" spans="1:2">
      <c r="A22501" s="3" t="str">
        <f>IFERROR(__xludf.DUMMYFUNCTION("GOOGLETRANSLATE(A22501,""en"",""pt"")"),"Nenhum")</f>
        <v>Nenhum</v>
      </c>
      <c r="B22501" s="3">
        <v>0</v>
      </c>
    </row>
    <row r="22502" ht="15.75" customHeight="1" spans="1:2">
      <c r="A22502" s="3" t="str">
        <f>IFERROR(__xludf.DUMMYFUNCTION("GOOGLETRANSLATE(A22502,""en"",""pt"")"),"queima através de tinta quando não estiver em modo de rascunho")</f>
        <v>queima através de tinta quando não estiver em modo de rascunho</v>
      </c>
      <c r="B22502" s="3">
        <v>0</v>
      </c>
    </row>
    <row r="22503" ht="15.75" customHeight="1" spans="1:2">
      <c r="A22503" s="3" t="str">
        <f>IFERROR(__xludf.DUMMYFUNCTION("GOOGLETRANSLATE(A22503,""en"",""pt"")"),"Software é um pouco difícil de instalar, não pode usar no Mac")</f>
        <v>Software é um pouco difícil de instalar, não pode usar no Mac</v>
      </c>
      <c r="B22503" s="3">
        <v>0</v>
      </c>
    </row>
    <row r="22504" ht="15.75" customHeight="1" spans="1:2">
      <c r="A22504" s="3" t="str">
        <f>IFERROR(__xludf.DUMMYFUNCTION("GOOGLETRANSLATE(A22504,""en"",""pt"")"),"bandeja de papel pequeno, cartuchos de tinta caros, sempre um novo &amp; amp; amp; melhor modelo no mercado")</f>
        <v>bandeja de papel pequeno, cartuchos de tinta caros, sempre um novo &amp; amp; amp; melhor modelo no mercado</v>
      </c>
      <c r="B22504" s="3">
        <v>0</v>
      </c>
    </row>
    <row r="22505" ht="15.75" customHeight="1" spans="1:2">
      <c r="A22505" s="3" t="str">
        <f>IFERROR(__xludf.DUMMYFUNCTION("GOOGLETRANSLATE(A22505,""en"",""pt"")"),"nada específico para esta impressora, apenas inconvenientes de impressoras jato de tinta em geral")</f>
        <v>nada específico para esta impressora, apenas inconvenientes de impressoras jato de tinta em geral</v>
      </c>
      <c r="B22505" s="3">
        <v>0</v>
      </c>
    </row>
    <row r="22506" ht="15.75" customHeight="1" spans="1:2">
      <c r="A22506" s="3" t="str">
        <f>IFERROR(__xludf.DUMMYFUNCTION("GOOGLETRANSLATE(A22506,""en"",""pt"")"),"Sacode um pouco demais")</f>
        <v>Sacode um pouco demais</v>
      </c>
      <c r="B22506" s="3">
        <v>0</v>
      </c>
    </row>
    <row r="22507" ht="15.75" customHeight="1" spans="1:2">
      <c r="A22507" s="3" t="str">
        <f>IFERROR(__xludf.DUMMYFUNCTION("GOOGLETRANSLATE(A22507,""en"",""pt"")"),"Nenhum que eu posso pensar")</f>
        <v>Nenhum que eu posso pensar</v>
      </c>
      <c r="B22507" s="3">
        <v>0</v>
      </c>
    </row>
    <row r="22508" ht="15.75" customHeight="1" spans="1:2">
      <c r="A22508" s="3" t="str">
        <f>IFERROR(__xludf.DUMMYFUNCTION("GOOGLETRANSLATE(A22508,""en"",""pt"")"),"NENHUM!")</f>
        <v>NENHUM!</v>
      </c>
      <c r="B22508" s="3">
        <v>0</v>
      </c>
    </row>
    <row r="22509" ht="15.75" customHeight="1" spans="1:2">
      <c r="A22509" s="3" t="str">
        <f>IFERROR(__xludf.DUMMYFUNCTION("GOOGLETRANSLATE(A22509,""en"",""pt"")"),"Um pouco lento na melhor qualidade")</f>
        <v>Um pouco lento na melhor qualidade</v>
      </c>
      <c r="B22509" s="3">
        <v>0</v>
      </c>
    </row>
    <row r="22510" ht="15.75" customHeight="1" spans="1:2">
      <c r="A22510" s="3" t="str">
        <f>IFERROR(__xludf.DUMMYFUNCTION("GOOGLETRANSLATE(A22510,""en"",""pt"")"),"Imprimir carrinho. são caros (cada marca é)")</f>
        <v>Imprimir carrinho. são caros (cada marca é)</v>
      </c>
      <c r="B22510" s="3">
        <v>0</v>
      </c>
    </row>
    <row r="22511" ht="15.75" customHeight="1" spans="1:2">
      <c r="A22511" s="3" t="str">
        <f>IFERROR(__xludf.DUMMYFUNCTION("GOOGLETRANSLATE(A22511,""en"",""pt"")"),"Atolado tentando imprimir em tecido ..")</f>
        <v>Atolado tentando imprimir em tecido ..</v>
      </c>
      <c r="B22511" s="3">
        <v>0</v>
      </c>
    </row>
    <row r="22512" ht="15.75" customHeight="1" spans="1:2">
      <c r="A22512" s="3" t="str">
        <f>IFERROR(__xludf.DUMMYFUNCTION("GOOGLETRANSLATE(A22512,""en"",""pt"")"),"Capacidade de papel pequeno. Apenas detém 50 ou mais folhas por vez.")</f>
        <v>Capacidade de papel pequeno. Apenas detém 50 ou mais folhas por vez.</v>
      </c>
      <c r="B22512" s="3">
        <v>0</v>
      </c>
    </row>
    <row r="22513" ht="15.75" customHeight="1" spans="1:2">
      <c r="A22513" s="3" t="str">
        <f>IFERROR(__xludf.DUMMYFUNCTION("GOOGLETRANSLATE(A22513,""en"",""pt"")"),"não muito!")</f>
        <v>não muito!</v>
      </c>
      <c r="B22513" s="3">
        <v>0</v>
      </c>
    </row>
    <row r="22514" ht="15.75" customHeight="1" spans="1:2">
      <c r="A22514" s="3" t="str">
        <f>IFERROR(__xludf.DUMMYFUNCTION("GOOGLETRANSLATE(A22514,""en"",""pt"")"),"não pode ser reparado exceto no HP")</f>
        <v>não pode ser reparado exceto no HP</v>
      </c>
      <c r="B22514" s="3">
        <v>0</v>
      </c>
    </row>
    <row r="22515" ht="15.75" customHeight="1" spans="1:2">
      <c r="A22515" s="3" t="str">
        <f>IFERROR(__xludf.DUMMYFUNCTION("GOOGLETRANSLATE(A22515,""en"",""pt"")"),"Use um tapete de borracha para parar o ligeiro tremor.")</f>
        <v>Use um tapete de borracha para parar o ligeiro tremor.</v>
      </c>
      <c r="B22515" s="3">
        <v>0</v>
      </c>
    </row>
    <row r="22516" ht="15.75" customHeight="1" spans="1:2">
      <c r="A22516" s="3" t="str">
        <f>IFERROR(__xludf.DUMMYFUNCTION("GOOGLETRANSLATE(A22516,""en"",""pt"")"),"Nenhum")</f>
        <v>Nenhum</v>
      </c>
      <c r="B22516" s="3">
        <v>0</v>
      </c>
    </row>
    <row r="22517" ht="15.75" customHeight="1" spans="1:2">
      <c r="A22517" s="3" t="str">
        <f>IFERROR(__xludf.DUMMYFUNCTION("GOOGLETRANSLATE(A22517,""en"",""pt"")"),"Nenhum até hoje")</f>
        <v>Nenhum até hoje</v>
      </c>
      <c r="B22517" s="3">
        <v>0</v>
      </c>
    </row>
    <row r="22518" ht="15.75" customHeight="1" spans="1:2">
      <c r="A22518" s="3" t="str">
        <f>IFERROR(__xludf.DUMMYFUNCTION("GOOGLETRANSLATE(A22518,""en"",""pt"")"),"Substituindo tinta é caro")</f>
        <v>Substituindo tinta é caro</v>
      </c>
      <c r="B22518" s="3">
        <v>0</v>
      </c>
    </row>
    <row r="22519" ht="15.75" customHeight="1" spans="1:2">
      <c r="A22519" s="3" t="str">
        <f>IFERROR(__xludf.DUMMYFUNCTION("GOOGLETRANSLATE(A22519,""en"",""pt"")"),"qualidade não PHOTO")</f>
        <v>qualidade não PHOTO</v>
      </c>
      <c r="B22519" s="3">
        <v>0</v>
      </c>
    </row>
    <row r="22520" ht="15.75" customHeight="1" spans="1:2">
      <c r="A22520" s="3" t="str">
        <f>IFERROR(__xludf.DUMMYFUNCTION("GOOGLETRANSLATE(A22520,""en"",""pt"")"),"Barulhento e instável")</f>
        <v>Barulhento e instável</v>
      </c>
      <c r="B22520" s="3">
        <v>0</v>
      </c>
    </row>
    <row r="22521" ht="15.75" customHeight="1" spans="1:2">
      <c r="A22521" s="3" t="str">
        <f>IFERROR(__xludf.DUMMYFUNCTION("GOOGLETRANSLATE(A22521,""en"",""pt"")"),"Confiabilidade, os maus condutores, tinta caro")</f>
        <v>Confiabilidade, os maus condutores, tinta caro</v>
      </c>
      <c r="B22521" s="3">
        <v>0</v>
      </c>
    </row>
    <row r="22522" ht="15.75" customHeight="1" spans="1:2">
      <c r="A22522" s="3" t="str">
        <f>IFERROR(__xludf.DUMMYFUNCTION("GOOGLETRANSLATE(A22522,""en"",""pt"")"),"barulhento, lento e shakes muito")</f>
        <v>barulhento, lento e shakes muito</v>
      </c>
      <c r="B22522" s="3">
        <v>0</v>
      </c>
    </row>
    <row r="22523" ht="15.75" customHeight="1" spans="1:2">
      <c r="A22523" s="3" t="str">
        <f>IFERROR(__xludf.DUMMYFUNCTION("GOOGLETRANSLATE(A22523,""en"",""pt"")"),"velocidade média de impressão")</f>
        <v>velocidade média de impressão</v>
      </c>
      <c r="B22523" s="3">
        <v>0</v>
      </c>
    </row>
    <row r="22524" ht="15.75" customHeight="1" spans="1:2">
      <c r="A22524" s="3" t="str">
        <f>IFERROR(__xludf.DUMMYFUNCTION("GOOGLETRANSLATE(A22524,""en"",""pt"")"),"Um pouco lento")</f>
        <v>Um pouco lento</v>
      </c>
      <c r="B22524" s="3">
        <v>0</v>
      </c>
    </row>
    <row r="22525" ht="15.75" customHeight="1" spans="1:2">
      <c r="A22525" s="3" t="str">
        <f>IFERROR(__xludf.DUMMYFUNCTION("GOOGLETRANSLATE(A22525,""en"",""pt"")"),"cartuchos caros")</f>
        <v>cartuchos caros</v>
      </c>
      <c r="B22525" s="3">
        <v>0</v>
      </c>
    </row>
    <row r="22526" ht="15.75" customHeight="1" spans="1:2">
      <c r="A22526" s="3" t="str">
        <f>IFERROR(__xludf.DUMMYFUNCTION("GOOGLETRANSLATE(A22526,""en"",""pt"")"),"Fácil de atomizar quando jogado no tráfego de alta velocidade.")</f>
        <v>Fácil de atomizar quando jogado no tráfego de alta velocidade.</v>
      </c>
      <c r="B22526" s="3">
        <v>0</v>
      </c>
    </row>
    <row r="22527" ht="15.75" customHeight="1" spans="1:2">
      <c r="A22527" s="3" t="str">
        <f>IFERROR(__xludf.DUMMYFUNCTION("GOOGLETRANSLATE(A22527,""en"",""pt"")"),"preço de tinta")</f>
        <v>preço de tinta</v>
      </c>
      <c r="B22527" s="3">
        <v>0</v>
      </c>
    </row>
    <row r="22528" ht="15.75" customHeight="1" spans="1:2">
      <c r="A22528" s="3" t="str">
        <f>IFERROR(__xludf.DUMMYFUNCTION("GOOGLETRANSLATE(A22528,""en"",""pt"")"),"não pode igualar o poder de impressoras Deskjet de hoje")</f>
        <v>não pode igualar o poder de impressoras Deskjet de hoje</v>
      </c>
      <c r="B22528" s="3">
        <v>0</v>
      </c>
    </row>
    <row r="22529" ht="15.75" customHeight="1" spans="1:2">
      <c r="A22529" s="3" t="str">
        <f>IFERROR(__xludf.DUMMYFUNCTION("GOOGLETRANSLATE(A22529,""en"",""pt"")"),"Tinta cartidges são caros")</f>
        <v>Tinta cartidges são caros</v>
      </c>
      <c r="B22529" s="3">
        <v>0</v>
      </c>
    </row>
    <row r="22530" ht="15.75" customHeight="1" spans="1:2">
      <c r="A22530" s="3" t="str">
        <f>IFERROR(__xludf.DUMMYFUNCTION("GOOGLETRANSLATE(A22530,""en"",""pt"")"),"Mais lento do que alguns, sem suporte USB, 3 cores em um cartucho")</f>
        <v>Mais lento do que alguns, sem suporte USB, 3 cores em um cartucho</v>
      </c>
      <c r="B22530" s="3">
        <v>0</v>
      </c>
    </row>
    <row r="22531" ht="15.75" customHeight="1" spans="1:2">
      <c r="A22531" s="3" t="str">
        <f>IFERROR(__xludf.DUMMYFUNCTION("GOOGLETRANSLATE(A22531,""en"",""pt"")"),"nenhum que eu encontrei")</f>
        <v>nenhum que eu encontrei</v>
      </c>
      <c r="B22531" s="3">
        <v>0</v>
      </c>
    </row>
    <row r="22532" ht="15.75" customHeight="1" spans="1:2">
      <c r="A22532" s="3" t="str">
        <f>IFERROR(__xludf.DUMMYFUNCTION("GOOGLETRANSLATE(A22532,""en"",""pt"")"),"A impressora está lento &amp; amp; os drivers de trancar")</f>
        <v>A impressora está lento &amp; amp; os drivers de trancar</v>
      </c>
      <c r="B22532" s="3">
        <v>0</v>
      </c>
    </row>
    <row r="22533" ht="15.75" customHeight="1" spans="1:2">
      <c r="A22533" s="3" t="str">
        <f>IFERROR(__xludf.DUMMYFUNCTION("GOOGLETRANSLATE(A22533,""en"",""pt"")"),"Não há absolutamente nada de negativo a dizer sobre o 722C DeskJet.")</f>
        <v>Não há absolutamente nada de negativo a dizer sobre o 722C DeskJet.</v>
      </c>
      <c r="B22533" s="3">
        <v>0</v>
      </c>
    </row>
    <row r="22534" ht="15.75" customHeight="1" spans="1:2">
      <c r="A22534" s="3" t="str">
        <f>IFERROR(__xludf.DUMMYFUNCTION("GOOGLETRANSLATE(A22534,""en"",""pt"")"),"Nenhum")</f>
        <v>Nenhum</v>
      </c>
      <c r="B22534" s="3">
        <v>0</v>
      </c>
    </row>
    <row r="22535" ht="15.75" customHeight="1" spans="1:2">
      <c r="A22535" s="3" t="str">
        <f>IFERROR(__xludf.DUMMYFUNCTION("GOOGLETRANSLATE(A22535,""en"",""pt"")"),"Nenhum vêm à mente.")</f>
        <v>Nenhum vêm à mente.</v>
      </c>
      <c r="B22535" s="3">
        <v>0</v>
      </c>
    </row>
    <row r="22536" ht="15.75" customHeight="1" spans="1:2">
      <c r="A22536" s="3" t="str">
        <f>IFERROR(__xludf.DUMMYFUNCTION("GOOGLETRANSLATE(A22536,""en"",""pt"")"),"Os cartuchos de tinta são caros.")</f>
        <v>Os cartuchos de tinta são caros.</v>
      </c>
      <c r="B22536" s="3">
        <v>0</v>
      </c>
    </row>
    <row r="22537" ht="15.75" customHeight="1" spans="1:2">
      <c r="A22537" s="3" t="str">
        <f>IFERROR(__xludf.DUMMYFUNCTION("GOOGLETRANSLATE(A22537,""en"",""pt"")"),"Nenhum!")</f>
        <v>Nenhum!</v>
      </c>
      <c r="B22537" s="3">
        <v>0</v>
      </c>
    </row>
    <row r="22538" ht="15.75" customHeight="1" spans="1:2">
      <c r="A22538" s="3" t="str">
        <f>IFERROR(__xludf.DUMMYFUNCTION("GOOGLETRANSLATE(A22538,""en"",""pt"")"),"Cartuchos são um pouco caros")</f>
        <v>Cartuchos são um pouco caros</v>
      </c>
      <c r="B22538" s="3">
        <v>0</v>
      </c>
    </row>
    <row r="22539" ht="15.75" customHeight="1" spans="1:2">
      <c r="A22539" s="3" t="str">
        <f>IFERROR(__xludf.DUMMYFUNCTION("GOOGLETRANSLATE(A22539,""en"",""pt"")"),"Software difícil de instalar ao utilizar cabos USB")</f>
        <v>Software difícil de instalar ao utilizar cabos USB</v>
      </c>
      <c r="B22539" s="3">
        <v>0</v>
      </c>
    </row>
    <row r="22540" ht="15.75" customHeight="1" spans="1:2">
      <c r="A22540" s="3" t="str">
        <f>IFERROR(__xludf.DUMMYFUNCTION("GOOGLETRANSLATE(A22540,""en"",""pt"")"),"cartuchos de tinta caros, olhar chato")</f>
        <v>cartuchos de tinta caros, olhar chato</v>
      </c>
      <c r="B22540" s="3">
        <v>0</v>
      </c>
    </row>
    <row r="22541" ht="15.75" customHeight="1" spans="1:2">
      <c r="A22541" s="3" t="str">
        <f>IFERROR(__xludf.DUMMYFUNCTION("GOOGLETRANSLATE(A22541,""en"",""pt"")"),"Não vem com cabos ... você deve comprar-se (eu sugiro USB se você tiver Win98 ou superior)")</f>
        <v>Não vem com cabos ... você deve comprar-se (eu sugiro USB se você tiver Win98 ou superior)</v>
      </c>
      <c r="B22541" s="3">
        <v>0</v>
      </c>
    </row>
    <row r="22542" ht="15.75" customHeight="1" spans="1:2">
      <c r="A22542" s="3" t="str">
        <f>IFERROR(__xludf.DUMMYFUNCTION("GOOGLETRANSLATE(A22542,""en"",""pt"")"),"Às vezes lento, e desajeitado")</f>
        <v>Às vezes lento, e desajeitado</v>
      </c>
      <c r="B22542" s="3">
        <v>0</v>
      </c>
    </row>
    <row r="22543" ht="15.75" customHeight="1" spans="1:2">
      <c r="A22543" s="3" t="str">
        <f>IFERROR(__xludf.DUMMYFUNCTION("GOOGLETRANSLATE(A22543,""en"",""pt"")"),"Não é capaz de fazer de alta qualidade fotos")</f>
        <v>Não é capaz de fazer de alta qualidade fotos</v>
      </c>
      <c r="B22543" s="3">
        <v>0</v>
      </c>
    </row>
    <row r="22544" ht="15.75" customHeight="1" spans="1:2">
      <c r="A22544" s="3" t="str">
        <f>IFERROR(__xludf.DUMMYFUNCTION("GOOGLETRANSLATE(A22544,""en"",""pt"")"),"Alto custo de tinta preta")</f>
        <v>Alto custo de tinta preta</v>
      </c>
      <c r="B22544" s="3">
        <v>0</v>
      </c>
    </row>
    <row r="22545" ht="15.75" customHeight="1" spans="1:2">
      <c r="A22545" s="3" t="str">
        <f>IFERROR(__xludf.DUMMYFUNCTION("GOOGLETRANSLATE(A22545,""en"",""pt"")"),"Nenhum")</f>
        <v>Nenhum</v>
      </c>
      <c r="B22545" s="3">
        <v>0</v>
      </c>
    </row>
    <row r="22546" ht="15.75" customHeight="1" spans="1:2">
      <c r="A22546" s="3" t="str">
        <f>IFERROR(__xludf.DUMMYFUNCTION("GOOGLETRANSLATE(A22546,""en"",""pt"")"),"suporte técnico limitado, velocidade de impressão lenta")</f>
        <v>suporte técnico limitado, velocidade de impressão lenta</v>
      </c>
      <c r="B22546" s="3">
        <v>0</v>
      </c>
    </row>
    <row r="22547" ht="15.75" customHeight="1" spans="1:2">
      <c r="A22547" s="3" t="str">
        <f>IFERROR(__xludf.DUMMYFUNCTION("GOOGLETRANSLATE(A22547,""en"",""pt"")"),"Não é possível obter papel jato de tinta impressa molhado!")</f>
        <v>Não é possível obter papel jato de tinta impressa molhado!</v>
      </c>
      <c r="B22547" s="3">
        <v>0</v>
      </c>
    </row>
    <row r="22548" ht="15.75" customHeight="1" spans="1:2">
      <c r="A22548" s="3" t="str">
        <f>IFERROR(__xludf.DUMMYFUNCTION("GOOGLETRANSLATE(A22548,""en"",""pt"")"),"Nenhum")</f>
        <v>Nenhum</v>
      </c>
      <c r="B22548" s="3">
        <v>0</v>
      </c>
    </row>
    <row r="22549" ht="15.75" customHeight="1" spans="1:2">
      <c r="A22549" s="3" t="str">
        <f>IFERROR(__xludf.DUMMYFUNCTION("GOOGLETRANSLATE(A22549,""en"",""pt"")"),"Precisa de papel caro")</f>
        <v>Precisa de papel caro</v>
      </c>
      <c r="B22549" s="3">
        <v>0</v>
      </c>
    </row>
    <row r="22550" ht="15.75" customHeight="1" spans="1:2">
      <c r="A22550" s="3" t="str">
        <f>IFERROR(__xludf.DUMMYFUNCTION("GOOGLETRANSLATE(A22550,""en"",""pt"")"),"Eu atravesso cartuchos rapidamente")</f>
        <v>Eu atravesso cartuchos rapidamente</v>
      </c>
      <c r="B22550" s="3">
        <v>0</v>
      </c>
    </row>
    <row r="22551" ht="15.75" customHeight="1" spans="1:2">
      <c r="A22551" s="3" t="str">
        <f>IFERROR(__xludf.DUMMYFUNCTION("GOOGLETRANSLATE(A22551,""en"",""pt"")"),"cartuchos caro, tem problemas com a utilização de kits de recarga,")</f>
        <v>cartuchos caro, tem problemas com a utilização de kits de recarga,</v>
      </c>
      <c r="B22551" s="3">
        <v>0</v>
      </c>
    </row>
    <row r="22552" ht="15.75" customHeight="1" spans="1:2">
      <c r="A22552" s="3" t="str">
        <f>IFERROR(__xludf.DUMMYFUNCTION("GOOGLETRANSLATE(A22552,""en"",""pt"")"),"os cartuchos de tinta caros, não há cabos incluídos")</f>
        <v>os cartuchos de tinta caros, não há cabos incluídos</v>
      </c>
      <c r="B22552" s="3">
        <v>0</v>
      </c>
    </row>
    <row r="22553" ht="15.75" customHeight="1" spans="1:2">
      <c r="A22553" s="3" t="str">
        <f>IFERROR(__xludf.DUMMYFUNCTION("GOOGLETRANSLATE(A22553,""en"",""pt"")"),"tinta é caro, às vezes estraga páginas")</f>
        <v>tinta é caro, às vezes estraga páginas</v>
      </c>
      <c r="B22553" s="3">
        <v>0</v>
      </c>
    </row>
    <row r="22554" ht="15.75" customHeight="1" spans="1:2">
      <c r="A22554" s="3" t="str">
        <f>IFERROR(__xludf.DUMMYFUNCTION("GOOGLETRANSLATE(A22554,""en"",""pt"")"),"preços cartucho de tinta. qualidade unidade.")</f>
        <v>preços cartucho de tinta. qualidade unidade.</v>
      </c>
      <c r="B22554" s="3">
        <v>0</v>
      </c>
    </row>
    <row r="22555" ht="15.75" customHeight="1" spans="1:2">
      <c r="A22555" s="3" t="str">
        <f>IFERROR(__xludf.DUMMYFUNCTION("GOOGLETRANSLATE(A22555,""en"",""pt"")"),"os cartuchos de tinta muito caro, lento")</f>
        <v>os cartuchos de tinta muito caro, lento</v>
      </c>
      <c r="B22555" s="3">
        <v>0</v>
      </c>
    </row>
    <row r="22556" ht="15.75" customHeight="1" spans="1:2">
      <c r="A22556" s="3" t="str">
        <f>IFERROR(__xludf.DUMMYFUNCTION("GOOGLETRANSLATE(A22556,""en"",""pt"")"),"nenhum encontrado")</f>
        <v>nenhum encontrado</v>
      </c>
      <c r="B22556" s="3">
        <v>0</v>
      </c>
    </row>
    <row r="22557" ht="15.75" customHeight="1" spans="1:2">
      <c r="A22557" s="3" t="str">
        <f>IFERROR(__xludf.DUMMYFUNCTION("GOOGLETRANSLATE(A22557,""en"",""pt"")"),"Substituição de cartuchos são alta")</f>
        <v>Substituição de cartuchos são alta</v>
      </c>
      <c r="B22557" s="3">
        <v>0</v>
      </c>
    </row>
    <row r="22558" ht="15.75" customHeight="1" spans="1:2">
      <c r="A22558" s="3" t="str">
        <f>IFERROR(__xludf.DUMMYFUNCTION("GOOGLETRANSLATE(A22558,""en"",""pt"")"),"Lentidão em gráficos")</f>
        <v>Lentidão em gráficos</v>
      </c>
      <c r="B22558" s="3">
        <v>0</v>
      </c>
    </row>
    <row r="22559" ht="15.75" customHeight="1" spans="1:2">
      <c r="A22559" s="3" t="str">
        <f>IFERROR(__xludf.DUMMYFUNCTION("GOOGLETRANSLATE(A22559,""en"",""pt"")"),"Um incómodo alinhamento dos cartuchos de tinta")</f>
        <v>Um incómodo alinhamento dos cartuchos de tinta</v>
      </c>
      <c r="B22559" s="3">
        <v>0</v>
      </c>
    </row>
    <row r="22560" ht="15.75" customHeight="1" spans="1:2">
      <c r="A22560" s="3" t="str">
        <f>IFERROR(__xludf.DUMMYFUNCTION("GOOGLETRANSLATE(A22560,""en"",""pt"")"),"Por que eu recebo este feed forma aleatória?")</f>
        <v>Por que eu recebo este feed forma aleatória?</v>
      </c>
      <c r="B22560" s="3">
        <v>0</v>
      </c>
    </row>
    <row r="22561" ht="15.75" customHeight="1" spans="1:2">
      <c r="A22561" s="3" t="str">
        <f>IFERROR(__xludf.DUMMYFUNCTION("GOOGLETRANSLATE(A22561,""en"",""pt"")"),"Não consigo pensar em qualquer contras")</f>
        <v>Não consigo pensar em qualquer contras</v>
      </c>
      <c r="B22561" s="3">
        <v>0</v>
      </c>
    </row>
    <row r="22562" ht="15.75" customHeight="1" spans="1:2">
      <c r="A22562" s="3" t="str">
        <f>IFERROR(__xludf.DUMMYFUNCTION("GOOGLETRANSLATE(A22562,""en"",""pt"")"),"problemas contínuos com impressão")</f>
        <v>problemas contínuos com impressão</v>
      </c>
      <c r="B22562" s="3">
        <v>0</v>
      </c>
    </row>
    <row r="22563" ht="15.75" customHeight="1" spans="1:2">
      <c r="A22563" s="3" t="str">
        <f>IFERROR(__xludf.DUMMYFUNCTION("GOOGLETRANSLATE(A22563,""en"",""pt"")"),"Nenhum cabo de impressora incluído")</f>
        <v>Nenhum cabo de impressora incluído</v>
      </c>
      <c r="B22563" s="3">
        <v>0</v>
      </c>
    </row>
    <row r="22564" ht="15.75" customHeight="1" spans="1:2">
      <c r="A22564" s="3" t="str">
        <f>IFERROR(__xludf.DUMMYFUNCTION("GOOGLETRANSLATE(A22564,""en"",""pt"")"),"Atolamentos de papel, por vezes, rolos maus")</f>
        <v>Atolamentos de papel, por vezes, rolos maus</v>
      </c>
      <c r="B22564" s="3">
        <v>0</v>
      </c>
    </row>
    <row r="22565" ht="15.75" customHeight="1" spans="1:2">
      <c r="A22565" s="3" t="str">
        <f>IFERROR(__xludf.DUMMYFUNCTION("GOOGLETRANSLATE(A22565,""en"",""pt"")"),"Ink é um pouco caro")</f>
        <v>Ink é um pouco caro</v>
      </c>
      <c r="B22565" s="3">
        <v>0</v>
      </c>
    </row>
    <row r="22566" ht="15.75" customHeight="1" spans="1:2">
      <c r="A22566" s="3" t="str">
        <f>IFERROR(__xludf.DUMMYFUNCTION("GOOGLETRANSLATE(A22566,""en"",""pt"")"),"Rapidez")</f>
        <v>Rapidez</v>
      </c>
      <c r="B22566" s="3">
        <v>0</v>
      </c>
    </row>
    <row r="22567" ht="15.75" customHeight="1" spans="1:2">
      <c r="A22567" s="3" t="str">
        <f>IFERROR(__xludf.DUMMYFUNCTION("GOOGLETRANSLATE(A22567,""en"",""pt"")"),"Cartuchos são caros")</f>
        <v>Cartuchos são caros</v>
      </c>
      <c r="B22567" s="3">
        <v>0</v>
      </c>
    </row>
    <row r="22568" ht="15.75" customHeight="1" spans="1:2">
      <c r="A22568" s="3" t="str">
        <f>IFERROR(__xludf.DUMMYFUNCTION("GOOGLETRANSLATE(A22568,""en"",""pt"")"),"Não muito rápido")</f>
        <v>Não muito rápido</v>
      </c>
      <c r="B22568" s="3">
        <v>0</v>
      </c>
    </row>
    <row r="22569" ht="15.75" customHeight="1" spans="1:2">
      <c r="A22569" s="3" t="str">
        <f>IFERROR(__xludf.DUMMYFUNCTION("GOOGLETRANSLATE(A22569,""en"",""pt"")"),"cartucho de tinta preta pequena que não é tão universal e um pouco mais caro.")</f>
        <v>cartucho de tinta preta pequena que não é tão universal e um pouco mais caro.</v>
      </c>
      <c r="B22569" s="3">
        <v>0</v>
      </c>
    </row>
    <row r="22570" ht="15.75" customHeight="1" spans="1:2">
      <c r="A22570" s="3" t="str">
        <f>IFERROR(__xludf.DUMMYFUNCTION("GOOGLETRANSLATE(A22570,""en"",""pt"")"),"Custo dos cartuchos")</f>
        <v>Custo dos cartuchos</v>
      </c>
      <c r="B22570" s="3">
        <v>0</v>
      </c>
    </row>
    <row r="22571" ht="15.75" customHeight="1" spans="1:2">
      <c r="A22571" s="3" t="str">
        <f>IFERROR(__xludf.DUMMYFUNCTION("GOOGLETRANSLATE(A22571,""en"",""pt"")"),"Lento em alguns gráficos")</f>
        <v>Lento em alguns gráficos</v>
      </c>
      <c r="B22571" s="3">
        <v>0</v>
      </c>
    </row>
    <row r="22572" ht="15.75" customHeight="1" spans="1:2">
      <c r="A22572" s="3" t="str">
        <f>IFERROR(__xludf.DUMMYFUNCTION("GOOGLETRANSLATE(A22572,""en"",""pt"")"),"lento para começar a imprimir, bandeja de papel pequena")</f>
        <v>lento para começar a imprimir, bandeja de papel pequena</v>
      </c>
      <c r="B22572" s="3">
        <v>0</v>
      </c>
    </row>
    <row r="22573" ht="15.75" customHeight="1" spans="1:2">
      <c r="A22573" s="3" t="str">
        <f>IFERROR(__xludf.DUMMYFUNCTION("GOOGLETRANSLATE(A22573,""en"",""pt"")"),"Recargas de tinta não são baratos")</f>
        <v>Recargas de tinta não são baratos</v>
      </c>
      <c r="B22573" s="3">
        <v>0</v>
      </c>
    </row>
    <row r="22574" ht="15.75" customHeight="1" spans="1:2">
      <c r="A22574" s="3" t="str">
        <f>IFERROR(__xludf.DUMMYFUNCTION("GOOGLETRANSLATE(A22574,""en"",""pt"")"),"Bandeja de Papel Pequena, Apenas um USB.")</f>
        <v>Bandeja de Papel Pequena, Apenas um USB.</v>
      </c>
      <c r="B22574" s="3">
        <v>0</v>
      </c>
    </row>
    <row r="22575" ht="15.75" customHeight="1" spans="1:2">
      <c r="A22575" s="3" t="str">
        <f>IFERROR(__xludf.DUMMYFUNCTION("GOOGLETRANSLATE(A22575,""en"",""pt"")"),"Ink é caro")</f>
        <v>Ink é caro</v>
      </c>
      <c r="B22575" s="3">
        <v>0</v>
      </c>
    </row>
    <row r="22576" ht="15.75" customHeight="1" spans="1:2">
      <c r="A22576" s="3" t="str">
        <f>IFERROR(__xludf.DUMMYFUNCTION("GOOGLETRANSLATE(A22576,""en"",""pt"")"),"pode não ser o mais novo ou mais rápido")</f>
        <v>pode não ser o mais novo ou mais rápido</v>
      </c>
      <c r="B22576" s="3">
        <v>0</v>
      </c>
    </row>
    <row r="22577" ht="15.75" customHeight="1" spans="1:2">
      <c r="A22577" s="3" t="str">
        <f>IFERROR(__xludf.DUMMYFUNCTION("GOOGLETRANSLATE(A22577,""en"",""pt"")"),"tinteiros pequenos")</f>
        <v>tinteiros pequenos</v>
      </c>
      <c r="B22577" s="3">
        <v>0</v>
      </c>
    </row>
    <row r="22578" ht="15.75" customHeight="1" spans="1:2">
      <c r="A22578" s="3" t="str">
        <f>IFERROR(__xludf.DUMMYFUNCTION("GOOGLETRANSLATE(A22578,""en"",""pt"")"),"Nenhum")</f>
        <v>Nenhum</v>
      </c>
      <c r="B22578" s="3">
        <v>0</v>
      </c>
    </row>
    <row r="22579" ht="15.75" customHeight="1" spans="1:2">
      <c r="A22579" s="3" t="str">
        <f>IFERROR(__xludf.DUMMYFUNCTION("GOOGLETRANSLATE(A22579,""en"",""pt"")"),"Nenhum.")</f>
        <v>Nenhum.</v>
      </c>
      <c r="B22579" s="3">
        <v>0</v>
      </c>
    </row>
    <row r="22580" ht="15.75" customHeight="1" spans="1:2">
      <c r="A22580" s="3" t="str">
        <f>IFERROR(__xludf.DUMMYFUNCTION("GOOGLETRANSLATE(A22580,""en"",""pt"")"),"Menino esses cartuchos são caros!")</f>
        <v>Menino esses cartuchos são caros!</v>
      </c>
      <c r="B22580" s="3">
        <v>0</v>
      </c>
    </row>
    <row r="22581" ht="15.75" customHeight="1" spans="1:2">
      <c r="A22581" s="3" t="str">
        <f>IFERROR(__xludf.DUMMYFUNCTION("GOOGLETRANSLATE(A22581,""en"",""pt"")"),"Nenhum")</f>
        <v>Nenhum</v>
      </c>
      <c r="B22581" s="3">
        <v>0</v>
      </c>
    </row>
    <row r="22582" ht="15.75" customHeight="1" spans="1:2">
      <c r="A22582" s="3" t="str">
        <f>IFERROR(__xludf.DUMMYFUNCTION("GOOGLETRANSLATE(A22582,""en"",""pt"")"),"cartucho preto difícil encontrar")</f>
        <v>cartucho preto difícil encontrar</v>
      </c>
      <c r="B22582" s="3">
        <v>0</v>
      </c>
    </row>
    <row r="22583" ht="15.75" customHeight="1" spans="1:2">
      <c r="A22583" s="3" t="str">
        <f>IFERROR(__xludf.DUMMYFUNCTION("GOOGLETRANSLATE(A22583,""en"",""pt"")"),", tinteiros pequenos exopensive")</f>
        <v>, tinteiros pequenos exopensive</v>
      </c>
      <c r="B22583" s="3">
        <v>0</v>
      </c>
    </row>
    <row r="22584" ht="15.75" customHeight="1" spans="1:2">
      <c r="A22584" s="3" t="str">
        <f>IFERROR(__xludf.DUMMYFUNCTION("GOOGLETRANSLATE(A22584,""en"",""pt"")"),"ruídos aleatórios")</f>
        <v>ruídos aleatórios</v>
      </c>
      <c r="B22584" s="3">
        <v>0</v>
      </c>
    </row>
    <row r="22585" ht="15.75" customHeight="1" spans="1:2">
      <c r="A22585" s="3" t="str">
        <f>IFERROR(__xludf.DUMMYFUNCTION("GOOGLETRANSLATE(A22585,""en"",""pt"")"),"Não tão rápido como uma impressora a laser")</f>
        <v>Não tão rápido como uma impressora a laser</v>
      </c>
      <c r="B22585" s="3">
        <v>0</v>
      </c>
    </row>
    <row r="22586" ht="15.75" customHeight="1" spans="1:2">
      <c r="A22586" s="3" t="str">
        <f>IFERROR(__xludf.DUMMYFUNCTION("GOOGLETRANSLATE(A22586,""en"",""pt"")"),"Os cartuchos de tinta são caros")</f>
        <v>Os cartuchos de tinta são caros</v>
      </c>
      <c r="B22586" s="3">
        <v>0</v>
      </c>
    </row>
    <row r="22587" ht="15.75" customHeight="1" spans="1:2">
      <c r="A22587" s="3" t="str">
        <f>IFERROR(__xludf.DUMMYFUNCTION("GOOGLETRANSLATE(A22587,""en"",""pt"")"),"cartuchos de tinta são de US $ 30, mas eles são para qualquer impressora na maioria dos casos")</f>
        <v>cartuchos de tinta são de US $ 30, mas eles são para qualquer impressora na maioria dos casos</v>
      </c>
      <c r="B22587" s="3">
        <v>0</v>
      </c>
    </row>
    <row r="22588" ht="15.75" customHeight="1" spans="1:2">
      <c r="A22588" s="3" t="str">
        <f>IFERROR(__xludf.DUMMYFUNCTION("GOOGLETRANSLATE(A22588,""en"",""pt"")"),"Lento")</f>
        <v>Lento</v>
      </c>
      <c r="B22588" s="3">
        <v>0</v>
      </c>
    </row>
    <row r="22589" ht="15.75" customHeight="1" spans="1:2">
      <c r="A22589" s="3" t="str">
        <f>IFERROR(__xludf.DUMMYFUNCTION("GOOGLETRANSLATE(A22589,""en"",""pt"")"),"cartuchos de impressora são caros")</f>
        <v>cartuchos de impressora são caros</v>
      </c>
      <c r="B22589" s="3">
        <v>0</v>
      </c>
    </row>
    <row r="22590" ht="15.75" customHeight="1" spans="1:2">
      <c r="A22590" s="3" t="str">
        <f>IFERROR(__xludf.DUMMYFUNCTION("GOOGLETRANSLATE(A22590,""en"",""pt"")"),"cartucho preto se tornando escassos")</f>
        <v>cartucho preto se tornando escassos</v>
      </c>
      <c r="B22590" s="3">
        <v>0</v>
      </c>
    </row>
    <row r="22591" ht="15.75" customHeight="1" spans="1:2">
      <c r="A22591" s="3" t="str">
        <f>IFERROR(__xludf.DUMMYFUNCTION("GOOGLETRANSLATE(A22591,""en"",""pt"")"),"Cartucho de tinta preto não dura muito tempo")</f>
        <v>Cartucho de tinta preto não dura muito tempo</v>
      </c>
      <c r="B22591" s="3">
        <v>0</v>
      </c>
    </row>
    <row r="22592" ht="15.75" customHeight="1" spans="1:2">
      <c r="A22592" s="3" t="str">
        <f>IFERROR(__xludf.DUMMYFUNCTION("GOOGLETRANSLATE(A22592,""en"",""pt"")"),"Tem problemas com arquivos do Microsoft Word 2000 com imagens embutidas")</f>
        <v>Tem problemas com arquivos do Microsoft Word 2000 com imagens embutidas</v>
      </c>
      <c r="B22592" s="3">
        <v>0</v>
      </c>
    </row>
    <row r="22593" ht="15.75" customHeight="1" spans="1:2">
      <c r="A22593" s="3" t="str">
        <f>IFERROR(__xludf.DUMMYFUNCTION("GOOGLETRANSLATE(A22593,""en"",""pt"")"),"Não mais novo / Fastest")</f>
        <v>Não mais novo / Fastest</v>
      </c>
      <c r="B22593" s="3">
        <v>0</v>
      </c>
    </row>
    <row r="22594" ht="15.75" customHeight="1" spans="1:2">
      <c r="A22594" s="3" t="str">
        <f>IFERROR(__xludf.DUMMYFUNCTION("GOOGLETRANSLATE(A22594,""en"",""pt"")"),"nenhum que eu posso pensar")</f>
        <v>nenhum que eu posso pensar</v>
      </c>
      <c r="B22594" s="3">
        <v>0</v>
      </c>
    </row>
    <row r="22595" ht="15.75" customHeight="1" spans="1:2">
      <c r="A22595" s="3" t="str">
        <f>IFERROR(__xludf.DUMMYFUNCTION("GOOGLETRANSLATE(A22595,""en"",""pt"")"),"cartriges caros")</f>
        <v>cartriges caros</v>
      </c>
      <c r="B22595" s="3">
        <v>0</v>
      </c>
    </row>
    <row r="22596" ht="15.75" customHeight="1" spans="1:2">
      <c r="A22596" s="3" t="str">
        <f>IFERROR(__xludf.DUMMYFUNCTION("GOOGLETRANSLATE(A22596,""en"",""pt"")"),"Melhores impressoras para apenas um pouco mais")</f>
        <v>Melhores impressoras para apenas um pouco mais</v>
      </c>
      <c r="B22596" s="3">
        <v>0</v>
      </c>
    </row>
    <row r="22597" ht="15.75" customHeight="1" spans="1:2">
      <c r="A22597" s="3" t="str">
        <f>IFERROR(__xludf.DUMMYFUNCTION("GOOGLETRANSLATE(A22597,""en"",""pt"")"),"cartuchos de tinta são caros e difíceis de encontrar em etailers on-line")</f>
        <v>cartuchos de tinta são caros e difíceis de encontrar em etailers on-line</v>
      </c>
      <c r="B22597" s="3">
        <v>0</v>
      </c>
    </row>
    <row r="22598" ht="15.75" customHeight="1" spans="1:2">
      <c r="A22598" s="3" t="str">
        <f>IFERROR(__xludf.DUMMYFUNCTION("GOOGLETRANSLATE(A22598,""en"",""pt"")"),"os cartuchos de tinta caros")</f>
        <v>os cartuchos de tinta caros</v>
      </c>
      <c r="B22598" s="3">
        <v>0</v>
      </c>
    </row>
    <row r="22599" ht="15.75" customHeight="1" spans="1:2">
      <c r="A22599" s="3" t="str">
        <f>IFERROR(__xludf.DUMMYFUNCTION("GOOGLETRANSLATE(A22599,""en"",""pt"")"),"Nenhum")</f>
        <v>Nenhum</v>
      </c>
      <c r="B22599" s="3">
        <v>0</v>
      </c>
    </row>
    <row r="22600" ht="15.75" customHeight="1" spans="1:2">
      <c r="A22600" s="3" t="str">
        <f>IFERROR(__xludf.DUMMYFUNCTION("GOOGLETRANSLATE(A22600,""en"",""pt"")"),"Absolutamente nenhuma")</f>
        <v>Absolutamente nenhuma</v>
      </c>
      <c r="B22600" s="3">
        <v>0</v>
      </c>
    </row>
    <row r="22601" ht="15.75" customHeight="1" spans="1:2">
      <c r="A22601" s="3" t="str">
        <f>IFERROR(__xludf.DUMMYFUNCTION("GOOGLETRANSLATE(A22601,""en"",""pt"")"),"Nenhum")</f>
        <v>Nenhum</v>
      </c>
      <c r="B22601" s="3">
        <v>0</v>
      </c>
    </row>
    <row r="22602" ht="15.75" customHeight="1" spans="1:2">
      <c r="A22602" s="3" t="str">
        <f>IFERROR(__xludf.DUMMYFUNCTION("GOOGLETRANSLATE(A22602,""en"",""pt"")"),"interrompido")</f>
        <v>interrompido</v>
      </c>
      <c r="B22602" s="3">
        <v>0</v>
      </c>
    </row>
    <row r="22603" ht="15.75" customHeight="1" spans="1:2">
      <c r="A22603" s="3" t="str">
        <f>IFERROR(__xludf.DUMMYFUNCTION("GOOGLETRANSLATE(A22603,""en"",""pt"")"),"Nenhum")</f>
        <v>Nenhum</v>
      </c>
      <c r="B22603" s="3">
        <v>0</v>
      </c>
    </row>
    <row r="22604" ht="15.75" customHeight="1" spans="1:2">
      <c r="A22604" s="3" t="str">
        <f>IFERROR(__xludf.DUMMYFUNCTION("GOOGLETRANSLATE(A22604,""en"",""pt"")"),"Recargas são caros")</f>
        <v>Recargas são caros</v>
      </c>
      <c r="B22604" s="3">
        <v>0</v>
      </c>
    </row>
    <row r="22605" ht="15.75" customHeight="1" spans="1:2">
      <c r="A22605" s="3" t="str">
        <f>IFERROR(__xludf.DUMMYFUNCTION("GOOGLETRANSLATE(A22605,""en"",""pt"")"),"Existe?")</f>
        <v>Existe?</v>
      </c>
      <c r="B22605" s="3">
        <v>0</v>
      </c>
    </row>
    <row r="22606" ht="15.75" customHeight="1" spans="1:2">
      <c r="A22606" s="3" t="str">
        <f>IFERROR(__xludf.DUMMYFUNCTION("GOOGLETRANSLATE(A22606,""en"",""pt"")"),"cartuchos de impressora são caros")</f>
        <v>cartuchos de impressora são caros</v>
      </c>
      <c r="B22606" s="3">
        <v>0</v>
      </c>
    </row>
    <row r="22607" ht="15.75" customHeight="1" spans="1:2">
      <c r="A22607" s="3" t="str">
        <f>IFERROR(__xludf.DUMMYFUNCTION("GOOGLETRANSLATE(A22607,""en"",""pt"")"),"Tamanho")</f>
        <v>Tamanho</v>
      </c>
      <c r="B22607" s="3">
        <v>0</v>
      </c>
    </row>
    <row r="22608" ht="15.75" customHeight="1" spans="1:2">
      <c r="A22608" s="3" t="str">
        <f>IFERROR(__xludf.DUMMYFUNCTION("GOOGLETRANSLATE(A22608,""en"",""pt"")"),"Os cartuchos de impressão são caros.")</f>
        <v>Os cartuchos de impressão são caros.</v>
      </c>
      <c r="B22608" s="3">
        <v>0</v>
      </c>
    </row>
    <row r="22609" ht="15.75" customHeight="1" spans="1:2">
      <c r="A22609" s="3" t="str">
        <f>IFERROR(__xludf.DUMMYFUNCTION("GOOGLETRANSLATE(A22609,""en"",""pt"")"),"Não imprime impressões brilhantes ou grandes")</f>
        <v>Não imprime impressões brilhantes ou grandes</v>
      </c>
      <c r="B22609" s="3">
        <v>0</v>
      </c>
    </row>
    <row r="22610" ht="15.75" customHeight="1" spans="1:2">
      <c r="A22610" s="3" t="str">
        <f>IFERROR(__xludf.DUMMYFUNCTION("GOOGLETRANSLATE(A22610,""en"",""pt"")"),"alimentação de papel Horizontal pode ser complicado em estoque mais grosso")</f>
        <v>alimentação de papel Horizontal pode ser complicado em estoque mais grosso</v>
      </c>
      <c r="B22610" s="3">
        <v>0</v>
      </c>
    </row>
    <row r="22611" ht="15.75" customHeight="1" spans="1:2">
      <c r="A22611" s="3" t="str">
        <f>IFERROR(__xludf.DUMMYFUNCTION("GOOGLETRANSLATE(A22611,""en"",""pt"")"),"tinta é caro")</f>
        <v>tinta é caro</v>
      </c>
      <c r="B22611" s="3">
        <v>0</v>
      </c>
    </row>
    <row r="22612" ht="15.75" customHeight="1" spans="1:2">
      <c r="A22612" s="3" t="str">
        <f>IFERROR(__xludf.DUMMYFUNCTION("GOOGLETRANSLATE(A22612,""en"",""pt"")"),"não vai atender às necessidades de alguém que faz um monte de impressão")</f>
        <v>não vai atender às necessidades de alguém que faz um monte de impressão</v>
      </c>
      <c r="B22612" s="3">
        <v>0</v>
      </c>
    </row>
    <row r="22613" ht="15.75" customHeight="1" spans="1:2">
      <c r="A22613" s="3" t="str">
        <f>IFERROR(__xludf.DUMMYFUNCTION("GOOGLETRANSLATE(A22613,""en"",""pt"")"),"Rapidez")</f>
        <v>Rapidez</v>
      </c>
      <c r="B22613" s="3">
        <v>0</v>
      </c>
    </row>
    <row r="22614" ht="15.75" customHeight="1" spans="1:2">
      <c r="A22614" s="3" t="str">
        <f>IFERROR(__xludf.DUMMYFUNCTION("GOOGLETRANSLATE(A22614,""en"",""pt"")"),"Ainda sem uma impressora de qualidade superior.")</f>
        <v>Ainda sem uma impressora de qualidade superior.</v>
      </c>
      <c r="B22614" s="3">
        <v>0</v>
      </c>
    </row>
    <row r="22615" ht="15.75" customHeight="1" spans="1:2">
      <c r="A22615" s="3" t="str">
        <f>IFERROR(__xludf.DUMMYFUNCTION("GOOGLETRANSLATE(A22615,""en"",""pt"")"),"tinta caro")</f>
        <v>tinta caro</v>
      </c>
      <c r="B22615" s="3">
        <v>0</v>
      </c>
    </row>
    <row r="22616" ht="15.75" customHeight="1" spans="1:2">
      <c r="A22616" s="3" t="str">
        <f>IFERROR(__xludf.DUMMYFUNCTION("GOOGLETRANSLATE(A22616,""en"",""pt"")"),"Eu preciso de uma mesa maior")</f>
        <v>Eu preciso de uma mesa maior</v>
      </c>
      <c r="B22616" s="3">
        <v>0</v>
      </c>
    </row>
    <row r="22617" ht="15.75" customHeight="1" spans="1:2">
      <c r="A22617" s="3" t="str">
        <f>IFERROR(__xludf.DUMMYFUNCTION("GOOGLETRANSLATE(A22617,""en"",""pt"")"),"Cartuchos de impressão caro, em Não na tela visual da capacidade do tanque de tinta")</f>
        <v>Cartuchos de impressão caro, em Não na tela visual da capacidade do tanque de tinta</v>
      </c>
      <c r="B22617" s="3">
        <v>0</v>
      </c>
    </row>
    <row r="22618" ht="15.75" customHeight="1" spans="1:2">
      <c r="A22618" s="3" t="str">
        <f>IFERROR(__xludf.DUMMYFUNCTION("GOOGLETRANSLATE(A22618,""en"",""pt"")"),"de repente parou de imprimir amarelo - out-of-garantia de serviço é caro")</f>
        <v>de repente parou de imprimir amarelo - out-of-garantia de serviço é caro</v>
      </c>
      <c r="B22618" s="3">
        <v>0</v>
      </c>
    </row>
    <row r="22619" ht="15.75" customHeight="1" spans="1:2">
      <c r="A22619" s="3" t="str">
        <f>IFERROR(__xludf.DUMMYFUNCTION("GOOGLETRANSLATE(A22619,""en"",""pt"")"),"Cartucho de tinta original leva uma mordida na carteira.")</f>
        <v>Cartucho de tinta original leva uma mordida na carteira.</v>
      </c>
      <c r="B22619" s="3">
        <v>0</v>
      </c>
    </row>
    <row r="22620" ht="15.75" customHeight="1" spans="1:2">
      <c r="A22620" s="3" t="str">
        <f>IFERROR(__xludf.DUMMYFUNCTION("GOOGLETRANSLATE(A22620,""en"",""pt"")"),"impressão de fotografia não é grande")</f>
        <v>impressão de fotografia não é grande</v>
      </c>
      <c r="B22620" s="3">
        <v>0</v>
      </c>
    </row>
    <row r="22621" ht="15.75" customHeight="1" spans="1:2">
      <c r="A22621" s="3" t="str">
        <f>IFERROR(__xludf.DUMMYFUNCTION("GOOGLETRANSLATE(A22621,""en"",""pt"")"),"Suporte medíocre e Garantia, altos custos de tinta, tinta preta vendido separadamente, USB somente.")</f>
        <v>Suporte medíocre e Garantia, altos custos de tinta, tinta preta vendido separadamente, USB somente.</v>
      </c>
      <c r="B22621" s="3">
        <v>0</v>
      </c>
    </row>
    <row r="22622" ht="15.75" customHeight="1" spans="1:2">
      <c r="A22622" s="3" t="str">
        <f>IFERROR(__xludf.DUMMYFUNCTION("GOOGLETRANSLATE(A22622,""en"",""pt"")"),"carrinho de tinta preta vendido separadamente, apenas a USB, cartuchos caros, sem suporte de rede")</f>
        <v>carrinho de tinta preta vendido separadamente, apenas a USB, cartuchos caros, sem suporte de rede</v>
      </c>
      <c r="B22622" s="3">
        <v>0</v>
      </c>
    </row>
    <row r="22623" ht="15.75" customHeight="1" spans="1:2">
      <c r="A22623" s="3" t="str">
        <f>IFERROR(__xludf.DUMMYFUNCTION("GOOGLETRANSLATE(A22623,""en"",""pt"")"),"nada até agora")</f>
        <v>nada até agora</v>
      </c>
      <c r="B22623" s="3">
        <v>0</v>
      </c>
    </row>
    <row r="22624" ht="15.75" customHeight="1" spans="1:2">
      <c r="A22624" s="3" t="str">
        <f>IFERROR(__xludf.DUMMYFUNCTION("GOOGLETRANSLATE(A22624,""en"",""pt"")"),"Freia para baixo realmente fáceis, má impressão de imagens")</f>
        <v>Freia para baixo realmente fáceis, má impressão de imagens</v>
      </c>
      <c r="B22624" s="3">
        <v>0</v>
      </c>
    </row>
    <row r="22625" ht="15.75" customHeight="1" spans="1:2">
      <c r="A22625" s="3" t="str">
        <f>IFERROR(__xludf.DUMMYFUNCTION("GOOGLETRANSLATE(A22625,""en"",""pt"")"),"Nenhum indicador de pouca tinta, altos custos de cartuchos, medíocre motorista")</f>
        <v>Nenhum indicador de pouca tinta, altos custos de cartuchos, medíocre motorista</v>
      </c>
      <c r="B22625" s="3">
        <v>0</v>
      </c>
    </row>
    <row r="22626" ht="15.75" customHeight="1" spans="1:2">
      <c r="A22626" s="3" t="str">
        <f>IFERROR(__xludf.DUMMYFUNCTION("GOOGLETRANSLATE(A22626,""en"",""pt"")"),"A qualidade da imagem (dpi) não é o melhor")</f>
        <v>A qualidade da imagem (dpi) não é o melhor</v>
      </c>
      <c r="B22626" s="3">
        <v>0</v>
      </c>
    </row>
    <row r="22627" ht="15.75" customHeight="1" spans="1:2">
      <c r="A22627" s="3" t="str">
        <f>IFERROR(__xludf.DUMMYFUNCTION("GOOGLETRANSLATE(A22627,""en"",""pt"")"),"não funcionou.")</f>
        <v>não funcionou.</v>
      </c>
      <c r="B22627" s="3">
        <v>0</v>
      </c>
    </row>
    <row r="22628" ht="15.75" customHeight="1" spans="1:2">
      <c r="A22628" s="3" t="str">
        <f>IFERROR(__xludf.DUMMYFUNCTION("GOOGLETRANSLATE(A22628,""en"",""pt"")"),"As lágrimas e destrói papel bond padrão. Melhor suporte de um sutiã. 90 dias de garantia.")</f>
        <v>As lágrimas e destrói papel bond padrão. Melhor suporte de um sutiã. 90 dias de garantia.</v>
      </c>
      <c r="B22628" s="3">
        <v>0</v>
      </c>
    </row>
    <row r="22629" ht="15.75" customHeight="1" spans="1:2">
      <c r="A22629" s="3" t="str">
        <f>IFERROR(__xludf.DUMMYFUNCTION("GOOGLETRANSLATE(A22629,""en"",""pt"")"),"Não tem a melhor impressora de qualidade.")</f>
        <v>Não tem a melhor impressora de qualidade.</v>
      </c>
      <c r="B22629" s="3">
        <v>0</v>
      </c>
    </row>
    <row r="22630" ht="15.75" customHeight="1" spans="1:2">
      <c r="A22630" s="3" t="str">
        <f>IFERROR(__xludf.DUMMYFUNCTION("GOOGLETRANSLATE(A22630,""en"",""pt"")"),"Nenhum mesmo!")</f>
        <v>Nenhum mesmo!</v>
      </c>
      <c r="B22630" s="3">
        <v>0</v>
      </c>
    </row>
    <row r="22631" ht="15.75" customHeight="1" spans="1:2">
      <c r="A22631" s="3" t="str">
        <f>IFERROR(__xludf.DUMMYFUNCTION("GOOGLETRANSLATE(A22631,""en"",""pt"")"),"sem luz baixo tinta, compotas ocasionalmente")</f>
        <v>sem luz baixo tinta, compotas ocasionalmente</v>
      </c>
      <c r="B22631" s="3">
        <v>0</v>
      </c>
    </row>
    <row r="22632" ht="15.75" customHeight="1" spans="1:2">
      <c r="A22632" s="3" t="str">
        <f>IFERROR(__xludf.DUMMYFUNCTION("GOOGLETRANSLATE(A22632,""en"",""pt"")"),"nenhum realmente")</f>
        <v>nenhum realmente</v>
      </c>
      <c r="B22632" s="3">
        <v>0</v>
      </c>
    </row>
    <row r="22633" ht="15.75" customHeight="1" spans="1:2">
      <c r="A22633" s="3" t="str">
        <f>IFERROR(__xludf.DUMMYFUNCTION("GOOGLETRANSLATE(A22633,""en"",""pt"")"),"Um pouco lento impressão de alta resolução fotos coloridas")</f>
        <v>Um pouco lento impressão de alta resolução fotos coloridas</v>
      </c>
      <c r="B22633" s="3">
        <v>0</v>
      </c>
    </row>
    <row r="22634" ht="15.75" customHeight="1" spans="1:2">
      <c r="A22634" s="3" t="str">
        <f>IFERROR(__xludf.DUMMYFUNCTION("GOOGLETRANSLATE(A22634,""en"",""pt"")"),"Não tem funções múltiplas, tais como fax ou digitalização capacidades")</f>
        <v>Não tem funções múltiplas, tais como fax ou digitalização capacidades</v>
      </c>
      <c r="B22634" s="3">
        <v>0</v>
      </c>
    </row>
    <row r="22635" ht="15.75" customHeight="1" spans="1:2">
      <c r="A22635" s="3" t="str">
        <f>IFERROR(__xludf.DUMMYFUNCTION("GOOGLETRANSLATE(A22635,""en"",""pt"")"),"cartuchos de impressão de compra (não muito frequentemente, embora)")</f>
        <v>cartuchos de impressão de compra (não muito frequentemente, embora)</v>
      </c>
      <c r="B22635" s="3">
        <v>0</v>
      </c>
    </row>
    <row r="22636" ht="15.75" customHeight="1" spans="1:2">
      <c r="A22636" s="3" t="str">
        <f>IFERROR(__xludf.DUMMYFUNCTION("GOOGLETRANSLATE(A22636,""en"",""pt"")"),"pode não ser adequado para utilização buisness")</f>
        <v>pode não ser adequado para utilização buisness</v>
      </c>
      <c r="B22636" s="3">
        <v>0</v>
      </c>
    </row>
    <row r="22637" ht="15.75" customHeight="1" spans="1:2">
      <c r="A22637" s="3" t="str">
        <f>IFERROR(__xludf.DUMMYFUNCTION("GOOGLETRANSLATE(A22637,""en"",""pt"")"),"Os cartuchos de tinta poderia prender um mais pouco.")</f>
        <v>Os cartuchos de tinta poderia prender um mais pouco.</v>
      </c>
      <c r="B22637" s="3">
        <v>0</v>
      </c>
    </row>
    <row r="22638" ht="15.75" customHeight="1" spans="1:2">
      <c r="A22638" s="3" t="str">
        <f>IFERROR(__xludf.DUMMYFUNCTION("GOOGLETRANSLATE(A22638,""en"",""pt"")"),"NENHUM!")</f>
        <v>NENHUM!</v>
      </c>
      <c r="B22638" s="3">
        <v>0</v>
      </c>
    </row>
    <row r="22639" ht="15.75" customHeight="1" spans="1:2">
      <c r="A22639" s="3" t="str">
        <f>IFERROR(__xludf.DUMMYFUNCTION("GOOGLETRANSLATE(A22639,""en"",""pt"")"),"Não vem w / cabo conecting")</f>
        <v>Não vem w / cabo conecting</v>
      </c>
      <c r="B22639" s="3">
        <v>0</v>
      </c>
    </row>
    <row r="22640" ht="15.75" customHeight="1" spans="1:2">
      <c r="A22640" s="3" t="str">
        <f>IFERROR(__xludf.DUMMYFUNCTION("GOOGLETRANSLATE(A22640,""en"",""pt"")"),"nenhum que eu posso pensar")</f>
        <v>nenhum que eu posso pensar</v>
      </c>
      <c r="B22640" s="3">
        <v>0</v>
      </c>
    </row>
    <row r="22641" ht="15.75" customHeight="1" spans="1:2">
      <c r="A22641" s="3" t="str">
        <f>IFERROR(__xludf.DUMMYFUNCTION("GOOGLETRANSLATE(A22641,""en"",""pt"")"),"não pode pensar em qualquer")</f>
        <v>não pode pensar em qualquer</v>
      </c>
      <c r="B22641" s="3">
        <v>0</v>
      </c>
    </row>
    <row r="22642" ht="15.75" customHeight="1" spans="1:2">
      <c r="A22642" s="3" t="str">
        <f>IFERROR(__xludf.DUMMYFUNCTION("GOOGLETRANSLATE(A22642,""en"",""pt"")"),"Hp tinta não é barato. :(")</f>
        <v>Hp tinta não é barato. :(</v>
      </c>
      <c r="B22642" s="3">
        <v>0</v>
      </c>
    </row>
    <row r="22643" ht="15.75" customHeight="1" spans="1:2">
      <c r="A22643" s="3" t="str">
        <f>IFERROR(__xludf.DUMMYFUNCTION("GOOGLETRANSLATE(A22643,""en"",""pt"")"),"nenhum ainda")</f>
        <v>nenhum ainda</v>
      </c>
      <c r="B22643" s="3">
        <v>0</v>
      </c>
    </row>
    <row r="22644" ht="15.75" customHeight="1" spans="1:2">
      <c r="A22644" s="3" t="str">
        <f>IFERROR(__xludf.DUMMYFUNCTION("GOOGLETRANSLATE(A22644,""en"",""pt"")"),"não um")</f>
        <v>não um</v>
      </c>
      <c r="B22644" s="3">
        <v>0</v>
      </c>
    </row>
    <row r="22645" ht="15.75" customHeight="1" spans="1:2">
      <c r="A22645" s="3" t="str">
        <f>IFERROR(__xludf.DUMMYFUNCTION("GOOGLETRANSLATE(A22645,""en"",""pt"")"),"Desde então, foi ultrapassado por outras impressoras")</f>
        <v>Desde então, foi ultrapassado por outras impressoras</v>
      </c>
      <c r="B22645" s="3">
        <v>0</v>
      </c>
    </row>
    <row r="22646" ht="15.75" customHeight="1" spans="1:2">
      <c r="A22646" s="3" t="str">
        <f>IFERROR(__xludf.DUMMYFUNCTION("GOOGLETRANSLATE(A22646,""en"",""pt"")"),"Parece retardar")</f>
        <v>Parece retardar</v>
      </c>
      <c r="B22646" s="3">
        <v>0</v>
      </c>
    </row>
    <row r="22647" ht="15.75" customHeight="1" spans="1:2">
      <c r="A22647" s="3" t="str">
        <f>IFERROR(__xludf.DUMMYFUNCTION("GOOGLETRANSLATE(A22647,""en"",""pt"")"),"apenas cartuchos de metade da capacidade que acompanha a impressora.")</f>
        <v>apenas cartuchos de metade da capacidade que acompanha a impressora.</v>
      </c>
      <c r="B22647" s="3">
        <v>0</v>
      </c>
    </row>
    <row r="22648" ht="15.75" customHeight="1" spans="1:2">
      <c r="A22648" s="3" t="str">
        <f>IFERROR(__xludf.DUMMYFUNCTION("GOOGLETRANSLATE(A22648,""en"",""pt"")"),"Nenhum")</f>
        <v>Nenhum</v>
      </c>
      <c r="B22648" s="3">
        <v>0</v>
      </c>
    </row>
    <row r="22649" ht="15.75" customHeight="1" spans="1:2">
      <c r="A22649" s="3" t="str">
        <f>IFERROR(__xludf.DUMMYFUNCTION("GOOGLETRANSLATE(A22649,""en"",""pt"")"),"nenhum, realmente")</f>
        <v>nenhum, realmente</v>
      </c>
      <c r="B22649" s="3">
        <v>0</v>
      </c>
    </row>
    <row r="22650" ht="15.75" customHeight="1" spans="1:2">
      <c r="A22650" s="3" t="str">
        <f>IFERROR(__xludf.DUMMYFUNCTION("GOOGLETRANSLATE(A22650,""en"",""pt"")"),"Terrivelmente lento durante a impressão de alta resolução documentos a cores")</f>
        <v>Terrivelmente lento durante a impressão de alta resolução documentos a cores</v>
      </c>
      <c r="B22650" s="3">
        <v>0</v>
      </c>
    </row>
    <row r="22651" ht="15.75" customHeight="1" spans="1:2">
      <c r="A22651" s="3" t="str">
        <f>IFERROR(__xludf.DUMMYFUNCTION("GOOGLETRANSLATE(A22651,""en"",""pt"")"),"Não tantos recursos como modelos superiores")</f>
        <v>Não tantos recursos como modelos superiores</v>
      </c>
      <c r="B22651" s="3">
        <v>0</v>
      </c>
    </row>
    <row r="22652" ht="15.75" customHeight="1" spans="1:2">
      <c r="A22652" s="3" t="str">
        <f>IFERROR(__xludf.DUMMYFUNCTION("GOOGLETRANSLATE(A22652,""en"",""pt"")"),"difícil de instalar drivers")</f>
        <v>difícil de instalar drivers</v>
      </c>
      <c r="B22652" s="3">
        <v>0</v>
      </c>
    </row>
    <row r="22653" ht="15.75" customHeight="1" spans="1:2">
      <c r="A22653" s="3" t="str">
        <f>IFERROR(__xludf.DUMMYFUNCTION("GOOGLETRANSLATE(A22653,""en"",""pt"")"),"O contras? Sabe uma coisa que eu não sei?")</f>
        <v>O contras? Sabe uma coisa que eu não sei?</v>
      </c>
      <c r="B22653" s="3">
        <v>0</v>
      </c>
    </row>
    <row r="22654" ht="15.75" customHeight="1" spans="1:2">
      <c r="A22654" s="3" t="str">
        <f>IFERROR(__xludf.DUMMYFUNCTION("GOOGLETRANSLATE(A22654,""en"",""pt"")"),"Não pode de rede")</f>
        <v>Não pode de rede</v>
      </c>
      <c r="B22654" s="3">
        <v>0</v>
      </c>
    </row>
    <row r="22655" ht="15.75" customHeight="1" spans="1:2">
      <c r="A22655" s="3" t="str">
        <f>IFERROR(__xludf.DUMMYFUNCTION("GOOGLETRANSLATE(A22655,""en"",""pt"")"),"lenta baixa qualidade, hardware, só pode usar papel HP, todas as cores em um cartucho.")</f>
        <v>lenta baixa qualidade, hardware, só pode usar papel HP, todas as cores em um cartucho.</v>
      </c>
      <c r="B22655" s="3">
        <v>0</v>
      </c>
    </row>
    <row r="22656" ht="15.75" customHeight="1" spans="1:2">
      <c r="A22656" s="3" t="str">
        <f>IFERROR(__xludf.DUMMYFUNCTION("GOOGLETRANSLATE(A22656,""en"",""pt"")"),"Precisa de papel caro para imagens de qualidade de produtos de fotografias")</f>
        <v>Precisa de papel caro para imagens de qualidade de produtos de fotografias</v>
      </c>
      <c r="B22656" s="3">
        <v>0</v>
      </c>
    </row>
    <row r="22657" ht="15.75" customHeight="1" spans="1:2">
      <c r="A22657" s="3" t="str">
        <f>IFERROR(__xludf.DUMMYFUNCTION("GOOGLETRANSLATE(A22657,""en"",""pt"")"),"Talvez um pouco barulhento, leva-se um pouco mais de espaço do que eu gostaria.")</f>
        <v>Talvez um pouco barulhento, leva-se um pouco mais de espaço do que eu gostaria.</v>
      </c>
      <c r="B22657" s="3">
        <v>0</v>
      </c>
    </row>
    <row r="22658" ht="15.75" customHeight="1" spans="1:2">
      <c r="A22658" s="3" t="str">
        <f>IFERROR(__xludf.DUMMYFUNCTION("GOOGLETRANSLATE(A22658,""en"",""pt"")"),"Nenhum")</f>
        <v>Nenhum</v>
      </c>
      <c r="B22658" s="3">
        <v>0</v>
      </c>
    </row>
    <row r="22659" ht="15.75" customHeight="1" spans="1:2">
      <c r="A22659" s="3" t="str">
        <f>IFERROR(__xludf.DUMMYFUNCTION("GOOGLETRANSLATE(A22659,""en"",""pt"")"),"os cartuchos de tinta são caros")</f>
        <v>os cartuchos de tinta são caros</v>
      </c>
      <c r="B22659" s="3">
        <v>0</v>
      </c>
    </row>
    <row r="22660" ht="15.75" customHeight="1" spans="1:2">
      <c r="A22660" s="3" t="str">
        <f>IFERROR(__xludf.DUMMYFUNCTION("GOOGLETRANSLATE(A22660,""en"",""pt"")"),"so-so suporte linux")</f>
        <v>so-so suporte linux</v>
      </c>
      <c r="B22660" s="3">
        <v>0</v>
      </c>
    </row>
    <row r="22661" ht="15.75" customHeight="1" spans="1:2">
      <c r="A22661" s="3" t="str">
        <f>IFERROR(__xludf.DUMMYFUNCTION("GOOGLETRANSLATE(A22661,""en"",""pt"")"),"Você pode ver os pixels, e é lento")</f>
        <v>Você pode ver os pixels, e é lento</v>
      </c>
      <c r="B22661" s="3">
        <v>0</v>
      </c>
    </row>
    <row r="22662" ht="15.75" customHeight="1" spans="1:2">
      <c r="A22662" s="3" t="str">
        <f>IFERROR(__xludf.DUMMYFUNCTION("GOOGLETRANSLATE(A22662,""en"",""pt"")"),"Apenas um pouco lento, mas é isso!")</f>
        <v>Apenas um pouco lento, mas é isso!</v>
      </c>
      <c r="B22662" s="3">
        <v>0</v>
      </c>
    </row>
    <row r="22663" ht="15.75" customHeight="1" spans="1:2">
      <c r="A22663" s="3" t="str">
        <f>IFERROR(__xludf.DUMMYFUNCTION("GOOGLETRANSLATE(A22663,""en"",""pt"")"),"Cable é a compra em separado")</f>
        <v>Cable é a compra em separado</v>
      </c>
      <c r="B22663" s="3">
        <v>0</v>
      </c>
    </row>
    <row r="22664" ht="15.75" customHeight="1" spans="1:2">
      <c r="A22664" s="3" t="str">
        <f>IFERROR(__xludf.DUMMYFUNCTION("GOOGLETRANSLATE(A22664,""en"",""pt"")"),"Poderia ser mais rápido, configuração USB finicky")</f>
        <v>Poderia ser mais rápido, configuração USB finicky</v>
      </c>
      <c r="B22664" s="3">
        <v>0</v>
      </c>
    </row>
    <row r="22665" ht="15.75" customHeight="1" spans="1:2">
      <c r="A22665" s="3" t="str">
        <f>IFERROR(__xludf.DUMMYFUNCTION("GOOGLETRANSLATE(A22665,""en"",""pt"")"),"Motorista não mostra os níveis de tinta restantes!")</f>
        <v>Motorista não mostra os níveis de tinta restantes!</v>
      </c>
      <c r="B22665" s="3">
        <v>0</v>
      </c>
    </row>
    <row r="22666" ht="15.75" customHeight="1" spans="1:2">
      <c r="A22666" s="3" t="str">
        <f>IFERROR(__xludf.DUMMYFUNCTION("GOOGLETRANSLATE(A22666,""en"",""pt"")"),"Lento, sem cabo USB")</f>
        <v>Lento, sem cabo USB</v>
      </c>
      <c r="B22666" s="3">
        <v>0</v>
      </c>
    </row>
    <row r="22667" ht="15.75" customHeight="1" spans="1:2">
      <c r="A22667" s="3" t="str">
        <f>IFERROR(__xludf.DUMMYFUNCTION("GOOGLETRANSLATE(A22667,""en"",""pt"")"),"Lento, mas é um jacto de tinta - todos eles são lentos")</f>
        <v>Lento, mas é um jacto de tinta - todos eles são lentos</v>
      </c>
      <c r="B22667" s="3">
        <v>0</v>
      </c>
    </row>
    <row r="22668" ht="15.75" customHeight="1" spans="1:2">
      <c r="A22668" s="3" t="str">
        <f>IFERROR(__xludf.DUMMYFUNCTION("GOOGLETRANSLATE(A22668,""en"",""pt"")"),"Não consigo pensar em qualquer ...")</f>
        <v>Não consigo pensar em qualquer ...</v>
      </c>
      <c r="B22668" s="3">
        <v>0</v>
      </c>
    </row>
    <row r="22669" ht="15.75" customHeight="1" spans="1:2">
      <c r="A22669" s="3" t="str">
        <f>IFERROR(__xludf.DUMMYFUNCTION("GOOGLETRANSLATE(A22669,""en"",""pt"")"),"custo de cartriges")</f>
        <v>custo de cartriges</v>
      </c>
      <c r="B22669" s="3">
        <v>0</v>
      </c>
    </row>
    <row r="22670" ht="15.75" customHeight="1" spans="1:2">
      <c r="A22670" s="3" t="str">
        <f>IFERROR(__xludf.DUMMYFUNCTION("GOOGLETRANSLATE(A22670,""en"",""pt"")"),"funcionalidade USB não inicializar corretamente")</f>
        <v>funcionalidade USB não inicializar corretamente</v>
      </c>
      <c r="B22670" s="3">
        <v>0</v>
      </c>
    </row>
    <row r="22671" ht="15.75" customHeight="1" spans="1:2">
      <c r="A22671" s="3" t="str">
        <f>IFERROR(__xludf.DUMMYFUNCTION("GOOGLETRANSLATE(A22671,""en"",""pt"")"),"Velocidade de impressão reduzida, recarga de cartuchos caros.")</f>
        <v>Velocidade de impressão reduzida, recarga de cartuchos caros.</v>
      </c>
      <c r="B22671" s="3">
        <v>0</v>
      </c>
    </row>
    <row r="22672" ht="15.75" customHeight="1" spans="1:2">
      <c r="A22672" s="3" t="str">
        <f>IFERROR(__xludf.DUMMYFUNCTION("GOOGLETRANSLATE(A22672,""en"",""pt"")"),"Honestamente, NENHUM!")</f>
        <v>Honestamente, NENHUM!</v>
      </c>
      <c r="B22672" s="3">
        <v>0</v>
      </c>
    </row>
    <row r="22673" ht="15.75" customHeight="1" spans="1:2">
      <c r="A22673" s="3" t="str">
        <f>IFERROR(__xludf.DUMMYFUNCTION("GOOGLETRANSLATE(A22673,""en"",""pt"")"),"Big, cartuchos caros, não pode interromper um trabalho no meio da impressão.")</f>
        <v>Big, cartuchos caros, não pode interromper um trabalho no meio da impressão.</v>
      </c>
      <c r="B22673" s="3">
        <v>0</v>
      </c>
    </row>
    <row r="22674" ht="15.75" customHeight="1" spans="1:2">
      <c r="A22674" s="3" t="str">
        <f>IFERROR(__xludf.DUMMYFUNCTION("GOOGLETRANSLATE(A22674,""en"",""pt"")"),"NO APOIO ..")</f>
        <v>NO APOIO ..</v>
      </c>
      <c r="B22674" s="3">
        <v>0</v>
      </c>
    </row>
    <row r="22675" ht="15.75" customHeight="1" spans="1:2">
      <c r="A22675" s="3" t="str">
        <f>IFERROR(__xludf.DUMMYFUNCTION("GOOGLETRANSLATE(A22675,""en"",""pt"")"),"Às vezes, os atolamentos de papel")</f>
        <v>Às vezes, os atolamentos de papel</v>
      </c>
      <c r="B22675" s="3">
        <v>0</v>
      </c>
    </row>
    <row r="22676" ht="15.75" customHeight="1" spans="1:2">
      <c r="A22676" s="3" t="str">
        <f>IFERROR(__xludf.DUMMYFUNCTION("GOOGLETRANSLATE(A22676,""en"",""pt"")"),"não parar rapidamente")</f>
        <v>não parar rapidamente</v>
      </c>
      <c r="B22676" s="3">
        <v>0</v>
      </c>
    </row>
    <row r="22677" ht="15.75" customHeight="1" spans="1:2">
      <c r="A22677" s="3" t="str">
        <f>IFERROR(__xludf.DUMMYFUNCTION("GOOGLETRANSLATE(A22677,""en"",""pt"")"),"Cartuchos são caros.")</f>
        <v>Cartuchos são caros.</v>
      </c>
      <c r="B22677" s="3">
        <v>0</v>
      </c>
    </row>
    <row r="22678" ht="15.75" customHeight="1" spans="1:2">
      <c r="A22678" s="3" t="str">
        <f>IFERROR(__xludf.DUMMYFUNCTION("GOOGLETRANSLATE(A22678,""en"",""pt"")"),"Atola muito; compotas são difíceis de re-iniciar")</f>
        <v>Atola muito; compotas são difíceis de re-iniciar</v>
      </c>
      <c r="B22678" s="3">
        <v>0</v>
      </c>
    </row>
    <row r="22679" ht="15.75" customHeight="1" spans="1:2">
      <c r="A22679" s="3" t="str">
        <f>IFERROR(__xludf.DUMMYFUNCTION("GOOGLETRANSLATE(A22679,""en"",""pt"")"),"Custo de tinta da impressora !!!")</f>
        <v>Custo de tinta da impressora !!!</v>
      </c>
      <c r="B22679" s="3">
        <v>0</v>
      </c>
    </row>
    <row r="22680" ht="15.75" customHeight="1" spans="1:2">
      <c r="A22680" s="3" t="str">
        <f>IFERROR(__xludf.DUMMYFUNCTION("GOOGLETRANSLATE(A22680,""en"",""pt"")"),"Muito, muito lento. Um pouco difícil instalar.")</f>
        <v>Muito, muito lento. Um pouco difícil instalar.</v>
      </c>
      <c r="B22680" s="3">
        <v>0</v>
      </c>
    </row>
    <row r="22681" ht="15.75" customHeight="1" spans="1:2">
      <c r="A22681" s="3" t="str">
        <f>IFERROR(__xludf.DUMMYFUNCTION("GOOGLETRANSLATE(A22681,""en"",""pt"")"),"velocidade muito lenta para documentos orientada paisagem.")</f>
        <v>velocidade muito lenta para documentos orientada paisagem.</v>
      </c>
      <c r="B22681" s="3">
        <v>0</v>
      </c>
    </row>
    <row r="22682" ht="15.75" customHeight="1" spans="1:2">
      <c r="A22682" s="3" t="str">
        <f>IFERROR(__xludf.DUMMYFUNCTION("GOOGLETRANSLATE(A22682,""en"",""pt"")"),"velocidade lenta")</f>
        <v>velocidade lenta</v>
      </c>
      <c r="B22682" s="3">
        <v>0</v>
      </c>
    </row>
    <row r="22683" ht="15.75" customHeight="1" spans="1:2">
      <c r="A22683" s="3" t="str">
        <f>IFERROR(__xludf.DUMMYFUNCTION("GOOGLETRANSLATE(A22683,""en"",""pt"")"),"Às vezes tem problemas de tecnologia (mas não muitos)")</f>
        <v>Às vezes tem problemas de tecnologia (mas não muitos)</v>
      </c>
      <c r="B22683" s="3">
        <v>0</v>
      </c>
    </row>
    <row r="22684" ht="15.75" customHeight="1" spans="1:2">
      <c r="A22684" s="3" t="str">
        <f>IFERROR(__xludf.DUMMYFUNCTION("GOOGLETRANSLATE(A22684,""en"",""pt"")"),"Mais lenta do que a velocidade, compotas média de papel")</f>
        <v>Mais lenta do que a velocidade, compotas média de papel</v>
      </c>
      <c r="B22684" s="3">
        <v>0</v>
      </c>
    </row>
    <row r="22685" ht="15.75" customHeight="1" spans="1:2">
      <c r="A22685" s="3" t="str">
        <f>IFERROR(__xludf.DUMMYFUNCTION("GOOGLETRANSLATE(A22685,""en"",""pt"")"),"cartriges caros")</f>
        <v>cartriges caros</v>
      </c>
      <c r="B22685" s="3">
        <v>0</v>
      </c>
    </row>
    <row r="22686" ht="15.75" customHeight="1" spans="1:2">
      <c r="A22686" s="3" t="str">
        <f>IFERROR(__xludf.DUMMYFUNCTION("GOOGLETRANSLATE(A22686,""en"",""pt"")"),"Nenhum")</f>
        <v>Nenhum</v>
      </c>
      <c r="B22686" s="3">
        <v>0</v>
      </c>
    </row>
    <row r="22687" ht="15.75" customHeight="1" spans="1:2">
      <c r="A22687" s="3" t="str">
        <f>IFERROR(__xludf.DUMMYFUNCTION("GOOGLETRANSLATE(A22687,""en"",""pt"")"),"projeto volumosos")</f>
        <v>projeto volumosos</v>
      </c>
      <c r="B22687" s="3">
        <v>0</v>
      </c>
    </row>
    <row r="22688" ht="15.75" customHeight="1" spans="1:2">
      <c r="A22688" s="3" t="str">
        <f>IFERROR(__xludf.DUMMYFUNCTION("GOOGLETRANSLATE(A22688,""en"",""pt"")"),"Novo modelo, há ofertas de preço ainda")</f>
        <v>Novo modelo, há ofertas de preço ainda</v>
      </c>
      <c r="B22688" s="3">
        <v>0</v>
      </c>
    </row>
    <row r="22689" ht="15.75" customHeight="1" spans="1:2">
      <c r="A22689" s="3" t="str">
        <f>IFERROR(__xludf.DUMMYFUNCTION("GOOGLETRANSLATE(A22689,""en"",""pt"")"),"Lento")</f>
        <v>Lento</v>
      </c>
      <c r="B22689" s="3">
        <v>0</v>
      </c>
    </row>
    <row r="22690" ht="15.75" customHeight="1" spans="1:2">
      <c r="A22690" s="3" t="str">
        <f>IFERROR(__xludf.DUMMYFUNCTION("GOOGLETRANSLATE(A22690,""en"",""pt"")"),"Não tem separado Wells cores, SLOW SLOW SLOW.")</f>
        <v>Não tem separado Wells cores, SLOW SLOW SLOW.</v>
      </c>
      <c r="B22690" s="3">
        <v>0</v>
      </c>
    </row>
    <row r="22691" ht="15.75" customHeight="1" spans="1:2">
      <c r="A22691" s="3" t="str">
        <f>IFERROR(__xludf.DUMMYFUNCTION("GOOGLETRANSLATE(A22691,""en"",""pt"")"),"Caro cartuchos de tinta, curta (90 dias) Garantia")</f>
        <v>Caro cartuchos de tinta, curta (90 dias) Garantia</v>
      </c>
      <c r="B22691" s="3">
        <v>0</v>
      </c>
    </row>
    <row r="22692" ht="15.75" customHeight="1" spans="1:2">
      <c r="A22692" s="3" t="str">
        <f>IFERROR(__xludf.DUMMYFUNCTION("GOOGLETRANSLATE(A22692,""en"",""pt"")"),"um. . . . Eu não sei de qualquer")</f>
        <v>um. . . . Eu não sei de qualquer</v>
      </c>
      <c r="B22692" s="3">
        <v>0</v>
      </c>
    </row>
    <row r="22693" ht="15.75" customHeight="1" spans="1:2">
      <c r="A22693" s="3" t="str">
        <f>IFERROR(__xludf.DUMMYFUNCTION("GOOGLETRANSLATE(A22693,""en"",""pt"")"),"Preço dos cartuchos")</f>
        <v>Preço dos cartuchos</v>
      </c>
      <c r="B22693" s="3">
        <v>0</v>
      </c>
    </row>
    <row r="22694" ht="15.75" customHeight="1" spans="1:2">
      <c r="A22694" s="3" t="str">
        <f>IFERROR(__xludf.DUMMYFUNCTION("GOOGLETRANSLATE(A22694,""en"",""pt"")"),"suporte Linux não oficial, e suporte incompleto não oficial.")</f>
        <v>suporte Linux não oficial, e suporte incompleto não oficial.</v>
      </c>
      <c r="B22694" s="3">
        <v>0</v>
      </c>
    </row>
    <row r="22695" ht="15.75" customHeight="1" spans="1:2">
      <c r="A22695" s="3" t="str">
        <f>IFERROR(__xludf.DUMMYFUNCTION("GOOGLETRANSLATE(A22695,""en"",""pt"")"),"Sem cabo incluído, e velocidade não é especialmente impressionante")</f>
        <v>Sem cabo incluído, e velocidade não é especialmente impressionante</v>
      </c>
      <c r="B22695" s="3">
        <v>0</v>
      </c>
    </row>
    <row r="22696" ht="15.75" customHeight="1" spans="1:2">
      <c r="A22696" s="3" t="str">
        <f>IFERROR(__xludf.DUMMYFUNCTION("GOOGLETRANSLATE(A22696,""en"",""pt"")"),"imprime uma espécie de lento, problema papel estranho")</f>
        <v>imprime uma espécie de lento, problema papel estranho</v>
      </c>
      <c r="B22696" s="3">
        <v>0</v>
      </c>
    </row>
    <row r="22697" ht="15.75" customHeight="1" spans="1:2">
      <c r="A22697" s="3" t="str">
        <f>IFERROR(__xludf.DUMMYFUNCTION("GOOGLETRANSLATE(A22697,""en"",""pt"")"),"baixas velocidades")</f>
        <v>baixas velocidades</v>
      </c>
      <c r="B22697" s="3">
        <v>0</v>
      </c>
    </row>
    <row r="22698" ht="15.75" customHeight="1" spans="1:2">
      <c r="A22698" s="3" t="str">
        <f>IFERROR(__xludf.DUMMYFUNCTION("GOOGLETRANSLATE(A22698,""en"",""pt"")"),"imagens coloridas média")</f>
        <v>imagens coloridas média</v>
      </c>
      <c r="B22698" s="3">
        <v>0</v>
      </c>
    </row>
    <row r="22699" ht="15.75" customHeight="1" spans="1:2">
      <c r="A22699" s="3" t="str">
        <f>IFERROR(__xludf.DUMMYFUNCTION("GOOGLETRANSLATE(A22699,""en"",""pt"")"),"Não vale a pena")</f>
        <v>Não vale a pena</v>
      </c>
      <c r="B22699" s="3">
        <v>0</v>
      </c>
    </row>
    <row r="22700" ht="15.75" customHeight="1" spans="1:2">
      <c r="A22700" s="3" t="str">
        <f>IFERROR(__xludf.DUMMYFUNCTION("GOOGLETRANSLATE(A22700,""en"",""pt"")"),"Nenhum, talvez um pouco lento, mas para o preço que é apenas multa.")</f>
        <v>Nenhum, talvez um pouco lento, mas para o preço que é apenas multa.</v>
      </c>
      <c r="B22700" s="3">
        <v>0</v>
      </c>
    </row>
    <row r="22701" ht="15.75" customHeight="1" spans="1:2">
      <c r="A22701" s="3" t="str">
        <f>IFERROR(__xludf.DUMMYFUNCTION("GOOGLETRANSLATE(A22701,""en"",""pt"")"),"Tal como acontece com todas as impressoras, os cartuchos de tinta são caros.")</f>
        <v>Tal como acontece com todas as impressoras, os cartuchos de tinta são caros.</v>
      </c>
      <c r="B22701" s="3">
        <v>0</v>
      </c>
    </row>
    <row r="22702" ht="15.75" customHeight="1" spans="1:2">
      <c r="A22702" s="3" t="str">
        <f>IFERROR(__xludf.DUMMYFUNCTION("GOOGLETRANSLATE(A22702,""en"",""pt"")"),"Velocidade um pouco lento")</f>
        <v>Velocidade um pouco lento</v>
      </c>
      <c r="B22702" s="3">
        <v>0</v>
      </c>
    </row>
    <row r="22703" ht="15.75" customHeight="1" spans="1:2">
      <c r="A22703" s="3" t="str">
        <f>IFERROR(__xludf.DUMMYFUNCTION("GOOGLETRANSLATE(A22703,""en"",""pt"")"),"custo do cartucho de tinta. 90 dias de garantia. sem alterar o nível de tinta")</f>
        <v>custo do cartucho de tinta. 90 dias de garantia. sem alterar o nível de tinta</v>
      </c>
      <c r="B22703" s="3">
        <v>0</v>
      </c>
    </row>
    <row r="22704" ht="15.75" customHeight="1" spans="1:2">
      <c r="A22704" s="3" t="str">
        <f>IFERROR(__xludf.DUMMYFUNCTION("GOOGLETRANSLATE(A22704,""en"",""pt"")"),"Usa tinta demasiado rapidamente, o custo dos cartuchos de tinta")</f>
        <v>Usa tinta demasiado rapidamente, o custo dos cartuchos de tinta</v>
      </c>
      <c r="B22704" s="3">
        <v>0</v>
      </c>
    </row>
    <row r="22705" ht="15.75" customHeight="1" spans="1:2">
      <c r="A22705" s="3" t="str">
        <f>IFERROR(__xludf.DUMMYFUNCTION("GOOGLETRANSLATE(A22705,""en"",""pt"")"),"Imprime um pouco lenta ao imprimir em cores")</f>
        <v>Imprime um pouco lenta ao imprimir em cores</v>
      </c>
      <c r="B22705" s="3">
        <v>0</v>
      </c>
    </row>
    <row r="22706" ht="15.75" customHeight="1" spans="1:2">
      <c r="A22706" s="3" t="str">
        <f>IFERROR(__xludf.DUMMYFUNCTION("GOOGLETRANSLATE(A22706,""en"",""pt"")"),"Lenta através de uma porta paralela")</f>
        <v>Lenta através de uma porta paralela</v>
      </c>
      <c r="B22706" s="3">
        <v>0</v>
      </c>
    </row>
    <row r="22707" ht="15.75" customHeight="1" spans="1:2">
      <c r="A22707" s="3" t="str">
        <f>IFERROR(__xludf.DUMMYFUNCTION("GOOGLETRANSLATE(A22707,""en"",""pt"")"),"velocidades de impressão lenta, cartuchos caros, suporte técnico é o pior.")</f>
        <v>velocidades de impressão lenta, cartuchos caros, suporte técnico é o pior.</v>
      </c>
      <c r="B22707" s="3">
        <v>0</v>
      </c>
    </row>
    <row r="22708" ht="15.75" customHeight="1" spans="1:2">
      <c r="A22708" s="3" t="str">
        <f>IFERROR(__xludf.DUMMYFUNCTION("GOOGLETRANSLATE(A22708,""en"",""pt"")"),"um pouco grande, cartuchos são caros, incrivelmente lento, todas as cores juntas")</f>
        <v>um pouco grande, cartuchos são caros, incrivelmente lento, todas as cores juntas</v>
      </c>
      <c r="B22708" s="3">
        <v>0</v>
      </c>
    </row>
    <row r="22709" ht="15.75" customHeight="1" spans="1:2">
      <c r="A22709" s="3" t="str">
        <f>IFERROR(__xludf.DUMMYFUNCTION("GOOGLETRANSLATE(A22709,""en"",""pt"")"),"MUITO LENTO, amarra todo o computador")</f>
        <v>MUITO LENTO, amarra todo o computador</v>
      </c>
      <c r="B22709" s="3">
        <v>0</v>
      </c>
    </row>
    <row r="22710" ht="15.75" customHeight="1" spans="1:2">
      <c r="A22710" s="3" t="str">
        <f>IFERROR(__xludf.DUMMYFUNCTION("GOOGLETRANSLATE(A22710,""en"",""pt"")"),"velocidade de impressão lenta")</f>
        <v>velocidade de impressão lenta</v>
      </c>
      <c r="B22710" s="3">
        <v>0</v>
      </c>
    </row>
    <row r="22711" ht="15.75" customHeight="1" spans="1:2">
      <c r="A22711" s="3" t="str">
        <f>IFERROR(__xludf.DUMMYFUNCTION("GOOGLETRANSLATE(A22711,""en"",""pt"")"),"impressora encher caro")</f>
        <v>impressora encher caro</v>
      </c>
      <c r="B22711" s="3">
        <v>0</v>
      </c>
    </row>
    <row r="22712" ht="15.75" customHeight="1" spans="1:2">
      <c r="A22712" s="3" t="str">
        <f>IFERROR(__xludf.DUMMYFUNCTION("GOOGLETRANSLATE(A22712,""en"",""pt"")"),"pode ter pequenos problemas de interface com janelas ME")</f>
        <v>pode ter pequenos problemas de interface com janelas ME</v>
      </c>
      <c r="B22712" s="3">
        <v>0</v>
      </c>
    </row>
    <row r="22713" ht="15.75" customHeight="1" spans="1:2">
      <c r="A22713" s="3" t="str">
        <f>IFERROR(__xludf.DUMMYFUNCTION("GOOGLETRANSLATE(A22713,""en"",""pt"")"),"Alto Custo Operacional; Média resolução; Lento")</f>
        <v>Alto Custo Operacional; Média resolução; Lento</v>
      </c>
      <c r="B22713" s="3">
        <v>0</v>
      </c>
    </row>
    <row r="22714" ht="15.75" customHeight="1" spans="1:2">
      <c r="A22714" s="3" t="str">
        <f>IFERROR(__xludf.DUMMYFUNCTION("GOOGLETRANSLATE(A22714,""en"",""pt"")"),"Pode ser lento; Você tem que comprar seus cabos, o que aumenta o custo")</f>
        <v>Pode ser lento; Você tem que comprar seus cabos, o que aumenta o custo</v>
      </c>
      <c r="B22714" s="3">
        <v>0</v>
      </c>
    </row>
    <row r="22715" ht="15.75" customHeight="1" spans="1:2">
      <c r="A22715" s="3" t="str">
        <f>IFERROR(__xludf.DUMMYFUNCTION("GOOGLETRANSLATE(A22715,""en"",""pt"")"),"Usa o cartucho colorido para fazer tinta preta, não veio com quaisquer cabos")</f>
        <v>Usa o cartucho colorido para fazer tinta preta, não veio com quaisquer cabos</v>
      </c>
      <c r="B22715" s="3">
        <v>0</v>
      </c>
    </row>
    <row r="22716" ht="15.75" customHeight="1" spans="1:2">
      <c r="A22716" s="3" t="str">
        <f>IFERROR(__xludf.DUMMYFUNCTION("GOOGLETRANSLATE(A22716,""en"",""pt"")"),"Pode levar um longo tempo para prinouts de alta qualidade para emergir &amp; amp; # 13; &amp; amp; # 10;")</f>
        <v>Pode levar um longo tempo para prinouts de alta qualidade para emergir &amp; amp; # 13; &amp; amp; # 10;</v>
      </c>
      <c r="B22716" s="3">
        <v>0</v>
      </c>
    </row>
    <row r="22717" ht="15.75" customHeight="1" spans="1:2">
      <c r="A22717" s="3" t="str">
        <f>IFERROR(__xludf.DUMMYFUNCTION("GOOGLETRANSLATE(A22717,""en"",""pt"")"),"nada até agora")</f>
        <v>nada até agora</v>
      </c>
      <c r="B22717" s="3">
        <v>0</v>
      </c>
    </row>
    <row r="22718" ht="15.75" customHeight="1" spans="1:2">
      <c r="A22718" s="3" t="str">
        <f>IFERROR(__xludf.DUMMYFUNCTION("GOOGLETRANSLATE(A22718,""en"",""pt"")"),"Nenhum")</f>
        <v>Nenhum</v>
      </c>
      <c r="B22718" s="3">
        <v>0</v>
      </c>
    </row>
    <row r="22719" ht="15.75" customHeight="1" spans="1:2">
      <c r="A22719" s="3" t="str">
        <f>IFERROR(__xludf.DUMMYFUNCTION("GOOGLETRANSLATE(A22719,""en"",""pt"")"),"Imprime um pouco devagar, cabo USB não incluso.")</f>
        <v>Imprime um pouco devagar, cabo USB não incluso.</v>
      </c>
      <c r="B22719" s="3">
        <v>0</v>
      </c>
    </row>
    <row r="22720" ht="15.75" customHeight="1" spans="1:2">
      <c r="A22720" s="3" t="str">
        <f>IFERROR(__xludf.DUMMYFUNCTION("GOOGLETRANSLATE(A22720,""en"",""pt"")"),"única um- sem impressão DOS")</f>
        <v>única um- sem impressão DOS</v>
      </c>
      <c r="B22720" s="3">
        <v>0</v>
      </c>
    </row>
    <row r="22721" ht="15.75" customHeight="1" spans="1:2">
      <c r="A22721" s="3" t="str">
        <f>IFERROR(__xludf.DUMMYFUNCTION("GOOGLETRANSLATE(A22721,""en"",""pt"")"),"Linhas, erros, às vezes se recusa a imprimir")</f>
        <v>Linhas, erros, às vezes se recusa a imprimir</v>
      </c>
      <c r="B22721" s="3">
        <v>0</v>
      </c>
    </row>
    <row r="22722" ht="15.75" customHeight="1" spans="1:2">
      <c r="A22722" s="3" t="str">
        <f>IFERROR(__xludf.DUMMYFUNCTION("GOOGLETRANSLATE(A22722,""en"",""pt"")"),"Speed ​​&amp; amp; só suporta USB.")</f>
        <v>Speed ​​&amp; amp; só suporta USB.</v>
      </c>
      <c r="B22722" s="3">
        <v>0</v>
      </c>
    </row>
    <row r="22723" ht="15.75" customHeight="1" spans="1:2">
      <c r="A22723" s="3" t="str">
        <f>IFERROR(__xludf.DUMMYFUNCTION("GOOGLETRANSLATE(A22723,""en"",""pt"")"),"Só leva porta USB, leva um longo tempo para processar informações para a impressora")</f>
        <v>Só leva porta USB, leva um longo tempo para processar informações para a impressora</v>
      </c>
      <c r="B22723" s="3">
        <v>0</v>
      </c>
    </row>
    <row r="22724" ht="15.75" customHeight="1" spans="1:2">
      <c r="A22724" s="3" t="str">
        <f>IFERROR(__xludf.DUMMYFUNCTION("GOOGLETRANSLATE(A22724,""en"",""pt"")"),"Pode levar algum tempo para imprimir imagens de alta qualidade. custo do cartucho pode somar.")</f>
        <v>Pode levar algum tempo para imprimir imagens de alta qualidade. custo do cartucho pode somar.</v>
      </c>
      <c r="B22724" s="3">
        <v>0</v>
      </c>
    </row>
    <row r="22725" ht="15.75" customHeight="1" spans="1:2">
      <c r="A22725" s="3" t="str">
        <f>IFERROR(__xludf.DUMMYFUNCTION("GOOGLETRANSLATE(A22725,""en"",""pt"")"),"Drivers não funcionam com Windows 2000")</f>
        <v>Drivers não funcionam com Windows 2000</v>
      </c>
      <c r="B22725" s="3">
        <v>0</v>
      </c>
    </row>
    <row r="22726" ht="15.75" customHeight="1" spans="1:2">
      <c r="A22726" s="3" t="str">
        <f>IFERROR(__xludf.DUMMYFUNCTION("GOOGLETRANSLATE(A22726,""en"",""pt"")"),"Drivers não funcionam com Windows 2000")</f>
        <v>Drivers não funcionam com Windows 2000</v>
      </c>
      <c r="B22726" s="3">
        <v>0</v>
      </c>
    </row>
    <row r="22727" ht="15.75" customHeight="1" spans="1:2">
      <c r="A22727" s="3" t="str">
        <f>IFERROR(__xludf.DUMMYFUNCTION("GOOGLETRANSLATE(A22727,""en"",""pt"")"),"filosofia suporte mortal ruínas experiência com o produto.")</f>
        <v>filosofia suporte mortal ruínas experiência com o produto.</v>
      </c>
      <c r="B22727" s="3">
        <v>0</v>
      </c>
    </row>
    <row r="22728" ht="15.75" customHeight="1" spans="1:2">
      <c r="A22728" s="3" t="str">
        <f>IFERROR(__xludf.DUMMYFUNCTION("GOOGLETRANSLATE(A22728,""en"",""pt"")"),"Não realmente USB compatível")</f>
        <v>Não realmente USB compatível</v>
      </c>
      <c r="B22728" s="3">
        <v>0</v>
      </c>
    </row>
    <row r="22729" ht="15.75" customHeight="1" spans="1:2">
      <c r="A22729" s="3" t="str">
        <f>IFERROR(__xludf.DUMMYFUNCTION("GOOGLETRANSLATE(A22729,""en"",""pt"")"),"Ligeiramente barulhento, manchas de tinta preta se você tocar imediatamente após a impressão")</f>
        <v>Ligeiramente barulhento, manchas de tinta preta se você tocar imediatamente após a impressão</v>
      </c>
      <c r="B22729" s="3">
        <v>0</v>
      </c>
    </row>
    <row r="22730" ht="15.75" customHeight="1" spans="1:2">
      <c r="A22730" s="3" t="str">
        <f>IFERROR(__xludf.DUMMYFUNCTION("GOOGLETRANSLATE(A22730,""en"",""pt"")"),"nada")</f>
        <v>nada</v>
      </c>
      <c r="B22730" s="3">
        <v>0</v>
      </c>
    </row>
    <row r="22731" ht="15.75" customHeight="1" spans="1:2">
      <c r="A22731" s="3" t="str">
        <f>IFERROR(__xludf.DUMMYFUNCTION("GOOGLETRANSLATE(A22731,""en"",""pt"")"),"Nenhum")</f>
        <v>Nenhum</v>
      </c>
      <c r="B22731" s="3">
        <v>0</v>
      </c>
    </row>
    <row r="22732" ht="15.75" customHeight="1" spans="1:2">
      <c r="A22732" s="3" t="str">
        <f>IFERROR(__xludf.DUMMYFUNCTION("GOOGLETRANSLATE(A22732,""en"",""pt"")"),"nenhum que eu posso ver neste momento.")</f>
        <v>nenhum que eu posso ver neste momento.</v>
      </c>
      <c r="B22732" s="3">
        <v>0</v>
      </c>
    </row>
    <row r="22733" ht="15.75" customHeight="1" spans="1:2">
      <c r="A22733" s="3" t="str">
        <f>IFERROR(__xludf.DUMMYFUNCTION("GOOGLETRANSLATE(A22733,""en"",""pt"")"),"O manual")</f>
        <v>O manual</v>
      </c>
      <c r="B22733" s="3">
        <v>0</v>
      </c>
    </row>
    <row r="22734" ht="15.75" customHeight="1" spans="1:2">
      <c r="A22734" s="3" t="str">
        <f>IFERROR(__xludf.DUMMYFUNCTION("GOOGLETRANSLATE(A22734,""en"",""pt"")"),"papel Use foto para obter melhores resultados")</f>
        <v>papel Use foto para obter melhores resultados</v>
      </c>
      <c r="B22734" s="3">
        <v>0</v>
      </c>
    </row>
    <row r="22735" ht="15.75" customHeight="1" spans="1:2">
      <c r="A22735" s="3" t="str">
        <f>IFERROR(__xludf.DUMMYFUNCTION("GOOGLETRANSLATE(A22735,""en"",""pt"")"),"imprimindo Envelopes")</f>
        <v>imprimindo Envelopes</v>
      </c>
      <c r="B22735" s="3">
        <v>0</v>
      </c>
    </row>
    <row r="22736" ht="15.75" customHeight="1" spans="1:2">
      <c r="A22736" s="3" t="str">
        <f>IFERROR(__xludf.DUMMYFUNCTION("GOOGLETRANSLATE(A22736,""en"",""pt"")"),"Preço de Cartuchos um pouco elevado (pode usar kits de recarga para compensar)")</f>
        <v>Preço de Cartuchos um pouco elevado (pode usar kits de recarga para compensar)</v>
      </c>
      <c r="B22736" s="3">
        <v>0</v>
      </c>
    </row>
    <row r="22737" ht="15.75" customHeight="1" spans="1:2">
      <c r="A22737" s="3" t="str">
        <f>IFERROR(__xludf.DUMMYFUNCTION("GOOGLETRANSLATE(A22737,""en"",""pt"")"),"Não muito espaço no alimentador de papel")</f>
        <v>Não muito espaço no alimentador de papel</v>
      </c>
      <c r="B22737" s="3">
        <v>0</v>
      </c>
    </row>
    <row r="22738" ht="15.75" customHeight="1" spans="1:2">
      <c r="A22738" s="3" t="str">
        <f>IFERROR(__xludf.DUMMYFUNCTION("GOOGLETRANSLATE(A22738,""en"",""pt"")"),"impressões a cores")</f>
        <v>impressões a cores</v>
      </c>
      <c r="B22738" s="3">
        <v>0</v>
      </c>
    </row>
    <row r="22739" ht="15.75" customHeight="1" spans="1:2">
      <c r="A22739" s="3" t="str">
        <f>IFERROR(__xludf.DUMMYFUNCTION("GOOGLETRANSLATE(A22739,""en"",""pt"")"),"Não rápido o suficiente para um negócio")</f>
        <v>Não rápido o suficiente para um negócio</v>
      </c>
      <c r="B22739" s="3">
        <v>0</v>
      </c>
    </row>
    <row r="22740" ht="15.75" customHeight="1" spans="1:2">
      <c r="A22740" s="3" t="str">
        <f>IFERROR(__xludf.DUMMYFUNCTION("GOOGLETRANSLATE(A22740,""en"",""pt"")"),"Secagem rápida Tinteiro")</f>
        <v>Secagem rápida Tinteiro</v>
      </c>
      <c r="B22740" s="3">
        <v>0</v>
      </c>
    </row>
    <row r="22741" ht="15.75" customHeight="1" spans="1:2">
      <c r="A22741" s="3" t="str">
        <f>IFERROR(__xludf.DUMMYFUNCTION("GOOGLETRANSLATE(A22741,""en"",""pt"")"),"de tamanho grande, Sem monitores de nível de tinta")</f>
        <v>de tamanho grande, Sem monitores de nível de tinta</v>
      </c>
      <c r="B22741" s="3">
        <v>0</v>
      </c>
    </row>
    <row r="22742" ht="15.75" customHeight="1" spans="1:2">
      <c r="A22742" s="3" t="str">
        <f>IFERROR(__xludf.DUMMYFUNCTION("GOOGLETRANSLATE(A22742,""en"",""pt"")"),"motoristas desajeitados, faltas irritantes")</f>
        <v>motoristas desajeitados, faltas irritantes</v>
      </c>
      <c r="B22742" s="3">
        <v>0</v>
      </c>
    </row>
    <row r="22743" ht="15.75" customHeight="1" spans="1:2">
      <c r="A22743" s="3" t="str">
        <f>IFERROR(__xludf.DUMMYFUNCTION("GOOGLETRANSLATE(A22743,""en"",""pt"")"),"Preço de cartuchos")</f>
        <v>Preço de cartuchos</v>
      </c>
      <c r="B22743" s="3">
        <v>0</v>
      </c>
    </row>
    <row r="22744" ht="15.75" customHeight="1" spans="1:2">
      <c r="A22744" s="3" t="str">
        <f>IFERROR(__xludf.DUMMYFUNCTION("GOOGLETRANSLATE(A22744,""en"",""pt"")"),"não posso pensar em qualquer")</f>
        <v>não posso pensar em qualquer</v>
      </c>
      <c r="B22744" s="3">
        <v>0</v>
      </c>
    </row>
    <row r="22745" ht="15.75" customHeight="1" spans="1:2">
      <c r="A22745" s="3" t="str">
        <f>IFERROR(__xludf.DUMMYFUNCTION("GOOGLETRANSLATE(A22745,""en"",""pt"")"),"Ink poderia ser um pouco mais barato.")</f>
        <v>Ink poderia ser um pouco mais barato.</v>
      </c>
      <c r="B22745" s="3">
        <v>0</v>
      </c>
    </row>
    <row r="22746" ht="15.75" customHeight="1" spans="1:2">
      <c r="A22746" s="3" t="str">
        <f>IFERROR(__xludf.DUMMYFUNCTION("GOOGLETRANSLATE(A22746,""en"",""pt"")"),"Ink é caro, envelopes parecem tocar um monte")</f>
        <v>Ink é caro, envelopes parecem tocar um monte</v>
      </c>
      <c r="B22746" s="3">
        <v>0</v>
      </c>
    </row>
    <row r="22747" ht="15.75" customHeight="1" spans="1:2">
      <c r="A22747" s="3" t="str">
        <f>IFERROR(__xludf.DUMMYFUNCTION("GOOGLETRANSLATE(A22747,""en"",""pt"")"),"nenhum que eu tenho")</f>
        <v>nenhum que eu tenho</v>
      </c>
      <c r="B22747" s="3">
        <v>0</v>
      </c>
    </row>
    <row r="22748" ht="15.75" customHeight="1" spans="1:2">
      <c r="A22748" s="3" t="str">
        <f>IFERROR(__xludf.DUMMYFUNCTION("GOOGLETRANSLATE(A22748,""en"",""pt"")"),"atendimento ao cliente, garantia na área cinza")</f>
        <v>atendimento ao cliente, garantia na área cinza</v>
      </c>
      <c r="B22748" s="3">
        <v>0</v>
      </c>
    </row>
    <row r="22749" ht="15.75" customHeight="1" spans="1:2">
      <c r="A22749" s="3" t="str">
        <f>IFERROR(__xludf.DUMMYFUNCTION("GOOGLETRANSLATE(A22749,""en"",""pt"")"),"um preço pouco maior, mas vale a pena")</f>
        <v>um preço pouco maior, mas vale a pena</v>
      </c>
      <c r="B22749" s="3">
        <v>0</v>
      </c>
    </row>
    <row r="22750" ht="15.75" customHeight="1" spans="1:2">
      <c r="A22750" s="3" t="str">
        <f>IFERROR(__xludf.DUMMYFUNCTION("GOOGLETRANSLATE(A22750,""en"",""pt"")"),"custo do material, de armazenamento do papel se limita")</f>
        <v>custo do material, de armazenamento do papel se limita</v>
      </c>
      <c r="B22750" s="3">
        <v>0</v>
      </c>
    </row>
    <row r="22751" ht="15.75" customHeight="1" spans="1:2">
      <c r="A22751" s="3" t="str">
        <f>IFERROR(__xludf.DUMMYFUNCTION("GOOGLETRANSLATE(A22751,""en"",""pt"")"),"um pouco caro")</f>
        <v>um pouco caro</v>
      </c>
      <c r="B22751" s="3">
        <v>0</v>
      </c>
    </row>
    <row r="22752" ht="15.75" customHeight="1" spans="1:2">
      <c r="A22752" s="3" t="str">
        <f>IFERROR(__xludf.DUMMYFUNCTION("GOOGLETRANSLATE(A22752,""en"",""pt"")"),"Nenhum")</f>
        <v>Nenhum</v>
      </c>
      <c r="B22752" s="3">
        <v>0</v>
      </c>
    </row>
    <row r="22753" ht="15.75" customHeight="1" spans="1:2">
      <c r="A22753" s="3" t="str">
        <f>IFERROR(__xludf.DUMMYFUNCTION("GOOGLETRANSLATE(A22753,""en"",""pt"")"),"drivers de software são mal codificada. Causa problemas na impressão e alinhamento.")</f>
        <v>drivers de software são mal codificada. Causa problemas na impressão e alinhamento.</v>
      </c>
      <c r="B22753" s="3">
        <v>0</v>
      </c>
    </row>
    <row r="22754" ht="15.75" customHeight="1" spans="1:2">
      <c r="A22754" s="3" t="str">
        <f>IFERROR(__xludf.DUMMYFUNCTION("GOOGLETRANSLATE(A22754,""en"",""pt"")"),"ultrapassada (já)")</f>
        <v>ultrapassada (já)</v>
      </c>
      <c r="B22754" s="3">
        <v>0</v>
      </c>
    </row>
    <row r="22755" ht="15.75" customHeight="1" spans="1:2">
      <c r="A22755" s="3" t="str">
        <f>IFERROR(__xludf.DUMMYFUNCTION("GOOGLETRANSLATE(A22755,""en"",""pt"")"),"Alto custo de cartuchos de tinta de substituição; não detém papel suficiente na bandeja")</f>
        <v>Alto custo de cartuchos de tinta de substituição; não detém papel suficiente na bandeja</v>
      </c>
      <c r="B22755" s="3">
        <v>0</v>
      </c>
    </row>
    <row r="22756" ht="15.75" customHeight="1" spans="1:2">
      <c r="A22756" s="3" t="str">
        <f>IFERROR(__xludf.DUMMYFUNCTION("GOOGLETRANSLATE(A22756,""en"",""pt"")"),"Nenhum")</f>
        <v>Nenhum</v>
      </c>
      <c r="B22756" s="3">
        <v>0</v>
      </c>
    </row>
    <row r="22757" ht="15.75" customHeight="1" spans="1:2">
      <c r="A22757" s="3" t="str">
        <f>IFERROR(__xludf.DUMMYFUNCTION("GOOGLETRANSLATE(A22757,""en"",""pt"")"),"lentos impressão de fotos com um monte de cores")</f>
        <v>lentos impressão de fotos com um monte de cores</v>
      </c>
      <c r="B22757" s="3">
        <v>0</v>
      </c>
    </row>
    <row r="22758" ht="15.75" customHeight="1" spans="1:2">
      <c r="A22758" s="3" t="str">
        <f>IFERROR(__xludf.DUMMYFUNCTION("GOOGLETRANSLATE(A22758,""en"",""pt"")"),"manchas ocasionais quando impressora está com pouca tinta")</f>
        <v>manchas ocasionais quando impressora está com pouca tinta</v>
      </c>
      <c r="B22758" s="3">
        <v>0</v>
      </c>
    </row>
    <row r="22759" ht="15.75" customHeight="1" spans="1:2">
      <c r="A22759" s="3" t="str">
        <f>IFERROR(__xludf.DUMMYFUNCTION("GOOGLETRANSLATE(A22759,""en"",""pt"")"),"preço bastante íngreme")</f>
        <v>preço bastante íngreme</v>
      </c>
      <c r="B22759" s="3">
        <v>0</v>
      </c>
    </row>
    <row r="22760" ht="15.75" customHeight="1" spans="1:2">
      <c r="A22760" s="3" t="str">
        <f>IFERROR(__xludf.DUMMYFUNCTION("GOOGLETRANSLATE(A22760,""en"",""pt"")"),"NENHUM")</f>
        <v>NENHUM</v>
      </c>
      <c r="B22760" s="3">
        <v>0</v>
      </c>
    </row>
    <row r="22761" ht="15.75" customHeight="1" spans="1:2">
      <c r="A22761" s="3" t="str">
        <f>IFERROR(__xludf.DUMMYFUNCTION("GOOGLETRANSLATE(A22761,""en"",""pt"")"),"Não é menos de US $ 100,00")</f>
        <v>Não é menos de US $ 100,00</v>
      </c>
      <c r="B22761" s="3">
        <v>0</v>
      </c>
    </row>
    <row r="22762" ht="15.75" customHeight="1" spans="1:2">
      <c r="A22762" s="3" t="str">
        <f>IFERROR(__xludf.DUMMYFUNCTION("GOOGLETRANSLATE(A22762,""en"",""pt"")"),"suporte técnico")</f>
        <v>suporte técnico</v>
      </c>
      <c r="B22762" s="3">
        <v>0</v>
      </c>
    </row>
    <row r="22763" ht="15.75" customHeight="1" spans="1:2">
      <c r="A22763" s="3" t="str">
        <f>IFERROR(__xludf.DUMMYFUNCTION("GOOGLETRANSLATE(A22763,""en"",""pt"")"),"Nenhum cabo, problemas com chipsets ViaTech.")</f>
        <v>Nenhum cabo, problemas com chipsets ViaTech.</v>
      </c>
      <c r="B22763" s="3">
        <v>0</v>
      </c>
    </row>
    <row r="22764" ht="15.75" customHeight="1" spans="1:2">
      <c r="A22764" s="3" t="str">
        <f>IFERROR(__xludf.DUMMYFUNCTION("GOOGLETRANSLATE(A22764,""en"",""pt"")"),"Para imprimir uma imagem em &amp; amp; quot; O melhor &amp; amp; quot; Modo leva aproximadamente dois minutos.")</f>
        <v>Para imprimir uma imagem em &amp; amp; quot; O melhor &amp; amp; quot; Modo leva aproximadamente dois minutos.</v>
      </c>
      <c r="B22764" s="3">
        <v>0</v>
      </c>
    </row>
    <row r="22765" ht="15.75" customHeight="1" spans="1:2">
      <c r="A22765" s="3" t="str">
        <f>IFERROR(__xludf.DUMMYFUNCTION("GOOGLETRANSLATE(A22765,""en"",""pt"")"),"Cartuchos caros para substituir.")</f>
        <v>Cartuchos caros para substituir.</v>
      </c>
      <c r="B22765" s="3">
        <v>0</v>
      </c>
    </row>
    <row r="22766" ht="15.75" customHeight="1" spans="1:2">
      <c r="A22766" s="3" t="str">
        <f>IFERROR(__xludf.DUMMYFUNCTION("GOOGLETRANSLATE(A22766,""en"",""pt"")"),"cartuchos de tinta um pouco caro, mas passado dobro do tempo.")</f>
        <v>cartuchos de tinta um pouco caro, mas passado dobro do tempo.</v>
      </c>
      <c r="B22766" s="3">
        <v>0</v>
      </c>
    </row>
    <row r="22767" ht="15.75" customHeight="1" spans="1:2">
      <c r="A22767" s="3" t="str">
        <f>IFERROR(__xludf.DUMMYFUNCTION("GOOGLETRANSLATE(A22767,""en"",""pt"")"),"Bandeja de papel não se dobra para cima")</f>
        <v>Bandeja de papel não se dobra para cima</v>
      </c>
      <c r="B22767" s="3">
        <v>0</v>
      </c>
    </row>
    <row r="22768" ht="15.75" customHeight="1" spans="1:2">
      <c r="A22768" s="3" t="str">
        <f>IFERROR(__xludf.DUMMYFUNCTION("GOOGLETRANSLATE(A22768,""en"",""pt"")"),"Não compatível com rede, deve comprar o cabo USB.")</f>
        <v>Não compatível com rede, deve comprar o cabo USB.</v>
      </c>
      <c r="B22768" s="3">
        <v>0</v>
      </c>
    </row>
    <row r="22769" ht="15.75" customHeight="1" spans="1:2">
      <c r="A22769" s="3" t="str">
        <f>IFERROR(__xludf.DUMMYFUNCTION("GOOGLETRANSLATE(A22769,""en"",""pt"")"),"software errado")</f>
        <v>software errado</v>
      </c>
      <c r="B22769" s="3">
        <v>0</v>
      </c>
    </row>
    <row r="22770" ht="15.75" customHeight="1" spans="1:2">
      <c r="A22770" s="3" t="str">
        <f>IFERROR(__xludf.DUMMYFUNCTION("GOOGLETRANSLATE(A22770,""en"",""pt"")"),"Cartuchos caros")</f>
        <v>Cartuchos caros</v>
      </c>
      <c r="B22770" s="3">
        <v>0</v>
      </c>
    </row>
    <row r="22771" ht="15.75" customHeight="1" spans="1:2">
      <c r="A22771" s="3" t="str">
        <f>IFERROR(__xludf.DUMMYFUNCTION("GOOGLETRANSLATE(A22771,""en"",""pt"")"),"os cartuchos de tinta caros")</f>
        <v>os cartuchos de tinta caros</v>
      </c>
      <c r="B22771" s="3">
        <v>0</v>
      </c>
    </row>
    <row r="22772" ht="15.75" customHeight="1" spans="1:2">
      <c r="A22772" s="3" t="str">
        <f>IFERROR(__xludf.DUMMYFUNCTION("GOOGLETRANSLATE(A22772,""en"",""pt"")"),"tempo de impressão lenta")</f>
        <v>tempo de impressão lenta</v>
      </c>
      <c r="B22772" s="3">
        <v>0</v>
      </c>
    </row>
    <row r="22773" ht="15.75" customHeight="1" spans="1:2">
      <c r="A22773" s="3" t="str">
        <f>IFERROR(__xludf.DUMMYFUNCTION("GOOGLETRANSLATE(A22773,""en"",""pt"")"),"???")</f>
        <v>???</v>
      </c>
      <c r="B22773" s="3">
        <v>0</v>
      </c>
    </row>
    <row r="22774" ht="15.75" customHeight="1" spans="1:2">
      <c r="A22774" s="3" t="str">
        <f>IFERROR(__xludf.DUMMYFUNCTION("GOOGLETRANSLATE(A22774,""en"",""pt"")"),"um pouco lento no arranque de imprimir.")</f>
        <v>um pouco lento no arranque de imprimir.</v>
      </c>
      <c r="B22774" s="3">
        <v>0</v>
      </c>
    </row>
    <row r="22775" ht="15.75" customHeight="1" spans="1:2">
      <c r="A22775" s="3" t="str">
        <f>IFERROR(__xludf.DUMMYFUNCTION("GOOGLETRANSLATE(A22775,""en"",""pt"")"),"Ruidosos, os preços dos cartuchos")</f>
        <v>Ruidosos, os preços dos cartuchos</v>
      </c>
      <c r="B22775" s="3">
        <v>0</v>
      </c>
    </row>
    <row r="22776" ht="15.75" customHeight="1" spans="1:2">
      <c r="A22776" s="3" t="str">
        <f>IFERROR(__xludf.DUMMYFUNCTION("GOOGLETRANSLATE(A22776,""en"",""pt"")"),"Os cartuchos são bastante elevado.")</f>
        <v>Os cartuchos são bastante elevado.</v>
      </c>
      <c r="B22776" s="3">
        <v>0</v>
      </c>
    </row>
    <row r="22777" ht="15.75" customHeight="1" spans="1:2">
      <c r="A22777" s="3" t="str">
        <f>IFERROR(__xludf.DUMMYFUNCTION("GOOGLETRANSLATE(A22777,""en"",""pt"")"),"Um pouco caro pouco.")</f>
        <v>Um pouco caro pouco.</v>
      </c>
      <c r="B22777" s="3">
        <v>0</v>
      </c>
    </row>
    <row r="22778" ht="15.75" customHeight="1" spans="1:2">
      <c r="A22778" s="3" t="str">
        <f>IFERROR(__xludf.DUMMYFUNCTION("GOOGLETRANSLATE(A22778,""en"",""pt"")"),"Nenhum")</f>
        <v>Nenhum</v>
      </c>
      <c r="B22778" s="3">
        <v>0</v>
      </c>
    </row>
    <row r="22779" ht="15.75" customHeight="1" spans="1:2">
      <c r="A22779" s="3" t="str">
        <f>IFERROR(__xludf.DUMMYFUNCTION("GOOGLETRANSLATE(A22779,""en"",""pt"")"),"Nenhum")</f>
        <v>Nenhum</v>
      </c>
      <c r="B22779" s="3">
        <v>0</v>
      </c>
    </row>
    <row r="22780" ht="15.75" customHeight="1" spans="1:2">
      <c r="A22780" s="3" t="str">
        <f>IFERROR(__xludf.DUMMYFUNCTION("GOOGLETRANSLATE(A22780,""en"",""pt"")"),"leva-se um pouco mais espaço na mesa do que algumas outras marcas")</f>
        <v>leva-se um pouco mais espaço na mesa do que algumas outras marcas</v>
      </c>
      <c r="B22780" s="3">
        <v>0</v>
      </c>
    </row>
    <row r="22781" ht="15.75" customHeight="1" spans="1:2">
      <c r="A22781" s="3" t="str">
        <f>IFERROR(__xludf.DUMMYFUNCTION("GOOGLETRANSLATE(A22781,""en"",""pt"")"),"precisa de dois cartuchos, eu acho que deveria ser em um")</f>
        <v>precisa de dois cartuchos, eu acho que deveria ser em um</v>
      </c>
      <c r="B22781" s="3">
        <v>0</v>
      </c>
    </row>
    <row r="22782" ht="15.75" customHeight="1" spans="1:2">
      <c r="A22782" s="3" t="str">
        <f>IFERROR(__xludf.DUMMYFUNCTION("GOOGLETRANSLATE(A22782,""en"",""pt"")"),"ainda utiliza 2 cartuchos de tinta separados")</f>
        <v>ainda utiliza 2 cartuchos de tinta separados</v>
      </c>
      <c r="B22782" s="3">
        <v>0</v>
      </c>
    </row>
    <row r="22783" ht="15.75" customHeight="1" spans="1:2">
      <c r="A22783" s="3" t="str">
        <f>IFERROR(__xludf.DUMMYFUNCTION("GOOGLETRANSLATE(A22783,""en"",""pt"")"),"cartuchos de recarga são um pouco caro, porém, elas duram.")</f>
        <v>cartuchos de recarga são um pouco caro, porém, elas duram.</v>
      </c>
      <c r="B22783" s="3">
        <v>0</v>
      </c>
    </row>
    <row r="22784" ht="15.75" customHeight="1" spans="1:2">
      <c r="A22784" s="3" t="str">
        <f>IFERROR(__xludf.DUMMYFUNCTION("GOOGLETRANSLATE(A22784,""en"",""pt"")"),"Nada que eu encontrei você")</f>
        <v>Nada que eu encontrei você</v>
      </c>
      <c r="B22784" s="3">
        <v>0</v>
      </c>
    </row>
    <row r="22785" ht="15.75" customHeight="1" spans="1:2">
      <c r="A22785" s="3" t="str">
        <f>IFERROR(__xludf.DUMMYFUNCTION("GOOGLETRANSLATE(A22785,""en"",""pt"")"),"Um pouco por vezes lentos; os cartuchos de tinta dispendiosos")</f>
        <v>Um pouco por vezes lentos; os cartuchos de tinta dispendiosos</v>
      </c>
      <c r="B22785" s="3">
        <v>0</v>
      </c>
    </row>
    <row r="22786" ht="15.75" customHeight="1" spans="1:2">
      <c r="A22786" s="3" t="str">
        <f>IFERROR(__xludf.DUMMYFUNCTION("GOOGLETRANSLATE(A22786,""en"",""pt"")"),"computador destrói quando re-instalado")</f>
        <v>computador destrói quando re-instalado</v>
      </c>
      <c r="B22786" s="3">
        <v>0</v>
      </c>
    </row>
    <row r="22787" ht="15.75" customHeight="1" spans="1:2">
      <c r="A22787" s="3" t="str">
        <f>IFERROR(__xludf.DUMMYFUNCTION("GOOGLETRANSLATE(A22787,""en"",""pt"")"),"Eu não posso pensar em qualquer")</f>
        <v>Eu não posso pensar em qualquer</v>
      </c>
      <c r="B22787" s="3">
        <v>0</v>
      </c>
    </row>
    <row r="22788" ht="15.75" customHeight="1" spans="1:2">
      <c r="A22788" s="3" t="str">
        <f>IFERROR(__xludf.DUMMYFUNCTION("GOOGLETRANSLATE(A22788,""en"",""pt"")"),"cartuchos originais que vêm com impressora estiver em curto tinta")</f>
        <v>cartuchos originais que vêm com impressora estiver em curto tinta</v>
      </c>
      <c r="B22788" s="3">
        <v>0</v>
      </c>
    </row>
    <row r="22789" ht="15.75" customHeight="1" spans="1:2">
      <c r="A22789" s="3" t="str">
        <f>IFERROR(__xludf.DUMMYFUNCTION("GOOGLETRANSLATE(A22789,""en"",""pt"")"),"encravamentos cronicamente")</f>
        <v>encravamentos cronicamente</v>
      </c>
      <c r="B22789" s="3">
        <v>0</v>
      </c>
    </row>
    <row r="22790" ht="15.75" customHeight="1" spans="1:2">
      <c r="A22790" s="3" t="str">
        <f>IFERROR(__xludf.DUMMYFUNCTION("GOOGLETRANSLATE(A22790,""en"",""pt"")"),"Não gosta de ser preso com um scanner paralelo")</f>
        <v>Não gosta de ser preso com um scanner paralelo</v>
      </c>
      <c r="B22790" s="3">
        <v>0</v>
      </c>
    </row>
    <row r="22791" ht="15.75" customHeight="1" spans="1:2">
      <c r="A22791" s="3" t="str">
        <f>IFERROR(__xludf.DUMMYFUNCTION("GOOGLETRANSLATE(A22791,""en"",""pt"")"),"Os cartuchos de tinta são um pouco caros")</f>
        <v>Os cartuchos de tinta são um pouco caros</v>
      </c>
      <c r="B22791" s="3">
        <v>0</v>
      </c>
    </row>
    <row r="22792" ht="15.75" customHeight="1" spans="1:2">
      <c r="A22792" s="3" t="str">
        <f>IFERROR(__xludf.DUMMYFUNCTION("GOOGLETRANSLATE(A22792,""en"",""pt"")"),"praticamente bebe tinta")</f>
        <v>praticamente bebe tinta</v>
      </c>
      <c r="B22792" s="3">
        <v>0</v>
      </c>
    </row>
    <row r="22793" ht="15.75" customHeight="1" spans="1:2">
      <c r="A22793" s="3" t="str">
        <f>IFERROR(__xludf.DUMMYFUNCTION("GOOGLETRANSLATE(A22793,""en"",""pt"")"),"caro")</f>
        <v>caro</v>
      </c>
      <c r="B22793" s="3">
        <v>0</v>
      </c>
    </row>
    <row r="22794" ht="15.75" customHeight="1" spans="1:2">
      <c r="A22794" s="3" t="str">
        <f>IFERROR(__xludf.DUMMYFUNCTION("GOOGLETRANSLATE(A22794,""en"",""pt"")"),"impressora sede; não dá aviso quando o cartucho está sendo executado seco")</f>
        <v>impressora sede; não dá aviso quando o cartucho está sendo executado seco</v>
      </c>
      <c r="B22794" s="3">
        <v>0</v>
      </c>
    </row>
    <row r="22795" ht="15.75" customHeight="1" spans="1:2">
      <c r="A22795" s="3" t="str">
        <f>IFERROR(__xludf.DUMMYFUNCTION("GOOGLETRANSLATE(A22795,""en"",""pt"")"),"Precisa de papel jato de tinta para uma boa qualidade de texto")</f>
        <v>Precisa de papel jato de tinta para uma boa qualidade de texto</v>
      </c>
      <c r="B22795" s="3">
        <v>0</v>
      </c>
    </row>
    <row r="22796" ht="15.75" customHeight="1" spans="1:2">
      <c r="A22796" s="3" t="str">
        <f>IFERROR(__xludf.DUMMYFUNCTION("GOOGLETRANSLATE(A22796,""en"",""pt"")"),"Nenhum")</f>
        <v>Nenhum</v>
      </c>
      <c r="B22796" s="3">
        <v>0</v>
      </c>
    </row>
    <row r="22797" ht="15.75" customHeight="1" spans="1:2">
      <c r="A22797" s="3" t="str">
        <f>IFERROR(__xludf.DUMMYFUNCTION("GOOGLETRANSLATE(A22797,""en"",""pt"")"),"olhar para o HP 880/882 também grande")</f>
        <v>olhar para o HP 880/882 também grande</v>
      </c>
      <c r="B22797" s="3">
        <v>0</v>
      </c>
    </row>
    <row r="22798" ht="15.75" customHeight="1" spans="1:2">
      <c r="A22798" s="3" t="str">
        <f>IFERROR(__xludf.DUMMYFUNCTION("GOOGLETRANSLATE(A22798,""en"",""pt"")"),"Nenhum")</f>
        <v>Nenhum</v>
      </c>
      <c r="B22798" s="3">
        <v>0</v>
      </c>
    </row>
    <row r="22799" ht="15.75" customHeight="1" spans="1:2">
      <c r="A22799" s="3" t="str">
        <f>IFERROR(__xludf.DUMMYFUNCTION("GOOGLETRANSLATE(A22799,""en"",""pt"")"),"Melhores opções para impressão de fotos high-end")</f>
        <v>Melhores opções para impressão de fotos high-end</v>
      </c>
      <c r="B22799" s="3">
        <v>0</v>
      </c>
    </row>
    <row r="22800" ht="15.75" customHeight="1" spans="1:2">
      <c r="A22800" s="3" t="str">
        <f>IFERROR(__xludf.DUMMYFUNCTION("GOOGLETRANSLATE(A22800,""en"",""pt"")"),"$ Tag 300 preço é muito pouco")</f>
        <v>$ Tag 300 preço é muito pouco</v>
      </c>
      <c r="B22800" s="3">
        <v>0</v>
      </c>
    </row>
    <row r="22801" ht="15.75" customHeight="1" spans="1:2">
      <c r="A22801" s="3" t="str">
        <f>IFERROR(__xludf.DUMMYFUNCTION("GOOGLETRANSLATE(A22801,""en"",""pt"")"),"Muito caro")</f>
        <v>Muito caro</v>
      </c>
      <c r="B22801" s="3">
        <v>0</v>
      </c>
    </row>
    <row r="22802" ht="15.75" customHeight="1" spans="1:2">
      <c r="A22802" s="3" t="str">
        <f>IFERROR(__xludf.DUMMYFUNCTION("GOOGLETRANSLATE(A22802,""en"",""pt"")"),"Erros internos")</f>
        <v>Erros internos</v>
      </c>
      <c r="B22802" s="3">
        <v>0</v>
      </c>
    </row>
    <row r="22803" ht="15.75" customHeight="1" spans="1:2">
      <c r="A22803" s="3" t="str">
        <f>IFERROR(__xludf.DUMMYFUNCTION("GOOGLETRANSLATE(A22803,""en"",""pt"")"),"USB pouco fiáveis")</f>
        <v>USB pouco fiáveis</v>
      </c>
      <c r="B22803" s="3">
        <v>0</v>
      </c>
    </row>
    <row r="22804" ht="15.75" customHeight="1" spans="1:2">
      <c r="A22804" s="3" t="str">
        <f>IFERROR(__xludf.DUMMYFUNCTION("GOOGLETRANSLATE(A22804,""en"",""pt"")"),"Necessidade de usar uma interface paralela bidirecional em vez de USB ou alguns utilitários não funcionará.")</f>
        <v>Necessidade de usar uma interface paralela bidirecional em vez de USB ou alguns utilitários não funcionará.</v>
      </c>
      <c r="B22804" s="3">
        <v>0</v>
      </c>
    </row>
    <row r="22805" ht="15.75" customHeight="1" spans="1:2">
      <c r="A22805" s="3" t="str">
        <f>IFERROR(__xludf.DUMMYFUNCTION("GOOGLETRANSLATE(A22805,""en"",""pt"")"),"não encontrei nenhuma ainda")</f>
        <v>não encontrei nenhuma ainda</v>
      </c>
      <c r="B22805" s="3">
        <v>0</v>
      </c>
    </row>
    <row r="22806" ht="15.75" customHeight="1" spans="1:2">
      <c r="A22806" s="3" t="str">
        <f>IFERROR(__xludf.DUMMYFUNCTION("GOOGLETRANSLATE(A22806,""en"",""pt"")"),"Preço")</f>
        <v>Preço</v>
      </c>
      <c r="B22806" s="3">
        <v>0</v>
      </c>
    </row>
    <row r="22807" ht="15.75" customHeight="1" spans="1:2">
      <c r="A22807" s="3" t="str">
        <f>IFERROR(__xludf.DUMMYFUNCTION("GOOGLETRANSLATE(A22807,""en"",""pt"")"),"cartriges tinta um pouco caros")</f>
        <v>cartriges tinta um pouco caros</v>
      </c>
      <c r="B22807" s="3">
        <v>0</v>
      </c>
    </row>
    <row r="22808" ht="15.75" customHeight="1" spans="1:2">
      <c r="A22808" s="3" t="str">
        <f>IFERROR(__xludf.DUMMYFUNCTION("GOOGLETRANSLATE(A22808,""en"",""pt"")"),"tem alguns problemas com planilhas Excel")</f>
        <v>tem alguns problemas com planilhas Excel</v>
      </c>
      <c r="B22808" s="3">
        <v>0</v>
      </c>
    </row>
    <row r="22809" ht="15.75" customHeight="1" spans="1:2">
      <c r="A22809" s="3" t="str">
        <f>IFERROR(__xludf.DUMMYFUNCTION("GOOGLETRANSLATE(A22809,""en"",""pt"")"),"HP precisa vir a uma melhor variedade de papéis de impressão.")</f>
        <v>HP precisa vir a uma melhor variedade de papéis de impressão.</v>
      </c>
      <c r="B22809" s="3">
        <v>0</v>
      </c>
    </row>
    <row r="22810" ht="15.75" customHeight="1" spans="1:2">
      <c r="A22810" s="3" t="str">
        <f>IFERROR(__xludf.DUMMYFUNCTION("GOOGLETRANSLATE(A22810,""en"",""pt"")"),"CARTUCHOS caro, sem HP 800 NÚMERO")</f>
        <v>CARTUCHOS caro, sem HP 800 NÚMERO</v>
      </c>
      <c r="B22810" s="3">
        <v>0</v>
      </c>
    </row>
    <row r="22811" ht="15.75" customHeight="1" spans="1:2">
      <c r="A22811" s="3" t="str">
        <f>IFERROR(__xludf.DUMMYFUNCTION("GOOGLETRANSLATE(A22811,""en"",""pt"")"),"Custa mais do que deveria")</f>
        <v>Custa mais do que deveria</v>
      </c>
      <c r="B22811" s="3">
        <v>0</v>
      </c>
    </row>
    <row r="22812" ht="15.75" customHeight="1" spans="1:2">
      <c r="A22812" s="3" t="str">
        <f>IFERROR(__xludf.DUMMYFUNCTION("GOOGLETRANSLATE(A22812,""en"",""pt"")"),"Problemas com conexão USB")</f>
        <v>Problemas com conexão USB</v>
      </c>
      <c r="B22812" s="3">
        <v>0</v>
      </c>
    </row>
    <row r="22813" ht="15.75" customHeight="1" spans="1:2">
      <c r="A22813" s="3" t="str">
        <f>IFERROR(__xludf.DUMMYFUNCTION("GOOGLETRANSLATE(A22813,""en"",""pt"")"),"nenhum que eu possa encontrar")</f>
        <v>nenhum que eu possa encontrar</v>
      </c>
      <c r="B22813" s="3">
        <v>0</v>
      </c>
    </row>
    <row r="22814" ht="15.75" customHeight="1" spans="1:2">
      <c r="A22814" s="3" t="str">
        <f>IFERROR(__xludf.DUMMYFUNCTION("GOOGLETRANSLATE(A22814,""en"",""pt"")"),"Lento às vezes")</f>
        <v>Lento às vezes</v>
      </c>
      <c r="B22814" s="3">
        <v>0</v>
      </c>
    </row>
    <row r="22815" ht="15.75" customHeight="1" spans="1:2">
      <c r="A22815" s="3" t="str">
        <f>IFERROR(__xludf.DUMMYFUNCTION("GOOGLETRANSLATE(A22815,""en"",""pt"")"),"treme um pouco")</f>
        <v>treme um pouco</v>
      </c>
      <c r="B22815" s="3">
        <v>0</v>
      </c>
    </row>
    <row r="22816" ht="15.75" customHeight="1" spans="1:2">
      <c r="A22816" s="3" t="str">
        <f>IFERROR(__xludf.DUMMYFUNCTION("GOOGLETRANSLATE(A22816,""en"",""pt"")"),"cartuchos de cor são caros")</f>
        <v>cartuchos de cor são caros</v>
      </c>
      <c r="B22816" s="3">
        <v>0</v>
      </c>
    </row>
    <row r="22817" ht="15.75" customHeight="1" spans="1:2">
      <c r="A22817" s="3" t="str">
        <f>IFERROR(__xludf.DUMMYFUNCTION("GOOGLETRANSLATE(A22817,""en"",""pt"")"),"NENHUM")</f>
        <v>NENHUM</v>
      </c>
      <c r="B22817" s="3">
        <v>0</v>
      </c>
    </row>
    <row r="22818" ht="15.75" customHeight="1" spans="1:2">
      <c r="A22818" s="3" t="str">
        <f>IFERROR(__xludf.DUMMYFUNCTION("GOOGLETRANSLATE(A22818,""en"",""pt"")"),"Nenhum")</f>
        <v>Nenhum</v>
      </c>
      <c r="B22818" s="3">
        <v>0</v>
      </c>
    </row>
    <row r="22819" ht="15.75" customHeight="1" spans="1:2">
      <c r="A22819" s="3" t="str">
        <f>IFERROR(__xludf.DUMMYFUNCTION("GOOGLETRANSLATE(A22819,""en"",""pt"")"),"Não encontrei qualquer contras em tudo.")</f>
        <v>Não encontrei qualquer contras em tudo.</v>
      </c>
      <c r="B22819" s="3">
        <v>0</v>
      </c>
    </row>
    <row r="22820" ht="15.75" customHeight="1" spans="1:2">
      <c r="A22820" s="3" t="str">
        <f>IFERROR(__xludf.DUMMYFUNCTION("GOOGLETRANSLATE(A22820,""en"",""pt"")"),"barulho")</f>
        <v>barulho</v>
      </c>
      <c r="B22820" s="3">
        <v>0</v>
      </c>
    </row>
    <row r="22821" ht="15.75" customHeight="1" spans="1:2">
      <c r="A22821" s="3" t="str">
        <f>IFERROR(__xludf.DUMMYFUNCTION("GOOGLETRANSLATE(A22821,""en"",""pt"")"),"Não tem boa confiabilidade a longo prazo")</f>
        <v>Não tem boa confiabilidade a longo prazo</v>
      </c>
      <c r="B22821" s="3">
        <v>0</v>
      </c>
    </row>
    <row r="22822" ht="15.75" customHeight="1" spans="1:2">
      <c r="A22822" s="3" t="str">
        <f>IFERROR(__xludf.DUMMYFUNCTION("GOOGLETRANSLATE(A22822,""en"",""pt"")"),"rolos podem precisamos resurfacing com restaurador borracha")</f>
        <v>rolos podem precisamos resurfacing com restaurador borracha</v>
      </c>
      <c r="B22822" s="3">
        <v>0</v>
      </c>
    </row>
    <row r="22823" ht="15.75" customHeight="1" spans="1:2">
      <c r="A22823" s="3" t="str">
        <f>IFERROR(__xludf.DUMMYFUNCTION("GOOGLETRANSLATE(A22823,""en"",""pt"")"),"deve substituir tanque de cor caro quando uma única cor se esgota")</f>
        <v>deve substituir tanque de cor caro quando uma única cor se esgota</v>
      </c>
      <c r="B22823" s="3">
        <v>0</v>
      </c>
    </row>
    <row r="22824" ht="15.75" customHeight="1" spans="1:2">
      <c r="A22824" s="3" t="str">
        <f>IFERROR(__xludf.DUMMYFUNCTION("GOOGLETRANSLATE(A22824,""en"",""pt"")"),"Relativamente alto custo inicial, impressão Envelope, Minor motorista incompatibilidade")</f>
        <v>Relativamente alto custo inicial, impressão Envelope, Minor motorista incompatibilidade</v>
      </c>
      <c r="B22824" s="3">
        <v>0</v>
      </c>
    </row>
    <row r="22825" ht="15.75" customHeight="1" spans="1:2">
      <c r="A22825" s="3" t="str">
        <f>IFERROR(__xludf.DUMMYFUNCTION("GOOGLETRANSLATE(A22825,""en"",""pt"")"),"preço de tinta")</f>
        <v>preço de tinta</v>
      </c>
      <c r="B22825" s="3">
        <v>0</v>
      </c>
    </row>
    <row r="22826" ht="15.75" customHeight="1" spans="1:2">
      <c r="A22826" s="3" t="str">
        <f>IFERROR(__xludf.DUMMYFUNCTION("GOOGLETRANSLATE(A22826,""en"",""pt"")"),"Nenhum")</f>
        <v>Nenhum</v>
      </c>
      <c r="B22826" s="3">
        <v>0</v>
      </c>
    </row>
    <row r="22827" ht="15.75" customHeight="1" spans="1:2">
      <c r="A22827" s="3" t="str">
        <f>IFERROR(__xludf.DUMMYFUNCTION("GOOGLETRANSLATE(A22827,""en"",""pt"")"),"serviço Rotten cliente, não toll-free suporte técnico &amp; amp; amp; escandalosamente cartuchos de tinta cara.")</f>
        <v>serviço Rotten cliente, não toll-free suporte técnico &amp; amp; amp; escandalosamente cartuchos de tinta cara.</v>
      </c>
      <c r="B22827" s="3">
        <v>0</v>
      </c>
    </row>
    <row r="22828" ht="15.75" customHeight="1" spans="1:2">
      <c r="A22828" s="3" t="str">
        <f>IFERROR(__xludf.DUMMYFUNCTION("GOOGLETRANSLATE(A22828,""en"",""pt"")"),"Mensagens de erro do fedor")</f>
        <v>Mensagens de erro do fedor</v>
      </c>
      <c r="B22828" s="3">
        <v>0</v>
      </c>
    </row>
    <row r="22829" ht="15.75" customHeight="1" spans="1:2">
      <c r="A22829" s="3" t="str">
        <f>IFERROR(__xludf.DUMMYFUNCTION("GOOGLETRANSLATE(A22829,""en"",""pt"")"),"ruidoso, um ano. garantia limitada")</f>
        <v>ruidoso, um ano. garantia limitada</v>
      </c>
      <c r="B22829" s="3">
        <v>0</v>
      </c>
    </row>
    <row r="22830" ht="15.75" customHeight="1" spans="1:2">
      <c r="A22830" s="3" t="str">
        <f>IFERROR(__xludf.DUMMYFUNCTION("GOOGLETRANSLATE(A22830,""en"",""pt"")"),"Nenhum")</f>
        <v>Nenhum</v>
      </c>
      <c r="B22830" s="3">
        <v>0</v>
      </c>
    </row>
    <row r="22831" ht="15.75" customHeight="1" spans="1:2">
      <c r="A22831" s="3" t="str">
        <f>IFERROR(__xludf.DUMMYFUNCTION("GOOGLETRANSLATE(A22831,""en"",""pt"")"),"computador barracas. Caro.")</f>
        <v>computador barracas. Caro.</v>
      </c>
      <c r="B22831" s="3">
        <v>0</v>
      </c>
    </row>
    <row r="22832" ht="15.75" customHeight="1" spans="1:2">
      <c r="A22832" s="3" t="str">
        <f>IFERROR(__xludf.DUMMYFUNCTION("GOOGLETRANSLATE(A22832,""en"",""pt"")"),"Usa tinta rapidamente, pequeno pacote de software")</f>
        <v>Usa tinta rapidamente, pequeno pacote de software</v>
      </c>
      <c r="B22832" s="3">
        <v>0</v>
      </c>
    </row>
    <row r="22833" ht="15.75" customHeight="1" spans="1:2">
      <c r="A22833" s="3" t="str">
        <f>IFERROR(__xludf.DUMMYFUNCTION("GOOGLETRANSLATE(A22833,""en"",""pt"")"),"Imprimir custo de cartucho")</f>
        <v>Imprimir custo de cartucho</v>
      </c>
      <c r="B22833" s="3">
        <v>0</v>
      </c>
    </row>
    <row r="22834" ht="15.75" customHeight="1" spans="1:2">
      <c r="A22834" s="3" t="str">
        <f>IFERROR(__xludf.DUMMYFUNCTION("GOOGLETRANSLATE(A22834,""en"",""pt"")"),"um pouco caro")</f>
        <v>um pouco caro</v>
      </c>
      <c r="B22834" s="3">
        <v>0</v>
      </c>
    </row>
    <row r="22835" ht="15.75" customHeight="1" spans="1:2">
      <c r="A22835" s="3" t="str">
        <f>IFERROR(__xludf.DUMMYFUNCTION("GOOGLETRANSLATE(A22835,""en"",""pt"")"),"NENHUM")</f>
        <v>NENHUM</v>
      </c>
      <c r="B22835" s="3">
        <v>0</v>
      </c>
    </row>
    <row r="22836" ht="15.75" customHeight="1" spans="1:2">
      <c r="A22836" s="3" t="str">
        <f>IFERROR(__xludf.DUMMYFUNCTION("GOOGLETRANSLATE(A22836,""en"",""pt"")"),"Caros cartuchos de tinta")</f>
        <v>Caros cartuchos de tinta</v>
      </c>
      <c r="B22836" s="3">
        <v>0</v>
      </c>
    </row>
    <row r="22837" ht="15.75" customHeight="1" spans="1:2">
      <c r="A22837" s="3" t="str">
        <f>IFERROR(__xludf.DUMMYFUNCTION("GOOGLETRANSLATE(A22837,""en"",""pt"")"),"Nenhum")</f>
        <v>Nenhum</v>
      </c>
      <c r="B22837" s="3">
        <v>0</v>
      </c>
    </row>
    <row r="22838" ht="15.75" customHeight="1" spans="1:2">
      <c r="A22838" s="3" t="str">
        <f>IFERROR(__xludf.DUMMYFUNCTION("GOOGLETRANSLATE(A22838,""en"",""pt"")"),"Custo dos cartuchos de impressora.")</f>
        <v>Custo dos cartuchos de impressora.</v>
      </c>
      <c r="B22838" s="3">
        <v>0</v>
      </c>
    </row>
    <row r="22839" ht="15.75" customHeight="1" spans="1:2">
      <c r="A22839" s="3" t="str">
        <f>IFERROR(__xludf.DUMMYFUNCTION("GOOGLETRANSLATE(A22839,""en"",""pt"")"),"lento às vezes")</f>
        <v>lento às vezes</v>
      </c>
      <c r="B22839" s="3">
        <v>0</v>
      </c>
    </row>
    <row r="22840" ht="15.75" customHeight="1" spans="1:2">
      <c r="A22840" s="3" t="str">
        <f>IFERROR(__xludf.DUMMYFUNCTION("GOOGLETRANSLATE(A22840,""en"",""pt"")"),"há contras")</f>
        <v>há contras</v>
      </c>
      <c r="B22840" s="3">
        <v>0</v>
      </c>
    </row>
    <row r="22841" ht="15.75" customHeight="1" spans="1:2">
      <c r="A22841" s="3" t="str">
        <f>IFERROR(__xludf.DUMMYFUNCTION("GOOGLETRANSLATE(A22841,""en"",""pt"")"),"NÃO Printer A qualidade fotográfica")</f>
        <v>NÃO Printer A qualidade fotográfica</v>
      </c>
      <c r="B22841" s="3">
        <v>0</v>
      </c>
    </row>
    <row r="22842" ht="15.75" customHeight="1" spans="1:2">
      <c r="A22842" s="3" t="str">
        <f>IFERROR(__xludf.DUMMYFUNCTION("GOOGLETRANSLATE(A22842,""en"",""pt"")"),"caro")</f>
        <v>caro</v>
      </c>
      <c r="B22842" s="3">
        <v>0</v>
      </c>
    </row>
    <row r="22843" ht="15.75" customHeight="1" spans="1:2">
      <c r="A22843" s="3" t="str">
        <f>IFERROR(__xludf.DUMMYFUNCTION("GOOGLETRANSLATE(A22843,""en"",""pt"")"),"software da impressora, por vezes, não é compatível com tamanhos de etiquetas predefinido do Windows 2000")</f>
        <v>software da impressora, por vezes, não é compatível com tamanhos de etiquetas predefinido do Windows 2000</v>
      </c>
      <c r="B22843" s="3">
        <v>0</v>
      </c>
    </row>
    <row r="22844" ht="15.75" customHeight="1" spans="1:2">
      <c r="A22844" s="3" t="str">
        <f>IFERROR(__xludf.DUMMYFUNCTION("GOOGLETRANSLATE(A22844,""en"",""pt"")"),"Nenhum.")</f>
        <v>Nenhum.</v>
      </c>
      <c r="B22844" s="3">
        <v>0</v>
      </c>
    </row>
    <row r="22845" ht="15.75" customHeight="1" spans="1:2">
      <c r="A22845" s="3" t="str">
        <f>IFERROR(__xludf.DUMMYFUNCTION("GOOGLETRANSLATE(A22845,""en"",""pt"")"),"Preço")</f>
        <v>Preço</v>
      </c>
      <c r="B22845" s="3">
        <v>0</v>
      </c>
    </row>
    <row r="22846" ht="15.75" customHeight="1" spans="1:2">
      <c r="A22846" s="3" t="str">
        <f>IFERROR(__xludf.DUMMYFUNCTION("GOOGLETRANSLATE(A22846,""en"",""pt"")"),"Rancores fora folha suplementar, de vez em quando, cartuchos de cerca de 30 grãos.")</f>
        <v>Rancores fora folha suplementar, de vez em quando, cartuchos de cerca de 30 grãos.</v>
      </c>
      <c r="B22846" s="3">
        <v>0</v>
      </c>
    </row>
    <row r="22847" ht="15.75" customHeight="1" spans="1:2">
      <c r="A22847" s="3" t="str">
        <f>IFERROR(__xludf.DUMMYFUNCTION("GOOGLETRANSLATE(A22847,""en"",""pt"")"),"Não tão rápido quanto eu gostaria, mas o que eu quero não é razoável também!")</f>
        <v>Não tão rápido quanto eu gostaria, mas o que eu quero não é razoável também!</v>
      </c>
      <c r="B22847" s="3">
        <v>0</v>
      </c>
    </row>
    <row r="22848" ht="15.75" customHeight="1" spans="1:2">
      <c r="A22848" s="3" t="str">
        <f>IFERROR(__xludf.DUMMYFUNCTION("GOOGLETRANSLATE(A22848,""en"",""pt"")"),"A cor é usada-se rapidamente")</f>
        <v>A cor é usada-se rapidamente</v>
      </c>
      <c r="B22848" s="3">
        <v>0</v>
      </c>
    </row>
    <row r="22849" ht="15.75" customHeight="1" spans="1:2">
      <c r="A22849" s="3" t="str">
        <f>IFERROR(__xludf.DUMMYFUNCTION("GOOGLETRANSLATE(A22849,""en"",""pt"")"),"garantia Bare Bones e apoio (possivelmente não para o Canadá), os preços elevados de tinta.")</f>
        <v>garantia Bare Bones e apoio (possivelmente não para o Canadá), os preços elevados de tinta.</v>
      </c>
      <c r="B22849" s="3">
        <v>0</v>
      </c>
    </row>
    <row r="22850" ht="15.75" customHeight="1" spans="1:2">
      <c r="A22850" s="3" t="str">
        <f>IFERROR(__xludf.DUMMYFUNCTION("GOOGLETRANSLATE(A22850,""en"",""pt"")"),"Mais lenta do que a velocidade média, e a tinta vai custar-lhe mais do que a concorrência.")</f>
        <v>Mais lenta do que a velocidade média, e a tinta vai custar-lhe mais do que a concorrência.</v>
      </c>
      <c r="B22850" s="3">
        <v>0</v>
      </c>
    </row>
    <row r="22851" ht="15.75" customHeight="1" spans="1:2">
      <c r="A22851" s="3" t="str">
        <f>IFERROR(__xludf.DUMMYFUNCTION("GOOGLETRANSLATE(A22851,""en"",""pt"")"),"Mesmos problemas com DeskJet 930/932/935, mas carece de algumas características.")</f>
        <v>Mesmos problemas com DeskJet 930/932/935, mas carece de algumas características.</v>
      </c>
      <c r="B22851" s="3">
        <v>0</v>
      </c>
    </row>
    <row r="22852" ht="15.75" customHeight="1" spans="1:2">
      <c r="A22852" s="3" t="str">
        <f>IFERROR(__xludf.DUMMYFUNCTION("GOOGLETRANSLATE(A22852,""en"",""pt"")"),"Velocidade de impressão reduzida")</f>
        <v>Velocidade de impressão reduzida</v>
      </c>
      <c r="B22852" s="3">
        <v>0</v>
      </c>
    </row>
    <row r="22853" ht="15.75" customHeight="1" spans="1:2">
      <c r="A22853" s="3" t="s">
        <v>118</v>
      </c>
      <c r="B22853" s="3">
        <v>0</v>
      </c>
    </row>
    <row r="22854" ht="15.75" customHeight="1" spans="1:2">
      <c r="A22854" s="3" t="str">
        <f>IFERROR(__xludf.DUMMYFUNCTION("GOOGLETRANSLATE(A22854,""en"",""pt"")"),"Os cartuchos de tinta são ridiculamente razoáveis")</f>
        <v>Os cartuchos de tinta são ridiculamente razoáveis</v>
      </c>
      <c r="B22854" s="3">
        <v>0</v>
      </c>
    </row>
    <row r="22855" ht="15.75" customHeight="1" spans="1:2">
      <c r="A22855" s="3" t="str">
        <f>IFERROR(__xludf.DUMMYFUNCTION("GOOGLETRANSLATE(A22855,""en"",""pt"")"),"Projecto modo produz linha ondulada na parte inferior.")</f>
        <v>Projecto modo produz linha ondulada na parte inferior.</v>
      </c>
      <c r="B22855" s="3">
        <v>0</v>
      </c>
    </row>
    <row r="22856" ht="15.75" customHeight="1" spans="1:2">
      <c r="A22856" s="3" t="str">
        <f>IFERROR(__xludf.DUMMYFUNCTION("GOOGLETRANSLATE(A22856,""en"",""pt"")"),"tinta caro")</f>
        <v>tinta caro</v>
      </c>
      <c r="B22856" s="3">
        <v>0</v>
      </c>
    </row>
    <row r="22857" ht="15.75" customHeight="1" spans="1:2">
      <c r="A22857" s="3" t="str">
        <f>IFERROR(__xludf.DUMMYFUNCTION("GOOGLETRANSLATE(A22857,""en"",""pt"")"),"tamanho grande, usa tintas bastante rápido.")</f>
        <v>tamanho grande, usa tintas bastante rápido.</v>
      </c>
      <c r="B22857" s="3">
        <v>0</v>
      </c>
    </row>
    <row r="22858" ht="15.75" customHeight="1" spans="1:2">
      <c r="A22858" s="3" t="str">
        <f>IFERROR(__xludf.DUMMYFUNCTION("GOOGLETRANSLATE(A22858,""en"",""pt"")"),"substituições de tinta são caros, deve comprar cabo de impressora sepratly")</f>
        <v>substituições de tinta são caros, deve comprar cabo de impressora sepratly</v>
      </c>
      <c r="B22858" s="3">
        <v>0</v>
      </c>
    </row>
    <row r="22859" ht="15.75" customHeight="1" spans="1:2">
      <c r="A22859" s="3" t="str">
        <f>IFERROR(__xludf.DUMMYFUNCTION("GOOGLETRANSLATE(A22859,""en"",""pt"")"),"cartigages caros")</f>
        <v>cartigages caros</v>
      </c>
      <c r="B22859" s="3">
        <v>0</v>
      </c>
    </row>
    <row r="22860" ht="15.75" customHeight="1" spans="1:2">
      <c r="A22860" s="3" t="str">
        <f>IFERROR(__xludf.DUMMYFUNCTION("GOOGLETRANSLATE(A22860,""en"",""pt"")"),"Dobre a bandeja durabilidade questionável")</f>
        <v>Dobre a bandeja durabilidade questionável</v>
      </c>
      <c r="B22860" s="3">
        <v>0</v>
      </c>
    </row>
    <row r="22861" ht="15.75" customHeight="1" spans="1:2">
      <c r="A22861" s="3" t="str">
        <f>IFERROR(__xludf.DUMMYFUNCTION("GOOGLETRANSLATE(A22861,""en"",""pt"")"),"As peças de plástico se sentir barato e quebrável.")</f>
        <v>As peças de plástico se sentir barato e quebrável.</v>
      </c>
      <c r="B22861" s="3">
        <v>0</v>
      </c>
    </row>
    <row r="22862" ht="15.75" customHeight="1" spans="1:2">
      <c r="A22862" s="3" t="str">
        <f>IFERROR(__xludf.DUMMYFUNCTION("GOOGLETRANSLATE(A22862,""en"",""pt"")"),"Só não se esqueça de colocar para baixo a bandeja de papel")</f>
        <v>Só não se esqueça de colocar para baixo a bandeja de papel</v>
      </c>
      <c r="B22862" s="3">
        <v>0</v>
      </c>
    </row>
    <row r="22863" ht="15.75" customHeight="1" spans="1:2">
      <c r="A22863" s="3" t="str">
        <f>IFERROR(__xludf.DUMMYFUNCTION("GOOGLETRANSLATE(A22863,""en"",""pt"")"),"Os custos de funcionamento, sendo até 14.4c por página")</f>
        <v>Os custos de funcionamento, sendo até 14.4c por página</v>
      </c>
      <c r="B22863" s="3">
        <v>0</v>
      </c>
    </row>
    <row r="22864" ht="15.75" customHeight="1" spans="1:2">
      <c r="A22864" s="3" t="str">
        <f>IFERROR(__xludf.DUMMYFUNCTION("GOOGLETRANSLATE(A22864,""en"",""pt"")"),"Imprimir qualidade, bastante lento")</f>
        <v>Imprimir qualidade, bastante lento</v>
      </c>
      <c r="B22864" s="3">
        <v>0</v>
      </c>
    </row>
    <row r="22865" ht="15.75" customHeight="1" spans="1:2">
      <c r="A22865" s="3" t="str">
        <f>IFERROR(__xludf.DUMMYFUNCTION("GOOGLETRANSLATE(A22865,""en"",""pt"")"),"Não consigo pensar em um.")</f>
        <v>Não consigo pensar em um.</v>
      </c>
      <c r="B22865" s="3">
        <v>0</v>
      </c>
    </row>
    <row r="22866" ht="15.75" customHeight="1" spans="1:2">
      <c r="A22866" s="3" t="str">
        <f>IFERROR(__xludf.DUMMYFUNCTION("GOOGLETRANSLATE(A22866,""en"",""pt"")"),"Muitos")</f>
        <v>Muitos</v>
      </c>
      <c r="B22866" s="3">
        <v>0</v>
      </c>
    </row>
    <row r="22867" ht="15.75" customHeight="1" spans="1:2">
      <c r="A22867" s="3" t="str">
        <f>IFERROR(__xludf.DUMMYFUNCTION("GOOGLETRANSLATE(A22867,""en"",""pt"")"),"TUDO")</f>
        <v>TUDO</v>
      </c>
      <c r="B22867" s="3">
        <v>0</v>
      </c>
    </row>
    <row r="22868" ht="15.75" customHeight="1" spans="1:2">
      <c r="A22868" s="3" t="str">
        <f>IFERROR(__xludf.DUMMYFUNCTION("GOOGLETRANSLATE(A22868,""en"",""pt"")"),"alimentando mecanismo")</f>
        <v>alimentando mecanismo</v>
      </c>
      <c r="B22868" s="3">
        <v>0</v>
      </c>
    </row>
    <row r="22869" ht="15.75" customHeight="1" spans="1:2">
      <c r="A22869" s="3" t="str">
        <f>IFERROR(__xludf.DUMMYFUNCTION("GOOGLETRANSLATE(A22869,""en"",""pt"")"),"Caro para substituir kits de recarga ink.Ink, por vezes, não vai funcionar.")</f>
        <v>Caro para substituir kits de recarga ink.Ink, por vezes, não vai funcionar.</v>
      </c>
      <c r="B22869" s="3">
        <v>0</v>
      </c>
    </row>
    <row r="22870" ht="15.75" customHeight="1" spans="1:2">
      <c r="A22870" s="3" t="str">
        <f>IFERROR(__xludf.DUMMYFUNCTION("GOOGLETRANSLATE(A22870,""en"",""pt"")"),"software tão")</f>
        <v>software tão</v>
      </c>
      <c r="B22870" s="3">
        <v>0</v>
      </c>
    </row>
    <row r="22871" ht="15.75" customHeight="1" spans="1:2">
      <c r="A22871" s="3" t="str">
        <f>IFERROR(__xludf.DUMMYFUNCTION("GOOGLETRANSLATE(A22871,""en"",""pt"")"),"Hey HP, verifique o seu software.")</f>
        <v>Hey HP, verifique o seu software.</v>
      </c>
      <c r="B22871" s="3">
        <v>0</v>
      </c>
    </row>
    <row r="22872" ht="15.75" customHeight="1" spans="1:2">
      <c r="A22872" s="3" t="str">
        <f>IFERROR(__xludf.DUMMYFUNCTION("GOOGLETRANSLATE(A22872,""en"",""pt"")"),"usuários de Mac deve ter USB.")</f>
        <v>usuários de Mac deve ter USB.</v>
      </c>
      <c r="B22872" s="3">
        <v>0</v>
      </c>
    </row>
    <row r="22873" ht="15.75" customHeight="1" spans="1:2">
      <c r="A22873" s="3" t="str">
        <f>IFERROR(__xludf.DUMMYFUNCTION("GOOGLETRANSLATE(A22873,""en"",""pt"")"),"Lousy alimentação de impressão faz com que as margens de inclinação!")</f>
        <v>Lousy alimentação de impressão faz com que as margens de inclinação!</v>
      </c>
      <c r="B22873" s="3">
        <v>0</v>
      </c>
    </row>
    <row r="22874" ht="15.75" customHeight="1" spans="1:2">
      <c r="A22874" s="3" t="str">
        <f>IFERROR(__xludf.DUMMYFUNCTION("GOOGLETRANSLATE(A22874,""en"",""pt"")"),"Velocidade de impressão (por que eles sempre mentem ??)")</f>
        <v>Velocidade de impressão (por que eles sempre mentem ??)</v>
      </c>
      <c r="B22874" s="3">
        <v>0</v>
      </c>
    </row>
    <row r="22875" ht="15.75" customHeight="1" spans="1:2">
      <c r="A22875" s="3" t="str">
        <f>IFERROR(__xludf.DUMMYFUNCTION("GOOGLETRANSLATE(A22875,""en"",""pt"")"),"Não é muito resistente")</f>
        <v>Não é muito resistente</v>
      </c>
      <c r="B22875" s="3">
        <v>0</v>
      </c>
    </row>
    <row r="22876" ht="15.75" customHeight="1" spans="1:2">
      <c r="A22876" s="3" t="str">
        <f>IFERROR(__xludf.DUMMYFUNCTION("GOOGLETRANSLATE(A22876,""en"",""pt"")"),"nenhum para o dono da casa ... esta é uma impressora de qualidade")</f>
        <v>nenhum para o dono da casa ... esta é uma impressora de qualidade</v>
      </c>
      <c r="B22876" s="3">
        <v>0</v>
      </c>
    </row>
    <row r="22877" ht="15.75" customHeight="1" spans="1:2">
      <c r="A22877" s="3" t="str">
        <f>IFERROR(__xludf.DUMMYFUNCTION("GOOGLETRANSLATE(A22877,""en"",""pt"")"),"Atendimento ao cliente é uma chamada de longa distância")</f>
        <v>Atendimento ao cliente é uma chamada de longa distância</v>
      </c>
      <c r="B22877" s="3">
        <v>0</v>
      </c>
    </row>
    <row r="22878" ht="15.75" customHeight="1" spans="1:2">
      <c r="A22878" s="3" t="str">
        <f>IFERROR(__xludf.DUMMYFUNCTION("GOOGLETRANSLATE(A22878,""en"",""pt"")"),"Leva alguns segundos a mais do que os meus últimos quatro impressoras para começar a impressão.")</f>
        <v>Leva alguns segundos a mais do que os meus últimos quatro impressoras para começar a impressão.</v>
      </c>
      <c r="B22878" s="3">
        <v>0</v>
      </c>
    </row>
    <row r="22879" ht="15.75" customHeight="1" spans="1:2">
      <c r="A22879" s="3" t="str">
        <f>IFERROR(__xludf.DUMMYFUNCTION("GOOGLETRANSLATE(A22879,""en"",""pt"")"),"apenas uma bandeja")</f>
        <v>apenas uma bandeja</v>
      </c>
      <c r="B22879" s="3">
        <v>0</v>
      </c>
    </row>
    <row r="22880" ht="15.75" customHeight="1" spans="1:2">
      <c r="A22880" s="3" t="str">
        <f>IFERROR(__xludf.DUMMYFUNCTION("GOOGLETRANSLATE(A22880,""en"",""pt"")"),"erros de alimentação de papel, erros de software, a incompatibilidade de hardware")</f>
        <v>erros de alimentação de papel, erros de software, a incompatibilidade de hardware</v>
      </c>
      <c r="B22880" s="3">
        <v>0</v>
      </c>
    </row>
    <row r="22881" ht="15.75" customHeight="1" spans="1:2">
      <c r="A22881" s="3" t="str">
        <f>IFERROR(__xludf.DUMMYFUNCTION("GOOGLETRANSLATE(A22881,""en"",""pt"")"),"Anuncia Win suporte 2000, mas não na caixa")</f>
        <v>Anuncia Win suporte 2000, mas não na caixa</v>
      </c>
      <c r="B22881" s="3">
        <v>0</v>
      </c>
    </row>
    <row r="22882" ht="15.75" customHeight="1" spans="1:2">
      <c r="A22882" s="3" t="str">
        <f>IFERROR(__xludf.DUMMYFUNCTION("GOOGLETRANSLATE(A22882,""en"",""pt"")"),"Lento")</f>
        <v>Lento</v>
      </c>
      <c r="B22882" s="3">
        <v>0</v>
      </c>
    </row>
    <row r="22883" ht="15.75" customHeight="1" spans="1:2">
      <c r="A22883" s="3" t="str">
        <f>IFERROR(__xludf.DUMMYFUNCTION("GOOGLETRANSLATE(A22883,""en"",""pt"")"),"não consegue encontrar um ainda, dá-me tempo!")</f>
        <v>não consegue encontrar um ainda, dá-me tempo!</v>
      </c>
      <c r="B22883" s="3">
        <v>0</v>
      </c>
    </row>
    <row r="22884" ht="15.75" customHeight="1" spans="1:2">
      <c r="A22884" s="3" t="str">
        <f>IFERROR(__xludf.DUMMYFUNCTION("GOOGLETRANSLATE(A22884,""en"",""pt"")"),"impressão de fotos")</f>
        <v>impressão de fotos</v>
      </c>
      <c r="B22884" s="3">
        <v>0</v>
      </c>
    </row>
    <row r="22885" ht="15.75" customHeight="1" spans="1:2">
      <c r="A22885" s="3" t="str">
        <f>IFERROR(__xludf.DUMMYFUNCTION("GOOGLETRANSLATE(A22885,""en"",""pt"")"),"Necessidade USB Driver &amp; amp filtro; amp; driver de impressora imediatamente.")</f>
        <v>Necessidade USB Driver &amp; amp filtro; amp; driver de impressora imediatamente.</v>
      </c>
      <c r="B22885" s="3">
        <v>0</v>
      </c>
    </row>
    <row r="22886" ht="15.75" customHeight="1" spans="1:2">
      <c r="A22886" s="3" t="str">
        <f>IFERROR(__xludf.DUMMYFUNCTION("GOOGLETRANSLATE(A22886,""en"",""pt"")"),"Pacote de software de usuário não amigável")</f>
        <v>Pacote de software de usuário não amigável</v>
      </c>
      <c r="B22886" s="3">
        <v>0</v>
      </c>
    </row>
    <row r="22887" ht="15.75" customHeight="1" spans="1:2">
      <c r="A22887" s="3" t="str">
        <f>IFERROR(__xludf.DUMMYFUNCTION("GOOGLETRANSLATE(A22887,""en"",""pt"")"),"Ainda veja impressões tortos algum tempo ...")</f>
        <v>Ainda veja impressões tortos algum tempo ...</v>
      </c>
      <c r="B22887" s="3">
        <v>0</v>
      </c>
    </row>
    <row r="22888" ht="15.75" customHeight="1" spans="1:2">
      <c r="A22888" s="3" t="str">
        <f>IFERROR(__xludf.DUMMYFUNCTION("GOOGLETRANSLATE(A22888,""en"",""pt"")"),"nenhum, que eu possa encontrar.")</f>
        <v>nenhum, que eu possa encontrar.</v>
      </c>
      <c r="B22888" s="3">
        <v>0</v>
      </c>
    </row>
    <row r="22889" ht="15.75" customHeight="1" spans="1:2">
      <c r="A22889" s="3" t="str">
        <f>IFERROR(__xludf.DUMMYFUNCTION("GOOGLETRANSLATE(A22889,""en"",""pt"")"),"pode monopolizar grandes quantidades de CPU levando a tempos CPU pendurar ... pode ter de esperar para impressora para acabamento médio para trabalhos complexos em baixa para computadores de gama média")</f>
        <v>pode monopolizar grandes quantidades de CPU levando a tempos CPU pendurar ... pode ter de esperar para impressora para acabamento médio para trabalhos complexos em baixa para computadores de gama média</v>
      </c>
      <c r="B22889" s="3">
        <v>0</v>
      </c>
    </row>
    <row r="22890" ht="15.75" customHeight="1" spans="1:2">
      <c r="A22890" s="3" t="str">
        <f>IFERROR(__xludf.DUMMYFUNCTION("GOOGLETRANSLATE(A22890,""en"",""pt"")"),"Os eventuais custos elevados para cartuchos de tinta de substituição (custo &amp; amp; amp; frequência ??)")</f>
        <v>Os eventuais custos elevados para cartuchos de tinta de substituição (custo &amp; amp; amp; frequência ??)</v>
      </c>
      <c r="B22890" s="3">
        <v>0</v>
      </c>
    </row>
    <row r="22891" ht="15.75" customHeight="1" spans="1:2">
      <c r="A22891" s="3" t="str">
        <f>IFERROR(__xludf.DUMMYFUNCTION("GOOGLETRANSLATE(A22891,""en"",""pt"")"),"Alguns problemas de USB, alta Cartucho Custo")</f>
        <v>Alguns problemas de USB, alta Cartucho Custo</v>
      </c>
      <c r="B22891" s="3">
        <v>0</v>
      </c>
    </row>
    <row r="22892" ht="15.75" customHeight="1" spans="1:2">
      <c r="A22892" s="3" t="str">
        <f>IFERROR(__xludf.DUMMYFUNCTION("GOOGLETRANSLATE(A22892,""en"",""pt"")"),"Nenhum")</f>
        <v>Nenhum</v>
      </c>
      <c r="B22892" s="3">
        <v>0</v>
      </c>
    </row>
    <row r="22893" ht="15.75" customHeight="1" spans="1:2">
      <c r="A22893" s="3" t="str">
        <f>IFERROR(__xludf.DUMMYFUNCTION("GOOGLETRANSLATE(A22893,""en"",""pt"")"),"Envelopes capturas contra bandeja de saída durante a produção")</f>
        <v>Envelopes capturas contra bandeja de saída durante a produção</v>
      </c>
      <c r="B22893" s="3">
        <v>0</v>
      </c>
    </row>
    <row r="22894" ht="15.75" customHeight="1" spans="1:2">
      <c r="A22894" s="3" t="str">
        <f>IFERROR(__xludf.DUMMYFUNCTION("GOOGLETRANSLATE(A22894,""en"",""pt"")"),"Absolutamente nenhuma")</f>
        <v>Absolutamente nenhuma</v>
      </c>
      <c r="B22894" s="3">
        <v>0</v>
      </c>
    </row>
    <row r="22895" ht="15.75" customHeight="1" spans="1:2">
      <c r="A22895" s="3" t="str">
        <f>IFERROR(__xludf.DUMMYFUNCTION("GOOGLETRANSLATE(A22895,""en"",""pt"")"),"Nenhum")</f>
        <v>Nenhum</v>
      </c>
      <c r="B22895" s="3">
        <v>0</v>
      </c>
    </row>
    <row r="22896" ht="15.75" customHeight="1" spans="1:2">
      <c r="A22896" s="3" t="str">
        <f>IFERROR(__xludf.DUMMYFUNCTION("GOOGLETRANSLATE(A22896,""en"",""pt"")"),"deve comprar US $ 25,00 cabo para instalação")</f>
        <v>deve comprar US $ 25,00 cabo para instalação</v>
      </c>
      <c r="B22896" s="3">
        <v>0</v>
      </c>
    </row>
    <row r="22897" ht="15.75" customHeight="1" spans="1:2">
      <c r="A22897" s="3" t="str">
        <f>IFERROR(__xludf.DUMMYFUNCTION("GOOGLETRANSLATE(A22897,""en"",""pt"")"),"lento, não pode considerar que a quantidade de papel")</f>
        <v>lento, não pode considerar que a quantidade de papel</v>
      </c>
      <c r="B22897" s="3">
        <v>0</v>
      </c>
    </row>
    <row r="22898" ht="15.75" customHeight="1" spans="1:2">
      <c r="A22898" s="3" t="str">
        <f>IFERROR(__xludf.DUMMYFUNCTION("GOOGLETRANSLATE(A22898,""en"",""pt"")"),"Sem cabo incluído, caro para substituir tinta")</f>
        <v>Sem cabo incluído, caro para substituir tinta</v>
      </c>
      <c r="B22898" s="3">
        <v>0</v>
      </c>
    </row>
    <row r="22899" ht="15.75" customHeight="1" spans="1:2">
      <c r="A22899" s="3" t="str">
        <f>IFERROR(__xludf.DUMMYFUNCTION("GOOGLETRANSLATE(A22899,""en"",""pt"")"),"instalação complicada USB, não tão rápido como prometido na caixa, e recargas de tinta caros.")</f>
        <v>instalação complicada USB, não tão rápido como prometido na caixa, e recargas de tinta caros.</v>
      </c>
      <c r="B22899" s="3">
        <v>0</v>
      </c>
    </row>
    <row r="22900" ht="15.75" customHeight="1" spans="1:2">
      <c r="A22900" s="3" t="str">
        <f>IFERROR(__xludf.DUMMYFUNCTION("GOOGLETRANSLATE(A22900,""en"",""pt"")"),"Eu não posso pagar dois")</f>
        <v>Eu não posso pagar dois</v>
      </c>
      <c r="B22900" s="3">
        <v>0</v>
      </c>
    </row>
    <row r="22901" ht="15.75" customHeight="1" spans="1:2">
      <c r="A22901" s="3" t="str">
        <f>IFERROR(__xludf.DUMMYFUNCTION("GOOGLETRANSLATE(A22901,""en"",""pt"")"),"não vem com o cabo")</f>
        <v>não vem com o cabo</v>
      </c>
      <c r="B22901" s="3">
        <v>0</v>
      </c>
    </row>
    <row r="22902" ht="15.75" customHeight="1" spans="1:2">
      <c r="A22902" s="3" t="str">
        <f>IFERROR(__xludf.DUMMYFUNCTION("GOOGLETRANSLATE(A22902,""en"",""pt"")"),"desliga ao imprimir na internet ... não consistentemente ..")</f>
        <v>desliga ao imprimir na internet ... não consistentemente ..</v>
      </c>
      <c r="B22902" s="3">
        <v>0</v>
      </c>
    </row>
    <row r="22903" ht="15.75" customHeight="1" spans="1:2">
      <c r="A22903" s="3" t="str">
        <f>IFERROR(__xludf.DUMMYFUNCTION("GOOGLETRANSLATE(A22903,""en"",""pt"")"),"Os cartuchos de tinta são um pouco caro (apx. $ 35)")</f>
        <v>Os cartuchos de tinta são um pouco caro (apx. $ 35)</v>
      </c>
      <c r="B22903" s="3">
        <v>0</v>
      </c>
    </row>
    <row r="22904" ht="15.75" customHeight="1" spans="1:2">
      <c r="A22904" s="3" t="str">
        <f>IFERROR(__xludf.DUMMYFUNCTION("GOOGLETRANSLATE(A22904,""en"",""pt"")"),"Um pouco lento")</f>
        <v>Um pouco lento</v>
      </c>
      <c r="B22904" s="3">
        <v>0</v>
      </c>
    </row>
    <row r="22905" ht="15.75" customHeight="1" spans="1:2">
      <c r="A22905" s="3" t="str">
        <f>IFERROR(__xludf.DUMMYFUNCTION("GOOGLETRANSLATE(A22905,""en"",""pt"")"),"Cabo de não se conectar com força, conexão não estável")</f>
        <v>Cabo de não se conectar com força, conexão não estável</v>
      </c>
      <c r="B22905" s="3">
        <v>0</v>
      </c>
    </row>
    <row r="22906" ht="15.75" customHeight="1" spans="1:2">
      <c r="A22906" s="3" t="str">
        <f>IFERROR(__xludf.DUMMYFUNCTION("GOOGLETRANSLATE(A22906,""en"",""pt"")"),"nenhum até o momento")</f>
        <v>nenhum até o momento</v>
      </c>
      <c r="B22906" s="3">
        <v>0</v>
      </c>
    </row>
    <row r="22907" ht="15.75" customHeight="1" spans="1:2">
      <c r="A22907" s="3" t="str">
        <f>IFERROR(__xludf.DUMMYFUNCTION("GOOGLETRANSLATE(A22907,""en"",""pt"")"),"Nenhum")</f>
        <v>Nenhum</v>
      </c>
      <c r="B22907" s="3">
        <v>0</v>
      </c>
    </row>
    <row r="22908" ht="15.75" customHeight="1" spans="1:2">
      <c r="A22908" s="3" t="str">
        <f>IFERROR(__xludf.DUMMYFUNCTION("GOOGLETRANSLATE(A22908,""en"",""pt"")"),"muito, ver meus comentários")</f>
        <v>muito, ver meus comentários</v>
      </c>
      <c r="B22908" s="3">
        <v>0</v>
      </c>
    </row>
    <row r="22909" ht="15.75" customHeight="1" spans="1:2">
      <c r="A22909" s="3" t="str">
        <f>IFERROR(__xludf.DUMMYFUNCTION("GOOGLETRANSLATE(A22909,""en"",""pt"")"),"nada mesmo")</f>
        <v>nada mesmo</v>
      </c>
      <c r="B22909" s="3">
        <v>0</v>
      </c>
    </row>
    <row r="22910" ht="15.75" customHeight="1" spans="1:2">
      <c r="A22910" s="3" t="str">
        <f>IFERROR(__xludf.DUMMYFUNCTION("GOOGLETRANSLATE(A22910,""en"",""pt"")"),"Motorista não funcionou inicialmente")</f>
        <v>Motorista não funcionou inicialmente</v>
      </c>
      <c r="B22910" s="3">
        <v>0</v>
      </c>
    </row>
    <row r="22911" ht="15.75" customHeight="1" spans="1:2">
      <c r="A22911" s="3" t="str">
        <f>IFERROR(__xludf.DUMMYFUNCTION("GOOGLETRANSLATE(A22911,""en"",""pt"")"),"rolos deixar MARCKS em papel")</f>
        <v>rolos deixar MARCKS em papel</v>
      </c>
      <c r="B22911" s="3">
        <v>0</v>
      </c>
    </row>
    <row r="22912" ht="15.75" customHeight="1" spans="1:2">
      <c r="A22912" s="3" t="str">
        <f>IFERROR(__xludf.DUMMYFUNCTION("GOOGLETRANSLATE(A22912,""en"",""pt"")"),"Capacidade de papel pequena")</f>
        <v>Capacidade de papel pequena</v>
      </c>
      <c r="B22912" s="3">
        <v>0</v>
      </c>
    </row>
    <row r="22913" ht="15.75" customHeight="1" spans="1:2">
      <c r="A22913" s="3" t="str">
        <f>IFERROR(__xludf.DUMMYFUNCTION("GOOGLETRANSLATE(A22913,""en"",""pt"")"),"Nenhum")</f>
        <v>Nenhum</v>
      </c>
      <c r="B22913" s="3">
        <v>0</v>
      </c>
    </row>
    <row r="22914" ht="15.75" customHeight="1" spans="1:2">
      <c r="A22914" s="3" t="str">
        <f>IFERROR(__xludf.DUMMYFUNCTION("GOOGLETRANSLATE(A22914,""en"",""pt"")"),"Alto quando a alimentação do papel.")</f>
        <v>Alto quando a alimentação do papel.</v>
      </c>
      <c r="B22914" s="3">
        <v>0</v>
      </c>
    </row>
    <row r="22915" ht="15.75" customHeight="1" spans="1:2">
      <c r="A22915" s="3" t="str">
        <f>IFERROR(__xludf.DUMMYFUNCTION("GOOGLETRANSLATE(A22915,""en"",""pt"")"),"Lento")</f>
        <v>Lento</v>
      </c>
      <c r="B22915" s="3">
        <v>0</v>
      </c>
    </row>
    <row r="22916" ht="15.75" customHeight="1" spans="1:2">
      <c r="A22916" s="3" t="str">
        <f>IFERROR(__xludf.DUMMYFUNCTION("GOOGLETRANSLATE(A22916,""en"",""pt"")"),"Nada ainda")</f>
        <v>Nada ainda</v>
      </c>
      <c r="B22916" s="3">
        <v>0</v>
      </c>
    </row>
    <row r="22917" ht="15.75" customHeight="1" spans="1:2">
      <c r="A22917" s="3" t="str">
        <f>IFERROR(__xludf.DUMMYFUNCTION("GOOGLETRANSLATE(A22917,""en"",""pt"")"),"Setup poderia ser mais fácil, Software não até à data, fotos coloridas demorar cerca de um minuto para impressão")</f>
        <v>Setup poderia ser mais fácil, Software não até à data, fotos coloridas demorar cerca de um minuto para impressão</v>
      </c>
      <c r="B22917" s="3">
        <v>0</v>
      </c>
    </row>
    <row r="22918" ht="15.75" customHeight="1" spans="1:2">
      <c r="A22918" s="3" t="str">
        <f>IFERROR(__xludf.DUMMYFUNCTION("GOOGLETRANSLATE(A22918,""en"",""pt"")"),"texto é cinza")</f>
        <v>texto é cinza</v>
      </c>
      <c r="B22918" s="3">
        <v>0</v>
      </c>
    </row>
    <row r="22919" ht="15.75" customHeight="1" spans="1:2">
      <c r="A22919" s="3" t="str">
        <f>IFERROR(__xludf.DUMMYFUNCTION("GOOGLETRANSLATE(A22919,""en"",""pt"")"),"Drivers de buggy e cartuchos caros")</f>
        <v>Drivers de buggy e cartuchos caros</v>
      </c>
      <c r="B22919" s="3">
        <v>0</v>
      </c>
    </row>
    <row r="22920" ht="15.75" customHeight="1" spans="1:2">
      <c r="A22920" s="3" t="str">
        <f>IFERROR(__xludf.DUMMYFUNCTION("GOOGLETRANSLATE(A22920,""en"",""pt"")"),"Nenhum")</f>
        <v>Nenhum</v>
      </c>
      <c r="B22920" s="3">
        <v>0</v>
      </c>
    </row>
    <row r="22921" ht="15.75" customHeight="1" spans="1:2">
      <c r="A22921" s="3" t="str">
        <f>IFERROR(__xludf.DUMMYFUNCTION("GOOGLETRANSLATE(A22921,""en"",""pt"")"),"guia é somente online (bleh)")</f>
        <v>guia é somente online (bleh)</v>
      </c>
      <c r="B22921" s="3">
        <v>0</v>
      </c>
    </row>
    <row r="22922" ht="15.75" customHeight="1" spans="1:2">
      <c r="A22922" s="3" t="str">
        <f>IFERROR(__xludf.DUMMYFUNCTION("GOOGLETRANSLATE(A22922,""en"",""pt"")"),"bandeja de queijo, compotas, por vezes,")</f>
        <v>bandeja de queijo, compotas, por vezes,</v>
      </c>
      <c r="B22922" s="3">
        <v>0</v>
      </c>
    </row>
    <row r="22923" ht="15.75" customHeight="1" spans="1:2">
      <c r="A22923" s="3" t="str">
        <f>IFERROR(__xludf.DUMMYFUNCTION("GOOGLETRANSLATE(A22923,""en"",""pt"")"),"Nenhum")</f>
        <v>Nenhum</v>
      </c>
      <c r="B22923" s="3">
        <v>0</v>
      </c>
    </row>
    <row r="22924" ht="15.75" customHeight="1" spans="1:2">
      <c r="A22924" s="3" t="str">
        <f>IFERROR(__xludf.DUMMYFUNCTION("GOOGLETRANSLATE(A22924,""en"",""pt"")"),"não basta as pessoas têm esta impressora")</f>
        <v>não basta as pessoas têm esta impressora</v>
      </c>
      <c r="B22924" s="3">
        <v>0</v>
      </c>
    </row>
    <row r="22925" ht="15.75" customHeight="1" spans="1:2">
      <c r="A22925" s="3" t="str">
        <f>IFERROR(__xludf.DUMMYFUNCTION("GOOGLETRANSLATE(A22925,""en"",""pt"")"),"nem um único!")</f>
        <v>nem um único!</v>
      </c>
      <c r="B22925" s="3">
        <v>0</v>
      </c>
    </row>
    <row r="22926" ht="15.75" customHeight="1" spans="1:2">
      <c r="A22926" s="3" t="str">
        <f>IFERROR(__xludf.DUMMYFUNCTION("GOOGLETRANSLATE(A22926,""en"",""pt"")"),"software desejo tinha janela do monitor ativo")</f>
        <v>software desejo tinha janela do monitor ativo</v>
      </c>
      <c r="B22926" s="3">
        <v>0</v>
      </c>
    </row>
    <row r="22927" ht="15.75" customHeight="1" spans="1:2">
      <c r="A22927" s="3" t="str">
        <f>IFERROR(__xludf.DUMMYFUNCTION("GOOGLETRANSLATE(A22927,""en"",""pt"")"),"cartuchos de impressão um pouco caros")</f>
        <v>cartuchos de impressão um pouco caros</v>
      </c>
      <c r="B22927" s="3">
        <v>0</v>
      </c>
    </row>
    <row r="22928" ht="15.75" customHeight="1" spans="1:2">
      <c r="A22928" s="3" t="str">
        <f>IFERROR(__xludf.DUMMYFUNCTION("GOOGLETRANSLATE(A22928,""en"",""pt"")"),"Um pouco caro")</f>
        <v>Um pouco caro</v>
      </c>
      <c r="B22928" s="3">
        <v>0</v>
      </c>
    </row>
    <row r="22929" ht="15.75" customHeight="1" spans="1:2">
      <c r="A22929" s="3" t="str">
        <f>IFERROR(__xludf.DUMMYFUNCTION("GOOGLETRANSLATE(A22929,""en"",""pt"")"),"Cartucho de tinta preta é muito pequeno. limitações de tamanho de papel")</f>
        <v>Cartucho de tinta preta é muito pequeno. limitações de tamanho de papel</v>
      </c>
      <c r="B22929" s="3">
        <v>0</v>
      </c>
    </row>
    <row r="22930" ht="15.75" customHeight="1" spans="1:2">
      <c r="A22930" s="3" t="str">
        <f>IFERROR(__xludf.DUMMYFUNCTION("GOOGLETRANSLATE(A22930,""en"",""pt"")")," um pouco lento às vezes")</f>
        <v> um pouco lento às vezes</v>
      </c>
      <c r="B22930" s="3">
        <v>0</v>
      </c>
    </row>
    <row r="22931" ht="15.75" customHeight="1" spans="1:2">
      <c r="A22931" s="3" t="str">
        <f>IFERROR(__xludf.DUMMYFUNCTION("GOOGLETRANSLATE(A22931,""en"",""pt"")"),"Desempenho e características ligeiramente falta, bandeja de nenhum segundo papel")</f>
        <v>Desempenho e características ligeiramente falta, bandeja de nenhum segundo papel</v>
      </c>
      <c r="B22931" s="3">
        <v>0</v>
      </c>
    </row>
    <row r="22932" ht="15.75" customHeight="1" spans="1:2">
      <c r="A22932" s="3" t="str">
        <f>IFERROR(__xludf.DUMMYFUNCTION("GOOGLETRANSLATE(A22932,""en"",""pt"")"),"W2K motoristas não no CD")</f>
        <v>W2K motoristas não no CD</v>
      </c>
      <c r="B22932" s="3">
        <v>0</v>
      </c>
    </row>
    <row r="22933" ht="15.75" customHeight="1" spans="1:2">
      <c r="A22933" s="3" t="str">
        <f>IFERROR(__xludf.DUMMYFUNCTION("GOOGLETRANSLATE(A22933,""en"",""pt"")"),"impressão lenta")</f>
        <v>impressão lenta</v>
      </c>
      <c r="B22933" s="3">
        <v>0</v>
      </c>
    </row>
    <row r="22934" ht="15.75" customHeight="1" spans="1:2">
      <c r="A22934" s="3" t="str">
        <f>IFERROR(__xludf.DUMMYFUNCTION("GOOGLETRANSLATE(A22934,""en"",""pt"")"),"Os cartuchos de tinta são caros.")</f>
        <v>Os cartuchos de tinta são caros.</v>
      </c>
      <c r="B22934" s="3">
        <v>0</v>
      </c>
    </row>
    <row r="22935" ht="15.75" customHeight="1" spans="1:2">
      <c r="A22935" s="3" t="str">
        <f>IFERROR(__xludf.DUMMYFUNCTION("GOOGLETRANSLATE(A22935,""en"",""pt"")"),"Às vezes provoca lag computador antes de começar a impressão")</f>
        <v>Às vezes provoca lag computador antes de começar a impressão</v>
      </c>
      <c r="B22935" s="3">
        <v>0</v>
      </c>
    </row>
    <row r="22936" ht="15.75" customHeight="1" spans="1:2">
      <c r="A22936" s="3" t="str">
        <f>IFERROR(__xludf.DUMMYFUNCTION("GOOGLETRANSLATE(A22936,""en"",""pt"")"),"ciclismo Noisy de novas páginas")</f>
        <v>ciclismo Noisy de novas páginas</v>
      </c>
      <c r="B22936" s="3">
        <v>0</v>
      </c>
    </row>
    <row r="22937" ht="15.75" customHeight="1" spans="1:2">
      <c r="A22937" s="3" t="str">
        <f>IFERROR(__xludf.DUMMYFUNCTION("GOOGLETRANSLATE(A22937,""en"",""pt"")"),"Não tão rápido tão rápido quanto eu esperava.")</f>
        <v>Não tão rápido tão rápido quanto eu esperava.</v>
      </c>
      <c r="B22937" s="3">
        <v>0</v>
      </c>
    </row>
    <row r="22938" ht="15.75" customHeight="1" spans="1:2">
      <c r="A22938" s="3" t="str">
        <f>IFERROR(__xludf.DUMMYFUNCTION("GOOGLETRANSLATE(A22938,""en"",""pt"")"),"A tinta dura algum tempo, mas que custa cerca de 3 dedos e um dedo do pé.")</f>
        <v>A tinta dura algum tempo, mas que custa cerca de 3 dedos e um dedo do pé.</v>
      </c>
      <c r="B22938" s="3">
        <v>0</v>
      </c>
    </row>
    <row r="22939" ht="15.75" customHeight="1" spans="1:2">
      <c r="A22939" s="3" t="str">
        <f>IFERROR(__xludf.DUMMYFUNCTION("GOOGLETRANSLATE(A22939,""en"",""pt"")"),"atolamentos de papel, menos de snugness bandeja de papel ideal.")</f>
        <v>atolamentos de papel, menos de snugness bandeja de papel ideal.</v>
      </c>
      <c r="B22939" s="3">
        <v>0</v>
      </c>
    </row>
    <row r="22940" ht="15.75" customHeight="1" spans="1:2">
      <c r="A22940" s="3" t="str">
        <f>IFERROR(__xludf.DUMMYFUNCTION("GOOGLETRANSLATE(A22940,""en"",""pt"")"),"Caros cartuchos de impressão, não vem com USB / Cabo Paralelo")</f>
        <v>Caros cartuchos de impressão, não vem com USB / Cabo Paralelo</v>
      </c>
      <c r="B22940" s="3">
        <v>0</v>
      </c>
    </row>
    <row r="22941" ht="15.75" customHeight="1" spans="1:2">
      <c r="A22941" s="3" t="str">
        <f>IFERROR(__xludf.DUMMYFUNCTION("GOOGLETRANSLATE(A22941,""en"",""pt"")"),"quando se mudou, o cabo sai facilmente")</f>
        <v>quando se mudou, o cabo sai facilmente</v>
      </c>
      <c r="B22941" s="3">
        <v>0</v>
      </c>
    </row>
    <row r="22942" ht="15.75" customHeight="1" spans="1:2">
      <c r="A22942" s="3" t="str">
        <f>IFERROR(__xludf.DUMMYFUNCTION("GOOGLETRANSLATE(A22942,""en"",""pt"")"),"Tinteiro preço.")</f>
        <v>Tinteiro preço.</v>
      </c>
      <c r="B22942" s="3">
        <v>0</v>
      </c>
    </row>
    <row r="22943" ht="15.75" customHeight="1" spans="1:2">
      <c r="A22943" s="3" t="str">
        <f>IFERROR(__xludf.DUMMYFUNCTION("GOOGLETRANSLATE(A22943,""en"",""pt"")"),"Nenhum até o momento")</f>
        <v>Nenhum até o momento</v>
      </c>
      <c r="B22943" s="3">
        <v>0</v>
      </c>
    </row>
    <row r="22944" ht="15.75" customHeight="1" spans="1:2">
      <c r="A22944" s="3" t="str">
        <f>IFERROR(__xludf.DUMMYFUNCTION("GOOGLETRANSLATE(A22944,""en"",""pt"")"),"imagens de câmeras digitais meio insatisfatório")</f>
        <v>imagens de câmeras digitais meio insatisfatório</v>
      </c>
      <c r="B22944" s="3">
        <v>0</v>
      </c>
    </row>
    <row r="22945" ht="15.75" customHeight="1" spans="1:2">
      <c r="A22945" s="3" t="str">
        <f>IFERROR(__xludf.DUMMYFUNCTION("GOOGLETRANSLATE(A22945,""en"",""pt"")"),"Nenhum que eu posso pensar")</f>
        <v>Nenhum que eu posso pensar</v>
      </c>
      <c r="B22945" s="3">
        <v>0</v>
      </c>
    </row>
    <row r="22946" ht="15.75" customHeight="1" spans="1:2">
      <c r="A22946" s="3" t="str">
        <f>IFERROR(__xludf.DUMMYFUNCTION("GOOGLETRANSLATE(A22946,""en"",""pt"")"),"Como de costume, o custo da tinta")</f>
        <v>Como de costume, o custo da tinta</v>
      </c>
      <c r="B22946" s="3">
        <v>0</v>
      </c>
    </row>
    <row r="22947" ht="15.75" customHeight="1" spans="1:2">
      <c r="A22947" s="3" t="str">
        <f>IFERROR(__xludf.DUMMYFUNCTION("GOOGLETRANSLATE(A22947,""en"",""pt"")"),"Não funciona bem com passagem paralela através da porta")</f>
        <v>Não funciona bem com passagem paralela através da porta</v>
      </c>
      <c r="B22947" s="3">
        <v>0</v>
      </c>
    </row>
    <row r="22948" ht="15.75" customHeight="1" spans="1:2">
      <c r="A22948" s="3" t="str">
        <f>IFERROR(__xludf.DUMMYFUNCTION("GOOGLETRANSLATE(A22948,""en"",""pt"")"),"Um pouco mais lento durante a impressão em cores.")</f>
        <v>Um pouco mais lento durante a impressão em cores.</v>
      </c>
      <c r="B22948" s="3">
        <v>0</v>
      </c>
    </row>
    <row r="22949" ht="15.75" customHeight="1" spans="1:2">
      <c r="A22949" s="3" t="str">
        <f>IFERROR(__xludf.DUMMYFUNCTION("GOOGLETRANSLATE(A22949,""en"",""pt"")"),"Barulhento quando o carregamento, a memória baixa")</f>
        <v>Barulhento quando o carregamento, a memória baixa</v>
      </c>
      <c r="B22949" s="3">
        <v>0</v>
      </c>
    </row>
    <row r="22950" ht="15.75" customHeight="1" spans="1:2">
      <c r="A22950" s="3" t="str">
        <f>IFERROR(__xludf.DUMMYFUNCTION("GOOGLETRANSLATE(A22950,""en"",""pt"")"),"tinta guzzles")</f>
        <v>tinta guzzles</v>
      </c>
      <c r="B22950" s="3">
        <v>0</v>
      </c>
    </row>
    <row r="22951" ht="15.75" customHeight="1" spans="1:2">
      <c r="A22951" s="3" t="str">
        <f>IFERROR(__xludf.DUMMYFUNCTION("GOOGLETRANSLATE(A22951,""en"",""pt"")"),"Nenhum que eu saiba ...")</f>
        <v>Nenhum que eu saiba ...</v>
      </c>
      <c r="B22951" s="3">
        <v>0</v>
      </c>
    </row>
    <row r="22952" ht="15.75" customHeight="1" spans="1:2">
      <c r="A22952" s="3" t="str">
        <f>IFERROR(__xludf.DUMMYFUNCTION("GOOGLETRANSLATE(A22952,""en"",""pt"")"),"Cartuchos caros")</f>
        <v>Cartuchos caros</v>
      </c>
      <c r="B22952" s="3">
        <v>0</v>
      </c>
    </row>
    <row r="22953" ht="15.75" customHeight="1" spans="1:2">
      <c r="A22953" s="3" t="str">
        <f>IFERROR(__xludf.DUMMYFUNCTION("GOOGLETRANSLATE(A22953,""en"",""pt"")"),"Ink é um pouco sobre o lado caro.")</f>
        <v>Ink é um pouco sobre o lado caro.</v>
      </c>
      <c r="B22953" s="3">
        <v>0</v>
      </c>
    </row>
    <row r="22954" ht="15.75" customHeight="1" spans="1:2">
      <c r="A22954" s="3" t="str">
        <f>IFERROR(__xludf.DUMMYFUNCTION("GOOGLETRANSLATE(A22954,""en"",""pt"")"),"considerar algo mais para alta produção &amp; amp; o uso do negócio")</f>
        <v>considerar algo mais para alta produção &amp; amp; o uso do negócio</v>
      </c>
      <c r="B22954" s="3">
        <v>0</v>
      </c>
    </row>
    <row r="22955" ht="15.75" customHeight="1" spans="1:2">
      <c r="A22955" s="3" t="str">
        <f>IFERROR(__xludf.DUMMYFUNCTION("GOOGLETRANSLATE(A22955,""en"",""pt"")"),"Difícil de instalação para Windows 98")</f>
        <v>Difícil de instalação para Windows 98</v>
      </c>
      <c r="B22955" s="3">
        <v>0</v>
      </c>
    </row>
    <row r="22956" ht="15.75" customHeight="1" spans="1:2">
      <c r="A22956" s="3" t="s">
        <v>119</v>
      </c>
      <c r="B22956" s="3">
        <v>0</v>
      </c>
    </row>
    <row r="22957" ht="15.75" customHeight="1" spans="1:2">
      <c r="A22957" s="3" t="str">
        <f>IFERROR(__xludf.DUMMYFUNCTION("GOOGLETRANSLATE(A22957,""en"",""pt"")"),"impressões a cores de alta qualidade usar um monte de tinta.")</f>
        <v>impressões a cores de alta qualidade usar um monte de tinta.</v>
      </c>
      <c r="B22957" s="3">
        <v>0</v>
      </c>
    </row>
    <row r="22958" ht="15.75" customHeight="1" spans="1:2">
      <c r="A22958" s="3" t="str">
        <f>IFERROR(__xludf.DUMMYFUNCTION("GOOGLETRANSLATE(A22958,""en"",""pt"")"),"impressão de fotografias muito lento, o custo do cartucho de tinta")</f>
        <v>impressão de fotografias muito lento, o custo do cartucho de tinta</v>
      </c>
      <c r="B22958" s="3">
        <v>0</v>
      </c>
    </row>
    <row r="22959" ht="15.75" customHeight="1" spans="1:2">
      <c r="A22959" s="3" t="str">
        <f>IFERROR(__xludf.DUMMYFUNCTION("GOOGLETRANSLATE(A22959,""en"",""pt"")"),"Que a tinta pode ficar caro (surpresa, surpresa!)")</f>
        <v>Que a tinta pode ficar caro (surpresa, surpresa!)</v>
      </c>
      <c r="B22959" s="3">
        <v>0</v>
      </c>
    </row>
    <row r="22960" ht="15.75" customHeight="1" spans="1:2">
      <c r="A22960" s="3" t="str">
        <f>IFERROR(__xludf.DUMMYFUNCTION("GOOGLETRANSLATE(A22960,""en"",""pt"")"),"conexões de portas paralelas com digitalizador")</f>
        <v>conexões de portas paralelas com digitalizador</v>
      </c>
      <c r="B22960" s="3">
        <v>0</v>
      </c>
    </row>
    <row r="22961" ht="15.75" customHeight="1" spans="1:2">
      <c r="A22961" s="3" t="str">
        <f>IFERROR(__xludf.DUMMYFUNCTION("GOOGLETRANSLATE(A22961,""en"",""pt"")"),"Nenhum")</f>
        <v>Nenhum</v>
      </c>
      <c r="B22961" s="3">
        <v>0</v>
      </c>
    </row>
    <row r="22962" ht="15.75" customHeight="1" spans="1:2">
      <c r="A22962" s="3" t="str">
        <f>IFERROR(__xludf.DUMMYFUNCTION("GOOGLETRANSLATE(A22962,""en"",""pt"")"),"Lento quando em 2400x1200 modo de DPI")</f>
        <v>Lento quando em 2400x1200 modo de DPI</v>
      </c>
      <c r="B22962" s="3">
        <v>0</v>
      </c>
    </row>
    <row r="22963" ht="15.75" customHeight="1" spans="1:2">
      <c r="A22963" s="3" t="str">
        <f>IFERROR(__xludf.DUMMYFUNCTION("GOOGLETRANSLATE(A22963,""en"",""pt"")"),"A tinta pode ir mais rápido se você imprimir fotos de alta qualidade ou imagens regularmente.")</f>
        <v>A tinta pode ir mais rápido se você imprimir fotos de alta qualidade ou imagens regularmente.</v>
      </c>
      <c r="B22963" s="3">
        <v>0</v>
      </c>
    </row>
    <row r="22964" ht="15.75" customHeight="1" spans="1:2">
      <c r="A22964" s="3" t="str">
        <f>IFERROR(__xludf.DUMMYFUNCTION("GOOGLETRANSLATE(A22964,""en"",""pt"")"),"Mais lento do que o anunciado. Ink caro.")</f>
        <v>Mais lento do que o anunciado. Ink caro.</v>
      </c>
      <c r="B22964" s="3">
        <v>0</v>
      </c>
    </row>
    <row r="22965" ht="15.75" customHeight="1" spans="1:2">
      <c r="A22965" s="3" t="str">
        <f>IFERROR(__xludf.DUMMYFUNCTION("GOOGLETRANSLATE(A22965,""en"",""pt"")"),"Não usá-lo com sistemas operacionais mais antigos porque os motoristas cv chupar.")</f>
        <v>Não usá-lo com sistemas operacionais mais antigos porque os motoristas cv chupar.</v>
      </c>
      <c r="B22965" s="3">
        <v>0</v>
      </c>
    </row>
    <row r="22966" ht="15.75" customHeight="1" spans="1:2">
      <c r="A22966" s="3" t="s">
        <v>120</v>
      </c>
      <c r="B22966" s="3">
        <v>0</v>
      </c>
    </row>
    <row r="22967" ht="15.75" customHeight="1" spans="1:2">
      <c r="A22967" s="3" t="str">
        <f>IFERROR(__xludf.DUMMYFUNCTION("GOOGLETRANSLATE(A22967,""en"",""pt"")"),"HP não gosta de desconto no preço, mas ainda assim uma boa compra.")</f>
        <v>HP não gosta de desconto no preço, mas ainda assim uma boa compra.</v>
      </c>
      <c r="B22967" s="3">
        <v>0</v>
      </c>
    </row>
    <row r="22968" ht="15.75" customHeight="1" spans="1:2">
      <c r="A22968" s="3" t="str">
        <f>IFERROR(__xludf.DUMMYFUNCTION("GOOGLETRANSLATE(A22968,""en"",""pt"")"),"Pouca memória, problemas de USB,")</f>
        <v>Pouca memória, problemas de USB,</v>
      </c>
      <c r="B22968" s="3">
        <v>0</v>
      </c>
    </row>
    <row r="22969" ht="15.75" customHeight="1" spans="1:2">
      <c r="A22969" s="3" t="str">
        <f>IFERROR(__xludf.DUMMYFUNCTION("GOOGLETRANSLATE(A22969,""en"",""pt"")"),"Fontes pequenas perder alguma qualidade")</f>
        <v>Fontes pequenas perder alguma qualidade</v>
      </c>
      <c r="B22969" s="3">
        <v>0</v>
      </c>
    </row>
    <row r="22970" ht="15.75" customHeight="1" spans="1:2">
      <c r="A22970" s="3" t="str">
        <f>IFERROR(__xludf.DUMMYFUNCTION("GOOGLETRANSLATE(A22970,""en"",""pt"")"),"cantos cortados para manter baixo preço")</f>
        <v>cantos cortados para manter baixo preço</v>
      </c>
      <c r="B22970" s="3">
        <v>0</v>
      </c>
    </row>
    <row r="22971" ht="15.75" customHeight="1" spans="1:2">
      <c r="A22971" s="3" t="str">
        <f>IFERROR(__xludf.DUMMYFUNCTION("GOOGLETRANSLATE(A22971,""en"",""pt"")"),"Papel problema de alinhamento agora e, em seguida; frágil?")</f>
        <v>Papel problema de alinhamento agora e, em seguida; frágil?</v>
      </c>
      <c r="B22971" s="3">
        <v>0</v>
      </c>
    </row>
    <row r="22972" ht="15.75" customHeight="1" spans="1:2">
      <c r="A22972" s="3" t="str">
        <f>IFERROR(__xludf.DUMMYFUNCTION("GOOGLETRANSLATE(A22972,""en"",""pt"")"),"priner cartuchos são caros")</f>
        <v>priner cartuchos são caros</v>
      </c>
      <c r="B22972" s="3">
        <v>0</v>
      </c>
    </row>
    <row r="22973" ht="15.75" customHeight="1" spans="1:2">
      <c r="A22973" s="3" t="str">
        <f>IFERROR(__xludf.DUMMYFUNCTION("GOOGLETRANSLATE(A22973,""en"",""pt"")"),"Nenhum")</f>
        <v>Nenhum</v>
      </c>
      <c r="B22973" s="3">
        <v>0</v>
      </c>
    </row>
    <row r="22974" ht="15.75" customHeight="1" spans="1:2">
      <c r="A22974" s="3" t="str">
        <f>IFERROR(__xludf.DUMMYFUNCTION("GOOGLETRANSLATE(A22974,""en"",""pt"")"),"Nenhum.")</f>
        <v>Nenhum.</v>
      </c>
      <c r="B22974" s="3">
        <v>0</v>
      </c>
    </row>
    <row r="22975" ht="15.75" customHeight="1" spans="1:2">
      <c r="A22975" s="3" t="str">
        <f>IFERROR(__xludf.DUMMYFUNCTION("GOOGLETRANSLATE(A22975,""en"",""pt"")"),"não pode ver o que a tinta está sendo usado.")</f>
        <v>não pode ver o que a tinta está sendo usado.</v>
      </c>
      <c r="B22975" s="3">
        <v>0</v>
      </c>
    </row>
    <row r="22976" ht="15.75" customHeight="1" spans="1:2">
      <c r="A22976" s="3" t="str">
        <f>IFERROR(__xludf.DUMMYFUNCTION("GOOGLETRANSLATE(A22976,""en"",""pt"")"),"poderia ser mais rápido com a cor.")</f>
        <v>poderia ser mais rápido com a cor.</v>
      </c>
      <c r="B22976" s="3">
        <v>0</v>
      </c>
    </row>
    <row r="22977" ht="15.75" customHeight="1" spans="1:2">
      <c r="A22977" s="3" t="str">
        <f>IFERROR(__xludf.DUMMYFUNCTION("GOOGLETRANSLATE(A22977,""en"",""pt"")"),"um pouco lento e barulhento")</f>
        <v>um pouco lento e barulhento</v>
      </c>
      <c r="B22977" s="3">
        <v>0</v>
      </c>
    </row>
    <row r="22978" ht="15.75" customHeight="1" spans="1:2">
      <c r="A22978" s="3" t="str">
        <f>IFERROR(__xludf.DUMMYFUNCTION("GOOGLETRANSLATE(A22978,""en"",""pt"")"),"Cartucho compatíveis N / D, tem que utilizar kit de recarga.")</f>
        <v>Cartucho compatíveis N / D, tem que utilizar kit de recarga.</v>
      </c>
      <c r="B22978" s="3">
        <v>0</v>
      </c>
    </row>
    <row r="22979" ht="15.75" customHeight="1" spans="1:2">
      <c r="A22979" s="3" t="str">
        <f>IFERROR(__xludf.DUMMYFUNCTION("GOOGLETRANSLATE(A22979,""en"",""pt"")"),"A tinta não é barato (mas não é realmente caro, qualquer um)")</f>
        <v>A tinta não é barato (mas não é realmente caro, qualquer um)</v>
      </c>
      <c r="B22979" s="3">
        <v>0</v>
      </c>
    </row>
    <row r="22980" ht="15.75" customHeight="1" spans="1:2">
      <c r="A22980" s="3" t="str">
        <f>IFERROR(__xludf.DUMMYFUNCTION("GOOGLETRANSLATE(A22980,""en"",""pt"")"),"Nenhum problema real com a impressora, mas o suporte técnico HP está abaixo do par.")</f>
        <v>Nenhum problema real com a impressora, mas o suporte técnico HP está abaixo do par.</v>
      </c>
      <c r="B22980" s="3">
        <v>0</v>
      </c>
    </row>
    <row r="22981" ht="15.75" customHeight="1" spans="1:2">
      <c r="A22981" s="3" t="str">
        <f>IFERROR(__xludf.DUMMYFUNCTION("GOOGLETRANSLATE(A22981,""en"",""pt"")"),"Nenhum")</f>
        <v>Nenhum</v>
      </c>
      <c r="B22981" s="3">
        <v>0</v>
      </c>
    </row>
    <row r="22982" ht="15.75" customHeight="1" spans="1:2">
      <c r="A22982" s="3" t="str">
        <f>IFERROR(__xludf.DUMMYFUNCTION("GOOGLETRANSLATE(A22982,""en"",""pt"")"),"foto é um pouco falta brilho")</f>
        <v>foto é um pouco falta brilho</v>
      </c>
      <c r="B22982" s="3">
        <v>0</v>
      </c>
    </row>
    <row r="22983" ht="15.75" customHeight="1" spans="1:2">
      <c r="A22983" s="3" t="str">
        <f>IFERROR(__xludf.DUMMYFUNCTION("GOOGLETRANSLATE(A22983,""en"",""pt"")"),"Toners são caros (não são todos eles, embora?)")</f>
        <v>Toners são caros (não são todos eles, embora?)</v>
      </c>
      <c r="B22983" s="3">
        <v>0</v>
      </c>
    </row>
    <row r="22984" ht="15.75" customHeight="1" spans="1:2">
      <c r="A22984" s="3" t="str">
        <f>IFERROR(__xludf.DUMMYFUNCTION("GOOGLETRANSLATE(A22984,""en"",""pt"")"),"Ink caro, mas todos eles são.")</f>
        <v>Ink caro, mas todos eles são.</v>
      </c>
      <c r="B22984" s="3">
        <v>0</v>
      </c>
    </row>
    <row r="22985" ht="15.75" customHeight="1" spans="1:2">
      <c r="A22985" s="3" t="str">
        <f>IFERROR(__xludf.DUMMYFUNCTION("GOOGLETRANSLATE(A22985,""en"",""pt"")"),"Caros cartuchos de tinta")</f>
        <v>Caros cartuchos de tinta</v>
      </c>
      <c r="B22985" s="3">
        <v>0</v>
      </c>
    </row>
    <row r="22986" ht="15.75" customHeight="1" spans="1:2">
      <c r="A22986" s="3" t="str">
        <f>IFERROR(__xludf.DUMMYFUNCTION("GOOGLETRANSLATE(A22986,""en"",""pt"")"),"Um pouco lento quando imprimir com cor")</f>
        <v>Um pouco lento quando imprimir com cor</v>
      </c>
      <c r="B22986" s="3">
        <v>0</v>
      </c>
    </row>
    <row r="22987" ht="15.75" customHeight="1" spans="1:2">
      <c r="A22987" s="3" t="str">
        <f>IFERROR(__xludf.DUMMYFUNCTION("GOOGLETRANSLATE(A22987,""en"",""pt"")"),"impressão a cores lento. Adicionando papel foi difícil no início.")</f>
        <v>impressão a cores lento. Adicionando papel foi difícil no início.</v>
      </c>
      <c r="B22987" s="3">
        <v>0</v>
      </c>
    </row>
    <row r="22988" ht="15.75" customHeight="1" spans="1:2">
      <c r="A22988" s="3" t="str">
        <f>IFERROR(__xludf.DUMMYFUNCTION("GOOGLETRANSLATE(A22988,""en"",""pt"")"),"De atolamentos de papel, preço")</f>
        <v>De atolamentos de papel, preço</v>
      </c>
      <c r="B22988" s="3">
        <v>0</v>
      </c>
    </row>
    <row r="22989" ht="15.75" customHeight="1" spans="1:2">
      <c r="A22989" s="3" t="str">
        <f>IFERROR(__xludf.DUMMYFUNCTION("GOOGLETRANSLATE(A22989,""en"",""pt"")"),"lento, o tempo de resposta é lento")</f>
        <v>lento, o tempo de resposta é lento</v>
      </c>
      <c r="B22989" s="3">
        <v>0</v>
      </c>
    </row>
    <row r="22990" ht="15.75" customHeight="1" spans="1:2">
      <c r="A22990" s="3" t="str">
        <f>IFERROR(__xludf.DUMMYFUNCTION("GOOGLETRANSLATE(A22990,""en"",""pt"")"),"nada até agora")</f>
        <v>nada até agora</v>
      </c>
      <c r="B22990" s="3">
        <v>0</v>
      </c>
    </row>
    <row r="22991" ht="15.75" customHeight="1" spans="1:2">
      <c r="A22991" s="3" t="str">
        <f>IFERROR(__xludf.DUMMYFUNCTION("GOOGLETRANSLATE(A22991,""en"",""pt"")"),"tinta caro, mas cujo não é?")</f>
        <v>tinta caro, mas cujo não é?</v>
      </c>
      <c r="B22991" s="3">
        <v>0</v>
      </c>
    </row>
    <row r="22992" ht="15.75" customHeight="1" spans="1:2">
      <c r="A22992" s="3" t="str">
        <f>IFERROR(__xludf.DUMMYFUNCTION("GOOGLETRANSLATE(A22992,""en"",""pt"")"),"Nenhum ainda...")</f>
        <v>Nenhum ainda...</v>
      </c>
      <c r="B22992" s="3">
        <v>0</v>
      </c>
    </row>
    <row r="22993" ht="15.75" customHeight="1" spans="1:2">
      <c r="A22993" s="3" t="str">
        <f>IFERROR(__xludf.DUMMYFUNCTION("GOOGLETRANSLATE(A22993,""en"",""pt"")"),"Lento quando imprimir em cores, câmera impressões são medíocres")</f>
        <v>Lento quando imprimir em cores, câmera impressões são medíocres</v>
      </c>
      <c r="B22993" s="3">
        <v>0</v>
      </c>
    </row>
    <row r="22994" ht="15.75" customHeight="1" spans="1:2">
      <c r="A22994" s="3" t="str">
        <f>IFERROR(__xludf.DUMMYFUNCTION("GOOGLETRANSLATE(A22994,""en"",""pt"")"),"Os cartuchos são uma alta pouco no preço, garantia curto 1 ano")</f>
        <v>Os cartuchos são uma alta pouco no preço, garantia curto 1 ano</v>
      </c>
      <c r="B22994" s="3">
        <v>0</v>
      </c>
    </row>
    <row r="22995" ht="15.75" customHeight="1" spans="1:2">
      <c r="A22995" s="3" t="str">
        <f>IFERROR(__xludf.DUMMYFUNCTION("GOOGLETRANSLATE(A22995,""en"",""pt"")"),"Um pouco lento")</f>
        <v>Um pouco lento</v>
      </c>
      <c r="B22995" s="3">
        <v>0</v>
      </c>
    </row>
    <row r="22996" ht="15.75" customHeight="1" spans="1:2">
      <c r="A22996" s="3" t="str">
        <f>IFERROR(__xludf.DUMMYFUNCTION("GOOGLETRANSLATE(A22996,""en"",""pt"")"),"compartilhamento de impressora com USB requer o software em todos os computadores que irão utilizar a impressora")</f>
        <v>compartilhamento de impressora com USB requer o software em todos os computadores que irão utilizar a impressora</v>
      </c>
      <c r="B22996" s="3">
        <v>0</v>
      </c>
    </row>
    <row r="22997" ht="15.75" customHeight="1" spans="1:2">
      <c r="A22997" s="3" t="str">
        <f>IFERROR(__xludf.DUMMYFUNCTION("GOOGLETRANSLATE(A22997,""en"",""pt"")"),"um pouco mais lento, em seguida, outros 900 modelos")</f>
        <v>um pouco mais lento, em seguida, outros 900 modelos</v>
      </c>
      <c r="B22997" s="3">
        <v>0</v>
      </c>
    </row>
    <row r="22998" ht="15.75" customHeight="1" spans="1:2">
      <c r="A22998" s="3" t="str">
        <f>IFERROR(__xludf.DUMMYFUNCTION("GOOGLETRANSLATE(A22998,""en"",""pt"")"),"baixa resolução preto")</f>
        <v>baixa resolução preto</v>
      </c>
      <c r="B22998" s="3">
        <v>0</v>
      </c>
    </row>
    <row r="22999" ht="15.75" customHeight="1" spans="1:2">
      <c r="A22999" s="3" t="str">
        <f>IFERROR(__xludf.DUMMYFUNCTION("GOOGLETRANSLATE(A22999,""en"",""pt"")"),"LENTO")</f>
        <v>LENTO</v>
      </c>
      <c r="B22999" s="3">
        <v>0</v>
      </c>
    </row>
    <row r="23000" ht="15.75" customHeight="1" spans="1:2">
      <c r="A23000" s="3" t="str">
        <f>IFERROR(__xludf.DUMMYFUNCTION("GOOGLETRANSLATE(A23000,""en"",""pt"")"),"bandeja de papel de 100 folhas magro, cartuchos de tinta caros")</f>
        <v>bandeja de papel de 100 folhas magro, cartuchos de tinta caros</v>
      </c>
      <c r="B23000" s="3">
        <v>0</v>
      </c>
    </row>
    <row r="23001" ht="15.75" customHeight="1" spans="1:2">
      <c r="A23001" s="3" t="str">
        <f>IFERROR(__xludf.DUMMYFUNCTION("GOOGLETRANSLATE(A23001,""en"",""pt"")"),"Nenhum")</f>
        <v>Nenhum</v>
      </c>
      <c r="B23001" s="3">
        <v>0</v>
      </c>
    </row>
    <row r="23002" ht="15.75" customHeight="1" spans="1:2">
      <c r="A23002" s="3" t="str">
        <f>IFERROR(__xludf.DUMMYFUNCTION("GOOGLETRANSLATE(A23002,""en"",""pt"")"),"Jams Alot tho!")</f>
        <v>Jams Alot tho!</v>
      </c>
      <c r="B23002" s="3">
        <v>0</v>
      </c>
    </row>
    <row r="23003" ht="15.75" customHeight="1" spans="1:2">
      <c r="A23003" s="3" t="str">
        <f>IFERROR(__xludf.DUMMYFUNCTION("GOOGLETRANSLATE(A23003,""en"",""pt"")"),"serviço")</f>
        <v>serviço</v>
      </c>
      <c r="B23003" s="3">
        <v>0</v>
      </c>
    </row>
    <row r="23004" ht="15.75" customHeight="1" spans="1:2">
      <c r="A23004" s="3" t="str">
        <f>IFERROR(__xludf.DUMMYFUNCTION("GOOGLETRANSLATE(A23004,""en"",""pt"")"),"NENHUM!")</f>
        <v>NENHUM!</v>
      </c>
      <c r="B23004" s="3">
        <v>0</v>
      </c>
    </row>
    <row r="23005" ht="15.75" customHeight="1" spans="1:2">
      <c r="A23005" s="3" t="str">
        <f>IFERROR(__xludf.DUMMYFUNCTION("GOOGLETRANSLATE(A23005,""en"",""pt"")"),"não poderia encontrar qualquer")</f>
        <v>não poderia encontrar qualquer</v>
      </c>
      <c r="B23005" s="3">
        <v>0</v>
      </c>
    </row>
    <row r="23006" ht="15.75" customHeight="1" spans="1:2">
      <c r="A23006" s="3" t="str">
        <f>IFERROR(__xludf.DUMMYFUNCTION("GOOGLETRANSLATE(A23006,""en"",""pt"")"),"não pode pensar em qualquer")</f>
        <v>não pode pensar em qualquer</v>
      </c>
      <c r="B23006" s="3">
        <v>0</v>
      </c>
    </row>
    <row r="23007" ht="15.75" customHeight="1" spans="1:2">
      <c r="A23007" s="3" t="str">
        <f>IFERROR(__xludf.DUMMYFUNCTION("GOOGLETRANSLATE(A23007,""en"",""pt"")"),"reservatórios de tinta são moderadamente caro.")</f>
        <v>reservatórios de tinta são moderadamente caro.</v>
      </c>
      <c r="B23007" s="3">
        <v>0</v>
      </c>
    </row>
    <row r="23008" ht="15.75" customHeight="1" spans="1:2">
      <c r="A23008" s="3" t="str">
        <f>IFERROR(__xludf.DUMMYFUNCTION("GOOGLETRANSLATE(A23008,""en"",""pt"")"),"Não consigo pensar em um!")</f>
        <v>Não consigo pensar em um!</v>
      </c>
      <c r="B23008" s="3">
        <v>0</v>
      </c>
    </row>
    <row r="23009" ht="15.75" customHeight="1" spans="1:2">
      <c r="A23009" s="3" t="str">
        <f>IFERROR(__xludf.DUMMYFUNCTION("GOOGLETRANSLATE(A23009,""en"",""pt"")"),"atrasar a impressão de primeira página")</f>
        <v>atrasar a impressão de primeira página</v>
      </c>
      <c r="B23009" s="3">
        <v>0</v>
      </c>
    </row>
    <row r="23010" ht="15.75" customHeight="1" spans="1:2">
      <c r="A23010" s="3" t="str">
        <f>IFERROR(__xludf.DUMMYFUNCTION("GOOGLETRANSLATE(A23010,""en"",""pt"")"),"Necessidades atualizadas motorista, um pouco de papel alimentar problemas")</f>
        <v>Necessidades atualizadas motorista, um pouco de papel alimentar problemas</v>
      </c>
      <c r="B23010" s="3">
        <v>0</v>
      </c>
    </row>
    <row r="23011" ht="15.75" customHeight="1" spans="1:2">
      <c r="A23011" s="3" t="str">
        <f>IFERROR(__xludf.DUMMYFUNCTION("GOOGLETRANSLATE(A23011,""en"",""pt"")"),"Nenhum")</f>
        <v>Nenhum</v>
      </c>
      <c r="B23011" s="3">
        <v>0</v>
      </c>
    </row>
    <row r="23012" ht="15.75" customHeight="1" spans="1:2">
      <c r="A23012" s="3" t="str">
        <f>IFERROR(__xludf.DUMMYFUNCTION("GOOGLETRANSLATE(A23012,""en"",""pt"")"),"$ 40 cartuchos de tinta, mas não são todos eles nos dias de hoje?")</f>
        <v>$ 40 cartuchos de tinta, mas não são todos eles nos dias de hoje?</v>
      </c>
      <c r="B23012" s="3">
        <v>0</v>
      </c>
    </row>
    <row r="23013" ht="15.75" customHeight="1" spans="1:2">
      <c r="A23013" s="3" t="str">
        <f>IFERROR(__xludf.DUMMYFUNCTION("GOOGLETRANSLATE(A23013,""en"",""pt"")"),"O texto cinzento")</f>
        <v>O texto cinzento</v>
      </c>
      <c r="B23013" s="3">
        <v>0</v>
      </c>
    </row>
    <row r="23014" ht="15.75" customHeight="1" spans="1:2">
      <c r="A23014" s="3" t="str">
        <f>IFERROR(__xludf.DUMMYFUNCTION("GOOGLETRANSLATE(A23014,""en"",""pt"")"),"Eu não encontrei nenhum ainda")</f>
        <v>Eu não encontrei nenhum ainda</v>
      </c>
      <c r="B23014" s="3">
        <v>0</v>
      </c>
    </row>
    <row r="23015" ht="15.75" customHeight="1" spans="1:2">
      <c r="A23015" s="3" t="str">
        <f>IFERROR(__xludf.DUMMYFUNCTION("GOOGLETRANSLATE(A23015,""en"",""pt"")"),"preço dos cartuchos de substituição, cartucho único multi-color")</f>
        <v>preço dos cartuchos de substituição, cartucho único multi-color</v>
      </c>
      <c r="B23015" s="3">
        <v>0</v>
      </c>
    </row>
    <row r="23016" ht="15.75" customHeight="1" spans="1:2">
      <c r="A23016" s="3" t="str">
        <f>IFERROR(__xludf.DUMMYFUNCTION("GOOGLETRANSLATE(A23016,""en"",""pt"")"),"margens de impressão")</f>
        <v>margens de impressão</v>
      </c>
      <c r="B23016" s="3">
        <v>0</v>
      </c>
    </row>
    <row r="23017" ht="15.75" customHeight="1" spans="1:2">
      <c r="A23017" s="3" t="str">
        <f>IFERROR(__xludf.DUMMYFUNCTION("GOOGLETRANSLATE(A23017,""en"",""pt"")"),"Não super rápido")</f>
        <v>Não super rápido</v>
      </c>
      <c r="B23017" s="3">
        <v>0</v>
      </c>
    </row>
    <row r="23018" ht="15.75" customHeight="1" spans="1:2">
      <c r="A23018" s="3" t="str">
        <f>IFERROR(__xludf.DUMMYFUNCTION("GOOGLETRANSLATE(A23018,""en"",""pt"")"),"um pouco mais lento do que os modelos mais caros")</f>
        <v>um pouco mais lento do que os modelos mais caros</v>
      </c>
      <c r="B23018" s="3">
        <v>0</v>
      </c>
    </row>
    <row r="23019" ht="15.75" customHeight="1" spans="1:2">
      <c r="A23019" s="3" t="str">
        <f>IFERROR(__xludf.DUMMYFUNCTION("GOOGLETRANSLATE(A23019,""en"",""pt"")"),"gráfico de baixa qualidade, pobre e suporte técnico caro")</f>
        <v>gráfico de baixa qualidade, pobre e suporte técnico caro</v>
      </c>
      <c r="B23019" s="3">
        <v>0</v>
      </c>
    </row>
    <row r="23020" ht="15.75" customHeight="1" spans="1:2">
      <c r="A23020" s="3" t="str">
        <f>IFERROR(__xludf.DUMMYFUNCTION("GOOGLETRANSLATE(A23020,""en"",""pt"")"),"Nenhum")</f>
        <v>Nenhum</v>
      </c>
      <c r="B23020" s="3">
        <v>0</v>
      </c>
    </row>
    <row r="23021" ht="15.75" customHeight="1" spans="1:2">
      <c r="A23021" s="3" t="str">
        <f>IFERROR(__xludf.DUMMYFUNCTION("GOOGLETRANSLATE(A23021,""en"",""pt"")"),"não em sua vida")</f>
        <v>não em sua vida</v>
      </c>
      <c r="B23021" s="3">
        <v>0</v>
      </c>
    </row>
    <row r="23022" ht="15.75" customHeight="1" spans="1:2">
      <c r="A23022" s="3" t="str">
        <f>IFERROR(__xludf.DUMMYFUNCTION("GOOGLETRANSLATE(A23022,""en"",""pt"")"),"Nenhum")</f>
        <v>Nenhum</v>
      </c>
      <c r="B23022" s="3">
        <v>0</v>
      </c>
    </row>
    <row r="23023" ht="15.75" customHeight="1" spans="1:2">
      <c r="A23023" s="3" t="str">
        <f>IFERROR(__xludf.DUMMYFUNCTION("GOOGLETRANSLATE(A23023,""en"",""pt"")"),"Nenhum.")</f>
        <v>Nenhum.</v>
      </c>
      <c r="B23023" s="3">
        <v>0</v>
      </c>
    </row>
    <row r="23024" ht="15.75" customHeight="1" spans="1:2">
      <c r="A23024" s="3" t="str">
        <f>IFERROR(__xludf.DUMMYFUNCTION("GOOGLETRANSLATE(A23024,""en"",""pt"")"),"Símbolos estranhos aparecem quando a pouca tinta")</f>
        <v>Símbolos estranhos aparecem quando a pouca tinta</v>
      </c>
      <c r="B23024" s="3">
        <v>0</v>
      </c>
    </row>
    <row r="23025" ht="15.75" customHeight="1" spans="1:2">
      <c r="A23025" s="3" t="str">
        <f>IFERROR(__xludf.DUMMYFUNCTION("GOOGLETRANSLATE(A23025,""en"",""pt"")"),"papel é mimado para carregar, por vezes,")</f>
        <v>papel é mimado para carregar, por vezes,</v>
      </c>
      <c r="B23025" s="3">
        <v>0</v>
      </c>
    </row>
    <row r="23026" ht="15.75" customHeight="1" spans="1:2">
      <c r="A23026" s="3" t="str">
        <f>IFERROR(__xludf.DUMMYFUNCTION("GOOGLETRANSLATE(A23026,""en"",""pt"")"),"Sem cabos incluídos, alguns problemas com software empacotado")</f>
        <v>Sem cabos incluídos, alguns problemas com software empacotado</v>
      </c>
      <c r="B23026" s="3">
        <v>0</v>
      </c>
    </row>
    <row r="23027" ht="15.75" customHeight="1" spans="1:2">
      <c r="A23027" s="3" t="str">
        <f>IFERROR(__xludf.DUMMYFUNCTION("GOOGLETRANSLATE(A23027,""en"",""pt"")"),"Nenhum")</f>
        <v>Nenhum</v>
      </c>
      <c r="B23027" s="3">
        <v>0</v>
      </c>
    </row>
    <row r="23028" ht="15.75" customHeight="1" spans="1:2">
      <c r="A23028" s="3" t="str">
        <f>IFERROR(__xludf.DUMMYFUNCTION("GOOGLETRANSLATE(A23028,""en"",""pt"")"),"paciência necessária na impressão de fotos de alta qualidade")</f>
        <v>paciência necessária na impressão de fotos de alta qualidade</v>
      </c>
      <c r="B23028" s="3">
        <v>0</v>
      </c>
    </row>
    <row r="23029" ht="15.75" customHeight="1" spans="1:2">
      <c r="A23029" s="3" t="str">
        <f>IFERROR(__xludf.DUMMYFUNCTION("GOOGLETRANSLATE(A23029,""en"",""pt"")"),"Nocauteado meu LaserJet, instale difícil USB")</f>
        <v>Nocauteado meu LaserJet, instale difícil USB</v>
      </c>
      <c r="B23029" s="3">
        <v>0</v>
      </c>
    </row>
    <row r="23030" ht="15.75" customHeight="1" spans="1:2">
      <c r="A23030" s="3" t="str">
        <f>IFERROR(__xludf.DUMMYFUNCTION("GOOGLETRANSLATE(A23030,""en"",""pt"")"),"impressões a cores lentas")</f>
        <v>impressões a cores lentas</v>
      </c>
      <c r="B23030" s="3">
        <v>0</v>
      </c>
    </row>
    <row r="23031" ht="15.75" customHeight="1" spans="1:2">
      <c r="A23031" s="3" t="str">
        <f>IFERROR(__xludf.DUMMYFUNCTION("GOOGLETRANSLATE(A23031,""en"",""pt"")"),"recargas caras (mas eles durar um tempo)")</f>
        <v>recargas caras (mas eles durar um tempo)</v>
      </c>
      <c r="B23031" s="3">
        <v>0</v>
      </c>
    </row>
    <row r="23032" ht="15.75" customHeight="1" spans="1:2">
      <c r="A23032" s="3" t="str">
        <f>IFERROR(__xludf.DUMMYFUNCTION("GOOGLETRANSLATE(A23032,""en"",""pt"")"),"Nenhum.")</f>
        <v>Nenhum.</v>
      </c>
      <c r="B23032" s="3">
        <v>0</v>
      </c>
    </row>
    <row r="23033" ht="15.75" customHeight="1" spans="1:2">
      <c r="A23033" s="3" t="str">
        <f>IFERROR(__xludf.DUMMYFUNCTION("GOOGLETRANSLATE(A23033,""en"",""pt"")"),"trabalho não tomaria USB On WindowsME para mim")</f>
        <v>trabalho não tomaria USB On WindowsME para mim</v>
      </c>
      <c r="B23033" s="3">
        <v>0</v>
      </c>
    </row>
    <row r="23034" ht="15.75" customHeight="1" spans="1:2">
      <c r="A23034" s="3" t="str">
        <f>IFERROR(__xludf.DUMMYFUNCTION("GOOGLETRANSLATE(A23034,""en"",""pt"")"),"às vezes alimenta mais de uma folha de papel")</f>
        <v>às vezes alimenta mais de uma folha de papel</v>
      </c>
      <c r="B23034" s="3">
        <v>0</v>
      </c>
    </row>
    <row r="23035" ht="15.75" customHeight="1" spans="1:2">
      <c r="A23035" s="3" t="str">
        <f>IFERROR(__xludf.DUMMYFUNCTION("GOOGLETRANSLATE(A23035,""en"",""pt"")"),"Cartuchos de tinta caro (mas todos eles são)")</f>
        <v>Cartuchos de tinta caro (mas todos eles são)</v>
      </c>
      <c r="B23035" s="3">
        <v>0</v>
      </c>
    </row>
    <row r="23036" ht="15.75" customHeight="1" spans="1:2">
      <c r="A23036" s="3" t="str">
        <f>IFERROR(__xludf.DUMMYFUNCTION("GOOGLETRANSLATE(A23036,""en"",""pt"")"),"Tricky rotina de instalação USB, um estilo diferente do corpo.")</f>
        <v>Tricky rotina de instalação USB, um estilo diferente do corpo.</v>
      </c>
      <c r="B23036" s="3">
        <v>0</v>
      </c>
    </row>
    <row r="23037" ht="15.75" customHeight="1" spans="1:2">
      <c r="A23037" s="3" t="str">
        <f>IFERROR(__xludf.DUMMYFUNCTION("GOOGLETRANSLATE(A23037,""en"",""pt"")"),"Não o mais rápido no bloco")</f>
        <v>Não o mais rápido no bloco</v>
      </c>
      <c r="B23037" s="3">
        <v>0</v>
      </c>
    </row>
    <row r="23038" ht="15.75" customHeight="1" spans="1:2">
      <c r="A23038" s="3" t="str">
        <f>IFERROR(__xludf.DUMMYFUNCTION("GOOGLETRANSLATE(A23038,""en"",""pt"")"),"Um pouco lento. consumíveis caro. ""Handy"" applets empacotados.")</f>
        <v>Um pouco lento. consumíveis caro. "Handy" applets empacotados.</v>
      </c>
      <c r="B23038" s="3">
        <v>0</v>
      </c>
    </row>
    <row r="23039" ht="15.75" customHeight="1" spans="1:2">
      <c r="A23039" s="3" t="str">
        <f>IFERROR(__xludf.DUMMYFUNCTION("GOOGLETRANSLATE(A23039,""en"",""pt"")"),"cartuchos caros, tabuleiro de entrada frágil.")</f>
        <v>cartuchos caros, tabuleiro de entrada frágil.</v>
      </c>
      <c r="B23039" s="3">
        <v>0</v>
      </c>
    </row>
    <row r="23040" ht="15.75" customHeight="1" spans="1:2">
      <c r="A23040" s="3" t="str">
        <f>IFERROR(__xludf.DUMMYFUNCTION("GOOGLETRANSLATE(A23040,""en"",""pt"")"),"Um pouquinho lento")</f>
        <v>Um pouquinho lento</v>
      </c>
      <c r="B23040" s="3">
        <v>0</v>
      </c>
    </row>
    <row r="23041" ht="15.75" customHeight="1" spans="1:2">
      <c r="A23041" s="3" t="str">
        <f>IFERROR(__xludf.DUMMYFUNCTION("GOOGLETRANSLATE(A23041,""en"",""pt"")"),"Rapidez.")</f>
        <v>Rapidez.</v>
      </c>
      <c r="B23041" s="3">
        <v>0</v>
      </c>
    </row>
    <row r="23042" ht="15.75" customHeight="1" spans="1:2">
      <c r="A23042" s="3" t="str">
        <f>IFERROR(__xludf.DUMMYFUNCTION("GOOGLETRANSLATE(A23042,""en"",""pt"")"),"cartuchos caros (aprox. $ 30 / EA).")</f>
        <v>cartuchos caros (aprox. $ 30 / EA).</v>
      </c>
      <c r="B23042" s="3">
        <v>0</v>
      </c>
    </row>
    <row r="23043" ht="15.75" customHeight="1" spans="1:2">
      <c r="A23043" s="3" t="str">
        <f>IFERROR(__xludf.DUMMYFUNCTION("GOOGLETRANSLATE(A23043,""en"",""pt"")"),"Texto talvez não tão acentuada. Aparece mais barato do que o meu 660 CSE.")</f>
        <v>Texto talvez não tão acentuada. Aparece mais barato do que o meu 660 CSE.</v>
      </c>
      <c r="B23043" s="3">
        <v>0</v>
      </c>
    </row>
    <row r="23044" ht="15.75" customHeight="1" spans="1:2">
      <c r="A23044" s="3" t="str">
        <f>IFERROR(__xludf.DUMMYFUNCTION("GOOGLETRANSLATE(A23044,""en"",""pt"")")," O software do driver de impressão 932C não é muito bom. Obter o novo!")</f>
        <v> O software do driver de impressão 932C não é muito bom. Obter o novo!</v>
      </c>
      <c r="B23044" s="3">
        <v>0</v>
      </c>
    </row>
    <row r="23045" ht="15.75" customHeight="1" spans="1:2">
      <c r="A23045" s="3" t="str">
        <f>IFERROR(__xludf.DUMMYFUNCTION("GOOGLETRANSLATE(A23045,""en"",""pt"")"),"nada até agora")</f>
        <v>nada até agora</v>
      </c>
      <c r="B23045" s="3">
        <v>0</v>
      </c>
    </row>
    <row r="23046" ht="15.75" customHeight="1" spans="1:2">
      <c r="A23046" s="3" t="str">
        <f>IFERROR(__xludf.DUMMYFUNCTION("GOOGLETRANSLATE(A23046,""en"",""pt"")"),"oferta limitada de papel, nenhuma tomada USB dupla, cartuchos de tinta caros.")</f>
        <v>oferta limitada de papel, nenhuma tomada USB dupla, cartuchos de tinta caros.</v>
      </c>
      <c r="B23046" s="3">
        <v>0</v>
      </c>
    </row>
    <row r="23047" ht="15.75" customHeight="1" spans="1:2">
      <c r="A23047" s="3" t="str">
        <f>IFERROR(__xludf.DUMMYFUNCTION("GOOGLETRANSLATE(A23047,""en"",""pt"")"),"SLOW impressão a cores, qualidade de texto preto é apenas média, corpo de impressora de se sente mais barato")</f>
        <v>SLOW impressão a cores, qualidade de texto preto é apenas média, corpo de impressora de se sente mais barato</v>
      </c>
      <c r="B23047" s="3">
        <v>0</v>
      </c>
    </row>
    <row r="23048" ht="15.75" customHeight="1" spans="1:2">
      <c r="A23048" s="3" t="str">
        <f>IFERROR(__xludf.DUMMYFUNCTION("GOOGLETRANSLATE(A23048,""en"",""pt"")"),"Tinta acabar rápido, driver original é uma porcaria.")</f>
        <v>Tinta acabar rápido, driver original é uma porcaria.</v>
      </c>
      <c r="B23048" s="3">
        <v>0</v>
      </c>
    </row>
    <row r="23049" ht="15.75" customHeight="1" spans="1:2">
      <c r="A23049" s="3" t="str">
        <f>IFERROR(__xludf.DUMMYFUNCTION("GOOGLETRANSLATE(A23049,""en"",""pt"")"),"Nenhum")</f>
        <v>Nenhum</v>
      </c>
      <c r="B23049" s="3">
        <v>0</v>
      </c>
    </row>
    <row r="23050" ht="15.75" customHeight="1" spans="1:2">
      <c r="A23050" s="3" t="str">
        <f>IFERROR(__xludf.DUMMYFUNCTION("GOOGLETRANSLATE(A23050,""en"",""pt"")"),"Alimentador ocasionalmente duvidoso, motoristas ligeiramente vacilante, um pouco pesado.")</f>
        <v>Alimentador ocasionalmente duvidoso, motoristas ligeiramente vacilante, um pouco pesado.</v>
      </c>
      <c r="B23050" s="3">
        <v>0</v>
      </c>
    </row>
    <row r="23051" ht="15.75" customHeight="1" spans="1:2">
      <c r="A23051" s="3" t="str">
        <f>IFERROR(__xludf.DUMMYFUNCTION("GOOGLETRANSLATE(A23051,""en"",""pt"")"),"Nenhum ainda.")</f>
        <v>Nenhum ainda.</v>
      </c>
      <c r="B23051" s="3">
        <v>0</v>
      </c>
    </row>
    <row r="23052" ht="15.75" customHeight="1" spans="1:2">
      <c r="A23052" s="3" t="str">
        <f>IFERROR(__xludf.DUMMYFUNCTION("GOOGLETRANSLATE(A23052,""en"",""pt"")"),"Não foi possível salvar as configurações personalizadas; nenhum monitor de progresso na tela; negros fracos")</f>
        <v>Não foi possível salvar as configurações personalizadas; nenhum monitor de progresso na tela; negros fracos</v>
      </c>
      <c r="B23052" s="3">
        <v>0</v>
      </c>
    </row>
    <row r="23053" ht="15.75" customHeight="1" spans="1:2">
      <c r="A23053" s="3" t="str">
        <f>IFERROR(__xludf.DUMMYFUNCTION("GOOGLETRANSLATE(A23053,""en"",""pt"")"),"A qualidade da imagem não é grande; a menos que você comprar seus papéis HP Premium, cartuchos caros")</f>
        <v>A qualidade da imagem não é grande; a menos que você comprar seus papéis HP Premium, cartuchos caros</v>
      </c>
      <c r="B23053" s="3">
        <v>0</v>
      </c>
    </row>
    <row r="23054" ht="15.75" customHeight="1" spans="1:2">
      <c r="A23054" s="3" t="str">
        <f>IFERROR(__xludf.DUMMYFUNCTION("GOOGLETRANSLATE(A23054,""en"",""pt"")"),"Alguns atolamentos de papel.")</f>
        <v>Alguns atolamentos de papel.</v>
      </c>
      <c r="B23054" s="3">
        <v>0</v>
      </c>
    </row>
    <row r="23055" ht="15.75" customHeight="1" spans="1:2">
      <c r="A23055" s="3" t="str">
        <f>IFERROR(__xludf.DUMMYFUNCTION("GOOGLETRANSLATE(A23055,""en"",""pt"")"),"software incluído, o custo dos cartuchos")</f>
        <v>software incluído, o custo dos cartuchos</v>
      </c>
      <c r="B23055" s="3">
        <v>0</v>
      </c>
    </row>
    <row r="23056" ht="15.75" customHeight="1" spans="1:2">
      <c r="A23056" s="3" t="str">
        <f>IFERROR(__xludf.DUMMYFUNCTION("GOOGLETRANSLATE(A23056,""en"",""pt"")"),"Um pouco lento, agarra várias folhas de papel")</f>
        <v>Um pouco lento, agarra várias folhas de papel</v>
      </c>
      <c r="B23056" s="3">
        <v>0</v>
      </c>
    </row>
    <row r="23057" ht="15.75" customHeight="1" spans="1:2">
      <c r="A23057" s="3" t="str">
        <f>IFERROR(__xludf.DUMMYFUNCTION("GOOGLETRANSLATE(A23057,""en"",""pt"")"),"cartuchos caros, um pouco barulhento")</f>
        <v>cartuchos caros, um pouco barulhento</v>
      </c>
      <c r="B23057" s="3">
        <v>0</v>
      </c>
    </row>
    <row r="23058" ht="15.75" customHeight="1" spans="1:2">
      <c r="A23058" s="3" t="str">
        <f>IFERROR(__xludf.DUMMYFUNCTION("GOOGLETRANSLATE(A23058,""en"",""pt"")"),"às vezes cargas de mídia torto, tinha uma foto atolamento de papel (yikes)")</f>
        <v>às vezes cargas de mídia torto, tinha uma foto atolamento de papel (yikes)</v>
      </c>
      <c r="B23058" s="3">
        <v>0</v>
      </c>
    </row>
    <row r="23059" ht="15.75" customHeight="1" spans="1:2">
      <c r="A23059" s="3" t="str">
        <f>IFERROR(__xludf.DUMMYFUNCTION("GOOGLETRANSLATE(A23059,""en"",""pt"")"),"os cartuchos de tinta caros, de alimentação de papel-rodas causa compotas-depois de um tempo")</f>
        <v>os cartuchos de tinta caros, de alimentação de papel-rodas causa compotas-depois de um tempo</v>
      </c>
      <c r="B23059" s="3">
        <v>0</v>
      </c>
    </row>
    <row r="23060" ht="15.75" customHeight="1" spans="1:2">
      <c r="A23060" s="3" t="str">
        <f>IFERROR(__xludf.DUMMYFUNCTION("GOOGLETRANSLATE(A23060,""en"",""pt"")"),"Lotes de atolamentos de papel")</f>
        <v>Lotes de atolamentos de papel</v>
      </c>
      <c r="B23060" s="3">
        <v>0</v>
      </c>
    </row>
    <row r="23061" ht="15.75" customHeight="1" spans="1:2">
      <c r="A23061" s="3" t="str">
        <f>IFERROR(__xludf.DUMMYFUNCTION("GOOGLETRANSLATE(A23061,""en"",""pt"")"),"Barulho. custo do cartucho de tinta (todos são).")</f>
        <v>Barulho. custo do cartucho de tinta (todos são).</v>
      </c>
      <c r="B23061" s="3">
        <v>0</v>
      </c>
    </row>
    <row r="23062" ht="15.75" customHeight="1" spans="1:2">
      <c r="A23062" s="3" t="str">
        <f>IFERROR(__xludf.DUMMYFUNCTION("GOOGLETRANSLATE(A23062,""en"",""pt"")"),"nenhum neste momento")</f>
        <v>nenhum neste momento</v>
      </c>
      <c r="B23062" s="3">
        <v>0</v>
      </c>
    </row>
    <row r="23063" ht="15.75" customHeight="1" spans="1:2">
      <c r="A23063" s="3" t="str">
        <f>IFERROR(__xludf.DUMMYFUNCTION("GOOGLETRANSLATE(A23063,""en"",""pt"")"),"nenhuma unidade duplex, não infravermelho, Veja outros contras na seção contras")</f>
        <v>nenhuma unidade duplex, não infravermelho, Veja outros contras na seção contras</v>
      </c>
      <c r="B23063" s="3">
        <v>0</v>
      </c>
    </row>
    <row r="23064" ht="15.75" customHeight="1" spans="1:2">
      <c r="A23064" s="3" t="str">
        <f>IFERROR(__xludf.DUMMYFUNCTION("GOOGLETRANSLATE(A23064,""en"",""pt"")"),"3 meses de garantia, No receptor infravermelho, os preços elevados de tinta")</f>
        <v>3 meses de garantia, No receptor infravermelho, os preços elevados de tinta</v>
      </c>
      <c r="B23064" s="3">
        <v>0</v>
      </c>
    </row>
    <row r="23065" ht="15.75" customHeight="1" spans="1:2">
      <c r="A23065" s="3" t="str">
        <f>IFERROR(__xludf.DUMMYFUNCTION("GOOGLETRANSLATE(A23065,""en"",""pt"")"),"Nenhum")</f>
        <v>Nenhum</v>
      </c>
      <c r="B23065" s="3">
        <v>0</v>
      </c>
    </row>
    <row r="23066" ht="15.75" customHeight="1" spans="1:2">
      <c r="A23066" s="3" t="str">
        <f>IFERROR(__xludf.DUMMYFUNCTION("GOOGLETRANSLATE(A23066,""en"",""pt"")"),"Preço dos cartuchos de tinta")</f>
        <v>Preço dos cartuchos de tinta</v>
      </c>
      <c r="B23066" s="3">
        <v>0</v>
      </c>
    </row>
    <row r="23067" ht="15.75" customHeight="1" spans="1:2">
      <c r="A23067" s="3" t="str">
        <f>IFERROR(__xludf.DUMMYFUNCTION("GOOGLETRANSLATE(A23067,""en"",""pt"")"),"Ink é caro, mas isso não é culpa da impressora ... oh wait, seu um HP!")</f>
        <v>Ink é caro, mas isso não é culpa da impressora ... oh wait, seu um HP!</v>
      </c>
      <c r="B23067" s="3">
        <v>0</v>
      </c>
    </row>
    <row r="23068" ht="15.75" customHeight="1" spans="1:2">
      <c r="A23068" s="3" t="str">
        <f>IFERROR(__xludf.DUMMYFUNCTION("GOOGLETRANSLATE(A23068,""en"",""pt"")"),"No manual de instruções, mudando cartucho de tinta é complicado, o texto não é nítida")</f>
        <v>No manual de instruções, mudando cartucho de tinta é complicado, o texto não é nítida</v>
      </c>
      <c r="B23068" s="3">
        <v>0</v>
      </c>
    </row>
    <row r="23069" ht="15.75" customHeight="1" spans="1:2">
      <c r="A23069" s="3" t="str">
        <f>IFERROR(__xludf.DUMMYFUNCTION("GOOGLETRANSLATE(A23069,""en"",""pt"")"),"Nenhum")</f>
        <v>Nenhum</v>
      </c>
      <c r="B23069" s="3">
        <v>0</v>
      </c>
    </row>
    <row r="23070" ht="15.75" customHeight="1" spans="1:2">
      <c r="A23070" s="3" t="str">
        <f>IFERROR(__xludf.DUMMYFUNCTION("GOOGLETRANSLATE(A23070,""en"",""pt"")"),"Nenhum")</f>
        <v>Nenhum</v>
      </c>
      <c r="B23070" s="3">
        <v>0</v>
      </c>
    </row>
    <row r="23071" ht="15.75" customHeight="1" spans="1:2">
      <c r="A23071" s="3" t="str">
        <f>IFERROR(__xludf.DUMMYFUNCTION("GOOGLETRANSLATE(A23071,""en"",""pt"")"),"Esta impressora é a pior impressão que eu já comprei !!!!!!")</f>
        <v>Esta impressora é a pior impressão que eu já comprei !!!!!!</v>
      </c>
      <c r="B23071" s="3">
        <v>0</v>
      </c>
    </row>
    <row r="23072" ht="15.75" customHeight="1" spans="1:2">
      <c r="A23072" s="3" t="str">
        <f>IFERROR(__xludf.DUMMYFUNCTION("GOOGLETRANSLATE(A23072,""en"",""pt"")"),"Não particularmente bom para imprimir 4x6 ou outras cópias da foto tamanho normal.")</f>
        <v>Não particularmente bom para imprimir 4x6 ou outras cópias da foto tamanho normal.</v>
      </c>
      <c r="B23072" s="3">
        <v>0</v>
      </c>
    </row>
    <row r="23073" ht="15.75" customHeight="1" spans="1:2">
      <c r="A23073" s="3" t="str">
        <f>IFERROR(__xludf.DUMMYFUNCTION("GOOGLETRANSLATE(A23073,""en"",""pt"")"),"Atola muito, tinta bastante caro")</f>
        <v>Atola muito, tinta bastante caro</v>
      </c>
      <c r="B23073" s="3">
        <v>0</v>
      </c>
    </row>
    <row r="23074" ht="15.75" customHeight="1" spans="1:2">
      <c r="A23074" s="3" t="str">
        <f>IFERROR(__xludf.DUMMYFUNCTION("GOOGLETRANSLATE(A23074,""en"",""pt"")"),"Não imprimir fotos !! 3 meses de garantia, não toll free suporte técnico.")</f>
        <v>Não imprimir fotos !! 3 meses de garantia, não toll free suporte técnico.</v>
      </c>
      <c r="B23074" s="3">
        <v>0</v>
      </c>
    </row>
    <row r="23075" ht="15.75" customHeight="1" spans="1:2">
      <c r="A23075" s="3" t="str">
        <f>IFERROR(__xludf.DUMMYFUNCTION("GOOGLETRANSLATE(A23075,""en"",""pt"")"),"Instruções quase inexistente")</f>
        <v>Instruções quase inexistente</v>
      </c>
      <c r="B23075" s="3">
        <v>0</v>
      </c>
    </row>
    <row r="23076" ht="15.75" customHeight="1" spans="1:2">
      <c r="A23076" s="3" t="str">
        <f>IFERROR(__xludf.DUMMYFUNCTION("GOOGLETRANSLATE(A23076,""en"",""pt"")"),"desperdiçar espaço.")</f>
        <v>desperdiçar espaço.</v>
      </c>
      <c r="B23076" s="3">
        <v>0</v>
      </c>
    </row>
    <row r="23077" ht="15.75" customHeight="1" spans="1:2">
      <c r="A23077" s="3" t="str">
        <f>IFERROR(__xludf.DUMMYFUNCTION("GOOGLETRANSLATE(A23077,""en"",""pt"")"),"Cartucho de Preço; Manuseio de papel")</f>
        <v>Cartucho de Preço; Manuseio de papel</v>
      </c>
      <c r="B23077" s="3">
        <v>0</v>
      </c>
    </row>
    <row r="23078" ht="15.75" customHeight="1" spans="1:2">
      <c r="A23078" s="3" t="str">
        <f>IFERROR(__xludf.DUMMYFUNCTION("GOOGLETRANSLATE(A23078,""en"",""pt"")"),"tinta é caro, mas não mais do que a maioria das outras impressoras")</f>
        <v>tinta é caro, mas não mais do que a maioria das outras impressoras</v>
      </c>
      <c r="B23078" s="3">
        <v>0</v>
      </c>
    </row>
    <row r="23079" ht="15.75" customHeight="1" spans="1:2">
      <c r="A23079" s="3" t="str">
        <f>IFERROR(__xludf.DUMMYFUNCTION("GOOGLETRANSLATE(A23079,""en"",""pt"")"),"Procure bons quebra de preços para ofertas de baixo custo")</f>
        <v>Procure bons quebra de preços para ofertas de baixo custo</v>
      </c>
      <c r="B23079" s="3">
        <v>0</v>
      </c>
    </row>
    <row r="23080" ht="15.75" customHeight="1" spans="1:2">
      <c r="A23080" s="3" t="str">
        <f>IFERROR(__xludf.DUMMYFUNCTION("GOOGLETRANSLATE(A23080,""en"",""pt"")"),"Não funciona bem com um switch de dados ou repor facilmente; congestionamentos frequentes")</f>
        <v>Não funciona bem com um switch de dados ou repor facilmente; congestionamentos frequentes</v>
      </c>
      <c r="B23080" s="3">
        <v>0</v>
      </c>
    </row>
    <row r="23081" ht="15.75" customHeight="1" spans="1:2">
      <c r="A23081" s="3" t="str">
        <f>IFERROR(__xludf.DUMMYFUNCTION("GOOGLETRANSLATE(A23081,""en"",""pt"")"),"legal")</f>
        <v>legal</v>
      </c>
      <c r="B23081" s="3">
        <v>0</v>
      </c>
    </row>
    <row r="23082" ht="15.75" customHeight="1" spans="1:2">
      <c r="A23082" s="3" t="str">
        <f>IFERROR(__xludf.DUMMYFUNCTION("GOOGLETRANSLATE(A23082,""en"",""pt"")"),"Muito caro em comparação com 930C")</f>
        <v>Muito caro em comparação com 930C</v>
      </c>
      <c r="B23082" s="3">
        <v>0</v>
      </c>
    </row>
    <row r="23083" ht="15.75" customHeight="1" spans="1:2">
      <c r="A23083" s="3" t="str">
        <f>IFERROR(__xludf.DUMMYFUNCTION("GOOGLETRANSLATE(A23083,""en"",""pt"")"),"Cartuchos custar um pouco, USB e cabo paralelo não incluído")</f>
        <v>Cartuchos custar um pouco, USB e cabo paralelo não incluído</v>
      </c>
      <c r="B23083" s="3">
        <v>0</v>
      </c>
    </row>
    <row r="23084" ht="15.75" customHeight="1" spans="1:2">
      <c r="A23084" s="3" t="str">
        <f>IFERROR(__xludf.DUMMYFUNCTION("GOOGLETRANSLATE(A23084,""en"",""pt"")"),"custo")</f>
        <v>custo</v>
      </c>
      <c r="B23084" s="3">
        <v>0</v>
      </c>
    </row>
    <row r="23085" ht="15.75" customHeight="1" spans="1:2">
      <c r="A23085" s="3" t="str">
        <f>IFERROR(__xludf.DUMMYFUNCTION("GOOGLETRANSLATE(A23085,""en"",""pt"")"),"Não um")</f>
        <v>Não um</v>
      </c>
      <c r="B23085" s="3">
        <v>0</v>
      </c>
    </row>
    <row r="23086" ht="15.75" customHeight="1" spans="1:2">
      <c r="A23086" s="3" t="str">
        <f>IFERROR(__xludf.DUMMYFUNCTION("GOOGLETRANSLATE(A23086,""en"",""pt"")"),"Realmente não pode pensar em qualquer")</f>
        <v>Realmente não pode pensar em qualquer</v>
      </c>
      <c r="B23086" s="3">
        <v>0</v>
      </c>
    </row>
    <row r="23087" ht="15.75" customHeight="1" spans="1:2">
      <c r="A23087" s="3" t="str">
        <f>IFERROR(__xludf.DUMMYFUNCTION("GOOGLETRANSLATE(A23087,""en"",""pt"")"),"Eu não encontrei nenhuma.")</f>
        <v>Eu não encontrei nenhuma.</v>
      </c>
      <c r="B23087" s="3">
        <v>0</v>
      </c>
    </row>
    <row r="23088" ht="15.75" customHeight="1" spans="1:2">
      <c r="A23088" s="3" t="str">
        <f>IFERROR(__xludf.DUMMYFUNCTION("GOOGLETRANSLATE(A23088,""en"",""pt"")"),"pode monopolizar grandes quantidades de CPU levando a tempos CPU pendurar ... pode ter de esperar para impressora para acabamento médio para trabalhos complexos em baixa para os computadores de gama média, o preço é um pouco demais para alguns orçamentos")</f>
        <v>pode monopolizar grandes quantidades de CPU levando a tempos CPU pendurar ... pode ter de esperar para impressora para acabamento médio para trabalhos complexos em baixa para os computadores de gama média, o preço é um pouco demais para alguns orçamentos</v>
      </c>
      <c r="B23088" s="3">
        <v>0</v>
      </c>
    </row>
    <row r="23089" ht="15.75" customHeight="1" spans="1:2">
      <c r="A23089" s="3" t="str">
        <f>IFERROR(__xludf.DUMMYFUNCTION("GOOGLETRANSLATE(A23089,""en"",""pt"")"),"não suportado para B &amp; amp; W G3 ou OS10")</f>
        <v>não suportado para B &amp; amp; W G3 ou OS10</v>
      </c>
      <c r="B23089" s="3">
        <v>0</v>
      </c>
    </row>
    <row r="23090" ht="15.75" customHeight="1" spans="1:2">
      <c r="A23090" s="3" t="str">
        <f>IFERROR(__xludf.DUMMYFUNCTION("GOOGLETRANSLATE(A23090,""en"",""pt"")"),"caro.")</f>
        <v>caro.</v>
      </c>
      <c r="B23090" s="3">
        <v>0</v>
      </c>
    </row>
    <row r="23091" ht="15.75" customHeight="1" spans="1:2">
      <c r="A23091" s="3" t="str">
        <f>IFERROR(__xludf.DUMMYFUNCTION("GOOGLETRANSLATE(A23091,""en"",""pt"")"),"pequeno bug motorista, vem com 1/2 cartuchos de tinta cheio!")</f>
        <v>pequeno bug motorista, vem com 1/2 cartuchos de tinta cheio!</v>
      </c>
      <c r="B23091" s="3">
        <v>0</v>
      </c>
    </row>
    <row r="23092" ht="15.75" customHeight="1" spans="1:2">
      <c r="A23092" s="3" t="str">
        <f>IFERROR(__xludf.DUMMYFUNCTION("GOOGLETRANSLATE(A23092,""en"",""pt"")"),"Lame-o motoristas")</f>
        <v>Lame-o motoristas</v>
      </c>
      <c r="B23092" s="3">
        <v>0</v>
      </c>
    </row>
    <row r="23093" ht="15.75" customHeight="1" spans="1:2">
      <c r="A23093" s="3" t="str">
        <f>IFERROR(__xludf.DUMMYFUNCTION("GOOGLETRANSLATE(A23093,""en"",""pt"")"),"Um caro pouco para alguns")</f>
        <v>Um caro pouco para alguns</v>
      </c>
      <c r="B23093" s="3">
        <v>0</v>
      </c>
    </row>
    <row r="23094" ht="15.75" customHeight="1" spans="1:2">
      <c r="A23094" s="3" t="str">
        <f>IFERROR(__xludf.DUMMYFUNCTION("GOOGLETRANSLATE(A23094,""en"",""pt"")"),"Cor nem sempre executar, o serviço ao cliente tem grandes problemas")</f>
        <v>Cor nem sempre executar, o serviço ao cliente tem grandes problemas</v>
      </c>
      <c r="B23094" s="3">
        <v>0</v>
      </c>
    </row>
    <row r="23095" ht="15.75" customHeight="1" spans="1:2">
      <c r="A23095" s="3" t="str">
        <f>IFERROR(__xludf.DUMMYFUNCTION("GOOGLETRANSLATE(A23095,""en"",""pt"")"),"Alguns problemas com a impressão em rede, Foto papel difícil encontrar")</f>
        <v>Alguns problemas com a impressão em rede, Foto papel difícil encontrar</v>
      </c>
      <c r="B23095" s="3">
        <v>0</v>
      </c>
    </row>
    <row r="23096" ht="15.75" customHeight="1" spans="1:2">
      <c r="A23096" s="3" t="str">
        <f>IFERROR(__xludf.DUMMYFUNCTION("GOOGLETRANSLATE(A23096,""en"",""pt"")"),"melindroso")</f>
        <v>melindroso</v>
      </c>
      <c r="B23096" s="3">
        <v>0</v>
      </c>
    </row>
    <row r="23097" ht="15.75" customHeight="1" spans="1:2">
      <c r="A23097" s="3" t="str">
        <f>IFERROR(__xludf.DUMMYFUNCTION("GOOGLETRANSLATE(A23097,""en"",""pt"")"),"ainda um pouco lento para imprimir cor, usos toner rapidamente")</f>
        <v>ainda um pouco lento para imprimir cor, usos toner rapidamente</v>
      </c>
      <c r="B23097" s="3">
        <v>0</v>
      </c>
    </row>
    <row r="23098" ht="15.75" customHeight="1" spans="1:2">
      <c r="A23098" s="3" t="str">
        <f>IFERROR(__xludf.DUMMYFUNCTION("GOOGLETRANSLATE(A23098,""en"",""pt"")"),"Nenhum que eu encontrei")</f>
        <v>Nenhum que eu encontrei</v>
      </c>
      <c r="B23098" s="3">
        <v>0</v>
      </c>
    </row>
    <row r="23099" ht="15.75" customHeight="1" spans="1:2">
      <c r="A23099" s="3" t="str">
        <f>IFERROR(__xludf.DUMMYFUNCTION("GOOGLETRANSLATE(A23099,""en"",""pt"")"),"Nenhum")</f>
        <v>Nenhum</v>
      </c>
      <c r="B23099" s="3">
        <v>0</v>
      </c>
    </row>
    <row r="23100" ht="15.75" customHeight="1" spans="1:2">
      <c r="A23100" s="3" t="str">
        <f>IFERROR(__xludf.DUMMYFUNCTION("GOOGLETRANSLATE(A23100,""en"",""pt"")"),"4 X 6 Foto papel slot não vai alimentar.")</f>
        <v>4 X 6 Foto papel slot não vai alimentar.</v>
      </c>
      <c r="B23100" s="3">
        <v>0</v>
      </c>
    </row>
    <row r="23101" ht="15.75" customHeight="1" spans="1:2">
      <c r="A23101" s="3" t="str">
        <f>IFERROR(__xludf.DUMMYFUNCTION("GOOGLETRANSLATE(A23101,""en"",""pt"")"),"Ligeiramente lento em imagens de alta qualidade.")</f>
        <v>Ligeiramente lento em imagens de alta qualidade.</v>
      </c>
      <c r="B23101" s="3">
        <v>0</v>
      </c>
    </row>
    <row r="23102" ht="15.75" customHeight="1" spans="1:2">
      <c r="A23102" s="3" t="str">
        <f>IFERROR(__xludf.DUMMYFUNCTION("GOOGLETRANSLATE(A23102,""en"",""pt"")"),"Muitos problemas")</f>
        <v>Muitos problemas</v>
      </c>
      <c r="B23102" s="3">
        <v>0</v>
      </c>
    </row>
    <row r="23103" ht="15.75" customHeight="1" spans="1:2">
      <c r="A23103" s="3" t="str">
        <f>IFERROR(__xludf.DUMMYFUNCTION("GOOGLETRANSLATE(A23103,""en"",""pt"")"),"alimentação Envelope, Velocidade")</f>
        <v>alimentação Envelope, Velocidade</v>
      </c>
      <c r="B23103" s="3">
        <v>0</v>
      </c>
    </row>
    <row r="23104" ht="15.75" customHeight="1" spans="1:2">
      <c r="A23104" s="3" t="str">
        <f>IFERROR(__xludf.DUMMYFUNCTION("GOOGLETRANSLATE(A23104,""en"",""pt"")"),"conflitos de software HP com alguns sistemas, o suporte HP pobres")</f>
        <v>conflitos de software HP com alguns sistemas, o suporte HP pobres</v>
      </c>
      <c r="B23104" s="3">
        <v>0</v>
      </c>
    </row>
    <row r="23105" ht="15.75" customHeight="1" spans="1:2">
      <c r="A23105" s="3" t="str">
        <f>IFERROR(__xludf.DUMMYFUNCTION("GOOGLETRANSLATE(A23105,""en"",""pt"")"),"nenhum ainda")</f>
        <v>nenhum ainda</v>
      </c>
      <c r="B23105" s="3">
        <v>0</v>
      </c>
    </row>
    <row r="23106" ht="15.75" customHeight="1" spans="1:2">
      <c r="A23106" s="3" t="str">
        <f>IFERROR(__xludf.DUMMYFUNCTION("GOOGLETRANSLATE(A23106,""en"",""pt"")"),"Problemas com a alimentação de um único envelope")</f>
        <v>Problemas com a alimentação de um único envelope</v>
      </c>
      <c r="B23106" s="3">
        <v>0</v>
      </c>
    </row>
    <row r="23107" ht="15.75" customHeight="1" spans="1:2">
      <c r="A23107" s="3" t="str">
        <f>IFERROR(__xludf.DUMMYFUNCTION("GOOGLETRANSLATE(A23107,""en"",""pt"")"),"Pessoas (não me) encravamentos relatório.")</f>
        <v>Pessoas (não me) encravamentos relatório.</v>
      </c>
      <c r="B23107" s="3">
        <v>0</v>
      </c>
    </row>
    <row r="23108" ht="15.75" customHeight="1" spans="1:2">
      <c r="A23108" s="3" t="str">
        <f>IFERROR(__xludf.DUMMYFUNCTION("GOOGLETRANSLATE(A23108,""en"",""pt"")"),"cartucho colorido caro, às vezes até demais impressora para usuário médio (932C verificação também).")</f>
        <v>cartucho colorido caro, às vezes até demais impressora para usuário médio (932C verificação também).</v>
      </c>
      <c r="B23108" s="3">
        <v>0</v>
      </c>
    </row>
    <row r="23109" ht="15.75" customHeight="1" spans="1:2">
      <c r="A23109" s="3" t="str">
        <f>IFERROR(__xludf.DUMMYFUNCTION("GOOGLETRANSLATE(A23109,""en"",""pt"")"),"1ª quebrou")</f>
        <v>1ª quebrou</v>
      </c>
      <c r="B23109" s="3">
        <v>0</v>
      </c>
    </row>
    <row r="23110" ht="15.75" customHeight="1" spans="1:2">
      <c r="A23110" s="3" t="str">
        <f>IFERROR(__xludf.DUMMYFUNCTION("GOOGLETRANSLATE(A23110,""en"",""pt"")"),"bugs, problemas de alimentação, e muitos mais.")</f>
        <v>bugs, problemas de alimentação, e muitos mais.</v>
      </c>
      <c r="B23110" s="3">
        <v>0</v>
      </c>
    </row>
    <row r="23111" ht="15.75" customHeight="1" spans="1:2">
      <c r="A23111" s="3" t="str">
        <f>IFERROR(__xludf.DUMMYFUNCTION("GOOGLETRANSLATE(A23111,""en"",""pt"")"),"A alimentação de papel é uma fonte constante de frustração. Não funciona!")</f>
        <v>A alimentação de papel é uma fonte constante de frustração. Não funciona!</v>
      </c>
      <c r="B23111" s="3">
        <v>0</v>
      </c>
    </row>
    <row r="23112" ht="15.75" customHeight="1" spans="1:2">
      <c r="A23112" s="3" t="str">
        <f>IFERROR(__xludf.DUMMYFUNCTION("GOOGLETRANSLATE(A23112,""en"",""pt"")"),"tinta caro; relativamente caro")</f>
        <v>tinta caro; relativamente caro</v>
      </c>
      <c r="B23112" s="3">
        <v>0</v>
      </c>
    </row>
    <row r="23113" ht="15.75" customHeight="1" spans="1:2">
      <c r="A23113" s="3" t="str">
        <f>IFERROR(__xludf.DUMMYFUNCTION("GOOGLETRANSLATE(A23113,""en"",""pt"")"),"uso de tinta")</f>
        <v>uso de tinta</v>
      </c>
      <c r="B23113" s="3">
        <v>0</v>
      </c>
    </row>
    <row r="23114" ht="15.75" customHeight="1" spans="1:2">
      <c r="A23114" s="3" t="str">
        <f>IFERROR(__xludf.DUMMYFUNCTION("GOOGLETRANSLATE(A23114,""en"",""pt"")"),"não é barato, papel fotográfico caro")</f>
        <v>não é barato, papel fotográfico caro</v>
      </c>
      <c r="B23114" s="3">
        <v>0</v>
      </c>
    </row>
    <row r="23115" ht="15.75" customHeight="1" spans="1:2">
      <c r="A23115" s="3" t="str">
        <f>IFERROR(__xludf.DUMMYFUNCTION("GOOGLETRANSLATE(A23115,""en"",""pt"")"),"Sem cabos, cartuchos economia")</f>
        <v>Sem cabos, cartuchos economia</v>
      </c>
      <c r="B23115" s="3">
        <v>0</v>
      </c>
    </row>
    <row r="23116" ht="15.75" customHeight="1" spans="1:2">
      <c r="A23116" s="3" t="str">
        <f>IFERROR(__xludf.DUMMYFUNCTION("GOOGLETRANSLATE(A23116,""en"",""pt"")"),"sons estranhos ao imprimir")</f>
        <v>sons estranhos ao imprimir</v>
      </c>
      <c r="B23116" s="3">
        <v>0</v>
      </c>
    </row>
    <row r="23117" ht="15.75" customHeight="1" spans="1:2">
      <c r="A23117" s="3" t="str">
        <f>IFERROR(__xludf.DUMMYFUNCTION("GOOGLETRANSLATE(A23117,""en"",""pt"")"),"Custo de cartuchos de tinta")</f>
        <v>Custo de cartuchos de tinta</v>
      </c>
      <c r="B23117" s="3">
        <v>0</v>
      </c>
    </row>
    <row r="23118" ht="15.75" customHeight="1" spans="1:2">
      <c r="A23118" s="3" t="str">
        <f>IFERROR(__xludf.DUMMYFUNCTION("GOOGLETRANSLATE(A23118,""en"",""pt"")"),"Nenhum")</f>
        <v>Nenhum</v>
      </c>
      <c r="B23118" s="3">
        <v>0</v>
      </c>
    </row>
    <row r="23119" ht="15.75" customHeight="1" spans="1:2">
      <c r="A23119" s="3" t="str">
        <f>IFERROR(__xludf.DUMMYFUNCTION("GOOGLETRANSLATE(A23119,""en"",""pt"")"),"Cor não tão bom com papel barato. manuseio inconsistente de papel ímpar porte.")</f>
        <v>Cor não tão bom com papel barato. manuseio inconsistente de papel ímpar porte.</v>
      </c>
      <c r="B23119" s="3">
        <v>0</v>
      </c>
    </row>
    <row r="23120" ht="15.75" customHeight="1" spans="1:2">
      <c r="A23120" s="3" t="str">
        <f>IFERROR(__xludf.DUMMYFUNCTION("GOOGLETRANSLATE(A23120,""en"",""pt"")"),"tinta caro e pode não ser tão rápido como as impressoras HP mais caros")</f>
        <v>tinta caro e pode não ser tão rápido como as impressoras HP mais caros</v>
      </c>
      <c r="B23120" s="3">
        <v>0</v>
      </c>
    </row>
    <row r="23121" ht="15.75" customHeight="1" spans="1:2">
      <c r="A23121" s="3" t="str">
        <f>IFERROR(__xludf.DUMMYFUNCTION("GOOGLETRANSLATE(A23121,""en"",""pt"")"),"Nenhum ainda")</f>
        <v>Nenhum ainda</v>
      </c>
      <c r="B23121" s="3">
        <v>0</v>
      </c>
    </row>
    <row r="23122" ht="15.75" customHeight="1" spans="1:2">
      <c r="A23122" s="3" t="str">
        <f>IFERROR(__xludf.DUMMYFUNCTION("GOOGLETRANSLATE(A23122,""en"",""pt"")"),"Um pouco difícil de carregar mais de uma dúzia de folhas de papel.")</f>
        <v>Um pouco difícil de carregar mais de uma dúzia de folhas de papel.</v>
      </c>
      <c r="B23122" s="3">
        <v>0</v>
      </c>
    </row>
    <row r="23123" ht="15.75" customHeight="1" spans="1:2">
      <c r="A23123" s="3" t="str">
        <f>IFERROR(__xludf.DUMMYFUNCTION("GOOGLETRANSLATE(A23123,""en"",""pt"")"),"Tinta")</f>
        <v>Tinta</v>
      </c>
      <c r="B23123" s="3">
        <v>0</v>
      </c>
    </row>
    <row r="23124" ht="15.75" customHeight="1" spans="1:2">
      <c r="A23124" s="3" t="str">
        <f>IFERROR(__xludf.DUMMYFUNCTION("GOOGLETRANSLATE(A23124,""en"",""pt"")"),"envelope caça-níqueis e foto 4x6 congestionamentos de caça-níqueis, os preços ultrajantes tinta.")</f>
        <v>envelope caça-níqueis e foto 4x6 congestionamentos de caça-níqueis, os preços ultrajantes tinta.</v>
      </c>
      <c r="B23124" s="3">
        <v>0</v>
      </c>
    </row>
    <row r="23125" ht="15.75" customHeight="1" spans="1:2">
      <c r="A23125" s="3" t="str">
        <f>IFERROR(__xludf.DUMMYFUNCTION("GOOGLETRANSLATE(A23125,""en"",""pt"")"),"Possivelmente não tão bom em impressão de fotos como as impressoras de fotos de seis cores.")</f>
        <v>Possivelmente não tão bom em impressão de fotos como as impressoras de fotos de seis cores.</v>
      </c>
      <c r="B23125" s="3">
        <v>0</v>
      </c>
    </row>
    <row r="23126" ht="15.75" customHeight="1" spans="1:2">
      <c r="A23126" s="3" t="str">
        <f>IFERROR(__xludf.DUMMYFUNCTION("GOOGLETRANSLATE(A23126,""en"",""pt"")"),"Nada até agora.")</f>
        <v>Nada até agora.</v>
      </c>
      <c r="B23126" s="3">
        <v>0</v>
      </c>
    </row>
    <row r="23127" ht="15.75" customHeight="1" spans="1:2">
      <c r="A23127" s="3" t="str">
        <f>IFERROR(__xludf.DUMMYFUNCTION("GOOGLETRANSLATE(A23127,""en"",""pt"")"),"Buggy software Macintosh, alimentação de papel não é reta.")</f>
        <v>Buggy software Macintosh, alimentação de papel não é reta.</v>
      </c>
      <c r="B23127" s="3">
        <v>0</v>
      </c>
    </row>
    <row r="23128" ht="15.75" customHeight="1" spans="1:2">
      <c r="A23128" s="3" t="str">
        <f>IFERROR(__xludf.DUMMYFUNCTION("GOOGLETRANSLATE(A23128,""en"",""pt"")"),"Nada até agora")</f>
        <v>Nada até agora</v>
      </c>
      <c r="B23128" s="3">
        <v>0</v>
      </c>
    </row>
    <row r="23129" ht="15.75" customHeight="1" spans="1:2">
      <c r="A23129" s="3" t="str">
        <f>IFERROR(__xludf.DUMMYFUNCTION("GOOGLETRANSLATE(A23129,""en"",""pt"")"),"nada até agora")</f>
        <v>nada até agora</v>
      </c>
      <c r="B23129" s="3">
        <v>0</v>
      </c>
    </row>
    <row r="23130" ht="15.75" customHeight="1" spans="1:2">
      <c r="A23130" s="3" t="str">
        <f>IFERROR(__xludf.DUMMYFUNCTION("GOOGLETRANSLATE(A23130,""en"",""pt"")"),"às vezes é lenta")</f>
        <v>às vezes é lenta</v>
      </c>
      <c r="B23130" s="3">
        <v>0</v>
      </c>
    </row>
    <row r="23131" ht="15.75" customHeight="1" spans="1:2">
      <c r="A23131" s="3" t="str">
        <f>IFERROR(__xludf.DUMMYFUNCTION("GOOGLETRANSLATE(A23131,""en"",""pt"")"),"Não é suposto ser uma trituradora")</f>
        <v>Não é suposto ser uma trituradora</v>
      </c>
      <c r="B23131" s="3">
        <v>0</v>
      </c>
    </row>
    <row r="23132" ht="15.75" customHeight="1" spans="1:2">
      <c r="A23132" s="3" t="str">
        <f>IFERROR(__xludf.DUMMYFUNCTION("GOOGLETRANSLATE(A23132,""en"",""pt"")"),"Muito rápido (atolamentos de papel), Price.")</f>
        <v>Muito rápido (atolamentos de papel), Price.</v>
      </c>
      <c r="B23132" s="3">
        <v>0</v>
      </c>
    </row>
    <row r="23133" ht="15.75" customHeight="1" spans="1:2">
      <c r="A23133" s="3" t="str">
        <f>IFERROR(__xludf.DUMMYFUNCTION("GOOGLETRANSLATE(A23133,""en"",""pt"")"),"Riscado o brilho fora do papel fotográfico")</f>
        <v>Riscado o brilho fora do papel fotográfico</v>
      </c>
      <c r="B23133" s="3">
        <v>0</v>
      </c>
    </row>
    <row r="23134" ht="15.75" customHeight="1" spans="1:2">
      <c r="A23134" s="3" t="str">
        <f>IFERROR(__xludf.DUMMYFUNCTION("GOOGLETRANSLATE(A23134,""en"",""pt"")"),"Nenhum ainda!")</f>
        <v>Nenhum ainda!</v>
      </c>
      <c r="B23134" s="3">
        <v>0</v>
      </c>
    </row>
    <row r="23135" ht="15.75" customHeight="1" spans="1:2">
      <c r="A23135" s="3" t="str">
        <f>IFERROR(__xludf.DUMMYFUNCTION("GOOGLETRANSLATE(A23135,""en"",""pt"")"),"Nenhum.....")</f>
        <v>Nenhum.....</v>
      </c>
      <c r="B23135" s="3">
        <v>0</v>
      </c>
    </row>
    <row r="23136" ht="15.75" customHeight="1" spans="1:2">
      <c r="A23136" s="3" t="str">
        <f>IFERROR(__xludf.DUMMYFUNCTION("GOOGLETRANSLATE(A23136,""en"",""pt"")"),"Poderia ser mais rápido")</f>
        <v>Poderia ser mais rápido</v>
      </c>
      <c r="B23136" s="3">
        <v>0</v>
      </c>
    </row>
    <row r="23137" ht="15.75" customHeight="1" spans="1:2">
      <c r="A23137" s="3" t="str">
        <f>IFERROR(__xludf.DUMMYFUNCTION("GOOGLETRANSLATE(A23137,""en"",""pt"")"),"Nada até agora!")</f>
        <v>Nada até agora!</v>
      </c>
      <c r="B23137" s="3">
        <v>0</v>
      </c>
    </row>
    <row r="23138" ht="15.75" customHeight="1" spans="1:2">
      <c r="A23138" s="3" t="str">
        <f>IFERROR(__xludf.DUMMYFUNCTION("GOOGLETRANSLATE(A23138,""en"",""pt"")"),"Engole papel, pedaços, e cospe")</f>
        <v>Engole papel, pedaços, e cospe</v>
      </c>
      <c r="B23138" s="3">
        <v>0</v>
      </c>
    </row>
    <row r="23139" ht="15.75" customHeight="1" spans="1:2">
      <c r="A23139" s="3" t="str">
        <f>IFERROR(__xludf.DUMMYFUNCTION("GOOGLETRANSLATE(A23139,""en"",""pt"")"),"um pouco barulhento &amp; amp; # 133; &amp; amp; # 13; &amp; amp; # 10; &amp; amp; # 13; &amp; amp; # 10;")</f>
        <v>um pouco barulhento &amp; amp; # 133; &amp; amp; # 13; &amp; amp; # 10; &amp; amp; # 13; &amp; amp; # 10;</v>
      </c>
      <c r="B23139" s="3">
        <v>0</v>
      </c>
    </row>
    <row r="23140" ht="15.75" customHeight="1" spans="1:2">
      <c r="A23140" s="3" t="s">
        <v>121</v>
      </c>
      <c r="B23140" s="3">
        <v>0</v>
      </c>
    </row>
    <row r="23141" ht="15.75" customHeight="1" spans="1:2">
      <c r="A23141" s="3" t="str">
        <f>IFERROR(__xludf.DUMMYFUNCTION("GOOGLETRANSLATE(A23141,""en"",""pt"")"),"HP tinta é sempre caro")</f>
        <v>HP tinta é sempre caro</v>
      </c>
      <c r="B23141" s="3">
        <v>0</v>
      </c>
    </row>
    <row r="23142" ht="15.75" customHeight="1" spans="1:2">
      <c r="A23142" s="3" t="str">
        <f>IFERROR(__xludf.DUMMYFUNCTION("GOOGLETRANSLATE(A23142,""en"",""pt"")"),"Nada até agora.")</f>
        <v>Nada até agora.</v>
      </c>
      <c r="B23142" s="3">
        <v>0</v>
      </c>
    </row>
    <row r="23143" ht="15.75" customHeight="1" spans="1:2">
      <c r="A23143" s="3" t="str">
        <f>IFERROR(__xludf.DUMMYFUNCTION("GOOGLETRANSLATE(A23143,""en"",""pt"")"),"atolamentos de papel constante, cartuchos coloridos custam maneira muito.")</f>
        <v>atolamentos de papel constante, cartuchos coloridos custam maneira muito.</v>
      </c>
      <c r="B23143" s="3">
        <v>0</v>
      </c>
    </row>
    <row r="23144" ht="15.75" customHeight="1" spans="1:2">
      <c r="A23144" s="3" t="str">
        <f>IFERROR(__xludf.DUMMYFUNCTION("GOOGLETRANSLATE(A23144,""en"",""pt"")"),"Ao imprimir fotos, tinta leva muito tempo para secar.")</f>
        <v>Ao imprimir fotos, tinta leva muito tempo para secar.</v>
      </c>
      <c r="B23144" s="3">
        <v>0</v>
      </c>
    </row>
    <row r="23145" ht="15.75" customHeight="1" spans="1:2">
      <c r="A23145" s="3" t="str">
        <f>IFERROR(__xludf.DUMMYFUNCTION("GOOGLETRANSLATE(A23145,""en"",""pt"")"),"Durou 11 meses antes começou a comer todo o papel.")</f>
        <v>Durou 11 meses antes começou a comer todo o papel.</v>
      </c>
      <c r="B23145" s="3">
        <v>0</v>
      </c>
    </row>
    <row r="23146" ht="15.75" customHeight="1" spans="1:2">
      <c r="A23146" s="3" t="str">
        <f>IFERROR(__xludf.DUMMYFUNCTION("GOOGLETRANSLATE(A23146,""en"",""pt"")"),"Ainda alto custo, não duplex, sem porta de infravermelhos, consulte contras em revisão")</f>
        <v>Ainda alto custo, não duplex, sem porta de infravermelhos, consulte contras em revisão</v>
      </c>
      <c r="B23146" s="3">
        <v>0</v>
      </c>
    </row>
    <row r="23147" ht="15.75" customHeight="1" spans="1:2">
      <c r="A23147" s="3" t="str">
        <f>IFERROR(__xludf.DUMMYFUNCTION("GOOGLETRANSLATE(A23147,""en"",""pt"")"),"Nenhum")</f>
        <v>Nenhum</v>
      </c>
      <c r="B23147" s="3">
        <v>0</v>
      </c>
    </row>
    <row r="23148" ht="15.75" customHeight="1" spans="1:2">
      <c r="A23148" s="3" t="str">
        <f>IFERROR(__xludf.DUMMYFUNCTION("GOOGLETRANSLATE(A23148,""en"",""pt"")"),"cabo da impressora não incluído.")</f>
        <v>cabo da impressora não incluído.</v>
      </c>
      <c r="B23148" s="3">
        <v>0</v>
      </c>
    </row>
    <row r="23149" ht="15.75" customHeight="1" spans="1:2">
      <c r="A23149" s="3" t="str">
        <f>IFERROR(__xludf.DUMMYFUNCTION("GOOGLETRANSLATE(A23149,""en"",""pt"")"),"Demorou um pouco mais para instalar")</f>
        <v>Demorou um pouco mais para instalar</v>
      </c>
      <c r="B23149" s="3">
        <v>0</v>
      </c>
    </row>
    <row r="23150" ht="15.75" customHeight="1" spans="1:2">
      <c r="A23150" s="3" t="str">
        <f>IFERROR(__xludf.DUMMYFUNCTION("GOOGLETRANSLATE(A23150,""en"",""pt"")"),"Nenhum.")</f>
        <v>Nenhum.</v>
      </c>
      <c r="B23150" s="3">
        <v>0</v>
      </c>
    </row>
    <row r="23151" ht="15.75" customHeight="1" spans="1:2">
      <c r="A23151" s="3" t="str">
        <f>IFERROR(__xludf.DUMMYFUNCTION("GOOGLETRANSLATE(A23151,""en"",""pt"")"),"Nenhum ainda")</f>
        <v>Nenhum ainda</v>
      </c>
      <c r="B23151" s="3">
        <v>0</v>
      </c>
    </row>
    <row r="23152" ht="15.75" customHeight="1" spans="1:2">
      <c r="A23152" s="3" t="str">
        <f>IFERROR(__xludf.DUMMYFUNCTION("GOOGLETRANSLATE(A23152,""en"",""pt"")"),"Prints torto, sem suporte 800 # tecnologia")</f>
        <v>Prints torto, sem suporte 800 # tecnologia</v>
      </c>
      <c r="B23152" s="3">
        <v>0</v>
      </c>
    </row>
    <row r="23153" ht="15.75" customHeight="1" spans="1:2">
      <c r="A23153" s="3" t="str">
        <f>IFERROR(__xludf.DUMMYFUNCTION("GOOGLETRANSLATE(A23153,""en"",""pt"")"),"Depois de um atolamento de papel as coisas ficaram muito, muito ruim")</f>
        <v>Depois de um atolamento de papel as coisas ficaram muito, muito ruim</v>
      </c>
      <c r="B23153" s="3">
        <v>0</v>
      </c>
    </row>
    <row r="23154" ht="15.75" customHeight="1" spans="1:2">
      <c r="A23154" s="3" t="str">
        <f>IFERROR(__xludf.DUMMYFUNCTION("GOOGLETRANSLATE(A23154,""en"",""pt"")"),"problema de alimentação de alto volume")</f>
        <v>problema de alimentação de alto volume</v>
      </c>
      <c r="B23154" s="3">
        <v>0</v>
      </c>
    </row>
    <row r="23155" ht="15.75" customHeight="1" spans="1:2">
      <c r="A23155" s="3" t="str">
        <f>IFERROR(__xludf.DUMMYFUNCTION("GOOGLETRANSLATE(A23155,""en"",""pt"")"),"Difícil de instalar drivers USB.")</f>
        <v>Difícil de instalar drivers USB.</v>
      </c>
      <c r="B23155" s="3">
        <v>0</v>
      </c>
    </row>
    <row r="23156" ht="15.75" customHeight="1" spans="1:2">
      <c r="A23156" s="3" t="str">
        <f>IFERROR(__xludf.DUMMYFUNCTION("GOOGLETRANSLATE(A23156,""en"",""pt"")"),"Leva um tempo para configurar.")</f>
        <v>Leva um tempo para configurar.</v>
      </c>
      <c r="B23156" s="3">
        <v>0</v>
      </c>
    </row>
    <row r="23157" ht="15.75" customHeight="1" spans="1:2">
      <c r="A23157" s="3" t="str">
        <f>IFERROR(__xludf.DUMMYFUNCTION("GOOGLETRANSLATE(A23157,""en"",""pt"")"),"O software pode às vezes ser instalar um pesado.")</f>
        <v>O software pode às vezes ser instalar um pesado.</v>
      </c>
      <c r="B23157" s="3">
        <v>0</v>
      </c>
    </row>
    <row r="23158" ht="15.75" customHeight="1" spans="1:2">
      <c r="A23158" s="3" t="str">
        <f>IFERROR(__xludf.DUMMYFUNCTION("GOOGLETRANSLATE(A23158,""en"",""pt"")"),"Ainda alto custo, não duplex, sem porta de infravermelhos, consulte contras em revisão")</f>
        <v>Ainda alto custo, não duplex, sem porta de infravermelhos, consulte contras em revisão</v>
      </c>
      <c r="B23158" s="3">
        <v>0</v>
      </c>
    </row>
    <row r="23159" ht="15.75" customHeight="1" spans="1:2">
      <c r="A23159" s="3" t="str">
        <f>IFERROR(__xludf.DUMMYFUNCTION("GOOGLETRANSLATE(A23159,""en"",""pt"")"),"Às vezes é difícil descobrir.")</f>
        <v>Às vezes é difícil descobrir.</v>
      </c>
      <c r="B23159" s="3">
        <v>0</v>
      </c>
    </row>
    <row r="23160" ht="15.75" customHeight="1" spans="1:2">
      <c r="A23160" s="3" t="str">
        <f>IFERROR(__xludf.DUMMYFUNCTION("GOOGLETRANSLATE(A23160,""en"",""pt"")"),"desempenho lento; Frente e verso módulo de impressão é um desperdício de tempo e dinheiro.")</f>
        <v>desempenho lento; Frente e verso módulo de impressão é um desperdício de tempo e dinheiro.</v>
      </c>
      <c r="B23160" s="3">
        <v>0</v>
      </c>
    </row>
    <row r="23161" ht="15.75" customHeight="1" spans="1:2">
      <c r="A23161" s="3" t="str">
        <f>IFERROR(__xludf.DUMMYFUNCTION("GOOGLETRANSLATE(A23161,""en"",""pt"")"),"As tintas são caros, mas que se aplica a todos H.P. tintas, mas as tintas são grandes.")</f>
        <v>As tintas são caros, mas que se aplica a todos H.P. tintas, mas as tintas são grandes.</v>
      </c>
      <c r="B23161" s="3">
        <v>0</v>
      </c>
    </row>
    <row r="23162" ht="15.75" customHeight="1" spans="1:2">
      <c r="A23162" s="3" t="str">
        <f>IFERROR(__xludf.DUMMYFUNCTION("GOOGLETRANSLATE(A23162,""en"",""pt"")"),"Definitivamente impressora e preço cartrifge e pobre estabilidade da imagem.")</f>
        <v>Definitivamente impressora e preço cartrifge e pobre estabilidade da imagem.</v>
      </c>
      <c r="B23162" s="3">
        <v>0</v>
      </c>
    </row>
    <row r="23163" ht="15.75" customHeight="1" spans="1:2">
      <c r="A23163" s="3" t="str">
        <f>IFERROR(__xludf.DUMMYFUNCTION("GOOGLETRANSLATE(A23163,""en"",""pt"")"),"Ocasionalmente pode causar seu computador para congelar.")</f>
        <v>Ocasionalmente pode causar seu computador para congelar.</v>
      </c>
      <c r="B23163" s="3">
        <v>0</v>
      </c>
    </row>
    <row r="23164" ht="15.75" customHeight="1" spans="1:2">
      <c r="A23164" s="3" t="str">
        <f>IFERROR(__xludf.DUMMYFUNCTION("GOOGLETRANSLATE(A23164,""en"",""pt"")"),"velocidade de jato de tinta, o custo")</f>
        <v>velocidade de jato de tinta, o custo</v>
      </c>
      <c r="B23164" s="3">
        <v>0</v>
      </c>
    </row>
    <row r="23165" ht="15.75" customHeight="1" spans="1:2">
      <c r="A23165" s="3" t="str">
        <f>IFERROR(__xludf.DUMMYFUNCTION("GOOGLETRANSLATE(A23165,""en"",""pt"")"),"Eu não tive qualquer motivo para reclamar ainda!")</f>
        <v>Eu não tive qualquer motivo para reclamar ainda!</v>
      </c>
      <c r="B23165" s="3">
        <v>0</v>
      </c>
    </row>
    <row r="23166" ht="15.75" customHeight="1" spans="1:2">
      <c r="A23166" s="3" t="str">
        <f>IFERROR(__xludf.DUMMYFUNCTION("GOOGLETRANSLATE(A23166,""en"",""pt"")"),"Nenhum")</f>
        <v>Nenhum</v>
      </c>
      <c r="B23166" s="3">
        <v>0</v>
      </c>
    </row>
    <row r="23167" ht="15.75" customHeight="1" spans="1:2">
      <c r="A23167" s="3" t="str">
        <f>IFERROR(__xludf.DUMMYFUNCTION("GOOGLETRANSLATE(A23167,""en"",""pt"")"),"impressão de envelopes. Deve ser alimentados manualmente")</f>
        <v>impressão de envelopes. Deve ser alimentados manualmente</v>
      </c>
      <c r="B23167" s="3">
        <v>0</v>
      </c>
    </row>
    <row r="23168" ht="15.75" customHeight="1" spans="1:2">
      <c r="A23168" s="3" t="str">
        <f>IFERROR(__xludf.DUMMYFUNCTION("GOOGLETRANSLATE(A23168,""en"",""pt"")"),"Nenhum aviso quando você ficar sem tinta")</f>
        <v>Nenhum aviso quando você ficar sem tinta</v>
      </c>
      <c r="B23168" s="3">
        <v>0</v>
      </c>
    </row>
    <row r="23169" ht="15.75" customHeight="1" spans="1:2">
      <c r="A23169" s="3" t="str">
        <f>IFERROR(__xludf.DUMMYFUNCTION("GOOGLETRANSLATE(A23169,""en"",""pt"")"),"Papel começou a jam nele depois de três semanas de uso.")</f>
        <v>Papel começou a jam nele depois de três semanas de uso.</v>
      </c>
      <c r="B23169" s="3">
        <v>0</v>
      </c>
    </row>
    <row r="23170" ht="15.75" customHeight="1" spans="1:2">
      <c r="A23170" s="3" t="str">
        <f>IFERROR(__xludf.DUMMYFUNCTION("GOOGLETRANSLATE(A23170,""en"",""pt"")"),"o uso do processador pesada")</f>
        <v>o uso do processador pesada</v>
      </c>
      <c r="B23170" s="3">
        <v>0</v>
      </c>
    </row>
    <row r="23171" ht="15.75" customHeight="1" spans="1:2">
      <c r="A23171" s="3" t="str">
        <f>IFERROR(__xludf.DUMMYFUNCTION("GOOGLETRANSLATE(A23171,""en"",""pt"")"),"RIP-OFF preços cartucho. não pode usar preto somente se a cor está esgotado. Impressão duplex muito lento.")</f>
        <v>RIP-OFF preços cartucho. não pode usar preto somente se a cor está esgotado. Impressão duplex muito lento.</v>
      </c>
      <c r="B23171" s="3">
        <v>0</v>
      </c>
    </row>
    <row r="23172" ht="15.75" customHeight="1" spans="1:2">
      <c r="A23172" s="3" t="str">
        <f>IFERROR(__xludf.DUMMYFUNCTION("GOOGLETRANSLATE(A23172,""en"",""pt"")"),"Desculpe, não encontramos nenhum!")</f>
        <v>Desculpe, não encontramos nenhum!</v>
      </c>
      <c r="B23172" s="3">
        <v>0</v>
      </c>
    </row>
    <row r="23173" ht="15.75" customHeight="1" spans="1:2">
      <c r="A23173" s="3" t="str">
        <f>IFERROR(__xludf.DUMMYFUNCTION("GOOGLETRANSLATE(A23173,""en"",""pt"")")," Custo custo...")</f>
        <v> Custo custo...</v>
      </c>
      <c r="B23173" s="3">
        <v>0</v>
      </c>
    </row>
    <row r="23174" ht="15.75" customHeight="1" spans="1:2">
      <c r="A23174" s="3" t="str">
        <f>IFERROR(__xludf.DUMMYFUNCTION("GOOGLETRANSLATE(A23174,""en"",""pt"")"),"Overhead alta CPU, Expensive")</f>
        <v>Overhead alta CPU, Expensive</v>
      </c>
      <c r="B23174" s="3">
        <v>0</v>
      </c>
    </row>
    <row r="23175" ht="15.75" customHeight="1" spans="1:2">
      <c r="A23175" s="3" t="str">
        <f>IFERROR(__xludf.DUMMYFUNCTION("GOOGLETRANSLATE(A23175,""en"",""pt"")"),"preço")</f>
        <v>preço</v>
      </c>
      <c r="B23175" s="3">
        <v>0</v>
      </c>
    </row>
    <row r="23176" ht="15.75" customHeight="1" spans="1:2">
      <c r="A23176" s="3" t="str">
        <f>IFERROR(__xludf.DUMMYFUNCTION("GOOGLETRANSLATE(A23176,""en"",""pt"")"),"caro")</f>
        <v>caro</v>
      </c>
      <c r="B23176" s="3">
        <v>0</v>
      </c>
    </row>
    <row r="23177" ht="15.75" customHeight="1" spans="1:2">
      <c r="A23177" s="3" t="str">
        <f>IFERROR(__xludf.DUMMYFUNCTION("GOOGLETRANSLATE(A23177,""en"",""pt"")"),"Preço")</f>
        <v>Preço</v>
      </c>
      <c r="B23177" s="3">
        <v>0</v>
      </c>
    </row>
    <row r="23178" ht="15.75" customHeight="1" spans="1:2">
      <c r="A23178" s="3" t="str">
        <f>IFERROR(__xludf.DUMMYFUNCTION("GOOGLETRANSLATE(A23178,""en"",""pt"")"),"Nenhum")</f>
        <v>Nenhum</v>
      </c>
      <c r="B23178" s="3">
        <v>0</v>
      </c>
    </row>
    <row r="23179" ht="15.75" customHeight="1" spans="1:2">
      <c r="A23179" s="3" t="str">
        <f>IFERROR(__xludf.DUMMYFUNCTION("GOOGLETRANSLATE(A23179,""en"",""pt"")"),"recurso duplex extremamente lento")</f>
        <v>recurso duplex extremamente lento</v>
      </c>
      <c r="B23179" s="3">
        <v>0</v>
      </c>
    </row>
    <row r="23180" ht="15.75" customHeight="1" spans="1:2">
      <c r="A23180" s="3" t="str">
        <f>IFERROR(__xludf.DUMMYFUNCTION("GOOGLETRANSLATE(A23180,""en"",""pt"")"),"Retarda o meu computador para baixo durante a impressão e cartuchos de impressão caros")</f>
        <v>Retarda o meu computador para baixo durante a impressão e cartuchos de impressão caros</v>
      </c>
      <c r="B23180" s="3">
        <v>0</v>
      </c>
    </row>
    <row r="23181" ht="15.75" customHeight="1" spans="1:2">
      <c r="A23181" s="3" t="str">
        <f>IFERROR(__xludf.DUMMYFUNCTION("GOOGLETRANSLATE(A23181,""en"",""pt"")"),"preço preços e tinta")</f>
        <v>preço preços e tinta</v>
      </c>
      <c r="B23181" s="3">
        <v>0</v>
      </c>
    </row>
    <row r="23182" ht="15.75" customHeight="1" spans="1:2">
      <c r="A23182" s="3" t="str">
        <f>IFERROR(__xludf.DUMMYFUNCTION("GOOGLETRANSLATE(A23182,""en"",""pt"")"),"impressão 2X poderia ser um pouco mais rápido, mas não muito mau para um primeiro!")</f>
        <v>impressão 2X poderia ser um pouco mais rápido, mas não muito mau para um primeiro!</v>
      </c>
      <c r="B23182" s="3">
        <v>0</v>
      </c>
    </row>
    <row r="23183" ht="15.75" customHeight="1" spans="1:2">
      <c r="A23183" s="3" t="str">
        <f>IFERROR(__xludf.DUMMYFUNCTION("GOOGLETRANSLATE(A23183,""en"",""pt"")"),"Não tão rápido como HP diz, mas perto o suficiente.")</f>
        <v>Não tão rápido como HP diz, mas perto o suficiente.</v>
      </c>
      <c r="B23183" s="3">
        <v>0</v>
      </c>
    </row>
    <row r="23184" ht="15.75" customHeight="1" spans="1:2">
      <c r="A23184" s="3" t="str">
        <f>IFERROR(__xludf.DUMMYFUNCTION("GOOGLETRANSLATE(A23184,""en"",""pt"")"),"O tamanho máximo é de 8,5 x 14")</f>
        <v>O tamanho máximo é de 8,5 x 14</v>
      </c>
      <c r="B23184" s="3">
        <v>0</v>
      </c>
    </row>
    <row r="23185" ht="15.75" customHeight="1" spans="1:2">
      <c r="A23185" s="3" t="str">
        <f>IFERROR(__xludf.DUMMYFUNCTION("GOOGLETRANSLATE(A23185,""en"",""pt"")"),"Não há tempo suficiente para brincar com ele. Alguns problemas de compatibilidade solucionáveis ​​com programas mais antigos.")</f>
        <v>Não há tempo suficiente para brincar com ele. Alguns problemas de compatibilidade solucionáveis ​​com programas mais antigos.</v>
      </c>
      <c r="B23185" s="3">
        <v>0</v>
      </c>
    </row>
    <row r="23186" ht="15.75" customHeight="1" spans="1:2">
      <c r="A23186" s="3" t="str">
        <f>IFERROR(__xludf.DUMMYFUNCTION("GOOGLETRANSLATE(A23186,""en"",""pt"")"),"Nenhum")</f>
        <v>Nenhum</v>
      </c>
      <c r="B23186" s="3">
        <v>0</v>
      </c>
    </row>
    <row r="23187" ht="15.75" customHeight="1" spans="1:2">
      <c r="A23187" s="3" t="str">
        <f>IFERROR(__xludf.DUMMYFUNCTION("GOOGLETRANSLATE(A23187,""en"",""pt"")"),"Um pouco caro")</f>
        <v>Um pouco caro</v>
      </c>
      <c r="B23187" s="3">
        <v>0</v>
      </c>
    </row>
    <row r="23188" ht="15.75" customHeight="1" spans="1:2">
      <c r="A23188" s="3" t="str">
        <f>IFERROR(__xludf.DUMMYFUNCTION("GOOGLETRANSLATE(A23188,""en"",""pt"")"),"Custo dos cartuchos, poderia ser mais silencioso ......")</f>
        <v>Custo dos cartuchos, poderia ser mais silencioso ......</v>
      </c>
      <c r="B23188" s="3">
        <v>0</v>
      </c>
    </row>
    <row r="23189" ht="15.75" customHeight="1" spans="1:2">
      <c r="A23189" s="3" t="str">
        <f>IFERROR(__xludf.DUMMYFUNCTION("GOOGLETRANSLATE(A23189,""en"",""pt"")"),"barulho")</f>
        <v>barulho</v>
      </c>
      <c r="B23189" s="3">
        <v>0</v>
      </c>
    </row>
    <row r="23190" ht="15.75" customHeight="1" spans="1:2">
      <c r="A23190" s="3" t="str">
        <f>IFERROR(__xludf.DUMMYFUNCTION("GOOGLETRANSLATE(A23190,""en"",""pt"")"),"nenhum ainda")</f>
        <v>nenhum ainda</v>
      </c>
      <c r="B23190" s="3">
        <v>0</v>
      </c>
    </row>
    <row r="23191" ht="15.75" customHeight="1" spans="1:2">
      <c r="A23191" s="3" t="str">
        <f>IFERROR(__xludf.DUMMYFUNCTION("GOOGLETRANSLATE(A23191,""en"",""pt"")"),"impressão de envelope horrível e impressão de papel 4x6 foto. número Toll para suporte e serviços de atendimento ao cliente pobres.")</f>
        <v>impressão de envelope horrível e impressão de papel 4x6 foto. número Toll para suporte e serviços de atendimento ao cliente pobres.</v>
      </c>
      <c r="B23191" s="3">
        <v>0</v>
      </c>
    </row>
    <row r="23192" ht="15.75" customHeight="1" spans="1:2">
      <c r="A23192" s="3" t="str">
        <f>IFERROR(__xludf.DUMMYFUNCTION("GOOGLETRANSLATE(A23192,""en"",""pt"")"),"texto preto poderia ser melhor")</f>
        <v>texto preto poderia ser melhor</v>
      </c>
      <c r="B23192" s="3">
        <v>0</v>
      </c>
    </row>
    <row r="23193" ht="15.75" customHeight="1" spans="1:2">
      <c r="A23193" s="3" t="str">
        <f>IFERROR(__xludf.DUMMYFUNCTION("GOOGLETRANSLATE(A23193,""en"",""pt"")"),"Nenhum")</f>
        <v>Nenhum</v>
      </c>
      <c r="B23193" s="3">
        <v>0</v>
      </c>
    </row>
    <row r="23194" ht="15.75" customHeight="1" spans="1:2">
      <c r="A23194" s="3" t="str">
        <f>IFERROR(__xludf.DUMMYFUNCTION("GOOGLETRANSLATE(A23194,""en"",""pt"")"),"Preço de tinta (um con com qualquer jato de tinta)")</f>
        <v>Preço de tinta (um con com qualquer jato de tinta)</v>
      </c>
      <c r="B23194" s="3">
        <v>0</v>
      </c>
    </row>
    <row r="23195" ht="15.75" customHeight="1" spans="1:2">
      <c r="A23195" s="3" t="str">
        <f>IFERROR(__xludf.DUMMYFUNCTION("GOOGLETRANSLATE(A23195,""en"",""pt"")"),"preço dos cartuchos um pouco alto")</f>
        <v>preço dos cartuchos um pouco alto</v>
      </c>
      <c r="B23195" s="3">
        <v>0</v>
      </c>
    </row>
    <row r="23196" ht="15.75" customHeight="1" spans="1:2">
      <c r="A23196" s="3" t="str">
        <f>IFERROR(__xludf.DUMMYFUNCTION("GOOGLETRANSLATE(A23196,""en"",""pt"")"),"Nenhum. Um valor muito bom!")</f>
        <v>Nenhum. Um valor muito bom!</v>
      </c>
      <c r="B23196" s="3">
        <v>0</v>
      </c>
    </row>
    <row r="23197" ht="15.75" customHeight="1" spans="1:2">
      <c r="A23197" s="3" t="str">
        <f>IFERROR(__xludf.DUMMYFUNCTION("GOOGLETRANSLATE(A23197,""en"",""pt"")"),"tinta azul necessária para imprimir preto, papel de qualidade necessária")</f>
        <v>tinta azul necessária para imprimir preto, papel de qualidade necessária</v>
      </c>
      <c r="B23197" s="3">
        <v>0</v>
      </c>
    </row>
    <row r="23198" ht="15.75" customHeight="1" spans="1:2">
      <c r="A23198" s="3" t="str">
        <f>IFERROR(__xludf.DUMMYFUNCTION("GOOGLETRANSLATE(A23198,""en"",""pt"")"),"os preços dos cartuchos de tinta são quase proibitivos !!")</f>
        <v>os preços dos cartuchos de tinta são quase proibitivos !!</v>
      </c>
      <c r="B23198" s="3">
        <v>0</v>
      </c>
    </row>
    <row r="23199" ht="15.75" customHeight="1" spans="1:2">
      <c r="A23199" s="3" t="str">
        <f>IFERROR(__xludf.DUMMYFUNCTION("GOOGLETRANSLATE(A23199,""en"",""pt"")"),"Pode ser bastante caro.")</f>
        <v>Pode ser bastante caro.</v>
      </c>
      <c r="B23199" s="3">
        <v>0</v>
      </c>
    </row>
    <row r="23200" ht="15.75" customHeight="1" spans="1:2">
      <c r="A23200" s="3" t="str">
        <f>IFERROR(__xludf.DUMMYFUNCTION("GOOGLETRANSLATE(A23200,""en"",""pt"")"),"Nenhum")</f>
        <v>Nenhum</v>
      </c>
      <c r="B23200" s="3">
        <v>0</v>
      </c>
    </row>
    <row r="23201" ht="15.75" customHeight="1" spans="1:2">
      <c r="A23201" s="3" t="str">
        <f>IFERROR(__xludf.DUMMYFUNCTION("GOOGLETRANSLATE(A23201,""en"",""pt"")"),"Usa muita tinta")</f>
        <v>Usa muita tinta</v>
      </c>
      <c r="B23201" s="3">
        <v>0</v>
      </c>
    </row>
    <row r="23202" ht="15.75" customHeight="1" spans="1:2">
      <c r="A23202" s="3" t="str">
        <f>IFERROR(__xludf.DUMMYFUNCTION("GOOGLETRANSLATE(A23202,""en"",""pt"")"),"Leva o seu tempo bom e velho para o arranque")</f>
        <v>Leva o seu tempo bom e velho para o arranque</v>
      </c>
      <c r="B23202" s="3">
        <v>0</v>
      </c>
    </row>
    <row r="23203" ht="15.75" customHeight="1" spans="1:2">
      <c r="A23203" s="3" t="str">
        <f>IFERROR(__xludf.DUMMYFUNCTION("GOOGLETRANSLATE(A23203,""en"",""pt"")"),"nenhum realmente")</f>
        <v>nenhum realmente</v>
      </c>
      <c r="B23203" s="3">
        <v>0</v>
      </c>
    </row>
    <row r="23204" ht="15.75" customHeight="1" spans="1:2">
      <c r="A23204" s="3" t="str">
        <f>IFERROR(__xludf.DUMMYFUNCTION("GOOGLETRANSLATE(A23204,""en"",""pt"")"),"Pesado e maior do que a maioria.")</f>
        <v>Pesado e maior do que a maioria.</v>
      </c>
      <c r="B23204" s="3">
        <v>0</v>
      </c>
    </row>
    <row r="23205" ht="15.75" customHeight="1" spans="1:2">
      <c r="A23205" s="3" t="str">
        <f>IFERROR(__xludf.DUMMYFUNCTION("GOOGLETRANSLATE(A23205,""en"",""pt"")"),"Doces envelopes, cartuchos custo hi!")</f>
        <v>Doces envelopes, cartuchos custo hi!</v>
      </c>
      <c r="B23205" s="3">
        <v>0</v>
      </c>
    </row>
    <row r="23206" ht="15.75" customHeight="1" spans="1:2">
      <c r="A23206" s="3" t="str">
        <f>IFERROR(__xludf.DUMMYFUNCTION("GOOGLETRANSLATE(A23206,""en"",""pt"")"),"cortes Duplexing acelerar drasticamente")</f>
        <v>cortes Duplexing acelerar drasticamente</v>
      </c>
      <c r="B23206" s="3">
        <v>0</v>
      </c>
    </row>
    <row r="23207" ht="15.75" customHeight="1" spans="1:2">
      <c r="A23207" s="3" t="str">
        <f>IFERROR(__xludf.DUMMYFUNCTION("GOOGLETRANSLATE(A23207,""en"",""pt"")"),"no lado caro")</f>
        <v>no lado caro</v>
      </c>
      <c r="B23207" s="3">
        <v>0</v>
      </c>
    </row>
    <row r="23208" ht="15.75" customHeight="1" spans="1:2">
      <c r="A23208" s="3" t="str">
        <f>IFERROR(__xludf.DUMMYFUNCTION("GOOGLETRANSLATE(A23208,""en"",""pt"")"),"pode ser lento às vezes para imagens grandes")</f>
        <v>pode ser lento às vezes para imagens grandes</v>
      </c>
      <c r="B23208" s="3">
        <v>0</v>
      </c>
    </row>
    <row r="23209" ht="15.75" customHeight="1" spans="1:2">
      <c r="A23209" s="3" t="str">
        <f>IFERROR(__xludf.DUMMYFUNCTION("GOOGLETRANSLATE(A23209,""en"",""pt"")"),"Cartuchos são muito caros e não recarregáveis ​​neste momento.")</f>
        <v>Cartuchos são muito caros e não recarregáveis ​​neste momento.</v>
      </c>
      <c r="B23209" s="3">
        <v>0</v>
      </c>
    </row>
    <row r="23210" ht="15.75" customHeight="1" spans="1:2">
      <c r="A23210" s="3" t="str">
        <f>IFERROR(__xludf.DUMMYFUNCTION("GOOGLETRANSLATE(A23210,""en"",""pt"")"),"preço")</f>
        <v>preço</v>
      </c>
      <c r="B23210" s="3">
        <v>0</v>
      </c>
    </row>
    <row r="23211" ht="15.75" customHeight="1" spans="1:2">
      <c r="A23211" s="3" t="str">
        <f>IFERROR(__xludf.DUMMYFUNCTION("GOOGLETRANSLATE(A23211,""en"",""pt"")"),"Nenhum")</f>
        <v>Nenhum</v>
      </c>
      <c r="B23211" s="3">
        <v>0</v>
      </c>
    </row>
    <row r="23212" ht="15.75" customHeight="1" spans="1:2">
      <c r="A23212" s="3" t="str">
        <f>IFERROR(__xludf.DUMMYFUNCTION("GOOGLETRANSLATE(A23212,""en"",""pt"")"),"Nenhum")</f>
        <v>Nenhum</v>
      </c>
      <c r="B23212" s="3">
        <v>0</v>
      </c>
    </row>
    <row r="23213" ht="15.75" customHeight="1" spans="1:2">
      <c r="A23213" s="3" t="str">
        <f>IFERROR(__xludf.DUMMYFUNCTION("GOOGLETRANSLATE(A23213,""en"",""pt"")"),"Nenhum")</f>
        <v>Nenhum</v>
      </c>
      <c r="B23213" s="3">
        <v>0</v>
      </c>
    </row>
    <row r="23214" ht="15.75" customHeight="1" spans="1:2">
      <c r="A23214" s="3" t="str">
        <f>IFERROR(__xludf.DUMMYFUNCTION("GOOGLETRANSLATE(A23214,""en"",""pt"")"),"atola o tempo todo, má resolução, gerenciamento de software ruim")</f>
        <v>atola o tempo todo, má resolução, gerenciamento de software ruim</v>
      </c>
      <c r="B23214" s="3">
        <v>0</v>
      </c>
    </row>
    <row r="23215" ht="15.75" customHeight="1" spans="1:2">
      <c r="A23215" s="3" t="str">
        <f>IFERROR(__xludf.DUMMYFUNCTION("GOOGLETRANSLATE(A23215,""en"",""pt"")"),"Nenhum")</f>
        <v>Nenhum</v>
      </c>
      <c r="B23215" s="3">
        <v>0</v>
      </c>
    </row>
    <row r="23216" ht="15.75" customHeight="1" spans="1:2">
      <c r="A23216" s="3" t="str">
        <f>IFERROR(__xludf.DUMMYFUNCTION("GOOGLETRANSLATE(A23216,""en"",""pt"")"),"até agora nenhum, talvez limites no tamanho do papel")</f>
        <v>até agora nenhum, talvez limites no tamanho do papel</v>
      </c>
      <c r="B23216" s="3">
        <v>0</v>
      </c>
    </row>
    <row r="23217" ht="15.75" customHeight="1" spans="1:2">
      <c r="A23217" s="3" t="str">
        <f>IFERROR(__xludf.DUMMYFUNCTION("GOOGLETRANSLATE(A23217,""en"",""pt"")"),"nada")</f>
        <v>nada</v>
      </c>
      <c r="B23217" s="3">
        <v>0</v>
      </c>
    </row>
    <row r="23218" ht="15.75" customHeight="1" spans="1:2">
      <c r="A23218" s="3" t="str">
        <f>IFERROR(__xludf.DUMMYFUNCTION("GOOGLETRANSLATE(A23218,""en"",""pt"")"),"caro, cartuchos caro")</f>
        <v>caro, cartuchos caro</v>
      </c>
      <c r="B23218" s="3">
        <v>0</v>
      </c>
    </row>
    <row r="23219" ht="15.75" customHeight="1" spans="1:2">
      <c r="A23219" s="3" t="str">
        <f>IFERROR(__xludf.DUMMYFUNCTION("GOOGLETRANSLATE(A23219,""en"",""pt"")"),"Caro - de acordo com R.S.P.")</f>
        <v>Caro - de acordo com R.S.P.</v>
      </c>
      <c r="B23219" s="3">
        <v>0</v>
      </c>
    </row>
    <row r="23220" ht="15.75" customHeight="1" spans="1:2">
      <c r="A23220" s="3" t="str">
        <f>IFERROR(__xludf.DUMMYFUNCTION("GOOGLETRANSLATE(A23220,""en"",""pt"")"),"Funciona através de um monte de tinta - e novos cartuchos custar um pacote")</f>
        <v>Funciona através de um monte de tinta - e novos cartuchos custar um pacote</v>
      </c>
      <c r="B23220" s="3">
        <v>0</v>
      </c>
    </row>
    <row r="23221" ht="15.75" customHeight="1" spans="1:2">
      <c r="A23221" s="3" t="str">
        <f>IFERROR(__xludf.DUMMYFUNCTION("GOOGLETRANSLATE(A23221,""en"",""pt"")"),"os cartuchos de tinta cara.")</f>
        <v>os cartuchos de tinta cara.</v>
      </c>
      <c r="B23221" s="3">
        <v>0</v>
      </c>
    </row>
    <row r="23222" ht="15.75" customHeight="1" spans="1:2">
      <c r="A23222" s="3" t="str">
        <f>IFERROR(__xludf.DUMMYFUNCTION("GOOGLETRANSLATE(A23222,""en"",""pt"")"),"custo de tinta")</f>
        <v>custo de tinta</v>
      </c>
      <c r="B23222" s="3">
        <v>0</v>
      </c>
    </row>
    <row r="23223" ht="15.75" customHeight="1" spans="1:2">
      <c r="A23223" s="3" t="str">
        <f>IFERROR(__xludf.DUMMYFUNCTION("GOOGLETRANSLATE(A23223,""en"",""pt"")"),"Não encontrei nenhum ainda")</f>
        <v>Não encontrei nenhum ainda</v>
      </c>
      <c r="B23223" s="3">
        <v>0</v>
      </c>
    </row>
    <row r="23224" ht="15.75" customHeight="1" spans="1:2">
      <c r="A23224" s="3" t="str">
        <f>IFERROR(__xludf.DUMMYFUNCTION("GOOGLETRANSLATE(A23224,""en"",""pt"")"),"custo de cartuchos de tinta")</f>
        <v>custo de cartuchos de tinta</v>
      </c>
      <c r="B23224" s="3">
        <v>0</v>
      </c>
    </row>
    <row r="23225" ht="15.75" customHeight="1" spans="1:2">
      <c r="A23225" s="3" t="str">
        <f>IFERROR(__xludf.DUMMYFUNCTION("GOOGLETRANSLATE(A23225,""en"",""pt"")"),"Atravessa a tinta rapidamente")</f>
        <v>Atravessa a tinta rapidamente</v>
      </c>
      <c r="B23225" s="3">
        <v>0</v>
      </c>
    </row>
    <row r="23226" ht="15.75" customHeight="1" spans="1:2">
      <c r="A23226" s="3" t="str">
        <f>IFERROR(__xludf.DUMMYFUNCTION("GOOGLETRANSLATE(A23226,""en"",""pt"")"),"Melhor para pequenos trabalhos, porque não possuem muita papel (cerca de 75 folhas, eu estimo)")</f>
        <v>Melhor para pequenos trabalhos, porque não possuem muita papel (cerca de 75 folhas, eu estimo)</v>
      </c>
      <c r="B23226" s="3">
        <v>0</v>
      </c>
    </row>
    <row r="23227" ht="15.75" customHeight="1" spans="1:2">
      <c r="A23227" s="3" t="str">
        <f>IFERROR(__xludf.DUMMYFUNCTION("GOOGLETRANSLATE(A23227,""en"",""pt"")"),"Uma impressora para usuários corporativos e domésticos mais preocupados com a qualidade do que a velocidade &amp; amp; # 13; &amp; amp; # 10;")</f>
        <v>Uma impressora para usuários corporativos e domésticos mais preocupados com a qualidade do que a velocidade &amp; amp; # 13; &amp; amp; # 10;</v>
      </c>
      <c r="B23227" s="3">
        <v>0</v>
      </c>
    </row>
    <row r="23228" ht="15.75" customHeight="1" spans="1:2">
      <c r="A23228" s="3" t="str">
        <f>IFERROR(__xludf.DUMMYFUNCTION("GOOGLETRANSLATE(A23228,""en"",""pt"")"),"Custo")</f>
        <v>Custo</v>
      </c>
      <c r="B23228" s="3">
        <v>0</v>
      </c>
    </row>
    <row r="23229" ht="15.75" customHeight="1" spans="1:2">
      <c r="A23229" s="3" t="str">
        <f>IFERROR(__xludf.DUMMYFUNCTION("GOOGLETRANSLATE(A23229,""en"",""pt"")"),"pode ser um pouco confuso")</f>
        <v>pode ser um pouco confuso</v>
      </c>
      <c r="B23229" s="3">
        <v>0</v>
      </c>
    </row>
    <row r="23230" ht="15.75" customHeight="1" spans="1:2">
      <c r="A23230" s="3" t="str">
        <f>IFERROR(__xludf.DUMMYFUNCTION("GOOGLETRANSLATE(A23230,""en"",""pt"")"),"30 segundos de atraso ao usar Duplexer / Ink é um Ripoff")</f>
        <v>30 segundos de atraso ao usar Duplexer / Ink é um Ripoff</v>
      </c>
      <c r="B23230" s="3">
        <v>0</v>
      </c>
    </row>
    <row r="23231" ht="15.75" customHeight="1" spans="1:2">
      <c r="A23231" s="3" t="str">
        <f>IFERROR(__xludf.DUMMYFUNCTION("GOOGLETRANSLATE(A23231,""en"",""pt"")"),"Um pouco caro, mas vale cada centavo!")</f>
        <v>Um pouco caro, mas vale cada centavo!</v>
      </c>
      <c r="B23231" s="3">
        <v>0</v>
      </c>
    </row>
    <row r="23232" ht="15.75" customHeight="1" spans="1:2">
      <c r="A23232" s="3" t="str">
        <f>IFERROR(__xludf.DUMMYFUNCTION("GOOGLETRANSLATE(A23232,""en"",""pt"")"),"instalar USB deve ser feito em seqüência, não plug and play")</f>
        <v>instalar USB deve ser feito em seqüência, não plug and play</v>
      </c>
      <c r="B23232" s="3">
        <v>0</v>
      </c>
    </row>
    <row r="23233" ht="15.75" customHeight="1" spans="1:2">
      <c r="A23233" s="3" t="str">
        <f>IFERROR(__xludf.DUMMYFUNCTION("GOOGLETRANSLATE(A23233,""en"",""pt"")"),"Não tão bom impressão de fotos como o 815C")</f>
        <v>Não tão bom impressão de fotos como o 815C</v>
      </c>
      <c r="B23233" s="3">
        <v>0</v>
      </c>
    </row>
    <row r="23234" ht="15.75" customHeight="1" spans="1:2">
      <c r="A23234" s="3" t="str">
        <f>IFERROR(__xludf.DUMMYFUNCTION("GOOGLETRANSLATE(A23234,""en"",""pt"")"),"velocidade lenta de qualidade fotográfica")</f>
        <v>velocidade lenta de qualidade fotográfica</v>
      </c>
      <c r="B23234" s="3">
        <v>0</v>
      </c>
    </row>
    <row r="23235" ht="15.75" customHeight="1" spans="1:2">
      <c r="A23235" s="3" t="str">
        <f>IFERROR(__xludf.DUMMYFUNCTION("GOOGLETRANSLATE(A23235,""en"",""pt"")"),"caro; falta de capacidade de programação no painel de impressora, isto é, duplexagem tem de ser feito por meio do condutor")</f>
        <v>caro; falta de capacidade de programação no painel de impressora, isto é, duplexagem tem de ser feito por meio do condutor</v>
      </c>
      <c r="B23235" s="3">
        <v>0</v>
      </c>
    </row>
    <row r="23236" ht="15.75" customHeight="1" spans="1:2">
      <c r="A23236" s="3" t="str">
        <f>IFERROR(__xludf.DUMMYFUNCTION("GOOGLETRANSLATE(A23236,""en"",""pt"")"),"sem cabos incluídos, caro")</f>
        <v>sem cabos incluídos, caro</v>
      </c>
      <c r="B23236" s="3">
        <v>0</v>
      </c>
    </row>
    <row r="23237" ht="15.75" customHeight="1" spans="1:2">
      <c r="A23237" s="3" t="str">
        <f>IFERROR(__xludf.DUMMYFUNCTION("GOOGLETRANSLATE(A23237,""en"",""pt"")"),"um pouco mais caro do que alguns outros")</f>
        <v>um pouco mais caro do que alguns outros</v>
      </c>
      <c r="B23237" s="3">
        <v>0</v>
      </c>
    </row>
    <row r="23238" ht="15.75" customHeight="1" spans="1:2">
      <c r="A23238" s="3" t="str">
        <f>IFERROR(__xludf.DUMMYFUNCTION("GOOGLETRANSLATE(A23238,""en"",""pt"")"),"Preços muito mais elevados do que outros, mas vale a pena")</f>
        <v>Preços muito mais elevados do que outros, mas vale a pena</v>
      </c>
      <c r="B23238" s="3">
        <v>0</v>
      </c>
    </row>
    <row r="23239" ht="15.75" customHeight="1" spans="1:2">
      <c r="A23239" s="3" t="str">
        <f>IFERROR(__xludf.DUMMYFUNCTION("GOOGLETRANSLATE(A23239,""en"",""pt"")"),"lento impressão frente e verso")</f>
        <v>lento impressão frente e verso</v>
      </c>
      <c r="B23239" s="3">
        <v>0</v>
      </c>
    </row>
    <row r="23240" ht="15.75" customHeight="1" spans="1:2">
      <c r="A23240" s="3" t="str">
        <f>IFERROR(__xludf.DUMMYFUNCTION("GOOGLETRANSLATE(A23240,""en"",""pt"")"),"Não gosto AdobeActiveShare")</f>
        <v>Não gosto AdobeActiveShare</v>
      </c>
      <c r="B23240" s="3">
        <v>0</v>
      </c>
    </row>
    <row r="23241" ht="15.75" customHeight="1" spans="1:2">
      <c r="A23241" s="3" t="str">
        <f>IFERROR(__xludf.DUMMYFUNCTION("GOOGLETRANSLATE(A23241,""en"",""pt"")"),"Sem cabo incluído")</f>
        <v>Sem cabo incluído</v>
      </c>
      <c r="B23241" s="3">
        <v>0</v>
      </c>
    </row>
    <row r="23242" ht="15.75" customHeight="1" spans="1:2">
      <c r="A23242" s="3" t="str">
        <f>IFERROR(__xludf.DUMMYFUNCTION("GOOGLETRANSLATE(A23242,""en"",""pt"")"),"preço")</f>
        <v>preço</v>
      </c>
      <c r="B23242" s="3">
        <v>0</v>
      </c>
    </row>
    <row r="23243" ht="15.75" customHeight="1" spans="1:2">
      <c r="A23243" s="3" t="str">
        <f>IFERROR(__xludf.DUMMYFUNCTION("GOOGLETRANSLATE(A23243,""en"",""pt"")"),"não vi nenhum, mas")</f>
        <v>não vi nenhum, mas</v>
      </c>
      <c r="B23243" s="3">
        <v>0</v>
      </c>
    </row>
    <row r="23244" ht="15.75" customHeight="1" spans="1:2">
      <c r="A23244" s="3" t="str">
        <f>IFERROR(__xludf.DUMMYFUNCTION("GOOGLETRANSLATE(A23244,""en"",""pt"")"),"Nenhum")</f>
        <v>Nenhum</v>
      </c>
      <c r="B23244" s="3">
        <v>0</v>
      </c>
    </row>
    <row r="23245" ht="15.75" customHeight="1" spans="1:2">
      <c r="A23245" s="3" t="str">
        <f>IFERROR(__xludf.DUMMYFUNCTION("GOOGLETRANSLATE(A23245,""en"",""pt"")"),"Nenhum")</f>
        <v>Nenhum</v>
      </c>
      <c r="B23245" s="3">
        <v>0</v>
      </c>
    </row>
    <row r="23246" ht="15.75" customHeight="1" spans="1:2">
      <c r="A23246" s="3" t="str">
        <f>IFERROR(__xludf.DUMMYFUNCTION("GOOGLETRANSLATE(A23246,""en"",""pt"")"),"Preço Alto")</f>
        <v>Preço Alto</v>
      </c>
      <c r="B23246" s="3">
        <v>0</v>
      </c>
    </row>
    <row r="23247" ht="15.75" customHeight="1" spans="1:2">
      <c r="A23247" s="3" t="str">
        <f>IFERROR(__xludf.DUMMYFUNCTION("GOOGLETRANSLATE(A23247,""en"",""pt"")"),"Custo? Mas você recebe o que você paga.")</f>
        <v>Custo? Mas você recebe o que você paga.</v>
      </c>
      <c r="B23247" s="3">
        <v>0</v>
      </c>
    </row>
    <row r="23248" ht="15.75" customHeight="1" spans="1:2">
      <c r="A23248" s="3" t="str">
        <f>IFERROR(__xludf.DUMMYFUNCTION("GOOGLETRANSLATE(A23248,""en"",""pt"")"),"caro para o momento (Países Baixos)")</f>
        <v>caro para o momento (Países Baixos)</v>
      </c>
      <c r="B23248" s="3">
        <v>0</v>
      </c>
    </row>
    <row r="23249" ht="15.75" customHeight="1" spans="1:2">
      <c r="A23249" s="3" t="str">
        <f>IFERROR(__xludf.DUMMYFUNCTION("GOOGLETRANSLATE(A23249,""en"",""pt"")"),"New Technology Cartuchos coloridos são difíceis de encontrar e caro!")</f>
        <v>New Technology Cartuchos coloridos são difíceis de encontrar e caro!</v>
      </c>
      <c r="B23249" s="3">
        <v>0</v>
      </c>
    </row>
    <row r="23250" ht="15.75" customHeight="1" spans="1:2">
      <c r="A23250" s="3" t="str">
        <f>IFERROR(__xludf.DUMMYFUNCTION("GOOGLETRANSLATE(A23250,""en"",""pt"")"),"Nenhum encontrado ainda")</f>
        <v>Nenhum encontrado ainda</v>
      </c>
      <c r="B23250" s="3">
        <v>0</v>
      </c>
    </row>
    <row r="23251" ht="15.75" customHeight="1" spans="1:2">
      <c r="A23251" s="3" t="str">
        <f>IFERROR(__xludf.DUMMYFUNCTION("GOOGLETRANSLATE(A23251,""en"",""pt"")"),"o uso de tinta no melhor modo.")</f>
        <v>o uso de tinta no melhor modo.</v>
      </c>
      <c r="B23251" s="3">
        <v>0</v>
      </c>
    </row>
    <row r="23252" ht="15.75" customHeight="1" spans="1:2">
      <c r="A23252" s="3" t="str">
        <f>IFERROR(__xludf.DUMMYFUNCTION("GOOGLETRANSLATE(A23252,""en"",""pt"")"),"A velocidade de impressão não é tão rápido como indicado na literatura empresa. A operação de impressão verso automática não está muito bem explicado no manual no que diz respeito aos ajustes que têm de ser feitas no software de processamento de texto. o "&amp;"ty")</f>
        <v>A velocidade de impressão não é tão rápido como indicado na literatura empresa. A operação de impressão verso automática não está muito bem explicado no manual no que diz respeito aos ajustes que têm de ser feitas no software de processamento de texto. o ty</v>
      </c>
      <c r="B23252" s="3">
        <v>0</v>
      </c>
    </row>
    <row r="23253" ht="15.75" customHeight="1" spans="1:2">
      <c r="A23253" s="3" t="s">
        <v>122</v>
      </c>
      <c r="B23253" s="3">
        <v>0</v>
      </c>
    </row>
    <row r="23254" ht="15.75" customHeight="1" spans="1:2">
      <c r="A23254" s="3" t="str">
        <f>IFERROR(__xludf.DUMMYFUNCTION("GOOGLETRANSLATE(A23254,""en"",""pt"")"),"preço")</f>
        <v>preço</v>
      </c>
      <c r="B23254" s="3">
        <v>0</v>
      </c>
    </row>
    <row r="23255" ht="15.75" customHeight="1" spans="1:2">
      <c r="A23255" s="3" t="str">
        <f>IFERROR(__xludf.DUMMYFUNCTION("GOOGLETRANSLATE(A23255,""en"",""pt"")"),"Pouco sobre o lado caro")</f>
        <v>Pouco sobre o lado caro</v>
      </c>
      <c r="B23255" s="3">
        <v>0</v>
      </c>
    </row>
    <row r="23256" ht="15.75" customHeight="1" spans="1:2">
      <c r="A23256" s="3" t="str">
        <f>IFERROR(__xludf.DUMMYFUNCTION("GOOGLETRANSLATE(A23256,""en"",""pt"")"),"Bastante caro, mas vale a pena.")</f>
        <v>Bastante caro, mas vale a pena.</v>
      </c>
      <c r="B23256" s="3">
        <v>0</v>
      </c>
    </row>
    <row r="23257" ht="15.75" customHeight="1" spans="1:2">
      <c r="A23257" s="3" t="str">
        <f>IFERROR(__xludf.DUMMYFUNCTION("GOOGLETRANSLATE(A23257,""en"",""pt"")"),"Tipo de caro")</f>
        <v>Tipo de caro</v>
      </c>
      <c r="B23257" s="3">
        <v>0</v>
      </c>
    </row>
    <row r="23258" ht="15.75" customHeight="1" spans="1:2">
      <c r="A23258" s="3" t="str">
        <f>IFERROR(__xludf.DUMMYFUNCTION("GOOGLETRANSLATE(A23258,""en"",""pt"")"),"Ele não funciona")</f>
        <v>Ele não funciona</v>
      </c>
      <c r="B23258" s="3">
        <v>0</v>
      </c>
    </row>
    <row r="23259" ht="15.75" customHeight="1" spans="1:2">
      <c r="A23259" s="3" t="str">
        <f>IFERROR(__xludf.DUMMYFUNCTION("GOOGLETRANSLATE(A23259,""en"",""pt"")"),"cor maçante em papel comum (Use Branco brilhante vez)")</f>
        <v>cor maçante em papel comum (Use Branco brilhante vez)</v>
      </c>
      <c r="B23259" s="3">
        <v>0</v>
      </c>
    </row>
    <row r="23260" ht="15.75" customHeight="1" spans="1:2">
      <c r="A23260" s="3" t="str">
        <f>IFERROR(__xludf.DUMMYFUNCTION("GOOGLETRANSLATE(A23260,""en"",""pt"")"),"A comutação entre portas paralelas USB e requer um ciclo de potência.")</f>
        <v>A comutação entre portas paralelas USB e requer um ciclo de potência.</v>
      </c>
      <c r="B23260" s="3">
        <v>0</v>
      </c>
    </row>
    <row r="23261" ht="15.75" customHeight="1" spans="1:2">
      <c r="A23261" s="3" t="str">
        <f>IFERROR(__xludf.DUMMYFUNCTION("GOOGLETRANSLATE(A23261,""en"",""pt"")"),"Sem cabo paralelo ou USB incluído")</f>
        <v>Sem cabo paralelo ou USB incluído</v>
      </c>
      <c r="B23261" s="3">
        <v>0</v>
      </c>
    </row>
    <row r="23262" ht="15.75" customHeight="1" spans="1:2">
      <c r="A23262" s="3" t="str">
        <f>IFERROR(__xludf.DUMMYFUNCTION("GOOGLETRANSLATE(A23262,""en"",""pt"")"),"NENHUM")</f>
        <v>NENHUM</v>
      </c>
      <c r="B23262" s="3">
        <v>0</v>
      </c>
    </row>
    <row r="23263" ht="15.75" customHeight="1" spans="1:2">
      <c r="A23263" s="3" t="str">
        <f>IFERROR(__xludf.DUMMYFUNCTION("GOOGLETRANSLATE(A23263,""en"",""pt"")"),"Não tão rápido como anunciado / Utiliza cartuchos coloridos")</f>
        <v>Não tão rápido como anunciado / Utiliza cartuchos coloridos</v>
      </c>
      <c r="B23263" s="3">
        <v>0</v>
      </c>
    </row>
    <row r="23264" ht="15.75" customHeight="1" spans="1:2">
      <c r="A23264" s="3" t="str">
        <f>IFERROR(__xludf.DUMMYFUNCTION("GOOGLETRANSLATE(A23264,""en"",""pt"")"),"motoristas W2K precisa incluir Nível de tinta Status, Nenhum cabo USB incluído.")</f>
        <v>motoristas W2K precisa incluir Nível de tinta Status, Nenhum cabo USB incluído.</v>
      </c>
      <c r="B23264" s="3">
        <v>0</v>
      </c>
    </row>
    <row r="23265" ht="15.75" customHeight="1" spans="1:2">
      <c r="A23265" s="3" t="s">
        <v>123</v>
      </c>
      <c r="B23265" s="3">
        <v>0</v>
      </c>
    </row>
    <row r="23266" ht="15.75" customHeight="1" spans="1:2">
      <c r="A23266" s="3" t="str">
        <f>IFERROR(__xludf.DUMMYFUNCTION("GOOGLETRANSLATE(A23266,""en"",""pt"")"),"custo")</f>
        <v>custo</v>
      </c>
      <c r="B23266" s="3">
        <v>0</v>
      </c>
    </row>
    <row r="23267" ht="15.75" customHeight="1" spans="1:2">
      <c r="A23267" s="3" t="str">
        <f>IFERROR(__xludf.DUMMYFUNCTION("GOOGLETRANSLATE(A23267,""en"",""pt"")"),"Nada que eu possa pensar.")</f>
        <v>Nada que eu possa pensar.</v>
      </c>
      <c r="B23267" s="3">
        <v>0</v>
      </c>
    </row>
    <row r="23268" ht="15.75" customHeight="1" spans="1:2">
      <c r="A23268" s="3" t="str">
        <f>IFERROR(__xludf.DUMMYFUNCTION("GOOGLETRANSLATE(A23268,""en"",""pt"")"),"Caro")</f>
        <v>Caro</v>
      </c>
      <c r="B23268" s="3">
        <v>0</v>
      </c>
    </row>
    <row r="23269" ht="15.75" customHeight="1" spans="1:2">
      <c r="A23269" s="3" t="str">
        <f>IFERROR(__xludf.DUMMYFUNCTION("GOOGLETRANSLATE(A23269,""en"",""pt"")"),"Nenhum")</f>
        <v>Nenhum</v>
      </c>
      <c r="B23269" s="3">
        <v>0</v>
      </c>
    </row>
    <row r="23270" ht="15.75" customHeight="1" spans="1:2">
      <c r="A23270" s="3" t="str">
        <f>IFERROR(__xludf.DUMMYFUNCTION("GOOGLETRANSLATE(A23270,""en"",""pt"")"),"Assista ao manuseio de papel, slot envelope não ajustável")</f>
        <v>Assista ao manuseio de papel, slot envelope não ajustável</v>
      </c>
      <c r="B23270" s="3">
        <v>0</v>
      </c>
    </row>
    <row r="23271" ht="15.75" customHeight="1" spans="1:2">
      <c r="A23271" s="3" t="str">
        <f>IFERROR(__xludf.DUMMYFUNCTION("GOOGLETRANSLATE(A23271,""en"",""pt"")"),"Pode ter algumas falhas")</f>
        <v>Pode ter algumas falhas</v>
      </c>
      <c r="B23271" s="3">
        <v>0</v>
      </c>
    </row>
    <row r="23272" ht="15.75" customHeight="1" spans="1:2">
      <c r="A23272" s="3" t="str">
        <f>IFERROR(__xludf.DUMMYFUNCTION("GOOGLETRANSLATE(A23272,""en"",""pt"")"),"??preço??")</f>
        <v>??preço??</v>
      </c>
      <c r="B23272" s="3">
        <v>0</v>
      </c>
    </row>
    <row r="23273" ht="15.75" customHeight="1" spans="1:2">
      <c r="A23273" s="3" t="str">
        <f>IFERROR(__xludf.DUMMYFUNCTION("GOOGLETRANSLATE(A23273,""en"",""pt"")"),"Tinta custa muito")</f>
        <v>Tinta custa muito</v>
      </c>
      <c r="B23273" s="3">
        <v>0</v>
      </c>
    </row>
    <row r="23274" ht="15.75" customHeight="1" spans="1:2">
      <c r="A23274" s="3" t="str">
        <f>IFERROR(__xludf.DUMMYFUNCTION("GOOGLETRANSLATE(A23274,""en"",""pt"")"),"Preço")</f>
        <v>Preço</v>
      </c>
      <c r="B23274" s="3">
        <v>0</v>
      </c>
    </row>
    <row r="23275" ht="15.75" customHeight="1" spans="1:2">
      <c r="A23275" s="3" t="str">
        <f>IFERROR(__xludf.DUMMYFUNCTION("GOOGLETRANSLATE(A23275,""en"",""pt"")"),"um pouco lento quando se trabalha com dois lados recurso")</f>
        <v>um pouco lento quando se trabalha com dois lados recurso</v>
      </c>
      <c r="B23275" s="3">
        <v>0</v>
      </c>
    </row>
    <row r="23276" ht="15.75" customHeight="1" spans="1:2">
      <c r="A23276" s="3" t="str">
        <f>IFERROR(__xludf.DUMMYFUNCTION("GOOGLETRANSLATE(A23276,""en"",""pt"")"),"os cartuchos de tinta caros")</f>
        <v>os cartuchos de tinta caros</v>
      </c>
      <c r="B23276" s="3">
        <v>0</v>
      </c>
    </row>
    <row r="23277" ht="15.75" customHeight="1" spans="1:2">
      <c r="A23277" s="3" t="str">
        <f>IFERROR(__xludf.DUMMYFUNCTION("GOOGLETRANSLATE(A23277,""en"",""pt"")"),"Nenhum!")</f>
        <v>Nenhum!</v>
      </c>
      <c r="B23277" s="3">
        <v>0</v>
      </c>
    </row>
    <row r="23278" ht="15.75" customHeight="1" spans="1:2">
      <c r="A23278" s="3" t="str">
        <f>IFERROR(__xludf.DUMMYFUNCTION("GOOGLETRANSLATE(A23278,""en"",""pt"")"),"Foi um pouco caro quando eu comprei, mas o preço, desde então diminuiu.")</f>
        <v>Foi um pouco caro quando eu comprei, mas o preço, desde então diminuiu.</v>
      </c>
      <c r="B23278" s="3">
        <v>0</v>
      </c>
    </row>
    <row r="23279" ht="15.75" customHeight="1" spans="1:2">
      <c r="A23279" s="3" t="str">
        <f>IFERROR(__xludf.DUMMYFUNCTION("GOOGLETRANSLATE(A23279,""en"",""pt"")"),"longo tempo de impressão de alta qualidade")</f>
        <v>longo tempo de impressão de alta qualidade</v>
      </c>
      <c r="B23279" s="3">
        <v>0</v>
      </c>
    </row>
    <row r="23280" ht="15.75" customHeight="1" spans="1:2">
      <c r="A23280" s="3" t="str">
        <f>IFERROR(__xludf.DUMMYFUNCTION("GOOGLETRANSLATE(A23280,""en"",""pt"")"),"Nenhum")</f>
        <v>Nenhum</v>
      </c>
      <c r="B23280" s="3">
        <v>0</v>
      </c>
    </row>
    <row r="23281" ht="15.75" customHeight="1" spans="1:2">
      <c r="A23281" s="3" t="str">
        <f>IFERROR(__xludf.DUMMYFUNCTION("GOOGLETRANSLATE(A23281,""en"",""pt"")"),"era caro, não mais")</f>
        <v>era caro, não mais</v>
      </c>
      <c r="B23281" s="3">
        <v>0</v>
      </c>
    </row>
    <row r="23282" ht="15.75" customHeight="1" spans="1:2">
      <c r="A23282" s="3" t="str">
        <f>IFERROR(__xludf.DUMMYFUNCTION("GOOGLETRANSLATE(A23282,""en"",""pt"")"),"O preço é um pouco mais do que outros InkJets Cor")</f>
        <v>O preço é um pouco mais do que outros InkJets Cor</v>
      </c>
      <c r="B23282" s="3">
        <v>0</v>
      </c>
    </row>
    <row r="23283" ht="15.75" customHeight="1" spans="1:2">
      <c r="A23283" s="3" t="str">
        <f>IFERROR(__xludf.DUMMYFUNCTION("GOOGLETRANSLATE(A23283,""en"",""pt"")"),"Nenhum")</f>
        <v>Nenhum</v>
      </c>
      <c r="B23283" s="3">
        <v>0</v>
      </c>
    </row>
    <row r="23284" ht="15.75" customHeight="1" spans="1:2">
      <c r="A23284" s="3" t="str">
        <f>IFERROR(__xludf.DUMMYFUNCTION("GOOGLETRANSLATE(A23284,""en"",""pt"")"),"Os cartuchos de tinta são caros e esta máquina consome tinta em um ritmo rápido")</f>
        <v>Os cartuchos de tinta são caros e esta máquina consome tinta em um ritmo rápido</v>
      </c>
      <c r="B23284" s="3">
        <v>0</v>
      </c>
    </row>
    <row r="23285" ht="15.75" customHeight="1" spans="1:2">
      <c r="A23285" s="3" t="str">
        <f>IFERROR(__xludf.DUMMYFUNCTION("GOOGLETRANSLATE(A23285,""en"",""pt"")"),"confundindo assistência técnica")</f>
        <v>confundindo assistência técnica</v>
      </c>
      <c r="B23285" s="3">
        <v>0</v>
      </c>
    </row>
    <row r="23286" ht="15.75" customHeight="1" spans="1:2">
      <c r="A23286" s="3" t="str">
        <f>IFERROR(__xludf.DUMMYFUNCTION("GOOGLETRANSLATE(A23286,""en"",""pt"")"),"absolutamente nada")</f>
        <v>absolutamente nada</v>
      </c>
      <c r="B23286" s="3">
        <v>0</v>
      </c>
    </row>
    <row r="23287" ht="15.75" customHeight="1" spans="1:2">
      <c r="A23287" s="3" t="str">
        <f>IFERROR(__xludf.DUMMYFUNCTION("GOOGLETRANSLATE(A23287,""en"",""pt"")"),"número de chamada")</f>
        <v>número de chamada</v>
      </c>
      <c r="B23287" s="3">
        <v>0</v>
      </c>
    </row>
    <row r="23288" ht="15.75" customHeight="1" spans="1:2">
      <c r="A23288" s="3" t="str">
        <f>IFERROR(__xludf.DUMMYFUNCTION("GOOGLETRANSLATE(A23288,""en"",""pt"")"),"nenhum encontrado")</f>
        <v>nenhum encontrado</v>
      </c>
      <c r="B23288" s="3">
        <v>0</v>
      </c>
    </row>
    <row r="23289" ht="15.75" customHeight="1" spans="1:2">
      <c r="A23289" s="3" t="str">
        <f>IFERROR(__xludf.DUMMYFUNCTION("GOOGLETRANSLATE(A23289,""en"",""pt"")"),"Caro")</f>
        <v>Caro</v>
      </c>
      <c r="B23289" s="3">
        <v>0</v>
      </c>
    </row>
    <row r="23290" ht="15.75" customHeight="1" spans="1:2">
      <c r="A23290" s="3" t="str">
        <f>IFERROR(__xludf.DUMMYFUNCTION("GOOGLETRANSLATE(A23290,""en"",""pt"")"),"A ligação duplex é mais sensível para compotas.")</f>
        <v>A ligação duplex é mais sensível para compotas.</v>
      </c>
      <c r="B23290" s="3">
        <v>0</v>
      </c>
    </row>
    <row r="23291" ht="15.75" customHeight="1" spans="1:2">
      <c r="A23291" s="3" t="str">
        <f>IFERROR(__xludf.DUMMYFUNCTION("GOOGLETRANSLATE(A23291,""en"",""pt"")"),"Documentos tendem a cair após a impressão.")</f>
        <v>Documentos tendem a cair após a impressão.</v>
      </c>
      <c r="B23291" s="3">
        <v>0</v>
      </c>
    </row>
    <row r="23292" ht="15.75" customHeight="1" spans="1:2">
      <c r="A23292" s="3" t="str">
        <f>IFERROR(__xludf.DUMMYFUNCTION("GOOGLETRANSLATE(A23292,""en"",""pt"")"),"Pode ser um pouco difícil de se trabalhar em USB")</f>
        <v>Pode ser um pouco difícil de se trabalhar em USB</v>
      </c>
      <c r="B23292" s="3">
        <v>0</v>
      </c>
    </row>
    <row r="23293" ht="15.75" customHeight="1" spans="1:2">
      <c r="A23293" s="3" t="str">
        <f>IFERROR(__xludf.DUMMYFUNCTION("GOOGLETRANSLATE(A23293,""en"",""pt"")"),"tempo de CPU do cair em trabalhos de impressão, ainda caro para a maioria dos usuários casuais")</f>
        <v>tempo de CPU do cair em trabalhos de impressão, ainda caro para a maioria dos usuários casuais</v>
      </c>
      <c r="B23293" s="3">
        <v>0</v>
      </c>
    </row>
    <row r="23294" ht="15.75" customHeight="1" spans="1:2">
      <c r="A23294" s="3" t="str">
        <f>IFERROR(__xludf.DUMMYFUNCTION("GOOGLETRANSLATE(A23294,""en"",""pt"")"),"Mais lento e mais caro do que 952C.")</f>
        <v>Mais lento e mais caro do que 952C.</v>
      </c>
      <c r="B23294" s="3">
        <v>0</v>
      </c>
    </row>
    <row r="23295" ht="15.75" customHeight="1" spans="1:2">
      <c r="A23295" s="3" t="str">
        <f>IFERROR(__xludf.DUMMYFUNCTION("GOOGLETRANSLATE(A23295,""en"",""pt"")"),"não tão muito mais barato,")</f>
        <v>não tão muito mais barato,</v>
      </c>
      <c r="B23295" s="3">
        <v>0</v>
      </c>
    </row>
    <row r="23296" ht="15.75" customHeight="1" spans="1:2">
      <c r="A23296" s="3" t="str">
        <f>IFERROR(__xludf.DUMMYFUNCTION("GOOGLETRANSLATE(A23296,""en"",""pt"")"),"Nenhum.")</f>
        <v>Nenhum.</v>
      </c>
      <c r="B23296" s="3">
        <v>0</v>
      </c>
    </row>
    <row r="23297" ht="15.75" customHeight="1" spans="1:2">
      <c r="A23297" s="3" t="str">
        <f>IFERROR(__xludf.DUMMYFUNCTION("GOOGLETRANSLATE(A23297,""en"",""pt"")"),"Ink passa muito rápido, e os cartuchos podem ser um pouco caro!")</f>
        <v>Ink passa muito rápido, e os cartuchos podem ser um pouco caro!</v>
      </c>
      <c r="B23297" s="3">
        <v>0</v>
      </c>
    </row>
    <row r="23298" ht="15.75" customHeight="1" spans="1:2">
      <c r="A23298" s="3" t="str">
        <f>IFERROR(__xludf.DUMMYFUNCTION("GOOGLETRANSLATE(A23298,""en"",""pt"")"),"Custo")</f>
        <v>Custo</v>
      </c>
      <c r="B23298" s="3">
        <v>0</v>
      </c>
    </row>
    <row r="23299" ht="15.75" customHeight="1" spans="1:2">
      <c r="A23299" s="3" t="str">
        <f>IFERROR(__xludf.DUMMYFUNCTION("GOOGLETRANSLATE(A23299,""en"",""pt"")"),"nenhum que eu notei")</f>
        <v>nenhum que eu notei</v>
      </c>
      <c r="B23299" s="3">
        <v>0</v>
      </c>
    </row>
    <row r="23300" ht="15.75" customHeight="1" spans="1:2">
      <c r="A23300" s="3" t="str">
        <f>IFERROR(__xludf.DUMMYFUNCTION("GOOGLETRANSLATE(A23300,""en"",""pt"")"),"Um pouco mais caro do que algumas impressoras, mas vale a pena.")</f>
        <v>Um pouco mais caro do que algumas impressoras, mas vale a pena.</v>
      </c>
      <c r="B23300" s="3">
        <v>0</v>
      </c>
    </row>
    <row r="23301" ht="15.75" customHeight="1" spans="1:2">
      <c r="A23301" s="3" t="str">
        <f>IFERROR(__xludf.DUMMYFUNCTION("GOOGLETRANSLATE(A23301,""en"",""pt"")"),"impressão de fotos tem pontos detectáveis, software extra não funciona em Macintosh")</f>
        <v>impressão de fotos tem pontos detectáveis, software extra não funciona em Macintosh</v>
      </c>
      <c r="B23301" s="3">
        <v>0</v>
      </c>
    </row>
    <row r="23302" ht="15.75" customHeight="1" spans="1:2">
      <c r="A23302" s="3" t="str">
        <f>IFERROR(__xludf.DUMMYFUNCTION("GOOGLETRANSLATE(A23302,""en"",""pt"")"),"Nenhum encontrado")</f>
        <v>Nenhum encontrado</v>
      </c>
      <c r="B23302" s="3">
        <v>0</v>
      </c>
    </row>
    <row r="23303" ht="15.75" customHeight="1" spans="1:2">
      <c r="A23303" s="3" t="str">
        <f>IFERROR(__xludf.DUMMYFUNCTION("GOOGLETRANSLATE(A23303,""en"",""pt"")"),"necessidades de tinta a ser alterada mais cedo do que a maioria das outras impressoras.")</f>
        <v>necessidades de tinta a ser alterada mais cedo do que a maioria das outras impressoras.</v>
      </c>
      <c r="B23303" s="3">
        <v>0</v>
      </c>
    </row>
    <row r="23304" ht="15.75" customHeight="1" spans="1:2">
      <c r="A23304" s="3" t="str">
        <f>IFERROR(__xludf.DUMMYFUNCTION("GOOGLETRANSLATE(A23304,""en"",""pt"")"),"Não vejo qualquer contras sobre esta impressora.")</f>
        <v>Não vejo qualquer contras sobre esta impressora.</v>
      </c>
      <c r="B23304" s="3">
        <v>0</v>
      </c>
    </row>
    <row r="23305" ht="15.75" customHeight="1" spans="1:2">
      <c r="A23305" s="3" t="str">
        <f>IFERROR(__xludf.DUMMYFUNCTION("GOOGLETRANSLATE(A23305,""en"",""pt"")"),"sem cabos incluídos, caro &amp; amp; # 13; &amp; amp; # 10; Recomendado: Sim")</f>
        <v>sem cabos incluídos, caro &amp; amp; # 13; &amp; amp; # 10; Recomendado: Sim</v>
      </c>
      <c r="B23305" s="3">
        <v>0</v>
      </c>
    </row>
    <row r="23306" ht="15.75" customHeight="1" spans="1:2">
      <c r="A23306" s="3" t="str">
        <f>IFERROR(__xludf.DUMMYFUNCTION("GOOGLETRANSLATE(A23306,""en"",""pt"")"),"Lento de impressão a cores quando você desejar boa qualidade, não escuta.")</f>
        <v>Lento de impressão a cores quando você desejar boa qualidade, não escuta.</v>
      </c>
      <c r="B23306" s="3">
        <v>0</v>
      </c>
    </row>
    <row r="23307" ht="15.75" customHeight="1" spans="1:2">
      <c r="A23307" s="3" t="str">
        <f>IFERROR(__xludf.DUMMYFUNCTION("GOOGLETRANSLATE(A23307,""en"",""pt"")"),"Um pouco caro, mas você recebe o que você paga!")</f>
        <v>Um pouco caro, mas você recebe o que você paga!</v>
      </c>
      <c r="B23307" s="3">
        <v>0</v>
      </c>
    </row>
    <row r="23308" ht="15.75" customHeight="1" spans="1:2">
      <c r="A23308" s="3" t="str">
        <f>IFERROR(__xludf.DUMMYFUNCTION("GOOGLETRANSLATE(A23308,""en"",""pt"")"),"velocidade lenta usando a porta paralela, sem cabos")</f>
        <v>velocidade lenta usando a porta paralela, sem cabos</v>
      </c>
      <c r="B23308" s="3">
        <v>0</v>
      </c>
    </row>
    <row r="23309" ht="15.75" customHeight="1" spans="1:2">
      <c r="A23309" s="3" t="str">
        <f>IFERROR(__xludf.DUMMYFUNCTION("GOOGLETRANSLATE(A23309,""en"",""pt"")"),"Preço, preços de cartucho, a velocidade de impressão")</f>
        <v>Preço, preços de cartucho, a velocidade de impressão</v>
      </c>
      <c r="B23309" s="3">
        <v>0</v>
      </c>
    </row>
    <row r="23310" ht="15.75" customHeight="1" spans="1:2">
      <c r="A23310" s="3" t="str">
        <f>IFERROR(__xludf.DUMMYFUNCTION("GOOGLETRANSLATE(A23310,""en"",""pt"")"),"carregamento barulhento. Cor cinza.")</f>
        <v>carregamento barulhento. Cor cinza.</v>
      </c>
      <c r="B23310" s="3">
        <v>0</v>
      </c>
    </row>
    <row r="23311" ht="15.75" customHeight="1" spans="1:2">
      <c r="A23311" s="3" t="str">
        <f>IFERROR(__xludf.DUMMYFUNCTION("GOOGLETRANSLATE(A23311,""en"",""pt"")"),"Ele leva alguns minutos (no máximo) para a tinta secar.")</f>
        <v>Ele leva alguns minutos (no máximo) para a tinta secar.</v>
      </c>
      <c r="B23311" s="3">
        <v>0</v>
      </c>
    </row>
    <row r="23312" ht="15.75" customHeight="1" spans="1:2">
      <c r="A23312" s="3" t="str">
        <f>IFERROR(__xludf.DUMMYFUNCTION("GOOGLETRANSLATE(A23312,""en"",""pt"")"),"Mais lento, barulhento, caro.")</f>
        <v>Mais lento, barulhento, caro.</v>
      </c>
      <c r="B23312" s="3">
        <v>0</v>
      </c>
    </row>
    <row r="23313" ht="15.75" customHeight="1" spans="1:2">
      <c r="A23313" s="3" t="str">
        <f>IFERROR(__xludf.DUMMYFUNCTION("GOOGLETRANSLATE(A23313,""en"",""pt"")"),"Ficar sem tinta rapidamente")</f>
        <v>Ficar sem tinta rapidamente</v>
      </c>
      <c r="B23313" s="3">
        <v>0</v>
      </c>
    </row>
    <row r="23314" ht="15.75" customHeight="1" spans="1:2">
      <c r="A23314" s="3" t="str">
        <f>IFERROR(__xludf.DUMMYFUNCTION("GOOGLETRANSLATE(A23314,""en"",""pt"")"),"Não é um laser.")</f>
        <v>Não é um laser.</v>
      </c>
      <c r="B23314" s="3">
        <v>0</v>
      </c>
    </row>
    <row r="23315" ht="15.75" customHeight="1" spans="1:2">
      <c r="A23315" s="3" t="str">
        <f>IFERROR(__xludf.DUMMYFUNCTION("GOOGLETRANSLATE(A23315,""en"",""pt"")"),"o preço pode ser um pouco alto, mas é qualidade")</f>
        <v>o preço pode ser um pouco alto, mas é qualidade</v>
      </c>
      <c r="B23315" s="3">
        <v>0</v>
      </c>
    </row>
    <row r="23316" ht="15.75" customHeight="1" spans="1:2">
      <c r="A23316" s="3" t="str">
        <f>IFERROR(__xludf.DUMMYFUNCTION("GOOGLETRANSLATE(A23316,""en"",""pt"")"),"A qualidade da foto não é ainda totalmente padrões Epson")</f>
        <v>A qualidade da foto não é ainda totalmente padrões Epson</v>
      </c>
      <c r="B23316" s="3">
        <v>0</v>
      </c>
    </row>
    <row r="23317" ht="15.75" customHeight="1" spans="1:2">
      <c r="A23317" s="3" t="str">
        <f>IFERROR(__xludf.DUMMYFUNCTION("GOOGLETRANSLATE(A23317,""en"",""pt"")"),"Não excitado com a bandeja de papel.")</f>
        <v>Não excitado com a bandeja de papel.</v>
      </c>
      <c r="B23317" s="3">
        <v>0</v>
      </c>
    </row>
    <row r="23318" ht="15.75" customHeight="1" spans="1:2">
      <c r="A23318" s="3" t="str">
        <f>IFERROR(__xludf.DUMMYFUNCTION("GOOGLETRANSLATE(A23318,""en"",""pt"")"),"alguns recursos não úteis (explicado no comentário). Tinta de volume caro e baixo.")</f>
        <v>alguns recursos não úteis (explicado no comentário). Tinta de volume caro e baixo.</v>
      </c>
      <c r="B23318" s="3">
        <v>0</v>
      </c>
    </row>
    <row r="23319" ht="15.75" customHeight="1" spans="1:2">
      <c r="A23319" s="3" t="str">
        <f>IFERROR(__xludf.DUMMYFUNCTION("GOOGLETRANSLATE(A23319,""en"",""pt"")"),"lulas")</f>
        <v>lulas</v>
      </c>
      <c r="B23319" s="3">
        <v>0</v>
      </c>
    </row>
    <row r="23320" ht="15.75" customHeight="1" spans="1:2">
      <c r="A23320" s="3" t="str">
        <f>IFERROR(__xludf.DUMMYFUNCTION("GOOGLETRANSLATE(A23320,""en"",""pt"")"),"representação de cores é off e imprime com efeito ""veneziano cego"" - delineação horizontal discernível da cabeça de impressão.")</f>
        <v>representação de cores é off e imprime com efeito "veneziano cego" - delineação horizontal discernível da cabeça de impressão.</v>
      </c>
      <c r="B23320" s="3">
        <v>0</v>
      </c>
    </row>
    <row r="23321" ht="15.75" customHeight="1" spans="1:2">
      <c r="A23321" s="3" t="str">
        <f>IFERROR(__xludf.DUMMYFUNCTION("GOOGLETRANSLATE(A23321,""en"",""pt"")"),"tinta caro.")</f>
        <v>tinta caro.</v>
      </c>
      <c r="B23321" s="3">
        <v>0</v>
      </c>
    </row>
    <row r="23322" ht="15.75" customHeight="1" spans="1:2">
      <c r="A23322" s="3" t="str">
        <f>IFERROR(__xludf.DUMMYFUNCTION("GOOGLETRANSLATE(A23322,""en"",""pt"")"),"lento")</f>
        <v>lento</v>
      </c>
      <c r="B23322" s="3">
        <v>0</v>
      </c>
    </row>
    <row r="23323" ht="15.75" customHeight="1" spans="1:2">
      <c r="A23323" s="3" t="str">
        <f>IFERROR(__xludf.DUMMYFUNCTION("GOOGLETRANSLATE(A23323,""en"",""pt"")"),"USB pode ser tempramental, cartidges são caros")</f>
        <v>USB pode ser tempramental, cartidges são caros</v>
      </c>
      <c r="B23323" s="3">
        <v>0</v>
      </c>
    </row>
    <row r="23324" ht="15.75" customHeight="1" spans="1:2">
      <c r="A23324" s="3" t="str">
        <f>IFERROR(__xludf.DUMMYFUNCTION("GOOGLETRANSLATE(A23324,""en"",""pt"")"),"Você seria tolice esperar que: texto em preto e branco não é qualidade de laser")</f>
        <v>Você seria tolice esperar que: texto em preto e branco não é qualidade de laser</v>
      </c>
      <c r="B23324" s="3">
        <v>0</v>
      </c>
    </row>
    <row r="23325" ht="15.75" customHeight="1" spans="1:2">
      <c r="A23325" s="3" t="str">
        <f>IFERROR(__xludf.DUMMYFUNCTION("GOOGLETRANSLATE(A23325,""en"",""pt"")"),"elevado consumo de tinta - custo de ele")</f>
        <v>elevado consumo de tinta - custo de ele</v>
      </c>
      <c r="B23325" s="3">
        <v>0</v>
      </c>
    </row>
    <row r="23326" ht="15.75" customHeight="1" spans="1:2">
      <c r="A23326" s="3" t="str">
        <f>IFERROR(__xludf.DUMMYFUNCTION("GOOGLETRANSLATE(A23326,""en"",""pt"")"),"HP DJ970 Cxi é um ""porco poder"".")</f>
        <v>HP DJ970 Cxi é um "porco poder".</v>
      </c>
      <c r="B23326" s="3">
        <v>0</v>
      </c>
    </row>
    <row r="23327" ht="15.75" customHeight="1" spans="1:2">
      <c r="A23327" s="3" t="str">
        <f>IFERROR(__xludf.DUMMYFUNCTION("GOOGLETRANSLATE(A23327,""en"",""pt"")"),"Lento em oi-res cor, caro (mas vale a pena!)")</f>
        <v>Lento em oi-res cor, caro (mas vale a pena!)</v>
      </c>
      <c r="B23327" s="3">
        <v>0</v>
      </c>
    </row>
    <row r="23328" ht="15.75" customHeight="1" spans="1:2">
      <c r="A23328" s="3" t="str">
        <f>IFERROR(__xludf.DUMMYFUNCTION("GOOGLETRANSLATE(A23328,""en"",""pt"")"),"Demais para uso doméstico e muito caro &amp; amp; # 13; &amp; amp; # 10; para use.not casa rápido o suficiente para buisnes")</f>
        <v>Demais para uso doméstico e muito caro &amp; amp; # 13; &amp; amp; # 10; para use.not casa rápido o suficiente para buisnes</v>
      </c>
      <c r="B23328" s="3">
        <v>0</v>
      </c>
    </row>
    <row r="23329" ht="15.75" customHeight="1" spans="1:2">
      <c r="A23329" s="3" t="str">
        <f>IFERROR(__xludf.DUMMYFUNCTION("GOOGLETRANSLATE(A23329,""en"",""pt"")"),"Era caro, não mais que agora custa $ 179,00 .....")</f>
        <v>Era caro, não mais que agora custa $ 179,00 .....</v>
      </c>
      <c r="B23329" s="3">
        <v>0</v>
      </c>
    </row>
    <row r="23330" ht="15.75" customHeight="1" spans="1:2">
      <c r="A23330" s="3" t="str">
        <f>IFERROR(__xludf.DUMMYFUNCTION("GOOGLETRANSLATE(A23330,""en"",""pt"")"),"Cartuchos de tinta um pouco caro.")</f>
        <v>Cartuchos de tinta um pouco caro.</v>
      </c>
      <c r="B23330" s="3">
        <v>0</v>
      </c>
    </row>
    <row r="23331" ht="15.75" customHeight="1" spans="1:2">
      <c r="A23331" s="3" t="str">
        <f>IFERROR(__xludf.DUMMYFUNCTION("GOOGLETRANSLATE(A23331,""en"",""pt"")"),"o uso de motorista CPU, preço, o Windows XP fede motorista.")</f>
        <v>o uso de motorista CPU, preço, o Windows XP fede motorista.</v>
      </c>
      <c r="B23331" s="3">
        <v>0</v>
      </c>
    </row>
    <row r="23332" ht="15.75" customHeight="1" spans="1:2">
      <c r="A23332" s="3" t="str">
        <f>IFERROR(__xludf.DUMMYFUNCTION("GOOGLETRANSLATE(A23332,""en"",""pt"")"),"impressão de fotos não é até a paridade")</f>
        <v>impressão de fotos não é até a paridade</v>
      </c>
      <c r="B23332" s="3">
        <v>0</v>
      </c>
    </row>
    <row r="23333" ht="15.75" customHeight="1" spans="1:2">
      <c r="A23333" s="3" t="str">
        <f>IFERROR(__xludf.DUMMYFUNCTION("GOOGLETRANSLATE(A23333,""en"",""pt"")"),"instalação levou algum trabalho extra (em um servidor de impressão), tinta caro")</f>
        <v>instalação levou algum trabalho extra (em um servidor de impressão), tinta caro</v>
      </c>
      <c r="B23333" s="3">
        <v>0</v>
      </c>
    </row>
    <row r="23334" ht="15.75" customHeight="1" spans="1:2">
      <c r="A23334" s="3" t="str">
        <f>IFERROR(__xludf.DUMMYFUNCTION("GOOGLETRANSLATE(A23334,""en"",""pt"")"),"Atola muito, às vezes imprime lento, parece ter uma mente própria")</f>
        <v>Atola muito, às vezes imprime lento, parece ter uma mente própria</v>
      </c>
      <c r="B23334" s="3">
        <v>0</v>
      </c>
    </row>
    <row r="23335" ht="15.75" customHeight="1" spans="1:2">
      <c r="A23335" s="3" t="str">
        <f>IFERROR(__xludf.DUMMYFUNCTION("GOOGLETRANSLATE(A23335,""en"",""pt"")"),"Alguns problemas de instalação no WinXP, verifique se você tem acesso à Internet para instalar.")</f>
        <v>Alguns problemas de instalação no WinXP, verifique se você tem acesso à Internet para instalar.</v>
      </c>
      <c r="B23335" s="3">
        <v>0</v>
      </c>
    </row>
    <row r="23336" ht="15.75" customHeight="1" spans="1:2">
      <c r="A23336" s="3" t="str">
        <f>IFERROR(__xludf.DUMMYFUNCTION("GOOGLETRANSLATE(A23336,""en"",""pt"")"),"Nenhum")</f>
        <v>Nenhum</v>
      </c>
      <c r="B23336" s="3">
        <v>0</v>
      </c>
    </row>
    <row r="23337" ht="15.75" customHeight="1" spans="1:2">
      <c r="A23337" s="3" t="str">
        <f>IFERROR(__xludf.DUMMYFUNCTION("GOOGLETRANSLATE(A23337,""en"",""pt"")"),"Nenhum")</f>
        <v>Nenhum</v>
      </c>
      <c r="B23337" s="3">
        <v>0</v>
      </c>
    </row>
    <row r="23338" ht="15.75" customHeight="1" spans="1:2">
      <c r="A23338" s="3" t="str">
        <f>IFERROR(__xludf.DUMMYFUNCTION("GOOGLETRANSLATE(A23338,""en"",""pt"")"),"Leva um mestrado em ciência da computação para obter essa coisa de trabalho?")</f>
        <v>Leva um mestrado em ciência da computação para obter essa coisa de trabalho?</v>
      </c>
      <c r="B23338" s="3">
        <v>0</v>
      </c>
    </row>
    <row r="23339" ht="15.75" customHeight="1" spans="1:2">
      <c r="A23339" s="3" t="str">
        <f>IFERROR(__xludf.DUMMYFUNCTION("GOOGLETRANSLATE(A23339,""en"",""pt"")"),"Muitos para listar aqui.")</f>
        <v>Muitos para listar aqui.</v>
      </c>
      <c r="B23339" s="3">
        <v>0</v>
      </c>
    </row>
    <row r="23340" ht="15.75" customHeight="1" spans="1:2">
      <c r="A23340" s="3" t="str">
        <f>IFERROR(__xludf.DUMMYFUNCTION("GOOGLETRANSLATE(A23340,""en"",""pt"")"),"Preço, feios Cores")</f>
        <v>Preço, feios Cores</v>
      </c>
      <c r="B23340" s="3">
        <v>0</v>
      </c>
    </row>
    <row r="23341" ht="15.75" customHeight="1" spans="1:2">
      <c r="A23341" s="3" t="str">
        <f>IFERROR(__xludf.DUMMYFUNCTION("GOOGLETRANSLATE(A23341,""en"",""pt"")"),"Ummm ... o fato de que alguém realmente vender este")</f>
        <v>Ummm ... o fato de que alguém realmente vender este</v>
      </c>
      <c r="B23341" s="3">
        <v>0</v>
      </c>
    </row>
    <row r="23342" ht="15.75" customHeight="1" spans="1:2">
      <c r="A23342" s="3" t="str">
        <f>IFERROR(__xludf.DUMMYFUNCTION("GOOGLETRANSLATE(A23342,""en"",""pt"")"),"não cumprir o orçamento de todos para uma impressora.")</f>
        <v>não cumprir o orçamento de todos para uma impressora.</v>
      </c>
      <c r="B23342" s="3">
        <v>0</v>
      </c>
    </row>
    <row r="23343" ht="15.75" customHeight="1" spans="1:2">
      <c r="A23343" s="3" t="str">
        <f>IFERROR(__xludf.DUMMYFUNCTION("GOOGLETRANSLATE(A23343,""en"",""pt"")"),"um pouco caro")</f>
        <v>um pouco caro</v>
      </c>
      <c r="B23343" s="3">
        <v>0</v>
      </c>
    </row>
    <row r="23344" ht="15.75" customHeight="1" spans="1:2">
      <c r="A23344" s="3" t="str">
        <f>IFERROR(__xludf.DUMMYFUNCTION("GOOGLETRANSLATE(A23344,""en"",""pt"")"),"Um pouco caro")</f>
        <v>Um pouco caro</v>
      </c>
      <c r="B23344" s="3">
        <v>0</v>
      </c>
    </row>
    <row r="23345" ht="15.75" customHeight="1" spans="1:2">
      <c r="A23345" s="3" t="str">
        <f>IFERROR(__xludf.DUMMYFUNCTION("GOOGLETRANSLATE(A23345,""en"",""pt"")"),"Uma das impressoras jato de tinta mais cara")</f>
        <v>Uma das impressoras jato de tinta mais cara</v>
      </c>
      <c r="B23345" s="3">
        <v>0</v>
      </c>
    </row>
    <row r="23346" ht="15.75" customHeight="1" spans="1:2">
      <c r="A23346" s="3" t="str">
        <f>IFERROR(__xludf.DUMMYFUNCTION("GOOGLETRANSLATE(A23346,""en"",""pt"")"),"Muito dinheiro")</f>
        <v>Muito dinheiro</v>
      </c>
      <c r="B23346" s="3">
        <v>0</v>
      </c>
    </row>
    <row r="23347" ht="15.75" customHeight="1" spans="1:2">
      <c r="A23347" s="3" t="str">
        <f>IFERROR(__xludf.DUMMYFUNCTION("GOOGLETRANSLATE(A23347,""en"",""pt"")"),"conexão USB Finicky")</f>
        <v>conexão USB Finicky</v>
      </c>
      <c r="B23347" s="3">
        <v>0</v>
      </c>
    </row>
    <row r="23348" ht="15.75" customHeight="1" spans="1:2">
      <c r="A23348" s="3" t="str">
        <f>IFERROR(__xludf.DUMMYFUNCTION("GOOGLETRANSLATE(A23348,""en"",""pt"")"),"Ruidosos, muita saída de tinta, destruir Envelopes, Doces")</f>
        <v>Ruidosos, muita saída de tinta, destruir Envelopes, Doces</v>
      </c>
      <c r="B23348" s="3">
        <v>0</v>
      </c>
    </row>
    <row r="23349" ht="15.75" customHeight="1" spans="1:2">
      <c r="A23349" s="3" t="str">
        <f>IFERROR(__xludf.DUMMYFUNCTION("GOOGLETRANSLATE(A23349,""en"",""pt"")")," não muito")</f>
        <v> não muito</v>
      </c>
      <c r="B23349" s="3">
        <v>0</v>
      </c>
    </row>
    <row r="23350" ht="15.75" customHeight="1" spans="1:2">
      <c r="A23350" s="3" t="str">
        <f>IFERROR(__xludf.DUMMYFUNCTION("GOOGLETRANSLATE(A23350,""en"",""pt"")"),"Nenhum cabo USB incluído no momento da compra. Caro.")</f>
        <v>Nenhum cabo USB incluído no momento da compra. Caro.</v>
      </c>
      <c r="B23350" s="3">
        <v>0</v>
      </c>
    </row>
    <row r="23351" ht="15.75" customHeight="1" spans="1:2">
      <c r="A23351" s="3" t="str">
        <f>IFERROR(__xludf.DUMMYFUNCTION("GOOGLETRANSLATE(A23351,""en"",""pt"")"),"Muito má impressão de fotos, parece que as impressoras velhas fazem, Granulado")</f>
        <v>Muito má impressão de fotos, parece que as impressoras velhas fazem, Granulado</v>
      </c>
      <c r="B23351" s="3">
        <v>0</v>
      </c>
    </row>
    <row r="23352" ht="15.75" customHeight="1" spans="1:2">
      <c r="A23352" s="3" t="str">
        <f>IFERROR(__xludf.DUMMYFUNCTION("GOOGLETRANSLATE(A23352,""en"",""pt"")"),"tinta caro, Pictures não duram muito tempo")</f>
        <v>tinta caro, Pictures não duram muito tempo</v>
      </c>
      <c r="B23352" s="3">
        <v>0</v>
      </c>
    </row>
    <row r="23353" ht="15.75" customHeight="1" spans="1:2">
      <c r="A23353" s="3" t="str">
        <f>IFERROR(__xludf.DUMMYFUNCTION("GOOGLETRANSLATE(A23353,""en"",""pt"")"),"S-G-S-W Para enrolar acima, geléias, drivers adequados")</f>
        <v>S-G-S-W Para enrolar acima, geléias, drivers adequados</v>
      </c>
      <c r="B23353" s="3">
        <v>0</v>
      </c>
    </row>
    <row r="23354" ht="15.75" customHeight="1" spans="1:2">
      <c r="A23354" s="3" t="str">
        <f>IFERROR(__xludf.DUMMYFUNCTION("GOOGLETRANSLATE(A23354,""en"",""pt"")"),"Nenhum")</f>
        <v>Nenhum</v>
      </c>
      <c r="B23354" s="3">
        <v>0</v>
      </c>
    </row>
    <row r="23355" ht="15.75" customHeight="1" spans="1:2">
      <c r="A23355" s="3" t="str">
        <f>IFERROR(__xludf.DUMMYFUNCTION("GOOGLETRANSLATE(A23355,""en"",""pt"")"),"Alta de impressora meio custo da impressora não é para todos, pode monopolizar grandes quantidades de tempo de CPU levando a tempo de CPU jeito ... você pode precisar esperar por meio de trabalhos complexos para concluir a impressão em baixo para computad"&amp;"ores de médio alcance")</f>
        <v>Alta de impressora meio custo da impressora não é para todos, pode monopolizar grandes quantidades de tempo de CPU levando a tempo de CPU jeito ... você pode precisar esperar por meio de trabalhos complexos para concluir a impressão em baixo para computadores de médio alcance</v>
      </c>
      <c r="B23355" s="3">
        <v>0</v>
      </c>
    </row>
    <row r="23356" ht="15.75" customHeight="1" spans="1:2">
      <c r="A23356" s="3" t="str">
        <f>IFERROR(__xludf.DUMMYFUNCTION("GOOGLETRANSLATE(A23356,""en"",""pt"")"),"Nenhum")</f>
        <v>Nenhum</v>
      </c>
      <c r="B23356" s="3">
        <v>0</v>
      </c>
    </row>
    <row r="23357" ht="15.75" customHeight="1" spans="1:2">
      <c r="A23357" s="3" t="str">
        <f>IFERROR(__xludf.DUMMYFUNCTION("GOOGLETRANSLATE(A23357,""en"",""pt"")"),"No lado dispendiosa")</f>
        <v>No lado dispendiosa</v>
      </c>
      <c r="B23357" s="3">
        <v>0</v>
      </c>
    </row>
    <row r="23358" ht="15.75" customHeight="1" spans="1:2">
      <c r="A23358" s="3" t="str">
        <f>IFERROR(__xludf.DUMMYFUNCTION("GOOGLETRANSLATE(A23358,""en"",""pt"")"),"Os cartuchos de tinta cara.")</f>
        <v>Os cartuchos de tinta cara.</v>
      </c>
      <c r="B23358" s="3">
        <v>0</v>
      </c>
    </row>
    <row r="23359" ht="15.75" customHeight="1" spans="1:2">
      <c r="A23359" s="3" t="str">
        <f>IFERROR(__xludf.DUMMYFUNCTION("GOOGLETRANSLATE(A23359,""en"",""pt"")"),"Muito elevados de consumo custar.")</f>
        <v>Muito elevados de consumo custar.</v>
      </c>
      <c r="B23359" s="3">
        <v>0</v>
      </c>
    </row>
    <row r="23360" ht="15.75" customHeight="1" spans="1:2">
      <c r="A23360" s="3" t="str">
        <f>IFERROR(__xludf.DUMMYFUNCTION("GOOGLETRANSLATE(A23360,""en"",""pt"")"),"Nenhum Observado")</f>
        <v>Nenhum Observado</v>
      </c>
      <c r="B23360" s="3">
        <v>0</v>
      </c>
    </row>
    <row r="23361" ht="15.75" customHeight="1" spans="1:2">
      <c r="A23361" s="3" t="str">
        <f>IFERROR(__xludf.DUMMYFUNCTION("GOOGLETRANSLATE(A23361,""en"",""pt"")"),"Só se conecta com USB e tem uma bastante grande pegada")</f>
        <v>Só se conecta com USB e tem uma bastante grande pegada</v>
      </c>
      <c r="B23361" s="3">
        <v>0</v>
      </c>
    </row>
    <row r="23362" ht="15.75" customHeight="1" spans="1:2">
      <c r="A23362" s="3" t="str">
        <f>IFERROR(__xludf.DUMMYFUNCTION("GOOGLETRANSLATE(A23362,""en"",""pt"")"),"Só se conecta com USB e tem uma bastante grande pegada")</f>
        <v>Só se conecta com USB e tem uma bastante grande pegada</v>
      </c>
      <c r="B23362" s="3">
        <v>0</v>
      </c>
    </row>
    <row r="23363" ht="15.75" customHeight="1" spans="1:2">
      <c r="A23363" s="3" t="str">
        <f>IFERROR(__xludf.DUMMYFUNCTION("GOOGLETRANSLATE(A23363,""en"",""pt"")"),"Drivers N / A de HP.com e parece motoristas soltas após a reinicialização.")</f>
        <v>Drivers N / A de HP.com e parece motoristas soltas após a reinicialização.</v>
      </c>
      <c r="B23363" s="3">
        <v>0</v>
      </c>
    </row>
    <row r="23364" ht="15.75" customHeight="1" spans="1:2">
      <c r="A23364" s="3" t="str">
        <f>IFERROR(__xludf.DUMMYFUNCTION("GOOGLETRANSLATE(A23364,""en"",""pt"")"),"tem 'bloqueado' ou 'preso' duas vezes")</f>
        <v>tem 'bloqueado' ou 'preso' duas vezes</v>
      </c>
      <c r="B23364" s="3">
        <v>0</v>
      </c>
    </row>
    <row r="23365" ht="15.75" customHeight="1" spans="1:2">
      <c r="A23365" s="3" t="str">
        <f>IFERROR(__xludf.DUMMYFUNCTION("GOOGLETRANSLATE(A23365,""en"",""pt"")"),"nenhum interruptor on-off, construção frágil")</f>
        <v>nenhum interruptor on-off, construção frágil</v>
      </c>
      <c r="B23365" s="3">
        <v>0</v>
      </c>
    </row>
    <row r="23366" ht="15.75" customHeight="1" spans="1:2">
      <c r="A23366" s="3" t="str">
        <f>IFERROR(__xludf.DUMMYFUNCTION("GOOGLETRANSLATE(A23366,""en"",""pt"")"),"suporte Linux, suporte MAC")</f>
        <v>suporte Linux, suporte MAC</v>
      </c>
      <c r="B23366" s="3">
        <v>0</v>
      </c>
    </row>
    <row r="23367" ht="15.75" customHeight="1" spans="1:2">
      <c r="A23367" s="3" t="str">
        <f>IFERROR(__xludf.DUMMYFUNCTION("GOOGLETRANSLATE(A23367,""en"",""pt"")"),"os cartuchos de tinta na cara lateral")</f>
        <v>os cartuchos de tinta na cara lateral</v>
      </c>
      <c r="B23367" s="3">
        <v>0</v>
      </c>
    </row>
    <row r="23368" ht="15.75" customHeight="1" spans="1:2">
      <c r="A23368" s="3" t="str">
        <f>IFERROR(__xludf.DUMMYFUNCTION("GOOGLETRANSLATE(A23368,""en"",""pt"")"),"Alto e recicla muito.")</f>
        <v>Alto e recicla muito.</v>
      </c>
      <c r="B23368" s="3">
        <v>0</v>
      </c>
    </row>
    <row r="23369" ht="15.75" customHeight="1" spans="1:2">
      <c r="A23369" s="3" t="str">
        <f>IFERROR(__xludf.DUMMYFUNCTION("GOOGLETRANSLATE(A23369,""en"",""pt"")"),"Nenhum")</f>
        <v>Nenhum</v>
      </c>
      <c r="B23369" s="3">
        <v>0</v>
      </c>
    </row>
    <row r="23370" ht="15.75" customHeight="1" spans="1:2">
      <c r="A23370" s="3" t="str">
        <f>IFERROR(__xludf.DUMMYFUNCTION("GOOGLETRANSLATE(A23370,""en"",""pt"")"),"primeiro que eu comprei foi um limão")</f>
        <v>primeiro que eu comprei foi um limão</v>
      </c>
      <c r="B23370" s="3">
        <v>0</v>
      </c>
    </row>
    <row r="23371" ht="15.75" customHeight="1" spans="1:2">
      <c r="A23371" s="3" t="str">
        <f>IFERROR(__xludf.DUMMYFUNCTION("GOOGLETRANSLATE(A23371,""en"",""pt"")"),"única Sem alimentador manual, USB, nenhum painel de controle absoluto")</f>
        <v>única Sem alimentador manual, USB, nenhum painel de controle absoluto</v>
      </c>
      <c r="B23371" s="3">
        <v>0</v>
      </c>
    </row>
    <row r="23372" ht="15.75" customHeight="1" spans="1:2">
      <c r="A23372" s="3" t="str">
        <f>IFERROR(__xludf.DUMMYFUNCTION("GOOGLETRANSLATE(A23372,""en"",""pt"")"),"Alguns onda da página")</f>
        <v>Alguns onda da página</v>
      </c>
      <c r="B23372" s="3">
        <v>0</v>
      </c>
    </row>
    <row r="23373" ht="15.75" customHeight="1" spans="1:2">
      <c r="A23373" s="3" t="str">
        <f>IFERROR(__xludf.DUMMYFUNCTION("GOOGLETRANSLATE(A23373,""en"",""pt"")"),"Apenas compatível com Windows, um pouco barulhento, nenhum botão On / Off, nenhum slot de alimentação manual de papel")</f>
        <v>Apenas compatível com Windows, um pouco barulhento, nenhum botão On / Off, nenhum slot de alimentação manual de papel</v>
      </c>
      <c r="B23373" s="3">
        <v>0</v>
      </c>
    </row>
    <row r="23374" ht="15.75" customHeight="1" spans="1:2">
      <c r="A23374" s="3" t="str">
        <f>IFERROR(__xludf.DUMMYFUNCTION("GOOGLETRANSLATE(A23374,""en"",""pt"")"),"Tudo é controlado através do computador, sem frescura, apenas PC")</f>
        <v>Tudo é controlado através do computador, sem frescura, apenas PC</v>
      </c>
      <c r="B23374" s="3">
        <v>0</v>
      </c>
    </row>
    <row r="23375" ht="15.75" customHeight="1" spans="1:2">
      <c r="A23375" s="3" t="str">
        <f>IFERROR(__xludf.DUMMYFUNCTION("GOOGLETRANSLATE(A23375,""en"",""pt"")"),"Cartuchos são caros.")</f>
        <v>Cartuchos são caros.</v>
      </c>
      <c r="B23375" s="3">
        <v>0</v>
      </c>
    </row>
    <row r="23376" ht="15.75" customHeight="1" spans="1:2">
      <c r="A23376" s="3" t="str">
        <f>IFERROR(__xludf.DUMMYFUNCTION("GOOGLETRANSLATE(A23376,""en"",""pt"")"),"Sem cor, e não pode ser usado com o Macintosh.")</f>
        <v>Sem cor, e não pode ser usado com o Macintosh.</v>
      </c>
      <c r="B23376" s="3">
        <v>0</v>
      </c>
    </row>
    <row r="23377" ht="15.75" customHeight="1" spans="1:2">
      <c r="A23377" s="3" t="str">
        <f>IFERROR(__xludf.DUMMYFUNCTION("GOOGLETRANSLATE(A23377,""en"",""pt"")"),"No on / off botão. Não configurar instruções ou manual impresso.")</f>
        <v>No on / off botão. Não configurar instruções ou manual impresso.</v>
      </c>
      <c r="B23377" s="3">
        <v>0</v>
      </c>
    </row>
    <row r="23378" ht="15.75" customHeight="1" spans="1:2">
      <c r="A23378" s="3" t="str">
        <f>IFERROR(__xludf.DUMMYFUNCTION("GOOGLETRANSLATE(A23378,""en"",""pt"")"),"alimentação de papel está mal colocado, a manutenção é dispendiosa.")</f>
        <v>alimentação de papel está mal colocado, a manutenção é dispendiosa.</v>
      </c>
      <c r="B23378" s="3">
        <v>0</v>
      </c>
    </row>
    <row r="23379" ht="15.75" customHeight="1" spans="1:2">
      <c r="A23379" s="3" t="str">
        <f>IFERROR(__xludf.DUMMYFUNCTION("GOOGLETRANSLATE(A23379,""en"",""pt"")"),"Notorious por não semanas ou meses após a compra")</f>
        <v>Notorious por não semanas ou meses após a compra</v>
      </c>
      <c r="B23379" s="3">
        <v>0</v>
      </c>
    </row>
    <row r="23380" ht="15.75" customHeight="1" spans="1:2">
      <c r="A23380" s="3" t="str">
        <f>IFERROR(__xludf.DUMMYFUNCTION("GOOGLETRANSLATE(A23380,""en"",""pt"")"),"toner é caro para substituir")</f>
        <v>toner é caro para substituir</v>
      </c>
      <c r="B23380" s="3">
        <v>0</v>
      </c>
    </row>
    <row r="23381" ht="15.75" customHeight="1" spans="1:2">
      <c r="A23381" s="3" t="str">
        <f>IFERROR(__xludf.DUMMYFUNCTION("GOOGLETRANSLATE(A23381,""en"",""pt"")"),"um pouco grande para pouco espaço na mesa")</f>
        <v>um pouco grande para pouco espaço na mesa</v>
      </c>
      <c r="B23381" s="3">
        <v>0</v>
      </c>
    </row>
    <row r="23382" ht="15.75" customHeight="1" spans="1:2">
      <c r="A23382" s="3" t="str">
        <f>IFERROR(__xludf.DUMMYFUNCTION("GOOGLETRANSLATE(A23382,""en"",""pt"")"),"breaks rolos de papel, impressão fraco, sem USB")</f>
        <v>breaks rolos de papel, impressão fraco, sem USB</v>
      </c>
      <c r="B23382" s="3">
        <v>0</v>
      </c>
    </row>
    <row r="23383" ht="15.75" customHeight="1" spans="1:2">
      <c r="A23383" s="3" t="str">
        <f>IFERROR(__xludf.DUMMYFUNCTION("GOOGLETRANSLATE(A23383,""en"",""pt"")"),"A alimentação de papel verticle vai defeituosa em cada máquina com o tempo")</f>
        <v>A alimentação de papel verticle vai defeituosa em cada máquina com o tempo</v>
      </c>
      <c r="B23383" s="3">
        <v>0</v>
      </c>
    </row>
    <row r="23384" ht="15.75" customHeight="1" spans="1:2">
      <c r="A23384" s="3" t="str">
        <f>IFERROR(__xludf.DUMMYFUNCTION("GOOGLETRANSLATE(A23384,""en"",""pt"")"),"Jams em papéis texturizados, limitações com o uso")</f>
        <v>Jams em papéis texturizados, limitações com o uso</v>
      </c>
      <c r="B23384" s="3">
        <v>0</v>
      </c>
    </row>
    <row r="23385" ht="15.75" customHeight="1" spans="1:2">
      <c r="A23385" s="3" t="str">
        <f>IFERROR(__xludf.DUMMYFUNCTION("GOOGLETRANSLATE(A23385,""en"",""pt"")"),"atolará incrivelmente depois de um período de tempo")</f>
        <v>atolará incrivelmente depois de um período de tempo</v>
      </c>
      <c r="B23385" s="3">
        <v>0</v>
      </c>
    </row>
    <row r="23386" ht="15.75" customHeight="1" spans="1:2">
      <c r="A23386" s="3" t="str">
        <f>IFERROR(__xludf.DUMMYFUNCTION("GOOGLETRANSLATE(A23386,""en"",""pt"")"),"atolamentos de papel quase constantes em cada um nós próprios")</f>
        <v>atolamentos de papel quase constantes em cada um nós próprios</v>
      </c>
      <c r="B23386" s="3">
        <v>0</v>
      </c>
    </row>
    <row r="23387" ht="15.75" customHeight="1" spans="1:2">
      <c r="A23387" s="3" t="str">
        <f>IFERROR(__xludf.DUMMYFUNCTION("GOOGLETRANSLATE(A23387,""en"",""pt"")"),"Jam, compotas, esta impressora de congestionamentos horrivelmente e sistema de codificação o erro é ridículo!")</f>
        <v>Jam, compotas, esta impressora de congestionamentos horrivelmente e sistema de codificação o erro é ridículo!</v>
      </c>
      <c r="B23387" s="3">
        <v>0</v>
      </c>
    </row>
    <row r="23388" ht="15.75" customHeight="1" spans="1:2">
      <c r="A23388" s="3" t="str">
        <f>IFERROR(__xludf.DUMMYFUNCTION("GOOGLETRANSLATE(A23388,""en"",""pt"")"),"Papel Jamming, mas veja explicação abaixo.")</f>
        <v>Papel Jamming, mas veja explicação abaixo.</v>
      </c>
      <c r="B23388" s="3">
        <v>0</v>
      </c>
    </row>
    <row r="23389" ht="15.75" customHeight="1" spans="1:2">
      <c r="A23389" s="3" t="str">
        <f>IFERROR(__xludf.DUMMYFUNCTION("GOOGLETRANSLATE(A23389,""en"",""pt"")"),"Constantemente congestionamentos, mesmo após a aplicação de correção da HP")</f>
        <v>Constantemente congestionamentos, mesmo após a aplicação de correção da HP</v>
      </c>
      <c r="B23389" s="3">
        <v>0</v>
      </c>
    </row>
    <row r="23390" ht="15.75" customHeight="1" spans="1:2">
      <c r="A23390" s="3" t="str">
        <f>IFERROR(__xludf.DUMMYFUNCTION("GOOGLETRANSLATE(A23390,""en"",""pt"")"),"problema de alimentação de papel ... o HP rápida rememdy não quer trabalhar")</f>
        <v>problema de alimentação de papel ... o HP rápida rememdy não quer trabalhar</v>
      </c>
      <c r="B23390" s="3">
        <v>0</v>
      </c>
    </row>
    <row r="23391" ht="15.75" customHeight="1" spans="1:2">
      <c r="A23391" s="3" t="str">
        <f>IFERROR(__xludf.DUMMYFUNCTION("GOOGLETRANSLATE(A23391,""en"",""pt"")"),"velocidade, atolamentos de papel (o tempo todo)")</f>
        <v>velocidade, atolamentos de papel (o tempo todo)</v>
      </c>
      <c r="B23391" s="3">
        <v>0</v>
      </c>
    </row>
    <row r="23392" ht="15.75" customHeight="1" spans="1:2">
      <c r="A23392" s="3" t="str">
        <f>IFERROR(__xludf.DUMMYFUNCTION("GOOGLETRANSLATE(A23392,""en"",""pt"")"),"Geléias, compotas, JAMS o que mais posso dizer.,")</f>
        <v>Geléias, compotas, JAMS o que mais posso dizer.,</v>
      </c>
      <c r="B23392" s="3">
        <v>0</v>
      </c>
    </row>
    <row r="23393" ht="15.75" customHeight="1" spans="1:2">
      <c r="A23393" s="3" t="str">
        <f>IFERROR(__xludf.DUMMYFUNCTION("GOOGLETRANSLATE(A23393,""en"",""pt"")"),"Não muito rápido, Envelopes Selos")</f>
        <v>Não muito rápido, Envelopes Selos</v>
      </c>
      <c r="B23393" s="3">
        <v>0</v>
      </c>
    </row>
    <row r="23394" ht="15.75" customHeight="1" spans="1:2">
      <c r="A23394" s="3" t="str">
        <f>IFERROR(__xludf.DUMMYFUNCTION("GOOGLETRANSLATE(A23394,""en"",""pt"")"),"Lento em gráficos carregados páginas, motorista pode causar problemas")</f>
        <v>Lento em gráficos carregados páginas, motorista pode causar problemas</v>
      </c>
      <c r="B23394" s="3">
        <v>0</v>
      </c>
    </row>
    <row r="23395" ht="15.75" customHeight="1" spans="1:2">
      <c r="A23395" s="3" t="str">
        <f>IFERROR(__xludf.DUMMYFUNCTION("GOOGLETRANSLATE(A23395,""en"",""pt"")"),"atolamentos de papel")</f>
        <v>atolamentos de papel</v>
      </c>
      <c r="B23395" s="3">
        <v>0</v>
      </c>
    </row>
    <row r="23396" ht="15.75" customHeight="1" spans="1:2">
      <c r="A23396" s="3" t="str">
        <f>IFERROR(__xludf.DUMMYFUNCTION("GOOGLETRANSLATE(A23396,""en"",""pt"")"),"Pensa 20 folhas é igual a uma folha!")</f>
        <v>Pensa 20 folhas é igual a uma folha!</v>
      </c>
      <c r="B23396" s="3">
        <v>0</v>
      </c>
    </row>
    <row r="23397" ht="15.75" customHeight="1" spans="1:2">
      <c r="A23397" s="3" t="str">
        <f>IFERROR(__xludf.DUMMYFUNCTION("GOOGLETRANSLATE(A23397,""en"",""pt"")"),"custo")</f>
        <v>custo</v>
      </c>
      <c r="B23397" s="3">
        <v>0</v>
      </c>
    </row>
    <row r="23398" ht="15.75" customHeight="1" spans="1:2">
      <c r="A23398" s="3" t="str">
        <f>IFERROR(__xludf.DUMMYFUNCTION("GOOGLETRANSLATE(A23398,""en"",""pt"")"),"Os principais problemas de alimentação de papel")</f>
        <v>Os principais problemas de alimentação de papel</v>
      </c>
      <c r="B23398" s="3">
        <v>0</v>
      </c>
    </row>
    <row r="23399" ht="15.75" customHeight="1" spans="1:2">
      <c r="A23399" s="3" t="str">
        <f>IFERROR(__xludf.DUMMYFUNCTION("GOOGLETRANSLATE(A23399,""en"",""pt"")"),"Fiabilidade, utilidade, suporte ao cliente.")</f>
        <v>Fiabilidade, utilidade, suporte ao cliente.</v>
      </c>
      <c r="B23399" s="3">
        <v>0</v>
      </c>
    </row>
    <row r="23400" ht="15.75" customHeight="1" spans="1:2">
      <c r="A23400" s="3" t="str">
        <f>IFERROR(__xludf.DUMMYFUNCTION("GOOGLETRANSLATE(A23400,""en"",""pt"")"),"Volumoso")</f>
        <v>Volumoso</v>
      </c>
      <c r="B23400" s="3">
        <v>0</v>
      </c>
    </row>
    <row r="23401" ht="15.75" customHeight="1" spans="1:2">
      <c r="A23401" s="3" t="str">
        <f>IFERROR(__xludf.DUMMYFUNCTION("GOOGLETRANSLATE(A23401,""en"",""pt"")"),"o recurso copiadora trabalho dosen't bem com fotos, então agian é em tons de cinza ...")</f>
        <v>o recurso copiadora trabalho dosen't bem com fotos, então agian é em tons de cinza ...</v>
      </c>
      <c r="B23401" s="3">
        <v>0</v>
      </c>
    </row>
    <row r="23402" ht="15.75" customHeight="1" spans="1:2">
      <c r="A23402" s="3" t="str">
        <f>IFERROR(__xludf.DUMMYFUNCTION("GOOGLETRANSLATE(A23402,""en"",""pt"")"),"a cor é muito caro")</f>
        <v>a cor é muito caro</v>
      </c>
      <c r="B23402" s="3">
        <v>0</v>
      </c>
    </row>
    <row r="23403" ht="15.75" customHeight="1" spans="1:2">
      <c r="A23403" s="3" t="str">
        <f>IFERROR(__xludf.DUMMYFUNCTION("GOOGLETRANSLATE(A23403,""en"",""pt"")"),"Precisa de dinheiro para gastar com ele")</f>
        <v>Precisa de dinheiro para gastar com ele</v>
      </c>
      <c r="B23403" s="3">
        <v>0</v>
      </c>
    </row>
    <row r="23404" ht="15.75" customHeight="1" spans="1:2">
      <c r="A23404" s="3" t="str">
        <f>IFERROR(__xludf.DUMMYFUNCTION("GOOGLETRANSLATE(A23404,""en"",""pt"")"),"Os principais problemas de alimentação de papel")</f>
        <v>Os principais problemas de alimentação de papel</v>
      </c>
      <c r="B23404" s="3">
        <v>0</v>
      </c>
    </row>
    <row r="23405" ht="15.75" customHeight="1" spans="1:2">
      <c r="A23405" s="3" t="str">
        <f>IFERROR(__xludf.DUMMYFUNCTION("GOOGLETRANSLATE(A23405,""en"",""pt"")"),"irritadiço - não executar em momentos ímpares")</f>
        <v>irritadiço - não executar em momentos ímpares</v>
      </c>
      <c r="B23405" s="3">
        <v>0</v>
      </c>
    </row>
    <row r="23406" ht="15.75" customHeight="1" spans="1:2">
      <c r="A23406" s="3" t="str">
        <f>IFERROR(__xludf.DUMMYFUNCTION("GOOGLETRANSLATE(A23406,""en"",""pt"")"),"Mal executado funções do scanner e copiadora")</f>
        <v>Mal executado funções do scanner e copiadora</v>
      </c>
      <c r="B23406" s="3">
        <v>0</v>
      </c>
    </row>
    <row r="23407" ht="15.75" customHeight="1" spans="1:2">
      <c r="A23407" s="3" t="str">
        <f>IFERROR(__xludf.DUMMYFUNCTION("GOOGLETRANSLATE(A23407,""en"",""pt"")"),"Baixa capacidade de papel")</f>
        <v>Baixa capacidade de papel</v>
      </c>
      <c r="B23407" s="3">
        <v>0</v>
      </c>
    </row>
    <row r="23408" ht="15.75" customHeight="1" spans="1:2">
      <c r="A23408" s="3" t="str">
        <f>IFERROR(__xludf.DUMMYFUNCTION("GOOGLETRANSLATE(A23408,""en"",""pt"")"),"em escala de cinza gráficos algum desigual")</f>
        <v>em escala de cinza gráficos algum desigual</v>
      </c>
      <c r="B23408" s="3">
        <v>0</v>
      </c>
    </row>
    <row r="23409" ht="15.75" customHeight="1" spans="1:2">
      <c r="A23409" s="3" t="str">
        <f>IFERROR(__xludf.DUMMYFUNCTION("GOOGLETRANSLATE(A23409,""en"",""pt"")"),"Nenhum que eu posso pensar.")</f>
        <v>Nenhum que eu posso pensar.</v>
      </c>
      <c r="B23409" s="3">
        <v>0</v>
      </c>
    </row>
    <row r="23410" ht="15.75" customHeight="1" spans="1:2">
      <c r="A23410" s="3" t="str">
        <f>IFERROR(__xludf.DUMMYFUNCTION("GOOGLETRANSLATE(A23410,""en"",""pt"")"),"encravamentos de papel, problemas de alimentação")</f>
        <v>encravamentos de papel, problemas de alimentação</v>
      </c>
      <c r="B23410" s="3">
        <v>0</v>
      </c>
    </row>
    <row r="23411" ht="15.75" customHeight="1" spans="1:2">
      <c r="A23411" s="3" t="str">
        <f>IFERROR(__xludf.DUMMYFUNCTION("GOOGLETRANSLATE(A23411,""en"",""pt"")"),"atolamentos de papel, alimentações duplas, envelopes de impressão")</f>
        <v>atolamentos de papel, alimentações duplas, envelopes de impressão</v>
      </c>
      <c r="B23411" s="3">
        <v>0</v>
      </c>
    </row>
    <row r="23412" ht="15.75" customHeight="1" spans="1:2">
      <c r="A23412" s="3" t="str">
        <f>IFERROR(__xludf.DUMMYFUNCTION("GOOGLETRANSLATE(A23412,""en"",""pt"")"),"Eu iria para o xi 1100A com o acessório scanner, a sua realmente um bom recurso")</f>
        <v>Eu iria para o xi 1100A com o acessório scanner, a sua realmente um bom recurso</v>
      </c>
      <c r="B23412" s="3">
        <v>0</v>
      </c>
    </row>
    <row r="23413" ht="15.75" customHeight="1" spans="1:2">
      <c r="A23413" s="3" t="str">
        <f>IFERROR(__xludf.DUMMYFUNCTION("GOOGLETRANSLATE(A23413,""en"",""pt"")"),"Nenhum")</f>
        <v>Nenhum</v>
      </c>
      <c r="B23413" s="3">
        <v>0</v>
      </c>
    </row>
    <row r="23414" ht="15.75" customHeight="1" spans="1:2">
      <c r="A23414" s="3" t="str">
        <f>IFERROR(__xludf.DUMMYFUNCTION("GOOGLETRANSLATE(A23414,""en"",""pt"")"),"toner é caro")</f>
        <v>toner é caro</v>
      </c>
      <c r="B23414" s="3">
        <v>0</v>
      </c>
    </row>
    <row r="23415" ht="15.75" customHeight="1" spans="1:2">
      <c r="A23415" s="3" t="str">
        <f>IFERROR(__xludf.DUMMYFUNCTION("GOOGLETRANSLATE(A23415,""en"",""pt"")"),"Nenhum")</f>
        <v>Nenhum</v>
      </c>
      <c r="B23415" s="3">
        <v>0</v>
      </c>
    </row>
    <row r="23416" ht="15.75" customHeight="1" spans="1:2">
      <c r="A23416" s="3" t="str">
        <f>IFERROR(__xludf.DUMMYFUNCTION("GOOGLETRANSLATE(A23416,""en"",""pt"")"),"Não consigo pensar em uma")</f>
        <v>Não consigo pensar em uma</v>
      </c>
      <c r="B23416" s="3">
        <v>0</v>
      </c>
    </row>
    <row r="23417" ht="15.75" customHeight="1" spans="1:2">
      <c r="A23417" s="3" t="str">
        <f>IFERROR(__xludf.DUMMYFUNCTION("GOOGLETRANSLATE(A23417,""en"",""pt"")"),"No 'desliga', o processamento lento (não está imprimindo) velocidade.")</f>
        <v>No 'desliga', o processamento lento (não está imprimindo) velocidade.</v>
      </c>
      <c r="B23417" s="3">
        <v>0</v>
      </c>
    </row>
    <row r="23418" ht="15.75" customHeight="1" spans="1:2">
      <c r="A23418" s="3" t="str">
        <f>IFERROR(__xludf.DUMMYFUNCTION("GOOGLETRANSLATE(A23418,""en"",""pt"")"),"preço")</f>
        <v>preço</v>
      </c>
      <c r="B23418" s="3">
        <v>0</v>
      </c>
    </row>
    <row r="23419" ht="15.75" customHeight="1" spans="1:2">
      <c r="A23419" s="3" t="str">
        <f>IFERROR(__xludf.DUMMYFUNCTION("GOOGLETRANSLATE(A23419,""en"",""pt"")"),"atolamentos de papel sem fim")</f>
        <v>atolamentos de papel sem fim</v>
      </c>
      <c r="B23419" s="3">
        <v>0</v>
      </c>
    </row>
    <row r="23420" ht="15.75" customHeight="1" spans="1:2">
      <c r="A23420" s="3" t="str">
        <f>IFERROR(__xludf.DUMMYFUNCTION("GOOGLETRANSLATE(A23420,""en"",""pt"")"),"Lento, mas não para o preço")</f>
        <v>Lento, mas não para o preço</v>
      </c>
      <c r="B23420" s="3">
        <v>0</v>
      </c>
    </row>
    <row r="23421" ht="15.75" customHeight="1" spans="1:2">
      <c r="A23421" s="3" t="str">
        <f>IFERROR(__xludf.DUMMYFUNCTION("GOOGLETRANSLATE(A23421,""en"",""pt"")"),"Preço")</f>
        <v>Preço</v>
      </c>
      <c r="B23421" s="3">
        <v>0</v>
      </c>
    </row>
    <row r="23422" ht="15.75" customHeight="1" spans="1:2">
      <c r="A23422" s="3" t="str">
        <f>IFERROR(__xludf.DUMMYFUNCTION("GOOGLETRANSLATE(A23422,""en"",""pt"")"),"Etiquetas e envelopes são difíceis de imprimir")</f>
        <v>Etiquetas e envelopes são difíceis de imprimir</v>
      </c>
      <c r="B23422" s="3">
        <v>0</v>
      </c>
    </row>
    <row r="23423" ht="15.75" customHeight="1" spans="1:2">
      <c r="A23423" s="3" t="str">
        <f>IFERROR(__xludf.DUMMYFUNCTION("GOOGLETRANSLATE(A23423,""en"",""pt"")"),"Competências de baixo- tem que esperar por ele para reiniciar.")</f>
        <v>Competências de baixo- tem que esperar por ele para reiniciar.</v>
      </c>
      <c r="B23423" s="3">
        <v>0</v>
      </c>
    </row>
    <row r="23424" ht="15.75" customHeight="1" spans="1:2">
      <c r="A23424" s="3" t="str">
        <f>IFERROR(__xludf.DUMMYFUNCTION("GOOGLETRANSLATE(A23424,""en"",""pt"")"),"Um pouco caro, mas vale a pena o dinheiro extra")</f>
        <v>Um pouco caro, mas vale a pena o dinheiro extra</v>
      </c>
      <c r="B23424" s="3">
        <v>0</v>
      </c>
    </row>
    <row r="23425" ht="15.75" customHeight="1" spans="1:2">
      <c r="A23425" s="3" t="str">
        <f>IFERROR(__xludf.DUMMYFUNCTION("GOOGLETRANSLATE(A23425,""en"",""pt"")"),"não imprimir em cores, mas eu não usar a cor")</f>
        <v>não imprimir em cores, mas eu não usar a cor</v>
      </c>
      <c r="B23425" s="3">
        <v>0</v>
      </c>
    </row>
    <row r="23426" ht="15.75" customHeight="1" spans="1:2">
      <c r="A23426" s="3" t="str">
        <f>IFERROR(__xludf.DUMMYFUNCTION("GOOGLETRANSLATE(A23426,""en"",""pt"")"),"Nada até agora")</f>
        <v>Nada até agora</v>
      </c>
      <c r="B23426" s="3">
        <v>0</v>
      </c>
    </row>
    <row r="23427" ht="15.75" customHeight="1" spans="1:2">
      <c r="A23427" s="3" t="str">
        <f>IFERROR(__xludf.DUMMYFUNCTION("GOOGLETRANSLATE(A23427,""en"",""pt"")"),"Laser Cartidge é complicado para colocá-lo")</f>
        <v>Laser Cartidge é complicado para colocá-lo</v>
      </c>
      <c r="B23427" s="3">
        <v>0</v>
      </c>
    </row>
    <row r="23428" ht="15.75" customHeight="1" spans="1:2">
      <c r="A23428" s="3" t="str">
        <f>IFERROR(__xludf.DUMMYFUNCTION("GOOGLETRANSLATE(A23428,""en"",""pt"")"),"manuseio de papel pode ser complicado")</f>
        <v>manuseio de papel pode ser complicado</v>
      </c>
      <c r="B23428" s="3">
        <v>0</v>
      </c>
    </row>
    <row r="23429" ht="15.75" customHeight="1" spans="1:2">
      <c r="A23429" s="3" t="str">
        <f>IFERROR(__xludf.DUMMYFUNCTION("GOOGLETRANSLATE(A23429,""en"",""pt"")"),"Compotas ... Problemas ...")</f>
        <v>Compotas ... Problemas ...</v>
      </c>
      <c r="B23429" s="3">
        <v>0</v>
      </c>
    </row>
    <row r="23430" ht="15.75" customHeight="1" spans="1:2">
      <c r="A23430" s="3" t="str">
        <f>IFERROR(__xludf.DUMMYFUNCTION("GOOGLETRANSLATE(A23430,""en"",""pt"")"),"Um pouco mais caro do que marcas concorrentes")</f>
        <v>Um pouco mais caro do que marcas concorrentes</v>
      </c>
      <c r="B23430" s="3">
        <v>0</v>
      </c>
    </row>
    <row r="23431" ht="15.75" customHeight="1" spans="1:2">
      <c r="A23431" s="3" t="str">
        <f>IFERROR(__xludf.DUMMYFUNCTION("GOOGLETRANSLATE(A23431,""en"",""pt"")"),"Não para impressão a cores.")</f>
        <v>Não para impressão a cores.</v>
      </c>
      <c r="B23431" s="3">
        <v>0</v>
      </c>
    </row>
    <row r="23432" ht="15.75" customHeight="1" spans="1:2">
      <c r="A23432" s="3" t="str">
        <f>IFERROR(__xludf.DUMMYFUNCTION("GOOGLETRANSLATE(A23432,""en"",""pt"")"),"Eu não consigo pensar em nenhum!")</f>
        <v>Eu não consigo pensar em nenhum!</v>
      </c>
      <c r="B23432" s="3">
        <v>0</v>
      </c>
    </row>
    <row r="23433" ht="15.75" customHeight="1" spans="1:2">
      <c r="A23433" s="3" t="str">
        <f>IFERROR(__xludf.DUMMYFUNCTION("GOOGLETRANSLATE(A23433,""en"",""pt"")"),"manuseio de papel, atolamentos de papel, necessidade de reparos")</f>
        <v>manuseio de papel, atolamentos de papel, necessidade de reparos</v>
      </c>
      <c r="B23433" s="3">
        <v>0</v>
      </c>
    </row>
    <row r="23434" ht="15.75" customHeight="1" spans="1:2">
      <c r="A23434" s="3" t="str">
        <f>IFERROR(__xludf.DUMMYFUNCTION("GOOGLETRANSLATE(A23434,""en"",""pt"")"),"caro, não confiável, terrível atendimento ao cliente")</f>
        <v>caro, não confiável, terrível atendimento ao cliente</v>
      </c>
      <c r="B23434" s="3">
        <v>0</v>
      </c>
    </row>
    <row r="23435" ht="15.75" customHeight="1" spans="1:2">
      <c r="A23435" s="3" t="str">
        <f>IFERROR(__xludf.DUMMYFUNCTION("GOOGLETRANSLATE(A23435,""en"",""pt"")"),"sem gadgets ou geegaws")</f>
        <v>sem gadgets ou geegaws</v>
      </c>
      <c r="B23435" s="3">
        <v>0</v>
      </c>
    </row>
    <row r="23436" ht="15.75" customHeight="1" spans="1:2">
      <c r="A23436" s="3" t="str">
        <f>IFERROR(__xludf.DUMMYFUNCTION("GOOGLETRANSLATE(A23436,""en"",""pt"")"),"Nenhum")</f>
        <v>Nenhum</v>
      </c>
      <c r="B23436" s="3">
        <v>0</v>
      </c>
    </row>
    <row r="23437" ht="15.75" customHeight="1" spans="1:2">
      <c r="A23437" s="3" t="str">
        <f>IFERROR(__xludf.DUMMYFUNCTION("GOOGLETRANSLATE(A23437,""en"",""pt"")"),"Nenhum")</f>
        <v>Nenhum</v>
      </c>
      <c r="B23437" s="3">
        <v>0</v>
      </c>
    </row>
    <row r="23438" ht="15.75" customHeight="1" spans="1:2">
      <c r="A23438" s="3" t="str">
        <f>IFERROR(__xludf.DUMMYFUNCTION("GOOGLETRANSLATE(A23438,""en"",""pt"")"),"envelopes um pouco complicado &amp; amp; amp; Mais devagar")</f>
        <v>envelopes um pouco complicado &amp; amp; amp; Mais devagar</v>
      </c>
      <c r="B23438" s="3">
        <v>0</v>
      </c>
    </row>
    <row r="23439" ht="15.75" customHeight="1" spans="1:2">
      <c r="A23439" s="3" t="str">
        <f>IFERROR(__xludf.DUMMYFUNCTION("GOOGLETRANSLATE(A23439,""en"",""pt"")"),"encravamento ou alimentação errada")</f>
        <v>encravamento ou alimentação errada</v>
      </c>
      <c r="B23439" s="3">
        <v>0</v>
      </c>
    </row>
    <row r="23440" ht="15.75" customHeight="1" spans="1:2">
      <c r="A23440" s="3" t="str">
        <f>IFERROR(__xludf.DUMMYFUNCTION("GOOGLETRANSLATE(A23440,""en"",""pt"")"),"hold papel pequeno na parte de trás, travamentos ocasionais.")</f>
        <v>hold papel pequeno na parte de trás, travamentos ocasionais.</v>
      </c>
      <c r="B23440" s="3">
        <v>0</v>
      </c>
    </row>
    <row r="23441" ht="15.75" customHeight="1" spans="1:2">
      <c r="A23441" s="3" t="str">
        <f>IFERROR(__xludf.DUMMYFUNCTION("GOOGLETRANSLATE(A23441,""en"",""pt"")"),"Caro, nome HP.")</f>
        <v>Caro, nome HP.</v>
      </c>
      <c r="B23441" s="3">
        <v>0</v>
      </c>
    </row>
    <row r="23442" ht="15.75" customHeight="1" spans="1:2">
      <c r="A23442" s="3" t="str">
        <f>IFERROR(__xludf.DUMMYFUNCTION("GOOGLETRANSLATE(A23442,""en"",""pt"")"),"Só produz trabalhos em preto / branco impressão &amp; amp; amp; digitalizar imagens")</f>
        <v>Só produz trabalhos em preto / branco impressão &amp; amp; amp; digitalizar imagens</v>
      </c>
      <c r="B23442" s="3">
        <v>0</v>
      </c>
    </row>
    <row r="23443" ht="15.75" customHeight="1" spans="1:2">
      <c r="A23443" s="3" t="str">
        <f>IFERROR(__xludf.DUMMYFUNCTION("GOOGLETRANSLATE(A23443,""en"",""pt"")"),"?????")</f>
        <v>?????</v>
      </c>
      <c r="B23443" s="3">
        <v>0</v>
      </c>
    </row>
    <row r="23444" ht="15.75" customHeight="1" spans="1:2">
      <c r="A23444" s="3" t="str">
        <f>IFERROR(__xludf.DUMMYFUNCTION("GOOGLETRANSLATE(A23444,""en"",""pt"")"),"de bloqueio, o toner esfregaços")</f>
        <v>de bloqueio, o toner esfregaços</v>
      </c>
      <c r="B23444" s="3">
        <v>0</v>
      </c>
    </row>
    <row r="23445" ht="15.75" customHeight="1" spans="1:2">
      <c r="A23445" s="3" t="str">
        <f>IFERROR(__xludf.DUMMYFUNCTION("GOOGLETRANSLATE(A23445,""en"",""pt"")"),"Nenhum!")</f>
        <v>Nenhum!</v>
      </c>
      <c r="B23445" s="3">
        <v>0</v>
      </c>
    </row>
    <row r="23446" ht="15.75" customHeight="1" spans="1:2">
      <c r="A23446" s="3" t="str">
        <f>IFERROR(__xludf.DUMMYFUNCTION("GOOGLETRANSLATE(A23446,""en"",""pt"")"),"não imprime cores")</f>
        <v>não imprime cores</v>
      </c>
      <c r="B23446" s="3">
        <v>0</v>
      </c>
    </row>
    <row r="23447" ht="15.75" customHeight="1" spans="1:2">
      <c r="A23447" s="3" t="str">
        <f>IFERROR(__xludf.DUMMYFUNCTION("GOOGLETRANSLATE(A23447,""en"",""pt"")"),"Staff reclamou que correu para fora do Toner Too Fast")</f>
        <v>Staff reclamou que correu para fora do Toner Too Fast</v>
      </c>
      <c r="B23447" s="3">
        <v>0</v>
      </c>
    </row>
    <row r="23448" ht="15.75" customHeight="1" spans="1:2">
      <c r="A23448" s="3" t="str">
        <f>IFERROR(__xludf.DUMMYFUNCTION("GOOGLETRANSLATE(A23448,""en"",""pt"")"),"É um scanner ou não?")</f>
        <v>É um scanner ou não?</v>
      </c>
      <c r="B23448" s="3">
        <v>0</v>
      </c>
    </row>
    <row r="23449" ht="15.75" customHeight="1" spans="1:2">
      <c r="A23449" s="3" t="str">
        <f>IFERROR(__xludf.DUMMYFUNCTION("GOOGLETRANSLATE(A23449,""en"",""pt"")"),"Darn perto de tudo o resto.")</f>
        <v>Darn perto de tudo o resto.</v>
      </c>
      <c r="B23449" s="3">
        <v>0</v>
      </c>
    </row>
    <row r="23450" ht="15.75" customHeight="1" spans="1:2">
      <c r="A23450" s="3" t="str">
        <f>IFERROR(__xludf.DUMMYFUNCTION("GOOGLETRANSLATE(A23450,""en"",""pt"")"),"Isso é tudo que ele tem indo para ele.")</f>
        <v>Isso é tudo que ele tem indo para ele.</v>
      </c>
      <c r="B23450" s="3">
        <v>0</v>
      </c>
    </row>
    <row r="23451" ht="15.75" customHeight="1" spans="1:2">
      <c r="A23451" s="3" t="str">
        <f>IFERROR(__xludf.DUMMYFUNCTION("GOOGLETRANSLATE(A23451,""en"",""pt"")"),"Papel alimentar problema para a final do período de garantia.")</f>
        <v>Papel alimentar problema para a final do período de garantia.</v>
      </c>
      <c r="B23451" s="3">
        <v>0</v>
      </c>
    </row>
    <row r="23452" ht="15.75" customHeight="1" spans="1:2">
      <c r="A23452" s="3" t="str">
        <f>IFERROR(__xludf.DUMMYFUNCTION("GOOGLETRANSLATE(A23452,""en"",""pt"")"),"spool lento, motoristas ineficazes")</f>
        <v>spool lento, motoristas ineficazes</v>
      </c>
      <c r="B23452" s="3">
        <v>0</v>
      </c>
    </row>
    <row r="23453" ht="15.75" customHeight="1" spans="1:2">
      <c r="A23453" s="3" t="str">
        <f>IFERROR(__xludf.DUMMYFUNCTION("GOOGLETRANSLATE(A23453,""en"",""pt"")"),"Apenas 8-1 / 2"" width")</f>
        <v>Apenas 8-1 / 2" width</v>
      </c>
      <c r="B23453" s="3">
        <v>0</v>
      </c>
    </row>
    <row r="23454" ht="15.75" customHeight="1" spans="1:2">
      <c r="A23454" s="3" t="str">
        <f>IFERROR(__xludf.DUMMYFUNCTION("GOOGLETRANSLATE(A23454,""en"",""pt"")"),"Nenhum")</f>
        <v>Nenhum</v>
      </c>
      <c r="B23454" s="3">
        <v>0</v>
      </c>
    </row>
    <row r="23455" ht="15.75" customHeight="1" spans="1:2">
      <c r="A23455" s="3" t="str">
        <f>IFERROR(__xludf.DUMMYFUNCTION("GOOGLETRANSLATE(A23455,""en"",""pt"")"),"Ele atola após um ano")</f>
        <v>Ele atola após um ano</v>
      </c>
      <c r="B23455" s="3">
        <v>0</v>
      </c>
    </row>
    <row r="23456" ht="15.75" customHeight="1" spans="1:2">
      <c r="A23456" s="3" t="str">
        <f>IFERROR(__xludf.DUMMYFUNCTION("GOOGLETRANSLATE(A23456,""en"",""pt"")"),"Extremamente confiável. mecanismo de alimentação de papel mis concebido.")</f>
        <v>Extremamente confiável. mecanismo de alimentação de papel mis concebido.</v>
      </c>
      <c r="B23456" s="3">
        <v>0</v>
      </c>
    </row>
    <row r="23457" ht="15.75" customHeight="1" spans="1:2">
      <c r="A23457" s="3" t="str">
        <f>IFERROR(__xludf.DUMMYFUNCTION("GOOGLETRANSLATE(A23457,""en"",""pt"")"),"Nenhum!")</f>
        <v>Nenhum!</v>
      </c>
      <c r="B23457" s="3">
        <v>0</v>
      </c>
    </row>
    <row r="23458" ht="15.75" customHeight="1" spans="1:2">
      <c r="A23458" s="3" t="str">
        <f>IFERROR(__xludf.DUMMYFUNCTION("GOOGLETRANSLATE(A23458,""en"",""pt"")"),"Toner mancha / streak")</f>
        <v>Toner mancha / streak</v>
      </c>
      <c r="B23458" s="3">
        <v>0</v>
      </c>
    </row>
    <row r="23459" ht="15.75" customHeight="1" spans="1:2">
      <c r="A23459" s="3" t="str">
        <f>IFERROR(__xludf.DUMMYFUNCTION("GOOGLETRANSLATE(A23459,""en"",""pt"")"),"Plain, pode ter problema com o texto inclinado")</f>
        <v>Plain, pode ter problema com o texto inclinado</v>
      </c>
      <c r="B23459" s="3">
        <v>0</v>
      </c>
    </row>
    <row r="23460" ht="15.75" customHeight="1" spans="1:2">
      <c r="A23460" s="3" t="str">
        <f>IFERROR(__xludf.DUMMYFUNCTION("GOOGLETRANSLATE(A23460,""en"",""pt"")"),"obter o acessório scanner, você sabe que você quer!")</f>
        <v>obter o acessório scanner, você sabe que você quer!</v>
      </c>
      <c r="B23460" s="3">
        <v>0</v>
      </c>
    </row>
    <row r="23461" ht="15.75" customHeight="1" spans="1:2">
      <c r="A23461" s="3" t="str">
        <f>IFERROR(__xludf.DUMMYFUNCTION("GOOGLETRANSLATE(A23461,""en"",""pt"")"),"Sem contagem de páginas, pobre Manual, cabo poderia ser maior, não USB.")</f>
        <v>Sem contagem de páginas, pobre Manual, cabo poderia ser maior, não USB.</v>
      </c>
      <c r="B23461" s="3">
        <v>0</v>
      </c>
    </row>
    <row r="23462" ht="15.75" customHeight="1" spans="1:2">
      <c r="A23462" s="3" t="str">
        <f>IFERROR(__xludf.DUMMYFUNCTION("GOOGLETRANSLATE(A23462,""en"",""pt"")"),"desajeitado, caro")</f>
        <v>desajeitado, caro</v>
      </c>
      <c r="B23462" s="3">
        <v>0</v>
      </c>
    </row>
    <row r="23463" ht="15.75" customHeight="1" spans="1:2">
      <c r="A23463" s="3" t="str">
        <f>IFERROR(__xludf.DUMMYFUNCTION("GOOGLETRANSLATE(A23463,""en"",""pt"")"),"configuração padrão é um pouco tímido sobre a memória")</f>
        <v>configuração padrão é um pouco tímido sobre a memória</v>
      </c>
      <c r="B23463" s="3">
        <v>0</v>
      </c>
    </row>
    <row r="23464" ht="15.75" customHeight="1" spans="1:2">
      <c r="A23464" s="3" t="str">
        <f>IFERROR(__xludf.DUMMYFUNCTION("GOOGLETRANSLATE(A23464,""en"",""pt"")"),"Alta de consumíveis, Entrada de papel limitada")</f>
        <v>Alta de consumíveis, Entrada de papel limitada</v>
      </c>
      <c r="B23464" s="3">
        <v>0</v>
      </c>
    </row>
    <row r="23465" ht="15.75" customHeight="1" spans="1:2">
      <c r="A23465" s="3" t="str">
        <f>IFERROR(__xludf.DUMMYFUNCTION("GOOGLETRANSLATE(A23465,""en"",""pt"")"),"Alimentador fica desgastado depois de um tempo")</f>
        <v>Alimentador fica desgastado depois de um tempo</v>
      </c>
      <c r="B23465" s="3">
        <v>0</v>
      </c>
    </row>
    <row r="23466" ht="15.75" customHeight="1" spans="1:2">
      <c r="A23466" s="3" t="str">
        <f>IFERROR(__xludf.DUMMYFUNCTION("GOOGLETRANSLATE(A23466,""en"",""pt"")"),"atolamentos de papel; caro")</f>
        <v>atolamentos de papel; caro</v>
      </c>
      <c r="B23466" s="3">
        <v>0</v>
      </c>
    </row>
    <row r="23467" ht="15.75" customHeight="1" spans="1:2">
      <c r="A23467" s="3" t="str">
        <f>IFERROR(__xludf.DUMMYFUNCTION("GOOGLETRANSLATE(A23467,""en"",""pt"")"),"problema solucionável de alimentação de papel. varredor muito caro.")</f>
        <v>problema solucionável de alimentação de papel. varredor muito caro.</v>
      </c>
      <c r="B23467" s="3">
        <v>0</v>
      </c>
    </row>
    <row r="23468" ht="15.75" customHeight="1" spans="1:2">
      <c r="A23468" s="3" t="str">
        <f>IFERROR(__xludf.DUMMYFUNCTION("GOOGLETRANSLATE(A23468,""en"",""pt"")"),"Consumíveis comê-lo vivo - manuseio de papel pobre.")</f>
        <v>Consumíveis comê-lo vivo - manuseio de papel pobre.</v>
      </c>
      <c r="B23468" s="3">
        <v>0</v>
      </c>
    </row>
    <row r="23469" ht="15.75" customHeight="1" spans="1:2">
      <c r="A23469" s="3" t="str">
        <f>IFERROR(__xludf.DUMMYFUNCTION("GOOGLETRANSLATE(A23469,""en"",""pt"")"),"não pode segurar bem o papel.")</f>
        <v>não pode segurar bem o papel.</v>
      </c>
      <c r="B23469" s="3">
        <v>0</v>
      </c>
    </row>
    <row r="23470" ht="15.75" customHeight="1" spans="1:2">
      <c r="A23470" s="3" t="str">
        <f>IFERROR(__xludf.DUMMYFUNCTION("GOOGLETRANSLATE(A23470,""en"",""pt"")"),"Não funcionou para mim, alimentador traseira / superior, suporte ao cliente pobre")</f>
        <v>Não funcionou para mim, alimentador traseira / superior, suporte ao cliente pobre</v>
      </c>
      <c r="B23470" s="3">
        <v>0</v>
      </c>
    </row>
    <row r="23471" ht="15.75" customHeight="1" spans="1:2">
      <c r="A23471" s="3" t="str">
        <f>IFERROR(__xludf.DUMMYFUNCTION("GOOGLETRANSLATE(A23471,""en"",""pt"")"),"Nada até agora.")</f>
        <v>Nada até agora.</v>
      </c>
      <c r="B23471" s="3">
        <v>0</v>
      </c>
    </row>
    <row r="23472" ht="15.75" customHeight="1" spans="1:2">
      <c r="A23472" s="3" t="str">
        <f>IFERROR(__xludf.DUMMYFUNCTION("GOOGLETRANSLATE(A23472,""en"",""pt"")"),"ajuste e acabamento de alguns painéis é inferior a qualidade perfeita.")</f>
        <v>ajuste e acabamento de alguns painéis é inferior a qualidade perfeita.</v>
      </c>
      <c r="B23472" s="3">
        <v>0</v>
      </c>
    </row>
    <row r="23473" ht="15.75" customHeight="1" spans="1:2">
      <c r="A23473" s="3" t="str">
        <f>IFERROR(__xludf.DUMMYFUNCTION("GOOGLETRANSLATE(A23473,""en"",""pt"")"),"nenhum interruptor de alimentação! configuração da bandeja papel ruim")</f>
        <v>nenhum interruptor de alimentação! configuração da bandeja papel ruim</v>
      </c>
      <c r="B23473" s="3">
        <v>0</v>
      </c>
    </row>
    <row r="23474" ht="15.75" customHeight="1" spans="1:2">
      <c r="A23474" s="3" t="str">
        <f>IFERROR(__xludf.DUMMYFUNCTION("GOOGLETRANSLATE(A23474,""en"",""pt"")"),"mac compatibilidade está em MAJOR quesion")</f>
        <v>mac compatibilidade está em MAJOR quesion</v>
      </c>
      <c r="B23474" s="3">
        <v>0</v>
      </c>
    </row>
    <row r="23475" ht="15.75" customHeight="1" spans="1:2">
      <c r="A23475" s="3" t="str">
        <f>IFERROR(__xludf.DUMMYFUNCTION("GOOGLETRANSLATE(A23475,""en"",""pt"")"),"nenhum para o preço")</f>
        <v>nenhum para o preço</v>
      </c>
      <c r="B23475" s="3">
        <v>0</v>
      </c>
    </row>
    <row r="23476" ht="15.75" customHeight="1" spans="1:2">
      <c r="A23476" s="3" t="str">
        <f>IFERROR(__xludf.DUMMYFUNCTION("GOOGLETRANSLATE(A23476,""en"",""pt"")"),"suporte de software pobre para mac")</f>
        <v>suporte de software pobre para mac</v>
      </c>
      <c r="B23476" s="3">
        <v>0</v>
      </c>
    </row>
    <row r="23477" ht="15.75" customHeight="1" spans="1:2">
      <c r="A23477" s="3" t="str">
        <f>IFERROR(__xludf.DUMMYFUNCTION("GOOGLETRANSLATE(A23477,""en"",""pt"")"),"suporte de software pobre para mac")</f>
        <v>suporte de software pobre para mac</v>
      </c>
      <c r="B23477" s="3">
        <v>0</v>
      </c>
    </row>
    <row r="23478" ht="15.75" customHeight="1" spans="1:2">
      <c r="A23478" s="3" t="str">
        <f>IFERROR(__xludf.DUMMYFUNCTION("GOOGLETRANSLATE(A23478,""en"",""pt"")"),"Não ESSE barato comparado com a concorrência")</f>
        <v>Não ESSE barato comparado com a concorrência</v>
      </c>
      <c r="B23478" s="3">
        <v>0</v>
      </c>
    </row>
    <row r="23479" ht="15.75" customHeight="1" spans="1:2">
      <c r="A23479" s="3" t="str">
        <f>IFERROR(__xludf.DUMMYFUNCTION("GOOGLETRANSLATE(A23479,""en"",""pt"")"),"sensação barato, bandejas de impressão terríveis.")</f>
        <v>sensação barato, bandejas de impressão terríveis.</v>
      </c>
      <c r="B23479" s="3">
        <v>0</v>
      </c>
    </row>
    <row r="23480" ht="15.75" customHeight="1" spans="1:2">
      <c r="A23480" s="3" t="str">
        <f>IFERROR(__xludf.DUMMYFUNCTION("GOOGLETRANSLATE(A23480,""en"",""pt"")"),"Não é uma Canon, NEC, Oki ... etc")</f>
        <v>Não é uma Canon, NEC, Oki ... etc</v>
      </c>
      <c r="B23480" s="3">
        <v>0</v>
      </c>
    </row>
    <row r="23481" ht="15.75" customHeight="1" spans="1:2">
      <c r="A23481" s="3" t="str">
        <f>IFERROR(__xludf.DUMMYFUNCTION("GOOGLETRANSLATE(A23481,""en"",""pt"")"),"não o modelo mais atraente")</f>
        <v>não o modelo mais atraente</v>
      </c>
      <c r="B23481" s="3">
        <v>0</v>
      </c>
    </row>
    <row r="23482" ht="15.75" customHeight="1" spans="1:2">
      <c r="A23482" s="3" t="str">
        <f>IFERROR(__xludf.DUMMYFUNCTION("GOOGLETRANSLATE(A23482,""en"",""pt"")"),"caso frágil, / conexões USB estúpidas paralelas")</f>
        <v>caso frágil, / conexões USB estúpidas paralelas</v>
      </c>
      <c r="B23482" s="3">
        <v>0</v>
      </c>
    </row>
    <row r="23483" ht="15.75" customHeight="1" spans="1:2">
      <c r="A23483" s="3" t="str">
        <f>IFERROR(__xludf.DUMMYFUNCTION("GOOGLETRANSLATE(A23483,""en"",""pt"")"),"do painel de controlo, difícil de remover do painel lateral")</f>
        <v>do painel de controlo, difícil de remover do painel lateral</v>
      </c>
      <c r="B23483" s="3">
        <v>0</v>
      </c>
    </row>
    <row r="23484" ht="15.75" customHeight="1" spans="1:2">
      <c r="A23484" s="3" t="str">
        <f>IFERROR(__xludf.DUMMYFUNCTION("GOOGLETRANSLATE(A23484,""en"",""pt"")"),"No painel ""real"" de controle, nenhum interruptor de alimentação (ambos dos quais são queixas marginais na melhor das hipóteses)")</f>
        <v>No painel "real" de controle, nenhum interruptor de alimentação (ambos dos quais são queixas marginais na melhor das hipóteses)</v>
      </c>
      <c r="B23484" s="3">
        <v>0</v>
      </c>
    </row>
    <row r="23485" ht="15.75" customHeight="1" spans="1:2">
      <c r="A23485" s="3" t="str">
        <f>IFERROR(__xludf.DUMMYFUNCTION("GOOGLETRANSLATE(A23485,""en"",""pt"")"),"Nenhuma cor de impressão disponível.")</f>
        <v>Nenhuma cor de impressão disponível.</v>
      </c>
      <c r="B23485" s="3">
        <v>0</v>
      </c>
    </row>
    <row r="23486" ht="15.75" customHeight="1" spans="1:2">
      <c r="A23486" s="3" t="str">
        <f>IFERROR(__xludf.DUMMYFUNCTION("GOOGLETRANSLATE(A23486,""en"",""pt"")"),"Tipo de sentimento barato, mas aparência não é tudo!")</f>
        <v>Tipo de sentimento barato, mas aparência não é tudo!</v>
      </c>
      <c r="B23486" s="3">
        <v>0</v>
      </c>
    </row>
    <row r="23487" ht="15.75" customHeight="1" spans="1:2">
      <c r="A23487" s="3" t="str">
        <f>IFERROR(__xludf.DUMMYFUNCTION("GOOGLETRANSLATE(A23487,""en"",""pt"")"),"Engasga com grandes arquivos de &amp; amp; destrói resmas de papel (a menos que você tem um servidor de impressão)")</f>
        <v>Engasga com grandes arquivos de &amp; amp; destrói resmas de papel (a menos que você tem um servidor de impressão)</v>
      </c>
      <c r="B23487" s="3">
        <v>0</v>
      </c>
    </row>
    <row r="23488" ht="15.75" customHeight="1" spans="1:2">
      <c r="A23488" s="3" t="str">
        <f>IFERROR(__xludf.DUMMYFUNCTION("GOOGLETRANSLATE(A23488,""en"",""pt"")"),"Não é possível para cancelar os trabalhos já em andamento. Longo tempo de spool para imagens.")</f>
        <v>Não é possível para cancelar os trabalhos já em andamento. Longo tempo de spool para imagens.</v>
      </c>
      <c r="B23488" s="3">
        <v>0</v>
      </c>
    </row>
    <row r="23489" ht="15.75" customHeight="1" spans="1:2">
      <c r="A23489" s="3" t="str">
        <f>IFERROR(__xludf.DUMMYFUNCTION("GOOGLETRANSLATE(A23489,""en"",""pt"")"),"Preto e branco.")</f>
        <v>Preto e branco.</v>
      </c>
      <c r="B23489" s="3">
        <v>0</v>
      </c>
    </row>
    <row r="23490" ht="15.75" customHeight="1" spans="1:2">
      <c r="A23490" s="3" t="str">
        <f>IFERROR(__xludf.DUMMYFUNCTION("GOOGLETRANSLATE(A23490,""en"",""pt"")"),"Meio feio, mas você se apaixonar por ele desde que ele corre sooo grande.")</f>
        <v>Meio feio, mas você se apaixonar por ele desde que ele corre sooo grande.</v>
      </c>
      <c r="B23490" s="3">
        <v>0</v>
      </c>
    </row>
    <row r="23491" ht="15.75" customHeight="1" spans="1:2">
      <c r="A23491" s="3" t="str">
        <f>IFERROR(__xludf.DUMMYFUNCTION("GOOGLETRANSLATE(A23491,""en"",""pt"")"),"NO BOTÃO POWER!")</f>
        <v>NO BOTÃO POWER!</v>
      </c>
      <c r="B23491" s="3">
        <v>0</v>
      </c>
    </row>
    <row r="23492" ht="15.75" customHeight="1" spans="1:2">
      <c r="A23492" s="3" t="str">
        <f>IFERROR(__xludf.DUMMYFUNCTION("GOOGLETRANSLATE(A23492,""en"",""pt"")"),"Tipo de adornos. Grande cópia do pé.")</f>
        <v>Tipo de adornos. Grande cópia do pé.</v>
      </c>
      <c r="B23492" s="3">
        <v>0</v>
      </c>
    </row>
    <row r="23493" ht="15.75" customHeight="1" spans="1:2">
      <c r="A23493" s="3" t="str">
        <f>IFERROR(__xludf.DUMMYFUNCTION("GOOGLETRANSLATE(A23493,""en"",""pt"")"),"ondulação papel")</f>
        <v>ondulação papel</v>
      </c>
      <c r="B23493" s="3">
        <v>0</v>
      </c>
    </row>
    <row r="23494" ht="15.75" customHeight="1" spans="1:2">
      <c r="A23494" s="3" t="str">
        <f>IFERROR(__xludf.DUMMYFUNCTION("GOOGLETRANSLATE(A23494,""en"",""pt"")"),"Difícil de remover do painel lateral")</f>
        <v>Difícil de remover do painel lateral</v>
      </c>
      <c r="B23494" s="3">
        <v>0</v>
      </c>
    </row>
    <row r="23495" ht="15.75" customHeight="1" spans="1:2">
      <c r="A23495" s="3" t="str">
        <f>IFERROR(__xludf.DUMMYFUNCTION("GOOGLETRANSLATE(A23495,""en"",""pt"")"),"No lado grande")</f>
        <v>No lado grande</v>
      </c>
      <c r="B23495" s="3">
        <v>0</v>
      </c>
    </row>
    <row r="23496" ht="15.75" customHeight="1" spans="1:2">
      <c r="A23496" s="3" t="str">
        <f>IFERROR(__xludf.DUMMYFUNCTION("GOOGLETRANSLATE(A23496,""en"",""pt"")"),"Misbehaves quando outros periféricos conectados na porta USB.")</f>
        <v>Misbehaves quando outros periféricos conectados na porta USB.</v>
      </c>
      <c r="B23496" s="3">
        <v>0</v>
      </c>
    </row>
    <row r="23497" ht="15.75" customHeight="1" spans="1:2">
      <c r="A23497" s="3" t="str">
        <f>IFERROR(__xludf.DUMMYFUNCTION("GOOGLETRANSLATE(A23497,""en"",""pt"")"),"CONTROLADORES DE IMPRESSORA; No botão de energia")</f>
        <v>CONTROLADORES DE IMPRESSORA; No botão de energia</v>
      </c>
      <c r="B23497" s="3">
        <v>0</v>
      </c>
    </row>
    <row r="23498" ht="15.75" customHeight="1" spans="1:2">
      <c r="A23498" s="3" t="str">
        <f>IFERROR(__xludf.DUMMYFUNCTION("GOOGLETRANSLATE(A23498,""en"",""pt"")"),"renderização de imagem ruim, Paltry RAM")</f>
        <v>renderização de imagem ruim, Paltry RAM</v>
      </c>
      <c r="B23498" s="3">
        <v>0</v>
      </c>
    </row>
    <row r="23499" ht="15.75" customHeight="1" spans="1:2">
      <c r="A23499" s="3" t="str">
        <f>IFERROR(__xludf.DUMMYFUNCTION("GOOGLETRANSLATE(A23499,""en"",""pt"")"),"caso design estranho torna o acesso a cabo difícil.")</f>
        <v>caso design estranho torna o acesso a cabo difícil.</v>
      </c>
      <c r="B23499" s="3">
        <v>0</v>
      </c>
    </row>
    <row r="23500" ht="15.75" customHeight="1" spans="1:2">
      <c r="A23500" s="3" t="str">
        <f>IFERROR(__xludf.DUMMYFUNCTION("GOOGLETRANSLATE(A23500,""en"",""pt"")"),"barulho irritante quando desligar após o uso; drivers no disco em conflito com o sistema")</f>
        <v>barulho irritante quando desligar após o uso; drivers no disco em conflito com o sistema</v>
      </c>
      <c r="B23500" s="3">
        <v>0</v>
      </c>
    </row>
    <row r="23501" ht="15.75" customHeight="1" spans="1:2">
      <c r="A23501" s="3" t="str">
        <f>IFERROR(__xludf.DUMMYFUNCTION("GOOGLETRANSLATE(A23501,""en"",""pt"")"),"Compotas, design frágil, nenhum interruptor de alimentação")</f>
        <v>Compotas, design frágil, nenhum interruptor de alimentação</v>
      </c>
      <c r="B23501" s="3">
        <v>0</v>
      </c>
    </row>
    <row r="23502" ht="15.75" customHeight="1" spans="1:2">
      <c r="A23502" s="3" t="str">
        <f>IFERROR(__xludf.DUMMYFUNCTION("GOOGLETRANSLATE(A23502,""en"",""pt"")"),"conexão a cabo realmente estranho, projeto estranho caso, nenhum botão de energia, &amp; amp; grande pegada")</f>
        <v>conexão a cabo realmente estranho, projeto estranho caso, nenhum botão de energia, &amp; amp; grande pegada</v>
      </c>
      <c r="B23502" s="3">
        <v>0</v>
      </c>
    </row>
    <row r="23503" ht="15.75" customHeight="1" spans="1:2">
      <c r="A23503" s="3" t="str">
        <f>IFERROR(__xludf.DUMMYFUNCTION("GOOGLETRANSLATE(A23503,""en"",""pt"")"),"design barato, pobre software / comunicação do usuário, enorme pegada.")</f>
        <v>design barato, pobre software / comunicação do usuário, enorme pegada.</v>
      </c>
      <c r="B23503" s="3">
        <v>0</v>
      </c>
    </row>
    <row r="23504" ht="15.75" customHeight="1" spans="1:2">
      <c r="A23504" s="3" t="str">
        <f>IFERROR(__xludf.DUMMYFUNCTION("GOOGLETRANSLATE(A23504,""en"",""pt"")"),"No interruptor de alimentação.")</f>
        <v>No interruptor de alimentação.</v>
      </c>
      <c r="B23504" s="3">
        <v>0</v>
      </c>
    </row>
    <row r="23505" ht="15.75" customHeight="1" spans="1:2">
      <c r="A23505" s="3" t="str">
        <f>IFERROR(__xludf.DUMMYFUNCTION("GOOGLETRANSLATE(A23505,""en"",""pt"")"),"difícil de painel lateral aberta, sem placa ethernet")</f>
        <v>difícil de painel lateral aberta, sem placa ethernet</v>
      </c>
      <c r="B23505" s="3">
        <v>0</v>
      </c>
    </row>
    <row r="23506" ht="15.75" customHeight="1" spans="1:2">
      <c r="A23506" s="3" t="str">
        <f>IFERROR(__xludf.DUMMYFUNCTION("GOOGLETRANSLATE(A23506,""en"",""pt"")"),"Nenhum que eu encontrei.")</f>
        <v>Nenhum que eu encontrei.</v>
      </c>
      <c r="B23506" s="3">
        <v>0</v>
      </c>
    </row>
    <row r="23507" ht="15.75" customHeight="1" spans="1:2">
      <c r="A23507" s="3" t="str">
        <f>IFERROR(__xludf.DUMMYFUNCTION("GOOGLETRANSLATE(A23507,""en"",""pt"")"),"Bandeja de alimentação de 1 saída provoca a perda de espaço de trabalho")</f>
        <v>Bandeja de alimentação de 1 saída provoca a perda de espaço de trabalho</v>
      </c>
      <c r="B23507" s="3">
        <v>0</v>
      </c>
    </row>
    <row r="23508" ht="15.75" customHeight="1" spans="1:2">
      <c r="A23508" s="3" t="str">
        <f>IFERROR(__xludf.DUMMYFUNCTION("GOOGLETRANSLATE(A23508,""en"",""pt"")"),"bandeja de saída 150 folhas")</f>
        <v>bandeja de saída 150 folhas</v>
      </c>
      <c r="B23508" s="3">
        <v>0</v>
      </c>
    </row>
    <row r="23509" ht="15.75" customHeight="1" spans="1:2">
      <c r="A23509" s="3" t="str">
        <f>IFERROR(__xludf.DUMMYFUNCTION("GOOGLETRANSLATE(A23509,""en"",""pt"")"),"Um pouco caro em comparação com dot matrix opções")</f>
        <v>Um pouco caro em comparação com dot matrix opções</v>
      </c>
      <c r="B23509" s="3">
        <v>0</v>
      </c>
    </row>
    <row r="23510" ht="15.75" customHeight="1" spans="1:2">
      <c r="A23510" s="3" t="str">
        <f>IFERROR(__xludf.DUMMYFUNCTION("GOOGLETRANSLATE(A23510,""en"",""pt"")"),"É um ramo da 4p e 5p. Eles horrível.")</f>
        <v>É um ramo da 4p e 5p. Eles horrível.</v>
      </c>
      <c r="B23510" s="3">
        <v>0</v>
      </c>
    </row>
    <row r="23511" ht="15.75" customHeight="1" spans="1:2">
      <c r="A23511" s="3" t="str">
        <f>IFERROR(__xludf.DUMMYFUNCTION("GOOGLETRANSLATE(A23511,""en"",""pt"")"),"tamanho grande")</f>
        <v>tamanho grande</v>
      </c>
      <c r="B23511" s="3">
        <v>0</v>
      </c>
    </row>
    <row r="23512" ht="15.75" customHeight="1" spans="1:2">
      <c r="A23512" s="3" t="str">
        <f>IFERROR(__xludf.DUMMYFUNCTION("GOOGLETRANSLATE(A23512,""en"",""pt"")"),"Nenhum")</f>
        <v>Nenhum</v>
      </c>
      <c r="B23512" s="3">
        <v>0</v>
      </c>
    </row>
    <row r="23513" ht="15.75" customHeight="1" spans="1:2">
      <c r="A23513" s="3" t="str">
        <f>IFERROR(__xludf.DUMMYFUNCTION("GOOGLETRANSLATE(A23513,""en"",""pt"")"),"Nenhum")</f>
        <v>Nenhum</v>
      </c>
      <c r="B23513" s="3">
        <v>0</v>
      </c>
    </row>
    <row r="23514" ht="15.75" customHeight="1" spans="1:2">
      <c r="A23514" s="3" t="str">
        <f>IFERROR(__xludf.DUMMYFUNCTION("GOOGLETRANSLATE(A23514,""en"",""pt"")"),"Não é possível imprimir gráficos ou clipart")</f>
        <v>Não é possível imprimir gráficos ou clipart</v>
      </c>
      <c r="B23514" s="3">
        <v>0</v>
      </c>
    </row>
    <row r="23515" ht="15.75" customHeight="1" spans="1:2">
      <c r="A23515" s="3" t="str">
        <f>IFERROR(__xludf.DUMMYFUNCTION("GOOGLETRANSLATE(A23515,""en"",""pt"")"),"cuidado ao limpar e usando capa de poeira")</f>
        <v>cuidado ao limpar e usando capa de poeira</v>
      </c>
      <c r="B23515" s="3">
        <v>0</v>
      </c>
    </row>
    <row r="23516" ht="15.75" customHeight="1" spans="1:2">
      <c r="A23516" s="3" t="str">
        <f>IFERROR(__xludf.DUMMYFUNCTION("GOOGLETRANSLATE(A23516,""en"",""pt"")"),"grande pegada")</f>
        <v>grande pegada</v>
      </c>
      <c r="B23516" s="3">
        <v>0</v>
      </c>
    </row>
    <row r="23517" ht="15.75" customHeight="1" spans="1:2">
      <c r="A23517" s="3" t="str">
        <f>IFERROR(__xludf.DUMMYFUNCTION("GOOGLETRANSLATE(A23517,""en"",""pt"")"),"não há quem venha à mente")</f>
        <v>não há quem venha à mente</v>
      </c>
      <c r="B23517" s="3">
        <v>0</v>
      </c>
    </row>
    <row r="23518" ht="15.75" customHeight="1" spans="1:2">
      <c r="A23518" s="3" t="str">
        <f>IFERROR(__xludf.DUMMYFUNCTION("GOOGLETRANSLATE(A23518,""en"",""pt"")"),"Nenhum")</f>
        <v>Nenhum</v>
      </c>
      <c r="B23518" s="3">
        <v>0</v>
      </c>
    </row>
    <row r="23519" ht="15.75" customHeight="1" spans="1:2">
      <c r="A23519" s="3" t="str">
        <f>IFERROR(__xludf.DUMMYFUNCTION("GOOGLETRANSLATE(A23519,""en"",""pt"")"),"Não que eu estou ciente de")</f>
        <v>Não que eu estou ciente de</v>
      </c>
      <c r="B23519" s="3">
        <v>0</v>
      </c>
    </row>
    <row r="23520" ht="15.75" customHeight="1" spans="1:2">
      <c r="A23520" s="3" t="str">
        <f>IFERROR(__xludf.DUMMYFUNCTION("GOOGLETRANSLATE(A23520,""en"",""pt"")"),"Nenhum")</f>
        <v>Nenhum</v>
      </c>
      <c r="B23520" s="3">
        <v>0</v>
      </c>
    </row>
    <row r="23521" ht="15.75" customHeight="1" spans="1:2">
      <c r="A23521" s="3" t="str">
        <f>IFERROR(__xludf.DUMMYFUNCTION("GOOGLETRANSLATE(A23521,""en"",""pt"")"),"por que comprar quando o 1100 e 4050 estão disponíveis?")</f>
        <v>por que comprar quando o 1100 e 4050 estão disponíveis?</v>
      </c>
      <c r="B23521" s="3">
        <v>0</v>
      </c>
    </row>
    <row r="23522" ht="15.75" customHeight="1" spans="1:2">
      <c r="A23522" s="3" t="str">
        <f>IFERROR(__xludf.DUMMYFUNCTION("GOOGLETRANSLATE(A23522,""en"",""pt"")"),"preço")</f>
        <v>preço</v>
      </c>
      <c r="B23522" s="3">
        <v>0</v>
      </c>
    </row>
    <row r="23523" ht="15.75" customHeight="1" spans="1:2">
      <c r="A23523" s="3" t="str">
        <f>IFERROR(__xludf.DUMMYFUNCTION("GOOGLETRANSLATE(A23523,""en"",""pt"")"),"bin papel pequeno.")</f>
        <v>bin papel pequeno.</v>
      </c>
      <c r="B23523" s="3">
        <v>0</v>
      </c>
    </row>
    <row r="23524" ht="15.75" customHeight="1" spans="1:2">
      <c r="A23524" s="3" t="str">
        <f>IFERROR(__xludf.DUMMYFUNCTION("GOOGLETRANSLATE(A23524,""en"",""pt"")"),"Mais lento do que 2200 impressoras da série")</f>
        <v>Mais lento do que 2200 impressoras da série</v>
      </c>
      <c r="B23524" s="3">
        <v>0</v>
      </c>
    </row>
    <row r="23525" ht="15.75" customHeight="1" spans="1:2">
      <c r="A23525" s="3" t="str">
        <f>IFERROR(__xludf.DUMMYFUNCTION("GOOGLETRANSLATE(A23525,""en"",""pt"")"),"Esta impressora é um pouco lento e também ser barulhento.")</f>
        <v>Esta impressora é um pouco lento e também ser barulhento.</v>
      </c>
      <c r="B23525" s="3">
        <v>0</v>
      </c>
    </row>
    <row r="23526" ht="15.75" customHeight="1" spans="1:2">
      <c r="A23526" s="3" t="str">
        <f>IFERROR(__xludf.DUMMYFUNCTION("GOOGLETRANSLATE(A23526,""en"",""pt"")"),"deve pagar extra para 2ª gaveta de papel &amp; amp; Comprar HP jato de software direta / hardware")</f>
        <v>deve pagar extra para 2ª gaveta de papel &amp; amp; Comprar HP jato de software direta / hardware</v>
      </c>
      <c r="B23526" s="3">
        <v>0</v>
      </c>
    </row>
    <row r="23527" ht="15.75" customHeight="1" spans="1:2">
      <c r="A23527" s="3" t="str">
        <f>IFERROR(__xludf.DUMMYFUNCTION("GOOGLETRANSLATE(A23527,""en"",""pt"")"),"Caro, cartucho caro")</f>
        <v>Caro, cartucho caro</v>
      </c>
      <c r="B23527" s="3">
        <v>0</v>
      </c>
    </row>
    <row r="23528" ht="15.75" customHeight="1" spans="1:2">
      <c r="A23528" s="3" t="str">
        <f>IFERROR(__xludf.DUMMYFUNCTION("GOOGLETRANSLATE(A23528,""en"",""pt"")"),"Nenhum")</f>
        <v>Nenhum</v>
      </c>
      <c r="B23528" s="3">
        <v>0</v>
      </c>
    </row>
    <row r="23529" ht="15.75" customHeight="1" spans="1:2">
      <c r="A23529" s="3" t="str">
        <f>IFERROR(__xludf.DUMMYFUNCTION("GOOGLETRANSLATE(A23529,""en"",""pt"")"),"Para a porta USB, necessita de um conector adicional não incluído")</f>
        <v>Para a porta USB, necessita de um conector adicional não incluído</v>
      </c>
      <c r="B23529" s="3">
        <v>0</v>
      </c>
    </row>
    <row r="23530" ht="15.75" customHeight="1" spans="1:2">
      <c r="A23530" s="3" t="str">
        <f>IFERROR(__xludf.DUMMYFUNCTION("GOOGLETRANSLATE(A23530,""en"",""pt"")"),"a vida do cartucho de toner. Postscript driver não suporta 1200 bpi - cerca de 600 bpi. Gráficos não para os padrões HP.")</f>
        <v>a vida do cartucho de toner. Postscript driver não suporta 1200 bpi - cerca de 600 bpi. Gráficos não para os padrões HP.</v>
      </c>
      <c r="B23530" s="3">
        <v>0</v>
      </c>
    </row>
    <row r="23531" ht="15.75" customHeight="1" spans="1:2">
      <c r="A23531" s="3" t="str">
        <f>IFERROR(__xludf.DUMMYFUNCTION("GOOGLETRANSLATE(A23531,""en"",""pt"")"),"Nenhuma porta Ethernet")</f>
        <v>Nenhuma porta Ethernet</v>
      </c>
      <c r="B23531" s="3">
        <v>0</v>
      </c>
    </row>
    <row r="23532" ht="15.75" customHeight="1" spans="1:2">
      <c r="A23532" s="3" t="str">
        <f>IFERROR(__xludf.DUMMYFUNCTION("GOOGLETRANSLATE(A23532,""en"",""pt"")"),"preço inicial")</f>
        <v>preço inicial</v>
      </c>
      <c r="B23532" s="3">
        <v>0</v>
      </c>
    </row>
    <row r="23533" ht="15.75" customHeight="1" spans="1:2">
      <c r="A23533" s="3" t="str">
        <f>IFERROR(__xludf.DUMMYFUNCTION("GOOGLETRANSLATE(A23533,""en"",""pt"")"),"Nenhum")</f>
        <v>Nenhum</v>
      </c>
      <c r="B23533" s="3">
        <v>0</v>
      </c>
    </row>
    <row r="23534" ht="15.75" customHeight="1" spans="1:2">
      <c r="A23534" s="3" t="str">
        <f>IFERROR(__xludf.DUMMYFUNCTION("GOOGLETRANSLATE(A23534,""en"",""pt"")"),"Aparentemente conflito com Palm Desktop para Mac OS X")</f>
        <v>Aparentemente conflito com Palm Desktop para Mac OS X</v>
      </c>
      <c r="B23534" s="3">
        <v>0</v>
      </c>
    </row>
    <row r="23535" ht="15.75" customHeight="1" spans="1:2">
      <c r="A23535" s="3" t="str">
        <f>IFERROR(__xludf.DUMMYFUNCTION("GOOGLETRANSLATE(A23535,""en"",""pt"")"),"Um pouco frágil")</f>
        <v>Um pouco frágil</v>
      </c>
      <c r="B23535" s="3">
        <v>0</v>
      </c>
    </row>
    <row r="23536" ht="15.75" customHeight="1" spans="1:2">
      <c r="A23536" s="3" t="str">
        <f>IFERROR(__xludf.DUMMYFUNCTION("GOOGLETRANSLATE(A23536,""en"",""pt"")"),"É um pouco grande em tamanho.")</f>
        <v>É um pouco grande em tamanho.</v>
      </c>
      <c r="B23536" s="3">
        <v>0</v>
      </c>
    </row>
    <row r="23537" ht="15.75" customHeight="1" spans="1:2">
      <c r="A23537" s="3" t="str">
        <f>IFERROR(__xludf.DUMMYFUNCTION("GOOGLETRANSLATE(A23537,""en"",""pt"")"),"Nenhum ainda")</f>
        <v>Nenhum ainda</v>
      </c>
      <c r="B23537" s="3">
        <v>0</v>
      </c>
    </row>
    <row r="23538" ht="15.75" customHeight="1" spans="1:2">
      <c r="A23538" s="3" t="str">
        <f>IFERROR(__xludf.DUMMYFUNCTION("GOOGLETRANSLATE(A23538,""en"",""pt"")"),"não funcionará se segunda impressora utilizada através da porta LPT.")</f>
        <v>não funcionará se segunda impressora utilizada através da porta LPT.</v>
      </c>
      <c r="B23538" s="3">
        <v>0</v>
      </c>
    </row>
    <row r="23539" ht="15.75" customHeight="1" spans="1:2">
      <c r="A23539" s="3" t="str">
        <f>IFERROR(__xludf.DUMMYFUNCTION("GOOGLETRANSLATE(A23539,""en"",""pt"")"),"Scanner e software de fax não tão impressionante.")</f>
        <v>Scanner e software de fax não tão impressionante.</v>
      </c>
      <c r="B23539" s="3">
        <v>0</v>
      </c>
    </row>
    <row r="23540" ht="15.75" customHeight="1" spans="1:2">
      <c r="A23540" s="3" t="str">
        <f>IFERROR(__xludf.DUMMYFUNCTION("GOOGLETRANSLATE(A23540,""en"",""pt"")"),"manipulando os controlos copiadora (ampliação / redução) de painel frontal é incómodo.")</f>
        <v>manipulando os controlos copiadora (ampliação / redução) de painel frontal é incómodo.</v>
      </c>
      <c r="B23540" s="3">
        <v>0</v>
      </c>
    </row>
    <row r="23541" ht="15.75" customHeight="1" spans="1:2">
      <c r="A23541" s="3" t="str">
        <f>IFERROR(__xludf.DUMMYFUNCTION("GOOGLETRANSLATE(A23541,""en"",""pt"")"),"Você pode comprar um scanner melhor para 60USD, lento em comparação com uma fotocopiadora verdadeiro escritório")</f>
        <v>Você pode comprar um scanner melhor para 60USD, lento em comparação com uma fotocopiadora verdadeiro escritório</v>
      </c>
      <c r="B23541" s="3">
        <v>0</v>
      </c>
    </row>
    <row r="23542" ht="15.75" customHeight="1" spans="1:2">
      <c r="A23542" s="3" t="str">
        <f>IFERROR(__xludf.DUMMYFUNCTION("GOOGLETRANSLATE(A23542,""en"",""pt"")"),"digitalização ADF lento devido a defeito de fabricação")</f>
        <v>digitalização ADF lento devido a defeito de fabricação</v>
      </c>
      <c r="B23542" s="3">
        <v>0</v>
      </c>
    </row>
    <row r="23543" ht="15.75" customHeight="1" spans="1:2">
      <c r="A23543" s="3" t="str">
        <f>IFERROR(__xludf.DUMMYFUNCTION("GOOGLETRANSLATE(A23543,""en"",""pt"")"),"Um pouco grande")</f>
        <v>Um pouco grande</v>
      </c>
      <c r="B23543" s="3">
        <v>0</v>
      </c>
    </row>
    <row r="23544" ht="15.75" customHeight="1" spans="1:2">
      <c r="A23544" s="3" t="str">
        <f>IFERROR(__xludf.DUMMYFUNCTION("GOOGLETRANSLATE(A23544,""en"",""pt"")"),"Nenhum produto correções muito defeituosos da HP")</f>
        <v>Nenhum produto correções muito defeituosos da HP</v>
      </c>
      <c r="B23544" s="3">
        <v>0</v>
      </c>
    </row>
    <row r="23545" ht="15.75" customHeight="1" spans="1:2">
      <c r="A23545" s="3" t="str">
        <f>IFERROR(__xludf.DUMMYFUNCTION("GOOGLETRANSLATE(A23545,""en"",""pt"")"),"Retardar ao digitalizar")</f>
        <v>Retardar ao digitalizar</v>
      </c>
      <c r="B23545" s="3">
        <v>0</v>
      </c>
    </row>
    <row r="23546" ht="15.75" customHeight="1" spans="1:2">
      <c r="A23546" s="3" t="str">
        <f>IFERROR(__xludf.DUMMYFUNCTION("GOOGLETRANSLATE(A23546,""en"",""pt"")"),"Pequeno Bandejas, algumas características avançadas / opções")</f>
        <v>Pequeno Bandejas, algumas características avançadas / opções</v>
      </c>
      <c r="B23546" s="3">
        <v>0</v>
      </c>
    </row>
    <row r="23547" ht="15.75" customHeight="1" spans="1:2">
      <c r="A23547" s="3" t="str">
        <f>IFERROR(__xludf.DUMMYFUNCTION("GOOGLETRANSLATE(A23547,""en"",""pt"")"),"Unix duplexador difícil de configurar. Caro.")</f>
        <v>Unix duplexador difícil de configurar. Caro.</v>
      </c>
      <c r="B23547" s="3">
        <v>0</v>
      </c>
    </row>
    <row r="23548" ht="15.75" customHeight="1" spans="1:2">
      <c r="A23548" s="3" t="str">
        <f>IFERROR(__xludf.DUMMYFUNCTION("GOOGLETRANSLATE(A23548,""en"",""pt"")"),"custaria se para uso pessoal, caso contrário nenhuma")</f>
        <v>custaria se para uso pessoal, caso contrário nenhuma</v>
      </c>
      <c r="B23548" s="3">
        <v>0</v>
      </c>
    </row>
    <row r="23549" ht="15.75" customHeight="1" spans="1:2">
      <c r="A23549" s="3" t="str">
        <f>IFERROR(__xludf.DUMMYFUNCTION("GOOGLETRANSLATE(A23549,""en"",""pt"")"),"Necessidade de comprar bandeja de papel extra para realizar uma resma inteira")</f>
        <v>Necessidade de comprar bandeja de papel extra para realizar uma resma inteira</v>
      </c>
      <c r="B23549" s="3">
        <v>0</v>
      </c>
    </row>
    <row r="23550" ht="15.75" customHeight="1" spans="1:2">
      <c r="A23550" s="3" t="str">
        <f>IFERROR(__xludf.DUMMYFUNCTION("GOOGLETRANSLATE(A23550,""en"",""pt"")"),"NENHUM!!!")</f>
        <v>NENHUM!!!</v>
      </c>
      <c r="B23550" s="3">
        <v>0</v>
      </c>
    </row>
    <row r="23551" ht="15.75" customHeight="1" spans="1:2">
      <c r="A23551" s="3" t="str">
        <f>IFERROR(__xludf.DUMMYFUNCTION("GOOGLETRANSLATE(A23551,""en"",""pt"")"),"drivers podem causar problemas, atualizações de RAM pode ser caro")</f>
        <v>drivers podem causar problemas, atualizações de RAM pode ser caro</v>
      </c>
      <c r="B23551" s="3">
        <v>0</v>
      </c>
    </row>
    <row r="23552" ht="15.75" customHeight="1" spans="1:2">
      <c r="A23552" s="3" t="str">
        <f>IFERROR(__xludf.DUMMYFUNCTION("GOOGLETRANSLATE(A23552,""en"",""pt"")"),".... ummm ... você estará comprando muito mais do papel ...")</f>
        <v>.... ummm ... você estará comprando muito mais do papel ...</v>
      </c>
      <c r="B23552" s="3">
        <v>0</v>
      </c>
    </row>
    <row r="23553" ht="15.75" customHeight="1" spans="1:2">
      <c r="A23553" s="3" t="str">
        <f>IFERROR(__xludf.DUMMYFUNCTION("GOOGLETRANSLATE(A23553,""en"",""pt"")"),"muito fácil de operar")</f>
        <v>muito fácil de operar</v>
      </c>
      <c r="B23553" s="3">
        <v>0</v>
      </c>
    </row>
    <row r="23554" ht="15.75" customHeight="1" spans="1:2">
      <c r="A23554" s="3" t="str">
        <f>IFERROR(__xludf.DUMMYFUNCTION("GOOGLETRANSLATE(A23554,""en"",""pt"")"),"Nenhum")</f>
        <v>Nenhum</v>
      </c>
      <c r="B23554" s="3">
        <v>0</v>
      </c>
    </row>
    <row r="23555" ht="15.75" customHeight="1" spans="1:2">
      <c r="A23555" s="3" t="str">
        <f>IFERROR(__xludf.DUMMYFUNCTION("GOOGLETRANSLATE(A23555,""en"",""pt"")"),"nenhum (em uso desde o final de 2000)")</f>
        <v>nenhum (em uso desde o final de 2000)</v>
      </c>
      <c r="B23555" s="3">
        <v>0</v>
      </c>
    </row>
    <row r="23556" ht="15.75" customHeight="1" spans="1:2">
      <c r="A23556" s="3" t="str">
        <f>IFERROR(__xludf.DUMMYFUNCTION("GOOGLETRANSLATE(A23556,""en"",""pt"")"),"Nne")</f>
        <v>Nne</v>
      </c>
      <c r="B23556" s="3">
        <v>0</v>
      </c>
    </row>
    <row r="23557" ht="15.75" customHeight="1" spans="1:2">
      <c r="A23557" s="3" t="str">
        <f>IFERROR(__xludf.DUMMYFUNCTION("GOOGLETRANSLATE(A23557,""en"",""pt"")"),"Perfeição exige um preço elevado.")</f>
        <v>Perfeição exige um preço elevado.</v>
      </c>
      <c r="B23557" s="3">
        <v>0</v>
      </c>
    </row>
    <row r="23558" ht="15.75" customHeight="1" spans="1:2">
      <c r="A23558" s="3" t="str">
        <f>IFERROR(__xludf.DUMMYFUNCTION("GOOGLETRANSLATE(A23558,""en"",""pt"")"),"Non-Color")</f>
        <v>Non-Color</v>
      </c>
      <c r="B23558" s="3">
        <v>0</v>
      </c>
    </row>
    <row r="23559" ht="15.75" customHeight="1" spans="1:2">
      <c r="A23559" s="3" t="str">
        <f>IFERROR(__xludf.DUMMYFUNCTION("GOOGLETRANSLATE(A23559,""en"",""pt"")"),"despesa toner")</f>
        <v>despesa toner</v>
      </c>
      <c r="B23559" s="3">
        <v>0</v>
      </c>
    </row>
    <row r="23560" ht="15.75" customHeight="1" spans="1:2">
      <c r="A23560" s="3" t="str">
        <f>IFERROR(__xludf.DUMMYFUNCTION("GOOGLETRANSLATE(A23560,""en"",""pt"")"),"Nenhum encontrado até agora")</f>
        <v>Nenhum encontrado até agora</v>
      </c>
      <c r="B23560" s="3">
        <v>0</v>
      </c>
    </row>
    <row r="23561" ht="15.75" customHeight="1" spans="1:2">
      <c r="A23561" s="3" t="str">
        <f>IFERROR(__xludf.DUMMYFUNCTION("GOOGLETRANSLATE(A23561,""en"",""pt"")"),"Nenhum")</f>
        <v>Nenhum</v>
      </c>
      <c r="B23561" s="3">
        <v>0</v>
      </c>
    </row>
    <row r="23562" ht="15.75" customHeight="1" spans="1:2">
      <c r="A23562" s="3" t="str">
        <f>IFERROR(__xludf.DUMMYFUNCTION("GOOGLETRANSLATE(A23562,""en"",""pt"")"),"aborrecimentos com smudiging toner")</f>
        <v>aborrecimentos com smudiging toner</v>
      </c>
      <c r="B23562" s="3">
        <v>0</v>
      </c>
    </row>
    <row r="23563" ht="15.75" customHeight="1" spans="1:2">
      <c r="A23563" s="3" t="str">
        <f>IFERROR(__xludf.DUMMYFUNCTION("GOOGLETRANSLATE(A23563,""en"",""pt"")"),"configuração difícil")</f>
        <v>configuração difícil</v>
      </c>
      <c r="B23563" s="3">
        <v>0</v>
      </c>
    </row>
    <row r="23564" ht="15.75" customHeight="1" spans="1:2">
      <c r="A23564" s="3" t="str">
        <f>IFERROR(__xludf.DUMMYFUNCTION("GOOGLETRANSLATE(A23564,""en"",""pt"")"),"problemas ocasionais com o trabalho de impressão não sendo enviados")</f>
        <v>problemas ocasionais com o trabalho de impressão não sendo enviados</v>
      </c>
      <c r="B23564" s="3">
        <v>0</v>
      </c>
    </row>
    <row r="23565" ht="15.75" customHeight="1" spans="1:2">
      <c r="A23565" s="3" t="str">
        <f>IFERROR(__xludf.DUMMYFUNCTION("GOOGLETRANSLATE(A23565,""en"",""pt"")"),"Nenhum")</f>
        <v>Nenhum</v>
      </c>
      <c r="B23565" s="3">
        <v>0</v>
      </c>
    </row>
    <row r="23566" ht="15.75" customHeight="1" spans="1:2">
      <c r="A23566" s="3" t="str">
        <f>IFERROR(__xludf.DUMMYFUNCTION("GOOGLETRANSLATE(A23566,""en"",""pt"")"),"incentiva a impressão")</f>
        <v>incentiva a impressão</v>
      </c>
      <c r="B23566" s="3">
        <v>0</v>
      </c>
    </row>
    <row r="23567" ht="15.75" customHeight="1" spans="1:2">
      <c r="A23567" s="3" t="str">
        <f>IFERROR(__xludf.DUMMYFUNCTION("GOOGLETRANSLATE(A23567,""en"",""pt"")"),"opções de embalagem fracos - deve tomar decisões críticas antes da compra!")</f>
        <v>opções de embalagem fracos - deve tomar decisões críticas antes da compra!</v>
      </c>
      <c r="B23567" s="3">
        <v>0</v>
      </c>
    </row>
    <row r="23568" ht="15.75" customHeight="1" spans="1:2">
      <c r="A23568" s="3" t="str">
        <f>IFERROR(__xludf.DUMMYFUNCTION("GOOGLETRANSLATE(A23568,""en"",""pt"")"),"atolamentos de papel")</f>
        <v>atolamentos de papel</v>
      </c>
      <c r="B23568" s="3">
        <v>0</v>
      </c>
    </row>
    <row r="23569" ht="15.75" customHeight="1" spans="1:2">
      <c r="A23569" s="3" t="str">
        <f>IFERROR(__xludf.DUMMYFUNCTION("GOOGLETRANSLATE(A23569,""en"",""pt"")"),"não uma impressora a cores")</f>
        <v>não uma impressora a cores</v>
      </c>
      <c r="B23569" s="3">
        <v>0</v>
      </c>
    </row>
    <row r="23570" ht="15.75" customHeight="1" spans="1:2">
      <c r="A23570" s="3" t="str">
        <f>IFERROR(__xludf.DUMMYFUNCTION("GOOGLETRANSLATE(A23570,""en"",""pt"")"),"A embalagem é mais do que o necessário.")</f>
        <v>A embalagem é mais do que o necessário.</v>
      </c>
      <c r="B23570" s="3">
        <v>0</v>
      </c>
    </row>
    <row r="23571" ht="15.75" customHeight="1" spans="1:2">
      <c r="A23571" s="3" t="str">
        <f>IFERROR(__xludf.DUMMYFUNCTION("GOOGLETRANSLATE(A23571,""en"",""pt"")"),"Nenhum ainda.")</f>
        <v>Nenhum ainda.</v>
      </c>
      <c r="B23571" s="3">
        <v>0</v>
      </c>
    </row>
    <row r="23572" ht="15.75" customHeight="1" spans="1:2">
      <c r="A23572" s="3" t="str">
        <f>IFERROR(__xludf.DUMMYFUNCTION("GOOGLETRANSLATE(A23572,""en"",""pt"")"),"eater toner")</f>
        <v>eater toner</v>
      </c>
      <c r="B23572" s="3">
        <v>0</v>
      </c>
    </row>
    <row r="23573" ht="15.75" customHeight="1" spans="1:2">
      <c r="A23573" s="3" t="str">
        <f>IFERROR(__xludf.DUMMYFUNCTION("GOOGLETRANSLATE(A23573,""en"",""pt"")"),"Software congelar")</f>
        <v>Software congelar</v>
      </c>
      <c r="B23573" s="3">
        <v>0</v>
      </c>
    </row>
    <row r="23574" ht="15.75" customHeight="1" spans="1:2">
      <c r="A23574" s="3" t="str">
        <f>IFERROR(__xludf.DUMMYFUNCTION("GOOGLETRANSLATE(A23574,""en"",""pt"")"),"Custo")</f>
        <v>Custo</v>
      </c>
      <c r="B23574" s="3">
        <v>0</v>
      </c>
    </row>
    <row r="23575" ht="15.75" customHeight="1" spans="1:2">
      <c r="A23575" s="3" t="str">
        <f>IFERROR(__xludf.DUMMYFUNCTION("GOOGLETRANSLATE(A23575,""en"",""pt"")"),"Não é barato, retardar com gráficos, ocasionalmente compotas")</f>
        <v>Não é barato, retardar com gráficos, ocasionalmente compotas</v>
      </c>
      <c r="B23575" s="3">
        <v>0</v>
      </c>
    </row>
    <row r="23576" ht="15.75" customHeight="1" spans="1:2">
      <c r="A23576" s="3" t="str">
        <f>IFERROR(__xludf.DUMMYFUNCTION("GOOGLETRANSLATE(A23576,""en"",""pt"")"),"Sempre, pelo menos, uma impressora para baixo (não explicadas ""encravamentos"" e ""saídas de papel"")")</f>
        <v>Sempre, pelo menos, uma impressora para baixo (não explicadas "encravamentos" e "saídas de papel")</v>
      </c>
      <c r="B23576" s="3">
        <v>0</v>
      </c>
    </row>
    <row r="23577" ht="15.75" customHeight="1" spans="1:2">
      <c r="A23577" s="3" t="str">
        <f>IFERROR(__xludf.DUMMYFUNCTION("GOOGLETRANSLATE(A23577,""en"",""pt"")"),"um pouco caro")</f>
        <v>um pouco caro</v>
      </c>
      <c r="B23577" s="3">
        <v>0</v>
      </c>
    </row>
    <row r="23578" ht="15.75" customHeight="1" spans="1:2">
      <c r="A23578" s="3" t="str">
        <f>IFERROR(__xludf.DUMMYFUNCTION("GOOGLETRANSLATE(A23578,""en"",""pt"")"),"não podem pagar um para casa!")</f>
        <v>não podem pagar um para casa!</v>
      </c>
      <c r="B23578" s="3">
        <v>0</v>
      </c>
    </row>
    <row r="23579" ht="15.75" customHeight="1" spans="1:2">
      <c r="A23579" s="3" t="str">
        <f>IFERROR(__xludf.DUMMYFUNCTION("GOOGLETRANSLATE(A23579,""en"",""pt"")"),"Muito pesado. Não consigo pensar em qualquer outra coisa.")</f>
        <v>Muito pesado. Não consigo pensar em qualquer outra coisa.</v>
      </c>
      <c r="B23579" s="3">
        <v>0</v>
      </c>
    </row>
    <row r="23580" ht="15.75" customHeight="1" spans="1:2">
      <c r="A23580" s="3" t="str">
        <f>IFERROR(__xludf.DUMMYFUNCTION("GOOGLETRANSLATE(A23580,""en"",""pt"")"),"Nenhum")</f>
        <v>Nenhum</v>
      </c>
      <c r="B23580" s="3">
        <v>0</v>
      </c>
    </row>
    <row r="23581" ht="15.75" customHeight="1" spans="1:2">
      <c r="A23581" s="3" t="str">
        <f>IFERROR(__xludf.DUMMYFUNCTION("GOOGLETRANSLATE(A23581,""en"",""pt"")"),"Nenhum")</f>
        <v>Nenhum</v>
      </c>
      <c r="B23581" s="3">
        <v>0</v>
      </c>
    </row>
    <row r="23582" ht="15.75" customHeight="1" spans="1:2">
      <c r="A23582" s="3" t="str">
        <f>IFERROR(__xludf.DUMMYFUNCTION("GOOGLETRANSLATE(A23582,""en"",""pt"")"),"Sem cor")</f>
        <v>Sem cor</v>
      </c>
      <c r="B23582" s="3">
        <v>0</v>
      </c>
    </row>
    <row r="23583" ht="15.75" customHeight="1" spans="1:2">
      <c r="A23583" s="3" t="str">
        <f>IFERROR(__xludf.DUMMYFUNCTION("GOOGLETRANSLATE(A23583,""en"",""pt"")"),"bandejas de papel desonesto")</f>
        <v>bandejas de papel desonesto</v>
      </c>
      <c r="B23583" s="3">
        <v>0</v>
      </c>
    </row>
    <row r="23584" ht="15.75" customHeight="1" spans="1:2">
      <c r="A23584" s="3" t="str">
        <f>IFERROR(__xludf.DUMMYFUNCTION("GOOGLETRANSLATE(A23584,""en"",""pt"")"),"Não encontrei um ainda!")</f>
        <v>Não encontrei um ainda!</v>
      </c>
      <c r="B23584" s="3">
        <v>0</v>
      </c>
    </row>
    <row r="23585" ht="15.75" customHeight="1" spans="1:2">
      <c r="A23585" s="3" t="str">
        <f>IFERROR(__xludf.DUMMYFUNCTION("GOOGLETRANSLATE(A23585,""en"",""pt"")"),"Toner é caro.")</f>
        <v>Toner é caro.</v>
      </c>
      <c r="B23585" s="3">
        <v>0</v>
      </c>
    </row>
    <row r="23586" ht="15.75" customHeight="1" spans="1:2">
      <c r="A23586" s="3" t="str">
        <f>IFERROR(__xludf.DUMMYFUNCTION("GOOGLETRANSLATE(A23586,""en"",""pt"")"),"Nenhum &amp; amp; # 13; &amp; amp; # 10;")</f>
        <v>Nenhum &amp; amp; # 13; &amp; amp; # 10;</v>
      </c>
      <c r="B23586" s="3">
        <v>0</v>
      </c>
    </row>
    <row r="23587" ht="15.75" customHeight="1" spans="1:2">
      <c r="A23587" s="3" t="str">
        <f>IFERROR(__xludf.DUMMYFUNCTION("GOOGLETRANSLATE(A23587,""en"",""pt"")"),"Nenhum")</f>
        <v>Nenhum</v>
      </c>
      <c r="B23587" s="3">
        <v>0</v>
      </c>
    </row>
    <row r="23588" ht="15.75" customHeight="1" spans="1:2">
      <c r="A23588" s="3" t="str">
        <f>IFERROR(__xludf.DUMMYFUNCTION("GOOGLETRANSLATE(A23588,""en"",""pt"")"),"Não encontrei qualquer ...")</f>
        <v>Não encontrei qualquer ...</v>
      </c>
      <c r="B23588" s="3">
        <v>0</v>
      </c>
    </row>
    <row r="23589" ht="15.75" customHeight="1" spans="1:2">
      <c r="A23589" s="3" t="str">
        <f>IFERROR(__xludf.DUMMYFUNCTION("GOOGLETRANSLATE(A23589,""en"",""pt"")"),"Preço")</f>
        <v>Preço</v>
      </c>
      <c r="B23589" s="3">
        <v>0</v>
      </c>
    </row>
    <row r="23590" ht="15.75" customHeight="1" spans="1:2">
      <c r="A23590" s="3" t="str">
        <f>IFERROR(__xludf.DUMMYFUNCTION("GOOGLETRANSLATE(A23590,""en"",""pt"")"),"Documentação")</f>
        <v>Documentação</v>
      </c>
      <c r="B23590" s="3">
        <v>0</v>
      </c>
    </row>
    <row r="23591" ht="15.75" customHeight="1" spans="1:2">
      <c r="A23591" s="3" t="str">
        <f>IFERROR(__xludf.DUMMYFUNCTION("GOOGLETRANSLATE(A23591,""en"",""pt"")"),"grande, ferramenta caro, JetAdmin instável")</f>
        <v>grande, ferramenta caro, JetAdmin instável</v>
      </c>
      <c r="B23591" s="3">
        <v>0</v>
      </c>
    </row>
    <row r="23592" ht="15.75" customHeight="1" spans="1:2">
      <c r="A23592" s="3" t="str">
        <f>IFERROR(__xludf.DUMMYFUNCTION("GOOGLETRANSLATE(A23592,""en"",""pt"")"),"nenhum que eu posso relatar")</f>
        <v>nenhum que eu posso relatar</v>
      </c>
      <c r="B23592" s="3">
        <v>0</v>
      </c>
    </row>
    <row r="23593" ht="15.75" customHeight="1" spans="1:2">
      <c r="A23593" s="3" t="str">
        <f>IFERROR(__xludf.DUMMYFUNCTION("GOOGLETRANSLATE(A23593,""en"",""pt"")"),"Volumoso e caro")</f>
        <v>Volumoso e caro</v>
      </c>
      <c r="B23593" s="3">
        <v>0</v>
      </c>
    </row>
    <row r="23594" ht="15.75" customHeight="1" spans="1:2">
      <c r="A23594" s="3" t="str">
        <f>IFERROR(__xludf.DUMMYFUNCTION("GOOGLETRANSLATE(A23594,""en"",""pt"")"),"Caro")</f>
        <v>Caro</v>
      </c>
      <c r="B23594" s="3">
        <v>0</v>
      </c>
    </row>
    <row r="23595" ht="15.75" customHeight="1" spans="1:2">
      <c r="A23595" s="3" t="str">
        <f>IFERROR(__xludf.DUMMYFUNCTION("GOOGLETRANSLATE(A23595,""en"",""pt"")"),"cachos de papel.")</f>
        <v>cachos de papel.</v>
      </c>
      <c r="B23595" s="3">
        <v>0</v>
      </c>
    </row>
    <row r="23596" ht="15.75" customHeight="1" spans="1:2">
      <c r="A23596" s="3" t="str">
        <f>IFERROR(__xludf.DUMMYFUNCTION("GOOGLETRANSLATE(A23596,""en"",""pt"")"),"Às vezes leva mais de uma folha de papel, mas há uma correção.")</f>
        <v>Às vezes leva mais de uma folha de papel, mas há uma correção.</v>
      </c>
      <c r="B23596" s="3">
        <v>0</v>
      </c>
    </row>
    <row r="23597" ht="15.75" customHeight="1" spans="1:2">
      <c r="A23597" s="3" t="str">
        <f>IFERROR(__xludf.DUMMYFUNCTION("GOOGLETRANSLATE(A23597,""en"",""pt"")"),"ocasionais alimentações duplas, sloooooooowwwwwwwww")</f>
        <v>ocasionais alimentações duplas, sloooooooowwwwwwwww</v>
      </c>
      <c r="B23597" s="3">
        <v>0</v>
      </c>
    </row>
    <row r="23598" ht="15.75" customHeight="1" spans="1:2">
      <c r="A23598" s="3" t="str">
        <f>IFERROR(__xludf.DUMMYFUNCTION("GOOGLETRANSLATE(A23598,""en"",""pt"")"),"Obsoleto?")</f>
        <v>Obsoleto?</v>
      </c>
      <c r="B23598" s="3">
        <v>0</v>
      </c>
    </row>
    <row r="23599" ht="15.75" customHeight="1" spans="1:2">
      <c r="A23599" s="3" t="str">
        <f>IFERROR(__xludf.DUMMYFUNCTION("GOOGLETRANSLATE(A23599,""en"",""pt"")"),"velho")</f>
        <v>velho</v>
      </c>
      <c r="B23599" s="3">
        <v>0</v>
      </c>
    </row>
    <row r="23600" ht="15.75" customHeight="1" spans="1:2">
      <c r="A23600" s="3" t="str">
        <f>IFERROR(__xludf.DUMMYFUNCTION("GOOGLETRANSLATE(A23600,""en"",""pt"")"),"manuseio de papel extremamente pobres")</f>
        <v>manuseio de papel extremamente pobres</v>
      </c>
      <c r="B23600" s="3">
        <v>0</v>
      </c>
    </row>
    <row r="23601" ht="15.75" customHeight="1" spans="1:2">
      <c r="A23601" s="3" t="str">
        <f>IFERROR(__xludf.DUMMYFUNCTION("GOOGLETRANSLATE(A23601,""en"",""pt"")"),"múltipla captador página. skews de papel são muitas vezes se não for captado adequadamente")</f>
        <v>múltipla captador página. skews de papel são muitas vezes se não for captado adequadamente</v>
      </c>
      <c r="B23601" s="3">
        <v>0</v>
      </c>
    </row>
    <row r="23602" ht="15.75" customHeight="1" spans="1:2">
      <c r="A23602" s="3" t="str">
        <f>IFERROR(__xludf.DUMMYFUNCTION("GOOGLETRANSLATE(A23602,""en"",""pt"")"),"Nenhum")</f>
        <v>Nenhum</v>
      </c>
      <c r="B23602" s="3">
        <v>0</v>
      </c>
    </row>
    <row r="23603" ht="15.75" customHeight="1" spans="1:2">
      <c r="A23603" s="3" t="str">
        <f>IFERROR(__xludf.DUMMYFUNCTION("GOOGLETRANSLATE(A23603,""en"",""pt"")"),"Às vezes pode puxar várias folhas ao alimentar")</f>
        <v>Às vezes pode puxar várias folhas ao alimentar</v>
      </c>
      <c r="B23603" s="3">
        <v>0</v>
      </c>
    </row>
    <row r="23604" ht="15.75" customHeight="1" spans="1:2">
      <c r="A23604" s="3" t="str">
        <f>IFERROR(__xludf.DUMMYFUNCTION("GOOGLETRANSLATE(A23604,""en"",""pt"")"),"Jams constantes, a maioria dos quais são difíceis de remover")</f>
        <v>Jams constantes, a maioria dos quais são difíceis de remover</v>
      </c>
      <c r="B23604" s="3">
        <v>0</v>
      </c>
    </row>
    <row r="23605" ht="15.75" customHeight="1" spans="1:2">
      <c r="A23605" s="3" t="str">
        <f>IFERROR(__xludf.DUMMYFUNCTION("GOOGLETRANSLATE(A23605,""en"",""pt"")"),"Nenhum conhecido")</f>
        <v>Nenhum conhecido</v>
      </c>
      <c r="B23605" s="3">
        <v>0</v>
      </c>
    </row>
    <row r="23606" ht="15.75" customHeight="1" spans="1:2">
      <c r="A23606" s="3" t="str">
        <f>IFERROR(__xludf.DUMMYFUNCTION("GOOGLETRANSLATE(A23606,""en"",""pt"")"),"Jams facilmente, não vai pegar o papel, superaquecer, e trava-se muito.")</f>
        <v>Jams facilmente, não vai pegar o papel, superaquecer, e trava-se muito.</v>
      </c>
      <c r="B23606" s="3">
        <v>0</v>
      </c>
    </row>
    <row r="23607" ht="15.75" customHeight="1" spans="1:2">
      <c r="A23607" s="3" t="str">
        <f>IFERROR(__xludf.DUMMYFUNCTION("GOOGLETRANSLATE(A23607,""en"",""pt"")"),"problemas de alimentação de papel")</f>
        <v>problemas de alimentação de papel</v>
      </c>
      <c r="B23607" s="3">
        <v>0</v>
      </c>
    </row>
    <row r="23608" ht="15.75" customHeight="1" spans="1:2">
      <c r="A23608" s="3" t="str">
        <f>IFERROR(__xludf.DUMMYFUNCTION("GOOGLETRANSLATE(A23608,""en"",""pt"")"),"Carregamento superior de alimentação de papel.")</f>
        <v>Carregamento superior de alimentação de papel.</v>
      </c>
      <c r="B23608" s="3">
        <v>0</v>
      </c>
    </row>
    <row r="23609" ht="15.75" customHeight="1" spans="1:2">
      <c r="A23609" s="3" t="str">
        <f>IFERROR(__xludf.DUMMYFUNCTION("GOOGLETRANSLATE(A23609,""en"",""pt"")"),"alimenta folhas múltiplas, ao mesmo tempo, a bandeja de papel de baixa capacidade")</f>
        <v>alimenta folhas múltiplas, ao mesmo tempo, a bandeja de papel de baixa capacidade</v>
      </c>
      <c r="B23609" s="3">
        <v>0</v>
      </c>
    </row>
    <row r="23610" ht="15.75" customHeight="1" spans="1:2">
      <c r="A23610" s="3" t="str">
        <f>IFERROR(__xludf.DUMMYFUNCTION("GOOGLETRANSLATE(A23610,""en"",""pt"")"),"manuseamento de papel pobre torna este inutilizável")</f>
        <v>manuseamento de papel pobre torna este inutilizável</v>
      </c>
      <c r="B23610" s="3">
        <v>0</v>
      </c>
    </row>
    <row r="23611" ht="15.75" customHeight="1" spans="1:2">
      <c r="A23611" s="3" t="str">
        <f>IFERROR(__xludf.DUMMYFUNCTION("GOOGLETRANSLATE(A23611,""en"",""pt"")"),"apenas, alguns problemas de papel preto e branco")</f>
        <v>apenas, alguns problemas de papel preto e branco</v>
      </c>
      <c r="B23611" s="3">
        <v>0</v>
      </c>
    </row>
    <row r="23612" ht="15.75" customHeight="1" spans="1:2">
      <c r="A23612" s="3" t="str">
        <f>IFERROR(__xludf.DUMMYFUNCTION("GOOGLETRANSLATE(A23612,""en"",""pt"")"),"Temperamental, mau problema paperfeeding.")</f>
        <v>Temperamental, mau problema paperfeeding.</v>
      </c>
      <c r="B23612" s="3">
        <v>0</v>
      </c>
    </row>
    <row r="23613" ht="15.75" customHeight="1" spans="1:2">
      <c r="A23613" s="3" t="str">
        <f>IFERROR(__xludf.DUMMYFUNCTION("GOOGLETRANSLATE(A23613,""en"",""pt"")"),"slooooow, propenso a cada problema há na indústria de impressão")</f>
        <v>slooooow, propenso a cada problema há na indústria de impressão</v>
      </c>
      <c r="B23613" s="3">
        <v>0</v>
      </c>
    </row>
    <row r="23614" ht="15.75" customHeight="1" spans="1:2">
      <c r="A23614" s="3" t="str">
        <f>IFERROR(__xludf.DUMMYFUNCTION("GOOGLETRANSLATE(A23614,""en"",""pt"")"),"Lenta, difícil de papel de alimentação")</f>
        <v>Lenta, difícil de papel de alimentação</v>
      </c>
      <c r="B23614" s="3">
        <v>0</v>
      </c>
    </row>
    <row r="23615" ht="15.75" customHeight="1" spans="1:2">
      <c r="A23615" s="3" t="str">
        <f>IFERROR(__xludf.DUMMYFUNCTION("GOOGLETRANSLATE(A23615,""en"",""pt"")"),"Não é um bom negócio para o preço mais. motoristas horríveis. Problemas mecânicos.")</f>
        <v>Não é um bom negócio para o preço mais. motoristas horríveis. Problemas mecânicos.</v>
      </c>
      <c r="B23615" s="3">
        <v>0</v>
      </c>
    </row>
    <row r="23616" ht="15.75" customHeight="1" spans="1:2">
      <c r="A23616" s="3" t="str">
        <f>IFERROR(__xludf.DUMMYFUNCTION("GOOGLETRANSLATE(A23616,""en"",""pt"")"),"Inconvenientes listados na revisão")</f>
        <v>Inconvenientes listados na revisão</v>
      </c>
      <c r="B23616" s="3">
        <v>0</v>
      </c>
    </row>
    <row r="23617" ht="15.75" customHeight="1" spans="1:2">
      <c r="A23617" s="3" t="str">
        <f>IFERROR(__xludf.DUMMYFUNCTION("GOOGLETRANSLATE(A23617,""en"",""pt"")"),"Sem o software, você não pode utilizar todos os recursos.")</f>
        <v>Sem o software, você não pode utilizar todos os recursos.</v>
      </c>
      <c r="B23617" s="3">
        <v>0</v>
      </c>
    </row>
    <row r="23618" ht="15.75" customHeight="1" spans="1:2">
      <c r="A23618" s="3" t="str">
        <f>IFERROR(__xludf.DUMMYFUNCTION("GOOGLETRANSLATE(A23618,""en"",""pt"")"),"provavelmente não o há mais rápido para fora")</f>
        <v>provavelmente não o há mais rápido para fora</v>
      </c>
      <c r="B23618" s="3">
        <v>0</v>
      </c>
    </row>
    <row r="23619" ht="15.75" customHeight="1" spans="1:2">
      <c r="A23619" s="3" t="str">
        <f>IFERROR(__xludf.DUMMYFUNCTION("GOOGLETRANSLATE(A23619,""en"",""pt"")"),"todos os recursos em um")</f>
        <v>todos os recursos em um</v>
      </c>
      <c r="B23619" s="3">
        <v>0</v>
      </c>
    </row>
    <row r="23620" ht="15.75" customHeight="1" spans="1:2">
      <c r="A23620" s="3" t="str">
        <f>IFERROR(__xludf.DUMMYFUNCTION("GOOGLETRANSLATE(A23620,""en"",""pt"")"),"fotos poderia ser melhor.")</f>
        <v>fotos poderia ser melhor.</v>
      </c>
      <c r="B23620" s="3">
        <v>0</v>
      </c>
    </row>
    <row r="23621" ht="15.75" customHeight="1" spans="1:2">
      <c r="A23621" s="3" t="str">
        <f>IFERROR(__xludf.DUMMYFUNCTION("GOOGLETRANSLATE(A23621,""en"",""pt"")"),"Às vezes frustrante")</f>
        <v>Às vezes frustrante</v>
      </c>
      <c r="B23621" s="3">
        <v>0</v>
      </c>
    </row>
    <row r="23622" ht="15.75" customHeight="1" spans="1:2">
      <c r="A23622" s="3" t="str">
        <f>IFERROR(__xludf.DUMMYFUNCTION("GOOGLETRANSLATE(A23622,""en"",""pt"")"),"terrível qualidade de impressão / fax; cópia cor é horrível")</f>
        <v>terrível qualidade de impressão / fax; cópia cor é horrível</v>
      </c>
      <c r="B23622" s="3">
        <v>0</v>
      </c>
    </row>
    <row r="23623" ht="15.75" customHeight="1" spans="1:2">
      <c r="A23623" s="3" t="str">
        <f>IFERROR(__xludf.DUMMYFUNCTION("GOOGLETRANSLATE(A23623,""en"",""pt"")"),"todo o resto")</f>
        <v>todo o resto</v>
      </c>
      <c r="B23623" s="3">
        <v>0</v>
      </c>
    </row>
    <row r="23624" ht="15.75" customHeight="1" spans="1:2">
      <c r="A23624" s="3" t="str">
        <f>IFERROR(__xludf.DUMMYFUNCTION("GOOGLETRANSLATE(A23624,""en"",""pt"")"),"sempre quebras, a cada mês, ele só pára de receber e desativa o envio")</f>
        <v>sempre quebras, a cada mês, ele só pára de receber e desativa o envio</v>
      </c>
      <c r="B23624" s="3">
        <v>0</v>
      </c>
    </row>
    <row r="23625" ht="15.75" customHeight="1" spans="1:2">
      <c r="A23625" s="3" t="str">
        <f>IFERROR(__xludf.DUMMYFUNCTION("GOOGLETRANSLATE(A23625,""en"",""pt"")"),"Velocidade de impressão é um pouco mais lento do que uma impressora a laser")</f>
        <v>Velocidade de impressão é um pouco mais lento do que uma impressora a laser</v>
      </c>
      <c r="B23625" s="3">
        <v>0</v>
      </c>
    </row>
    <row r="23626" ht="15.75" customHeight="1" spans="1:2">
      <c r="A23626" s="3" t="str">
        <f>IFERROR(__xludf.DUMMYFUNCTION("GOOGLETRANSLATE(A23626,""en"",""pt"")"),"Depois de vários usos das cabeças de impressão começou manchas.")</f>
        <v>Depois de vários usos das cabeças de impressão começou manchas.</v>
      </c>
      <c r="B23626" s="3">
        <v>0</v>
      </c>
    </row>
    <row r="23627" ht="15.75" customHeight="1" spans="1:2">
      <c r="A23627" s="3" t="str">
        <f>IFERROR(__xludf.DUMMYFUNCTION("GOOGLETRANSLATE(A23627,""en"",""pt"")"),"pode ser lenta para imprimir, a instalação pode demorar mais de uma hora para instalar e registrar software")</f>
        <v>pode ser lenta para imprimir, a instalação pode demorar mais de uma hora para instalar e registrar software</v>
      </c>
      <c r="B23627" s="3">
        <v>0</v>
      </c>
    </row>
    <row r="23628" ht="15.75" customHeight="1" spans="1:2">
      <c r="A23628" s="3" t="str">
        <f>IFERROR(__xludf.DUMMYFUNCTION("GOOGLETRANSLATE(A23628,""en"",""pt"")"),"pobre artesanato, doces muito, folha a folha limites de scanner quantidade / tipo de itens para digitalizar")</f>
        <v>pobre artesanato, doces muito, folha a folha limites de scanner quantidade / tipo de itens para digitalizar</v>
      </c>
      <c r="B23628" s="3">
        <v>0</v>
      </c>
    </row>
    <row r="23629" ht="15.75" customHeight="1" spans="1:2">
      <c r="A23629" s="3" t="str">
        <f>IFERROR(__xludf.DUMMYFUNCTION("GOOGLETRANSLATE(A23629,""en"",""pt"")"),"lento, má qualidade, alimentação de papel pobre")</f>
        <v>lento, má qualidade, alimentação de papel pobre</v>
      </c>
      <c r="B23629" s="3">
        <v>0</v>
      </c>
    </row>
    <row r="23630" ht="15.75" customHeight="1" spans="1:2">
      <c r="A23630" s="3" t="str">
        <f>IFERROR(__xludf.DUMMYFUNCTION("GOOGLETRANSLATE(A23630,""en"",""pt"")"),"Software trava, cabeças de impressão manchar")</f>
        <v>Software trava, cabeças de impressão manchar</v>
      </c>
      <c r="B23630" s="3">
        <v>0</v>
      </c>
    </row>
    <row r="23631" ht="15.75" customHeight="1" spans="1:2">
      <c r="A23631" s="3" t="str">
        <f>IFERROR(__xludf.DUMMYFUNCTION("GOOGLETRANSLATE(A23631,""en"",""pt"")"),"Tudo sai ruim .. atolamentos de papel são frequentes")</f>
        <v>Tudo sai ruim .. atolamentos de papel são frequentes</v>
      </c>
      <c r="B23631" s="3">
        <v>0</v>
      </c>
    </row>
    <row r="23632" ht="15.75" customHeight="1" spans="1:2">
      <c r="A23632" s="3" t="str">
        <f>IFERROR(__xludf.DUMMYFUNCTION("GOOGLETRANSLATE(A23632,""en"",""pt"")"),"Pior erro de compra na memória")</f>
        <v>Pior erro de compra na memória</v>
      </c>
      <c r="B23632" s="3">
        <v>0</v>
      </c>
    </row>
    <row r="23633" ht="15.75" customHeight="1" spans="1:2">
      <c r="A23633" s="3" t="str">
        <f>IFERROR(__xludf.DUMMYFUNCTION("GOOGLETRANSLATE(A23633,""en"",""pt"")"),"Um pouco lento, provavelmente não o melhor &amp; amp; quot; negócio da máquina buy &amp; amp; quot;")</f>
        <v>Um pouco lento, provavelmente não o melhor &amp; amp; quot; negócio da máquina buy &amp; amp; quot;</v>
      </c>
      <c r="B23633" s="3">
        <v>0</v>
      </c>
    </row>
    <row r="23634" ht="15.75" customHeight="1" spans="1:2">
      <c r="A23634" s="3" t="str">
        <f>IFERROR(__xludf.DUMMYFUNCTION("GOOGLETRANSLATE(A23634,""en"",""pt"")"),"não faz bem alguma coisa; não fazer mais coisas passably")</f>
        <v>não faz bem alguma coisa; não fazer mais coisas passably</v>
      </c>
      <c r="B23634" s="3">
        <v>0</v>
      </c>
    </row>
    <row r="23635" ht="15.75" customHeight="1" spans="1:2">
      <c r="A23635" s="3" t="str">
        <f>IFERROR(__xludf.DUMMYFUNCTION("GOOGLETRANSLATE(A23635,""en"",""pt"")"),"transporte de papel pobre")</f>
        <v>transporte de papel pobre</v>
      </c>
      <c r="B23635" s="3">
        <v>0</v>
      </c>
    </row>
    <row r="23636" ht="15.75" customHeight="1" spans="1:2">
      <c r="A23636" s="3" t="str">
        <f>IFERROR(__xludf.DUMMYFUNCTION("GOOGLETRANSLATE(A23636,""en"",""pt"")"),"Todo o resto")</f>
        <v>Todo o resto</v>
      </c>
      <c r="B23636" s="3">
        <v>0</v>
      </c>
    </row>
    <row r="23637" ht="15.75" customHeight="1" spans="1:2">
      <c r="A23637" s="3" t="str">
        <f>IFERROR(__xludf.DUMMYFUNCTION("GOOGLETRANSLATE(A23637,""en"",""pt"")"),"impressão medíocre, cópia e digitalização.")</f>
        <v>impressão medíocre, cópia e digitalização.</v>
      </c>
      <c r="B23637" s="3">
        <v>0</v>
      </c>
    </row>
    <row r="23638" ht="15.75" customHeight="1" spans="1:2">
      <c r="A23638" s="3" t="str">
        <f>IFERROR(__xludf.DUMMYFUNCTION("GOOGLETRANSLATE(A23638,""en"",""pt"")"),"Não encontrei qualquer como ainda ....")</f>
        <v>Não encontrei qualquer como ainda ....</v>
      </c>
      <c r="B23638" s="3">
        <v>0</v>
      </c>
    </row>
    <row r="23639" ht="15.75" customHeight="1" spans="1:2">
      <c r="A23639" s="3" t="str">
        <f>IFERROR(__xludf.DUMMYFUNCTION("GOOGLETRANSLATE(A23639,""en"",""pt"")"),"Se uma função quebra o seu sem todos eles")</f>
        <v>Se uma função quebra o seu sem todos eles</v>
      </c>
      <c r="B23639" s="3">
        <v>0</v>
      </c>
    </row>
    <row r="23640" ht="15.75" customHeight="1" spans="1:2">
      <c r="A23640" s="3" t="str">
        <f>IFERROR(__xludf.DUMMYFUNCTION("GOOGLETRANSLATE(A23640,""en"",""pt"")"),"teimosa de alimentação de papel, lento")</f>
        <v>teimosa de alimentação de papel, lento</v>
      </c>
      <c r="B23640" s="3">
        <v>0</v>
      </c>
    </row>
    <row r="23641" ht="15.75" customHeight="1" spans="1:2">
      <c r="A23641" s="3" t="str">
        <f>IFERROR(__xludf.DUMMYFUNCTION("GOOGLETRANSLATE(A23641,""en"",""pt"")"),"qualidade de impressão; encravamentos de papel; manchas de tinta; alimentações de papel demasiado")</f>
        <v>qualidade de impressão; encravamentos de papel; manchas de tinta; alimentações de papel demasiado</v>
      </c>
      <c r="B23641" s="3">
        <v>0</v>
      </c>
    </row>
    <row r="23642" ht="15.75" customHeight="1" spans="1:2">
      <c r="A23642" s="3" t="str">
        <f>IFERROR(__xludf.DUMMYFUNCTION("GOOGLETRANSLATE(A23642,""en"",""pt"")"),"Teve de comprometer a velocidade de impressão e é uma folha alimentada, não plana scanner de cama e copiadora")</f>
        <v>Teve de comprometer a velocidade de impressão e é uma folha alimentada, não plana scanner de cama e copiadora</v>
      </c>
      <c r="B23642" s="3">
        <v>0</v>
      </c>
    </row>
    <row r="23643" ht="15.75" customHeight="1" spans="1:2">
      <c r="A23643" s="3" t="str">
        <f>IFERROR(__xludf.DUMMYFUNCTION("GOOGLETRANSLATE(A23643,""en"",""pt"")"),"Imprime um pouco lento em trabalhos de alta qualidade.")</f>
        <v>Imprime um pouco lento em trabalhos de alta qualidade.</v>
      </c>
      <c r="B23643" s="3">
        <v>0</v>
      </c>
    </row>
    <row r="23644" ht="15.75" customHeight="1" spans="1:2">
      <c r="A23644" s="3" t="str">
        <f>IFERROR(__xludf.DUMMYFUNCTION("GOOGLETRANSLATE(A23644,""en"",""pt"")"),"O scanner riscado as jaquetas de varredura por isso deixou de linhas")</f>
        <v>O scanner riscado as jaquetas de varredura por isso deixou de linhas</v>
      </c>
      <c r="B23644" s="3">
        <v>0</v>
      </c>
    </row>
    <row r="23645" ht="15.75" customHeight="1" spans="1:2">
      <c r="A23645" s="3" t="str">
        <f>IFERROR(__xludf.DUMMYFUNCTION("GOOGLETRANSLATE(A23645,""en"",""pt"")"),"papel tende a não querer avançar na máquina, tinta é caro, não a máquina mais rápida do mundo")</f>
        <v>papel tende a não querer avançar na máquina, tinta é caro, não a máquina mais rápida do mundo</v>
      </c>
      <c r="B23645" s="3">
        <v>0</v>
      </c>
    </row>
    <row r="23646" ht="15.75" customHeight="1" spans="1:2">
      <c r="A23646" s="3" t="str">
        <f>IFERROR(__xludf.DUMMYFUNCTION("GOOGLETRANSLATE(A23646,""en"",""pt"")"),"não grande qualidade em qualquer um dos 4, suporte técnico HORRÍVEL")</f>
        <v>não grande qualidade em qualquer um dos 4, suporte técnico HORRÍVEL</v>
      </c>
      <c r="B23646" s="3">
        <v>0</v>
      </c>
    </row>
    <row r="23647" ht="15.75" customHeight="1" spans="1:2">
      <c r="A23647" s="3" t="str">
        <f>IFERROR(__xludf.DUMMYFUNCTION("GOOGLETRANSLATE(A23647,""en"",""pt"")"),"software intrusivos, a qualidade espetacular")</f>
        <v>software intrusivos, a qualidade espetacular</v>
      </c>
      <c r="B23647" s="3">
        <v>0</v>
      </c>
    </row>
    <row r="23648" ht="15.75" customHeight="1" spans="1:2">
      <c r="A23648" s="3" t="str">
        <f>IFERROR(__xludf.DUMMYFUNCTION("GOOGLETRANSLATE(A23648,""en"",""pt"")"),"scanner de alimentação plana pode ser limitante.")</f>
        <v>scanner de alimentação plana pode ser limitante.</v>
      </c>
      <c r="B23648" s="3">
        <v>0</v>
      </c>
    </row>
    <row r="23649" ht="15.75" customHeight="1" spans="1:2">
      <c r="A23649" s="3" t="str">
        <f>IFERROR(__xludf.DUMMYFUNCTION("GOOGLETRANSLATE(A23649,""en"",""pt"")"),"Lento; Consome muita memória e CPU de seu PC; Funciona bem apenas para Windows 95/98")</f>
        <v>Lento; Consome muita memória e CPU de seu PC; Funciona bem apenas para Windows 95/98</v>
      </c>
      <c r="B23649" s="3">
        <v>0</v>
      </c>
    </row>
    <row r="23650" ht="15.75" customHeight="1" spans="1:2">
      <c r="A23650" s="3" t="str">
        <f>IFERROR(__xludf.DUMMYFUNCTION("GOOGLETRANSLATE(A23650,""en"",""pt"")"),"lento, má qualidade, alimentação de papel pobre")</f>
        <v>lento, má qualidade, alimentação de papel pobre</v>
      </c>
      <c r="B23650" s="3">
        <v>0</v>
      </c>
    </row>
    <row r="23651" ht="15.75" customHeight="1" spans="1:2">
      <c r="A23651" s="3" t="str">
        <f>IFERROR(__xludf.DUMMYFUNCTION("GOOGLETRANSLATE(A23651,""en"",""pt"")"),"Subpar em fases TODOS")</f>
        <v>Subpar em fases TODOS</v>
      </c>
      <c r="B23651" s="3">
        <v>0</v>
      </c>
    </row>
    <row r="23652" ht="15.75" customHeight="1" spans="1:2">
      <c r="A23652" s="3" t="str">
        <f>IFERROR(__xludf.DUMMYFUNCTION("GOOGLETRANSLATE(A23652,""en"",""pt"")"),"A qualidade de impressão é ruim, a qualidade da cópia é ruim, cores não funcionam corretamente.")</f>
        <v>A qualidade de impressão é ruim, a qualidade da cópia é ruim, cores não funcionam corretamente.</v>
      </c>
      <c r="B23652" s="3">
        <v>0</v>
      </c>
    </row>
    <row r="23653" ht="15.75" customHeight="1" spans="1:2">
      <c r="A23653" s="3" t="str">
        <f>IFERROR(__xludf.DUMMYFUNCTION("GOOGLETRANSLATE(A23653,""en"",""pt"")"),"É tudo uma farsa triste")</f>
        <v>É tudo uma farsa triste</v>
      </c>
      <c r="B23653" s="3">
        <v>0</v>
      </c>
    </row>
    <row r="23654" ht="15.75" customHeight="1" spans="1:2">
      <c r="A23654" s="3" t="str">
        <f>IFERROR(__xludf.DUMMYFUNCTION("GOOGLETRANSLATE(A23654,""en"",""pt"")"),"impressão a cores lento, bandeja de papel pequena")</f>
        <v>impressão a cores lento, bandeja de papel pequena</v>
      </c>
      <c r="B23654" s="3">
        <v>0</v>
      </c>
    </row>
    <row r="23655" ht="15.75" customHeight="1" spans="1:2">
      <c r="A23655" s="3" t="str">
        <f>IFERROR(__xludf.DUMMYFUNCTION("GOOGLETRANSLATE(A23655,""en"",""pt"")"),"Sub qualidade padrão para todos os recursos")</f>
        <v>Sub qualidade padrão para todos os recursos</v>
      </c>
      <c r="B23655" s="3">
        <v>0</v>
      </c>
    </row>
    <row r="23656" ht="15.75" customHeight="1" spans="1:2">
      <c r="A23656" s="3" t="str">
        <f>IFERROR(__xludf.DUMMYFUNCTION("GOOGLETRANSLATE(A23656,""en"",""pt"")"),"Apenas verifica folhas planas, e não livros")</f>
        <v>Apenas verifica folhas planas, e não livros</v>
      </c>
      <c r="B23656" s="3">
        <v>0</v>
      </c>
    </row>
    <row r="23657" ht="15.75" customHeight="1" spans="1:2">
      <c r="A23657" s="3" t="str">
        <f>IFERROR(__xludf.DUMMYFUNCTION("GOOGLETRANSLATE(A23657,""en"",""pt"")"),"impressão lenta, cartuchos caros")</f>
        <v>impressão lenta, cartuchos caros</v>
      </c>
      <c r="B23657" s="3">
        <v>0</v>
      </c>
    </row>
    <row r="23658" ht="15.75" customHeight="1" spans="1:2">
      <c r="A23658" s="3" t="str">
        <f>IFERROR(__xludf.DUMMYFUNCTION("GOOGLETRANSLATE(A23658,""en"",""pt"")"),"Não a melhor qualidade de impressão, mas começa o trabalho feito.")</f>
        <v>Não a melhor qualidade de impressão, mas começa o trabalho feito.</v>
      </c>
      <c r="B23658" s="3">
        <v>0</v>
      </c>
    </row>
    <row r="23659" ht="15.75" customHeight="1" spans="1:2">
      <c r="A23659" s="3" t="str">
        <f>IFERROR(__xludf.DUMMYFUNCTION("GOOGLETRANSLATE(A23659,""en"",""pt"")"),"todo o resto")</f>
        <v>todo o resto</v>
      </c>
      <c r="B23659" s="3">
        <v>0</v>
      </c>
    </row>
    <row r="23660" ht="15.75" customHeight="1" spans="1:2">
      <c r="A23660" s="3" t="str">
        <f>IFERROR(__xludf.DUMMYFUNCTION("GOOGLETRANSLATE(A23660,""en"",""pt"")"),"não alimentar; mantém empastelamento; eventualmente morre como outros produtos HP")</f>
        <v>não alimentar; mantém empastelamento; eventualmente morre como outros produtos HP</v>
      </c>
      <c r="B23660" s="3">
        <v>0</v>
      </c>
    </row>
    <row r="23661" ht="15.75" customHeight="1" spans="1:2">
      <c r="A23661" s="3" t="str">
        <f>IFERROR(__xludf.DUMMYFUNCTION("GOOGLETRANSLATE(A23661,""en"",""pt"")"),"lento, má qualidade, alimentação de papel pobre")</f>
        <v>lento, má qualidade, alimentação de papel pobre</v>
      </c>
      <c r="B23661" s="3">
        <v>0</v>
      </c>
    </row>
    <row r="23662" ht="15.75" customHeight="1" spans="1:2">
      <c r="A23662" s="3" t="str">
        <f>IFERROR(__xludf.DUMMYFUNCTION("GOOGLETRANSLATE(A23662,""en"",""pt"")"),"não recebendo mesma funcionalidade que máquinas dedicadas")</f>
        <v>não recebendo mesma funcionalidade que máquinas dedicadas</v>
      </c>
      <c r="B23662" s="3">
        <v>0</v>
      </c>
    </row>
    <row r="23663" ht="15.75" customHeight="1" spans="1:2">
      <c r="A23663" s="3" t="str">
        <f>IFERROR(__xludf.DUMMYFUNCTION("GOOGLETRANSLATE(A23663,""en"",""pt"")"),"Dificuldade de lidar com Thicker da, Quirky Fax")</f>
        <v>Dificuldade de lidar com Thicker da, Quirky Fax</v>
      </c>
      <c r="B23663" s="3">
        <v>0</v>
      </c>
    </row>
    <row r="23664" ht="15.75" customHeight="1" spans="1:2">
      <c r="A23664" s="3" t="str">
        <f>IFERROR(__xludf.DUMMYFUNCTION("GOOGLETRANSLATE(A23664,""en"",""pt"")"),"Algumas opções são lentos, mas pode ser esperado")</f>
        <v>Algumas opções são lentos, mas pode ser esperado</v>
      </c>
      <c r="B23664" s="3">
        <v>0</v>
      </c>
    </row>
    <row r="23665" ht="15.75" customHeight="1" spans="1:2">
      <c r="A23665" s="3" t="str">
        <f>IFERROR(__xludf.DUMMYFUNCTION("GOOGLETRANSLATE(A23665,""en"",""pt"")"),"Não é possível encontrar qualquer contras!")</f>
        <v>Não é possível encontrar qualquer contras!</v>
      </c>
      <c r="B23665" s="3">
        <v>0</v>
      </c>
    </row>
    <row r="23666" ht="15.75" customHeight="1" spans="1:2">
      <c r="A23666" s="3" t="str">
        <f>IFERROR(__xludf.DUMMYFUNCTION("GOOGLETRANSLATE(A23666,""en"",""pt"")"),"nenhuma das funções são nada para se gabar")</f>
        <v>nenhuma das funções são nada para se gabar</v>
      </c>
      <c r="B23666" s="3">
        <v>0</v>
      </c>
    </row>
    <row r="23667" ht="15.75" customHeight="1" spans="1:2">
      <c r="A23667" s="3" t="str">
        <f>IFERROR(__xludf.DUMMYFUNCTION("GOOGLETRANSLATE(A23667,""en"",""pt"")"),"nunca parece fazer as coisas que ele diz que pode, como fax, impressão ou cópia")</f>
        <v>nunca parece fazer as coisas que ele diz que pode, como fax, impressão ou cópia</v>
      </c>
      <c r="B23667" s="3">
        <v>0</v>
      </c>
    </row>
    <row r="23668" ht="15.75" customHeight="1" spans="1:2">
      <c r="A23668" s="3" t="str">
        <f>IFERROR(__xludf.DUMMYFUNCTION("GOOGLETRANSLATE(A23668,""en"",""pt"")"),"Se uma função pára de funcionar você tem que enviar toda a máquina ou substituí-lo")</f>
        <v>Se uma função pára de funcionar você tem que enviar toda a máquina ou substituí-lo</v>
      </c>
      <c r="B23668" s="3">
        <v>0</v>
      </c>
    </row>
    <row r="23669" ht="15.75" customHeight="1" spans="1:2">
      <c r="A23669" s="3" t="str">
        <f>IFERROR(__xludf.DUMMYFUNCTION("GOOGLETRANSLATE(A23669,""en"",""pt"")"),"Faz impressões a cores 4X6 não digitalização muito bem.")</f>
        <v>Faz impressões a cores 4X6 não digitalização muito bem.</v>
      </c>
      <c r="B23669" s="3">
        <v>0</v>
      </c>
    </row>
    <row r="23670" ht="15.75" customHeight="1" spans="1:2">
      <c r="A23670" s="3" t="str">
        <f>IFERROR(__xludf.DUMMYFUNCTION("GOOGLETRANSLATE(A23670,""en"",""pt"")"),"NENHUM")</f>
        <v>NENHUM</v>
      </c>
      <c r="B23670" s="3">
        <v>0</v>
      </c>
    </row>
    <row r="23671" ht="15.75" customHeight="1" spans="1:2">
      <c r="A23671" s="3" t="str">
        <f>IFERROR(__xludf.DUMMYFUNCTION("GOOGLETRANSLATE(A23671,""en"",""pt"")"),"problemas de alimentação ocasionais.")</f>
        <v>problemas de alimentação ocasionais.</v>
      </c>
      <c r="B23671" s="3">
        <v>0</v>
      </c>
    </row>
    <row r="23672" ht="15.75" customHeight="1" spans="1:2">
      <c r="A23672" s="3" t="str">
        <f>IFERROR(__xludf.DUMMYFUNCTION("GOOGLETRANSLATE(A23672,""en"",""pt"")"),"O Cartucho para que custa cerca de 27 dólares, parecer muito.")</f>
        <v>O Cartucho para que custa cerca de 27 dólares, parecer muito.</v>
      </c>
      <c r="B23672" s="3">
        <v>0</v>
      </c>
    </row>
    <row r="23673" ht="15.75" customHeight="1" spans="1:2">
      <c r="A23673" s="3" t="str">
        <f>IFERROR(__xludf.DUMMYFUNCTION("GOOGLETRANSLATE(A23673,""en"",""pt"")"),"Incrivelmente, não suporta o compartilhamento da impressora com outras máquinas.")</f>
        <v>Incrivelmente, não suporta o compartilhamento da impressora com outras máquinas.</v>
      </c>
      <c r="B23673" s="3">
        <v>0</v>
      </c>
    </row>
    <row r="23674" ht="15.75" customHeight="1" spans="1:2">
      <c r="A23674" s="3" t="str">
        <f>IFERROR(__xludf.DUMMYFUNCTION("GOOGLETRANSLATE(A23674,""en"",""pt"")"),"Lento quando se trata de impressão em massa.")</f>
        <v>Lento quando se trata de impressão em massa.</v>
      </c>
      <c r="B23674" s="3">
        <v>0</v>
      </c>
    </row>
    <row r="23675" ht="15.75" customHeight="1" spans="1:2">
      <c r="A23675" s="3" t="str">
        <f>IFERROR(__xludf.DUMMYFUNCTION("GOOGLETRANSLATE(A23675,""en"",""pt"")"),"O ... recurso de impressão, os cartuchos, e ele não funciona mais.")</f>
        <v>O ... recurso de impressão, os cartuchos, e ele não funciona mais.</v>
      </c>
      <c r="B23675" s="3">
        <v>0</v>
      </c>
    </row>
    <row r="23676" ht="15.75" customHeight="1" spans="1:2">
      <c r="A23676" s="3" t="str">
        <f>IFERROR(__xludf.DUMMYFUNCTION("GOOGLETRANSLATE(A23676,""en"",""pt"")"),"Nenhum")</f>
        <v>Nenhum</v>
      </c>
      <c r="B23676" s="3">
        <v>0</v>
      </c>
    </row>
    <row r="23677" ht="15.75" customHeight="1" spans="1:2">
      <c r="A23677" s="3" t="str">
        <f>IFERROR(__xludf.DUMMYFUNCTION("GOOGLETRANSLATE(A23677,""en"",""pt"")"),"nenhum que eu posso ver")</f>
        <v>nenhum que eu posso ver</v>
      </c>
      <c r="B23677" s="3">
        <v>0</v>
      </c>
    </row>
    <row r="23678" ht="15.75" customHeight="1" spans="1:2">
      <c r="A23678" s="3" t="str">
        <f>IFERROR(__xludf.DUMMYFUNCTION("GOOGLETRANSLATE(A23678,""en"",""pt"")"),"copiadora muito lento")</f>
        <v>copiadora muito lento</v>
      </c>
      <c r="B23678" s="3">
        <v>0</v>
      </c>
    </row>
    <row r="23679" ht="15.75" customHeight="1" spans="1:2">
      <c r="A23679" s="3" t="str">
        <f>IFERROR(__xludf.DUMMYFUNCTION("GOOGLETRANSLATE(A23679,""en"",""pt"")"),"O paperfeed é um pouco pequeno e apertado.")</f>
        <v>O paperfeed é um pouco pequeno e apertado.</v>
      </c>
      <c r="B23679" s="3">
        <v>0</v>
      </c>
    </row>
    <row r="23680" ht="15.75" customHeight="1" spans="1:2">
      <c r="A23680" s="3" t="str">
        <f>IFERROR(__xludf.DUMMYFUNCTION("GOOGLETRANSLATE(A23680,""en"",""pt"")"),"LENTO")</f>
        <v>LENTO</v>
      </c>
      <c r="B23680" s="3">
        <v>0</v>
      </c>
    </row>
    <row r="23681" ht="15.75" customHeight="1" spans="1:2">
      <c r="A23681" s="3" t="str">
        <f>IFERROR(__xludf.DUMMYFUNCTION("GOOGLETRANSLATE(A23681,""en"",""pt"")"),"O HP 710 é o fundador do termo &amp; amp; # 13; &amp; amp; # 10; ""Parece estão enganando"".")</f>
        <v>O HP 710 é o fundador do termo &amp; amp; # 13; &amp; amp; # 10; "Parece estão enganando".</v>
      </c>
      <c r="B23681" s="3">
        <v>0</v>
      </c>
    </row>
    <row r="23682" ht="15.75" customHeight="1" spans="1:2">
      <c r="A23682" s="3" t="str">
        <f>IFERROR(__xludf.DUMMYFUNCTION("GOOGLETRANSLATE(A23682,""en"",""pt"")"),"O Cartucho para que custa cerca de 27 a 45 DALLARS, parecer muito.")</f>
        <v>O Cartucho para que custa cerca de 27 a 45 DALLARS, parecer muito.</v>
      </c>
      <c r="B23682" s="3">
        <v>0</v>
      </c>
    </row>
    <row r="23683" ht="15.75" customHeight="1" spans="1:2">
      <c r="A23683" s="3" t="str">
        <f>IFERROR(__xludf.DUMMYFUNCTION("GOOGLETRANSLATE(A23683,""en"",""pt"")"),"danos Scanner fotos. Imprimir fede qualidade a qualquer configuração.")</f>
        <v>danos Scanner fotos. Imprimir fede qualidade a qualquer configuração.</v>
      </c>
      <c r="B23683" s="3">
        <v>0</v>
      </c>
    </row>
    <row r="23684" ht="15.75" customHeight="1" spans="1:2">
      <c r="A23684" s="3" t="str">
        <f>IFERROR(__xludf.DUMMYFUNCTION("GOOGLETRANSLATE(A23684,""en"",""pt"")"),"lento, má qualidade, alimentação de papel pobre")</f>
        <v>lento, má qualidade, alimentação de papel pobre</v>
      </c>
      <c r="B23684" s="3">
        <v>0</v>
      </c>
    </row>
    <row r="23685" ht="15.75" customHeight="1" spans="1:2">
      <c r="A23685" s="3" t="str">
        <f>IFERROR(__xludf.DUMMYFUNCTION("GOOGLETRANSLATE(A23685,""en"",""pt"")"),"Baixa resolução")</f>
        <v>Baixa resolução</v>
      </c>
      <c r="B23685" s="3">
        <v>0</v>
      </c>
    </row>
    <row r="23686" ht="15.75" customHeight="1" spans="1:2">
      <c r="A23686" s="3" t="str">
        <f>IFERROR(__xludf.DUMMYFUNCTION("GOOGLETRANSLATE(A23686,""en"",""pt"")"),"Eu gostaria de ter chegado mais cedo")</f>
        <v>Eu gostaria de ter chegado mais cedo</v>
      </c>
      <c r="B23686" s="3">
        <v>0</v>
      </c>
    </row>
    <row r="23687" ht="15.75" customHeight="1" spans="1:2">
      <c r="A23687" s="3" t="str">
        <f>IFERROR(__xludf.DUMMYFUNCTION("GOOGLETRANSLATE(A23687,""en"",""pt"")"),"; s exspensive")</f>
        <v>; s exspensive</v>
      </c>
      <c r="B23687" s="3">
        <v>0</v>
      </c>
    </row>
    <row r="23688" ht="15.75" customHeight="1" spans="1:2">
      <c r="A23688" s="3" t="str">
        <f>IFERROR(__xludf.DUMMYFUNCTION("GOOGLETRANSLATE(A23688,""en"",""pt"")"),"não é capaz de configurar como anunciado")</f>
        <v>não é capaz de configurar como anunciado</v>
      </c>
      <c r="B23688" s="3">
        <v>0</v>
      </c>
    </row>
    <row r="23689" ht="15.75" customHeight="1" spans="1:2">
      <c r="A23689" s="3" t="str">
        <f>IFERROR(__xludf.DUMMYFUNCTION("GOOGLETRANSLATE(A23689,""en"",""pt"")"),"Noise, propensa a congestionamentos, alimenta folhas extras")</f>
        <v>Noise, propensa a congestionamentos, alimenta folhas extras</v>
      </c>
      <c r="B23689" s="3">
        <v>0</v>
      </c>
    </row>
    <row r="23690" ht="15.75" customHeight="1" spans="1:2">
      <c r="A23690" s="3" t="str">
        <f>IFERROR(__xludf.DUMMYFUNCTION("GOOGLETRANSLATE(A23690,""en"",""pt"")"),"ruído, bandeja de papel")</f>
        <v>ruído, bandeja de papel</v>
      </c>
      <c r="B23690" s="3">
        <v>0</v>
      </c>
    </row>
    <row r="23691" ht="15.75" customHeight="1" spans="1:2">
      <c r="A23691" s="3" t="str">
        <f>IFERROR(__xludf.DUMMYFUNCTION("GOOGLETRANSLATE(A23691,""en"",""pt"")"),"Não é muito robusto. Inúmeros problemas peculiares.")</f>
        <v>Não é muito robusto. Inúmeros problemas peculiares.</v>
      </c>
      <c r="B23691" s="3">
        <v>0</v>
      </c>
    </row>
    <row r="23692" ht="15.75" customHeight="1" spans="1:2">
      <c r="A23692" s="3" t="str">
        <f>IFERROR(__xludf.DUMMYFUNCTION("GOOGLETRANSLATE(A23692,""en"",""pt"")"),"impressões ruins e scans, lento, compotas muito, estrias grandes com estampas pretas")</f>
        <v>impressões ruins e scans, lento, compotas muito, estrias grandes com estampas pretas</v>
      </c>
      <c r="B23692" s="3">
        <v>0</v>
      </c>
    </row>
    <row r="23693" ht="15.75" customHeight="1" spans="1:2">
      <c r="A23693" s="3" t="str">
        <f>IFERROR(__xludf.DUMMYFUNCTION("GOOGLETRANSLATE(A23693,""en"",""pt"")"),"Mal pode alimentar folhas subseqüentes agora por causa do que eu fiz")</f>
        <v>Mal pode alimentar folhas subseqüentes agora por causa do que eu fiz</v>
      </c>
      <c r="B23693" s="3">
        <v>0</v>
      </c>
    </row>
    <row r="23694" ht="15.75" customHeight="1" spans="1:2">
      <c r="A23694" s="3" t="str">
        <f>IFERROR(__xludf.DUMMYFUNCTION("GOOGLETRANSLATE(A23694,""en"",""pt"")"),"lento, má qualidade, alimentação de papel pobre")</f>
        <v>lento, má qualidade, alimentação de papel pobre</v>
      </c>
      <c r="B23694" s="3">
        <v>0</v>
      </c>
    </row>
    <row r="23695" ht="15.75" customHeight="1" spans="1:2">
      <c r="A23695" s="3" t="str">
        <f>IFERROR(__xludf.DUMMYFUNCTION("GOOGLETRANSLATE(A23695,""en"",""pt"")"),"nada")</f>
        <v>nada</v>
      </c>
      <c r="B23695" s="3">
        <v>0</v>
      </c>
    </row>
    <row r="23696" ht="15.75" customHeight="1" spans="1:2">
      <c r="A23696" s="3" t="str">
        <f>IFERROR(__xludf.DUMMYFUNCTION("GOOGLETRANSLATE(A23696,""en"",""pt"")"),"alto preço, qualidade de impressão e velocidade")</f>
        <v>alto preço, qualidade de impressão e velocidade</v>
      </c>
      <c r="B23696" s="3">
        <v>0</v>
      </c>
    </row>
    <row r="23697" ht="15.75" customHeight="1" spans="1:2">
      <c r="A23697" s="3" t="str">
        <f>IFERROR(__xludf.DUMMYFUNCTION("GOOGLETRANSLATE(A23697,""en"",""pt"")"),"onde devo começar?")</f>
        <v>onde devo começar?</v>
      </c>
      <c r="B23697" s="3">
        <v>0</v>
      </c>
    </row>
    <row r="23698" ht="15.75" customHeight="1" spans="1:2">
      <c r="A23698" s="3" t="str">
        <f>IFERROR(__xludf.DUMMYFUNCTION("GOOGLETRANSLATE(A23698,""en"",""pt"")"),"Sacrifícios velocidade para flexibilty")</f>
        <v>Sacrifícios velocidade para flexibilty</v>
      </c>
      <c r="B23698" s="3">
        <v>0</v>
      </c>
    </row>
    <row r="23699" ht="15.75" customHeight="1" spans="1:2">
      <c r="A23699" s="3" t="str">
        <f>IFERROR(__xludf.DUMMYFUNCTION("GOOGLETRANSLATE(A23699,""en"",""pt"")"),"Requer manutenção simples")</f>
        <v>Requer manutenção simples</v>
      </c>
      <c r="B23699" s="3">
        <v>0</v>
      </c>
    </row>
    <row r="23700" ht="15.75" customHeight="1" spans="1:2">
      <c r="A23700" s="3" t="str">
        <f>IFERROR(__xludf.DUMMYFUNCTION("GOOGLETRANSLATE(A23700,""en"",""pt"")"),"Má qualidade em quase todos os aspectos, não está disponível na versão USB")</f>
        <v>Má qualidade em quase todos os aspectos, não está disponível na versão USB</v>
      </c>
      <c r="B23700" s="3">
        <v>0</v>
      </c>
    </row>
    <row r="23701" ht="15.75" customHeight="1" spans="1:2">
      <c r="A23701" s="3" t="str">
        <f>IFERROR(__xludf.DUMMYFUNCTION("GOOGLETRANSLATE(A23701,""en"",""pt"")"),"LENTO. alimentador de papel pobre")</f>
        <v>LENTO. alimentador de papel pobre</v>
      </c>
      <c r="B23701" s="3">
        <v>0</v>
      </c>
    </row>
    <row r="23702" ht="15.75" customHeight="1" spans="1:2">
      <c r="A23702" s="3" t="str">
        <f>IFERROR(__xludf.DUMMYFUNCTION("GOOGLETRANSLATE(A23702,""en"",""pt"")"),"Se você tiver um computador antigo que você precisa para ordem especial o adaptador paralelo.")</f>
        <v>Se você tiver um computador antigo que você precisa para ordem especial o adaptador paralelo.</v>
      </c>
      <c r="B23702" s="3">
        <v>0</v>
      </c>
    </row>
    <row r="23703" ht="15.75" customHeight="1" spans="1:2">
      <c r="A23703" s="3" t="str">
        <f>IFERROR(__xludf.DUMMYFUNCTION("GOOGLETRANSLATE(A23703,""en"",""pt"")"),"Um pouco caro, balança muito. consumtion Ink")</f>
        <v>Um pouco caro, balança muito. consumtion Ink</v>
      </c>
      <c r="B23703" s="3">
        <v>0</v>
      </c>
    </row>
    <row r="23704" ht="15.75" customHeight="1" spans="1:2">
      <c r="A23704" s="3" t="str">
        <f>IFERROR(__xludf.DUMMYFUNCTION("GOOGLETRANSLATE(A23704,""en"",""pt"")"),"Problemas de conexão")</f>
        <v>Problemas de conexão</v>
      </c>
      <c r="B23704" s="3">
        <v>0</v>
      </c>
    </row>
    <row r="23705" ht="15.75" customHeight="1" spans="1:2">
      <c r="A23705" s="3" t="str">
        <f>IFERROR(__xludf.DUMMYFUNCTION("GOOGLETRANSLATE(A23705,""en"",""pt"")"),"Não encontrei qualquer ainda!")</f>
        <v>Não encontrei qualquer ainda!</v>
      </c>
      <c r="B23705" s="3">
        <v>0</v>
      </c>
    </row>
    <row r="23706" ht="15.75" customHeight="1" spans="1:2">
      <c r="A23706" s="3" t="str">
        <f>IFERROR(__xludf.DUMMYFUNCTION("GOOGLETRANSLATE(A23706,""en"",""pt"")"),"Scanner / Fax / Copier Morreu em cerca de um ano!")</f>
        <v>Scanner / Fax / Copier Morreu em cerca de um ano!</v>
      </c>
      <c r="B23706" s="3">
        <v>0</v>
      </c>
    </row>
    <row r="23707" ht="15.75" customHeight="1" spans="1:2">
      <c r="A23707" s="3" t="str">
        <f>IFERROR(__xludf.DUMMYFUNCTION("GOOGLETRANSLATE(A23707,""en"",""pt"")"),"Um pouco caro, software fax é desajeitado.")</f>
        <v>Um pouco caro, software fax é desajeitado.</v>
      </c>
      <c r="B23707" s="3">
        <v>0</v>
      </c>
    </row>
    <row r="23708" ht="15.75" customHeight="1" spans="1:2">
      <c r="A23708" s="3" t="str">
        <f>IFERROR(__xludf.DUMMYFUNCTION("GOOGLETRANSLATE(A23708,""en"",""pt"")"),"Barulho! Digitalização lenta. Tamanho da impressora.")</f>
        <v>Barulho! Digitalização lenta. Tamanho da impressora.</v>
      </c>
      <c r="B23708" s="3">
        <v>0</v>
      </c>
    </row>
    <row r="23709" ht="15.75" customHeight="1" spans="1:2">
      <c r="A23709" s="3" t="str">
        <f>IFERROR(__xludf.DUMMYFUNCTION("GOOGLETRANSLATE(A23709,""en"",""pt"")"),"Não confiável.")</f>
        <v>Não confiável.</v>
      </c>
      <c r="B23709" s="3">
        <v>0</v>
      </c>
    </row>
    <row r="23710" ht="15.75" customHeight="1" spans="1:2">
      <c r="A23710" s="3" t="str">
        <f>IFERROR(__xludf.DUMMYFUNCTION("GOOGLETRANSLATE(A23710,""en"",""pt"")"),"Um pouco barulhento ...")</f>
        <v>Um pouco barulhento ...</v>
      </c>
      <c r="B23710" s="3">
        <v>0</v>
      </c>
    </row>
    <row r="23711" ht="15.75" customHeight="1" spans="1:2">
      <c r="A23711" s="3" t="str">
        <f>IFERROR(__xludf.DUMMYFUNCTION("GOOGLETRANSLATE(A23711,""en"",""pt"")"),"Software tem peculiaridades estranhas e morreu após 60 dias. Infeliz!")</f>
        <v>Software tem peculiaridades estranhas e morreu após 60 dias. Infeliz!</v>
      </c>
      <c r="B23711" s="3">
        <v>0</v>
      </c>
    </row>
    <row r="23712" ht="15.75" customHeight="1" spans="1:2">
      <c r="A23712" s="3" t="str">
        <f>IFERROR(__xludf.DUMMYFUNCTION("GOOGLETRANSLATE(A23712,""en"",""pt"")"),"Nada até agora. Aqueles que se queixam de ruído são realmente nit picking.")</f>
        <v>Nada até agora. Aqueles que se queixam de ruído são realmente nit picking.</v>
      </c>
      <c r="B23712" s="3">
        <v>0</v>
      </c>
    </row>
    <row r="23713" ht="15.75" customHeight="1" spans="1:2">
      <c r="A23713" s="3" t="str">
        <f>IFERROR(__xludf.DUMMYFUNCTION("GOOGLETRANSLATE(A23713,""en"",""pt"")"),"Caro, bandeja de papel duro e tamanhos de arquivos digitalizados enormes")</f>
        <v>Caro, bandeja de papel duro e tamanhos de arquivos digitalizados enormes</v>
      </c>
      <c r="B23713" s="3">
        <v>0</v>
      </c>
    </row>
    <row r="23714" ht="15.75" customHeight="1" spans="1:2">
      <c r="A23714" s="3" t="str">
        <f>IFERROR(__xludf.DUMMYFUNCTION("GOOGLETRANSLATE(A23714,""en"",""pt"")"),"de tinta cara. unidade duplex lento. problemas de driver de impressão habituais HP. falhas pequenas.")</f>
        <v>de tinta cara. unidade duplex lento. problemas de driver de impressão habituais HP. falhas pequenas.</v>
      </c>
      <c r="B23714" s="3">
        <v>0</v>
      </c>
    </row>
    <row r="23715" ht="15.75" customHeight="1" spans="1:2">
      <c r="A23715" s="3" t="str">
        <f>IFERROR(__xludf.DUMMYFUNCTION("GOOGLETRANSLATE(A23715,""en"",""pt"")"),"Um pouco devido instável de cabeças de lâmpadas de aquecimento. Tinta utilizada rapidamente.")</f>
        <v>Um pouco devido instável de cabeças de lâmpadas de aquecimento. Tinta utilizada rapidamente.</v>
      </c>
      <c r="B23715" s="3">
        <v>0</v>
      </c>
    </row>
    <row r="23716" ht="15.75" customHeight="1" spans="1:2">
      <c r="A23716" s="3" t="str">
        <f>IFERROR(__xludf.DUMMYFUNCTION("GOOGLETRANSLATE(A23716,""en"",""pt"")"),"B &amp; amp; W texto podia ser melhor, unidade duplex lento, cartuchos de tinta caros")</f>
        <v>B &amp; amp; W texto podia ser melhor, unidade duplex lento, cartuchos de tinta caros</v>
      </c>
      <c r="B23716" s="3">
        <v>0</v>
      </c>
    </row>
    <row r="23717" ht="15.75" customHeight="1" spans="1:2">
      <c r="A23717" s="3" t="str">
        <f>IFERROR(__xludf.DUMMYFUNCTION("GOOGLETRANSLATE(A23717,""en"",""pt"")"),"Gosta de usar INK")</f>
        <v>Gosta de usar INK</v>
      </c>
      <c r="B23717" s="3">
        <v>0</v>
      </c>
    </row>
    <row r="23718" ht="15.75" customHeight="1" spans="1:2">
      <c r="A23718" s="3" t="str">
        <f>IFERROR(__xludf.DUMMYFUNCTION("GOOGLETRANSLATE(A23718,""en"",""pt"")"),"Caro.")</f>
        <v>Caro.</v>
      </c>
      <c r="B23718" s="3">
        <v>0</v>
      </c>
    </row>
    <row r="23719" ht="15.75" customHeight="1" spans="1:2">
      <c r="A23719" s="3" t="str">
        <f>IFERROR(__xludf.DUMMYFUNCTION("GOOGLETRANSLATE(A23719,""en"",""pt"")"),"leitor de cartão não funciona para todos os meios digitais; software leva muita memória.")</f>
        <v>leitor de cartão não funciona para todos os meios digitais; software leva muita memória.</v>
      </c>
      <c r="B23719" s="3">
        <v>0</v>
      </c>
    </row>
    <row r="23720" ht="15.75" customHeight="1" spans="1:2">
      <c r="A23720" s="3" t="str">
        <f>IFERROR(__xludf.DUMMYFUNCTION("GOOGLETRANSLATE(A23720,""en"",""pt"")"),"NENHUM")</f>
        <v>NENHUM</v>
      </c>
      <c r="B23720" s="3">
        <v>0</v>
      </c>
    </row>
    <row r="23721" ht="15.75" customHeight="1" spans="1:2">
      <c r="A23721" s="3" t="str">
        <f>IFERROR(__xludf.DUMMYFUNCTION("GOOGLETRANSLATE(A23721,""en"",""pt"")"),"Trabalharam 5 minutos, em seguida, após 4 meses de nenhuma impressora HP trabalhando deu restituição parcial")</f>
        <v>Trabalharam 5 minutos, em seguida, após 4 meses de nenhuma impressora HP trabalhando deu restituição parcial</v>
      </c>
      <c r="B23721" s="3">
        <v>0</v>
      </c>
    </row>
    <row r="23722" ht="15.75" customHeight="1" spans="1:2">
      <c r="A23722" s="3" t="str">
        <f>IFERROR(__xludf.DUMMYFUNCTION("GOOGLETRANSLATE(A23722,""en"",""pt"")"),"capacidade de digitalização Bad")</f>
        <v>capacidade de digitalização Bad</v>
      </c>
      <c r="B23722" s="3">
        <v>0</v>
      </c>
    </row>
    <row r="23723" ht="15.75" customHeight="1" spans="1:2">
      <c r="A23723" s="3" t="str">
        <f>IFERROR(__xludf.DUMMYFUNCTION("GOOGLETRANSLATE(A23723,""en"",""pt"")"),"Noisy esp. scanner, usa maneira tinta muito rápido e tinta é caro!")</f>
        <v>Noisy esp. scanner, usa maneira tinta muito rápido e tinta é caro!</v>
      </c>
      <c r="B23723" s="3">
        <v>0</v>
      </c>
    </row>
    <row r="23724" ht="15.75" customHeight="1" spans="1:2">
      <c r="A23724" s="3" t="str">
        <f>IFERROR(__xludf.DUMMYFUNCTION("GOOGLETRANSLATE(A23724,""en"",""pt"")"),"Programas. qualidade de construção barato.")</f>
        <v>Programas. qualidade de construção barato.</v>
      </c>
      <c r="B23724" s="3">
        <v>0</v>
      </c>
    </row>
    <row r="23725" ht="15.75" customHeight="1" spans="1:2">
      <c r="A23725" s="3" t="str">
        <f>IFERROR(__xludf.DUMMYFUNCTION("GOOGLETRANSLATE(A23725,""en"",""pt"")"),"S-l O-w-digitalização")</f>
        <v>S-l O-w-digitalização</v>
      </c>
      <c r="B23725" s="3">
        <v>0</v>
      </c>
    </row>
    <row r="23726" ht="15.75" customHeight="1" spans="1:2">
      <c r="A23726" s="3" t="str">
        <f>IFERROR(__xludf.DUMMYFUNCTION("GOOGLETRANSLATE(A23726,""en"",""pt"")"),"O software era impossível usar com Windows 2000.")</f>
        <v>O software era impossível usar com Windows 2000.</v>
      </c>
      <c r="B23726" s="3">
        <v>0</v>
      </c>
    </row>
    <row r="23727" ht="15.75" customHeight="1" spans="1:2">
      <c r="A23727" s="3" t="str">
        <f>IFERROR(__xludf.DUMMYFUNCTION("GOOGLETRANSLATE(A23727,""en"",""pt"")"),"Meio lento, preço")</f>
        <v>Meio lento, preço</v>
      </c>
      <c r="B23727" s="3">
        <v>0</v>
      </c>
    </row>
    <row r="23728" ht="15.75" customHeight="1" spans="1:2">
      <c r="A23728" s="3" t="str">
        <f>IFERROR(__xludf.DUMMYFUNCTION("GOOGLETRANSLATE(A23728,""en"",""pt"")"),"papel caro HP e tinta, limitado a 8 1/2"" papel de largura e configuração USB problemático.")</f>
        <v>papel caro HP e tinta, limitado a 8 1/2" papel de largura e configuração USB problemático.</v>
      </c>
      <c r="B23728" s="3">
        <v>0</v>
      </c>
    </row>
    <row r="23729" ht="15.75" customHeight="1" spans="1:2">
      <c r="A23729" s="3" t="str">
        <f>IFERROR(__xludf.DUMMYFUNCTION("GOOGLETRANSLATE(A23729,""en"",""pt"")"),"Printer quebrou logo após a garantia expirou.")</f>
        <v>Printer quebrou logo após a garantia expirou.</v>
      </c>
      <c r="B23729" s="3">
        <v>0</v>
      </c>
    </row>
    <row r="23730" ht="15.75" customHeight="1" spans="1:2">
      <c r="A23730" s="3" t="str">
        <f>IFERROR(__xludf.DUMMYFUNCTION("GOOGLETRANSLATE(A23730,""en"",""pt"")"),"Worthless como um scanner - o software ainda não funcionar com Win2000")</f>
        <v>Worthless como um scanner - o software ainda não funcionar com Win2000</v>
      </c>
      <c r="B23730" s="3">
        <v>0</v>
      </c>
    </row>
    <row r="23731" ht="15.75" customHeight="1" spans="1:2">
      <c r="A23731" s="3" t="str">
        <f>IFERROR(__xludf.DUMMYFUNCTION("GOOGLETRANSLATE(A23731,""en"",""pt"")"),"pequenas falhas na digitalização e software OCR")</f>
        <v>pequenas falhas na digitalização e software OCR</v>
      </c>
      <c r="B23731" s="3">
        <v>0</v>
      </c>
    </row>
    <row r="23732" ht="15.75" customHeight="1" spans="1:2">
      <c r="A23732" s="3" t="str">
        <f>IFERROR(__xludf.DUMMYFUNCTION("GOOGLETRANSLATE(A23732,""en"",""pt"")"),"Nada")</f>
        <v>Nada</v>
      </c>
      <c r="B23732" s="3">
        <v>0</v>
      </c>
    </row>
    <row r="23733" ht="15.75" customHeight="1" spans="1:2">
      <c r="A23733" s="3" t="str">
        <f>IFERROR(__xludf.DUMMYFUNCTION("GOOGLETRANSLATE(A23733,""en"",""pt"")"),"Programas")</f>
        <v>Programas</v>
      </c>
      <c r="B23733" s="3">
        <v>0</v>
      </c>
    </row>
    <row r="23734" ht="15.75" customHeight="1" spans="1:2">
      <c r="A23734" s="3" t="str">
        <f>IFERROR(__xludf.DUMMYFUNCTION("GOOGLETRANSLATE(A23734,""en"",""pt"")"),"Digitalizando bastante lento, um pouco difícil de instalar.")</f>
        <v>Digitalizando bastante lento, um pouco difícil de instalar.</v>
      </c>
      <c r="B23734" s="3">
        <v>0</v>
      </c>
    </row>
    <row r="23735" ht="15.75" customHeight="1" spans="1:2">
      <c r="A23735" s="3" t="str">
        <f>IFERROR(__xludf.DUMMYFUNCTION("GOOGLETRANSLATE(A23735,""en"",""pt"")"),"Digitalização de software para Windows 2000 é inútil, scanner raramente funciona, você vai perder muito tempo")</f>
        <v>Digitalização de software para Windows 2000 é inútil, scanner raramente funciona, você vai perder muito tempo</v>
      </c>
      <c r="B23735" s="3">
        <v>0</v>
      </c>
    </row>
    <row r="23736" ht="15.75" customHeight="1" spans="1:2">
      <c r="A23736" s="3" t="str">
        <f>IFERROR(__xludf.DUMMYFUNCTION("GOOGLETRANSLATE(A23736,""en"",""pt"")"),"Sem fax ou auto-alimentador")</f>
        <v>Sem fax ou auto-alimentador</v>
      </c>
      <c r="B23736" s="3">
        <v>0</v>
      </c>
    </row>
    <row r="23737" ht="15.75" customHeight="1" spans="1:2">
      <c r="A23737" s="3" t="str">
        <f>IFERROR(__xludf.DUMMYFUNCTION("GOOGLETRANSLATE(A23737,""en"",""pt"")"),"8x10 slooooooow impresso")</f>
        <v>8x10 slooooooow impresso</v>
      </c>
      <c r="B23737" s="3">
        <v>0</v>
      </c>
    </row>
    <row r="23738" ht="15.75" customHeight="1" spans="1:2">
      <c r="A23738" s="3" t="str">
        <f>IFERROR(__xludf.DUMMYFUNCTION("GOOGLETRANSLATE(A23738,""en"",""pt"")"),"Foram necessários forever para HP para descobrir o problema")</f>
        <v>Foram necessários forever para HP para descobrir o problema</v>
      </c>
      <c r="B23738" s="3">
        <v>0</v>
      </c>
    </row>
    <row r="23739" ht="15.75" customHeight="1" spans="1:2">
      <c r="A23739" s="3" t="str">
        <f>IFERROR(__xludf.DUMMYFUNCTION("GOOGLETRANSLATE(A23739,""en"",""pt"")"),"Configurações padrão")</f>
        <v>Configurações padrão</v>
      </c>
      <c r="B23739" s="3">
        <v>0</v>
      </c>
    </row>
    <row r="23740" ht="15.75" customHeight="1" spans="1:2">
      <c r="A23740" s="3" t="str">
        <f>IFERROR(__xludf.DUMMYFUNCTION("GOOGLETRANSLATE(A23740,""en"",""pt"")"),"Dá meus pessoal de escritório Não há desculpas para não concluir projetos em tempo hábil !!")</f>
        <v>Dá meus pessoal de escritório Não há desculpas para não concluir projetos em tempo hábil !!</v>
      </c>
      <c r="B23740" s="3">
        <v>0</v>
      </c>
    </row>
    <row r="23741" ht="15.75" customHeight="1" spans="1:2">
      <c r="A23741" s="3" t="str">
        <f>IFERROR(__xludf.DUMMYFUNCTION("GOOGLETRANSLATE(A23741,""en"",""pt"")"),"compotas com vários envelopes")</f>
        <v>compotas com vários envelopes</v>
      </c>
      <c r="B23741" s="3">
        <v>0</v>
      </c>
    </row>
    <row r="23742" ht="15.75" customHeight="1" spans="1:2">
      <c r="A23742" s="3" t="str">
        <f>IFERROR(__xludf.DUMMYFUNCTION("GOOGLETRANSLATE(A23742,""en"",""pt"")"),"custo de tinta")</f>
        <v>custo de tinta</v>
      </c>
      <c r="B23742" s="3">
        <v>0</v>
      </c>
    </row>
    <row r="23743" ht="15.75" customHeight="1" spans="1:2">
      <c r="A23743" s="3" t="str">
        <f>IFERROR(__xludf.DUMMYFUNCTION("GOOGLETRANSLATE(A23743,""en"",""pt"")"),"digitalização é quase impossível")</f>
        <v>digitalização é quase impossível</v>
      </c>
      <c r="B23743" s="3">
        <v>0</v>
      </c>
    </row>
    <row r="23744" ht="15.75" customHeight="1" spans="1:2">
      <c r="A23744" s="3" t="str">
        <f>IFERROR(__xludf.DUMMYFUNCTION("GOOGLETRANSLATE(A23744,""en"",""pt"")"),"Programas")</f>
        <v>Programas</v>
      </c>
      <c r="B23744" s="3">
        <v>0</v>
      </c>
    </row>
    <row r="23745" ht="15.75" customHeight="1" spans="1:2">
      <c r="A23745" s="3" t="str">
        <f>IFERROR(__xludf.DUMMYFUNCTION("GOOGLETRANSLATE(A23745,""en"",""pt"")"),"Necessidades é a tabela de impressora própria ou mesa lateral")</f>
        <v>Necessidades é a tabela de impressora própria ou mesa lateral</v>
      </c>
      <c r="B23745" s="3">
        <v>0</v>
      </c>
    </row>
    <row r="23746" ht="15.75" customHeight="1" spans="1:2">
      <c r="A23746" s="3" t="str">
        <f>IFERROR(__xludf.DUMMYFUNCTION("GOOGLETRANSLATE(A23746,""en"",""pt"")"),"A digitalização exige que você ler as instruções &amp; amp; # 13; &amp; amp; # 10; Cor cartuchos resistência e custo")</f>
        <v>A digitalização exige que você ler as instruções &amp; amp; # 13; &amp; amp; # 10; Cor cartuchos resistência e custo</v>
      </c>
      <c r="B23746" s="3">
        <v>0</v>
      </c>
    </row>
    <row r="23747" ht="15.75" customHeight="1" spans="1:2">
      <c r="A23747" s="3" t="str">
        <f>IFERROR(__xludf.DUMMYFUNCTION("GOOGLETRANSLATE(A23747,""en"",""pt"")"),"alguns problemas com a digitalização &amp; amp; # 13; &amp; amp; # 10;")</f>
        <v>alguns problemas com a digitalização &amp; amp; # 13; &amp; amp; # 10;</v>
      </c>
      <c r="B23747" s="3">
        <v>0</v>
      </c>
    </row>
    <row r="23748" ht="15.75" customHeight="1" spans="1:2">
      <c r="A23748" s="3" t="str">
        <f>IFERROR(__xludf.DUMMYFUNCTION("GOOGLETRANSLATE(A23748,""en"",""pt"")"),"Não é possível imprimir / digitalização / cópia de página inteira, porque ele insere suas próprias margens")</f>
        <v>Não é possível imprimir / digitalização / cópia de página inteira, porque ele insere suas próprias margens</v>
      </c>
      <c r="B23748" s="3">
        <v>0</v>
      </c>
    </row>
    <row r="23749" ht="15.75" customHeight="1" spans="1:2">
      <c r="A23749" s="3" t="str">
        <f>IFERROR(__xludf.DUMMYFUNCTION("GOOGLETRANSLATE(A23749,""en"",""pt"")"),"Nenhum")</f>
        <v>Nenhum</v>
      </c>
      <c r="B23749" s="3">
        <v>0</v>
      </c>
    </row>
    <row r="23750" ht="15.75" customHeight="1" spans="1:2">
      <c r="A23750" s="3" t="str">
        <f>IFERROR(__xludf.DUMMYFUNCTION("GOOGLETRANSLATE(A23750,""en"",""pt"")"),"Alguns problemas graves de driver (espero &amp; amp; # 13; &amp; amp; # 10; no passado)")</f>
        <v>Alguns problemas graves de driver (espero &amp; amp; # 13; &amp; amp; # 10; no passado)</v>
      </c>
      <c r="B23750" s="3">
        <v>0</v>
      </c>
    </row>
    <row r="23751" ht="15.75" customHeight="1" spans="1:2">
      <c r="A23751" s="3" t="str">
        <f>IFERROR(__xludf.DUMMYFUNCTION("GOOGLETRANSLATE(A23751,""en"",""pt"")"),"tinta caro, há documentos legais de tamanho, pagamento de apoio ao cliente")</f>
        <v>tinta caro, há documentos legais de tamanho, pagamento de apoio ao cliente</v>
      </c>
      <c r="B23751" s="3">
        <v>0</v>
      </c>
    </row>
    <row r="23752" ht="15.75" customHeight="1" spans="1:2">
      <c r="A23752" s="3" t="s">
        <v>124</v>
      </c>
      <c r="B23752" s="3">
        <v>0</v>
      </c>
    </row>
    <row r="23753" ht="15.75" customHeight="1" spans="1:2">
      <c r="A23753" s="3" t="str">
        <f>IFERROR(__xludf.DUMMYFUNCTION("GOOGLETRANSLATE(A23753,""en"",""pt"")"),"programa de OCR incluído não é bom")</f>
        <v>programa de OCR incluído não é bom</v>
      </c>
      <c r="B23753" s="3">
        <v>0</v>
      </c>
    </row>
    <row r="23754" ht="15.75" customHeight="1" spans="1:2">
      <c r="A23754" s="3" t="str">
        <f>IFERROR(__xludf.DUMMYFUNCTION("GOOGLETRANSLATE(A23754,""en"",""pt"")"),"Problemas mecânicos - Fotos em cores; Poor Customer Service; spyware; quebrado Já")</f>
        <v>Problemas mecânicos - Fotos em cores; Poor Customer Service; spyware; quebrado Já</v>
      </c>
      <c r="B23754" s="3">
        <v>0</v>
      </c>
    </row>
    <row r="23755" ht="15.75" customHeight="1" spans="1:2">
      <c r="A23755" s="3" t="str">
        <f>IFERROR(__xludf.DUMMYFUNCTION("GOOGLETRANSLATE(A23755,""en"",""pt"")"),"Drivers comer um monte de memória ou recursos, não têm headset")</f>
        <v>Drivers comer um monte de memória ou recursos, não têm headset</v>
      </c>
      <c r="B23755" s="3">
        <v>0</v>
      </c>
    </row>
    <row r="23756" ht="15.75" customHeight="1" spans="1:2">
      <c r="A23756" s="3" t="str">
        <f>IFERROR(__xludf.DUMMYFUNCTION("GOOGLETRANSLATE(A23756,""en"",""pt"")"),"Quantidade de memória necessária que tende a abrandar o seu PC")</f>
        <v>Quantidade de memória necessária que tende a abrandar o seu PC</v>
      </c>
      <c r="B23756" s="3">
        <v>0</v>
      </c>
    </row>
    <row r="23757" ht="15.75" customHeight="1" spans="1:2">
      <c r="A23757" s="3" t="str">
        <f>IFERROR(__xludf.DUMMYFUNCTION("GOOGLETRANSLATE(A23757,""en"",""pt"")"),"cópias legais")</f>
        <v>cópias legais</v>
      </c>
      <c r="B23757" s="3">
        <v>0</v>
      </c>
    </row>
    <row r="23758" ht="15.75" customHeight="1" spans="1:2">
      <c r="A23758" s="3" t="str">
        <f>IFERROR(__xludf.DUMMYFUNCTION("GOOGLETRANSLATE(A23758,""en"",""pt"")"),"pobre software")</f>
        <v>pobre software</v>
      </c>
      <c r="B23758" s="3">
        <v>0</v>
      </c>
    </row>
    <row r="23759" ht="15.75" customHeight="1" spans="1:2">
      <c r="A23759" s="3" t="str">
        <f>IFERROR(__xludf.DUMMYFUNCTION("GOOGLETRANSLATE(A23759,""en"",""pt"")"),"atolamentos de papel, ocasionalmente,")</f>
        <v>atolamentos de papel, ocasionalmente,</v>
      </c>
      <c r="B23759" s="3">
        <v>0</v>
      </c>
    </row>
    <row r="23760" ht="15.75" customHeight="1" spans="1:2">
      <c r="A23760" s="3" t="str">
        <f>IFERROR(__xludf.DUMMYFUNCTION("GOOGLETRANSLATE(A23760,""en"",""pt"")"),"É enorme, muito caro e o software falha.")</f>
        <v>É enorme, muito caro e o software falha.</v>
      </c>
      <c r="B23760" s="3">
        <v>0</v>
      </c>
    </row>
    <row r="23761" ht="15.75" customHeight="1" spans="1:2">
      <c r="A23761" s="3" t="str">
        <f>IFERROR(__xludf.DUMMYFUNCTION("GOOGLETRANSLATE(A23761,""en"",""pt"")"),"Big Machine, usa muita tinta, bandeja de papel única, difícil de usar papel legal")</f>
        <v>Big Machine, usa muita tinta, bandeja de papel única, difícil de usar papel legal</v>
      </c>
      <c r="B23761" s="3">
        <v>0</v>
      </c>
    </row>
    <row r="23762" ht="15.75" customHeight="1" spans="1:2">
      <c r="A23762" s="3" t="str">
        <f>IFERROR(__xludf.DUMMYFUNCTION("GOOGLETRANSLATE(A23762,""en"",""pt"")"),"bugs de software e comedor espaço")</f>
        <v>bugs de software e comedor espaço</v>
      </c>
      <c r="B23762" s="3">
        <v>0</v>
      </c>
    </row>
    <row r="23763" ht="15.75" customHeight="1" spans="1:2">
      <c r="A23763" s="3" t="str">
        <f>IFERROR(__xludf.DUMMYFUNCTION("GOOGLETRANSLATE(A23763,""en"",""pt"")"),"BIG para um jato de tinta, de congestionamentos da copiadora / fax / alimentador do scanner")</f>
        <v>BIG para um jato de tinta, de congestionamentos da copiadora / fax / alimentador do scanner</v>
      </c>
      <c r="B23763" s="3">
        <v>0</v>
      </c>
    </row>
    <row r="23764" ht="15.75" customHeight="1" spans="1:2">
      <c r="A23764" s="3" t="str">
        <f>IFERROR(__xludf.DUMMYFUNCTION("GOOGLETRANSLATE(A23764,""en"",""pt"")"),"nunca funciona")</f>
        <v>nunca funciona</v>
      </c>
      <c r="B23764" s="3">
        <v>0</v>
      </c>
    </row>
    <row r="23765" ht="15.75" customHeight="1" spans="1:2">
      <c r="A23765" s="3" t="str">
        <f>IFERROR(__xludf.DUMMYFUNCTION("GOOGLETRANSLATE(A23765,""en"",""pt"")"),"Talvez seja uma espécie de grande, mas isso não é tragédia.")</f>
        <v>Talvez seja uma espécie de grande, mas isso não é tragédia.</v>
      </c>
      <c r="B23765" s="3">
        <v>0</v>
      </c>
    </row>
    <row r="23766" ht="15.75" customHeight="1" spans="1:2">
      <c r="A23766" s="3" t="str">
        <f>IFERROR(__xludf.DUMMYFUNCTION("GOOGLETRANSLATE(A23766,""en"",""pt"")"),"todo o resto")</f>
        <v>todo o resto</v>
      </c>
      <c r="B23766" s="3">
        <v>0</v>
      </c>
    </row>
    <row r="23767" ht="15.75" customHeight="1" spans="1:2">
      <c r="A23767" s="3" t="str">
        <f>IFERROR(__xludf.DUMMYFUNCTION("GOOGLETRANSLATE(A23767,""en"",""pt"")"),"Muito pobre e software defeituoso.")</f>
        <v>Muito pobre e software defeituoso.</v>
      </c>
      <c r="B23767" s="3">
        <v>0</v>
      </c>
    </row>
    <row r="23768" ht="15.75" customHeight="1" spans="1:2">
      <c r="A23768" s="3" t="str">
        <f>IFERROR(__xludf.DUMMYFUNCTION("GOOGLETRANSLATE(A23768,""en"",""pt"")"),"software projetado mal")</f>
        <v>software projetado mal</v>
      </c>
      <c r="B23768" s="3">
        <v>0</v>
      </c>
    </row>
    <row r="23769" ht="15.75" customHeight="1" spans="1:2">
      <c r="A23769" s="3" t="str">
        <f>IFERROR(__xludf.DUMMYFUNCTION("GOOGLETRANSLATE(A23769,""en"",""pt"")"),"Poderia ter um lugar que tem mais papel.")</f>
        <v>Poderia ter um lugar que tem mais papel.</v>
      </c>
      <c r="B23769" s="3">
        <v>0</v>
      </c>
    </row>
    <row r="23770" ht="15.75" customHeight="1" spans="1:2">
      <c r="A23770" s="3" t="str">
        <f>IFERROR(__xludf.DUMMYFUNCTION("GOOGLETRANSLATE(A23770,""en"",""pt"")"),"Não são muitos para falar de")</f>
        <v>Não são muitos para falar de</v>
      </c>
      <c r="B23770" s="3">
        <v>0</v>
      </c>
    </row>
    <row r="23771" ht="15.75" customHeight="1" spans="1:2">
      <c r="A23771" s="3" t="str">
        <f>IFERROR(__xludf.DUMMYFUNCTION("GOOGLETRANSLATE(A23771,""en"",""pt"")"),"Pobre documentação, cartuchos de tinta caros")</f>
        <v>Pobre documentação, cartuchos de tinta caros</v>
      </c>
      <c r="B23771" s="3">
        <v>0</v>
      </c>
    </row>
    <row r="23772" ht="15.75" customHeight="1" spans="1:2">
      <c r="A23772" s="3" t="str">
        <f>IFERROR(__xludf.DUMMYFUNCTION("GOOGLETRANSLATE(A23772,""en"",""pt"")"),"cópias legais, a qualidade impressora a cores")</f>
        <v>cópias legais, a qualidade impressora a cores</v>
      </c>
      <c r="B23772" s="3">
        <v>0</v>
      </c>
    </row>
    <row r="23773" ht="15.75" customHeight="1" spans="1:2">
      <c r="A23773" s="3" t="str">
        <f>IFERROR(__xludf.DUMMYFUNCTION("GOOGLETRANSLATE(A23773,""en"",""pt"")"),"fax carece de capacidade de trabalhar com os endereços do Office XP; atolamentos de envelope contínuas")</f>
        <v>fax carece de capacidade de trabalhar com os endereços do Office XP; atolamentos de envelope contínuas</v>
      </c>
      <c r="B23773" s="3">
        <v>0</v>
      </c>
    </row>
    <row r="23774" ht="15.75" customHeight="1" spans="1:2">
      <c r="A23774" s="3" t="str">
        <f>IFERROR(__xludf.DUMMYFUNCTION("GOOGLETRANSLATE(A23774,""en"",""pt"")"),"inutilizável driver da impressora, suporte ruim tecnologia, possível problema de confiabilidade")</f>
        <v>inutilizável driver da impressora, suporte ruim tecnologia, possível problema de confiabilidade</v>
      </c>
      <c r="B23774" s="3">
        <v>0</v>
      </c>
    </row>
    <row r="23775" ht="15.75" customHeight="1" spans="1:2">
      <c r="A23775" s="3" t="str">
        <f>IFERROR(__xludf.DUMMYFUNCTION("GOOGLETRANSLATE(A23775,""en"",""pt"")"),"motoristas terríveis, dores de cabeça de rede sem fim")</f>
        <v>motoristas terríveis, dores de cabeça de rede sem fim</v>
      </c>
      <c r="B23775" s="3">
        <v>0</v>
      </c>
    </row>
    <row r="23776" ht="15.75" customHeight="1" spans="1:2">
      <c r="A23776" s="3" t="str">
        <f>IFERROR(__xludf.DUMMYFUNCTION("GOOGLETRANSLATE(A23776,""en"",""pt"")"),"Software não é bom para fax internacional")</f>
        <v>Software não é bom para fax internacional</v>
      </c>
      <c r="B23776" s="3">
        <v>0</v>
      </c>
    </row>
    <row r="23777" ht="15.75" customHeight="1" spans="1:2">
      <c r="A23777" s="3" t="str">
        <f>IFERROR(__xludf.DUMMYFUNCTION("GOOGLETRANSLATE(A23777,""en"",""pt"")"),"falta de flexibilidade")</f>
        <v>falta de flexibilidade</v>
      </c>
      <c r="B23777" s="3">
        <v>0</v>
      </c>
    </row>
    <row r="23778" ht="15.75" customHeight="1" spans="1:2">
      <c r="A23778" s="3" t="str">
        <f>IFERROR(__xludf.DUMMYFUNCTION("GOOGLETRANSLATE(A23778,""en"",""pt"")"),"O suporte técnico é excelente - mas você vai pagar para a chamada")</f>
        <v>O suporte técnico é excelente - mas você vai pagar para a chamada</v>
      </c>
      <c r="B23778" s="3">
        <v>0</v>
      </c>
    </row>
    <row r="23779" ht="15.75" customHeight="1" spans="1:2">
      <c r="A23779" s="3" t="str">
        <f>IFERROR(__xludf.DUMMYFUNCTION("GOOGLETRANSLATE(A23779,""en"",""pt"")"),"Horrendo cópia legal de tamanho")</f>
        <v>Horrendo cópia legal de tamanho</v>
      </c>
      <c r="B23779" s="3">
        <v>0</v>
      </c>
    </row>
    <row r="23780" ht="15.75" customHeight="1" spans="1:2">
      <c r="A23780" s="3" t="str">
        <f>IFERROR(__xludf.DUMMYFUNCTION("GOOGLETRANSLATE(A23780,""en"",""pt"")"),"cópias legais, tem que pagar para obter ajuda")</f>
        <v>cópias legais, tem que pagar para obter ajuda</v>
      </c>
      <c r="B23780" s="3">
        <v>0</v>
      </c>
    </row>
    <row r="23781" ht="15.75" customHeight="1" spans="1:2">
      <c r="A23781" s="3" t="str">
        <f>IFERROR(__xludf.DUMMYFUNCTION("GOOGLETRANSLATE(A23781,""en"",""pt"")"),"Nenhum que eu posso pensar.")</f>
        <v>Nenhum que eu posso pensar.</v>
      </c>
      <c r="B23781" s="3">
        <v>0</v>
      </c>
    </row>
    <row r="23782" ht="15.75" customHeight="1" spans="1:2">
      <c r="A23782" s="3" t="str">
        <f>IFERROR(__xludf.DUMMYFUNCTION("GOOGLETRANSLATE(A23782,""en"",""pt"")"),"... Só não em um mac.")</f>
        <v>... Só não em um mac.</v>
      </c>
      <c r="B23782" s="3">
        <v>0</v>
      </c>
    </row>
    <row r="23783" ht="15.75" customHeight="1" spans="1:2">
      <c r="A23783" s="3" t="str">
        <f>IFERROR(__xludf.DUMMYFUNCTION("GOOGLETRANSLATE(A23783,""en"",""pt"")"),"tamanho físico se o espaço é limitado")</f>
        <v>tamanho físico se o espaço é limitado</v>
      </c>
      <c r="B23783" s="3">
        <v>0</v>
      </c>
    </row>
    <row r="23784" ht="15.75" customHeight="1" spans="1:2">
      <c r="A23784" s="3" t="str">
        <f>IFERROR(__xludf.DUMMYFUNCTION("GOOGLETRANSLATE(A23784,""en"",""pt"")"),"não armazena os faxes recebidos.")</f>
        <v>não armazena os faxes recebidos.</v>
      </c>
      <c r="B23784" s="3">
        <v>0</v>
      </c>
    </row>
    <row r="23785" ht="15.75" customHeight="1" spans="1:2">
      <c r="A23785" s="3" t="str">
        <f>IFERROR(__xludf.DUMMYFUNCTION("GOOGLETRANSLATE(A23785,""en"",""pt"")"),"USB às vezes não reconhece na inicialização, a tinta pode ser caro, cabo USB não fornecido")</f>
        <v>USB às vezes não reconhece na inicialização, a tinta pode ser caro, cabo USB não fornecido</v>
      </c>
      <c r="B23785" s="3">
        <v>0</v>
      </c>
    </row>
    <row r="23786" ht="15.75" customHeight="1" spans="1:2">
      <c r="A23786" s="3" t="str">
        <f>IFERROR(__xludf.DUMMYFUNCTION("GOOGLETRANSLATE(A23786,""en"",""pt"")"),"Extremamente difícil conseguir que funciona sob Win2000")</f>
        <v>Extremamente difícil conseguir que funciona sob Win2000</v>
      </c>
      <c r="B23786" s="3">
        <v>0</v>
      </c>
    </row>
    <row r="23787" ht="15.75" customHeight="1" spans="1:2">
      <c r="A23787" s="3" t="str">
        <f>IFERROR(__xludf.DUMMYFUNCTION("GOOGLETRANSLATE(A23787,""en"",""pt"")"),"parece mais complicado do que é")</f>
        <v>parece mais complicado do que é</v>
      </c>
      <c r="B23787" s="3">
        <v>0</v>
      </c>
    </row>
    <row r="23788" ht="15.75" customHeight="1" spans="1:2">
      <c r="A23788" s="3" t="str">
        <f>IFERROR(__xludf.DUMMYFUNCTION("GOOGLETRANSLATE(A23788,""en"",""pt"")"),"Ainda um jato de tinta.")</f>
        <v>Ainda um jato de tinta.</v>
      </c>
      <c r="B23788" s="3">
        <v>0</v>
      </c>
    </row>
    <row r="23789" ht="15.75" customHeight="1" spans="1:2">
      <c r="A23789" s="3" t="str">
        <f>IFERROR(__xludf.DUMMYFUNCTION("GOOGLETRANSLATE(A23789,""en"",""pt"")"),"terrível integração Macintosh.")</f>
        <v>terrível integração Macintosh.</v>
      </c>
      <c r="B23789" s="3">
        <v>0</v>
      </c>
    </row>
    <row r="23790" ht="15.75" customHeight="1" spans="1:2">
      <c r="A23790" s="3" t="str">
        <f>IFERROR(__xludf.DUMMYFUNCTION("GOOGLETRANSLATE(A23790,""en"",""pt"")"),"hardware caro, cartuchos de tinta caros")</f>
        <v>hardware caro, cartuchos de tinta caros</v>
      </c>
      <c r="B23790" s="3">
        <v>0</v>
      </c>
    </row>
    <row r="23791" ht="15.75" customHeight="1" spans="1:2">
      <c r="A23791" s="3" t="str">
        <f>IFERROR(__xludf.DUMMYFUNCTION("GOOGLETRANSLATE(A23791,""en"",""pt"")"),"Não é capaz de fazer cópias legais de tamanho.")</f>
        <v>Não é capaz de fazer cópias legais de tamanho.</v>
      </c>
      <c r="B23791" s="3">
        <v>0</v>
      </c>
    </row>
    <row r="23792" ht="15.75" customHeight="1" spans="1:2">
      <c r="A23792" s="3" t="str">
        <f>IFERROR(__xludf.DUMMYFUNCTION("GOOGLETRANSLATE(A23792,""en"",""pt"")"),"Software, sem alimentação manual, de jacto de tinta significa alto custo de propriedade")</f>
        <v>Software, sem alimentação manual, de jacto de tinta significa alto custo de propriedade</v>
      </c>
      <c r="B23792" s="3">
        <v>0</v>
      </c>
    </row>
    <row r="23793" ht="15.75" customHeight="1" spans="1:2">
      <c r="A23793" s="3" t="str">
        <f>IFERROR(__xludf.DUMMYFUNCTION("GOOGLETRANSLATE(A23793,""en"",""pt"")"),"Caro.")</f>
        <v>Caro.</v>
      </c>
      <c r="B23793" s="3">
        <v>0</v>
      </c>
    </row>
    <row r="23794" ht="15.75" customHeight="1" spans="1:2">
      <c r="A23794" s="3" t="str">
        <f>IFERROR(__xludf.DUMMYFUNCTION("GOOGLETRANSLATE(A23794,""en"",""pt"")"),"Grande, Ink-Jet Cartuchos Expensive")</f>
        <v>Grande, Ink-Jet Cartuchos Expensive</v>
      </c>
      <c r="B23794" s="3">
        <v>0</v>
      </c>
    </row>
    <row r="23795" ht="15.75" customHeight="1" spans="1:2">
      <c r="A23795" s="3" t="str">
        <f>IFERROR(__xludf.DUMMYFUNCTION("GOOGLETRANSLATE(A23795,""en"",""pt"")"),"não pode pensar em qualquer")</f>
        <v>não pode pensar em qualquer</v>
      </c>
      <c r="B23795" s="3">
        <v>0</v>
      </c>
    </row>
    <row r="23796" ht="15.75" customHeight="1" spans="1:2">
      <c r="A23796" s="3" t="str">
        <f>IFERROR(__xludf.DUMMYFUNCTION("GOOGLETRANSLATE(A23796,""en"",""pt"")"),"não irá acomodar papel legal")</f>
        <v>não irá acomodar papel legal</v>
      </c>
      <c r="B23796" s="3">
        <v>0</v>
      </c>
    </row>
    <row r="23797" ht="15.75" customHeight="1" spans="1:2">
      <c r="A23797" s="3" t="str">
        <f>IFERROR(__xludf.DUMMYFUNCTION("GOOGLETRANSLATE(A23797,""en"",""pt"")"),"preço de compra elevado, elevado custo por página para a tinta, pesado e volumoso.")</f>
        <v>preço de compra elevado, elevado custo por página para a tinta, pesado e volumoso.</v>
      </c>
      <c r="B23797" s="3">
        <v>0</v>
      </c>
    </row>
    <row r="23798" ht="15.75" customHeight="1" spans="1:2">
      <c r="A23798" s="3" t="str">
        <f>IFERROR(__xludf.DUMMYFUNCTION("GOOGLETRANSLATE(A23798,""en"",""pt"")"),"lidar com a HP, se houver um problema")</f>
        <v>lidar com a HP, se houver um problema</v>
      </c>
      <c r="B23798" s="3">
        <v>0</v>
      </c>
    </row>
    <row r="23799" ht="15.75" customHeight="1" spans="1:2">
      <c r="A23799" s="3" t="str">
        <f>IFERROR(__xludf.DUMMYFUNCTION("GOOGLETRANSLATE(A23799,""en"",""pt"")"),"mais caros quando nós o compramos")</f>
        <v>mais caros quando nós o compramos</v>
      </c>
      <c r="B23799" s="3">
        <v>0</v>
      </c>
    </row>
    <row r="23800" ht="15.75" customHeight="1" spans="1:2">
      <c r="A23800" s="3" t="str">
        <f>IFERROR(__xludf.DUMMYFUNCTION("GOOGLETRANSLATE(A23800,""en"",""pt"")"),"Todo mundo quer usá-lo! Eu mal posso encontrar tempo para usá-lo!")</f>
        <v>Todo mundo quer usá-lo! Eu mal posso encontrar tempo para usá-lo!</v>
      </c>
      <c r="B23800" s="3">
        <v>0</v>
      </c>
    </row>
    <row r="23801" ht="15.75" customHeight="1" spans="1:2">
      <c r="A23801" s="3" t="str">
        <f>IFERROR(__xludf.DUMMYFUNCTION("GOOGLETRANSLATE(A23801,""en"",""pt"")"),"Tinta acabar rapidamente se usado como copiadora")</f>
        <v>Tinta acabar rapidamente se usado como copiadora</v>
      </c>
      <c r="B23801" s="3">
        <v>0</v>
      </c>
    </row>
    <row r="23802" ht="15.75" customHeight="1" spans="1:2">
      <c r="A23802" s="3" t="str">
        <f>IFERROR(__xludf.DUMMYFUNCTION("GOOGLETRANSLATE(A23802,""en"",""pt"")"),"Muito grande, mas contanto que você conta para o deskspace, não há problema.")</f>
        <v>Muito grande, mas contanto que você conta para o deskspace, não há problema.</v>
      </c>
      <c r="B23802" s="3">
        <v>0</v>
      </c>
    </row>
    <row r="23803" ht="15.75" customHeight="1" spans="1:2">
      <c r="A23803" s="3" t="str">
        <f>IFERROR(__xludf.DUMMYFUNCTION("GOOGLETRANSLATE(A23803,""en"",""pt"")"),"inkjet por cópia é geralmente mais do que o laser por cópia")</f>
        <v>inkjet por cópia é geralmente mais do que o laser por cópia</v>
      </c>
      <c r="B23803" s="3">
        <v>0</v>
      </c>
    </row>
    <row r="23804" ht="15.75" customHeight="1" spans="1:2">
      <c r="A23804" s="3" t="str">
        <f>IFERROR(__xludf.DUMMYFUNCTION("GOOGLETRANSLATE(A23804,""en"",""pt"")"),"recargas um pouco caro ainda")</f>
        <v>recargas um pouco caro ainda</v>
      </c>
      <c r="B23804" s="3">
        <v>0</v>
      </c>
    </row>
    <row r="23805" ht="15.75" customHeight="1" spans="1:2">
      <c r="A23805" s="3" t="str">
        <f>IFERROR(__xludf.DUMMYFUNCTION("GOOGLETRANSLATE(A23805,""en"",""pt"")"),"Não se esqueça de cor hit ou preto para realmente imprimir!")</f>
        <v>Não se esqueça de cor hit ou preto para realmente imprimir!</v>
      </c>
      <c r="B23805" s="3">
        <v>0</v>
      </c>
    </row>
    <row r="23806" ht="15.75" customHeight="1" spans="1:2">
      <c r="A23806" s="3" t="str">
        <f>IFERROR(__xludf.DUMMYFUNCTION("GOOGLETRANSLATE(A23806,""en"",""pt"")"),"scans lentos, interface paralela, scanner, por vezes, requer reinicialização para operar")</f>
        <v>scans lentos, interface paralela, scanner, por vezes, requer reinicialização para operar</v>
      </c>
      <c r="B23806" s="3">
        <v>0</v>
      </c>
    </row>
    <row r="23807" ht="15.75" customHeight="1" spans="1:2">
      <c r="A23807" s="3" t="str">
        <f>IFERROR(__xludf.DUMMYFUNCTION("GOOGLETRANSLATE(A23807,""en"",""pt"")"),"Grande, um pouco barulhento, não modo economia de energia.")</f>
        <v>Grande, um pouco barulhento, não modo economia de energia.</v>
      </c>
      <c r="B23807" s="3">
        <v>0</v>
      </c>
    </row>
    <row r="23808" ht="15.75" customHeight="1" spans="1:2">
      <c r="A23808" s="3" t="str">
        <f>IFERROR(__xludf.DUMMYFUNCTION("GOOGLETRANSLATE(A23808,""en"",""pt"")"),"Sem fax. Maior do que alguns dos modelos mais recentes que fazem a mesma coisa")</f>
        <v>Sem fax. Maior do que alguns dos modelos mais recentes que fazem a mesma coisa</v>
      </c>
      <c r="B23808" s="3">
        <v>0</v>
      </c>
    </row>
    <row r="23809" ht="15.75" customHeight="1" spans="1:2">
      <c r="A23809" s="3" t="str">
        <f>IFERROR(__xludf.DUMMYFUNCTION("GOOGLETRANSLATE(A23809,""en"",""pt"")"),"grande")</f>
        <v>grande</v>
      </c>
      <c r="B23809" s="3">
        <v>0</v>
      </c>
    </row>
    <row r="23810" ht="15.75" customHeight="1" spans="1:2">
      <c r="A23810" s="3" t="str">
        <f>IFERROR(__xludf.DUMMYFUNCTION("GOOGLETRANSLATE(A23810,""en"",""pt"")"),"problemas de digitalização")</f>
        <v>problemas de digitalização</v>
      </c>
      <c r="B23810" s="3">
        <v>0</v>
      </c>
    </row>
    <row r="23811" ht="15.75" customHeight="1" spans="1:2">
      <c r="A23811" s="3" t="str">
        <f>IFERROR(__xludf.DUMMYFUNCTION("GOOGLETRANSLATE(A23811,""en"",""pt"")"),"pouco caro")</f>
        <v>pouco caro</v>
      </c>
      <c r="B23811" s="3">
        <v>0</v>
      </c>
    </row>
    <row r="23812" ht="15.75" customHeight="1" spans="1:2">
      <c r="A23812" s="3" t="str">
        <f>IFERROR(__xludf.DUMMYFUNCTION("GOOGLETRANSLATE(A23812,""en"",""pt"")"),"Windows 2000")</f>
        <v>Windows 2000</v>
      </c>
      <c r="B23812" s="3">
        <v>0</v>
      </c>
    </row>
    <row r="23813" ht="15.75" customHeight="1" spans="1:2">
      <c r="A23813" s="3" t="str">
        <f>IFERROR(__xludf.DUMMYFUNCTION("GOOGLETRANSLATE(A23813,""en"",""pt"")"),"instalação do software levou um par de tentativas para mim")</f>
        <v>instalação do software levou um par de tentativas para mim</v>
      </c>
      <c r="B23813" s="3">
        <v>0</v>
      </c>
    </row>
    <row r="23814" ht="15.75" customHeight="1" spans="1:2">
      <c r="A23814" s="3" t="str">
        <f>IFERROR(__xludf.DUMMYFUNCTION("GOOGLETRANSLATE(A23814,""en"",""pt"")"),"Nenhum")</f>
        <v>Nenhum</v>
      </c>
      <c r="B23814" s="3">
        <v>0</v>
      </c>
    </row>
    <row r="23815" ht="15.75" customHeight="1" spans="1:2">
      <c r="A23815" s="3" t="str">
        <f>IFERROR(__xludf.DUMMYFUNCTION("GOOGLETRANSLATE(A23815,""en"",""pt"")"),"Very Large para uma unidade de secretária")</f>
        <v>Very Large para uma unidade de secretária</v>
      </c>
      <c r="B23815" s="3">
        <v>0</v>
      </c>
    </row>
    <row r="23816" ht="15.75" customHeight="1" spans="1:2">
      <c r="A23816" s="3" t="str">
        <f>IFERROR(__xludf.DUMMYFUNCTION("GOOGLETRANSLATE(A23816,""en"",""pt"")"),"Volumosos, um pouco caro")</f>
        <v>Volumosos, um pouco caro</v>
      </c>
      <c r="B23816" s="3">
        <v>0</v>
      </c>
    </row>
    <row r="23817" ht="15.75" customHeight="1" spans="1:2">
      <c r="A23817" s="3" t="str">
        <f>IFERROR(__xludf.DUMMYFUNCTION("GOOGLETRANSLATE(A23817,""en"",""pt"")"),"Quando conectado a uma rede, você perde a capacidade de digitalização. Não recomendado para uso de alto volume.")</f>
        <v>Quando conectado a uma rede, você perde a capacidade de digitalização. Não recomendado para uso de alto volume.</v>
      </c>
      <c r="B23817" s="3">
        <v>0</v>
      </c>
    </row>
    <row r="23818" ht="15.75" customHeight="1" spans="1:2">
      <c r="A23818" s="3" t="str">
        <f>IFERROR(__xludf.DUMMYFUNCTION("GOOGLETRANSLATE(A23818,""en"",""pt"")"),"não será capaz de lidar com esmagamento cargas; digitalização do Windows NT é lento")</f>
        <v>não será capaz de lidar com esmagamento cargas; digitalização do Windows NT é lento</v>
      </c>
      <c r="B23818" s="3">
        <v>0</v>
      </c>
    </row>
    <row r="23819" ht="15.75" customHeight="1" spans="1:2">
      <c r="A23819" s="3" t="str">
        <f>IFERROR(__xludf.DUMMYFUNCTION("GOOGLETRANSLATE(A23819,""en"",""pt"")"),"não pode enviar um fax diretamente do PC, não pode porta ação, capacidade de papel pequeno.")</f>
        <v>não pode enviar um fax diretamente do PC, não pode porta ação, capacidade de papel pequeno.</v>
      </c>
      <c r="B23819" s="3">
        <v>0</v>
      </c>
    </row>
    <row r="23820" ht="15.75" customHeight="1" spans="1:2">
      <c r="A23820" s="3" t="str">
        <f>IFERROR(__xludf.DUMMYFUNCTION("GOOGLETRANSLATE(A23820,""en"",""pt"")"),"dificil de encontrar")</f>
        <v>dificil de encontrar</v>
      </c>
      <c r="B23820" s="3">
        <v>0</v>
      </c>
    </row>
    <row r="23821" ht="15.75" customHeight="1" spans="1:2">
      <c r="A23821" s="3" t="str">
        <f>IFERROR(__xludf.DUMMYFUNCTION("GOOGLETRANSLATE(A23821,""en"",""pt"")"),"funcionalidade de fax é terrível, há funções simultâneas, não pode agrupar as tarefas de cópia de várias páginas")</f>
        <v>funcionalidade de fax é terrível, há funções simultâneas, não pode agrupar as tarefas de cópia de várias páginas</v>
      </c>
      <c r="B23821" s="3">
        <v>0</v>
      </c>
    </row>
    <row r="23822" ht="15.75" customHeight="1" spans="1:2">
      <c r="A23822" s="3" t="str">
        <f>IFERROR(__xludf.DUMMYFUNCTION("GOOGLETRANSLATE(A23822,""en"",""pt"")"),"Apenas uma bandeja de papel")</f>
        <v>Apenas uma bandeja de papel</v>
      </c>
      <c r="B23822" s="3">
        <v>0</v>
      </c>
    </row>
    <row r="23823" ht="15.75" customHeight="1" spans="1:2">
      <c r="A23823" s="3" t="str">
        <f>IFERROR(__xludf.DUMMYFUNCTION("GOOGLETRANSLATE(A23823,""en"",""pt"")"),"Nenhum")</f>
        <v>Nenhum</v>
      </c>
      <c r="B23823" s="3">
        <v>0</v>
      </c>
    </row>
    <row r="23824" ht="15.75" customHeight="1" spans="1:2">
      <c r="A23824" s="3" t="str">
        <f>IFERROR(__xludf.DUMMYFUNCTION("GOOGLETRANSLATE(A23824,""en"",""pt"")"),"Só se ele quebra, você é mais do que apenas uma máquina")</f>
        <v>Só se ele quebra, você é mais do que apenas uma máquina</v>
      </c>
      <c r="B23824" s="3">
        <v>0</v>
      </c>
    </row>
    <row r="23825" ht="15.75" customHeight="1" spans="1:2">
      <c r="A23825" s="3" t="str">
        <f>IFERROR(__xludf.DUMMYFUNCTION("GOOGLETRANSLATE(A23825,""en"",""pt"")"),"Nenhum.")</f>
        <v>Nenhum.</v>
      </c>
      <c r="B23825" s="3">
        <v>0</v>
      </c>
    </row>
    <row r="23826" ht="15.75" customHeight="1" spans="1:2">
      <c r="A23826" s="3" t="str">
        <f>IFERROR(__xludf.DUMMYFUNCTION("GOOGLETRANSLATE(A23826,""en"",""pt"")"),"Velocidade, simplicidade de copiadora.")</f>
        <v>Velocidade, simplicidade de copiadora.</v>
      </c>
      <c r="B23826" s="3">
        <v>0</v>
      </c>
    </row>
    <row r="23827" ht="15.75" customHeight="1" spans="1:2">
      <c r="A23827" s="3" t="str">
        <f>IFERROR(__xludf.DUMMYFUNCTION("GOOGLETRANSLATE(A23827,""en"",""pt"")"),"Há paperjams")</f>
        <v>Há paperjams</v>
      </c>
      <c r="B23827" s="3">
        <v>0</v>
      </c>
    </row>
    <row r="23828" ht="15.75" customHeight="1" spans="1:2">
      <c r="A23828" s="3" t="str">
        <f>IFERROR(__xludf.DUMMYFUNCTION("GOOGLETRANSLATE(A23828,""en"",""pt"")"),"Os cartuchos de tinta são caros, mas eles são para todas essas máquinas")</f>
        <v>Os cartuchos de tinta são caros, mas eles são para todas essas máquinas</v>
      </c>
      <c r="B23828" s="3">
        <v>0</v>
      </c>
    </row>
    <row r="23829" ht="15.75" customHeight="1" spans="1:2">
      <c r="A23829" s="3" t="str">
        <f>IFERROR(__xludf.DUMMYFUNCTION("GOOGLETRANSLATE(A23829,""en"",""pt"")"),"Desliga do sistema quando utilizando Windows 98")</f>
        <v>Desliga do sistema quando utilizando Windows 98</v>
      </c>
      <c r="B23829" s="3">
        <v>0</v>
      </c>
    </row>
    <row r="23830" ht="15.75" customHeight="1" spans="1:2">
      <c r="A23830" s="3" t="str">
        <f>IFERROR(__xludf.DUMMYFUNCTION("GOOGLETRANSLATE(A23830,""en"",""pt"")"),"cartuchos caros, encravamentos de papel frequentes, o tabuleiro de alimentação de papel pequena e mais finos bandeja para faxes recebidos.")</f>
        <v>cartuchos caros, encravamentos de papel frequentes, o tabuleiro de alimentação de papel pequena e mais finos bandeja para faxes recebidos.</v>
      </c>
      <c r="B23830" s="3">
        <v>0</v>
      </c>
    </row>
    <row r="23831" ht="15.75" customHeight="1" spans="1:2">
      <c r="A23831" s="3" t="str">
        <f>IFERROR(__xludf.DUMMYFUNCTION("GOOGLETRANSLATE(A23831,""en"",""pt"")"),"apoio pobres, drivers e software não funcionam com o XP")</f>
        <v>apoio pobres, drivers e software não funcionam com o XP</v>
      </c>
      <c r="B23831" s="3">
        <v>0</v>
      </c>
    </row>
    <row r="23832" ht="15.75" customHeight="1" spans="1:2">
      <c r="A23832" s="3" t="str">
        <f>IFERROR(__xludf.DUMMYFUNCTION("GOOGLETRANSLATE(A23832,""en"",""pt"")"),"caro, volumoso")</f>
        <v>caro, volumoso</v>
      </c>
      <c r="B23832" s="3">
        <v>0</v>
      </c>
    </row>
    <row r="23833" ht="15.75" customHeight="1" spans="1:2">
      <c r="A23833" s="3" t="str">
        <f>IFERROR(__xludf.DUMMYFUNCTION("GOOGLETRANSLATE(A23833,""en"",""pt"")"),"É grande.")</f>
        <v>É grande.</v>
      </c>
      <c r="B23833" s="3">
        <v>0</v>
      </c>
    </row>
    <row r="23834" ht="15.75" customHeight="1" spans="1:2">
      <c r="A23834" s="3" t="str">
        <f>IFERROR(__xludf.DUMMYFUNCTION("GOOGLETRANSLATE(A23834,""en"",""pt"")"),"às vezes barulhento")</f>
        <v>às vezes barulhento</v>
      </c>
      <c r="B23834" s="3">
        <v>0</v>
      </c>
    </row>
    <row r="23835" ht="15.75" customHeight="1" spans="1:2">
      <c r="A23835" s="3" t="str">
        <f>IFERROR(__xludf.DUMMYFUNCTION("GOOGLETRANSLATE(A23835,""en"",""pt"")"),"software pobre OCR, consumo de tinta")</f>
        <v>software pobre OCR, consumo de tinta</v>
      </c>
      <c r="B23835" s="3">
        <v>0</v>
      </c>
    </row>
    <row r="23836" ht="15.75" customHeight="1" spans="1:2">
      <c r="A23836" s="3" t="str">
        <f>IFERROR(__xludf.DUMMYFUNCTION("GOOGLETRANSLATE(A23836,""en"",""pt"")"),"HP OfficeJet T45 faz ter uma quantidade considerável de espaço.")</f>
        <v>HP OfficeJet T45 faz ter uma quantidade considerável de espaço.</v>
      </c>
      <c r="B23836" s="3">
        <v>0</v>
      </c>
    </row>
    <row r="23837" ht="15.75" customHeight="1" spans="1:2">
      <c r="A23837" s="3" t="str">
        <f>IFERROR(__xludf.DUMMYFUNCTION("GOOGLETRANSLATE(A23837,""en"",""pt"")"),"Os cartuchos de tinta são caros")</f>
        <v>Os cartuchos de tinta são caros</v>
      </c>
      <c r="B23837" s="3">
        <v>0</v>
      </c>
    </row>
    <row r="23838" ht="15.75" customHeight="1" spans="1:2">
      <c r="A23838" s="3" t="str">
        <f>IFERROR(__xludf.DUMMYFUNCTION("GOOGLETRANSLATE(A23838,""en"",""pt"")"),"Absolutamente nenhum.")</f>
        <v>Absolutamente nenhum.</v>
      </c>
      <c r="B23838" s="3">
        <v>0</v>
      </c>
    </row>
    <row r="23839" ht="15.75" customHeight="1" spans="1:2">
      <c r="A23839" s="3" t="str">
        <f>IFERROR(__xludf.DUMMYFUNCTION("GOOGLETRANSLATE(A23839,""en"",""pt"")"),"Não muito boa para estar em uma rede e usado comprar um grupo de pessoas.")</f>
        <v>Não muito boa para estar em uma rede e usado comprar um grupo de pessoas.</v>
      </c>
      <c r="B23839" s="3">
        <v>0</v>
      </c>
    </row>
    <row r="23840" ht="15.75" customHeight="1" spans="1:2">
      <c r="A23840" s="3" t="str">
        <f>IFERROR(__xludf.DUMMYFUNCTION("GOOGLETRANSLATE(A23840,""en"",""pt"")"),"Mais lento do que um laser, capacidade de papel pequena")</f>
        <v>Mais lento do que um laser, capacidade de papel pequena</v>
      </c>
      <c r="B23840" s="3">
        <v>0</v>
      </c>
    </row>
    <row r="23841" ht="15.75" customHeight="1" spans="1:2">
      <c r="A23841" s="3" t="str">
        <f>IFERROR(__xludf.DUMMYFUNCTION("GOOGLETRANSLATE(A23841,""en"",""pt"")"),"sistema é volumoso")</f>
        <v>sistema é volumoso</v>
      </c>
      <c r="B23841" s="3">
        <v>0</v>
      </c>
    </row>
    <row r="23842" ht="15.75" customHeight="1" spans="1:2">
      <c r="A23842" s="3" t="str">
        <f>IFERROR(__xludf.DUMMYFUNCTION("GOOGLETRANSLATE(A23842,""en"",""pt"")"),"interface de computador")</f>
        <v>interface de computador</v>
      </c>
      <c r="B23842" s="3">
        <v>0</v>
      </c>
    </row>
    <row r="23843" ht="15.75" customHeight="1" spans="1:2">
      <c r="A23843" s="3" t="str">
        <f>IFERROR(__xludf.DUMMYFUNCTION("GOOGLETRANSLATE(A23843,""en"",""pt"")"),"um pouco caro, e não pequeno")</f>
        <v>um pouco caro, e não pequeno</v>
      </c>
      <c r="B23843" s="3">
        <v>0</v>
      </c>
    </row>
    <row r="23844" ht="15.75" customHeight="1" spans="1:2">
      <c r="A23844" s="3" t="str">
        <f>IFERROR(__xludf.DUMMYFUNCTION("GOOGLETRANSLATE(A23844,""en"",""pt"")"),"Nenhum!")</f>
        <v>Nenhum!</v>
      </c>
      <c r="B23844" s="3">
        <v>0</v>
      </c>
    </row>
    <row r="23845" ht="15.75" customHeight="1" spans="1:2">
      <c r="A23845" s="3" t="str">
        <f>IFERROR(__xludf.DUMMYFUNCTION("GOOGLETRANSLATE(A23845,""en"",""pt"")"),"Nenhum")</f>
        <v>Nenhum</v>
      </c>
      <c r="B23845" s="3">
        <v>0</v>
      </c>
    </row>
    <row r="23846" ht="15.75" customHeight="1" spans="1:2">
      <c r="A23846" s="3" t="str">
        <f>IFERROR(__xludf.DUMMYFUNCTION("GOOGLETRANSLATE(A23846,""en"",""pt"")"),"Nenhum")</f>
        <v>Nenhum</v>
      </c>
      <c r="B23846" s="3">
        <v>0</v>
      </c>
    </row>
    <row r="23847" ht="15.75" customHeight="1" spans="1:2">
      <c r="A23847" s="3" t="str">
        <f>IFERROR(__xludf.DUMMYFUNCTION("GOOGLETRANSLATE(A23847,""en"",""pt"")"),"$ 30-35 cartuchos de tinta")</f>
        <v>$ 30-35 cartuchos de tinta</v>
      </c>
      <c r="B23847" s="3">
        <v>0</v>
      </c>
    </row>
    <row r="23848" ht="15.75" customHeight="1" spans="1:2">
      <c r="A23848" s="3" t="str">
        <f>IFERROR(__xludf.DUMMYFUNCTION("GOOGLETRANSLATE(A23848,""en"",""pt"")"),"Considerável, Pesado")</f>
        <v>Considerável, Pesado</v>
      </c>
      <c r="B23848" s="3">
        <v>0</v>
      </c>
    </row>
    <row r="23849" ht="15.75" customHeight="1" spans="1:2">
      <c r="A23849" s="3" t="str">
        <f>IFERROR(__xludf.DUMMYFUNCTION("GOOGLETRANSLATE(A23849,""en"",""pt"")"),"bulkiness")</f>
        <v>bulkiness</v>
      </c>
      <c r="B23849" s="3">
        <v>0</v>
      </c>
    </row>
    <row r="23850" ht="15.75" customHeight="1" spans="1:2">
      <c r="A23850" s="3" t="str">
        <f>IFERROR(__xludf.DUMMYFUNCTION("GOOGLETRANSLATE(A23850,""en"",""pt"")"),"Nenhum")</f>
        <v>Nenhum</v>
      </c>
      <c r="B23850" s="3">
        <v>0</v>
      </c>
    </row>
    <row r="23851" ht="15.75" customHeight="1" spans="1:2">
      <c r="A23851" s="3" t="str">
        <f>IFERROR(__xludf.DUMMYFUNCTION("GOOGLETRANSLATE(A23851,""en"",""pt"")"),"Nenhum")</f>
        <v>Nenhum</v>
      </c>
      <c r="B23851" s="3">
        <v>0</v>
      </c>
    </row>
    <row r="23852" ht="15.75" customHeight="1" spans="1:2">
      <c r="A23852" s="3" t="str">
        <f>IFERROR(__xludf.DUMMYFUNCTION("GOOGLETRANSLATE(A23852,""en"",""pt"")"),"Nenhum")</f>
        <v>Nenhum</v>
      </c>
      <c r="B23852" s="3">
        <v>0</v>
      </c>
    </row>
    <row r="23853" ht="15.75" customHeight="1" spans="1:2">
      <c r="A23853" s="3" t="str">
        <f>IFERROR(__xludf.DUMMYFUNCTION("GOOGLETRANSLATE(A23853,""en"",""pt"")"),"Uma cor")</f>
        <v>Uma cor</v>
      </c>
      <c r="B23853" s="3">
        <v>0</v>
      </c>
    </row>
    <row r="23854" ht="15.75" customHeight="1" spans="1:2">
      <c r="A23854" s="3" t="str">
        <f>IFERROR(__xludf.DUMMYFUNCTION("GOOGLETRANSLATE(A23854,""en"",""pt"")"),"Necessidade um em casa")</f>
        <v>Necessidade um em casa</v>
      </c>
      <c r="B23854" s="3">
        <v>0</v>
      </c>
    </row>
    <row r="23855" ht="15.75" customHeight="1" spans="1:2">
      <c r="A23855" s="3" t="str">
        <f>IFERROR(__xludf.DUMMYFUNCTION("GOOGLETRANSLATE(A23855,""en"",""pt"")"),"Preço, incompatibilidades")</f>
        <v>Preço, incompatibilidades</v>
      </c>
      <c r="B23855" s="3">
        <v>0</v>
      </c>
    </row>
    <row r="23856" ht="15.75" customHeight="1" spans="1:2">
      <c r="A23856" s="3" t="str">
        <f>IFERROR(__xludf.DUMMYFUNCTION("GOOGLETRANSLATE(A23856,""en"",""pt"")"),"tela digital é um pouco difícil de ler, bandeja de papel não segurar um monte")</f>
        <v>tela digital é um pouco difícil de ler, bandeja de papel não segurar um monte</v>
      </c>
      <c r="B23856" s="3">
        <v>0</v>
      </c>
    </row>
    <row r="23857" ht="15.75" customHeight="1" spans="1:2">
      <c r="A23857" s="4" t="str">
        <f>IFERROR(__xludf.DUMMYFUNCTION("GOOGLETRANSLATE(A23857,""en"",""pt"")"),"http://www.epinions.com/welcome.html?member=schumanfu2")</f>
        <v>http://www.epinions.com/welcome.html?member=schumanfu2</v>
      </c>
      <c r="B23857" s="3">
        <v>0</v>
      </c>
    </row>
    <row r="23858" ht="15.75" customHeight="1" spans="1:2">
      <c r="A23858" s="3" t="str">
        <f>IFERROR(__xludf.DUMMYFUNCTION("GOOGLETRANSLATE(A23858,""en"",""pt"")"),"Um pouco caro")</f>
        <v>Um pouco caro</v>
      </c>
      <c r="B23858" s="3">
        <v>0</v>
      </c>
    </row>
    <row r="23859" ht="15.75" customHeight="1" spans="1:2">
      <c r="A23859" s="3" t="str">
        <f>IFERROR(__xludf.DUMMYFUNCTION("GOOGLETRANSLATE(A23859,""en"",""pt"")"),"conflitos de configuração")</f>
        <v>conflitos de configuração</v>
      </c>
      <c r="B23859" s="3">
        <v>0</v>
      </c>
    </row>
    <row r="23860" ht="15.75" customHeight="1" spans="1:2">
      <c r="A23860" s="3" t="str">
        <f>IFERROR(__xludf.DUMMYFUNCTION("GOOGLETRANSLATE(A23860,""en"",""pt"")"),"No scanner de mesa")</f>
        <v>No scanner de mesa</v>
      </c>
      <c r="B23860" s="3">
        <v>0</v>
      </c>
    </row>
    <row r="23861" ht="15.75" customHeight="1" spans="1:2">
      <c r="A23861" s="3" t="str">
        <f>IFERROR(__xludf.DUMMYFUNCTION("GOOGLETRANSLATE(A23861,""en"",""pt"")"),"HP OfficeJet T45 é muito caro, muito grande e difícil em uso.")</f>
        <v>HP OfficeJet T45 é muito caro, muito grande e difícil em uso.</v>
      </c>
      <c r="B23861" s="3">
        <v>0</v>
      </c>
    </row>
    <row r="23862" ht="15.75" customHeight="1" spans="1:2">
      <c r="A23862" s="3" t="str">
        <f>IFERROR(__xludf.DUMMYFUNCTION("GOOGLETRANSLATE(A23862,""en"",""pt"")"),"difícil de configurar e entender. atola um pouco frequentemente")</f>
        <v>difícil de configurar e entender. atola um pouco frequentemente</v>
      </c>
      <c r="B23862" s="3">
        <v>0</v>
      </c>
    </row>
    <row r="23863" ht="15.75" customHeight="1" spans="1:2">
      <c r="A23863" s="3" t="str">
        <f>IFERROR(__xludf.DUMMYFUNCTION("GOOGLETRANSLATE(A23863,""en"",""pt"")"),"Tamanho")</f>
        <v>Tamanho</v>
      </c>
      <c r="B23863" s="3">
        <v>0</v>
      </c>
    </row>
    <row r="23864" ht="15.75" customHeight="1" spans="1:2">
      <c r="A23864" s="3" t="str">
        <f>IFERROR(__xludf.DUMMYFUNCTION("GOOGLETRANSLATE(A23864,""en"",""pt"")"),"I não encontrou qualquer.")</f>
        <v>I não encontrou qualquer.</v>
      </c>
      <c r="B23864" s="3">
        <v>0</v>
      </c>
    </row>
    <row r="23865" ht="15.75" customHeight="1" spans="1:2">
      <c r="A23865" s="3" t="str">
        <f>IFERROR(__xludf.DUMMYFUNCTION("GOOGLETRANSLATE(A23865,""en"",""pt"")"),"Como todos os impressoras, cartuchos caros. Necessidades bandeja maior papel para armazenar mais papel.")</f>
        <v>Como todos os impressoras, cartuchos caros. Necessidades bandeja maior papel para armazenar mais papel.</v>
      </c>
      <c r="B23865" s="3">
        <v>0</v>
      </c>
    </row>
    <row r="23866" ht="15.75" customHeight="1" spans="1:2">
      <c r="A23866" s="3" t="str">
        <f>IFERROR(__xludf.DUMMYFUNCTION("GOOGLETRANSLATE(A23866,""en"",""pt"")"),"Nenhum na minha experiência")</f>
        <v>Nenhum na minha experiência</v>
      </c>
      <c r="B23866" s="3">
        <v>0</v>
      </c>
    </row>
    <row r="23867" ht="15.75" customHeight="1" spans="1:2">
      <c r="A23867" s="3" t="str">
        <f>IFERROR(__xludf.DUMMYFUNCTION("GOOGLETRANSLATE(A23867,""en"",""pt"")"),"Software às vezes dá uma tela azul.")</f>
        <v>Software às vezes dá uma tela azul.</v>
      </c>
      <c r="B23867" s="3">
        <v>0</v>
      </c>
    </row>
    <row r="23868" ht="15.75" customHeight="1" spans="1:2">
      <c r="A23868" s="3" t="str">
        <f>IFERROR(__xludf.DUMMYFUNCTION("GOOGLETRANSLATE(A23868,""en"",""pt"")"),"caro")</f>
        <v>caro</v>
      </c>
      <c r="B23868" s="3">
        <v>0</v>
      </c>
    </row>
    <row r="23869" ht="15.75" customHeight="1" spans="1:2">
      <c r="A23869" s="3" t="str">
        <f>IFERROR(__xludf.DUMMYFUNCTION("GOOGLETRANSLATE(A23869,""en"",""pt"")"),"nenhum ainda")</f>
        <v>nenhum ainda</v>
      </c>
      <c r="B23869" s="3">
        <v>0</v>
      </c>
    </row>
    <row r="23870" ht="15.75" customHeight="1" spans="1:2">
      <c r="A23870" s="3" t="str">
        <f>IFERROR(__xludf.DUMMYFUNCTION("GOOGLETRANSLATE(A23870,""en"",""pt"")"),"Nenhum.")</f>
        <v>Nenhum.</v>
      </c>
      <c r="B23870" s="3">
        <v>0</v>
      </c>
    </row>
    <row r="23871" ht="15.75" customHeight="1" spans="1:2">
      <c r="A23871" s="3" t="str">
        <f>IFERROR(__xludf.DUMMYFUNCTION("GOOGLETRANSLATE(A23871,""en"",""pt"")"),"tinta acabar rápida")</f>
        <v>tinta acabar rápida</v>
      </c>
      <c r="B23871" s="3">
        <v>0</v>
      </c>
    </row>
    <row r="23872" ht="15.75" customHeight="1" spans="1:2">
      <c r="A23872" s="3" t="str">
        <f>IFERROR(__xludf.DUMMYFUNCTION("GOOGLETRANSLATE(A23872,""en"",""pt"")"),"Nenhum")</f>
        <v>Nenhum</v>
      </c>
      <c r="B23872" s="3">
        <v>0</v>
      </c>
    </row>
    <row r="23873" ht="15.75" customHeight="1" spans="1:2">
      <c r="A23873" s="3" t="str">
        <f>IFERROR(__xludf.DUMMYFUNCTION("GOOGLETRANSLATE(A23873,""en"",""pt"")"),"Scans confuso após a digitalização prolongado. função Auto endireitar precisa de ajuste.")</f>
        <v>Scans confuso após a digitalização prolongado. função Auto endireitar precisa de ajuste.</v>
      </c>
      <c r="B23873" s="3">
        <v>0</v>
      </c>
    </row>
    <row r="23874" ht="15.75" customHeight="1" spans="1:2">
      <c r="A23874" s="3" t="str">
        <f>IFERROR(__xludf.DUMMYFUNCTION("GOOGLETRANSLATE(A23874,""en"",""pt"")"),"Nenhum")</f>
        <v>Nenhum</v>
      </c>
      <c r="B23874" s="3">
        <v>0</v>
      </c>
    </row>
    <row r="23875" ht="15.75" customHeight="1" spans="1:2">
      <c r="A23875" s="3" t="str">
        <f>IFERROR(__xludf.DUMMYFUNCTION("GOOGLETRANSLATE(A23875,""en"",""pt"")"),"Tende a obter-se offline.")</f>
        <v>Tende a obter-se offline.</v>
      </c>
      <c r="B23875" s="3">
        <v>0</v>
      </c>
    </row>
    <row r="23876" ht="15.75" customHeight="1" spans="1:2">
      <c r="A23876" s="3" t="str">
        <f>IFERROR(__xludf.DUMMYFUNCTION("GOOGLETRANSLATE(A23876,""en"",""pt"")"),"aleijado sob XP; mau serviço ao cliente on-line; nenhum cabo USB")</f>
        <v>aleijado sob XP; mau serviço ao cliente on-line; nenhum cabo USB</v>
      </c>
      <c r="B23876" s="3">
        <v>0</v>
      </c>
    </row>
    <row r="23877" ht="15.75" customHeight="1" spans="1:2">
      <c r="A23877" s="3" t="str">
        <f>IFERROR(__xludf.DUMMYFUNCTION("GOOGLETRANSLATE(A23877,""en"",""pt"")"),"Não que eu estou ciente de")</f>
        <v>Não que eu estou ciente de</v>
      </c>
      <c r="B23877" s="3">
        <v>0</v>
      </c>
    </row>
    <row r="23878" ht="15.75" customHeight="1" spans="1:2">
      <c r="A23878" s="3" t="str">
        <f>IFERROR(__xludf.DUMMYFUNCTION("GOOGLETRANSLATE(A23878,""en"",""pt"")"),"Nenhum")</f>
        <v>Nenhum</v>
      </c>
      <c r="B23878" s="3">
        <v>0</v>
      </c>
    </row>
    <row r="23879" ht="15.75" customHeight="1" spans="1:2">
      <c r="A23879" s="3" t="str">
        <f>IFERROR(__xludf.DUMMYFUNCTION("GOOGLETRANSLATE(A23879,""en"",""pt"")"),"tinta se esgota para rápido, os cartuchos de tinta são caros")</f>
        <v>tinta se esgota para rápido, os cartuchos de tinta são caros</v>
      </c>
      <c r="B23879" s="3">
        <v>0</v>
      </c>
    </row>
    <row r="23880" ht="15.75" customHeight="1" spans="1:2">
      <c r="A23880" s="3" t="str">
        <f>IFERROR(__xludf.DUMMYFUNCTION("GOOGLETRANSLATE(A23880,""en"",""pt"")"),"Não confiável e ruim após serviços de vendas da HP e Staple")</f>
        <v>Não confiável e ruim após serviços de vendas da HP e Staple</v>
      </c>
      <c r="B23880" s="3">
        <v>0</v>
      </c>
    </row>
    <row r="23881" ht="15.75" customHeight="1" spans="1:2">
      <c r="A23881" s="3" t="str">
        <f>IFERROR(__xludf.DUMMYFUNCTION("GOOGLETRANSLATE(A23881,""en"",""pt"")"),"Nada até agora.")</f>
        <v>Nada até agora.</v>
      </c>
      <c r="B23881" s="3">
        <v>0</v>
      </c>
    </row>
    <row r="23882" ht="15.75" customHeight="1" spans="1:2">
      <c r="A23882" s="3" t="str">
        <f>IFERROR(__xludf.DUMMYFUNCTION("GOOGLETRANSLATE(A23882,""en"",""pt"")"),"fotos coloridas não tão nítido como eu esperava (mas não muito ruim)")</f>
        <v>fotos coloridas não tão nítido como eu esperava (mas não muito ruim)</v>
      </c>
      <c r="B23882" s="3">
        <v>0</v>
      </c>
    </row>
    <row r="23883" ht="15.75" customHeight="1" spans="1:2">
      <c r="A23883" s="3" t="str">
        <f>IFERROR(__xludf.DUMMYFUNCTION("GOOGLETRANSLATE(A23883,""en"",""pt"")"),"Apoio é o único queda.")</f>
        <v>Apoio é o único queda.</v>
      </c>
      <c r="B23883" s="3">
        <v>0</v>
      </c>
    </row>
    <row r="23884" ht="15.75" customHeight="1" spans="1:2">
      <c r="A23884" s="3" t="str">
        <f>IFERROR(__xludf.DUMMYFUNCTION("GOOGLETRANSLATE(A23884,""en"",""pt"")"),"não excelente qualidade, alguns problemas de velocidade")</f>
        <v>não excelente qualidade, alguns problemas de velocidade</v>
      </c>
      <c r="B23884" s="3">
        <v>0</v>
      </c>
    </row>
    <row r="23885" ht="15.75" customHeight="1" spans="1:2">
      <c r="A23885" s="3" t="str">
        <f>IFERROR(__xludf.DUMMYFUNCTION("GOOGLETRANSLATE(A23885,""en"",""pt"")"),"Expensive Cartridge")</f>
        <v>Expensive Cartridge</v>
      </c>
      <c r="B23885" s="3">
        <v>0</v>
      </c>
    </row>
    <row r="23886" ht="15.75" customHeight="1" spans="1:2">
      <c r="A23886" s="3" t="str">
        <f>IFERROR(__xludf.DUMMYFUNCTION("GOOGLETRANSLATE(A23886,""en"",""pt"")"),"NENHUM")</f>
        <v>NENHUM</v>
      </c>
      <c r="B23886" s="3">
        <v>0</v>
      </c>
    </row>
    <row r="23887" ht="15.75" customHeight="1" spans="1:2">
      <c r="A23887" s="3" t="str">
        <f>IFERROR(__xludf.DUMMYFUNCTION("GOOGLETRANSLATE(A23887,""en"",""pt"")"),"Pacote de software (ou seja, editor de imagem) é bastante básico e voltado para iniciantes")</f>
        <v>Pacote de software (ou seja, editor de imagem) é bastante básico e voltado para iniciantes</v>
      </c>
      <c r="B23887" s="3">
        <v>0</v>
      </c>
    </row>
    <row r="23888" ht="15.75" customHeight="1" spans="1:2">
      <c r="A23888" s="3" t="str">
        <f>IFERROR(__xludf.DUMMYFUNCTION("GOOGLETRANSLATE(A23888,""en"",""pt"")"),"software OCR é fraco, a impressão é, limitações de tamanho de varredura lenta, nenhum cabo usb.")</f>
        <v>software OCR é fraco, a impressão é, limitações de tamanho de varredura lenta, nenhum cabo usb.</v>
      </c>
      <c r="B23888" s="3">
        <v>0</v>
      </c>
    </row>
    <row r="23889" ht="15.75" customHeight="1" spans="1:2">
      <c r="A23889" s="3" t="str">
        <f>IFERROR(__xludf.DUMMYFUNCTION("GOOGLETRANSLATE(A23889,""en"",""pt"")"),"Não é compatível com Windows XP")</f>
        <v>Não é compatível com Windows XP</v>
      </c>
      <c r="B23889" s="3">
        <v>0</v>
      </c>
    </row>
    <row r="23890" ht="15.75" customHeight="1" spans="1:2">
      <c r="A23890" s="3" t="str">
        <f>IFERROR(__xludf.DUMMYFUNCTION("GOOGLETRANSLATE(A23890,""en"",""pt"")"),"apoio pobres tecnologia, Não funciona com Win98")</f>
        <v>apoio pobres tecnologia, Não funciona com Win98</v>
      </c>
      <c r="B23890" s="3">
        <v>0</v>
      </c>
    </row>
    <row r="23891" ht="15.75" customHeight="1" spans="1:2">
      <c r="A23891" s="3" t="str">
        <f>IFERROR(__xludf.DUMMYFUNCTION("GOOGLETRANSLATE(A23891,""en"",""pt"")"),"Lentos, Padrões Bad")</f>
        <v>Lentos, Padrões Bad</v>
      </c>
      <c r="B23891" s="3">
        <v>0</v>
      </c>
    </row>
    <row r="23892" ht="15.75" customHeight="1" spans="1:2">
      <c r="A23892" s="3" t="str">
        <f>IFERROR(__xludf.DUMMYFUNCTION("GOOGLETRANSLATE(A23892,""en"",""pt"")"),"Nenhum")</f>
        <v>Nenhum</v>
      </c>
      <c r="B23892" s="3">
        <v>0</v>
      </c>
    </row>
    <row r="23893" ht="15.75" customHeight="1" spans="1:2">
      <c r="A23893" s="3" t="str">
        <f>IFERROR(__xludf.DUMMYFUNCTION("GOOGLETRANSLATE(A23893,""en"",""pt"")"),"Aparentemente, não é muito compatível com Windows XP")</f>
        <v>Aparentemente, não é muito compatível com Windows XP</v>
      </c>
      <c r="B23893" s="3">
        <v>0</v>
      </c>
    </row>
    <row r="23894" ht="15.75" customHeight="1" spans="1:2">
      <c r="A23894" s="3" t="str">
        <f>IFERROR(__xludf.DUMMYFUNCTION("GOOGLETRANSLATE(A23894,""en"",""pt"")"),"não é compatível com XP")</f>
        <v>não é compatível com XP</v>
      </c>
      <c r="B23894" s="3">
        <v>0</v>
      </c>
    </row>
    <row r="23895" ht="15.75" customHeight="1" spans="1:2">
      <c r="A23895" s="3" t="str">
        <f>IFERROR(__xludf.DUMMYFUNCTION("GOOGLETRANSLATE(A23895,""en"",""pt"")"),"Não funciona com Windows 2000 Server, mesmo que ele diz que trabalha com 2000")</f>
        <v>Não funciona com Windows 2000 Server, mesmo que ele diz que trabalha com 2000</v>
      </c>
      <c r="B23895" s="3">
        <v>0</v>
      </c>
    </row>
    <row r="23896" ht="15.75" customHeight="1" spans="1:2">
      <c r="A23896" s="3" t="str">
        <f>IFERROR(__xludf.DUMMYFUNCTION("GOOGLETRANSLATE(A23896,""en"",""pt"")"),"Bad produto. não aceitaria um fax. Shakes. Cópias enviesada. Desistências.")</f>
        <v>Bad produto. não aceitaria um fax. Shakes. Cópias enviesada. Desistências.</v>
      </c>
      <c r="B23896" s="3">
        <v>0</v>
      </c>
    </row>
    <row r="23897" ht="15.75" customHeight="1" spans="1:2">
      <c r="A23897" s="3" t="str">
        <f>IFERROR(__xludf.DUMMYFUNCTION("GOOGLETRANSLATE(A23897,""en"",""pt"")"),"Não um monte de opções para a digitalização de velocidade de impressão é um pouco lento.")</f>
        <v>Não um monte de opções para a digitalização de velocidade de impressão é um pouco lento.</v>
      </c>
      <c r="B23897" s="3">
        <v>0</v>
      </c>
    </row>
    <row r="23898" ht="15.75" customHeight="1" spans="1:2">
      <c r="A23898" s="3" t="str">
        <f>IFERROR(__xludf.DUMMYFUNCTION("GOOGLETRANSLATE(A23898,""en"",""pt"")"),"Grande. pacote de software muito básico. Ampla gama de preços.")</f>
        <v>Grande. pacote de software muito básico. Ampla gama de preços.</v>
      </c>
      <c r="B23898" s="3">
        <v>0</v>
      </c>
    </row>
    <row r="23899" ht="15.75" customHeight="1" spans="1:2">
      <c r="A23899" s="3" t="str">
        <f>IFERROR(__xludf.DUMMYFUNCTION("GOOGLETRANSLATE(A23899,""en"",""pt"")"),"pode ser barulhento")</f>
        <v>pode ser barulhento</v>
      </c>
      <c r="B23899" s="3">
        <v>0</v>
      </c>
    </row>
    <row r="23900" ht="15.75" customHeight="1" spans="1:2">
      <c r="A23900" s="3" t="str">
        <f>IFERROR(__xludf.DUMMYFUNCTION("GOOGLETRANSLATE(A23900,""en"",""pt"")"),"bandeja de papel pobre")</f>
        <v>bandeja de papel pobre</v>
      </c>
      <c r="B23900" s="3">
        <v>0</v>
      </c>
    </row>
    <row r="23901" ht="15.75" customHeight="1" spans="1:2">
      <c r="A23901" s="3" t="str">
        <f>IFERROR(__xludf.DUMMYFUNCTION("GOOGLETRANSLATE(A23901,""en"",""pt"")"),"bandeja de papel fino")</f>
        <v>bandeja de papel fino</v>
      </c>
      <c r="B23901" s="3">
        <v>0</v>
      </c>
    </row>
    <row r="23902" ht="15.75" customHeight="1" spans="1:2">
      <c r="A23902" s="3" t="str">
        <f>IFERROR(__xludf.DUMMYFUNCTION("GOOGLETRANSLATE(A23902,""en"",""pt"")"),"Leva algum tempo para impressão, só imprime 4x6")</f>
        <v>Leva algum tempo para impressão, só imprime 4x6</v>
      </c>
      <c r="B23902" s="3">
        <v>0</v>
      </c>
    </row>
    <row r="23903" ht="15.75" customHeight="1" spans="1:2">
      <c r="A23903" s="3" t="str">
        <f>IFERROR(__xludf.DUMMYFUNCTION("GOOGLETRANSLATE(A23903,""en"",""pt"")"),"Foto bandeja quebrou facilmente.")</f>
        <v>Foto bandeja quebrou facilmente.</v>
      </c>
      <c r="B23903" s="3">
        <v>0</v>
      </c>
    </row>
    <row r="23904" ht="15.75" customHeight="1" spans="1:2">
      <c r="A23904" s="3" t="str">
        <f>IFERROR(__xludf.DUMMYFUNCTION("GOOGLETRANSLATE(A23904,""en"",""pt"")"),"Apenas 4x6 impressões. Sem tela de visualização.")</f>
        <v>Apenas 4x6 impressões. Sem tela de visualização.</v>
      </c>
      <c r="B23904" s="3">
        <v>0</v>
      </c>
    </row>
    <row r="23905" ht="15.75" customHeight="1" spans="1:2">
      <c r="A23905" s="3" t="str">
        <f>IFERROR(__xludf.DUMMYFUNCTION("GOOGLETRANSLATE(A23905,""en"",""pt"")"),"Cuidado com o custo de suprimentos!")</f>
        <v>Cuidado com o custo de suprimentos!</v>
      </c>
      <c r="B23905" s="3">
        <v>0</v>
      </c>
    </row>
    <row r="23906" ht="15.75" customHeight="1" spans="1:2">
      <c r="A23906" s="3" t="str">
        <f>IFERROR(__xludf.DUMMYFUNCTION("GOOGLETRANSLATE(A23906,""en"",""pt"")"),"O 8 1/2 X 11 é o mesmo preço")</f>
        <v>O 8 1/2 X 11 é o mesmo preço</v>
      </c>
      <c r="B23906" s="3">
        <v>0</v>
      </c>
    </row>
    <row r="23907" ht="15.75" customHeight="1" spans="1:2">
      <c r="A23907" s="3" t="str">
        <f>IFERROR(__xludf.DUMMYFUNCTION("GOOGLETRANSLATE(A23907,""en"",""pt"")"),"Printer causando BSOD com Win98!")</f>
        <v>Printer causando BSOD com Win98!</v>
      </c>
      <c r="B23907" s="3">
        <v>0</v>
      </c>
    </row>
    <row r="23908" ht="15.75" customHeight="1" spans="1:2">
      <c r="A23908" s="3" t="str">
        <f>IFERROR(__xludf.DUMMYFUNCTION("GOOGLETRANSLATE(A23908,""en"",""pt"")"),"os cartuchos de tinta dispendiosos")</f>
        <v>os cartuchos de tinta dispendiosos</v>
      </c>
      <c r="B23908" s="3">
        <v>0</v>
      </c>
    </row>
    <row r="23909" ht="15.75" customHeight="1" spans="1:2">
      <c r="A23909" s="3" t="str">
        <f>IFERROR(__xludf.DUMMYFUNCTION("GOOGLETRANSLATE(A23909,""en"",""pt"")"),"Ink caro e Papel")</f>
        <v>Ink caro e Papel</v>
      </c>
      <c r="B23909" s="3">
        <v>0</v>
      </c>
    </row>
    <row r="23910" ht="15.75" customHeight="1" spans="1:2">
      <c r="A23910" s="3" t="str">
        <f>IFERROR(__xludf.DUMMYFUNCTION("GOOGLETRANSLATE(A23910,""en"",""pt"")"),"Imprime apenas 4x6 fotos ou menores")</f>
        <v>Imprime apenas 4x6 fotos ou menores</v>
      </c>
      <c r="B23910" s="3">
        <v>0</v>
      </c>
    </row>
    <row r="23911" ht="15.75" customHeight="1" spans="1:2">
      <c r="A23911" s="3" t="str">
        <f>IFERROR(__xludf.DUMMYFUNCTION("GOOGLETRANSLATE(A23911,""en"",""pt"")"),"Bandeja de papel")</f>
        <v>Bandeja de papel</v>
      </c>
      <c r="B23911" s="3">
        <v>0</v>
      </c>
    </row>
    <row r="23912" ht="15.75" customHeight="1" spans="1:2">
      <c r="A23912" s="3" t="str">
        <f>IFERROR(__xludf.DUMMYFUNCTION("GOOGLETRANSLATE(A23912,""en"",""pt"")"),"Um pouco lento, mas vale a pena esperar. O papel é muito caro!")</f>
        <v>Um pouco lento, mas vale a pena esperar. O papel é muito caro!</v>
      </c>
      <c r="B23912" s="3">
        <v>0</v>
      </c>
    </row>
    <row r="23913" ht="15.75" customHeight="1" spans="1:2">
      <c r="A23913" s="3" t="str">
        <f>IFERROR(__xludf.DUMMYFUNCTION("GOOGLETRANSLATE(A23913,""en"",""pt"")"),"não posso pensar em qualquer")</f>
        <v>não posso pensar em qualquer</v>
      </c>
      <c r="B23913" s="3">
        <v>0</v>
      </c>
    </row>
    <row r="23914" ht="15.75" customHeight="1" spans="1:2">
      <c r="A23914" s="3" t="str">
        <f>IFERROR(__xludf.DUMMYFUNCTION("GOOGLETRANSLATE(A23914,""en"",""pt"")"),"Suporte HP")</f>
        <v>Suporte HP</v>
      </c>
      <c r="B23914" s="3">
        <v>0</v>
      </c>
    </row>
    <row r="23915" ht="15.75" customHeight="1" spans="1:2">
      <c r="A23915" s="3" t="str">
        <f>IFERROR(__xludf.DUMMYFUNCTION("GOOGLETRANSLATE(A23915,""en"",""pt"")"),"Menuing para impressão mídia de cartão é complicado.")</f>
        <v>Menuing para impressão mídia de cartão é complicado.</v>
      </c>
      <c r="B23915" s="3">
        <v>0</v>
      </c>
    </row>
    <row r="23916" ht="15.75" customHeight="1" spans="1:2">
      <c r="A23916" s="3" t="str">
        <f>IFERROR(__xludf.DUMMYFUNCTION("GOOGLETRANSLATE(A23916,""en"",""pt"")"),"unidade não Sony MemoryStick. Primeiro que eu comprei foi DOA.")</f>
        <v>unidade não Sony MemoryStick. Primeiro que eu comprei foi DOA.</v>
      </c>
      <c r="B23916" s="3">
        <v>0</v>
      </c>
    </row>
    <row r="23917" ht="15.75" customHeight="1" spans="1:2">
      <c r="A23917" s="3" t="str">
        <f>IFERROR(__xludf.DUMMYFUNCTION("GOOGLETRANSLATE(A23917,""en"",""pt"")"),"manuseio de papel pobre")</f>
        <v>manuseio de papel pobre</v>
      </c>
      <c r="B23917" s="3">
        <v>0</v>
      </c>
    </row>
    <row r="23918" ht="15.75" customHeight="1" spans="1:2">
      <c r="A23918" s="3" t="str">
        <f>IFERROR(__xludf.DUMMYFUNCTION("GOOGLETRANSLATE(A23918,""en"",""pt"")"),"Não vai demorar photocards Sony.")</f>
        <v>Não vai demorar photocards Sony.</v>
      </c>
      <c r="B23918" s="3">
        <v>0</v>
      </c>
    </row>
    <row r="23919" ht="15.75" customHeight="1" spans="1:2">
      <c r="A23919" s="3" t="str">
        <f>IFERROR(__xludf.DUMMYFUNCTION("GOOGLETRANSLATE(A23919,""en"",""pt"")"),"Fotos imprimir um pouco lento, mas a qualidade compensa isso.")</f>
        <v>Fotos imprimir um pouco lento, mas a qualidade compensa isso.</v>
      </c>
      <c r="B23919" s="3">
        <v>0</v>
      </c>
    </row>
    <row r="23920" ht="15.75" customHeight="1" spans="1:2">
      <c r="A23920" s="3" t="str">
        <f>IFERROR(__xludf.DUMMYFUNCTION("GOOGLETRANSLATE(A23920,""en"",""pt"")"),"impressão lento em maior detalhe.")</f>
        <v>impressão lento em maior detalhe.</v>
      </c>
      <c r="B23920" s="3">
        <v>0</v>
      </c>
    </row>
    <row r="23921" ht="15.75" customHeight="1" spans="1:2">
      <c r="A23921" s="3" t="str">
        <f>IFERROR(__xludf.DUMMYFUNCTION("GOOGLETRANSLATE(A23921,""en"",""pt"")"),"imprimindo um pouco lento")</f>
        <v>imprimindo um pouco lento</v>
      </c>
      <c r="B23921" s="3">
        <v>0</v>
      </c>
    </row>
    <row r="23922" ht="15.75" customHeight="1" spans="1:2">
      <c r="A23922" s="3" t="str">
        <f>IFERROR(__xludf.DUMMYFUNCTION("GOOGLETRANSLATE(A23922,""en"",""pt"")"),"interface de infernalmente lento DOT4, má alimentação de papel, inicialização estendida / tempo de desligamento, tendência de envelopes mangle")</f>
        <v>interface de infernalmente lento DOT4, má alimentação de papel, inicialização estendida / tempo de desligamento, tendência de envelopes mangle</v>
      </c>
      <c r="B23922" s="3">
        <v>0</v>
      </c>
    </row>
    <row r="23923" ht="15.75" customHeight="1" spans="1:2">
      <c r="A23923" s="3" t="str">
        <f>IFERROR(__xludf.DUMMYFUNCTION("GOOGLETRANSLATE(A23923,""en"",""pt"")"),"4x6 imagens são um pouco difícil de imprimir, meu marido tem um menu leitura dificuldade")</f>
        <v>4x6 imagens são um pouco difícil de imprimir, meu marido tem um menu leitura dificuldade</v>
      </c>
      <c r="B23923" s="3">
        <v>0</v>
      </c>
    </row>
    <row r="23924" ht="15.75" customHeight="1" spans="1:2">
      <c r="A23924" s="3" t="str">
        <f>IFERROR(__xludf.DUMMYFUNCTION("GOOGLETRANSLATE(A23924,""en"",""pt"")"),"Nenhum")</f>
        <v>Nenhum</v>
      </c>
      <c r="B23924" s="3">
        <v>0</v>
      </c>
    </row>
    <row r="23925" ht="15.75" customHeight="1" spans="1:2">
      <c r="A23925" s="3" t="str">
        <f>IFERROR(__xludf.DUMMYFUNCTION("GOOGLETRANSLATE(A23925,""en"",""pt"")"),"Ainda à procura de um.")</f>
        <v>Ainda à procura de um.</v>
      </c>
      <c r="B23925" s="3">
        <v>0</v>
      </c>
    </row>
    <row r="23926" ht="15.75" customHeight="1" spans="1:2">
      <c r="A23926" s="3" t="str">
        <f>IFERROR(__xludf.DUMMYFUNCTION("GOOGLETRANSLATE(A23926,""en"",""pt"")"),"Tinta da HP caro, cartão de memória velocidade de upload é muito lento. bandeja de papel é pequeno.")</f>
        <v>Tinta da HP caro, cartão de memória velocidade de upload é muito lento. bandeja de papel é pequeno.</v>
      </c>
      <c r="B23926" s="3">
        <v>0</v>
      </c>
    </row>
    <row r="23927" ht="15.75" customHeight="1" spans="1:2">
      <c r="A23927" s="3" t="str">
        <f>IFERROR(__xludf.DUMMYFUNCTION("GOOGLETRANSLATE(A23927,""en"",""pt"")"),"display LCD extremamente dim")</f>
        <v>display LCD extremamente dim</v>
      </c>
      <c r="B23927" s="3">
        <v>0</v>
      </c>
    </row>
    <row r="23928" ht="15.75" customHeight="1" spans="1:2">
      <c r="A23928" s="3" t="str">
        <f>IFERROR(__xludf.DUMMYFUNCTION("GOOGLETRANSLATE(A23928,""en"",""pt"")"),"problemas de congestionamento!")</f>
        <v>problemas de congestionamento!</v>
      </c>
      <c r="B23928" s="3">
        <v>0</v>
      </c>
    </row>
    <row r="23929" ht="15.75" customHeight="1" spans="1:2">
      <c r="A23929" s="3" t="str">
        <f>IFERROR(__xludf.DUMMYFUNCTION("GOOGLETRANSLATE(A23929,""en"",""pt"")"),"Colocar o guia 4X6 no caminho certo")</f>
        <v>Colocar o guia 4X6 no caminho certo</v>
      </c>
      <c r="B23929" s="3">
        <v>0</v>
      </c>
    </row>
    <row r="23930" ht="15.75" customHeight="1" spans="1:2">
      <c r="A23930" s="3" t="str">
        <f>IFERROR(__xludf.DUMMYFUNCTION("GOOGLETRANSLATE(A23930,""en"",""pt"")"),"Difícil de usar. Não funciona bem com alguns sistemas.")</f>
        <v>Difícil de usar. Não funciona bem com alguns sistemas.</v>
      </c>
      <c r="B23930" s="3">
        <v>0</v>
      </c>
    </row>
    <row r="23931" ht="15.75" customHeight="1" spans="1:2">
      <c r="A23931" s="3" t="str">
        <f>IFERROR(__xludf.DUMMYFUNCTION("GOOGLETRANSLATE(A23931,""en"",""pt"")"),"preço tinta, mostra fora de tinta quando a abundância de esquerda, falhas no computador, muitas vezes")</f>
        <v>preço tinta, mostra fora de tinta quando a abundância de esquerda, falhas no computador, muitas vezes</v>
      </c>
      <c r="B23931" s="3">
        <v>0</v>
      </c>
    </row>
    <row r="23932" ht="15.75" customHeight="1" spans="1:2">
      <c r="A23932" s="3" t="str">
        <f>IFERROR(__xludf.DUMMYFUNCTION("GOOGLETRANSLATE(A23932,""en"",""pt"")"),"Comprar a tinta para ele.")</f>
        <v>Comprar a tinta para ele.</v>
      </c>
      <c r="B23932" s="3">
        <v>0</v>
      </c>
    </row>
    <row r="23933" ht="15.75" customHeight="1" spans="1:2">
      <c r="A23933" s="3" t="str">
        <f>IFERROR(__xludf.DUMMYFUNCTION("GOOGLETRANSLATE(A23933,""en"",""pt"")"),"Nenhum")</f>
        <v>Nenhum</v>
      </c>
      <c r="B23933" s="3">
        <v>0</v>
      </c>
    </row>
    <row r="23934" ht="15.75" customHeight="1" spans="1:2">
      <c r="A23934" s="3" t="str">
        <f>IFERROR(__xludf.DUMMYFUNCTION("GOOGLETRANSLATE(A23934,""en"",""pt"")"),"Dificuldade em reconhecer minha câmera digital Olympus para um download direto.")</f>
        <v>Dificuldade em reconhecer minha câmera digital Olympus para um download direto.</v>
      </c>
      <c r="B23934" s="3">
        <v>0</v>
      </c>
    </row>
    <row r="23935" ht="15.75" customHeight="1" spans="1:2">
      <c r="A23935" s="3" t="str">
        <f>IFERROR(__xludf.DUMMYFUNCTION("GOOGLETRANSLATE(A23935,""en"",""pt"")"),"Software poderia ser melhor.")</f>
        <v>Software poderia ser melhor.</v>
      </c>
      <c r="B23935" s="3">
        <v>0</v>
      </c>
    </row>
    <row r="23936" ht="15.75" customHeight="1" spans="1:2">
      <c r="A23936" s="3" t="str">
        <f>IFERROR(__xludf.DUMMYFUNCTION("GOOGLETRANSLATE(A23936,""en"",""pt"")"),"Quase leitor de cartão de memória flash inútil, não se as impressões molhar.")</f>
        <v>Quase leitor de cartão de memória flash inútil, não se as impressões molhar.</v>
      </c>
      <c r="B23936" s="3">
        <v>0</v>
      </c>
    </row>
    <row r="23937" ht="15.75" customHeight="1" spans="1:2">
      <c r="A23937" s="3" t="str">
        <f>IFERROR(__xludf.DUMMYFUNCTION("GOOGLETRANSLATE(A23937,""en"",""pt"")"),"Caro, qualidade de impressão menos impressionante comparado a Canon / Epson. motoristas muito problemática.")</f>
        <v>Caro, qualidade de impressão menos impressionante comparado a Canon / Epson. motoristas muito problemática.</v>
      </c>
      <c r="B23937" s="3">
        <v>0</v>
      </c>
    </row>
    <row r="23938" ht="15.75" customHeight="1" spans="1:2">
      <c r="A23938" s="3" t="str">
        <f>IFERROR(__xludf.DUMMYFUNCTION("GOOGLETRANSLATE(A23938,""en"",""pt"")"),"Lento, mesmo em trabalhos de impressão normais.")</f>
        <v>Lento, mesmo em trabalhos de impressão normais.</v>
      </c>
      <c r="B23938" s="3">
        <v>0</v>
      </c>
    </row>
    <row r="23939" ht="15.75" customHeight="1" spans="1:2">
      <c r="A23939" s="3" t="str">
        <f>IFERROR(__xludf.DUMMYFUNCTION("GOOGLETRANSLATE(A23939,""en"",""pt"")"),"um pequeno problema imprimir a partir de quark")</f>
        <v>um pequeno problema imprimir a partir de quark</v>
      </c>
      <c r="B23939" s="3">
        <v>0</v>
      </c>
    </row>
    <row r="23940" ht="15.75" customHeight="1" spans="1:2">
      <c r="A23940" s="3" t="str">
        <f>IFERROR(__xludf.DUMMYFUNCTION("GOOGLETRANSLATE(A23940,""en"",""pt"")"),"atendimento ao cliente pedágio; problemas de compatibilidade.")</f>
        <v>atendimento ao cliente pedágio; problemas de compatibilidade.</v>
      </c>
      <c r="B23940" s="3">
        <v>0</v>
      </c>
    </row>
    <row r="23941" ht="15.75" customHeight="1" spans="1:2">
      <c r="A23941" s="3" t="str">
        <f>IFERROR(__xludf.DUMMYFUNCTION("GOOGLETRANSLATE(A23941,""en"",""pt"")"),"Não vi qualquer contras")</f>
        <v>Não vi qualquer contras</v>
      </c>
      <c r="B23941" s="3">
        <v>0</v>
      </c>
    </row>
    <row r="23942" ht="15.75" customHeight="1" spans="1:2">
      <c r="A23942" s="3" t="str">
        <f>IFERROR(__xludf.DUMMYFUNCTION("GOOGLETRANSLATE(A23942,""en"",""pt"")"),"A velocidade não é o que eles dizem e, atolamentos de papel.")</f>
        <v>A velocidade não é o que eles dizem e, atolamentos de papel.</v>
      </c>
      <c r="B23942" s="3">
        <v>0</v>
      </c>
    </row>
    <row r="23943" ht="15.75" customHeight="1" spans="1:2">
      <c r="A23943" s="3" t="str">
        <f>IFERROR(__xludf.DUMMYFUNCTION("GOOGLETRANSLATE(A23943,""en"",""pt"")"),"suporte ao cliente caro")</f>
        <v>suporte ao cliente caro</v>
      </c>
      <c r="B23943" s="3">
        <v>0</v>
      </c>
    </row>
    <row r="23944" ht="15.75" customHeight="1" spans="1:2">
      <c r="A23944" s="3" t="str">
        <f>IFERROR(__xludf.DUMMYFUNCTION("GOOGLETRANSLATE(A23944,""en"",""pt"")"),"Nenhum")</f>
        <v>Nenhum</v>
      </c>
      <c r="B23944" s="3">
        <v>0</v>
      </c>
    </row>
    <row r="23945" ht="15.75" customHeight="1" spans="1:2">
      <c r="A23945" s="3" t="str">
        <f>IFERROR(__xludf.DUMMYFUNCTION("GOOGLETRANSLATE(A23945,""en"",""pt"")"),"substituição de tinta pode ser um pouco caro.")</f>
        <v>substituição de tinta pode ser um pouco caro.</v>
      </c>
      <c r="B23945" s="3">
        <v>0</v>
      </c>
    </row>
    <row r="23946" ht="15.75" customHeight="1" spans="1:2">
      <c r="A23946" s="3" t="str">
        <f>IFERROR(__xludf.DUMMYFUNCTION("GOOGLETRANSLATE(A23946,""en"",""pt"")"),"Nenhum")</f>
        <v>Nenhum</v>
      </c>
      <c r="B23946" s="3">
        <v>0</v>
      </c>
    </row>
    <row r="23947" ht="15.75" customHeight="1" spans="1:2">
      <c r="A23947" s="3" t="str">
        <f>IFERROR(__xludf.DUMMYFUNCTION("GOOGLETRANSLATE(A23947,""en"",""pt"")"),"Nunca realmente usar os leitores de cartões flash")</f>
        <v>Nunca realmente usar os leitores de cartões flash</v>
      </c>
      <c r="B23947" s="3">
        <v>0</v>
      </c>
    </row>
    <row r="23948" ht="15.75" customHeight="1" spans="1:2">
      <c r="A23948" s="3" t="str">
        <f>IFERROR(__xludf.DUMMYFUNCTION("GOOGLETRANSLATE(A23948,""en"",""pt"")"),"instalação do driver pode ser um pouco instruções tricky.Follow ao pé da letra!")</f>
        <v>instalação do driver pode ser um pouco instruções tricky.Follow ao pé da letra!</v>
      </c>
      <c r="B23948" s="3">
        <v>0</v>
      </c>
    </row>
    <row r="23949" ht="15.75" customHeight="1" spans="1:2">
      <c r="A23949" s="3" t="str">
        <f>IFERROR(__xludf.DUMMYFUNCTION("GOOGLETRANSLATE(A23949,""en"",""pt"")"),"Caro, sensor automático às vezes não confiável")</f>
        <v>Caro, sensor automático às vezes não confiável</v>
      </c>
      <c r="B23949" s="3">
        <v>0</v>
      </c>
    </row>
    <row r="23950" ht="15.75" customHeight="1" spans="1:2">
      <c r="A23950" s="3" t="str">
        <f>IFERROR(__xludf.DUMMYFUNCTION("GOOGLETRANSLATE(A23950,""en"",""pt"")"),"Preço inicial, Waster Ink Potencial")</f>
        <v>Preço inicial, Waster Ink Potencial</v>
      </c>
      <c r="B23950" s="3">
        <v>0</v>
      </c>
    </row>
    <row r="23951" ht="15.75" customHeight="1" spans="1:2">
      <c r="A23951" s="3" t="str">
        <f>IFERROR(__xludf.DUMMYFUNCTION("GOOGLETRANSLATE(A23951,""en"",""pt"")"),"Caro")</f>
        <v>Caro</v>
      </c>
      <c r="B23951" s="3">
        <v>0</v>
      </c>
    </row>
    <row r="23952" ht="15.75" customHeight="1" spans="1:2">
      <c r="A23952" s="3" t="str">
        <f>IFERROR(__xludf.DUMMYFUNCTION("GOOGLETRANSLATE(A23952,""en"",""pt"")"),"À base de água tintas?")</f>
        <v>À base de água tintas?</v>
      </c>
      <c r="B23952" s="3">
        <v>0</v>
      </c>
    </row>
    <row r="23953" ht="15.75" customHeight="1" spans="1:2">
      <c r="A23953" s="3" t="str">
        <f>IFERROR(__xludf.DUMMYFUNCTION("GOOGLETRANSLATE(A23953,""en"",""pt"")"),"No high-end de preço para uma impressora de casa.")</f>
        <v>No high-end de preço para uma impressora de casa.</v>
      </c>
      <c r="B23953" s="3">
        <v>0</v>
      </c>
    </row>
    <row r="23954" ht="15.75" customHeight="1" spans="1:2">
      <c r="A23954" s="3" t="str">
        <f>IFERROR(__xludf.DUMMYFUNCTION("GOOGLETRANSLATE(A23954,""en"",""pt"")"),"No high-end de preço para uma impressora de casa.")</f>
        <v>No high-end de preço para uma impressora de casa.</v>
      </c>
      <c r="B23954" s="3">
        <v>0</v>
      </c>
    </row>
    <row r="23955" ht="15.75" customHeight="1" spans="1:2">
      <c r="A23955" s="3" t="str">
        <f>IFERROR(__xludf.DUMMYFUNCTION("GOOGLETRANSLATE(A23955,""en"",""pt"")"),"Impressão lenta em configurações de alta qualidade, tinta caro")</f>
        <v>Impressão lenta em configurações de alta qualidade, tinta caro</v>
      </c>
      <c r="B23955" s="3">
        <v>0</v>
      </c>
    </row>
    <row r="23956" ht="15.75" customHeight="1" spans="1:2">
      <c r="A23956" s="3" t="str">
        <f>IFERROR(__xludf.DUMMYFUNCTION("GOOGLETRANSLATE(A23956,""en"",""pt"")"),"Não é caro se você se lembra que você pode adicionar uma segunda cabeça de impressão em 2 faces.")</f>
        <v>Não é caro se você se lembra que você pode adicionar uma segunda cabeça de impressão em 2 faces.</v>
      </c>
      <c r="B23956" s="3">
        <v>0</v>
      </c>
    </row>
    <row r="23957" ht="15.75" customHeight="1" spans="1:2">
      <c r="A23957" s="3" t="str">
        <f>IFERROR(__xludf.DUMMYFUNCTION("GOOGLETRANSLATE(A23957,""en"",""pt"")"),"alimentação de papel, quatro cores do sistema CMYK, não vai ler arquivos de mídia inteligentes acima de 2Mb")</f>
        <v>alimentação de papel, quatro cores do sistema CMYK, não vai ler arquivos de mídia inteligentes acima de 2Mb</v>
      </c>
      <c r="B23957" s="3">
        <v>0</v>
      </c>
    </row>
    <row r="23958" ht="15.75" customHeight="1" spans="1:2">
      <c r="A23958" s="3" t="str">
        <f>IFERROR(__xludf.DUMMYFUNCTION("GOOGLETRANSLATE(A23958,""en"",""pt"")"),"HP precisa ir para diferentes poços de tinta de cor.")</f>
        <v>HP precisa ir para diferentes poços de tinta de cor.</v>
      </c>
      <c r="B23958" s="3">
        <v>0</v>
      </c>
    </row>
    <row r="23959" ht="15.75" customHeight="1" spans="1:2">
      <c r="A23959" s="3" t="str">
        <f>IFERROR(__xludf.DUMMYFUNCTION("GOOGLETRANSLATE(A23959,""en"",""pt"")"),"Nenhum")</f>
        <v>Nenhum</v>
      </c>
      <c r="B23959" s="3">
        <v>0</v>
      </c>
    </row>
    <row r="23960" ht="15.75" customHeight="1" spans="1:2">
      <c r="A23960" s="3" t="str">
        <f>IFERROR(__xludf.DUMMYFUNCTION("GOOGLETRANSLATE(A23960,""en"",""pt"")"),"Nenhum")</f>
        <v>Nenhum</v>
      </c>
      <c r="B23960" s="3">
        <v>0</v>
      </c>
    </row>
    <row r="23961" ht="15.75" customHeight="1" spans="1:2">
      <c r="A23961" s="3" t="str">
        <f>IFERROR(__xludf.DUMMYFUNCTION("GOOGLETRANSLATE(A23961,""en"",""pt"")"),"Um pouco caro para alguns")</f>
        <v>Um pouco caro para alguns</v>
      </c>
      <c r="B23961" s="3">
        <v>0</v>
      </c>
    </row>
    <row r="23962" ht="15.75" customHeight="1" spans="1:2">
      <c r="A23962" s="3" t="str">
        <f>IFERROR(__xludf.DUMMYFUNCTION("GOOGLETRANSLATE(A23962,""en"",""pt"")"),"Poderia ser considerado caro")</f>
        <v>Poderia ser considerado caro</v>
      </c>
      <c r="B23962" s="3">
        <v>0</v>
      </c>
    </row>
    <row r="23963" ht="15.75" customHeight="1" spans="1:2">
      <c r="A23963" s="3" t="str">
        <f>IFERROR(__xludf.DUMMYFUNCTION("GOOGLETRANSLATE(A23963,""en"",""pt"")"),"Nenhum")</f>
        <v>Nenhum</v>
      </c>
      <c r="B23963" s="3">
        <v>0</v>
      </c>
    </row>
    <row r="23964" ht="15.75" customHeight="1" spans="1:2">
      <c r="A23964" s="3" t="str">
        <f>IFERROR(__xludf.DUMMYFUNCTION("GOOGLETRANSLATE(A23964,""en"",""pt"")"),"Original Cor Tinteiro sai rápido")</f>
        <v>Original Cor Tinteiro sai rápido</v>
      </c>
      <c r="B23964" s="3">
        <v>0</v>
      </c>
    </row>
    <row r="23965" ht="15.75" customHeight="1" spans="1:2">
      <c r="A23965" s="3" t="str">
        <f>IFERROR(__xludf.DUMMYFUNCTION("GOOGLETRANSLATE(A23965,""en"",""pt"")"),"Nenhum")</f>
        <v>Nenhum</v>
      </c>
      <c r="B23965" s="3">
        <v>0</v>
      </c>
    </row>
    <row r="23966" ht="15.75" customHeight="1" spans="1:2">
      <c r="A23966" s="3" t="str">
        <f>IFERROR(__xludf.DUMMYFUNCTION("GOOGLETRANSLATE(A23966,""en"",""pt"")"),"A tinta preta é um cartucho de economia, o módulo de impressão frente e verso faz com que a impressora não flush contra a parede e ocupa mais espaço desk top, o align auto não está alinhado e fazê-lo manualmente é algo que eu ainda não descobri")</f>
        <v>A tinta preta é um cartucho de economia, o módulo de impressão frente e verso faz com que a impressora não flush contra a parede e ocupa mais espaço desk top, o align auto não está alinhado e fazê-lo manualmente é algo que eu ainda não descobri</v>
      </c>
      <c r="B23966" s="3">
        <v>0</v>
      </c>
    </row>
    <row r="23967" ht="15.75" customHeight="1" spans="1:2">
      <c r="A23967" s="3" t="str">
        <f>IFERROR(__xludf.DUMMYFUNCTION("GOOGLETRANSLATE(A23967,""en"",""pt"")"),"quase se auto-destrói ao tentar imprimir Avery videotape etiquetas &amp; amp; transferências t-shirt")</f>
        <v>quase se auto-destrói ao tentar imprimir Avery videotape etiquetas &amp; amp; transferências t-shirt</v>
      </c>
      <c r="B23967" s="3">
        <v>0</v>
      </c>
    </row>
    <row r="23968" ht="15.75" customHeight="1" spans="1:2">
      <c r="A23968" s="3" t="str">
        <f>IFERROR(__xludf.DUMMYFUNCTION("GOOGLETRANSLATE(A23968,""en"",""pt"")"),"usa rápida de tinta, tipo de caro")</f>
        <v>usa rápida de tinta, tipo de caro</v>
      </c>
      <c r="B23968" s="3">
        <v>0</v>
      </c>
    </row>
    <row r="23969" ht="15.75" customHeight="1" spans="1:2">
      <c r="A23969" s="3" t="str">
        <f>IFERROR(__xludf.DUMMYFUNCTION("GOOGLETRANSLATE(A23969,""en"",""pt"")"),"Nenhum")</f>
        <v>Nenhum</v>
      </c>
      <c r="B23969" s="3">
        <v>0</v>
      </c>
    </row>
    <row r="23970" ht="15.75" customHeight="1" spans="1:2">
      <c r="A23970" s="3" t="str">
        <f>IFERROR(__xludf.DUMMYFUNCTION("GOOGLETRANSLATE(A23970,""en"",""pt"")"),"É um pouco lento sobre a impressão!")</f>
        <v>É um pouco lento sobre a impressão!</v>
      </c>
      <c r="B23970" s="3">
        <v>0</v>
      </c>
    </row>
    <row r="23971" ht="15.75" customHeight="1" spans="1:2">
      <c r="A23971" s="3" t="str">
        <f>IFERROR(__xludf.DUMMYFUNCTION("GOOGLETRANSLATE(A23971,""en"",""pt"")"),"Mais lento do que eu gostaria para fotos. Não muito mais.")</f>
        <v>Mais lento do que eu gostaria para fotos. Não muito mais.</v>
      </c>
      <c r="B23971" s="3">
        <v>0</v>
      </c>
    </row>
    <row r="23972" ht="15.75" customHeight="1" spans="1:2">
      <c r="A23972" s="3" t="str">
        <f>IFERROR(__xludf.DUMMYFUNCTION("GOOGLETRANSLATE(A23972,""en"",""pt"")"),"bandejas de papel são um pouco frágil, cartuchos de tinta têm menos volume.")</f>
        <v>bandejas de papel são um pouco frágil, cartuchos de tinta têm menos volume.</v>
      </c>
      <c r="B23972" s="3">
        <v>0</v>
      </c>
    </row>
    <row r="23973" ht="15.75" customHeight="1" spans="1:2">
      <c r="A23973" s="3" t="str">
        <f>IFERROR(__xludf.DUMMYFUNCTION("GOOGLETRANSLATE(A23973,""en"",""pt"")"),"Se você está impaciente, você não vai gostar desta unidade.")</f>
        <v>Se você está impaciente, você não vai gostar desta unidade.</v>
      </c>
      <c r="B23973" s="3">
        <v>0</v>
      </c>
    </row>
    <row r="23974" ht="15.75" customHeight="1" spans="1:2">
      <c r="A23974" s="3" t="str">
        <f>IFERROR(__xludf.DUMMYFUNCTION("GOOGLETRANSLATE(A23974,""en"",""pt"")"),"velocidade de impressão lenta, apenas a ideal em impressões de fotografias, nem margens de 8,5 x 11 polegadas imprime.")</f>
        <v>velocidade de impressão lenta, apenas a ideal em impressões de fotografias, nem margens de 8,5 x 11 polegadas imprime.</v>
      </c>
      <c r="B23974" s="3">
        <v>0</v>
      </c>
    </row>
    <row r="23975" ht="15.75" customHeight="1" spans="1:2">
      <c r="A23975" s="3" t="str">
        <f>IFERROR(__xludf.DUMMYFUNCTION("GOOGLETRANSLATE(A23975,""en"",""pt"")"),"tinteiros pequenos")</f>
        <v>tinteiros pequenos</v>
      </c>
      <c r="B23975" s="3">
        <v>0</v>
      </c>
    </row>
    <row r="23976" ht="15.75" customHeight="1" spans="1:2">
      <c r="A23976" s="3" t="str">
        <f>IFERROR(__xludf.DUMMYFUNCTION("GOOGLETRANSLATE(A23976,""en"",""pt"")"),"impressão um pouco lento.")</f>
        <v>impressão um pouco lento.</v>
      </c>
      <c r="B23976" s="3">
        <v>0</v>
      </c>
    </row>
    <row r="23977" ht="15.75" customHeight="1" spans="1:2">
      <c r="A23977" s="3" t="str">
        <f>IFERROR(__xludf.DUMMYFUNCTION("GOOGLETRANSLATE(A23977,""en"",""pt"")"),"Tem que trocar os cartuchos (preto / foto)")</f>
        <v>Tem que trocar os cartuchos (preto / foto)</v>
      </c>
      <c r="B23977" s="3">
        <v>0</v>
      </c>
    </row>
    <row r="23978" ht="15.75" customHeight="1" spans="1:2">
      <c r="A23978" s="3" t="str">
        <f>IFERROR(__xludf.DUMMYFUNCTION("GOOGLETRANSLATE(A23978,""en"",""pt"")"),"O leitor de cartão inteligente de mídia é lento ao transferir arquivos.")</f>
        <v>O leitor de cartão inteligente de mídia é lento ao transferir arquivos.</v>
      </c>
      <c r="B23978" s="3">
        <v>0</v>
      </c>
    </row>
    <row r="23979" ht="15.75" customHeight="1" spans="1:2">
      <c r="A23979" s="3" t="str">
        <f>IFERROR(__xludf.DUMMYFUNCTION("GOOGLETRANSLATE(A23979,""en"",""pt"")"),"papel espesso tende a ter de ser alimentado lado")</f>
        <v>papel espesso tende a ter de ser alimentado lado</v>
      </c>
      <c r="B23979" s="3">
        <v>0</v>
      </c>
    </row>
    <row r="23980" ht="15.75" customHeight="1" spans="1:2">
      <c r="A23980" s="3" t="str">
        <f>IFERROR(__xludf.DUMMYFUNCTION("GOOGLETRANSLATE(A23980,""en"",""pt"")"),"Pode ser lenta, até manchas de tinta seca (não exclusivo a este impressora).")</f>
        <v>Pode ser lenta, até manchas de tinta seca (não exclusivo a este impressora).</v>
      </c>
      <c r="B23980" s="3">
        <v>0</v>
      </c>
    </row>
    <row r="23981" ht="15.75" customHeight="1" spans="1:2">
      <c r="A23981" s="3" t="str">
        <f>IFERROR(__xludf.DUMMYFUNCTION("GOOGLETRANSLATE(A23981,""en"",""pt"")"),"Não vejo qualquer, mas alguns podem dizer que as velocidades de impressão.")</f>
        <v>Não vejo qualquer, mas alguns podem dizer que as velocidades de impressão.</v>
      </c>
      <c r="B23981" s="3">
        <v>0</v>
      </c>
    </row>
    <row r="23982" ht="15.75" customHeight="1" spans="1:2">
      <c r="A23982" s="3" t="str">
        <f>IFERROR(__xludf.DUMMYFUNCTION("GOOGLETRANSLATE(A23982,""en"",""pt"")"),"tela LCD falta. Só detém dois cartuchos de cada vez, por isso não imprime sete tinta.")</f>
        <v>tela LCD falta. Só detém dois cartuchos de cada vez, por isso não imprime sete tinta.</v>
      </c>
      <c r="B23982" s="3">
        <v>0</v>
      </c>
    </row>
    <row r="23983" ht="15.75" customHeight="1" spans="1:2">
      <c r="A23983" s="3" t="str">
        <f>IFERROR(__xludf.DUMMYFUNCTION("GOOGLETRANSLATE(A23983,""en"",""pt"")"),"Só permite um cartucho preto de cada vez.")</f>
        <v>Só permite um cartucho preto de cada vez.</v>
      </c>
      <c r="B23983" s="3">
        <v>0</v>
      </c>
    </row>
    <row r="23984" ht="15.75" customHeight="1" spans="1:2">
      <c r="A23984" s="3" t="str">
        <f>IFERROR(__xludf.DUMMYFUNCTION("GOOGLETRANSLATE(A23984,""en"",""pt"")"),"Poderia ter um mais robusto, bandeja de papel / saída melhor construído.")</f>
        <v>Poderia ter um mais robusto, bandeja de papel / saída melhor construído.</v>
      </c>
      <c r="B23984" s="3">
        <v>0</v>
      </c>
    </row>
    <row r="23985" ht="15.75" customHeight="1" spans="1:2">
      <c r="A23985" s="3" t="str">
        <f>IFERROR(__xludf.DUMMYFUNCTION("GOOGLETRANSLATE(A23985,""en"",""pt"")"),"leitor de cartão de memória flash notavelmente LENTO.")</f>
        <v>leitor de cartão de memória flash notavelmente LENTO.</v>
      </c>
      <c r="B23985" s="3">
        <v>0</v>
      </c>
    </row>
    <row r="23986" ht="15.75" customHeight="1" spans="1:2">
      <c r="A23986" s="3" t="str">
        <f>IFERROR(__xludf.DUMMYFUNCTION("GOOGLETRANSLATE(A23986,""en"",""pt"")"),"Dificuldade para se alimentar papel fotográfico. Ele vai em algum momento agarrar várias folhas")</f>
        <v>Dificuldade para se alimentar papel fotográfico. Ele vai em algum momento agarrar várias folhas</v>
      </c>
      <c r="B23986" s="3">
        <v>0</v>
      </c>
    </row>
    <row r="23987" ht="15.75" customHeight="1" spans="1:2">
      <c r="A23987" s="3" t="str">
        <f>IFERROR(__xludf.DUMMYFUNCTION("GOOGLETRANSLATE(A23987,""en"",""pt"")"),"Nenhum")</f>
        <v>Nenhum</v>
      </c>
      <c r="B23987" s="3">
        <v>0</v>
      </c>
    </row>
    <row r="23988" ht="15.75" customHeight="1" spans="1:2">
      <c r="A23988" s="3" t="str">
        <f>IFERROR(__xludf.DUMMYFUNCTION("GOOGLETRANSLATE(A23988,""en"",""pt"")"),"algumas partes sentir um pouco frágil, de armazenamento do cartucho pode ser difícil")</f>
        <v>algumas partes sentir um pouco frágil, de armazenamento do cartucho pode ser difícil</v>
      </c>
      <c r="B23988" s="3">
        <v>0</v>
      </c>
    </row>
    <row r="23989" ht="15.75" customHeight="1" spans="1:2">
      <c r="A23989" s="3" t="str">
        <f>IFERROR(__xludf.DUMMYFUNCTION("GOOGLETRANSLATE(A23989,""en"",""pt"")"),"Frágil qualidade de construção. A tinta não resistente à água. Necessidade de mudar cartuchos muitas vezes.")</f>
        <v>Frágil qualidade de construção. A tinta não resistente à água. Necessidade de mudar cartuchos muitas vezes.</v>
      </c>
      <c r="B23989" s="3">
        <v>0</v>
      </c>
    </row>
    <row r="23990" ht="15.75" customHeight="1" spans="1:2">
      <c r="A23990" s="3" t="str">
        <f>IFERROR(__xludf.DUMMYFUNCTION("GOOGLETRANSLATE(A23990,""en"",""pt"")"),"texto média e qualidade gráfica. impressão de fotos papel comum poderia ser melhor. Construção de Qualidade?")</f>
        <v>texto média e qualidade gráfica. impressão de fotos papel comum poderia ser melhor. Construção de Qualidade?</v>
      </c>
      <c r="B23990" s="3">
        <v>0</v>
      </c>
    </row>
    <row r="23991" ht="15.75" customHeight="1" spans="1:2">
      <c r="A23991" s="3" t="str">
        <f>IFERROR(__xludf.DUMMYFUNCTION("GOOGLETRANSLATE(A23991,""en"",""pt"")"),"Nenhum, bem, talvez o custo!")</f>
        <v>Nenhum, bem, talvez o custo!</v>
      </c>
      <c r="B23991" s="3">
        <v>0</v>
      </c>
    </row>
    <row r="23992" ht="15.75" customHeight="1" spans="1:2">
      <c r="A23992" s="3" t="str">
        <f>IFERROR(__xludf.DUMMYFUNCTION("GOOGLETRANSLATE(A23992,""en"",""pt"")"),"Preço, as cores não tão vibrante como outros high-end inkjets foto como Canon S900.")</f>
        <v>Preço, as cores não tão vibrante como outros high-end inkjets foto como Canon S900.</v>
      </c>
      <c r="B23992" s="3">
        <v>0</v>
      </c>
    </row>
    <row r="23993" ht="15.75" customHeight="1" spans="1:2">
      <c r="A23993" s="3" t="str">
        <f>IFERROR(__xludf.DUMMYFUNCTION("GOOGLETRANSLATE(A23993,""en"",""pt"")"),"Nenhum")</f>
        <v>Nenhum</v>
      </c>
      <c r="B23993" s="3">
        <v>0</v>
      </c>
    </row>
    <row r="23994" ht="15.75" customHeight="1" spans="1:2">
      <c r="A23994" s="3" t="str">
        <f>IFERROR(__xludf.DUMMYFUNCTION("GOOGLETRANSLATE(A23994,""en"",""pt"")"),"Realmente nenhum, quando você olha para os resultados")</f>
        <v>Realmente nenhum, quando você olha para os resultados</v>
      </c>
      <c r="B23994" s="3">
        <v>0</v>
      </c>
    </row>
    <row r="23995" ht="15.75" customHeight="1" spans="1:2">
      <c r="A23995" s="3" t="str">
        <f>IFERROR(__xludf.DUMMYFUNCTION("GOOGLETRANSLATE(A23995,""en"",""pt"")"),"tampa da bandeja de papel fino, tinta caro, cores precisam de ajustes de software, duplexer apenas para papel comum")</f>
        <v>tampa da bandeja de papel fino, tinta caro, cores precisam de ajustes de software, duplexer apenas para papel comum</v>
      </c>
      <c r="B23995" s="3">
        <v>0</v>
      </c>
    </row>
    <row r="23996" ht="15.75" customHeight="1" spans="1:2">
      <c r="A23996" s="3" t="str">
        <f>IFERROR(__xludf.DUMMYFUNCTION("GOOGLETRANSLATE(A23996,""en"",""pt"")"),"caro pouquinho para um pouco menos do que a produção de cor perfeita, não inclui cabo USB.")</f>
        <v>caro pouquinho para um pouco menos do que a produção de cor perfeita, não inclui cabo USB.</v>
      </c>
      <c r="B23996" s="3">
        <v>0</v>
      </c>
    </row>
    <row r="23997" ht="15.75" customHeight="1" spans="1:2">
      <c r="A23997" s="3" t="str">
        <f>IFERROR(__xludf.DUMMYFUNCTION("GOOGLETRANSLATE(A23997,""en"",""pt"")"),"As velocidades de impressão são média da indústria. Pode consumir rápido tinta, dependendo de como você habitualmente imprimir.")</f>
        <v>As velocidades de impressão são média da indústria. Pode consumir rápido tinta, dependendo de como você habitualmente imprimir.</v>
      </c>
      <c r="B23997" s="3">
        <v>0</v>
      </c>
    </row>
    <row r="23998" ht="15.75" customHeight="1" spans="1:2">
      <c r="A23998" s="3" t="str">
        <f>IFERROR(__xludf.DUMMYFUNCTION("GOOGLETRANSLATE(A23998,""en"",""pt"")"),"os cartuchos de tinta cara. tempo de acesso lento dos slots de mídia. mau programa de instalação")</f>
        <v>os cartuchos de tinta cara. tempo de acesso lento dos slots de mídia. mau programa de instalação</v>
      </c>
      <c r="B23998" s="3">
        <v>0</v>
      </c>
    </row>
    <row r="23999" ht="15.75" customHeight="1" spans="1:2">
      <c r="A23999" s="3" t="str">
        <f>IFERROR(__xludf.DUMMYFUNCTION("GOOGLETRANSLATE(A23999,""en"",""pt"")"),"pequeno tanque de tinta, bandeja de papel feito barata (eu uso papel legal), e um pacote de software pobres")</f>
        <v>pequeno tanque de tinta, bandeja de papel feito barata (eu uso papel legal), e um pacote de software pobres</v>
      </c>
      <c r="B23999" s="3">
        <v>0</v>
      </c>
    </row>
    <row r="24000" ht="15.75" customHeight="1" spans="1:2">
      <c r="A24000" s="3" t="str">
        <f>IFERROR(__xludf.DUMMYFUNCTION("GOOGLETRANSLATE(A24000,""en"",""pt"")"),"Deve 4x6 de Uso HP Photo Paper para obter 4x6 completa poster! Cartuchos de impressão não é barato!")</f>
        <v>Deve 4x6 de Uso HP Photo Paper para obter 4x6 completa poster! Cartuchos de impressão não é barato!</v>
      </c>
      <c r="B24000" s="3">
        <v>0</v>
      </c>
    </row>
    <row r="24001" ht="15.75" customHeight="1" spans="1:2">
      <c r="A24001" s="3" t="str">
        <f>IFERROR(__xludf.DUMMYFUNCTION("GOOGLETRANSLATE(A24001,""en"",""pt"")"),"Nenhuma no momento.")</f>
        <v>Nenhuma no momento.</v>
      </c>
      <c r="B24001" s="3">
        <v>0</v>
      </c>
    </row>
    <row r="24002" ht="15.75" customHeight="1" spans="1:2">
      <c r="A24002" s="3" t="str">
        <f>IFERROR(__xludf.DUMMYFUNCTION("GOOGLETRANSLATE(A24002,""en"",""pt"")"),"Nenhum")</f>
        <v>Nenhum</v>
      </c>
      <c r="B24002" s="3">
        <v>0</v>
      </c>
    </row>
    <row r="24003" ht="15.75" customHeight="1" spans="1:2">
      <c r="A24003" s="3" t="str">
        <f>IFERROR(__xludf.DUMMYFUNCTION("GOOGLETRANSLATE(A24003,""en"",""pt"")"),"Não vem com um cabo para conectar ao seu computador")</f>
        <v>Não vem com um cabo para conectar ao seu computador</v>
      </c>
      <c r="B24003" s="3">
        <v>0</v>
      </c>
    </row>
    <row r="24004" ht="15.75" customHeight="1" spans="1:2">
      <c r="A24004" s="3" t="str">
        <f>IFERROR(__xludf.DUMMYFUNCTION("GOOGLETRANSLATE(A24004,""en"",""pt"")"),"Apenas 2400 x 1200 dpi, mas para o preço.")</f>
        <v>Apenas 2400 x 1200 dpi, mas para o preço.</v>
      </c>
      <c r="B24004" s="3">
        <v>0</v>
      </c>
    </row>
    <row r="24005" ht="15.75" customHeight="1" spans="1:2">
      <c r="A24005" s="3" t="str">
        <f>IFERROR(__xludf.DUMMYFUNCTION("GOOGLETRANSLATE(A24005,""en"",""pt"")"),"cartuchos de impressão caros")</f>
        <v>cartuchos de impressão caros</v>
      </c>
      <c r="B24005" s="3">
        <v>0</v>
      </c>
    </row>
    <row r="24006" ht="15.75" customHeight="1" spans="1:2">
      <c r="A24006" s="3" t="str">
        <f>IFERROR(__xludf.DUMMYFUNCTION("GOOGLETRANSLATE(A24006,""en"",""pt"")"),"Provavelmente será obsoleto por breve, mas tem grande apoio")</f>
        <v>Provavelmente será obsoleto por breve, mas tem grande apoio</v>
      </c>
      <c r="B24006" s="3">
        <v>0</v>
      </c>
    </row>
    <row r="24007" ht="15.75" customHeight="1" spans="1:2">
      <c r="A24007" s="3" t="str">
        <f>IFERROR(__xludf.DUMMYFUNCTION("GOOGLETRANSLATE(A24007,""en"",""pt"")"),"cor rendition nem sempre é verdade")</f>
        <v>cor rendition nem sempre é verdade</v>
      </c>
      <c r="B24007" s="3">
        <v>0</v>
      </c>
    </row>
    <row r="24008" ht="15.75" customHeight="1" spans="1:2">
      <c r="A24008" s="3" t="str">
        <f>IFERROR(__xludf.DUMMYFUNCTION("GOOGLETRANSLATE(A24008,""en"",""pt"")"),"recargas de cartuchos caro.")</f>
        <v>recargas de cartuchos caro.</v>
      </c>
      <c r="B24008" s="3">
        <v>0</v>
      </c>
    </row>
    <row r="24009" ht="15.75" customHeight="1" spans="1:2">
      <c r="A24009" s="3" t="str">
        <f>IFERROR(__xludf.DUMMYFUNCTION("GOOGLETRANSLATE(A24009,""en"",""pt"")"),"impressões não são resistentes à água")</f>
        <v>impressões não são resistentes à água</v>
      </c>
      <c r="B24009" s="3">
        <v>0</v>
      </c>
    </row>
    <row r="24010" ht="15.75" customHeight="1" spans="1:2">
      <c r="A24010" s="3" t="str">
        <f>IFERROR(__xludf.DUMMYFUNCTION("GOOGLETRANSLATE(A24010,""en"",""pt"")"),"restrições de tamanho de foto")</f>
        <v>restrições de tamanho de foto</v>
      </c>
      <c r="B24010" s="3">
        <v>0</v>
      </c>
    </row>
    <row r="24011" ht="15.75" customHeight="1" spans="1:2">
      <c r="A24011" s="3" t="str">
        <f>IFERROR(__xludf.DUMMYFUNCTION("GOOGLETRANSLATE(A24011,""en"",""pt"")"),"Printer é volumoso. Também funciona melhor com produtos de papel HP.")</f>
        <v>Printer é volumoso. Também funciona melhor com produtos de papel HP.</v>
      </c>
      <c r="B24011" s="3">
        <v>0</v>
      </c>
    </row>
    <row r="24012" ht="15.75" customHeight="1" spans="1:2">
      <c r="A24012" s="3" t="str">
        <f>IFERROR(__xludf.DUMMYFUNCTION("GOOGLETRANSLATE(A24012,""en"",""pt"")"),"Grande. Como enormes. O novo P1000 é muito menor. Nenhum driver Mac, se você se preocupa com Macs.")</f>
        <v>Grande. Como enormes. O novo P1000 é muito menor. Nenhum driver Mac, se você se preocupa com Macs.</v>
      </c>
      <c r="B24012" s="3">
        <v>0</v>
      </c>
    </row>
    <row r="24013" ht="15.75" customHeight="1" spans="1:2">
      <c r="A24013" s="3" t="str">
        <f>IFERROR(__xludf.DUMMYFUNCTION("GOOGLETRANSLATE(A24013,""en"",""pt"")"),"alta manutenção, caro, difícil de encontrar")</f>
        <v>alta manutenção, caro, difícil de encontrar</v>
      </c>
      <c r="B24013" s="3">
        <v>0</v>
      </c>
    </row>
    <row r="24014" ht="15.75" customHeight="1" spans="1:2">
      <c r="A24014" s="3" t="str">
        <f>IFERROR(__xludf.DUMMYFUNCTION("GOOGLETRANSLATE(A24014,""en"",""pt"")"),"um pouco lento")</f>
        <v>um pouco lento</v>
      </c>
      <c r="B24014" s="3">
        <v>0</v>
      </c>
    </row>
    <row r="24015" ht="15.75" customHeight="1" spans="1:2">
      <c r="A24015" s="3" t="str">
        <f>IFERROR(__xludf.DUMMYFUNCTION("GOOGLETRANSLATE(A24015,""en"",""pt"")"),"Lento como um burro, Ink Caro, papel caro")</f>
        <v>Lento como um burro, Ink Caro, papel caro</v>
      </c>
      <c r="B24015" s="3">
        <v>0</v>
      </c>
    </row>
    <row r="24016" ht="15.75" customHeight="1" spans="1:2">
      <c r="A24016" s="3" t="str">
        <f>IFERROR(__xludf.DUMMYFUNCTION("GOOGLETRANSLATE(A24016,""en"",""pt"")"),"Só funciona com algumas versões do Windows. Ink é caro, a velocidade é horrível")</f>
        <v>Só funciona com algumas versões do Windows. Ink é caro, a velocidade é horrível</v>
      </c>
      <c r="B24016" s="3">
        <v>0</v>
      </c>
    </row>
    <row r="24017" ht="15.75" customHeight="1" spans="1:2">
      <c r="A24017" s="3" t="str">
        <f>IFERROR(__xludf.DUMMYFUNCTION("GOOGLETRANSLATE(A24017,""en"",""pt"")"),"Eu esperei muito tempo para obtê-lo!")</f>
        <v>Eu esperei muito tempo para obtê-lo!</v>
      </c>
      <c r="B24017" s="3">
        <v>0</v>
      </c>
    </row>
    <row r="24018" ht="15.75" customHeight="1" spans="1:2">
      <c r="A24018" s="3" t="str">
        <f>IFERROR(__xludf.DUMMYFUNCTION("GOOGLETRANSLATE(A24018,""en"",""pt"")"),"tintas caro. motorista típico impressora HP. Peculiaridades com o modo ""economizador de papel"".")</f>
        <v>tintas caro. motorista típico impressora HP. Peculiaridades com o modo "economizador de papel".</v>
      </c>
      <c r="B24018" s="3">
        <v>0</v>
      </c>
    </row>
    <row r="24019" ht="15.75" customHeight="1" spans="1:2">
      <c r="A24019" s="3" t="str">
        <f>IFERROR(__xludf.DUMMYFUNCTION("GOOGLETRANSLATE(A24019,""en"",""pt"")"),"impressões não Borderless!")</f>
        <v>impressões não Borderless!</v>
      </c>
      <c r="B24019" s="3">
        <v>0</v>
      </c>
    </row>
    <row r="24020" ht="15.75" customHeight="1" spans="1:2">
      <c r="A24020" s="3" t="str">
        <f>IFERROR(__xludf.DUMMYFUNCTION("GOOGLETRANSLATE(A24020,""en"",""pt"")"),"cor BAD. Não Windows XP compatível.")</f>
        <v>cor BAD. Não Windows XP compatível.</v>
      </c>
      <c r="B24020" s="3">
        <v>0</v>
      </c>
    </row>
    <row r="24021" ht="15.75" customHeight="1" spans="1:2">
      <c r="A24021" s="3" t="str">
        <f>IFERROR(__xludf.DUMMYFUNCTION("GOOGLETRANSLATE(A24021,""en"",""pt"")"),"Nada até agora.")</f>
        <v>Nada até agora.</v>
      </c>
      <c r="B24021" s="3">
        <v>0</v>
      </c>
    </row>
    <row r="24022" ht="15.75" customHeight="1" spans="1:2">
      <c r="A24022" s="3" t="str">
        <f>IFERROR(__xludf.DUMMYFUNCTION("GOOGLETRANSLATE(A24022,""en"",""pt"")"),"&amp; Lt; i &amp; gt; difícil de instalar Win98 Driver &amp; lt; / i &amp; gt;")</f>
        <v>&amp; Lt; i &amp; gt; difícil de instalar Win98 Driver &amp; lt; / i &amp; gt;</v>
      </c>
      <c r="B24022" s="3">
        <v>0</v>
      </c>
    </row>
    <row r="24023" ht="15.75" customHeight="1" spans="1:2">
      <c r="A24023" s="3" t="str">
        <f>IFERROR(__xludf.DUMMYFUNCTION("GOOGLETRANSLATE(A24023,""en"",""pt"")"),"nenhum encontrado")</f>
        <v>nenhum encontrado</v>
      </c>
      <c r="B24023" s="3">
        <v>0</v>
      </c>
    </row>
    <row r="24024" ht="15.75" customHeight="1" spans="1:2">
      <c r="A24024" s="3" t="str">
        <f>IFERROR(__xludf.DUMMYFUNCTION("GOOGLETRANSLATE(A24024,""en"",""pt"")"),"Cartuchos de tinta são muito caros")</f>
        <v>Cartuchos de tinta são muito caros</v>
      </c>
      <c r="B24024" s="3">
        <v>0</v>
      </c>
    </row>
    <row r="24025" ht="15.75" customHeight="1" spans="1:2">
      <c r="A24025" s="3" t="str">
        <f>IFERROR(__xludf.DUMMYFUNCTION("GOOGLETRANSLATE(A24025,""en"",""pt"")"),"Alguns problemas recebendo USB para trabalhar ,, obras motorista OSX mas incompleta.")</f>
        <v>Alguns problemas recebendo USB para trabalhar ,, obras motorista OSX mas incompleta.</v>
      </c>
      <c r="B24025" s="3">
        <v>0</v>
      </c>
    </row>
    <row r="24026" ht="15.75" customHeight="1" spans="1:2">
      <c r="A24026" s="3" t="str">
        <f>IFERROR(__xludf.DUMMYFUNCTION("GOOGLETRANSLATE(A24026,""en"",""pt"")"),"erros DOT4_001, atualização do driver")</f>
        <v>erros DOT4_001, atualização do driver</v>
      </c>
      <c r="B24026" s="3">
        <v>0</v>
      </c>
    </row>
    <row r="24027" ht="15.75" customHeight="1" spans="1:2">
      <c r="A24027" s="3" t="str">
        <f>IFERROR(__xludf.DUMMYFUNCTION("GOOGLETRANSLATE(A24027,""en"",""pt"")"),"Retardar ao imprimir fotos em HQ, tinta Caro e necessidade freqüente para substituir")</f>
        <v>Retardar ao imprimir fotos em HQ, tinta Caro e necessidade freqüente para substituir</v>
      </c>
      <c r="B24027" s="3">
        <v>0</v>
      </c>
    </row>
    <row r="24028" ht="15.75" customHeight="1" spans="1:2">
      <c r="A24028" s="3" t="str">
        <f>IFERROR(__xludf.DUMMYFUNCTION("GOOGLETRANSLATE(A24028,""en"",""pt"")"),"Loud, agita toda a minha mesa")</f>
        <v>Loud, agita toda a minha mesa</v>
      </c>
      <c r="B24028" s="3">
        <v>0</v>
      </c>
    </row>
    <row r="24029" ht="15.75" customHeight="1" spans="1:2">
      <c r="A24029" s="3" t="str">
        <f>IFERROR(__xludf.DUMMYFUNCTION("GOOGLETRANSLATE(A24029,""en"",""pt"")"),"Configurar, não gosta Win98")</f>
        <v>Configurar, não gosta Win98</v>
      </c>
      <c r="B24029" s="3">
        <v>0</v>
      </c>
    </row>
    <row r="24030" ht="15.75" customHeight="1" spans="1:2">
      <c r="A24030" s="3" t="str">
        <f>IFERROR(__xludf.DUMMYFUNCTION("GOOGLETRANSLATE(A24030,""en"",""pt"")"),"Nenhum")</f>
        <v>Nenhum</v>
      </c>
      <c r="B24030" s="3">
        <v>0</v>
      </c>
    </row>
    <row r="24031" ht="15.75" customHeight="1" spans="1:2">
      <c r="A24031" s="3" t="str">
        <f>IFERROR(__xludf.DUMMYFUNCTION("GOOGLETRANSLATE(A24031,""en"",""pt"")"),"Custo dos cartuchos de impressão.")</f>
        <v>Custo dos cartuchos de impressão.</v>
      </c>
      <c r="B24031" s="3">
        <v>0</v>
      </c>
    </row>
    <row r="24032" ht="15.75" customHeight="1" spans="1:2">
      <c r="A24032" s="3" t="str">
        <f>IFERROR(__xludf.DUMMYFUNCTION("GOOGLETRANSLATE(A24032,""en"",""pt"")"),"atolamentos de papel em algumas impressoras, não mina a rara")</f>
        <v>atolamentos de papel em algumas impressoras, não mina a rara</v>
      </c>
      <c r="B24032" s="3">
        <v>0</v>
      </c>
    </row>
    <row r="24033" ht="15.75" customHeight="1" spans="1:2">
      <c r="A24033" s="3" t="str">
        <f>IFERROR(__xludf.DUMMYFUNCTION("GOOGLETRANSLATE(A24033,""en"",""pt"")"),"apenas algumas câmeras trabalhar com dispositivo de infravermelho")</f>
        <v>apenas algumas câmeras trabalhar com dispositivo de infravermelho</v>
      </c>
      <c r="B24033" s="3">
        <v>0</v>
      </c>
    </row>
    <row r="24034" ht="15.75" customHeight="1" spans="1:2">
      <c r="A24034" s="3" t="str">
        <f>IFERROR(__xludf.DUMMYFUNCTION("GOOGLETRANSLATE(A24034,""en"",""pt"")"),"Grande. Toma-se um monte de espaço na minha mesa embora.")</f>
        <v>Grande. Toma-se um monte de espaço na minha mesa embora.</v>
      </c>
      <c r="B24034" s="3">
        <v>0</v>
      </c>
    </row>
    <row r="24035" ht="15.75" customHeight="1" spans="1:2">
      <c r="A24035" s="3" t="str">
        <f>IFERROR(__xludf.DUMMYFUNCTION("GOOGLETRANSLATE(A24035,""en"",""pt"")"),"painel de controlo mais complicado")</f>
        <v>painel de controlo mais complicado</v>
      </c>
      <c r="B24035" s="3">
        <v>0</v>
      </c>
    </row>
    <row r="24036" ht="15.75" customHeight="1" spans="1:2">
      <c r="A24036" s="3" t="str">
        <f>IFERROR(__xludf.DUMMYFUNCTION("GOOGLETRANSLATE(A24036,""en"",""pt"")"),"Relativamente lento, papel brilhante pode sair caro.")</f>
        <v>Relativamente lento, papel brilhante pode sair caro.</v>
      </c>
      <c r="B24036" s="3">
        <v>0</v>
      </c>
    </row>
    <row r="24037" ht="15.75" customHeight="1" spans="1:2">
      <c r="A24037" s="3" t="str">
        <f>IFERROR(__xludf.DUMMYFUNCTION("GOOGLETRANSLATE(A24037,""en"",""pt"")"),"difícil de acreditar, não encontrou nenhuma")</f>
        <v>difícil de acreditar, não encontrou nenhuma</v>
      </c>
      <c r="B24037" s="3">
        <v>0</v>
      </c>
    </row>
    <row r="24038" ht="15.75" customHeight="1" spans="1:2">
      <c r="A24038" s="3" t="str">
        <f>IFERROR(__xludf.DUMMYFUNCTION("GOOGLETRANSLATE(A24038,""en"",""pt"")"),"Bandeja de papel em queda não puxa para fora.")</f>
        <v>Bandeja de papel em queda não puxa para fora.</v>
      </c>
      <c r="B24038" s="3">
        <v>0</v>
      </c>
    </row>
    <row r="24039" ht="15.75" customHeight="1" spans="1:2">
      <c r="A24039" s="3" t="str">
        <f>IFERROR(__xludf.DUMMYFUNCTION("GOOGLETRANSLATE(A24039,""en"",""pt"")"),"driver do Windows 2000 é muito ruim, espero que ele foi atualizado.")</f>
        <v>driver do Windows 2000 é muito ruim, espero que ele foi atualizado.</v>
      </c>
      <c r="B24039" s="3">
        <v>0</v>
      </c>
    </row>
    <row r="24040" ht="15.75" customHeight="1" spans="1:2">
      <c r="A24040" s="3" t="str">
        <f>IFERROR(__xludf.DUMMYFUNCTION("GOOGLETRANSLATE(A24040,""en"",""pt"")"),"Mais caro do que outros &amp; amp; quot; casa &amp; amp; quot; impressoras, difícil de encontrar em estoque, design elegante pode parecer fora de lugar com os seus outros componentes chato")</f>
        <v>Mais caro do que outros &amp; amp; quot; casa &amp; amp; quot; impressoras, difícil de encontrar em estoque, design elegante pode parecer fora de lugar com os seus outros componentes chato</v>
      </c>
      <c r="B24040" s="3">
        <v>0</v>
      </c>
    </row>
    <row r="24041" ht="15.75" customHeight="1" spans="1:2">
      <c r="A24041" s="3" t="str">
        <f>IFERROR(__xludf.DUMMYFUNCTION("GOOGLETRANSLATE(A24041,""en"",""pt"")"),"aplicação limitada")</f>
        <v>aplicação limitada</v>
      </c>
      <c r="B24041" s="3">
        <v>0</v>
      </c>
    </row>
    <row r="24042" ht="15.75" customHeight="1" spans="1:2">
      <c r="A24042" s="3" t="str">
        <f>IFERROR(__xludf.DUMMYFUNCTION("GOOGLETRANSLATE(A24042,""en"",""pt"")"),"Win 98 out incompatível do caixa, tinta é muito caro.")</f>
        <v>Win 98 out incompatível do caixa, tinta é muito caro.</v>
      </c>
      <c r="B24042" s="3">
        <v>0</v>
      </c>
    </row>
    <row r="24043" ht="15.75" customHeight="1" spans="1:2">
      <c r="A24043" s="3" t="str">
        <f>IFERROR(__xludf.DUMMYFUNCTION("GOOGLETRANSLATE(A24043,""en"",""pt"")"),"Um pouco caro se você não planeja imprimir muitas fotos")</f>
        <v>Um pouco caro se você não planeja imprimir muitas fotos</v>
      </c>
      <c r="B24043" s="3">
        <v>0</v>
      </c>
    </row>
    <row r="24044" ht="15.75" customHeight="1" spans="1:2">
      <c r="A24044" s="3" t="str">
        <f>IFERROR(__xludf.DUMMYFUNCTION("GOOGLETRANSLATE(A24044,""en"",""pt"")"),"cartucho de tinta preto acabar, por vezes,")</f>
        <v>cartucho de tinta preto acabar, por vezes,</v>
      </c>
      <c r="B24044" s="3">
        <v>0</v>
      </c>
    </row>
    <row r="24045" ht="15.75" customHeight="1" spans="1:2">
      <c r="A24045" s="3" t="str">
        <f>IFERROR(__xludf.DUMMYFUNCTION("GOOGLETRANSLATE(A24045,""en"",""pt"")"),"Usa um monte de recursos do computador, fotos exigir ajustes para a melhor qualidade")</f>
        <v>Usa um monte de recursos do computador, fotos exigir ajustes para a melhor qualidade</v>
      </c>
      <c r="B24045" s="3">
        <v>0</v>
      </c>
    </row>
    <row r="24046" ht="15.75" customHeight="1" spans="1:2">
      <c r="A24046" s="3" t="str">
        <f>IFERROR(__xludf.DUMMYFUNCTION("GOOGLETRANSLATE(A24046,""en"",""pt"")"),"A tinta HP ainda é muito caro")</f>
        <v>A tinta HP ainda é muito caro</v>
      </c>
      <c r="B24046" s="3">
        <v>0</v>
      </c>
    </row>
    <row r="24047" ht="15.75" customHeight="1" spans="1:2">
      <c r="A24047" s="3" t="str">
        <f>IFERROR(__xludf.DUMMYFUNCTION("GOOGLETRANSLATE(A24047,""en"",""pt"")"),"Caro")</f>
        <v>Caro</v>
      </c>
      <c r="B24047" s="3">
        <v>0</v>
      </c>
    </row>
    <row r="24048" ht="15.75" customHeight="1" spans="1:2">
      <c r="A24048" s="3" t="str">
        <f>IFERROR(__xludf.DUMMYFUNCTION("GOOGLETRANSLATE(A24048,""en"",""pt"")"),"problema de fabricação")</f>
        <v>problema de fabricação</v>
      </c>
      <c r="B24048" s="3">
        <v>0</v>
      </c>
    </row>
    <row r="24049" ht="15.75" customHeight="1" spans="1:2">
      <c r="A24049" s="3" t="str">
        <f>IFERROR(__xludf.DUMMYFUNCTION("GOOGLETRANSLATE(A24049,""en"",""pt"")"),"preço profunda")</f>
        <v>preço profunda</v>
      </c>
      <c r="B24049" s="3">
        <v>0</v>
      </c>
    </row>
    <row r="24050" ht="15.75" customHeight="1" spans="1:2">
      <c r="A24050" s="3" t="str">
        <f>IFERROR(__xludf.DUMMYFUNCTION("GOOGLETRANSLATE(A24050,""en"",""pt"")"),"bandeja problemático foto; leitor de cartão lento")</f>
        <v>bandeja problemático foto; leitor de cartão lento</v>
      </c>
      <c r="B24050" s="3">
        <v>0</v>
      </c>
    </row>
    <row r="24051" ht="15.75" customHeight="1" spans="1:2">
      <c r="A24051" s="3" t="str">
        <f>IFERROR(__xludf.DUMMYFUNCTION("GOOGLETRANSLATE(A24051,""en"",""pt"")"),"Bolada etiqueta de preço.")</f>
        <v>Bolada etiqueta de preço.</v>
      </c>
      <c r="B24051" s="3">
        <v>0</v>
      </c>
    </row>
    <row r="24052" ht="15.75" customHeight="1" spans="1:2">
      <c r="A24052" s="3" t="str">
        <f>IFERROR(__xludf.DUMMYFUNCTION("GOOGLETRANSLATE(A24052,""en"",""pt"")"),"A instalação foi muito duro. mecanismo um pouco inconsistente desenho")</f>
        <v>A instalação foi muito duro. mecanismo um pouco inconsistente desenho</v>
      </c>
      <c r="B24052" s="3">
        <v>0</v>
      </c>
    </row>
    <row r="24053" ht="15.75" customHeight="1" spans="1:2">
      <c r="A24053" s="3" t="str">
        <f>IFERROR(__xludf.DUMMYFUNCTION("GOOGLETRANSLATE(A24053,""en"",""pt"")"),"Um pouco lento, mas isso não importa")</f>
        <v>Um pouco lento, mas isso não importa</v>
      </c>
      <c r="B24053" s="3">
        <v>0</v>
      </c>
    </row>
    <row r="24054" ht="15.75" customHeight="1" spans="1:2">
      <c r="A24054" s="3" t="str">
        <f>IFERROR(__xludf.DUMMYFUNCTION("GOOGLETRANSLATE(A24054,""en"",""pt"")"),"Ele quebrou a primeira vez que eu tentei")</f>
        <v>Ele quebrou a primeira vez que eu tentei</v>
      </c>
      <c r="B24054" s="3">
        <v>0</v>
      </c>
    </row>
    <row r="24055" ht="15.75" customHeight="1" spans="1:2">
      <c r="A24055" s="3" t="str">
        <f>IFERROR(__xludf.DUMMYFUNCTION("GOOGLETRANSLATE(A24055,""en"",""pt"")"),"drivers de impressora no CD inaceitável.")</f>
        <v>drivers de impressora no CD inaceitável.</v>
      </c>
      <c r="B24055" s="3">
        <v>0</v>
      </c>
    </row>
    <row r="24056" ht="15.75" customHeight="1" spans="1:2">
      <c r="A24056" s="3" t="str">
        <f>IFERROR(__xludf.DUMMYFUNCTION("GOOGLETRANSLATE(A24056,""en"",""pt"")"),"tinta caro")</f>
        <v>tinta caro</v>
      </c>
      <c r="B24056" s="3">
        <v>0</v>
      </c>
    </row>
    <row r="24057" ht="15.75" customHeight="1" spans="1:2">
      <c r="A24057" s="3" t="str">
        <f>IFERROR(__xludf.DUMMYFUNCTION("GOOGLETRANSLATE(A24057,""en"",""pt"")"),"Um pouco caro wee")</f>
        <v>Um pouco caro wee</v>
      </c>
      <c r="B24057" s="3">
        <v>0</v>
      </c>
    </row>
    <row r="24058" ht="15.75" customHeight="1" spans="1:2">
      <c r="A24058" s="3" t="str">
        <f>IFERROR(__xludf.DUMMYFUNCTION("GOOGLETRANSLATE(A24058,""en"",""pt"")"),"Não gosta de operar através de outros dispositivos. Sem cabos de conexão paralela ou USB incluído.")</f>
        <v>Não gosta de operar através de outros dispositivos. Sem cabos de conexão paralela ou USB incluído.</v>
      </c>
      <c r="B24058" s="3">
        <v>0</v>
      </c>
    </row>
    <row r="24059" ht="15.75" customHeight="1" spans="1:2">
      <c r="A24059" s="3" t="str">
        <f>IFERROR(__xludf.DUMMYFUNCTION("GOOGLETRANSLATE(A24059,""en"",""pt"")"),"driver para cabo da porta paralela mal escrito, nenhum cabo incluído.")</f>
        <v>driver para cabo da porta paralela mal escrito, nenhum cabo incluído.</v>
      </c>
      <c r="B24059" s="3">
        <v>0</v>
      </c>
    </row>
    <row r="24060" ht="15.75" customHeight="1" spans="1:2">
      <c r="A24060" s="3" t="str">
        <f>IFERROR(__xludf.DUMMYFUNCTION("GOOGLETRANSLATE(A24060,""en"",""pt"")"),"lento; breaks instalação; tinta caro")</f>
        <v>lento; breaks instalação; tinta caro</v>
      </c>
      <c r="B24060" s="3">
        <v>0</v>
      </c>
    </row>
    <row r="24061" ht="15.75" customHeight="1" spans="1:2">
      <c r="A24061" s="3" t="str">
        <f>IFERROR(__xludf.DUMMYFUNCTION("GOOGLETRANSLATE(A24061,""en"",""pt"")"),"os cartuchos de tinta caros, software")</f>
        <v>os cartuchos de tinta caros, software</v>
      </c>
      <c r="B24061" s="3">
        <v>0</v>
      </c>
    </row>
    <row r="24062" ht="15.75" customHeight="1" spans="1:2">
      <c r="A24062" s="3" t="str">
        <f>IFERROR(__xludf.DUMMYFUNCTION("GOOGLETRANSLATE(A24062,""en"",""pt"")"),"Usa um pouco de tinta, envelopes, ocasionalmente jam")</f>
        <v>Usa um pouco de tinta, envelopes, ocasionalmente jam</v>
      </c>
      <c r="B24062" s="3">
        <v>0</v>
      </c>
    </row>
    <row r="24063" ht="15.75" customHeight="1" spans="1:2">
      <c r="A24063" s="3" t="s">
        <v>125</v>
      </c>
      <c r="B24063" s="3">
        <v>0</v>
      </c>
    </row>
    <row r="24064" ht="15.75" customHeight="1" spans="1:2">
      <c r="A24064" s="3" t="s">
        <v>126</v>
      </c>
      <c r="B24064" s="3">
        <v>0</v>
      </c>
    </row>
    <row r="24065" ht="15.75" customHeight="1" spans="1:2">
      <c r="A24065" s="3" t="str">
        <f>IFERROR(__xludf.DUMMYFUNCTION("GOOGLETRANSLATE(A24065,""en"",""pt"")"),"Compotas de vez em quando rasgar o papel, linhas ao imprimir cor de PC.")</f>
        <v>Compotas de vez em quando rasgar o papel, linhas ao imprimir cor de PC.</v>
      </c>
      <c r="B24065" s="3">
        <v>0</v>
      </c>
    </row>
    <row r="24066" ht="15.75" customHeight="1" spans="1:2">
      <c r="A24066" s="3" t="str">
        <f>IFERROR(__xludf.DUMMYFUNCTION("GOOGLETRANSLATE(A24066,""en"",""pt"")"),"Pobre apoio de fotografia de alto brilho, pobres impressões sem margens apoiar &amp; amp; nenhum mecanismo de alisamento para fotos.")</f>
        <v>Pobre apoio de fotografia de alto brilho, pobres impressões sem margens apoiar &amp; amp; nenhum mecanismo de alisamento para fotos.</v>
      </c>
      <c r="B24066" s="3">
        <v>0</v>
      </c>
    </row>
    <row r="24067" ht="15.75" customHeight="1" spans="1:2">
      <c r="A24067" s="3" t="str">
        <f>IFERROR(__xludf.DUMMYFUNCTION("GOOGLETRANSLATE(A24067,""en"",""pt"")"),"Printer morreu depois de 18 meses. Apenas pay option-- $ 423 para o modelo renovado!")</f>
        <v>Printer morreu depois de 18 meses. Apenas pay option-- $ 423 para o modelo renovado!</v>
      </c>
      <c r="B24067" s="3">
        <v>0</v>
      </c>
    </row>
    <row r="24068" ht="15.75" customHeight="1" spans="1:2">
      <c r="A24068" s="3" t="str">
        <f>IFERROR(__xludf.DUMMYFUNCTION("GOOGLETRANSLATE(A24068,""en"",""pt"")"),"Difícil conseguir uma jam fora da parte de trás")</f>
        <v>Difícil conseguir uma jam fora da parte de trás</v>
      </c>
      <c r="B24068" s="3">
        <v>0</v>
      </c>
    </row>
    <row r="24069" ht="15.75" customHeight="1" spans="1:2">
      <c r="A24069" s="3" t="str">
        <f>IFERROR(__xludf.DUMMYFUNCTION("GOOGLETRANSLATE(A24069,""en"",""pt"")"),"Carece de um bom programa de edição de foto")</f>
        <v>Carece de um bom programa de edição de foto</v>
      </c>
      <c r="B24069" s="3">
        <v>0</v>
      </c>
    </row>
    <row r="24070" ht="15.75" customHeight="1" spans="1:2">
      <c r="A24070" s="3" t="str">
        <f>IFERROR(__xludf.DUMMYFUNCTION("GOOGLETRANSLATE(A24070,""en"",""pt"")"),"Não inclui cabo USB ou impressora de porta paralela")</f>
        <v>Não inclui cabo USB ou impressora de porta paralela</v>
      </c>
      <c r="B24070" s="3">
        <v>0</v>
      </c>
    </row>
    <row r="24071" ht="15.75" customHeight="1" spans="1:2">
      <c r="A24071" s="3" t="str">
        <f>IFERROR(__xludf.DUMMYFUNCTION("GOOGLETRANSLATE(A24071,""en"",""pt"")"),"custo ainda é alto")</f>
        <v>custo ainda é alto</v>
      </c>
      <c r="B24071" s="3">
        <v>0</v>
      </c>
    </row>
    <row r="24072" ht="15.75" customHeight="1" spans="1:2">
      <c r="A24072" s="3" t="str">
        <f>IFERROR(__xludf.DUMMYFUNCTION("GOOGLETRANSLATE(A24072,""en"",""pt"")"),"alto custo")</f>
        <v>alto custo</v>
      </c>
      <c r="B24072" s="3">
        <v>0</v>
      </c>
    </row>
    <row r="24073" ht="15.75" customHeight="1" spans="1:2">
      <c r="A24073" s="3" t="str">
        <f>IFERROR(__xludf.DUMMYFUNCTION("GOOGLETRANSLATE(A24073,""en"",""pt"")"),"Eu não tenho nenhum uso para a porta de infravermelhos")</f>
        <v>Eu não tenho nenhum uso para a porta de infravermelhos</v>
      </c>
      <c r="B24073" s="3">
        <v>0</v>
      </c>
    </row>
    <row r="24074" ht="15.75" customHeight="1" spans="1:2">
      <c r="A24074" s="3" t="str">
        <f>IFERROR(__xludf.DUMMYFUNCTION("GOOGLETRANSLATE(A24074,""en"",""pt"")"),"Caro, espero que os custos de cartuchos de tinta se resume em breve.")</f>
        <v>Caro, espero que os custos de cartuchos de tinta se resume em breve.</v>
      </c>
      <c r="B24074" s="3">
        <v>0</v>
      </c>
    </row>
    <row r="24075" ht="15.75" customHeight="1" spans="1:2">
      <c r="A24075" s="3" t="str">
        <f>IFERROR(__xludf.DUMMYFUNCTION("GOOGLETRANSLATE(A24075,""en"",""pt"")"),"Ainda um caro pouco, mas vale a pena.")</f>
        <v>Ainda um caro pouco, mas vale a pena.</v>
      </c>
      <c r="B24075" s="3">
        <v>0</v>
      </c>
    </row>
    <row r="24076" ht="15.75" customHeight="1" spans="1:2">
      <c r="A24076" s="3" t="str">
        <f>IFERROR(__xludf.DUMMYFUNCTION("GOOGLETRANSLATE(A24076,""en"",""pt"")"),"tricolor tanque único, colorfastness, na Exposição à Água")</f>
        <v>tricolor tanque único, colorfastness, na Exposição à Água</v>
      </c>
      <c r="B24076" s="3">
        <v>0</v>
      </c>
    </row>
    <row r="24077" ht="15.75" customHeight="1" spans="1:2">
      <c r="A24077" s="3" t="str">
        <f>IFERROR(__xludf.DUMMYFUNCTION("GOOGLETRANSLATE(A24077,""en"",""pt"")"),"custo dos cartuchos e perda frequente de comunicação com os erros do PC")</f>
        <v>custo dos cartuchos e perda frequente de comunicação com os erros do PC</v>
      </c>
      <c r="B24077" s="3">
        <v>0</v>
      </c>
    </row>
    <row r="24078" ht="15.75" customHeight="1" spans="1:2">
      <c r="A24078" s="3" t="str">
        <f>IFERROR(__xludf.DUMMYFUNCTION("GOOGLETRANSLATE(A24078,""en"",""pt"")"),"Custo da tinta e ligeiras mis alimentações")</f>
        <v>Custo da tinta e ligeiras mis alimentações</v>
      </c>
      <c r="B24078" s="3">
        <v>0</v>
      </c>
    </row>
    <row r="24079" ht="15.75" customHeight="1" spans="1:2">
      <c r="A24079" s="3" t="str">
        <f>IFERROR(__xludf.DUMMYFUNCTION("GOOGLETRANSLATE(A24079,""en"",""pt"")"),"cartuchos de impressora bastante caros")</f>
        <v>cartuchos de impressora bastante caros</v>
      </c>
      <c r="B24079" s="3">
        <v>0</v>
      </c>
    </row>
    <row r="24080" ht="15.75" customHeight="1" spans="1:2">
      <c r="A24080" s="3" t="str">
        <f>IFERROR(__xludf.DUMMYFUNCTION("GOOGLETRANSLATE(A24080,""en"",""pt"")"),"Nomes de botões na parte frontal da impressora um pouco difícil de ler.")</f>
        <v>Nomes de botões na parte frontal da impressora um pouco difícil de ler.</v>
      </c>
      <c r="B24080" s="3">
        <v>0</v>
      </c>
    </row>
    <row r="24081" ht="15.75" customHeight="1" spans="1:2">
      <c r="A24081" s="3" t="str">
        <f>IFERROR(__xludf.DUMMYFUNCTION("GOOGLETRANSLATE(A24081,""en"",""pt"")"),"preço")</f>
        <v>preço</v>
      </c>
      <c r="B24081" s="3">
        <v>0</v>
      </c>
    </row>
    <row r="24082" ht="15.75" customHeight="1" spans="1:2">
      <c r="A24082" s="3" t="str">
        <f>IFERROR(__xludf.DUMMYFUNCTION("GOOGLETRANSLATE(A24082,""en"",""pt"")"),"Não é compatível com Mac.")</f>
        <v>Não é compatível com Mac.</v>
      </c>
      <c r="B24082" s="3">
        <v>0</v>
      </c>
    </row>
    <row r="24083" ht="15.75" customHeight="1" spans="1:2">
      <c r="A24083" s="3" t="str">
        <f>IFERROR(__xludf.DUMMYFUNCTION("GOOGLETRANSLATE(A24083,""en"",""pt"")"),"Não consigo pensar em um ... não em qualquer coisa MAC então eu realmente não me importo que eles não são compatíveis")</f>
        <v>Não consigo pensar em um ... não em qualquer coisa MAC então eu realmente não me importo que eles não são compatíveis</v>
      </c>
      <c r="B24083" s="3">
        <v>0</v>
      </c>
    </row>
    <row r="24084" ht="15.75" customHeight="1" spans="1:2">
      <c r="A24084" s="3" t="str">
        <f>IFERROR(__xludf.DUMMYFUNCTION("GOOGLETRANSLATE(A24084,""en"",""pt"")"),"não poderia instalar")</f>
        <v>não poderia instalar</v>
      </c>
      <c r="B24084" s="3">
        <v>0</v>
      </c>
    </row>
    <row r="24085" ht="15.75" customHeight="1" spans="1:2">
      <c r="A24085" s="3" t="str">
        <f>IFERROR(__xludf.DUMMYFUNCTION("GOOGLETRANSLATE(A24085,""en"",""pt"")"),"Somente para Windows, tem alguns problemas com envelopes alimentação")</f>
        <v>Somente para Windows, tem alguns problemas com envelopes alimentação</v>
      </c>
      <c r="B24085" s="3">
        <v>0</v>
      </c>
    </row>
    <row r="24086" ht="15.75" customHeight="1" spans="1:2">
      <c r="A24086" s="3" t="str">
        <f>IFERROR(__xludf.DUMMYFUNCTION("GOOGLETRANSLATE(A24086,""en"",""pt"")"),"Duplexação valor de US $ 100 ???")</f>
        <v>Duplexação valor de US $ 100 ???</v>
      </c>
      <c r="B24086" s="3">
        <v>0</v>
      </c>
    </row>
    <row r="24087" ht="15.75" customHeight="1" spans="1:2">
      <c r="A24087" s="3" t="str">
        <f>IFERROR(__xludf.DUMMYFUNCTION("GOOGLETRANSLATE(A24087,""en"",""pt"")"),"Eu não consigo pensar em nenhum, eu acho que poderia ser mais barato.")</f>
        <v>Eu não consigo pensar em nenhum, eu acho que poderia ser mais barato.</v>
      </c>
      <c r="B24087" s="3">
        <v>0</v>
      </c>
    </row>
    <row r="24088" ht="15.75" customHeight="1" spans="1:2">
      <c r="A24088" s="3" t="str">
        <f>IFERROR(__xludf.DUMMYFUNCTION("GOOGLETRANSLATE(A24088,""en"",""pt"")"),"suporte técnico horrível, pior suporte técnico sempre!")</f>
        <v>suporte técnico horrível, pior suporte técnico sempre!</v>
      </c>
      <c r="B24088" s="3">
        <v>0</v>
      </c>
    </row>
    <row r="24089" ht="15.75" customHeight="1" spans="1:2">
      <c r="A24089" s="3" t="str">
        <f>IFERROR(__xludf.DUMMYFUNCTION("GOOGLETRANSLATE(A24089,""en"",""pt"")"),"Ao imprimir fotos usa muita tinta - mas eles são ótimas fotos!")</f>
        <v>Ao imprimir fotos usa muita tinta - mas eles são ótimas fotos!</v>
      </c>
      <c r="B24089" s="3">
        <v>0</v>
      </c>
    </row>
    <row r="24090" ht="15.75" customHeight="1" spans="1:2">
      <c r="A24090" s="3" t="str">
        <f>IFERROR(__xludf.DUMMYFUNCTION("GOOGLETRANSLATE(A24090,""en"",""pt"")"),"Explodiu meu Windows 98 para quatro dias")</f>
        <v>Explodiu meu Windows 98 para quatro dias</v>
      </c>
      <c r="B24090" s="3">
        <v>0</v>
      </c>
    </row>
    <row r="24091" ht="15.75" customHeight="1" spans="1:2">
      <c r="A24091" s="3" t="str">
        <f>IFERROR(__xludf.DUMMYFUNCTION("GOOGLETRANSLATE(A24091,""en"",""pt"")"),"??????????????????")</f>
        <v>??????????????????</v>
      </c>
      <c r="B24091" s="3">
        <v>0</v>
      </c>
    </row>
    <row r="24092" ht="15.75" customHeight="1" spans="1:2">
      <c r="A24092" s="3" t="str">
        <f>IFERROR(__xludf.DUMMYFUNCTION("GOOGLETRANSLATE(A24092,""en"",""pt"")"),"nenhum que eu ainda ver")</f>
        <v>nenhum que eu ainda ver</v>
      </c>
      <c r="B24092" s="3">
        <v>0</v>
      </c>
    </row>
    <row r="24093" ht="15.75" customHeight="1" spans="1:2">
      <c r="A24093" s="3" t="str">
        <f>IFERROR(__xludf.DUMMYFUNCTION("GOOGLETRANSLATE(A24093,""en"",""pt"")"),"Caro para operar.")</f>
        <v>Caro para operar.</v>
      </c>
      <c r="B24093" s="3">
        <v>0</v>
      </c>
    </row>
    <row r="24094" ht="15.75" customHeight="1" spans="1:2">
      <c r="A24094" s="3" t="str">
        <f>IFERROR(__xludf.DUMMYFUNCTION("GOOGLETRANSLATE(A24094,""en"",""pt"")"),"Nenhum")</f>
        <v>Nenhum</v>
      </c>
      <c r="B24094" s="3">
        <v>0</v>
      </c>
    </row>
    <row r="24095" ht="15.75" customHeight="1" spans="1:2">
      <c r="A24095" s="3" t="str">
        <f>IFERROR(__xludf.DUMMYFUNCTION("GOOGLETRANSLATE(A24095,""en"",""pt"")"),"A qualidade da foto não muito melhor que o original")</f>
        <v>A qualidade da foto não muito melhor que o original</v>
      </c>
      <c r="B24095" s="3">
        <v>0</v>
      </c>
    </row>
    <row r="24096" ht="15.75" customHeight="1" spans="1:2">
      <c r="A24096" s="3" t="str">
        <f>IFERROR(__xludf.DUMMYFUNCTION("GOOGLETRANSLATE(A24096,""en"",""pt"")"),"um pouco caro para uso doméstico")</f>
        <v>um pouco caro para uso doméstico</v>
      </c>
      <c r="B24096" s="3">
        <v>0</v>
      </c>
    </row>
    <row r="24097" ht="15.75" customHeight="1" spans="1:2">
      <c r="A24097" s="3" t="str">
        <f>IFERROR(__xludf.DUMMYFUNCTION("GOOGLETRANSLATE(A24097,""en"",""pt"")"),"Caro, precisa de um PC rápido")</f>
        <v>Caro, precisa de um PC rápido</v>
      </c>
      <c r="B24097" s="3">
        <v>0</v>
      </c>
    </row>
    <row r="24098" ht="15.75" customHeight="1" spans="1:2">
      <c r="A24098" s="3" t="str">
        <f>IFERROR(__xludf.DUMMYFUNCTION("GOOGLETRANSLATE(A24098,""en"",""pt"")"),"bin papel apenas detém 150 folhas, impressão lento no melhor qualidade, pesado (13 lbs., 15 com a impressora 2 lados add-on), aperta minha posição, nenhum método de pré-visualização para os cartões CompactFlash ou SmartMedia, o Windows necessário para usa"&amp;"r muitas das características especiais (dois s")</f>
        <v>bin papel apenas detém 150 folhas, impressão lento no melhor qualidade, pesado (13 lbs., 15 com a impressora 2 lados add-on), aperta minha posição, nenhum método de pré-visualização para os cartões CompactFlash ou SmartMedia, o Windows necessário para usar muitas das características especiais (dois s</v>
      </c>
      <c r="B24098" s="3">
        <v>0</v>
      </c>
    </row>
    <row r="24099" ht="15.75" customHeight="1" spans="1:2">
      <c r="A24099" s="3" t="str">
        <f>IFERROR(__xludf.DUMMYFUNCTION("GOOGLETRANSLATE(A24099,""en"",""pt"")"),"Deslizando H.P. Apoio, suporte. manuseio envelope pobres.")</f>
        <v>Deslizando H.P. Apoio, suporte. manuseio envelope pobres.</v>
      </c>
      <c r="B24099" s="3">
        <v>0</v>
      </c>
    </row>
    <row r="24100" ht="15.75" customHeight="1" spans="1:2">
      <c r="A24100" s="3" t="str">
        <f>IFERROR(__xludf.DUMMYFUNCTION("GOOGLETRANSLATE(A24100,""en"",""pt"")"),"O cartucho de tinta de cor de grande capacidade é US $ 60+ ...")</f>
        <v>O cartucho de tinta de cor de grande capacidade é US $ 60+ ...</v>
      </c>
      <c r="B24100" s="3">
        <v>0</v>
      </c>
    </row>
    <row r="24101" ht="15.75" customHeight="1" spans="1:2">
      <c r="A24101" s="3" t="str">
        <f>IFERROR(__xludf.DUMMYFUNCTION("GOOGLETRANSLATE(A24101,""en"",""pt"")"),"O preço dos cartuchos e papel, no entanto, ainda é mais barato do que ter fotos desenvolvidos.")</f>
        <v>O preço dos cartuchos e papel, no entanto, ainda é mais barato do que ter fotos desenvolvidos.</v>
      </c>
      <c r="B24101" s="3">
        <v>0</v>
      </c>
    </row>
    <row r="24102" ht="15.75" customHeight="1" spans="1:2">
      <c r="A24102" s="3" t="str">
        <f>IFERROR(__xludf.DUMMYFUNCTION("GOOGLETRANSLATE(A24102,""en"",""pt"")"),"Descontinuado pela HP, apesar de sua tecnologia é o mesmo que o P1000 actualmente disponível.")</f>
        <v>Descontinuado pela HP, apesar de sua tecnologia é o mesmo que o P1000 actualmente disponível.</v>
      </c>
      <c r="B24102" s="3">
        <v>0</v>
      </c>
    </row>
    <row r="24103" ht="15.75" customHeight="1" spans="1:2">
      <c r="A24103" s="3" t="str">
        <f>IFERROR(__xludf.DUMMYFUNCTION("GOOGLETRANSLATE(A24103,""en"",""pt"")"),"Cartuchos de impressão Run Out rápido e são mais de US $ 60 para Grande Capacidade")</f>
        <v>Cartuchos de impressão Run Out rápido e são mais de US $ 60 para Grande Capacidade</v>
      </c>
      <c r="B24103" s="3">
        <v>0</v>
      </c>
    </row>
    <row r="24104" ht="15.75" customHeight="1" spans="1:2">
      <c r="A24104" s="3" t="str">
        <f>IFERROR(__xludf.DUMMYFUNCTION("GOOGLETRANSLATE(A24104,""en"",""pt"")"),"o uso de tinta é uma alta. atolamentos de papel traseira.")</f>
        <v>o uso de tinta é uma alta. atolamentos de papel traseira.</v>
      </c>
      <c r="B24104" s="3">
        <v>0</v>
      </c>
    </row>
    <row r="24105" ht="15.75" customHeight="1" spans="1:2">
      <c r="A24105" s="3" t="str">
        <f>IFERROR(__xludf.DUMMYFUNCTION("GOOGLETRANSLATE(A24105,""en"",""pt"")"),"Os cartuchos são caros! Mas existem alguns lugares que você pode obter ofertas sobre eles.")</f>
        <v>Os cartuchos são caros! Mas existem alguns lugares que você pode obter ofertas sobre eles.</v>
      </c>
      <c r="B24105" s="3">
        <v>0</v>
      </c>
    </row>
    <row r="24106" ht="15.75" customHeight="1" spans="1:2">
      <c r="A24106" s="3" t="str">
        <f>IFERROR(__xludf.DUMMYFUNCTION("GOOGLETRANSLATE(A24106,""en"",""pt"")"),"atolamento de papel, utilização de tinta em excesso, verificação imprópria &amp; amp; dimensionamento")</f>
        <v>atolamento de papel, utilização de tinta em excesso, verificação imprópria &amp; amp; dimensionamento</v>
      </c>
      <c r="B24106" s="3">
        <v>0</v>
      </c>
    </row>
    <row r="24107" ht="15.75" customHeight="1" spans="1:2">
      <c r="A24107" s="3" t="str">
        <f>IFERROR(__xludf.DUMMYFUNCTION("GOOGLETRANSLATE(A24107,""en"",""pt"")"),"nenhum encontrado")</f>
        <v>nenhum encontrado</v>
      </c>
      <c r="B24107" s="3">
        <v>0</v>
      </c>
    </row>
    <row r="24108" ht="15.75" customHeight="1" spans="1:2">
      <c r="A24108" s="3" t="str">
        <f>IFERROR(__xludf.DUMMYFUNCTION("GOOGLETRANSLATE(A24108,""en"",""pt"")"),"HONESTLY nenhum em tudo")</f>
        <v>HONESTLY nenhum em tudo</v>
      </c>
      <c r="B24108" s="3">
        <v>0</v>
      </c>
    </row>
    <row r="24109" ht="15.75" customHeight="1" spans="1:2">
      <c r="A24109" s="3" t="str">
        <f>IFERROR(__xludf.DUMMYFUNCTION("GOOGLETRANSLATE(A24109,""en"",""pt"")"),"Software é executado tipo-de-lenta às vezes. Não é verdade 48 bits de digitalização.")</f>
        <v>Software é executado tipo-de-lenta às vezes. Não é verdade 48 bits de digitalização.</v>
      </c>
      <c r="B24109" s="3">
        <v>0</v>
      </c>
    </row>
    <row r="24110" ht="15.75" customHeight="1" spans="1:2">
      <c r="A24110" s="3" t="str">
        <f>IFERROR(__xludf.DUMMYFUNCTION("GOOGLETRANSLATE(A24110,""en"",""pt"")"),"puxa acidentalmente mais do que uma folha de papel, exigente RAM, problemas com a comunicação com PC")</f>
        <v>puxa acidentalmente mais do que uma folha de papel, exigente RAM, problemas com a comunicação com PC</v>
      </c>
      <c r="B24110" s="3">
        <v>0</v>
      </c>
    </row>
    <row r="24111" ht="15.75" customHeight="1" spans="1:2">
      <c r="A24111" s="3" t="str">
        <f>IFERROR(__xludf.DUMMYFUNCTION("GOOGLETRANSLATE(A24111,""en"",""pt"")"),"Nenhum encontrado.")</f>
        <v>Nenhum encontrado.</v>
      </c>
      <c r="B24111" s="3">
        <v>0</v>
      </c>
    </row>
    <row r="24112" ht="15.75" customHeight="1" spans="1:2">
      <c r="A24112" s="3" t="str">
        <f>IFERROR(__xludf.DUMMYFUNCTION("GOOGLETRANSLATE(A24112,""en"",""pt"")"),"área de solução de problemas do Guia de Referência é muito escasso e apenas cobre problemas de software em detalhe")</f>
        <v>área de solução de problemas do Guia de Referência é muito escasso e apenas cobre problemas de software em detalhe</v>
      </c>
      <c r="B24112" s="3">
        <v>0</v>
      </c>
    </row>
    <row r="24113" ht="15.75" customHeight="1" spans="1:2">
      <c r="A24113" s="3" t="str">
        <f>IFERROR(__xludf.DUMMYFUNCTION("GOOGLETRANSLATE(A24113,""en"",""pt"")"),"Não inclui um cabo USB, impressora é muito leve em comparação a imprimir cabeça")</f>
        <v>Não inclui um cabo USB, impressora é muito leve em comparação a imprimir cabeça</v>
      </c>
      <c r="B24113" s="3">
        <v>0</v>
      </c>
    </row>
    <row r="24114" ht="15.75" customHeight="1" spans="1:2">
      <c r="A24114" s="3" t="str">
        <f>IFERROR(__xludf.DUMMYFUNCTION("GOOGLETRANSLATE(A24114,""en"",""pt"")"),"Após varredura, parte que salva, e permite que você selecione o formato de arquivo, não abrem")</f>
        <v>Após varredura, parte que salva, e permite que você selecione o formato de arquivo, não abrem</v>
      </c>
      <c r="B24114" s="3">
        <v>0</v>
      </c>
    </row>
    <row r="24115" ht="15.75" customHeight="1" spans="1:2">
      <c r="A24115" s="3" t="str">
        <f>IFERROR(__xludf.DUMMYFUNCTION("GOOGLETRANSLATE(A24115,""en"",""pt"")"),"Ligeiramente mais ruidoso do que eu esperava")</f>
        <v>Ligeiramente mais ruidoso do que eu esperava</v>
      </c>
      <c r="B24115" s="3">
        <v>0</v>
      </c>
    </row>
    <row r="24116" ht="15.75" customHeight="1" spans="1:2">
      <c r="A24116" s="3" t="str">
        <f>IFERROR(__xludf.DUMMYFUNCTION("GOOGLETRANSLATE(A24116,""en"",""pt"")"),"Nenhum cabo USB, não irá rede.")</f>
        <v>Nenhum cabo USB, não irá rede.</v>
      </c>
      <c r="B24116" s="3">
        <v>0</v>
      </c>
    </row>
    <row r="24117" ht="15.75" customHeight="1" spans="1:2">
      <c r="A24117" s="3" t="str">
        <f>IFERROR(__xludf.DUMMYFUNCTION("GOOGLETRANSLATE(A24117,""en"",""pt"")"),"software horrível. Buggy. Não é possível personalizar as configurações. No toll free apoio.")</f>
        <v>software horrível. Buggy. Não é possível personalizar as configurações. No toll free apoio.</v>
      </c>
      <c r="B24117" s="3">
        <v>0</v>
      </c>
    </row>
    <row r="24118" ht="15.75" customHeight="1" spans="1:2">
      <c r="A24118" s="3" t="str">
        <f>IFERROR(__xludf.DUMMYFUNCTION("GOOGLETRANSLATE(A24118,""en"",""pt"")"),"Não lidar com faxes e atendedores de chamadas assim.")</f>
        <v>Não lidar com faxes e atendedores de chamadas assim.</v>
      </c>
      <c r="B24118" s="3">
        <v>0</v>
      </c>
    </row>
    <row r="24119" ht="15.75" customHeight="1" spans="1:2">
      <c r="A24119" s="3" t="str">
        <f>IFERROR(__xludf.DUMMYFUNCTION("GOOGLETRANSLATE(A24119,""en"",""pt"")"),"Ampla.")</f>
        <v>Ampla.</v>
      </c>
      <c r="B24119" s="3">
        <v>0</v>
      </c>
    </row>
    <row r="24120" ht="15.75" customHeight="1" spans="1:2">
      <c r="A24120" s="3" t="str">
        <f>IFERROR(__xludf.DUMMYFUNCTION("GOOGLETRANSLATE(A24120,""en"",""pt"")"),"Realmente não há contras para esta impressora")</f>
        <v>Realmente não há contras para esta impressora</v>
      </c>
      <c r="B24120" s="3">
        <v>0</v>
      </c>
    </row>
    <row r="24121" ht="15.75" customHeight="1" spans="1:2">
      <c r="A24121" s="3" t="str">
        <f>IFERROR(__xludf.DUMMYFUNCTION("GOOGLETRANSLATE(A24121,""en"",""pt"")"),"nenhum cabo USB incluído, o computador precisa ser up-to-velocidade")</f>
        <v>nenhum cabo USB incluído, o computador precisa ser up-to-velocidade</v>
      </c>
      <c r="B24121" s="3">
        <v>0</v>
      </c>
    </row>
    <row r="24122" ht="15.75" customHeight="1" spans="1:2">
      <c r="A24122" s="3" t="str">
        <f>IFERROR(__xludf.DUMMYFUNCTION("GOOGLETRANSLATE(A24122,""en"",""pt"")"),"Nenhum")</f>
        <v>Nenhum</v>
      </c>
      <c r="B24122" s="3">
        <v>0</v>
      </c>
    </row>
    <row r="24123" ht="15.75" customHeight="1" spans="1:2">
      <c r="A24123" s="3" t="str">
        <f>IFERROR(__xludf.DUMMYFUNCTION("GOOGLETRANSLATE(A24123,""en"",""pt"")"),"não pode fazer fotos sem borda, preço do cartucho caro")</f>
        <v>não pode fazer fotos sem borda, preço do cartucho caro</v>
      </c>
      <c r="B24123" s="3">
        <v>0</v>
      </c>
    </row>
    <row r="24124" ht="15.75" customHeight="1" spans="1:2">
      <c r="A24124" s="3" t="str">
        <f>IFERROR(__xludf.DUMMYFUNCTION("GOOGLETRANSLATE(A24124,""en"",""pt"")"),"Não é possível usar documentos de tamanho ofício para cópia, fax ou digitalização.")</f>
        <v>Não é possível usar documentos de tamanho ofício para cópia, fax ou digitalização.</v>
      </c>
      <c r="B24124" s="3">
        <v>0</v>
      </c>
    </row>
    <row r="24125" ht="15.75" customHeight="1" spans="1:2">
      <c r="A24125" s="3" t="str">
        <f>IFERROR(__xludf.DUMMYFUNCTION("GOOGLETRANSLATE(A24125,""en"",""pt"")"),"Cartucho de tinta de cor única")</f>
        <v>Cartucho de tinta de cor única</v>
      </c>
      <c r="B24125" s="3">
        <v>0</v>
      </c>
    </row>
    <row r="24126" ht="15.75" customHeight="1" spans="1:2">
      <c r="A24126" s="3" t="str">
        <f>IFERROR(__xludf.DUMMYFUNCTION("GOOGLETRANSLATE(A24126,""en"",""pt"")"),"íngreme exigência tinta, capacidades de envio multi-fax pobres.")</f>
        <v>íngreme exigência tinta, capacidades de envio multi-fax pobres.</v>
      </c>
      <c r="B24126" s="3">
        <v>0</v>
      </c>
    </row>
    <row r="24127" ht="15.75" customHeight="1" spans="1:2">
      <c r="A24127" s="3" t="str">
        <f>IFERROR(__xludf.DUMMYFUNCTION("GOOGLETRANSLATE(A24127,""en"",""pt"")"),"tanques de tinta caros")</f>
        <v>tanques de tinta caros</v>
      </c>
      <c r="B24127" s="3">
        <v>0</v>
      </c>
    </row>
    <row r="24128" ht="15.75" customHeight="1" spans="1:2">
      <c r="A24128" s="3" t="str">
        <f>IFERROR(__xludf.DUMMYFUNCTION("GOOGLETRANSLATE(A24128,""en"",""pt"")"),"Nenhum")</f>
        <v>Nenhum</v>
      </c>
      <c r="B24128" s="3">
        <v>0</v>
      </c>
    </row>
    <row r="24129" ht="15.75" customHeight="1" spans="1:2">
      <c r="A24129" s="3" t="str">
        <f>IFERROR(__xludf.DUMMYFUNCTION("GOOGLETRANSLATE(A24129,""en"",""pt"")"),"Um pouco pesado sobre o uso de tinta mais os cartuchos de tinta são pequenos.")</f>
        <v>Um pouco pesado sobre o uso de tinta mais os cartuchos de tinta são pequenos.</v>
      </c>
      <c r="B24129" s="3">
        <v>0</v>
      </c>
    </row>
    <row r="24130" ht="15.75" customHeight="1" spans="1:2">
      <c r="A24130" s="3" t="str">
        <f>IFERROR(__xludf.DUMMYFUNCTION("GOOGLETRANSLATE(A24130,""en"",""pt"")"),"Nenhum.")</f>
        <v>Nenhum.</v>
      </c>
      <c r="B24130" s="3">
        <v>0</v>
      </c>
    </row>
    <row r="24131" ht="15.75" customHeight="1" spans="1:2">
      <c r="A24131" s="3" t="str">
        <f>IFERROR(__xludf.DUMMYFUNCTION("GOOGLETRANSLATE(A24131,""en"",""pt"")"),"Lento, os controles são difíceis de usar. Sem sucesso Mac ou PC.")</f>
        <v>Lento, os controles são difíceis de usar. Sem sucesso Mac ou PC.</v>
      </c>
      <c r="B24131" s="3">
        <v>0</v>
      </c>
    </row>
    <row r="24132" ht="15.75" customHeight="1" spans="1:2">
      <c r="A24132" s="3" t="str">
        <f>IFERROR(__xludf.DUMMYFUNCTION("GOOGLETRANSLATE(A24132,""en"",""pt"")"),"proibitivo custo de tinta")</f>
        <v>proibitivo custo de tinta</v>
      </c>
      <c r="B24132" s="3">
        <v>0</v>
      </c>
    </row>
    <row r="24133" ht="15.75" customHeight="1" spans="1:2">
      <c r="A24133" s="3" t="str">
        <f>IFERROR(__xludf.DUMMYFUNCTION("GOOGLETRANSLATE(A24133,""en"",""pt"")"),"Nenhum.")</f>
        <v>Nenhum.</v>
      </c>
      <c r="B24133" s="3">
        <v>0</v>
      </c>
    </row>
    <row r="24134" ht="15.75" customHeight="1" spans="1:2">
      <c r="A24134" s="3" t="str">
        <f>IFERROR(__xludf.DUMMYFUNCTION("GOOGLETRANSLATE(A24134,""en"",""pt"")"),"Um pouco barulhento antes da impressão")</f>
        <v>Um pouco barulhento antes da impressão</v>
      </c>
      <c r="B24134" s="3">
        <v>0</v>
      </c>
    </row>
    <row r="24135" ht="15.75" customHeight="1" spans="1:2">
      <c r="A24135" s="3" t="str">
        <f>IFERROR(__xludf.DUMMYFUNCTION("GOOGLETRANSLATE(A24135,""en"",""pt"")"),"useage alto de tinta, software é difícil de instalar corretamente em Win XP")</f>
        <v>useage alto de tinta, software é difícil de instalar corretamente em Win XP</v>
      </c>
      <c r="B24135" s="3">
        <v>0</v>
      </c>
    </row>
    <row r="24136" ht="15.75" customHeight="1" spans="1:2">
      <c r="A24136" s="3" t="str">
        <f>IFERROR(__xludf.DUMMYFUNCTION("GOOGLETRANSLATE(A24136,""en"",""pt"")"),"não funciona, os cartuchos não vai alinhar, e NÃO backlit. Barulhento.")</f>
        <v>não funciona, os cartuchos não vai alinhar, e NÃO backlit. Barulhento.</v>
      </c>
      <c r="B24136" s="3">
        <v>0</v>
      </c>
    </row>
    <row r="24137" ht="15.75" customHeight="1" spans="1:2">
      <c r="A24137" s="3" t="str">
        <f>IFERROR(__xludf.DUMMYFUNCTION("GOOGLETRANSLATE(A24137,""en"",""pt"")"),"Problemas com motorista e cartão CF.")</f>
        <v>Problemas com motorista e cartão CF.</v>
      </c>
      <c r="B24137" s="3">
        <v>0</v>
      </c>
    </row>
    <row r="24138" ht="15.75" customHeight="1" spans="1:2">
      <c r="A24138" s="3" t="str">
        <f>IFERROR(__xludf.DUMMYFUNCTION("GOOGLETRANSLATE(A24138,""en"",""pt"")"),"Imprime lentamente. Come-se tinta muito rapidamente. Escaneia rapidamente.")</f>
        <v>Imprime lentamente. Come-se tinta muito rapidamente. Escaneia rapidamente.</v>
      </c>
      <c r="B24138" s="3">
        <v>0</v>
      </c>
    </row>
    <row r="24139" ht="15.75" customHeight="1" spans="1:2">
      <c r="A24139" s="3" t="str">
        <f>IFERROR(__xludf.DUMMYFUNCTION("GOOGLETRANSLATE(A24139,""en"",""pt"")"),"Cabo USB não incluído.")</f>
        <v>Cabo USB não incluído.</v>
      </c>
      <c r="B24139" s="3">
        <v>0</v>
      </c>
    </row>
    <row r="24140" ht="15.75" customHeight="1" spans="1:2">
      <c r="A24140" s="3" t="str">
        <f>IFERROR(__xludf.DUMMYFUNCTION("GOOGLETRANSLATE(A24140,""en"",""pt"")"),"Tentando imprimir um par de fotos foi um pouco complicado.")</f>
        <v>Tentando imprimir um par de fotos foi um pouco complicado.</v>
      </c>
      <c r="B24140" s="3">
        <v>0</v>
      </c>
    </row>
    <row r="24141" ht="15.75" customHeight="1" spans="1:2">
      <c r="A24141" s="3" t="str">
        <f>IFERROR(__xludf.DUMMYFUNCTION("GOOGLETRANSLATE(A24141,""en"",""pt"")"),"nenhum ainda")</f>
        <v>nenhum ainda</v>
      </c>
      <c r="B24141" s="3">
        <v>0</v>
      </c>
    </row>
    <row r="24142" ht="15.75" customHeight="1" spans="1:2">
      <c r="A24142" s="3" t="str">
        <f>IFERROR(__xludf.DUMMYFUNCTION("GOOGLETRANSLATE(A24142,""en"",""pt"")"),"Nenhum")</f>
        <v>Nenhum</v>
      </c>
      <c r="B24142" s="3">
        <v>0</v>
      </c>
    </row>
    <row r="24143" ht="15.75" customHeight="1" spans="1:2">
      <c r="A24143" s="3" t="str">
        <f>IFERROR(__xludf.DUMMYFUNCTION("GOOGLETRANSLATE(A24143,""en"",""pt"")"),"Um pouco lento, não posso salvar faxes para a memória.")</f>
        <v>Um pouco lento, não posso salvar faxes para a memória.</v>
      </c>
      <c r="B24143" s="3">
        <v>0</v>
      </c>
    </row>
    <row r="24144" ht="15.75" customHeight="1" spans="1:2">
      <c r="A24144" s="3" t="str">
        <f>IFERROR(__xludf.DUMMYFUNCTION("GOOGLETRANSLATE(A24144,""en"",""pt"")"),"Prints lenta no modo Melhor Qualidade, Sem alimentador de bandeja para fax, cabo USB não incluído")</f>
        <v>Prints lenta no modo Melhor Qualidade, Sem alimentador de bandeja para fax, cabo USB não incluído</v>
      </c>
      <c r="B24144" s="3">
        <v>0</v>
      </c>
    </row>
    <row r="24145" ht="15.75" customHeight="1" spans="1:2">
      <c r="A24145" s="3" t="str">
        <f>IFERROR(__xludf.DUMMYFUNCTION("GOOGLETRANSLATE(A24145,""en"",""pt"")"),"Nenhum")</f>
        <v>Nenhum</v>
      </c>
      <c r="B24145" s="3">
        <v>0</v>
      </c>
    </row>
    <row r="24146" ht="15.75" customHeight="1" spans="1:2">
      <c r="A24146" s="3" t="str">
        <f>IFERROR(__xludf.DUMMYFUNCTION("GOOGLETRANSLATE(A24146,""en"",""pt"")"),"não Fax")</f>
        <v>não Fax</v>
      </c>
      <c r="B24146" s="3">
        <v>0</v>
      </c>
    </row>
    <row r="24147" ht="15.75" customHeight="1" spans="1:2">
      <c r="A24147" s="3" t="str">
        <f>IFERROR(__xludf.DUMMYFUNCTION("GOOGLETRANSLATE(A24147,""en"",""pt"")"),"sobre-embalados, cartuchos de tinta terrivelmente caros")</f>
        <v>sobre-embalados, cartuchos de tinta terrivelmente caros</v>
      </c>
      <c r="B24147" s="3">
        <v>0</v>
      </c>
    </row>
    <row r="24148" ht="15.75" customHeight="1" spans="1:2">
      <c r="A24148" s="3" t="str">
        <f>IFERROR(__xludf.DUMMYFUNCTION("GOOGLETRANSLATE(A24148,""en"",""pt"")"),"No fax, teve de baixar um driver de algum outro lugar.")</f>
        <v>No fax, teve de baixar um driver de algum outro lugar.</v>
      </c>
      <c r="B24148" s="3">
        <v>0</v>
      </c>
    </row>
    <row r="24149" ht="15.75" customHeight="1" spans="1:2">
      <c r="A24149" s="3" t="str">
        <f>IFERROR(__xludf.DUMMYFUNCTION("GOOGLETRANSLATE(A24149,""en"",""pt"")"),"Não uma impressora a laser, por vezes, os congelamentos de software para um tempo quando inicializado.")</f>
        <v>Não uma impressora a laser, por vezes, os congelamentos de software para um tempo quando inicializado.</v>
      </c>
      <c r="B24149" s="3">
        <v>0</v>
      </c>
    </row>
    <row r="24150" ht="15.75" customHeight="1" spans="1:2">
      <c r="A24150" s="3" t="str">
        <f>IFERROR(__xludf.DUMMYFUNCTION("GOOGLETRANSLATE(A24150,""en"",""pt"")"),"Cabo USB não incluído")</f>
        <v>Cabo USB não incluído</v>
      </c>
      <c r="B24150" s="3">
        <v>0</v>
      </c>
    </row>
    <row r="24151" ht="15.75" customHeight="1" spans="1:2">
      <c r="A24151" s="3" t="str">
        <f>IFERROR(__xludf.DUMMYFUNCTION("GOOGLETRANSLATE(A24151,""en"",""pt"")"),"lotes de minutos por página com o Mac OS / X")</f>
        <v>lotes de minutos por página com o Mac OS / X</v>
      </c>
      <c r="B24151" s="3">
        <v>0</v>
      </c>
    </row>
    <row r="24152" ht="15.75" customHeight="1" spans="1:2">
      <c r="A24152" s="3" t="str">
        <f>IFERROR(__xludf.DUMMYFUNCTION("GOOGLETRANSLATE(A24152,""en"",""pt"")"),"custo do cartucho.")</f>
        <v>custo do cartucho.</v>
      </c>
      <c r="B24152" s="3">
        <v>0</v>
      </c>
    </row>
    <row r="24153" ht="15.75" customHeight="1" spans="1:2">
      <c r="A24153" s="3" t="str">
        <f>IFERROR(__xludf.DUMMYFUNCTION("GOOGLETRANSLATE(A24153,""en"",""pt"")"),"pagar longa distância para suporte técnico")</f>
        <v>pagar longa distância para suporte técnico</v>
      </c>
      <c r="B24153" s="3">
        <v>0</v>
      </c>
    </row>
    <row r="24154" ht="15.75" customHeight="1" spans="1:2">
      <c r="A24154" s="3" t="str">
        <f>IFERROR(__xludf.DUMMYFUNCTION("GOOGLETRANSLATE(A24154,""en"",""pt"")"),"Eu estou em uma perda a respeito de onde começar!")</f>
        <v>Eu estou em uma perda a respeito de onde começar!</v>
      </c>
      <c r="B24154" s="3">
        <v>0</v>
      </c>
    </row>
    <row r="24155" ht="15.75" customHeight="1" spans="1:2">
      <c r="A24155" s="3" t="str">
        <f>IFERROR(__xludf.DUMMYFUNCTION("GOOGLETRANSLATE(A24155,""en"",""pt"")"),"Muito ruim scanner e software desajeitado")</f>
        <v>Muito ruim scanner e software desajeitado</v>
      </c>
      <c r="B24155" s="3">
        <v>0</v>
      </c>
    </row>
    <row r="24156" ht="15.75" customHeight="1" spans="1:2">
      <c r="A24156" s="3" t="str">
        <f>IFERROR(__xludf.DUMMYFUNCTION("GOOGLETRANSLATE(A24156,""en"",""pt"")"),"nenhuma instalação de fax, não pode fazer A3 cópias")</f>
        <v>nenhuma instalação de fax, não pode fazer A3 cópias</v>
      </c>
      <c r="B24156" s="3">
        <v>0</v>
      </c>
    </row>
    <row r="24157" ht="15.75" customHeight="1" spans="1:2">
      <c r="A24157" s="3" t="str">
        <f>IFERROR(__xludf.DUMMYFUNCTION("GOOGLETRANSLATE(A24157,""en"",""pt"")"),"O Serviço de Atendimento Cliente não tem um Toll Free #")</f>
        <v>O Serviço de Atendimento Cliente não tem um Toll Free #</v>
      </c>
      <c r="B24157" s="3">
        <v>0</v>
      </c>
    </row>
    <row r="24158" ht="15.75" customHeight="1" spans="1:2">
      <c r="A24158" s="3" t="str">
        <f>IFERROR(__xludf.DUMMYFUNCTION("GOOGLETRANSLATE(A24158,""en"",""pt"")"),"Custo de cartuchos de tinta.")</f>
        <v>Custo de cartuchos de tinta.</v>
      </c>
      <c r="B24158" s="3">
        <v>0</v>
      </c>
    </row>
    <row r="24159" ht="15.75" customHeight="1" spans="1:2">
      <c r="A24159" s="3" t="str">
        <f>IFERROR(__xludf.DUMMYFUNCTION("GOOGLETRANSLATE(A24159,""en"",""pt"")"),"A comunicação bidirecional não é 100%, soou longa distância linha de ajuda. Não é compatível com Windows XP.")</f>
        <v>A comunicação bidirecional não é 100%, soou longa distância linha de ajuda. Não é compatível com Windows XP.</v>
      </c>
      <c r="B24159" s="3">
        <v>0</v>
      </c>
    </row>
    <row r="24160" ht="15.75" customHeight="1" spans="1:2">
      <c r="A24160" s="3" t="str">
        <f>IFERROR(__xludf.DUMMYFUNCTION("GOOGLETRANSLATE(A24160,""en"",""pt"")"),"O pior de scanner que já vi em 15 anos como designer.")</f>
        <v>O pior de scanner que já vi em 15 anos como designer.</v>
      </c>
      <c r="B24160" s="3">
        <v>0</v>
      </c>
    </row>
    <row r="24161" ht="15.75" customHeight="1" spans="1:2">
      <c r="A24161" s="3" t="str">
        <f>IFERROR(__xludf.DUMMYFUNCTION("GOOGLETRANSLATE(A24161,""en"",""pt"")"),"Não fax tem recurso de fax, um pouco barulhento, cartuchos de tinta são caros.")</f>
        <v>Não fax tem recurso de fax, um pouco barulhento, cartuchos de tinta são caros.</v>
      </c>
      <c r="B24161" s="3">
        <v>0</v>
      </c>
    </row>
    <row r="24162" ht="15.75" customHeight="1" spans="1:2">
      <c r="A24162" s="3" t="str">
        <f>IFERROR(__xludf.DUMMYFUNCTION("GOOGLETRANSLATE(A24162,""en"",""pt"")"),"Os principais problemas de instalação, funciona para alguns &amp; amp; does not para os outros.")</f>
        <v>Os principais problemas de instalação, funciona para alguns &amp; amp; does not para os outros.</v>
      </c>
      <c r="B24162" s="3">
        <v>0</v>
      </c>
    </row>
    <row r="24163" ht="15.75" customHeight="1" spans="1:2">
      <c r="A24163" s="3" t="str">
        <f>IFERROR(__xludf.DUMMYFUNCTION("GOOGLETRANSLATE(A24163,""en"",""pt"")"),"Big, somente, bandeja USB de alimentação de papel")</f>
        <v>Big, somente, bandeja USB de alimentação de papel</v>
      </c>
      <c r="B24163" s="3">
        <v>0</v>
      </c>
    </row>
    <row r="24164" ht="15.75" customHeight="1" spans="1:2">
      <c r="A24164" s="3" t="str">
        <f>IFERROR(__xludf.DUMMYFUNCTION("GOOGLETRANSLATE(A24164,""en"",""pt"")"),"Não principais das reclamações.")</f>
        <v>Não principais das reclamações.</v>
      </c>
      <c r="B24164" s="3">
        <v>0</v>
      </c>
    </row>
    <row r="24165" ht="15.75" customHeight="1" spans="1:2">
      <c r="A24165" s="3" t="str">
        <f>IFERROR(__xludf.DUMMYFUNCTION("GOOGLETRANSLATE(A24165,""en"",""pt"")"),"Preço de tinta. Custos de mais de US $ 200.")</f>
        <v>Preço de tinta. Custos de mais de US $ 200.</v>
      </c>
      <c r="B24165" s="3">
        <v>0</v>
      </c>
    </row>
    <row r="24166" ht="15.75" customHeight="1" spans="1:2">
      <c r="A24166" s="3" t="str">
        <f>IFERROR(__xludf.DUMMYFUNCTION("GOOGLETRANSLATE(A24166,""en"",""pt"")"),"grande")</f>
        <v>grande</v>
      </c>
      <c r="B24166" s="3">
        <v>0</v>
      </c>
    </row>
    <row r="24167" ht="15.75" customHeight="1" spans="1:2">
      <c r="A24167" s="3" t="str">
        <f>IFERROR(__xludf.DUMMYFUNCTION("GOOGLETRANSLATE(A24167,""en"",""pt"")"),"custos de tinta, mas assim como toda a tinta de impressora multifuncional.")</f>
        <v>custos de tinta, mas assim como toda a tinta de impressora multifuncional.</v>
      </c>
      <c r="B24167" s="3">
        <v>0</v>
      </c>
    </row>
    <row r="24168" ht="15.75" customHeight="1" spans="1:2">
      <c r="A24168" s="3" t="str">
        <f>IFERROR(__xludf.DUMMYFUNCTION("GOOGLETRANSLATE(A24168,""en"",""pt"")"),"Deve comprar um cabo USB")</f>
        <v>Deve comprar um cabo USB</v>
      </c>
      <c r="B24168" s="3">
        <v>0</v>
      </c>
    </row>
    <row r="24169" ht="15.75" customHeight="1" spans="1:2">
      <c r="A24169" s="3" t="str">
        <f>IFERROR(__xludf.DUMMYFUNCTION("GOOGLETRANSLATE(A24169,""en"",""pt"")"),"Ink é um pouco caro, Tinha de download de software para ser executado com XP")</f>
        <v>Ink é um pouco caro, Tinha de download de software para ser executado com XP</v>
      </c>
      <c r="B24169" s="3">
        <v>0</v>
      </c>
    </row>
    <row r="24170" ht="15.75" customHeight="1" spans="1:2">
      <c r="A24170" s="3" t="str">
        <f>IFERROR(__xludf.DUMMYFUNCTION("GOOGLETRANSLATE(A24170,""en"",""pt"")"),"pagar do seu próprio bolso para o suporte técnico de longa distância.")</f>
        <v>pagar do seu próprio bolso para o suporte técnico de longa distância.</v>
      </c>
      <c r="B24170" s="3">
        <v>0</v>
      </c>
    </row>
    <row r="24171" ht="15.75" customHeight="1" spans="1:2">
      <c r="A24171" s="3" t="str">
        <f>IFERROR(__xludf.DUMMYFUNCTION("GOOGLETRANSLATE(A24171,""en"",""pt"")"),"Não consegue imprimir no VERDADEIRO FOTO DE QUALIDADE!")</f>
        <v>Não consegue imprimir no VERDADEIRO FOTO DE QUALIDADE!</v>
      </c>
      <c r="B24171" s="3">
        <v>0</v>
      </c>
    </row>
    <row r="24172" ht="15.75" customHeight="1" spans="1:2">
      <c r="A24172" s="3" t="str">
        <f>IFERROR(__xludf.DUMMYFUNCTION("GOOGLETRANSLATE(A24172,""en"",""pt"")"),"preço de tinta")</f>
        <v>preço de tinta</v>
      </c>
      <c r="B24172" s="3">
        <v>0</v>
      </c>
    </row>
    <row r="24173" ht="15.75" customHeight="1" spans="1:2">
      <c r="A24173" s="3" t="str">
        <f>IFERROR(__xludf.DUMMYFUNCTION("GOOGLETRANSLATE(A24173,""en"",""pt"")"),"tamanho grande")</f>
        <v>tamanho grande</v>
      </c>
      <c r="B24173" s="3">
        <v>0</v>
      </c>
    </row>
    <row r="24174" ht="15.75" customHeight="1" spans="1:2">
      <c r="A24174" s="3" t="str">
        <f>IFERROR(__xludf.DUMMYFUNCTION("GOOGLETRANSLATE(A24174,""en"",""pt"")"),"Software não é compatível com WinXP")</f>
        <v>Software não é compatível com WinXP</v>
      </c>
      <c r="B24174" s="3">
        <v>0</v>
      </c>
    </row>
    <row r="24175" ht="15.75" customHeight="1" spans="1:2">
      <c r="A24175" s="3" t="str">
        <f>IFERROR(__xludf.DUMMYFUNCTION("GOOGLETRANSLATE(A24175,""en"",""pt"")"),"atolamentos de papel consistente e nenhum fax incluído.")</f>
        <v>atolamentos de papel consistente e nenhum fax incluído.</v>
      </c>
      <c r="B24175" s="3">
        <v>0</v>
      </c>
    </row>
    <row r="24176" ht="15.75" customHeight="1" spans="1:2">
      <c r="A24176" s="3" t="str">
        <f>IFERROR(__xludf.DUMMYFUNCTION("GOOGLETRANSLATE(A24176,""en"",""pt"")"),"Nenhum ainda")</f>
        <v>Nenhum ainda</v>
      </c>
      <c r="B24176" s="3">
        <v>0</v>
      </c>
    </row>
    <row r="24177" ht="15.75" customHeight="1" spans="1:2">
      <c r="A24177" s="3" t="str">
        <f>IFERROR(__xludf.DUMMYFUNCTION("GOOGLETRANSLATE(A24177,""en"",""pt"")"),"Nenhum ainda")</f>
        <v>Nenhum ainda</v>
      </c>
      <c r="B24177" s="3">
        <v>0</v>
      </c>
    </row>
    <row r="24178" ht="15.75" customHeight="1" spans="1:2">
      <c r="A24178" s="3" t="str">
        <f>IFERROR(__xludf.DUMMYFUNCTION("GOOGLETRANSLATE(A24178,""en"",""pt"")"),"Às vezes tem a impressão de erros.")</f>
        <v>Às vezes tem a impressão de erros.</v>
      </c>
      <c r="B24178" s="3">
        <v>0</v>
      </c>
    </row>
    <row r="24179" ht="15.75" customHeight="1" spans="1:2">
      <c r="A24179" s="3" t="str">
        <f>IFERROR(__xludf.DUMMYFUNCTION("GOOGLETRANSLATE(A24179,""en"",""pt"")"),"Max 8.5"" largura do papel, preço alto se você não usar todos os recursos")</f>
        <v>Max 8.5" largura do papel, preço alto se você não usar todos os recursos</v>
      </c>
      <c r="B24179" s="3">
        <v>0</v>
      </c>
    </row>
    <row r="24180" ht="15.75" customHeight="1" spans="1:2">
      <c r="A24180" s="3" t="str">
        <f>IFERROR(__xludf.DUMMYFUNCTION("GOOGLETRANSLATE(A24180,""en"",""pt"")"),"Não Multi alimentação de documentos para envio de fax.")</f>
        <v>Não Multi alimentação de documentos para envio de fax.</v>
      </c>
      <c r="B24180" s="3">
        <v>0</v>
      </c>
    </row>
    <row r="24181" ht="15.75" customHeight="1" spans="1:2">
      <c r="A24181" s="3" t="str">
        <f>IFERROR(__xludf.DUMMYFUNCTION("GOOGLETRANSLATE(A24181,""en"",""pt"")"),"digitalização fax é de fraqueza")</f>
        <v>digitalização fax é de fraqueza</v>
      </c>
      <c r="B24181" s="3">
        <v>0</v>
      </c>
    </row>
    <row r="24182" ht="15.75" customHeight="1" spans="1:2">
      <c r="A24182" s="3" t="str">
        <f>IFERROR(__xludf.DUMMYFUNCTION("GOOGLETRANSLATE(A24182,""en"",""pt"")"),"não automática Duplexer não funciona com WinXP")</f>
        <v>não automática Duplexer não funciona com WinXP</v>
      </c>
      <c r="B24182" s="3">
        <v>0</v>
      </c>
    </row>
    <row r="24183" ht="15.75" customHeight="1" spans="1:2">
      <c r="A24183" s="3" t="str">
        <f>IFERROR(__xludf.DUMMYFUNCTION("GOOGLETRANSLATE(A24183,""en"",""pt"")"),"cartuchos de impressora caro.")</f>
        <v>cartuchos de impressora caro.</v>
      </c>
      <c r="B24183" s="3">
        <v>0</v>
      </c>
    </row>
    <row r="24184" ht="15.75" customHeight="1" spans="1:2">
      <c r="A24184" s="3" t="str">
        <f>IFERROR(__xludf.DUMMYFUNCTION("GOOGLETRANSLATE(A24184,""en"",""pt"")"),"Nenhum ainda")</f>
        <v>Nenhum ainda</v>
      </c>
      <c r="B24184" s="3">
        <v>0</v>
      </c>
    </row>
    <row r="24185" ht="15.75" customHeight="1" spans="1:2">
      <c r="A24185" s="3" t="str">
        <f>IFERROR(__xludf.DUMMYFUNCTION("GOOGLETRANSLATE(A24185,""en"",""pt"")"),"Nenhum observou")</f>
        <v>Nenhum observou</v>
      </c>
      <c r="B24185" s="3">
        <v>0</v>
      </c>
    </row>
    <row r="24186" ht="15.75" customHeight="1" spans="1:2">
      <c r="A24186" s="3" t="str">
        <f>IFERROR(__xludf.DUMMYFUNCTION("GOOGLETRANSLATE(A24186,""en"",""pt"")"),"Eu não poderia configurar a máquina de fax com um cartão telefônico. Nenhum cabo USB incluído.")</f>
        <v>Eu não poderia configurar a máquina de fax com um cartão telefônico. Nenhum cabo USB incluído.</v>
      </c>
      <c r="B24186" s="3">
        <v>0</v>
      </c>
    </row>
    <row r="24187" ht="15.75" customHeight="1" spans="1:2">
      <c r="A24187" s="3" t="str">
        <f>IFERROR(__xludf.DUMMYFUNCTION("GOOGLETRANSLATE(A24187,""en"",""pt"")"),"Sem alimentador de fax de várias páginas. luz estadias scanner na por um longo tempo.")</f>
        <v>Sem alimentador de fax de várias páginas. luz estadias scanner na por um longo tempo.</v>
      </c>
      <c r="B24187" s="3">
        <v>0</v>
      </c>
    </row>
    <row r="24188" ht="15.75" customHeight="1" spans="1:2">
      <c r="A24188" s="3" t="str">
        <f>IFERROR(__xludf.DUMMYFUNCTION("GOOGLETRANSLATE(A24188,""en"",""pt"")"),"Inexistência de uma rede de apoio; nenhuma entrada FAX multipágina")</f>
        <v>Inexistência de uma rede de apoio; nenhuma entrada FAX multipágina</v>
      </c>
      <c r="B24188" s="3">
        <v>0</v>
      </c>
    </row>
    <row r="24189" ht="15.75" customHeight="1" spans="1:2">
      <c r="A24189" s="3" t="str">
        <f>IFERROR(__xludf.DUMMYFUNCTION("GOOGLETRANSLATE(A24189,""en"",""pt"")"),"Software HP Scanning")</f>
        <v>Software HP Scanning</v>
      </c>
      <c r="B24189" s="3">
        <v>0</v>
      </c>
    </row>
    <row r="24190" ht="15.75" customHeight="1" spans="1:2">
      <c r="A24190" s="3" t="str">
        <f>IFERROR(__xludf.DUMMYFUNCTION("GOOGLETRANSLATE(A24190,""en"",""pt"")"),"Os cartuchos de tinta são muito caros.")</f>
        <v>Os cartuchos de tinta são muito caros.</v>
      </c>
      <c r="B24190" s="3">
        <v>0</v>
      </c>
    </row>
    <row r="24191" ht="15.75" customHeight="1" spans="1:2">
      <c r="A24191" s="3" t="str">
        <f>IFERROR(__xludf.DUMMYFUNCTION("GOOGLETRANSLATE(A24191,""en"",""pt"")"),"Software não é a melhor")</f>
        <v>Software não é a melhor</v>
      </c>
      <c r="B24191" s="3">
        <v>0</v>
      </c>
    </row>
    <row r="24192" ht="15.75" customHeight="1" spans="1:2">
      <c r="A24192" s="3" t="str">
        <f>IFERROR(__xludf.DUMMYFUNCTION("GOOGLETRANSLATE(A24192,""en"",""pt"")"),"Má qualidade de impressão de fotos. construção frágil. tinta caro.")</f>
        <v>Má qualidade de impressão de fotos. construção frágil. tinta caro.</v>
      </c>
      <c r="B24192" s="3">
        <v>0</v>
      </c>
    </row>
    <row r="24193" ht="15.75" customHeight="1" spans="1:2">
      <c r="A24193" s="3" t="str">
        <f>IFERROR(__xludf.DUMMYFUNCTION("GOOGLETRANSLATE(A24193,""en"",""pt"")"),"Fora de Garantia reparos são caros, não vale o custo.")</f>
        <v>Fora de Garantia reparos são caros, não vale o custo.</v>
      </c>
      <c r="B24193" s="3">
        <v>0</v>
      </c>
    </row>
    <row r="24194" ht="15.75" customHeight="1" spans="1:2">
      <c r="A24194" s="3" t="str">
        <f>IFERROR(__xludf.DUMMYFUNCTION("GOOGLETRANSLATE(A24194,""en"",""pt"")"),"No alimentador automático de papel para alimentar papel a ser no scanner, a ser enviado por fax.")</f>
        <v>No alimentador automático de papel para alimentar papel a ser no scanner, a ser enviado por fax.</v>
      </c>
      <c r="B24194" s="3">
        <v>0</v>
      </c>
    </row>
    <row r="24195" ht="15.75" customHeight="1" spans="1:2">
      <c r="A24195" s="3" t="str">
        <f>IFERROR(__xludf.DUMMYFUNCTION("GOOGLETRANSLATE(A24195,""en"",""pt"")"),"Comunicação USB com ME esquisito - Suporte Técnico Horrível")</f>
        <v>Comunicação USB com ME esquisito - Suporte Técnico Horrível</v>
      </c>
      <c r="B24195" s="3">
        <v>0</v>
      </c>
    </row>
    <row r="24196" ht="15.75" customHeight="1" spans="1:2">
      <c r="A24196" s="3" t="str">
        <f>IFERROR(__xludf.DUMMYFUNCTION("GOOGLETRANSLATE(A24196,""en"",""pt"")"),"HP motorista atualiza algumas impressoras é pobre. HP ""all-in-one"" software exigente.")</f>
        <v>HP motorista atualiza algumas impressoras é pobre. HP "all-in-one" software exigente.</v>
      </c>
      <c r="B24196" s="3">
        <v>0</v>
      </c>
    </row>
    <row r="24197" ht="15.75" customHeight="1" spans="1:2">
      <c r="A24197" s="3" t="str">
        <f>IFERROR(__xludf.DUMMYFUNCTION("GOOGLETRANSLATE(A24197,""en"",""pt"")"),"todo o resto")</f>
        <v>todo o resto</v>
      </c>
      <c r="B24197" s="3">
        <v>0</v>
      </c>
    </row>
    <row r="24198" ht="15.75" customHeight="1" spans="1:2">
      <c r="A24198" s="3" t="str">
        <f>IFERROR(__xludf.DUMMYFUNCTION("GOOGLETRANSLATE(A24198,""en"",""pt"")"),"Problemas com a instalação do software.")</f>
        <v>Problemas com a instalação do software.</v>
      </c>
      <c r="B24198" s="3">
        <v>0</v>
      </c>
    </row>
    <row r="24199" ht="15.75" customHeight="1" spans="1:2">
      <c r="A24199" s="3" t="str">
        <f>IFERROR(__xludf.DUMMYFUNCTION("GOOGLETRANSLATE(A24199,""en"",""pt"")"),"impressão extremamente lento com Windows 98")</f>
        <v>impressão extremamente lento com Windows 98</v>
      </c>
      <c r="B24199" s="3">
        <v>0</v>
      </c>
    </row>
    <row r="24200" ht="15.75" customHeight="1" spans="1:2">
      <c r="A24200" s="3" t="str">
        <f>IFERROR(__xludf.DUMMYFUNCTION("GOOGLETRANSLATE(A24200,""en"",""pt"")"),"Grandes ruídos, falhas de software")</f>
        <v>Grandes ruídos, falhas de software</v>
      </c>
      <c r="B24200" s="3">
        <v>0</v>
      </c>
    </row>
    <row r="24201" ht="15.75" customHeight="1" spans="1:2">
      <c r="A24201" s="3" t="str">
        <f>IFERROR(__xludf.DUMMYFUNCTION("GOOGLETRANSLATE(A24201,""en"",""pt"")"),"Etiquetas parecem transferir lentamente.")</f>
        <v>Etiquetas parecem transferir lentamente.</v>
      </c>
      <c r="B24201" s="3">
        <v>0</v>
      </c>
    </row>
    <row r="24202" ht="15.75" customHeight="1" spans="1:2">
      <c r="A24202" s="3" t="str">
        <f>IFERROR(__xludf.DUMMYFUNCTION("GOOGLETRANSLATE(A24202,""en"",""pt"")"),"Os cartuchos de tinta são caros. não imprime banners.")</f>
        <v>Os cartuchos de tinta são caros. não imprime banners.</v>
      </c>
      <c r="B24202" s="3">
        <v>0</v>
      </c>
    </row>
    <row r="24203" ht="15.75" customHeight="1" spans="1:2">
      <c r="A24203" s="3" t="str">
        <f>IFERROR(__xludf.DUMMYFUNCTION("GOOGLETRANSLATE(A24203,""en"",""pt"")"),"Tende a puxar mais do que uma folha de papel")</f>
        <v>Tende a puxar mais do que uma folha de papel</v>
      </c>
      <c r="B24203" s="3">
        <v>0</v>
      </c>
    </row>
    <row r="24204" ht="15.75" customHeight="1" spans="1:2">
      <c r="A24204" s="3" t="str">
        <f>IFERROR(__xludf.DUMMYFUNCTION("GOOGLETRANSLATE(A24204,""en"",""pt"")"),"ruído inicialização manuseio de papel")</f>
        <v>ruído inicialização manuseio de papel</v>
      </c>
      <c r="B24204" s="3">
        <v>0</v>
      </c>
    </row>
    <row r="24205" ht="15.75" customHeight="1" spans="1:2">
      <c r="A24205" s="3" t="str">
        <f>IFERROR(__xludf.DUMMYFUNCTION("GOOGLETRANSLATE(A24205,""en"",""pt"")"),"manuseio de papel poderia ser melhor")</f>
        <v>manuseio de papel poderia ser melhor</v>
      </c>
      <c r="B24205" s="3">
        <v>0</v>
      </c>
    </row>
    <row r="24206" ht="15.75" customHeight="1" spans="1:2">
      <c r="A24206" s="3" t="str">
        <f>IFERROR(__xludf.DUMMYFUNCTION("GOOGLETRANSLATE(A24206,""en"",""pt"")"),"digitalização de software, scanner é muito alto no movimento de retorno")</f>
        <v>digitalização de software, scanner é muito alto no movimento de retorno</v>
      </c>
      <c r="B24206" s="3">
        <v>0</v>
      </c>
    </row>
    <row r="24207" ht="15.75" customHeight="1" spans="1:2">
      <c r="A24207" s="3" t="str">
        <f>IFERROR(__xludf.DUMMYFUNCTION("GOOGLETRANSLATE(A24207,""en"",""pt"")"),"""Como- para"" manual não incluído, cabo USB não incluso")</f>
        <v>"Como- para" manual não incluído, cabo USB não incluso</v>
      </c>
      <c r="B24207" s="3">
        <v>0</v>
      </c>
    </row>
    <row r="24208" ht="15.75" customHeight="1" spans="1:2">
      <c r="A24208" s="3" t="str">
        <f>IFERROR(__xludf.DUMMYFUNCTION("GOOGLETRANSLATE(A24208,""en"",""pt"")"),"Barulhento! inards frágil. Quebrou após 4 meses de uso de luz. HP substituído gratuitamente. Ainda feliz!")</f>
        <v>Barulhento! inards frágil. Quebrou após 4 meses de uso de luz. HP substituído gratuitamente. Ainda feliz!</v>
      </c>
      <c r="B24208" s="3">
        <v>0</v>
      </c>
    </row>
    <row r="24209" ht="15.75" customHeight="1" spans="1:2">
      <c r="A24209" s="3" t="str">
        <f>IFERROR(__xludf.DUMMYFUNCTION("GOOGLETRANSLATE(A24209,""en"",""pt"")"),"Algumas limitações podem ser demais para usuários avançados para viver.")</f>
        <v>Algumas limitações podem ser demais para usuários avançados para viver.</v>
      </c>
      <c r="B24209" s="3">
        <v>0</v>
      </c>
    </row>
    <row r="24210" ht="15.75" customHeight="1" spans="1:2">
      <c r="A24210" s="3" t="str">
        <f>IFERROR(__xludf.DUMMYFUNCTION("GOOGLETRANSLATE(A24210,""en"",""pt"")"),"Cor toner tudo em um cartucho.")</f>
        <v>Cor toner tudo em um cartucho.</v>
      </c>
      <c r="B24210" s="3">
        <v>0</v>
      </c>
    </row>
    <row r="24211" ht="15.75" customHeight="1" spans="1:2">
      <c r="A24211" s="3" t="str">
        <f>IFERROR(__xludf.DUMMYFUNCTION("GOOGLETRANSLATE(A24211,""en"",""pt"")"),"Goles tinta (cartuchos dispendiosos), a distribuição de tinta um pouco superficial em função de impressão a cores")</f>
        <v>Goles tinta (cartuchos dispendiosos), a distribuição de tinta um pouco superficial em função de impressão a cores</v>
      </c>
      <c r="B24211" s="3">
        <v>0</v>
      </c>
    </row>
    <row r="24212" ht="15.75" customHeight="1" spans="1:2">
      <c r="A24212" s="3" t="str">
        <f>IFERROR(__xludf.DUMMYFUNCTION("GOOGLETRANSLATE(A24212,""en"",""pt"")"),"Nenhum")</f>
        <v>Nenhum</v>
      </c>
      <c r="B24212" s="3">
        <v>0</v>
      </c>
    </row>
    <row r="24213" ht="15.75" customHeight="1" spans="1:2">
      <c r="A24213" s="3" t="str">
        <f>IFERROR(__xludf.DUMMYFUNCTION("GOOGLETRANSLATE(A24213,""en"",""pt"")"),"barulhos estranhos me preocupa.")</f>
        <v>barulhos estranhos me preocupa.</v>
      </c>
      <c r="B24213" s="3">
        <v>0</v>
      </c>
    </row>
    <row r="24214" ht="15.75" customHeight="1" spans="1:2">
      <c r="A24214" s="3" t="str">
        <f>IFERROR(__xludf.DUMMYFUNCTION("GOOGLETRANSLATE(A24214,""en"",""pt"")"),"uso de tinta; despesa de tinta")</f>
        <v>uso de tinta; despesa de tinta</v>
      </c>
      <c r="B24214" s="3">
        <v>0</v>
      </c>
    </row>
    <row r="24215" ht="15.75" customHeight="1" spans="1:2">
      <c r="A24215" s="3" t="str">
        <f>IFERROR(__xludf.DUMMYFUNCTION("GOOGLETRANSLATE(A24215,""en"",""pt"")"),"Não pode varredura legal-size ""a partir do vidro,"" deve usar alimentador de documentos, cartuchos come cor como pipoca.")</f>
        <v>Não pode varredura legal-size "a partir do vidro," deve usar alimentador de documentos, cartuchos come cor como pipoca.</v>
      </c>
      <c r="B24215" s="3">
        <v>0</v>
      </c>
    </row>
    <row r="24216" ht="15.75" customHeight="1" spans="1:2">
      <c r="A24216" s="3" t="str">
        <f>IFERROR(__xludf.DUMMYFUNCTION("GOOGLETRANSLATE(A24216,""en"",""pt"")"),"lento para começar a imprimir, bandeja de papel cai papel")</f>
        <v>lento para começar a imprimir, bandeja de papel cai papel</v>
      </c>
      <c r="B24216" s="3">
        <v>0</v>
      </c>
    </row>
    <row r="24217" ht="15.75" customHeight="1" spans="1:2">
      <c r="A24217" s="3" t="str">
        <f>IFERROR(__xludf.DUMMYFUNCTION("GOOGLETRANSLATE(A24217,""en"",""pt"")"),"software de digitalização")</f>
        <v>software de digitalização</v>
      </c>
      <c r="B24217" s="3">
        <v>0</v>
      </c>
    </row>
    <row r="24218" ht="15.75" customHeight="1" spans="1:2">
      <c r="A24218" s="3" t="str">
        <f>IFERROR(__xludf.DUMMYFUNCTION("GOOGLETRANSLATE(A24218,""en"",""pt"")"),"As cópias de cor ligeiramente desbotado, o consumo de tinta, carta tamanho de um prato de vidro.")</f>
        <v>As cópias de cor ligeiramente desbotado, o consumo de tinta, carta tamanho de um prato de vidro.</v>
      </c>
      <c r="B24218" s="3">
        <v>0</v>
      </c>
    </row>
    <row r="24219" ht="15.75" customHeight="1" spans="1:2">
      <c r="A24219" s="3" t="str">
        <f>IFERROR(__xludf.DUMMYFUNCTION("GOOGLETRANSLATE(A24219,""en"",""pt"")"),"representação da cor, granulado com pouca luz, LCD 'lavada', desonesto compressão")</f>
        <v>representação da cor, granulado com pouca luz, LCD 'lavada', desonesto compressão</v>
      </c>
      <c r="B24219" s="3">
        <v>0</v>
      </c>
    </row>
    <row r="24220" ht="15.75" customHeight="1" spans="1:2">
      <c r="A24220" s="3" t="str">
        <f>IFERROR(__xludf.DUMMYFUNCTION("GOOGLETRANSLATE(A24220,""en"",""pt"")"),"A vida útil da bateria não é grande.")</f>
        <v>A vida útil da bateria não é grande.</v>
      </c>
      <c r="B24220" s="3">
        <v>0</v>
      </c>
    </row>
    <row r="24221" ht="15.75" customHeight="1" spans="1:2">
      <c r="A24221" s="3" t="str">
        <f>IFERROR(__xludf.DUMMYFUNCTION("GOOGLETRANSLATE(A24221,""en"",""pt"")"),"flash muito brilhante, pequena memória, imagem granulada se pouca luz, zoom difusa")</f>
        <v>flash muito brilhante, pequena memória, imagem granulada se pouca luz, zoom difusa</v>
      </c>
      <c r="B24221" s="3">
        <v>0</v>
      </c>
    </row>
    <row r="24222" ht="15.75" customHeight="1" spans="1:2">
      <c r="A24222" s="3" t="str">
        <f>IFERROR(__xludf.DUMMYFUNCTION("GOOGLETRANSLATE(A24222,""en"",""pt"")"),"vida pobre da bateria, sem ajuste manual, má qualidade da imagem, construção frágil")</f>
        <v>vida pobre da bateria, sem ajuste manual, má qualidade da imagem, construção frágil</v>
      </c>
      <c r="B24222" s="3">
        <v>0</v>
      </c>
    </row>
    <row r="24223" ht="15.75" customHeight="1" spans="1:2">
      <c r="A24223" s="3" t="str">
        <f>IFERROR(__xludf.DUMMYFUNCTION("GOOGLETRANSLATE(A24223,""en"",""pt"")"),"Flash muito brilhante, não ótimo para fotos em ambientes fechados.")</f>
        <v>Flash muito brilhante, não ótimo para fotos em ambientes fechados.</v>
      </c>
      <c r="B24223" s="3">
        <v>0</v>
      </c>
    </row>
    <row r="24224" ht="15.75" customHeight="1" spans="1:2">
      <c r="A24224" s="3" t="str">
        <f>IFERROR(__xludf.DUMMYFUNCTION("GOOGLETRANSLATE(A24224,""en"",""pt"")"),"só pode ter 12 imagens na configuração ""melhor"".")</f>
        <v>só pode ter 12 imagens na configuração "melhor".</v>
      </c>
      <c r="B24224" s="3">
        <v>0</v>
      </c>
    </row>
    <row r="24225" ht="15.75" customHeight="1" spans="1:2">
      <c r="A24225" s="3" t="str">
        <f>IFERROR(__xludf.DUMMYFUNCTION("GOOGLETRANSLATE(A24225,""en"",""pt"")"),"4MB de memória interna, nenhum adaptador de energia, falta de LCD.")</f>
        <v>4MB de memória interna, nenhum adaptador de energia, falta de LCD.</v>
      </c>
      <c r="B24225" s="3">
        <v>0</v>
      </c>
    </row>
    <row r="24226" ht="15.75" customHeight="1" spans="1:2">
      <c r="A24226" s="3" t="str">
        <f>IFERROR(__xludf.DUMMYFUNCTION("GOOGLETRANSLATE(A24226,""en"",""pt"")"),"Má qualidade na tela LCD,")</f>
        <v>Má qualidade na tela LCD,</v>
      </c>
      <c r="B24226" s="3">
        <v>0</v>
      </c>
    </row>
    <row r="24227" ht="15.75" customHeight="1" spans="1:2">
      <c r="A24227" s="3" t="str">
        <f>IFERROR(__xludf.DUMMYFUNCTION("GOOGLETRANSLATE(A24227,""en"",""pt"")"),"Flash sopra tudo fora, não macro, pobre LCD")</f>
        <v>Flash sopra tudo fora, não macro, pobre LCD</v>
      </c>
      <c r="B24227" s="3">
        <v>0</v>
      </c>
    </row>
    <row r="24228" ht="15.75" customHeight="1" spans="1:2">
      <c r="A24228" s="3" t="str">
        <f>IFERROR(__xludf.DUMMYFUNCTION("GOOGLETRANSLATE(A24228,""en"",""pt"")"),"Baterias não se acostumar muito, mas a menos que você tem adaptador")</f>
        <v>Baterias não se acostumar muito, mas a menos que você tem adaptador</v>
      </c>
      <c r="B24228" s="3">
        <v>0</v>
      </c>
    </row>
    <row r="24229" ht="15.75" customHeight="1" spans="1:2">
      <c r="A24229" s="3" t="str">
        <f>IFERROR(__xludf.DUMMYFUNCTION("GOOGLETRANSLATE(A24229,""en"",""pt"")"),"tiros granuladas, má focalização, mau uso dos recursos de flash automático. Você recebe o que você paga.")</f>
        <v>tiros granuladas, má focalização, mau uso dos recursos de flash automático. Você recebe o que você paga.</v>
      </c>
      <c r="B24229" s="3">
        <v>0</v>
      </c>
    </row>
    <row r="24230" ht="15.75" customHeight="1" spans="1:2">
      <c r="A24230" s="3" t="str">
        <f>IFERROR(__xludf.DUMMYFUNCTION("GOOGLETRANSLATE(A24230,""en"",""pt"")"),"vida útil da bateria horrível, tem um menor alguns aborrecimentos")</f>
        <v>vida útil da bateria horrível, tem um menor alguns aborrecimentos</v>
      </c>
      <c r="B24230" s="3">
        <v>0</v>
      </c>
    </row>
    <row r="24231" ht="15.75" customHeight="1" spans="1:2">
      <c r="A24231" s="3" t="str">
        <f>IFERROR(__xludf.DUMMYFUNCTION("GOOGLETRANSLATE(A24231,""en"",""pt"")"),"A duração da bateria é curta")</f>
        <v>A duração da bateria é curta</v>
      </c>
      <c r="B24231" s="3">
        <v>0</v>
      </c>
    </row>
    <row r="24232" ht="15.75" customHeight="1" spans="1:2">
      <c r="A24232" s="3" t="str">
        <f>IFERROR(__xludf.DUMMYFUNCTION("GOOGLETRANSLATE(A24232,""en"",""pt"")"),"Definitivamente não é para tomar ações tiros.")</f>
        <v>Definitivamente não é para tomar ações tiros.</v>
      </c>
      <c r="B24232" s="3">
        <v>0</v>
      </c>
    </row>
    <row r="24233" ht="15.75" customHeight="1" spans="1:2">
      <c r="A24233" s="3" t="str">
        <f>IFERROR(__xludf.DUMMYFUNCTION("GOOGLETRANSLATE(A24233,""en"",""pt"")"),"leva muito tempo para aquecer, as fotos tiradas não são instantâneos")</f>
        <v>leva muito tempo para aquecer, as fotos tiradas não são instantâneos</v>
      </c>
      <c r="B24233" s="3">
        <v>0</v>
      </c>
    </row>
    <row r="24234" ht="15.75" customHeight="1" spans="1:2">
      <c r="A24234" s="3" t="str">
        <f>IFERROR(__xludf.DUMMYFUNCTION("GOOGLETRANSLATE(A24234,""en"",""pt"")"),"Visor, tamanho desajeitado não precisa, atraso quando tirando foto - cenas de ação difícil de capturar.")</f>
        <v>Visor, tamanho desajeitado não precisa, atraso quando tirando foto - cenas de ação difícil de capturar.</v>
      </c>
      <c r="B24234" s="3">
        <v>0</v>
      </c>
    </row>
    <row r="24235" ht="15.75" customHeight="1" spans="1:2">
      <c r="A24235" s="3" t="str">
        <f>IFERROR(__xludf.DUMMYFUNCTION("GOOGLETRANSLATE(A24235,""en"",""pt"")"),"Guzzles suco da bateria, única 4MB")</f>
        <v>Guzzles suco da bateria, única 4MB</v>
      </c>
      <c r="B24235" s="3">
        <v>0</v>
      </c>
    </row>
    <row r="24236" ht="15.75" customHeight="1" spans="1:2">
      <c r="A24236" s="3" t="str">
        <f>IFERROR(__xludf.DUMMYFUNCTION("GOOGLETRANSLATE(A24236,""en"",""pt"")"),"É chato energia da bateria como um vampiro suga o sangue.")</f>
        <v>É chato energia da bateria como um vampiro suga o sangue.</v>
      </c>
      <c r="B24236" s="3">
        <v>0</v>
      </c>
    </row>
    <row r="24237" ht="15.75" customHeight="1" spans="1:2">
      <c r="A24237" s="3" t="str">
        <f>IFERROR(__xludf.DUMMYFUNCTION("GOOGLETRANSLATE(A24237,""en"",""pt"")"),"A vida da bateria é terrível!")</f>
        <v>A vida da bateria é terrível!</v>
      </c>
      <c r="B24237" s="3">
        <v>0</v>
      </c>
    </row>
    <row r="24238" ht="15.75" customHeight="1" spans="1:2">
      <c r="A24238" s="3" t="str">
        <f>IFERROR(__xludf.DUMMYFUNCTION("GOOGLETRANSLATE(A24238,""en"",""pt"")"),"Problemas com cartão de memória ... duas vezes!")</f>
        <v>Problemas com cartão de memória ... duas vezes!</v>
      </c>
      <c r="B24238" s="3">
        <v>0</v>
      </c>
    </row>
    <row r="24239" ht="15.75" customHeight="1" spans="1:2">
      <c r="A24239" s="3" t="str">
        <f>IFERROR(__xludf.DUMMYFUNCTION("GOOGLETRANSLATE(A24239,""en"",""pt"")"),"vida horrível bateria, cartão de memória de 4 MB, o problema do flash intermitente.")</f>
        <v>vida horrível bateria, cartão de memória de 4 MB, o problema do flash intermitente.</v>
      </c>
      <c r="B24239" s="3">
        <v>0</v>
      </c>
    </row>
    <row r="24240" ht="15.75" customHeight="1" spans="1:2">
      <c r="A24240" s="3" t="str">
        <f>IFERROR(__xludf.DUMMYFUNCTION("GOOGLETRANSLATE(A24240,""en"",""pt"")"),"O consumo de bateria, não muitos recursos")</f>
        <v>O consumo de bateria, não muitos recursos</v>
      </c>
      <c r="B24240" s="3">
        <v>0</v>
      </c>
    </row>
    <row r="24241" ht="15.75" customHeight="1" spans="1:2">
      <c r="A24241" s="3" t="str">
        <f>IFERROR(__xludf.DUMMYFUNCTION("GOOGLETRANSLATE(A24241,""en"",""pt"")"),"baixa resolução, curta duração da bateria, capacidade de memória pequeno, recursos limitados")</f>
        <v>baixa resolução, curta duração da bateria, capacidade de memória pequeno, recursos limitados</v>
      </c>
      <c r="B24241" s="3">
        <v>0</v>
      </c>
    </row>
    <row r="24242" ht="15.75" customHeight="1" spans="1:2">
      <c r="A24242" s="3" t="str">
        <f>IFERROR(__xludf.DUMMYFUNCTION("GOOGLETRANSLATE(A24242,""en"",""pt"")"),"Apenas 4 cartão MB CF incluído, comer através de baterias como se não houvesse amanhã")</f>
        <v>Apenas 4 cartão MB CF incluído, comer através de baterias como se não houvesse amanhã</v>
      </c>
      <c r="B24242" s="3">
        <v>0</v>
      </c>
    </row>
    <row r="24243" ht="15.75" customHeight="1" spans="1:2">
      <c r="A24243" s="3" t="str">
        <f>IFERROR(__xludf.DUMMYFUNCTION("GOOGLETRANSLATE(A24243,""en"",""pt"")"),"obter baterias recarregáveis ​​!, pequeno cartão 4mb incluídos, mas cartão de 16mb é barato")</f>
        <v>obter baterias recarregáveis ​​!, pequeno cartão 4mb incluídos, mas cartão de 16mb é barato</v>
      </c>
      <c r="B24243" s="3">
        <v>0</v>
      </c>
    </row>
    <row r="24244" ht="15.75" customHeight="1" spans="1:2">
      <c r="A24244" s="3" t="str">
        <f>IFERROR(__xludf.DUMMYFUNCTION("GOOGLETRANSLATE(A24244,""en"",""pt"")"),"Drenos baterias, sem desligamento automático, lente não protegido, Apoio MAC NO SEMPRE!")</f>
        <v>Drenos baterias, sem desligamento automático, lente não protegido, Apoio MAC NO SEMPRE!</v>
      </c>
      <c r="B24244" s="3">
        <v>0</v>
      </c>
    </row>
    <row r="24245" ht="15.75" customHeight="1" spans="1:2">
      <c r="A24245" s="3" t="str">
        <f>IFERROR(__xludf.DUMMYFUNCTION("GOOGLETRANSLATE(A24245,""en"",""pt"")"),"come baterias, caso não transportar, memória apenas 4MB")</f>
        <v>come baterias, caso não transportar, memória apenas 4MB</v>
      </c>
      <c r="B24245" s="3">
        <v>0</v>
      </c>
    </row>
    <row r="24246" ht="15.75" customHeight="1" spans="1:2">
      <c r="A24246" s="3" t="str">
        <f>IFERROR(__xludf.DUMMYFUNCTION("GOOGLETRANSLATE(A24246,""en"",""pt"")"),"Extremamente curta duração da bateria, alguns erros de conexão para PC, pequeno cartão CF incluído.")</f>
        <v>Extremamente curta duração da bateria, alguns erros de conexão para PC, pequeno cartão CF incluído.</v>
      </c>
      <c r="B24246" s="3">
        <v>0</v>
      </c>
    </row>
    <row r="24247" ht="15.75" customHeight="1" spans="1:2">
      <c r="A24247" s="3" t="str">
        <f>IFERROR(__xludf.DUMMYFUNCTION("GOOGLETRANSLATE(A24247,""en"",""pt"")"),"curta duração da bateria, leva um longo tempo para focagem automática.")</f>
        <v>curta duração da bateria, leva um longo tempo para focagem automática.</v>
      </c>
      <c r="B24247" s="3">
        <v>0</v>
      </c>
    </row>
    <row r="24248" ht="15.75" customHeight="1" spans="1:2">
      <c r="A24248" s="3" t="str">
        <f>IFERROR(__xludf.DUMMYFUNCTION("GOOGLETRANSLATE(A24248,""en"",""pt"")"),"As baterias não duram em tudo nesta câmara.")</f>
        <v>As baterias não duram em tudo nesta câmara.</v>
      </c>
      <c r="B24248" s="3">
        <v>0</v>
      </c>
    </row>
    <row r="24249" ht="15.75" customHeight="1" spans="1:2">
      <c r="A24249" s="3" t="str">
        <f>IFERROR(__xludf.DUMMYFUNCTION("GOOGLETRANSLATE(A24249,""en"",""pt"")"),"Barato")</f>
        <v>Barato</v>
      </c>
      <c r="B24249" s="3">
        <v>0</v>
      </c>
    </row>
    <row r="24250" ht="15.75" customHeight="1" spans="1:2">
      <c r="A24250" s="3" t="str">
        <f>IFERROR(__xludf.DUMMYFUNCTION("GOOGLETRANSLATE(A24250,""en"",""pt"")"),"come baterias. cartão de pequena CF")</f>
        <v>come baterias. cartão de pequena CF</v>
      </c>
      <c r="B24250" s="3">
        <v>0</v>
      </c>
    </row>
    <row r="24251" ht="15.75" customHeight="1" spans="1:2">
      <c r="A24251" s="3" t="str">
        <f>IFERROR(__xludf.DUMMYFUNCTION("GOOGLETRANSLATE(A24251,""en"",""pt"")"),"Drenos baterias e visor fornece uma imagem enganosa")</f>
        <v>Drenos baterias e visor fornece uma imagem enganosa</v>
      </c>
      <c r="B24251" s="3">
        <v>0</v>
      </c>
    </row>
    <row r="24252" ht="15.75" customHeight="1" spans="1:2">
      <c r="A24252" s="3" t="str">
        <f>IFERROR(__xludf.DUMMYFUNCTION("GOOGLETRANSLATE(A24252,""en"",""pt"")"),"drenos baterias como você não iria acreditar, muito lento para tirar fotos")</f>
        <v>drenos baterias como você não iria acreditar, muito lento para tirar fotos</v>
      </c>
      <c r="B24252" s="3">
        <v>0</v>
      </c>
    </row>
    <row r="24253" ht="15.75" customHeight="1" spans="1:2">
      <c r="A24253" s="3" t="str">
        <f>IFERROR(__xludf.DUMMYFUNCTION("GOOGLETRANSLATE(A24253,""en"",""pt"")"),"baterias comeu, difícil de usar, e não me logo antes de férias.")</f>
        <v>baterias comeu, difícil de usar, e não me logo antes de férias.</v>
      </c>
      <c r="B24253" s="3">
        <v>0</v>
      </c>
    </row>
    <row r="24254" ht="15.75" customHeight="1" spans="1:2">
      <c r="A24254" s="3" t="str">
        <f>IFERROR(__xludf.DUMMYFUNCTION("GOOGLETRANSLATE(A24254,""en"",""pt"")"),"Uma vez câmera desliga você tem que redefinir os parâmetros.")</f>
        <v>Uma vez câmera desliga você tem que redefinir os parâmetros.</v>
      </c>
      <c r="B24254" s="3">
        <v>0</v>
      </c>
    </row>
    <row r="24255" ht="15.75" customHeight="1" spans="1:2">
      <c r="A24255" s="3" t="str">
        <f>IFERROR(__xludf.DUMMYFUNCTION("GOOGLETRANSLATE(A24255,""en"",""pt"")"),"Come baterias e, por vezes, lento para ""aquecer"".")</f>
        <v>Come baterias e, por vezes, lento para "aquecer".</v>
      </c>
      <c r="B24255" s="3">
        <v>0</v>
      </c>
    </row>
    <row r="24256" ht="15.75" customHeight="1" spans="1:2">
      <c r="A24256" s="3" t="str">
        <f>IFERROR(__xludf.DUMMYFUNCTION("GOOGLETRANSLATE(A24256,""en"",""pt"")"),"É barato.")</f>
        <v>É barato.</v>
      </c>
      <c r="B24256" s="3">
        <v>0</v>
      </c>
    </row>
    <row r="24257" ht="15.75" customHeight="1" spans="1:2">
      <c r="A24257" s="3" t="str">
        <f>IFERROR(__xludf.DUMMYFUNCTION("GOOGLETRANSLATE(A24257,""en"",""pt"")"),"A qualidade da foto não é grande. Come baterias como piranhas comer gado feridos.")</f>
        <v>A qualidade da foto não é grande. Come baterias como piranhas comer gado feridos.</v>
      </c>
      <c r="B24257" s="3">
        <v>0</v>
      </c>
    </row>
    <row r="24258" ht="15.75" customHeight="1" spans="1:2">
      <c r="A24258" s="3" t="str">
        <f>IFERROR(__xludf.DUMMYFUNCTION("GOOGLETRANSLATE(A24258,""en"",""pt"")"),"Leva muito tempo para o foco, muito tempo para flash de carga, come baterias")</f>
        <v>Leva muito tempo para o foco, muito tempo para flash de carga, come baterias</v>
      </c>
      <c r="B24258" s="3">
        <v>0</v>
      </c>
    </row>
    <row r="24259" ht="15.75" customHeight="1" spans="1:2">
      <c r="A24259" s="3" t="str">
        <f>IFERROR(__xludf.DUMMYFUNCTION("GOOGLETRANSLATE(A24259,""en"",""pt"")"),"Apenas um cartão de 4 MB, praticamente sem vida da bateria, nenhum adaptador AC. capablities zoom pobres.")</f>
        <v>Apenas um cartão de 4 MB, praticamente sem vida da bateria, nenhum adaptador AC. capablities zoom pobres.</v>
      </c>
      <c r="B24259" s="3">
        <v>0</v>
      </c>
    </row>
    <row r="24260" ht="15.75" customHeight="1" spans="1:2">
      <c r="A24260" s="3" t="str">
        <f>IFERROR(__xludf.DUMMYFUNCTION("GOOGLETRANSLATE(A24260,""en"",""pt"")"),"atraso entre o momento u pressionar o botão e quando ele realmente leva o pic")</f>
        <v>atraso entre o momento u pressionar o botão e quando ele realmente leva o pic</v>
      </c>
      <c r="B24260" s="3">
        <v>0</v>
      </c>
    </row>
    <row r="24261" ht="15.75" customHeight="1" spans="1:2">
      <c r="A24261" s="3" t="str">
        <f>IFERROR(__xludf.DUMMYFUNCTION("GOOGLETRANSLATE(A24261,""en"",""pt"")"),"Muito lento na tomada de foto")</f>
        <v>Muito lento na tomada de foto</v>
      </c>
      <c r="B24261" s="3">
        <v>0</v>
      </c>
    </row>
    <row r="24262" ht="15.75" customHeight="1" spans="1:2">
      <c r="A24262" s="3" t="str">
        <f>IFERROR(__xludf.DUMMYFUNCTION("GOOGLETRANSLATE(A24262,""en"",""pt"")"),"É chato baterias, e meu cabo não está funcionando.")</f>
        <v>É chato baterias, e meu cabo não está funcionando.</v>
      </c>
      <c r="B24262" s="3">
        <v>0</v>
      </c>
    </row>
    <row r="24263" ht="15.75" customHeight="1" spans="1:2">
      <c r="A24263" s="3" t="str">
        <f>IFERROR(__xludf.DUMMYFUNCTION("GOOGLETRANSLATE(A24263,""en"",""pt"")"),"taxa de quadros LCD lento em algumas condições.")</f>
        <v>taxa de quadros LCD lento em algumas condições.</v>
      </c>
      <c r="B24263" s="3">
        <v>0</v>
      </c>
    </row>
    <row r="24264" ht="15.75" customHeight="1" spans="1:2">
      <c r="A24264" s="3" t="str">
        <f>IFERROR(__xludf.DUMMYFUNCTION("GOOGLETRANSLATE(A24264,""en"",""pt"")"),"Alta rotação bateria, sem zoom, não pode se conectar diretamente para Macs")</f>
        <v>Alta rotação bateria, sem zoom, não pode se conectar diretamente para Macs</v>
      </c>
      <c r="B24264" s="3">
        <v>0</v>
      </c>
    </row>
    <row r="24265" ht="15.75" customHeight="1" spans="1:2">
      <c r="A24265" s="3" t="str">
        <f>IFERROR(__xludf.DUMMYFUNCTION("GOOGLETRANSLATE(A24265,""en"",""pt"")"),"vida útil da bateria")</f>
        <v>vida útil da bateria</v>
      </c>
      <c r="B24265" s="3">
        <v>0</v>
      </c>
    </row>
    <row r="24266" ht="15.75" customHeight="1" spans="1:2">
      <c r="A24266" s="3" t="str">
        <f>IFERROR(__xludf.DUMMYFUNCTION("GOOGLETRANSLATE(A24266,""en"",""pt"")"),"Reverte para o padrão de todos os power-baixo, má qualidade em menos do que ótima iluminação")</f>
        <v>Reverte para o padrão de todos os power-baixo, má qualidade em menos do que ótima iluminação</v>
      </c>
      <c r="B24266" s="3">
        <v>0</v>
      </c>
    </row>
    <row r="24267" ht="15.75" customHeight="1" spans="1:2">
      <c r="A24267" s="3" t="str">
        <f>IFERROR(__xludf.DUMMYFUNCTION("GOOGLETRANSLATE(A24267,""en"",""pt"")"),"Nada realmente sobre a própria câmera, mas os cartões de memória flash extras são meio' alto.")</f>
        <v>Nada realmente sobre a própria câmera, mas os cartões de memória flash extras são meio' alto.</v>
      </c>
      <c r="B24267" s="3">
        <v>0</v>
      </c>
    </row>
    <row r="24268" ht="15.75" customHeight="1" spans="1:2">
      <c r="A24268" s="3" t="str">
        <f>IFERROR(__xludf.DUMMYFUNCTION("GOOGLETRANSLATE(A24268,""en"",""pt"")"),"Você passa por muitas baterias, não pode usar as recarregáveis")</f>
        <v>Você passa por muitas baterias, não pode usar as recarregáveis</v>
      </c>
      <c r="B24268" s="3">
        <v>0</v>
      </c>
    </row>
    <row r="24269" ht="15.75" customHeight="1" spans="1:2">
      <c r="A24269" s="3" t="str">
        <f>IFERROR(__xludf.DUMMYFUNCTION("GOOGLETRANSLATE(A24269,""en"",""pt"")"),"Só vem com 4MB CF, a vida da bateria extremamente curto.")</f>
        <v>Só vem com 4MB CF, a vida da bateria extremamente curto.</v>
      </c>
      <c r="B24269" s="3">
        <v>0</v>
      </c>
    </row>
    <row r="24270" ht="15.75" customHeight="1" spans="1:2">
      <c r="A24270" s="3" t="str">
        <f>IFERROR(__xludf.DUMMYFUNCTION("GOOGLETRANSLATE(A24270,""en"",""pt"")"),"Volumoso ... bom se você é um homem ... também isso não vai trabalhar imediatamente com o Windows ME!")</f>
        <v>Volumoso ... bom se você é um homem ... também isso não vai trabalhar imediatamente com o Windows ME!</v>
      </c>
      <c r="B24270" s="3">
        <v>0</v>
      </c>
    </row>
    <row r="24271" ht="15.75" customHeight="1" spans="1:2">
      <c r="A24271" s="3" t="str">
        <f>IFERROR(__xludf.DUMMYFUNCTION("GOOGLETRANSLATE(A24271,""en"",""pt"")"),"precisa de um caso de vir com ele; difícil ver foto na luz solar")</f>
        <v>precisa de um caso de vir com ele; difícil ver foto na luz solar</v>
      </c>
      <c r="B24271" s="3">
        <v>0</v>
      </c>
    </row>
    <row r="24272" ht="15.75" customHeight="1" spans="1:2">
      <c r="A24272" s="3" t="str">
        <f>IFERROR(__xludf.DUMMYFUNCTION("GOOGLETRANSLATE(A24272,""en"",""pt"")"),"obturador lento")</f>
        <v>obturador lento</v>
      </c>
      <c r="B24272" s="3">
        <v>0</v>
      </c>
    </row>
    <row r="24273" ht="15.75" customHeight="1" spans="1:2">
      <c r="A24273" s="3" t="str">
        <f>IFERROR(__xludf.DUMMYFUNCTION("GOOGLETRANSLATE(A24273,""en"",""pt"")"),"A câmara não consegue usar adequadamente os cartões de memória de grande porte.")</f>
        <v>A câmara não consegue usar adequadamente os cartões de memória de grande porte.</v>
      </c>
      <c r="B24273" s="3">
        <v>0</v>
      </c>
    </row>
    <row r="24274" ht="15.75" customHeight="1" spans="1:2">
      <c r="A24274" s="3" t="str">
        <f>IFERROR(__xludf.DUMMYFUNCTION("GOOGLETRANSLATE(A24274,""en"",""pt"")"),"Nenhum para o que eu preciso da câmera para.")</f>
        <v>Nenhum para o que eu preciso da câmera para.</v>
      </c>
      <c r="B24274" s="3">
        <v>0</v>
      </c>
    </row>
    <row r="24275" ht="15.75" customHeight="1" spans="1:2">
      <c r="A24275" s="3" t="str">
        <f>IFERROR(__xludf.DUMMYFUNCTION("GOOGLETRANSLATE(A24275,""en"",""pt"")"),"vida útil da bateria")</f>
        <v>vida útil da bateria</v>
      </c>
      <c r="B24275" s="3">
        <v>0</v>
      </c>
    </row>
    <row r="24276" ht="15.75" customHeight="1" spans="1:2">
      <c r="A24276" s="3" t="str">
        <f>IFERROR(__xludf.DUMMYFUNCTION("GOOGLETRANSLATE(A24276,""en"",""pt"")"),"Má qualidade de imagem, velocidade muito lenta entre as imagens, bastante grande, sem zoom")</f>
        <v>Má qualidade de imagem, velocidade muito lenta entre as imagens, bastante grande, sem zoom</v>
      </c>
      <c r="B24276" s="3">
        <v>0</v>
      </c>
    </row>
    <row r="24277" ht="15.75" customHeight="1" spans="1:2">
      <c r="A24277" s="3" t="str">
        <f>IFERROR(__xludf.DUMMYFUNCTION("GOOGLETRANSLATE(A24277,""en"",""pt"")"),"O zoom digital não é grande")</f>
        <v>O zoom digital não é grande</v>
      </c>
      <c r="B24277" s="3">
        <v>0</v>
      </c>
    </row>
    <row r="24278" ht="15.75" customHeight="1" spans="1:2">
      <c r="A24278" s="3" t="str">
        <f>IFERROR(__xludf.DUMMYFUNCTION("GOOGLETRANSLATE(A24278,""en"",""pt"")"),"recuperação lenta para filmar um outro tiro.")</f>
        <v>recuperação lenta para filmar um outro tiro.</v>
      </c>
      <c r="B24278" s="3">
        <v>0</v>
      </c>
    </row>
    <row r="24279" ht="15.75" customHeight="1" spans="1:2">
      <c r="A24279" s="3" t="str">
        <f>IFERROR(__xludf.DUMMYFUNCTION("GOOGLETRANSLATE(A24279,""en"",""pt"")"),"escorredor de bateria")</f>
        <v>escorredor de bateria</v>
      </c>
      <c r="B24279" s="3">
        <v>0</v>
      </c>
    </row>
    <row r="24280" ht="15.75" customHeight="1" spans="1:2">
      <c r="A24280" s="3" t="str">
        <f>IFERROR(__xludf.DUMMYFUNCTION("GOOGLETRANSLATE(A24280,""en"",""pt"")"),"lentes pequenas, imagens granuladas")</f>
        <v>lentes pequenas, imagens granuladas</v>
      </c>
      <c r="B24280" s="3">
        <v>0</v>
      </c>
    </row>
    <row r="24281" ht="15.75" customHeight="1" spans="1:2">
      <c r="A24281" s="3" t="str">
        <f>IFERROR(__xludf.DUMMYFUNCTION("GOOGLETRANSLATE(A24281,""en"",""pt"")"),"baterias de baixa resolução, sem zoom óptico, e come")</f>
        <v>baterias de baixa resolução, sem zoom óptico, e come</v>
      </c>
      <c r="B24281" s="3">
        <v>0</v>
      </c>
    </row>
    <row r="24282" ht="15.75" customHeight="1" spans="1:2">
      <c r="A24282" s="3" t="str">
        <f>IFERROR(__xludf.DUMMYFUNCTION("GOOGLETRANSLATE(A24282,""en"",""pt"")"),"-Imagens às vezes pode olhar pixelizada (Não Clear), -Pilhas drenar rapidamente")</f>
        <v>-Imagens às vezes pode olhar pixelizada (Não Clear), -Pilhas drenar rapidamente</v>
      </c>
      <c r="B24282" s="3">
        <v>0</v>
      </c>
    </row>
    <row r="24283" ht="15.75" customHeight="1" spans="1:2">
      <c r="A24283" s="3" t="str">
        <f>IFERROR(__xludf.DUMMYFUNCTION("GOOGLETRANSLATE(A24283,""en"",""pt"")"),"Lento para tirar uma foto, por vezes,")</f>
        <v>Lento para tirar uma foto, por vezes,</v>
      </c>
      <c r="B24283" s="3">
        <v>0</v>
      </c>
    </row>
    <row r="24284" ht="15.75" customHeight="1" spans="1:2">
      <c r="A24284" s="3" t="str">
        <f>IFERROR(__xludf.DUMMYFUNCTION("GOOGLETRANSLATE(A24284,""en"",""pt"")"),"O zoom não funciona muito boa, difícil de encontrar acessórios, um pouco volumosos")</f>
        <v>O zoom não funciona muito boa, difícil de encontrar acessórios, um pouco volumosos</v>
      </c>
      <c r="B24284" s="3">
        <v>0</v>
      </c>
    </row>
    <row r="24285" ht="15.75" customHeight="1" spans="1:2">
      <c r="A24285" s="3" t="str">
        <f>IFERROR(__xludf.DUMMYFUNCTION("GOOGLETRANSLATE(A24285,""en"",""pt"")"),"sooo lento para tirar fotos, a vida curta da bateria")</f>
        <v>sooo lento para tirar fotos, a vida curta da bateria</v>
      </c>
      <c r="B24285" s="3">
        <v>0</v>
      </c>
    </row>
    <row r="24286" ht="15.75" customHeight="1" spans="1:2">
      <c r="A24286" s="3" t="str">
        <f>IFERROR(__xludf.DUMMYFUNCTION("GOOGLETRANSLATE(A24286,""en"",""pt"")"),"nenhum notado")</f>
        <v>nenhum notado</v>
      </c>
      <c r="B24286" s="3">
        <v>0</v>
      </c>
    </row>
    <row r="24287" ht="15.75" customHeight="1" spans="1:2">
      <c r="A24287" s="3" t="str">
        <f>IFERROR(__xludf.DUMMYFUNCTION("GOOGLETRANSLATE(A24287,""en"",""pt"")"),"controles horrível vida por bateria zoom digital de baixa do obturador defasagens-top dim")</f>
        <v>controles horrível vida por bateria zoom digital de baixa do obturador defasagens-top dim</v>
      </c>
      <c r="B24287" s="3">
        <v>0</v>
      </c>
    </row>
    <row r="24288" ht="15.75" customHeight="1" spans="1:2">
      <c r="A24288" s="3" t="str">
        <f>IFERROR(__xludf.DUMMYFUNCTION("GOOGLETRANSLATE(A24288,""en"",""pt"")"),"Não é compatível com Windows ME")</f>
        <v>Não é compatível com Windows ME</v>
      </c>
      <c r="B24288" s="3">
        <v>0</v>
      </c>
    </row>
    <row r="24289" ht="15.75" customHeight="1" spans="1:2">
      <c r="A24289" s="3" t="str">
        <f>IFERROR(__xludf.DUMMYFUNCTION("GOOGLETRANSLATE(A24289,""en"",""pt"")"),"A maioria das imagens saem borradas, má qualidade em condições de pouca iluminação, BAD fechar a tiros!")</f>
        <v>A maioria das imagens saem borradas, má qualidade em condições de pouca iluminação, BAD fechar a tiros!</v>
      </c>
      <c r="B24289" s="3">
        <v>0</v>
      </c>
    </row>
    <row r="24290" ht="15.75" customHeight="1" spans="1:2">
      <c r="A24290" s="3" t="str">
        <f>IFERROR(__xludf.DUMMYFUNCTION("GOOGLETRANSLATE(A24290,""en"",""pt"")"),"Volumoso, pesado, Battery Eater")</f>
        <v>Volumoso, pesado, Battery Eater</v>
      </c>
      <c r="B24290" s="3">
        <v>0</v>
      </c>
    </row>
    <row r="24291" ht="15.75" customHeight="1" spans="1:2">
      <c r="A24291" s="3" t="str">
        <f>IFERROR(__xludf.DUMMYFUNCTION("GOOGLETRANSLATE(A24291,""en"",""pt"")"),"Sem zoom óptico, sem / adaptador c, obturador lento")</f>
        <v>Sem zoom óptico, sem / adaptador c, obturador lento</v>
      </c>
      <c r="B24291" s="3">
        <v>0</v>
      </c>
    </row>
    <row r="24292" ht="15.75" customHeight="1" spans="1:2">
      <c r="A24292" s="3" t="str">
        <f>IFERROR(__xludf.DUMMYFUNCTION("GOOGLETRANSLATE(A24292,""en"",""pt"")"),"Falta de auto-timer.")</f>
        <v>Falta de auto-timer.</v>
      </c>
      <c r="B24292" s="3">
        <v>0</v>
      </c>
    </row>
    <row r="24293" ht="15.75" customHeight="1" spans="1:2">
      <c r="A24293" s="3" t="str">
        <f>IFERROR(__xludf.DUMMYFUNCTION("GOOGLETRANSLATE(A24293,""en"",""pt"")"),"zoom digital = por que se preocupar?")</f>
        <v>zoom digital = por que se preocupar?</v>
      </c>
      <c r="B24293" s="3">
        <v>0</v>
      </c>
    </row>
    <row r="24294" ht="15.75" customHeight="1" spans="1:2">
      <c r="A24294" s="3" t="str">
        <f>IFERROR(__xludf.DUMMYFUNCTION("GOOGLETRANSLATE(A24294,""en"",""pt"")"),"não vem com adaptador")</f>
        <v>não vem com adaptador</v>
      </c>
      <c r="B24294" s="3">
        <v>0</v>
      </c>
    </row>
    <row r="24295" ht="15.75" customHeight="1" spans="1:2">
      <c r="A24295" s="3" t="str">
        <f>IFERROR(__xludf.DUMMYFUNCTION("GOOGLETRANSLATE(A24295,""en"",""pt"")"),"Sem Zoom Óptico, Alkalines não duram muito tempo, prestar atenção para os conflitos no set-up inicial")</f>
        <v>Sem Zoom Óptico, Alkalines não duram muito tempo, prestar atenção para os conflitos no set-up inicial</v>
      </c>
      <c r="B24295" s="3">
        <v>0</v>
      </c>
    </row>
    <row r="24296" ht="15.75" customHeight="1" spans="1:2">
      <c r="A24296" s="3" t="str">
        <f>IFERROR(__xludf.DUMMYFUNCTION("GOOGLETRANSLATE(A24296,""en"",""pt"")"),"Vida útil da bateria, zoom inadequada")</f>
        <v>Vida útil da bateria, zoom inadequada</v>
      </c>
      <c r="B24296" s="3">
        <v>0</v>
      </c>
    </row>
    <row r="24297" ht="15.75" customHeight="1" spans="1:2">
      <c r="A24297" s="3" t="str">
        <f>IFERROR(__xludf.DUMMYFUNCTION("GOOGLETRANSLATE(A24297,""en"",""pt"")"),"Come-se baterias, sem um adaptador de A / C, não há saída de vídeo")</f>
        <v>Come-se baterias, sem um adaptador de A / C, não há saída de vídeo</v>
      </c>
      <c r="B24297" s="3">
        <v>0</v>
      </c>
    </row>
    <row r="24298" ht="15.75" customHeight="1" spans="1:2">
      <c r="A24298" s="3" t="str">
        <f>IFERROR(__xludf.DUMMYFUNCTION("GOOGLETRANSLATE(A24298,""en"",""pt"")"),"Não outlets de vídeo. adaptador no A / C.")</f>
        <v>Não outlets de vídeo. adaptador no A / C.</v>
      </c>
      <c r="B24298" s="3">
        <v>0</v>
      </c>
    </row>
    <row r="24299" ht="15.75" customHeight="1" spans="1:2">
      <c r="A24299" s="3" t="str">
        <f>IFERROR(__xludf.DUMMYFUNCTION("GOOGLETRANSLATE(A24299,""en"",""pt"")"),"Um pouco estranho espera por tiros verticais; lenta recuperação entre tiros.")</f>
        <v>Um pouco estranho espera por tiros verticais; lenta recuperação entre tiros.</v>
      </c>
      <c r="B24299" s="3">
        <v>0</v>
      </c>
    </row>
    <row r="24300" ht="15.75" customHeight="1" spans="1:2">
      <c r="A24300" s="3" t="str">
        <f>IFERROR(__xludf.DUMMYFUNCTION("GOOGLETRANSLATE(A24300,""en"",""pt"")"),"chip de memória muito pequena, nenhum adaptador AC incluído.")</f>
        <v>chip de memória muito pequena, nenhum adaptador AC incluído.</v>
      </c>
      <c r="B24300" s="3">
        <v>0</v>
      </c>
    </row>
    <row r="24301" ht="15.75" customHeight="1" spans="1:2">
      <c r="A24301" s="3" t="str">
        <f>IFERROR(__xludf.DUMMYFUNCTION("GOOGLETRANSLATE(A24301,""en"",""pt"")"),"Não compre esta câmera se você tem XP ou Windows 2000.")</f>
        <v>Não compre esta câmera se você tem XP ou Windows 2000.</v>
      </c>
      <c r="B24301" s="3">
        <v>0</v>
      </c>
    </row>
    <row r="24302" ht="15.75" customHeight="1" spans="1:2">
      <c r="A24302" s="3" t="str">
        <f>IFERROR(__xludf.DUMMYFUNCTION("GOOGLETRANSLATE(A24302,""en"",""pt"")"),"uso extensivo LCD drena as baterias rapidamente")</f>
        <v>uso extensivo LCD drena as baterias rapidamente</v>
      </c>
      <c r="B24302" s="3">
        <v>0</v>
      </c>
    </row>
    <row r="24303" ht="15.75" customHeight="1" spans="1:2">
      <c r="A24303" s="3" t="str">
        <f>IFERROR(__xludf.DUMMYFUNCTION("GOOGLETRANSLATE(A24303,""en"",""pt"")"),"Realiza moderada a pobre em condições de baixa iluminação, mesmo com flash")</f>
        <v>Realiza moderada a pobre em condições de baixa iluminação, mesmo com flash</v>
      </c>
      <c r="B24303" s="3">
        <v>0</v>
      </c>
    </row>
    <row r="24304" ht="15.75" customHeight="1" spans="1:2">
      <c r="A24304" s="3" t="str">
        <f>IFERROR(__xludf.DUMMYFUNCTION("GOOGLETRANSLATE(A24304,""en"",""pt"")"),"cartão inadequada, caso não incluído, a vida da bateria 8 MB CompactFlash Curto")</f>
        <v>cartão inadequada, caso não incluído, a vida da bateria 8 MB CompactFlash Curto</v>
      </c>
      <c r="B24304" s="3">
        <v>0</v>
      </c>
    </row>
    <row r="24305" ht="15.75" customHeight="1" spans="1:2">
      <c r="A24305" s="3" t="str">
        <f>IFERROR(__xludf.DUMMYFUNCTION("GOOGLETRANSLATE(A24305,""en"",""pt"")"),"qualidade de imagem LCD poderia ser melhor.")</f>
        <v>qualidade de imagem LCD poderia ser melhor.</v>
      </c>
      <c r="B24305" s="3">
        <v>0</v>
      </c>
    </row>
    <row r="24306" ht="15.75" customHeight="1" spans="1:2">
      <c r="A24306" s="3" t="str">
        <f>IFERROR(__xludf.DUMMYFUNCTION("GOOGLETRANSLATE(A24306,""en"",""pt"")"),"vida curta da bateria, sem um adaptador de A / C incluído")</f>
        <v>vida curta da bateria, sem um adaptador de A / C incluído</v>
      </c>
      <c r="B24306" s="3">
        <v>0</v>
      </c>
    </row>
    <row r="24307" ht="15.75" customHeight="1" spans="1:2">
      <c r="A24307" s="3" t="str">
        <f>IFERROR(__xludf.DUMMYFUNCTION("GOOGLETRANSLATE(A24307,""en"",""pt"")"),"Vem com pequena quantidade de memória (8MB); Não construído em baterias recarregáveis.")</f>
        <v>Vem com pequena quantidade de memória (8MB); Não construído em baterias recarregáveis.</v>
      </c>
      <c r="B24307" s="3">
        <v>0</v>
      </c>
    </row>
    <row r="24308" ht="15.75" customHeight="1" spans="1:2">
      <c r="A24308" s="3" t="str">
        <f>IFERROR(__xludf.DUMMYFUNCTION("GOOGLETRANSLATE(A24308,""en"",""pt"")"),"tudo o resto, não duráveis ​​em tudo. uso a curto prazo.")</f>
        <v>tudo o resto, não duráveis ​​em tudo. uso a curto prazo.</v>
      </c>
      <c r="B24308" s="3">
        <v>0</v>
      </c>
    </row>
    <row r="24309" ht="15.75" customHeight="1" spans="1:2">
      <c r="A24309" s="3" t="str">
        <f>IFERROR(__xludf.DUMMYFUNCTION("GOOGLETRANSLATE(A24309,""en"",""pt"")"),"Se você quer uma teleobjectiva ou lente grande-angular, você tem que gastar dólares adicionais.")</f>
        <v>Se você quer uma teleobjectiva ou lente grande-angular, você tem que gastar dólares adicionais.</v>
      </c>
      <c r="B24309" s="3">
        <v>0</v>
      </c>
    </row>
    <row r="24310" ht="15.75" customHeight="1" spans="1:2">
      <c r="A24310" s="3" t="str">
        <f>IFERROR(__xludf.DUMMYFUNCTION("GOOGLETRANSLATE(A24310,""en"",""pt"")"),"Nenhum")</f>
        <v>Nenhum</v>
      </c>
      <c r="B24310" s="3">
        <v>0</v>
      </c>
    </row>
    <row r="24311" ht="15.75" customHeight="1" spans="1:2">
      <c r="A24311" s="3" t="str">
        <f>IFERROR(__xludf.DUMMYFUNCTION("GOOGLETRANSLATE(A24311,""en"",""pt"")"),"2 .5x zoom, caro memória flash compacto, e um pouco caro")</f>
        <v>2 .5x zoom, caro memória flash compacto, e um pouco caro</v>
      </c>
      <c r="B24311" s="3">
        <v>0</v>
      </c>
    </row>
    <row r="24312" ht="15.75" customHeight="1" spans="1:2">
      <c r="A24312" s="3" t="str">
        <f>IFERROR(__xludf.DUMMYFUNCTION("GOOGLETRANSLATE(A24312,""en"",""pt"")"),"falta de poder? não o suficiente para o preço")</f>
        <v>falta de poder? não o suficiente para o preço</v>
      </c>
      <c r="B24312" s="3">
        <v>0</v>
      </c>
    </row>
    <row r="24313" ht="15.75" customHeight="1" spans="1:2">
      <c r="A24313" s="3" t="str">
        <f>IFERROR(__xludf.DUMMYFUNCTION("GOOGLETRANSLATE(A24313,""en"",""pt"")"),"zoom pode ser uma dor, uso de bateria")</f>
        <v>zoom pode ser uma dor, uso de bateria</v>
      </c>
      <c r="B24313" s="3">
        <v>0</v>
      </c>
    </row>
    <row r="24314" ht="15.75" customHeight="1" spans="1:2">
      <c r="A24314" s="3" t="str">
        <f>IFERROR(__xludf.DUMMYFUNCTION("GOOGLETRANSLATE(A24314,""en"",""pt"")"),"Adora comer baterias. Mas, novamente, o dispositivo eletrônico não?")</f>
        <v>Adora comer baterias. Mas, novamente, o dispositivo eletrônico não?</v>
      </c>
      <c r="B24314" s="3">
        <v>0</v>
      </c>
    </row>
    <row r="24315" ht="15.75" customHeight="1" spans="1:2">
      <c r="A24315" s="3" t="str">
        <f>IFERROR(__xludf.DUMMYFUNCTION("GOOGLETRANSLATE(A24315,""en"",""pt"")"),"zoom, atraso antes que a foto é tirada e duração da bateria")</f>
        <v>zoom, atraso antes que a foto é tirada e duração da bateria</v>
      </c>
      <c r="B24315" s="3">
        <v>0</v>
      </c>
    </row>
    <row r="24316" ht="15.75" customHeight="1" spans="1:2">
      <c r="A24316" s="3" t="str">
        <f>IFERROR(__xludf.DUMMYFUNCTION("GOOGLETRANSLATE(A24316,""en"",""pt"")"),"2,5x zoom não é muito útil")</f>
        <v>2,5x zoom não é muito útil</v>
      </c>
      <c r="B24316" s="3">
        <v>0</v>
      </c>
    </row>
    <row r="24317" ht="15.75" customHeight="1" spans="1:2">
      <c r="A24317" s="3" t="str">
        <f>IFERROR(__xludf.DUMMYFUNCTION("GOOGLETRANSLATE(A24317,""en"",""pt"")"),"Tal como acontece com todas as digitals, o uso do LCD mata baterias")</f>
        <v>Tal como acontece com todas as digitals, o uso do LCD mata baterias</v>
      </c>
      <c r="B24317" s="3">
        <v>0</v>
      </c>
    </row>
    <row r="24318" ht="15.75" customHeight="1" spans="1:2">
      <c r="A24318" s="3" t="str">
        <f>IFERROR(__xludf.DUMMYFUNCTION("GOOGLETRANSLATE(A24318,""en"",""pt"")"),"zoom digital distorce pixels")</f>
        <v>zoom digital distorce pixels</v>
      </c>
      <c r="B24318" s="3">
        <v>0</v>
      </c>
    </row>
    <row r="24319" ht="15.75" customHeight="1" spans="1:2">
      <c r="A24319" s="3" t="str">
        <f>IFERROR(__xludf.DUMMYFUNCTION("GOOGLETRANSLATE(A24319,""en"",""pt"")"),"não vem com um cabo de alimentação")</f>
        <v>não vem com um cabo de alimentação</v>
      </c>
      <c r="B24319" s="3">
        <v>0</v>
      </c>
    </row>
    <row r="24320" ht="15.75" customHeight="1" spans="1:2">
      <c r="A24320" s="3" t="str">
        <f>IFERROR(__xludf.DUMMYFUNCTION("GOOGLETRANSLATE(A24320,""en"",""pt"")"),"reprodução de cores pobre, alto uso da bateria")</f>
        <v>reprodução de cores pobre, alto uso da bateria</v>
      </c>
      <c r="B24320" s="3">
        <v>0</v>
      </c>
    </row>
    <row r="24321" ht="15.75" customHeight="1" spans="1:2">
      <c r="A24321" s="3" t="str">
        <f>IFERROR(__xludf.DUMMYFUNCTION("GOOGLETRANSLATE(A24321,""en"",""pt"")"),"visor pode ser um pouco mais claro, há ajustes ISO")</f>
        <v>visor pode ser um pouco mais claro, há ajustes ISO</v>
      </c>
      <c r="B24321" s="3">
        <v>0</v>
      </c>
    </row>
    <row r="24322" ht="15.75" customHeight="1" spans="1:2">
      <c r="A24322" s="3" t="str">
        <f>IFERROR(__xludf.DUMMYFUNCTION("GOOGLETRANSLATE(A24322,""en"",""pt"")"),"não para os profissionais, adaptador ou caso não incluídos, zoom digital carece de definição")</f>
        <v>não para os profissionais, adaptador ou caso não incluídos, zoom digital carece de definição</v>
      </c>
      <c r="B24322" s="3">
        <v>0</v>
      </c>
    </row>
    <row r="24323" ht="15.75" customHeight="1" spans="1:2">
      <c r="A24323" s="3" t="str">
        <f>IFERROR(__xludf.DUMMYFUNCTION("GOOGLETRANSLATE(A24323,""en"",""pt"")"),"Nenhum / adaptador C, não há saída de vídeo normalizado A")</f>
        <v>Nenhum / adaptador C, não há saída de vídeo normalizado A</v>
      </c>
      <c r="B24323" s="3">
        <v>0</v>
      </c>
    </row>
    <row r="24324" ht="15.75" customHeight="1" spans="1:2">
      <c r="A24324" s="3" t="str">
        <f>IFERROR(__xludf.DUMMYFUNCTION("GOOGLETRANSLATE(A24324,""en"",""pt"")"),"Vem w / única flash de 8 MB, algumas fotos borradas")</f>
        <v>Vem w / única flash de 8 MB, algumas fotos borradas</v>
      </c>
      <c r="B24324" s="3">
        <v>0</v>
      </c>
    </row>
    <row r="24325" ht="15.75" customHeight="1" spans="1:2">
      <c r="A24325" s="3" t="str">
        <f>IFERROR(__xludf.DUMMYFUNCTION("GOOGLETRANSLATE(A24325,""en"",""pt"")"),"mata baterias, único cartão de memória de 8 MB")</f>
        <v>mata baterias, único cartão de memória de 8 MB</v>
      </c>
      <c r="B24325" s="3">
        <v>0</v>
      </c>
    </row>
    <row r="24326" ht="15.75" customHeight="1" spans="1:2">
      <c r="A24326" s="3" t="str">
        <f>IFERROR(__xludf.DUMMYFUNCTION("GOOGLETRANSLATE(A24326,""en"",""pt"")"),"Adora comer Baterias!")</f>
        <v>Adora comer Baterias!</v>
      </c>
      <c r="B24326" s="3">
        <v>0</v>
      </c>
    </row>
    <row r="24327" ht="15.75" customHeight="1" spans="1:2">
      <c r="A24327" s="3" t="str">
        <f>IFERROR(__xludf.DUMMYFUNCTION("GOOGLETRANSLATE(A24327,""en"",""pt"")"),"zoom Granulado, acessórios caros")</f>
        <v>zoom Granulado, acessórios caros</v>
      </c>
      <c r="B24327" s="3">
        <v>0</v>
      </c>
    </row>
    <row r="24328" ht="15.75" customHeight="1" spans="1:2">
      <c r="A24328" s="3" t="str">
        <f>IFERROR(__xludf.DUMMYFUNCTION("GOOGLETRANSLATE(A24328,""en"",""pt"")"),"cartões flash caros")</f>
        <v>cartões flash caros</v>
      </c>
      <c r="B24328" s="3">
        <v>0</v>
      </c>
    </row>
    <row r="24329" ht="15.75" customHeight="1" spans="1:2">
      <c r="A24329" s="3" t="str">
        <f>IFERROR(__xludf.DUMMYFUNCTION("GOOGLETRANSLATE(A24329,""en"",""pt"")"),"Sem zoom óptico; Não é possível armazenar imagens em formato não comprimido.")</f>
        <v>Sem zoom óptico; Não é possível armazenar imagens em formato não comprimido.</v>
      </c>
      <c r="B24329" s="3">
        <v>0</v>
      </c>
    </row>
    <row r="24330" ht="15.75" customHeight="1" spans="1:2">
      <c r="A24330" s="3" t="str">
        <f>IFERROR(__xludf.DUMMYFUNCTION("GOOGLETRANSLATE(A24330,""en"",""pt"")"),"Qualidade de imagem, a vida da bateria, suporte técnico, TUDO AUTOMATIC")</f>
        <v>Qualidade de imagem, a vida da bateria, suporte técnico, TUDO AUTOMATIC</v>
      </c>
      <c r="B24330" s="3">
        <v>0</v>
      </c>
    </row>
    <row r="24331" ht="15.75" customHeight="1" spans="1:2">
      <c r="A24331" s="3" t="str">
        <f>IFERROR(__xludf.DUMMYFUNCTION("GOOGLETRANSLATE(A24331,""en"",""pt"")"),"Come-se as baterias &amp; amp; # 13; &amp; amp; # 10; precisa mais do que um zoom 2,5")</f>
        <v>Come-se as baterias &amp; amp; # 13; &amp; amp; # 10; precisa mais do que um zoom 2,5</v>
      </c>
      <c r="B24331" s="3">
        <v>0</v>
      </c>
    </row>
    <row r="24332" ht="15.75" customHeight="1" spans="1:2">
      <c r="A24332" s="3" t="str">
        <f>IFERROR(__xludf.DUMMYFUNCTION("GOOGLETRANSLATE(A24332,""en"",""pt"")"),"Algumas imagens são borradas em determinadas distâncias. Um pouco granulado em certa luz.")</f>
        <v>Algumas imagens são borradas em determinadas distâncias. Um pouco granulado em certa luz.</v>
      </c>
      <c r="B24332" s="3">
        <v>0</v>
      </c>
    </row>
    <row r="24333" ht="15.75" customHeight="1" spans="1:2">
      <c r="A24333" s="3" t="str">
        <f>IFERROR(__xludf.DUMMYFUNCTION("GOOGLETRANSLATE(A24333,""en"",""pt"")"),"Nenhum")</f>
        <v>Nenhum</v>
      </c>
      <c r="B24333" s="3">
        <v>0</v>
      </c>
    </row>
    <row r="24334" ht="15.75" customHeight="1" spans="1:2">
      <c r="A24334" s="3" t="str">
        <f>IFERROR(__xludf.DUMMYFUNCTION("GOOGLETRANSLATE(A24334,""en"",""pt"")"),"Nenhum adaptador, caso câmera etc.")</f>
        <v>Nenhum adaptador, caso câmera etc.</v>
      </c>
      <c r="B24334" s="3">
        <v>0</v>
      </c>
    </row>
    <row r="24335" ht="15.75" customHeight="1" spans="1:2">
      <c r="A24335" s="3" t="str">
        <f>IFERROR(__xludf.DUMMYFUNCTION("GOOGLETRANSLATE(A24335,""en"",""pt"")"),"Alta capacidade cartões flash compactos são um pouco íngreme no preço.")</f>
        <v>Alta capacidade cartões flash compactos são um pouco íngreme no preço.</v>
      </c>
      <c r="B24335" s="3">
        <v>0</v>
      </c>
    </row>
    <row r="24336" ht="15.75" customHeight="1" spans="1:2">
      <c r="A24336" s="3" t="str">
        <f>IFERROR(__xludf.DUMMYFUNCTION("GOOGLETRANSLATE(A24336,""en"",""pt"")"),"não a melhor câmera digital disponível se o seu um profissional.")</f>
        <v>não a melhor câmera digital disponível se o seu um profissional.</v>
      </c>
      <c r="B24336" s="3">
        <v>0</v>
      </c>
    </row>
    <row r="24337" ht="15.75" customHeight="1" spans="1:2">
      <c r="A24337" s="3" t="str">
        <f>IFERROR(__xludf.DUMMYFUNCTION("GOOGLETRANSLATE(A24337,""en"",""pt"")"),"Sem zoom óptico")</f>
        <v>Sem zoom óptico</v>
      </c>
      <c r="B24337" s="3">
        <v>0</v>
      </c>
    </row>
    <row r="24338" ht="15.75" customHeight="1" spans="1:2">
      <c r="A24338" s="3" t="str">
        <f>IFERROR(__xludf.DUMMYFUNCTION("GOOGLETRANSLATE(A24338,""en"",""pt"")"),"Não há recursos manuais. fonte de alimentação AC é uma opção que deveria ter sido incluída.")</f>
        <v>Não há recursos manuais. fonte de alimentação AC é uma opção que deveria ter sido incluída.</v>
      </c>
      <c r="B24338" s="3">
        <v>0</v>
      </c>
    </row>
    <row r="24339" ht="15.75" customHeight="1" spans="1:2">
      <c r="A24339" s="3" t="str">
        <f>IFERROR(__xludf.DUMMYFUNCTION("GOOGLETRANSLATE(A24339,""en"",""pt"")"),"Sem zoom")</f>
        <v>Sem zoom</v>
      </c>
      <c r="B24339" s="3">
        <v>0</v>
      </c>
    </row>
    <row r="24340" ht="15.75" customHeight="1" spans="1:2">
      <c r="A24340" s="3" t="str">
        <f>IFERROR(__xludf.DUMMYFUNCTION("GOOGLETRANSLATE(A24340,""en"",""pt"")"),"Caro, considerando que não vem com adaptador AC ou bom editor de fotos.")</f>
        <v>Caro, considerando que não vem com adaptador AC ou bom editor de fotos.</v>
      </c>
      <c r="B24340" s="3">
        <v>0</v>
      </c>
    </row>
    <row r="24341" ht="15.75" customHeight="1" spans="1:2">
      <c r="A24341" s="3" t="str">
        <f>IFERROR(__xludf.DUMMYFUNCTION("GOOGLETRANSLATE(A24341,""en"",""pt"")"),"sem um cabo / c, controles de zoom ruins, LCD difícil ver")</f>
        <v>sem um cabo / c, controles de zoom ruins, LCD difícil ver</v>
      </c>
      <c r="B24341" s="3">
        <v>0</v>
      </c>
    </row>
    <row r="24342" ht="15.75" customHeight="1" spans="1:2">
      <c r="A24342" s="3" t="str">
        <f>IFERROR(__xludf.DUMMYFUNCTION("GOOGLETRANSLATE(A24342,""en"",""pt"")"),"Baterias ir para rapidamente!")</f>
        <v>Baterias ir para rapidamente!</v>
      </c>
      <c r="B24342" s="3">
        <v>0</v>
      </c>
    </row>
    <row r="24343" ht="15.75" customHeight="1" spans="1:2">
      <c r="A24343" s="3" t="str">
        <f>IFERROR(__xludf.DUMMYFUNCTION("GOOGLETRANSLATE(A24343,""en"",""pt"")"),"fotos pouco claras, tempo de espera, o uso da bateria,")</f>
        <v>fotos pouco claras, tempo de espera, o uso da bateria,</v>
      </c>
      <c r="B24343" s="3">
        <v>0</v>
      </c>
    </row>
    <row r="24344" ht="15.75" customHeight="1" spans="1:2">
      <c r="A24344" s="3" t="str">
        <f>IFERROR(__xludf.DUMMYFUNCTION("GOOGLETRANSLATE(A24344,""en"",""pt"")"),"Uso de lente zoom cria fotos que são menos de sharp")</f>
        <v>Uso de lente zoom cria fotos que são menos de sharp</v>
      </c>
      <c r="B24344" s="3">
        <v>0</v>
      </c>
    </row>
    <row r="24345" ht="15.75" customHeight="1" spans="1:2">
      <c r="A24345" s="3" t="str">
        <f>IFERROR(__xludf.DUMMYFUNCTION("GOOGLETRANSLATE(A24345,""en"",""pt"")"),"Sem tampa da lente")</f>
        <v>Sem tampa da lente</v>
      </c>
      <c r="B24345" s="3">
        <v>0</v>
      </c>
    </row>
    <row r="24346" ht="15.75" customHeight="1" spans="1:2">
      <c r="A24346" s="3" t="str">
        <f>IFERROR(__xludf.DUMMYFUNCTION("GOOGLETRANSLATE(A24346,""en"",""pt"")"),"Sem tampa da lente, sem zoom óptico, a bateria fina e frágil e portas CF")</f>
        <v>Sem tampa da lente, sem zoom óptico, a bateria fina e frágil e portas CF</v>
      </c>
      <c r="B24346" s="3">
        <v>0</v>
      </c>
    </row>
    <row r="24347" ht="15.75" customHeight="1" spans="1:2">
      <c r="A24347" s="3" t="str">
        <f>IFERROR(__xludf.DUMMYFUNCTION("GOOGLETRANSLATE(A24347,""en"",""pt"")"),"No modo macro, nenhuma tampa da lente, zoom má qualidade")</f>
        <v>No modo macro, nenhuma tampa da lente, zoom má qualidade</v>
      </c>
      <c r="B24347" s="3">
        <v>0</v>
      </c>
    </row>
    <row r="24348" ht="15.75" customHeight="1" spans="1:2">
      <c r="A24348" s="3" t="str">
        <f>IFERROR(__xludf.DUMMYFUNCTION("GOOGLETRANSLATE(A24348,""en"",""pt"")"),"Teve um pouco de dificuldade com o software de conexão fornecido. Atraso de clique real / shoot é longa.")</f>
        <v>Teve um pouco de dificuldade com o software de conexão fornecido. Atraso de clique real / shoot é longa.</v>
      </c>
      <c r="B24348" s="3">
        <v>0</v>
      </c>
    </row>
    <row r="24349" ht="15.75" customHeight="1" spans="1:2">
      <c r="A24349" s="3" t="str">
        <f>IFERROR(__xludf.DUMMYFUNCTION("GOOGLETRANSLATE(A24349,""en"",""pt"")"),"olhos vermelhos, deve ter olhos vermelhos em ou você vai se arrepender")</f>
        <v>olhos vermelhos, deve ter olhos vermelhos em ou você vai se arrepender</v>
      </c>
      <c r="B24349" s="3">
        <v>0</v>
      </c>
    </row>
    <row r="24350" ht="15.75" customHeight="1" spans="1:2">
      <c r="A24350" s="3" t="str">
        <f>IFERROR(__xludf.DUMMYFUNCTION("GOOGLETRANSLATE(A24350,""en"",""pt"")"),"Nenhuma cobertura lense.")</f>
        <v>Nenhuma cobertura lense.</v>
      </c>
      <c r="B24350" s="3">
        <v>0</v>
      </c>
    </row>
    <row r="24351" ht="15.75" customHeight="1" spans="1:2">
      <c r="A24351" s="3" t="str">
        <f>IFERROR(__xludf.DUMMYFUNCTION("GOOGLETRANSLATE(A24351,""en"",""pt"")"),"No caso, não há tampa da lente")</f>
        <v>No caso, não há tampa da lente</v>
      </c>
      <c r="B24351" s="3">
        <v>0</v>
      </c>
    </row>
    <row r="24352" ht="15.75" customHeight="1" spans="1:2">
      <c r="A24352" s="3" t="str">
        <f>IFERROR(__xludf.DUMMYFUNCTION("GOOGLETRANSLATE(A24352,""en"",""pt"")"),"soltá-lo uma vez e ele está morto &amp; amp;. # 13; &amp; amp; # 10; aliasing em jpg.")</f>
        <v>soltá-lo uma vez e ele está morto &amp; amp;. # 13; &amp; amp; # 10; aliasing em jpg.</v>
      </c>
      <c r="B24352" s="3">
        <v>0</v>
      </c>
    </row>
    <row r="24353" ht="15.75" customHeight="1" spans="1:2">
      <c r="A24353" s="3" t="str">
        <f>IFERROR(__xludf.DUMMYFUNCTION("GOOGLETRANSLATE(A24353,""en"",""pt"")"),"Sem tampa da lente, a vida da bateria é horrível.")</f>
        <v>Sem tampa da lente, a vida da bateria é horrível.</v>
      </c>
      <c r="B24353" s="3">
        <v>0</v>
      </c>
    </row>
    <row r="24354" ht="15.75" customHeight="1" spans="1:2">
      <c r="A24354" s="3" t="str">
        <f>IFERROR(__xludf.DUMMYFUNCTION("GOOGLETRANSLATE(A24354,""en"",""pt"")"),"qualidade de imagem variável. vida útil da bateria rápida.")</f>
        <v>qualidade de imagem variável. vida útil da bateria rápida.</v>
      </c>
      <c r="B24354" s="3">
        <v>0</v>
      </c>
    </row>
    <row r="24355" ht="15.75" customHeight="1" spans="1:2">
      <c r="A24355" s="3" t="str">
        <f>IFERROR(__xludf.DUMMYFUNCTION("GOOGLETRANSLATE(A24355,""en"",""pt"")"),"não pode tomar contínuas pics, muito tempo para atirar")</f>
        <v>não pode tomar contínuas pics, muito tempo para atirar</v>
      </c>
      <c r="B24355" s="3">
        <v>0</v>
      </c>
    </row>
    <row r="24356" ht="15.75" customHeight="1" spans="1:2">
      <c r="A24356" s="3" t="str">
        <f>IFERROR(__xludf.DUMMYFUNCTION("GOOGLETRANSLATE(A24356,""en"",""pt"")"),"A vida da bateria, tela de lcd")</f>
        <v>A vida da bateria, tela de lcd</v>
      </c>
      <c r="B24356" s="3">
        <v>0</v>
      </c>
    </row>
    <row r="24357" ht="15.75" customHeight="1" spans="1:2">
      <c r="A24357" s="3" t="str">
        <f>IFERROR(__xludf.DUMMYFUNCTION("GOOGLETRANSLATE(A24357,""en"",""pt"")"),"A vida da bateria.")</f>
        <v>A vida da bateria.</v>
      </c>
      <c r="B24357" s="3">
        <v>0</v>
      </c>
    </row>
    <row r="24358" ht="15.75" customHeight="1" spans="1:2">
      <c r="A24358" s="3" t="str">
        <f>IFERROR(__xludf.DUMMYFUNCTION("GOOGLETRANSLATE(A24358,""en"",""pt"")"),"Sem tampa da lente, escorredor de bateria")</f>
        <v>Sem tampa da lente, escorredor de bateria</v>
      </c>
      <c r="B24358" s="3">
        <v>0</v>
      </c>
    </row>
    <row r="24359" ht="15.75" customHeight="1" spans="1:2">
      <c r="A24359" s="3" t="str">
        <f>IFERROR(__xludf.DUMMYFUNCTION("GOOGLETRANSLATE(A24359,""en"",""pt"")"),"Usa lotes de papel fotográfico (lol)")</f>
        <v>Usa lotes de papel fotográfico (lol)</v>
      </c>
      <c r="B24359" s="3">
        <v>0</v>
      </c>
    </row>
    <row r="24360" ht="15.75" customHeight="1" spans="1:2">
      <c r="A24360" s="3" t="str">
        <f>IFERROR(__xludf.DUMMYFUNCTION("GOOGLETRANSLATE(A24360,""en"",""pt"")"),"Hoje em dia, pode ser capaz de encontrar muito melhor para um pouco mais ???")</f>
        <v>Hoje em dia, pode ser capaz de encontrar muito melhor para um pouco mais ???</v>
      </c>
      <c r="B24360" s="3">
        <v>0</v>
      </c>
    </row>
    <row r="24361" ht="15.75" customHeight="1" spans="1:2">
      <c r="A24361" s="3" t="str">
        <f>IFERROR(__xludf.DUMMYFUNCTION("GOOGLETRANSLATE(A24361,""en"",""pt"")"),"Muito simples, um tanto lenta de focagem, funções NO avançadas.")</f>
        <v>Muito simples, um tanto lenta de focagem, funções NO avançadas.</v>
      </c>
      <c r="B24361" s="3">
        <v>0</v>
      </c>
    </row>
    <row r="24362" ht="15.75" customHeight="1" spans="1:2">
      <c r="A24362" s="3" t="str">
        <f>IFERROR(__xludf.DUMMYFUNCTION("GOOGLETRANSLATE(A24362,""en"",""pt"")"),"Baterias desaparecer rapidamente; pops da tampa da bateria abrir facilmente durante o uso")</f>
        <v>Baterias desaparecer rapidamente; pops da tampa da bateria abrir facilmente durante o uso</v>
      </c>
      <c r="B24362" s="3">
        <v>0</v>
      </c>
    </row>
    <row r="24363" ht="15.75" customHeight="1" spans="1:2">
      <c r="A24363" s="3" t="str">
        <f>IFERROR(__xludf.DUMMYFUNCTION("GOOGLETRANSLATE(A24363,""en"",""pt"")"),"Sem zoom não-digital, carece de sinos e assobios. Lento dados X-fer e salvar.")</f>
        <v>Sem zoom não-digital, carece de sinos e assobios. Lento dados X-fer e salvar.</v>
      </c>
      <c r="B24363" s="3">
        <v>0</v>
      </c>
    </row>
    <row r="24364" ht="15.75" customHeight="1" spans="1:2">
      <c r="A24364" s="3" t="str">
        <f>IFERROR(__xludf.DUMMYFUNCTION("GOOGLETRANSLATE(A24364,""en"",""pt"")"),"Não as melhores fotos. Eu esperava melhor.")</f>
        <v>Não as melhores fotos. Eu esperava melhor.</v>
      </c>
      <c r="B24364" s="3">
        <v>0</v>
      </c>
    </row>
    <row r="24365" ht="15.75" customHeight="1" spans="1:2">
      <c r="A24365" s="3" t="str">
        <f>IFERROR(__xludf.DUMMYFUNCTION("GOOGLETRANSLATE(A24365,""en"",""pt"")"),"Bad qualidade da foto: foco, tamanho do arquivo, imagem escura.")</f>
        <v>Bad qualidade da foto: foco, tamanho do arquivo, imagem escura.</v>
      </c>
      <c r="B24365" s="3">
        <v>0</v>
      </c>
    </row>
    <row r="24366" ht="15.75" customHeight="1" spans="1:2">
      <c r="A24366" s="3" t="str">
        <f>IFERROR(__xludf.DUMMYFUNCTION("GOOGLETRANSLATE(A24366,""en"",""pt"")"),"Deve manter câmera em configurações de alta qualidade.")</f>
        <v>Deve manter câmera em configurações de alta qualidade.</v>
      </c>
      <c r="B24366" s="3">
        <v>0</v>
      </c>
    </row>
    <row r="24367" ht="15.75" customHeight="1" spans="1:2">
      <c r="A24367" s="3" t="str">
        <f>IFERROR(__xludf.DUMMYFUNCTION("GOOGLETRANSLATE(A24367,""en"",""pt"")"),"Lento, botão on / off, sem zoom óptico e apenas 2x zoom digital")</f>
        <v>Lento, botão on / off, sem zoom óptico e apenas 2x zoom digital</v>
      </c>
      <c r="B24367" s="3">
        <v>0</v>
      </c>
    </row>
    <row r="24368" ht="15.75" customHeight="1" spans="1:2">
      <c r="A24368" s="3" t="str">
        <f>IFERROR(__xludf.DUMMYFUNCTION("GOOGLETRANSLATE(A24368,""en"",""pt"")"),"Sem desligamento automático.")</f>
        <v>Sem desligamento automático.</v>
      </c>
      <c r="B24368" s="3">
        <v>0</v>
      </c>
    </row>
    <row r="24369" ht="15.75" customHeight="1" spans="1:2">
      <c r="A24369" s="3" t="str">
        <f>IFERROR(__xludf.DUMMYFUNCTION("GOOGLETRANSLATE(A24369,""en"",""pt"")"),"usa baterias como louco")</f>
        <v>usa baterias como louco</v>
      </c>
      <c r="B24369" s="3">
        <v>0</v>
      </c>
    </row>
    <row r="24370" ht="15.75" customHeight="1" spans="1:2">
      <c r="A24370" s="3" t="str">
        <f>IFERROR(__xludf.DUMMYFUNCTION("GOOGLETRANSLATE(A24370,""en"",""pt"")"),"Utiliza até poder baterias muito rapidamente, nem sempre tirar fotos claras")</f>
        <v>Utiliza até poder baterias muito rapidamente, nem sempre tirar fotos claras</v>
      </c>
      <c r="B24370" s="3">
        <v>0</v>
      </c>
    </row>
    <row r="24371" ht="15.75" customHeight="1" spans="1:2">
      <c r="A24371" s="3" t="str">
        <f>IFERROR(__xludf.DUMMYFUNCTION("GOOGLETRANSLATE(A24371,""en"",""pt"")"),"Baterias morrem depois da descarga, uma vez ou duas vezes")</f>
        <v>Baterias morrem depois da descarga, uma vez ou duas vezes</v>
      </c>
      <c r="B24371" s="3">
        <v>0</v>
      </c>
    </row>
    <row r="24372" ht="15.75" customHeight="1" spans="1:2">
      <c r="A24372" s="3" t="str">
        <f>IFERROR(__xludf.DUMMYFUNCTION("GOOGLETRANSLATE(A24372,""en"",""pt"")"),"vida útil da bateria Eats, um tanto frágil porta da bateria, não para fotografias de qualidade")</f>
        <v>vida útil da bateria Eats, um tanto frágil porta da bateria, não para fotografias de qualidade</v>
      </c>
      <c r="B24372" s="3">
        <v>0</v>
      </c>
    </row>
    <row r="24373" ht="15.75" customHeight="1" spans="1:2">
      <c r="A24373" s="3" t="str">
        <f>IFERROR(__xludf.DUMMYFUNCTION("GOOGLETRANSLATE(A24373,""en"",""pt"")"),"A mimado pouco, exige grande distância de foco.")</f>
        <v>A mimado pouco, exige grande distância de foco.</v>
      </c>
      <c r="B24373" s="3">
        <v>0</v>
      </c>
    </row>
    <row r="24374" ht="15.75" customHeight="1" spans="1:2">
      <c r="A24374" s="3" t="str">
        <f>IFERROR(__xludf.DUMMYFUNCTION("GOOGLETRANSLATE(A24374,""en"",""pt"")"),"Sem tampa da lente, leva tempo para tirar as fotos, dados lento x-fer")</f>
        <v>Sem tampa da lente, leva tempo para tirar as fotos, dados lento x-fer</v>
      </c>
      <c r="B24374" s="3">
        <v>0</v>
      </c>
    </row>
    <row r="24375" ht="15.75" customHeight="1" spans="1:2">
      <c r="A24375" s="3" t="str">
        <f>IFERROR(__xludf.DUMMYFUNCTION("GOOGLETRANSLATE(A24375,""en"",""pt"")"),"Câmera parece feito barata")</f>
        <v>Câmera parece feito barata</v>
      </c>
      <c r="B24375" s="3">
        <v>0</v>
      </c>
    </row>
    <row r="24376" ht="15.75" customHeight="1" spans="1:2">
      <c r="A24376" s="3" t="str">
        <f>IFERROR(__xludf.DUMMYFUNCTION("GOOGLETRANSLATE(A24376,""en"",""pt"")"),"sem zoom óptico, uma estrela fotos saem mal")</f>
        <v>sem zoom óptico, uma estrela fotos saem mal</v>
      </c>
      <c r="B24376" s="3">
        <v>0</v>
      </c>
    </row>
    <row r="24377" ht="15.75" customHeight="1" spans="1:2">
      <c r="A24377" s="3" t="str">
        <f>IFERROR(__xludf.DUMMYFUNCTION("GOOGLETRANSLATE(A24377,""en"",""pt"")"),"Come baterias como eles estão indo fora de moda., Toma péssimos fotos.,")</f>
        <v>Come baterias como eles estão indo fora de moda., Toma péssimos fotos.,</v>
      </c>
      <c r="B24377" s="3">
        <v>0</v>
      </c>
    </row>
    <row r="24378" ht="15.75" customHeight="1" spans="1:2">
      <c r="A24378" s="3" t="str">
        <f>IFERROR(__xludf.DUMMYFUNCTION("GOOGLETRANSLATE(A24378,""en"",""pt"")"),"A vida da bateria, congela, por vezes,")</f>
        <v>A vida da bateria, congela, por vezes,</v>
      </c>
      <c r="B24378" s="3">
        <v>0</v>
      </c>
    </row>
    <row r="24379" ht="15.75" customHeight="1" spans="1:2">
      <c r="A24379" s="3" t="str">
        <f>IFERROR(__xludf.DUMMYFUNCTION("GOOGLETRANSLATE(A24379,""en"",""pt"")"),"sem tampa da lente, sem sair de vídeo, sem zoom óptico, a bateria frágil e portas FC.")</f>
        <v>sem tampa da lente, sem sair de vídeo, sem zoom óptico, a bateria frágil e portas FC.</v>
      </c>
      <c r="B24379" s="3">
        <v>0</v>
      </c>
    </row>
    <row r="24380" ht="15.75" customHeight="1" spans="1:2">
      <c r="A24380" s="3" t="str">
        <f>IFERROR(__xludf.DUMMYFUNCTION("GOOGLETRANSLATE(A24380,""en"",""pt"")"),"devorador de bateria em alguns modos")</f>
        <v>devorador de bateria em alguns modos</v>
      </c>
      <c r="B24380" s="3">
        <v>0</v>
      </c>
    </row>
    <row r="24381" ht="15.75" customHeight="1" spans="1:2">
      <c r="A24381" s="3" t="str">
        <f>IFERROR(__xludf.DUMMYFUNCTION("GOOGLETRANSLATE(A24381,""en"",""pt"")"),"má qualidade da imagem, construção barato, falta de cobertura lense")</f>
        <v>má qualidade da imagem, construção barato, falta de cobertura lense</v>
      </c>
      <c r="B24381" s="3">
        <v>0</v>
      </c>
    </row>
    <row r="24382" ht="15.75" customHeight="1" spans="1:2">
      <c r="A24382" s="3" t="str">
        <f>IFERROR(__xludf.DUMMYFUNCTION("GOOGLETRANSLATE(A24382,""en"",""pt"")"),"Usa baterias muito rápido.")</f>
        <v>Usa baterias muito rápido.</v>
      </c>
      <c r="B24382" s="3">
        <v>0</v>
      </c>
    </row>
    <row r="24383" ht="15.75" customHeight="1" spans="1:2">
      <c r="A24383" s="3" t="str">
        <f>IFERROR(__xludf.DUMMYFUNCTION("GOOGLETRANSLATE(A24383,""en"",""pt"")"),"qualidade de imagem pobre para fotos em ambientes interiores. tela LCD tem baixa resolução.")</f>
        <v>qualidade de imagem pobre para fotos em ambientes interiores. tela LCD tem baixa resolução.</v>
      </c>
      <c r="B24383" s="3">
        <v>0</v>
      </c>
    </row>
    <row r="24384" ht="15.75" customHeight="1" spans="1:2">
      <c r="A24384" s="3" t="str">
        <f>IFERROR(__xludf.DUMMYFUNCTION("GOOGLETRANSLATE(A24384,""en"",""pt"")"),"lentos para tirar fotos, come-se baterias, sem capacidade de gravação de vídeo")</f>
        <v>lentos para tirar fotos, come-se baterias, sem capacidade de gravação de vídeo</v>
      </c>
      <c r="B24384" s="3">
        <v>0</v>
      </c>
    </row>
    <row r="24385" ht="15.75" customHeight="1" spans="1:2">
      <c r="A24385" s="3" t="str">
        <f>IFERROR(__xludf.DUMMYFUNCTION("GOOGLETRANSLATE(A24385,""en"",""pt"")"),"Comidas baterias, sem tampa da lente ou caso")</f>
        <v>Comidas baterias, sem tampa da lente ou caso</v>
      </c>
      <c r="B24385" s="3">
        <v>0</v>
      </c>
    </row>
    <row r="24386" ht="15.75" customHeight="1" spans="1:2">
      <c r="A24386" s="3" t="str">
        <f>IFERROR(__xludf.DUMMYFUNCTION("GOOGLETRANSLATE(A24386,""en"",""pt"")"),"Suga para baixo baterias, sem foco manual")</f>
        <v>Suga para baixo baterias, sem foco manual</v>
      </c>
      <c r="B24386" s="3">
        <v>0</v>
      </c>
    </row>
    <row r="24387" ht="15.75" customHeight="1" spans="1:2">
      <c r="A24387" s="3" t="str">
        <f>IFERROR(__xludf.DUMMYFUNCTION("GOOGLETRANSLATE(A24387,""en"",""pt"")"),"Imprimindo software é longa e envolvidos, trazer um lanche. :),")</f>
        <v>Imprimindo software é longa e envolvidos, trazer um lanche. :),</v>
      </c>
      <c r="B24387" s="3">
        <v>0</v>
      </c>
    </row>
    <row r="24388" ht="15.75" customHeight="1" spans="1:2">
      <c r="A24388" s="3" t="str">
        <f>IFERROR(__xludf.DUMMYFUNCTION("GOOGLETRANSLATE(A24388,""en"",""pt"")"),"se você estiver procurando por uma qualidade profissional que isso não é recomendado")</f>
        <v>se você estiver procurando por uma qualidade profissional que isso não é recomendado</v>
      </c>
      <c r="B24388" s="3">
        <v>0</v>
      </c>
    </row>
    <row r="24389" ht="15.75" customHeight="1" spans="1:2">
      <c r="A24389" s="3" t="str">
        <f>IFERROR(__xludf.DUMMYFUNCTION("GOOGLETRANSLATE(A24389,""en"",""pt"")"),"Nenhum")</f>
        <v>Nenhum</v>
      </c>
      <c r="B24389" s="3">
        <v>0</v>
      </c>
    </row>
    <row r="24390" ht="15.75" customHeight="1" spans="1:2">
      <c r="A24390" s="3" t="str">
        <f>IFERROR(__xludf.DUMMYFUNCTION("GOOGLETRANSLATE(A24390,""en"",""pt"")"),"As fotografias tiradas com o zoom são borradas, ele come baterias")</f>
        <v>As fotografias tiradas com o zoom são borradas, ele come baterias</v>
      </c>
      <c r="B24390" s="3">
        <v>0</v>
      </c>
    </row>
    <row r="24391" ht="15.75" customHeight="1" spans="1:2">
      <c r="A24391" s="3" t="str">
        <f>IFERROR(__xludf.DUMMYFUNCTION("GOOGLETRANSLATE(A24391,""en"",""pt"")"),"Sem zoom óptico, memória interna muito pequeno, bastante volumoso")</f>
        <v>Sem zoom óptico, memória interna muito pequeno, bastante volumoso</v>
      </c>
      <c r="B24391" s="3">
        <v>0</v>
      </c>
    </row>
    <row r="24392" ht="15.75" customHeight="1" spans="1:2">
      <c r="A24392" s="3" t="str">
        <f>IFERROR(__xludf.DUMMYFUNCTION("GOOGLETRANSLATE(A24392,""en"",""pt"")"),"porta da bateria não vai ficar fechada - não muito uso dessa maneira")</f>
        <v>porta da bateria não vai ficar fechada - não muito uso dessa maneira</v>
      </c>
      <c r="B24392" s="3">
        <v>0</v>
      </c>
    </row>
    <row r="24393" ht="15.75" customHeight="1" spans="1:2">
      <c r="A24393" s="3" t="str">
        <f>IFERROR(__xludf.DUMMYFUNCTION("GOOGLETRANSLATE(A24393,""en"",""pt"")"),"Não utilizar o temporizador nesta câmara porque ele desliga a câmera para rápida")</f>
        <v>Não utilizar o temporizador nesta câmara porque ele desliga a câmera para rápida</v>
      </c>
      <c r="B24393" s="3">
        <v>0</v>
      </c>
    </row>
    <row r="24394" ht="15.75" customHeight="1" spans="1:2">
      <c r="A24394" s="3" t="str">
        <f>IFERROR(__xludf.DUMMYFUNCTION("GOOGLETRANSLATE(A24394,""en"",""pt"")"),"nenhum que eu posso pensar")</f>
        <v>nenhum que eu posso pensar</v>
      </c>
      <c r="B24394" s="3">
        <v>0</v>
      </c>
    </row>
    <row r="24395" ht="15.75" customHeight="1" spans="1:2">
      <c r="A24395" s="3" t="str">
        <f>IFERROR(__xludf.DUMMYFUNCTION("GOOGLETRANSLATE(A24395,""en"",""pt"")"),"peças da HP deve ser adquirido diretamente da HP, ampliando reduz a qualidade")</f>
        <v>peças da HP deve ser adquirido diretamente da HP, ampliando reduz a qualidade</v>
      </c>
      <c r="B24395" s="3">
        <v>0</v>
      </c>
    </row>
    <row r="24396" ht="15.75" customHeight="1" spans="1:2">
      <c r="A24396" s="3" t="str">
        <f>IFERROR(__xludf.DUMMYFUNCTION("GOOGLETRANSLATE(A24396,""en"",""pt"")"),"Leva muito tempo entre as fotos. ao ar livre melhores do que dentro de casa.")</f>
        <v>Leva muito tempo entre as fotos. ao ar livre melhores do que dentro de casa.</v>
      </c>
      <c r="B24396" s="3">
        <v>0</v>
      </c>
    </row>
    <row r="24397" ht="15.75" customHeight="1" spans="1:2">
      <c r="A24397" s="3" t="str">
        <f>IFERROR(__xludf.DUMMYFUNCTION("GOOGLETRANSLATE(A24397,""en"",""pt"")"),"Não a melhor qualidade de foto, pequena memória interna")</f>
        <v>Não a melhor qualidade de foto, pequena memória interna</v>
      </c>
      <c r="B24397" s="3">
        <v>0</v>
      </c>
    </row>
    <row r="24398" ht="15.75" customHeight="1" spans="1:2">
      <c r="A24398" s="3" t="str">
        <f>IFERROR(__xludf.DUMMYFUNCTION("GOOGLETRANSLATE(A24398,""en"",""pt"")"),"No botão é pequeno.")</f>
        <v>No botão é pequeno.</v>
      </c>
      <c r="B24398" s="3">
        <v>0</v>
      </c>
    </row>
    <row r="24399" ht="15.75" customHeight="1" spans="1:2">
      <c r="A24399" s="3" t="str">
        <f>IFERROR(__xludf.DUMMYFUNCTION("GOOGLETRANSLATE(A24399,""en"",""pt"")"),"come baterias, única 2.1Mp")</f>
        <v>come baterias, única 2.1Mp</v>
      </c>
      <c r="B24399" s="3">
        <v>0</v>
      </c>
    </row>
    <row r="24400" ht="15.75" customHeight="1" spans="1:2">
      <c r="A24400" s="3" t="str">
        <f>IFERROR(__xludf.DUMMYFUNCTION("GOOGLETRANSLATE(A24400,""en"",""pt"")"),"Sem foco manual")</f>
        <v>Sem foco manual</v>
      </c>
      <c r="B24400" s="3">
        <v>0</v>
      </c>
    </row>
    <row r="24401" ht="15.75" customHeight="1" spans="1:2">
      <c r="A24401" s="3" t="str">
        <f>IFERROR(__xludf.DUMMYFUNCTION("GOOGLETRANSLATE(A24401,""en"",""pt"")"),"Nenhum som em filmes,: 30 limite em filmes")</f>
        <v>Nenhum som em filmes,: 30 limite em filmes</v>
      </c>
      <c r="B24401" s="3">
        <v>0</v>
      </c>
    </row>
    <row r="24402" ht="15.75" customHeight="1" spans="1:2">
      <c r="A24402" s="3" t="str">
        <f>IFERROR(__xludf.DUMMYFUNCTION("GOOGLETRANSLATE(A24402,""en"",""pt"")"),"Usa-se baterias com bastante rapidez.")</f>
        <v>Usa-se baterias com bastante rapidez.</v>
      </c>
      <c r="B24402" s="3">
        <v>0</v>
      </c>
    </row>
    <row r="24403" ht="15.75" customHeight="1" spans="1:2">
      <c r="A24403" s="3" t="str">
        <f>IFERROR(__xludf.DUMMYFUNCTION("GOOGLETRANSLATE(A24403,""en"",""pt"")"),"Pobre zoom. Falta de memória.")</f>
        <v>Pobre zoom. Falta de memória.</v>
      </c>
      <c r="B24403" s="3">
        <v>0</v>
      </c>
    </row>
    <row r="24404" ht="15.75" customHeight="1" spans="1:2">
      <c r="A24404" s="3" t="str">
        <f>IFERROR(__xludf.DUMMYFUNCTION("GOOGLETRANSLATE(A24404,""en"",""pt"")"),"Tempo de atraso. Come baterias. (O mesmo que todos os gama média câmeras digitais)")</f>
        <v>Tempo de atraso. Come baterias. (O mesmo que todos os gama média câmeras digitais)</v>
      </c>
      <c r="B24404" s="3">
        <v>0</v>
      </c>
    </row>
    <row r="24405" ht="15.75" customHeight="1" spans="1:2">
      <c r="A24405" s="3" t="str">
        <f>IFERROR(__xludf.DUMMYFUNCTION("GOOGLETRANSLATE(A24405,""en"",""pt"")"),"Eats baterias!")</f>
        <v>Eats baterias!</v>
      </c>
      <c r="B24405" s="3">
        <v>0</v>
      </c>
    </row>
    <row r="24406" ht="15.75" customHeight="1" spans="1:2">
      <c r="A24406" s="3" t="str">
        <f>IFERROR(__xludf.DUMMYFUNCTION("GOOGLETRANSLATE(A24406,""en"",""pt"")"),"Bateria otário, Delay entre quando você aperta o botão e fotografia é tirada")</f>
        <v>Bateria otário, Delay entre quando você aperta o botão e fotografia é tirada</v>
      </c>
      <c r="B24406" s="3">
        <v>0</v>
      </c>
    </row>
    <row r="24407" ht="15.75" customHeight="1" spans="1:2">
      <c r="A24407" s="3" t="str">
        <f>IFERROR(__xludf.DUMMYFUNCTION("GOOGLETRANSLATE(A24407,""en"",""pt"")"),"Obturador intervalo de tempo é longo, flash nem sempre funciona, foco nem sempre funciona.")</f>
        <v>Obturador intervalo de tempo é longo, flash nem sempre funciona, foco nem sempre funciona.</v>
      </c>
      <c r="B24407" s="3">
        <v>0</v>
      </c>
    </row>
    <row r="24408" ht="15.75" customHeight="1" spans="1:2">
      <c r="A24408" s="3" t="str">
        <f>IFERROR(__xludf.DUMMYFUNCTION("GOOGLETRANSLATE(A24408,""en"",""pt"")"),"Eats bateria, lento em todos os aspectos, 72dpi JPEG, invólucro de plástico")</f>
        <v>Eats bateria, lento em todos os aspectos, 72dpi JPEG, invólucro de plástico</v>
      </c>
      <c r="B24408" s="3">
        <v>0</v>
      </c>
    </row>
    <row r="24409" ht="15.75" customHeight="1" spans="1:2">
      <c r="A24409" s="3" t="str">
        <f>IFERROR(__xludf.DUMMYFUNCTION("GOOGLETRANSLATE(A24409,""en"",""pt"")"),"qualidade muito ruim flash para imagem noite. A cor é tudo fora com flash.")</f>
        <v>qualidade muito ruim flash para imagem noite. A cor é tudo fora com flash.</v>
      </c>
      <c r="B24409" s="3">
        <v>0</v>
      </c>
    </row>
    <row r="24410" ht="15.75" customHeight="1" spans="1:2">
      <c r="A24410" s="3" t="str">
        <f>IFERROR(__xludf.DUMMYFUNCTION("GOOGLETRANSLATE(A24410,""en"",""pt"")"),"atraso do obturador pobres, volumoso, devorador de bateria")</f>
        <v>atraso do obturador pobres, volumoso, devorador de bateria</v>
      </c>
      <c r="B24410" s="3">
        <v>0</v>
      </c>
    </row>
    <row r="24411" ht="15.75" customHeight="1" spans="1:2">
      <c r="A24411" s="3" t="str">
        <f>IFERROR(__xludf.DUMMYFUNCTION("GOOGLETRANSLATE(A24411,""en"",""pt"")"),"Não Case, Desejo as baterias não queimar tão rápido!")</f>
        <v>Não Case, Desejo as baterias não queimar tão rápido!</v>
      </c>
      <c r="B24411" s="3">
        <v>0</v>
      </c>
    </row>
    <row r="24412" ht="15.75" customHeight="1" spans="1:2">
      <c r="A24412" s="3" t="str">
        <f>IFERROR(__xludf.DUMMYFUNCTION("GOOGLETRANSLATE(A24412,""en"",""pt"")"),"mal índice função concebido")</f>
        <v>mal índice função concebido</v>
      </c>
      <c r="B24412" s="3">
        <v>0</v>
      </c>
    </row>
    <row r="24413" ht="15.75" customHeight="1" spans="1:2">
      <c r="A24413" s="3" t="str">
        <f>IFERROR(__xludf.DUMMYFUNCTION("GOOGLETRANSLATE(A24413,""en"",""pt"")"),"Come baterias como um louco!")</f>
        <v>Come baterias como um louco!</v>
      </c>
      <c r="B24413" s="3">
        <v>0</v>
      </c>
    </row>
    <row r="24414" ht="15.75" customHeight="1" spans="1:2">
      <c r="A24414" s="3" t="str">
        <f>IFERROR(__xludf.DUMMYFUNCTION("GOOGLETRANSLATE(A24414,""en"",""pt"")"),"AC Adapter é excessivamente caro.")</f>
        <v>AC Adapter é excessivamente caro.</v>
      </c>
      <c r="B24414" s="3">
        <v>0</v>
      </c>
    </row>
    <row r="24415" ht="15.75" customHeight="1" spans="1:2">
      <c r="A24415" s="3" t="str">
        <f>IFERROR(__xludf.DUMMYFUNCTION("GOOGLETRANSLATE(A24415,""en"",""pt"")"),"Não vem com caso e AC")</f>
        <v>Não vem com caso e AC</v>
      </c>
      <c r="B24415" s="3">
        <v>0</v>
      </c>
    </row>
    <row r="24416" ht="15.75" customHeight="1" spans="1:2">
      <c r="A24416" s="3" t="str">
        <f>IFERROR(__xludf.DUMMYFUNCTION("GOOGLETRANSLATE(A24416,""en"",""pt"")"),"Um valor bom para o preço. Não há contras.")</f>
        <v>Um valor bom para o preço. Não há contras.</v>
      </c>
      <c r="B24416" s="3">
        <v>0</v>
      </c>
    </row>
    <row r="24417" ht="15.75" customHeight="1" spans="1:2">
      <c r="A24417" s="3" t="str">
        <f>IFERROR(__xludf.DUMMYFUNCTION("GOOGLETRANSLATE(A24417,""en"",""pt"")"),"problema de comunicação USB, mais relacionado com o meu computador do que a câmera.")</f>
        <v>problema de comunicação USB, mais relacionado com o meu computador do que a câmera.</v>
      </c>
      <c r="B24417" s="3">
        <v>0</v>
      </c>
    </row>
    <row r="24418" ht="15.75" customHeight="1" spans="1:2">
      <c r="A24418" s="3" t="str">
        <f>IFERROR(__xludf.DUMMYFUNCTION("GOOGLETRANSLATE(A24418,""en"",""pt"")"),"Visor não compensado adequado para perto tiros para cima &amp; amp;. # 13; &amp; amp; # 10; visor 20% menor image photo / LCD do que.")</f>
        <v>Visor não compensado adequado para perto tiros para cima &amp; amp;. # 13; &amp; amp; # 10; visor 20% menor image photo / LCD do que.</v>
      </c>
      <c r="B24418" s="3">
        <v>0</v>
      </c>
    </row>
    <row r="24419" ht="15.75" customHeight="1" spans="1:2">
      <c r="A24419" s="3" t="str">
        <f>IFERROR(__xludf.DUMMYFUNCTION("GOOGLETRANSLATE(A24419,""en"",""pt"")"),"Problemas com equilíbrio de cores, flash automático e velocidade do obturador.")</f>
        <v>Problemas com equilíbrio de cores, flash automático e velocidade do obturador.</v>
      </c>
      <c r="B24419" s="3">
        <v>0</v>
      </c>
    </row>
    <row r="24420" ht="15.75" customHeight="1" spans="1:2">
      <c r="A24420" s="3" t="str">
        <f>IFERROR(__xludf.DUMMYFUNCTION("GOOGLETRANSLATE(A24420,""en"",""pt"")"),"curta duração da bateria, problemas de instalação do software USB.")</f>
        <v>curta duração da bateria, problemas de instalação do software USB.</v>
      </c>
      <c r="B24420" s="3">
        <v>0</v>
      </c>
    </row>
    <row r="24421" ht="15.75" customHeight="1" spans="1:2">
      <c r="A24421" s="3" t="str">
        <f>IFERROR(__xludf.DUMMYFUNCTION("GOOGLETRANSLATE(A24421,""en"",""pt"")"),"software HP deixa muito a desejar.")</f>
        <v>software HP deixa muito a desejar.</v>
      </c>
      <c r="B24421" s="3">
        <v>0</v>
      </c>
    </row>
    <row r="24422" ht="15.75" customHeight="1" spans="1:2">
      <c r="A24422" s="3" t="str">
        <f>IFERROR(__xludf.DUMMYFUNCTION("GOOGLETRANSLATE(A24422,""en"",""pt"")"),"Come baterias, lag em resposta do obturador.")</f>
        <v>Come baterias, lag em resposta do obturador.</v>
      </c>
      <c r="B24422" s="3">
        <v>0</v>
      </c>
    </row>
    <row r="24423" ht="15.75" customHeight="1" spans="1:2">
      <c r="A24423" s="3" t="str">
        <f>IFERROR(__xludf.DUMMYFUNCTION("GOOGLETRANSLATE(A24423,""en"",""pt"")"),"tampa da lente parece frágil.")</f>
        <v>tampa da lente parece frágil.</v>
      </c>
      <c r="B24423" s="3">
        <v>0</v>
      </c>
    </row>
    <row r="24424" ht="15.75" customHeight="1" spans="1:2">
      <c r="A24424" s="3" t="str">
        <f>IFERROR(__xludf.DUMMYFUNCTION("GOOGLETRANSLATE(A24424,""en"",""pt"")"),"operação e resolução manual é classificado.")</f>
        <v>operação e resolução manual é classificado.</v>
      </c>
      <c r="B24424" s="3">
        <v>0</v>
      </c>
    </row>
    <row r="24425" ht="15.75" customHeight="1" spans="1:2">
      <c r="A24425" s="3" t="str">
        <f>IFERROR(__xludf.DUMMYFUNCTION("GOOGLETRANSLATE(A24425,""en"",""pt"")"),"Pouca durabilidade, caro para consertar, terrível experiência de serviço ao cliente HP.")</f>
        <v>Pouca durabilidade, caro para consertar, terrível experiência de serviço ao cliente HP.</v>
      </c>
      <c r="B24425" s="3">
        <v>0</v>
      </c>
    </row>
    <row r="24426" ht="15.75" customHeight="1" spans="1:2">
      <c r="A24426" s="3" t="str">
        <f>IFERROR(__xludf.DUMMYFUNCTION("GOOGLETRANSLATE(A24426,""en"",""pt"")"),"porta da bateria é de plástico barato. não pode ver LCD na Luz")</f>
        <v>porta da bateria é de plástico barato. não pode ver LCD na Luz</v>
      </c>
      <c r="B24426" s="3">
        <v>0</v>
      </c>
    </row>
    <row r="24427" ht="15.75" customHeight="1" spans="1:2">
      <c r="A24427" s="3" t="str">
        <f>IFERROR(__xludf.DUMMYFUNCTION("GOOGLETRANSLATE(A24427,""en"",""pt"")"),"adaptador AC demasiado caro; menu de navegação inicialmente um pouco confuso")</f>
        <v>adaptador AC demasiado caro; menu de navegação inicialmente um pouco confuso</v>
      </c>
      <c r="B24427" s="3">
        <v>0</v>
      </c>
    </row>
    <row r="24428" ht="15.75" customHeight="1" spans="1:2">
      <c r="A24428" s="3" t="str">
        <f>IFERROR(__xludf.DUMMYFUNCTION("GOOGLETRANSLATE(A24428,""en"",""pt"")"),"gostaria de um maior cartão CF")</f>
        <v>gostaria de um maior cartão CF</v>
      </c>
      <c r="B24428" s="3">
        <v>0</v>
      </c>
    </row>
    <row r="24429" ht="15.75" customHeight="1" spans="1:2">
      <c r="A24429" s="3" t="str">
        <f>IFERROR(__xludf.DUMMYFUNCTION("GOOGLETRANSLATE(A24429,""en"",""pt"")"),"obturador lento, eu poderia usar um zoom óptico mais")</f>
        <v>obturador lento, eu poderia usar um zoom óptico mais</v>
      </c>
      <c r="B24429" s="3">
        <v>0</v>
      </c>
    </row>
    <row r="24430" ht="15.75" customHeight="1" spans="1:2">
      <c r="A24430" s="3" t="str">
        <f>IFERROR(__xludf.DUMMYFUNCTION("GOOGLETRANSLATE(A24430,""en"",""pt"")"),"baterias comuns não duram muito tempo")</f>
        <v>baterias comuns não duram muito tempo</v>
      </c>
      <c r="B24430" s="3">
        <v>0</v>
      </c>
    </row>
    <row r="24431" ht="15.75" customHeight="1" spans="1:2">
      <c r="A24431" s="3" t="str">
        <f>IFERROR(__xludf.DUMMYFUNCTION("GOOGLETRANSLATE(A24431,""en"",""pt"")"),"Não suporta IBM microdrive")</f>
        <v>Não suporta IBM microdrive</v>
      </c>
      <c r="B24431" s="3">
        <v>0</v>
      </c>
    </row>
    <row r="24432" ht="15.75" customHeight="1" spans="1:2">
      <c r="A24432" s="3" t="str">
        <f>IFERROR(__xludf.DUMMYFUNCTION("GOOGLETRANSLATE(A24432,""en"",""pt"")"),"Nenhum!")</f>
        <v>Nenhum!</v>
      </c>
      <c r="B24432" s="3">
        <v>0</v>
      </c>
    </row>
    <row r="24433" ht="15.75" customHeight="1" spans="1:2">
      <c r="A24433" s="3" t="str">
        <f>IFERROR(__xludf.DUMMYFUNCTION("GOOGLETRANSLATE(A24433,""en"",""pt"")"),"Consumo de energia - precisa de baterias NiMH Alternativa, caros (mas úteis) Adaptador AC é opcional.")</f>
        <v>Consumo de energia - precisa de baterias NiMH Alternativa, caros (mas úteis) Adaptador AC é opcional.</v>
      </c>
      <c r="B24433" s="3">
        <v>0</v>
      </c>
    </row>
    <row r="24434" ht="15.75" customHeight="1" spans="1:2">
      <c r="A24434" s="3" t="str">
        <f>IFERROR(__xludf.DUMMYFUNCTION("GOOGLETRANSLATE(A24434,""en"",""pt"")"),"adaptador AC bastante caro, depois de usar por alguns meses &amp; lt; b &amp; gt; imagens são suaves &amp; lt; / b &amp; gt;")</f>
        <v>adaptador AC bastante caro, depois de usar por alguns meses &amp; lt; b &amp; gt; imagens são suaves &amp; lt; / b &amp; gt;</v>
      </c>
      <c r="B24434" s="3">
        <v>0</v>
      </c>
    </row>
    <row r="24435" ht="15.75" customHeight="1" spans="1:2">
      <c r="A24435" s="3" t="str">
        <f>IFERROR(__xludf.DUMMYFUNCTION("GOOGLETRANSLATE(A24435,""en"",""pt"")"),"Pobre Vida útil da bateria, tem configurações de baixa qualidade que não é bom.")</f>
        <v>Pobre Vida útil da bateria, tem configurações de baixa qualidade que não é bom.</v>
      </c>
      <c r="B24435" s="3">
        <v>0</v>
      </c>
    </row>
    <row r="24436" ht="15.75" customHeight="1" spans="1:2">
      <c r="A24436" s="3" t="str">
        <f>IFERROR(__xludf.DUMMYFUNCTION("GOOGLETRANSLATE(A24436,""en"",""pt"")"),"não supercompacta em tamanho, não rech.")</f>
        <v>não supercompacta em tamanho, não rech.</v>
      </c>
      <c r="B24436" s="3">
        <v>0</v>
      </c>
    </row>
    <row r="24437" ht="15.75" customHeight="1" spans="1:2">
      <c r="A24437" s="3" t="str">
        <f>IFERROR(__xludf.DUMMYFUNCTION("GOOGLETRANSLATE(A24437,""en"",""pt"")"),"Feito em Filipinas, Manual Não Física")</f>
        <v>Feito em Filipinas, Manual Não Física</v>
      </c>
      <c r="B24437" s="3">
        <v>0</v>
      </c>
    </row>
    <row r="24438" ht="15.75" customHeight="1" spans="1:2">
      <c r="A24438" s="3" t="str">
        <f>IFERROR(__xludf.DUMMYFUNCTION("GOOGLETRANSLATE(A24438,""en"",""pt"")"),"Esta câmara não iria funcionar em 3 computadores diferentes sem a aquisição de um hub USB.")</f>
        <v>Esta câmara não iria funcionar em 3 computadores diferentes sem a aquisição de um hub USB.</v>
      </c>
      <c r="B24438" s="3">
        <v>0</v>
      </c>
    </row>
    <row r="24439" ht="15.75" customHeight="1" spans="1:2">
      <c r="A24439" s="3" t="str">
        <f>IFERROR(__xludf.DUMMYFUNCTION("GOOGLETRANSLATE(A24439,""en"",""pt"")"),"Sem luz foco para fotos com pouca luz. Apenas 30 segundos de vídeo")</f>
        <v>Sem luz foco para fotos com pouca luz. Apenas 30 segundos de vídeo</v>
      </c>
      <c r="B24439" s="3">
        <v>0</v>
      </c>
    </row>
    <row r="24440" ht="15.75" customHeight="1" spans="1:2">
      <c r="A24440" s="3" t="str">
        <f>IFERROR(__xludf.DUMMYFUNCTION("GOOGLETRANSLATE(A24440,""en"",""pt"")"),"a cor preta")</f>
        <v>a cor preta</v>
      </c>
      <c r="B24440" s="3">
        <v>0</v>
      </c>
    </row>
    <row r="24441" ht="15.75" customHeight="1" spans="1:2">
      <c r="A24441" s="3" t="str">
        <f>IFERROR(__xludf.DUMMYFUNCTION("GOOGLETRANSLATE(A24441,""en"",""pt"")"),"Então, qual é o truque? Ora, é &amp; lt; i &amp; gt;! OBSOLETE &amp; lt; / i &amp; gt; E, é digital.")</f>
        <v>Então, qual é o truque? Ora, é &amp; lt; i &amp; gt;! OBSOLETE &amp; lt; / i &amp; gt; E, é digital.</v>
      </c>
      <c r="B24441" s="3">
        <v>0</v>
      </c>
    </row>
    <row r="24442" ht="15.75" customHeight="1" spans="1:2">
      <c r="A24442" s="3" t="str">
        <f>IFERROR(__xludf.DUMMYFUNCTION("GOOGLETRANSLATE(A24442,""en"",""pt"")"),"curta duração da bateria, ecrã LCD difícil de ler fora")</f>
        <v>curta duração da bateria, ecrã LCD difícil de ler fora</v>
      </c>
      <c r="B24442" s="3">
        <v>0</v>
      </c>
    </row>
    <row r="24443" ht="15.75" customHeight="1" spans="1:2">
      <c r="A24443" s="3" t="str">
        <f>IFERROR(__xludf.DUMMYFUNCTION("GOOGLETRANSLATE(A24443,""en"",""pt"")"),"Eu não encontrei nenhuma ainda, exceto o atraso do obturador.")</f>
        <v>Eu não encontrei nenhuma ainda, exceto o atraso do obturador.</v>
      </c>
      <c r="B24443" s="3">
        <v>0</v>
      </c>
    </row>
    <row r="24444" ht="15.75" customHeight="1" spans="1:2">
      <c r="A24444" s="3" t="str">
        <f>IFERROR(__xludf.DUMMYFUNCTION("GOOGLETRANSLATE(A24444,""en"",""pt"")"),"Durou um cyle de baterias e morreu")</f>
        <v>Durou um cyle de baterias e morreu</v>
      </c>
      <c r="B24444" s="3">
        <v>0</v>
      </c>
    </row>
    <row r="24445" ht="15.75" customHeight="1" spans="1:2">
      <c r="A24445" s="3" t="str">
        <f>IFERROR(__xludf.DUMMYFUNCTION("GOOGLETRANSLATE(A24445,""en"",""pt"")"),"Passa por baterias rapidamente.")</f>
        <v>Passa por baterias rapidamente.</v>
      </c>
      <c r="B24445" s="3">
        <v>0</v>
      </c>
    </row>
    <row r="24446" ht="15.75" customHeight="1" spans="1:2">
      <c r="A24446" s="3" t="str">
        <f>IFERROR(__xludf.DUMMYFUNCTION("GOOGLETRANSLATE(A24446,""en"",""pt"")"),"Tamanho")</f>
        <v>Tamanho</v>
      </c>
      <c r="B24446" s="3">
        <v>0</v>
      </c>
    </row>
    <row r="24447" ht="15.75" customHeight="1" spans="1:2">
      <c r="A24447" s="3" t="str">
        <f>IFERROR(__xludf.DUMMYFUNCTION("GOOGLETRANSLATE(A24447,""en"",""pt"")"),"atraso do obturador depois de apertar o botão")</f>
        <v>atraso do obturador depois de apertar o botão</v>
      </c>
      <c r="B24447" s="3">
        <v>0</v>
      </c>
    </row>
    <row r="24448" ht="15.75" customHeight="1" spans="1:2">
      <c r="A24448" s="3" t="str">
        <f>IFERROR(__xludf.DUMMYFUNCTION("GOOGLETRANSLATE(A24448,""en"",""pt"")"),"a vida da bateria é muito pobre. Qualidade de vídeo opção de som é pobre.")</f>
        <v>a vida da bateria é muito pobre. Qualidade de vídeo opção de som é pobre.</v>
      </c>
      <c r="B24448" s="3">
        <v>0</v>
      </c>
    </row>
    <row r="24449" ht="15.75" customHeight="1" spans="1:2">
      <c r="A24449" s="3" t="str">
        <f>IFERROR(__xludf.DUMMYFUNCTION("GOOGLETRANSLATE(A24449,""en"",""pt"")"),"longo período de tempo anormal para a câmera para salvar uma imagem.")</f>
        <v>longo período de tempo anormal para a câmera para salvar uma imagem.</v>
      </c>
      <c r="B24449" s="3">
        <v>0</v>
      </c>
    </row>
    <row r="24450" ht="15.75" customHeight="1" spans="1:2">
      <c r="A24450" s="3" t="str">
        <f>IFERROR(__xludf.DUMMYFUNCTION("GOOGLETRANSLATE(A24450,""en"",""pt"")"),"O preço, mas você recebe o que você paga!")</f>
        <v>O preço, mas você recebe o que você paga!</v>
      </c>
      <c r="B24450" s="3">
        <v>0</v>
      </c>
    </row>
    <row r="24451" ht="15.75" customHeight="1" spans="1:2">
      <c r="A24451" s="3" t="str">
        <f>IFERROR(__xludf.DUMMYFUNCTION("GOOGLETRANSLATE(A24451,""en"",""pt"")"),"A vida da bateria ao usar câmera de vídeo")</f>
        <v>A vida da bateria ao usar câmera de vídeo</v>
      </c>
      <c r="B24451" s="3">
        <v>0</v>
      </c>
    </row>
    <row r="24452" ht="15.75" customHeight="1" spans="1:2">
      <c r="A24452" s="3" t="str">
        <f>IFERROR(__xludf.DUMMYFUNCTION("GOOGLETRANSLATE(A24452,""en"",""pt"")"),"Caro, mas vale a pena se for usado um lote")</f>
        <v>Caro, mas vale a pena se for usado um lote</v>
      </c>
      <c r="B24452" s="3">
        <v>0</v>
      </c>
    </row>
    <row r="24453" ht="15.75" customHeight="1" spans="1:2">
      <c r="A24453" s="3" t="str">
        <f>IFERROR(__xludf.DUMMYFUNCTION("GOOGLETRANSLATE(A24453,""en"",""pt"")"),"A vida da bateria pode ser mais longo, o carregamento do Flash um pouco lento")</f>
        <v>A vida da bateria pode ser mais longo, o carregamento do Flash um pouco lento</v>
      </c>
      <c r="B24453" s="3">
        <v>0</v>
      </c>
    </row>
    <row r="24454" ht="15.75" customHeight="1" spans="1:2">
      <c r="A24454" s="3" t="str">
        <f>IFERROR(__xludf.DUMMYFUNCTION("GOOGLETRANSLATE(A24454,""en"",""pt"")"),"baterias orçamento limitado, sem ajustes manuais.")</f>
        <v>baterias orçamento limitado, sem ajustes manuais.</v>
      </c>
      <c r="B24454" s="3">
        <v>0</v>
      </c>
    </row>
    <row r="24455" ht="15.75" customHeight="1" spans="1:2">
      <c r="A24455" s="3" t="str">
        <f>IFERROR(__xludf.DUMMYFUNCTION("GOOGLETRANSLATE(A24455,""en"",""pt"")"),"O foco pode ser um pouco finiky em condições de pouca luz.")</f>
        <v>O foco pode ser um pouco finiky em condições de pouca luz.</v>
      </c>
      <c r="B24455" s="3">
        <v>0</v>
      </c>
    </row>
    <row r="24456" ht="15.75" customHeight="1" spans="1:2">
      <c r="A24456" s="3" t="str">
        <f>IFERROR(__xludf.DUMMYFUNCTION("GOOGLETRANSLATE(A24456,""en"",""pt"")"),"Esta câmera passa por baterias! Além disso, o flash leva muito tempo para re-carga.")</f>
        <v>Esta câmera passa por baterias! Além disso, o flash leva muito tempo para re-carga.</v>
      </c>
      <c r="B24456" s="3">
        <v>0</v>
      </c>
    </row>
    <row r="24457" ht="15.75" customHeight="1" spans="1:2">
      <c r="A24457" s="3" t="str">
        <f>IFERROR(__xludf.DUMMYFUNCTION("GOOGLETRANSLATE(A24457,""en"",""pt"")"),"velocidade do obturador extremamente lento")</f>
        <v>velocidade do obturador extremamente lento</v>
      </c>
      <c r="B24457" s="3">
        <v>0</v>
      </c>
    </row>
    <row r="24458" ht="15.75" customHeight="1" spans="1:2">
      <c r="A24458" s="3" t="str">
        <f>IFERROR(__xludf.DUMMYFUNCTION("GOOGLETRANSLATE(A24458,""en"",""pt"")"),"Longo tempo entre as fotos, maus em condições de baixa luz, encargos HP para downloads de drivers agora")</f>
        <v>Longo tempo entre as fotos, maus em condições de baixa luz, encargos HP para downloads de drivers agora</v>
      </c>
      <c r="B24458" s="3">
        <v>0</v>
      </c>
    </row>
    <row r="24459" ht="15.75" customHeight="1" spans="1:2">
      <c r="A24459" s="3" t="str">
        <f>IFERROR(__xludf.DUMMYFUNCTION("GOOGLETRANSLATE(A24459,""en"",""pt"")"),"perde o foco, inútil com pouca luz")</f>
        <v>perde o foco, inútil com pouca luz</v>
      </c>
      <c r="B24459" s="3">
        <v>0</v>
      </c>
    </row>
    <row r="24460" ht="15.75" customHeight="1" spans="1:2">
      <c r="A24460" s="3" t="str">
        <f>IFERROR(__xludf.DUMMYFUNCTION("GOOGLETRANSLATE(A24460,""en"",""pt"")"),"Baterias recarregáveis ​​quase uma obrigação; às vezes muda para o modo de vídeo involuntariamente (devido ao discar colocação)")</f>
        <v>Baterias recarregáveis ​​quase uma obrigação; às vezes muda para o modo de vídeo involuntariamente (devido ao discar colocação)</v>
      </c>
      <c r="B24460" s="3">
        <v>0</v>
      </c>
    </row>
    <row r="24461" ht="15.75" customHeight="1" spans="1:2">
      <c r="A24461" s="3" t="str">
        <f>IFERROR(__xludf.DUMMYFUNCTION("GOOGLETRANSLATE(A24461,""en"",""pt"")"),"O som não é tão bom em vídeos ou imagens com áudio.")</f>
        <v>O som não é tão bom em vídeos ou imagens com áudio.</v>
      </c>
      <c r="B24461" s="3">
        <v>0</v>
      </c>
    </row>
    <row r="24462" ht="15.75" customHeight="1" spans="1:2">
      <c r="A24462" s="3" t="str">
        <f>IFERROR(__xludf.DUMMYFUNCTION("GOOGLETRANSLATE(A24462,""en"",""pt"")"),"Muito pouco de armazenamento vem com câmera")</f>
        <v>Muito pouco de armazenamento vem com câmera</v>
      </c>
      <c r="B24462" s="3">
        <v>0</v>
      </c>
    </row>
    <row r="24463" ht="15.75" customHeight="1" spans="1:2">
      <c r="A24463" s="3" t="str">
        <f>IFERROR(__xludf.DUMMYFUNCTION("GOOGLETRANSLATE(A24463,""en"",""pt"")"),"baixo de armazenamento em disco")</f>
        <v>baixo de armazenamento em disco</v>
      </c>
      <c r="B24463" s="3">
        <v>0</v>
      </c>
    </row>
    <row r="24464" ht="15.75" customHeight="1" spans="1:2">
      <c r="A24464" s="3" t="str">
        <f>IFERROR(__xludf.DUMMYFUNCTION("GOOGLETRANSLATE(A24464,""en"",""pt"")"),"pequena tela LCD, muito tempo entre as imagens")</f>
        <v>pequena tela LCD, muito tempo entre as imagens</v>
      </c>
      <c r="B24464" s="3">
        <v>0</v>
      </c>
    </row>
    <row r="24465" ht="15.75" customHeight="1" spans="1:2">
      <c r="A24465" s="3" t="str">
        <f>IFERROR(__xludf.DUMMYFUNCTION("GOOGLETRANSLATE(A24465,""en"",""pt"")"),"O recurso de vídeo ... e baterias recarregáveis ​​são uma obrigação para esta câmara.")</f>
        <v>O recurso de vídeo ... e baterias recarregáveis ​​são uma obrigação para esta câmara.</v>
      </c>
      <c r="B24465" s="3">
        <v>0</v>
      </c>
    </row>
    <row r="24466" ht="15.75" customHeight="1" spans="1:2">
      <c r="A24466" s="3" t="str">
        <f>IFERROR(__xludf.DUMMYFUNCTION("GOOGLETRANSLATE(A24466,""en"",""pt"")"),"Baterias morrer rápido")</f>
        <v>Baterias morrer rápido</v>
      </c>
      <c r="B24466" s="3">
        <v>0</v>
      </c>
    </row>
    <row r="24467" ht="15.75" customHeight="1" spans="1:2">
      <c r="A24467" s="3" t="str">
        <f>IFERROR(__xludf.DUMMYFUNCTION("GOOGLETRANSLATE(A24467,""en"",""pt"")"),"baterias come, 16M de memória não o suficiente")</f>
        <v>baterias come, 16M de memória não o suficiente</v>
      </c>
      <c r="B24467" s="3">
        <v>0</v>
      </c>
    </row>
    <row r="24468" ht="15.75" customHeight="1" spans="1:2">
      <c r="A24468" s="3" t="str">
        <f>IFERROR(__xludf.DUMMYFUNCTION("GOOGLETRANSLATE(A24468,""en"",""pt"")"),"autofocus lento e velocidade do obturador no modo automático.")</f>
        <v>autofocus lento e velocidade do obturador no modo automático.</v>
      </c>
      <c r="B24468" s="3">
        <v>0</v>
      </c>
    </row>
    <row r="24469" ht="15.75" customHeight="1" spans="1:2">
      <c r="A24469" s="3" t="str">
        <f>IFERROR(__xludf.DUMMYFUNCTION("GOOGLETRANSLATE(A24469,""en"",""pt"")"),"difícil ver através do visor sob luz forte. drenos batterys quickley")</f>
        <v>difícil ver através do visor sob luz forte. drenos batterys quickley</v>
      </c>
      <c r="B24469" s="3">
        <v>0</v>
      </c>
    </row>
    <row r="24470" ht="15.75" customHeight="1" spans="1:2">
      <c r="A24470" s="3" t="str">
        <f>IFERROR(__xludf.DUMMYFUNCTION("GOOGLETRANSLATE(A24470,""en"",""pt"")"),"Pictures são horrivelmente borrada")</f>
        <v>Pictures são horrivelmente borrada</v>
      </c>
      <c r="B24470" s="3">
        <v>0</v>
      </c>
    </row>
    <row r="24471" ht="15.75" customHeight="1" spans="1:2">
      <c r="A24471" s="3" t="str">
        <f>IFERROR(__xludf.DUMMYFUNCTION("GOOGLETRANSLATE(A24471,""en"",""pt"")"),"vida &amp; amp bateria; Suporte HP")</f>
        <v>vida &amp; amp bateria; Suporte HP</v>
      </c>
      <c r="B24471" s="3">
        <v>0</v>
      </c>
    </row>
    <row r="24472" ht="15.75" customHeight="1" spans="1:2">
      <c r="A24472" s="3" t="str">
        <f>IFERROR(__xludf.DUMMYFUNCTION("GOOGLETRANSLATE(A24472,""en"",""pt"")"),"Limitada ISO variar (apenas a 100 e 200). Necessidade de pré-foco. Caso contrário excelente.")</f>
        <v>Limitada ISO variar (apenas a 100 e 200). Necessidade de pré-foco. Caso contrário excelente.</v>
      </c>
      <c r="B24472" s="3">
        <v>0</v>
      </c>
    </row>
    <row r="24473" ht="15.75" customHeight="1" spans="1:2">
      <c r="A24473" s="3" t="str">
        <f>IFERROR(__xludf.DUMMYFUNCTION("GOOGLETRANSLATE(A24473,""en"",""pt"")"),"Lens lento. chintzy corpo. Exibir não articulado. Configurações de redefinir. No topo de leitura.")</f>
        <v>Lens lento. chintzy corpo. Exibir não articulado. Configurações de redefinir. No topo de leitura.</v>
      </c>
      <c r="B24473" s="3">
        <v>0</v>
      </c>
    </row>
    <row r="24474" ht="15.75" customHeight="1" spans="1:2">
      <c r="A24474" s="3" t="str">
        <f>IFERROR(__xludf.DUMMYFUNCTION("GOOGLETRANSLATE(A24474,""en"",""pt"")"),"um volumoso pouco, um pouco lento no foco")</f>
        <v>um volumoso pouco, um pouco lento no foco</v>
      </c>
      <c r="B24474" s="3">
        <v>0</v>
      </c>
    </row>
    <row r="24475" ht="15.75" customHeight="1" spans="1:2">
      <c r="A24475" s="3" t="str">
        <f>IFERROR(__xludf.DUMMYFUNCTION("GOOGLETRANSLATE(A24475,""en"",""pt"")"),"problemas de foco, pixelização, separação das cores, grande atraso do obturador de luz média")</f>
        <v>problemas de foco, pixelização, separação das cores, grande atraso do obturador de luz média</v>
      </c>
      <c r="B24475" s="3">
        <v>0</v>
      </c>
    </row>
    <row r="24476" ht="15.75" customHeight="1" spans="1:2">
      <c r="A24476" s="3" t="str">
        <f>IFERROR(__xludf.DUMMYFUNCTION("GOOGLETRANSLATE(A24476,""en"",""pt"")"),"Auto foco lento. 16 cartão de meg muito pequeno., Software é buggie")</f>
        <v>Auto foco lento. 16 cartão de meg muito pequeno., Software é buggie</v>
      </c>
      <c r="B24476" s="3">
        <v>0</v>
      </c>
    </row>
    <row r="24477" ht="15.75" customHeight="1" spans="1:2">
      <c r="A24477" s="3" t="str">
        <f>IFERROR(__xludf.DUMMYFUNCTION("GOOGLETRANSLATE(A24477,""en"",""pt"")"),"pobre macro, pequeno conjunto de recursos")</f>
        <v>pobre macro, pequeno conjunto de recursos</v>
      </c>
      <c r="B24477" s="3">
        <v>0</v>
      </c>
    </row>
    <row r="24478" ht="15.75" customHeight="1" spans="1:2">
      <c r="A24478" s="3" t="str">
        <f>IFERROR(__xludf.DUMMYFUNCTION("GOOGLETRANSLATE(A24478,""en"",""pt"")"),"lento LCD")</f>
        <v>lento LCD</v>
      </c>
      <c r="B24478" s="3">
        <v>0</v>
      </c>
    </row>
    <row r="24479" ht="15.75" customHeight="1" spans="1:2">
      <c r="A24479" s="3" t="str">
        <f>IFERROR(__xludf.DUMMYFUNCTION("GOOGLETRANSLATE(A24479,""en"",""pt"")"),"consumo de energia, resolução")</f>
        <v>consumo de energia, resolução</v>
      </c>
      <c r="B24479" s="3">
        <v>0</v>
      </c>
    </row>
    <row r="24480" ht="15.75" customHeight="1" spans="1:2">
      <c r="A24480" s="3" t="str">
        <f>IFERROR(__xludf.DUMMYFUNCTION("GOOGLETRANSLATE(A24480,""en"",""pt"")"),"recuperação lenta e Software")</f>
        <v>recuperação lenta e Software</v>
      </c>
      <c r="B24480" s="3">
        <v>0</v>
      </c>
    </row>
    <row r="24481" ht="15.75" customHeight="1" spans="1:2">
      <c r="A24481" s="3" t="str">
        <f>IFERROR(__xludf.DUMMYFUNCTION("GOOGLETRANSLATE(A24481,""en"",""pt"")"),"Download lento - não Macrofocus")</f>
        <v>Download lento - não Macrofocus</v>
      </c>
      <c r="B24481" s="3">
        <v>0</v>
      </c>
    </row>
    <row r="24482" ht="15.75" customHeight="1" spans="1:2">
      <c r="A24482" s="3" t="str">
        <f>IFERROR(__xludf.DUMMYFUNCTION("GOOGLETRANSLATE(A24482,""en"",""pt"")"),"Não é capaz de manipular manualmente as configurações para o trabalho mais artístico.")</f>
        <v>Não é capaz de manipular manualmente as configurações para o trabalho mais artístico.</v>
      </c>
      <c r="B24482" s="3">
        <v>0</v>
      </c>
    </row>
    <row r="24483" ht="15.75" customHeight="1" spans="1:2">
      <c r="A24483" s="3" t="str">
        <f>IFERROR(__xludf.DUMMYFUNCTION("GOOGLETRANSLATE(A24483,""en"",""pt"")"),"Nenhum")</f>
        <v>Nenhum</v>
      </c>
      <c r="B24483" s="3">
        <v>0</v>
      </c>
    </row>
    <row r="24484" ht="15.75" customHeight="1" spans="1:2">
      <c r="A24484" s="3" t="str">
        <f>IFERROR(__xludf.DUMMYFUNCTION("GOOGLETRANSLATE(A24484,""en"",""pt"")"),"Nenhum")</f>
        <v>Nenhum</v>
      </c>
      <c r="B24484" s="3">
        <v>0</v>
      </c>
    </row>
    <row r="24485" ht="15.75" customHeight="1" spans="1:2">
      <c r="A24485" s="3" t="str">
        <f>IFERROR(__xludf.DUMMYFUNCTION("GOOGLETRANSLATE(A24485,""en"",""pt"")"),"baterias não duram muito tempo")</f>
        <v>baterias não duram muito tempo</v>
      </c>
      <c r="B24485" s="3">
        <v>0</v>
      </c>
    </row>
    <row r="24486" ht="15.75" customHeight="1" spans="1:2">
      <c r="A24486" s="3" t="str">
        <f>IFERROR(__xludf.DUMMYFUNCTION("GOOGLETRANSLATE(A24486,""en"",""pt"")"),"Caro Imagem desenvolvimento")</f>
        <v>Caro Imagem desenvolvimento</v>
      </c>
      <c r="B24486" s="3">
        <v>0</v>
      </c>
    </row>
    <row r="24487" ht="15.75" customHeight="1" spans="1:2">
      <c r="A24487" s="3" t="str">
        <f>IFERROR(__xludf.DUMMYFUNCTION("GOOGLETRANSLATE(A24487,""en"",""pt"")"),"usa muita baterias")</f>
        <v>usa muita baterias</v>
      </c>
      <c r="B24487" s="3">
        <v>0</v>
      </c>
    </row>
    <row r="24488" ht="15.75" customHeight="1" spans="1:2">
      <c r="A24488" s="3" t="str">
        <f>IFERROR(__xludf.DUMMYFUNCTION("GOOGLETRANSLATE(A24488,""en"",""pt"")"),"Usa muitas baterias se você utilizar a opção de exibição, não tem capacidades de zoom.")</f>
        <v>Usa muitas baterias se você utilizar a opção de exibição, não tem capacidades de zoom.</v>
      </c>
      <c r="B24488" s="3">
        <v>0</v>
      </c>
    </row>
    <row r="24489" ht="15.75" customHeight="1" spans="1:2">
      <c r="A24489" s="3" t="str">
        <f>IFERROR(__xludf.DUMMYFUNCTION("GOOGLETRANSLATE(A24489,""en"",""pt"")"),"Atrasos na liberação do obturador, atrasos entre os disparos, difícil de desligar de flash")</f>
        <v>Atrasos na liberação do obturador, atrasos entre os disparos, difícil de desligar de flash</v>
      </c>
      <c r="B24489" s="3">
        <v>0</v>
      </c>
    </row>
    <row r="24490" ht="15.75" customHeight="1" spans="1:2">
      <c r="A24490" s="3" t="str">
        <f>IFERROR(__xludf.DUMMYFUNCTION("GOOGLETRANSLATE(A24490,""en"",""pt"")"),"baterias não duram quando utiliza modos de tração alto")</f>
        <v>baterias não duram quando utiliza modos de tração alto</v>
      </c>
      <c r="B24490" s="3">
        <v>0</v>
      </c>
    </row>
    <row r="24491" ht="15.75" customHeight="1" spans="1:2">
      <c r="A24491" s="3" t="str">
        <f>IFERROR(__xludf.DUMMYFUNCTION("GOOGLETRANSLATE(A24491,""en"",""pt"")"),"Eats baterias &amp; amp; amp; carece de porta USB")</f>
        <v>Eats baterias &amp; amp; amp; carece de porta USB</v>
      </c>
      <c r="B24491" s="3">
        <v>0</v>
      </c>
    </row>
    <row r="24492" ht="15.75" customHeight="1" spans="1:2">
      <c r="A24492" s="3" t="str">
        <f>IFERROR(__xludf.DUMMYFUNCTION("GOOGLETRANSLATE(A24492,""en"",""pt"")"),"NÃO suporta baterias recarregáveis, curta duração da bateria, sem tampa da lente")</f>
        <v>NÃO suporta baterias recarregáveis, curta duração da bateria, sem tampa da lente</v>
      </c>
      <c r="B24492" s="3">
        <v>0</v>
      </c>
    </row>
    <row r="24493" ht="15.75" customHeight="1" spans="1:2">
      <c r="A24493" s="3" t="str">
        <f>IFERROR(__xludf.DUMMYFUNCTION("GOOGLETRANSLATE(A24493,""en"",""pt"")"),"interface serial lento, LCD difícil de ver na luz brilhante.")</f>
        <v>interface serial lento, LCD difícil de ver na luz brilhante.</v>
      </c>
      <c r="B24493" s="3">
        <v>0</v>
      </c>
    </row>
    <row r="24494" ht="15.75" customHeight="1" spans="1:2">
      <c r="A24494" s="3" t="str">
        <f>IFERROR(__xludf.DUMMYFUNCTION("GOOGLETRANSLATE(A24494,""en"",""pt"")"),"não confiáveis, baterias ir mais rápido, não adaptador AC incluído")</f>
        <v>não confiáveis, baterias ir mais rápido, não adaptador AC incluído</v>
      </c>
      <c r="B24494" s="3">
        <v>0</v>
      </c>
    </row>
    <row r="24495" ht="15.75" customHeight="1" spans="1:2">
      <c r="A24495" s="3" t="str">
        <f>IFERROR(__xludf.DUMMYFUNCTION("GOOGLETRANSLATE(A24495,""en"",""pt"")"),"Grandes, downloads de série lentos e sem zoom real.")</f>
        <v>Grandes, downloads de série lentos e sem zoom real.</v>
      </c>
      <c r="B24495" s="3">
        <v>0</v>
      </c>
    </row>
    <row r="24496" ht="15.75" customHeight="1" spans="1:2">
      <c r="A24496" s="3" t="str">
        <f>IFERROR(__xludf.DUMMYFUNCTION("GOOGLETRANSLATE(A24496,""en"",""pt"")"),"porta de conexão frágil, confuso ""zoom""")</f>
        <v>porta de conexão frágil, confuso "zoom"</v>
      </c>
      <c r="B24496" s="3">
        <v>0</v>
      </c>
    </row>
    <row r="24497" ht="15.75" customHeight="1" spans="1:2">
      <c r="A24497" s="3" t="str">
        <f>IFERROR(__xludf.DUMMYFUNCTION("GOOGLETRANSLATE(A24497,""en"",""pt"")"),"Atraso no processo de tomada de imagem, comedor da bateria, transferências lentas.")</f>
        <v>Atraso no processo de tomada de imagem, comedor da bateria, transferências lentas.</v>
      </c>
      <c r="B24497" s="3">
        <v>0</v>
      </c>
    </row>
    <row r="24498" ht="15.75" customHeight="1" spans="1:2">
      <c r="A24498" s="3" t="str">
        <f>IFERROR(__xludf.DUMMYFUNCTION("GOOGLETRANSLATE(A24498,""en"",""pt"")"),"curta duração da bateria")</f>
        <v>curta duração da bateria</v>
      </c>
      <c r="B24498" s="3">
        <v>0</v>
      </c>
    </row>
    <row r="24499" ht="15.75" customHeight="1" spans="1:2">
      <c r="A24499" s="3" t="str">
        <f>IFERROR(__xludf.DUMMYFUNCTION("GOOGLETRANSLATE(A24499,""en"",""pt"")"),"adaptador sem AC. Use pilhas recarregáveis. Será útil ter um leitor de cartão.")</f>
        <v>adaptador sem AC. Use pilhas recarregáveis. Será útil ter um leitor de cartão.</v>
      </c>
      <c r="B24499" s="3">
        <v>0</v>
      </c>
    </row>
    <row r="24500" ht="15.75" customHeight="1" spans="1:2">
      <c r="A24500" s="3" t="str">
        <f>IFERROR(__xludf.DUMMYFUNCTION("GOOGLETRANSLATE(A24500,""en"",""pt"")"),"Hesita ao tirar uma foto, zoom e leva os detalhes.")</f>
        <v>Hesita ao tirar uma foto, zoom e leva os detalhes.</v>
      </c>
      <c r="B24500" s="3">
        <v>0</v>
      </c>
    </row>
    <row r="24501" ht="15.75" customHeight="1" spans="1:2">
      <c r="A24501" s="3" t="str">
        <f>IFERROR(__xludf.DUMMYFUNCTION("GOOGLETRANSLATE(A24501,""en"",""pt"")"),"Deve vir com um cabo de alimentação")</f>
        <v>Deve vir com um cabo de alimentação</v>
      </c>
      <c r="B24501" s="3">
        <v>0</v>
      </c>
    </row>
    <row r="24502" ht="15.75" customHeight="1" spans="1:2">
      <c r="A24502" s="3" t="str">
        <f>IFERROR(__xludf.DUMMYFUNCTION("GOOGLETRANSLATE(A24502,""en"",""pt"")"),"Utiliza baterias de forma rápida, recomendo um adaptador AC.")</f>
        <v>Utiliza baterias de forma rápida, recomendo um adaptador AC.</v>
      </c>
      <c r="B24502" s="3">
        <v>0</v>
      </c>
    </row>
    <row r="24503" ht="15.75" customHeight="1" spans="1:2">
      <c r="A24503" s="3" t="str">
        <f>IFERROR(__xludf.DUMMYFUNCTION("GOOGLETRANSLATE(A24503,""en"",""pt"")"),"Quadradão mas bem, não há zoom óptico, algumas características especialistas manuais")</f>
        <v>Quadradão mas bem, não há zoom óptico, algumas características especialistas manuais</v>
      </c>
      <c r="B24503" s="3">
        <v>0</v>
      </c>
    </row>
    <row r="24504" ht="15.75" customHeight="1" spans="1:2">
      <c r="A24504" s="3" t="str">
        <f>IFERROR(__xludf.DUMMYFUNCTION("GOOGLETRANSLATE(A24504,""en"",""pt"")"),"Zoom precisa de algum trabalho")</f>
        <v>Zoom precisa de algum trabalho</v>
      </c>
      <c r="B24504" s="3">
        <v>0</v>
      </c>
    </row>
    <row r="24505" ht="15.75" customHeight="1" spans="1:2">
      <c r="A24505" s="3" t="str">
        <f>IFERROR(__xludf.DUMMYFUNCTION("GOOGLETRANSLATE(A24505,""en"",""pt"")"),"Baixo número de imagens disponíveis em alta definição")</f>
        <v>Baixo número de imagens disponíveis em alta definição</v>
      </c>
      <c r="B24505" s="3">
        <v>0</v>
      </c>
    </row>
    <row r="24506" ht="15.75" customHeight="1" spans="1:2">
      <c r="A24506" s="3" t="str">
        <f>IFERROR(__xludf.DUMMYFUNCTION("GOOGLETRANSLATE(A24506,""en"",""pt"")"),"AC adaptador é um adicional muito caro !!")</f>
        <v>AC adaptador é um adicional muito caro !!</v>
      </c>
      <c r="B24506" s="3">
        <v>0</v>
      </c>
    </row>
    <row r="24507" ht="15.75" customHeight="1" spans="1:2">
      <c r="A24507" s="3" t="str">
        <f>IFERROR(__xludf.DUMMYFUNCTION("GOOGLETRANSLATE(A24507,""en"",""pt"")"),"drena baterias")</f>
        <v>drena baterias</v>
      </c>
      <c r="B24507" s="3">
        <v>0</v>
      </c>
    </row>
    <row r="24508" ht="15.75" customHeight="1" spans="1:2">
      <c r="A24508" s="3" t="str">
        <f>IFERROR(__xludf.DUMMYFUNCTION("GOOGLETRANSLATE(A24508,""en"",""pt"")"),"Provavelmente não tão bom de resolução como algum outro cameras..not digital líder para o profissional do fotógrafo ...")</f>
        <v>Provavelmente não tão bom de resolução como algum outro cameras..not digital líder para o profissional do fotógrafo ...</v>
      </c>
      <c r="B24508" s="3">
        <v>0</v>
      </c>
    </row>
    <row r="24509" ht="15.75" customHeight="1" spans="1:2">
      <c r="A24509" s="3" t="str">
        <f>IFERROR(__xludf.DUMMYFUNCTION("GOOGLETRANSLATE(A24509,""en"",""pt"")"),"Drenos baterias rapidamente")</f>
        <v>Drenos baterias rapidamente</v>
      </c>
      <c r="B24509" s="3">
        <v>0</v>
      </c>
    </row>
    <row r="24510" ht="15.75" customHeight="1" spans="1:2">
      <c r="A24510" s="3" t="str">
        <f>IFERROR(__xludf.DUMMYFUNCTION("GOOGLETRANSLATE(A24510,""en"",""pt"")"),"drenos baterias rapidamente")</f>
        <v>drenos baterias rapidamente</v>
      </c>
      <c r="B24510" s="3">
        <v>0</v>
      </c>
    </row>
    <row r="24511" ht="15.75" customHeight="1" spans="1:2">
      <c r="A24511" s="3" t="str">
        <f>IFERROR(__xludf.DUMMYFUNCTION("GOOGLETRANSLATE(A24511,""en"",""pt"")"),"lentas de download fotos")</f>
        <v>lentas de download fotos</v>
      </c>
      <c r="B24511" s="3">
        <v>0</v>
      </c>
    </row>
    <row r="24512" ht="15.75" customHeight="1" spans="1:2">
      <c r="A24512" s="3" t="str">
        <f>IFERROR(__xludf.DUMMYFUNCTION("GOOGLETRANSLATE(A24512,""en"",""pt"")"),"você precisa de um grande hardrive baixar fotos")</f>
        <v>você precisa de um grande hardrive baixar fotos</v>
      </c>
      <c r="B24512" s="3">
        <v>0</v>
      </c>
    </row>
    <row r="24513" ht="15.75" customHeight="1" spans="1:2">
      <c r="A24513" s="3" t="str">
        <f>IFERROR(__xludf.DUMMYFUNCTION("GOOGLETRANSLATE(A24513,""en"",""pt"")"),"como todas as câmeras digitais comprar baterias Rechargeble")</f>
        <v>como todas as câmeras digitais comprar baterias Rechargeble</v>
      </c>
      <c r="B24513" s="3">
        <v>0</v>
      </c>
    </row>
    <row r="24514" ht="15.75" customHeight="1" spans="1:2">
      <c r="A24514" s="3" t="str">
        <f>IFERROR(__xludf.DUMMYFUNCTION("GOOGLETRANSLATE(A24514,""en"",""pt"")"),"Precisa de muita luz")</f>
        <v>Precisa de muita luz</v>
      </c>
      <c r="B24514" s="3">
        <v>0</v>
      </c>
    </row>
    <row r="24515" ht="15.75" customHeight="1" spans="1:2">
      <c r="A24515" s="3" t="str">
        <f>IFERROR(__xludf.DUMMYFUNCTION("GOOGLETRANSLATE(A24515,""en"",""pt"")"),"botões difíceis, adaptador AC caro")</f>
        <v>botões difíceis, adaptador AC caro</v>
      </c>
      <c r="B24515" s="3">
        <v>0</v>
      </c>
    </row>
    <row r="24516" ht="15.75" customHeight="1" spans="1:2">
      <c r="A24516" s="3" t="str">
        <f>IFERROR(__xludf.DUMMYFUNCTION("GOOGLETRANSLATE(A24516,""en"",""pt"")"),"separar visor da lente.")</f>
        <v>separar visor da lente.</v>
      </c>
      <c r="B24516" s="3">
        <v>0</v>
      </c>
    </row>
    <row r="24517" ht="15.75" customHeight="1" spans="1:2">
      <c r="A24517" s="3" t="str">
        <f>IFERROR(__xludf.DUMMYFUNCTION("GOOGLETRANSLATE(A24517,""en"",""pt"")"),"Teve de extras de compra")</f>
        <v>Teve de extras de compra</v>
      </c>
      <c r="B24517" s="3">
        <v>0</v>
      </c>
    </row>
    <row r="24518" ht="15.75" customHeight="1" spans="1:2">
      <c r="A24518" s="3" t="str">
        <f>IFERROR(__xludf.DUMMYFUNCTION("GOOGLETRANSLATE(A24518,""en"",""pt"")"),"A vida da bateria, conexão Serial")</f>
        <v>A vida da bateria, conexão Serial</v>
      </c>
      <c r="B24518" s="3">
        <v>0</v>
      </c>
    </row>
    <row r="24519" ht="15.75" customHeight="1" spans="1:2">
      <c r="A24519" s="3" t="str">
        <f>IFERROR(__xludf.DUMMYFUNCTION("GOOGLETRANSLATE(A24519,""en"",""pt"")"),"não tem um adaptador AC com ele")</f>
        <v>não tem um adaptador AC com ele</v>
      </c>
      <c r="B24519" s="3">
        <v>0</v>
      </c>
    </row>
    <row r="24520" ht="15.75" customHeight="1" spans="1:2">
      <c r="A24520" s="3" t="str">
        <f>IFERROR(__xludf.DUMMYFUNCTION("GOOGLETRANSLATE(A24520,""en"",""pt"")"),"Ligeiramente volumoso, LCD visor um pouco agitado.")</f>
        <v>Ligeiramente volumoso, LCD visor um pouco agitado.</v>
      </c>
      <c r="B24520" s="3">
        <v>0</v>
      </c>
    </row>
    <row r="24521" ht="15.75" customHeight="1" spans="1:2">
      <c r="A24521" s="3" t="str">
        <f>IFERROR(__xludf.DUMMYFUNCTION("GOOGLETRANSLATE(A24521,""en"",""pt"")"),"Eats baterias como negócio, não do corpo!")</f>
        <v>Eats baterias como negócio, não do corpo!</v>
      </c>
      <c r="B24521" s="3">
        <v>0</v>
      </c>
    </row>
    <row r="24522" ht="15.75" customHeight="1" spans="1:2">
      <c r="A24522" s="3" t="str">
        <f>IFERROR(__xludf.DUMMYFUNCTION("GOOGLETRANSLATE(A24522,""en"",""pt"")"),"não vem com adaptador de parede, software poderia ser melhor.")</f>
        <v>não vem com adaptador de parede, software poderia ser melhor.</v>
      </c>
      <c r="B24522" s="3">
        <v>0</v>
      </c>
    </row>
    <row r="24523" ht="15.75" customHeight="1" spans="1:2">
      <c r="A24523" s="3" t="str">
        <f>IFERROR(__xludf.DUMMYFUNCTION("GOOGLETRANSLATE(A24523,""en"",""pt"")"),"Nenhuma fonte de energia recarregável, ligeiro atraso ao fotografar.")</f>
        <v>Nenhuma fonte de energia recarregável, ligeiro atraso ao fotografar.</v>
      </c>
      <c r="B24523" s="3">
        <v>0</v>
      </c>
    </row>
    <row r="24524" ht="15.75" customHeight="1" spans="1:2">
      <c r="A24524" s="3" t="str">
        <f>IFERROR(__xludf.DUMMYFUNCTION("GOOGLETRANSLATE(A24524,""en"",""pt"")"),"bateria vampiro de energia")</f>
        <v>bateria vampiro de energia</v>
      </c>
      <c r="B24524" s="3">
        <v>0</v>
      </c>
    </row>
    <row r="24525" ht="15.75" customHeight="1" spans="1:2">
      <c r="A24525" s="3" t="str">
        <f>IFERROR(__xludf.DUMMYFUNCTION("GOOGLETRANSLATE(A24525,""en"",""pt"")"),"As imagens tomadas com o flash")</f>
        <v>As imagens tomadas com o flash</v>
      </c>
      <c r="B24525" s="3">
        <v>0</v>
      </c>
    </row>
    <row r="24526" ht="15.75" customHeight="1" spans="1:2">
      <c r="A24526" s="3" t="str">
        <f>IFERROR(__xludf.DUMMYFUNCTION("GOOGLETRANSLATE(A24526,""en"",""pt"")"),"deve comprar adaptador de energia AC separadamente")</f>
        <v>deve comprar adaptador de energia AC separadamente</v>
      </c>
      <c r="B24526" s="3">
        <v>0</v>
      </c>
    </row>
    <row r="24527" ht="15.75" customHeight="1" spans="1:2">
      <c r="A24527" s="3" t="str">
        <f>IFERROR(__xludf.DUMMYFUNCTION("GOOGLETRANSLATE(A24527,""en"",""pt"")"),"Aconselho upgrade para o download conexão direta. Vai comer baterias.")</f>
        <v>Aconselho upgrade para o download conexão direta. Vai comer baterias.</v>
      </c>
      <c r="B24527" s="3">
        <v>0</v>
      </c>
    </row>
    <row r="24528" ht="15.75" customHeight="1" spans="1:2">
      <c r="A24528" s="3" t="str">
        <f>IFERROR(__xludf.DUMMYFUNCTION("GOOGLETRANSLATE(A24528,""en"",""pt"")"),"dificuldade em utilizar o zoom eletrônico, demora em responder ao gatilho")</f>
        <v>dificuldade em utilizar o zoom eletrônico, demora em responder ao gatilho</v>
      </c>
      <c r="B24528" s="3">
        <v>0</v>
      </c>
    </row>
    <row r="24529" ht="15.75" customHeight="1" spans="1:2">
      <c r="A24529" s="3" t="str">
        <f>IFERROR(__xludf.DUMMYFUNCTION("GOOGLETRANSLATE(A24529,""en"",""pt"")"),"O preço ainda é um pouco alto")</f>
        <v>O preço ainda é um pouco alto</v>
      </c>
      <c r="B24529" s="3">
        <v>0</v>
      </c>
    </row>
    <row r="24530" ht="15.75" customHeight="1" spans="1:2">
      <c r="A24530" s="3" t="str">
        <f>IFERROR(__xludf.DUMMYFUNCTION("GOOGLETRANSLATE(A24530,""en"",""pt"")"),"velocidade, memória")</f>
        <v>velocidade, memória</v>
      </c>
      <c r="B24530" s="3">
        <v>0</v>
      </c>
    </row>
    <row r="24531" ht="15.75" customHeight="1" spans="1:2">
      <c r="A24531" s="3" t="str">
        <f>IFERROR(__xludf.DUMMYFUNCTION("GOOGLETRANSLATE(A24531,""en"",""pt"")"),"Contras: baterias orçamento limitado, se você não tem um adaptador AC (não vem com um qualquer um)")</f>
        <v>Contras: baterias orçamento limitado, se você não tem um adaptador AC (não vem com um qualquer um)</v>
      </c>
      <c r="B24531" s="3">
        <v>0</v>
      </c>
    </row>
    <row r="24532" ht="15.75" customHeight="1" spans="1:2">
      <c r="A24532" s="3" t="str">
        <f>IFERROR(__xludf.DUMMYFUNCTION("GOOGLETRANSLATE(A24532,""en"",""pt"")"),"Come Baterias como um louco")</f>
        <v>Come Baterias como um louco</v>
      </c>
      <c r="B24532" s="3">
        <v>0</v>
      </c>
    </row>
    <row r="24533" ht="15.75" customHeight="1" spans="1:2">
      <c r="A24533" s="3" t="str">
        <f>IFERROR(__xludf.DUMMYFUNCTION("GOOGLETRANSLATE(A24533,""en"",""pt"")"),"nada")</f>
        <v>nada</v>
      </c>
      <c r="B24533" s="3">
        <v>0</v>
      </c>
    </row>
    <row r="24534" ht="15.75" customHeight="1" spans="1:2">
      <c r="A24534" s="3" t="str">
        <f>IFERROR(__xludf.DUMMYFUNCTION("GOOGLETRANSLATE(A24534,""en"",""pt"")"),"custo inicial um pouco caro; plug-in não é facilmente acessível")</f>
        <v>custo inicial um pouco caro; plug-in não é facilmente acessível</v>
      </c>
      <c r="B24534" s="3">
        <v>0</v>
      </c>
    </row>
    <row r="24535" ht="15.75" customHeight="1" spans="1:2">
      <c r="A24535" s="3" t="str">
        <f>IFERROR(__xludf.DUMMYFUNCTION("GOOGLETRANSLATE(A24535,""en"",""pt"")"),"vida útil da bateria é importante")</f>
        <v>vida útil da bateria é importante</v>
      </c>
      <c r="B24535" s="3">
        <v>0</v>
      </c>
    </row>
    <row r="24536" ht="15.75" customHeight="1" spans="1:2">
      <c r="A24536" s="3" t="str">
        <f>IFERROR(__xludf.DUMMYFUNCTION("GOOGLETRANSLATE(A24536,""en"",""pt"")"),"pobre controle de qualidade &amp; amp; amp; má atitude")</f>
        <v>pobre controle de qualidade &amp; amp; amp; má atitude</v>
      </c>
      <c r="B24536" s="3">
        <v>0</v>
      </c>
    </row>
    <row r="24537" ht="15.75" customHeight="1" spans="1:2">
      <c r="A24537" s="3" t="str">
        <f>IFERROR(__xludf.DUMMYFUNCTION("GOOGLETRANSLATE(A24537,""en"",""pt"")"),"os come baterias ecrã LCD como um louco. Você precisa comprar um adaptador AC / DC. Você só pode começar a partir de Hewlett Packard.")</f>
        <v>os come baterias ecrã LCD como um louco. Você precisa comprar um adaptador AC / DC. Você só pode começar a partir de Hewlett Packard.</v>
      </c>
      <c r="B24537" s="3">
        <v>0</v>
      </c>
    </row>
    <row r="24538" ht="15.75" customHeight="1" spans="1:2">
      <c r="A24538" s="3" t="str">
        <f>IFERROR(__xludf.DUMMYFUNCTION("GOOGLETRANSLATE(A24538,""en"",""pt"")"),"da bateria é um pouco fraco, arquivos ocupam uma grande quantidade de RAM")</f>
        <v>da bateria é um pouco fraco, arquivos ocupam uma grande quantidade de RAM</v>
      </c>
      <c r="B24538" s="3">
        <v>0</v>
      </c>
    </row>
    <row r="24539" ht="15.75" customHeight="1" spans="1:2">
      <c r="A24539" s="3" t="str">
        <f>IFERROR(__xludf.DUMMYFUNCTION("GOOGLETRANSLATE(A24539,""en"",""pt"")"),"Não foi possível encontrar qualquer")</f>
        <v>Não foi possível encontrar qualquer</v>
      </c>
      <c r="B24539" s="3">
        <v>0</v>
      </c>
    </row>
    <row r="24540" ht="15.75" customHeight="1" spans="1:2">
      <c r="A24540" s="3" t="str">
        <f>IFERROR(__xludf.DUMMYFUNCTION("GOOGLETRANSLATE(A24540,""en"",""pt"")"),"Drena baterias e modos de comutação")</f>
        <v>Drena baterias e modos de comutação</v>
      </c>
      <c r="B24540" s="3">
        <v>0</v>
      </c>
    </row>
    <row r="24541" ht="15.75" customHeight="1" spans="1:2">
      <c r="A24541" s="3" t="str">
        <f>IFERROR(__xludf.DUMMYFUNCTION("GOOGLETRANSLATE(A24541,""en"",""pt"")"),"bateria com fome, 8 segundo espera entre pix")</f>
        <v>bateria com fome, 8 segundo espera entre pix</v>
      </c>
      <c r="B24541" s="3">
        <v>0</v>
      </c>
    </row>
    <row r="24542" ht="15.75" customHeight="1" spans="1:2">
      <c r="A24542" s="3" t="str">
        <f>IFERROR(__xludf.DUMMYFUNCTION("GOOGLETRANSLATE(A24542,""en"",""pt"")"),"longo tempo de download, nenhum adaptador a / c incluído.")</f>
        <v>longo tempo de download, nenhum adaptador a / c incluído.</v>
      </c>
      <c r="B24542" s="3">
        <v>0</v>
      </c>
    </row>
    <row r="24543" ht="15.75" customHeight="1" spans="1:2">
      <c r="A24543" s="3" t="str">
        <f>IFERROR(__xludf.DUMMYFUNCTION("GOOGLETRANSLATE(A24543,""en"",""pt"")"),"volumoso")</f>
        <v>volumoso</v>
      </c>
      <c r="B24543" s="3">
        <v>0</v>
      </c>
    </row>
    <row r="24544" ht="15.75" customHeight="1" spans="1:2">
      <c r="A24544" s="3" t="str">
        <f>IFERROR(__xludf.DUMMYFUNCTION("GOOGLETRANSLATE(A24544,""en"",""pt"")"),"um pouco caro, mas não muito ruim")</f>
        <v>um pouco caro, mas não muito ruim</v>
      </c>
      <c r="B24544" s="3">
        <v>0</v>
      </c>
    </row>
    <row r="24545" ht="15.75" customHeight="1" spans="1:2">
      <c r="A24545" s="3" t="str">
        <f>IFERROR(__xludf.DUMMYFUNCTION("GOOGLETRANSLATE(A24545,""en"",""pt"")"),"os acessórios ficam um pouco caro")</f>
        <v>os acessórios ficam um pouco caro</v>
      </c>
      <c r="B24545" s="3">
        <v>0</v>
      </c>
    </row>
    <row r="24546" ht="15.75" customHeight="1" spans="1:2">
      <c r="A24546" s="3" t="str">
        <f>IFERROR(__xludf.DUMMYFUNCTION("GOOGLETRANSLATE(A24546,""en"",""pt"")"),"Não AC / DC conversor-nenhum caso")</f>
        <v>Não AC / DC conversor-nenhum caso</v>
      </c>
      <c r="B24546" s="3">
        <v>0</v>
      </c>
    </row>
    <row r="24547" ht="15.75" customHeight="1" spans="1:2">
      <c r="A24547" s="3" t="str">
        <f>IFERROR(__xludf.DUMMYFUNCTION("GOOGLETRANSLATE(A24547,""en"",""pt"")"),"sem zoom, baterias rapidamente usa")</f>
        <v>sem zoom, baterias rapidamente usa</v>
      </c>
      <c r="B24547" s="3">
        <v>0</v>
      </c>
    </row>
    <row r="24548" ht="15.75" customHeight="1" spans="1:2">
      <c r="A24548" s="3" t="str">
        <f>IFERROR(__xludf.DUMMYFUNCTION("GOOGLETRANSLATE(A24548,""en"",""pt"")"),"come baterias duplas AA rápidas")</f>
        <v>come baterias duplas AA rápidas</v>
      </c>
      <c r="B24548" s="3">
        <v>0</v>
      </c>
    </row>
    <row r="24549" ht="15.75" customHeight="1" spans="1:2">
      <c r="A24549" s="3" t="str">
        <f>IFERROR(__xludf.DUMMYFUNCTION("GOOGLETRANSLATE(A24549,""en"",""pt"")"),"Nitidez de imagem não é tão clara como um bom 35 milímetros")</f>
        <v>Nitidez de imagem não é tão clara como um bom 35 milímetros</v>
      </c>
      <c r="B24549" s="3">
        <v>0</v>
      </c>
    </row>
    <row r="24550" ht="15.75" customHeight="1" spans="1:2">
      <c r="A24550" s="3" t="str">
        <f>IFERROR(__xludf.DUMMYFUNCTION("GOOGLETRANSLATE(A24550,""en"",""pt"")"),"Eats atravesse baterias rapidamente se você não tem o adaptador AC")</f>
        <v>Eats atravesse baterias rapidamente se você não tem o adaptador AC</v>
      </c>
      <c r="B24550" s="3">
        <v>0</v>
      </c>
    </row>
    <row r="24551" ht="15.75" customHeight="1" spans="1:2">
      <c r="A24551" s="3" t="str">
        <f>IFERROR(__xludf.DUMMYFUNCTION("GOOGLETRANSLATE(A24551,""en"",""pt"")"),"deve vir com um adaptador AC")</f>
        <v>deve vir com um adaptador AC</v>
      </c>
      <c r="B24551" s="3">
        <v>0</v>
      </c>
    </row>
    <row r="24552" ht="15.75" customHeight="1" spans="1:2">
      <c r="A24552" s="3" t="str">
        <f>IFERROR(__xludf.DUMMYFUNCTION("GOOGLETRANSLATE(A24552,""en"",""pt"")"),"come baterias.")</f>
        <v>come baterias.</v>
      </c>
      <c r="B24552" s="3">
        <v>0</v>
      </c>
    </row>
    <row r="24553" ht="15.75" customHeight="1" spans="1:2">
      <c r="A24553" s="3" t="str">
        <f>IFERROR(__xludf.DUMMYFUNCTION("GOOGLETRANSLATE(A24553,""en"",""pt"")"),"A vida da bateria é limitada.")</f>
        <v>A vida da bateria é limitada.</v>
      </c>
      <c r="B24553" s="3">
        <v>0</v>
      </c>
    </row>
    <row r="24554" ht="15.75" customHeight="1" spans="1:2">
      <c r="A24554" s="3" t="str">
        <f>IFERROR(__xludf.DUMMYFUNCTION("GOOGLETRANSLATE(A24554,""en"",""pt"")"),"nada até agora")</f>
        <v>nada até agora</v>
      </c>
      <c r="B24554" s="3">
        <v>0</v>
      </c>
    </row>
    <row r="24555" ht="15.75" customHeight="1" spans="1:2">
      <c r="A24555" s="3" t="str">
        <f>IFERROR(__xludf.DUMMYFUNCTION("GOOGLETRANSLATE(A24555,""en"",""pt"")"),"ajuste manual da exposição estranho - É melhor estar preparado para comprar um adaptador AC")</f>
        <v>ajuste manual da exposição estranho - É melhor estar preparado para comprar um adaptador AC</v>
      </c>
      <c r="B24555" s="3">
        <v>0</v>
      </c>
    </row>
    <row r="24556" ht="15.75" customHeight="1" spans="1:2">
      <c r="A24556" s="3" t="str">
        <f>IFERROR(__xludf.DUMMYFUNCTION("GOOGLETRANSLATE(A24556,""en"",""pt"")"),"Nenhum")</f>
        <v>Nenhum</v>
      </c>
      <c r="B24556" s="3">
        <v>0</v>
      </c>
    </row>
    <row r="24557" ht="15.75" customHeight="1" spans="1:2">
      <c r="A24557" s="3" t="str">
        <f>IFERROR(__xludf.DUMMYFUNCTION("GOOGLETRANSLATE(A24557,""en"",""pt"")"),"a trava para o cartão CompactFlash poderia ser um pouco mais resistente")</f>
        <v>a trava para o cartão CompactFlash poderia ser um pouco mais resistente</v>
      </c>
      <c r="B24557" s="3">
        <v>0</v>
      </c>
    </row>
    <row r="24558" ht="15.75" customHeight="1" spans="1:2">
      <c r="A24558" s="3" t="str">
        <f>IFERROR(__xludf.DUMMYFUNCTION("GOOGLETRANSLATE(A24558,""en"",""pt"")"),"Sem caso ou um adaptador / c incluído no pacote")</f>
        <v>Sem caso ou um adaptador / c incluído no pacote</v>
      </c>
      <c r="B24558" s="3">
        <v>0</v>
      </c>
    </row>
    <row r="24559" ht="15.75" customHeight="1" spans="1:2">
      <c r="A24559" s="3" t="str">
        <f>IFERROR(__xludf.DUMMYFUNCTION("GOOGLETRANSLATE(A24559,""en"",""pt"")"),"sem alça para transportar com")</f>
        <v>sem alça para transportar com</v>
      </c>
      <c r="B24559" s="3">
        <v>0</v>
      </c>
    </row>
    <row r="24560" ht="15.75" customHeight="1" spans="1:2">
      <c r="A24560" s="3" t="str">
        <f>IFERROR(__xludf.DUMMYFUNCTION("GOOGLETRANSLATE(A24560,""en"",""pt"")"),"volumoso, os tempos de processamento entre os disparos, display LCD")</f>
        <v>volumoso, os tempos de processamento entre os disparos, display LCD</v>
      </c>
      <c r="B24560" s="3">
        <v>0</v>
      </c>
    </row>
    <row r="24561" ht="15.75" customHeight="1" spans="1:2">
      <c r="A24561" s="3" t="str">
        <f>IFERROR(__xludf.DUMMYFUNCTION("GOOGLETRANSLATE(A24561,""en"",""pt"")"),"Baterias muitas vezes precisam ser substituídos")</f>
        <v>Baterias muitas vezes precisam ser substituídos</v>
      </c>
      <c r="B24561" s="3">
        <v>0</v>
      </c>
    </row>
    <row r="24562" ht="15.75" customHeight="1" spans="1:2">
      <c r="A24562" s="3" t="str">
        <f>IFERROR(__xludf.DUMMYFUNCTION("GOOGLETRANSLATE(A24562,""en"",""pt"")"),"AA baterias se esgotam muito rapidamente, a HP não fornecer tudo")</f>
        <v>AA baterias se esgotam muito rapidamente, a HP não fornecer tudo</v>
      </c>
      <c r="B24562" s="3">
        <v>0</v>
      </c>
    </row>
    <row r="24563" ht="15.75" customHeight="1" spans="1:2">
      <c r="A24563" s="3" t="str">
        <f>IFERROR(__xludf.DUMMYFUNCTION("GOOGLETRANSLATE(A24563,""en"",""pt"")"),"come baterias, tri-pod montagem")</f>
        <v>come baterias, tri-pod montagem</v>
      </c>
      <c r="B24563" s="3">
        <v>0</v>
      </c>
    </row>
    <row r="24564" ht="15.75" customHeight="1" spans="1:2">
      <c r="A24564" s="3" t="str">
        <f>IFERROR(__xludf.DUMMYFUNCTION("GOOGLETRANSLATE(A24564,""en"",""pt"")"),"Não construído em Zoom, e apenas 1 mega-pixel")</f>
        <v>Não construído em Zoom, e apenas 1 mega-pixel</v>
      </c>
      <c r="B24564" s="3">
        <v>0</v>
      </c>
    </row>
    <row r="24565" ht="15.75" customHeight="1" spans="1:2">
      <c r="A24565" s="3" t="str">
        <f>IFERROR(__xludf.DUMMYFUNCTION("GOOGLETRANSLATE(A24565,""en"",""pt"")"),"1 megapixal")</f>
        <v>1 megapixal</v>
      </c>
      <c r="B24565" s="3">
        <v>0</v>
      </c>
    </row>
    <row r="24566" ht="15.75" customHeight="1" spans="1:2">
      <c r="A24566" s="3" t="str">
        <f>IFERROR(__xludf.DUMMYFUNCTION("GOOGLETRANSLATE(A24566,""en"",""pt"")"),"nenhum que eu descobri")</f>
        <v>nenhum que eu descobri</v>
      </c>
      <c r="B24566" s="3">
        <v>0</v>
      </c>
    </row>
    <row r="24567" ht="15.75" customHeight="1" spans="1:2">
      <c r="A24567" s="3" t="str">
        <f>IFERROR(__xludf.DUMMYFUNCTION("GOOGLETRANSLATE(A24567,""en"",""pt"")"),"curta duração da bateria")</f>
        <v>curta duração da bateria</v>
      </c>
      <c r="B24567" s="3">
        <v>0</v>
      </c>
    </row>
    <row r="24568" ht="15.75" customHeight="1" spans="1:2">
      <c r="A24568" s="3" t="str">
        <f>IFERROR(__xludf.DUMMYFUNCTION("GOOGLETRANSLATE(A24568,""en"",""pt"")"),"a tela LCD drena baterias rápido")</f>
        <v>a tela LCD drena baterias rápido</v>
      </c>
      <c r="B24568" s="3">
        <v>0</v>
      </c>
    </row>
    <row r="24569" ht="15.75" customHeight="1" spans="1:2">
      <c r="A24569" s="3" t="str">
        <f>IFERROR(__xludf.DUMMYFUNCTION("GOOGLETRANSLATE(A24569,""en"",""pt"")"),"Rapidez")</f>
        <v>Rapidez</v>
      </c>
      <c r="B24569" s="3">
        <v>0</v>
      </c>
    </row>
    <row r="24570" ht="15.75" customHeight="1" spans="1:2">
      <c r="A24570" s="3" t="str">
        <f>IFERROR(__xludf.DUMMYFUNCTION("GOOGLETRANSLATE(A24570,""en"",""pt"")"),"Um pouco caro ... mas vale a pena")</f>
        <v>Um pouco caro ... mas vale a pena</v>
      </c>
      <c r="B24570" s="3">
        <v>0</v>
      </c>
    </row>
    <row r="24571" ht="15.75" customHeight="1" spans="1:2">
      <c r="A24571" s="3" t="str">
        <f>IFERROR(__xludf.DUMMYFUNCTION("GOOGLETRANSLATE(A24571,""en"",""pt"")"),"utiliza baterias de maneira tooooooo rápido")</f>
        <v>utiliza baterias de maneira tooooooo rápido</v>
      </c>
      <c r="B24571" s="3">
        <v>0</v>
      </c>
    </row>
    <row r="24572" ht="15.75" customHeight="1" spans="1:2">
      <c r="A24572" s="3" t="str">
        <f>IFERROR(__xludf.DUMMYFUNCTION("GOOGLETRANSLATE(A24572,""en"",""pt"")"),"Useless Zoom, não para usuários high-end")</f>
        <v>Useless Zoom, não para usuários high-end</v>
      </c>
      <c r="B24572" s="3">
        <v>0</v>
      </c>
    </row>
    <row r="24573" ht="15.75" customHeight="1" spans="1:2">
      <c r="A24573" s="3" t="str">
        <f>IFERROR(__xludf.DUMMYFUNCTION("GOOGLETRANSLATE(A24573,""en"",""pt"")"),"NO zoom óptico exclusivamente digital, zoom baterias come")</f>
        <v>NO zoom óptico exclusivamente digital, zoom baterias come</v>
      </c>
      <c r="B24573" s="3">
        <v>0</v>
      </c>
    </row>
    <row r="24574" ht="15.75" customHeight="1" spans="1:2">
      <c r="A24574" s="3" t="str">
        <f>IFERROR(__xludf.DUMMYFUNCTION("GOOGLETRANSLATE(A24574,""en"",""pt"")"),"nada")</f>
        <v>nada</v>
      </c>
      <c r="B24574" s="3">
        <v>0</v>
      </c>
    </row>
    <row r="24575" ht="15.75" customHeight="1" spans="1:2">
      <c r="A24575" s="3" t="str">
        <f>IFERROR(__xludf.DUMMYFUNCTION("GOOGLETRANSLATE(A24575,""en"",""pt"")"),"Falta de Zoom Óptico (é um recurso caro)")</f>
        <v>Falta de Zoom Óptico (é um recurso caro)</v>
      </c>
      <c r="B24575" s="3">
        <v>0</v>
      </c>
    </row>
    <row r="24576" ht="15.75" customHeight="1" spans="1:2">
      <c r="A24576" s="3" t="str">
        <f>IFERROR(__xludf.DUMMYFUNCTION("GOOGLETRANSLATE(A24576,""en"",""pt"")"),"display LCD jerky, pobre interface serial / software")</f>
        <v>display LCD jerky, pobre interface serial / software</v>
      </c>
      <c r="B24576" s="3">
        <v>0</v>
      </c>
    </row>
    <row r="24577" ht="15.75" customHeight="1" spans="1:2">
      <c r="A24577" s="3" t="str">
        <f>IFERROR(__xludf.DUMMYFUNCTION("GOOGLETRANSLATE(A24577,""en"",""pt"")"),"assassino bateria, o cartão pequeno CF")</f>
        <v>assassino bateria, o cartão pequeno CF</v>
      </c>
      <c r="B24577" s="3">
        <v>0</v>
      </c>
    </row>
    <row r="24578" ht="15.75" customHeight="1" spans="1:2">
      <c r="A24578" s="3" t="str">
        <f>IFERROR(__xludf.DUMMYFUNCTION("GOOGLETRANSLATE(A24578,""en"",""pt"")"),"A ligação ao computador, estabilidade, flash")</f>
        <v>A ligação ao computador, estabilidade, flash</v>
      </c>
      <c r="B24578" s="3">
        <v>0</v>
      </c>
    </row>
    <row r="24579" ht="15.75" customHeight="1" spans="1:2">
      <c r="A24579" s="3" t="str">
        <f>IFERROR(__xludf.DUMMYFUNCTION("GOOGLETRANSLATE(A24579,""en"",""pt"")"),"Desejo o zoom foi maior")</f>
        <v>Desejo o zoom foi maior</v>
      </c>
      <c r="B24579" s="3">
        <v>0</v>
      </c>
    </row>
    <row r="24580" ht="15.75" customHeight="1" spans="1:2">
      <c r="A24580" s="3" t="str">
        <f>IFERROR(__xludf.DUMMYFUNCTION("GOOGLETRANSLATE(A24580,""en"",""pt"")"),"Vida útil da bateria, Conexão Serial, Sem Zoom Óptico")</f>
        <v>Vida útil da bateria, Conexão Serial, Sem Zoom Óptico</v>
      </c>
      <c r="B24580" s="3">
        <v>0</v>
      </c>
    </row>
    <row r="24581" ht="15.75" customHeight="1" spans="1:2">
      <c r="A24581" s="3" t="str">
        <f>IFERROR(__xludf.DUMMYFUNCTION("GOOGLETRANSLATE(A24581,""en"",""pt"")"),"adaptador de energia AC não incluído")</f>
        <v>adaptador de energia AC não incluído</v>
      </c>
      <c r="B24581" s="3">
        <v>0</v>
      </c>
    </row>
    <row r="24582" ht="15.75" customHeight="1" spans="1:2">
      <c r="A24582" s="3" t="str">
        <f>IFERROR(__xludf.DUMMYFUNCTION("GOOGLETRANSLATE(A24582,""en"",""pt"")"),"vida média da bateria, cabo às vezes é difícil de desligar.")</f>
        <v>vida média da bateria, cabo às vezes é difícil de desligar.</v>
      </c>
      <c r="B24582" s="3">
        <v>0</v>
      </c>
    </row>
    <row r="24583" ht="15.75" customHeight="1" spans="1:2">
      <c r="A24583" s="3" t="str">
        <f>IFERROR(__xludf.DUMMYFUNCTION("GOOGLETRANSLATE(A24583,""en"",""pt"")"),"?")</f>
        <v>?</v>
      </c>
      <c r="B24583" s="3">
        <v>0</v>
      </c>
    </row>
    <row r="24584" ht="15.75" customHeight="1" spans="1:2">
      <c r="A24584" s="3" t="str">
        <f>IFERROR(__xludf.DUMMYFUNCTION("GOOGLETRANSLATE(A24584,""en"",""pt"")"),"pesado")</f>
        <v>pesado</v>
      </c>
      <c r="B24584" s="3">
        <v>0</v>
      </c>
    </row>
    <row r="24585" ht="15.75" customHeight="1" spans="1:2">
      <c r="A24585" s="3" t="str">
        <f>IFERROR(__xludf.DUMMYFUNCTION("GOOGLETRANSLATE(A24585,""en"",""pt"")"),"Nenhum")</f>
        <v>Nenhum</v>
      </c>
      <c r="B24585" s="3">
        <v>0</v>
      </c>
    </row>
    <row r="24586" ht="15.75" customHeight="1" spans="1:2">
      <c r="A24586" s="3" t="str">
        <f>IFERROR(__xludf.DUMMYFUNCTION("GOOGLETRANSLATE(A24586,""en"",""pt"")"),"Nenhum")</f>
        <v>Nenhum</v>
      </c>
      <c r="B24586" s="3">
        <v>0</v>
      </c>
    </row>
    <row r="24587" ht="15.75" customHeight="1" spans="1:2">
      <c r="A24587" s="3" t="str">
        <f>IFERROR(__xludf.DUMMYFUNCTION("GOOGLETRANSLATE(A24587,""en"",""pt"")"),"display LCD é irregular e lenta, sem estojo de transporte, adaptador AC caro (US $ 50), zoom digital pobres")</f>
        <v>display LCD é irregular e lenta, sem estojo de transporte, adaptador AC caro (US $ 50), zoom digital pobres</v>
      </c>
      <c r="B24587" s="3">
        <v>0</v>
      </c>
    </row>
    <row r="24588" ht="15.75" customHeight="1" spans="1:2">
      <c r="A24588" s="3" t="str">
        <f>IFERROR(__xludf.DUMMYFUNCTION("GOOGLETRANSLATE(A24588,""en"",""pt"")"),"Os controlos são de base, sem um adaptador AC")</f>
        <v>Os controlos são de base, sem um adaptador AC</v>
      </c>
      <c r="B24588" s="3">
        <v>0</v>
      </c>
    </row>
    <row r="24589" ht="15.75" customHeight="1" spans="1:2">
      <c r="A24589" s="3" t="str">
        <f>IFERROR(__xludf.DUMMYFUNCTION("GOOGLETRANSLATE(A24589,""en"",""pt"")"),"uso rápido da bateria, nenhum adaptador AC veio w / it.")</f>
        <v>uso rápido da bateria, nenhum adaptador AC veio w / it.</v>
      </c>
      <c r="B24589" s="3">
        <v>0</v>
      </c>
    </row>
    <row r="24590" ht="15.75" customHeight="1" spans="1:2">
      <c r="A24590" s="3" t="str">
        <f>IFERROR(__xludf.DUMMYFUNCTION("GOOGLETRANSLATE(A24590,""en"",""pt"")"),"display LCD instável, a falta de recursos estendidos.")</f>
        <v>display LCD instável, a falta de recursos estendidos.</v>
      </c>
      <c r="B24590" s="3">
        <v>0</v>
      </c>
    </row>
    <row r="24591" ht="15.75" customHeight="1" spans="1:2">
      <c r="A24591" s="3" t="str">
        <f>IFERROR(__xludf.DUMMYFUNCTION("GOOGLETRANSLATE(A24591,""en"",""pt"")"),"qualidade horrível de interiores pics, difíceis de apagar as fotos")</f>
        <v>qualidade horrível de interiores pics, difíceis de apagar as fotos</v>
      </c>
      <c r="B24591" s="3">
        <v>0</v>
      </c>
    </row>
    <row r="24592" ht="15.75" customHeight="1" spans="1:2">
      <c r="A24592" s="3" t="str">
        <f>IFERROR(__xludf.DUMMYFUNCTION("GOOGLETRANSLATE(A24592,""en"",""pt"")"),"break downs frequentes")</f>
        <v>break downs frequentes</v>
      </c>
      <c r="B24592" s="3">
        <v>0</v>
      </c>
    </row>
    <row r="24593" ht="15.75" customHeight="1" spans="1:2">
      <c r="A24593" s="3" t="str">
        <f>IFERROR(__xludf.DUMMYFUNCTION("GOOGLETRANSLATE(A24593,""en"",""pt"")"),"Definitaly usar um adaptador")</f>
        <v>Definitaly usar um adaptador</v>
      </c>
      <c r="B24593" s="3">
        <v>0</v>
      </c>
    </row>
    <row r="24594" ht="15.75" customHeight="1" spans="1:2">
      <c r="A24594" s="3" t="str">
        <f>IFERROR(__xludf.DUMMYFUNCTION("GOOGLETRANSLATE(A24594,""en"",""pt"")"),"1/2 atraso tiro segunda e vida de bateria fraca durante a utilização do ecrã LCD")</f>
        <v>1/2 atraso tiro segunda e vida de bateria fraca durante a utilização do ecrã LCD</v>
      </c>
      <c r="B24594" s="3">
        <v>0</v>
      </c>
    </row>
    <row r="24595" ht="15.75" customHeight="1" spans="1:2">
      <c r="A24595" s="3" t="str">
        <f>IFERROR(__xludf.DUMMYFUNCTION("GOOGLETRANSLATE(A24595,""en"",""pt"")"),"nenhum caso de câmera de proteção transportando")</f>
        <v>nenhum caso de câmera de proteção transportando</v>
      </c>
      <c r="B24595" s="3">
        <v>0</v>
      </c>
    </row>
    <row r="24596" ht="15.75" customHeight="1" spans="1:2">
      <c r="A24596" s="3" t="str">
        <f>IFERROR(__xludf.DUMMYFUNCTION("GOOGLETRANSLATE(A24596,""en"",""pt"")"),"Nenhum")</f>
        <v>Nenhum</v>
      </c>
      <c r="B24596" s="3">
        <v>0</v>
      </c>
    </row>
    <row r="24597" ht="15.75" customHeight="1" spans="1:2">
      <c r="A24597" s="3" t="str">
        <f>IFERROR(__xludf.DUMMYFUNCTION("GOOGLETRANSLATE(A24597,""en"",""pt"")"),"adaptador sem AC, Serial somente - nenhuma USB, flash pobres")</f>
        <v>adaptador sem AC, Serial somente - nenhuma USB, flash pobres</v>
      </c>
      <c r="B24597" s="3">
        <v>0</v>
      </c>
    </row>
    <row r="24598" ht="15.75" customHeight="1" spans="1:2">
      <c r="A24598" s="3" t="str">
        <f>IFERROR(__xludf.DUMMYFUNCTION("GOOGLETRANSLATE(A24598,""en"",""pt"")"),"A vida da bateria e sem disquete para fotos hold")</f>
        <v>A vida da bateria e sem disquete para fotos hold</v>
      </c>
      <c r="B24598" s="3">
        <v>0</v>
      </c>
    </row>
    <row r="24599" ht="15.75" customHeight="1" spans="1:2">
      <c r="A24599" s="3" t="str">
        <f>IFERROR(__xludf.DUMMYFUNCTION("GOOGLETRANSLATE(A24599,""en"",""pt"")"),"Não consigo pensar em nenhum!")</f>
        <v>Não consigo pensar em nenhum!</v>
      </c>
      <c r="B24599" s="3">
        <v>0</v>
      </c>
    </row>
    <row r="24600" ht="15.75" customHeight="1" spans="1:2">
      <c r="A24600" s="3" t="str">
        <f>IFERROR(__xludf.DUMMYFUNCTION("GOOGLETRANSLATE(A24600,""en"",""pt"")"),"utiliza baterias rapidamente")</f>
        <v>utiliza baterias rapidamente</v>
      </c>
      <c r="B24600" s="3">
        <v>0</v>
      </c>
    </row>
    <row r="24601" ht="15.75" customHeight="1" spans="1:2">
      <c r="A24601" s="3" t="str">
        <f>IFERROR(__xludf.DUMMYFUNCTION("GOOGLETRANSLATE(A24601,""en"",""pt"")"),"usa monte de baterias")</f>
        <v>usa monte de baterias</v>
      </c>
      <c r="B24601" s="3">
        <v>0</v>
      </c>
    </row>
    <row r="24602" ht="15.75" customHeight="1" spans="1:2">
      <c r="A24602" s="3" t="str">
        <f>IFERROR(__xludf.DUMMYFUNCTION("GOOGLETRANSLATE(A24602,""en"",""pt"")"),"Nenhum")</f>
        <v>Nenhum</v>
      </c>
      <c r="B24602" s="3">
        <v>0</v>
      </c>
    </row>
    <row r="24603" ht="15.75" customHeight="1" spans="1:2">
      <c r="A24603" s="3" t="str">
        <f>IFERROR(__xludf.DUMMYFUNCTION("GOOGLETRANSLATE(A24603,""en"",""pt"")"),"Nenhum")</f>
        <v>Nenhum</v>
      </c>
      <c r="B24603" s="3">
        <v>0</v>
      </c>
    </row>
    <row r="24604" ht="15.75" customHeight="1" spans="1:2">
      <c r="A24604" s="3" t="str">
        <f>IFERROR(__xludf.DUMMYFUNCTION("GOOGLETRANSLATE(A24604,""en"",""pt"")"),"não toma bons tiros em movimento, mas eu não vi um que faz")</f>
        <v>não toma bons tiros em movimento, mas eu não vi um que faz</v>
      </c>
      <c r="B24604" s="3">
        <v>0</v>
      </c>
    </row>
    <row r="24605" ht="15.75" customHeight="1" spans="1:2">
      <c r="A24605" s="3" t="str">
        <f>IFERROR(__xludf.DUMMYFUNCTION("GOOGLETRANSLATE(A24605,""en"",""pt"")"),"Sem zoom óptico; pobre LCD; bateria &amp; amp; quot; porco &amp; amp; quot ;; apenas um Megapixels; flash está dentro insuficientes")</f>
        <v>Sem zoom óptico; pobre LCD; bateria &amp; amp; quot; porco &amp; amp; quot ;; apenas um Megapixels; flash está dentro insuficientes</v>
      </c>
      <c r="B24605" s="3">
        <v>0</v>
      </c>
    </row>
    <row r="24606" ht="15.75" customHeight="1" spans="1:2">
      <c r="A24606" s="3" t="str">
        <f>IFERROR(__xludf.DUMMYFUNCTION("GOOGLETRANSLATE(A24606,""en"",""pt"")"),"poderia usar mais memória")</f>
        <v>poderia usar mais memória</v>
      </c>
      <c r="B24606" s="3">
        <v>0</v>
      </c>
    </row>
    <row r="24607" ht="15.75" customHeight="1" spans="1:2">
      <c r="A24607" s="3" t="str">
        <f>IFERROR(__xludf.DUMMYFUNCTION("GOOGLETRANSLATE(A24607,""en"",""pt"")"),"A qualidade da imagem, o uso da bateria")</f>
        <v>A qualidade da imagem, o uso da bateria</v>
      </c>
      <c r="B24607" s="3">
        <v>0</v>
      </c>
    </row>
    <row r="24608" ht="15.75" customHeight="1" spans="1:2">
      <c r="A24608" s="3" t="str">
        <f>IFERROR(__xludf.DUMMYFUNCTION("GOOGLETRANSLATE(A24608,""en"",""pt"")"),"A vida de bateria fraca")</f>
        <v>A vida de bateria fraca</v>
      </c>
      <c r="B24608" s="3">
        <v>0</v>
      </c>
    </row>
    <row r="24609" ht="15.75" customHeight="1" spans="1:2">
      <c r="A24609" s="3" t="str">
        <f>IFERROR(__xludf.DUMMYFUNCTION("GOOGLETRANSLATE(A24609,""en"",""pt"")"),"inala baterias, 2x de zoom")</f>
        <v>inala baterias, 2x de zoom</v>
      </c>
      <c r="B24609" s="3">
        <v>0</v>
      </c>
    </row>
    <row r="24610" ht="15.75" customHeight="1" spans="1:2">
      <c r="A24610" s="3" t="str">
        <f>IFERROR(__xludf.DUMMYFUNCTION("GOOGLETRANSLATE(A24610,""en"",""pt"")"),"não tirar fotos bem à noite.")</f>
        <v>não tirar fotos bem à noite.</v>
      </c>
      <c r="B24610" s="3">
        <v>0</v>
      </c>
    </row>
    <row r="24611" ht="15.75" customHeight="1" spans="1:2">
      <c r="A24611" s="3" t="str">
        <f>IFERROR(__xludf.DUMMYFUNCTION("GOOGLETRANSLATE(A24611,""en"",""pt"")"),"Não é possível usar recarregar as baterias &amp; amp; # 13; &amp; amp; # 10; vida Bad Battery")</f>
        <v>Não é possível usar recarregar as baterias &amp; amp; # 13; &amp; amp; # 10; vida Bad Battery</v>
      </c>
      <c r="B24611" s="3">
        <v>0</v>
      </c>
    </row>
    <row r="24612" ht="15.75" customHeight="1" spans="1:2">
      <c r="A24612" s="3" t="str">
        <f>IFERROR(__xludf.DUMMYFUNCTION("GOOGLETRANSLATE(A24612,""en"",""pt"")"),"câmeras de 1,3 megapixels apenas não cortá-la.")</f>
        <v>câmeras de 1,3 megapixels apenas não cortá-la.</v>
      </c>
      <c r="B24612" s="3">
        <v>0</v>
      </c>
    </row>
    <row r="24613" ht="15.75" customHeight="1" spans="1:2">
      <c r="A24613" s="3" t="str">
        <f>IFERROR(__xludf.DUMMYFUNCTION("GOOGLETRANSLATE(A24613,""en"",""pt"")"),"o uso da bateria (sem adaptador AC), Zoom não é grande.")</f>
        <v>o uso da bateria (sem adaptador AC), Zoom não é grande.</v>
      </c>
      <c r="B24613" s="3">
        <v>0</v>
      </c>
    </row>
    <row r="24614" ht="15.75" customHeight="1" spans="1:2">
      <c r="A24614" s="3" t="str">
        <f>IFERROR(__xludf.DUMMYFUNCTION("GOOGLETRANSLATE(A24614,""en"",""pt"")"),"Volumoso projeto de câmera, utiliza-se baterias rapidamente, sem USB ou adaptador AC")</f>
        <v>Volumoso projeto de câmera, utiliza-se baterias rapidamente, sem USB ou adaptador AC</v>
      </c>
      <c r="B24614" s="3">
        <v>0</v>
      </c>
    </row>
    <row r="24615" ht="15.75" customHeight="1" spans="1:2">
      <c r="A24615" s="3" t="str">
        <f>IFERROR(__xludf.DUMMYFUNCTION("GOOGLETRANSLATE(A24615,""en"",""pt"")"),"Ótimo para tirar fotos pessoal, mas não o bastante capacidade de pixel para o profissional.")</f>
        <v>Ótimo para tirar fotos pessoal, mas não o bastante capacidade de pixel para o profissional.</v>
      </c>
      <c r="B24615" s="3">
        <v>0</v>
      </c>
    </row>
    <row r="24616" ht="15.75" customHeight="1" spans="1:2">
      <c r="A24616" s="3" t="str">
        <f>IFERROR(__xludf.DUMMYFUNCTION("GOOGLETRANSLATE(A24616,""en"",""pt"")"),"Não é o melhor qualidade digital lá fora, e isso leva algum tempo para descarregar as imagens.")</f>
        <v>Não é o melhor qualidade digital lá fora, e isso leva algum tempo para descarregar as imagens.</v>
      </c>
      <c r="B24616" s="3">
        <v>0</v>
      </c>
    </row>
    <row r="24617" ht="15.75" customHeight="1" spans="1:2">
      <c r="A24617" s="3" t="str">
        <f>IFERROR(__xludf.DUMMYFUNCTION("GOOGLETRANSLATE(A24617,""en"",""pt"")"),"não vêm junto com um leitor de cartão PC")</f>
        <v>não vêm junto com um leitor de cartão PC</v>
      </c>
      <c r="B24617" s="3">
        <v>0</v>
      </c>
    </row>
    <row r="24618" ht="15.75" customHeight="1" spans="1:2">
      <c r="A24618" s="3" t="str">
        <f>IFERROR(__xludf.DUMMYFUNCTION("GOOGLETRANSLATE(A24618,""en"",""pt"")"),"Come-se baterias rápido REAIS")</f>
        <v>Come-se baterias rápido REAIS</v>
      </c>
      <c r="B24618" s="3">
        <v>0</v>
      </c>
    </row>
    <row r="24619" ht="15.75" customHeight="1" spans="1:2">
      <c r="A24619" s="3" t="str">
        <f>IFERROR(__xludf.DUMMYFUNCTION("GOOGLETRANSLATE(A24619,""en"",""pt"")"),"Sem zoom óptico")</f>
        <v>Sem zoom óptico</v>
      </c>
      <c r="B24619" s="3">
        <v>0</v>
      </c>
    </row>
    <row r="24620" ht="15.75" customHeight="1" spans="1:2">
      <c r="A24620" s="3" t="str">
        <f>IFERROR(__xludf.DUMMYFUNCTION("GOOGLETRANSLATE(A24620,""en"",""pt"")"),"O uso prolongado da tela LCD diminui drasticamente a vida da bateria")</f>
        <v>O uso prolongado da tela LCD diminui drasticamente a vida da bateria</v>
      </c>
      <c r="B24620" s="3">
        <v>0</v>
      </c>
    </row>
    <row r="24621" ht="15.75" customHeight="1" spans="1:2">
      <c r="A24621" s="3" t="str">
        <f>IFERROR(__xludf.DUMMYFUNCTION("GOOGLETRANSLATE(A24621,""en"",""pt"")"),"nenhum caso de transporte")</f>
        <v>nenhum caso de transporte</v>
      </c>
      <c r="B24621" s="3">
        <v>0</v>
      </c>
    </row>
    <row r="24622" ht="15.75" customHeight="1" spans="1:2">
      <c r="A24622" s="3" t="str">
        <f>IFERROR(__xludf.DUMMYFUNCTION("GOOGLETRANSLATE(A24622,""en"",""pt"")"),"zoom, tiros rápidos")</f>
        <v>zoom, tiros rápidos</v>
      </c>
      <c r="B24622" s="3">
        <v>0</v>
      </c>
    </row>
    <row r="24623" ht="15.75" customHeight="1" spans="1:2">
      <c r="A24623" s="3" t="str">
        <f>IFERROR(__xludf.DUMMYFUNCTION("GOOGLETRANSLATE(A24623,""en"",""pt"")"),"Upload de fotos lento")</f>
        <v>Upload de fotos lento</v>
      </c>
      <c r="B24623" s="3">
        <v>0</v>
      </c>
    </row>
    <row r="24624" ht="15.75" customHeight="1" spans="1:2">
      <c r="A24624" s="3" t="str">
        <f>IFERROR(__xludf.DUMMYFUNCTION("GOOGLETRANSLATE(A24624,""en"",""pt"")"),"Passa por baterias rapidamente se você não vê-lo!")</f>
        <v>Passa por baterias rapidamente se você não vê-lo!</v>
      </c>
      <c r="B24624" s="3">
        <v>0</v>
      </c>
    </row>
    <row r="24625" ht="15.75" customHeight="1" spans="1:2">
      <c r="A24625" s="3" t="str">
        <f>IFERROR(__xludf.DUMMYFUNCTION("GOOGLETRANSLATE(A24625,""en"",""pt"")"),"O software tem capacidades de edição limitada.")</f>
        <v>O software tem capacidades de edição limitada.</v>
      </c>
      <c r="B24625" s="3">
        <v>0</v>
      </c>
    </row>
    <row r="24626" ht="15.75" customHeight="1" spans="1:2">
      <c r="A24626" s="3" t="str">
        <f>IFERROR(__xludf.DUMMYFUNCTION("GOOGLETRANSLATE(A24626,""en"",""pt"")"),"temporizador precisa ser reativada depois de cada uso")</f>
        <v>temporizador precisa ser reativada depois de cada uso</v>
      </c>
      <c r="B24626" s="3">
        <v>0</v>
      </c>
    </row>
    <row r="24627" ht="15.75" customHeight="1" spans="1:2">
      <c r="A24627" s="3" t="str">
        <f>IFERROR(__xludf.DUMMYFUNCTION("GOOGLETRANSLATE(A24627,""en"",""pt"")"),"tamanho volumoso, glutão bateria, problemas de software com conexões PC")</f>
        <v>tamanho volumoso, glutão bateria, problemas de software com conexões PC</v>
      </c>
      <c r="B24627" s="3">
        <v>0</v>
      </c>
    </row>
    <row r="24628" ht="15.75" customHeight="1" spans="1:2">
      <c r="A24628" s="3" t="str">
        <f>IFERROR(__xludf.DUMMYFUNCTION("GOOGLETRANSLATE(A24628,""en"",""pt"")"),"Digital, não óptico, zoom; velocidade de processamento lento; bateria de otário")</f>
        <v>Digital, não óptico, zoom; velocidade de processamento lento; bateria de otário</v>
      </c>
      <c r="B24628" s="3">
        <v>0</v>
      </c>
    </row>
    <row r="24629" ht="15.75" customHeight="1" spans="1:2">
      <c r="A24629" s="3" t="str">
        <f>IFERROR(__xludf.DUMMYFUNCTION("GOOGLETRANSLATE(A24629,""en"",""pt"")"),"Zoom, Transferência lenta, Recursos básicos")</f>
        <v>Zoom, Transferência lenta, Recursos básicos</v>
      </c>
      <c r="B24629" s="3">
        <v>0</v>
      </c>
    </row>
    <row r="24630" ht="15.75" customHeight="1" spans="1:2">
      <c r="A24630" s="3" t="str">
        <f>IFERROR(__xludf.DUMMYFUNCTION("GOOGLETRANSLATE(A24630,""en"",""pt"")"),"A única coisa que eu não gosto é depois para baixo carregamento para o computador que seria bom ser capaz de recarregar imagens para a câmera")</f>
        <v>A única coisa que eu não gosto é depois para baixo carregamento para o computador que seria bom ser capaz de recarregar imagens para a câmera</v>
      </c>
      <c r="B24630" s="3">
        <v>0</v>
      </c>
    </row>
    <row r="24631" ht="15.75" customHeight="1" spans="1:2">
      <c r="A24631" s="3" t="str">
        <f>IFERROR(__xludf.DUMMYFUNCTION("GOOGLETRANSLATE(A24631,""en"",""pt"")"),"Encontrado nada negativo")</f>
        <v>Encontrado nada negativo</v>
      </c>
      <c r="B24631" s="3">
        <v>0</v>
      </c>
    </row>
    <row r="24632" ht="15.75" customHeight="1" spans="1:2">
      <c r="A24632" s="3" t="str">
        <f>IFERROR(__xludf.DUMMYFUNCTION("GOOGLETRANSLATE(A24632,""en"",""pt"")"),"Precisa de mais pixels !!")</f>
        <v>Precisa de mais pixels !!</v>
      </c>
      <c r="B24632" s="3">
        <v>0</v>
      </c>
    </row>
    <row r="24633" ht="15.75" customHeight="1" spans="1:2">
      <c r="A24633" s="3" t="str">
        <f>IFERROR(__xludf.DUMMYFUNCTION("GOOGLETRANSLATE(A24633,""en"",""pt"")"),"As baterias não duram muito tempo")</f>
        <v>As baterias não duram muito tempo</v>
      </c>
      <c r="B24633" s="3">
        <v>0</v>
      </c>
    </row>
    <row r="24634" ht="15.75" customHeight="1" spans="1:2">
      <c r="A24634" s="3" t="str">
        <f>IFERROR(__xludf.DUMMYFUNCTION("GOOGLETRANSLATE(A24634,""en"",""pt"")"),"alça de transporte barato, curta duração da bateria, nenhum adaptador 12 volts")</f>
        <v>alça de transporte barato, curta duração da bateria, nenhum adaptador 12 volts</v>
      </c>
      <c r="B24634" s="3">
        <v>0</v>
      </c>
    </row>
    <row r="24635" ht="15.75" customHeight="1" spans="1:2">
      <c r="A24635" s="3" t="str">
        <f>IFERROR(__xludf.DUMMYFUNCTION("GOOGLETRANSLATE(A24635,""en"",""pt"")"),"Sem zoom óptico")</f>
        <v>Sem zoom óptico</v>
      </c>
      <c r="B24635" s="3">
        <v>0</v>
      </c>
    </row>
    <row r="24636" ht="15.75" customHeight="1" spans="1:2">
      <c r="A24636" s="3" t="str">
        <f>IFERROR(__xludf.DUMMYFUNCTION("GOOGLETRANSLATE(A24636,""en"",""pt"")"),"Deve ser vendido com caso")</f>
        <v>Deve ser vendido com caso</v>
      </c>
      <c r="B24636" s="3">
        <v>0</v>
      </c>
    </row>
    <row r="24637" ht="15.75" customHeight="1" spans="1:2">
      <c r="A24637" s="3" t="str">
        <f>IFERROR(__xludf.DUMMYFUNCTION("GOOGLETRANSLATE(A24637,""en"",""pt"")"),"Se você não tem baterias re-chargable, conseguir alguma coisa. Realmente passa por baterias.")</f>
        <v>Se você não tem baterias re-chargable, conseguir alguma coisa. Realmente passa por baterias.</v>
      </c>
      <c r="B24637" s="3">
        <v>0</v>
      </c>
    </row>
    <row r="24638" ht="15.75" customHeight="1" spans="1:2">
      <c r="A24638" s="3" t="str">
        <f>IFERROR(__xludf.DUMMYFUNCTION("GOOGLETRANSLATE(A24638,""en"",""pt"")"),"poderia usar maior cartão de memória flash")</f>
        <v>poderia usar maior cartão de memória flash</v>
      </c>
      <c r="B24638" s="3">
        <v>0</v>
      </c>
    </row>
    <row r="24639" ht="15.75" customHeight="1" spans="1:2">
      <c r="A24639" s="3" t="str">
        <f>IFERROR(__xludf.DUMMYFUNCTION("GOOGLETRANSLATE(A24639,""en"",""pt"")"),"Nenhum")</f>
        <v>Nenhum</v>
      </c>
      <c r="B24639" s="3">
        <v>0</v>
      </c>
    </row>
    <row r="24640" ht="15.75" customHeight="1" spans="1:2">
      <c r="A24640" s="3" t="str">
        <f>IFERROR(__xludf.DUMMYFUNCTION("GOOGLETRANSLATE(A24640,""en"",""pt"")"),"O consumo de bateria, a incapacidade para close-ups macro, minúsculos botões de recurso")</f>
        <v>O consumo de bateria, a incapacidade para close-ups macro, minúsculos botões de recurso</v>
      </c>
      <c r="B24640" s="3">
        <v>0</v>
      </c>
    </row>
    <row r="24641" ht="15.75" customHeight="1" spans="1:2">
      <c r="A24641" s="3" t="str">
        <f>IFERROR(__xludf.DUMMYFUNCTION("GOOGLETRANSLATE(A24641,""en"",""pt"")"),"baterias orçamento limitado")</f>
        <v>baterias orçamento limitado</v>
      </c>
      <c r="B24641" s="3">
        <v>0</v>
      </c>
    </row>
    <row r="24642" ht="15.75" customHeight="1" spans="1:2">
      <c r="A24642" s="3" t="str">
        <f>IFERROR(__xludf.DUMMYFUNCTION("GOOGLETRANSLATE(A24642,""en"",""pt"")"),"zoom um pouco difícil")</f>
        <v>zoom um pouco difícil</v>
      </c>
      <c r="B24642" s="3">
        <v>0</v>
      </c>
    </row>
    <row r="24643" ht="15.75" customHeight="1" spans="1:2">
      <c r="A24643" s="3" t="str">
        <f>IFERROR(__xludf.DUMMYFUNCTION("GOOGLETRANSLATE(A24643,""en"",""pt"")"),"Está faltando alguns recursos, como zoom.")</f>
        <v>Está faltando alguns recursos, como zoom.</v>
      </c>
      <c r="B24643" s="3">
        <v>0</v>
      </c>
    </row>
    <row r="24644" ht="15.75" customHeight="1" spans="1:2">
      <c r="A24644" s="3" t="str">
        <f>IFERROR(__xludf.DUMMYFUNCTION("GOOGLETRANSLATE(A24644,""en"",""pt"")"),"Baixar leva um longo tempo")</f>
        <v>Baixar leva um longo tempo</v>
      </c>
      <c r="B24644" s="3">
        <v>0</v>
      </c>
    </row>
    <row r="24645" ht="15.75" customHeight="1" spans="1:2">
      <c r="A24645" s="3" t="str">
        <f>IFERROR(__xludf.DUMMYFUNCTION("GOOGLETRANSLATE(A24645,""en"",""pt"")"),"recurso de zoom é mínima")</f>
        <v>recurso de zoom é mínima</v>
      </c>
      <c r="B24645" s="3">
        <v>0</v>
      </c>
    </row>
    <row r="24646" ht="15.75" customHeight="1" spans="1:2">
      <c r="A24646" s="3" t="str">
        <f>IFERROR(__xludf.DUMMYFUNCTION("GOOGLETRANSLATE(A24646,""en"",""pt"")"),"necessitam de um melhor apoio")</f>
        <v>necessitam de um melhor apoio</v>
      </c>
      <c r="B24646" s="3">
        <v>0</v>
      </c>
    </row>
    <row r="24647" ht="15.75" customHeight="1" spans="1:2">
      <c r="A24647" s="3" t="str">
        <f>IFERROR(__xludf.DUMMYFUNCTION("GOOGLETRANSLATE(A24647,""en"",""pt"")"),"curta duração da bateria")</f>
        <v>curta duração da bateria</v>
      </c>
      <c r="B24647" s="3">
        <v>0</v>
      </c>
    </row>
    <row r="24648" ht="15.75" customHeight="1" spans="1:2">
      <c r="A24648" s="3" t="str">
        <f>IFERROR(__xludf.DUMMYFUNCTION("GOOGLETRANSLATE(A24648,""en"",""pt"")"),"Nenhum")</f>
        <v>Nenhum</v>
      </c>
      <c r="B24648" s="3">
        <v>0</v>
      </c>
    </row>
    <row r="24649" ht="15.75" customHeight="1" spans="1:2">
      <c r="A24649" s="3" t="str">
        <f>IFERROR(__xludf.DUMMYFUNCTION("GOOGLETRANSLATE(A24649,""en"",""pt"")"),"sob o armazenamento do assento é muito raso, assento parecia muito fina")</f>
        <v>sob o armazenamento do assento é muito raso, assento parecia muito fina</v>
      </c>
      <c r="B24649" s="3">
        <v>0</v>
      </c>
    </row>
    <row r="24650" ht="15.75" customHeight="1" spans="1:2">
      <c r="A24650" s="3" t="str">
        <f>IFERROR(__xludf.DUMMYFUNCTION("GOOGLETRANSLATE(A24650,""en"",""pt"")"),"Não compactar tão pequeno quanto eu gostaria.")</f>
        <v>Não compactar tão pequeno quanto eu gostaria.</v>
      </c>
      <c r="B24650" s="3">
        <v>0</v>
      </c>
    </row>
    <row r="24651" ht="15.75" customHeight="1" spans="1:2">
      <c r="A24651" s="3" t="str">
        <f>IFERROR(__xludf.DUMMYFUNCTION("GOOGLETRANSLATE(A24651,""en"",""pt"")"),"Um pouco pesado.")</f>
        <v>Um pouco pesado.</v>
      </c>
      <c r="B24651" s="3">
        <v>0</v>
      </c>
    </row>
    <row r="24652" ht="15.75" customHeight="1" spans="1:2">
      <c r="A24652" s="3" t="str">
        <f>IFERROR(__xludf.DUMMYFUNCTION("GOOGLETRANSLATE(A24652,""en"",""pt"")"),"não têm qualquer ainda - Eu acho que a cor se eu tivesse que escolher")</f>
        <v>não têm qualquer ainda - Eu acho que a cor se eu tivesse que escolher</v>
      </c>
      <c r="B24652" s="3">
        <v>0</v>
      </c>
    </row>
    <row r="24653" ht="15.75" customHeight="1" spans="1:2">
      <c r="A24653" s="3" t="str">
        <f>IFERROR(__xludf.DUMMYFUNCTION("GOOGLETRANSLATE(A24653,""en"",""pt"")"),"Eu não ligava para o ajustador de assento cordão. Eu acho que eles podem melhorar isso.")</f>
        <v>Eu não ligava para o ajustador de assento cordão. Eu acho que eles podem melhorar isso.</v>
      </c>
      <c r="B24653" s="3">
        <v>0</v>
      </c>
    </row>
    <row r="24654" ht="15.75" customHeight="1" spans="1:2">
      <c r="A24654" s="3" t="str">
        <f>IFERROR(__xludf.DUMMYFUNCTION("GOOGLETRANSLATE(A24654,""en"",""pt"")"),"pesado, não muito compacto quando dobrado, acessórios plasticky, sol sombra é apenas ok")</f>
        <v>pesado, não muito compacto quando dobrado, acessórios plasticky, sol sombra é apenas ok</v>
      </c>
      <c r="B24654" s="3">
        <v>0</v>
      </c>
    </row>
    <row r="24655" ht="15.75" customHeight="1" spans="1:2">
      <c r="A24655" s="3" t="str">
        <f>IFERROR(__xludf.DUMMYFUNCTION("GOOGLETRANSLATE(A24655,""en"",""pt"")"),"Canopy é limitado ""bandeja de criança"" é frágil, Pesado (21 lbs), Assento regulador não é grande")</f>
        <v>Canopy é limitado "bandeja de criança" é frágil, Pesado (21 lbs), Assento regulador não é grande</v>
      </c>
      <c r="B24655" s="3">
        <v>0</v>
      </c>
    </row>
    <row r="24656" ht="15.75" customHeight="1" spans="1:2">
      <c r="A24656" s="3" t="str">
        <f>IFERROR(__xludf.DUMMYFUNCTION("GOOGLETRANSLATE(A24656,""en"",""pt"")"),"O protetor solar não é grande o suficiente para ser eficaz e não há freio de mão.")</f>
        <v>O protetor solar não é grande o suficiente para ser eficaz e não há freio de mão.</v>
      </c>
      <c r="B24656" s="3">
        <v>0</v>
      </c>
    </row>
    <row r="24657" ht="15.75" customHeight="1" spans="1:2">
      <c r="A24657" s="3" t="str">
        <f>IFERROR(__xludf.DUMMYFUNCTION("GOOGLETRANSLATE(A24657,""en"",""pt"")"),"alças de ombro pode ser um pouco frouxa em um pequeno bebê.")</f>
        <v>alças de ombro pode ser um pouco frouxa em um pequeno bebê.</v>
      </c>
      <c r="B24657" s="3">
        <v>0</v>
      </c>
    </row>
    <row r="24658" ht="15.75" customHeight="1" spans="1:2">
      <c r="A24658" s="3" t="str">
        <f>IFERROR(__xludf.DUMMYFUNCTION("GOOGLETRANSLATE(A24658,""en"",""pt"")"),"Não é um verdadeiro carrinho de corrida, peso, pneus são pequenas, 5 pontos arnês poderia ser melhor.")</f>
        <v>Não é um verdadeiro carrinho de corrida, peso, pneus são pequenas, 5 pontos arnês poderia ser melhor.</v>
      </c>
      <c r="B24658" s="3">
        <v>0</v>
      </c>
    </row>
    <row r="24659" ht="15.75" customHeight="1" spans="1:2">
      <c r="A24659" s="3" t="str">
        <f>IFERROR(__xludf.DUMMYFUNCTION("GOOGLETRANSLATE(A24659,""en"",""pt"")"),"Mais pesado em peso e podem não dobrar tão plana como alguns carrinhos.")</f>
        <v>Mais pesado em peso e podem não dobrar tão plana como alguns carrinhos.</v>
      </c>
      <c r="B24659" s="3">
        <v>0</v>
      </c>
    </row>
    <row r="24660" ht="15.75" customHeight="1" spans="1:2">
      <c r="A24660" s="3" t="str">
        <f>IFERROR(__xludf.DUMMYFUNCTION("GOOGLETRANSLATE(A24660,""en"",""pt"")"),"Nenhum")</f>
        <v>Nenhum</v>
      </c>
      <c r="B24660" s="3">
        <v>0</v>
      </c>
    </row>
    <row r="24661" ht="15.75" customHeight="1" spans="1:2">
      <c r="A24661" s="3" t="str">
        <f>IFERROR(__xludf.DUMMYFUNCTION("GOOGLETRANSLATE(A24661,""en"",""pt"")"),"Sem bugscreen ou intempéries; assento precisa de almofada de assento extra (extra custo)")</f>
        <v>Sem bugscreen ou intempéries; assento precisa de almofada de assento extra (extra custo)</v>
      </c>
      <c r="B24661" s="3">
        <v>0</v>
      </c>
    </row>
    <row r="24662" ht="15.75" customHeight="1" spans="1:2">
      <c r="A24662" s="3" t="str">
        <f>IFERROR(__xludf.DUMMYFUNCTION("GOOGLETRANSLATE(A24662,""en"",""pt"")"),"teste")</f>
        <v>teste</v>
      </c>
      <c r="B24662" s="3">
        <v>0</v>
      </c>
    </row>
    <row r="24663" ht="15.75" customHeight="1" spans="1:2">
      <c r="A24663" s="3" t="str">
        <f>IFERROR(__xludf.DUMMYFUNCTION("GOOGLETRANSLATE(A24663,""en"",""pt"")"),"Difícil de encontrar, tampa de assento seria bom")</f>
        <v>Difícil de encontrar, tampa de assento seria bom</v>
      </c>
      <c r="B24663" s="3">
        <v>0</v>
      </c>
    </row>
    <row r="24664" ht="15.75" customHeight="1" spans="1:2">
      <c r="A24664" s="3" t="str">
        <f>IFERROR(__xludf.DUMMYFUNCTION("GOOGLETRANSLATE(A24664,""en"",""pt"")"),"No lado volumoso, difícil de encontrar em lojas")</f>
        <v>No lado volumoso, difícil de encontrar em lojas</v>
      </c>
      <c r="B24664" s="3">
        <v>0</v>
      </c>
    </row>
    <row r="24665" ht="15.75" customHeight="1" spans="1:2">
      <c r="A24665" s="3" t="str">
        <f>IFERROR(__xludf.DUMMYFUNCTION("GOOGLETRANSLATE(A24665,""en"",""pt"")"),"Difícil de encontrar nas lojas e as alças são um pouco frouxa")</f>
        <v>Difícil de encontrar nas lojas e as alças são um pouco frouxa</v>
      </c>
      <c r="B24665" s="3">
        <v>0</v>
      </c>
    </row>
    <row r="24666" ht="15.75" customHeight="1" spans="1:2">
      <c r="A24666" s="3" t="str">
        <f>IFERROR(__xludf.DUMMYFUNCTION("GOOGLETRANSLATE(A24666,""en"",""pt"")"),"Ele faz plana não completamente recline, mas é o suficiente para o bebê para dormir confortavelmente.")</f>
        <v>Ele faz plana não completamente recline, mas é o suficiente para o bebê para dormir confortavelmente.</v>
      </c>
      <c r="B24666" s="3">
        <v>0</v>
      </c>
    </row>
    <row r="24667" ht="15.75" customHeight="1" spans="1:2">
      <c r="A24667" s="3" t="str">
        <f>IFERROR(__xludf.DUMMYFUNCTION("GOOGLETRANSLATE(A24667,""en"",""pt"")"),"Difícil de encontrar")</f>
        <v>Difícil de encontrar</v>
      </c>
      <c r="B24667" s="3">
        <v>0</v>
      </c>
    </row>
    <row r="24668" ht="15.75" customHeight="1" spans="1:2">
      <c r="A24668" s="3" t="str">
        <f>IFERROR(__xludf.DUMMYFUNCTION("GOOGLETRANSLATE(A24668,""en"",""pt"")"),"desempenho muito pobre bateria")</f>
        <v>desempenho muito pobre bateria</v>
      </c>
      <c r="B24668" s="3">
        <v>0</v>
      </c>
    </row>
    <row r="24669" ht="15.75" customHeight="1" spans="1:2">
      <c r="A24669" s="3" t="str">
        <f>IFERROR(__xludf.DUMMYFUNCTION("GOOGLETRANSLATE(A24669,""en"",""pt"")"),"Auto-destrutivo miniatura de rolagem botão de energia / modo de mata bateria regularmente")</f>
        <v>Auto-destrutivo miniatura de rolagem botão de energia / modo de mata bateria regularmente</v>
      </c>
      <c r="B24669" s="3">
        <v>0</v>
      </c>
    </row>
    <row r="24670" ht="15.75" customHeight="1" spans="1:2">
      <c r="A24670" s="3" t="str">
        <f>IFERROR(__xludf.DUMMYFUNCTION("GOOGLETRANSLATE(A24670,""en"",""pt"")"),"Leva tempo para configurar para imagens de baixa luz ,, bateria não dura muito tempo")</f>
        <v>Leva tempo para configurar para imagens de baixa luz ,, bateria não dura muito tempo</v>
      </c>
      <c r="B24670" s="3">
        <v>0</v>
      </c>
    </row>
    <row r="24671" ht="15.75" customHeight="1" spans="1:2">
      <c r="A24671" s="3" t="str">
        <f>IFERROR(__xludf.DUMMYFUNCTION("GOOGLETRANSLATE(A24671,""en"",""pt"")"),"Bateria ""Pig"", e muitos passos envolvidos para o produto acabado.")</f>
        <v>Bateria "Pig", e muitos passos envolvidos para o produto acabado.</v>
      </c>
      <c r="B24671" s="3">
        <v>0</v>
      </c>
    </row>
    <row r="24672" ht="15.75" customHeight="1" spans="1:2">
      <c r="A24672" s="3" t="str">
        <f>IFERROR(__xludf.DUMMYFUNCTION("GOOGLETRANSLATE(A24672,""en"",""pt"")"),"Extremamente complicado controles e configurações; manual de instruções muito mal escrito; Talvez seja um modelo experimental.")</f>
        <v>Extremamente complicado controles e configurações; manual de instruções muito mal escrito; Talvez seja um modelo experimental.</v>
      </c>
      <c r="B24672" s="3">
        <v>0</v>
      </c>
    </row>
    <row r="24673" ht="15.75" customHeight="1" spans="1:2">
      <c r="A24673" s="3" t="str">
        <f>IFERROR(__xludf.DUMMYFUNCTION("GOOGLETRANSLATE(A24673,""en"",""pt"")"),"fome de poder, pequeno LCD")</f>
        <v>fome de poder, pequeno LCD</v>
      </c>
      <c r="B24673" s="3">
        <v>0</v>
      </c>
    </row>
    <row r="24674" ht="15.75" customHeight="1" spans="1:2">
      <c r="A24674" s="3" t="str">
        <f>IFERROR(__xludf.DUMMYFUNCTION("GOOGLETRANSLATE(A24674,""en"",""pt"")"),"Tamanho é maior do que o filme P &amp; amp; S, a vida da bateria é a maneira zapped muito rapidamente")</f>
        <v>Tamanho é maior do que o filme P &amp; amp; S, a vida da bateria é a maneira zapped muito rapidamente</v>
      </c>
      <c r="B24674" s="3">
        <v>0</v>
      </c>
    </row>
    <row r="24675" ht="15.75" customHeight="1" spans="1:2">
      <c r="A24675" s="3" t="str">
        <f>IFERROR(__xludf.DUMMYFUNCTION("GOOGLETRANSLATE(A24675,""en"",""pt"")"),"bateria proprietária, curta duração da bateria, menus difíceis de contornar")</f>
        <v>bateria proprietária, curta duração da bateria, menus difíceis de contornar</v>
      </c>
      <c r="B24675" s="3">
        <v>0</v>
      </c>
    </row>
    <row r="24676" ht="15.75" customHeight="1" spans="1:2">
      <c r="A24676" s="3" t="str">
        <f>IFERROR(__xludf.DUMMYFUNCTION("GOOGLETRANSLATE(A24676,""en"",""pt"")"),"Escasso, difícil de obter.")</f>
        <v>Escasso, difícil de obter.</v>
      </c>
      <c r="B24676" s="3">
        <v>0</v>
      </c>
    </row>
    <row r="24677" ht="15.75" customHeight="1" spans="1:2">
      <c r="A24677" s="3" t="str">
        <f>IFERROR(__xludf.DUMMYFUNCTION("GOOGLETRANSLATE(A24677,""en"",""pt"")"),"A pior de todas as câmeras digitais em 3,3 Megapixel")</f>
        <v>A pior de todas as câmeras digitais em 3,3 Megapixel</v>
      </c>
      <c r="B24677" s="3">
        <v>0</v>
      </c>
    </row>
    <row r="24678" ht="15.75" customHeight="1" spans="1:2">
      <c r="A24678" s="3" t="str">
        <f>IFERROR(__xludf.DUMMYFUNCTION("GOOGLETRANSLATE(A24678,""en"",""pt"")"),"É caro, porque é uma novidade relativa, e não obtê-lo molhado.")</f>
        <v>É caro, porque é uma novidade relativa, e não obtê-lo molhado.</v>
      </c>
      <c r="B24678" s="3">
        <v>0</v>
      </c>
    </row>
    <row r="24679" ht="15.75" customHeight="1" spans="1:2">
      <c r="A24679" s="3" t="str">
        <f>IFERROR(__xludf.DUMMYFUNCTION("GOOGLETRANSLATE(A24679,""en"",""pt"")"),"Problemas de operação Win2k.")</f>
        <v>Problemas de operação Win2k.</v>
      </c>
      <c r="B24679" s="3">
        <v>0</v>
      </c>
    </row>
    <row r="24680" ht="15.75" customHeight="1" spans="1:2">
      <c r="A24680" s="3" t="str">
        <f>IFERROR(__xludf.DUMMYFUNCTION("GOOGLETRANSLATE(A24680,""en"",""pt"")"),"baixa qualidade, vida útil da bateria, baixo # de fotos na memória")</f>
        <v>baixa qualidade, vida útil da bateria, baixo # de fotos na memória</v>
      </c>
      <c r="B24680" s="3">
        <v>0</v>
      </c>
    </row>
    <row r="24681" ht="15.75" customHeight="1" spans="1:2">
      <c r="A24681" s="3" t="str">
        <f>IFERROR(__xludf.DUMMYFUNCTION("GOOGLETRANSLATE(A24681,""en"",""pt"")"),"Qualidade suga &amp; amp; # 13; &amp; amp; # 10; Baterias orçamento limitado")</f>
        <v>Qualidade suga &amp; amp; # 13; &amp; amp; # 10; Baterias orçamento limitado</v>
      </c>
      <c r="B24681" s="3">
        <v>0</v>
      </c>
    </row>
    <row r="24682" ht="15.75" customHeight="1" spans="1:2">
      <c r="A24682" s="3" t="str">
        <f>IFERROR(__xludf.DUMMYFUNCTION("GOOGLETRANSLATE(A24682,""en"",""pt"")"),"difícil de alterar as configurações, a qualidade da foto não é muito bom")</f>
        <v>difícil de alterar as configurações, a qualidade da foto não é muito bom</v>
      </c>
      <c r="B24682" s="3">
        <v>0</v>
      </c>
    </row>
    <row r="24683" ht="15.75" customHeight="1" spans="1:2">
      <c r="A24683" s="3" t="str">
        <f>IFERROR(__xludf.DUMMYFUNCTION("GOOGLETRANSLATE(A24683,""en"",""pt"")"),"Não muito de armazenamento, zaps baterias")</f>
        <v>Não muito de armazenamento, zaps baterias</v>
      </c>
      <c r="B24683" s="3">
        <v>0</v>
      </c>
    </row>
    <row r="24684" ht="15.75" customHeight="1" spans="1:2">
      <c r="A24684" s="3" t="str">
        <f>IFERROR(__xludf.DUMMYFUNCTION("GOOGLETRANSLATE(A24684,""en"",""pt"")"),"todo o resto")</f>
        <v>todo o resto</v>
      </c>
      <c r="B24684" s="3">
        <v>0</v>
      </c>
    </row>
    <row r="24685" ht="15.75" customHeight="1" spans="1:2">
      <c r="A24685" s="3" t="str">
        <f>IFERROR(__xludf.DUMMYFUNCTION("GOOGLETRANSLATE(A24685,""en"",""pt"")"),"NO SUPORTE TÉCNICO está mais disponível")</f>
        <v>NO SUPORTE TÉCNICO está mais disponível</v>
      </c>
      <c r="B24685" s="3">
        <v>0</v>
      </c>
    </row>
    <row r="24686" ht="15.75" customHeight="1" spans="1:2">
      <c r="A24686" s="3" t="str">
        <f>IFERROR(__xludf.DUMMYFUNCTION("GOOGLETRANSLATE(A24686,""en"",""pt"")"),"Você começa o que você pagou ....")</f>
        <v>Você começa o que você pagou ....</v>
      </c>
      <c r="B24686" s="3">
        <v>0</v>
      </c>
    </row>
    <row r="24687" ht="15.75" customHeight="1" spans="1:2">
      <c r="A24687" s="3" t="str">
        <f>IFERROR(__xludf.DUMMYFUNCTION("GOOGLETRANSLATE(A24687,""en"",""pt"")"),"Poder, mau desempenho luz baixa com fome")</f>
        <v>Poder, mau desempenho luz baixa com fome</v>
      </c>
      <c r="B24687" s="3">
        <v>0</v>
      </c>
    </row>
    <row r="24688" ht="15.75" customHeight="1" spans="1:2">
      <c r="A24688" s="3" t="str">
        <f>IFERROR(__xludf.DUMMYFUNCTION("GOOGLETRANSLATE(A24688,""en"",""pt"")"),"As fotos podem ser um pouco confuso")</f>
        <v>As fotos podem ser um pouco confuso</v>
      </c>
      <c r="B24688" s="3">
        <v>0</v>
      </c>
    </row>
    <row r="24689" ht="15.75" customHeight="1" spans="1:2">
      <c r="A24689" s="3" t="str">
        <f>IFERROR(__xludf.DUMMYFUNCTION("GOOGLETRANSLATE(A24689,""en"",""pt"")"),"Não boa qualidade nas fotos, sem armazenamento")</f>
        <v>Não boa qualidade nas fotos, sem armazenamento</v>
      </c>
      <c r="B24689" s="3">
        <v>0</v>
      </c>
    </row>
    <row r="24690" ht="15.75" customHeight="1" spans="1:2">
      <c r="A24690" s="3" t="str">
        <f>IFERROR(__xludf.DUMMYFUNCTION("GOOGLETRANSLATE(A24690,""en"",""pt"")"),"Câmera, eu não penso assim.")</f>
        <v>Câmera, eu não penso assim.</v>
      </c>
      <c r="B24690" s="3">
        <v>0</v>
      </c>
    </row>
    <row r="24691" ht="15.75" customHeight="1" spans="1:2">
      <c r="A24691" s="3" t="str">
        <f>IFERROR(__xludf.DUMMYFUNCTION("GOOGLETRANSLATE(A24691,""en"",""pt"")"),"Flash usa baterias rápido, software poderia ser melhor, usb podem ser fotos mimado são medíocres")</f>
        <v>Flash usa baterias rápido, software poderia ser melhor, usb podem ser fotos mimado são medíocres</v>
      </c>
      <c r="B24691" s="3">
        <v>0</v>
      </c>
    </row>
    <row r="24692" ht="15.75" customHeight="1" spans="1:2">
      <c r="A24692" s="3" t="str">
        <f>IFERROR(__xludf.DUMMYFUNCTION("GOOGLETRANSLATE(A24692,""en"",""pt"")"),"Sem zoom disponível, não consegue encontrar em qualquer lugar para empresa contato, ele parece ter desaparecido!")</f>
        <v>Sem zoom disponível, não consegue encontrar em qualquer lugar para empresa contato, ele parece ter desaparecido!</v>
      </c>
      <c r="B24692" s="3">
        <v>0</v>
      </c>
    </row>
    <row r="24693" ht="15.75" customHeight="1" spans="1:2">
      <c r="A24693" s="3" t="str">
        <f>IFERROR(__xludf.DUMMYFUNCTION("GOOGLETRANSLATE(A24693,""en"",""pt"")"),"Come baterias.")</f>
        <v>Come baterias.</v>
      </c>
      <c r="B24693" s="3">
        <v>0</v>
      </c>
    </row>
    <row r="24694" ht="15.75" customHeight="1" spans="1:2">
      <c r="A24694" s="3" t="str">
        <f>IFERROR(__xludf.DUMMYFUNCTION("GOOGLETRANSLATE(A24694,""en"",""pt"")"),"TRABALHA MELHOR FORA")</f>
        <v>TRABALHA MELHOR FORA</v>
      </c>
      <c r="B24694" s="3">
        <v>0</v>
      </c>
    </row>
    <row r="24695" ht="15.75" customHeight="1" spans="1:2">
      <c r="A24695" s="3" t="str">
        <f>IFERROR(__xludf.DUMMYFUNCTION("GOOGLETRANSLATE(A24695,""en"",""pt"")"),"sobre preços")</f>
        <v>sobre preços</v>
      </c>
      <c r="B24695" s="3">
        <v>0</v>
      </c>
    </row>
    <row r="24696" ht="15.75" customHeight="1" spans="1:2">
      <c r="A24696" s="3" t="str">
        <f>IFERROR(__xludf.DUMMYFUNCTION("GOOGLETRANSLATE(A24696,""en"",""pt"")"),"Pictures vey afiada")</f>
        <v>Pictures vey afiada</v>
      </c>
      <c r="B24696" s="3">
        <v>0</v>
      </c>
    </row>
    <row r="24697" ht="15.75" customHeight="1" spans="1:2">
      <c r="A24697" s="3" t="str">
        <f>IFERROR(__xludf.DUMMYFUNCTION("GOOGLETRANSLATE(A24697,""en"",""pt"")"),"A qualidade da imagem não é a melhor")</f>
        <v>A qualidade da imagem não é a melhor</v>
      </c>
      <c r="B24697" s="3">
        <v>0</v>
      </c>
    </row>
    <row r="24698" ht="15.75" customHeight="1" spans="1:2">
      <c r="A24698" s="3" t="str">
        <f>IFERROR(__xludf.DUMMYFUNCTION("GOOGLETRANSLATE(A24698,""en"",""pt"")"),"Não funciona!")</f>
        <v>Não funciona!</v>
      </c>
      <c r="B24698" s="3">
        <v>0</v>
      </c>
    </row>
    <row r="24699" ht="15.75" customHeight="1" spans="1:2">
      <c r="A24699" s="3" t="str">
        <f>IFERROR(__xludf.DUMMYFUNCTION("GOOGLETRANSLATE(A24699,""en"",""pt"")"),"todo o resto")</f>
        <v>todo o resto</v>
      </c>
      <c r="B24699" s="3">
        <v>0</v>
      </c>
    </row>
    <row r="24700" ht="15.75" customHeight="1" spans="1:2">
      <c r="A24700" s="3" t="str">
        <f>IFERROR(__xludf.DUMMYFUNCTION("GOOGLETRANSLATE(A24700,""en"",""pt"")"),"Barato")</f>
        <v>Barato</v>
      </c>
      <c r="B24700" s="3">
        <v>0</v>
      </c>
    </row>
    <row r="24701" ht="15.75" customHeight="1" spans="1:2">
      <c r="A24701" s="3" t="str">
        <f>IFERROR(__xludf.DUMMYFUNCTION("GOOGLETRANSLATE(A24701,""en"",""pt"")"),"Pictures assemelhar-se a obra de arte do feto segurando um pincel seco")</f>
        <v>Pictures assemelhar-se a obra de arte do feto segurando um pincel seco</v>
      </c>
      <c r="B24701" s="3">
        <v>0</v>
      </c>
    </row>
    <row r="24702" ht="15.75" customHeight="1" spans="1:2">
      <c r="A24702" s="3" t="str">
        <f>IFERROR(__xludf.DUMMYFUNCTION("GOOGLETRANSLATE(A24702,""en"",""pt"")"),"qualidade de imagem terrível antes de correção")</f>
        <v>qualidade de imagem terrível antes de correção</v>
      </c>
      <c r="B24702" s="3">
        <v>0</v>
      </c>
    </row>
    <row r="24703" ht="15.75" customHeight="1" spans="1:2">
      <c r="A24703" s="3" t="str">
        <f>IFERROR(__xludf.DUMMYFUNCTION("GOOGLETRANSLATE(A24703,""en"",""pt"")"),"software estrada-porco lulls você dormir, então (espero) que você não vai notar as imagens crummy")</f>
        <v>software estrada-porco lulls você dormir, então (espero) que você não vai notar as imagens crummy</v>
      </c>
      <c r="B24703" s="3">
        <v>0</v>
      </c>
    </row>
    <row r="24704" ht="15.75" customHeight="1" spans="1:2">
      <c r="A24704" s="3" t="str">
        <f>IFERROR(__xludf.DUMMYFUNCTION("GOOGLETRANSLATE(A24704,""en"",""pt"")"),"Qualidade da foto")</f>
        <v>Qualidade da foto</v>
      </c>
      <c r="B24704" s="3">
        <v>0</v>
      </c>
    </row>
    <row r="24705" ht="15.75" customHeight="1" spans="1:2">
      <c r="A24705" s="3" t="str">
        <f>IFERROR(__xludf.DUMMYFUNCTION("GOOGLETRANSLATE(A24705,""en"",""pt"")"),"Má qualidade pics, quase nenhum imprimir capabilites, olhar barato, eu posso continuar e continuar.")</f>
        <v>Má qualidade pics, quase nenhum imprimir capabilites, olhar barato, eu posso continuar e continuar.</v>
      </c>
      <c r="B24705" s="3">
        <v>0</v>
      </c>
    </row>
    <row r="24706" ht="15.75" customHeight="1" spans="1:2">
      <c r="A24706" s="3" t="str">
        <f>IFERROR(__xludf.DUMMYFUNCTION("GOOGLETRANSLATE(A24706,""en"",""pt"")"),"má qualidade de imagem ... muito pobre")</f>
        <v>má qualidade de imagem ... muito pobre</v>
      </c>
      <c r="B24706" s="3">
        <v>0</v>
      </c>
    </row>
    <row r="24707" ht="15.75" customHeight="1" spans="1:2">
      <c r="A24707" s="3" t="str">
        <f>IFERROR(__xludf.DUMMYFUNCTION("GOOGLETRANSLATE(A24707,""en"",""pt"")"),"Embaçada, o contraste, a falta de cores")</f>
        <v>Embaçada, o contraste, a falta de cores</v>
      </c>
      <c r="B24707" s="3">
        <v>0</v>
      </c>
    </row>
    <row r="24708" ht="15.75" customHeight="1" spans="1:2">
      <c r="A24708" s="3" t="str">
        <f>IFERROR(__xludf.DUMMYFUNCTION("GOOGLETRANSLATE(A24708,""en"",""pt"")"),"A câmera pode usar uma melhor resolução de maca")</f>
        <v>A câmera pode usar uma melhor resolução de maca</v>
      </c>
      <c r="B24708" s="3">
        <v>0</v>
      </c>
    </row>
    <row r="24709" ht="15.75" customHeight="1" spans="1:2">
      <c r="A24709" s="3" t="str">
        <f>IFERROR(__xludf.DUMMYFUNCTION("GOOGLETRANSLATE(A24709,""en"",""pt"")"),"cada coisa")</f>
        <v>cada coisa</v>
      </c>
      <c r="B24709" s="3">
        <v>0</v>
      </c>
    </row>
    <row r="24710" ht="15.75" customHeight="1" spans="1:2">
      <c r="A24710" s="3" t="str">
        <f>IFERROR(__xludf.DUMMYFUNCTION("GOOGLETRANSLATE(A24710,""en"",""pt"")"),"A qualidade é terrível e é um desperdício de dinheiro.")</f>
        <v>A qualidade é terrível e é um desperdício de dinheiro.</v>
      </c>
      <c r="B24710" s="3">
        <v>0</v>
      </c>
    </row>
    <row r="24711" ht="15.75" customHeight="1" spans="1:2">
      <c r="A24711" s="3" t="str">
        <f>IFERROR(__xludf.DUMMYFUNCTION("GOOGLETRANSLATE(A24711,""en"",""pt"")"),"Não a mais alta qualidade.")</f>
        <v>Não a mais alta qualidade.</v>
      </c>
      <c r="B24711" s="3">
        <v>0</v>
      </c>
    </row>
    <row r="24712" ht="15.75" customHeight="1" spans="1:2">
      <c r="A24712" s="3" t="str">
        <f>IFERROR(__xludf.DUMMYFUNCTION("GOOGLETRANSLATE(A24712,""en"",""pt"")"),"A menos que você comprar um cartão multimídia é inútil.")</f>
        <v>A menos que você comprar um cartão multimídia é inútil.</v>
      </c>
      <c r="B24712" s="3">
        <v>0</v>
      </c>
    </row>
    <row r="24713" ht="15.75" customHeight="1" spans="1:2">
      <c r="A24713" s="3" t="str">
        <f>IFERROR(__xludf.DUMMYFUNCTION("GOOGLETRANSLATE(A24713,""en"",""pt"")"),"qualidade Pic é C-, problemas, suporte do fabricante pobres, desperdício de dinheiro no longo prazo")</f>
        <v>qualidade Pic é C-, problemas, suporte do fabricante pobres, desperdício de dinheiro no longo prazo</v>
      </c>
      <c r="B24713" s="3">
        <v>0</v>
      </c>
    </row>
    <row r="24714" ht="15.75" customHeight="1" spans="1:2">
      <c r="A24714" s="3" t="str">
        <f>IFERROR(__xludf.DUMMYFUNCTION("GOOGLETRANSLATE(A24714,""en"",""pt"")"),"parcela motorista")</f>
        <v>parcela motorista</v>
      </c>
      <c r="B24714" s="3">
        <v>0</v>
      </c>
    </row>
    <row r="24715" ht="15.75" customHeight="1" spans="1:2">
      <c r="A24715" s="3" t="str">
        <f>IFERROR(__xludf.DUMMYFUNCTION("GOOGLETRANSLATE(A24715,""en"",""pt"")"),"Sem flash, pobres fotos, e você não pode ver as fotos até que você baixar.")</f>
        <v>Sem flash, pobres fotos, e você não pode ver as fotos até que você baixar.</v>
      </c>
      <c r="B24715" s="3">
        <v>0</v>
      </c>
    </row>
    <row r="24716" ht="15.75" customHeight="1" spans="1:2">
      <c r="A24716" s="3" t="str">
        <f>IFERROR(__xludf.DUMMYFUNCTION("GOOGLETRANSLATE(A24716,""en"",""pt"")"),"Não imagens perfeitas, resolução mais alta = menor capacidade")</f>
        <v>Não imagens perfeitas, resolução mais alta = menor capacidade</v>
      </c>
      <c r="B24716" s="3">
        <v>0</v>
      </c>
    </row>
    <row r="24717" ht="15.75" customHeight="1" spans="1:2">
      <c r="A24717" s="3" t="str">
        <f>IFERROR(__xludf.DUMMYFUNCTION("GOOGLETRANSLATE(A24717,""en"",""pt"")"),"fotos de baixa qualidade, difícil para as crianças para operar")</f>
        <v>fotos de baixa qualidade, difícil para as crianças para operar</v>
      </c>
      <c r="B24717" s="3">
        <v>0</v>
      </c>
    </row>
    <row r="24718" ht="15.75" customHeight="1" spans="1:2">
      <c r="A24718" s="3" t="str">
        <f>IFERROR(__xludf.DUMMYFUNCTION("GOOGLETRANSLATE(A24718,""en"",""pt"")"),"Falta de flash, Bad para dentro de casa")</f>
        <v>Falta de flash, Bad para dentro de casa</v>
      </c>
      <c r="B24718" s="3">
        <v>0</v>
      </c>
    </row>
    <row r="24719" ht="15.75" customHeight="1" spans="1:2">
      <c r="A24719" s="3" t="str">
        <f>IFERROR(__xludf.DUMMYFUNCTION("GOOGLETRANSLATE(A24719,""en"",""pt"")"),"não significava para os profissionais")</f>
        <v>não significava para os profissionais</v>
      </c>
      <c r="B24719" s="3">
        <v>0</v>
      </c>
    </row>
    <row r="24720" ht="15.75" customHeight="1" spans="1:2">
      <c r="A24720" s="3" t="str">
        <f>IFERROR(__xludf.DUMMYFUNCTION("GOOGLETRANSLATE(A24720,""en"",""pt"")"),"Você leu a minha análise?")</f>
        <v>Você leu a minha análise?</v>
      </c>
      <c r="B24720" s="3">
        <v>0</v>
      </c>
    </row>
    <row r="24721" ht="15.75" customHeight="1" spans="1:2">
      <c r="A24721" s="3" t="str">
        <f>IFERROR(__xludf.DUMMYFUNCTION("GOOGLETRANSLATE(A24721,""en"",""pt"")"),"Não é o melhor qualidade de imagem, armazenamento limitado em elevados res.")</f>
        <v>Não é o melhor qualidade de imagem, armazenamento limitado em elevados res.</v>
      </c>
      <c r="B24721" s="3">
        <v>0</v>
      </c>
    </row>
    <row r="24722" ht="15.75" customHeight="1" spans="1:2">
      <c r="A24722" s="3" t="str">
        <f>IFERROR(__xludf.DUMMYFUNCTION("GOOGLETRANSLATE(A24722,""en"",""pt"")"),"Parafusos até computadores, não tem uma boa qualidade de imagem")</f>
        <v>Parafusos até computadores, não tem uma boa qualidade de imagem</v>
      </c>
      <c r="B24722" s="3">
        <v>0</v>
      </c>
    </row>
    <row r="24723" ht="15.75" customHeight="1" spans="1:2">
      <c r="A24723" s="3" t="str">
        <f>IFERROR(__xludf.DUMMYFUNCTION("GOOGLETRANSLATE(A24723,""en"",""pt"")"),"Sem flash, muito sensível")</f>
        <v>Sem flash, muito sensível</v>
      </c>
      <c r="B24723" s="3">
        <v>0</v>
      </c>
    </row>
    <row r="24724" ht="15.75" customHeight="1" spans="1:2">
      <c r="A24724" s="3" t="str">
        <f>IFERROR(__xludf.DUMMYFUNCTION("GOOGLETRANSLATE(A24724,""en"",""pt"")"),"Menos de qualidade de foto perfeita")</f>
        <v>Menos de qualidade de foto perfeita</v>
      </c>
      <c r="B24724" s="3">
        <v>0</v>
      </c>
    </row>
    <row r="24725" ht="15.75" customHeight="1" spans="1:2">
      <c r="A24725" s="3" t="str">
        <f>IFERROR(__xludf.DUMMYFUNCTION("GOOGLETRANSLATE(A24725,""en"",""pt"")"),"embaçada, granulada, muito má qualidade")</f>
        <v>embaçada, granulada, muito má qualidade</v>
      </c>
      <c r="B24725" s="3">
        <v>0</v>
      </c>
    </row>
    <row r="24726" ht="15.75" customHeight="1" spans="1:2">
      <c r="A24726" s="3" t="str">
        <f>IFERROR(__xludf.DUMMYFUNCTION("GOOGLETRANSLATE(A24726,""en"",""pt"")"),"construído horrivelmente, e eles sabem disso !!!!")</f>
        <v>construído horrivelmente, e eles sabem disso !!!!</v>
      </c>
      <c r="B24726" s="3">
        <v>0</v>
      </c>
    </row>
    <row r="24727" ht="15.75" customHeight="1" spans="1:2">
      <c r="A24727" s="3" t="str">
        <f>IFERROR(__xludf.DUMMYFUNCTION("GOOGLETRANSLATE(A24727,""en"",""pt"")"),"No flash")</f>
        <v>No flash</v>
      </c>
      <c r="B24727" s="3">
        <v>0</v>
      </c>
    </row>
    <row r="24728" ht="15.75" customHeight="1" spans="1:2">
      <c r="A24728" s="3" t="str">
        <f>IFERROR(__xludf.DUMMYFUNCTION("GOOGLETRANSLATE(A24728,""en"",""pt"")"),"botão delicado, sem flash")</f>
        <v>botão delicado, sem flash</v>
      </c>
      <c r="B24728" s="3">
        <v>0</v>
      </c>
    </row>
    <row r="24729" ht="15.75" customHeight="1" spans="1:2">
      <c r="A24729" s="3" t="str">
        <f>IFERROR(__xludf.DUMMYFUNCTION("GOOGLETRANSLATE(A24729,""en"",""pt"")"),"Necessidade boa iluminação para fotos")</f>
        <v>Necessidade boa iluminação para fotos</v>
      </c>
      <c r="B24729" s="3">
        <v>0</v>
      </c>
    </row>
    <row r="24730" ht="15.75" customHeight="1" spans="1:2">
      <c r="A24730" s="3" t="str">
        <f>IFERROR(__xludf.DUMMYFUNCTION("GOOGLETRANSLATE(A24730,""en"",""pt"")"),"No Flash, de baixa resolução, não removível de memória.")</f>
        <v>No Flash, de baixa resolução, não removível de memória.</v>
      </c>
      <c r="B24730" s="3">
        <v>0</v>
      </c>
    </row>
    <row r="24731" ht="15.75" customHeight="1" spans="1:2">
      <c r="A24731" s="3" t="str">
        <f>IFERROR(__xludf.DUMMYFUNCTION("GOOGLETRANSLATE(A24731,""en"",""pt"")"),"A câmera pode usar uma melhor resolução de maca")</f>
        <v>A câmera pode usar uma melhor resolução de maca</v>
      </c>
      <c r="B24731" s="3">
        <v>0</v>
      </c>
    </row>
    <row r="24732" ht="15.75" customHeight="1" spans="1:2">
      <c r="A24732" s="3" t="str">
        <f>IFERROR(__xludf.DUMMYFUNCTION("GOOGLETRANSLATE(A24732,""en"",""pt"")"),"muito, muito má qualidade de imagem e fora do negócio ... você não vai conseguir rebate")</f>
        <v>muito, muito má qualidade de imagem e fora do negócio ... você não vai conseguir rebate</v>
      </c>
      <c r="B24732" s="3">
        <v>0</v>
      </c>
    </row>
    <row r="24733" ht="15.75" customHeight="1" spans="1:2">
      <c r="A24733" s="3" t="str">
        <f>IFERROR(__xludf.DUMMYFUNCTION("GOOGLETRANSLATE(A24733,""en"",""pt"")"),"Muito limitado uso- sem flash, muito pequena capacidade")</f>
        <v>Muito limitado uso- sem flash, muito pequena capacidade</v>
      </c>
      <c r="B24733" s="3">
        <v>0</v>
      </c>
    </row>
    <row r="24734" ht="15.75" customHeight="1" spans="1:2">
      <c r="A24734" s="3" t="str">
        <f>IFERROR(__xludf.DUMMYFUNCTION("GOOGLETRANSLATE(A24734,""en"",""pt"")"),"qualidade da foto")</f>
        <v>qualidade da foto</v>
      </c>
      <c r="B24734" s="3">
        <v>0</v>
      </c>
    </row>
    <row r="24735" ht="15.75" customHeight="1" spans="1:2">
      <c r="A24735" s="3" t="str">
        <f>IFERROR(__xludf.DUMMYFUNCTION("GOOGLETRANSLATE(A24735,""en"",""pt"")"),"Qualidade da foto")</f>
        <v>Qualidade da foto</v>
      </c>
      <c r="B24735" s="3">
        <v>0</v>
      </c>
    </row>
    <row r="24736" ht="15.75" customHeight="1" spans="1:2">
      <c r="A24736" s="3" t="str">
        <f>IFERROR(__xludf.DUMMYFUNCTION("GOOGLETRANSLATE(A24736,""en"",""pt"")"),"Após a novidade desgasta fora de jogá-lo fora!")</f>
        <v>Após a novidade desgasta fora de jogá-lo fora!</v>
      </c>
      <c r="B24736" s="3">
        <v>0</v>
      </c>
    </row>
    <row r="24737" ht="15.75" customHeight="1" spans="1:2">
      <c r="A24737" s="3" t="str">
        <f>IFERROR(__xludf.DUMMYFUNCTION("GOOGLETRANSLATE(A24737,""en"",""pt"")"),"sem flash, armazena apenas 8 imagens de cada vez")</f>
        <v>sem flash, armazena apenas 8 imagens de cada vez</v>
      </c>
      <c r="B24737" s="3">
        <v>0</v>
      </c>
    </row>
    <row r="24738" ht="15.75" customHeight="1" spans="1:2">
      <c r="A24738" s="3" t="str">
        <f>IFERROR(__xludf.DUMMYFUNCTION("GOOGLETRANSLATE(A24738,""en"",""pt"")"),"Apenas seis pics, uma grande quantidade de luz necessária para boas fotos.")</f>
        <v>Apenas seis pics, uma grande quantidade de luz necessária para boas fotos.</v>
      </c>
      <c r="B24738" s="3">
        <v>0</v>
      </c>
    </row>
    <row r="24739" ht="15.75" customHeight="1" spans="1:2">
      <c r="A24739" s="3" t="str">
        <f>IFERROR(__xludf.DUMMYFUNCTION("GOOGLETRANSLATE(A24739,""en"",""pt"")"),"Iluminação precisa ser perfeito, um pouco desfocadas")</f>
        <v>Iluminação precisa ser perfeito, um pouco desfocadas</v>
      </c>
      <c r="B24739" s="3">
        <v>0</v>
      </c>
    </row>
    <row r="24740" ht="15.75" customHeight="1" spans="1:2">
      <c r="A24740" s="3" t="str">
        <f>IFERROR(__xludf.DUMMYFUNCTION("GOOGLETRANSLATE(A24740,""en"",""pt"")"),"sem zoom")</f>
        <v>sem zoom</v>
      </c>
      <c r="B24740" s="3">
        <v>0</v>
      </c>
    </row>
    <row r="24741" ht="15.75" customHeight="1" spans="1:2">
      <c r="A24741" s="3" t="str">
        <f>IFERROR(__xludf.DUMMYFUNCTION("GOOGLETRANSLATE(A24741,""en"",""pt"")"),"nenhum para o dinheiro investido")</f>
        <v>nenhum para o dinheiro investido</v>
      </c>
      <c r="B24741" s="3">
        <v>0</v>
      </c>
    </row>
    <row r="24742" ht="15.75" customHeight="1" spans="1:2">
      <c r="A24742" s="3" t="str">
        <f>IFERROR(__xludf.DUMMYFUNCTION("GOOGLETRANSLATE(A24742,""en"",""pt"")"),"Só detém 8 fotos @ 640x480, necessita de um lampejo")</f>
        <v>Só detém 8 fotos @ 640x480, necessita de um lampejo</v>
      </c>
      <c r="B24742" s="3">
        <v>0</v>
      </c>
    </row>
    <row r="24743" ht="15.75" customHeight="1" spans="1:2">
      <c r="A24743" s="3" t="str">
        <f>IFERROR(__xludf.DUMMYFUNCTION("GOOGLETRANSLATE(A24743,""en"",""pt"")"),"fotos pobre, sem suporte técnico.")</f>
        <v>fotos pobre, sem suporte técnico.</v>
      </c>
      <c r="B24743" s="3">
        <v>0</v>
      </c>
    </row>
    <row r="24744" ht="15.75" customHeight="1" spans="1:2">
      <c r="A24744" s="3" t="str">
        <f>IFERROR(__xludf.DUMMYFUNCTION("GOOGLETRANSLATE(A24744,""en"",""pt"")"),"Sem flash")</f>
        <v>Sem flash</v>
      </c>
      <c r="B24744" s="3">
        <v>0</v>
      </c>
    </row>
    <row r="24745" ht="15.75" customHeight="1" spans="1:2">
      <c r="A24745" s="3" t="str">
        <f>IFERROR(__xludf.DUMMYFUNCTION("GOOGLETRANSLATE(A24745,""en"",""pt"")"),"imagens podem ser granulado e escuro, precisa baixar fotos muitas vezes")</f>
        <v>imagens podem ser granulado e escuro, precisa baixar fotos muitas vezes</v>
      </c>
      <c r="B24745" s="3">
        <v>0</v>
      </c>
    </row>
    <row r="24746" ht="15.75" customHeight="1" spans="1:2">
      <c r="A24746" s="3" t="str">
        <f>IFERROR(__xludf.DUMMYFUNCTION("GOOGLETRANSLATE(A24746,""en"",""pt"")"),"fotos quase imperceptíveis, armazenados apenas 6 fotos")</f>
        <v>fotos quase imperceptíveis, armazenados apenas 6 fotos</v>
      </c>
      <c r="B24746" s="3">
        <v>0</v>
      </c>
    </row>
    <row r="24747" ht="15.75" customHeight="1" spans="1:2">
      <c r="A24747" s="3" t="str">
        <f>IFERROR(__xludf.DUMMYFUNCTION("GOOGLETRANSLATE(A24747,""en"",""pt"")"),"iluminação problema, fotos borradas")</f>
        <v>iluminação problema, fotos borradas</v>
      </c>
      <c r="B24747" s="3">
        <v>0</v>
      </c>
    </row>
    <row r="24748" ht="15.75" customHeight="1" spans="1:2">
      <c r="A24748" s="3" t="str">
        <f>IFERROR(__xludf.DUMMYFUNCTION("GOOGLETRANSLATE(A24748,""en"",""pt"")"),"Tivemos problemas (não sendo super proficiente computador) com a obtenção do sistema de câmera para trabalhar pela primeira vez.")</f>
        <v>Tivemos problemas (não sendo super proficiente computador) com a obtenção do sistema de câmera para trabalhar pela primeira vez.</v>
      </c>
      <c r="B24748" s="3">
        <v>0</v>
      </c>
    </row>
    <row r="24749" ht="15.75" customHeight="1" spans="1:2">
      <c r="A24749" s="3" t="str">
        <f>IFERROR(__xludf.DUMMYFUNCTION("GOOGLETRANSLATE(A24749,""en"",""pt"")"),"confundindo")</f>
        <v>confundindo</v>
      </c>
      <c r="B24749" s="3">
        <v>0</v>
      </c>
    </row>
    <row r="24750" ht="15.75" customHeight="1" spans="1:2">
      <c r="A24750" s="3" t="str">
        <f>IFERROR(__xludf.DUMMYFUNCTION("GOOGLETRANSLATE(A24750,""en"",""pt"")"),"publicidade enganosa, gatilho de cabelo, porta defeituosa")</f>
        <v>publicidade enganosa, gatilho de cabelo, porta defeituosa</v>
      </c>
      <c r="B24750" s="3">
        <v>0</v>
      </c>
    </row>
    <row r="24751" ht="15.75" customHeight="1" spans="1:2">
      <c r="A24751" s="3" t="str">
        <f>IFERROR(__xludf.DUMMYFUNCTION("GOOGLETRANSLATE(A24751,""en"",""pt"")"),"Leva tempo para descobrir como obter a melhor qualidade de imagem")</f>
        <v>Leva tempo para descobrir como obter a melhor qualidade de imagem</v>
      </c>
      <c r="B24751" s="3">
        <v>0</v>
      </c>
    </row>
    <row r="24752" ht="15.75" customHeight="1" spans="1:2">
      <c r="A24752" s="3" t="str">
        <f>IFERROR(__xludf.DUMMYFUNCTION("GOOGLETRANSLATE(A24752,""en"",""pt"")"),"Baixa resolução")</f>
        <v>Baixa resolução</v>
      </c>
      <c r="B24752" s="3">
        <v>0</v>
      </c>
    </row>
    <row r="24753" ht="15.75" customHeight="1" spans="1:2">
      <c r="A24753" s="3" t="str">
        <f>IFERROR(__xludf.DUMMYFUNCTION("GOOGLETRANSLATE(A24753,""en"",""pt"")"),"Sem flash, nenhum bloqueio para o botão do obturador,")</f>
        <v>Sem flash, nenhum bloqueio para o botão do obturador,</v>
      </c>
      <c r="B24753" s="3">
        <v>0</v>
      </c>
    </row>
    <row r="24754" ht="15.75" customHeight="1" spans="1:2">
      <c r="A24754" s="3" t="str">
        <f>IFERROR(__xludf.DUMMYFUNCTION("GOOGLETRANSLATE(A24754,""en"",""pt"")"),"baixa qualidade imagens sem flash")</f>
        <v>baixa qualidade imagens sem flash</v>
      </c>
      <c r="B24754" s="3">
        <v>0</v>
      </c>
    </row>
    <row r="24755" ht="15.75" customHeight="1" spans="1:2">
      <c r="A24755" s="3" t="str">
        <f>IFERROR(__xludf.DUMMYFUNCTION("GOOGLETRANSLATE(A24755,""en"",""pt"")"),"Você provavelmente poderia obter uma melhor imagem com uma câmera mais caro")</f>
        <v>Você provavelmente poderia obter uma melhor imagem com uma câmera mais caro</v>
      </c>
      <c r="B24755" s="3">
        <v>0</v>
      </c>
    </row>
    <row r="24756" ht="15.75" customHeight="1" spans="1:2">
      <c r="A24756" s="3" t="str">
        <f>IFERROR(__xludf.DUMMYFUNCTION("GOOGLETRANSLATE(A24756,""en"",""pt"")"),"tudo")</f>
        <v>tudo</v>
      </c>
      <c r="B24756" s="3">
        <v>0</v>
      </c>
    </row>
    <row r="24757" ht="15.75" customHeight="1" spans="1:2">
      <c r="A24757" s="3" t="str">
        <f>IFERROR(__xludf.DUMMYFUNCTION("GOOGLETRANSLATE(A24757,""en"",""pt"")"),"qualidade de imagem pobre e tamanho")</f>
        <v>qualidade de imagem pobre e tamanho</v>
      </c>
      <c r="B24757" s="3">
        <v>0</v>
      </c>
    </row>
    <row r="24758" ht="15.75" customHeight="1" spans="1:2">
      <c r="A24758" s="3" t="str">
        <f>IFERROR(__xludf.DUMMYFUNCTION("GOOGLETRANSLATE(A24758,""en"",""pt"")"),"muito difícil de instalar")</f>
        <v>muito difícil de instalar</v>
      </c>
      <c r="B24758" s="3">
        <v>0</v>
      </c>
    </row>
    <row r="24759" ht="15.75" customHeight="1" spans="1:2">
      <c r="A24759" s="3" t="str">
        <f>IFERROR(__xludf.DUMMYFUNCTION("GOOGLETRANSLATE(A24759,""en"",""pt"")"),"borradas fotos, má qualidade")</f>
        <v>borradas fotos, má qualidade</v>
      </c>
      <c r="B24759" s="3">
        <v>0</v>
      </c>
    </row>
    <row r="24760" ht="15.75" customHeight="1" spans="1:2">
      <c r="A24760" s="3" t="str">
        <f>IFERROR(__xludf.DUMMYFUNCTION("GOOGLETRANSLATE(A24760,""en"",""pt"")"),"Qualidade de resolução diminui significativamente mais de 8 fotos")</f>
        <v>Qualidade de resolução diminui significativamente mais de 8 fotos</v>
      </c>
      <c r="B24760" s="3">
        <v>0</v>
      </c>
    </row>
    <row r="24761" ht="15.75" customHeight="1" spans="1:2">
      <c r="A24761" s="3" t="str">
        <f>IFERROR(__xludf.DUMMYFUNCTION("GOOGLETRANSLATE(A24761,""en"",""pt"")"),"imagens são borradas ou Péssimo iluminadas")</f>
        <v>imagens são borradas ou Péssimo iluminadas</v>
      </c>
      <c r="B24761" s="3">
        <v>0</v>
      </c>
    </row>
    <row r="24762" ht="15.75" customHeight="1" spans="1:2">
      <c r="A24762" s="3" t="str">
        <f>IFERROR(__xludf.DUMMYFUNCTION("GOOGLETRANSLATE(A24762,""en"",""pt"")"),"Computador Interconectivity / Funcionalidade")</f>
        <v>Computador Interconectivity / Funcionalidade</v>
      </c>
      <c r="B24762" s="3">
        <v>0</v>
      </c>
    </row>
    <row r="24763" ht="15.75" customHeight="1" spans="1:2">
      <c r="A24763" s="3" t="str">
        <f>IFERROR(__xludf.DUMMYFUNCTION("GOOGLETRANSLATE(A24763,""en"",""pt"")"),"não funciona tão bem com porta serial como com usb")</f>
        <v>não funciona tão bem com porta serial como com usb</v>
      </c>
      <c r="B24763" s="3">
        <v>0</v>
      </c>
    </row>
    <row r="24764" ht="15.75" customHeight="1" spans="1:2">
      <c r="A24764" s="3" t="str">
        <f>IFERROR(__xludf.DUMMYFUNCTION("GOOGLETRANSLATE(A24764,""en"",""pt"")"),"TUDO! fotos escuras, imagens borradas, barato")</f>
        <v>TUDO! fotos escuras, imagens borradas, barato</v>
      </c>
      <c r="B24764" s="3">
        <v>0</v>
      </c>
    </row>
    <row r="24765" ht="15.75" customHeight="1" spans="1:2">
      <c r="A24765" s="3" t="str">
        <f>IFERROR(__xludf.DUMMYFUNCTION("GOOGLETRANSLATE(A24765,""en"",""pt"")"),"Pode ser difícil de instalar, precisa de muita iluminação.")</f>
        <v>Pode ser difícil de instalar, precisa de muita iluminação.</v>
      </c>
      <c r="B24765" s="3">
        <v>0</v>
      </c>
    </row>
    <row r="24766" ht="15.75" customHeight="1" spans="1:2">
      <c r="A24766" s="3" t="str">
        <f>IFERROR(__xludf.DUMMYFUNCTION("GOOGLETRANSLATE(A24766,""en"",""pt"")"),"não a melhor qualidade")</f>
        <v>não a melhor qualidade</v>
      </c>
      <c r="B24766" s="3">
        <v>0</v>
      </c>
    </row>
    <row r="24767" ht="15.75" customHeight="1" spans="1:2">
      <c r="A24767" s="3" t="str">
        <f>IFERROR(__xludf.DUMMYFUNCTION("GOOGLETRANSLATE(A24767,""en"",""pt"")"),"tudo!!")</f>
        <v>tudo!!</v>
      </c>
      <c r="B24767" s="3">
        <v>0</v>
      </c>
    </row>
    <row r="24768" ht="15.75" customHeight="1" spans="1:2">
      <c r="A24768" s="3" t="str">
        <f>IFERROR(__xludf.DUMMYFUNCTION("GOOGLETRANSLATE(A24768,""en"",""pt"")"),"Nenhum")</f>
        <v>Nenhum</v>
      </c>
      <c r="B24768" s="3">
        <v>0</v>
      </c>
    </row>
    <row r="24769" ht="15.75" customHeight="1" spans="1:2">
      <c r="A24769" s="3" t="str">
        <f>IFERROR(__xludf.DUMMYFUNCTION("GOOGLETRANSLATE(A24769,""en"",""pt"")"),"não um monte de armazenamento,")</f>
        <v>não um monte de armazenamento,</v>
      </c>
      <c r="B24769" s="3">
        <v>0</v>
      </c>
    </row>
    <row r="24770" ht="15.75" customHeight="1" spans="1:2">
      <c r="A24770" s="3" t="str">
        <f>IFERROR(__xludf.DUMMYFUNCTION("GOOGLETRANSLATE(A24770,""en"",""pt"")"),"Lousy fotos internas (mais embora reparável), falta de foco, não-atualizável.")</f>
        <v>Lousy fotos internas (mais embora reparável), falta de foco, não-atualizável.</v>
      </c>
      <c r="B24770" s="3">
        <v>0</v>
      </c>
    </row>
    <row r="24771" ht="15.75" customHeight="1" spans="1:2">
      <c r="A24771" s="3" t="str">
        <f>IFERROR(__xludf.DUMMYFUNCTION("GOOGLETRANSLATE(A24771,""en"",""pt"")"),"Software é problemática, Requer dedos firmes")</f>
        <v>Software é problemática, Requer dedos firmes</v>
      </c>
      <c r="B24771" s="3">
        <v>0</v>
      </c>
    </row>
    <row r="24772" ht="15.75" customHeight="1" spans="1:2">
      <c r="A24772" s="3" t="str">
        <f>IFERROR(__xludf.DUMMYFUNCTION("GOOGLETRANSLATE(A24772,""en"",""pt"")"),"resolução ruim impossível descobrir")</f>
        <v>resolução ruim impossível descobrir</v>
      </c>
      <c r="B24772" s="3">
        <v>0</v>
      </c>
    </row>
    <row r="24773" ht="15.75" customHeight="1" spans="1:2">
      <c r="A24773" s="3" t="str">
        <f>IFERROR(__xludf.DUMMYFUNCTION("GOOGLETRANSLATE(A24773,""en"",""pt"")"),"Sem flash, capacidade de imagem limitada no modo res alto.")</f>
        <v>Sem flash, capacidade de imagem limitada no modo res alto.</v>
      </c>
      <c r="B24773" s="3">
        <v>0</v>
      </c>
    </row>
    <row r="24774" ht="15.75" customHeight="1" spans="1:2">
      <c r="A24774" s="3" t="str">
        <f>IFERROR(__xludf.DUMMYFUNCTION("GOOGLETRANSLATE(A24774,""en"",""pt"")"),"É pouco atraente e barato à procura")</f>
        <v>É pouco atraente e barato à procura</v>
      </c>
      <c r="B24774" s="3">
        <v>0</v>
      </c>
    </row>
    <row r="24775" ht="15.75" customHeight="1" spans="1:2">
      <c r="A24775" s="3" t="str">
        <f>IFERROR(__xludf.DUMMYFUNCTION("GOOGLETRANSLATE(A24775,""en"",""pt"")"),"Não topo da linha, junky")</f>
        <v>Não topo da linha, junky</v>
      </c>
      <c r="B24775" s="3">
        <v>0</v>
      </c>
    </row>
    <row r="24776" ht="15.75" customHeight="1" spans="1:2">
      <c r="A24776" s="3" t="str">
        <f>IFERROR(__xludf.DUMMYFUNCTION("GOOGLETRANSLATE(A24776,""en"",""pt"")"),"Má qualidade")</f>
        <v>Má qualidade</v>
      </c>
      <c r="B24776" s="3">
        <v>0</v>
      </c>
    </row>
    <row r="24777" ht="15.75" customHeight="1" spans="1:2">
      <c r="A24777" s="3" t="str">
        <f>IFERROR(__xludf.DUMMYFUNCTION("GOOGLETRANSLATE(A24777,""en"",""pt"")"),"não é bom para o esporte (obscuro)")</f>
        <v>não é bom para o esporte (obscuro)</v>
      </c>
      <c r="B24777" s="3">
        <v>0</v>
      </c>
    </row>
    <row r="24778" ht="15.75" customHeight="1" spans="1:2">
      <c r="A24778" s="3" t="str">
        <f>IFERROR(__xludf.DUMMYFUNCTION("GOOGLETRANSLATE(A24778,""en"",""pt"")"),"maus fotos dos quartos, sem flash, longa espera para download")</f>
        <v>maus fotos dos quartos, sem flash, longa espera para download</v>
      </c>
      <c r="B24778" s="3">
        <v>0</v>
      </c>
    </row>
    <row r="24779" ht="15.75" customHeight="1" spans="1:2">
      <c r="A24779" s="3" t="str">
        <f>IFERROR(__xludf.DUMMYFUNCTION("GOOGLETRANSLATE(A24779,""en"",""pt"")"),"resolução ruim")</f>
        <v>resolução ruim</v>
      </c>
      <c r="B24779" s="3">
        <v>0</v>
      </c>
    </row>
    <row r="24780" ht="15.75" customHeight="1" spans="1:2">
      <c r="A24780" s="3" t="str">
        <f>IFERROR(__xludf.DUMMYFUNCTION("GOOGLETRANSLATE(A24780,""en"",""pt"")"),"baixa capacidade de armazenamento e não as imagens de melhor qualidade")</f>
        <v>baixa capacidade de armazenamento e não as imagens de melhor qualidade</v>
      </c>
      <c r="B24780" s="3">
        <v>0</v>
      </c>
    </row>
    <row r="24781" ht="15.75" customHeight="1" spans="1:2">
      <c r="A24781" s="3" t="str">
        <f>IFERROR(__xludf.DUMMYFUNCTION("GOOGLETRANSLATE(A24781,""en"",""pt"")"),"bateries comeram")</f>
        <v>bateries comeram</v>
      </c>
      <c r="B24781" s="3">
        <v>0</v>
      </c>
    </row>
    <row r="24782" ht="15.75" customHeight="1" spans="1:2">
      <c r="A24782" s="3" t="str">
        <f>IFERROR(__xludf.DUMMYFUNCTION("GOOGLETRANSLATE(A24782,""en"",""pt"")"),"qualidade da imagem não é muito bom e sem flash")</f>
        <v>qualidade da imagem não é muito bom e sem flash</v>
      </c>
      <c r="B24782" s="3">
        <v>0</v>
      </c>
    </row>
    <row r="24783" ht="15.75" customHeight="1" spans="1:2">
      <c r="A24783" s="3" t="str">
        <f>IFERROR(__xludf.DUMMYFUNCTION("GOOGLETRANSLATE(A24783,""en"",""pt"")"),"nome extravagante e olhar, nenhuma tela de visualização e sem flash.")</f>
        <v>nome extravagante e olhar, nenhuma tela de visualização e sem flash.</v>
      </c>
      <c r="B24783" s="3">
        <v>0</v>
      </c>
    </row>
    <row r="24784" ht="15.75" customHeight="1" spans="1:2">
      <c r="A24784" s="3" t="str">
        <f>IFERROR(__xludf.DUMMYFUNCTION("GOOGLETRANSLATE(A24784,""en"",""pt"")"),"Nem Pictures qualidade")</f>
        <v>Nem Pictures qualidade</v>
      </c>
      <c r="B24784" s="3">
        <v>0</v>
      </c>
    </row>
    <row r="24785" ht="15.75" customHeight="1" spans="1:2">
      <c r="A24785" s="3" t="str">
        <f>IFERROR(__xludf.DUMMYFUNCTION("GOOGLETRANSLATE(A24785,""en"",""pt"")"),"tudo")</f>
        <v>tudo</v>
      </c>
      <c r="B24785" s="3">
        <v>0</v>
      </c>
    </row>
    <row r="24786" ht="15.75" customHeight="1" spans="1:2">
      <c r="A24786" s="3" t="str">
        <f>IFERROR(__xludf.DUMMYFUNCTION("GOOGLETRANSLATE(A24786,""en"",""pt"")"),"imagens são extremamente embaçada, as imagens devem ser baixados diretamente para o seu computador")</f>
        <v>imagens são extremamente embaçada, as imagens devem ser baixados diretamente para o seu computador</v>
      </c>
      <c r="B24786" s="3">
        <v>0</v>
      </c>
    </row>
    <row r="24787" ht="15.75" customHeight="1" spans="1:2">
      <c r="A24787" s="3" t="str">
        <f>IFERROR(__xludf.DUMMYFUNCTION("GOOGLETRANSLATE(A24787,""en"",""pt"")"),"Não resultados de qualidade fotográfica, sem flash / zoom, baixa capacidade")</f>
        <v>Não resultados de qualidade fotográfica, sem flash / zoom, baixa capacidade</v>
      </c>
      <c r="B24787" s="3">
        <v>0</v>
      </c>
    </row>
    <row r="24788" ht="15.75" customHeight="1" spans="1:2">
      <c r="A24788" s="3" t="str">
        <f>IFERROR(__xludf.DUMMYFUNCTION("GOOGLETRANSLATE(A24788,""en"",""pt"")"),"armazena apenas 8 fotos ao mesmo tempo, extremamente má qualidade da foto, tudo é lavado em azul, todas as fotos que o &amp; amp; quot; aquário &amp; amp; quot; efeito")</f>
        <v>armazena apenas 8 fotos ao mesmo tempo, extremamente má qualidade da foto, tudo é lavado em azul, todas as fotos que o &amp; amp; quot; aquário &amp; amp; quot; efeito</v>
      </c>
      <c r="B24788" s="3">
        <v>0</v>
      </c>
    </row>
    <row r="24789" ht="15.75" customHeight="1" spans="1:2">
      <c r="A24789" s="3" t="str">
        <f>IFERROR(__xludf.DUMMYFUNCTION("GOOGLETRANSLATE(A24789,""en"",""pt"")"),"não para impressão")</f>
        <v>não para impressão</v>
      </c>
      <c r="B24789" s="3">
        <v>0</v>
      </c>
    </row>
    <row r="24790" ht="15.75" customHeight="1" spans="1:2">
      <c r="A24790" s="3" t="str">
        <f>IFERROR(__xludf.DUMMYFUNCTION("GOOGLETRANSLATE(A24790,""en"",""pt"")"),"Too Bad as imagens não saem tão bom")</f>
        <v>Too Bad as imagens não saem tão bom</v>
      </c>
      <c r="B24790" s="3">
        <v>0</v>
      </c>
    </row>
    <row r="24791" ht="15.75" customHeight="1" spans="1:2">
      <c r="A24791" s="3" t="str">
        <f>IFERROR(__xludf.DUMMYFUNCTION("GOOGLETRANSLATE(A24791,""en"",""pt"")"),"já quebrou")</f>
        <v>já quebrou</v>
      </c>
      <c r="B24791" s="3">
        <v>0</v>
      </c>
    </row>
    <row r="24792" ht="15.75" customHeight="1" spans="1:2">
      <c r="A24792" s="3" t="str">
        <f>IFERROR(__xludf.DUMMYFUNCTION("GOOGLETRANSLATE(A24792,""en"",""pt"")"),"plástico, e não duráveis")</f>
        <v>plástico, e não duráveis</v>
      </c>
      <c r="B24792" s="3">
        <v>0</v>
      </c>
    </row>
    <row r="24793" ht="15.75" customHeight="1" spans="1:2">
      <c r="A24793" s="3" t="str">
        <f>IFERROR(__xludf.DUMMYFUNCTION("GOOGLETRANSLATE(A24793,""en"",""pt"")"),"precisa de um flash integrado.")</f>
        <v>precisa de um flash integrado.</v>
      </c>
      <c r="B24793" s="3">
        <v>0</v>
      </c>
    </row>
    <row r="24794" ht="15.75" customHeight="1" spans="1:2">
      <c r="A24794" s="3" t="str">
        <f>IFERROR(__xludf.DUMMYFUNCTION("GOOGLETRANSLATE(A24794,""en"",""pt"")"),"fotos embaçadas, não LCD, apenas detém 24 pics, nenhuma memória removível.")</f>
        <v>fotos embaçadas, não LCD, apenas detém 24 pics, nenhuma memória removível.</v>
      </c>
      <c r="B24794" s="3">
        <v>0</v>
      </c>
    </row>
    <row r="24795" ht="15.75" customHeight="1" spans="1:2">
      <c r="A24795" s="3" t="str">
        <f>IFERROR(__xludf.DUMMYFUNCTION("GOOGLETRANSLATE(A24795,""en"",""pt"")"),"clareza geral de fotos")</f>
        <v>clareza geral de fotos</v>
      </c>
      <c r="B24795" s="3">
        <v>0</v>
      </c>
    </row>
    <row r="24796" ht="15.75" customHeight="1" spans="1:2">
      <c r="A24796" s="3" t="str">
        <f>IFERROR(__xludf.DUMMYFUNCTION("GOOGLETRANSLATE(A24796,""en"",""pt"")"),"má qualidade fotos, sem armazenamento removível")</f>
        <v>má qualidade fotos, sem armazenamento removível</v>
      </c>
      <c r="B24796" s="3">
        <v>0</v>
      </c>
    </row>
    <row r="24797" ht="15.75" customHeight="1" spans="1:2">
      <c r="A24797" s="3" t="str">
        <f>IFERROR(__xludf.DUMMYFUNCTION("GOOGLETRANSLATE(A24797,""en"",""pt"")"),"Tudo")</f>
        <v>Tudo</v>
      </c>
      <c r="B24797" s="3">
        <v>0</v>
      </c>
    </row>
    <row r="24798" ht="15.75" customHeight="1" spans="1:2">
      <c r="A24798" s="3" t="str">
        <f>IFERROR(__xludf.DUMMYFUNCTION("GOOGLETRANSLATE(A24798,""en"",""pt"")"),"sem flash / capacidade pequena imagem")</f>
        <v>sem flash / capacidade pequena imagem</v>
      </c>
      <c r="B24798" s="3">
        <v>0</v>
      </c>
    </row>
    <row r="24799" ht="15.75" customHeight="1" spans="1:2">
      <c r="A24799" s="3" t="str">
        <f>IFERROR(__xludf.DUMMYFUNCTION("GOOGLETRANSLATE(A24799,""en"",""pt"")"),"não tirar boas fotos")</f>
        <v>não tirar boas fotos</v>
      </c>
      <c r="B24799" s="3">
        <v>0</v>
      </c>
    </row>
    <row r="24800" ht="15.75" customHeight="1" spans="1:2">
      <c r="A24800" s="3" t="str">
        <f>IFERROR(__xludf.DUMMYFUNCTION("GOOGLETRANSLATE(A24800,""en"",""pt"")"),"baixa qualidade")</f>
        <v>baixa qualidade</v>
      </c>
      <c r="B24800" s="3">
        <v>0</v>
      </c>
    </row>
    <row r="24801" ht="15.75" customHeight="1" spans="1:2">
      <c r="A24801" s="3" t="str">
        <f>IFERROR(__xludf.DUMMYFUNCTION("GOOGLETRANSLATE(A24801,""en"",""pt"")"),"Gee, onde eu começo?")</f>
        <v>Gee, onde eu começo?</v>
      </c>
      <c r="B24801" s="3">
        <v>0</v>
      </c>
    </row>
    <row r="24802" ht="15.75" customHeight="1" spans="1:2">
      <c r="A24802" s="3" t="str">
        <f>IFERROR(__xludf.DUMMYFUNCTION("GOOGLETRANSLATE(A24802,""en"",""pt"")"),"memória removível não")</f>
        <v>memória removível não</v>
      </c>
      <c r="B24802" s="3">
        <v>0</v>
      </c>
    </row>
    <row r="24803" ht="15.75" customHeight="1" spans="1:2">
      <c r="A24803" s="3" t="str">
        <f>IFERROR(__xludf.DUMMYFUNCTION("GOOGLETRANSLATE(A24803,""en"",""pt"")"),"Barato")</f>
        <v>Barato</v>
      </c>
      <c r="B24803" s="3">
        <v>0</v>
      </c>
    </row>
    <row r="24804" ht="15.75" customHeight="1" spans="1:2">
      <c r="A24804" s="3" t="str">
        <f>IFERROR(__xludf.DUMMYFUNCTION("GOOGLETRANSLATE(A24804,""en"",""pt"")"),"A qualidade da imagem é ruim")</f>
        <v>A qualidade da imagem é ruim</v>
      </c>
      <c r="B24804" s="3">
        <v>0</v>
      </c>
    </row>
    <row r="24805" ht="15.75" customHeight="1" spans="1:2">
      <c r="A24805" s="3" t="str">
        <f>IFERROR(__xludf.DUMMYFUNCTION("GOOGLETRANSLATE(A24805,""en"",""pt"")"),"configuração complicada, lenta")</f>
        <v>configuração complicada, lenta</v>
      </c>
      <c r="B24805" s="3">
        <v>0</v>
      </c>
    </row>
    <row r="24806" ht="15.75" customHeight="1" spans="1:2">
      <c r="A24806" s="3" t="str">
        <f>IFERROR(__xludf.DUMMYFUNCTION("GOOGLETRANSLATE(A24806,""en"",""pt"")"),"No display LCD, sem flash")</f>
        <v>No display LCD, sem flash</v>
      </c>
      <c r="B24806" s="3">
        <v>0</v>
      </c>
    </row>
    <row r="24807" ht="15.75" customHeight="1" spans="1:2">
      <c r="A24807" s="3" t="str">
        <f>IFERROR(__xludf.DUMMYFUNCTION("GOOGLETRANSLATE(A24807,""en"",""pt"")"),"Terrível Photo Quality, No Flash, Mushy Shutter Button, nenhuma tela de LCD")</f>
        <v>Terrível Photo Quality, No Flash, Mushy Shutter Button, nenhuma tela de LCD</v>
      </c>
      <c r="B24807" s="3">
        <v>0</v>
      </c>
    </row>
    <row r="24808" ht="15.75" customHeight="1" spans="1:2">
      <c r="A24808" s="3" t="str">
        <f>IFERROR(__xludf.DUMMYFUNCTION("GOOGLETRANSLATE(A24808,""en"",""pt"")"),"A qualidade da imagem não é o ideal, sem flash")</f>
        <v>A qualidade da imagem não é o ideal, sem flash</v>
      </c>
      <c r="B24808" s="3">
        <v>0</v>
      </c>
    </row>
    <row r="24809" ht="15.75" customHeight="1" spans="1:2">
      <c r="A24809" s="3" t="str">
        <f>IFERROR(__xludf.DUMMYFUNCTION("GOOGLETRANSLATE(A24809,""en"",""pt"")"),"Má qualidade fotográfica, não Display LCD, sem flash.")</f>
        <v>Má qualidade fotográfica, não Display LCD, sem flash.</v>
      </c>
      <c r="B24809" s="3">
        <v>0</v>
      </c>
    </row>
    <row r="24810" ht="15.75" customHeight="1" spans="1:2">
      <c r="A24810" s="3" t="str">
        <f>IFERROR(__xludf.DUMMYFUNCTION("GOOGLETRANSLATE(A24810,""en"",""pt"")"),"Multimédia cartões não são baratos")</f>
        <v>Multimédia cartões não são baratos</v>
      </c>
      <c r="B24810" s="3">
        <v>0</v>
      </c>
    </row>
    <row r="24811" ht="15.75" customHeight="1" spans="1:2">
      <c r="A24811" s="3" t="str">
        <f>IFERROR(__xludf.DUMMYFUNCTION("GOOGLETRANSLATE(A24811,""en"",""pt"")"),"Armazena pequeno número de fotos em alta resolução, baixa vida útil da bateria.")</f>
        <v>Armazena pequeno número de fotos em alta resolução, baixa vida útil da bateria.</v>
      </c>
      <c r="B24811" s="3">
        <v>0</v>
      </c>
    </row>
    <row r="24812" ht="15.75" customHeight="1" spans="1:2">
      <c r="A24812" s="3" t="str">
        <f>IFERROR(__xludf.DUMMYFUNCTION("GOOGLETRANSLATE(A24812,""en"",""pt"")"),"Mas, não significa que você deve participar com o seu dinheiro.")</f>
        <v>Mas, não significa que você deve participar com o seu dinheiro.</v>
      </c>
      <c r="B24812" s="3">
        <v>0</v>
      </c>
    </row>
    <row r="24813" ht="15.75" customHeight="1" spans="1:2">
      <c r="A24813" s="3" t="str">
        <f>IFERROR(__xludf.DUMMYFUNCTION("GOOGLETRANSLATE(A24813,""en"",""pt"")"),"apenas detém 8 fotos tamanho normal, fotos muito baixa qualidade")</f>
        <v>apenas detém 8 fotos tamanho normal, fotos muito baixa qualidade</v>
      </c>
      <c r="B24813" s="3">
        <v>0</v>
      </c>
    </row>
    <row r="24814" ht="15.75" customHeight="1" spans="1:2">
      <c r="A24814" s="3" t="str">
        <f>IFERROR(__xludf.DUMMYFUNCTION("GOOGLETRANSLATE(A24814,""en"",""pt"")"),"Má qualidade de imagem, sem flash")</f>
        <v>Má qualidade de imagem, sem flash</v>
      </c>
      <c r="B24814" s="3">
        <v>0</v>
      </c>
    </row>
    <row r="24815" ht="15.75" customHeight="1" spans="1:2">
      <c r="A24815" s="3" t="str">
        <f>IFERROR(__xludf.DUMMYFUNCTION("GOOGLETRANSLATE(A24815,""en"",""pt"")"),"Se eu tivesse feito alguma pesquisa sobre cams digitais")</f>
        <v>Se eu tivesse feito alguma pesquisa sobre cams digitais</v>
      </c>
      <c r="B24815" s="3">
        <v>0</v>
      </c>
    </row>
    <row r="24816" ht="15.75" customHeight="1" spans="1:2">
      <c r="A24816" s="3" t="str">
        <f>IFERROR(__xludf.DUMMYFUNCTION("GOOGLETRANSLATE(A24816,""en"",""pt"")"),"não pode tirar fotos em close-up")</f>
        <v>não pode tirar fotos em close-up</v>
      </c>
      <c r="B24816" s="3">
        <v>0</v>
      </c>
    </row>
    <row r="24817" ht="15.75" customHeight="1" spans="1:2">
      <c r="A24817" s="3" t="str">
        <f>IFERROR(__xludf.DUMMYFUNCTION("GOOGLETRANSLATE(A24817,""en"",""pt"")"),"flash automático, há previews muito caro")</f>
        <v>flash automático, há previews muito caro</v>
      </c>
      <c r="B24817" s="3">
        <v>0</v>
      </c>
    </row>
    <row r="24818" ht="15.75" customHeight="1" spans="1:2">
      <c r="A24818" s="3" t="str">
        <f>IFERROR(__xludf.DUMMYFUNCTION("GOOGLETRANSLATE(A24818,""en"",""pt"")"),"Sem zoom, comedor da bateria")</f>
        <v>Sem zoom, comedor da bateria</v>
      </c>
      <c r="B24818" s="3">
        <v>0</v>
      </c>
    </row>
    <row r="24819" ht="15.75" customHeight="1" spans="1:2">
      <c r="A24819" s="3" t="str">
        <f>IFERROR(__xludf.DUMMYFUNCTION("GOOGLETRANSLATE(A24819,""en"",""pt"")"),"Baterias ir mais rápido, a falta de zoom")</f>
        <v>Baterias ir mais rápido, a falta de zoom</v>
      </c>
      <c r="B24819" s="3">
        <v>0</v>
      </c>
    </row>
    <row r="24820" ht="15.75" customHeight="1" spans="1:2">
      <c r="A24820" s="3" t="str">
        <f>IFERROR(__xludf.DUMMYFUNCTION("GOOGLETRANSLATE(A24820,""en"",""pt"")"),"Memória")</f>
        <v>Memória</v>
      </c>
      <c r="B24820" s="3">
        <v>0</v>
      </c>
    </row>
    <row r="24821" ht="15.75" customHeight="1" spans="1:2">
      <c r="A24821" s="3" t="str">
        <f>IFERROR(__xludf.DUMMYFUNCTION("GOOGLETRANSLATE(A24821,""en"",""pt"")"),"Precisa de um zoom para uma gama completa de tomada de imagem")</f>
        <v>Precisa de um zoom para uma gama completa de tomada de imagem</v>
      </c>
      <c r="B24821" s="3">
        <v>0</v>
      </c>
    </row>
    <row r="24822" ht="15.75" customHeight="1" spans="1:2">
      <c r="A24822" s="3" t="str">
        <f>IFERROR(__xludf.DUMMYFUNCTION("GOOGLETRANSLATE(A24822,""en"",""pt"")"),"Lento Download time, sem zoom ou MACRO")</f>
        <v>Lento Download time, sem zoom ou MACRO</v>
      </c>
      <c r="B24822" s="3">
        <v>0</v>
      </c>
    </row>
    <row r="24823" ht="15.75" customHeight="1" spans="1:2">
      <c r="A24823" s="3" t="str">
        <f>IFERROR(__xludf.DUMMYFUNCTION("GOOGLETRANSLATE(A24823,""en"",""pt"")"),"utiliza baterias rápidas")</f>
        <v>utiliza baterias rápidas</v>
      </c>
      <c r="B24823" s="3">
        <v>0</v>
      </c>
    </row>
    <row r="24824" ht="15.75" customHeight="1" spans="1:2">
      <c r="A24824" s="3" t="str">
        <f>IFERROR(__xludf.DUMMYFUNCTION("GOOGLETRANSLATE(A24824,""en"",""pt"")"),"Seria realmente beneficiar de uma lente zoom")</f>
        <v>Seria realmente beneficiar de uma lente zoom</v>
      </c>
      <c r="B24824" s="3">
        <v>0</v>
      </c>
    </row>
    <row r="24825" ht="15.75" customHeight="1" spans="1:2">
      <c r="A24825" s="3" t="str">
        <f>IFERROR(__xludf.DUMMYFUNCTION("GOOGLETRANSLATE(A24825,""en"",""pt"")"),"conexão serial muito lento, precisa de muitas baterias, nenhuma bolsa e lente de cobertura inadequada")</f>
        <v>conexão serial muito lento, precisa de muitas baterias, nenhuma bolsa e lente de cobertura inadequada</v>
      </c>
      <c r="B24825" s="3">
        <v>0</v>
      </c>
    </row>
    <row r="24826" ht="15.75" customHeight="1" spans="1:2">
      <c r="A24826" s="3" t="str">
        <f>IFERROR(__xludf.DUMMYFUNCTION("GOOGLETRANSLATE(A24826,""en"",""pt"")"),"Nenhum")</f>
        <v>Nenhum</v>
      </c>
      <c r="B24826" s="3">
        <v>0</v>
      </c>
    </row>
    <row r="24827" ht="15.75" customHeight="1" spans="1:2">
      <c r="A24827" s="3" t="str">
        <f>IFERROR(__xludf.DUMMYFUNCTION("GOOGLETRANSLATE(A24827,""en"",""pt"")"),"Caros cartões de imagem se você quiser um maior")</f>
        <v>Caros cartões de imagem se você quiser um maior</v>
      </c>
      <c r="B24827" s="3">
        <v>0</v>
      </c>
    </row>
    <row r="24828" ht="15.75" customHeight="1" spans="1:2">
      <c r="A24828" s="3" t="str">
        <f>IFERROR(__xludf.DUMMYFUNCTION("GOOGLETRANSLATE(A24828,""en"",""pt"")"),"A qualidade da foto, software incluído, a vida da bateria, nenhum caso, a transferência de imagem lento para computador, sem zoom")</f>
        <v>A qualidade da foto, software incluído, a vida da bateria, nenhum caso, a transferência de imagem lento para computador, sem zoom</v>
      </c>
      <c r="B24828" s="3">
        <v>0</v>
      </c>
    </row>
    <row r="24829" ht="15.75" customHeight="1" spans="1:2">
      <c r="A24829" s="3" t="str">
        <f>IFERROR(__xludf.DUMMYFUNCTION("GOOGLETRANSLATE(A24829,""en"",""pt"")"),"Deveria ter incluído um adaptador AC e caso")</f>
        <v>Deveria ter incluído um adaptador AC e caso</v>
      </c>
      <c r="B24829" s="3">
        <v>0</v>
      </c>
    </row>
    <row r="24830" ht="15.75" customHeight="1" spans="1:2">
      <c r="A24830" s="3" t="str">
        <f>IFERROR(__xludf.DUMMYFUNCTION("GOOGLETRANSLATE(A24830,""en"",""pt"")"),"tiros lentos e transferência.")</f>
        <v>tiros lentos e transferência.</v>
      </c>
      <c r="B24830" s="3">
        <v>0</v>
      </c>
    </row>
    <row r="24831" ht="15.75" customHeight="1" spans="1:2">
      <c r="A24831" s="3" t="str">
        <f>IFERROR(__xludf.DUMMYFUNCTION("GOOGLETRANSLATE(A24831,""en"",""pt"")"),"Instruções de configuração")</f>
        <v>Instruções de configuração</v>
      </c>
      <c r="B24831" s="3">
        <v>0</v>
      </c>
    </row>
    <row r="24832" ht="15.75" customHeight="1" spans="1:2">
      <c r="A24832" s="3" t="str">
        <f>IFERROR(__xludf.DUMMYFUNCTION("GOOGLETRANSLATE(A24832,""en"",""pt"")"),"curta duração da bateria e sem zoom")</f>
        <v>curta duração da bateria e sem zoom</v>
      </c>
      <c r="B24832" s="3">
        <v>0</v>
      </c>
    </row>
    <row r="24833" ht="15.75" customHeight="1" spans="1:2">
      <c r="A24833" s="3" t="str">
        <f>IFERROR(__xludf.DUMMYFUNCTION("GOOGLETRANSLATE(A24833,""en"",""pt"")"),"baixa capacidade de armazenamento")</f>
        <v>baixa capacidade de armazenamento</v>
      </c>
      <c r="B24833" s="3">
        <v>0</v>
      </c>
    </row>
    <row r="24834" ht="15.75" customHeight="1" spans="1:2">
      <c r="A24834" s="3" t="str">
        <f>IFERROR(__xludf.DUMMYFUNCTION("GOOGLETRANSLATE(A24834,""en"",""pt"")"),"Outro dispositivo de série para anexar, poderia ser melhor com USB")</f>
        <v>Outro dispositivo de série para anexar, poderia ser melhor com USB</v>
      </c>
      <c r="B24834" s="3">
        <v>0</v>
      </c>
    </row>
    <row r="24835" ht="15.75" customHeight="1" spans="1:2">
      <c r="A24835" s="3" t="str">
        <f>IFERROR(__xludf.DUMMYFUNCTION("GOOGLETRANSLATE(A24835,""en"",""pt"")"),"vida curta da bateria, software Mac difícil de instalar, resolver problemas, cartão de memória flash compacto tem capacidade limitada")</f>
        <v>vida curta da bateria, software Mac difícil de instalar, resolver problemas, cartão de memória flash compacto tem capacidade limitada</v>
      </c>
      <c r="B24835" s="3">
        <v>0</v>
      </c>
    </row>
    <row r="24836" ht="15.75" customHeight="1" spans="1:2">
      <c r="A24836" s="3" t="str">
        <f>IFERROR(__xludf.DUMMYFUNCTION("GOOGLETRANSLATE(A24836,""en"",""pt"")"),"utiliza baterias rapidamente, não confiável")</f>
        <v>utiliza baterias rapidamente, não confiável</v>
      </c>
      <c r="B24836" s="3">
        <v>0</v>
      </c>
    </row>
    <row r="24837" ht="15.75" customHeight="1" spans="1:2">
      <c r="A24837" s="3" t="str">
        <f>IFERROR(__xludf.DUMMYFUNCTION("GOOGLETRANSLATE(A24837,""en"",""pt"")"),"baixo número de imagens armazenadas")</f>
        <v>baixo número de imagens armazenadas</v>
      </c>
      <c r="B24837" s="3">
        <v>0</v>
      </c>
    </row>
    <row r="24838" ht="15.75" customHeight="1" spans="1:2">
      <c r="A24838" s="3" t="str">
        <f>IFERROR(__xludf.DUMMYFUNCTION("GOOGLETRANSLATE(A24838,""en"",""pt"")"),"não vem com baterias recarregáveis ​​ou um adaptador AC")</f>
        <v>não vem com baterias recarregáveis ​​ou um adaptador AC</v>
      </c>
      <c r="B24838" s="3">
        <v>0</v>
      </c>
    </row>
    <row r="24839" ht="15.75" customHeight="1" spans="1:2">
      <c r="A24839" s="3" t="str">
        <f>IFERROR(__xludf.DUMMYFUNCTION("GOOGLETRANSLATE(A24839,""en"",""pt"")"),"curta duração da bateria")</f>
        <v>curta duração da bateria</v>
      </c>
      <c r="B24839" s="3">
        <v>0</v>
      </c>
    </row>
    <row r="24840" ht="15.75" customHeight="1" spans="1:2">
      <c r="A24840" s="3" t="str">
        <f>IFERROR(__xludf.DUMMYFUNCTION("GOOGLETRANSLATE(A24840,""en"",""pt"")"),"ampliações granuladas")</f>
        <v>ampliações granuladas</v>
      </c>
      <c r="B24840" s="3">
        <v>0</v>
      </c>
    </row>
    <row r="24841" ht="15.75" customHeight="1" spans="1:2">
      <c r="A24841" s="3" t="str">
        <f>IFERROR(__xludf.DUMMYFUNCTION("GOOGLETRANSLATE(A24841,""en"",""pt"")"),"Sem zoom")</f>
        <v>Sem zoom</v>
      </c>
      <c r="B24841" s="3">
        <v>0</v>
      </c>
    </row>
    <row r="24842" ht="15.75" customHeight="1" spans="1:2">
      <c r="A24842" s="3" t="str">
        <f>IFERROR(__xludf.DUMMYFUNCTION("GOOGLETRANSLATE(A24842,""en"",""pt"")"),"Um pouco pesado com baterias, muncher bateria")</f>
        <v>Um pouco pesado com baterias, muncher bateria</v>
      </c>
      <c r="B24842" s="3">
        <v>0</v>
      </c>
    </row>
    <row r="24843" ht="15.75" customHeight="1" spans="1:2">
      <c r="A24843" s="3" t="str">
        <f>IFERROR(__xludf.DUMMYFUNCTION("GOOGLETRANSLATE(A24843,""en"",""pt"")"),"Ligeiramente maior do que a maioria dos digitals, a transferência de computador pode ser um problema para alguns.")</f>
        <v>Ligeiramente maior do que a maioria dos digitals, a transferência de computador pode ser um problema para alguns.</v>
      </c>
      <c r="B24843" s="3">
        <v>0</v>
      </c>
    </row>
    <row r="24844" ht="15.75" customHeight="1" spans="1:2">
      <c r="A24844" s="3" t="str">
        <f>IFERROR(__xludf.DUMMYFUNCTION("GOOGLETRANSLATE(A24844,""en"",""pt"")"),"muito poucos recursos, não quente com pouca luz, odeia baterias")</f>
        <v>muito poucos recursos, não quente com pouca luz, odeia baterias</v>
      </c>
      <c r="B24844" s="3">
        <v>0</v>
      </c>
    </row>
    <row r="24845" ht="15.75" customHeight="1" spans="1:2">
      <c r="A24845" s="3" t="s">
        <v>127</v>
      </c>
      <c r="B24845" s="3">
        <v>0</v>
      </c>
    </row>
    <row r="24846" ht="15.75" customHeight="1" spans="1:2">
      <c r="A24846" s="3" t="str">
        <f>IFERROR(__xludf.DUMMYFUNCTION("GOOGLETRANSLATE(A24846,""en"",""pt"")"),"necessidades zoom")</f>
        <v>necessidades zoom</v>
      </c>
      <c r="B24846" s="3">
        <v>0</v>
      </c>
    </row>
    <row r="24847" ht="15.75" customHeight="1" spans="1:2">
      <c r="A24847" s="3" t="str">
        <f>IFERROR(__xludf.DUMMYFUNCTION("GOOGLETRANSLATE(A24847,""en"",""pt"")"),"baixa resolução")</f>
        <v>baixa resolução</v>
      </c>
      <c r="B24847" s="3">
        <v>0</v>
      </c>
    </row>
    <row r="24848" ht="15.75" customHeight="1" spans="1:2">
      <c r="A24848" s="3" t="str">
        <f>IFERROR(__xludf.DUMMYFUNCTION("GOOGLETRANSLATE(A24848,""en"",""pt"")"),"Come baterias, sem Zoom")</f>
        <v>Come baterias, sem Zoom</v>
      </c>
      <c r="B24848" s="3">
        <v>0</v>
      </c>
    </row>
    <row r="24849" ht="15.75" customHeight="1" spans="1:2">
      <c r="A24849" s="3" t="str">
        <f>IFERROR(__xludf.DUMMYFUNCTION("GOOGLETRANSLATE(A24849,""en"",""pt"")"),"usa-se baterias bastante rapidamente com o visor LCD em")</f>
        <v>usa-se baterias bastante rapidamente com o visor LCD em</v>
      </c>
      <c r="B24849" s="3">
        <v>0</v>
      </c>
    </row>
    <row r="24850" ht="15.75" customHeight="1" spans="1:2">
      <c r="A24850" s="3" t="str">
        <f>IFERROR(__xludf.DUMMYFUNCTION("GOOGLETRANSLATE(A24850,""en"",""pt"")"),"monstro da bateria")</f>
        <v>monstro da bateria</v>
      </c>
      <c r="B24850" s="3">
        <v>0</v>
      </c>
    </row>
    <row r="24851" ht="15.75" customHeight="1" spans="1:2">
      <c r="A24851" s="3" t="str">
        <f>IFERROR(__xludf.DUMMYFUNCTION("GOOGLETRANSLATE(A24851,""en"",""pt"")"),"Quantidade limitada de fotos em alta resolução")</f>
        <v>Quantidade limitada de fotos em alta resolução</v>
      </c>
      <c r="B24851" s="3">
        <v>0</v>
      </c>
    </row>
    <row r="24852" ht="15.75" customHeight="1" spans="1:2">
      <c r="A24852" s="3" t="str">
        <f>IFERROR(__xludf.DUMMYFUNCTION("GOOGLETRANSLATE(A24852,""en"",""pt"")"),"A vida da bateria muito curto .... mas a maioria das câmeras digitais são da mesma forma se não pior")</f>
        <v>A vida da bateria muito curto .... mas a maioria das câmeras digitais são da mesma forma se não pior</v>
      </c>
      <c r="B24852" s="3">
        <v>0</v>
      </c>
    </row>
    <row r="24853" ht="15.75" customHeight="1" spans="1:2">
      <c r="A24853" s="3" t="str">
        <f>IFERROR(__xludf.DUMMYFUNCTION("GOOGLETRANSLATE(A24853,""en"",""pt"")"),"De foco fixo, o atraso entre os disparos.")</f>
        <v>De foco fixo, o atraso entre os disparos.</v>
      </c>
      <c r="B24853" s="3">
        <v>0</v>
      </c>
    </row>
    <row r="24854" ht="15.75" customHeight="1" spans="1:2">
      <c r="A24854" s="3" t="str">
        <f>IFERROR(__xludf.DUMMYFUNCTION("GOOGLETRANSLATE(A24854,""en"",""pt"")"),"Nunca um líder, ele caiu bem atrás do campo em características e preço.")</f>
        <v>Nunca um líder, ele caiu bem atrás do campo em características e preço.</v>
      </c>
      <c r="B24854" s="3">
        <v>0</v>
      </c>
    </row>
    <row r="24855" ht="15.75" customHeight="1" spans="1:2">
      <c r="A24855" s="3" t="str">
        <f>IFERROR(__xludf.DUMMYFUNCTION("GOOGLETRANSLATE(A24855,""en"",""pt"")"),"fotografias de tomar muito tempo para baixar")</f>
        <v>fotografias de tomar muito tempo para baixar</v>
      </c>
      <c r="B24855" s="3">
        <v>0</v>
      </c>
    </row>
    <row r="24856" ht="15.75" customHeight="1" spans="1:2">
      <c r="A24856" s="3" t="str">
        <f>IFERROR(__xludf.DUMMYFUNCTION("GOOGLETRANSLATE(A24856,""en"",""pt"")"),"Nenhum")</f>
        <v>Nenhum</v>
      </c>
      <c r="B24856" s="3">
        <v>0</v>
      </c>
    </row>
    <row r="24857" ht="15.75" customHeight="1" spans="1:2">
      <c r="A24857" s="3" t="str">
        <f>IFERROR(__xludf.DUMMYFUNCTION("GOOGLETRANSLATE(A24857,""en"",""pt"")"),"conexão serial lento, design frágil, vida de bateria muito curta")</f>
        <v>conexão serial lento, design frágil, vida de bateria muito curta</v>
      </c>
      <c r="B24857" s="3">
        <v>0</v>
      </c>
    </row>
    <row r="24858" ht="15.75" customHeight="1" spans="1:2">
      <c r="A24858" s="3" t="str">
        <f>IFERROR(__xludf.DUMMYFUNCTION("GOOGLETRANSLATE(A24858,""en"",""pt"")"),"Muitos botões para empurrar para itens de menu mudança.")</f>
        <v>Muitos botões para empurrar para itens de menu mudança.</v>
      </c>
      <c r="B24858" s="3">
        <v>0</v>
      </c>
    </row>
    <row r="24859" ht="15.75" customHeight="1" spans="1:2">
      <c r="A24859" s="3" t="str">
        <f>IFERROR(__xludf.DUMMYFUNCTION("GOOGLETRANSLATE(A24859,""en"",""pt"")"),"Volumoso, de baixa resolução, caro")</f>
        <v>Volumoso, de baixa resolução, caro</v>
      </c>
      <c r="B24859" s="3">
        <v>0</v>
      </c>
    </row>
    <row r="24860" ht="15.75" customHeight="1" spans="1:2">
      <c r="A24860" s="3" t="str">
        <f>IFERROR(__xludf.DUMMYFUNCTION("GOOGLETRANSLATE(A24860,""en"",""pt"")"),"Não é muito resistente")</f>
        <v>Não é muito resistente</v>
      </c>
      <c r="B24860" s="3">
        <v>0</v>
      </c>
    </row>
    <row r="24861" ht="15.75" customHeight="1" spans="1:2">
      <c r="A24861" s="3" t="str">
        <f>IFERROR(__xludf.DUMMYFUNCTION("GOOGLETRANSLATE(A24861,""en"",""pt"")"),"tempo de download da câmera para o computador não usb")</f>
        <v>tempo de download da câmera para o computador não usb</v>
      </c>
      <c r="B24861" s="3">
        <v>0</v>
      </c>
    </row>
    <row r="24862" ht="15.75" customHeight="1" spans="1:2">
      <c r="A24862" s="3" t="str">
        <f>IFERROR(__xludf.DUMMYFUNCTION("GOOGLETRANSLATE(A24862,""en"",""pt"")"),"retardar a imagens de gravação para cartão de memória flash, não pode baixar todas as imagens ao mesmo tempo para uma pasta, deve baixar uma imagem de cada vez")</f>
        <v>retardar a imagens de gravação para cartão de memória flash, não pode baixar todas as imagens ao mesmo tempo para uma pasta, deve baixar uma imagem de cada vez</v>
      </c>
      <c r="B24862" s="3">
        <v>0</v>
      </c>
    </row>
    <row r="24863" ht="15.75" customHeight="1" spans="1:2">
      <c r="A24863" s="3" t="str">
        <f>IFERROR(__xludf.DUMMYFUNCTION("GOOGLETRANSLATE(A24863,""en"",""pt"")"),"Sem interface USB, pequeno cartão inteligente")</f>
        <v>Sem interface USB, pequeno cartão inteligente</v>
      </c>
      <c r="B24863" s="3">
        <v>0</v>
      </c>
    </row>
    <row r="24864" ht="15.75" customHeight="1" spans="1:2">
      <c r="A24864" s="3" t="str">
        <f>IFERROR(__xludf.DUMMYFUNCTION("GOOGLETRANSLATE(A24864,""en"",""pt"")"),"baterias come")</f>
        <v>baterias come</v>
      </c>
      <c r="B24864" s="3">
        <v>0</v>
      </c>
    </row>
    <row r="24865" ht="15.75" customHeight="1" spans="1:2">
      <c r="A24865" s="3" t="str">
        <f>IFERROR(__xludf.DUMMYFUNCTION("GOOGLETRANSLATE(A24865,""en"",""pt"")"),"você precisará extras, e muita batteris")</f>
        <v>você precisará extras, e muita batteris</v>
      </c>
      <c r="B24865" s="3">
        <v>0</v>
      </c>
    </row>
    <row r="24866" ht="15.75" customHeight="1" spans="1:2">
      <c r="A24866" s="3" t="str">
        <f>IFERROR(__xludf.DUMMYFUNCTION("GOOGLETRANSLATE(A24866,""en"",""pt"")"),"A vida da bateria, cartão de memória flash de ejecção")</f>
        <v>A vida da bateria, cartão de memória flash de ejecção</v>
      </c>
      <c r="B24866" s="3">
        <v>0</v>
      </c>
    </row>
    <row r="24867" ht="15.75" customHeight="1" spans="1:2">
      <c r="A24867" s="3" t="str">
        <f>IFERROR(__xludf.DUMMYFUNCTION("GOOGLETRANSLATE(A24867,""en"",""pt"")"),"tampa da lente não embutido, poderia usar mais zoom")</f>
        <v>tampa da lente não embutido, poderia usar mais zoom</v>
      </c>
      <c r="B24867" s="3">
        <v>0</v>
      </c>
    </row>
    <row r="24868" ht="15.75" customHeight="1" spans="1:2">
      <c r="A24868" s="3" t="str">
        <f>IFERROR(__xludf.DUMMYFUNCTION("GOOGLETRANSLATE(A24868,""en"",""pt"")"),"Nenhum")</f>
        <v>Nenhum</v>
      </c>
      <c r="B24868" s="3">
        <v>0</v>
      </c>
    </row>
    <row r="24869" ht="15.75" customHeight="1" spans="1:2">
      <c r="A24869" s="3" t="str">
        <f>IFERROR(__xludf.DUMMYFUNCTION("GOOGLETRANSLATE(A24869,""en"",""pt"")"),"curta duração da bateria e um pouco desfocadas imagens de alta qualidade")</f>
        <v>curta duração da bateria e um pouco desfocadas imagens de alta qualidade</v>
      </c>
      <c r="B24869" s="3">
        <v>0</v>
      </c>
    </row>
    <row r="24870" ht="15.75" customHeight="1" spans="1:2">
      <c r="A24870" s="3" t="str">
        <f>IFERROR(__xludf.DUMMYFUNCTION("GOOGLETRANSLATE(A24870,""en"",""pt"")"),"Obtém impressões digitais na janela LED")</f>
        <v>Obtém impressões digitais na janela LED</v>
      </c>
      <c r="B24870" s="3">
        <v>0</v>
      </c>
    </row>
    <row r="24871" ht="15.75" customHeight="1" spans="1:2">
      <c r="A24871" s="3" t="str">
        <f>IFERROR(__xludf.DUMMYFUNCTION("GOOGLETRANSLATE(A24871,""en"",""pt"")"),"Usa baterias muito rápido se a tela é usado para tirar fotos")</f>
        <v>Usa baterias muito rápido se a tela é usado para tirar fotos</v>
      </c>
      <c r="B24871" s="3">
        <v>0</v>
      </c>
    </row>
    <row r="24872" ht="15.75" customHeight="1" spans="1:2">
      <c r="A24872" s="3" t="str">
        <f>IFERROR(__xludf.DUMMYFUNCTION("GOOGLETRANSLATE(A24872,""en"",""pt"")"),"Come baterias sem o uso do adaptador AC quando o download")</f>
        <v>Come baterias sem o uso do adaptador AC quando o download</v>
      </c>
      <c r="B24872" s="3">
        <v>0</v>
      </c>
    </row>
    <row r="24873" ht="15.75" customHeight="1" spans="1:2">
      <c r="A24873" s="3" t="str">
        <f>IFERROR(__xludf.DUMMYFUNCTION("GOOGLETRANSLATE(A24873,""en"",""pt"")"),"Utiliza baterias rápido real e ecrã de visualização é um pouco pequeno")</f>
        <v>Utiliza baterias rápido real e ecrã de visualização é um pouco pequeno</v>
      </c>
      <c r="B24873" s="3">
        <v>0</v>
      </c>
    </row>
    <row r="24874" ht="15.75" customHeight="1" spans="1:2">
      <c r="A24874" s="3" t="str">
        <f>IFERROR(__xludf.DUMMYFUNCTION("GOOGLETRANSLATE(A24874,""en"",""pt"")"),"um pouco pesado em comparação com uma câmera comum")</f>
        <v>um pouco pesado em comparação com uma câmera comum</v>
      </c>
      <c r="B24874" s="3">
        <v>0</v>
      </c>
    </row>
    <row r="24875" ht="15.75" customHeight="1" spans="1:2">
      <c r="A24875" s="3" t="str">
        <f>IFERROR(__xludf.DUMMYFUNCTION("GOOGLETRANSLATE(A24875,""en"",""pt"")"),"difícil em baterias")</f>
        <v>difícil em baterias</v>
      </c>
      <c r="B24875" s="3">
        <v>0</v>
      </c>
    </row>
    <row r="24876" ht="15.75" customHeight="1" spans="1:2">
      <c r="A24876" s="3" t="str">
        <f>IFERROR(__xludf.DUMMYFUNCTION("GOOGLETRANSLATE(A24876,""en"",""pt"")"),"conexão serial (comprar um leitor de cartão USB), macio no infinito")</f>
        <v>conexão serial (comprar um leitor de cartão USB), macio no infinito</v>
      </c>
      <c r="B24876" s="3">
        <v>0</v>
      </c>
    </row>
    <row r="24877" ht="15.75" customHeight="1" spans="1:2">
      <c r="A24877" s="3" t="str">
        <f>IFERROR(__xludf.DUMMYFUNCTION("GOOGLETRANSLATE(A24877,""en"",""pt"")"),"Falta de adaptador AC")</f>
        <v>Falta de adaptador AC</v>
      </c>
      <c r="B24877" s="3">
        <v>0</v>
      </c>
    </row>
    <row r="24878" ht="15.75" customHeight="1" spans="1:2">
      <c r="A24878" s="3" t="str">
        <f>IFERROR(__xludf.DUMMYFUNCTION("GOOGLETRANSLATE(A24878,""en"",""pt"")"),"Come-se as baterias!")</f>
        <v>Come-se as baterias!</v>
      </c>
      <c r="B24878" s="3">
        <v>0</v>
      </c>
    </row>
    <row r="24879" ht="15.75" customHeight="1" spans="1:2">
      <c r="A24879" s="3" t="str">
        <f>IFERROR(__xludf.DUMMYFUNCTION("GOOGLETRANSLATE(A24879,""en"",""pt"")"),"A vida da bateria é muito curta")</f>
        <v>A vida da bateria é muito curta</v>
      </c>
      <c r="B24879" s="3">
        <v>0</v>
      </c>
    </row>
    <row r="24880" ht="15.75" customHeight="1" spans="1:2">
      <c r="A24880" s="3" t="str">
        <f>IFERROR(__xludf.DUMMYFUNCTION("GOOGLETRANSLATE(A24880,""en"",""pt"")"),"segundos entre as imagens")</f>
        <v>segundos entre as imagens</v>
      </c>
      <c r="B24880" s="3">
        <v>0</v>
      </c>
    </row>
    <row r="24881" ht="15.75" customHeight="1" spans="1:2">
      <c r="A24881" s="3" t="str">
        <f>IFERROR(__xludf.DUMMYFUNCTION("GOOGLETRANSLATE(A24881,""en"",""pt"")"),"Não duráveis, baterias come, ecrã LCD difícil de ver ao ar livre")</f>
        <v>Não duráveis, baterias come, ecrã LCD difícil de ver ao ar livre</v>
      </c>
      <c r="B24881" s="3">
        <v>0</v>
      </c>
    </row>
    <row r="24882" ht="15.75" customHeight="1" spans="1:2">
      <c r="A24882" s="3" t="str">
        <f>IFERROR(__xludf.DUMMYFUNCTION("GOOGLETRANSLATE(A24882,""en"",""pt"")"),"bandeja de bateria às vezes é um pouco estranho.")</f>
        <v>bandeja de bateria às vezes é um pouco estranho.</v>
      </c>
      <c r="B24882" s="3">
        <v>0</v>
      </c>
    </row>
    <row r="24883" ht="15.75" customHeight="1" spans="1:2">
      <c r="A24883" s="3" t="str">
        <f>IFERROR(__xludf.DUMMYFUNCTION("GOOGLETRANSLATE(A24883,""en"",""pt"")"),"Confusão entre zoom e interruptor de alimentação. Caro.")</f>
        <v>Confusão entre zoom e interruptor de alimentação. Caro.</v>
      </c>
      <c r="B24883" s="3">
        <v>0</v>
      </c>
    </row>
    <row r="24884" ht="15.75" customHeight="1" spans="1:2">
      <c r="A24884" s="3" t="str">
        <f>IFERROR(__xludf.DUMMYFUNCTION("GOOGLETRANSLATE(A24884,""en"",""pt"")"),"Falta de boa Zoom, devorador de bateria, controle Red-Eye")</f>
        <v>Falta de boa Zoom, devorador de bateria, controle Red-Eye</v>
      </c>
      <c r="B24884" s="3">
        <v>0</v>
      </c>
    </row>
    <row r="24885" ht="15.75" customHeight="1" spans="1:2">
      <c r="A24885" s="3" t="str">
        <f>IFERROR(__xludf.DUMMYFUNCTION("GOOGLETRANSLATE(A24885,""en"",""pt"")"),"vida útil da bateria. configuração do software poderia ser melhor")</f>
        <v>vida útil da bateria. configuração do software poderia ser melhor</v>
      </c>
      <c r="B24885" s="3">
        <v>0</v>
      </c>
    </row>
    <row r="24886" ht="15.75" customHeight="1" spans="1:2">
      <c r="A24886" s="3" t="str">
        <f>IFERROR(__xludf.DUMMYFUNCTION("GOOGLETRANSLATE(A24886,""en"",""pt"")"),"Nenhum")</f>
        <v>Nenhum</v>
      </c>
      <c r="B24886" s="3">
        <v>0</v>
      </c>
    </row>
    <row r="24887" ht="15.75" customHeight="1" spans="1:2">
      <c r="A24887" s="3" t="str">
        <f>IFERROR(__xludf.DUMMYFUNCTION("GOOGLETRANSLATE(A24887,""en"",""pt"")"),"Nenhum")</f>
        <v>Nenhum</v>
      </c>
      <c r="B24887" s="3">
        <v>0</v>
      </c>
    </row>
    <row r="24888" ht="15.75" customHeight="1" spans="1:2">
      <c r="A24888" s="3" t="str">
        <f>IFERROR(__xludf.DUMMYFUNCTION("GOOGLETRANSLATE(A24888,""en"",""pt"")"),"chip de memória pequena, leva um par de minutos para baixo carregar imagens para o seu PC.")</f>
        <v>chip de memória pequena, leva um par de minutos para baixo carregar imagens para o seu PC.</v>
      </c>
      <c r="B24888" s="3">
        <v>0</v>
      </c>
    </row>
    <row r="24889" ht="15.75" customHeight="1" spans="1:2">
      <c r="A24889" s="3" t="str">
        <f>IFERROR(__xludf.DUMMYFUNCTION("GOOGLETRANSLATE(A24889,""en"",""pt"")"),"o consumo da bateria, o tempo de armazenamento de fotos")</f>
        <v>o consumo da bateria, o tempo de armazenamento de fotos</v>
      </c>
      <c r="B24889" s="3">
        <v>0</v>
      </c>
    </row>
    <row r="24890" ht="15.75" customHeight="1" spans="1:2">
      <c r="A24890" s="3" t="str">
        <f>IFERROR(__xludf.DUMMYFUNCTION("GOOGLETRANSLATE(A24890,""en"",""pt"")"),"computador produzido fotografias não alta qualidade")</f>
        <v>computador produzido fotografias não alta qualidade</v>
      </c>
      <c r="B24890" s="3">
        <v>0</v>
      </c>
    </row>
    <row r="24891" ht="15.75" customHeight="1" spans="1:2">
      <c r="A24891" s="3" t="str">
        <f>IFERROR(__xludf.DUMMYFUNCTION("GOOGLETRANSLATE(A24891,""en"",""pt"")"),"come Baterias")</f>
        <v>come Baterias</v>
      </c>
      <c r="B24891" s="3">
        <v>0</v>
      </c>
    </row>
    <row r="24892" ht="15.75" customHeight="1" spans="1:2">
      <c r="A24892" s="3" t="str">
        <f>IFERROR(__xludf.DUMMYFUNCTION("GOOGLETRANSLATE(A24892,""en"",""pt"")"),"Existe alguma? Eu acho que o cartão de memória pequeno poderia ser um golpe para alguns ...")</f>
        <v>Existe alguma? Eu acho que o cartão de memória pequeno poderia ser um golpe para alguns ...</v>
      </c>
      <c r="B24892" s="3">
        <v>0</v>
      </c>
    </row>
    <row r="24893" ht="15.75" customHeight="1" spans="1:2">
      <c r="A24893" s="3" t="str">
        <f>IFERROR(__xludf.DUMMYFUNCTION("GOOGLETRANSLATE(A24893,""en"",""pt"")"),"4mb Picture Card")</f>
        <v>4mb Picture Card</v>
      </c>
      <c r="B24893" s="3">
        <v>0</v>
      </c>
    </row>
    <row r="24894" ht="15.75" customHeight="1" spans="1:2">
      <c r="A24894" s="3" t="str">
        <f>IFERROR(__xludf.DUMMYFUNCTION("GOOGLETRANSLATE(A24894,""en"",""pt"")"),"a vida da bateria alcalina suma, conexão lenta usando porta serial, não a qualidade da foto")</f>
        <v>a vida da bateria alcalina suma, conexão lenta usando porta serial, não a qualidade da foto</v>
      </c>
      <c r="B24894" s="3">
        <v>0</v>
      </c>
    </row>
    <row r="24895" ht="15.75" customHeight="1" spans="1:2">
      <c r="A24895" s="3" t="str">
        <f>IFERROR(__xludf.DUMMYFUNCTION("GOOGLETRANSLATE(A24895,""en"",""pt"")"),"drena para baixo baterias rápidas")</f>
        <v>drena para baixo baterias rápidas</v>
      </c>
      <c r="B24895" s="3">
        <v>0</v>
      </c>
    </row>
    <row r="24896" ht="15.75" customHeight="1" spans="1:2">
      <c r="A24896" s="3" t="str">
        <f>IFERROR(__xludf.DUMMYFUNCTION("GOOGLETRANSLATE(A24896,""en"",""pt"")"),"Nenhum")</f>
        <v>Nenhum</v>
      </c>
      <c r="B24896" s="3">
        <v>0</v>
      </c>
    </row>
    <row r="24897" ht="15.75" customHeight="1" spans="1:2">
      <c r="A24897" s="3" t="str">
        <f>IFERROR(__xludf.DUMMYFUNCTION("GOOGLETRANSLATE(A24897,""en"",""pt"")"),"Caro para os acessórios adicionais.")</f>
        <v>Caro para os acessórios adicionais.</v>
      </c>
      <c r="B24897" s="3">
        <v>0</v>
      </c>
    </row>
    <row r="24898" ht="15.75" customHeight="1" spans="1:2">
      <c r="A24898" s="3" t="str">
        <f>IFERROR(__xludf.DUMMYFUNCTION("GOOGLETRANSLATE(A24898,""en"",""pt"")"),"O LCD é um pouco fora do centro")</f>
        <v>O LCD é um pouco fora do centro</v>
      </c>
      <c r="B24898" s="3">
        <v>0</v>
      </c>
    </row>
    <row r="24899" ht="15.75" customHeight="1" spans="1:2">
      <c r="A24899" s="3" t="str">
        <f>IFERROR(__xludf.DUMMYFUNCTION("GOOGLETRANSLATE(A24899,""en"",""pt"")"),"não encontrei nenhuma ainda!")</f>
        <v>não encontrei nenhuma ainda!</v>
      </c>
      <c r="B24899" s="3">
        <v>0</v>
      </c>
    </row>
    <row r="24900" ht="15.75" customHeight="1" spans="1:2">
      <c r="A24900" s="3" t="str">
        <f>IFERROR(__xludf.DUMMYFUNCTION("GOOGLETRANSLATE(A24900,""en"",""pt"")"),"não perto photoquality impressões, display LCD difusa")</f>
        <v>não perto photoquality impressões, display LCD difusa</v>
      </c>
      <c r="B24900" s="3">
        <v>0</v>
      </c>
    </row>
    <row r="24901" ht="15.75" customHeight="1" spans="1:2">
      <c r="A24901" s="3" t="str">
        <f>IFERROR(__xludf.DUMMYFUNCTION("GOOGLETRANSLATE(A24901,""en"",""pt"")"),"nenhum que eu tenho se deparar ainda !!")</f>
        <v>nenhum que eu tenho se deparar ainda !!</v>
      </c>
      <c r="B24901" s="3">
        <v>0</v>
      </c>
    </row>
    <row r="24902" ht="15.75" customHeight="1" spans="1:2">
      <c r="A24902" s="3" t="str">
        <f>IFERROR(__xludf.DUMMYFUNCTION("GOOGLETRANSLATE(A24902,""en"",""pt"")"),"Atraso entre os disparos, come baterias como pipoca")</f>
        <v>Atraso entre os disparos, come baterias como pipoca</v>
      </c>
      <c r="B24902" s="3">
        <v>0</v>
      </c>
    </row>
    <row r="24903" ht="15.75" customHeight="1" spans="1:2">
      <c r="A24903" s="3" t="str">
        <f>IFERROR(__xludf.DUMMYFUNCTION("GOOGLETRANSLATE(A24903,""en"",""pt"")"),"nenhum caso")</f>
        <v>nenhum caso</v>
      </c>
      <c r="B24903" s="3">
        <v>0</v>
      </c>
    </row>
    <row r="24904" ht="15.75" customHeight="1" spans="1:2">
      <c r="A24904" s="3" t="str">
        <f>IFERROR(__xludf.DUMMYFUNCTION("GOOGLETRANSLATE(A24904,""en"",""pt"")"),"Terrível para fora. fotos fuzzy. compartimento da bateria de plástico pode quebrar.")</f>
        <v>Terrível para fora. fotos fuzzy. compartimento da bateria de plástico pode quebrar.</v>
      </c>
      <c r="B24904" s="3">
        <v>0</v>
      </c>
    </row>
    <row r="24905" ht="15.75" customHeight="1" spans="1:2">
      <c r="A24905" s="3" t="str">
        <f>IFERROR(__xludf.DUMMYFUNCTION("GOOGLETRANSLATE(A24905,""en"",""pt"")"),"adora comer baterias para o pequeno-almoço ...")</f>
        <v>adora comer baterias para o pequeno-almoço ...</v>
      </c>
      <c r="B24905" s="3">
        <v>0</v>
      </c>
    </row>
    <row r="24906" ht="15.75" customHeight="1" spans="1:2">
      <c r="A24906" s="3" t="str">
        <f>IFERROR(__xludf.DUMMYFUNCTION("GOOGLETRANSLATE(A24906,""en"",""pt"")"),"tampa do cartão frágil, longo tempo de recuperação entre os disparos")</f>
        <v>tampa do cartão frágil, longo tempo de recuperação entre os disparos</v>
      </c>
      <c r="B24906" s="3">
        <v>0</v>
      </c>
    </row>
    <row r="24907" ht="15.75" customHeight="1" spans="1:2">
      <c r="A24907" s="3" t="str">
        <f>IFERROR(__xludf.DUMMYFUNCTION("GOOGLETRANSLATE(A24907,""en"",""pt"")"),"Come baterias se você não for cuidadoso.")</f>
        <v>Come baterias se você não for cuidadoso.</v>
      </c>
      <c r="B24907" s="3">
        <v>0</v>
      </c>
    </row>
    <row r="24908" ht="15.75" customHeight="1" spans="1:2">
      <c r="A24908" s="3" t="str">
        <f>IFERROR(__xludf.DUMMYFUNCTION("GOOGLETRANSLATE(A24908,""en"",""pt"")"),"A vida da bateria &amp; amp; amp; tempo de download.")</f>
        <v>A vida da bateria &amp; amp; amp; tempo de download.</v>
      </c>
      <c r="B24908" s="3">
        <v>0</v>
      </c>
    </row>
    <row r="24909" ht="15.75" customHeight="1" spans="1:2">
      <c r="A24909" s="3" t="str">
        <f>IFERROR(__xludf.DUMMYFUNCTION("GOOGLETRANSLATE(A24909,""en"",""pt"")"),"Preço pode ser alto para alguns. Necessidade de caso de compra de transporte.")</f>
        <v>Preço pode ser alto para alguns. Necessidade de caso de compra de transporte.</v>
      </c>
      <c r="B24909" s="3">
        <v>0</v>
      </c>
    </row>
    <row r="24910" ht="15.75" customHeight="1" spans="1:2">
      <c r="A24910" s="3" t="str">
        <f>IFERROR(__xludf.DUMMYFUNCTION("GOOGLETRANSLATE(A24910,""en"",""pt"")"),"Ninguém parece estar a correr-lo à venda.")</f>
        <v>Ninguém parece estar a correr-lo à venda.</v>
      </c>
      <c r="B24910" s="3">
        <v>0</v>
      </c>
    </row>
    <row r="24911" ht="15.75" customHeight="1" spans="1:2">
      <c r="A24911" s="3" t="str">
        <f>IFERROR(__xludf.DUMMYFUNCTION("GOOGLETRANSLATE(A24911,""en"",""pt"")"),"Nenhum que eu possa encontrar. :-)")</f>
        <v>Nenhum que eu possa encontrar. :-)</v>
      </c>
      <c r="B24911" s="3">
        <v>0</v>
      </c>
    </row>
    <row r="24912" ht="15.75" customHeight="1" spans="1:2">
      <c r="A24912" s="3" t="str">
        <f>IFERROR(__xludf.DUMMYFUNCTION("GOOGLETRANSLATE(A24912,""en"",""pt"")"),"Tendo impressões feitas pode ser caro, então comprar ao redor")</f>
        <v>Tendo impressões feitas pode ser caro, então comprar ao redor</v>
      </c>
      <c r="B24912" s="3">
        <v>0</v>
      </c>
    </row>
    <row r="24913" ht="15.75" customHeight="1" spans="1:2">
      <c r="A24913" s="3" t="str">
        <f>IFERROR(__xludf.DUMMYFUNCTION("GOOGLETRANSLATE(A24913,""en"",""pt"")"),"Nenhum")</f>
        <v>Nenhum</v>
      </c>
      <c r="B24913" s="3">
        <v>0</v>
      </c>
    </row>
    <row r="24914" ht="15.75" customHeight="1" spans="1:2">
      <c r="A24914" s="3" t="str">
        <f>IFERROR(__xludf.DUMMYFUNCTION("GOOGLETRANSLATE(A24914,""en"",""pt"")"),"faixa de zoom limitada")</f>
        <v>faixa de zoom limitada</v>
      </c>
      <c r="B24914" s="3">
        <v>0</v>
      </c>
    </row>
    <row r="24915" ht="15.75" customHeight="1" spans="1:2">
      <c r="A24915" s="3" t="str">
        <f>IFERROR(__xludf.DUMMYFUNCTION("GOOGLETRANSLATE(A24915,""en"",""pt"")"),"precisa de acessórios")</f>
        <v>precisa de acessórios</v>
      </c>
      <c r="B24915" s="3">
        <v>0</v>
      </c>
    </row>
    <row r="24916" ht="15.75" customHeight="1" spans="1:2">
      <c r="A24916" s="3" t="str">
        <f>IFERROR(__xludf.DUMMYFUNCTION("GOOGLETRANSLATE(A24916,""en"",""pt"")"),"Localização de Lens")</f>
        <v>Localização de Lens</v>
      </c>
      <c r="B24916" s="3">
        <v>0</v>
      </c>
    </row>
    <row r="24917" ht="15.75" customHeight="1" spans="1:2">
      <c r="A24917" s="3" t="str">
        <f>IFERROR(__xludf.DUMMYFUNCTION("GOOGLETRANSLATE(A24917,""en"",""pt"")"),"Não boa qualidade de impressão")</f>
        <v>Não boa qualidade de impressão</v>
      </c>
      <c r="B24917" s="3">
        <v>0</v>
      </c>
    </row>
    <row r="24918" ht="15.75" customHeight="1" spans="1:2">
      <c r="A24918" s="3" t="str">
        <f>IFERROR(__xludf.DUMMYFUNCTION("GOOGLETRANSLATE(A24918,""en"",""pt"")"),"baterias estiverem fracas rápido")</f>
        <v>baterias estiverem fracas rápido</v>
      </c>
      <c r="B24918" s="3">
        <v>0</v>
      </c>
    </row>
    <row r="24919" ht="15.75" customHeight="1" spans="1:2">
      <c r="A24919" s="3" t="str">
        <f>IFERROR(__xludf.DUMMYFUNCTION("GOOGLETRANSLATE(A24919,""en"",""pt"")"),"vem com 4MB de flash compacto, você vai querer um maior")</f>
        <v>vem com 4MB de flash compacto, você vai querer um maior</v>
      </c>
      <c r="B24919" s="3">
        <v>0</v>
      </c>
    </row>
    <row r="24920" ht="15.75" customHeight="1" spans="1:2">
      <c r="A24920" s="3" t="str">
        <f>IFERROR(__xludf.DUMMYFUNCTION("GOOGLETRANSLATE(A24920,""en"",""pt"")"),"não vem com adaptador AC")</f>
        <v>não vem com adaptador AC</v>
      </c>
      <c r="B24920" s="3">
        <v>0</v>
      </c>
    </row>
    <row r="24921" ht="15.75" customHeight="1" spans="1:2">
      <c r="A24921" s="3" t="str">
        <f>IFERROR(__xludf.DUMMYFUNCTION("GOOGLETRANSLATE(A24921,""en"",""pt"")"),"No caso de transporte")</f>
        <v>No caso de transporte</v>
      </c>
      <c r="B24921" s="3">
        <v>0</v>
      </c>
    </row>
    <row r="24922" ht="15.75" customHeight="1" spans="1:2">
      <c r="A24922" s="3" t="str">
        <f>IFERROR(__xludf.DUMMYFUNCTION("GOOGLETRANSLATE(A24922,""en"",""pt"")"),"usos um monte de suco")</f>
        <v>usos um monte de suco</v>
      </c>
      <c r="B24922" s="3">
        <v>0</v>
      </c>
    </row>
    <row r="24923" ht="15.75" customHeight="1" spans="1:2">
      <c r="A24923" s="3" t="str">
        <f>IFERROR(__xludf.DUMMYFUNCTION("GOOGLETRANSLATE(A24923,""en"",""pt"")"),"Atravessa baterias")</f>
        <v>Atravessa baterias</v>
      </c>
      <c r="B24923" s="3">
        <v>0</v>
      </c>
    </row>
    <row r="24924" ht="15.75" customHeight="1" spans="1:2">
      <c r="A24924" s="3" t="str">
        <f>IFERROR(__xludf.DUMMYFUNCTION("GOOGLETRANSLATE(A24924,""en"",""pt"")"),"Tirar fotos sem flash.")</f>
        <v>Tirar fotos sem flash.</v>
      </c>
      <c r="B24924" s="3">
        <v>0</v>
      </c>
    </row>
    <row r="24925" ht="15.75" customHeight="1" spans="1:2">
      <c r="A24925" s="3" t="str">
        <f>IFERROR(__xludf.DUMMYFUNCTION("GOOGLETRANSLATE(A24925,""en"",""pt"")"),"caso compra em separado")</f>
        <v>caso compra em separado</v>
      </c>
      <c r="B24925" s="3">
        <v>0</v>
      </c>
    </row>
    <row r="24926" ht="15.75" customHeight="1" spans="1:2">
      <c r="A24926" s="3" t="str">
        <f>IFERROR(__xludf.DUMMYFUNCTION("GOOGLETRANSLATE(A24926,""en"",""pt"")"),"tinha que comprar leitor para o meu iMac")</f>
        <v>tinha que comprar leitor para o meu iMac</v>
      </c>
      <c r="B24926" s="3">
        <v>0</v>
      </c>
    </row>
    <row r="24927" ht="15.75" customHeight="1" spans="1:2">
      <c r="A24927" s="3" t="str">
        <f>IFERROR(__xludf.DUMMYFUNCTION("GOOGLETRANSLATE(A24927,""en"",""pt"")"),"Basta lembrar de recarregar as baterias.")</f>
        <v>Basta lembrar de recarregar as baterias.</v>
      </c>
      <c r="B24927" s="3">
        <v>0</v>
      </c>
    </row>
    <row r="24928" ht="15.75" customHeight="1" spans="1:2">
      <c r="A24928" s="3" t="str">
        <f>IFERROR(__xludf.DUMMYFUNCTION("GOOGLETRANSLATE(A24928,""en"",""pt"")"),"caros, come fotos")</f>
        <v>caros, come fotos</v>
      </c>
      <c r="B24928" s="3">
        <v>0</v>
      </c>
    </row>
    <row r="24929" ht="15.75" customHeight="1" spans="1:2">
      <c r="A24929" s="3" t="str">
        <f>IFERROR(__xludf.DUMMYFUNCTION("GOOGLETRANSLATE(A24929,""en"",""pt"")"),"devorador de bateria, cartão fornecido não é grande o suficiente")</f>
        <v>devorador de bateria, cartão fornecido não é grande o suficiente</v>
      </c>
      <c r="B24929" s="3">
        <v>0</v>
      </c>
    </row>
    <row r="24930" ht="15.75" customHeight="1" spans="1:2">
      <c r="A24930" s="3" t="str">
        <f>IFERROR(__xludf.DUMMYFUNCTION("GOOGLETRANSLATE(A24930,""en"",""pt"")"),"cartão de 8 MB não é suficiente")</f>
        <v>cartão de 8 MB não é suficiente</v>
      </c>
      <c r="B24930" s="3">
        <v>0</v>
      </c>
    </row>
    <row r="24931" ht="15.75" customHeight="1" spans="1:2">
      <c r="A24931" s="3" t="str">
        <f>IFERROR(__xludf.DUMMYFUNCTION("GOOGLETRANSLATE(A24931,""en"",""pt"")"),"come Baterias")</f>
        <v>come Baterias</v>
      </c>
      <c r="B24931" s="3">
        <v>0</v>
      </c>
    </row>
    <row r="24932" ht="15.75" customHeight="1" spans="1:2">
      <c r="A24932" s="3" t="str">
        <f>IFERROR(__xludf.DUMMYFUNCTION("GOOGLETRANSLATE(A24932,""en"",""pt"")"),"constantemente ficar sem energia da bateria")</f>
        <v>constantemente ficar sem energia da bateria</v>
      </c>
      <c r="B24932" s="3">
        <v>0</v>
      </c>
    </row>
    <row r="24933" ht="15.75" customHeight="1" spans="1:2">
      <c r="A24933" s="3" t="str">
        <f>IFERROR(__xludf.DUMMYFUNCTION("GOOGLETRANSLATE(A24933,""en"",""pt"")"),"Só às vezes o dedo fica no caminho e a bateria pode durar um pouco mais")</f>
        <v>Só às vezes o dedo fica no caminho e a bateria pode durar um pouco mais</v>
      </c>
      <c r="B24933" s="3">
        <v>0</v>
      </c>
    </row>
    <row r="24934" ht="15.75" customHeight="1" spans="1:2">
      <c r="A24934" s="3" t="str">
        <f>IFERROR(__xludf.DUMMYFUNCTION("GOOGLETRANSLATE(A24934,""en"",""pt"")"),"Nenhum")</f>
        <v>Nenhum</v>
      </c>
      <c r="B24934" s="3">
        <v>0</v>
      </c>
    </row>
    <row r="24935" ht="15.75" customHeight="1" spans="1:2">
      <c r="A24935" s="3" t="str">
        <f>IFERROR(__xludf.DUMMYFUNCTION("GOOGLETRANSLATE(A24935,""en"",""pt"")"),"As baterias não duram muito tempo")</f>
        <v>As baterias não duram muito tempo</v>
      </c>
      <c r="B24935" s="3">
        <v>0</v>
      </c>
    </row>
    <row r="24936" ht="15.75" customHeight="1" spans="1:2">
      <c r="A24936" s="3" t="str">
        <f>IFERROR(__xludf.DUMMYFUNCTION("GOOGLETRANSLATE(A24936,""en"",""pt"")"),"uso da bateria")</f>
        <v>uso da bateria</v>
      </c>
      <c r="B24936" s="3">
        <v>0</v>
      </c>
    </row>
    <row r="24937" ht="15.75" customHeight="1" spans="1:2">
      <c r="A24937" s="3" t="str">
        <f>IFERROR(__xludf.DUMMYFUNCTION("GOOGLETRANSLATE(A24937,""en"",""pt"")"),"Baterias morrer rápido se usar o LCD para mostrar o que você está fotografando")</f>
        <v>Baterias morrer rápido se usar o LCD para mostrar o que você está fotografando</v>
      </c>
      <c r="B24937" s="3">
        <v>0</v>
      </c>
    </row>
    <row r="24938" ht="15.75" customHeight="1" spans="1:2">
      <c r="A24938" s="3" t="str">
        <f>IFERROR(__xludf.DUMMYFUNCTION("GOOGLETRANSLATE(A24938,""en"",""pt"")"),"Passa por baterias muito rápido")</f>
        <v>Passa por baterias muito rápido</v>
      </c>
      <c r="B24938" s="3">
        <v>0</v>
      </c>
    </row>
    <row r="24939" ht="15.75" customHeight="1" spans="1:2">
      <c r="A24939" s="3" t="str">
        <f>IFERROR(__xludf.DUMMYFUNCTION("GOOGLETRANSLATE(A24939,""en"",""pt"")"),"As pessoas com dedos maiores terão um pouco de problemas para acessar o cartão de memória flash")</f>
        <v>As pessoas com dedos maiores terão um pouco de problemas para acessar o cartão de memória flash</v>
      </c>
      <c r="B24939" s="3">
        <v>0</v>
      </c>
    </row>
    <row r="24940" ht="15.75" customHeight="1" spans="1:2">
      <c r="A24940" s="3" t="str">
        <f>IFERROR(__xludf.DUMMYFUNCTION("GOOGLETRANSLATE(A24940,""en"",""pt"")"),"exibição pobre, fotos pobres do movimento, cartão de memória pequeno")</f>
        <v>exibição pobre, fotos pobres do movimento, cartão de memória pequeno</v>
      </c>
      <c r="B24940" s="3">
        <v>0</v>
      </c>
    </row>
    <row r="24941" ht="15.75" customHeight="1" spans="1:2">
      <c r="A24941" s="3" t="str">
        <f>IFERROR(__xludf.DUMMYFUNCTION("GOOGLETRANSLATE(A24941,""en"",""pt"")"),"Tem que comprar melhor de cartucho")</f>
        <v>Tem que comprar melhor de cartucho</v>
      </c>
      <c r="B24941" s="3">
        <v>0</v>
      </c>
    </row>
    <row r="24942" ht="15.75" customHeight="1" spans="1:2">
      <c r="A24942" s="3" t="str">
        <f>IFERROR(__xludf.DUMMYFUNCTION("GOOGLETRANSLATE(A24942,""en"",""pt"")"),"se você rever as suas fotos muitas vezes a bateria se esgota rapidamente")</f>
        <v>se você rever as suas fotos muitas vezes a bateria se esgota rapidamente</v>
      </c>
      <c r="B24942" s="3">
        <v>0</v>
      </c>
    </row>
    <row r="24943" ht="15.75" customHeight="1" spans="1:2">
      <c r="A24943" s="3" t="str">
        <f>IFERROR(__xludf.DUMMYFUNCTION("GOOGLETRANSLATE(A24943,""en"",""pt"")"),"come-se baterias, mas o digital não faz!")</f>
        <v>come-se baterias, mas o digital não faz!</v>
      </c>
      <c r="B24943" s="3">
        <v>0</v>
      </c>
    </row>
    <row r="24944" ht="15.75" customHeight="1" spans="1:2">
      <c r="A24944" s="3" t="str">
        <f>IFERROR(__xludf.DUMMYFUNCTION("GOOGLETRANSLATE(A24944,""en"",""pt"")"),"Usa muita energia da bateria")</f>
        <v>Usa muita energia da bateria</v>
      </c>
      <c r="B24944" s="3">
        <v>0</v>
      </c>
    </row>
    <row r="24945" ht="15.75" customHeight="1" spans="1:2">
      <c r="A24945" s="3" t="str">
        <f>IFERROR(__xludf.DUMMYFUNCTION("GOOGLETRANSLATE(A24945,""en"",""pt"")"),"Ter que armazenar e imprimir fotografias.")</f>
        <v>Ter que armazenar e imprimir fotografias.</v>
      </c>
      <c r="B24945" s="3">
        <v>0</v>
      </c>
    </row>
    <row r="24946" ht="15.75" customHeight="1" spans="1:2">
      <c r="A24946" s="3" t="str">
        <f>IFERROR(__xludf.DUMMYFUNCTION("GOOGLETRANSLATE(A24946,""en"",""pt"")"),"Programas")</f>
        <v>Programas</v>
      </c>
      <c r="B24946" s="3">
        <v>0</v>
      </c>
    </row>
    <row r="24947" ht="15.75" customHeight="1" spans="1:2">
      <c r="A24947" s="3" t="str">
        <f>IFERROR(__xludf.DUMMYFUNCTION("GOOGLETRANSLATE(A24947,""en"",""pt"")"),"Tenho que ter todos os acessórios!")</f>
        <v>Tenho que ter todos os acessórios!</v>
      </c>
      <c r="B24947" s="3">
        <v>0</v>
      </c>
    </row>
    <row r="24948" ht="15.75" customHeight="1" spans="1:2">
      <c r="A24948" s="3" t="str">
        <f>IFERROR(__xludf.DUMMYFUNCTION("GOOGLETRANSLATE(A24948,""en"",""pt"")"),"Nenhum")</f>
        <v>Nenhum</v>
      </c>
      <c r="B24948" s="3">
        <v>0</v>
      </c>
    </row>
    <row r="24949" ht="15.75" customHeight="1" spans="1:2">
      <c r="A24949" s="3" t="str">
        <f>IFERROR(__xludf.DUMMYFUNCTION("GOOGLETRANSLATE(A24949,""en"",""pt"")"),"Pequeno cartão de memória flash (4MB) incluído, a transferência de dados de série lenta")</f>
        <v>Pequeno cartão de memória flash (4MB) incluído, a transferência de dados de série lenta</v>
      </c>
      <c r="B24949" s="3">
        <v>0</v>
      </c>
    </row>
    <row r="24950" ht="15.75" customHeight="1" spans="1:2">
      <c r="A24950" s="3" t="str">
        <f>IFERROR(__xludf.DUMMYFUNCTION("GOOGLETRANSLATE(A24950,""en"",""pt"")"),"baixa resolução produz imprecisão nas fotos maiores")</f>
        <v>baixa resolução produz imprecisão nas fotos maiores</v>
      </c>
      <c r="B24950" s="3">
        <v>0</v>
      </c>
    </row>
    <row r="24951" ht="15.75" customHeight="1" spans="1:2">
      <c r="A24951" s="3" t="str">
        <f>IFERROR(__xludf.DUMMYFUNCTION("GOOGLETRANSLATE(A24951,""en"",""pt"")"),"Nenhum que eu encontrei")</f>
        <v>Nenhum que eu encontrei</v>
      </c>
      <c r="B24951" s="3">
        <v>0</v>
      </c>
    </row>
    <row r="24952" ht="15.75" customHeight="1" spans="1:2">
      <c r="A24952" s="3" t="str">
        <f>IFERROR(__xludf.DUMMYFUNCTION("GOOGLETRANSLATE(A24952,""en"",""pt"")"),"Não existem fotos para os álbuns de família. Ainda precisa de uma câmera tradicional com o filme!")</f>
        <v>Não existem fotos para os álbuns de família. Ainda precisa de uma câmera tradicional com o filme!</v>
      </c>
      <c r="B24952" s="3">
        <v>0</v>
      </c>
    </row>
    <row r="24953" ht="15.75" customHeight="1" spans="1:2">
      <c r="A24953" s="3" t="str">
        <f>IFERROR(__xludf.DUMMYFUNCTION("GOOGLETRANSLATE(A24953,""en"",""pt"")"),"Sente estranho no início devido ao peso e forma, cap &amp; amp barato lente; amp; suporte da bateria e atraso de flash longo")</f>
        <v>Sente estranho no início devido ao peso e forma, cap &amp; amp barato lente; amp; suporte da bateria e atraso de flash longo</v>
      </c>
      <c r="B24953" s="3">
        <v>0</v>
      </c>
    </row>
    <row r="24954" ht="15.75" customHeight="1" spans="1:2">
      <c r="A24954" s="3" t="str">
        <f>IFERROR(__xludf.DUMMYFUNCTION("GOOGLETRANSLATE(A24954,""en"",""pt"")"),", O desenvolvimento Expensive lento")</f>
        <v>, O desenvolvimento Expensive lento</v>
      </c>
      <c r="B24954" s="3">
        <v>0</v>
      </c>
    </row>
    <row r="24955" ht="15.75" customHeight="1" spans="1:2">
      <c r="A24955" s="3" t="str">
        <f>IFERROR(__xludf.DUMMYFUNCTION("GOOGLETRANSLATE(A24955,""en"",""pt"")"),"Pausa entre Botão e tiro")</f>
        <v>Pausa entre Botão e tiro</v>
      </c>
      <c r="B24955" s="3">
        <v>0</v>
      </c>
    </row>
    <row r="24956" ht="15.75" customHeight="1" spans="1:2">
      <c r="A24956" s="3" t="str">
        <f>IFERROR(__xludf.DUMMYFUNCTION("GOOGLETRANSLATE(A24956,""en"",""pt"")"),"Não consigo pensar em um.")</f>
        <v>Não consigo pensar em um.</v>
      </c>
      <c r="B24956" s="3">
        <v>0</v>
      </c>
    </row>
    <row r="24957" ht="15.75" customHeight="1" spans="1:2">
      <c r="A24957" s="3" t="str">
        <f>IFERROR(__xludf.DUMMYFUNCTION("GOOGLETRANSLATE(A24957,""en"",""pt"")"),"Nenhum")</f>
        <v>Nenhum</v>
      </c>
      <c r="B24957" s="3">
        <v>0</v>
      </c>
    </row>
    <row r="24958" ht="15.75" customHeight="1" spans="1:2">
      <c r="A24958" s="3" t="str">
        <f>IFERROR(__xludf.DUMMYFUNCTION("GOOGLETRANSLATE(A24958,""en"",""pt"")"),"muito ruim software, má conexão de computador")</f>
        <v>muito ruim software, má conexão de computador</v>
      </c>
      <c r="B24958" s="3">
        <v>0</v>
      </c>
    </row>
    <row r="24959" ht="15.75" customHeight="1" spans="1:2">
      <c r="A24959" s="3" t="str">
        <f>IFERROR(__xludf.DUMMYFUNCTION("GOOGLETRANSLATE(A24959,""en"",""pt"")"),"vida útil da bateria")</f>
        <v>vida útil da bateria</v>
      </c>
      <c r="B24959" s="3">
        <v>0</v>
      </c>
    </row>
    <row r="24960" ht="15.75" customHeight="1" spans="1:2">
      <c r="A24960" s="3" t="str">
        <f>IFERROR(__xludf.DUMMYFUNCTION("GOOGLETRANSLATE(A24960,""en"",""pt"")"),"Suga energia da bateria muito rapidamente")</f>
        <v>Suga energia da bateria muito rapidamente</v>
      </c>
      <c r="B24960" s="3">
        <v>0</v>
      </c>
    </row>
    <row r="24961" ht="15.75" customHeight="1" spans="1:2">
      <c r="A24961" s="3" t="s">
        <v>128</v>
      </c>
      <c r="B24961" s="3">
        <v>0</v>
      </c>
    </row>
    <row r="24962" ht="15.75" customHeight="1" spans="1:2">
      <c r="A24962" s="3" t="str">
        <f>IFERROR(__xludf.DUMMYFUNCTION("GOOGLETRANSLATE(A24962,""en"",""pt"")"),"tela de visualização pequena")</f>
        <v>tela de visualização pequena</v>
      </c>
      <c r="B24962" s="3">
        <v>0</v>
      </c>
    </row>
    <row r="24963" ht="15.75" customHeight="1" spans="1:2">
      <c r="A24963" s="3" t="str">
        <f>IFERROR(__xludf.DUMMYFUNCTION("GOOGLETRANSLATE(A24963,""en"",""pt"")"),"não duráveis")</f>
        <v>não duráveis</v>
      </c>
      <c r="B24963" s="3">
        <v>0</v>
      </c>
    </row>
    <row r="24964" ht="15.75" customHeight="1" spans="1:2">
      <c r="A24964" s="3" t="str">
        <f>IFERROR(__xludf.DUMMYFUNCTION("GOOGLETRANSLATE(A24964,""en"",""pt"")"),"grande tela LCD nas costas drena baterias rápido")</f>
        <v>grande tela LCD nas costas drena baterias rápido</v>
      </c>
      <c r="B24964" s="3">
        <v>0</v>
      </c>
    </row>
    <row r="24965" ht="15.75" customHeight="1" spans="1:2">
      <c r="A24965" s="3" t="str">
        <f>IFERROR(__xludf.DUMMYFUNCTION("GOOGLETRANSLATE(A24965,""en"",""pt"")"),"A tela LCD é um dreno em baterias")</f>
        <v>A tela LCD é um dreno em baterias</v>
      </c>
      <c r="B24965" s="3">
        <v>0</v>
      </c>
    </row>
    <row r="24966" ht="15.75" customHeight="1" spans="1:2">
      <c r="A24966" s="3" t="str">
        <f>IFERROR(__xludf.DUMMYFUNCTION("GOOGLETRANSLATE(A24966,""en"",""pt"")"),"zoom curta")</f>
        <v>zoom curta</v>
      </c>
      <c r="B24966" s="3">
        <v>0</v>
      </c>
    </row>
    <row r="24967" ht="15.75" customHeight="1" spans="1:2">
      <c r="A24967" s="3" t="str">
        <f>IFERROR(__xludf.DUMMYFUNCTION("GOOGLETRANSLATE(A24967,""en"",""pt"")"),"baterias, carregamento lento")</f>
        <v>baterias, carregamento lento</v>
      </c>
      <c r="B24967" s="3">
        <v>0</v>
      </c>
    </row>
    <row r="24968" ht="15.75" customHeight="1" spans="1:2">
      <c r="A24968" s="3" t="str">
        <f>IFERROR(__xludf.DUMMYFUNCTION("GOOGLETRANSLATE(A24968,""en"",""pt"")"),"devorador de bateria, leve movimento torna as imagens desfocadas")</f>
        <v>devorador de bateria, leve movimento torna as imagens desfocadas</v>
      </c>
      <c r="B24968" s="3">
        <v>0</v>
      </c>
    </row>
    <row r="24969" ht="15.75" customHeight="1" spans="1:2">
      <c r="A24969" s="3" t="str">
        <f>IFERROR(__xludf.DUMMYFUNCTION("GOOGLETRANSLATE(A24969,""en"",""pt"")"),"Nenhum ainda")</f>
        <v>Nenhum ainda</v>
      </c>
      <c r="B24969" s="3">
        <v>0</v>
      </c>
    </row>
    <row r="24970" ht="15.75" customHeight="1" spans="1:2">
      <c r="A24970" s="3" t="str">
        <f>IFERROR(__xludf.DUMMYFUNCTION("GOOGLETRANSLATE(A24970,""en"",""pt"")"),"Nenhum")</f>
        <v>Nenhum</v>
      </c>
      <c r="B24970" s="3">
        <v>0</v>
      </c>
    </row>
    <row r="24971" ht="15.75" customHeight="1" spans="1:2">
      <c r="A24971" s="3" t="str">
        <f>IFERROR(__xludf.DUMMYFUNCTION("GOOGLETRANSLATE(A24971,""en"",""pt"")"),"Apenas 1 Megapixel, não muito boa qualidade ao ar livre. Sem USB. Apenas cartão de 4MB.")</f>
        <v>Apenas 1 Megapixel, não muito boa qualidade ao ar livre. Sem USB. Apenas cartão de 4MB.</v>
      </c>
      <c r="B24971" s="3">
        <v>0</v>
      </c>
    </row>
    <row r="24972" ht="15.75" customHeight="1" spans="1:2">
      <c r="A24972" s="3" t="str">
        <f>IFERROR(__xludf.DUMMYFUNCTION("GOOGLETRANSLATE(A24972,""en"",""pt"")"),"conexão serial, muito tempo entre os disparos, 2x de zoom, desperdício de energia da bateria, terrível SW pacote")</f>
        <v>conexão serial, muito tempo entre os disparos, 2x de zoom, desperdício de energia da bateria, terrível SW pacote</v>
      </c>
      <c r="B24972" s="3">
        <v>0</v>
      </c>
    </row>
    <row r="24973" ht="15.75" customHeight="1" spans="1:2">
      <c r="A24973" s="3" t="str">
        <f>IFERROR(__xludf.DUMMYFUNCTION("GOOGLETRANSLATE(A24973,""en"",""pt"")"),"tampa da lente pode ser apertado; não salvar no formato TIF; porta titular do cartão plástico.")</f>
        <v>tampa da lente pode ser apertado; não salvar no formato TIF; porta titular do cartão plástico.</v>
      </c>
      <c r="B24973" s="3">
        <v>0</v>
      </c>
    </row>
    <row r="24974" ht="15.75" customHeight="1" spans="1:2">
      <c r="A24974" s="3" t="str">
        <f>IFERROR(__xludf.DUMMYFUNCTION("GOOGLETRANSLATE(A24974,""en"",""pt"")"),"vários segundos entre os disparos, única zoom de 2x, cartão de memória flash botão de ejeção estranho")</f>
        <v>vários segundos entre os disparos, única zoom de 2x, cartão de memória flash botão de ejeção estranho</v>
      </c>
      <c r="B24974" s="3">
        <v>0</v>
      </c>
    </row>
    <row r="24975" ht="15.75" customHeight="1" spans="1:2">
      <c r="A24975" s="3" t="str">
        <f>IFERROR(__xludf.DUMMYFUNCTION("GOOGLETRANSLATE(A24975,""en"",""pt"")"),"Um pouco pesado, conexão serial lento")</f>
        <v>Um pouco pesado, conexão serial lento</v>
      </c>
      <c r="B24975" s="3">
        <v>0</v>
      </c>
    </row>
    <row r="24976" ht="15.75" customHeight="1" spans="1:2">
      <c r="A24976" s="3" t="str">
        <f>IFERROR(__xludf.DUMMYFUNCTION("GOOGLETRANSLATE(A24976,""en"",""pt"")"),"Um pouco de fotografias Registrando lentas")</f>
        <v>Um pouco de fotografias Registrando lentas</v>
      </c>
      <c r="B24976" s="3">
        <v>0</v>
      </c>
    </row>
    <row r="24977" ht="15.75" customHeight="1" spans="1:2">
      <c r="A24977" s="3" t="str">
        <f>IFERROR(__xludf.DUMMYFUNCTION("GOOGLETRANSLATE(A24977,""en"",""pt"")"),"Ocasionais ""manchas brancas"", longo tempo de recuperação.")</f>
        <v>Ocasionais "manchas brancas", longo tempo de recuperação.</v>
      </c>
      <c r="B24977" s="3">
        <v>0</v>
      </c>
    </row>
    <row r="24978" ht="15.75" customHeight="1" spans="1:2">
      <c r="A24978" s="3" t="str">
        <f>IFERROR(__xludf.DUMMYFUNCTION("GOOGLETRANSLATE(A24978,""en"",""pt"")"),"Pesado em baterias")</f>
        <v>Pesado em baterias</v>
      </c>
      <c r="B24978" s="3">
        <v>0</v>
      </c>
    </row>
    <row r="24979" ht="15.75" customHeight="1" spans="1:2">
      <c r="A24979" s="3" t="str">
        <f>IFERROR(__xludf.DUMMYFUNCTION("GOOGLETRANSLATE(A24979,""en"",""pt"")"),"Ela passa por baterias rápido, especialmente com o display LCD em.")</f>
        <v>Ela passa por baterias rápido, especialmente com o display LCD em.</v>
      </c>
      <c r="B24979" s="3">
        <v>0</v>
      </c>
    </row>
    <row r="24980" ht="15.75" customHeight="1" spans="1:2">
      <c r="A24980" s="3" t="str">
        <f>IFERROR(__xludf.DUMMYFUNCTION("GOOGLETRANSLATE(A24980,""en"",""pt"")"),"Utiliza até baterias rapidamente se você não tem o adaptador.")</f>
        <v>Utiliza até baterias rapidamente se você não tem o adaptador.</v>
      </c>
      <c r="B24980" s="3">
        <v>0</v>
      </c>
    </row>
    <row r="24981" ht="15.75" customHeight="1" spans="1:2">
      <c r="A24981" s="3" t="str">
        <f>IFERROR(__xludf.DUMMYFUNCTION("GOOGLETRANSLATE(A24981,""en"",""pt"")"),"resolução limitada, caro para uma câmera Megapixel, devorador de bateria")</f>
        <v>resolução limitada, caro para uma câmera Megapixel, devorador de bateria</v>
      </c>
      <c r="B24981" s="3">
        <v>0</v>
      </c>
    </row>
    <row r="24982" ht="15.75" customHeight="1" spans="1:2">
      <c r="A24982" s="3" t="str">
        <f>IFERROR(__xludf.DUMMYFUNCTION("GOOGLETRANSLATE(A24982,""en"",""pt"")"),"Cabo Serial")</f>
        <v>Cabo Serial</v>
      </c>
      <c r="B24982" s="3">
        <v>0</v>
      </c>
    </row>
    <row r="24983" ht="15.75" customHeight="1" spans="1:2">
      <c r="A24983" s="3" t="str">
        <f>IFERROR(__xludf.DUMMYFUNCTION("GOOGLETRANSLATE(A24983,""en"",""pt"")"),"Vem com um cartão de memória pequeno, precisa de mais memória")</f>
        <v>Vem com um cartão de memória pequeno, precisa de mais memória</v>
      </c>
      <c r="B24983" s="3">
        <v>0</v>
      </c>
    </row>
    <row r="24984" ht="15.75" customHeight="1" spans="1:2">
      <c r="A24984" s="3" t="str">
        <f>IFERROR(__xludf.DUMMYFUNCTION("GOOGLETRANSLATE(A24984,""en"",""pt"")"),"A qualidade da imagem depois de 10 pés vai cair. balanço de branco não é muito bom.")</f>
        <v>A qualidade da imagem depois de 10 pés vai cair. balanço de branco não é muito bom.</v>
      </c>
      <c r="B24984" s="3">
        <v>0</v>
      </c>
    </row>
    <row r="24985" ht="15.75" customHeight="1" spans="1:2">
      <c r="A24985" s="3" t="str">
        <f>IFERROR(__xludf.DUMMYFUNCTION("GOOGLETRANSLATE(A24985,""en"",""pt"")"),"Come-se a vida da bateria facilmente.")</f>
        <v>Come-se a vida da bateria facilmente.</v>
      </c>
      <c r="B24985" s="3">
        <v>0</v>
      </c>
    </row>
    <row r="24986" ht="15.75" customHeight="1" spans="1:2">
      <c r="A24986" s="3" t="str">
        <f>IFERROR(__xludf.DUMMYFUNCTION("GOOGLETRANSLATE(A24986,""en"",""pt"")"),"A vida da bateria! Visor lineup!")</f>
        <v>A vida da bateria! Visor lineup!</v>
      </c>
      <c r="B24986" s="3">
        <v>0</v>
      </c>
    </row>
    <row r="24987" ht="15.75" customHeight="1" spans="1:2">
      <c r="A24987" s="3" t="str">
        <f>IFERROR(__xludf.DUMMYFUNCTION("GOOGLETRANSLATE(A24987,""en"",""pt"")"),"A vida da bateria e zoom")</f>
        <v>A vida da bateria e zoom</v>
      </c>
      <c r="B24987" s="3">
        <v>0</v>
      </c>
    </row>
    <row r="24988" ht="15.75" customHeight="1" spans="1:2">
      <c r="A24988" s="3" t="str">
        <f>IFERROR(__xludf.DUMMYFUNCTION("GOOGLETRANSLATE(A24988,""en"",""pt"")"),"tampa da lente fracote, nenhum caso câmera")</f>
        <v>tampa da lente fracote, nenhum caso câmera</v>
      </c>
      <c r="B24988" s="3">
        <v>0</v>
      </c>
    </row>
    <row r="24989" ht="15.75" customHeight="1" spans="1:2">
      <c r="A24989" s="3" t="str">
        <f>IFERROR(__xludf.DUMMYFUNCTION("GOOGLETRANSLATE(A24989,""en"",""pt"")"),"Temo as pequenas tampas de borracha tomada / cabo pode arrancar em um par de anos.")</f>
        <v>Temo as pequenas tampas de borracha tomada / cabo pode arrancar em um par de anos.</v>
      </c>
      <c r="B24989" s="3">
        <v>0</v>
      </c>
    </row>
    <row r="24990" ht="15.75" customHeight="1" spans="1:2">
      <c r="A24990" s="3" t="str">
        <f>IFERROR(__xludf.DUMMYFUNCTION("GOOGLETRANSLATE(A24990,""en"",""pt"")"),"ainda caro")</f>
        <v>ainda caro</v>
      </c>
      <c r="B24990" s="3">
        <v>0</v>
      </c>
    </row>
    <row r="24991" ht="15.75" customHeight="1" spans="1:2">
      <c r="A24991" s="3" t="str">
        <f>IFERROR(__xludf.DUMMYFUNCTION("GOOGLETRANSLATE(A24991,""en"",""pt"")"),"problemas de iluminação")</f>
        <v>problemas de iluminação</v>
      </c>
      <c r="B24991" s="3">
        <v>0</v>
      </c>
    </row>
    <row r="24992" ht="15.75" customHeight="1" spans="1:2">
      <c r="A24992" s="3" t="str">
        <f>IFERROR(__xludf.DUMMYFUNCTION("GOOGLETRANSLATE(A24992,""en"",""pt"")"),"Pesado, drena as baterias rapidamente, precisa mem.cards adicionais")</f>
        <v>Pesado, drena as baterias rapidamente, precisa mem.cards adicionais</v>
      </c>
      <c r="B24992" s="3">
        <v>0</v>
      </c>
    </row>
    <row r="24993" ht="15.75" customHeight="1" spans="1:2">
      <c r="A24993" s="3" t="str">
        <f>IFERROR(__xludf.DUMMYFUNCTION("GOOGLETRANSLATE(A24993,""en"",""pt"")"),"Pesa muito por causa do 4 pilhas AA")</f>
        <v>Pesa muito por causa do 4 pilhas AA</v>
      </c>
      <c r="B24993" s="3">
        <v>0</v>
      </c>
    </row>
    <row r="24994" ht="15.75" customHeight="1" spans="1:2">
      <c r="A24994" s="3" t="str">
        <f>IFERROR(__xludf.DUMMYFUNCTION("GOOGLETRANSLATE(A24994,""en"",""pt"")"),", Curva de aprendizado moderada sensível à luz antes de você chegar em suas melhores fotos")</f>
        <v>, Curva de aprendizado moderada sensível à luz antes de você chegar em suas melhores fotos</v>
      </c>
      <c r="B24994" s="3">
        <v>0</v>
      </c>
    </row>
    <row r="24995" ht="15.75" customHeight="1" spans="1:2">
      <c r="A24995" s="3" t="str">
        <f>IFERROR(__xludf.DUMMYFUNCTION("GOOGLETRANSLATE(A24995,""en"",""pt"")"),"vida de bateria fraca")</f>
        <v>vida de bateria fraca</v>
      </c>
      <c r="B24995" s="3">
        <v>0</v>
      </c>
    </row>
    <row r="24996" ht="15.75" customHeight="1" spans="1:2">
      <c r="A24996" s="3" t="str">
        <f>IFERROR(__xludf.DUMMYFUNCTION("GOOGLETRANSLATE(A24996,""en"",""pt"")"),"Nenhum")</f>
        <v>Nenhum</v>
      </c>
      <c r="B24996" s="3">
        <v>0</v>
      </c>
    </row>
    <row r="24997" ht="15.75" customHeight="1" spans="1:2">
      <c r="A24997" s="3" t="str">
        <f>IFERROR(__xludf.DUMMYFUNCTION("GOOGLETRANSLATE(A24997,""en"",""pt"")"),"Digital não é filme.")</f>
        <v>Digital não é filme.</v>
      </c>
      <c r="B24997" s="3">
        <v>0</v>
      </c>
    </row>
    <row r="24998" ht="15.75" customHeight="1" spans="1:2">
      <c r="A24998" s="3" t="str">
        <f>IFERROR(__xludf.DUMMYFUNCTION("GOOGLETRANSLATE(A24998,""en"",""pt"")"),"Você não pode sequer tomar todas as imagens que deseja, porque as baterias estão apenas sugado.")</f>
        <v>Você não pode sequer tomar todas as imagens que deseja, porque as baterias estão apenas sugado.</v>
      </c>
      <c r="B24998" s="3">
        <v>0</v>
      </c>
    </row>
    <row r="24999" ht="15.75" customHeight="1" spans="1:2">
      <c r="A24999" s="3" t="str">
        <f>IFERROR(__xludf.DUMMYFUNCTION("GOOGLETRANSLATE(A24999,""en"",""pt"")"),"software chato")</f>
        <v>software chato</v>
      </c>
      <c r="B24999" s="3">
        <v>0</v>
      </c>
    </row>
    <row r="25000" ht="15.75" customHeight="1" spans="1:2">
      <c r="A25000" s="3" t="str">
        <f>IFERROR(__xludf.DUMMYFUNCTION("GOOGLETRANSLATE(A25000,""en"",""pt"")"),"não é bom para ao ar livre ou à noite fotos")</f>
        <v>não é bom para ao ar livre ou à noite fotos</v>
      </c>
      <c r="B25000" s="3">
        <v>0</v>
      </c>
    </row>
    <row r="25001" ht="15.75" customHeight="1" spans="1:2">
      <c r="A25001" s="3" t="str">
        <f>IFERROR(__xludf.DUMMYFUNCTION("GOOGLETRANSLATE(A25001,""en"",""pt"")"),"CCD lento, não carrega pilhas na câmera")</f>
        <v>CCD lento, não carrega pilhas na câmera</v>
      </c>
      <c r="B25001" s="3">
        <v>0</v>
      </c>
    </row>
    <row r="25002" ht="15.75" customHeight="1" spans="1:2">
      <c r="A25002" s="3" t="str">
        <f>IFERROR(__xludf.DUMMYFUNCTION("GOOGLETRANSLATE(A25002,""en"",""pt"")"),"Guardar e eliminar é muito lento, demora no tiro fosse tomada após você apertar o botão")</f>
        <v>Guardar e eliminar é muito lento, demora no tiro fosse tomada após você apertar o botão</v>
      </c>
      <c r="B25002" s="3">
        <v>0</v>
      </c>
    </row>
    <row r="25003" ht="15.75" customHeight="1" spans="1:2">
      <c r="A25003" s="3" t="str">
        <f>IFERROR(__xludf.DUMMYFUNCTION("GOOGLETRANSLATE(A25003,""en"",""pt"")"),"nenhum ainda")</f>
        <v>nenhum ainda</v>
      </c>
      <c r="B25003" s="3">
        <v>0</v>
      </c>
    </row>
    <row r="25004" ht="15.75" customHeight="1" spans="1:2">
      <c r="A25004" s="3" t="str">
        <f>IFERROR(__xludf.DUMMYFUNCTION("GOOGLETRANSLATE(A25004,""en"",""pt"")"),"Preço provavelmente vai descer")</f>
        <v>Preço provavelmente vai descer</v>
      </c>
      <c r="B25004" s="3">
        <v>0</v>
      </c>
    </row>
    <row r="25005" ht="15.75" customHeight="1" spans="1:2">
      <c r="A25005" s="3" t="str">
        <f>IFERROR(__xludf.DUMMYFUNCTION("GOOGLETRANSLATE(A25005,""en"",""pt"")"),"visualizador de tela da câmera está em um lugar estranho e muitas vezes acumula traços de nariz pressionando contra ele. Uma outra coisa que às vezes é verdadeira close-ups estão manchadas procurando, mas que poderia ser minha fotografia pobres.")</f>
        <v>visualizador de tela da câmera está em um lugar estranho e muitas vezes acumula traços de nariz pressionando contra ele. Uma outra coisa que às vezes é verdadeira close-ups estão manchadas procurando, mas que poderia ser minha fotografia pobres.</v>
      </c>
      <c r="B25005" s="3">
        <v>0</v>
      </c>
    </row>
    <row r="25006" ht="15.75" customHeight="1" spans="1:2">
      <c r="A25006" s="3" t="str">
        <f>IFERROR(__xludf.DUMMYFUNCTION("GOOGLETRANSLATE(A25006,""en"",""pt"")"),"Preço (todas as câmeras digitais!), Memória de 16MB teria sido muito melhor")</f>
        <v>Preço (todas as câmeras digitais!), Memória de 16MB teria sido muito melhor</v>
      </c>
      <c r="B25006" s="3">
        <v>0</v>
      </c>
    </row>
    <row r="25007" ht="15.75" customHeight="1" spans="1:2">
      <c r="A25007" s="3" t="str">
        <f>IFERROR(__xludf.DUMMYFUNCTION("GOOGLETRANSLATE(A25007,""en"",""pt"")"),"um pesado bit")</f>
        <v>um pesado bit</v>
      </c>
      <c r="B25007" s="3">
        <v>0</v>
      </c>
    </row>
    <row r="25008" ht="15.75" customHeight="1" spans="1:2">
      <c r="A25008" s="3" t="str">
        <f>IFERROR(__xludf.DUMMYFUNCTION("GOOGLETRANSLATE(A25008,""en"",""pt"")"),"come baterias regulares como doces")</f>
        <v>come baterias regulares como doces</v>
      </c>
      <c r="B25008" s="3">
        <v>0</v>
      </c>
    </row>
    <row r="25009" ht="15.75" customHeight="1" spans="1:2">
      <c r="A25009" s="3" t="str">
        <f>IFERROR(__xludf.DUMMYFUNCTION("GOOGLETRANSLATE(A25009,""en"",""pt"")"),"Nenhum")</f>
        <v>Nenhum</v>
      </c>
      <c r="B25009" s="3">
        <v>0</v>
      </c>
    </row>
    <row r="25010" ht="15.75" customHeight="1" spans="1:2">
      <c r="A25010" s="3" t="str">
        <f>IFERROR(__xludf.DUMMYFUNCTION("GOOGLETRANSLATE(A25010,""en"",""pt"")"),"Custo, desempenho e qualidade")</f>
        <v>Custo, desempenho e qualidade</v>
      </c>
      <c r="B25010" s="3">
        <v>0</v>
      </c>
    </row>
    <row r="25011" ht="15.75" customHeight="1" spans="1:2">
      <c r="A25011" s="3" t="str">
        <f>IFERROR(__xludf.DUMMYFUNCTION("GOOGLETRANSLATE(A25011,""en"",""pt"")"),"transferência para PC lento")</f>
        <v>transferência para PC lento</v>
      </c>
      <c r="B25011" s="3">
        <v>0</v>
      </c>
    </row>
    <row r="25012" ht="15.75" customHeight="1" spans="1:2">
      <c r="A25012" s="3" t="str">
        <f>IFERROR(__xludf.DUMMYFUNCTION("GOOGLETRANSLATE(A25012,""en"",""pt"")"),"US $ 500, passa por baterias rápido.")</f>
        <v>US $ 500, passa por baterias rápido.</v>
      </c>
      <c r="B25012" s="3">
        <v>0</v>
      </c>
    </row>
    <row r="25013" ht="15.75" customHeight="1" spans="1:2">
      <c r="A25013" s="3" t="str">
        <f>IFERROR(__xludf.DUMMYFUNCTION("GOOGLETRANSLATE(A25013,""en"",""pt"")"),"vida útil da bateria é curta, não tão bom de resolução que as câmeras de preços mais elevados")</f>
        <v>vida útil da bateria é curta, não tão bom de resolução que as câmeras de preços mais elevados</v>
      </c>
      <c r="B25013" s="3">
        <v>0</v>
      </c>
    </row>
    <row r="25014" ht="15.75" customHeight="1" spans="1:2">
      <c r="A25014" s="3" t="str">
        <f>IFERROR(__xludf.DUMMYFUNCTION("GOOGLETRANSLATE(A25014,""en"",""pt"")"),"noseprints inevitáveis ​​no espectador, limitações megapixel")</f>
        <v>noseprints inevitáveis ​​no espectador, limitações megapixel</v>
      </c>
      <c r="B25014" s="3">
        <v>0</v>
      </c>
    </row>
    <row r="25015" ht="15.75" customHeight="1" spans="1:2">
      <c r="A25015" s="3" t="str">
        <f>IFERROR(__xludf.DUMMYFUNCTION("GOOGLETRANSLATE(A25015,""en"",""pt"")"),"Nenhum")</f>
        <v>Nenhum</v>
      </c>
      <c r="B25015" s="3">
        <v>0</v>
      </c>
    </row>
    <row r="25016" ht="15.75" customHeight="1" spans="1:2">
      <c r="A25016" s="3" t="str">
        <f>IFERROR(__xludf.DUMMYFUNCTION("GOOGLETRANSLATE(A25016,""en"",""pt"")"),"A vida da bateria")</f>
        <v>A vida da bateria</v>
      </c>
      <c r="B25016" s="3">
        <v>0</v>
      </c>
    </row>
    <row r="25017" ht="15.75" customHeight="1" spans="1:2">
      <c r="A25017" s="3" t="str">
        <f>IFERROR(__xludf.DUMMYFUNCTION("GOOGLETRANSLATE(A25017,""en"",""pt"")"),"Lens projeto do tampão, pacote de software")</f>
        <v>Lens projeto do tampão, pacote de software</v>
      </c>
      <c r="B25017" s="3">
        <v>0</v>
      </c>
    </row>
    <row r="25018" ht="15.75" customHeight="1" spans="1:2">
      <c r="A25018" s="3" t="str">
        <f>IFERROR(__xludf.DUMMYFUNCTION("GOOGLETRANSLATE(A25018,""en"",""pt"")"),"lcd visor mostra dedo e impressões nariz")</f>
        <v>lcd visor mostra dedo e impressões nariz</v>
      </c>
      <c r="B25018" s="3">
        <v>0</v>
      </c>
    </row>
    <row r="25019" ht="15.75" customHeight="1" spans="1:2">
      <c r="A25019" s="3" t="str">
        <f>IFERROR(__xludf.DUMMYFUNCTION("GOOGLETRANSLATE(A25019,""en"",""pt"")"),"flash dentro, por vezes, não é grande, come-se baterias rápidas")</f>
        <v>flash dentro, por vezes, não é grande, come-se baterias rápidas</v>
      </c>
      <c r="B25019" s="3">
        <v>0</v>
      </c>
    </row>
    <row r="25020" ht="15.75" customHeight="1" spans="1:2">
      <c r="A25020" s="3" t="str">
        <f>IFERROR(__xludf.DUMMYFUNCTION("GOOGLETRANSLATE(A25020,""en"",""pt"")"),"O custo pode ser alto (manter-se atento para os bons)")</f>
        <v>O custo pode ser alto (manter-se atento para os bons)</v>
      </c>
      <c r="B25020" s="3">
        <v>0</v>
      </c>
    </row>
    <row r="25021" ht="15.75" customHeight="1" spans="1:2">
      <c r="A25021" s="3" t="str">
        <f>IFERROR(__xludf.DUMMYFUNCTION("GOOGLETRANSLATE(A25021,""en"",""pt"")"),"Lens Cap Capa cai")</f>
        <v>Lens Cap Capa cai</v>
      </c>
      <c r="B25021" s="3">
        <v>0</v>
      </c>
    </row>
    <row r="25022" ht="15.75" customHeight="1" spans="1:2">
      <c r="A25022" s="3" t="str">
        <f>IFERROR(__xludf.DUMMYFUNCTION("GOOGLETRANSLATE(A25022,""en"",""pt"")"),"para baixo carregamento pode ser lento com interface paralela")</f>
        <v>para baixo carregamento pode ser lento com interface paralela</v>
      </c>
      <c r="B25022" s="3">
        <v>0</v>
      </c>
    </row>
    <row r="25023" ht="15.75" customHeight="1" spans="1:2">
      <c r="A25023" s="3" t="str">
        <f>IFERROR(__xludf.DUMMYFUNCTION("GOOGLETRANSLATE(A25023,""en"",""pt"")"),"tela de LCD")</f>
        <v>tela de LCD</v>
      </c>
      <c r="B25023" s="3">
        <v>0</v>
      </c>
    </row>
    <row r="25024" ht="15.75" customHeight="1" spans="1:2">
      <c r="A25024" s="3" t="str">
        <f>IFERROR(__xludf.DUMMYFUNCTION("GOOGLETRANSLATE(A25024,""en"",""pt"")"),"software empacotado carece de interface de usuário intuitiva")</f>
        <v>software empacotado carece de interface de usuário intuitiva</v>
      </c>
      <c r="B25024" s="3">
        <v>0</v>
      </c>
    </row>
    <row r="25025" ht="15.75" customHeight="1" spans="1:2">
      <c r="A25025" s="3" t="str">
        <f>IFERROR(__xludf.DUMMYFUNCTION("GOOGLETRANSLATE(A25025,""en"",""pt"")"),"tampa da lente cai facilmente. grande coisa, certo? :-)")</f>
        <v>tampa da lente cai facilmente. grande coisa, certo? :-)</v>
      </c>
      <c r="B25025" s="3">
        <v>0</v>
      </c>
    </row>
    <row r="25026" ht="15.75" customHeight="1" spans="1:2">
      <c r="A25026" s="3" t="str">
        <f>IFERROR(__xludf.DUMMYFUNCTION("GOOGLETRANSLATE(A25026,""en"",""pt"")"),"Caro para 1,3 megapixels e 8 MB cartão, transferência de série lenta")</f>
        <v>Caro para 1,3 megapixels e 8 MB cartão, transferência de série lenta</v>
      </c>
      <c r="B25026" s="3">
        <v>0</v>
      </c>
    </row>
    <row r="25027" ht="15.75" customHeight="1" spans="1:2">
      <c r="A25027" s="3" t="str">
        <f>IFERROR(__xludf.DUMMYFUNCTION("GOOGLETRANSLATE(A25027,""en"",""pt"")"),"Come baterias.")</f>
        <v>Come baterias.</v>
      </c>
      <c r="B25027" s="3">
        <v>0</v>
      </c>
    </row>
    <row r="25028" ht="15.75" customHeight="1" spans="1:2">
      <c r="A25028" s="3" t="str">
        <f>IFERROR(__xludf.DUMMYFUNCTION("GOOGLETRANSLATE(A25028,""en"",""pt"")"),"nenhum saco da câmera incluído")</f>
        <v>nenhum saco da câmera incluído</v>
      </c>
      <c r="B25028" s="3">
        <v>0</v>
      </c>
    </row>
    <row r="25029" ht="15.75" customHeight="1" spans="1:2">
      <c r="A25029" s="3" t="str">
        <f>IFERROR(__xludf.DUMMYFUNCTION("GOOGLETRANSLATE(A25029,""en"",""pt"")"),"Sem alimentação AC incluído (?)")</f>
        <v>Sem alimentação AC incluído (?)</v>
      </c>
      <c r="B25029" s="3">
        <v>0</v>
      </c>
    </row>
    <row r="25030" ht="15.75" customHeight="1" spans="1:2">
      <c r="A25030" s="3" t="str">
        <f>IFERROR(__xludf.DUMMYFUNCTION("GOOGLETRANSLATE(A25030,""en"",""pt"")"),"Nenhum")</f>
        <v>Nenhum</v>
      </c>
      <c r="B25030" s="3">
        <v>0</v>
      </c>
    </row>
    <row r="25031" ht="15.75" customHeight="1" spans="1:2">
      <c r="A25031" s="3" t="str">
        <f>IFERROR(__xludf.DUMMYFUNCTION("GOOGLETRANSLATE(A25031,""en"",""pt"")"),"pixelation em fotos")</f>
        <v>pixelation em fotos</v>
      </c>
      <c r="B25031" s="3">
        <v>0</v>
      </c>
    </row>
    <row r="25032" ht="15.75" customHeight="1" spans="1:2">
      <c r="A25032" s="3" t="str">
        <f>IFERROR(__xludf.DUMMYFUNCTION("GOOGLETRANSLATE(A25032,""en"",""pt"")"),"Também não existe qualquer")</f>
        <v>Também não existe qualquer</v>
      </c>
      <c r="B25032" s="3">
        <v>0</v>
      </c>
    </row>
    <row r="25033" ht="15.75" customHeight="1" spans="1:2">
      <c r="A25033" s="3" t="str">
        <f>IFERROR(__xludf.DUMMYFUNCTION("GOOGLETRANSLATE(A25033,""en"",""pt"")"),"vida útil da bateria")</f>
        <v>vida útil da bateria</v>
      </c>
      <c r="B25033" s="3">
        <v>0</v>
      </c>
    </row>
    <row r="25034" ht="15.75" customHeight="1" spans="1:2">
      <c r="A25034" s="3" t="str">
        <f>IFERROR(__xludf.DUMMYFUNCTION("GOOGLETRANSLATE(A25034,""en"",""pt"")"),"posição LCD, deve vir com um caso!")</f>
        <v>posição LCD, deve vir com um caso!</v>
      </c>
      <c r="B25034" s="3">
        <v>0</v>
      </c>
    </row>
    <row r="25035" ht="15.75" customHeight="1" spans="1:2">
      <c r="A25035" s="3" t="str">
        <f>IFERROR(__xludf.DUMMYFUNCTION("GOOGLETRANSLATE(A25035,""en"",""pt"")"),"atraso entre estalar de botão e tomada de imagem real; curta duração da bateria")</f>
        <v>atraso entre estalar de botão e tomada de imagem real; curta duração da bateria</v>
      </c>
      <c r="B25035" s="3">
        <v>0</v>
      </c>
    </row>
    <row r="25036" ht="15.75" customHeight="1" spans="1:2">
      <c r="A25036" s="3" t="str">
        <f>IFERROR(__xludf.DUMMYFUNCTION("GOOGLETRANSLATE(A25036,""en"",""pt"")"),"Baterias exhuasted fácil ao baixar, algumas fotos ao ar livre tomando não é grande")</f>
        <v>Baterias exhuasted fácil ao baixar, algumas fotos ao ar livre tomando não é grande</v>
      </c>
      <c r="B25036" s="3">
        <v>0</v>
      </c>
    </row>
    <row r="25037" ht="15.75" customHeight="1" spans="1:2">
      <c r="A25037" s="3" t="str">
        <f>IFERROR(__xludf.DUMMYFUNCTION("GOOGLETRANSLATE(A25037,""en"",""pt"")"),"Nenhum")</f>
        <v>Nenhum</v>
      </c>
      <c r="B25037" s="3">
        <v>0</v>
      </c>
    </row>
    <row r="25038" ht="15.75" customHeight="1" spans="1:2">
      <c r="A25038" s="3" t="str">
        <f>IFERROR(__xludf.DUMMYFUNCTION("GOOGLETRANSLATE(A25038,""en"",""pt"")"),"Só leva baterias de alta tensão, zoom maior seria legal.")</f>
        <v>Só leva baterias de alta tensão, zoom maior seria legal.</v>
      </c>
      <c r="B25038" s="3">
        <v>0</v>
      </c>
    </row>
    <row r="25039" ht="15.75" customHeight="1" spans="1:2">
      <c r="A25039" s="3" t="str">
        <f>IFERROR(__xludf.DUMMYFUNCTION("GOOGLETRANSLATE(A25039,""en"",""pt"")"),"Lento")</f>
        <v>Lento</v>
      </c>
      <c r="B25039" s="3">
        <v>0</v>
      </c>
    </row>
    <row r="25040" ht="15.75" customHeight="1" spans="1:2">
      <c r="A25040" s="3" t="str">
        <f>IFERROR(__xludf.DUMMYFUNCTION("GOOGLETRANSLATE(A25040,""en"",""pt"")"),"nada de substancial")</f>
        <v>nada de substancial</v>
      </c>
      <c r="B25040" s="3">
        <v>0</v>
      </c>
    </row>
    <row r="25041" ht="15.75" customHeight="1" spans="1:2">
      <c r="A25041" s="3" t="str">
        <f>IFERROR(__xludf.DUMMYFUNCTION("GOOGLETRANSLATE(A25041,""en"",""pt"")"),"Sem zoom")</f>
        <v>Sem zoom</v>
      </c>
      <c r="B25041" s="3">
        <v>0</v>
      </c>
    </row>
    <row r="25042" ht="15.75" customHeight="1" spans="1:2">
      <c r="A25042" s="3" t="str">
        <f>IFERROR(__xludf.DUMMYFUNCTION("GOOGLETRANSLATE(A25042,""en"",""pt"")"),"uso Bad bateria")</f>
        <v>uso Bad bateria</v>
      </c>
      <c r="B25042" s="3">
        <v>0</v>
      </c>
    </row>
    <row r="25043" ht="15.75" customHeight="1" spans="1:2">
      <c r="A25043" s="3" t="str">
        <f>IFERROR(__xludf.DUMMYFUNCTION("GOOGLETRANSLATE(A25043,""en"",""pt"")"),"Nenhum!")</f>
        <v>Nenhum!</v>
      </c>
      <c r="B25043" s="3">
        <v>0</v>
      </c>
    </row>
    <row r="25044" ht="15.75" customHeight="1" spans="1:2">
      <c r="A25044" s="3" t="str">
        <f>IFERROR(__xludf.DUMMYFUNCTION("GOOGLETRANSLATE(A25044,""en"",""pt"")"),"Nariz sucessos LCD quando se olha através de telêmetro, vida da bateria é um pouco curto")</f>
        <v>Nariz sucessos LCD quando se olha através de telêmetro, vida da bateria é um pouco curto</v>
      </c>
      <c r="B25044" s="3">
        <v>0</v>
      </c>
    </row>
    <row r="25045" ht="15.75" customHeight="1" spans="1:2">
      <c r="A25045" s="3" t="str">
        <f>IFERROR(__xludf.DUMMYFUNCTION("GOOGLETRANSLATE(A25045,""en"",""pt"")"),"é uma câmera digital")</f>
        <v>é uma câmera digital</v>
      </c>
      <c r="B25045" s="3">
        <v>0</v>
      </c>
    </row>
    <row r="25046" ht="15.75" customHeight="1" spans="1:2">
      <c r="A25046" s="3" t="str">
        <f>IFERROR(__xludf.DUMMYFUNCTION("GOOGLETRANSLATE(A25046,""en"",""pt"")"),"problema de hardware Uncanny. não pode se concentrar bem na luz escura ou close-up.")</f>
        <v>problema de hardware Uncanny. não pode se concentrar bem na luz escura ou close-up.</v>
      </c>
      <c r="B25046" s="3">
        <v>0</v>
      </c>
    </row>
    <row r="25047" ht="15.75" customHeight="1" spans="1:2">
      <c r="A25047" s="3" t="str">
        <f>IFERROR(__xludf.DUMMYFUNCTION("GOOGLETRANSLATE(A25047,""en"",""pt"")"),"A vida da bateria poderia ser melhor.")</f>
        <v>A vida da bateria poderia ser melhor.</v>
      </c>
      <c r="B25047" s="3">
        <v>0</v>
      </c>
    </row>
    <row r="25048" ht="15.75" customHeight="1" spans="1:2">
      <c r="A25048" s="3" t="str">
        <f>IFERROR(__xludf.DUMMYFUNCTION("GOOGLETRANSLATE(A25048,""en"",""pt"")"),"não captura de movimento ou fotos da vida selvagem também.")</f>
        <v>não captura de movimento ou fotos da vida selvagem também.</v>
      </c>
      <c r="B25048" s="3">
        <v>0</v>
      </c>
    </row>
    <row r="25049" ht="15.75" customHeight="1" spans="1:2">
      <c r="A25049" s="3" t="str">
        <f>IFERROR(__xludf.DUMMYFUNCTION("GOOGLETRANSLATE(A25049,""en"",""pt"")"),"fede tampa da lente. tiros ao ar livre são inconsistentes.")</f>
        <v>fede tampa da lente. tiros ao ar livre são inconsistentes.</v>
      </c>
      <c r="B25049" s="3">
        <v>0</v>
      </c>
    </row>
    <row r="25050" ht="15.75" customHeight="1" spans="1:2">
      <c r="A25050" s="3" t="str">
        <f>IFERROR(__xludf.DUMMYFUNCTION("GOOGLETRANSLATE(A25050,""en"",""pt"")"),"Tal como acontece com todas as câmeras, a vida da bateria é justo. Zoom não é realmente poderoso.")</f>
        <v>Tal como acontece com todas as câmeras, a vida da bateria é justo. Zoom não é realmente poderoso.</v>
      </c>
      <c r="B25050" s="3">
        <v>0</v>
      </c>
    </row>
    <row r="25051" ht="15.75" customHeight="1" spans="1:2">
      <c r="A25051" s="3" t="str">
        <f>IFERROR(__xludf.DUMMYFUNCTION("GOOGLETRANSLATE(A25051,""en"",""pt"")"),"Problemas para obter algumas fotos, compartimento da bateria parece frágil")</f>
        <v>Problemas para obter algumas fotos, compartimento da bateria parece frágil</v>
      </c>
      <c r="B25051" s="3">
        <v>0</v>
      </c>
    </row>
    <row r="25052" ht="15.75" customHeight="1" spans="1:2">
      <c r="A25052" s="3" t="str">
        <f>IFERROR(__xludf.DUMMYFUNCTION("GOOGLETRANSLATE(A25052,""en"",""pt"")"),"imprimir limites de 8x10 ou menor")</f>
        <v>imprimir limites de 8x10 ou menor</v>
      </c>
      <c r="B25052" s="3">
        <v>0</v>
      </c>
    </row>
    <row r="25053" ht="15.75" customHeight="1" spans="1:2">
      <c r="A25053" s="3" t="str">
        <f>IFERROR(__xludf.DUMMYFUNCTION("GOOGLETRANSLATE(A25053,""en"",""pt"")"),"Volumoso")</f>
        <v>Volumoso</v>
      </c>
      <c r="B25053" s="3">
        <v>0</v>
      </c>
    </row>
    <row r="25054" ht="15.75" customHeight="1" spans="1:2">
      <c r="A25054" s="3" t="str">
        <f>IFERROR(__xludf.DUMMYFUNCTION("GOOGLETRANSLATE(A25054,""en"",""pt"")"),"a vida da bateria pobres")</f>
        <v>a vida da bateria pobres</v>
      </c>
      <c r="B25054" s="3">
        <v>0</v>
      </c>
    </row>
    <row r="25055" ht="15.75" customHeight="1" spans="1:2">
      <c r="A25055" s="3" t="str">
        <f>IFERROR(__xludf.DUMMYFUNCTION("GOOGLETRANSLATE(A25055,""en"",""pt"")"),"mudanças de bateria eram necessárias, mas pilhas AA são fáceis de encontrar quase, se não em todos os lugares. Apenas três mudanças de bateria para 250 fotos, a maioria tiradas com flash ..")</f>
        <v>mudanças de bateria eram necessárias, mas pilhas AA são fáceis de encontrar quase, se não em todos os lugares. Apenas três mudanças de bateria para 250 fotos, a maioria tiradas com flash ..</v>
      </c>
      <c r="B25055" s="3">
        <v>0</v>
      </c>
    </row>
    <row r="25056" ht="15.75" customHeight="1" spans="1:2">
      <c r="A25056" s="3" t="str">
        <f>IFERROR(__xludf.DUMMYFUNCTION("GOOGLETRANSLATE(A25056,""en"",""pt"")"),"muito caro, não para um iniciante")</f>
        <v>muito caro, não para um iniciante</v>
      </c>
      <c r="B25056" s="3">
        <v>0</v>
      </c>
    </row>
    <row r="25057" ht="15.75" customHeight="1" spans="1:2">
      <c r="A25057" s="3" t="str">
        <f>IFERROR(__xludf.DUMMYFUNCTION("GOOGLETRANSLATE(A25057,""en"",""pt"")"),"vida útil da bateria horrível, lenta, resolução Medíocre")</f>
        <v>vida útil da bateria horrível, lenta, resolução Medíocre</v>
      </c>
      <c r="B25057" s="3">
        <v>0</v>
      </c>
    </row>
    <row r="25058" ht="15.75" customHeight="1" spans="1:2">
      <c r="A25058" s="3" t="str">
        <f>IFERROR(__xludf.DUMMYFUNCTION("GOOGLETRANSLATE(A25058,""en"",""pt"")"),"porco de energia; caro, com a memória extremamente limitada")</f>
        <v>porco de energia; caro, com a memória extremamente limitada</v>
      </c>
      <c r="B25058" s="3">
        <v>0</v>
      </c>
    </row>
    <row r="25059" ht="15.75" customHeight="1" spans="1:2">
      <c r="A25059" s="3" t="str">
        <f>IFERROR(__xludf.DUMMYFUNCTION("GOOGLETRANSLATE(A25059,""en"",""pt"")"),"sem problemas")</f>
        <v>sem problemas</v>
      </c>
      <c r="B25059" s="3">
        <v>0</v>
      </c>
    </row>
    <row r="25060" ht="15.75" customHeight="1" spans="1:2">
      <c r="A25060" s="3" t="str">
        <f>IFERROR(__xludf.DUMMYFUNCTION("GOOGLETRANSLATE(A25060,""en"",""pt"")"),"Alguns ergonomia / questões de design")</f>
        <v>Alguns ergonomia / questões de design</v>
      </c>
      <c r="B25060" s="3">
        <v>0</v>
      </c>
    </row>
    <row r="25061" ht="15.75" customHeight="1" spans="1:2">
      <c r="A25061" s="3" t="str">
        <f>IFERROR(__xludf.DUMMYFUNCTION("GOOGLETRANSLATE(A25061,""en"",""pt"")"),"O consumo de bateria !!!! Muito tempo de salvar as imagens para o cartão.")</f>
        <v>O consumo de bateria !!!! Muito tempo de salvar as imagens para o cartão.</v>
      </c>
      <c r="B25061" s="3">
        <v>0</v>
      </c>
    </row>
    <row r="25062" ht="15.75" customHeight="1" spans="1:2">
      <c r="A25062" s="3" t="str">
        <f>IFERROR(__xludf.DUMMYFUNCTION("GOOGLETRANSLATE(A25062,""en"",""pt"")"),"Baterias levar cerca de 8 horas para carregar.")</f>
        <v>Baterias levar cerca de 8 horas para carregar.</v>
      </c>
      <c r="B25062" s="3">
        <v>0</v>
      </c>
    </row>
    <row r="25063" ht="15.75" customHeight="1" spans="1:2">
      <c r="A25063" s="3" t="str">
        <f>IFERROR(__xludf.DUMMYFUNCTION("GOOGLETRANSLATE(A25063,""en"",""pt"")"),"Um pouco grande")</f>
        <v>Um pouco grande</v>
      </c>
      <c r="B25063" s="3">
        <v>0</v>
      </c>
    </row>
    <row r="25064" ht="15.75" customHeight="1" spans="1:2">
      <c r="A25064" s="3" t="str">
        <f>IFERROR(__xludf.DUMMYFUNCTION("GOOGLETRANSLATE(A25064,""en"",""pt"")"),"Difícil de ver a tela no sol brilhante")</f>
        <v>Difícil de ver a tela no sol brilhante</v>
      </c>
      <c r="B25064" s="3">
        <v>0</v>
      </c>
    </row>
    <row r="25065" ht="15.75" customHeight="1" spans="1:2">
      <c r="A25065" s="3" t="str">
        <f>IFERROR(__xludf.DUMMYFUNCTION("GOOGLETRANSLATE(A25065,""en"",""pt"")"),"ajuste de flash")</f>
        <v>ajuste de flash</v>
      </c>
      <c r="B25065" s="3">
        <v>0</v>
      </c>
    </row>
    <row r="25066" ht="15.75" customHeight="1" spans="1:2">
      <c r="A25066" s="3" t="str">
        <f>IFERROR(__xludf.DUMMYFUNCTION("GOOGLETRANSLATE(A25066,""en"",""pt"")"),"zoom digital, o custo de memória")</f>
        <v>zoom digital, o custo de memória</v>
      </c>
      <c r="B25066" s="3">
        <v>0</v>
      </c>
    </row>
    <row r="25067" ht="15.75" customHeight="1" spans="1:2">
      <c r="A25067" s="3" t="str">
        <f>IFERROR(__xludf.DUMMYFUNCTION("GOOGLETRANSLATE(A25067,""en"",""pt"")"),"Alto Preço, Download de software um pouco estranho")</f>
        <v>Alto Preço, Download de software um pouco estranho</v>
      </c>
      <c r="B25067" s="3">
        <v>0</v>
      </c>
    </row>
    <row r="25068" ht="15.75" customHeight="1" spans="1:2">
      <c r="A25068" s="3" t="str">
        <f>IFERROR(__xludf.DUMMYFUNCTION("GOOGLETRANSLATE(A25068,""en"",""pt"")"),"volumosos, algumas características estranhas")</f>
        <v>volumosos, algumas características estranhas</v>
      </c>
      <c r="B25068" s="3">
        <v>0</v>
      </c>
    </row>
    <row r="25069" ht="15.75" customHeight="1" spans="1:2">
      <c r="A25069" s="3" t="str">
        <f>IFERROR(__xludf.DUMMYFUNCTION("GOOGLETRANSLATE(A25069,""en"",""pt"")"),"Tempo de atraso")</f>
        <v>Tempo de atraso</v>
      </c>
      <c r="B25069" s="3">
        <v>0</v>
      </c>
    </row>
    <row r="25070" ht="15.75" customHeight="1" spans="1:2">
      <c r="A25070" s="3" t="str">
        <f>IFERROR(__xludf.DUMMYFUNCTION("GOOGLETRANSLATE(A25070,""en"",""pt"")"),"pode ser complicado para aprender a usar")</f>
        <v>pode ser complicado para aprender a usar</v>
      </c>
      <c r="B25070" s="3">
        <v>0</v>
      </c>
    </row>
    <row r="25071" ht="15.75" customHeight="1" spans="1:2">
      <c r="A25071" s="3" t="str">
        <f>IFERROR(__xludf.DUMMYFUNCTION("GOOGLETRANSLATE(A25071,""en"",""pt"")"),"Mid-faixa de preço")</f>
        <v>Mid-faixa de preço</v>
      </c>
      <c r="B25071" s="3">
        <v>0</v>
      </c>
    </row>
    <row r="25072" ht="15.75" customHeight="1" spans="1:2">
      <c r="A25072" s="3" t="str">
        <f>IFERROR(__xludf.DUMMYFUNCTION("GOOGLETRANSLATE(A25072,""en"",""pt"")"),"tamanho grande, alta dreno em baterias")</f>
        <v>tamanho grande, alta dreno em baterias</v>
      </c>
      <c r="B25072" s="3">
        <v>0</v>
      </c>
    </row>
    <row r="25073" ht="15.75" customHeight="1" spans="1:2">
      <c r="A25073" s="3" t="str">
        <f>IFERROR(__xludf.DUMMYFUNCTION("GOOGLETRANSLATE(A25073,""en"",""pt"")"),"câmera é complexo, a resolução não é adequada para realmente grandes tiros scenary !!")</f>
        <v>câmera é complexo, a resolução não é adequada para realmente grandes tiros scenary !!</v>
      </c>
      <c r="B25073" s="3">
        <v>0</v>
      </c>
    </row>
    <row r="25074" ht="15.75" customHeight="1" spans="1:2">
      <c r="A25074" s="3" t="str">
        <f>IFERROR(__xludf.DUMMYFUNCTION("GOOGLETRANSLATE(A25074,""en"",""pt"")"),"lavaram-se as imagens fixas (facilmente em Photoshop), imagens retardadas")</f>
        <v>lavaram-se as imagens fixas (facilmente em Photoshop), imagens retardadas</v>
      </c>
      <c r="B25074" s="3">
        <v>0</v>
      </c>
    </row>
    <row r="25075" ht="15.75" customHeight="1" spans="1:2">
      <c r="A25075" s="3" t="str">
        <f>IFERROR(__xludf.DUMMYFUNCTION("GOOGLETRANSLATE(A25075,""en"",""pt"")"),"uso feroz de baterias")</f>
        <v>uso feroz de baterias</v>
      </c>
      <c r="B25075" s="3">
        <v>0</v>
      </c>
    </row>
    <row r="25076" ht="15.75" customHeight="1" spans="1:2">
      <c r="A25076" s="3" t="str">
        <f>IFERROR(__xludf.DUMMYFUNCTION("GOOGLETRANSLATE(A25076,""en"",""pt"")"),"volumoso")</f>
        <v>volumoso</v>
      </c>
      <c r="B25076" s="3">
        <v>0</v>
      </c>
    </row>
    <row r="25077" ht="15.75" customHeight="1" spans="1:2">
      <c r="A25077" s="3" t="str">
        <f>IFERROR(__xludf.DUMMYFUNCTION("GOOGLETRANSLATE(A25077,""en"",""pt"")"),"não tão ergonómica como poderia ser")</f>
        <v>não tão ergonómica como poderia ser</v>
      </c>
      <c r="B25077" s="3">
        <v>0</v>
      </c>
    </row>
    <row r="25078" ht="15.75" customHeight="1" spans="1:2">
      <c r="A25078" s="3" t="str">
        <f>IFERROR(__xludf.DUMMYFUNCTION("GOOGLETRANSLATE(A25078,""en"",""pt"")"),"Utiliza baterias em um bom ritmo, baterias recarregáveis ​​de uso")</f>
        <v>Utiliza baterias em um bom ritmo, baterias recarregáveis ​​de uso</v>
      </c>
      <c r="B25078" s="3">
        <v>0</v>
      </c>
    </row>
    <row r="25079" ht="15.75" customHeight="1" spans="1:2">
      <c r="A25079" s="3" t="str">
        <f>IFERROR(__xludf.DUMMYFUNCTION("GOOGLETRANSLATE(A25079,""en"",""pt"")"),"Preço, atraso entre tirar fotos, o consumo da bateria")</f>
        <v>Preço, atraso entre tirar fotos, o consumo da bateria</v>
      </c>
      <c r="B25079" s="3">
        <v>0</v>
      </c>
    </row>
    <row r="25080" ht="15.75" customHeight="1" spans="1:2">
      <c r="A25080" s="3" t="str">
        <f>IFERROR(__xludf.DUMMYFUNCTION("GOOGLETRANSLATE(A25080,""en"",""pt"")"),"adaptador da lente, a falta de caso")</f>
        <v>adaptador da lente, a falta de caso</v>
      </c>
      <c r="B25080" s="3">
        <v>0</v>
      </c>
    </row>
    <row r="25081" ht="15.75" customHeight="1" spans="1:2">
      <c r="A25081" s="3" t="str">
        <f>IFERROR(__xludf.DUMMYFUNCTION("GOOGLETRANSLATE(A25081,""en"",""pt"")"),"não mastigar baterias")</f>
        <v>não mastigar baterias</v>
      </c>
      <c r="B25081" s="3">
        <v>0</v>
      </c>
    </row>
    <row r="25082" ht="15.75" customHeight="1" spans="1:2">
      <c r="A25082" s="3" t="str">
        <f>IFERROR(__xludf.DUMMYFUNCTION("GOOGLETRANSLATE(A25082,""en"",""pt"")"),"curta duração da bateria, mas pode ser mitigado por desligar a tela LCD")</f>
        <v>curta duração da bateria, mas pode ser mitigado por desligar a tela LCD</v>
      </c>
      <c r="B25082" s="3">
        <v>0</v>
      </c>
    </row>
    <row r="25083" ht="15.75" customHeight="1" spans="1:2">
      <c r="A25083" s="3" t="str">
        <f>IFERROR(__xludf.DUMMYFUNCTION("GOOGLETRANSLATE(A25083,""en"",""pt"")"),"A vida da bateria, o atraso do obturador")</f>
        <v>A vida da bateria, o atraso do obturador</v>
      </c>
      <c r="B25083" s="3">
        <v>0</v>
      </c>
    </row>
    <row r="25084" ht="15.75" customHeight="1" spans="1:2">
      <c r="A25084" s="3" t="str">
        <f>IFERROR(__xludf.DUMMYFUNCTION("GOOGLETRANSLATE(A25084,""en"",""pt"")"),"View finder está fora do centro, não veio com o adaptador AC")</f>
        <v>View finder está fora do centro, não veio com o adaptador AC</v>
      </c>
      <c r="B25084" s="3">
        <v>0</v>
      </c>
    </row>
    <row r="25085" ht="15.75" customHeight="1" spans="1:2">
      <c r="A25085" s="3" t="str">
        <f>IFERROR(__xludf.DUMMYFUNCTION("GOOGLETRANSLATE(A25085,""en"",""pt"")"),"bateria Wimpy, precisa de armazenamento maior")</f>
        <v>bateria Wimpy, precisa de armazenamento maior</v>
      </c>
      <c r="B25085" s="3">
        <v>0</v>
      </c>
    </row>
    <row r="25086" ht="15.75" customHeight="1" spans="1:2">
      <c r="A25086" s="3" t="str">
        <f>IFERROR(__xludf.DUMMYFUNCTION("GOOGLETRANSLATE(A25086,""en"",""pt"")"),"Agora só vem com cartão de 8MB. As baterias não duram (menos de 15 fotos)")</f>
        <v>Agora só vem com cartão de 8MB. As baterias não duram (menos de 15 fotos)</v>
      </c>
      <c r="B25086" s="3">
        <v>0</v>
      </c>
    </row>
    <row r="25087" ht="15.75" customHeight="1" spans="1:2">
      <c r="A25087" s="3" t="str">
        <f>IFERROR(__xludf.DUMMYFUNCTION("GOOGLETRANSLATE(A25087,""en"",""pt"")"),"alcalino bateria alimentada meios menos fotos antes que seja fora do poder")</f>
        <v>alcalino bateria alimentada meios menos fotos antes que seja fora do poder</v>
      </c>
      <c r="B25087" s="3">
        <v>0</v>
      </c>
    </row>
    <row r="25088" ht="15.75" customHeight="1" spans="1:2">
      <c r="A25088" s="3" t="str">
        <f>IFERROR(__xludf.DUMMYFUNCTION("GOOGLETRANSLATE(A25088,""en"",""pt"")"),"visor LCD manchas facilmente de seu nariz, sem um adaptador AC")</f>
        <v>visor LCD manchas facilmente de seu nariz, sem um adaptador AC</v>
      </c>
      <c r="B25088" s="3">
        <v>0</v>
      </c>
    </row>
    <row r="25089" ht="15.75" customHeight="1" spans="1:2">
      <c r="A25089" s="3" t="str">
        <f>IFERROR(__xludf.DUMMYFUNCTION("GOOGLETRANSLATE(A25089,""en"",""pt"")"),"Peso")</f>
        <v>Peso</v>
      </c>
      <c r="B25089" s="3">
        <v>0</v>
      </c>
    </row>
    <row r="25090" ht="15.75" customHeight="1" spans="1:2">
      <c r="A25090" s="3" t="str">
        <f>IFERROR(__xludf.DUMMYFUNCTION("GOOGLETRANSLATE(A25090,""en"",""pt"")"),"fraca bateria")</f>
        <v>fraca bateria</v>
      </c>
      <c r="B25090" s="3">
        <v>0</v>
      </c>
    </row>
    <row r="25091" ht="15.75" customHeight="1" spans="1:2">
      <c r="A25091" s="3" t="str">
        <f>IFERROR(__xludf.DUMMYFUNCTION("GOOGLETRANSLATE(A25091,""en"",""pt"")"),"Pobre apresentação de relatórios pela câmera bateria.")</f>
        <v>Pobre apresentação de relatórios pela câmera bateria.</v>
      </c>
      <c r="B25091" s="3">
        <v>0</v>
      </c>
    </row>
    <row r="25092" ht="15.75" customHeight="1" spans="1:2">
      <c r="A25092" s="3" t="str">
        <f>IFERROR(__xludf.DUMMYFUNCTION("GOOGLETRANSLATE(A25092,""en"",""pt"")"),"nada grave")</f>
        <v>nada grave</v>
      </c>
      <c r="B25092" s="3">
        <v>0</v>
      </c>
    </row>
    <row r="25093" ht="15.75" customHeight="1" spans="1:2">
      <c r="A25093" s="3" t="str">
        <f>IFERROR(__xludf.DUMMYFUNCTION("GOOGLETRANSLATE(A25093,""en"",""pt"")"),"Poder")</f>
        <v>Poder</v>
      </c>
      <c r="B25093" s="3">
        <v>0</v>
      </c>
    </row>
    <row r="25094" ht="15.75" customHeight="1" spans="1:2">
      <c r="A25094" s="3" t="str">
        <f>IFERROR(__xludf.DUMMYFUNCTION("GOOGLETRANSLATE(A25094,""en"",""pt"")"),"Não pode colocá-lo no bolso da calça")</f>
        <v>Não pode colocá-lo no bolso da calça</v>
      </c>
      <c r="B25094" s="3">
        <v>0</v>
      </c>
    </row>
    <row r="25095" ht="15.75" customHeight="1" spans="1:2">
      <c r="A25095" s="3" t="str">
        <f>IFERROR(__xludf.DUMMYFUNCTION("GOOGLETRANSLATE(A25095,""en"",""pt"")"),"adaptador AC não incluído, baixa zoom óptico, cenas de ação fracos")</f>
        <v>adaptador AC não incluído, baixa zoom óptico, cenas de ação fracos</v>
      </c>
      <c r="B25095" s="3">
        <v>0</v>
      </c>
    </row>
    <row r="25096" ht="15.75" customHeight="1" spans="1:2">
      <c r="A25096" s="3" t="str">
        <f>IFERROR(__xludf.DUMMYFUNCTION("GOOGLETRANSLATE(A25096,""en"",""pt"")"),"sem disquetes, exibição ao vivo LCD seria bom")</f>
        <v>sem disquetes, exibição ao vivo LCD seria bom</v>
      </c>
      <c r="B25096" s="3">
        <v>0</v>
      </c>
    </row>
    <row r="25097" ht="15.75" customHeight="1" spans="1:2">
      <c r="A25097" s="3" t="str">
        <f>IFERROR(__xludf.DUMMYFUNCTION("GOOGLETRANSLATE(A25097,""en"",""pt"")"),"drena as baterias")</f>
        <v>drena as baterias</v>
      </c>
      <c r="B25097" s="3">
        <v>0</v>
      </c>
    </row>
    <row r="25098" ht="15.75" customHeight="1" spans="1:2">
      <c r="A25098" s="3" t="str">
        <f>IFERROR(__xludf.DUMMYFUNCTION("GOOGLETRANSLATE(A25098,""en"",""pt"")"),"baterias se esgotam rapidamente")</f>
        <v>baterias se esgotam rapidamente</v>
      </c>
      <c r="B25098" s="3">
        <v>0</v>
      </c>
    </row>
    <row r="25099" ht="15.75" customHeight="1" spans="1:2">
      <c r="A25099" s="3" t="str">
        <f>IFERROR(__xludf.DUMMYFUNCTION("GOOGLETRANSLATE(A25099,""en"",""pt"")"),"zoom lento, nenhum adaptador AC incluído, tampa da lente frágil")</f>
        <v>zoom lento, nenhum adaptador AC incluído, tampa da lente frágil</v>
      </c>
      <c r="B25099" s="3">
        <v>0</v>
      </c>
    </row>
    <row r="25100" ht="15.75" customHeight="1" spans="1:2">
      <c r="A25100" s="3" t="str">
        <f>IFERROR(__xludf.DUMMYFUNCTION("GOOGLETRANSLATE(A25100,""en"",""pt"")"),"&amp; Lt; b &amp; gt; Algumas dificuldades utilizando visor &amp; lt; / b &amp; gt;")</f>
        <v>&amp; Lt; b &amp; gt; Algumas dificuldades utilizando visor &amp; lt; / b &amp; gt;</v>
      </c>
      <c r="B25100" s="3">
        <v>0</v>
      </c>
    </row>
    <row r="25101" ht="15.75" customHeight="1" spans="1:2">
      <c r="A25101" s="3" t="str">
        <f>IFERROR(__xludf.DUMMYFUNCTION("GOOGLETRANSLATE(A25101,""en"",""pt"")"),"Sensibilidade à luz, Zoom Limitações,")</f>
        <v>Sensibilidade à luz, Zoom Limitações,</v>
      </c>
      <c r="B25101" s="3">
        <v>0</v>
      </c>
    </row>
    <row r="25102" ht="15.75" customHeight="1" spans="1:2">
      <c r="A25102" s="3" t="str">
        <f>IFERROR(__xludf.DUMMYFUNCTION("GOOGLETRANSLATE(A25102,""en"",""pt"")"),"fraco incapacidade zoom para adicionar outros zooms e filtros")</f>
        <v>fraco incapacidade zoom para adicionar outros zooms e filtros</v>
      </c>
      <c r="B25102" s="3">
        <v>0</v>
      </c>
    </row>
    <row r="25103" ht="15.75" customHeight="1" spans="1:2">
      <c r="A25103" s="3" t="str">
        <f>IFERROR(__xludf.DUMMYFUNCTION("GOOGLETRANSLATE(A25103,""en"",""pt"")"),"Muito poucos - detalhes em revisão.")</f>
        <v>Muito poucos - detalhes em revisão.</v>
      </c>
      <c r="B25103" s="3">
        <v>0</v>
      </c>
    </row>
    <row r="25104" ht="15.75" customHeight="1" spans="1:2">
      <c r="A25104" s="3" t="str">
        <f>IFERROR(__xludf.DUMMYFUNCTION("GOOGLETRANSLATE(A25104,""en"",""pt"")"),"Nenhuma encaixe flash externo")</f>
        <v>Nenhuma encaixe flash externo</v>
      </c>
      <c r="B25104" s="3">
        <v>0</v>
      </c>
    </row>
    <row r="25105" ht="15.75" customHeight="1" spans="1:2">
      <c r="A25105" s="3" t="str">
        <f>IFERROR(__xludf.DUMMYFUNCTION("GOOGLETRANSLATE(A25105,""en"",""pt"")"),"preço")</f>
        <v>preço</v>
      </c>
      <c r="B25105" s="3">
        <v>0</v>
      </c>
    </row>
    <row r="25106" ht="15.75" customHeight="1" spans="1:2">
      <c r="A25106" s="3" t="str">
        <f>IFERROR(__xludf.DUMMYFUNCTION("GOOGLETRANSLATE(A25106,""en"",""pt"")"),"É apenas um pouco demasiado grande e pesado para ser perfeito.")</f>
        <v>É apenas um pouco demasiado grande e pesado para ser perfeito.</v>
      </c>
      <c r="B25106" s="3">
        <v>0</v>
      </c>
    </row>
    <row r="25107" ht="15.75" customHeight="1" spans="1:2">
      <c r="A25107" s="3" t="str">
        <f>IFERROR(__xludf.DUMMYFUNCTION("GOOGLETRANSLATE(A25107,""en"",""pt"")"),"Não vem com cartão de memória, mesmo decente, caso, etc.")</f>
        <v>Não vem com cartão de memória, mesmo decente, caso, etc.</v>
      </c>
      <c r="B25107" s="3">
        <v>0</v>
      </c>
    </row>
    <row r="25108" ht="15.75" customHeight="1" spans="1:2">
      <c r="A25108" s="3" t="str">
        <f>IFERROR(__xludf.DUMMYFUNCTION("GOOGLETRANSLATE(A25108,""en"",""pt"")"),"A vida da bateria é fraca. (Recomendo comprar recarregável) cartão de memória pequeno")</f>
        <v>A vida da bateria é fraca. (Recomendo comprar recarregável) cartão de memória pequeno</v>
      </c>
      <c r="B25108" s="3">
        <v>0</v>
      </c>
    </row>
    <row r="25109" ht="15.75" customHeight="1" spans="1:2">
      <c r="A25109" s="3" t="str">
        <f>IFERROR(__xludf.DUMMYFUNCTION("GOOGLETRANSLATE(A25109,""en"",""pt"")"),"dois bipes que soam iguais (veja o comentário de texto)")</f>
        <v>dois bipes que soam iguais (veja o comentário de texto)</v>
      </c>
      <c r="B25109" s="3">
        <v>0</v>
      </c>
    </row>
    <row r="25110" ht="15.75" customHeight="1" spans="1:2">
      <c r="A25110" s="3" t="str">
        <f>IFERROR(__xludf.DUMMYFUNCTION("GOOGLETRANSLATE(A25110,""en"",""pt"")"),"Um pouco pesado em relação a outros em sua classe, zoom digital é inútil (perda de qualidade), pobres fotos da noite")</f>
        <v>Um pouco pesado em relação a outros em sua classe, zoom digital é inútil (perda de qualidade), pobres fotos da noite</v>
      </c>
      <c r="B25110" s="3">
        <v>0</v>
      </c>
    </row>
    <row r="25111" ht="15.75" customHeight="1" spans="1:2">
      <c r="A25111" s="3" t="str">
        <f>IFERROR(__xludf.DUMMYFUNCTION("GOOGLETRANSLATE(A25111,""en"",""pt"")"),"preço")</f>
        <v>preço</v>
      </c>
      <c r="B25111" s="3">
        <v>0</v>
      </c>
    </row>
    <row r="25112" ht="15.75" customHeight="1" spans="1:2">
      <c r="A25112" s="3" t="str">
        <f>IFERROR(__xludf.DUMMYFUNCTION("GOOGLETRANSLATE(A25112,""en"",""pt"")"),"close-ups são ruins, desgaste das pilhas")</f>
        <v>close-ups são ruins, desgaste das pilhas</v>
      </c>
      <c r="B25112" s="3">
        <v>0</v>
      </c>
    </row>
    <row r="25113" ht="15.75" customHeight="1" spans="1:2">
      <c r="A25113" s="3" t="str">
        <f>IFERROR(__xludf.DUMMYFUNCTION("GOOGLETRANSLATE(A25113,""en"",""pt"")"),"vida útil da bateria, adaptador AC opcional, até qualidade pic perto")</f>
        <v>vida útil da bateria, adaptador AC opcional, até qualidade pic perto</v>
      </c>
      <c r="B25113" s="3">
        <v>0</v>
      </c>
    </row>
    <row r="25114" ht="15.75" customHeight="1" spans="1:2">
      <c r="A25114" s="3" t="str">
        <f>IFERROR(__xludf.DUMMYFUNCTION("GOOGLETRANSLATE(A25114,""en"",""pt"")"),"não jogar jogos como seus irmãos mais velhos")</f>
        <v>não jogar jogos como seus irmãos mais velhos</v>
      </c>
      <c r="B25114" s="3">
        <v>0</v>
      </c>
    </row>
    <row r="25115" ht="15.75" customHeight="1" spans="1:2">
      <c r="A25115" s="3" t="str">
        <f>IFERROR(__xludf.DUMMYFUNCTION("GOOGLETRANSLATE(A25115,""en"",""pt"")"),"manchas de LCD")</f>
        <v>manchas de LCD</v>
      </c>
      <c r="B25115" s="3">
        <v>0</v>
      </c>
    </row>
    <row r="25116" ht="15.75" customHeight="1" spans="1:2">
      <c r="A25116" s="3" t="str">
        <f>IFERROR(__xludf.DUMMYFUNCTION("GOOGLETRANSLATE(A25116,""en"",""pt"")"),"Não consigo pensar em nenhum!")</f>
        <v>Não consigo pensar em nenhum!</v>
      </c>
      <c r="B25116" s="3">
        <v>0</v>
      </c>
    </row>
    <row r="25117" ht="15.75" customHeight="1" spans="1:2">
      <c r="A25117" s="3" t="str">
        <f>IFERROR(__xludf.DUMMYFUNCTION("GOOGLETRANSLATE(A25117,""en"",""pt"")"),"desempenho sem brilho, nenhum adaptador AC")</f>
        <v>desempenho sem brilho, nenhum adaptador AC</v>
      </c>
      <c r="B25117" s="3">
        <v>0</v>
      </c>
    </row>
    <row r="25118" ht="15.75" customHeight="1" spans="1:2">
      <c r="A25118" s="3" t="str">
        <f>IFERROR(__xludf.DUMMYFUNCTION("GOOGLETRANSLATE(A25118,""en"",""pt"")"),"Difícil em baterias")</f>
        <v>Difícil em baterias</v>
      </c>
      <c r="B25118" s="3">
        <v>0</v>
      </c>
    </row>
    <row r="25119" ht="15.75" customHeight="1" spans="1:2">
      <c r="A25119" s="3" t="str">
        <f>IFERROR(__xludf.DUMMYFUNCTION("GOOGLETRANSLATE(A25119,""en"",""pt"")"),"capacidade de close-up")</f>
        <v>capacidade de close-up</v>
      </c>
      <c r="B25119" s="3">
        <v>0</v>
      </c>
    </row>
    <row r="25120" ht="15.75" customHeight="1" spans="1:2">
      <c r="A25120" s="3" t="str">
        <f>IFERROR(__xludf.DUMMYFUNCTION("GOOGLETRANSLATE(A25120,""en"",""pt"")"),"Tempo que consomem para aprender o software")</f>
        <v>Tempo que consomem para aprender o software</v>
      </c>
      <c r="B25120" s="3">
        <v>0</v>
      </c>
    </row>
    <row r="25121" ht="15.75" customHeight="1" spans="1:2">
      <c r="A25121" s="3" t="str">
        <f>IFERROR(__xludf.DUMMYFUNCTION("GOOGLETRANSLATE(A25121,""en"",""pt"")"),"curta duração da bateria")</f>
        <v>curta duração da bateria</v>
      </c>
      <c r="B25121" s="3">
        <v>0</v>
      </c>
    </row>
    <row r="25122" ht="15.75" customHeight="1" spans="1:2">
      <c r="A25122" s="3" t="str">
        <f>IFERROR(__xludf.DUMMYFUNCTION("GOOGLETRANSLATE(A25122,""en"",""pt"")"),"pode comer baterias, eu nunca obter uma volta")</f>
        <v>pode comer baterias, eu nunca obter uma volta</v>
      </c>
      <c r="B25122" s="3">
        <v>0</v>
      </c>
    </row>
    <row r="25123" ht="15.75" customHeight="1" spans="1:2">
      <c r="A25123" s="3" t="str">
        <f>IFERROR(__xludf.DUMMYFUNCTION("GOOGLETRANSLATE(A25123,""en"",""pt"")"),"sem uma boa qualidade impressora a cores e papel fotográfico, você está preso fotos de visualização no computador")</f>
        <v>sem uma boa qualidade impressora a cores e papel fotográfico, você está preso fotos de visualização no computador</v>
      </c>
      <c r="B25123" s="3">
        <v>0</v>
      </c>
    </row>
    <row r="25124" ht="15.75" customHeight="1" spans="1:2">
      <c r="A25124" s="3" t="str">
        <f>IFERROR(__xludf.DUMMYFUNCTION("GOOGLETRANSLATE(A25124,""en"",""pt"")"),"hogger bateria, mas tem baterias recarregáveis ​​incluídas")</f>
        <v>hogger bateria, mas tem baterias recarregáveis ​​incluídas</v>
      </c>
      <c r="B25124" s="3">
        <v>0</v>
      </c>
    </row>
    <row r="25125" ht="15.75" customHeight="1" spans="1:2">
      <c r="A25125" s="3" t="str">
        <f>IFERROR(__xludf.DUMMYFUNCTION("GOOGLETRANSLATE(A25125,""en"",""pt"")"),"preço")</f>
        <v>preço</v>
      </c>
      <c r="B25125" s="3">
        <v>0</v>
      </c>
    </row>
    <row r="25126" ht="15.75" customHeight="1" spans="1:2">
      <c r="A25126" s="3" t="str">
        <f>IFERROR(__xludf.DUMMYFUNCTION("GOOGLETRANSLATE(A25126,""en"",""pt"")"),"apetite voraz por baterias")</f>
        <v>apetite voraz por baterias</v>
      </c>
      <c r="B25126" s="3">
        <v>0</v>
      </c>
    </row>
    <row r="25127" ht="15.75" customHeight="1" spans="1:2">
      <c r="A25127" s="3" t="str">
        <f>IFERROR(__xludf.DUMMYFUNCTION("GOOGLETRANSLATE(A25127,""en"",""pt"")"),"Fraco zoom; Falta de modo macro, controle Não há muito o manual")</f>
        <v>Fraco zoom; Falta de modo macro, controle Não há muito o manual</v>
      </c>
      <c r="B25127" s="3">
        <v>0</v>
      </c>
    </row>
    <row r="25128" ht="15.75" customHeight="1" spans="1:2">
      <c r="A25128" s="3" t="str">
        <f>IFERROR(__xludf.DUMMYFUNCTION("GOOGLETRANSLATE(A25128,""en"",""pt"")"),"capacidade de pouca luz")</f>
        <v>capacidade de pouca luz</v>
      </c>
      <c r="B25128" s="3">
        <v>0</v>
      </c>
    </row>
    <row r="25129" ht="15.75" customHeight="1" spans="1:2">
      <c r="A25129" s="3" t="str">
        <f>IFERROR(__xludf.DUMMYFUNCTION("GOOGLETRANSLATE(A25129,""en"",""pt"")"),"Necessidade de comprar um opcional fio 39 $")</f>
        <v>Necessidade de comprar um opcional fio 39 $</v>
      </c>
      <c r="B25129" s="3">
        <v>0</v>
      </c>
    </row>
    <row r="25130" ht="15.75" customHeight="1" spans="1:2">
      <c r="A25130" s="3" t="str">
        <f>IFERROR(__xludf.DUMMYFUNCTION("GOOGLETRANSLATE(A25130,""en"",""pt"")"),"era")</f>
        <v>era</v>
      </c>
      <c r="B25130" s="3">
        <v>0</v>
      </c>
    </row>
    <row r="25131" ht="15.75" customHeight="1" spans="1:2">
      <c r="A25131" s="3" t="str">
        <f>IFERROR(__xludf.DUMMYFUNCTION("GOOGLETRANSLATE(A25131,""en"",""pt"")"),"caro")</f>
        <v>caro</v>
      </c>
      <c r="B25131" s="3">
        <v>0</v>
      </c>
    </row>
    <row r="25132" ht="15.75" customHeight="1" spans="1:2">
      <c r="A25132" s="3" t="str">
        <f>IFERROR(__xludf.DUMMYFUNCTION("GOOGLETRANSLATE(A25132,""en"",""pt"")"),"Zoom, LCD, saturação de cor")</f>
        <v>Zoom, LCD, saturação de cor</v>
      </c>
      <c r="B25132" s="3">
        <v>0</v>
      </c>
    </row>
    <row r="25133" ht="15.75" customHeight="1" spans="1:2">
      <c r="A25133" s="3" t="str">
        <f>IFERROR(__xludf.DUMMYFUNCTION("GOOGLETRANSLATE(A25133,""en"",""pt"")"),"nenhum que eu posso pensar")</f>
        <v>nenhum que eu posso pensar</v>
      </c>
      <c r="B25133" s="3">
        <v>0</v>
      </c>
    </row>
    <row r="25134" ht="15.75" customHeight="1" spans="1:2">
      <c r="A25134" s="3" t="str">
        <f>IFERROR(__xludf.DUMMYFUNCTION("GOOGLETRANSLATE(A25134,""en"",""pt"")"),"porco da bateria, a colocação do painel de visualização LCD")</f>
        <v>porco da bateria, a colocação do painel de visualização LCD</v>
      </c>
      <c r="B25134" s="3">
        <v>0</v>
      </c>
    </row>
    <row r="25135" ht="15.75" customHeight="1" spans="1:2">
      <c r="A25135" s="3" t="str">
        <f>IFERROR(__xludf.DUMMYFUNCTION("GOOGLETRANSLATE(A25135,""en"",""pt"")"),"Moderar a vida da bateria, precisa de um caso melhor")</f>
        <v>Moderar a vida da bateria, precisa de um caso melhor</v>
      </c>
      <c r="B25135" s="3">
        <v>0</v>
      </c>
    </row>
    <row r="25136" ht="15.75" customHeight="1" spans="1:2">
      <c r="A25136" s="3" t="str">
        <f>IFERROR(__xludf.DUMMYFUNCTION("GOOGLETRANSLATE(A25136,""en"",""pt"")"),"Preço, quase demasiado 'user friendly'")</f>
        <v>Preço, quase demasiado 'user friendly'</v>
      </c>
      <c r="B25136" s="3">
        <v>0</v>
      </c>
    </row>
    <row r="25137" ht="15.75" customHeight="1" spans="1:2">
      <c r="A25137" s="3" t="str">
        <f>IFERROR(__xludf.DUMMYFUNCTION("GOOGLETRANSLATE(A25137,""en"",""pt"")"),"alto custo, especialmente se você comprar uma impressora de qualidade fotográfica e software extra, etc para ir com ele ...")</f>
        <v>alto custo, especialmente se você comprar uma impressora de qualidade fotográfica e software extra, etc para ir com ele ...</v>
      </c>
      <c r="B25137" s="3">
        <v>0</v>
      </c>
    </row>
    <row r="25138" ht="15.75" customHeight="1" spans="1:2">
      <c r="A25138" s="3" t="str">
        <f>IFERROR(__xludf.DUMMYFUNCTION("GOOGLETRANSLATE(A25138,""en"",""pt"")"),"amores baterias, você precisa de baterias recarregáveis, no entanto, a atualização de firmware ajuda muito!")</f>
        <v>amores baterias, você precisa de baterias recarregáveis, no entanto, a atualização de firmware ajuda muito!</v>
      </c>
      <c r="B25138" s="3">
        <v>0</v>
      </c>
    </row>
    <row r="25139" ht="15.75" customHeight="1" spans="1:2">
      <c r="A25139" s="3" t="str">
        <f>IFERROR(__xludf.DUMMYFUNCTION("GOOGLETRANSLATE(A25139,""en"",""pt"")"),"Nenhum que eu posso pensar")</f>
        <v>Nenhum que eu posso pensar</v>
      </c>
      <c r="B25139" s="3">
        <v>0</v>
      </c>
    </row>
    <row r="25140" ht="15.75" customHeight="1" spans="1:2">
      <c r="A25140" s="3" t="str">
        <f>IFERROR(__xludf.DUMMYFUNCTION("GOOGLETRANSLATE(A25140,""en"",""pt"")"),"nada")</f>
        <v>nada</v>
      </c>
      <c r="B25140" s="3">
        <v>0</v>
      </c>
    </row>
    <row r="25141" ht="15.75" customHeight="1" spans="1:2">
      <c r="A25141" s="3" t="str">
        <f>IFERROR(__xludf.DUMMYFUNCTION("GOOGLETRANSLATE(A25141,""en"",""pt"")"),"Nem um pouco de bolso. tampa da lente Lousy")</f>
        <v>Nem um pouco de bolso. tampa da lente Lousy</v>
      </c>
      <c r="B25141" s="3">
        <v>0</v>
      </c>
    </row>
    <row r="25142" ht="15.75" customHeight="1" spans="1:2">
      <c r="A25142" s="3" t="str">
        <f>IFERROR(__xludf.DUMMYFUNCTION("GOOGLETRANSLATE(A25142,""en"",""pt"")"),"não para cenas de ação")</f>
        <v>não para cenas de ação</v>
      </c>
      <c r="B25142" s="3">
        <v>0</v>
      </c>
    </row>
    <row r="25143" ht="15.75" customHeight="1" spans="1:2">
      <c r="A25143" s="3" t="str">
        <f>IFERROR(__xludf.DUMMYFUNCTION("GOOGLETRANSLATE(A25143,""en"",""pt"")"),"Leva muito tempo para carregar, se você tiver um computador antigo")</f>
        <v>Leva muito tempo para carregar, se você tiver um computador antigo</v>
      </c>
      <c r="B25143" s="3">
        <v>0</v>
      </c>
    </row>
    <row r="25144" ht="15.75" customHeight="1" spans="1:2">
      <c r="A25144" s="3" t="str">
        <f>IFERROR(__xludf.DUMMYFUNCTION("GOOGLETRANSLATE(A25144,""en"",""pt"")"),"Como o que todo mundo diz sobre câmeras digitais - Battery Eater!")</f>
        <v>Como o que todo mundo diz sobre câmeras digitais - Battery Eater!</v>
      </c>
      <c r="B25144" s="3">
        <v>0</v>
      </c>
    </row>
    <row r="25145" ht="15.75" customHeight="1" spans="1:2">
      <c r="A25145" s="3" t="str">
        <f>IFERROR(__xludf.DUMMYFUNCTION("GOOGLETRANSLATE(A25145,""en"",""pt"")"),"não encontrei nenhuma")</f>
        <v>não encontrei nenhuma</v>
      </c>
      <c r="B25145" s="3">
        <v>0</v>
      </c>
    </row>
    <row r="25146" ht="15.75" customHeight="1" spans="1:2">
      <c r="A25146" s="3" t="str">
        <f>IFERROR(__xludf.DUMMYFUNCTION("GOOGLETRANSLATE(A25146,""en"",""pt"")"),"pobre vida útil da bateria, cartão de memória pequeno")</f>
        <v>pobre vida útil da bateria, cartão de memória pequeno</v>
      </c>
      <c r="B25146" s="3">
        <v>0</v>
      </c>
    </row>
    <row r="25147" ht="15.75" customHeight="1" spans="1:2">
      <c r="A25147" s="3" t="str">
        <f>IFERROR(__xludf.DUMMYFUNCTION("GOOGLETRANSLATE(A25147,""en"",""pt"")"),"Problemas de software, ainda não é capaz de usar o cabo USB")</f>
        <v>Problemas de software, ainda não é capaz de usar o cabo USB</v>
      </c>
      <c r="B25147" s="3">
        <v>0</v>
      </c>
    </row>
    <row r="25148" ht="15.75" customHeight="1" spans="1:2">
      <c r="A25148" s="3" t="str">
        <f>IFERROR(__xludf.DUMMYFUNCTION("GOOGLETRANSLATE(A25148,""en"",""pt"")"),"Nenhum")</f>
        <v>Nenhum</v>
      </c>
      <c r="B25148" s="3">
        <v>0</v>
      </c>
    </row>
    <row r="25149" ht="15.75" customHeight="1" spans="1:2">
      <c r="A25149" s="3" t="str">
        <f>IFERROR(__xludf.DUMMYFUNCTION("GOOGLETRANSLATE(A25149,""en"",""pt"")"),"drena as baterias, não vem com caso")</f>
        <v>drena as baterias, não vem com caso</v>
      </c>
      <c r="B25149" s="3">
        <v>0</v>
      </c>
    </row>
    <row r="25150" ht="15.75" customHeight="1" spans="1:2">
      <c r="A25150" s="3" t="str">
        <f>IFERROR(__xludf.DUMMYFUNCTION("GOOGLETRANSLATE(A25150,""en"",""pt"")"),"pode ser ultrapassada em poucos anos")</f>
        <v>pode ser ultrapassada em poucos anos</v>
      </c>
      <c r="B25150" s="3">
        <v>0</v>
      </c>
    </row>
    <row r="25151" ht="15.75" customHeight="1" spans="1:2">
      <c r="A25151" s="3" t="str">
        <f>IFERROR(__xludf.DUMMYFUNCTION("GOOGLETRANSLATE(A25151,""en"",""pt"")"),"Não vem com adaptador AC")</f>
        <v>Não vem com adaptador AC</v>
      </c>
      <c r="B25151" s="3">
        <v>0</v>
      </c>
    </row>
    <row r="25152" ht="15.75" customHeight="1" spans="1:2">
      <c r="A25152" s="3" t="str">
        <f>IFERROR(__xludf.DUMMYFUNCTION("GOOGLETRANSLATE(A25152,""en"",""pt"")"),"Não muitos recursos avançados, nenhum formato uncrompressed")</f>
        <v>Não muitos recursos avançados, nenhum formato uncrompressed</v>
      </c>
      <c r="B25152" s="3">
        <v>0</v>
      </c>
    </row>
    <row r="25153" ht="15.75" customHeight="1" spans="1:2">
      <c r="A25153" s="3" t="str">
        <f>IFERROR(__xludf.DUMMYFUNCTION("GOOGLETRANSLATE(A25153,""en"",""pt"")"),"incompatibilidades Corel")</f>
        <v>incompatibilidades Corel</v>
      </c>
      <c r="B25153" s="3">
        <v>0</v>
      </c>
    </row>
    <row r="25154" ht="15.75" customHeight="1" spans="1:2">
      <c r="A25154" s="3" t="str">
        <f>IFERROR(__xludf.DUMMYFUNCTION("GOOGLETRANSLATE(A25154,""en"",""pt"")"),"custo inicial, definitivamente não devista")</f>
        <v>custo inicial, definitivamente não devista</v>
      </c>
      <c r="B25154" s="3">
        <v>0</v>
      </c>
    </row>
    <row r="25155" ht="15.75" customHeight="1" spans="1:2">
      <c r="A25155" s="3" t="str">
        <f>IFERROR(__xludf.DUMMYFUNCTION("GOOGLETRANSLATE(A25155,""en"",""pt"")"),"Não é possível alterar lente")</f>
        <v>Não é possível alterar lente</v>
      </c>
      <c r="B25155" s="3">
        <v>0</v>
      </c>
    </row>
    <row r="25156" ht="15.75" customHeight="1" spans="1:2">
      <c r="A25156" s="3" t="str">
        <f>IFERROR(__xludf.DUMMYFUNCTION("GOOGLETRANSLATE(A25156,""en"",""pt"")"),"alto preço para apontar e disparar, mas vale a pena para a qualidade da imagem")</f>
        <v>alto preço para apontar e disparar, mas vale a pena para a qualidade da imagem</v>
      </c>
      <c r="B25156" s="3">
        <v>0</v>
      </c>
    </row>
    <row r="25157" ht="15.75" customHeight="1" spans="1:2">
      <c r="A25157" s="3" t="str">
        <f>IFERROR(__xludf.DUMMYFUNCTION("GOOGLETRANSLATE(A25157,""en"",""pt"")"),"A vida da bateria, tamanho de cartão de memória")</f>
        <v>A vida da bateria, tamanho de cartão de memória</v>
      </c>
      <c r="B25157" s="3">
        <v>0</v>
      </c>
    </row>
    <row r="25158" ht="15.75" customHeight="1" spans="1:2">
      <c r="A25158" s="3" t="str">
        <f>IFERROR(__xludf.DUMMYFUNCTION("GOOGLETRANSLATE(A25158,""en"",""pt"")"),"Falta de flexibilidade para um verdadeiro profissional")</f>
        <v>Falta de flexibilidade para um verdadeiro profissional</v>
      </c>
      <c r="B25158" s="3">
        <v>0</v>
      </c>
    </row>
    <row r="25159" ht="15.75" customHeight="1" spans="1:2">
      <c r="A25159" s="3" t="str">
        <f>IFERROR(__xludf.DUMMYFUNCTION("GOOGLETRANSLATE(A25159,""en"",""pt"")"),"baixa velocidade do obturador provoca fotos borradas")</f>
        <v>baixa velocidade do obturador provoca fotos borradas</v>
      </c>
      <c r="B25159" s="3">
        <v>0</v>
      </c>
    </row>
    <row r="25160" ht="15.75" customHeight="1" spans="1:2">
      <c r="A25160" s="3" t="str">
        <f>IFERROR(__xludf.DUMMYFUNCTION("GOOGLETRANSLATE(A25160,""en"",""pt"")"),"Limites Lense e desfoque efeito dentro")</f>
        <v>Limites Lense e desfoque efeito dentro</v>
      </c>
      <c r="B25160" s="3">
        <v>0</v>
      </c>
    </row>
    <row r="25161" ht="15.75" customHeight="1" spans="1:2">
      <c r="A25161" s="3" t="str">
        <f>IFERROR(__xludf.DUMMYFUNCTION("GOOGLETRANSLATE(A25161,""en"",""pt"")"),"O FREAKIN ZOOM")</f>
        <v>O FREAKIN ZOOM</v>
      </c>
      <c r="B25161" s="3">
        <v>0</v>
      </c>
    </row>
    <row r="25162" ht="15.75" customHeight="1" spans="1:2">
      <c r="A25162" s="3" t="str">
        <f>IFERROR(__xludf.DUMMYFUNCTION("GOOGLETRANSLATE(A25162,""en"",""pt"")"),"Tamanho, peso, 2X zoom, deve usar baterias recarregáveis")</f>
        <v>Tamanho, peso, 2X zoom, deve usar baterias recarregáveis</v>
      </c>
      <c r="B25162" s="3">
        <v>0</v>
      </c>
    </row>
    <row r="25163" ht="15.75" customHeight="1" spans="1:2">
      <c r="A25163" s="3" t="str">
        <f>IFERROR(__xludf.DUMMYFUNCTION("GOOGLETRANSLATE(A25163,""en"",""pt"")"),"Baixa resolução")</f>
        <v>Baixa resolução</v>
      </c>
      <c r="B25163" s="3">
        <v>0</v>
      </c>
    </row>
    <row r="25164" ht="15.75" customHeight="1" spans="1:2">
      <c r="A25164" s="3" t="str">
        <f>IFERROR(__xludf.DUMMYFUNCTION("GOOGLETRANSLATE(A25164,""en"",""pt"")"),"Adaptador de lente bloqueia parcialmente a visualizar localizador")</f>
        <v>Adaptador de lente bloqueia parcialmente a visualizar localizador</v>
      </c>
      <c r="B25164" s="3">
        <v>0</v>
      </c>
    </row>
    <row r="25165" ht="15.75" customHeight="1" spans="1:2">
      <c r="A25165" s="3" t="str">
        <f>IFERROR(__xludf.DUMMYFUNCTION("GOOGLETRANSLATE(A25165,""en"",""pt"")"),"muito para aperfeiçoar, come baterias")</f>
        <v>muito para aperfeiçoar, come baterias</v>
      </c>
      <c r="B25165" s="3">
        <v>0</v>
      </c>
    </row>
    <row r="25166" ht="15.75" customHeight="1" spans="1:2">
      <c r="A25166" s="3" t="str">
        <f>IFERROR(__xludf.DUMMYFUNCTION("GOOGLETRANSLATE(A25166,""en"",""pt"")"),"única 2x de zoom óptico. Apenas cartão de 8MB incluídos.")</f>
        <v>única 2x de zoom óptico. Apenas cartão de 8MB incluídos.</v>
      </c>
      <c r="B25166" s="3">
        <v>0</v>
      </c>
    </row>
    <row r="25167" ht="15.75" customHeight="1" spans="1:2">
      <c r="A25167" s="3" t="str">
        <f>IFERROR(__xludf.DUMMYFUNCTION("GOOGLETRANSLATE(A25167,""en"",""pt"")"),"lento, não grandes óptica")</f>
        <v>lento, não grandes óptica</v>
      </c>
      <c r="B25167" s="3">
        <v>0</v>
      </c>
    </row>
    <row r="25168" ht="15.75" customHeight="1" spans="1:2">
      <c r="A25168" s="3" t="str">
        <f>IFERROR(__xludf.DUMMYFUNCTION("GOOGLETRANSLATE(A25168,""en"",""pt"")"),"curta duração da bateria")</f>
        <v>curta duração da bateria</v>
      </c>
      <c r="B25168" s="3">
        <v>0</v>
      </c>
    </row>
    <row r="25169" ht="15.75" customHeight="1" spans="1:2">
      <c r="A25169" s="3" t="str">
        <f>IFERROR(__xludf.DUMMYFUNCTION("GOOGLETRANSLATE(A25169,""en"",""pt"")"),"Ligeiramente mais caro")</f>
        <v>Ligeiramente mais caro</v>
      </c>
      <c r="B25169" s="3">
        <v>0</v>
      </c>
    </row>
    <row r="25170" ht="15.75" customHeight="1" spans="1:2">
      <c r="A25170" s="3" t="str">
        <f>IFERROR(__xludf.DUMMYFUNCTION("GOOGLETRANSLATE(A25170,""en"",""pt"")"),"Software é inútil, flash é estranho")</f>
        <v>Software é inútil, flash é estranho</v>
      </c>
      <c r="B25170" s="3">
        <v>0</v>
      </c>
    </row>
    <row r="25171" ht="15.75" customHeight="1" spans="1:2">
      <c r="A25171" s="3" t="str">
        <f>IFERROR(__xludf.DUMMYFUNCTION("GOOGLETRANSLATE(A25171,""en"",""pt"")"),"O transformador tem de ser adquirido separadamente")</f>
        <v>O transformador tem de ser adquirido separadamente</v>
      </c>
      <c r="B25171" s="3">
        <v>0</v>
      </c>
    </row>
    <row r="25172" ht="15.75" customHeight="1" spans="1:2">
      <c r="A25172" s="3" t="str">
        <f>IFERROR(__xludf.DUMMYFUNCTION("GOOGLETRANSLATE(A25172,""en"",""pt"")"),"Volumosos, No Full Motion Vídeo, vida útil da bateria")</f>
        <v>Volumosos, No Full Motion Vídeo, vida útil da bateria</v>
      </c>
      <c r="B25172" s="3">
        <v>0</v>
      </c>
    </row>
    <row r="25173" ht="15.75" customHeight="1" spans="1:2">
      <c r="A25173" s="3" t="str">
        <f>IFERROR(__xludf.DUMMYFUNCTION("GOOGLETRANSLATE(A25173,""en"",""pt"")"),"vida útil da bateria terrível.")</f>
        <v>vida útil da bateria terrível.</v>
      </c>
      <c r="B25173" s="3">
        <v>0</v>
      </c>
    </row>
    <row r="25174" ht="15.75" customHeight="1" spans="1:2">
      <c r="A25174" s="3" t="str">
        <f>IFERROR(__xludf.DUMMYFUNCTION("GOOGLETRANSLATE(A25174,""en"",""pt"")"),"curta duração da bateria, nenhum adaptador A / C incluído")</f>
        <v>curta duração da bateria, nenhum adaptador A / C incluído</v>
      </c>
      <c r="B25174" s="3">
        <v>0</v>
      </c>
    </row>
    <row r="25175" ht="15.75" customHeight="1" spans="1:2">
      <c r="A25175" s="3" t="str">
        <f>IFERROR(__xludf.DUMMYFUNCTION("GOOGLETRANSLATE(A25175,""en"",""pt"")"),"não pode curar Red-Eye")</f>
        <v>não pode curar Red-Eye</v>
      </c>
      <c r="B25175" s="3">
        <v>0</v>
      </c>
    </row>
    <row r="25176" ht="15.75" customHeight="1" spans="1:2">
      <c r="A25176" s="3" t="str">
        <f>IFERROR(__xludf.DUMMYFUNCTION("GOOGLETRANSLATE(A25176,""en"",""pt"")"),"A vida da bateria não é grande e o cartão de memória não é grande o suficiente")</f>
        <v>A vida da bateria não é grande e o cartão de memória não é grande o suficiente</v>
      </c>
      <c r="B25176" s="3">
        <v>0</v>
      </c>
    </row>
    <row r="25177" ht="15.75" customHeight="1" spans="1:2">
      <c r="A25177" s="3" t="str">
        <f>IFERROR(__xludf.DUMMYFUNCTION("GOOGLETRANSLATE(A25177,""en"",""pt"")"),"Deve se acostumar a não manusear fotos em papel")</f>
        <v>Deve se acostumar a não manusear fotos em papel</v>
      </c>
      <c r="B25177" s="3">
        <v>0</v>
      </c>
    </row>
    <row r="25178" ht="15.75" customHeight="1" spans="1:2">
      <c r="A25178" s="3" t="str">
        <f>IFERROR(__xludf.DUMMYFUNCTION("GOOGLETRANSLATE(A25178,""en"",""pt"")"),"Não Aceitavelmente Compatível com Windows NT ou Windows 2000, vida da bateria pobres, Poor LCD")</f>
        <v>Não Aceitavelmente Compatível com Windows NT ou Windows 2000, vida da bateria pobres, Poor LCD</v>
      </c>
      <c r="B25178" s="3">
        <v>0</v>
      </c>
    </row>
    <row r="25179" ht="15.75" customHeight="1" spans="1:2">
      <c r="A25179" s="3" t="str">
        <f>IFERROR(__xludf.DUMMYFUNCTION("GOOGLETRANSLATE(A25179,""en"",""pt"")"),"Muito pouco zoom óptico")</f>
        <v>Muito pouco zoom óptico</v>
      </c>
      <c r="B25179" s="3">
        <v>0</v>
      </c>
    </row>
    <row r="25180" ht="15.75" customHeight="1" spans="1:2">
      <c r="A25180" s="3" t="str">
        <f>IFERROR(__xludf.DUMMYFUNCTION("GOOGLETRANSLATE(A25180,""en"",""pt"")"),"buggy de software")</f>
        <v>buggy de software</v>
      </c>
      <c r="B25180" s="3">
        <v>0</v>
      </c>
    </row>
    <row r="25181" ht="15.75" customHeight="1" spans="1:2">
      <c r="A25181" s="3" t="str">
        <f>IFERROR(__xludf.DUMMYFUNCTION("GOOGLETRANSLATE(A25181,""en"",""pt"")"),"A vida da bateria")</f>
        <v>A vida da bateria</v>
      </c>
      <c r="B25181" s="3">
        <v>0</v>
      </c>
    </row>
    <row r="25182" ht="15.75" customHeight="1" spans="1:2">
      <c r="A25182" s="3" t="str">
        <f>IFERROR(__xludf.DUMMYFUNCTION("GOOGLETRANSLATE(A25182,""en"",""pt"")"),"o uso da bateria, 2x de zoom, localização LCD")</f>
        <v>o uso da bateria, 2x de zoom, localização LCD</v>
      </c>
      <c r="B25182" s="3">
        <v>0</v>
      </c>
    </row>
    <row r="25183" ht="15.75" customHeight="1" spans="1:2">
      <c r="A25183" s="3" t="str">
        <f>IFERROR(__xludf.DUMMYFUNCTION("GOOGLETRANSLATE(A25183,""en"",""pt"")"),"vida útil da bateria")</f>
        <v>vida útil da bateria</v>
      </c>
      <c r="B25183" s="3">
        <v>0</v>
      </c>
    </row>
    <row r="25184" ht="15.75" customHeight="1" spans="1:2">
      <c r="A25184" s="3" t="str">
        <f>IFERROR(__xludf.DUMMYFUNCTION("GOOGLETRANSLATE(A25184,""en"",""pt"")"),"close pobres, tampa da lente solto")</f>
        <v>close pobres, tampa da lente solto</v>
      </c>
      <c r="B25184" s="3">
        <v>0</v>
      </c>
    </row>
    <row r="25185" ht="15.75" customHeight="1" spans="1:2">
      <c r="A25185" s="3" t="str">
        <f>IFERROR(__xludf.DUMMYFUNCTION("GOOGLETRANSLATE(A25185,""en"",""pt"")"),"Sem zoom real, obturador lento")</f>
        <v>Sem zoom real, obturador lento</v>
      </c>
      <c r="B25185" s="3">
        <v>0</v>
      </c>
    </row>
    <row r="25186" ht="15.75" customHeight="1" spans="1:2">
      <c r="A25186" s="3" t="str">
        <f>IFERROR(__xludf.DUMMYFUNCTION("GOOGLETRANSLATE(A25186,""en"",""pt"")"),", Um volumoso pouco pesado")</f>
        <v>, Um volumoso pouco pesado</v>
      </c>
      <c r="B25186" s="3">
        <v>0</v>
      </c>
    </row>
    <row r="25187" ht="15.75" customHeight="1" spans="1:2">
      <c r="A25187" s="3" t="str">
        <f>IFERROR(__xludf.DUMMYFUNCTION("GOOGLETRANSLATE(A25187,""en"",""pt"")"),"fotos tiradas em Sunshine são por causa inútil de washout grave")</f>
        <v>fotos tiradas em Sunshine são por causa inútil de washout grave</v>
      </c>
      <c r="B25187" s="3">
        <v>0</v>
      </c>
    </row>
    <row r="25188" ht="15.75" customHeight="1" spans="1:2">
      <c r="A25188" s="3" t="str">
        <f>IFERROR(__xludf.DUMMYFUNCTION("GOOGLETRANSLATE(A25188,""en"",""pt"")"),"O Wish que tinha uma tampa de lente integrada")</f>
        <v>O Wish que tinha uma tampa de lente integrada</v>
      </c>
      <c r="B25188" s="3">
        <v>0</v>
      </c>
    </row>
    <row r="25189" ht="15.75" customHeight="1" spans="1:2">
      <c r="A25189" s="3" t="str">
        <f>IFERROR(__xludf.DUMMYFUNCTION("GOOGLETRANSLATE(A25189,""en"",""pt"")"),"A vida de bateria fraca")</f>
        <v>A vida de bateria fraca</v>
      </c>
      <c r="B25189" s="3">
        <v>0</v>
      </c>
    </row>
    <row r="25190" ht="15.75" customHeight="1" spans="1:2">
      <c r="A25190" s="3" t="str">
        <f>IFERROR(__xludf.DUMMYFUNCTION("GOOGLETRANSLATE(A25190,""en"",""pt"")"),"Shutter lag, qualidade alargamento, a vida da bateria")</f>
        <v>Shutter lag, qualidade alargamento, a vida da bateria</v>
      </c>
      <c r="B25190" s="3">
        <v>0</v>
      </c>
    </row>
    <row r="25191" ht="15.75" customHeight="1" spans="1:2">
      <c r="A25191" s="3" t="str">
        <f>IFERROR(__xludf.DUMMYFUNCTION("GOOGLETRANSLATE(A25191,""en"",""pt"")"),"Longo atraso depois de premir do obturador, a má resolução, a vida da bateria horrível")</f>
        <v>Longo atraso depois de premir do obturador, a má resolução, a vida da bateria horrível</v>
      </c>
      <c r="B25191" s="3">
        <v>0</v>
      </c>
    </row>
    <row r="25192" ht="15.75" customHeight="1" spans="1:2">
      <c r="A25192" s="3" t="str">
        <f>IFERROR(__xludf.DUMMYFUNCTION("GOOGLETRANSLATE(A25192,""en"",""pt"")"),"drenos baterias rapidamente")</f>
        <v>drenos baterias rapidamente</v>
      </c>
      <c r="B25192" s="3">
        <v>0</v>
      </c>
    </row>
    <row r="25193" ht="15.75" customHeight="1" spans="1:2">
      <c r="A25193" s="3" t="str">
        <f>IFERROR(__xludf.DUMMYFUNCTION("GOOGLETRANSLATE(A25193,""en"",""pt"")"),"Poderia usar uma lente de comprimento focal (maior zoom).")</f>
        <v>Poderia usar uma lente de comprimento focal (maior zoom).</v>
      </c>
      <c r="B25193" s="3">
        <v>0</v>
      </c>
    </row>
    <row r="25194" ht="15.75" customHeight="1" spans="1:2">
      <c r="A25194" s="3" t="str">
        <f>IFERROR(__xludf.DUMMYFUNCTION("GOOGLETRANSLATE(A25194,""en"",""pt"")"),"Imagem não corresponde ao que você vê através do olho peças")</f>
        <v>Imagem não corresponde ao que você vê através do olho peças</v>
      </c>
      <c r="B25194" s="3">
        <v>0</v>
      </c>
    </row>
    <row r="25195" ht="15.75" customHeight="1" spans="1:2">
      <c r="A25195" s="3" t="str">
        <f>IFERROR(__xludf.DUMMYFUNCTION("GOOGLETRANSLATE(A25195,""en"",""pt"")"),"Ele usa a vir com um cartão de 20MB e agora só um cartão de 8 MB.")</f>
        <v>Ele usa a vir com um cartão de 20MB e agora só um cartão de 8 MB.</v>
      </c>
      <c r="B25195" s="3">
        <v>0</v>
      </c>
    </row>
    <row r="25196" ht="15.75" customHeight="1" spans="1:2">
      <c r="A25196" s="3" t="str">
        <f>IFERROR(__xludf.DUMMYFUNCTION("GOOGLETRANSLATE(A25196,""en"",""pt"")"),"O zoom óptico não tem telefoto")</f>
        <v>O zoom óptico não tem telefoto</v>
      </c>
      <c r="B25196" s="3">
        <v>0</v>
      </c>
    </row>
    <row r="25197" ht="15.75" customHeight="1" spans="1:2">
      <c r="A25197" s="3" t="str">
        <f>IFERROR(__xludf.DUMMYFUNCTION("GOOGLETRANSLATE(A25197,""en"",""pt"")"),"Tamanho &amp; amp; Peso")</f>
        <v>Tamanho &amp; amp; Peso</v>
      </c>
      <c r="B25197" s="3">
        <v>0</v>
      </c>
    </row>
    <row r="25198" ht="15.75" customHeight="1" spans="1:2">
      <c r="A25198" s="3" t="str">
        <f>IFERROR(__xludf.DUMMYFUNCTION("GOOGLETRANSLATE(A25198,""en"",""pt"")"),"Lento ""boot-up"", muito tempo entre pressionar o botão do obturador e imagem a ser tomadas.")</f>
        <v>Lento "boot-up", muito tempo entre pressionar o botão do obturador e imagem a ser tomadas.</v>
      </c>
      <c r="B25198" s="3">
        <v>0</v>
      </c>
    </row>
    <row r="25199" ht="15.75" customHeight="1" spans="1:2">
      <c r="A25199" s="3" t="str">
        <f>IFERROR(__xludf.DUMMYFUNCTION("GOOGLETRANSLATE(A25199,""en"",""pt"")"),"Irritante Lens design que se afasta cada vez que você ligar a câmera.")</f>
        <v>Irritante Lens design que se afasta cada vez que você ligar a câmera.</v>
      </c>
      <c r="B25199" s="3">
        <v>0</v>
      </c>
    </row>
    <row r="25200" ht="15.75" customHeight="1" spans="1:2">
      <c r="A25200" s="3" t="str">
        <f>IFERROR(__xludf.DUMMYFUNCTION("GOOGLETRANSLATE(A25200,""en"",""pt"")"),"atraso do obturador, drena pilhas alcalinas rapidamente, sem alça de pescoço incluído")</f>
        <v>atraso do obturador, drena pilhas alcalinas rapidamente, sem alça de pescoço incluído</v>
      </c>
      <c r="B25200" s="3">
        <v>0</v>
      </c>
    </row>
    <row r="25201" ht="15.75" customHeight="1" spans="1:2">
      <c r="A25201" s="3" t="str">
        <f>IFERROR(__xludf.DUMMYFUNCTION("GOOGLETRANSLATE(A25201,""en"",""pt"")"),"necessidades indicador da bateria re-escrita.")</f>
        <v>necessidades indicador da bateria re-escrita.</v>
      </c>
      <c r="B25201" s="3">
        <v>0</v>
      </c>
    </row>
    <row r="25202" ht="15.75" customHeight="1" spans="1:2">
      <c r="A25202" s="3" t="str">
        <f>IFERROR(__xludf.DUMMYFUNCTION("GOOGLETRANSLATE(A25202,""en"",""pt"")"),"Come baterias como um HUMMER! Precisa de uma alça de pescoço! botão voltar alternância frágil")</f>
        <v>Come baterias como um HUMMER! Precisa de uma alça de pescoço! botão voltar alternância frágil</v>
      </c>
      <c r="B25202" s="3">
        <v>0</v>
      </c>
    </row>
    <row r="25203" ht="15.75" customHeight="1" spans="1:2">
      <c r="A25203" s="3" t="str">
        <f>IFERROR(__xludf.DUMMYFUNCTION("GOOGLETRANSLATE(A25203,""en"",""pt"")"),"vida horrível bateria, atrasos e lag abaixo da média do obturador.")</f>
        <v>vida horrível bateria, atrasos e lag abaixo da média do obturador.</v>
      </c>
      <c r="B25203" s="3">
        <v>0</v>
      </c>
    </row>
    <row r="25204" ht="15.75" customHeight="1" spans="1:2">
      <c r="A25204" s="3" t="str">
        <f>IFERROR(__xludf.DUMMYFUNCTION("GOOGLETRANSLATE(A25204,""en"",""pt"")"),"tempo de atraso do obturador ligeira.")</f>
        <v>tempo de atraso do obturador ligeira.</v>
      </c>
      <c r="B25204" s="3">
        <v>0</v>
      </c>
    </row>
    <row r="25205" ht="15.75" customHeight="1" spans="1:2">
      <c r="A25205" s="3" t="str">
        <f>IFERROR(__xludf.DUMMYFUNCTION("GOOGLETRANSLATE(A25205,""en"",""pt"")"),"tempo de inicialização e Processo")</f>
        <v>tempo de inicialização e Processo</v>
      </c>
      <c r="B25205" s="3">
        <v>0</v>
      </c>
    </row>
    <row r="25206" ht="15.75" customHeight="1" spans="1:2">
      <c r="A25206" s="3" t="str">
        <f>IFERROR(__xludf.DUMMYFUNCTION("GOOGLETRANSLATE(A25206,""en"",""pt"")"),"Custo")</f>
        <v>Custo</v>
      </c>
      <c r="B25206" s="3">
        <v>0</v>
      </c>
    </row>
    <row r="25207" ht="15.75" customHeight="1" spans="1:2">
      <c r="A25207" s="3" t="str">
        <f>IFERROR(__xludf.DUMMYFUNCTION("GOOGLETRANSLATE(A25207,""en"",""pt"")"),"alimentação AC e necessidade saco de câmera para ser adquirido separadamente, muita câmera para o usuário casual")</f>
        <v>alimentação AC e necessidade saco de câmera para ser adquirido separadamente, muita câmera para o usuário casual</v>
      </c>
      <c r="B25207" s="3">
        <v>0</v>
      </c>
    </row>
    <row r="25208" ht="15.75" customHeight="1" spans="1:2">
      <c r="A25208" s="3" t="str">
        <f>IFERROR(__xludf.DUMMYFUNCTION("GOOGLETRANSLATE(A25208,""en"",""pt"")"),"pacote de software So-so, ecrã LCD inexpressivo")</f>
        <v>pacote de software So-so, ecrã LCD inexpressivo</v>
      </c>
      <c r="B25208" s="3">
        <v>0</v>
      </c>
    </row>
    <row r="25209" ht="15.75" customHeight="1" spans="1:2">
      <c r="A25209" s="3" t="str">
        <f>IFERROR(__xludf.DUMMYFUNCTION("GOOGLETRANSLATE(A25209,""en"",""pt"")"),"Filtro de anexos É necessário um adaptador")</f>
        <v>Filtro de anexos É necessário um adaptador</v>
      </c>
      <c r="B25209" s="3">
        <v>0</v>
      </c>
    </row>
    <row r="25210" ht="15.75" customHeight="1" spans="1:2">
      <c r="A25210" s="3" t="str">
        <f>IFERROR(__xludf.DUMMYFUNCTION("GOOGLETRANSLATE(A25210,""en"",""pt"")"),"Um pouco sobre o lado caro.")</f>
        <v>Um pouco sobre o lado caro.</v>
      </c>
      <c r="B25210" s="3">
        <v>0</v>
      </c>
    </row>
    <row r="25211" ht="15.75" customHeight="1" spans="1:2">
      <c r="A25211" s="3" t="str">
        <f>IFERROR(__xludf.DUMMYFUNCTION("GOOGLETRANSLATE(A25211,""en"",""pt"")"),"Escuro LCD, caro, falta de documentação, porta da bateria frágil")</f>
        <v>Escuro LCD, caro, falta de documentação, porta da bateria frágil</v>
      </c>
      <c r="B25211" s="3">
        <v>0</v>
      </c>
    </row>
    <row r="25212" ht="15.75" customHeight="1" spans="1:2">
      <c r="A25212" s="3" t="str">
        <f>IFERROR(__xludf.DUMMYFUNCTION("GOOGLETRANSLATE(A25212,""en"",""pt"")"),"Preço e peso")</f>
        <v>Preço e peso</v>
      </c>
      <c r="B25212" s="3">
        <v>0</v>
      </c>
    </row>
    <row r="25213" ht="15.75" customHeight="1" spans="1:2">
      <c r="A25213" s="3" t="str">
        <f>IFERROR(__xludf.DUMMYFUNCTION("GOOGLETRANSLATE(A25213,""en"",""pt"")"),"Tamanho grande")</f>
        <v>Tamanho grande</v>
      </c>
      <c r="B25213" s="3">
        <v>0</v>
      </c>
    </row>
    <row r="25214" ht="15.75" customHeight="1" spans="1:2">
      <c r="A25214" s="3" t="str">
        <f>IFERROR(__xludf.DUMMYFUNCTION("GOOGLETRANSLATE(A25214,""en"",""pt"")"),"A reacção de flash é lento.")</f>
        <v>A reacção de flash é lento.</v>
      </c>
      <c r="B25214" s="3">
        <v>0</v>
      </c>
    </row>
    <row r="25215" ht="15.75" customHeight="1" spans="1:2">
      <c r="A25215" s="3" t="str">
        <f>IFERROR(__xludf.DUMMYFUNCTION("GOOGLETRANSLATE(A25215,""en"",""pt"")"),"A vida da bateria")</f>
        <v>A vida da bateria</v>
      </c>
      <c r="B25215" s="3">
        <v>0</v>
      </c>
    </row>
    <row r="25216" ht="15.75" customHeight="1" spans="1:2">
      <c r="A25216" s="3" t="str">
        <f>IFERROR(__xludf.DUMMYFUNCTION("GOOGLETRANSLATE(A25216,""en"",""pt"")"),"A vida da bateria")</f>
        <v>A vida da bateria</v>
      </c>
      <c r="B25216" s="3">
        <v>0</v>
      </c>
    </row>
    <row r="25217" ht="15.75" customHeight="1" spans="1:2">
      <c r="A25217" s="3" t="str">
        <f>IFERROR(__xludf.DUMMYFUNCTION("GOOGLETRANSLATE(A25217,""en"",""pt"")"),"Necessita de maior cartão, come baterias")</f>
        <v>Necessita de maior cartão, come baterias</v>
      </c>
      <c r="B25217" s="3">
        <v>0</v>
      </c>
    </row>
    <row r="25218" ht="15.75" customHeight="1" spans="1:2">
      <c r="A25218" s="3" t="str">
        <f>IFERROR(__xludf.DUMMYFUNCTION("GOOGLETRANSLATE(A25218,""en"",""pt"")"),"Trabalhou por apenas um ano com a energia da bateria")</f>
        <v>Trabalhou por apenas um ano com a energia da bateria</v>
      </c>
      <c r="B25218" s="3">
        <v>0</v>
      </c>
    </row>
    <row r="25219" ht="15.75" customHeight="1" spans="1:2">
      <c r="A25219" s="3" t="str">
        <f>IFERROR(__xludf.DUMMYFUNCTION("GOOGLETRANSLATE(A25219,""en"",""pt"")"),"Caro, flash fraco")</f>
        <v>Caro, flash fraco</v>
      </c>
      <c r="B25219" s="3">
        <v>0</v>
      </c>
    </row>
    <row r="25220" ht="15.75" customHeight="1" spans="1:2">
      <c r="A25220" s="3" t="str">
        <f>IFERROR(__xludf.DUMMYFUNCTION("GOOGLETRANSLATE(A25220,""en"",""pt"")"),"Utiliza até baterias, desconectando de computador produz erros.")</f>
        <v>Utiliza até baterias, desconectando de computador produz erros.</v>
      </c>
      <c r="B25220" s="3">
        <v>0</v>
      </c>
    </row>
    <row r="25221" ht="15.75" customHeight="1" spans="1:2">
      <c r="A25221" s="3" t="str">
        <f>IFERROR(__xludf.DUMMYFUNCTION("GOOGLETRANSLATE(A25221,""en"",""pt"")"),"memória fornecido não é suficiente")</f>
        <v>memória fornecido não é suficiente</v>
      </c>
      <c r="B25221" s="3">
        <v>0</v>
      </c>
    </row>
    <row r="25222" ht="15.75" customHeight="1" spans="1:2">
      <c r="A25222" s="3" t="str">
        <f>IFERROR(__xludf.DUMMYFUNCTION("GOOGLETRANSLATE(A25222,""en"",""pt"")"),"O foco automático é um pouco lentos, longos atrasos ocasionais quando as imagens transferidas para cartão de memória")</f>
        <v>O foco automático é um pouco lentos, longos atrasos ocasionais quando as imagens transferidas para cartão de memória</v>
      </c>
      <c r="B25222" s="3">
        <v>0</v>
      </c>
    </row>
    <row r="25223" ht="15.75" customHeight="1" spans="1:2">
      <c r="A25223" s="3" t="str">
        <f>IFERROR(__xludf.DUMMYFUNCTION("GOOGLETRANSLATE(A25223,""en"",""pt"")"),"Come baterias como um come aardvark formigas")</f>
        <v>Come baterias como um come aardvark formigas</v>
      </c>
      <c r="B25223" s="3">
        <v>0</v>
      </c>
    </row>
    <row r="25224" ht="15.75" customHeight="1" spans="1:2">
      <c r="A25224" s="3" t="str">
        <f>IFERROR(__xludf.DUMMYFUNCTION("GOOGLETRANSLATE(A25224,""en"",""pt"")"),"Loja em torno de um negócio, é provavelmente um pouco caro! Vale a pena comprar!")</f>
        <v>Loja em torno de um negócio, é provavelmente um pouco caro! Vale a pena comprar!</v>
      </c>
      <c r="B25224" s="3">
        <v>0</v>
      </c>
    </row>
    <row r="25225" ht="15.75" customHeight="1" spans="1:2">
      <c r="A25225" s="3" t="str">
        <f>IFERROR(__xludf.DUMMYFUNCTION("GOOGLETRANSLATE(A25225,""en"",""pt"")"),"estranho, forma quadradão que não é tão ergonómica. leva algum tempo para fotos para carregar na memória da câmera depois de tomá-los. vida útil da bateria fétido. obter rechargeables NIMH com um recarregador rápido (nimhbattery.com) e sempre ter um par s"&amp;"e você comprar este c")</f>
        <v>estranho, forma quadradão que não é tão ergonómica. leva algum tempo para fotos para carregar na memória da câmera depois de tomá-los. vida útil da bateria fétido. obter rechargeables NIMH com um recarregador rápido (nimhbattery.com) e sempre ter um par se você comprar este c</v>
      </c>
      <c r="B25225" s="3">
        <v>0</v>
      </c>
    </row>
    <row r="25226" ht="15.75" customHeight="1" spans="1:2">
      <c r="A25226" s="3" t="str">
        <f>IFERROR(__xludf.DUMMYFUNCTION("GOOGLETRANSLATE(A25226,""en"",""pt"")"),"hmmmm- ainda pensando")</f>
        <v>hmmmm- ainda pensando</v>
      </c>
      <c r="B25226" s="3">
        <v>0</v>
      </c>
    </row>
    <row r="25227" ht="15.75" customHeight="1" spans="1:2">
      <c r="A25227" s="3" t="str">
        <f>IFERROR(__xludf.DUMMYFUNCTION("GOOGLETRANSLATE(A25227,""en"",""pt"")"),"nenhum caso, eu comprei meu próprio,")</f>
        <v>nenhum caso, eu comprei meu próprio,</v>
      </c>
      <c r="B25227" s="3">
        <v>0</v>
      </c>
    </row>
    <row r="25228" ht="15.75" customHeight="1" spans="1:2">
      <c r="A25228" s="3" t="str">
        <f>IFERROR(__xludf.DUMMYFUNCTION("GOOGLETRANSLATE(A25228,""en"",""pt"")"),"monstro da bateria, deve ter win98")</f>
        <v>monstro da bateria, deve ter win98</v>
      </c>
      <c r="B25228" s="3">
        <v>0</v>
      </c>
    </row>
    <row r="25229" ht="15.75" customHeight="1" spans="1:2">
      <c r="A25229" s="3" t="str">
        <f>IFERROR(__xludf.DUMMYFUNCTION("GOOGLETRANSLATE(A25229,""en"",""pt"")"),"muito devagar")</f>
        <v>muito devagar</v>
      </c>
      <c r="B25229" s="3">
        <v>0</v>
      </c>
    </row>
    <row r="25230" ht="15.75" customHeight="1" spans="1:2">
      <c r="A25230" s="3" t="str">
        <f>IFERROR(__xludf.DUMMYFUNCTION("GOOGLETRANSLATE(A25230,""en"",""pt"")"),"vida útil da bateria")</f>
        <v>vida útil da bateria</v>
      </c>
      <c r="B25230" s="3">
        <v>0</v>
      </c>
    </row>
    <row r="25231" ht="15.75" customHeight="1" spans="1:2">
      <c r="A25231" s="3" t="str">
        <f>IFERROR(__xludf.DUMMYFUNCTION("GOOGLETRANSLATE(A25231,""en"",""pt"")"),"Mantenha um outro conjunto de baterias por perto ...")</f>
        <v>Mantenha um outro conjunto de baterias por perto ...</v>
      </c>
      <c r="B25231" s="3">
        <v>0</v>
      </c>
    </row>
    <row r="25232" ht="15.75" customHeight="1" spans="1:2">
      <c r="A25232" s="3" t="str">
        <f>IFERROR(__xludf.DUMMYFUNCTION("GOOGLETRANSLATE(A25232,""en"",""pt"")"),"Se você é um fotógrafo profissional, esta câmara não é para você.")</f>
        <v>Se você é um fotógrafo profissional, esta câmara não é para você.</v>
      </c>
      <c r="B25232" s="3">
        <v>0</v>
      </c>
    </row>
    <row r="25233" ht="15.75" customHeight="1" spans="1:2">
      <c r="A25233" s="3" t="str">
        <f>IFERROR(__xludf.DUMMYFUNCTION("GOOGLETRANSLATE(A25233,""en"",""pt"")"),"ainda searchin ...")</f>
        <v>ainda searchin ...</v>
      </c>
      <c r="B25233" s="3">
        <v>0</v>
      </c>
    </row>
    <row r="25234" ht="15.75" customHeight="1" spans="1:2">
      <c r="A25234" s="3" t="str">
        <f>IFERROR(__xludf.DUMMYFUNCTION("GOOGLETRANSLATE(A25234,""en"",""pt"")"),"caro, LCD escura, de baixa luz capacidade, muito avançado (não ótimo para iniciantes)")</f>
        <v>caro, LCD escura, de baixa luz capacidade, muito avançado (não ótimo para iniciantes)</v>
      </c>
      <c r="B25234" s="3">
        <v>0</v>
      </c>
    </row>
    <row r="25235" ht="15.75" customHeight="1" spans="1:2">
      <c r="A25235" s="3" t="str">
        <f>IFERROR(__xludf.DUMMYFUNCTION("GOOGLETRANSLATE(A25235,""en"",""pt"")"),"tamanho da câmera é muito grande, muitas características que os novatos não use")</f>
        <v>tamanho da câmera é muito grande, muitas características que os novatos não use</v>
      </c>
      <c r="B25235" s="3">
        <v>0</v>
      </c>
    </row>
    <row r="25236" ht="15.75" customHeight="1" spans="1:2">
      <c r="A25236" s="3" t="str">
        <f>IFERROR(__xludf.DUMMYFUNCTION("GOOGLETRANSLATE(A25236,""en"",""pt"")"),"caro")</f>
        <v>caro</v>
      </c>
      <c r="B25236" s="3">
        <v>0</v>
      </c>
    </row>
    <row r="25237" ht="15.75" customHeight="1" spans="1:2">
      <c r="A25237" s="3" t="str">
        <f>IFERROR(__xludf.DUMMYFUNCTION("GOOGLETRANSLATE(A25237,""en"",""pt"")"),"não para tirar fotos de crianças")</f>
        <v>não para tirar fotos de crianças</v>
      </c>
      <c r="B25237" s="3">
        <v>0</v>
      </c>
    </row>
    <row r="25238" ht="15.75" customHeight="1" spans="1:2">
      <c r="A25238" s="3" t="str">
        <f>IFERROR(__xludf.DUMMYFUNCTION("GOOGLETRANSLATE(A25238,""en"",""pt"")"),"motoristas mal escritos, interface de usuário lenta")</f>
        <v>motoristas mal escritos, interface de usuário lenta</v>
      </c>
      <c r="B25238" s="3">
        <v>0</v>
      </c>
    </row>
    <row r="25239" ht="15.75" customHeight="1" spans="1:2">
      <c r="A25239" s="3" t="str">
        <f>IFERROR(__xludf.DUMMYFUNCTION("GOOGLETRANSLATE(A25239,""en"",""pt"")"),"Falta de acessórios com o pacote original")</f>
        <v>Falta de acessórios com o pacote original</v>
      </c>
      <c r="B25239" s="3">
        <v>0</v>
      </c>
    </row>
    <row r="25240" ht="15.75" customHeight="1" spans="1:2">
      <c r="A25240" s="3" t="str">
        <f>IFERROR(__xludf.DUMMYFUNCTION("GOOGLETRANSLATE(A25240,""en"",""pt"")"),"Extremamente pobre bateria vida 1/2 topos hora.")</f>
        <v>Extremamente pobre bateria vida 1/2 topos hora.</v>
      </c>
      <c r="B25240" s="3">
        <v>0</v>
      </c>
    </row>
    <row r="25241" ht="15.75" customHeight="1" spans="1:2">
      <c r="A25241" s="3" t="str">
        <f>IFERROR(__xludf.DUMMYFUNCTION("GOOGLETRANSLATE(A25241,""en"",""pt"")"),"software talvez")</f>
        <v>software talvez</v>
      </c>
      <c r="B25241" s="3">
        <v>0</v>
      </c>
    </row>
    <row r="25242" ht="15.75" customHeight="1" spans="1:2">
      <c r="A25242" s="3" t="str">
        <f>IFERROR(__xludf.DUMMYFUNCTION("GOOGLETRANSLATE(A25242,""en"",""pt"")"),"Este tipo de performance não sai barato")</f>
        <v>Este tipo de performance não sai barato</v>
      </c>
      <c r="B25242" s="3">
        <v>0</v>
      </c>
    </row>
    <row r="25243" ht="15.75" customHeight="1" spans="1:2">
      <c r="A25243" s="3" t="str">
        <f>IFERROR(__xludf.DUMMYFUNCTION("GOOGLETRANSLATE(A25243,""en"",""pt"")"),"visibilidade do visor sob luz solar intensa")</f>
        <v>visibilidade do visor sob luz solar intensa</v>
      </c>
      <c r="B25243" s="3">
        <v>0</v>
      </c>
    </row>
    <row r="25244" ht="15.75" customHeight="1" spans="1:2">
      <c r="A25244" s="3" t="str">
        <f>IFERROR(__xludf.DUMMYFUNCTION("GOOGLETRANSLATE(A25244,""en"",""pt"")"),"Visor, foco, lentidão,")</f>
        <v>Visor, foco, lentidão,</v>
      </c>
      <c r="B25244" s="3">
        <v>0</v>
      </c>
    </row>
    <row r="25245" ht="15.75" customHeight="1" spans="1:2">
      <c r="A25245" s="3" t="str">
        <f>IFERROR(__xludf.DUMMYFUNCTION("GOOGLETRANSLATE(A25245,""en"",""pt"")"),"garantia remodelado, bateria")</f>
        <v>garantia remodelado, bateria</v>
      </c>
      <c r="B25245" s="3">
        <v>0</v>
      </c>
    </row>
    <row r="25246" ht="15.75" customHeight="1" spans="1:2">
      <c r="A25246" s="3" t="str">
        <f>IFERROR(__xludf.DUMMYFUNCTION("GOOGLETRANSLATE(A25246,""en"",""pt"")"),"Ele realmente faz comer baterias, Compro Re-Charagable")</f>
        <v>Ele realmente faz comer baterias, Compro Re-Charagable</v>
      </c>
      <c r="B25246" s="3">
        <v>0</v>
      </c>
    </row>
    <row r="25247" ht="15.75" customHeight="1" spans="1:2">
      <c r="A25247" s="3" t="str">
        <f>IFERROR(__xludf.DUMMYFUNCTION("GOOGLETRANSLATE(A25247,""en"",""pt"")"),"vida útil da bateria")</f>
        <v>vida útil da bateria</v>
      </c>
      <c r="B25247" s="3">
        <v>0</v>
      </c>
    </row>
    <row r="25248" ht="15.75" customHeight="1" spans="1:2">
      <c r="A25248" s="3" t="str">
        <f>IFERROR(__xludf.DUMMYFUNCTION("GOOGLETRANSLATE(A25248,""en"",""pt"")"),"underexposes sem flash, a vida da bateria, preço, nenhum adaptador AC!")</f>
        <v>underexposes sem flash, a vida da bateria, preço, nenhum adaptador AC!</v>
      </c>
      <c r="B25248" s="3">
        <v>0</v>
      </c>
    </row>
    <row r="25249" ht="15.75" customHeight="1" spans="1:2">
      <c r="A25249" s="3" t="str">
        <f>IFERROR(__xludf.DUMMYFUNCTION("GOOGLETRANSLATE(A25249,""en"",""pt"")"),"LCD exposto (como acontece com todas as câmeras); retardar on / off")</f>
        <v>LCD exposto (como acontece com todas as câmeras); retardar on / off</v>
      </c>
      <c r="B25249" s="3">
        <v>0</v>
      </c>
    </row>
    <row r="25250" ht="15.75" customHeight="1" spans="1:2">
      <c r="A25250" s="3" t="str">
        <f>IFERROR(__xludf.DUMMYFUNCTION("GOOGLETRANSLATE(A25250,""en"",""pt"")"),"Ligeiramente mais lento do que os tempos norma de reciclagem entre os disparos, não pode usar alkalines regulares com LCD.")</f>
        <v>Ligeiramente mais lento do que os tempos norma de reciclagem entre os disparos, não pode usar alkalines regulares com LCD.</v>
      </c>
      <c r="B25250" s="3">
        <v>0</v>
      </c>
    </row>
    <row r="25251" ht="15.75" customHeight="1" spans="1:2">
      <c r="A25251" s="3" t="str">
        <f>IFERROR(__xludf.DUMMYFUNCTION("GOOGLETRANSLATE(A25251,""en"",""pt"")"),"Sem fita de pescoço, flash poderia ser melhor")</f>
        <v>Sem fita de pescoço, flash poderia ser melhor</v>
      </c>
      <c r="B25251" s="3">
        <v>0</v>
      </c>
    </row>
    <row r="25252" ht="15.75" customHeight="1" spans="1:2">
      <c r="A25252" s="3" t="str">
        <f>IFERROR(__xludf.DUMMYFUNCTION("GOOGLETRANSLATE(A25252,""en"",""pt"")"),"processamento de fotos lento")</f>
        <v>processamento de fotos lento</v>
      </c>
      <c r="B25252" s="3">
        <v>0</v>
      </c>
    </row>
    <row r="25253" ht="15.75" customHeight="1" spans="1:2">
      <c r="A25253" s="3" t="str">
        <f>IFERROR(__xludf.DUMMYFUNCTION("GOOGLETRANSLATE(A25253,""en"",""pt"")"),"não veio com um adaptador AC")</f>
        <v>não veio com um adaptador AC</v>
      </c>
      <c r="B25253" s="3">
        <v>0</v>
      </c>
    </row>
    <row r="25254" ht="15.75" customHeight="1" spans="1:2">
      <c r="A25254" s="3" t="str">
        <f>IFERROR(__xludf.DUMMYFUNCTION("GOOGLETRANSLATE(A25254,""en"",""pt"")"),"lento para se concentrar")</f>
        <v>lento para se concentrar</v>
      </c>
      <c r="B25254" s="3">
        <v>0</v>
      </c>
    </row>
    <row r="25255" ht="15.75" customHeight="1" spans="1:2">
      <c r="A25255" s="3" t="str">
        <f>IFERROR(__xludf.DUMMYFUNCTION("GOOGLETRANSLATE(A25255,""en"",""pt"")"),"- Nenhum")</f>
        <v>- Nenhum</v>
      </c>
      <c r="B25255" s="3">
        <v>0</v>
      </c>
    </row>
    <row r="25256" ht="15.75" customHeight="1" spans="1:2">
      <c r="A25256" s="3" t="str">
        <f>IFERROR(__xludf.DUMMYFUNCTION("GOOGLETRANSLATE(A25256,""en"",""pt"")"),"saco da câmera opcional poderia ser mais protectora")</f>
        <v>saco da câmera opcional poderia ser mais protectora</v>
      </c>
      <c r="B25256" s="3">
        <v>0</v>
      </c>
    </row>
    <row r="25257" ht="15.75" customHeight="1" spans="1:2">
      <c r="A25257" s="3" t="str">
        <f>IFERROR(__xludf.DUMMYFUNCTION("GOOGLETRANSLATE(A25257,""en"",""pt"")"),"duro com as pilhas, tem que recarregar muitas vezes ou ter um segundo conjunto na mão")</f>
        <v>duro com as pilhas, tem que recarregar muitas vezes ou ter um segundo conjunto na mão</v>
      </c>
      <c r="B25257" s="3">
        <v>0</v>
      </c>
    </row>
    <row r="25258" ht="15.75" customHeight="1" spans="1:2">
      <c r="A25258" s="3" t="str">
        <f>IFERROR(__xludf.DUMMYFUNCTION("GOOGLETRANSLATE(A25258,""en"",""pt"")"),"Compra de energia CA externa,")</f>
        <v>Compra de energia CA externa,</v>
      </c>
      <c r="B25258" s="3">
        <v>0</v>
      </c>
    </row>
    <row r="25259" ht="15.75" customHeight="1" spans="1:2">
      <c r="A25259" s="3" t="str">
        <f>IFERROR(__xludf.DUMMYFUNCTION("GOOGLETRANSLATE(A25259,""en"",""pt"")"),"Peculiar e lento quando você precisa rápida e simples")</f>
        <v>Peculiar e lento quando você precisa rápida e simples</v>
      </c>
      <c r="B25259" s="3">
        <v>0</v>
      </c>
    </row>
    <row r="25260" ht="15.75" customHeight="1" spans="1:2">
      <c r="A25260" s="3" t="str">
        <f>IFERROR(__xludf.DUMMYFUNCTION("GOOGLETRANSLATE(A25260,""en"",""pt"")"),"Preço poderia ser melhor")</f>
        <v>Preço poderia ser melhor</v>
      </c>
      <c r="B25260" s="3">
        <v>0</v>
      </c>
    </row>
    <row r="25261" ht="15.75" customHeight="1" spans="1:2">
      <c r="A25261" s="3" t="str">
        <f>IFERROR(__xludf.DUMMYFUNCTION("GOOGLETRANSLATE(A25261,""en"",""pt"")"),"A falta de cinta de ombro, a retracção automática da lente após 8 minutos de inactividade, resposta lenta para a acção moderada sequências, tais como casamentos, etc.")</f>
        <v>A falta de cinta de ombro, a retracção automática da lente após 8 minutos de inactividade, resposta lenta para a acção moderada sequências, tais como casamentos, etc.</v>
      </c>
      <c r="B25261" s="3">
        <v>0</v>
      </c>
    </row>
    <row r="25262" ht="15.75" customHeight="1" spans="1:2">
      <c r="A25262" s="3" t="str">
        <f>IFERROR(__xludf.DUMMYFUNCTION("GOOGLETRANSLATE(A25262,""en"",""pt"")"),"Gostaria de mais Zoom")</f>
        <v>Gostaria de mais Zoom</v>
      </c>
      <c r="B25262" s="3">
        <v>0</v>
      </c>
    </row>
    <row r="25263" ht="15.75" customHeight="1" spans="1:2">
      <c r="A25263" s="3" t="str">
        <f>IFERROR(__xludf.DUMMYFUNCTION("GOOGLETRANSLATE(A25263,""en"",""pt"")"),"Um pouco volumoso, há prioridade de abertura ou de prioridade do obturador modos de exposição")</f>
        <v>Um pouco volumoso, há prioridade de abertura ou de prioridade do obturador modos de exposição</v>
      </c>
      <c r="B25263" s="3">
        <v>0</v>
      </c>
    </row>
    <row r="25264" ht="15.75" customHeight="1" spans="1:2">
      <c r="A25264" s="3" t="str">
        <f>IFERROR(__xludf.DUMMYFUNCTION("GOOGLETRANSLATE(A25264,""en"",""pt"")"),"Big quadro, por vezes, muito lento entre as imagens.")</f>
        <v>Big quadro, por vezes, muito lento entre as imagens.</v>
      </c>
      <c r="B25264" s="3">
        <v>0</v>
      </c>
    </row>
    <row r="25265" ht="15.75" customHeight="1" spans="1:2">
      <c r="A25265" s="3" t="str">
        <f>IFERROR(__xludf.DUMMYFUNCTION("GOOGLETRANSLATE(A25265,""en"",""pt"")"),"Batterys mortas depois de 40 quadros, MAJOR tempo de latência")</f>
        <v>Batterys mortas depois de 40 quadros, MAJOR tempo de latência</v>
      </c>
      <c r="B25265" s="3">
        <v>0</v>
      </c>
    </row>
    <row r="25266" ht="15.75" customHeight="1" spans="1:2">
      <c r="A25266" s="3" t="str">
        <f>IFERROR(__xludf.DUMMYFUNCTION("GOOGLETRANSLATE(A25266,""en"",""pt"")"),"confundindo seleções de recurso e confundindo reações câmera")</f>
        <v>confundindo seleções de recurso e confundindo reações câmera</v>
      </c>
      <c r="B25266" s="3">
        <v>0</v>
      </c>
    </row>
    <row r="25267" ht="15.75" customHeight="1" spans="1:2">
      <c r="A25267" s="3" t="str">
        <f>IFERROR(__xludf.DUMMYFUNCTION("GOOGLETRANSLATE(A25267,""en"",""pt"")"),"escreve lento, lento lê, lento boot-up, lento shut-down ... APENAS PLAIN SLOW")</f>
        <v>escreve lento, lento lê, lento boot-up, lento shut-down ... APENAS PLAIN SLOW</v>
      </c>
      <c r="B25267" s="3">
        <v>0</v>
      </c>
    </row>
    <row r="25268" ht="15.75" customHeight="1" spans="1:2">
      <c r="A25268" s="3" t="str">
        <f>IFERROR(__xludf.DUMMYFUNCTION("GOOGLETRANSLATE(A25268,""en"",""pt"")"),"atraso do obturador pode ser frustrante.")</f>
        <v>atraso do obturador pode ser frustrante.</v>
      </c>
      <c r="B25268" s="3">
        <v>0</v>
      </c>
    </row>
    <row r="25269" ht="15.75" customHeight="1" spans="1:2">
      <c r="A25269" s="3" t="str">
        <f>IFERROR(__xludf.DUMMYFUNCTION("GOOGLETRANSLATE(A25269,""en"",""pt"")"),"Um pouco lento no foco automático.")</f>
        <v>Um pouco lento no foco automático.</v>
      </c>
      <c r="B25269" s="3">
        <v>0</v>
      </c>
    </row>
    <row r="25270" ht="15.75" customHeight="1" spans="1:2">
      <c r="A25270" s="3" t="str">
        <f>IFERROR(__xludf.DUMMYFUNCTION("GOOGLETRANSLATE(A25270,""en"",""pt"")"),"Bateria porco, sem tampa da lente, nenhuma conexão USB")</f>
        <v>Bateria porco, sem tampa da lente, nenhuma conexão USB</v>
      </c>
      <c r="B25270" s="3">
        <v>0</v>
      </c>
    </row>
    <row r="25271" ht="15.75" customHeight="1" spans="1:2">
      <c r="A25271" s="3" t="str">
        <f>IFERROR(__xludf.DUMMYFUNCTION("GOOGLETRANSLATE(A25271,""en"",""pt"")"),"BATERIA, um pouco grande")</f>
        <v>BATERIA, um pouco grande</v>
      </c>
      <c r="B25271" s="3">
        <v>0</v>
      </c>
    </row>
    <row r="25272" ht="15.75" customHeight="1" spans="1:2">
      <c r="A25272" s="3" t="str">
        <f>IFERROR(__xludf.DUMMYFUNCTION("GOOGLETRANSLATE(A25272,""en"",""pt"")"),"A vida da bateria")</f>
        <v>A vida da bateria</v>
      </c>
      <c r="B25272" s="3">
        <v>0</v>
      </c>
    </row>
    <row r="25273" ht="15.75" customHeight="1" spans="1:2">
      <c r="A25273" s="3" t="str">
        <f>IFERROR(__xludf.DUMMYFUNCTION("GOOGLETRANSLATE(A25273,""en"",""pt"")"),"Muito curta vida útil da bateria, flash embutido é perigosamente brilhante.")</f>
        <v>Muito curta vida útil da bateria, flash embutido é perigosamente brilhante.</v>
      </c>
      <c r="B25273" s="3">
        <v>0</v>
      </c>
    </row>
    <row r="25274" ht="15.75" customHeight="1" spans="1:2">
      <c r="A25274" s="3" t="str">
        <f>IFERROR(__xludf.DUMMYFUNCTION("GOOGLETRANSLATE(A25274,""en"",""pt"")"),"Cabo de série, software pobre, pobre vida útil da bateria")</f>
        <v>Cabo de série, software pobre, pobre vida útil da bateria</v>
      </c>
      <c r="B25274" s="3">
        <v>0</v>
      </c>
    </row>
    <row r="25275" ht="15.75" customHeight="1" spans="1:2">
      <c r="A25275" s="3" t="str">
        <f>IFERROR(__xludf.DUMMYFUNCTION("GOOGLETRANSLATE(A25275,""en"",""pt"")"),"obturador.")</f>
        <v>obturador.</v>
      </c>
      <c r="B25275" s="3">
        <v>0</v>
      </c>
    </row>
    <row r="25276" ht="15.75" customHeight="1" spans="1:2">
      <c r="A25276" s="3" t="str">
        <f>IFERROR(__xludf.DUMMYFUNCTION("GOOGLETRANSLATE(A25276,""en"",""pt"")"),"olhos vermelhos, zoom deve ser usado com LCD, baterias morrem rapidamente com LCD")</f>
        <v>olhos vermelhos, zoom deve ser usado com LCD, baterias morrem rapidamente com LCD</v>
      </c>
      <c r="B25276" s="3">
        <v>0</v>
      </c>
    </row>
    <row r="25277" ht="15.75" customHeight="1" spans="1:2">
      <c r="A25277" s="3" t="str">
        <f>IFERROR(__xludf.DUMMYFUNCTION("GOOGLETRANSLATE(A25277,""en"",""pt"")"),"Suga o direito suco fora das baterias")</f>
        <v>Suga o direito suco fora das baterias</v>
      </c>
      <c r="B25277" s="3">
        <v>0</v>
      </c>
    </row>
    <row r="25278" ht="15.75" customHeight="1" spans="1:2">
      <c r="A25278" s="3" t="str">
        <f>IFERROR(__xludf.DUMMYFUNCTION("GOOGLETRANSLATE(A25278,""en"",""pt"")"),"nenhuma auto temporizador")</f>
        <v>nenhuma auto temporizador</v>
      </c>
      <c r="B25278" s="3">
        <v>0</v>
      </c>
    </row>
    <row r="25279" ht="15.75" customHeight="1" spans="1:2">
      <c r="A25279" s="3" t="str">
        <f>IFERROR(__xludf.DUMMYFUNCTION("GOOGLETRANSLATE(A25279,""en"",""pt"")"),"cabo de vídeo não incluídos, conexão serial lento para PC, nenhum timer, min resolução muito baixa")</f>
        <v>cabo de vídeo não incluídos, conexão serial lento para PC, nenhum timer, min resolução muito baixa</v>
      </c>
      <c r="B25279" s="3">
        <v>0</v>
      </c>
    </row>
    <row r="25280" ht="15.75" customHeight="1" spans="1:2">
      <c r="A25280" s="3" t="str">
        <f>IFERROR(__xludf.DUMMYFUNCTION("GOOGLETRANSLATE(A25280,""en"",""pt"")"),"Sem conexão USB")</f>
        <v>Sem conexão USB</v>
      </c>
      <c r="B25280" s="3">
        <v>0</v>
      </c>
    </row>
    <row r="25281" ht="15.75" customHeight="1" spans="1:2">
      <c r="A25281" s="3" t="str">
        <f>IFERROR(__xludf.DUMMYFUNCTION("GOOGLETRANSLATE(A25281,""en"",""pt"")"),"desgaste da bateria, carregar muito lento para PC")</f>
        <v>desgaste da bateria, carregar muito lento para PC</v>
      </c>
      <c r="B25281" s="3">
        <v>0</v>
      </c>
    </row>
    <row r="25282" ht="15.75" customHeight="1" spans="1:2">
      <c r="A25282" s="3" t="str">
        <f>IFERROR(__xludf.DUMMYFUNCTION("GOOGLETRANSLATE(A25282,""en"",""pt"")"),"transferências de porta serial ONLY, 2x de zoom digital só na ""boa"" qual, comer O AAS")</f>
        <v>transferências de porta serial ONLY, 2x de zoom digital só na "boa" qual, comer O AAS</v>
      </c>
      <c r="B25282" s="3">
        <v>0</v>
      </c>
    </row>
    <row r="25283" ht="15.75" customHeight="1" spans="1:2">
      <c r="A25283" s="3" t="str">
        <f>IFERROR(__xludf.DUMMYFUNCTION("GOOGLETRANSLATE(A25283,""en"",""pt"")"),"Para n00biez para câmeras digitais, Espere gastar $$$ em acessórios")</f>
        <v>Para n00biez para câmeras digitais, Espere gastar $$$ em acessórios</v>
      </c>
      <c r="B25283" s="3">
        <v>0</v>
      </c>
    </row>
    <row r="25284" ht="15.75" customHeight="1" spans="1:2">
      <c r="A25284" s="3" t="str">
        <f>IFERROR(__xludf.DUMMYFUNCTION("GOOGLETRANSLATE(A25284,""en"",""pt"")"),"consumo de bateria, cabo serial, só pode usar o zoom digital em baixa resolução.")</f>
        <v>consumo de bateria, cabo serial, só pode usar o zoom digital em baixa resolução.</v>
      </c>
      <c r="B25284" s="3">
        <v>0</v>
      </c>
    </row>
    <row r="25285" ht="15.75" customHeight="1" spans="1:2">
      <c r="A25285" s="3" t="str">
        <f>IFERROR(__xludf.DUMMYFUNCTION("GOOGLETRANSLATE(A25285,""en"",""pt"")"),"vida pobre da bateria, nenhuma conexão USB, a qualidade perde quando usar o zoom.")</f>
        <v>vida pobre da bateria, nenhuma conexão USB, a qualidade perde quando usar o zoom.</v>
      </c>
      <c r="B25285" s="3">
        <v>0</v>
      </c>
    </row>
    <row r="25286" ht="15.75" customHeight="1" spans="1:2">
      <c r="A25286" s="3" t="str">
        <f>IFERROR(__xludf.DUMMYFUNCTION("GOOGLETRANSLATE(A25286,""en"",""pt"")"),"Vida útil da bateria Limited., Memória incluída Limited.")</f>
        <v>Vida útil da bateria Limited., Memória incluída Limited.</v>
      </c>
      <c r="B25286" s="3">
        <v>0</v>
      </c>
    </row>
    <row r="25287" ht="15.75" customHeight="1" spans="1:2">
      <c r="A25287" s="3" t="str">
        <f>IFERROR(__xludf.DUMMYFUNCTION("GOOGLETRANSLATE(A25287,""en"",""pt"")"),"Boa qualidade, mas não melhor, uma espécie de movimento lento.")</f>
        <v>Boa qualidade, mas não melhor, uma espécie de movimento lento.</v>
      </c>
      <c r="B25287" s="3">
        <v>0</v>
      </c>
    </row>
    <row r="25288" ht="15.75" customHeight="1" spans="1:2">
      <c r="A25288" s="3" t="str">
        <f>IFERROR(__xludf.DUMMYFUNCTION("GOOGLETRANSLATE(A25288,""en"",""pt"")"),"plástico barato, ruim resolução, pobres quility pics, zoom é horrível")</f>
        <v>plástico barato, ruim resolução, pobres quility pics, zoom é horrível</v>
      </c>
      <c r="B25288" s="3">
        <v>0</v>
      </c>
    </row>
    <row r="25289" ht="15.75" customHeight="1" spans="1:2">
      <c r="A25289" s="3" t="str">
        <f>IFERROR(__xludf.DUMMYFUNCTION("GOOGLETRANSLATE(A25289,""en"",""pt"")"),"não tão elevada de pf como não gostaria")</f>
        <v>não tão elevada de pf como não gostaria</v>
      </c>
      <c r="B25289" s="3">
        <v>0</v>
      </c>
    </row>
    <row r="25290" ht="15.75" customHeight="1" spans="1:2">
      <c r="A25290" s="3" t="str">
        <f>IFERROR(__xludf.DUMMYFUNCTION("GOOGLETRANSLATE(A25290,""en"",""pt"")"),"Absolutamente devora baterias, transferências lentas para pc, piscar superexposição")</f>
        <v>Absolutamente devora baterias, transferências lentas para pc, piscar superexposição</v>
      </c>
      <c r="B25290" s="3">
        <v>0</v>
      </c>
    </row>
    <row r="25291" ht="15.75" customHeight="1" spans="1:2">
      <c r="A25291" s="3" t="str">
        <f>IFERROR(__xludf.DUMMYFUNCTION("GOOGLETRANSLATE(A25291,""en"",""pt"")"),"Bad Battery Life")</f>
        <v>Bad Battery Life</v>
      </c>
      <c r="B25291" s="3">
        <v>0</v>
      </c>
    </row>
    <row r="25292" ht="15.75" customHeight="1" spans="1:2">
      <c r="A25292" s="3" t="str">
        <f>IFERROR(__xludf.DUMMYFUNCTION("GOOGLETRANSLATE(A25292,""en"",""pt"")"),"devorador de bateria, flash muito brilhante, é um dado que você terá que comprar xtras")</f>
        <v>devorador de bateria, flash muito brilhante, é um dado que você terá que comprar xtras</v>
      </c>
      <c r="B25292" s="3">
        <v>0</v>
      </c>
    </row>
    <row r="25293" ht="15.75" customHeight="1" spans="1:2">
      <c r="A25293" s="3" t="str">
        <f>IFERROR(__xludf.DUMMYFUNCTION("GOOGLETRANSLATE(A25293,""en"",""pt"")"),"um spendy bit.")</f>
        <v>um spendy bit.</v>
      </c>
      <c r="B25293" s="3">
        <v>0</v>
      </c>
    </row>
    <row r="25294" ht="15.75" customHeight="1" spans="1:2">
      <c r="A25294" s="3" t="str">
        <f>IFERROR(__xludf.DUMMYFUNCTION("GOOGLETRANSLATE(A25294,""en"",""pt"")"),"parece barato")</f>
        <v>parece barato</v>
      </c>
      <c r="B25294" s="3">
        <v>0</v>
      </c>
    </row>
    <row r="25295" ht="15.75" customHeight="1" spans="1:2">
      <c r="A25295" s="3" t="s">
        <v>129</v>
      </c>
      <c r="B25295" s="3">
        <v>0</v>
      </c>
    </row>
    <row r="25296" ht="15.75" customHeight="1" spans="1:2">
      <c r="A25296" s="3" t="str">
        <f>IFERROR(__xludf.DUMMYFUNCTION("GOOGLETRANSLATE(A25296,""en"",""pt"")"),"Embalagem não foi até a velocidade com outros Câmera Digital Makers")</f>
        <v>Embalagem não foi até a velocidade com outros Câmera Digital Makers</v>
      </c>
      <c r="B25296" s="3">
        <v>0</v>
      </c>
    </row>
    <row r="25297" ht="15.75" customHeight="1" spans="1:2">
      <c r="A25297" s="3" t="str">
        <f>IFERROR(__xludf.DUMMYFUNCTION("GOOGLETRANSLATE(A25297,""en"",""pt"")"),"recursos limitados, a qualidade da imagem medíocre, falta de memória.")</f>
        <v>recursos limitados, a qualidade da imagem medíocre, falta de memória.</v>
      </c>
      <c r="B25297" s="3">
        <v>0</v>
      </c>
    </row>
    <row r="25298" ht="15.75" customHeight="1" spans="1:2">
      <c r="A25298" s="3" t="str">
        <f>IFERROR(__xludf.DUMMYFUNCTION("GOOGLETRANSLATE(A25298,""en"",""pt"")"),"Sem zoom. Cheapish corpo de plástico. Não vem com cartão de memória.")</f>
        <v>Sem zoom. Cheapish corpo de plástico. Não vem com cartão de memória.</v>
      </c>
      <c r="B25298" s="3">
        <v>0</v>
      </c>
    </row>
    <row r="25299" ht="15.75" customHeight="1" spans="1:2">
      <c r="A25299" s="3" t="str">
        <f>IFERROR(__xludf.DUMMYFUNCTION("GOOGLETRANSLATE(A25299,""en"",""pt"")"),"tempo de impressão lenta")</f>
        <v>tempo de impressão lenta</v>
      </c>
      <c r="B25299" s="3">
        <v>0</v>
      </c>
    </row>
    <row r="25300" ht="15.75" customHeight="1" spans="1:2">
      <c r="A25300" s="3" t="str">
        <f>IFERROR(__xludf.DUMMYFUNCTION("GOOGLETRANSLATE(A25300,""en"",""pt"")"),"Mais de tamanho necessário ,, porta serial carregador interface ,, Não Bateria")</f>
        <v>Mais de tamanho necessário ,, porta serial carregador interface ,, Não Bateria</v>
      </c>
      <c r="B25300" s="3">
        <v>0</v>
      </c>
    </row>
    <row r="25301" ht="15.75" customHeight="1" spans="1:2">
      <c r="A25301" s="3" t="str">
        <f>IFERROR(__xludf.DUMMYFUNCTION("GOOGLETRANSLATE(A25301,""en"",""pt"")"),"Falta de controle, de nível de entrada qualidade de imagem")</f>
        <v>Falta de controle, de nível de entrada qualidade de imagem</v>
      </c>
      <c r="B25301" s="3">
        <v>0</v>
      </c>
    </row>
    <row r="25302" ht="15.75" customHeight="1" spans="1:2">
      <c r="A25302" s="3" t="str">
        <f>IFERROR(__xludf.DUMMYFUNCTION("GOOGLETRANSLATE(A25302,""en"",""pt"")"),"pobre software, conexão serial, espaço de armazenamento")</f>
        <v>pobre software, conexão serial, espaço de armazenamento</v>
      </c>
      <c r="B25302" s="3">
        <v>0</v>
      </c>
    </row>
    <row r="25303" ht="15.75" customHeight="1" spans="1:2">
      <c r="A25303" s="3" t="str">
        <f>IFERROR(__xludf.DUMMYFUNCTION("GOOGLETRANSLATE(A25303,""en"",""pt"")"),"Não coisas extravagantes. memória interna pequena, mas fácil de atualizar.")</f>
        <v>Não coisas extravagantes. memória interna pequena, mas fácil de atualizar.</v>
      </c>
      <c r="B25303" s="3">
        <v>0</v>
      </c>
    </row>
    <row r="25304" ht="15.75" customHeight="1" spans="1:2">
      <c r="A25304" s="3" t="str">
        <f>IFERROR(__xludf.DUMMYFUNCTION("GOOGLETRANSLATE(A25304,""en"",""pt"")"),"nada até agora")</f>
        <v>nada até agora</v>
      </c>
      <c r="B25304" s="3">
        <v>0</v>
      </c>
    </row>
    <row r="25305" ht="15.75" customHeight="1" spans="1:2">
      <c r="A25305" s="3" t="str">
        <f>IFERROR(__xludf.DUMMYFUNCTION("GOOGLETRANSLATE(A25305,""en"",""pt"")"),"Sem tampa da lente, auto-temporizador, ou tripé soquete")</f>
        <v>Sem tampa da lente, auto-temporizador, ou tripé soquete</v>
      </c>
      <c r="B25305" s="3">
        <v>0</v>
      </c>
    </row>
    <row r="25306" ht="15.75" customHeight="1" spans="1:2">
      <c r="A25306" s="3" t="str">
        <f>IFERROR(__xludf.DUMMYFUNCTION("GOOGLETRANSLATE(A25306,""en"",""pt"")"),"Sem tampa da lente, sem um adaptador AC, conexão serial, volumoso")</f>
        <v>Sem tampa da lente, sem um adaptador AC, conexão serial, volumoso</v>
      </c>
      <c r="B25306" s="3">
        <v>0</v>
      </c>
    </row>
    <row r="25307" ht="15.75" customHeight="1" spans="1:2">
      <c r="A25307" s="3" t="str">
        <f>IFERROR(__xludf.DUMMYFUNCTION("GOOGLETRANSLATE(A25307,""en"",""pt"")"),"nenhum adaptador AC, nenhum caso a lente de proteção, apenas 2 MB para armazenar fotos")</f>
        <v>nenhum adaptador AC, nenhum caso a lente de proteção, apenas 2 MB para armazenar fotos</v>
      </c>
      <c r="B25307" s="3">
        <v>0</v>
      </c>
    </row>
    <row r="25308" ht="15.75" customHeight="1" spans="1:2">
      <c r="A25308" s="3" t="str">
        <f>IFERROR(__xludf.DUMMYFUNCTION("GOOGLETRANSLATE(A25308,""en"",""pt"")"),"Armazenamento de arranque pequeno, médio. Qualidade de Imagem, Flaky Zoom")</f>
        <v>Armazenamento de arranque pequeno, médio. Qualidade de Imagem, Flaky Zoom</v>
      </c>
      <c r="B25308" s="3">
        <v>0</v>
      </c>
    </row>
    <row r="25309" ht="15.75" customHeight="1" spans="1:2">
      <c r="A25309" s="3" t="str">
        <f>IFERROR(__xludf.DUMMYFUNCTION("GOOGLETRANSLATE(A25309,""en"",""pt"")"),"vida útil da bateria terrível &amp; amp, software empacotado horrível")</f>
        <v>vida útil da bateria terrível &amp; amp, software empacotado horrível</v>
      </c>
      <c r="B25309" s="3">
        <v>0</v>
      </c>
    </row>
    <row r="25310" ht="15.75" customHeight="1" spans="1:2">
      <c r="A25310" s="3" t="str">
        <f>IFERROR(__xludf.DUMMYFUNCTION("GOOGLETRANSLATE(A25310,""en"",""pt"")"),"Não pode ampliar fotos, sem zoom óptico")</f>
        <v>Não pode ampliar fotos, sem zoom óptico</v>
      </c>
      <c r="B25310" s="3">
        <v>0</v>
      </c>
    </row>
    <row r="25311" ht="15.75" customHeight="1" spans="1:2">
      <c r="A25311" s="3" t="str">
        <f>IFERROR(__xludf.DUMMYFUNCTION("GOOGLETRANSLATE(A25311,""en"",""pt"")"),"nenhuma auto-timer, tampa da lente ou conexão USB")</f>
        <v>nenhuma auto-timer, tampa da lente ou conexão USB</v>
      </c>
      <c r="B25311" s="3">
        <v>0</v>
      </c>
    </row>
    <row r="25312" ht="15.75" customHeight="1" spans="1:2">
      <c r="A25312" s="3" t="str">
        <f>IFERROR(__xludf.DUMMYFUNCTION("GOOGLETRANSLATE(A25312,""en"",""pt"")"),"Não Temporizador.")</f>
        <v>Não Temporizador.</v>
      </c>
      <c r="B25312" s="3">
        <v>0</v>
      </c>
    </row>
    <row r="25313" ht="15.75" customHeight="1" spans="1:2">
      <c r="A25313" s="3" t="str">
        <f>IFERROR(__xludf.DUMMYFUNCTION("GOOGLETRANSLATE(A25313,""en"",""pt"")"),"Muito pouco de armazenamento, não adaptador AC, usa muita baterias.")</f>
        <v>Muito pouco de armazenamento, não adaptador AC, usa muita baterias.</v>
      </c>
      <c r="B25313" s="3">
        <v>0</v>
      </c>
    </row>
    <row r="25314" ht="15.75" customHeight="1" spans="1:2">
      <c r="A25314" s="3" t="str">
        <f>IFERROR(__xludf.DUMMYFUNCTION("GOOGLETRANSLATE(A25314,""en"",""pt"")"),"usa um monte de baterias")</f>
        <v>usa um monte de baterias</v>
      </c>
      <c r="B25314" s="3">
        <v>0</v>
      </c>
    </row>
    <row r="25315" ht="15.75" customHeight="1" spans="1:2">
      <c r="A25315" s="3" t="str">
        <f>IFERROR(__xludf.DUMMYFUNCTION("GOOGLETRANSLATE(A25315,""en"",""pt"")"),"A bateria não durou muito tempo.")</f>
        <v>A bateria não durou muito tempo.</v>
      </c>
      <c r="B25315" s="3">
        <v>0</v>
      </c>
    </row>
    <row r="25316" ht="15.75" customHeight="1" spans="1:2">
      <c r="A25316" s="3" t="str">
        <f>IFERROR(__xludf.DUMMYFUNCTION("GOOGLETRANSLATE(A25316,""en"",""pt"")"),"O flash atômica, memória")</f>
        <v>O flash atômica, memória</v>
      </c>
      <c r="B25316" s="3">
        <v>0</v>
      </c>
    </row>
    <row r="25317" ht="15.75" customHeight="1" spans="1:2">
      <c r="A25317" s="3" t="str">
        <f>IFERROR(__xludf.DUMMYFUNCTION("GOOGLETRANSLATE(A25317,""en"",""pt"")"),"Sem tampa da lente, mas disponível a partir de Kodak gratuitamente, mediante solicitação.")</f>
        <v>Sem tampa da lente, mas disponível a partir de Kodak gratuitamente, mediante solicitação.</v>
      </c>
      <c r="B25317" s="3">
        <v>0</v>
      </c>
    </row>
    <row r="25318" ht="15.75" customHeight="1" spans="1:2">
      <c r="A25318" s="3" t="str">
        <f>IFERROR(__xludf.DUMMYFUNCTION("GOOGLETRANSLATE(A25318,""en"",""pt"")"),"imagem de impressão ruim, lenta do obturador")</f>
        <v>imagem de impressão ruim, lenta do obturador</v>
      </c>
      <c r="B25318" s="3">
        <v>0</v>
      </c>
    </row>
    <row r="25319" ht="15.75" customHeight="1" spans="1:2">
      <c r="A25319" s="3" t="str">
        <f>IFERROR(__xludf.DUMMYFUNCTION("GOOGLETRANSLATE(A25319,""en"",""pt"")"),"Sem tripé, sem auto-timer, software empacotado pobres.")</f>
        <v>Sem tripé, sem auto-timer, software empacotado pobres.</v>
      </c>
      <c r="B25319" s="3">
        <v>0</v>
      </c>
    </row>
    <row r="25320" ht="15.75" customHeight="1" spans="1:2">
      <c r="A25320" s="3" t="str">
        <f>IFERROR(__xludf.DUMMYFUNCTION("GOOGLETRANSLATE(A25320,""en"",""pt"")"),"Não pilhas de memória, comedor da bateria.")</f>
        <v>Não pilhas de memória, comedor da bateria.</v>
      </c>
      <c r="B25320" s="3">
        <v>0</v>
      </c>
    </row>
    <row r="25321" ht="15.75" customHeight="1" spans="1:2">
      <c r="A25321" s="3" t="str">
        <f>IFERROR(__xludf.DUMMYFUNCTION("GOOGLETRANSLATE(A25321,""en"",""pt"")"),"uploads lento para computador")</f>
        <v>uploads lento para computador</v>
      </c>
      <c r="B25321" s="3">
        <v>0</v>
      </c>
    </row>
    <row r="25322" ht="15.75" customHeight="1" spans="1:2">
      <c r="A25322" s="3" t="str">
        <f>IFERROR(__xludf.DUMMYFUNCTION("GOOGLETRANSLATE(A25322,""en"",""pt"")"),"Muito pouco. pacote de software, a vida da bateria.")</f>
        <v>Muito pouco. pacote de software, a vida da bateria.</v>
      </c>
      <c r="B25322" s="3">
        <v>0</v>
      </c>
    </row>
    <row r="25323" ht="15.75" customHeight="1" spans="1:2">
      <c r="A25323" s="3" t="str">
        <f>IFERROR(__xludf.DUMMYFUNCTION("GOOGLETRANSLATE(A25323,""en"",""pt"")"),"Compact Flash Card baterias muito pequenas e recarregáveis ​​não incluído.")</f>
        <v>Compact Flash Card baterias muito pequenas e recarregáveis ​​não incluído.</v>
      </c>
      <c r="B25323" s="3">
        <v>0</v>
      </c>
    </row>
    <row r="25324" ht="15.75" customHeight="1" spans="1:2">
      <c r="A25324" s="3" t="str">
        <f>IFERROR(__xludf.DUMMYFUNCTION("GOOGLETRANSLATE(A25324,""en"",""pt"")"),"A vida da bateria, zoom limitado, deve pelo menos vem com um estojo de transporte.")</f>
        <v>A vida da bateria, zoom limitado, deve pelo menos vem com um estojo de transporte.</v>
      </c>
      <c r="B25324" s="3">
        <v>0</v>
      </c>
    </row>
    <row r="25325" ht="15.75" customHeight="1" spans="1:2">
      <c r="A25325" s="3" t="str">
        <f>IFERROR(__xludf.DUMMYFUNCTION("GOOGLETRANSLATE(A25325,""en"",""pt"")"),"Mina aconteceu com mau funcionamento, mas o problema foi fixas prontamente")</f>
        <v>Mina aconteceu com mau funcionamento, mas o problema foi fixas prontamente</v>
      </c>
      <c r="B25325" s="3">
        <v>0</v>
      </c>
    </row>
    <row r="25326" ht="15.75" customHeight="1" spans="1:2">
      <c r="A25326" s="3" t="str">
        <f>IFERROR(__xludf.DUMMYFUNCTION("GOOGLETRANSLATE(A25326,""en"",""pt"")"),"tempo de atraso do obturador")</f>
        <v>tempo de atraso do obturador</v>
      </c>
      <c r="B25326" s="3">
        <v>0</v>
      </c>
    </row>
    <row r="25327" ht="15.75" customHeight="1" spans="1:2">
      <c r="A25327" s="3" t="str">
        <f>IFERROR(__xludf.DUMMYFUNCTION("GOOGLETRANSLATE(A25327,""en"",""pt"")"),"Um pouco caro para 2 megapixels, memória apenas 8MB incluídos e há pilhas recarregáveis.")</f>
        <v>Um pouco caro para 2 megapixels, memória apenas 8MB incluídos e há pilhas recarregáveis.</v>
      </c>
      <c r="B25327" s="3">
        <v>0</v>
      </c>
    </row>
    <row r="25328" ht="15.75" customHeight="1" spans="1:2">
      <c r="A25328" s="3" t="str">
        <f>IFERROR(__xludf.DUMMYFUNCTION("GOOGLETRANSLATE(A25328,""en"",""pt"")"),"vida pobre da bateria, não built-in carregador de bateria, software PODRE")</f>
        <v>vida pobre da bateria, não built-in carregador de bateria, software PODRE</v>
      </c>
      <c r="B25328" s="3">
        <v>0</v>
      </c>
    </row>
    <row r="25329" ht="15.75" customHeight="1" spans="1:2">
      <c r="A25329" s="3" t="str">
        <f>IFERROR(__xludf.DUMMYFUNCTION("GOOGLETRANSLATE(A25329,""en"",""pt"")"),"grande tamanho, somente o zoom óptico de 2X")</f>
        <v>grande tamanho, somente o zoom óptico de 2X</v>
      </c>
      <c r="B25329" s="3">
        <v>0</v>
      </c>
    </row>
    <row r="25330" ht="15.75" customHeight="1" spans="1:2">
      <c r="A25330" s="3" t="str">
        <f>IFERROR(__xludf.DUMMYFUNCTION("GOOGLETRANSLATE(A25330,""en"",""pt"")"),"Mais pesada do que a minha câmera normal de 35 mm.")</f>
        <v>Mais pesada do que a minha câmera normal de 35 mm.</v>
      </c>
      <c r="B25330" s="3">
        <v>0</v>
      </c>
    </row>
    <row r="25331" ht="15.75" customHeight="1" spans="1:2">
      <c r="A25331" s="3" t="str">
        <f>IFERROR(__xludf.DUMMYFUNCTION("GOOGLETRANSLATE(A25331,""en"",""pt"")"),"não durabilidade, baixa vida útil da bateria, leva um longo tomo para salvar pics, única 2x de zoom")</f>
        <v>não durabilidade, baixa vida útil da bateria, leva um longo tomo para salvar pics, única 2x de zoom</v>
      </c>
      <c r="B25331" s="3">
        <v>0</v>
      </c>
    </row>
    <row r="25332" ht="15.75" customHeight="1" spans="1:2">
      <c r="A25332" s="3" t="str">
        <f>IFERROR(__xludf.DUMMYFUNCTION("GOOGLETRANSLATE(A25332,""en"",""pt"")"),"Um pouco pesado, a qualidade da imagem no modo de zoom não é muito bom, lagggg")</f>
        <v>Um pouco pesado, a qualidade da imagem no modo de zoom não é muito bom, lagggg</v>
      </c>
      <c r="B25332" s="3">
        <v>0</v>
      </c>
    </row>
    <row r="25333" ht="15.75" customHeight="1" spans="1:2">
      <c r="A25333" s="3" t="str">
        <f>IFERROR(__xludf.DUMMYFUNCTION("GOOGLETRANSLATE(A25333,""en"",""pt"")"),"LCD pode ser difícil de ver à luz do dia, o uso de pilhas rápido, somente o zoom óptico de 2X")</f>
        <v>LCD pode ser difícil de ver à luz do dia, o uso de pilhas rápido, somente o zoom óptico de 2X</v>
      </c>
      <c r="B25333" s="3">
        <v>0</v>
      </c>
    </row>
    <row r="25334" ht="15.75" customHeight="1" spans="1:2">
      <c r="A25334" s="3" t="str">
        <f>IFERROR(__xludf.DUMMYFUNCTION("GOOGLETRANSLATE(A25334,""en"",""pt"")"),"Vem com cr * programa ppa editor de fotos,")</f>
        <v>Vem com cr * programa ppa editor de fotos,</v>
      </c>
      <c r="B25334" s="3">
        <v>0</v>
      </c>
    </row>
    <row r="25335" ht="15.75" customHeight="1" spans="1:2">
      <c r="A25335" s="3" t="str">
        <f>IFERROR(__xludf.DUMMYFUNCTION("GOOGLETRANSLATE(A25335,""en"",""pt"")"),"Kodak deve incluir um adaptador AC, baterias recarregáveis ​​e recarregador.")</f>
        <v>Kodak deve incluir um adaptador AC, baterias recarregáveis ​​e recarregador.</v>
      </c>
      <c r="B25335" s="3">
        <v>0</v>
      </c>
    </row>
    <row r="25336" ht="15.75" customHeight="1" spans="1:2">
      <c r="A25336" s="3" t="str">
        <f>IFERROR(__xludf.DUMMYFUNCTION("GOOGLETRANSLATE(A25336,""en"",""pt"")"),"Um pouco caro")</f>
        <v>Um pouco caro</v>
      </c>
      <c r="B25336" s="3">
        <v>0</v>
      </c>
    </row>
    <row r="25337" ht="15.75" customHeight="1" spans="1:2">
      <c r="A25337" s="3" t="str">
        <f>IFERROR(__xludf.DUMMYFUNCTION("GOOGLETRANSLATE(A25337,""en"",""pt"")"),"Come a bateria rapidamente.")</f>
        <v>Come a bateria rapidamente.</v>
      </c>
      <c r="B25337" s="3">
        <v>0</v>
      </c>
    </row>
    <row r="25338" ht="15.75" customHeight="1" spans="1:2">
      <c r="A25338" s="3" t="str">
        <f>IFERROR(__xludf.DUMMYFUNCTION("GOOGLETRANSLATE(A25338,""en"",""pt"")"),"A vida da bateria, nenhum software de edição de imagem")</f>
        <v>A vida da bateria, nenhum software de edição de imagem</v>
      </c>
      <c r="B25338" s="3">
        <v>0</v>
      </c>
    </row>
    <row r="25339" ht="15.75" customHeight="1" spans="1:2">
      <c r="A25339" s="3" t="str">
        <f>IFERROR(__xludf.DUMMYFUNCTION("GOOGLETRANSLATE(A25339,""en"",""pt"")"),"vida útil da bateria horrível, gráficos inúteis edição do programa, nenhum adaptador AC incluído")</f>
        <v>vida útil da bateria horrível, gráficos inúteis edição do programa, nenhum adaptador AC incluído</v>
      </c>
      <c r="B25339" s="3">
        <v>0</v>
      </c>
    </row>
    <row r="25340" ht="15.75" customHeight="1" spans="1:2">
      <c r="A25340" s="3" t="str">
        <f>IFERROR(__xludf.DUMMYFUNCTION("GOOGLETRANSLATE(A25340,""en"",""pt"")"),"A vida da bateria; 8 MB cartão de memória.")</f>
        <v>A vida da bateria; 8 MB cartão de memória.</v>
      </c>
      <c r="B25340" s="3">
        <v>0</v>
      </c>
    </row>
    <row r="25341" ht="15.75" customHeight="1" spans="1:2">
      <c r="A25341" s="3" t="str">
        <f>IFERROR(__xludf.DUMMYFUNCTION("GOOGLETRANSLATE(A25341,""en"",""pt"")"),"* Às vezes lento escrita à Memória &amp; amp; # 13; &amp; amp; # 10; * Mais botões seria útil")</f>
        <v>* Às vezes lento escrita à Memória &amp; amp; # 13; &amp; amp; # 10; * Mais botões seria útil</v>
      </c>
      <c r="B25341" s="3">
        <v>0</v>
      </c>
    </row>
    <row r="25342" ht="15.75" customHeight="1" spans="1:2">
      <c r="A25342" s="3" t="str">
        <f>IFERROR(__xludf.DUMMYFUNCTION("GOOGLETRANSLATE(A25342,""en"",""pt"")"),"Um pouco volumoso")</f>
        <v>Um pouco volumoso</v>
      </c>
      <c r="B25342" s="3">
        <v>0</v>
      </c>
    </row>
    <row r="25343" ht="15.75" customHeight="1" spans="1:2">
      <c r="A25343" s="3" t="str">
        <f>IFERROR(__xludf.DUMMYFUNCTION("GOOGLETRANSLATE(A25343,""en"",""pt"")"),"Baixo Zoom, Opções")</f>
        <v>Baixo Zoom, Opções</v>
      </c>
      <c r="B25343" s="3">
        <v>0</v>
      </c>
    </row>
    <row r="25344" ht="15.75" customHeight="1" spans="1:2">
      <c r="A25344" s="3" t="str">
        <f>IFERROR(__xludf.DUMMYFUNCTION("GOOGLETRANSLATE(A25344,""en"",""pt"")"),"Confundindo variedade de modelos")</f>
        <v>Confundindo variedade de modelos</v>
      </c>
      <c r="B25344" s="3">
        <v>0</v>
      </c>
    </row>
    <row r="25345" ht="15.75" customHeight="1" spans="1:2">
      <c r="A25345" s="3" t="str">
        <f>IFERROR(__xludf.DUMMYFUNCTION("GOOGLETRANSLATE(A25345,""en"",""pt"")"),"baterias vão rapidamente")</f>
        <v>baterias vão rapidamente</v>
      </c>
      <c r="B25345" s="3">
        <v>0</v>
      </c>
    </row>
    <row r="25346" ht="15.75" customHeight="1" spans="1:2">
      <c r="A25346" s="3" t="str">
        <f>IFERROR(__xludf.DUMMYFUNCTION("GOOGLETRANSLATE(A25346,""en"",""pt"")"),"Falta de apoio conhecedor da Kodak")</f>
        <v>Falta de apoio conhecedor da Kodak</v>
      </c>
      <c r="B25346" s="3">
        <v>0</v>
      </c>
    </row>
    <row r="25347" ht="15.75" customHeight="1" spans="1:2">
      <c r="A25347" s="3" t="str">
        <f>IFERROR(__xludf.DUMMYFUNCTION("GOOGLETRANSLATE(A25347,""en"",""pt"")"),"O LCD se acende automaticamente")</f>
        <v>O LCD se acende automaticamente</v>
      </c>
      <c r="B25347" s="3">
        <v>0</v>
      </c>
    </row>
    <row r="25348" ht="15.75" customHeight="1" spans="1:2">
      <c r="A25348" s="3" t="str">
        <f>IFERROR(__xludf.DUMMYFUNCTION("GOOGLETRANSLATE(A25348,""en"",""pt"")"),"Nenhum")</f>
        <v>Nenhum</v>
      </c>
      <c r="B25348" s="3">
        <v>0</v>
      </c>
    </row>
    <row r="25349" ht="15.75" customHeight="1" spans="1:2">
      <c r="A25349" s="3" t="str">
        <f>IFERROR(__xludf.DUMMYFUNCTION("GOOGLETRANSLATE(A25349,""en"",""pt"")"),"LCD poderia ser colocado de forma diferente.")</f>
        <v>LCD poderia ser colocado de forma diferente.</v>
      </c>
      <c r="B25349" s="3">
        <v>0</v>
      </c>
    </row>
    <row r="25350" ht="15.75" customHeight="1" spans="1:2">
      <c r="A25350" s="3" t="str">
        <f>IFERROR(__xludf.DUMMYFUNCTION("GOOGLETRANSLATE(A25350,""en"",""pt"")"),"8 cartão meg é muito pequeno, close-ups borradas")</f>
        <v>8 cartão meg é muito pequeno, close-ups borradas</v>
      </c>
      <c r="B25350" s="3">
        <v>0</v>
      </c>
    </row>
    <row r="25351" ht="15.75" customHeight="1" spans="1:2">
      <c r="A25351" s="3" t="str">
        <f>IFERROR(__xludf.DUMMYFUNCTION("GOOGLETRANSLATE(A25351,""en"",""pt"")"),"bateria de alto uso, disponibilidade de acessórios de baixa")</f>
        <v>bateria de alto uso, disponibilidade de acessórios de baixa</v>
      </c>
      <c r="B25351" s="3">
        <v>0</v>
      </c>
    </row>
    <row r="25352" ht="15.75" customHeight="1" spans="1:2">
      <c r="A25352" s="3" t="str">
        <f>IFERROR(__xludf.DUMMYFUNCTION("GOOGLETRANSLATE(A25352,""en"",""pt"")"),"display pode ser difícil de ver à luz do dia, com fome de poder")</f>
        <v>display pode ser difícil de ver à luz do dia, com fome de poder</v>
      </c>
      <c r="B25352" s="3">
        <v>0</v>
      </c>
    </row>
    <row r="25353" ht="15.75" customHeight="1" spans="1:2">
      <c r="A25353" s="3" t="str">
        <f>IFERROR(__xludf.DUMMYFUNCTION("GOOGLETRANSLATE(A25353,""en"",""pt"")"),"As baterias não duram")</f>
        <v>As baterias não duram</v>
      </c>
      <c r="B25353" s="3">
        <v>0</v>
      </c>
    </row>
    <row r="25354" ht="15.75" customHeight="1" spans="1:2">
      <c r="A25354" s="3" t="str">
        <f>IFERROR(__xludf.DUMMYFUNCTION("GOOGLETRANSLATE(A25354,""en"",""pt"")"),"Nenhum")</f>
        <v>Nenhum</v>
      </c>
      <c r="B25354" s="3">
        <v>0</v>
      </c>
    </row>
    <row r="25355" ht="15.75" customHeight="1" spans="1:2">
      <c r="A25355" s="3" t="str">
        <f>IFERROR(__xludf.DUMMYFUNCTION("GOOGLETRANSLATE(A25355,""en"",""pt"")"),"tela LCD difícil de ver na luz solar")</f>
        <v>tela LCD difícil de ver na luz solar</v>
      </c>
      <c r="B25355" s="3">
        <v>0</v>
      </c>
    </row>
    <row r="25356" ht="15.75" customHeight="1" spans="1:2">
      <c r="A25356" s="3" t="str">
        <f>IFERROR(__xludf.DUMMYFUNCTION("GOOGLETRANSLATE(A25356,""en"",""pt"")"),"cartão de memória não é grande o suficiente e sem baterias recarregáveis.")</f>
        <v>cartão de memória não é grande o suficiente e sem baterias recarregáveis.</v>
      </c>
      <c r="B25356" s="3">
        <v>0</v>
      </c>
    </row>
    <row r="25357" ht="15.75" customHeight="1" spans="1:2">
      <c r="A25357" s="3" t="str">
        <f>IFERROR(__xludf.DUMMYFUNCTION("GOOGLETRANSLATE(A25357,""en"",""pt"")"),"8 Meg cartão muito pequeno, Close up difusa. Flash e vida útil da bateria é pobre")</f>
        <v>8 Meg cartão muito pequeno, Close up difusa. Flash e vida útil da bateria é pobre</v>
      </c>
      <c r="B25357" s="3">
        <v>0</v>
      </c>
    </row>
    <row r="25358" ht="15.75" customHeight="1" spans="1:2">
      <c r="A25358" s="3" t="str">
        <f>IFERROR(__xludf.DUMMYFUNCTION("GOOGLETRANSLATE(A25358,""en"",""pt"")"),"Close-ups pode ficar desfocada, às vezes.")</f>
        <v>Close-ups pode ficar desfocada, às vezes.</v>
      </c>
      <c r="B25358" s="3">
        <v>0</v>
      </c>
    </row>
    <row r="25359" ht="15.75" customHeight="1" spans="1:2">
      <c r="A25359" s="3" t="str">
        <f>IFERROR(__xludf.DUMMYFUNCTION("GOOGLETRANSLATE(A25359,""en"",""pt"")"),"Pobre Vida útil da bateria, Pesado")</f>
        <v>Pobre Vida útil da bateria, Pesado</v>
      </c>
      <c r="B25359" s="3">
        <v>0</v>
      </c>
    </row>
    <row r="25360" ht="15.75" customHeight="1" spans="1:2">
      <c r="A25360" s="3" t="str">
        <f>IFERROR(__xludf.DUMMYFUNCTION("GOOGLETRANSLATE(A25360,""en"",""pt"")"),"Tela LCD é colocado estranhamente, conexão pinos estúpido, sobre pinos de tempo irá dobrar.")</f>
        <v>Tela LCD é colocado estranhamente, conexão pinos estúpido, sobre pinos de tempo irá dobrar.</v>
      </c>
      <c r="B25360" s="3">
        <v>0</v>
      </c>
    </row>
    <row r="25361" ht="15.75" customHeight="1" spans="1:2">
      <c r="A25361" s="3" t="str">
        <f>IFERROR(__xludf.DUMMYFUNCTION("GOOGLETRANSLATE(A25361,""en"",""pt"")"),"Pode ser confuso para usar, não elegante procurando, baterias não duradouro.")</f>
        <v>Pode ser confuso para usar, não elegante procurando, baterias não duradouro.</v>
      </c>
      <c r="B25361" s="3">
        <v>0</v>
      </c>
    </row>
    <row r="25362" ht="15.75" customHeight="1" spans="1:2">
      <c r="A25362" s="3" t="str">
        <f>IFERROR(__xludf.DUMMYFUNCTION("GOOGLETRANSLATE(A25362,""en"",""pt"")"),"preço, comprou-o por causa da oferta de desconto que nunca se desenvolveu.")</f>
        <v>preço, comprou-o por causa da oferta de desconto que nunca se desenvolveu.</v>
      </c>
      <c r="B25362" s="3">
        <v>0</v>
      </c>
    </row>
    <row r="25363" ht="15.75" customHeight="1" spans="1:2">
      <c r="A25363" s="3" t="str">
        <f>IFERROR(__xludf.DUMMYFUNCTION("GOOGLETRANSLATE(A25363,""en"",""pt"")"),"A vida da bateria é superficial.")</f>
        <v>A vida da bateria é superficial.</v>
      </c>
      <c r="B25363" s="3">
        <v>0</v>
      </c>
    </row>
    <row r="25364" ht="15.75" customHeight="1" spans="1:2">
      <c r="A25364" s="3" t="str">
        <f>IFERROR(__xludf.DUMMYFUNCTION("GOOGLETRANSLATE(A25364,""en"",""pt"")"),"curta duração da bateria, nenhum foco manual, software Kodak edição de fotos é pobre")</f>
        <v>curta duração da bateria, nenhum foco manual, software Kodak edição de fotos é pobre</v>
      </c>
      <c r="B25364" s="3">
        <v>0</v>
      </c>
    </row>
    <row r="25365" ht="15.75" customHeight="1" spans="1:2">
      <c r="A25365" s="3" t="str">
        <f>IFERROR(__xludf.DUMMYFUNCTION("GOOGLETRANSLATE(A25365,""en"",""pt"")"),"A vida da bateria poderia ser melhor. discos de armazenamento um pouco inadequada.")</f>
        <v>A vida da bateria poderia ser melhor. discos de armazenamento um pouco inadequada.</v>
      </c>
      <c r="B25365" s="3">
        <v>0</v>
      </c>
    </row>
    <row r="25366" ht="15.75" customHeight="1" spans="1:2">
      <c r="A25366" s="3" t="str">
        <f>IFERROR(__xludf.DUMMYFUNCTION("GOOGLETRANSLATE(A25366,""en"",""pt"")"),"Nighttime fotografia é fraco, mesmo com o flash")</f>
        <v>Nighttime fotografia é fraco, mesmo com o flash</v>
      </c>
      <c r="B25366" s="3">
        <v>0</v>
      </c>
    </row>
    <row r="25367" ht="15.75" customHeight="1" spans="1:2">
      <c r="A25367" s="3" t="str">
        <f>IFERROR(__xludf.DUMMYFUNCTION("GOOGLETRANSLATE(A25367,""en"",""pt"")"),"Numerosas configurações podem ser confusas para o usuário casual.")</f>
        <v>Numerosas configurações podem ser confusas para o usuário casual.</v>
      </c>
      <c r="B25367" s="3">
        <v>0</v>
      </c>
    </row>
    <row r="25368" ht="15.75" customHeight="1" spans="1:2">
      <c r="A25368" s="3" t="str">
        <f>IFERROR(__xludf.DUMMYFUNCTION("GOOGLETRANSLATE(A25368,""en"",""pt"")"),"Low-light operação um pouco mais complicado, zoom poderia ser melhor")</f>
        <v>Low-light operação um pouco mais complicado, zoom poderia ser melhor</v>
      </c>
      <c r="B25368" s="3">
        <v>0</v>
      </c>
    </row>
    <row r="25369" ht="15.75" customHeight="1" spans="1:2">
      <c r="A25369" s="3" t="str">
        <f>IFERROR(__xludf.DUMMYFUNCTION("GOOGLETRANSLATE(A25369,""en"",""pt"")"),"Tive que comprar um Compact Flash Card maior")</f>
        <v>Tive que comprar um Compact Flash Card maior</v>
      </c>
      <c r="B25369" s="3">
        <v>0</v>
      </c>
    </row>
    <row r="25370" ht="15.75" customHeight="1" spans="1:2">
      <c r="A25370" s="3" t="str">
        <f>IFERROR(__xludf.DUMMYFUNCTION("GOOGLETRANSLATE(A25370,""en"",""pt"")"),"cartão de memória pequeno incluídos, recursos avançados exigem mais tempo para aprender")</f>
        <v>cartão de memória pequeno incluídos, recursos avançados exigem mais tempo para aprender</v>
      </c>
      <c r="B25370" s="3">
        <v>0</v>
      </c>
    </row>
    <row r="25371" ht="15.75" customHeight="1" spans="1:2">
      <c r="A25371" s="3" t="str">
        <f>IFERROR(__xludf.DUMMYFUNCTION("GOOGLETRANSLATE(A25371,""en"",""pt"")"),"Pobre flash embutido. Pouca flexibilidade nas configurações. Estabilidade em questão.")</f>
        <v>Pobre flash embutido. Pouca flexibilidade nas configurações. Estabilidade em questão.</v>
      </c>
      <c r="B25371" s="3">
        <v>0</v>
      </c>
    </row>
    <row r="25372" ht="15.75" customHeight="1" spans="1:2">
      <c r="A25372" s="3" t="str">
        <f>IFERROR(__xludf.DUMMYFUNCTION("GOOGLETRANSLATE(A25372,""en"",""pt"")"),"alguns pequenos, ler a resenha!")</f>
        <v>alguns pequenos, ler a resenha!</v>
      </c>
      <c r="B25372" s="3">
        <v>0</v>
      </c>
    </row>
    <row r="25373" ht="15.75" customHeight="1" spans="1:2">
      <c r="A25373" s="3" t="str">
        <f>IFERROR(__xludf.DUMMYFUNCTION("GOOGLETRANSLATE(A25373,""en"",""pt"")"),"Pode congelar-se de vez em quando")</f>
        <v>Pode congelar-se de vez em quando</v>
      </c>
      <c r="B25373" s="3">
        <v>0</v>
      </c>
    </row>
    <row r="25374" ht="15.75" customHeight="1" spans="1:2">
      <c r="A25374" s="3" t="str">
        <f>IFERROR(__xludf.DUMMYFUNCTION("GOOGLETRANSLATE(A25374,""en"",""pt"")"),"Decepcionante. capacidades pobres de baixa luz; qualidade esporádica de imagens.")</f>
        <v>Decepcionante. capacidades pobres de baixa luz; qualidade esporádica de imagens.</v>
      </c>
      <c r="B25374" s="3">
        <v>0</v>
      </c>
    </row>
    <row r="25375" ht="15.75" customHeight="1" spans="1:2">
      <c r="A25375" s="3" t="str">
        <f>IFERROR(__xludf.DUMMYFUNCTION("GOOGLETRANSLATE(A25375,""en"",""pt"")"),"ainda não tão boa qualidade como o filme")</f>
        <v>ainda não tão boa qualidade como o filme</v>
      </c>
      <c r="B25375" s="3">
        <v>0</v>
      </c>
    </row>
    <row r="25376" ht="15.75" customHeight="1" spans="1:2">
      <c r="A25376" s="3" t="str">
        <f>IFERROR(__xludf.DUMMYFUNCTION("GOOGLETRANSLATE(A25376,""en"",""pt"")"),"triste qualidade de imagem, a má construção, flash fraco, HORRÍVEL LCD")</f>
        <v>triste qualidade de imagem, a má construção, flash fraco, HORRÍVEL LCD</v>
      </c>
      <c r="B25376" s="3">
        <v>0</v>
      </c>
    </row>
    <row r="25377" ht="15.75" customHeight="1" spans="1:2">
      <c r="A25377" s="3" t="str">
        <f>IFERROR(__xludf.DUMMYFUNCTION("GOOGLETRANSLATE(A25377,""en"",""pt"")"),"porcaria cartão de estoque CF, pobre florecent desempenho de luz")</f>
        <v>porcaria cartão de estoque CF, pobre florecent desempenho de luz</v>
      </c>
      <c r="B25377" s="3">
        <v>0</v>
      </c>
    </row>
    <row r="25378" ht="15.75" customHeight="1" spans="1:2">
      <c r="A25378" s="3" t="str">
        <f>IFERROR(__xludf.DUMMYFUNCTION("GOOGLETRANSLATE(A25378,""en"",""pt"")"),"Bad pouca luz fotos")</f>
        <v>Bad pouca luz fotos</v>
      </c>
      <c r="B25378" s="3">
        <v>0</v>
      </c>
    </row>
    <row r="25379" ht="15.75" customHeight="1" spans="1:2">
      <c r="A25379" s="3" t="str">
        <f>IFERROR(__xludf.DUMMYFUNCTION("GOOGLETRANSLATE(A25379,""en"",""pt"")"),"Custa muito caro, Compact Flash")</f>
        <v>Custa muito caro, Compact Flash</v>
      </c>
      <c r="B25379" s="3">
        <v>0</v>
      </c>
    </row>
    <row r="25380" ht="15.75" customHeight="1" spans="1:2">
      <c r="A25380" s="3" t="str">
        <f>IFERROR(__xludf.DUMMYFUNCTION("GOOGLETRANSLATE(A25380,""en"",""pt"")"),"bateria proprietory")</f>
        <v>bateria proprietory</v>
      </c>
      <c r="B25380" s="3">
        <v>0</v>
      </c>
    </row>
    <row r="25381" ht="15.75" customHeight="1" spans="1:2">
      <c r="A25381" s="3" t="str">
        <f>IFERROR(__xludf.DUMMYFUNCTION("GOOGLETRANSLATE(A25381,""en"",""pt"")"),"tampa da lente é pesado, fácil de perder")</f>
        <v>tampa da lente é pesado, fácil de perder</v>
      </c>
      <c r="B25381" s="3">
        <v>0</v>
      </c>
    </row>
    <row r="25382" ht="15.75" customHeight="1" spans="1:2">
      <c r="A25382" s="3" t="str">
        <f>IFERROR(__xludf.DUMMYFUNCTION("GOOGLETRANSLATE(A25382,""en"",""pt"")"),"se acostumando com os diferentes recursos e configurações")</f>
        <v>se acostumando com os diferentes recursos e configurações</v>
      </c>
      <c r="B25382" s="3">
        <v>0</v>
      </c>
    </row>
    <row r="25383" ht="15.75" customHeight="1" spans="1:2">
      <c r="A25383" s="3" t="str">
        <f>IFERROR(__xludf.DUMMYFUNCTION("GOOGLETRANSLATE(A25383,""en"",""pt"")"),"Plastic tripé, não pode bateria de acesso ou liberação CF enquanto montado no tripé (grande coisa !!)")</f>
        <v>Plastic tripé, não pode bateria de acesso ou liberação CF enquanto montado no tripé (grande coisa !!)</v>
      </c>
      <c r="B25383" s="3">
        <v>0</v>
      </c>
    </row>
    <row r="25384" ht="15.75" customHeight="1" spans="1:2">
      <c r="A25384" s="3" t="str">
        <f>IFERROR(__xludf.DUMMYFUNCTION("GOOGLETRANSLATE(A25384,""en"",""pt"")"),"Funciona melhor em áreas bem-lista, o visualizador LCD on come volta a bateria rapidamente")</f>
        <v>Funciona melhor em áreas bem-lista, o visualizador LCD on come volta a bateria rapidamente</v>
      </c>
      <c r="B25384" s="3">
        <v>0</v>
      </c>
    </row>
    <row r="25385" ht="15.75" customHeight="1" spans="1:2">
      <c r="A25385" s="3" t="str">
        <f>IFERROR(__xludf.DUMMYFUNCTION("GOOGLETRANSLATE(A25385,""en"",""pt"")"),"Nenhum para uma digicam sub $ 500")</f>
        <v>Nenhum para uma digicam sub $ 500</v>
      </c>
      <c r="B25385" s="3">
        <v>0</v>
      </c>
    </row>
    <row r="25386" ht="15.75" customHeight="1" spans="1:2">
      <c r="A25386" s="3" t="str">
        <f>IFERROR(__xludf.DUMMYFUNCTION("GOOGLETRANSLATE(A25386,""en"",""pt"")"),"cartão de memória empacotado fraco")</f>
        <v>cartão de memória empacotado fraco</v>
      </c>
      <c r="B25386" s="3">
        <v>0</v>
      </c>
    </row>
    <row r="25387" ht="15.75" customHeight="1" spans="1:2">
      <c r="A25387" s="3" t="str">
        <f>IFERROR(__xludf.DUMMYFUNCTION("GOOGLETRANSLATE(A25387,""en"",""pt"")"),"Nenhum")</f>
        <v>Nenhum</v>
      </c>
      <c r="B25387" s="3">
        <v>0</v>
      </c>
    </row>
    <row r="25388" ht="15.75" customHeight="1" spans="1:2">
      <c r="A25388" s="3" t="str">
        <f>IFERROR(__xludf.DUMMYFUNCTION("GOOGLETRANSLATE(A25388,""en"",""pt"")"),"Precisa de um cartão Compact-flash maior.")</f>
        <v>Precisa de um cartão Compact-flash maior.</v>
      </c>
      <c r="B25388" s="3">
        <v>0</v>
      </c>
    </row>
    <row r="25389" ht="15.75" customHeight="1" spans="1:2">
      <c r="A25389" s="3" t="str">
        <f>IFERROR(__xludf.DUMMYFUNCTION("GOOGLETRANSLATE(A25389,""en"",""pt"")"),"seria bom se Kodak incluiu um retentor tampa da lente")</f>
        <v>seria bom se Kodak incluiu um retentor tampa da lente</v>
      </c>
      <c r="B25389" s="3">
        <v>0</v>
      </c>
    </row>
    <row r="25390" ht="15.75" customHeight="1" spans="1:2">
      <c r="A25390" s="3" t="str">
        <f>IFERROR(__xludf.DUMMYFUNCTION("GOOGLETRANSLATE(A25390,""en"",""pt"")"),"botão de exposição saiu, lense meio longo")</f>
        <v>botão de exposição saiu, lense meio longo</v>
      </c>
      <c r="B25390" s="3">
        <v>0</v>
      </c>
    </row>
    <row r="25391" ht="15.75" customHeight="1" spans="1:2">
      <c r="A25391" s="3" t="str">
        <f>IFERROR(__xludf.DUMMYFUNCTION("GOOGLETRANSLATE(A25391,""en"",""pt"")"),"colocação de botão do obturador em frente do interruptor de alimentação ... Eu desligá-lo muitas vezes, em vez de tirar a foto. Mas ainda é novo para mim ... Eu vou me acostumar com isso")</f>
        <v>colocação de botão do obturador em frente do interruptor de alimentação ... Eu desligá-lo muitas vezes, em vez de tirar a foto. Mas ainda é novo para mim ... Eu vou me acostumar com isso</v>
      </c>
      <c r="B25391" s="3">
        <v>0</v>
      </c>
    </row>
    <row r="25392" ht="15.75" customHeight="1" spans="1:2">
      <c r="A25392" s="3" t="str">
        <f>IFERROR(__xludf.DUMMYFUNCTION("GOOGLETRANSLATE(A25392,""en"",""pt"")"),"o uso de baterias de iões de lítio, em vez de mais caros NiMHs barato")</f>
        <v>o uso de baterias de iões de lítio, em vez de mais caros NiMHs barato</v>
      </c>
      <c r="B25392" s="3">
        <v>0</v>
      </c>
    </row>
    <row r="25393" ht="15.75" customHeight="1" spans="1:2">
      <c r="A25393" s="3" t="str">
        <f>IFERROR(__xludf.DUMMYFUNCTION("GOOGLETRANSLATE(A25393,""en"",""pt"")"),"consumo de energia do ecrã LCD")</f>
        <v>consumo de energia do ecrã LCD</v>
      </c>
      <c r="B25393" s="3">
        <v>0</v>
      </c>
    </row>
    <row r="25394" ht="15.75" customHeight="1" spans="1:2">
      <c r="A25394" s="3" t="str">
        <f>IFERROR(__xludf.DUMMYFUNCTION("GOOGLETRANSLATE(A25394,""en"",""pt"")"),"pobre close-ups (sem lente adicional), tampa da lente vem solto facilmente, não toma grandes baixas luz fotos")</f>
        <v>pobre close-ups (sem lente adicional), tampa da lente vem solto facilmente, não toma grandes baixas luz fotos</v>
      </c>
      <c r="B25394" s="3">
        <v>0</v>
      </c>
    </row>
    <row r="25395" ht="15.75" customHeight="1" spans="1:2">
      <c r="A25395" s="3" t="str">
        <f>IFERROR(__xludf.DUMMYFUNCTION("GOOGLETRANSLATE(A25395,""en"",""pt"")"),"Sem Digita OS, vem com pouca memória, nenhum temporizador de lapso de tempo.")</f>
        <v>Sem Digita OS, vem com pouca memória, nenhum temporizador de lapso de tempo.</v>
      </c>
      <c r="B25395" s="3">
        <v>0</v>
      </c>
    </row>
    <row r="25396" ht="15.75" customHeight="1" spans="1:2">
      <c r="A25396" s="3" t="str">
        <f>IFERROR(__xludf.DUMMYFUNCTION("GOOGLETRANSLATE(A25396,""en"",""pt"")"),"Mas o tamanho não é bem normal. Cartão de memória incluído é muito pequeno.")</f>
        <v>Mas o tamanho não é bem normal. Cartão de memória incluído é muito pequeno.</v>
      </c>
      <c r="B25396" s="3">
        <v>0</v>
      </c>
    </row>
    <row r="25397" ht="15.75" customHeight="1" spans="1:2">
      <c r="A25397" s="3" t="str">
        <f>IFERROR(__xludf.DUMMYFUNCTION("GOOGLETRANSLATE(A25397,""en"",""pt"")"),"Única conexão USB para o computador.")</f>
        <v>Única conexão USB para o computador.</v>
      </c>
      <c r="B25397" s="3">
        <v>0</v>
      </c>
    </row>
    <row r="25398" ht="15.75" customHeight="1" spans="1:2">
      <c r="A25398" s="3" t="str">
        <f>IFERROR(__xludf.DUMMYFUNCTION("GOOGLETRANSLATE(A25398,""en"",""pt"")"),"bateria drena rápido, mau foco em condições de baixa luz")</f>
        <v>bateria drena rápido, mau foco em condições de baixa luz</v>
      </c>
      <c r="B25398" s="3">
        <v>0</v>
      </c>
    </row>
    <row r="25399" ht="15.75" customHeight="1" spans="1:2">
      <c r="A25399" s="3" t="str">
        <f>IFERROR(__xludf.DUMMYFUNCTION("GOOGLETRANSLATE(A25399,""en"",""pt"")"),"Sem foco manual! Numerosas outras frustrações.")</f>
        <v>Sem foco manual! Numerosas outras frustrações.</v>
      </c>
      <c r="B25399" s="3">
        <v>0</v>
      </c>
    </row>
    <row r="25400" ht="15.75" customHeight="1" spans="1:2">
      <c r="A25400" s="3" t="str">
        <f>IFERROR(__xludf.DUMMYFUNCTION("GOOGLETRANSLATE(A25400,""en"",""pt"")"),"Sem Vídeo / Áudio, navios w / cartão de memória pequeno")</f>
        <v>Sem Vídeo / Áudio, navios w / cartão de memória pequeno</v>
      </c>
      <c r="B25400" s="3">
        <v>0</v>
      </c>
    </row>
    <row r="25401" ht="15.75" customHeight="1" spans="1:2">
      <c r="A25401" s="3" t="str">
        <f>IFERROR(__xludf.DUMMYFUNCTION("GOOGLETRANSLATE(A25401,""en"",""pt"")"),"A curva de aprendizagem é íngreme para as características avançadas. tampa da lente não ligado. pacote de software inútil.")</f>
        <v>A curva de aprendizagem é íngreme para as características avançadas. tampa da lente não ligado. pacote de software inútil.</v>
      </c>
      <c r="B25401" s="3">
        <v>0</v>
      </c>
    </row>
    <row r="25402" ht="15.75" customHeight="1" spans="1:2">
      <c r="A25402" s="3" t="str">
        <f>IFERROR(__xludf.DUMMYFUNCTION("GOOGLETRANSLATE(A25402,""en"",""pt"")"),"cartão CF muito pequeno. Muito barulhento. Sem foco manual. A vida da bateria muito curta.")</f>
        <v>cartão CF muito pequeno. Muito barulhento. Sem foco manual. A vida da bateria muito curta.</v>
      </c>
      <c r="B25402" s="3">
        <v>0</v>
      </c>
    </row>
    <row r="25403" ht="15.75" customHeight="1" spans="1:2">
      <c r="A25403" s="3" t="str">
        <f>IFERROR(__xludf.DUMMYFUNCTION("GOOGLETRANSLATE(A25403,""en"",""pt"")"),"Toma terríveis fotos de qualidade")</f>
        <v>Toma terríveis fotos de qualidade</v>
      </c>
      <c r="B25403" s="3">
        <v>0</v>
      </c>
    </row>
    <row r="25404" ht="15.75" customHeight="1" spans="1:2">
      <c r="A25404" s="3" t="str">
        <f>IFERROR(__xludf.DUMMYFUNCTION("GOOGLETRANSLATE(A25404,""en"",""pt"")"),"Não a menor câmera no mercado")</f>
        <v>Não a menor câmera no mercado</v>
      </c>
      <c r="B25404" s="3">
        <v>0</v>
      </c>
    </row>
    <row r="25405" ht="15.75" customHeight="1" spans="1:2">
      <c r="A25405" s="3" t="str">
        <f>IFERROR(__xludf.DUMMYFUNCTION("GOOGLETRANSLATE(A25405,""en"",""pt"")"),"Borradas e fora de foco com pouca luz, varas barril fora longe demais.")</f>
        <v>Borradas e fora de foco com pouca luz, varas barril fora longe demais.</v>
      </c>
      <c r="B25405" s="3">
        <v>0</v>
      </c>
    </row>
    <row r="25406" ht="15.75" customHeight="1" spans="1:2">
      <c r="A25406" s="3" t="str">
        <f>IFERROR(__xludf.DUMMYFUNCTION("GOOGLETRANSLATE(A25406,""en"",""pt"")"),"Modo avançado learing é sofre de qualidade íngremes e fotos em pouca luz.")</f>
        <v>Modo avançado learing é sofre de qualidade íngremes e fotos em pouca luz.</v>
      </c>
      <c r="B25406" s="3">
        <v>0</v>
      </c>
    </row>
    <row r="25407" ht="15.75" customHeight="1" spans="1:2">
      <c r="A25407" s="3" t="str">
        <f>IFERROR(__xludf.DUMMYFUNCTION("GOOGLETRANSLATE(A25407,""en"",""pt"")"),"não confiável qualidade de imagem, a vida da bateria, cartão de memória flash muito pequeno.")</f>
        <v>não confiável qualidade de imagem, a vida da bateria, cartão de memória flash muito pequeno.</v>
      </c>
      <c r="B25407" s="3">
        <v>0</v>
      </c>
    </row>
    <row r="25408" ht="15.75" customHeight="1" spans="1:2">
      <c r="A25408" s="3" t="str">
        <f>IFERROR(__xludf.DUMMYFUNCTION("GOOGLETRANSLATE(A25408,""en"",""pt"")"),"primeiro foi defeituoso, facilmente trocados")</f>
        <v>primeiro foi defeituoso, facilmente trocados</v>
      </c>
      <c r="B25408" s="3">
        <v>0</v>
      </c>
    </row>
    <row r="25409" ht="15.75" customHeight="1" spans="1:2">
      <c r="A25409" s="3" t="str">
        <f>IFERROR(__xludf.DUMMYFUNCTION("GOOGLETRANSLATE(A25409,""en"",""pt"")"),"Soltá-lo e reconstruí-lo, Zoom é semana, deve ser constante,")</f>
        <v>Soltá-lo e reconstruí-lo, Zoom é semana, deve ser constante,</v>
      </c>
      <c r="B25409" s="3">
        <v>0</v>
      </c>
    </row>
    <row r="25410" ht="15.75" customHeight="1" spans="1:2">
      <c r="A25410" s="3" t="str">
        <f>IFERROR(__xludf.DUMMYFUNCTION("GOOGLETRANSLATE(A25410,""en"",""pt"")"),"a bateria lio é muito caro e não é forte o suficiente para esta câmera.")</f>
        <v>a bateria lio é muito caro e não é forte o suficiente para esta câmera.</v>
      </c>
      <c r="B25410" s="3">
        <v>0</v>
      </c>
    </row>
    <row r="25411" ht="15.75" customHeight="1" spans="1:2">
      <c r="A25411" s="3" t="str">
        <f>IFERROR(__xludf.DUMMYFUNCTION("GOOGLETRANSLATE(A25411,""en"",""pt"")"),"Come baterias, como tudo o que fazem. Mais zoom seria um plus")</f>
        <v>Come baterias, como tudo o que fazem. Mais zoom seria um plus</v>
      </c>
      <c r="B25411" s="3">
        <v>0</v>
      </c>
    </row>
    <row r="25412" ht="15.75" customHeight="1" spans="1:2">
      <c r="A25412" s="3" t="str">
        <f>IFERROR(__xludf.DUMMYFUNCTION("GOOGLETRANSLATE(A25412,""en"",""pt"")"),"Pesado. Muito, muito pesado. Enorme também.")</f>
        <v>Pesado. Muito, muito pesado. Enorme também.</v>
      </c>
      <c r="B25412" s="3">
        <v>0</v>
      </c>
    </row>
    <row r="25413" ht="15.75" customHeight="1" spans="1:2">
      <c r="A25413" s="3" t="str">
        <f>IFERROR(__xludf.DUMMYFUNCTION("GOOGLETRANSLATE(A25413,""en"",""pt"")"),"Não são muitas")</f>
        <v>Não são muitas</v>
      </c>
      <c r="B25413" s="3">
        <v>0</v>
      </c>
    </row>
    <row r="25414" ht="15.75" customHeight="1" spans="1:2">
      <c r="A25414" s="3" t="str">
        <f>IFERROR(__xludf.DUMMYFUNCTION("GOOGLETRANSLATE(A25414,""en"",""pt"")"),"Um pouco pesado, botões um pouco duras para usar")</f>
        <v>Um pouco pesado, botões um pouco duras para usar</v>
      </c>
      <c r="B25414" s="3">
        <v>0</v>
      </c>
    </row>
    <row r="25415" ht="15.75" customHeight="1" spans="1:2">
      <c r="A25415" s="3" t="str">
        <f>IFERROR(__xludf.DUMMYFUNCTION("GOOGLETRANSLATE(A25415,""en"",""pt"")"),"Big Camera.")</f>
        <v>Big Camera.</v>
      </c>
      <c r="B25415" s="3">
        <v>0</v>
      </c>
    </row>
    <row r="25416" ht="15.75" customHeight="1" spans="1:2">
      <c r="A25416" s="3" t="str">
        <f>IFERROR(__xludf.DUMMYFUNCTION("GOOGLETRANSLATE(A25416,""en"",""pt"")"),"A câmera é um pouco pesado e tem um zoom óptico de apenas 2x.")</f>
        <v>A câmera é um pouco pesado e tem um zoom óptico de apenas 2x.</v>
      </c>
      <c r="B25416" s="3">
        <v>0</v>
      </c>
    </row>
    <row r="25417" ht="15.75" customHeight="1" spans="1:2">
      <c r="A25417" s="3" t="str">
        <f>IFERROR(__xludf.DUMMYFUNCTION("GOOGLETRANSLATE(A25417,""en"",""pt"")"),"baterias come, pequena tela LCD, baterias come, um pouco pesados.")</f>
        <v>baterias come, pequena tela LCD, baterias come, um pouco pesados.</v>
      </c>
      <c r="B25417" s="3">
        <v>0</v>
      </c>
    </row>
    <row r="25418" ht="15.75" customHeight="1" spans="1:2">
      <c r="A25418" s="3" t="str">
        <f>IFERROR(__xludf.DUMMYFUNCTION("GOOGLETRANSLATE(A25418,""en"",""pt"")"),"Os drivers de software são frustrantes, só vem com 8MB de memória.")</f>
        <v>Os drivers de software são frustrantes, só vem com 8MB de memória.</v>
      </c>
      <c r="B25418" s="3">
        <v>0</v>
      </c>
    </row>
    <row r="25419" ht="15.75" customHeight="1" spans="1:2">
      <c r="A25419" s="3" t="str">
        <f>IFERROR(__xludf.DUMMYFUNCTION("GOOGLETRANSLATE(A25419,""en"",""pt"")"),"Come-se baterias !, Não expansível. A Kodak não tem nenhum lentes acopláveis ​​para esta câmara")</f>
        <v>Come-se baterias !, Não expansível. A Kodak não tem nenhum lentes acopláveis ​​para esta câmara</v>
      </c>
      <c r="B25419" s="3">
        <v>0</v>
      </c>
    </row>
    <row r="25420" ht="15.75" customHeight="1" spans="1:2">
      <c r="A25420" s="3" t="str">
        <f>IFERROR(__xludf.DUMMYFUNCTION("GOOGLETRANSLATE(A25420,""en"",""pt"")"),"Nenhum no meu livro!")</f>
        <v>Nenhum no meu livro!</v>
      </c>
      <c r="B25420" s="3">
        <v>0</v>
      </c>
    </row>
    <row r="25421" ht="15.75" customHeight="1" spans="1:2">
      <c r="A25421" s="3" t="str">
        <f>IFERROR(__xludf.DUMMYFUNCTION("GOOGLETRANSLATE(A25421,""en"",""pt"")"),"Tamanho, tamanho, Lag Shutter")</f>
        <v>Tamanho, tamanho, Lag Shutter</v>
      </c>
      <c r="B25421" s="3">
        <v>0</v>
      </c>
    </row>
    <row r="25422" ht="15.75" customHeight="1" spans="1:2">
      <c r="A25422" s="3" t="str">
        <f>IFERROR(__xludf.DUMMYFUNCTION("GOOGLETRANSLATE(A25422,""en"",""pt"")"),"Só o zoom 2X, um pouco lento")</f>
        <v>Só o zoom 2X, um pouco lento</v>
      </c>
      <c r="B25422" s="3">
        <v>0</v>
      </c>
    </row>
    <row r="25423" ht="15.75" customHeight="1" spans="1:2">
      <c r="A25423" s="3" t="str">
        <f>IFERROR(__xludf.DUMMYFUNCTION("GOOGLETRANSLATE(A25423,""en"",""pt"")"),"- Nenhum")</f>
        <v>- Nenhum</v>
      </c>
      <c r="B25423" s="3">
        <v>0</v>
      </c>
    </row>
    <row r="25424" ht="15.75" customHeight="1" spans="1:2">
      <c r="A25424" s="3" t="str">
        <f>IFERROR(__xludf.DUMMYFUNCTION("GOOGLETRANSLATE(A25424,""en"",""pt"")"),"O zoom digital pode ser um pouco confuso &amp; amp;. # 13; &amp; amp; # 10; Certifique-se de seus tiros são constantes.")</f>
        <v>O zoom digital pode ser um pouco confuso &amp; amp;. # 13; &amp; amp; # 10; Certifique-se de seus tiros são constantes.</v>
      </c>
      <c r="B25424" s="3">
        <v>0</v>
      </c>
    </row>
    <row r="25425" ht="15.75" customHeight="1" spans="1:2">
      <c r="A25425" s="3" t="str">
        <f>IFERROR(__xludf.DUMMYFUNCTION("GOOGLETRANSLATE(A25425,""en"",""pt"")"),"Não é a maneira mais fácil de transferir pix da câmera para o computador.")</f>
        <v>Não é a maneira mais fácil de transferir pix da câmera para o computador.</v>
      </c>
      <c r="B25425" s="3">
        <v>0</v>
      </c>
    </row>
    <row r="25426" ht="15.75" customHeight="1" spans="1:2">
      <c r="A25426" s="3" t="str">
        <f>IFERROR(__xludf.DUMMYFUNCTION("GOOGLETRANSLATE(A25426,""en"",""pt"")"),"Vida útil da bateria. Eu mencionei vida útil da bateria? E Ah sim, a vida da bateria.")</f>
        <v>Vida útil da bateria. Eu mencionei vida útil da bateria? E Ah sim, a vida da bateria.</v>
      </c>
      <c r="B25426" s="3">
        <v>0</v>
      </c>
    </row>
    <row r="25427" ht="15.75" customHeight="1" spans="1:2">
      <c r="A25427" s="3" t="str">
        <f>IFERROR(__xludf.DUMMYFUNCTION("GOOGLETRANSLATE(A25427,""en"",""pt"")"),"Não compacto .... não é realmente um problema para a maioria")</f>
        <v>Não compacto .... não é realmente um problema para a maioria</v>
      </c>
      <c r="B25427" s="3">
        <v>0</v>
      </c>
    </row>
    <row r="25428" ht="15.75" customHeight="1" spans="1:2">
      <c r="A25428" s="3" t="str">
        <f>IFERROR(__xludf.DUMMYFUNCTION("GOOGLETRANSLATE(A25428,""en"",""pt"")"),"- Nenhum")</f>
        <v>- Nenhum</v>
      </c>
      <c r="B25428" s="3">
        <v>0</v>
      </c>
    </row>
    <row r="25429" ht="15.75" customHeight="1" spans="1:2">
      <c r="A25429" s="3" t="str">
        <f>IFERROR(__xludf.DUMMYFUNCTION("GOOGLETRANSLATE(A25429,""en"",""pt"")"),"come baterias para pequeno-almoço, deve ter uns recarregáveis")</f>
        <v>come baterias para pequeno-almoço, deve ter uns recarregáveis</v>
      </c>
      <c r="B25429" s="3">
        <v>0</v>
      </c>
    </row>
    <row r="25430" ht="15.75" customHeight="1" spans="1:2">
      <c r="A25430" s="3" t="str">
        <f>IFERROR(__xludf.DUMMYFUNCTION("GOOGLETRANSLATE(A25430,""en"",""pt"")"),"Resolução, botões difícil de empurrar.")</f>
        <v>Resolução, botões difícil de empurrar.</v>
      </c>
      <c r="B25430" s="3">
        <v>0</v>
      </c>
    </row>
    <row r="25431" ht="15.75" customHeight="1" spans="1:2">
      <c r="A25431" s="3" t="str">
        <f>IFERROR(__xludf.DUMMYFUNCTION("GOOGLETRANSLATE(A25431,""en"",""pt"")"),"A velocidade do obturador entre os disparos. Não é uma câmera de ação")</f>
        <v>A velocidade do obturador entre os disparos. Não é uma câmera de ação</v>
      </c>
      <c r="B25431" s="3">
        <v>0</v>
      </c>
    </row>
    <row r="25432" ht="15.75" customHeight="1" spans="1:2">
      <c r="A25432" s="3" t="str">
        <f>IFERROR(__xludf.DUMMYFUNCTION("GOOGLETRANSLATE(A25432,""en"",""pt"")"),"desempenho, qualidade de imagem")</f>
        <v>desempenho, qualidade de imagem</v>
      </c>
      <c r="B25432" s="3">
        <v>0</v>
      </c>
    </row>
    <row r="25433" ht="15.75" customHeight="1" spans="1:2">
      <c r="A25433" s="3" t="str">
        <f>IFERROR(__xludf.DUMMYFUNCTION("GOOGLETRANSLATE(A25433,""en"",""pt"")"),"Não tão bom em grandes grupos, mas bom")</f>
        <v>Não tão bom em grandes grupos, mas bom</v>
      </c>
      <c r="B25433" s="3">
        <v>0</v>
      </c>
    </row>
    <row r="25434" ht="15.75" customHeight="1" spans="1:2">
      <c r="A25434" s="3" t="str">
        <f>IFERROR(__xludf.DUMMYFUNCTION("GOOGLETRANSLATE(A25434,""en"",""pt"")"),"vida de bateria fraca")</f>
        <v>vida de bateria fraca</v>
      </c>
      <c r="B25434" s="3">
        <v>0</v>
      </c>
    </row>
    <row r="25435" ht="15.75" customHeight="1" spans="1:2">
      <c r="A25435" s="3" t="str">
        <f>IFERROR(__xludf.DUMMYFUNCTION("GOOGLETRANSLATE(A25435,""en"",""pt"")"),"Sem conexão USB, Software muito lento para a recuperação de imagem da câmera")</f>
        <v>Sem conexão USB, Software muito lento para a recuperação de imagem da câmera</v>
      </c>
      <c r="B25435" s="3">
        <v>0</v>
      </c>
    </row>
    <row r="25436" ht="15.75" customHeight="1" spans="1:2">
      <c r="A25436" s="3" t="str">
        <f>IFERROR(__xludf.DUMMYFUNCTION("GOOGLETRANSLATE(A25436,""en"",""pt"")"),"software de má qualidade. Eu compraria pelo menos, a 210 como titular.")</f>
        <v>software de má qualidade. Eu compraria pelo menos, a 210 como titular.</v>
      </c>
      <c r="B25436" s="3">
        <v>0</v>
      </c>
    </row>
    <row r="25437" ht="15.75" customHeight="1" spans="1:2">
      <c r="A25437" s="3" t="str">
        <f>IFERROR(__xludf.DUMMYFUNCTION("GOOGLETRANSLATE(A25437,""en"",""pt"")"),"Ergonomia e licença de software algo a desejar")</f>
        <v>Ergonomia e licença de software algo a desejar</v>
      </c>
      <c r="B25437" s="3">
        <v>0</v>
      </c>
    </row>
    <row r="25438" ht="15.75" customHeight="1" spans="1:2">
      <c r="A25438" s="3" t="str">
        <f>IFERROR(__xludf.DUMMYFUNCTION("GOOGLETRANSLATE(A25438,""en"",""pt"")"),"Se a iluminação for muito claro ou muito escuro, pode ser difícil de obter uma boa imagem.")</f>
        <v>Se a iluminação for muito claro ou muito escuro, pode ser difícil de obter uma boa imagem.</v>
      </c>
      <c r="B25438" s="3">
        <v>0</v>
      </c>
    </row>
    <row r="25439" ht="15.75" customHeight="1" spans="1:2">
      <c r="A25439" s="3" t="str">
        <f>IFERROR(__xludf.DUMMYFUNCTION("GOOGLETRANSLATE(A25439,""en"",""pt"")"),"Nenhum")</f>
        <v>Nenhum</v>
      </c>
      <c r="B25439" s="3">
        <v>0</v>
      </c>
    </row>
    <row r="25440" ht="15.75" customHeight="1" spans="1:2">
      <c r="A25440" s="3" t="str">
        <f>IFERROR(__xludf.DUMMYFUNCTION("GOOGLETRANSLATE(A25440,""en"",""pt"")"),"tempo de transferência lenta através da porta serial")</f>
        <v>tempo de transferência lenta através da porta serial</v>
      </c>
      <c r="B25440" s="3">
        <v>0</v>
      </c>
    </row>
    <row r="25441" ht="15.75" customHeight="1" spans="1:2">
      <c r="A25441" s="3" t="str">
        <f>IFERROR(__xludf.DUMMYFUNCTION("GOOGLETRANSLATE(A25441,""en"",""pt"")"),"Apenas 15 imagens de cada vez!")</f>
        <v>Apenas 15 imagens de cada vez!</v>
      </c>
      <c r="B25441" s="3">
        <v>0</v>
      </c>
    </row>
    <row r="25442" ht="15.75" customHeight="1" spans="1:2">
      <c r="A25442" s="3" t="str">
        <f>IFERROR(__xludf.DUMMYFUNCTION("GOOGLETRANSLATE(A25442,""en"",""pt"")"),"curta duração da bateria")</f>
        <v>curta duração da bateria</v>
      </c>
      <c r="B25442" s="3">
        <v>0</v>
      </c>
    </row>
    <row r="25443" ht="15.75" customHeight="1" spans="1:2">
      <c r="A25443" s="3" t="str">
        <f>IFERROR(__xludf.DUMMYFUNCTION("GOOGLETRANSLATE(A25443,""en"",""pt"")"),"tanto simples")</f>
        <v>tanto simples</v>
      </c>
      <c r="B25443" s="3">
        <v>0</v>
      </c>
    </row>
    <row r="25444" ht="15.75" customHeight="1" spans="1:2">
      <c r="A25444" s="3" t="str">
        <f>IFERROR(__xludf.DUMMYFUNCTION("GOOGLETRANSLATE(A25444,""en"",""pt"")"),"NENHUM!!!")</f>
        <v>NENHUM!!!</v>
      </c>
      <c r="B25444" s="3">
        <v>0</v>
      </c>
    </row>
    <row r="25445" ht="15.75" customHeight="1" spans="1:2">
      <c r="A25445" s="3" t="str">
        <f>IFERROR(__xludf.DUMMYFUNCTION("GOOGLETRANSLATE(A25445,""en"",""pt"")"),"download lento, sem leitor de cartão")</f>
        <v>download lento, sem leitor de cartão</v>
      </c>
      <c r="B25445" s="3">
        <v>0</v>
      </c>
    </row>
    <row r="25446" ht="15.75" customHeight="1" spans="1:2">
      <c r="A25446" s="3" t="str">
        <f>IFERROR(__xludf.DUMMYFUNCTION("GOOGLETRANSLATE(A25446,""en"",""pt"")"),"curta duração da bateria. . . estar preparado para ter abundância na mão para upload de fotos")</f>
        <v>curta duração da bateria. . . estar preparado para ter abundância na mão para upload de fotos</v>
      </c>
      <c r="B25446" s="3">
        <v>0</v>
      </c>
    </row>
    <row r="25447" ht="15.75" customHeight="1" spans="1:2">
      <c r="A25447" s="3" t="str">
        <f>IFERROR(__xludf.DUMMYFUNCTION("GOOGLETRANSLATE(A25447,""en"",""pt"")"),"foco difuso, pobre vida útil da bateria")</f>
        <v>foco difuso, pobre vida útil da bateria</v>
      </c>
      <c r="B25447" s="3">
        <v>0</v>
      </c>
    </row>
    <row r="25448" ht="15.75" customHeight="1" spans="1:2">
      <c r="A25448" s="3" t="str">
        <f>IFERROR(__xludf.DUMMYFUNCTION("GOOGLETRANSLATE(A25448,""en"",""pt"")"),"vida útil da bateria")</f>
        <v>vida útil da bateria</v>
      </c>
      <c r="B25448" s="3">
        <v>0</v>
      </c>
    </row>
    <row r="25449" ht="15.75" customHeight="1" spans="1:2">
      <c r="A25449" s="3" t="str">
        <f>IFERROR(__xludf.DUMMYFUNCTION("GOOGLETRANSLATE(A25449,""en"",""pt"")"),"Para maximizar o uso necessidade de comprar flashcards adicionais e um leitor")</f>
        <v>Para maximizar o uso necessidade de comprar flashcards adicionais e um leitor</v>
      </c>
      <c r="B25449" s="3">
        <v>0</v>
      </c>
    </row>
    <row r="25450" ht="15.75" customHeight="1" spans="1:2">
      <c r="A25450" s="3" t="str">
        <f>IFERROR(__xludf.DUMMYFUNCTION("GOOGLETRANSLATE(A25450,""en"",""pt"")"),"Nenhum")</f>
        <v>Nenhum</v>
      </c>
      <c r="B25450" s="3">
        <v>0</v>
      </c>
    </row>
    <row r="25451" ht="15.75" customHeight="1" spans="1:2">
      <c r="A25451" s="3" t="str">
        <f>IFERROR(__xludf.DUMMYFUNCTION("GOOGLETRANSLATE(A25451,""en"",""pt"")"),"Falta de recursos")</f>
        <v>Falta de recursos</v>
      </c>
      <c r="B25451" s="3">
        <v>0</v>
      </c>
    </row>
    <row r="25452" ht="15.75" customHeight="1" spans="1:2">
      <c r="A25452" s="3" t="str">
        <f>IFERROR(__xludf.DUMMYFUNCTION("GOOGLETRANSLATE(A25452,""en"",""pt"")"),"painel LCD é um pouco pequeno, come baterias como louco")</f>
        <v>painel LCD é um pouco pequeno, come baterias como louco</v>
      </c>
      <c r="B25452" s="3">
        <v>0</v>
      </c>
    </row>
    <row r="25453" ht="15.75" customHeight="1" spans="1:2">
      <c r="A25453" s="3" t="str">
        <f>IFERROR(__xludf.DUMMYFUNCTION("GOOGLETRANSLATE(A25453,""en"",""pt"")"),"Algumas das frescuras, como as fronteiras opcionais, não são muito úteis.")</f>
        <v>Algumas das frescuras, como as fronteiras opcionais, não são muito úteis.</v>
      </c>
      <c r="B25453" s="3">
        <v>0</v>
      </c>
    </row>
    <row r="25454" ht="15.75" customHeight="1" spans="1:2">
      <c r="A25454" s="3" t="str">
        <f>IFERROR(__xludf.DUMMYFUNCTION("GOOGLETRANSLATE(A25454,""en"",""pt"")"),"Difícil segurar")</f>
        <v>Difícil segurar</v>
      </c>
      <c r="B25454" s="3">
        <v>0</v>
      </c>
    </row>
    <row r="25455" ht="15.75" customHeight="1" spans="1:2">
      <c r="A25455" s="3" t="str">
        <f>IFERROR(__xludf.DUMMYFUNCTION("GOOGLETRANSLATE(A25455,""en"",""pt"")"),"Não tem lentes intercambiáveis")</f>
        <v>Não tem lentes intercambiáveis</v>
      </c>
      <c r="B25455" s="3">
        <v>0</v>
      </c>
    </row>
    <row r="25456" ht="15.75" customHeight="1" spans="1:2">
      <c r="A25456" s="3" t="str">
        <f>IFERROR(__xludf.DUMMYFUNCTION("GOOGLETRANSLATE(A25456,""en"",""pt"")"),"Falta de USB (transferência de série é lento), lento entre as imagens, 2X zoom não é adequada")</f>
        <v>Falta de USB (transferência de série é lento), lento entre as imagens, 2X zoom não é adequada</v>
      </c>
      <c r="B25456" s="3">
        <v>0</v>
      </c>
    </row>
    <row r="25457" ht="15.75" customHeight="1" spans="1:2">
      <c r="A25457" s="3" t="str">
        <f>IFERROR(__xludf.DUMMYFUNCTION("GOOGLETRANSLATE(A25457,""en"",""pt"")"),"extras caros que devem ser adicionados")</f>
        <v>extras caros que devem ser adicionados</v>
      </c>
      <c r="B25457" s="3">
        <v>0</v>
      </c>
    </row>
    <row r="25458" ht="15.75" customHeight="1" spans="1:2">
      <c r="A25458" s="3" t="str">
        <f>IFERROR(__xludf.DUMMYFUNCTION("GOOGLETRANSLATE(A25458,""en"",""pt"")"),"downloads lentos, sem um leitor de cartão de memória USB")</f>
        <v>downloads lentos, sem um leitor de cartão de memória USB</v>
      </c>
      <c r="B25458" s="3">
        <v>0</v>
      </c>
    </row>
    <row r="25459" ht="15.75" customHeight="1" spans="1:2">
      <c r="A25459" s="3" t="str">
        <f>IFERROR(__xludf.DUMMYFUNCTION("GOOGLETRANSLATE(A25459,""en"",""pt"")"),"tempo de download pobres")</f>
        <v>tempo de download pobres</v>
      </c>
      <c r="B25459" s="3">
        <v>0</v>
      </c>
    </row>
    <row r="25460" ht="15.75" customHeight="1" spans="1:2">
      <c r="A25460" s="3" t="str">
        <f>IFERROR(__xludf.DUMMYFUNCTION("GOOGLETRANSLATE(A25460,""en"",""pt"")"),"A vida da bateria é horrível!")</f>
        <v>A vida da bateria é horrível!</v>
      </c>
      <c r="B25460" s="3">
        <v>0</v>
      </c>
    </row>
    <row r="25461" ht="15.75" customHeight="1" spans="1:2">
      <c r="A25461" s="3" t="str">
        <f>IFERROR(__xludf.DUMMYFUNCTION("GOOGLETRANSLATE(A25461,""en"",""pt"")"),"muito tempo para carregar fotos, muito tempo para imprimir")</f>
        <v>muito tempo para carregar fotos, muito tempo para imprimir</v>
      </c>
      <c r="B25461" s="3">
        <v>0</v>
      </c>
    </row>
    <row r="25462" ht="15.75" customHeight="1" spans="1:2">
      <c r="A25462" s="3" t="str">
        <f>IFERROR(__xludf.DUMMYFUNCTION("GOOGLETRANSLATE(A25462,""en"",""pt"")"),"baterias orçamento limitado")</f>
        <v>baterias orçamento limitado</v>
      </c>
      <c r="B25462" s="3">
        <v>0</v>
      </c>
    </row>
    <row r="25463" ht="15.75" customHeight="1" spans="1:2">
      <c r="A25463" s="3" t="str">
        <f>IFERROR(__xludf.DUMMYFUNCTION("GOOGLETRANSLATE(A25463,""en"",""pt"")"),"No longo zoom para ele")</f>
        <v>No longo zoom para ele</v>
      </c>
      <c r="B25463" s="3">
        <v>0</v>
      </c>
    </row>
    <row r="25464" ht="15.75" customHeight="1" spans="1:2">
      <c r="A25464" s="3" t="str">
        <f>IFERROR(__xludf.DUMMYFUNCTION("GOOGLETRANSLATE(A25464,""en"",""pt"")"),"Lentos, pixels não é suficiente")</f>
        <v>Lentos, pixels não é suficiente</v>
      </c>
      <c r="B25464" s="3">
        <v>0</v>
      </c>
    </row>
    <row r="25465" ht="15.75" customHeight="1" spans="1:2">
      <c r="A25465" s="3" t="str">
        <f>IFERROR(__xludf.DUMMYFUNCTION("GOOGLETRANSLATE(A25465,""en"",""pt"")"),"nenhum nós encontramos")</f>
        <v>nenhum nós encontramos</v>
      </c>
      <c r="B25465" s="3">
        <v>0</v>
      </c>
    </row>
    <row r="25466" ht="15.75" customHeight="1" spans="1:2">
      <c r="A25466" s="3" t="str">
        <f>IFERROR(__xludf.DUMMYFUNCTION("GOOGLETRANSLATE(A25466,""en"",""pt"")"),"utiliza baterias rapidamente")</f>
        <v>utiliza baterias rapidamente</v>
      </c>
      <c r="B25466" s="3">
        <v>0</v>
      </c>
    </row>
    <row r="25467" ht="15.75" customHeight="1" spans="1:2">
      <c r="A25467" s="3" t="str">
        <f>IFERROR(__xludf.DUMMYFUNCTION("GOOGLETRANSLATE(A25467,""en"",""pt"")"),"Visor difícil ver através no escuro")</f>
        <v>Visor difícil ver através no escuro</v>
      </c>
      <c r="B25467" s="3">
        <v>0</v>
      </c>
    </row>
    <row r="25468" ht="15.75" customHeight="1" spans="1:2">
      <c r="A25468" s="3" t="str">
        <f>IFERROR(__xludf.DUMMYFUNCTION("GOOGLETRANSLATE(A25468,""en"",""pt"")"),"não o melhor piscar")</f>
        <v>não o melhor piscar</v>
      </c>
      <c r="B25468" s="3">
        <v>0</v>
      </c>
    </row>
    <row r="25469" ht="15.75" customHeight="1" spans="1:2">
      <c r="A25469" s="3" t="str">
        <f>IFERROR(__xludf.DUMMYFUNCTION("GOOGLETRANSLATE(A25469,""en"",""pt"")"),"come baterias e é lento para sportsfans")</f>
        <v>come baterias e é lento para sportsfans</v>
      </c>
      <c r="B25469" s="3">
        <v>0</v>
      </c>
    </row>
    <row r="25470" ht="15.75" customHeight="1" spans="1:2">
      <c r="A25470" s="3" t="str">
        <f>IFERROR(__xludf.DUMMYFUNCTION("GOOGLETRANSLATE(A25470,""en"",""pt"")"),"O Wish que tinha uma tampa da lente.")</f>
        <v>O Wish que tinha uma tampa da lente.</v>
      </c>
      <c r="B25470" s="3">
        <v>0</v>
      </c>
    </row>
    <row r="25471" ht="15.75" customHeight="1" spans="1:2">
      <c r="A25471" s="3" t="str">
        <f>IFERROR(__xludf.DUMMYFUNCTION("GOOGLETRANSLATE(A25471,""en"",""pt"")"),"exibição de visualização utiliza uma grande quantidade de energia da bateria")</f>
        <v>exibição de visualização utiliza uma grande quantidade de energia da bateria</v>
      </c>
      <c r="B25471" s="3">
        <v>0</v>
      </c>
    </row>
    <row r="25472" ht="15.75" customHeight="1" spans="1:2">
      <c r="A25472" s="3" t="str">
        <f>IFERROR(__xludf.DUMMYFUNCTION("GOOGLETRANSLATE(A25472,""en"",""pt"")"),"alto uso da bateria, mantendo leitura limpo tela")</f>
        <v>alto uso da bateria, mantendo leitura limpo tela</v>
      </c>
      <c r="B25472" s="3">
        <v>0</v>
      </c>
    </row>
    <row r="25473" ht="15.75" customHeight="1" spans="1:2">
      <c r="A25473" s="3" t="str">
        <f>IFERROR(__xludf.DUMMYFUNCTION("GOOGLETRANSLATE(A25473,""en"",""pt"")"),"bateria com fome!")</f>
        <v>bateria com fome!</v>
      </c>
      <c r="B25473" s="3">
        <v>0</v>
      </c>
    </row>
    <row r="25474" ht="15.75" customHeight="1" spans="1:2">
      <c r="A25474" s="3" t="str">
        <f>IFERROR(__xludf.DUMMYFUNCTION("GOOGLETRANSLATE(A25474,""en"",""pt"")"),"zoom limitada")</f>
        <v>zoom limitada</v>
      </c>
      <c r="B25474" s="3">
        <v>0</v>
      </c>
    </row>
    <row r="25475" ht="15.75" customHeight="1" spans="1:2">
      <c r="A25475" s="3" t="str">
        <f>IFERROR(__xludf.DUMMYFUNCTION("GOOGLETRANSLATE(A25475,""en"",""pt"")"),"perder não ter um visor LCD")</f>
        <v>perder não ter um visor LCD</v>
      </c>
      <c r="B25475" s="3">
        <v>0</v>
      </c>
    </row>
    <row r="25476" ht="15.75" customHeight="1" spans="1:2">
      <c r="A25476" s="3" t="str">
        <f>IFERROR(__xludf.DUMMYFUNCTION("GOOGLETRANSLATE(A25476,""en"",""pt"")"),"suga pilhas quando desconectado, não é bom para fotos de pessoas")</f>
        <v>suga pilhas quando desconectado, não é bom para fotos de pessoas</v>
      </c>
      <c r="B25476" s="3">
        <v>0</v>
      </c>
    </row>
    <row r="25477" ht="15.75" customHeight="1" spans="1:2">
      <c r="A25477" s="3" t="str">
        <f>IFERROR(__xludf.DUMMYFUNCTION("GOOGLETRANSLATE(A25477,""en"",""pt"")"),"Caro para comprar, e os acessórios são caros")</f>
        <v>Caro para comprar, e os acessórios são caros</v>
      </c>
      <c r="B25477" s="3">
        <v>0</v>
      </c>
    </row>
    <row r="25478" ht="15.75" customHeight="1" spans="1:2">
      <c r="A25478" s="3" t="str">
        <f>IFERROR(__xludf.DUMMYFUNCTION("GOOGLETRANSLATE(A25478,""en"",""pt"")"),"área de visualização de imagem recebe impressões nariz")</f>
        <v>área de visualização de imagem recebe impressões nariz</v>
      </c>
      <c r="B25478" s="3">
        <v>0</v>
      </c>
    </row>
    <row r="25479" ht="15.75" customHeight="1" spans="1:2">
      <c r="A25479" s="3" t="str">
        <f>IFERROR(__xludf.DUMMYFUNCTION("GOOGLETRANSLATE(A25479,""en"",""pt"")"),"muito difícil de operar")</f>
        <v>muito difícil de operar</v>
      </c>
      <c r="B25479" s="3">
        <v>0</v>
      </c>
    </row>
    <row r="25480" ht="15.75" customHeight="1" spans="1:2">
      <c r="A25480" s="3" t="str">
        <f>IFERROR(__xludf.DUMMYFUNCTION("GOOGLETRANSLATE(A25480,""en"",""pt"")"),"dreno de bateria")</f>
        <v>dreno de bateria</v>
      </c>
      <c r="B25480" s="3">
        <v>0</v>
      </c>
    </row>
    <row r="25481" ht="15.75" customHeight="1" spans="1:2">
      <c r="A25481" s="3" t="str">
        <f>IFERROR(__xludf.DUMMYFUNCTION("GOOGLETRANSLATE(A25481,""en"",""pt"")"),"o apetite voraz da bateria")</f>
        <v>o apetite voraz da bateria</v>
      </c>
      <c r="B25481" s="3">
        <v>0</v>
      </c>
    </row>
    <row r="25482" ht="15.75" customHeight="1" spans="1:2">
      <c r="A25482" s="3" t="str">
        <f>IFERROR(__xludf.DUMMYFUNCTION("GOOGLETRANSLATE(A25482,""en"",""pt"")"),"Baterias se esgotam muito rapidamente! Use rechargables!")</f>
        <v>Baterias se esgotam muito rapidamente! Use rechargables!</v>
      </c>
      <c r="B25482" s="3">
        <v>0</v>
      </c>
    </row>
    <row r="25483" ht="15.75" customHeight="1" spans="1:2">
      <c r="A25483" s="3" t="str">
        <f>IFERROR(__xludf.DUMMYFUNCTION("GOOGLETRANSLATE(A25483,""en"",""pt"")"),"rígido sobre o uso da bateria")</f>
        <v>rígido sobre o uso da bateria</v>
      </c>
      <c r="B25483" s="3">
        <v>0</v>
      </c>
    </row>
    <row r="25484" ht="15.75" customHeight="1" spans="1:2">
      <c r="A25484" s="3" t="str">
        <f>IFERROR(__xludf.DUMMYFUNCTION("GOOGLETRANSLATE(A25484,""en"",""pt"")"),"Custam pouco mais do que eu como")</f>
        <v>Custam pouco mais do que eu como</v>
      </c>
      <c r="B25484" s="3">
        <v>0</v>
      </c>
    </row>
    <row r="25485" ht="15.75" customHeight="1" spans="1:2">
      <c r="A25485" s="3" t="str">
        <f>IFERROR(__xludf.DUMMYFUNCTION("GOOGLETRANSLATE(A25485,""en"",""pt"")"),"HORRÍVEL serviço ao cliente, tempo de transferência lento, pesado, uma peças par frágeis")</f>
        <v>HORRÍVEL serviço ao cliente, tempo de transferência lento, pesado, uma peças par frágeis</v>
      </c>
      <c r="B25485" s="3">
        <v>0</v>
      </c>
    </row>
    <row r="25486" ht="15.75" customHeight="1" spans="1:2">
      <c r="A25486" s="3" t="str">
        <f>IFERROR(__xludf.DUMMYFUNCTION("GOOGLETRANSLATE(A25486,""en"",""pt"")"),"não foi encontrado nenhum ainda")</f>
        <v>não foi encontrado nenhum ainda</v>
      </c>
      <c r="B25486" s="3">
        <v>0</v>
      </c>
    </row>
    <row r="25487" ht="15.75" customHeight="1" spans="1:2">
      <c r="A25487" s="3" t="str">
        <f>IFERROR(__xludf.DUMMYFUNCTION("GOOGLETRANSLATE(A25487,""en"",""pt"")"),"Tem que comprar o Mac interface separada")</f>
        <v>Tem que comprar o Mac interface separada</v>
      </c>
      <c r="B25487" s="3">
        <v>0</v>
      </c>
    </row>
    <row r="25488" ht="15.75" customHeight="1" spans="1:2">
      <c r="A25488" s="3" t="str">
        <f>IFERROR(__xludf.DUMMYFUNCTION("GOOGLETRANSLATE(A25488,""en"",""pt"")"),"baterias de zoom e come limitados")</f>
        <v>baterias de zoom e come limitados</v>
      </c>
      <c r="B25488" s="3">
        <v>0</v>
      </c>
    </row>
    <row r="25489" ht="15.75" customHeight="1" spans="1:2">
      <c r="A25489" s="3" t="str">
        <f>IFERROR(__xludf.DUMMYFUNCTION("GOOGLETRANSLATE(A25489,""en"",""pt"")"),"Ver parecer")</f>
        <v>Ver parecer</v>
      </c>
      <c r="B25489" s="3">
        <v>0</v>
      </c>
    </row>
    <row r="25490" ht="15.75" customHeight="1" spans="1:2">
      <c r="A25490" s="3" t="str">
        <f>IFERROR(__xludf.DUMMYFUNCTION("GOOGLETRANSLATE(A25490,""en"",""pt"")"),"Câmera quebrou após tê-lo um mês e meio. Zoom é muito limitado.")</f>
        <v>Câmera quebrou após tê-lo um mês e meio. Zoom é muito limitado.</v>
      </c>
      <c r="B25490" s="3">
        <v>0</v>
      </c>
    </row>
    <row r="25491" ht="15.75" customHeight="1" spans="1:2">
      <c r="A25491" s="3" t="str">
        <f>IFERROR(__xludf.DUMMYFUNCTION("GOOGLETRANSLATE(A25491,""en"",""pt"")"),"Nenhum")</f>
        <v>Nenhum</v>
      </c>
      <c r="B25491" s="3">
        <v>0</v>
      </c>
    </row>
    <row r="25492" ht="15.75" customHeight="1" spans="1:2">
      <c r="A25492" s="3" t="str">
        <f>IFERROR(__xludf.DUMMYFUNCTION("GOOGLETRANSLATE(A25492,""en"",""pt"")"),"zoom de 2x, a vida da bateria")</f>
        <v>zoom de 2x, a vida da bateria</v>
      </c>
      <c r="B25492" s="3">
        <v>0</v>
      </c>
    </row>
    <row r="25493" ht="15.75" customHeight="1" spans="1:2">
      <c r="A25493" s="3" t="str">
        <f>IFERROR(__xludf.DUMMYFUNCTION("GOOGLETRANSLATE(A25493,""en"",""pt"")"),"Não built-in tampa da lente, grande demais para caber no bolso do casaco")</f>
        <v>Não built-in tampa da lente, grande demais para caber no bolso do casaco</v>
      </c>
      <c r="B25493" s="3">
        <v>0</v>
      </c>
    </row>
    <row r="25494" ht="15.75" customHeight="1" spans="1:2">
      <c r="A25494" s="3" t="str">
        <f>IFERROR(__xludf.DUMMYFUNCTION("GOOGLETRANSLATE(A25494,""en"",""pt"")"),"Um pouco volumoso.")</f>
        <v>Um pouco volumoso.</v>
      </c>
      <c r="B25494" s="3">
        <v>0</v>
      </c>
    </row>
    <row r="25495" ht="15.75" customHeight="1" spans="1:2">
      <c r="A25495" s="3" t="str">
        <f>IFERROR(__xludf.DUMMYFUNCTION("GOOGLETRANSLATE(A25495,""en"",""pt"")"),"vida útil da bateria, transferência de imagem lento")</f>
        <v>vida útil da bateria, transferência de imagem lento</v>
      </c>
      <c r="B25495" s="3">
        <v>0</v>
      </c>
    </row>
    <row r="25496" ht="15.75" customHeight="1" spans="1:2">
      <c r="A25496" s="3" t="str">
        <f>IFERROR(__xludf.DUMMYFUNCTION("GOOGLETRANSLATE(A25496,""en"",""pt"")"),"carregamento lento sem o leitor de cartão")</f>
        <v>carregamento lento sem o leitor de cartão</v>
      </c>
      <c r="B25496" s="3">
        <v>0</v>
      </c>
    </row>
    <row r="25497" ht="15.75" customHeight="1" spans="1:2">
      <c r="A25497" s="3" t="str">
        <f>IFERROR(__xludf.DUMMYFUNCTION("GOOGLETRANSLATE(A25497,""en"",""pt"")"),"O software de transferência de imagem não funciona direito, zoom e close-up não funcionam, e nenhuma bateria recarregável incluída.")</f>
        <v>O software de transferência de imagem não funciona direito, zoom e close-up não funcionam, e nenhuma bateria recarregável incluída.</v>
      </c>
      <c r="B25497" s="3">
        <v>0</v>
      </c>
    </row>
    <row r="25498" ht="15.75" customHeight="1" spans="1:2">
      <c r="A25498" s="3" t="str">
        <f>IFERROR(__xludf.DUMMYFUNCTION("GOOGLETRANSLATE(A25498,""en"",""pt"")"),"Desejamos que eu tinha começado zoom mais poderoso.")</f>
        <v>Desejamos que eu tinha começado zoom mais poderoso.</v>
      </c>
      <c r="B25498" s="3">
        <v>0</v>
      </c>
    </row>
    <row r="25499" ht="15.75" customHeight="1" spans="1:2">
      <c r="A25499" s="3" t="str">
        <f>IFERROR(__xludf.DUMMYFUNCTION("GOOGLETRANSLATE(A25499,""en"",""pt"")"),"Ainda custa muito! preços desejo viria para baixo.")</f>
        <v>Ainda custa muito! preços desejo viria para baixo.</v>
      </c>
      <c r="B25499" s="3">
        <v>0</v>
      </c>
    </row>
    <row r="25500" ht="15.75" customHeight="1" spans="1:2">
      <c r="A25500" s="3" t="str">
        <f>IFERROR(__xludf.DUMMYFUNCTION("GOOGLETRANSLATE(A25500,""en"",""pt"")"),"Bloqueia-se ocasionalmente. capacidade de zoom Limited. Sem USB. Sem tampa da lente. Não é capaz de usar filtros acessórias ou lentes. lenta recuperação após tirar uma fotografia.")</f>
        <v>Bloqueia-se ocasionalmente. capacidade de zoom Limited. Sem USB. Sem tampa da lente. Não é capaz de usar filtros acessórias ou lentes. lenta recuperação após tirar uma fotografia.</v>
      </c>
      <c r="B25500" s="3">
        <v>0</v>
      </c>
    </row>
    <row r="25501" ht="15.75" customHeight="1" spans="1:2">
      <c r="A25501" s="3" t="str">
        <f>IFERROR(__xludf.DUMMYFUNCTION("GOOGLETRANSLATE(A25501,""en"",""pt"")"),"para uso constante que come baterias")</f>
        <v>para uso constante que come baterias</v>
      </c>
      <c r="B25501" s="3">
        <v>0</v>
      </c>
    </row>
    <row r="25502" ht="15.75" customHeight="1" spans="1:2">
      <c r="A25502" s="3" t="str">
        <f>IFERROR(__xludf.DUMMYFUNCTION("GOOGLETRANSLATE(A25502,""en"",""pt"")"),"poderia usar um melhor lente zoom")</f>
        <v>poderia usar um melhor lente zoom</v>
      </c>
      <c r="B25502" s="3">
        <v>0</v>
      </c>
    </row>
    <row r="25503" ht="15.75" customHeight="1" spans="1:2">
      <c r="A25503" s="3" t="str">
        <f>IFERROR(__xludf.DUMMYFUNCTION("GOOGLETRANSLATE(A25503,""en"",""pt"")"),"Só Um Megapixel, quase sem opções, preço robusto.")</f>
        <v>Só Um Megapixel, quase sem opções, preço robusto.</v>
      </c>
      <c r="B25503" s="3">
        <v>0</v>
      </c>
    </row>
    <row r="25504" ht="15.75" customHeight="1" spans="1:2">
      <c r="A25504" s="3" t="str">
        <f>IFERROR(__xludf.DUMMYFUNCTION("GOOGLETRANSLATE(A25504,""en"",""pt"")"),"sem tampa da lente")</f>
        <v>sem tampa da lente</v>
      </c>
      <c r="B25504" s="3">
        <v>0</v>
      </c>
    </row>
    <row r="25505" ht="15.75" customHeight="1" spans="1:2">
      <c r="A25505" s="3" t="str">
        <f>IFERROR(__xludf.DUMMYFUNCTION("GOOGLETRANSLATE(A25505,""en"",""pt"")"),"Não muito pensamento foi para o design desta coisa")</f>
        <v>Não muito pensamento foi para o design desta coisa</v>
      </c>
      <c r="B25505" s="3">
        <v>0</v>
      </c>
    </row>
    <row r="25506" ht="15.75" customHeight="1" spans="1:2">
      <c r="A25506" s="3" t="str">
        <f>IFERROR(__xludf.DUMMYFUNCTION("GOOGLETRANSLATE(A25506,""en"",""pt"")"),"resolução muito baixa para impressões, a velocidade de transferência lenta")</f>
        <v>resolução muito baixa para impressões, a velocidade de transferência lenta</v>
      </c>
      <c r="B25506" s="3">
        <v>0</v>
      </c>
    </row>
    <row r="25507" ht="15.75" customHeight="1" spans="1:2">
      <c r="A25507" s="3" t="str">
        <f>IFERROR(__xludf.DUMMYFUNCTION("GOOGLETRANSLATE(A25507,""en"",""pt"")"),"baterias não vai manter a carga")</f>
        <v>baterias não vai manter a carga</v>
      </c>
      <c r="B25507" s="3">
        <v>0</v>
      </c>
    </row>
    <row r="25508" ht="15.75" customHeight="1" spans="1:2">
      <c r="A25508" s="3" t="str">
        <f>IFERROR(__xludf.DUMMYFUNCTION("GOOGLETRANSLATE(A25508,""en"",""pt"")"),"transferências muito lento com modelo de cabo serial, não profissional fotografia nível")</f>
        <v>transferências muito lento com modelo de cabo serial, não profissional fotografia nível</v>
      </c>
      <c r="B25508" s="3">
        <v>0</v>
      </c>
    </row>
    <row r="25509" ht="15.75" customHeight="1" spans="1:2">
      <c r="A25509" s="3" t="str">
        <f>IFERROR(__xludf.DUMMYFUNCTION("GOOGLETRANSLATE(A25509,""en"",""pt"")"),"Controle de Exposição pobres")</f>
        <v>Controle de Exposição pobres</v>
      </c>
      <c r="B25509" s="3">
        <v>0</v>
      </c>
    </row>
    <row r="25510" ht="15.75" customHeight="1" spans="1:2">
      <c r="A25510" s="3" t="str">
        <f>IFERROR(__xludf.DUMMYFUNCTION("GOOGLETRANSLATE(A25510,""en"",""pt"")"),"Precisa as baterias direito !!!!!!")</f>
        <v>Precisa as baterias direito !!!!!!</v>
      </c>
      <c r="B25510" s="3">
        <v>0</v>
      </c>
    </row>
    <row r="25511" ht="15.75" customHeight="1" spans="1:2">
      <c r="A25511" s="3" t="str">
        <f>IFERROR(__xludf.DUMMYFUNCTION("GOOGLETRANSLATE(A25511,""en"",""pt"")"),"conector delicada / Card Reader Needed")</f>
        <v>conector delicada / Card Reader Needed</v>
      </c>
      <c r="B25511" s="3">
        <v>0</v>
      </c>
    </row>
    <row r="25512" ht="15.75" customHeight="1" spans="1:2">
      <c r="A25512" s="3" t="str">
        <f>IFERROR(__xludf.DUMMYFUNCTION("GOOGLETRANSLATE(A25512,""en"",""pt"")"),"curta duração da bateria &amp; amp; bateria problema de cobertura, sem tampa da lente volumosos, poupando imagem &amp; amp; carregamento lento")</f>
        <v>curta duração da bateria &amp; amp; bateria problema de cobertura, sem tampa da lente volumosos, poupando imagem &amp; amp; carregamento lento</v>
      </c>
      <c r="B25512" s="3">
        <v>0</v>
      </c>
    </row>
    <row r="25513" ht="15.75" customHeight="1" spans="1:2">
      <c r="A25513" s="3" t="str">
        <f>IFERROR(__xludf.DUMMYFUNCTION("GOOGLETRANSLATE(A25513,""en"",""pt"")"),"design não ergo, come-se baterias como louco")</f>
        <v>design não ergo, come-se baterias como louco</v>
      </c>
      <c r="B25513" s="3">
        <v>0</v>
      </c>
    </row>
    <row r="25514" ht="15.75" customHeight="1" spans="1:2">
      <c r="A25514" s="3" t="str">
        <f>IFERROR(__xludf.DUMMYFUNCTION("GOOGLETRANSLATE(A25514,""en"",""pt"")"),"Volumoso, lentas taxas de transferência, Bad Zoom, Sem tampa da lente")</f>
        <v>Volumoso, lentas taxas de transferência, Bad Zoom, Sem tampa da lente</v>
      </c>
      <c r="B25514" s="3">
        <v>0</v>
      </c>
    </row>
    <row r="25515" ht="15.75" customHeight="1" spans="1:2">
      <c r="A25515" s="3" t="str">
        <f>IFERROR(__xludf.DUMMYFUNCTION("GOOGLETRANSLATE(A25515,""en"",""pt"")"),"transferência de série lenta, curta duração da bateria.")</f>
        <v>transferência de série lenta, curta duração da bateria.</v>
      </c>
      <c r="B25515" s="3">
        <v>0</v>
      </c>
    </row>
    <row r="25516" ht="15.75" customHeight="1" spans="1:2">
      <c r="A25516" s="3" t="str">
        <f>IFERROR(__xludf.DUMMYFUNCTION("GOOGLETRANSLATE(A25516,""en"",""pt"")"),"Ele come baterias como se não houvesse amanhã.")</f>
        <v>Ele come baterias como se não houvesse amanhã.</v>
      </c>
      <c r="B25516" s="3">
        <v>0</v>
      </c>
    </row>
    <row r="25517" ht="15.75" customHeight="1" spans="1:2">
      <c r="A25517" s="3" t="str">
        <f>IFERROR(__xludf.DUMMYFUNCTION("GOOGLETRANSLATE(A25517,""en"",""pt"")"),"vida massa curta, transferências lentas")</f>
        <v>vida massa curta, transferências lentas</v>
      </c>
      <c r="B25517" s="3">
        <v>0</v>
      </c>
    </row>
    <row r="25518" ht="15.75" customHeight="1" spans="1:2">
      <c r="A25518" s="3" t="str">
        <f>IFERROR(__xludf.DUMMYFUNCTION("GOOGLETRANSLATE(A25518,""en"",""pt"")"),"capacidade do cartão caro, recarga lenta para o próximo tiro, poder exigir")</f>
        <v>capacidade do cartão caro, recarga lenta para o próximo tiro, poder exigir</v>
      </c>
      <c r="B25518" s="3">
        <v>0</v>
      </c>
    </row>
    <row r="25519" ht="15.75" customHeight="1" spans="1:2">
      <c r="A25519" s="3" t="str">
        <f>IFERROR(__xludf.DUMMYFUNCTION("GOOGLETRANSLATE(A25519,""en"",""pt"")"),"nenhuma USB")</f>
        <v>nenhuma USB</v>
      </c>
      <c r="B25519" s="3">
        <v>0</v>
      </c>
    </row>
    <row r="25520" ht="15.75" customHeight="1" spans="1:2">
      <c r="A25520" s="3" t="str">
        <f>IFERROR(__xludf.DUMMYFUNCTION("GOOGLETRANSLATE(A25520,""en"",""pt"")"),"Apenas 2X zoom óptico; download lento")</f>
        <v>Apenas 2X zoom óptico; download lento</v>
      </c>
      <c r="B25520" s="3">
        <v>0</v>
      </c>
    </row>
    <row r="25521" ht="15.75" customHeight="1" spans="1:2">
      <c r="A25521" s="3" t="str">
        <f>IFERROR(__xludf.DUMMYFUNCTION("GOOGLETRANSLATE(A25521,""en"",""pt"")"),"Vida útil da bateria usando o visor digital é extremamente baixo.")</f>
        <v>Vida útil da bateria usando o visor digital é extremamente baixo.</v>
      </c>
      <c r="B25521" s="3">
        <v>0</v>
      </c>
    </row>
    <row r="25522" ht="15.75" customHeight="1" spans="1:2">
      <c r="A25522" s="3" t="str">
        <f>IFERROR(__xludf.DUMMYFUNCTION("GOOGLETRANSLATE(A25522,""en"",""pt"")"),"Vida útil da bateria &amp; amp; amp; Apresentação de Informações Precisão")</f>
        <v>Vida útil da bateria &amp; amp; amp; Apresentação de Informações Precisão</v>
      </c>
      <c r="B25522" s="3">
        <v>0</v>
      </c>
    </row>
    <row r="25523" ht="15.75" customHeight="1" spans="1:2">
      <c r="A25523" s="3" t="str">
        <f>IFERROR(__xludf.DUMMYFUNCTION("GOOGLETRANSLATE(A25523,""en"",""pt"")"),"a taxa de tiro")</f>
        <v>a taxa de tiro</v>
      </c>
      <c r="B25523" s="3">
        <v>0</v>
      </c>
    </row>
    <row r="25524" ht="15.75" customHeight="1" spans="1:2">
      <c r="A25524" s="3" t="str">
        <f>IFERROR(__xludf.DUMMYFUNCTION("GOOGLETRANSLATE(A25524,""en"",""pt"")"),"Precisa de um chip de memória maior, apenas detém 16 fotos")</f>
        <v>Precisa de um chip de memória maior, apenas detém 16 fotos</v>
      </c>
      <c r="B25524" s="3">
        <v>0</v>
      </c>
    </row>
    <row r="25525" ht="15.75" customHeight="1" spans="1:2">
      <c r="A25525" s="3" t="str">
        <f>IFERROR(__xludf.DUMMYFUNCTION("GOOGLETRANSLATE(A25525,""en"",""pt"")"),"Nenhum")</f>
        <v>Nenhum</v>
      </c>
      <c r="B25525" s="3">
        <v>0</v>
      </c>
    </row>
    <row r="25526" ht="15.75" customHeight="1" spans="1:2">
      <c r="A25526" s="3" t="str">
        <f>IFERROR(__xludf.DUMMYFUNCTION("GOOGLETRANSLATE(A25526,""en"",""pt"")"),"clara distorção nas bordas, pouco grande")</f>
        <v>clara distorção nas bordas, pouco grande</v>
      </c>
      <c r="B25526" s="3">
        <v>0</v>
      </c>
    </row>
    <row r="25527" ht="15.75" customHeight="1" spans="1:2">
      <c r="A25527" s="3" t="str">
        <f>IFERROR(__xludf.DUMMYFUNCTION("GOOGLETRANSLATE(A25527,""en"",""pt"")"),"a vida da bateria muito curto quando se utiliza LCD")</f>
        <v>a vida da bateria muito curto quando se utiliza LCD</v>
      </c>
      <c r="B25527" s="3">
        <v>0</v>
      </c>
    </row>
    <row r="25528" ht="15.75" customHeight="1" spans="1:2">
      <c r="A25528" s="3" t="str">
        <f>IFERROR(__xludf.DUMMYFUNCTION("GOOGLETRANSLATE(A25528,""en"",""pt"")"),"Descarrega lenta ao computador através do cabo P / porta")</f>
        <v>Descarrega lenta ao computador através do cabo P / porta</v>
      </c>
      <c r="B25528" s="3">
        <v>0</v>
      </c>
    </row>
    <row r="25529" ht="15.75" customHeight="1" spans="1:2">
      <c r="A25529" s="3" t="str">
        <f>IFERROR(__xludf.DUMMYFUNCTION("GOOGLETRANSLATE(A25529,""en"",""pt"")"),"Lento, algumas características, de baixa resolução")</f>
        <v>Lento, algumas características, de baixa resolução</v>
      </c>
      <c r="B25529" s="3">
        <v>0</v>
      </c>
    </row>
    <row r="25530" ht="15.75" customHeight="1" spans="1:2">
      <c r="A25530" s="3" t="str">
        <f>IFERROR(__xludf.DUMMYFUNCTION("GOOGLETRANSLATE(A25530,""en"",""pt"")"),"Armazenamento")</f>
        <v>Armazenamento</v>
      </c>
      <c r="B25530" s="3">
        <v>0</v>
      </c>
    </row>
    <row r="25531" ht="15.75" customHeight="1" spans="1:2">
      <c r="A25531" s="3" t="str">
        <f>IFERROR(__xludf.DUMMYFUNCTION("GOOGLETRANSLATE(A25531,""en"",""pt"")"),"qualidade da imagem")</f>
        <v>qualidade da imagem</v>
      </c>
      <c r="B25531" s="3">
        <v>0</v>
      </c>
    </row>
    <row r="25532" ht="15.75" customHeight="1" spans="1:2">
      <c r="A25532" s="3" t="str">
        <f>IFERROR(__xludf.DUMMYFUNCTION("GOOGLETRANSLATE(A25532,""en"",""pt"")"),"Consideravelmente Modelo Básico - para mais alfabetizados")</f>
        <v>Consideravelmente Modelo Básico - para mais alfabetizados</v>
      </c>
      <c r="B25532" s="3">
        <v>0</v>
      </c>
    </row>
    <row r="25533" ht="15.75" customHeight="1" spans="1:2">
      <c r="A25533" s="3" t="str">
        <f>IFERROR(__xludf.DUMMYFUNCTION("GOOGLETRANSLATE(A25533,""en"",""pt"")"),"Pobre Tamanho da Imagem &amp; amp; amp; Qualidade, sem traços característicos")</f>
        <v>Pobre Tamanho da Imagem &amp; amp; amp; Qualidade, sem traços característicos</v>
      </c>
      <c r="B25533" s="3">
        <v>0</v>
      </c>
    </row>
    <row r="25534" ht="15.75" customHeight="1" spans="1:2">
      <c r="A25534" s="3" t="str">
        <f>IFERROR(__xludf.DUMMYFUNCTION("GOOGLETRANSLATE(A25534,""en"",""pt"")"),"muito lento, não muitos recursos")</f>
        <v>muito lento, não muitos recursos</v>
      </c>
      <c r="B25534" s="3">
        <v>0</v>
      </c>
    </row>
    <row r="25535" ht="15.75" customHeight="1" spans="1:2">
      <c r="A25535" s="3" t="str">
        <f>IFERROR(__xludf.DUMMYFUNCTION("GOOGLETRANSLATE(A25535,""en"",""pt"")"),"Pobres a qualidade de imagem medíocre, suga o direito vida fora de baterias caras")</f>
        <v>Pobres a qualidade de imagem medíocre, suga o direito vida fora de baterias caras</v>
      </c>
      <c r="B25535" s="3">
        <v>0</v>
      </c>
    </row>
    <row r="25536" ht="15.75" customHeight="1" spans="1:2">
      <c r="A25536" s="3" t="str">
        <f>IFERROR(__xludf.DUMMYFUNCTION("GOOGLETRANSLATE(A25536,""en"",""pt"")"),"qualidade terrível")</f>
        <v>qualidade terrível</v>
      </c>
      <c r="B25536" s="3">
        <v>0</v>
      </c>
    </row>
    <row r="25537" ht="15.75" customHeight="1" spans="1:2">
      <c r="A25537" s="3" t="str">
        <f>IFERROR(__xludf.DUMMYFUNCTION("GOOGLETRANSLATE(A25537,""en"",""pt"")"),"imagens de baixa resolução não são realmente vale o esforço.")</f>
        <v>imagens de baixa resolução não são realmente vale o esforço.</v>
      </c>
      <c r="B25537" s="3">
        <v>0</v>
      </c>
    </row>
    <row r="25538" ht="15.75" customHeight="1" spans="1:2">
      <c r="A25538" s="3" t="str">
        <f>IFERROR(__xludf.DUMMYFUNCTION("GOOGLETRANSLATE(A25538,""en"",""pt"")"),"Curta duração da bateria, uploads lentos")</f>
        <v>Curta duração da bateria, uploads lentos</v>
      </c>
      <c r="B25538" s="3">
        <v>0</v>
      </c>
    </row>
    <row r="25539" ht="15.75" customHeight="1" spans="1:2">
      <c r="A25539" s="3" t="str">
        <f>IFERROR(__xludf.DUMMYFUNCTION("GOOGLETRANSLATE(A25539,""en"",""pt"")"),"tempo de reciclagem lenta")</f>
        <v>tempo de reciclagem lenta</v>
      </c>
      <c r="B25539" s="3">
        <v>0</v>
      </c>
    </row>
    <row r="25540" ht="15.75" customHeight="1" spans="1:2">
      <c r="A25540" s="3" t="str">
        <f>IFERROR(__xludf.DUMMYFUNCTION("GOOGLETRANSLATE(A25540,""en"",""pt"")"),"Usando baterias come LCD,")</f>
        <v>Usando baterias come LCD,</v>
      </c>
      <c r="B25540" s="3">
        <v>0</v>
      </c>
    </row>
    <row r="25541" ht="15.75" customHeight="1" spans="1:2">
      <c r="A25541" s="3" t="str">
        <f>IFERROR(__xludf.DUMMYFUNCTION("GOOGLETRANSLATE(A25541,""en"",""pt"")"),"No caso, o download de fotos pode ser um problema para pessoas de computador analfabetos.")</f>
        <v>No caso, o download de fotos pode ser um problema para pessoas de computador analfabetos.</v>
      </c>
      <c r="B25541" s="3">
        <v>0</v>
      </c>
    </row>
    <row r="25542" ht="15.75" customHeight="1" spans="1:2">
      <c r="A25542" s="3" t="str">
        <f>IFERROR(__xludf.DUMMYFUNCTION("GOOGLETRANSLATE(A25542,""en"",""pt"")"),"longo intiation")</f>
        <v>longo intiation</v>
      </c>
      <c r="B25542" s="3">
        <v>0</v>
      </c>
    </row>
    <row r="25543" ht="15.75" customHeight="1" spans="1:2">
      <c r="A25543" s="3" t="str">
        <f>IFERROR(__xludf.DUMMYFUNCTION("GOOGLETRANSLATE(A25543,""en"",""pt"")"),"Navios com pequena cartão de 8MB, o tempo de recuperação lenta após 2 tiros")</f>
        <v>Navios com pequena cartão de 8MB, o tempo de recuperação lenta após 2 tiros</v>
      </c>
      <c r="B25543" s="3">
        <v>0</v>
      </c>
    </row>
    <row r="25544" ht="15.75" customHeight="1" spans="1:2">
      <c r="A25544" s="3" t="str">
        <f>IFERROR(__xludf.DUMMYFUNCTION("GOOGLETRANSLATE(A25544,""en"",""pt"")"),"baixa resolução")</f>
        <v>baixa resolução</v>
      </c>
      <c r="B25544" s="3">
        <v>0</v>
      </c>
    </row>
    <row r="25545" ht="15.75" customHeight="1" spans="1:2">
      <c r="A25545" s="3" t="str">
        <f>IFERROR(__xludf.DUMMYFUNCTION("GOOGLETRANSLATE(A25545,""en"",""pt"")"),"processamento lento, não pode usar o recurso de tiro múltipla")</f>
        <v>processamento lento, não pode usar o recurso de tiro múltipla</v>
      </c>
      <c r="B25545" s="3">
        <v>0</v>
      </c>
    </row>
    <row r="25546" ht="15.75" customHeight="1" spans="1:2">
      <c r="A25546" s="3" t="str">
        <f>IFERROR(__xludf.DUMMYFUNCTION("GOOGLETRANSLATE(A25546,""en"",""pt"")"),"Não recomendado para close-up.")</f>
        <v>Não recomendado para close-up.</v>
      </c>
      <c r="B25546" s="3">
        <v>0</v>
      </c>
    </row>
    <row r="25547" ht="15.75" customHeight="1" spans="1:2">
      <c r="A25547" s="3" t="str">
        <f>IFERROR(__xludf.DUMMYFUNCTION("GOOGLETRANSLATE(A25547,""en"",""pt"")"),"muitos problemas")</f>
        <v>muitos problemas</v>
      </c>
      <c r="B25547" s="3">
        <v>0</v>
      </c>
    </row>
    <row r="25548" ht="15.75" customHeight="1" spans="1:2">
      <c r="A25548" s="3" t="str">
        <f>IFERROR(__xludf.DUMMYFUNCTION("GOOGLETRANSLATE(A25548,""en"",""pt"")"),"dificuldade em alterar as opções de flash")</f>
        <v>dificuldade em alterar as opções de flash</v>
      </c>
      <c r="B25548" s="3">
        <v>0</v>
      </c>
    </row>
    <row r="25549" ht="15.75" customHeight="1" spans="1:2">
      <c r="A25549" s="3" t="str">
        <f>IFERROR(__xludf.DUMMYFUNCTION("GOOGLETRANSLATE(A25549,""en"",""pt"")"),"Tempo para ligar-off")</f>
        <v>Tempo para ligar-off</v>
      </c>
      <c r="B25549" s="3">
        <v>0</v>
      </c>
    </row>
    <row r="25550" ht="15.75" customHeight="1" spans="1:2">
      <c r="A25550" s="3" t="str">
        <f>IFERROR(__xludf.DUMMYFUNCTION("GOOGLETRANSLATE(A25550,""en"",""pt"")"),"tempo de processamento lento, não bem adaptadas para Macs")</f>
        <v>tempo de processamento lento, não bem adaptadas para Macs</v>
      </c>
      <c r="B25550" s="3">
        <v>0</v>
      </c>
    </row>
    <row r="25551" ht="15.75" customHeight="1" spans="1:2">
      <c r="A25551" s="3" t="str">
        <f>IFERROR(__xludf.DUMMYFUNCTION("GOOGLETRANSLATE(A25551,""en"",""pt"")"),"muito lento, congela às vezes.")</f>
        <v>muito lento, congela às vezes.</v>
      </c>
      <c r="B25551" s="3">
        <v>0</v>
      </c>
    </row>
    <row r="25552" ht="15.75" customHeight="1" spans="1:2">
      <c r="A25552" s="3" t="str">
        <f>IFERROR(__xludf.DUMMYFUNCTION("GOOGLETRANSLATE(A25552,""en"",""pt"")"),"O corpo da câmera um pouco demasiado suave e não segmentos de lentes para filtros")</f>
        <v>O corpo da câmera um pouco demasiado suave e não segmentos de lentes para filtros</v>
      </c>
      <c r="B25552" s="3">
        <v>0</v>
      </c>
    </row>
    <row r="25553" ht="15.75" customHeight="1" spans="1:2">
      <c r="A25553" s="3" t="str">
        <f>IFERROR(__xludf.DUMMYFUNCTION("GOOGLETRANSLATE(A25553,""en"",""pt"")"),"Nenhum que eu possa encontrar.")</f>
        <v>Nenhum que eu possa encontrar.</v>
      </c>
      <c r="B25553" s="3">
        <v>0</v>
      </c>
    </row>
    <row r="25554" ht="15.75" customHeight="1" spans="1:2">
      <c r="A25554" s="3" t="str">
        <f>IFERROR(__xludf.DUMMYFUNCTION("GOOGLETRANSLATE(A25554,""en"",""pt"")"),"vida útil da bateria")</f>
        <v>vida útil da bateria</v>
      </c>
      <c r="B25554" s="3">
        <v>0</v>
      </c>
    </row>
    <row r="25555" ht="15.75" customHeight="1" spans="1:2">
      <c r="A25555" s="3" t="str">
        <f>IFERROR(__xludf.DUMMYFUNCTION("GOOGLETRANSLATE(A25555,""en"",""pt"")"),"baterias não duram muito tempo")</f>
        <v>baterias não duram muito tempo</v>
      </c>
      <c r="B25555" s="3">
        <v>0</v>
      </c>
    </row>
    <row r="25556" ht="15.75" customHeight="1" spans="1:2">
      <c r="A25556" s="3" t="str">
        <f>IFERROR(__xludf.DUMMYFUNCTION("GOOGLETRANSLATE(A25556,""en"",""pt"")"),"menus complicados, tela de reprodução demasiado brilhante")</f>
        <v>menus complicados, tela de reprodução demasiado brilhante</v>
      </c>
      <c r="B25556" s="3">
        <v>0</v>
      </c>
    </row>
    <row r="25557" ht="15.75" customHeight="1" spans="1:2">
      <c r="A25557" s="3" t="str">
        <f>IFERROR(__xludf.DUMMYFUNCTION("GOOGLETRANSLATE(A25557,""en"",""pt"")"),"Muito curta vida útil da bateria, muito lento para baixar através do modo de série.")</f>
        <v>Muito curta vida útil da bateria, muito lento para baixar através do modo de série.</v>
      </c>
      <c r="B25557" s="3">
        <v>0</v>
      </c>
    </row>
    <row r="25558" ht="15.75" customHeight="1" spans="1:2">
      <c r="A25558" s="3" t="str">
        <f>IFERROR(__xludf.DUMMYFUNCTION("GOOGLETRANSLATE(A25558,""en"",""pt"")"),"come-se baterias como louco")</f>
        <v>come-se baterias como louco</v>
      </c>
      <c r="B25558" s="3">
        <v>0</v>
      </c>
    </row>
    <row r="25559" ht="15.75" customHeight="1" spans="1:2">
      <c r="A25559" s="3" t="str">
        <f>IFERROR(__xludf.DUMMYFUNCTION("GOOGLETRANSLATE(A25559,""en"",""pt"")"),"Um pouco sobre o lado pesado")</f>
        <v>Um pouco sobre o lado pesado</v>
      </c>
      <c r="B25559" s="3">
        <v>0</v>
      </c>
    </row>
    <row r="25560" ht="15.75" customHeight="1" spans="1:2">
      <c r="A25560" s="3" t="str">
        <f>IFERROR(__xludf.DUMMYFUNCTION("GOOGLETRANSLATE(A25560,""en"",""pt"")"),"mais velho, tamanho")</f>
        <v>mais velho, tamanho</v>
      </c>
      <c r="B25560" s="3">
        <v>0</v>
      </c>
    </row>
    <row r="25561" ht="15.75" customHeight="1" spans="1:2">
      <c r="A25561" s="3" t="str">
        <f>IFERROR(__xludf.DUMMYFUNCTION("GOOGLETRANSLATE(A25561,""en"",""pt"")"),"Preço Alto")</f>
        <v>Preço Alto</v>
      </c>
      <c r="B25561" s="3">
        <v>0</v>
      </c>
    </row>
    <row r="25562" ht="15.75" customHeight="1" spans="1:2">
      <c r="A25562" s="3" t="str">
        <f>IFERROR(__xludf.DUMMYFUNCTION("GOOGLETRANSLATE(A25562,""en"",""pt"")"),"Centrando-se problemas, nenhum modo descomprimido, ainda não pode tocar filme para qualidade de imagem")</f>
        <v>Centrando-se problemas, nenhum modo descomprimido, ainda não pode tocar filme para qualidade de imagem</v>
      </c>
      <c r="B25562" s="3">
        <v>0</v>
      </c>
    </row>
    <row r="25563" ht="15.75" customHeight="1" spans="1:2">
      <c r="A25563" s="3" t="str">
        <f>IFERROR(__xludf.DUMMYFUNCTION("GOOGLETRANSLATE(A25563,""en"",""pt"")"),"Leia abaixo")</f>
        <v>Leia abaixo</v>
      </c>
      <c r="B25563" s="3">
        <v>0</v>
      </c>
    </row>
    <row r="25564" ht="15.75" customHeight="1" spans="1:2">
      <c r="A25564" s="3" t="str">
        <f>IFERROR(__xludf.DUMMYFUNCTION("GOOGLETRANSLATE(A25564,""en"",""pt"")"),"Pode levar mais tempo para download em computadores mais antigos com nenhuma porta USB")</f>
        <v>Pode levar mais tempo para download em computadores mais antigos com nenhuma porta USB</v>
      </c>
      <c r="B25564" s="3">
        <v>0</v>
      </c>
    </row>
    <row r="25565" ht="15.75" customHeight="1" spans="1:2">
      <c r="A25565" s="3" t="str">
        <f>IFERROR(__xludf.DUMMYFUNCTION("GOOGLETRANSLATE(A25565,""en"",""pt"")"),"Nenhum, eu amo essa câmera")</f>
        <v>Nenhum, eu amo essa câmera</v>
      </c>
      <c r="B25565" s="3">
        <v>0</v>
      </c>
    </row>
    <row r="25566" ht="15.75" customHeight="1" spans="1:2">
      <c r="A25566" s="3" t="str">
        <f>IFERROR(__xludf.DUMMYFUNCTION("GOOGLETRANSLATE(A25566,""en"",""pt"")"),"baterias come, câmera ação Pobres, irritante 'clique' som")</f>
        <v>baterias come, câmera ação Pobres, irritante 'clique' som</v>
      </c>
      <c r="B25566" s="3">
        <v>0</v>
      </c>
    </row>
    <row r="25567" ht="15.75" customHeight="1" spans="1:2">
      <c r="A25567" s="3" t="str">
        <f>IFERROR(__xludf.DUMMYFUNCTION("GOOGLETRANSLATE(A25567,""en"",""pt"")"),"Não foto-qualidade para as maiores imagens")</f>
        <v>Não foto-qualidade para as maiores imagens</v>
      </c>
      <c r="B25567" s="3">
        <v>0</v>
      </c>
    </row>
    <row r="25568" ht="15.75" customHeight="1" spans="1:2">
      <c r="A25568" s="3" t="str">
        <f>IFERROR(__xludf.DUMMYFUNCTION("GOOGLETRANSLATE(A25568,""en"",""pt"")"),"custo")</f>
        <v>custo</v>
      </c>
      <c r="B25568" s="3">
        <v>0</v>
      </c>
    </row>
    <row r="25569" ht="15.75" customHeight="1" spans="1:2">
      <c r="A25569" s="3" t="str">
        <f>IFERROR(__xludf.DUMMYFUNCTION("GOOGLETRANSLATE(A25569,""en"",""pt"")"),"Difícil de suportar em um nível empresarial.")</f>
        <v>Difícil de suportar em um nível empresarial.</v>
      </c>
      <c r="B25569" s="3">
        <v>0</v>
      </c>
    </row>
    <row r="25570" ht="15.75" customHeight="1" spans="1:2">
      <c r="A25570" s="3" t="str">
        <f>IFERROR(__xludf.DUMMYFUNCTION("GOOGLETRANSLATE(A25570,""en"",""pt"")"),"A vida da bateria é muito curto, cartão de memória não possui muitas imagens de alta resolução.")</f>
        <v>A vida da bateria é muito curto, cartão de memória não possui muitas imagens de alta resolução.</v>
      </c>
      <c r="B25570" s="3">
        <v>0</v>
      </c>
    </row>
    <row r="25571" ht="15.75" customHeight="1" spans="1:2">
      <c r="A25571" s="3" t="str">
        <f>IFERROR(__xludf.DUMMYFUNCTION("GOOGLETRANSLATE(A25571,""en"",""pt"")"),"poderia ser um pouco complicado")</f>
        <v>poderia ser um pouco complicado</v>
      </c>
      <c r="B25571" s="3">
        <v>0</v>
      </c>
    </row>
    <row r="25572" ht="15.75" customHeight="1" spans="1:2">
      <c r="A25572" s="3" t="str">
        <f>IFERROR(__xludf.DUMMYFUNCTION("GOOGLETRANSLATE(A25572,""en"",""pt"")"),"Interrompido")</f>
        <v>Interrompido</v>
      </c>
      <c r="B25572" s="3">
        <v>0</v>
      </c>
    </row>
    <row r="25573" ht="15.75" customHeight="1" spans="1:2">
      <c r="A25573" s="3" t="str">
        <f>IFERROR(__xludf.DUMMYFUNCTION("GOOGLETRANSLATE(A25573,""en"",""pt"")"),"pesado, com sede, inflexível, lento para ligar / foto loja")</f>
        <v>pesado, com sede, inflexível, lento para ligar / foto loja</v>
      </c>
      <c r="B25573" s="3">
        <v>0</v>
      </c>
    </row>
    <row r="25574" ht="15.75" customHeight="1" spans="1:2">
      <c r="A25574" s="3" t="str">
        <f>IFERROR(__xludf.DUMMYFUNCTION("GOOGLETRANSLATE(A25574,""en"",""pt"")"),"volumoso, com defeito e ultrapassada")</f>
        <v>volumoso, com defeito e ultrapassada</v>
      </c>
      <c r="B25574" s="3">
        <v>0</v>
      </c>
    </row>
    <row r="25575" ht="15.75" customHeight="1" spans="1:2">
      <c r="A25575" s="3" t="str">
        <f>IFERROR(__xludf.DUMMYFUNCTION("GOOGLETRANSLATE(A25575,""en"",""pt"")"),"Close-up de pequenos objetos não são muito claras. Caso contrário, esta câmera tem excelente resolução.")</f>
        <v>Close-up de pequenos objetos não são muito claras. Caso contrário, esta câmera tem excelente resolução.</v>
      </c>
      <c r="B25575" s="3">
        <v>0</v>
      </c>
    </row>
    <row r="25576" ht="15.75" customHeight="1" spans="1:2">
      <c r="A25576" s="3" t="str">
        <f>IFERROR(__xludf.DUMMYFUNCTION("GOOGLETRANSLATE(A25576,""en"",""pt"")"),"Apenas 16 MG de memória interna, Secure Digital é atualizar a única memória disponível.")</f>
        <v>Apenas 16 MG de memória interna, Secure Digital é atualizar a única memória disponível.</v>
      </c>
      <c r="B25576" s="3">
        <v>0</v>
      </c>
    </row>
    <row r="25577" ht="15.75" customHeight="1" spans="1:2">
      <c r="A25577" s="3" t="str">
        <f>IFERROR(__xludf.DUMMYFUNCTION("GOOGLETRANSLATE(A25577,""en"",""pt"")"),"Sem zoom óptico.")</f>
        <v>Sem zoom óptico.</v>
      </c>
      <c r="B25577" s="3">
        <v>0</v>
      </c>
    </row>
    <row r="25578" ht="15.75" customHeight="1" spans="1:2">
      <c r="A25578" s="3" t="str">
        <f>IFERROR(__xludf.DUMMYFUNCTION("GOOGLETRANSLATE(A25578,""en"",""pt"")"),"sem zoom óptico, pequeno lcd")</f>
        <v>sem zoom óptico, pequeno lcd</v>
      </c>
      <c r="B25578" s="3">
        <v>0</v>
      </c>
    </row>
    <row r="25579" ht="15.75" customHeight="1" spans="1:2">
      <c r="A25579" s="3" t="str">
        <f>IFERROR(__xludf.DUMMYFUNCTION("GOOGLETRANSLATE(A25579,""en"",""pt"")"),"Só o zoom de 2x, curta duração da bateria")</f>
        <v>Só o zoom de 2x, curta duração da bateria</v>
      </c>
      <c r="B25579" s="3">
        <v>0</v>
      </c>
    </row>
    <row r="25580" ht="15.75" customHeight="1" spans="1:2">
      <c r="A25580" s="3" t="str">
        <f>IFERROR(__xludf.DUMMYFUNCTION("GOOGLETRANSLATE(A25580,""en"",""pt"")"),"opções de zoom são limitados, baterias come AA como doces !!!")</f>
        <v>opções de zoom são limitados, baterias come AA como doces !!!</v>
      </c>
      <c r="B25580" s="3">
        <v>0</v>
      </c>
    </row>
    <row r="25581" ht="15.75" customHeight="1" spans="1:2">
      <c r="A25581" s="3" t="str">
        <f>IFERROR(__xludf.DUMMYFUNCTION("GOOGLETRANSLATE(A25581,""en"",""pt"")"),"Nada chique")</f>
        <v>Nada chique</v>
      </c>
      <c r="B25581" s="3">
        <v>0</v>
      </c>
    </row>
    <row r="25582" ht="15.75" customHeight="1" spans="1:2">
      <c r="A25582" s="3" t="str">
        <f>IFERROR(__xludf.DUMMYFUNCTION("GOOGLETRANSLATE(A25582,""en"",""pt"")"),"Baterias de melhor comprar recarregável")</f>
        <v>Baterias de melhor comprar recarregável</v>
      </c>
      <c r="B25582" s="3">
        <v>0</v>
      </c>
    </row>
    <row r="25583" ht="15.75" customHeight="1" spans="1:2">
      <c r="A25583" s="3" t="str">
        <f>IFERROR(__xludf.DUMMYFUNCTION("GOOGLETRANSLATE(A25583,""en"",""pt"")"),"2x Digital Zoom, demasiado rígida - há apenas duas configurações!")</f>
        <v>2x Digital Zoom, demasiado rígida - há apenas duas configurações!</v>
      </c>
      <c r="B25583" s="3">
        <v>0</v>
      </c>
    </row>
    <row r="25584" ht="15.75" customHeight="1" spans="1:2">
      <c r="A25584" s="3" t="str">
        <f>IFERROR(__xludf.DUMMYFUNCTION("GOOGLETRANSLATE(A25584,""en"",""pt"")"),"view finder não funciona bem com pouca luz")</f>
        <v>view finder não funciona bem com pouca luz</v>
      </c>
      <c r="B25584" s="3">
        <v>0</v>
      </c>
    </row>
    <row r="25585" ht="15.75" customHeight="1" spans="1:2">
      <c r="A25585" s="3" t="str">
        <f>IFERROR(__xludf.DUMMYFUNCTION("GOOGLETRANSLATE(A25585,""en"",""pt"")"),"Eu só comprei na sexta-feira e eu não posso baixar.")</f>
        <v>Eu só comprei na sexta-feira e eu não posso baixar.</v>
      </c>
      <c r="B25585" s="3">
        <v>0</v>
      </c>
    </row>
    <row r="25586" ht="15.75" customHeight="1" spans="1:2">
      <c r="A25586" s="3" t="str">
        <f>IFERROR(__xludf.DUMMYFUNCTION("GOOGLETRANSLATE(A25586,""en"",""pt"")"),"Ele come baterias !!!")</f>
        <v>Ele come baterias !!!</v>
      </c>
      <c r="B25586" s="3">
        <v>0</v>
      </c>
    </row>
    <row r="25587" ht="15.75" customHeight="1" spans="1:2">
      <c r="A25587" s="3" t="str">
        <f>IFERROR(__xludf.DUMMYFUNCTION("GOOGLETRANSLATE(A25587,""en"",""pt"")"),"O controle de qualidade é inexistente")</f>
        <v>O controle de qualidade é inexistente</v>
      </c>
      <c r="B25587" s="3">
        <v>0</v>
      </c>
    </row>
    <row r="25588" ht="15.75" customHeight="1" spans="1:2">
      <c r="A25588" s="3" t="str">
        <f>IFERROR(__xludf.DUMMYFUNCTION("GOOGLETRANSLATE(A25588,""en"",""pt"")"),"modelo básico - sem frescura")</f>
        <v>modelo básico - sem frescura</v>
      </c>
      <c r="B25588" s="3">
        <v>0</v>
      </c>
    </row>
    <row r="25589" ht="15.75" customHeight="1" spans="1:2">
      <c r="A25589" s="3" t="str">
        <f>IFERROR(__xludf.DUMMYFUNCTION("GOOGLETRANSLATE(A25589,""en"",""pt"")"),"Durabilidade, pequena memória interna, bateria, sem zoom óptico, visor, não doca necessário.")</f>
        <v>Durabilidade, pequena memória interna, bateria, sem zoom óptico, visor, não doca necessário.</v>
      </c>
      <c r="B25589" s="3">
        <v>0</v>
      </c>
    </row>
    <row r="25590" ht="15.75" customHeight="1" spans="1:2">
      <c r="A25590" s="3" t="str">
        <f>IFERROR(__xludf.DUMMYFUNCTION("GOOGLETRANSLATE(A25590,""en"",""pt"")"),"O extra ""dock"" custa US $ 70, mas você realmente não precisa dele")</f>
        <v>O extra "dock" custa US $ 70, mas você realmente não precisa dele</v>
      </c>
      <c r="B25590" s="3">
        <v>0</v>
      </c>
    </row>
    <row r="25591" ht="15.75" customHeight="1" spans="1:2">
      <c r="A25591" s="3" t="str">
        <f>IFERROR(__xludf.DUMMYFUNCTION("GOOGLETRANSLATE(A25591,""en"",""pt"")"),"Sem zoom óptico, sem vídeo, o Dock.")</f>
        <v>Sem zoom óptico, sem vídeo, o Dock.</v>
      </c>
      <c r="B25591" s="3">
        <v>0</v>
      </c>
    </row>
    <row r="25592" ht="15.75" customHeight="1" spans="1:2">
      <c r="A25592" s="3" t="str">
        <f>IFERROR(__xludf.DUMMYFUNCTION("GOOGLETRANSLATE(A25592,""en"",""pt"")"),"A bateria recarregável não parece encarregado espera da estação de encaixe.")</f>
        <v>A bateria recarregável não parece encarregado espera da estação de encaixe.</v>
      </c>
      <c r="B25592" s="3">
        <v>0</v>
      </c>
    </row>
    <row r="25593" ht="15.75" customHeight="1" spans="1:2">
      <c r="A25593" s="3" t="str">
        <f>IFERROR(__xludf.DUMMYFUNCTION("GOOGLETRANSLATE(A25593,""en"",""pt"")"),"falhas da câmera * abundância *, dummied-down controles, incrivelmente breve vida útil da bateria, frágil-parecendo corpo da câmera. ,")</f>
        <v>falhas da câmera * abundância *, dummied-down controles, incrivelmente breve vida útil da bateria, frágil-parecendo corpo da câmera. ,</v>
      </c>
      <c r="B25593" s="3">
        <v>0</v>
      </c>
    </row>
    <row r="25594" ht="15.75" customHeight="1" spans="1:2">
      <c r="A25594" s="3" t="str">
        <f>IFERROR(__xludf.DUMMYFUNCTION("GOOGLETRANSLATE(A25594,""en"",""pt"")"),"Nada até agora")</f>
        <v>Nada até agora</v>
      </c>
      <c r="B25594" s="3">
        <v>0</v>
      </c>
    </row>
    <row r="25595" ht="15.75" customHeight="1" spans="1:2">
      <c r="A25595" s="3" t="str">
        <f>IFERROR(__xludf.DUMMYFUNCTION("GOOGLETRANSLATE(A25595,""en"",""pt"")"),"básico apenas")</f>
        <v>básico apenas</v>
      </c>
      <c r="B25595" s="3">
        <v>0</v>
      </c>
    </row>
    <row r="25596" ht="15.75" customHeight="1" spans="1:2">
      <c r="A25596" s="3" t="str">
        <f>IFERROR(__xludf.DUMMYFUNCTION("GOOGLETRANSLATE(A25596,""en"",""pt"")"),"software não permite redimensionar imagens com facilidade.")</f>
        <v>software não permite redimensionar imagens com facilidade.</v>
      </c>
      <c r="B25596" s="3">
        <v>0</v>
      </c>
    </row>
    <row r="25597" ht="15.75" customHeight="1" spans="1:2">
      <c r="A25597" s="3" t="str">
        <f>IFERROR(__xludf.DUMMYFUNCTION("GOOGLETRANSLATE(A25597,""en"",""pt"")"),"No ""fogo rápido"", leva um tempo para tirar a fotografia seguinte, ""calor do momento"".")</f>
        <v>No "fogo rápido", leva um tempo para tirar a fotografia seguinte, "calor do momento".</v>
      </c>
      <c r="B25597" s="3">
        <v>0</v>
      </c>
    </row>
    <row r="25598" ht="15.75" customHeight="1" spans="1:2">
      <c r="A25598" s="3" t="str">
        <f>IFERROR(__xludf.DUMMYFUNCTION("GOOGLETRANSLATE(A25598,""en"",""pt"")"),"Autofocus tem problemas com pouca luz, interruptor da tampa frágil poder / lente")</f>
        <v>Autofocus tem problemas com pouca luz, interruptor da tampa frágil poder / lente</v>
      </c>
      <c r="B25598" s="3">
        <v>0</v>
      </c>
    </row>
    <row r="25599" ht="15.75" customHeight="1" spans="1:2">
      <c r="A25599" s="3" t="str">
        <f>IFERROR(__xludf.DUMMYFUNCTION("GOOGLETRANSLATE(A25599,""en"",""pt"")"),"totalmente não confiável")</f>
        <v>totalmente não confiável</v>
      </c>
      <c r="B25599" s="3">
        <v>0</v>
      </c>
    </row>
    <row r="25600" ht="15.75" customHeight="1" spans="1:2">
      <c r="A25600" s="3" t="str">
        <f>IFERROR(__xludf.DUMMYFUNCTION("GOOGLETRANSLATE(A25600,""en"",""pt"")"),"recursos simples, alguns tiros corruptos, custos portuários extras")</f>
        <v>recursos simples, alguns tiros corruptos, custos portuários extras</v>
      </c>
      <c r="B25600" s="3">
        <v>0</v>
      </c>
    </row>
    <row r="25601" ht="15.75" customHeight="1" spans="1:2">
      <c r="A25601" s="3" t="str">
        <f>IFERROR(__xludf.DUMMYFUNCTION("GOOGLETRANSLATE(A25601,""en"",""pt"")"),"zoom se move muito rápido, consulte a revisão para mais contras.")</f>
        <v>zoom se move muito rápido, consulte a revisão para mais contras.</v>
      </c>
      <c r="B25601" s="3">
        <v>0</v>
      </c>
    </row>
    <row r="25602" ht="15.75" customHeight="1" spans="1:2">
      <c r="A25602" s="3" t="str">
        <f>IFERROR(__xludf.DUMMYFUNCTION("GOOGLETRANSLATE(A25602,""en"",""pt"")"),"Apenas vida batterly decente ...")</f>
        <v>Apenas vida batterly decente ...</v>
      </c>
      <c r="B25602" s="3">
        <v>0</v>
      </c>
    </row>
    <row r="25603" ht="15.75" customHeight="1" spans="1:2">
      <c r="A25603" s="3" t="str">
        <f>IFERROR(__xludf.DUMMYFUNCTION("GOOGLETRANSLATE(A25603,""en"",""pt"")"),"não é bem o pro câmera")</f>
        <v>não é bem o pro câmera</v>
      </c>
      <c r="B25603" s="3">
        <v>0</v>
      </c>
    </row>
    <row r="25604" ht="15.75" customHeight="1" spans="1:2">
      <c r="A25604" s="3" t="str">
        <f>IFERROR(__xludf.DUMMYFUNCTION("GOOGLETRANSLATE(A25604,""en"",""pt"")"),"Sem zoom ótico, zoom digital de baixo, tampa da lente pode não querer ficar.")</f>
        <v>Sem zoom ótico, zoom digital de baixo, tampa da lente pode não querer ficar.</v>
      </c>
      <c r="B25604" s="3">
        <v>0</v>
      </c>
    </row>
    <row r="25605" ht="15.75" customHeight="1" spans="1:2">
      <c r="A25605" s="3" t="str">
        <f>IFERROR(__xludf.DUMMYFUNCTION("GOOGLETRANSLATE(A25605,""en"",""pt"")"),"é um ponto e atirar. NENHUM VÍDEO")</f>
        <v>é um ponto e atirar. NENHUM VÍDEO</v>
      </c>
      <c r="B25605" s="3">
        <v>0</v>
      </c>
    </row>
    <row r="25606" ht="15.75" customHeight="1" spans="1:2">
      <c r="A25606" s="3" t="str">
        <f>IFERROR(__xludf.DUMMYFUNCTION("GOOGLETRANSLATE(A25606,""en"",""pt"")"),"As baterias vão muito rápido mortos.")</f>
        <v>As baterias vão muito rápido mortos.</v>
      </c>
      <c r="B25606" s="3">
        <v>0</v>
      </c>
    </row>
    <row r="25607" ht="15.75" customHeight="1" spans="1:2">
      <c r="A25607" s="3" t="str">
        <f>IFERROR(__xludf.DUMMYFUNCTION("GOOGLETRANSLATE(A25607,""en"",""pt"")"),"Sem zoom óptico")</f>
        <v>Sem zoom óptico</v>
      </c>
      <c r="B25607" s="3">
        <v>0</v>
      </c>
    </row>
    <row r="25608" ht="15.75" customHeight="1" spans="1:2">
      <c r="A25608" s="3" t="str">
        <f>IFERROR(__xludf.DUMMYFUNCTION("GOOGLETRANSLATE(A25608,""en"",""pt"")"),"Sem zoom óptico e baterias recarregáveis ​​não incluído.")</f>
        <v>Sem zoom óptico e baterias recarregáveis ​​não incluído.</v>
      </c>
      <c r="B25608" s="3">
        <v>0</v>
      </c>
    </row>
    <row r="25609" ht="15.75" customHeight="1" spans="1:2">
      <c r="A25609" s="3" t="str">
        <f>IFERROR(__xludf.DUMMYFUNCTION("GOOGLETRANSLATE(A25609,""en"",""pt"")"),"Sem zoom óptico.")</f>
        <v>Sem zoom óptico.</v>
      </c>
      <c r="B25609" s="3">
        <v>0</v>
      </c>
    </row>
    <row r="25610" ht="15.75" customHeight="1" spans="1:2">
      <c r="A25610" s="3" t="str">
        <f>IFERROR(__xludf.DUMMYFUNCTION("GOOGLETRANSLATE(A25610,""en"",""pt"")"),"nenhum transformador incluído")</f>
        <v>nenhum transformador incluído</v>
      </c>
      <c r="B25610" s="3">
        <v>0</v>
      </c>
    </row>
    <row r="25611" ht="15.75" customHeight="1" spans="1:2">
      <c r="A25611" s="3" t="str">
        <f>IFERROR(__xludf.DUMMYFUNCTION("GOOGLETRANSLATE(A25611,""en"",""pt"")"),"LENS CAP !, Falta de um recurso de zoom, conexão USB Propriety")</f>
        <v>LENS CAP !, Falta de um recurso de zoom, conexão USB Propriety</v>
      </c>
      <c r="B25611" s="3">
        <v>0</v>
      </c>
    </row>
    <row r="25612" ht="15.75" customHeight="1" spans="1:2">
      <c r="A25612" s="3" t="str">
        <f>IFERROR(__xludf.DUMMYFUNCTION("GOOGLETRANSLATE(A25612,""en"",""pt"")"),"Poderia utilizar mais zoom, come baterias como louco")</f>
        <v>Poderia utilizar mais zoom, come baterias como louco</v>
      </c>
      <c r="B25612" s="3">
        <v>0</v>
      </c>
    </row>
    <row r="25613" ht="15.75" customHeight="1" spans="1:2">
      <c r="A25613" s="3" t="str">
        <f>IFERROR(__xludf.DUMMYFUNCTION("GOOGLETRANSLATE(A25613,""en"",""pt"")"),"Sem zoom óptico, defeito mecânico com tampa de lente")</f>
        <v>Sem zoom óptico, defeito mecânico com tampa de lente</v>
      </c>
      <c r="B25613" s="3">
        <v>0</v>
      </c>
    </row>
    <row r="25614" ht="15.75" customHeight="1" spans="1:2">
      <c r="A25614" s="3" t="str">
        <f>IFERROR(__xludf.DUMMYFUNCTION("GOOGLETRANSLATE(A25614,""en"",""pt"")"),"A qualidade da imagem nem sempre é tão grande como se esperava ou como não digitais.")</f>
        <v>A qualidade da imagem nem sempre é tão grande como se esperava ou como não digitais.</v>
      </c>
      <c r="B25614" s="3">
        <v>0</v>
      </c>
    </row>
    <row r="25615" ht="15.75" customHeight="1" spans="1:2">
      <c r="A25615" s="3" t="str">
        <f>IFERROR(__xludf.DUMMYFUNCTION("GOOGLETRANSLATE(A25615,""en"",""pt"")"),"Vida útil da bateria, No Zoom Óptico, não vem com baterias recarregáveis")</f>
        <v>Vida útil da bateria, No Zoom Óptico, não vem com baterias recarregáveis</v>
      </c>
      <c r="B25615" s="3">
        <v>0</v>
      </c>
    </row>
    <row r="25616" ht="15.75" customHeight="1" spans="1:2">
      <c r="A25616" s="3" t="str">
        <f>IFERROR(__xludf.DUMMYFUNCTION("GOOGLETRANSLATE(A25616,""en"",""pt"")"),"A instalação do software não deve ser personalizado")</f>
        <v>A instalação do software não deve ser personalizado</v>
      </c>
      <c r="B25616" s="3">
        <v>0</v>
      </c>
    </row>
    <row r="25617" ht="15.75" customHeight="1" spans="1:2">
      <c r="A25617" s="3" t="str">
        <f>IFERROR(__xludf.DUMMYFUNCTION("GOOGLETRANSLATE(A25617,""en"",""pt"")"),"Estou sendo exigente? alça da câmera no local errado e sem tampa da lente!")</f>
        <v>Estou sendo exigente? alça da câmera no local errado e sem tampa da lente!</v>
      </c>
      <c r="B25617" s="3">
        <v>0</v>
      </c>
    </row>
    <row r="25618" ht="15.75" customHeight="1" spans="1:2">
      <c r="A25618" s="3" t="str">
        <f>IFERROR(__xludf.DUMMYFUNCTION("GOOGLETRANSLATE(A25618,""en"",""pt"")"),"Sem tampa da lente! Mantém QUEBRA !!!")</f>
        <v>Sem tampa da lente! Mantém QUEBRA !!!</v>
      </c>
      <c r="B25618" s="3">
        <v>0</v>
      </c>
    </row>
    <row r="25619" ht="15.75" customHeight="1" spans="1:2">
      <c r="A25619" s="3" t="str">
        <f>IFERROR(__xludf.DUMMYFUNCTION("GOOGLETRANSLATE(A25619,""en"",""pt"")"),"Não liga")</f>
        <v>Não liga</v>
      </c>
      <c r="B25619" s="3">
        <v>0</v>
      </c>
    </row>
    <row r="25620" ht="15.75" customHeight="1" spans="1:2">
      <c r="A25620" s="3" t="str">
        <f>IFERROR(__xludf.DUMMYFUNCTION("GOOGLETRANSLATE(A25620,""en"",""pt"")"),"Deve usar baterias NiMH, zoom insuficiente.")</f>
        <v>Deve usar baterias NiMH, zoom insuficiente.</v>
      </c>
      <c r="B25620" s="3">
        <v>0</v>
      </c>
    </row>
    <row r="25621" ht="15.75" customHeight="1" spans="1:2">
      <c r="A25621" s="3" t="str">
        <f>IFERROR(__xludf.DUMMYFUNCTION("GOOGLETRANSLATE(A25621,""en"",""pt"")"),"A câmera grande e só tem 2x de zoom. tela de visualização pequena.")</f>
        <v>A câmera grande e só tem 2x de zoom. tela de visualização pequena.</v>
      </c>
      <c r="B25621" s="3">
        <v>0</v>
      </c>
    </row>
    <row r="25622" ht="15.75" customHeight="1" spans="1:2">
      <c r="A25622" s="3" t="str">
        <f>IFERROR(__xludf.DUMMYFUNCTION("GOOGLETRANSLATE(A25622,""en"",""pt"")"),"Come baterias (eu acho que vale a pena do que, embora)")</f>
        <v>Come baterias (eu acho que vale a pena do que, embora)</v>
      </c>
      <c r="B25622" s="3">
        <v>0</v>
      </c>
    </row>
    <row r="25623" ht="15.75" customHeight="1" spans="1:2">
      <c r="A25623" s="3" t="str">
        <f>IFERROR(__xludf.DUMMYFUNCTION("GOOGLETRANSLATE(A25623,""en"",""pt"")"),"Tempo entre as fotos tiradas.")</f>
        <v>Tempo entre as fotos tiradas.</v>
      </c>
      <c r="B25623" s="3">
        <v>0</v>
      </c>
    </row>
    <row r="25624" ht="15.75" customHeight="1" spans="1:2">
      <c r="A25624" s="3" t="str">
        <f>IFERROR(__xludf.DUMMYFUNCTION("GOOGLETRANSLATE(A25624,""en"",""pt"")"),"Fotos do meu dedo, zoom digital")</f>
        <v>Fotos do meu dedo, zoom digital</v>
      </c>
      <c r="B25624" s="3">
        <v>0</v>
      </c>
    </row>
    <row r="25625" ht="15.75" customHeight="1" spans="1:2">
      <c r="A25625" s="3" t="str">
        <f>IFERROR(__xludf.DUMMYFUNCTION("GOOGLETRANSLATE(A25625,""en"",""pt"")"),"Parece ser frágil em design.")</f>
        <v>Parece ser frágil em design.</v>
      </c>
      <c r="B25625" s="3">
        <v>0</v>
      </c>
    </row>
    <row r="25626" ht="15.75" customHeight="1" spans="1:2">
      <c r="A25626" s="3" t="str">
        <f>IFERROR(__xludf.DUMMYFUNCTION("GOOGLETRANSLATE(A25626,""en"",""pt"")"),"sem zoom óptico, imagens borradas quando tomado muito longe ou com pouca iluminação")</f>
        <v>sem zoom óptico, imagens borradas quando tomado muito longe ou com pouca iluminação</v>
      </c>
      <c r="B25626" s="3">
        <v>0</v>
      </c>
    </row>
    <row r="25627" ht="15.75" customHeight="1" spans="1:2">
      <c r="A25627" s="3" t="str">
        <f>IFERROR(__xludf.DUMMYFUNCTION("GOOGLETRANSLATE(A25627,""en"",""pt"")"),"lente obscura, não o controle monte")</f>
        <v>lente obscura, não o controle monte</v>
      </c>
      <c r="B25627" s="3">
        <v>0</v>
      </c>
    </row>
    <row r="25628" ht="15.75" customHeight="1" spans="1:2">
      <c r="A25628" s="3" t="str">
        <f>IFERROR(__xludf.DUMMYFUNCTION("GOOGLETRANSLATE(A25628,""en"",""pt"")"),"Alguns closeup imagens despejaram um pouco desbotada da memória flash forte")</f>
        <v>Alguns closeup imagens despejaram um pouco desbotada da memória flash forte</v>
      </c>
      <c r="B25628" s="3">
        <v>0</v>
      </c>
    </row>
    <row r="25629" ht="15.75" customHeight="1" spans="1:2">
      <c r="A25629" s="3" t="str">
        <f>IFERROR(__xludf.DUMMYFUNCTION("GOOGLETRANSLATE(A25629,""en"",""pt"")"),"Não tem Zoom Óptico")</f>
        <v>Não tem Zoom Óptico</v>
      </c>
      <c r="B25629" s="3">
        <v>0</v>
      </c>
    </row>
    <row r="25630" ht="15.75" customHeight="1" spans="1:2">
      <c r="A25630" s="3" t="str">
        <f>IFERROR(__xludf.DUMMYFUNCTION("GOOGLETRANSLATE(A25630,""en"",""pt"")"),"Zoom borrões recurso foto com muita facilidade, Battery Drainer, Frágil Correia, LED difusa / difícil de vista")</f>
        <v>Zoom borrões recurso foto com muita facilidade, Battery Drainer, Frágil Correia, LED difusa / difícil de vista</v>
      </c>
      <c r="B25630" s="3">
        <v>0</v>
      </c>
    </row>
    <row r="25631" ht="15.75" customHeight="1" spans="1:2">
      <c r="A25631" s="3" t="str">
        <f>IFERROR(__xludf.DUMMYFUNCTION("GOOGLETRANSLATE(A25631,""en"",""pt"")"),"Não tem uma lente de zoom, as baterias precisam ser carregadas com frequência")</f>
        <v>Não tem uma lente de zoom, as baterias precisam ser carregadas com frequência</v>
      </c>
      <c r="B25631" s="3">
        <v>0</v>
      </c>
    </row>
    <row r="25632" ht="15.75" customHeight="1" spans="1:2">
      <c r="A25632" s="3" t="str">
        <f>IFERROR(__xludf.DUMMYFUNCTION("GOOGLETRANSLATE(A25632,""en"",""pt"")"),"Falta de zoom óptico; compartimento da bateria")</f>
        <v>Falta de zoom óptico; compartimento da bateria</v>
      </c>
      <c r="B25632" s="3">
        <v>0</v>
      </c>
    </row>
    <row r="25633" ht="15.75" customHeight="1" spans="1:2">
      <c r="A25633" s="3" t="str">
        <f>IFERROR(__xludf.DUMMYFUNCTION("GOOGLETRANSLATE(A25633,""en"",""pt"")"),"Nenhum que eu poderia encontrar.")</f>
        <v>Nenhum que eu poderia encontrar.</v>
      </c>
      <c r="B25633" s="3">
        <v>0</v>
      </c>
    </row>
    <row r="25634" ht="15.75" customHeight="1" spans="1:2">
      <c r="A25634" s="3" t="str">
        <f>IFERROR(__xludf.DUMMYFUNCTION("GOOGLETRANSLATE(A25634,""en"",""pt"")"),"Pictures vezes embaçada.,")</f>
        <v>Pictures vezes embaçada.,</v>
      </c>
      <c r="B25634" s="3">
        <v>0</v>
      </c>
    </row>
    <row r="25635" ht="15.75" customHeight="1" spans="1:2">
      <c r="A25635" s="3" t="str">
        <f>IFERROR(__xludf.DUMMYFUNCTION("GOOGLETRANSLATE(A25635,""en"",""pt"")"),"Sem zoom óptico, flash pode ser muito brilhante, comentário sobre lcd pode ser lento")</f>
        <v>Sem zoom óptico, flash pode ser muito brilhante, comentário sobre lcd pode ser lento</v>
      </c>
      <c r="B25635" s="3">
        <v>0</v>
      </c>
    </row>
    <row r="25636" ht="15.75" customHeight="1" spans="1:2">
      <c r="A25636" s="3" t="str">
        <f>IFERROR(__xludf.DUMMYFUNCTION("GOOGLETRANSLATE(A25636,""en"",""pt"")"),"Sem zoom óptico. Alguns ajustes para tiros ou para armazenamento de imagens. Bateria.")</f>
        <v>Sem zoom óptico. Alguns ajustes para tiros ou para armazenamento de imagens. Bateria.</v>
      </c>
      <c r="B25636" s="3">
        <v>0</v>
      </c>
    </row>
    <row r="25637" ht="15.75" customHeight="1" spans="1:2">
      <c r="A25637" s="3" t="str">
        <f>IFERROR(__xludf.DUMMYFUNCTION("GOOGLETRANSLATE(A25637,""en"",""pt"")"),"Não espere para obter nítidas 8x10 de, não um monte de capacidade de zoom")</f>
        <v>Não espere para obter nítidas 8x10 de, não um monte de capacidade de zoom</v>
      </c>
      <c r="B25637" s="3">
        <v>0</v>
      </c>
    </row>
    <row r="25638" ht="15.75" customHeight="1" spans="1:2">
      <c r="A25638" s="3" t="str">
        <f>IFERROR(__xludf.DUMMYFUNCTION("GOOGLETRANSLATE(A25638,""en"",""pt"")"),"Batterylife, doca vendido separadamente")</f>
        <v>Batterylife, doca vendido separadamente</v>
      </c>
      <c r="B25638" s="3">
        <v>0</v>
      </c>
    </row>
    <row r="25639" ht="15.75" customHeight="1" spans="1:2">
      <c r="A25639" s="3" t="str">
        <f>IFERROR(__xludf.DUMMYFUNCTION("GOOGLETRANSLATE(A25639,""en"",""pt"")"),"Fotos um pouco embaçada @ tamanho máximo, sem zoom óptico, algum atraso do obturador.")</f>
        <v>Fotos um pouco embaçada @ tamanho máximo, sem zoom óptico, algum atraso do obturador.</v>
      </c>
      <c r="B25639" s="3">
        <v>0</v>
      </c>
    </row>
    <row r="25640" ht="15.75" customHeight="1" spans="1:2">
      <c r="A25640" s="3" t="str">
        <f>IFERROR(__xludf.DUMMYFUNCTION("GOOGLETRANSLATE(A25640,""en"",""pt"")"),"Basic.")</f>
        <v>Basic.</v>
      </c>
      <c r="B25640" s="3">
        <v>0</v>
      </c>
    </row>
    <row r="25641" ht="15.75" customHeight="1" spans="1:2">
      <c r="A25641" s="3" t="str">
        <f>IFERROR(__xludf.DUMMYFUNCTION("GOOGLETRANSLATE(A25641,""en"",""pt"")"),"Não espere COMPLETAMENTE resultados ""profissionais""")</f>
        <v>Não espere COMPLETAMENTE resultados "profissionais"</v>
      </c>
      <c r="B25641" s="3">
        <v>0</v>
      </c>
    </row>
    <row r="25642" ht="15.75" customHeight="1" spans="1:2">
      <c r="A25642" s="3" t="str">
        <f>IFERROR(__xludf.DUMMYFUNCTION("GOOGLETRANSLATE(A25642,""en"",""pt"")"),"Pics embaçada quando zoom demais")</f>
        <v>Pics embaçada quando zoom demais</v>
      </c>
      <c r="B25642" s="3">
        <v>0</v>
      </c>
    </row>
    <row r="25643" ht="15.75" customHeight="1" spans="1:2">
      <c r="A25643" s="3" t="str">
        <f>IFERROR(__xludf.DUMMYFUNCTION("GOOGLETRANSLATE(A25643,""en"",""pt"")"),"Às vezes difícil de ajustar Flash")</f>
        <v>Às vezes difícil de ajustar Flash</v>
      </c>
      <c r="B25643" s="3">
        <v>0</v>
      </c>
    </row>
    <row r="25644" ht="15.75" customHeight="1" spans="1:2">
      <c r="A25644" s="3" t="str">
        <f>IFERROR(__xludf.DUMMYFUNCTION("GOOGLETRANSLATE(A25644,""en"",""pt"")"),"plásticos baratos não contribuem para a sensação de solidez, a falta de zoom óptico")</f>
        <v>plásticos baratos não contribuem para a sensação de solidez, a falta de zoom óptico</v>
      </c>
      <c r="B25644" s="3">
        <v>0</v>
      </c>
    </row>
    <row r="25645" ht="15.75" customHeight="1" spans="1:2">
      <c r="A25645" s="3" t="str">
        <f>IFERROR(__xludf.DUMMYFUNCTION("GOOGLETRANSLATE(A25645,""en"",""pt"")"),"A vida da bateria é um problema. Precisa de bateria extra.")</f>
        <v>A vida da bateria é um problema. Precisa de bateria extra.</v>
      </c>
      <c r="B25645" s="3">
        <v>0</v>
      </c>
    </row>
    <row r="25646" ht="15.75" customHeight="1" spans="1:2">
      <c r="A25646" s="3" t="str">
        <f>IFERROR(__xludf.DUMMYFUNCTION("GOOGLETRANSLATE(A25646,""en"",""pt"")"),"Os filmes só podem ser vistos com QuickTime")</f>
        <v>Os filmes só podem ser vistos com QuickTime</v>
      </c>
      <c r="B25646" s="3">
        <v>0</v>
      </c>
    </row>
    <row r="25647" ht="15.75" customHeight="1" spans="1:2">
      <c r="A25647" s="3" t="str">
        <f>IFERROR(__xludf.DUMMYFUNCTION("GOOGLETRANSLATE(A25647,""en"",""pt"")"),"lentes opcionais na forma de visor.")</f>
        <v>lentes opcionais na forma de visor.</v>
      </c>
      <c r="B25647" s="3">
        <v>0</v>
      </c>
    </row>
    <row r="25648" ht="15.75" customHeight="1" spans="1:2">
      <c r="A25648" s="3" t="str">
        <f>IFERROR(__xludf.DUMMYFUNCTION("GOOGLETRANSLATE(A25648,""en"",""pt"")"),"microfone muito sensível; encaixe da câmera não é necessária")</f>
        <v>microfone muito sensível; encaixe da câmera não é necessária</v>
      </c>
      <c r="B25648" s="3">
        <v>0</v>
      </c>
    </row>
    <row r="25649" ht="15.75" customHeight="1" spans="1:2">
      <c r="A25649" s="3" t="str">
        <f>IFERROR(__xludf.DUMMYFUNCTION("GOOGLETRANSLATE(A25649,""en"",""pt"")"),"despesa adicional de acessórios")</f>
        <v>despesa adicional de acessórios</v>
      </c>
      <c r="B25649" s="3">
        <v>0</v>
      </c>
    </row>
    <row r="25650" ht="15.75" customHeight="1" spans="1:2">
      <c r="A25650" s="3" t="str">
        <f>IFERROR(__xludf.DUMMYFUNCTION("GOOGLETRANSLATE(A25650,""en"",""pt"")"),"Sem entrada DC, apenas a conexão USB, há efeitos de imagem")</f>
        <v>Sem entrada DC, apenas a conexão USB, há efeitos de imagem</v>
      </c>
      <c r="B25650" s="3">
        <v>0</v>
      </c>
    </row>
    <row r="25651" ht="15.75" customHeight="1" spans="1:2">
      <c r="A25651" s="3" t="str">
        <f>IFERROR(__xludf.DUMMYFUNCTION("GOOGLETRANSLATE(A25651,""en"",""pt"")"),"Sem entrada AC, exceto através da docking station. software Kodak é 'klunky' com Win98.")</f>
        <v>Sem entrada AC, exceto através da docking station. software Kodak é 'klunky' com Win98.</v>
      </c>
      <c r="B25651" s="3">
        <v>0</v>
      </c>
    </row>
    <row r="25652" ht="15.75" customHeight="1" spans="1:2">
      <c r="A25652" s="3" t="str">
        <f>IFERROR(__xludf.DUMMYFUNCTION("GOOGLETRANSLATE(A25652,""en"",""pt"")"),"Nenhum que eu encontrei!")</f>
        <v>Nenhum que eu encontrei!</v>
      </c>
      <c r="B25652" s="3">
        <v>0</v>
      </c>
    </row>
    <row r="25653" ht="15.75" customHeight="1" spans="1:2">
      <c r="A25653" s="3" t="str">
        <f>IFERROR(__xludf.DUMMYFUNCTION("GOOGLETRANSLATE(A25653,""en"",""pt"")"),"não se sente seguro na mão, mau oi-res de qualidade de vídeo, problemas Win98")</f>
        <v>não se sente seguro na mão, mau oi-res de qualidade de vídeo, problemas Win98</v>
      </c>
      <c r="B25653" s="3">
        <v>0</v>
      </c>
    </row>
    <row r="25654" ht="15.75" customHeight="1" spans="1:2">
      <c r="A25654" s="3" t="str">
        <f>IFERROR(__xludf.DUMMYFUNCTION("GOOGLETRANSLATE(A25654,""en"",""pt"")"),"não muitas opções, muito pouco zoom")</f>
        <v>não muitas opções, muito pouco zoom</v>
      </c>
      <c r="B25654" s="3">
        <v>0</v>
      </c>
    </row>
    <row r="25655" ht="15.75" customHeight="1" spans="1:2">
      <c r="A25655" s="3" t="str">
        <f>IFERROR(__xludf.DUMMYFUNCTION("GOOGLETRANSLATE(A25655,""en"",""pt"")"),"Low zoom óptico; sensação frágil; pobre LCD; não confiável; pobre visor")</f>
        <v>Low zoom óptico; sensação frágil; pobre LCD; não confiável; pobre visor</v>
      </c>
      <c r="B25655" s="3">
        <v>0</v>
      </c>
    </row>
    <row r="25656" ht="15.75" customHeight="1" spans="1:2">
      <c r="A25656" s="3" t="str">
        <f>IFERROR(__xludf.DUMMYFUNCTION("GOOGLETRANSLATE(A25656,""en"",""pt"")"),"Provavelmente melhor (mais caro) câmeras disponíveis para os fãs experientes ou graves.")</f>
        <v>Provavelmente melhor (mais caro) câmeras disponíveis para os fãs experientes ou graves.</v>
      </c>
      <c r="B25656" s="3">
        <v>0</v>
      </c>
    </row>
    <row r="25657" ht="15.75" customHeight="1" spans="1:2">
      <c r="A25657" s="3" t="str">
        <f>IFERROR(__xludf.DUMMYFUNCTION("GOOGLETRANSLATE(A25657,""en"",""pt"")"),"Não vem com câmera caso, única zoom 3x")</f>
        <v>Não vem com câmera caso, única zoom 3x</v>
      </c>
      <c r="B25657" s="3">
        <v>0</v>
      </c>
    </row>
    <row r="25658" ht="15.75" customHeight="1" spans="1:2">
      <c r="A25658" s="3" t="str">
        <f>IFERROR(__xludf.DUMMYFUNCTION("GOOGLETRANSLATE(A25658,""en"",""pt"")"),"zoom poderia ser melhor, flash mais compacto necessário")</f>
        <v>zoom poderia ser melhor, flash mais compacto necessário</v>
      </c>
      <c r="B25658" s="3">
        <v>0</v>
      </c>
    </row>
    <row r="25659" ht="15.75" customHeight="1" spans="1:2">
      <c r="A25659" s="3" t="str">
        <f>IFERROR(__xludf.DUMMYFUNCTION("GOOGLETRANSLATE(A25659,""en"",""pt"")"),"Apenas 8 mb de memória onboard incluído, não pode usar pilhas alcalinas, qualidade de imagem média")</f>
        <v>Apenas 8 mb de memória onboard incluído, não pode usar pilhas alcalinas, qualidade de imagem média</v>
      </c>
      <c r="B25659" s="3">
        <v>0</v>
      </c>
    </row>
    <row r="25660" ht="15.75" customHeight="1" spans="1:2">
      <c r="A25660" s="3" t="str">
        <f>IFERROR(__xludf.DUMMYFUNCTION("GOOGLETRANSLATE(A25660,""en"",""pt"")"),"qualidade duvidosa. a vida da bateria pobres. construção frágil.")</f>
        <v>qualidade duvidosa. a vida da bateria pobres. construção frágil.</v>
      </c>
      <c r="B25660" s="3">
        <v>0</v>
      </c>
    </row>
    <row r="25661" ht="15.75" customHeight="1" spans="1:2">
      <c r="A25661" s="3" t="str">
        <f>IFERROR(__xludf.DUMMYFUNCTION("GOOGLETRANSLATE(A25661,""en"",""pt"")"),"Alguma dificuldade na criação com o Windows ME.")</f>
        <v>Alguma dificuldade na criação com o Windows ME.</v>
      </c>
      <c r="B25661" s="3">
        <v>0</v>
      </c>
    </row>
    <row r="25662" ht="15.75" customHeight="1" spans="1:2">
      <c r="A25662" s="3" t="str">
        <f>IFERROR(__xludf.DUMMYFUNCTION("GOOGLETRANSLATE(A25662,""en"",""pt"")"),"Not Enough Zoom Óptico, Very Bad opções de bateria, alguns problemas Low Light")</f>
        <v>Not Enough Zoom Óptico, Very Bad opções de bateria, alguns problemas Low Light</v>
      </c>
      <c r="B25662" s="3">
        <v>0</v>
      </c>
    </row>
    <row r="25663" ht="15.75" customHeight="1" spans="1:2">
      <c r="A25663" s="3" t="str">
        <f>IFERROR(__xludf.DUMMYFUNCTION("GOOGLETRANSLATE(A25663,""en"",""pt"")"),"Desejo a correia attatched em 2 pontos, como uma 35mm SLR")</f>
        <v>Desejo a correia attatched em 2 pontos, como uma 35mm SLR</v>
      </c>
      <c r="B25663" s="3">
        <v>0</v>
      </c>
    </row>
    <row r="25664" ht="15.75" customHeight="1" spans="1:2">
      <c r="A25664" s="3" t="str">
        <f>IFERROR(__xludf.DUMMYFUNCTION("GOOGLETRANSLATE(A25664,""en"",""pt"")"),"Como obtê-lo fixo. Eu ainda gostaria de saber.")</f>
        <v>Como obtê-lo fixo. Eu ainda gostaria de saber.</v>
      </c>
      <c r="B25664" s="3">
        <v>0</v>
      </c>
    </row>
    <row r="25665" ht="15.75" customHeight="1" spans="1:2">
      <c r="A25665" s="3" t="str">
        <f>IFERROR(__xludf.DUMMYFUNCTION("GOOGLETRANSLATE(A25665,""en"",""pt"")"),"ecrã LCD incluído completamente lavado à luz do dia, visor não enquadrar bem.")</f>
        <v>ecrã LCD incluído completamente lavado à luz do dia, visor não enquadrar bem.</v>
      </c>
      <c r="B25665" s="3">
        <v>0</v>
      </c>
    </row>
    <row r="25666" ht="15.75" customHeight="1" spans="1:2">
      <c r="A25666" s="3" t="str">
        <f>IFERROR(__xludf.DUMMYFUNCTION("GOOGLETRANSLATE(A25666,""en"",""pt"")"),"sistema de energia, sensação estranha")</f>
        <v>sistema de energia, sensação estranha</v>
      </c>
      <c r="B25666" s="3">
        <v>0</v>
      </c>
    </row>
    <row r="25667" ht="15.75" customHeight="1" spans="1:2">
      <c r="A25667" s="3" t="str">
        <f>IFERROR(__xludf.DUMMYFUNCTION("GOOGLETRANSLATE(A25667,""en"",""pt"")"),"Alguns ajustes manuais; look and feel idiota; ergonomia ruim, especialmente para canhotos")</f>
        <v>Alguns ajustes manuais; look and feel idiota; ergonomia ruim, especialmente para canhotos</v>
      </c>
      <c r="B25667" s="3">
        <v>0</v>
      </c>
    </row>
    <row r="25668" ht="15.75" customHeight="1" spans="1:2">
      <c r="A25668" s="3" t="str">
        <f>IFERROR(__xludf.DUMMYFUNCTION("GOOGLETRANSLATE(A25668,""en"",""pt"")"),"O modo de flash Red-Eye, atrasa cerca de 2 segundos antes de tirar a foto.")</f>
        <v>O modo de flash Red-Eye, atrasa cerca de 2 segundos antes de tirar a foto.</v>
      </c>
      <c r="B25668" s="3">
        <v>0</v>
      </c>
    </row>
    <row r="25669" ht="15.75" customHeight="1" spans="1:2">
      <c r="A25669" s="3" t="str">
        <f>IFERROR(__xludf.DUMMYFUNCTION("GOOGLETRANSLATE(A25669,""en"",""pt"")"),"Se eu tiver mais de 20 fotos para fazer upload para o computador, às vezes trava.")</f>
        <v>Se eu tiver mais de 20 fotos para fazer upload para o computador, às vezes trava.</v>
      </c>
      <c r="B25669" s="3">
        <v>0</v>
      </c>
    </row>
    <row r="25670" ht="15.75" customHeight="1" spans="1:2">
      <c r="A25670" s="3" t="str">
        <f>IFERROR(__xludf.DUMMYFUNCTION("GOOGLETRANSLATE(A25670,""en"",""pt"")"),"memória interna pequena")</f>
        <v>memória interna pequena</v>
      </c>
      <c r="B25670" s="3">
        <v>0</v>
      </c>
    </row>
    <row r="25671" ht="15.75" customHeight="1" spans="1:2">
      <c r="A25671" s="3" t="str">
        <f>IFERROR(__xludf.DUMMYFUNCTION("GOOGLETRANSLATE(A25671,""en"",""pt"")"),"No caso, fotos muito pobres com pouca luz, longo atraso do obturador")</f>
        <v>No caso, fotos muito pobres com pouca luz, longo atraso do obturador</v>
      </c>
      <c r="B25671" s="3">
        <v>0</v>
      </c>
    </row>
    <row r="25672" ht="15.75" customHeight="1" spans="1:2">
      <c r="A25672" s="3" t="str">
        <f>IFERROR(__xludf.DUMMYFUNCTION("GOOGLETRANSLATE(A25672,""en"",""pt"")"),"Não é compatível com todos os sistemas Macintosh, somente a memória de 8MB interna")</f>
        <v>Não é compatível com todos os sistemas Macintosh, somente a memória de 8MB interna</v>
      </c>
      <c r="B25672" s="3">
        <v>0</v>
      </c>
    </row>
    <row r="25673" ht="15.75" customHeight="1" spans="1:2">
      <c r="A25673" s="3" t="str">
        <f>IFERROR(__xludf.DUMMYFUNCTION("GOOGLETRANSLATE(A25673,""en"",""pt"")"),"Com tudo sendo automático, pode frustrar profissionais.")</f>
        <v>Com tudo sendo automático, pode frustrar profissionais.</v>
      </c>
      <c r="B25673" s="3">
        <v>0</v>
      </c>
    </row>
    <row r="25674" ht="15.75" customHeight="1" spans="1:2">
      <c r="A25674" s="3" t="str">
        <f>IFERROR(__xludf.DUMMYFUNCTION("GOOGLETRANSLATE(A25674,""en"",""pt"")"),"É basicamente uma câmera descartável depois de 200 tiros")</f>
        <v>É basicamente uma câmera descartável depois de 200 tiros</v>
      </c>
      <c r="B25674" s="3">
        <v>0</v>
      </c>
    </row>
    <row r="25675" ht="15.75" customHeight="1" spans="1:2">
      <c r="A25675" s="3" t="str">
        <f>IFERROR(__xludf.DUMMYFUNCTION("GOOGLETRANSLATE(A25675,""en"",""pt"")"),"A vida da bateria !!!!!!!! 15 fotos e seu feito. Não flexibilidade suficiente nas configurações.")</f>
        <v>A vida da bateria !!!!!!!! 15 fotos e seu feito. Não flexibilidade suficiente nas configurações.</v>
      </c>
      <c r="B25675" s="3">
        <v>0</v>
      </c>
    </row>
    <row r="25676" ht="15.75" customHeight="1" spans="1:2">
      <c r="A25676" s="3" t="str">
        <f>IFERROR(__xludf.DUMMYFUNCTION("GOOGLETRANSLATE(A25676,""en"",""pt"")"),"Longo tempo de latência a partir de quando você pressionar o botão para quando se toma o retrato")</f>
        <v>Longo tempo de latência a partir de quando você pressionar o botão para quando se toma o retrato</v>
      </c>
      <c r="B25676" s="3">
        <v>0</v>
      </c>
    </row>
    <row r="25677" ht="15.75" customHeight="1" spans="1:2">
      <c r="A25677" s="3" t="str">
        <f>IFERROR(__xludf.DUMMYFUNCTION("GOOGLETRANSLATE(A25677,""en"",""pt"")"),"design pobre, apenas a Kodak pode repará-lo.")</f>
        <v>design pobre, apenas a Kodak pode repará-lo.</v>
      </c>
      <c r="B25677" s="3">
        <v>0</v>
      </c>
    </row>
    <row r="25678" ht="15.75" customHeight="1" spans="1:2">
      <c r="A25678" s="3" t="str">
        <f>IFERROR(__xludf.DUMMYFUNCTION("GOOGLETRANSLATE(A25678,""en"",""pt"")"),"Um pouco de ""plástico"" à procura, drena as baterias rapidamente, software de edição de imagem é inútil")</f>
        <v>Um pouco de "plástico" à procura, drena as baterias rapidamente, software de edição de imagem é inútil</v>
      </c>
      <c r="B25678" s="3">
        <v>0</v>
      </c>
    </row>
    <row r="25679" ht="15.75" customHeight="1" spans="1:2">
      <c r="A25679" s="3" t="str">
        <f>IFERROR(__xludf.DUMMYFUNCTION("GOOGLETRANSLATE(A25679,""en"",""pt"")"),"boa qualidade de imagem")</f>
        <v>boa qualidade de imagem</v>
      </c>
      <c r="B25679" s="3">
        <v>0</v>
      </c>
    </row>
    <row r="25680" ht="15.75" customHeight="1" spans="1:2">
      <c r="A25680" s="3" t="str">
        <f>IFERROR(__xludf.DUMMYFUNCTION("GOOGLETRANSLATE(A25680,""en"",""pt"")"),"Volumosos, as baterias precisam de recarga frequente")</f>
        <v>Volumosos, as baterias precisam de recarga frequente</v>
      </c>
      <c r="B25680" s="3">
        <v>0</v>
      </c>
    </row>
    <row r="25681" ht="15.75" customHeight="1" spans="1:2">
      <c r="A25681" s="3" t="str">
        <f>IFERROR(__xludf.DUMMYFUNCTION("GOOGLETRANSLATE(A25681,""en"",""pt"")"),"zoom óptico 2x, há configurações avançadas. Pobres noite tiros.")</f>
        <v>zoom óptico 2x, há configurações avançadas. Pobres noite tiros.</v>
      </c>
      <c r="B25681" s="3">
        <v>0</v>
      </c>
    </row>
    <row r="25682" ht="15.75" customHeight="1" spans="1:2">
      <c r="A25682" s="3" t="str">
        <f>IFERROR(__xludf.DUMMYFUNCTION("GOOGLETRANSLATE(A25682,""en"",""pt"")"),"Bobo olhando. Não apresenta. compensação automática em baixas parafusos luz até pôr do sol.")</f>
        <v>Bobo olhando. Não apresenta. compensação automática em baixas parafusos luz até pôr do sol.</v>
      </c>
      <c r="B25682" s="3">
        <v>0</v>
      </c>
    </row>
    <row r="25683" ht="15.75" customHeight="1" spans="1:2">
      <c r="A25683" s="3" t="str">
        <f>IFERROR(__xludf.DUMMYFUNCTION("GOOGLETRANSLATE(A25683,""en"",""pt"")"),"Preciso usar baterias Kodak Marca")</f>
        <v>Preciso usar baterias Kodak Marca</v>
      </c>
      <c r="B25683" s="3">
        <v>0</v>
      </c>
    </row>
    <row r="25684" ht="15.75" customHeight="1" spans="1:2">
      <c r="A25684" s="3" t="str">
        <f>IFERROR(__xludf.DUMMYFUNCTION("GOOGLETRANSLATE(A25684,""en"",""pt"")"),"A qualidade do vídeo não é tão grande &amp; amp; # 13; &amp; amp; # 10; de flash muito brilhante")</f>
        <v>A qualidade do vídeo não é tão grande &amp; amp; # 13; &amp; amp; # 10; de flash muito brilhante</v>
      </c>
      <c r="B25684" s="3">
        <v>0</v>
      </c>
    </row>
    <row r="25685" ht="15.75" customHeight="1" spans="1:2">
      <c r="A25685" s="3" t="str">
        <f>IFERROR(__xludf.DUMMYFUNCTION("GOOGLETRANSLATE(A25685,""en"",""pt"")"),"Nenhum")</f>
        <v>Nenhum</v>
      </c>
      <c r="B25685" s="3">
        <v>0</v>
      </c>
    </row>
    <row r="25686" ht="15.75" customHeight="1" spans="1:2">
      <c r="A25686" s="3" t="str">
        <f>IFERROR(__xludf.DUMMYFUNCTION("GOOGLETRANSLATE(A25686,""en"",""pt"")"),"Difícil de ver assuntos através de ecrã LCD a menos que haja uma grande quantidade de luz.")</f>
        <v>Difícil de ver assuntos através de ecrã LCD a menos que haja uma grande quantidade de luz.</v>
      </c>
      <c r="B25686" s="3">
        <v>0</v>
      </c>
    </row>
    <row r="25687" ht="15.75" customHeight="1" spans="1:2">
      <c r="A25687" s="3" t="str">
        <f>IFERROR(__xludf.DUMMYFUNCTION("GOOGLETRANSLATE(A25687,""en"",""pt"")"),"Doca pode ser (recurso, mas grande) opcional, vídeos pequenos")</f>
        <v>Doca pode ser (recurso, mas grande) opcional, vídeos pequenos</v>
      </c>
      <c r="B25687" s="3">
        <v>0</v>
      </c>
    </row>
    <row r="25688" ht="15.75" customHeight="1" spans="1:2">
      <c r="A25688" s="3" t="str">
        <f>IFERROR(__xludf.DUMMYFUNCTION("GOOGLETRANSLATE(A25688,""en"",""pt"")"),"Difícil de encontrar um negativo para o preço que eu pago.")</f>
        <v>Difícil de encontrar um negativo para o preço que eu pago.</v>
      </c>
      <c r="B25688" s="3">
        <v>0</v>
      </c>
    </row>
    <row r="25689" ht="15.75" customHeight="1" spans="1:2">
      <c r="A25689" s="3" t="str">
        <f>IFERROR(__xludf.DUMMYFUNCTION("GOOGLETRANSLATE(A25689,""en"",""pt"")"),"vida pobre da bateria")</f>
        <v>vida pobre da bateria</v>
      </c>
      <c r="B25689" s="3">
        <v>0</v>
      </c>
    </row>
    <row r="25690" ht="15.75" customHeight="1" spans="1:2">
      <c r="A25690" s="3" t="str">
        <f>IFERROR(__xludf.DUMMYFUNCTION("GOOGLETRANSLATE(A25690,""en"",""pt"")"),"Software não tem um monte de opções de edição.")</f>
        <v>Software não tem um monte de opções de edição.</v>
      </c>
      <c r="B25690" s="3">
        <v>0</v>
      </c>
    </row>
    <row r="25691" ht="15.75" customHeight="1" spans="1:2">
      <c r="A25691" s="3" t="str">
        <f>IFERROR(__xludf.DUMMYFUNCTION("GOOGLETRANSLATE(A25691,""en"",""pt"")"),"Disponibilidade")</f>
        <v>Disponibilidade</v>
      </c>
      <c r="B25691" s="3">
        <v>0</v>
      </c>
    </row>
    <row r="25692" ht="15.75" customHeight="1" spans="1:2">
      <c r="A25692" s="3" t="str">
        <f>IFERROR(__xludf.DUMMYFUNCTION("GOOGLETRANSLATE(A25692,""en"",""pt"")"),"intervalo de tempo longo, difícil opção macro")</f>
        <v>intervalo de tempo longo, difícil opção macro</v>
      </c>
      <c r="B25692" s="3">
        <v>0</v>
      </c>
    </row>
    <row r="25693" ht="15.75" customHeight="1" spans="1:2">
      <c r="A25693" s="3" t="str">
        <f>IFERROR(__xludf.DUMMYFUNCTION("GOOGLETRANSLATE(A25693,""en"",""pt"")"),"curta duração da bateria (se você não tem o dock)")</f>
        <v>curta duração da bateria (se você não tem o dock)</v>
      </c>
      <c r="B25693" s="3">
        <v>0</v>
      </c>
    </row>
    <row r="25694" ht="15.75" customHeight="1" spans="1:2">
      <c r="A25694" s="3" t="str">
        <f>IFERROR(__xludf.DUMMYFUNCTION("GOOGLETRANSLATE(A25694,""en"",""pt"")"),"Nenhum que realmente se destacam, um caro bit.")</f>
        <v>Nenhum que realmente se destacam, um caro bit.</v>
      </c>
      <c r="B25694" s="3">
        <v>0</v>
      </c>
    </row>
    <row r="25695" ht="15.75" customHeight="1" spans="1:2">
      <c r="A25695" s="3" t="str">
        <f>IFERROR(__xludf.DUMMYFUNCTION("GOOGLETRANSLATE(A25695,""en"",""pt"")"),"Não muito de um zoom")</f>
        <v>Não muito de um zoom</v>
      </c>
      <c r="B25695" s="3">
        <v>0</v>
      </c>
    </row>
    <row r="25696" ht="15.75" customHeight="1" spans="1:2">
      <c r="A25696" s="3" t="str">
        <f>IFERROR(__xludf.DUMMYFUNCTION("GOOGLETRANSLATE(A25696,""en"",""pt"")"),"Pouco difícil em baterias")</f>
        <v>Pouco difícil em baterias</v>
      </c>
      <c r="B25696" s="3">
        <v>0</v>
      </c>
    </row>
    <row r="25697" ht="15.75" customHeight="1" spans="1:2">
      <c r="A25697" s="3" t="str">
        <f>IFERROR(__xludf.DUMMYFUNCTION("GOOGLETRANSLATE(A25697,""en"",""pt"")"),"nenhum formato TIFF, LCD é pequeno")</f>
        <v>nenhum formato TIFF, LCD é pequeno</v>
      </c>
      <c r="B25697" s="3">
        <v>0</v>
      </c>
    </row>
    <row r="25698" ht="15.75" customHeight="1" spans="1:2">
      <c r="A25698" s="3" t="str">
        <f>IFERROR(__xludf.DUMMYFUNCTION("GOOGLETRANSLATE(A25698,""en"",""pt"")"),"A tela LCD não é muito acurate (difusos) não muitas funções.")</f>
        <v>A tela LCD não é muito acurate (difusos) não muitas funções.</v>
      </c>
      <c r="B25698" s="3">
        <v>0</v>
      </c>
    </row>
    <row r="25699" ht="15.75" customHeight="1" spans="1:2">
      <c r="A25699" s="3" t="str">
        <f>IFERROR(__xludf.DUMMYFUNCTION("GOOGLETRANSLATE(A25699,""en"",""pt"")"),"Interruptor difícil de usar. Visor um pouco fora do centro.")</f>
        <v>Interruptor difícil de usar. Visor um pouco fora do centro.</v>
      </c>
      <c r="B25699" s="3">
        <v>0</v>
      </c>
    </row>
    <row r="25700" ht="15.75" customHeight="1" spans="1:2">
      <c r="A25700" s="3" t="str">
        <f>IFERROR(__xludf.DUMMYFUNCTION("GOOGLETRANSLATE(A25700,""en"",""pt"")"),"operação geralmente lento")</f>
        <v>operação geralmente lento</v>
      </c>
      <c r="B25700" s="3">
        <v>0</v>
      </c>
    </row>
    <row r="25701" ht="15.75" customHeight="1" spans="1:2">
      <c r="A25701" s="3" t="str">
        <f>IFERROR(__xludf.DUMMYFUNCTION("GOOGLETRANSLATE(A25701,""en"",""pt"")"),"Con &amp; amp; # 146; s &amp; amp; # 9; Digital Zoom é pobre e os acessórios são caros &amp; amp;. # 13; &amp; amp; # 10; &amp; amp; # 13; &amp; amp; # 10;")</f>
        <v>Con &amp; amp; # 146; s &amp; amp; # 9; Digital Zoom é pobre e os acessórios são caros &amp; amp;. # 13; &amp; amp; # 10; &amp; amp; # 13; &amp; amp; # 10;</v>
      </c>
      <c r="B25701" s="3">
        <v>0</v>
      </c>
    </row>
    <row r="25702" ht="15.75" customHeight="1" spans="1:2">
      <c r="A25702" s="3" t="str">
        <f>IFERROR(__xludf.DUMMYFUNCTION("GOOGLETRANSLATE(A25702,""en"",""pt"")"),"Embora fácil é recomendado para adicionar a estação de encaixe.")</f>
        <v>Embora fácil é recomendado para adicionar a estação de encaixe.</v>
      </c>
      <c r="B25702" s="3">
        <v>0</v>
      </c>
    </row>
    <row r="25703" ht="15.75" customHeight="1" spans="1:2">
      <c r="A25703" s="3" t="str">
        <f>IFERROR(__xludf.DUMMYFUNCTION("GOOGLETRANSLATE(A25703,""en"",""pt"")"),"não vai usar a memória interna quando um cartão de memória está conectado, sem zoom óptico")</f>
        <v>não vai usar a memória interna quando um cartão de memória está conectado, sem zoom óptico</v>
      </c>
      <c r="B25703" s="3">
        <v>0</v>
      </c>
    </row>
    <row r="25704" ht="15.75" customHeight="1" spans="1:2">
      <c r="A25704" s="3" t="str">
        <f>IFERROR(__xludf.DUMMYFUNCTION("GOOGLETRANSLATE(A25704,""en"",""pt"")"),"3x de zoom não é verdade zoom.")</f>
        <v>3x de zoom não é verdade zoom.</v>
      </c>
      <c r="B25704" s="3">
        <v>0</v>
      </c>
    </row>
    <row r="25705" ht="15.75" customHeight="1" spans="1:2">
      <c r="A25705" s="3" t="str">
        <f>IFERROR(__xludf.DUMMYFUNCTION("GOOGLETRANSLATE(A25705,""en"",""pt"")"),"A vida da bateria é problemática. reacção câmera lenta faz instantâneos de temporização difícil.")</f>
        <v>A vida da bateria é problemática. reacção câmera lenta faz instantâneos de temporização difícil.</v>
      </c>
      <c r="B25705" s="3">
        <v>0</v>
      </c>
    </row>
    <row r="25706" ht="15.75" customHeight="1" spans="1:2">
      <c r="A25706" s="3" t="str">
        <f>IFERROR(__xludf.DUMMYFUNCTION("GOOGLETRANSLATE(A25706,""en"",""pt"")"),"Comprar a estação da câmera quando você compra a câmera")</f>
        <v>Comprar a estação da câmera quando você compra a câmera</v>
      </c>
      <c r="B25706" s="3">
        <v>0</v>
      </c>
    </row>
    <row r="25707" ht="15.75" customHeight="1" spans="1:2">
      <c r="A25707" s="3" t="str">
        <f>IFERROR(__xludf.DUMMYFUNCTION("GOOGLETRANSLATE(A25707,""en"",""pt"")"),"Falta de zoom óptico. Zoom digital demasiado granulada.")</f>
        <v>Falta de zoom óptico. Zoom digital demasiado granulada.</v>
      </c>
      <c r="B25707" s="3">
        <v>0</v>
      </c>
    </row>
    <row r="25708" ht="15.75" customHeight="1" spans="1:2">
      <c r="A25708" s="3" t="str">
        <f>IFERROR(__xludf.DUMMYFUNCTION("GOOGLETRANSLATE(A25708,""en"",""pt"")"),"pobres zoom, 2-5 usos e você tem que comprar outra bateria $ 10")</f>
        <v>pobres zoom, 2-5 usos e você tem que comprar outra bateria $ 10</v>
      </c>
      <c r="B25708" s="3">
        <v>0</v>
      </c>
    </row>
    <row r="25709" ht="15.75" customHeight="1" spans="1:2">
      <c r="A25709" s="3" t="str">
        <f>IFERROR(__xludf.DUMMYFUNCTION("GOOGLETRANSLATE(A25709,""en"",""pt"")"),"Bateria morre rapidamente")</f>
        <v>Bateria morre rapidamente</v>
      </c>
      <c r="B25709" s="3">
        <v>0</v>
      </c>
    </row>
    <row r="25710" ht="15.75" customHeight="1" spans="1:2">
      <c r="A25710" s="3" t="str">
        <f>IFERROR(__xludf.DUMMYFUNCTION("GOOGLETRANSLATE(A25710,""en"",""pt"")"),"Lenta entre preciso para obter próxima imagem")</f>
        <v>Lenta entre preciso para obter próxima imagem</v>
      </c>
      <c r="B25710" s="3">
        <v>0</v>
      </c>
    </row>
    <row r="25711" ht="15.75" customHeight="1" spans="1:2">
      <c r="A25711" s="3" t="str">
        <f>IFERROR(__xludf.DUMMYFUNCTION("GOOGLETRANSLATE(A25711,""en"",""pt"")"),"curta duração da bateria, lento para carregar fotos, somente o zoom óptico")</f>
        <v>curta duração da bateria, lento para carregar fotos, somente o zoom óptico</v>
      </c>
      <c r="B25711" s="3">
        <v>0</v>
      </c>
    </row>
    <row r="25712" ht="15.75" customHeight="1" spans="1:2">
      <c r="A25712" s="3" t="str">
        <f>IFERROR(__xludf.DUMMYFUNCTION("GOOGLETRANSLATE(A25712,""en"",""pt"")"),"A vida da bateria extremamente curto")</f>
        <v>A vida da bateria extremamente curto</v>
      </c>
      <c r="B25712" s="3">
        <v>0</v>
      </c>
    </row>
    <row r="25713" ht="15.75" customHeight="1" spans="1:2">
      <c r="A25713" s="3" t="str">
        <f>IFERROR(__xludf.DUMMYFUNCTION("GOOGLETRANSLATE(A25713,""en"",""pt"")"),"O encaixe é separado")</f>
        <v>O encaixe é separado</v>
      </c>
      <c r="B25713" s="3">
        <v>0</v>
      </c>
    </row>
    <row r="25714" ht="15.75" customHeight="1" spans="1:2">
      <c r="A25714" s="3" t="str">
        <f>IFERROR(__xludf.DUMMYFUNCTION("GOOGLETRANSLATE(A25714,""en"",""pt"")"),"&amp; Amp; # 13; &amp; amp; # 10; Os ícones pequenos são difíceis de ler &amp; amp;. # 13; &amp; amp; # 10;")</f>
        <v>&amp; Amp; # 13; &amp; amp; # 10; Os ícones pequenos são difíceis de ler &amp; amp;. # 13; &amp; amp; # 10;</v>
      </c>
      <c r="B25714" s="3">
        <v>0</v>
      </c>
    </row>
    <row r="25715" ht="15.75" customHeight="1" spans="1:2">
      <c r="A25715" s="3" t="str">
        <f>IFERROR(__xludf.DUMMYFUNCTION("GOOGLETRANSLATE(A25715,""en"",""pt"")"),"Sem zoom óptico.")</f>
        <v>Sem zoom óptico.</v>
      </c>
      <c r="B25715" s="3">
        <v>0</v>
      </c>
    </row>
    <row r="25716" ht="15.75" customHeight="1" spans="1:2">
      <c r="A25716" s="3" t="str">
        <f>IFERROR(__xludf.DUMMYFUNCTION("GOOGLETRANSLATE(A25716,""en"",""pt"")"),"Docking Station praticamente necessário, a compra extra de Caro")</f>
        <v>Docking Station praticamente necessário, a compra extra de Caro</v>
      </c>
      <c r="B25716" s="3">
        <v>0</v>
      </c>
    </row>
    <row r="25717" ht="15.75" customHeight="1" spans="1:2">
      <c r="A25717" s="3" t="str">
        <f>IFERROR(__xludf.DUMMYFUNCTION("GOOGLETRANSLATE(A25717,""en"",""pt"")"),"Sem zoom ótico, zoom digital faz para imagens de baixa qualidade, curta duração da bateria.")</f>
        <v>Sem zoom ótico, zoom digital faz para imagens de baixa qualidade, curta duração da bateria.</v>
      </c>
      <c r="B25717" s="3">
        <v>0</v>
      </c>
    </row>
    <row r="25718" ht="15.75" customHeight="1" spans="1:2">
      <c r="A25718" s="3" t="str">
        <f>IFERROR(__xludf.DUMMYFUNCTION("GOOGLETRANSLATE(A25718,""en"",""pt"")"),"Nenhum")</f>
        <v>Nenhum</v>
      </c>
      <c r="B25718" s="3">
        <v>0</v>
      </c>
    </row>
    <row r="25719" ht="15.75" customHeight="1" spans="1:2">
      <c r="A25719" s="3" t="str">
        <f>IFERROR(__xludf.DUMMYFUNCTION("GOOGLETRANSLATE(A25719,""en"",""pt"")"),"nenhum ainda")</f>
        <v>nenhum ainda</v>
      </c>
      <c r="B25719" s="3">
        <v>0</v>
      </c>
    </row>
    <row r="25720" ht="15.75" customHeight="1" spans="1:2">
      <c r="A25720" s="3" t="str">
        <f>IFERROR(__xludf.DUMMYFUNCTION("GOOGLETRANSLATE(A25720,""en"",""pt"")"),"Nenhum até hoje")</f>
        <v>Nenhum até hoje</v>
      </c>
      <c r="B25720" s="3">
        <v>0</v>
      </c>
    </row>
    <row r="25721" ht="15.75" customHeight="1" spans="1:2">
      <c r="A25721" s="3" t="str">
        <f>IFERROR(__xludf.DUMMYFUNCTION("GOOGLETRANSLATE(A25721,""en"",""pt"")"),"""Apenas"" zoom óptico de 2X e zoom digital difusa. Apenas 8MB de memória incluído.")</f>
        <v>"Apenas" zoom óptico de 2X e zoom digital difusa. Apenas 8MB de memória incluído.</v>
      </c>
      <c r="B25721" s="3">
        <v>0</v>
      </c>
    </row>
    <row r="25722" ht="15.75" customHeight="1" spans="1:2">
      <c r="A25722" s="3" t="str">
        <f>IFERROR(__xludf.DUMMYFUNCTION("GOOGLETRANSLATE(A25722,""en"",""pt"")"),"Pictures estão abaixo da média, mesmo em comparação com 2 câmeras Megapix. Frágil qualidade de construção.")</f>
        <v>Pictures estão abaixo da média, mesmo em comparação com 2 câmeras Megapix. Frágil qualidade de construção.</v>
      </c>
      <c r="B25722" s="3">
        <v>0</v>
      </c>
    </row>
    <row r="25723" ht="15.75" customHeight="1" spans="1:2">
      <c r="A25723" s="3" t="str">
        <f>IFERROR(__xludf.DUMMYFUNCTION("GOOGLETRANSLATE(A25723,""en"",""pt"")"),"A vida da bateria.")</f>
        <v>A vida da bateria.</v>
      </c>
      <c r="B25723" s="3">
        <v>0</v>
      </c>
    </row>
    <row r="25724" ht="15.75" customHeight="1" spans="1:2">
      <c r="A25724" s="3" t="str">
        <f>IFERROR(__xludf.DUMMYFUNCTION("GOOGLETRANSLATE(A25724,""en"",""pt"")"),"A vida da bateria")</f>
        <v>A vida da bateria</v>
      </c>
      <c r="B25724" s="3">
        <v>0</v>
      </c>
    </row>
    <row r="25725" ht="15.75" customHeight="1" spans="1:2">
      <c r="A25725" s="3" t="str">
        <f>IFERROR(__xludf.DUMMYFUNCTION("GOOGLETRANSLATE(A25725,""en"",""pt"")"),"2x zoom insuficiente, por vezes,")</f>
        <v>2x zoom insuficiente, por vezes,</v>
      </c>
      <c r="B25725" s="3">
        <v>0</v>
      </c>
    </row>
    <row r="25726" ht="15.75" customHeight="1" spans="1:2">
      <c r="A25726" s="3" t="str">
        <f>IFERROR(__xludf.DUMMYFUNCTION("GOOGLETRANSLATE(A25726,""en"",""pt"")"),"poderia usar melhor zoom")</f>
        <v>poderia usar melhor zoom</v>
      </c>
      <c r="B25726" s="3">
        <v>0</v>
      </c>
    </row>
    <row r="25727" ht="15.75" customHeight="1" spans="1:2">
      <c r="A25727" s="3" t="str">
        <f>IFERROR(__xludf.DUMMYFUNCTION("GOOGLETRANSLATE(A25727,""en"",""pt"")"),"Nenhum")</f>
        <v>Nenhum</v>
      </c>
      <c r="B25727" s="3">
        <v>0</v>
      </c>
    </row>
    <row r="25728" ht="15.75" customHeight="1" spans="1:2">
      <c r="A25728" s="3" t="str">
        <f>IFERROR(__xludf.DUMMYFUNCTION("GOOGLETRANSLATE(A25728,""en"",""pt"")"),"pequena tela LCD")</f>
        <v>pequena tela LCD</v>
      </c>
      <c r="B25728" s="3">
        <v>0</v>
      </c>
    </row>
    <row r="25729" ht="15.75" customHeight="1" spans="1:2">
      <c r="A25729" s="3" t="str">
        <f>IFERROR(__xludf.DUMMYFUNCTION("GOOGLETRANSLATE(A25729,""en"",""pt"")"),"Poder se esgota rápido &amp; amp; necessidade de substituir uma bateria nova.")</f>
        <v>Poder se esgota rápido &amp; amp; necessidade de substituir uma bateria nova.</v>
      </c>
      <c r="B25729" s="3">
        <v>0</v>
      </c>
    </row>
    <row r="25730" ht="15.75" customHeight="1" spans="1:2">
      <c r="A25730" s="3" t="str">
        <f>IFERROR(__xludf.DUMMYFUNCTION("GOOGLETRANSLATE(A25730,""en"",""pt"")"),"No carregador de bateria a menos que você comprar docking station.")</f>
        <v>No carregador de bateria a menos que você comprar docking station.</v>
      </c>
      <c r="B25730" s="3">
        <v>0</v>
      </c>
    </row>
    <row r="25731" ht="15.75" customHeight="1" spans="1:2">
      <c r="A25731" s="3" t="str">
        <f>IFERROR(__xludf.DUMMYFUNCTION("GOOGLETRANSLATE(A25731,""en"",""pt"")"),"Nenhum ainda!")</f>
        <v>Nenhum ainda!</v>
      </c>
      <c r="B25731" s="3">
        <v>0</v>
      </c>
    </row>
    <row r="25732" ht="15.75" customHeight="1" spans="1:2">
      <c r="A25732" s="3" t="str">
        <f>IFERROR(__xludf.DUMMYFUNCTION("GOOGLETRANSLATE(A25732,""en"",""pt"")"),"pouca luz fotos precisa ajuste manual,")</f>
        <v>pouca luz fotos precisa ajuste manual,</v>
      </c>
      <c r="B25732" s="3">
        <v>0</v>
      </c>
    </row>
    <row r="25733" ht="15.75" customHeight="1" spans="1:2">
      <c r="A25733" s="3" t="str">
        <f>IFERROR(__xludf.DUMMYFUNCTION("GOOGLETRANSLATE(A25733,""en"",""pt"")"),"A vida da bateria, nenhum foco manual.")</f>
        <v>A vida da bateria, nenhum foco manual.</v>
      </c>
      <c r="B25733" s="3">
        <v>0</v>
      </c>
    </row>
    <row r="25734" ht="15.75" customHeight="1" spans="1:2">
      <c r="A25734" s="3" t="str">
        <f>IFERROR(__xludf.DUMMYFUNCTION("GOOGLETRANSLATE(A25734,""en"",""pt"")"),"software de fotografia é bastante bregas; cartão de memória incluído é quase inútil.")</f>
        <v>software de fotografia é bastante bregas; cartão de memória incluído é quase inútil.</v>
      </c>
      <c r="B25734" s="3">
        <v>0</v>
      </c>
    </row>
    <row r="25735" ht="15.75" customHeight="1" spans="1:2">
      <c r="A25735" s="3" t="str">
        <f>IFERROR(__xludf.DUMMYFUNCTION("GOOGLETRANSLATE(A25735,""en"",""pt"")"),"imagem granulada, tiros de tempo de noite não é bom, Construção muito barato.")</f>
        <v>imagem granulada, tiros de tempo de noite não é bom, Construção muito barato.</v>
      </c>
      <c r="B25735" s="3">
        <v>0</v>
      </c>
    </row>
    <row r="25736" ht="15.75" customHeight="1" spans="1:2">
      <c r="A25736" s="3" t="str">
        <f>IFERROR(__xludf.DUMMYFUNCTION("GOOGLETRANSLATE(A25736,""en"",""pt"")"),"Grande e desajeitado, a vida da bateria Curto, possíveis problemas de download, software difícil.")</f>
        <v>Grande e desajeitado, a vida da bateria Curto, possíveis problemas de download, software difícil.</v>
      </c>
      <c r="B25736" s="3">
        <v>0</v>
      </c>
    </row>
    <row r="25737" ht="15.75" customHeight="1" spans="1:2">
      <c r="A25737" s="3" t="str">
        <f>IFERROR(__xludf.DUMMYFUNCTION("GOOGLETRANSLATE(A25737,""en"",""pt"")"),"Software é terrível - trava, trava computador, difícil de usar, 8MB é inútil..")</f>
        <v>Software é terrível - trava, trava computador, difícil de usar, 8MB é inútil..</v>
      </c>
      <c r="B25737" s="3">
        <v>0</v>
      </c>
    </row>
    <row r="25738" ht="15.75" customHeight="1" spans="1:2">
      <c r="A25738" s="3" t="str">
        <f>IFERROR(__xludf.DUMMYFUNCTION("GOOGLETRANSLATE(A25738,""en"",""pt"")"),"Pictures tendem a ficar desfocada")</f>
        <v>Pictures tendem a ficar desfocada</v>
      </c>
      <c r="B25738" s="3">
        <v>0</v>
      </c>
    </row>
    <row r="25739" ht="15.75" customHeight="1" spans="1:2">
      <c r="A25739" s="3" t="str">
        <f>IFERROR(__xludf.DUMMYFUNCTION("GOOGLETRANSLATE(A25739,""en"",""pt"")"),"período de espera entre tiros parece longo.")</f>
        <v>período de espera entre tiros parece longo.</v>
      </c>
      <c r="B25739" s="3">
        <v>0</v>
      </c>
    </row>
    <row r="25740" ht="15.75" customHeight="1" spans="1:2">
      <c r="A25740" s="3" t="str">
        <f>IFERROR(__xludf.DUMMYFUNCTION("GOOGLETRANSLATE(A25740,""en"",""pt"")"),"facilmente danificado se cair, caro para reparação, anulará a garantia se estiver danificada")</f>
        <v>facilmente danificado se cair, caro para reparação, anulará a garantia se estiver danificada</v>
      </c>
      <c r="B25740" s="3">
        <v>0</v>
      </c>
    </row>
    <row r="25741" ht="15.75" customHeight="1" spans="1:2">
      <c r="A25741" s="3" t="str">
        <f>IFERROR(__xludf.DUMMYFUNCTION("GOOGLETRANSLATE(A25741,""en"",""pt"")"),"As baterias não duram muito tempo.")</f>
        <v>As baterias não duram muito tempo.</v>
      </c>
      <c r="B25741" s="3">
        <v>0</v>
      </c>
    </row>
    <row r="25742" ht="15.75" customHeight="1" spans="1:2">
      <c r="A25742" s="3" t="str">
        <f>IFERROR(__xludf.DUMMYFUNCTION("GOOGLETRANSLATE(A25742,""en"",""pt"")"),"Configurações não correspondem com câmaras 35MM convencionais, por exemplo, F-stop, de abertura, etc.")</f>
        <v>Configurações não correspondem com câmaras 35MM convencionais, por exemplo, F-stop, de abertura, etc.</v>
      </c>
      <c r="B25742" s="3">
        <v>0</v>
      </c>
    </row>
    <row r="25743" ht="15.75" customHeight="1" spans="1:2">
      <c r="A25743" s="3" t="str">
        <f>IFERROR(__xludf.DUMMYFUNCTION("GOOGLETRANSLATE(A25743,""en"",""pt"")"),"Parece facilmente quebrado se enfia. A vida da bateria so-so se estiver usando lcd.")</f>
        <v>Parece facilmente quebrado se enfia. A vida da bateria so-so se estiver usando lcd.</v>
      </c>
      <c r="B25743" s="3">
        <v>0</v>
      </c>
    </row>
    <row r="25744" ht="15.75" customHeight="1" spans="1:2">
      <c r="A25744" s="3" t="str">
        <f>IFERROR(__xludf.DUMMYFUNCTION("GOOGLETRANSLATE(A25744,""en"",""pt"")"),"Lens não dura.")</f>
        <v>Lens não dura.</v>
      </c>
      <c r="B25744" s="3">
        <v>0</v>
      </c>
    </row>
    <row r="25745" ht="15.75" customHeight="1" spans="1:2">
      <c r="A25745" s="3" t="str">
        <f>IFERROR(__xludf.DUMMYFUNCTION("GOOGLETRANSLATE(A25745,""en"",""pt"")"),"Foco muitas vezes difusa")</f>
        <v>Foco muitas vezes difusa</v>
      </c>
      <c r="B25745" s="3">
        <v>0</v>
      </c>
    </row>
    <row r="25746" ht="15.75" customHeight="1" spans="1:2">
      <c r="A25746" s="3" t="str">
        <f>IFERROR(__xludf.DUMMYFUNCTION("GOOGLETRANSLATE(A25746,""en"",""pt"")"),"Nenhum")</f>
        <v>Nenhum</v>
      </c>
      <c r="B25746" s="3">
        <v>0</v>
      </c>
    </row>
    <row r="25747" ht="15.75" customHeight="1" spans="1:2">
      <c r="A25747" s="3" t="str">
        <f>IFERROR(__xludf.DUMMYFUNCTION("GOOGLETRANSLATE(A25747,""en"",""pt"")"),"granulado, não zoom suficiente, qualidade de construção, nenhum controle manual e modo de descompressão")</f>
        <v>granulado, não zoom suficiente, qualidade de construção, nenhum controle manual e modo de descompressão</v>
      </c>
      <c r="B25747" s="3">
        <v>0</v>
      </c>
    </row>
    <row r="25748" ht="15.75" customHeight="1" spans="1:2">
      <c r="A25748" s="3" t="str">
        <f>IFERROR(__xludf.DUMMYFUNCTION("GOOGLETRANSLATE(A25748,""en"",""pt"")"),"Nunca funciona! Enviá-la para a Kodak!")</f>
        <v>Nunca funciona! Enviá-la para a Kodak!</v>
      </c>
      <c r="B25748" s="3">
        <v>0</v>
      </c>
    </row>
    <row r="25749" ht="15.75" customHeight="1" spans="1:2">
      <c r="A25749" s="3" t="str">
        <f>IFERROR(__xludf.DUMMYFUNCTION("GOOGLETRANSLATE(A25749,""en"",""pt"")"),"Nenhum que eu posso pensar ...")</f>
        <v>Nenhum que eu posso pensar ...</v>
      </c>
      <c r="B25749" s="3">
        <v>0</v>
      </c>
    </row>
    <row r="25750" ht="15.75" customHeight="1" spans="1:2">
      <c r="A25750" s="3" t="str">
        <f>IFERROR(__xludf.DUMMYFUNCTION("GOOGLETRANSLATE(A25750,""en"",""pt"")"),"a vida da bateria muito, muito curto")</f>
        <v>a vida da bateria muito, muito curto</v>
      </c>
      <c r="B25750" s="3">
        <v>0</v>
      </c>
    </row>
    <row r="25751" ht="15.75" customHeight="1" spans="1:2">
      <c r="A25751" s="3" t="str">
        <f>IFERROR(__xludf.DUMMYFUNCTION("GOOGLETRANSLATE(A25751,""en"",""pt"")"),"A qualidade da foto e vida útil da bateria é algo a desejar")</f>
        <v>A qualidade da foto e vida útil da bateria é algo a desejar</v>
      </c>
      <c r="B25751" s="3">
        <v>0</v>
      </c>
    </row>
    <row r="25752" ht="15.75" customHeight="1" spans="1:2">
      <c r="A25752" s="3" t="str">
        <f>IFERROR(__xludf.DUMMYFUNCTION("GOOGLETRANSLATE(A25752,""en"",""pt"")"),"utiliza a energia da bateria rápido se você não tem a doca")</f>
        <v>utiliza a energia da bateria rápido se você não tem a doca</v>
      </c>
      <c r="B25752" s="3">
        <v>0</v>
      </c>
    </row>
    <row r="25753" ht="15.75" customHeight="1" spans="1:2">
      <c r="A25753" s="3" t="str">
        <f>IFERROR(__xludf.DUMMYFUNCTION("GOOGLETRANSLATE(A25753,""en"",""pt"")"),"vida útil da bateria")</f>
        <v>vida útil da bateria</v>
      </c>
      <c r="B25753" s="3">
        <v>0</v>
      </c>
    </row>
    <row r="25754" ht="15.75" customHeight="1" spans="1:2">
      <c r="A25754" s="3" t="str">
        <f>IFERROR(__xludf.DUMMYFUNCTION("GOOGLETRANSLATE(A25754,""en"",""pt"")"),"Nada até agora.")</f>
        <v>Nada até agora.</v>
      </c>
      <c r="B25754" s="3">
        <v>0</v>
      </c>
    </row>
    <row r="25755" ht="15.75" customHeight="1" spans="1:2">
      <c r="A25755" s="3" t="str">
        <f>IFERROR(__xludf.DUMMYFUNCTION("GOOGLETRANSLATE(A25755,""en"",""pt"")"),"A vida da bateria, zoom digital")</f>
        <v>A vida da bateria, zoom digital</v>
      </c>
      <c r="B25755" s="3">
        <v>0</v>
      </c>
    </row>
    <row r="25756" ht="15.75" customHeight="1" spans="1:2">
      <c r="A25756" s="3" t="str">
        <f>IFERROR(__xludf.DUMMYFUNCTION("GOOGLETRANSLATE(A25756,""en"",""pt"")"),"Redeye, software Kodak mal retrata a qualidade da imagem")</f>
        <v>Redeye, software Kodak mal retrata a qualidade da imagem</v>
      </c>
      <c r="B25756" s="3">
        <v>0</v>
      </c>
    </row>
    <row r="25757" ht="15.75" customHeight="1" spans="1:2">
      <c r="A25757" s="3" t="str">
        <f>IFERROR(__xludf.DUMMYFUNCTION("GOOGLETRANSLATE(A25757,""en"",""pt"")"),"Lens cap barato, não ficar. Sombra na esquerda do assunto quando o uso do flash,")</f>
        <v>Lens cap barato, não ficar. Sombra na esquerda do assunto quando o uso do flash,</v>
      </c>
      <c r="B25757" s="3">
        <v>0</v>
      </c>
    </row>
    <row r="25758" ht="15.75" customHeight="1" spans="1:2">
      <c r="A25758" s="3" t="str">
        <f>IFERROR(__xludf.DUMMYFUNCTION("GOOGLETRANSLATE(A25758,""en"",""pt"")"),"Recarregável curta vida útil da bateria. Use pilhas descartáveis ​​para uma vida longa.")</f>
        <v>Recarregável curta vida útil da bateria. Use pilhas descartáveis ​​para uma vida longa.</v>
      </c>
      <c r="B25758" s="3">
        <v>0</v>
      </c>
    </row>
    <row r="25759" ht="15.75" customHeight="1" spans="1:2">
      <c r="A25759" s="3" t="str">
        <f>IFERROR(__xludf.DUMMYFUNCTION("GOOGLETRANSLATE(A25759,""en"",""pt"")"),"Nenhum eu encontrei")</f>
        <v>Nenhum eu encontrei</v>
      </c>
      <c r="B25759" s="3">
        <v>0</v>
      </c>
    </row>
    <row r="25760" ht="15.75" customHeight="1" spans="1:2">
      <c r="A25760" s="3" t="str">
        <f>IFERROR(__xludf.DUMMYFUNCTION("GOOGLETRANSLATE(A25760,""en"",""pt"")"),"Incrivelmente más decisões no formato de arquivo de filme. software pobres")</f>
        <v>Incrivelmente más decisões no formato de arquivo de filme. software pobres</v>
      </c>
      <c r="B25760" s="3">
        <v>0</v>
      </c>
    </row>
    <row r="25761" ht="15.75" customHeight="1" spans="1:2">
      <c r="A25761" s="3" t="str">
        <f>IFERROR(__xludf.DUMMYFUNCTION("GOOGLETRANSLATE(A25761,""en"",""pt"")"),"tampa da lente cai muito")</f>
        <v>tampa da lente cai muito</v>
      </c>
      <c r="B25761" s="3">
        <v>0</v>
      </c>
    </row>
    <row r="25762" ht="15.75" customHeight="1" spans="1:2">
      <c r="A25762" s="3" t="str">
        <f>IFERROR(__xludf.DUMMYFUNCTION("GOOGLETRANSLATE(A25762,""en"",""pt"")"),"Cap No Lens. Obturador fica às vezes.")</f>
        <v>Cap No Lens. Obturador fica às vezes.</v>
      </c>
      <c r="B25762" s="3">
        <v>0</v>
      </c>
    </row>
    <row r="25763" ht="15.75" customHeight="1" spans="1:2">
      <c r="A25763" s="3" t="str">
        <f>IFERROR(__xludf.DUMMYFUNCTION("GOOGLETRANSLATE(A25763,""en"",""pt"")"),"Comprando o porto de ancoragem é como você compartilhar fotos.")</f>
        <v>Comprando o porto de ancoragem é como você compartilhar fotos.</v>
      </c>
      <c r="B25763" s="3">
        <v>0</v>
      </c>
    </row>
    <row r="25764" ht="15.75" customHeight="1" spans="1:2">
      <c r="A25764" s="3" t="str">
        <f>IFERROR(__xludf.DUMMYFUNCTION("GOOGLETRANSLATE(A25764,""en"",""pt"")"),"Life &amp; amp bateria; Sem opção Data")</f>
        <v>Life &amp; amp bateria; Sem opção Data</v>
      </c>
      <c r="B25764" s="3">
        <v>0</v>
      </c>
    </row>
    <row r="25765" ht="15.75" customHeight="1" spans="1:2">
      <c r="A25765" s="3" t="str">
        <f>IFERROR(__xludf.DUMMYFUNCTION("GOOGLETRANSLATE(A25765,""en"",""pt"")"),"faz o DX4330 não captura adequadamente texto para aplicações de OCR.")</f>
        <v>faz o DX4330 não captura adequadamente texto para aplicações de OCR.</v>
      </c>
      <c r="B25765" s="3">
        <v>0</v>
      </c>
    </row>
    <row r="25766" ht="15.75" customHeight="1" spans="1:2">
      <c r="A25766" s="3" t="str">
        <f>IFERROR(__xludf.DUMMYFUNCTION("GOOGLETRANSLATE(A25766,""en"",""pt"")"),"A vida da bateria poderia ser melhor, tampa da lente cheep, indicador de status mal colocado / light")</f>
        <v>A vida da bateria poderia ser melhor, tampa da lente cheep, indicador de status mal colocado / light</v>
      </c>
      <c r="B25766" s="3">
        <v>0</v>
      </c>
    </row>
    <row r="25767" ht="15.75" customHeight="1" spans="1:2">
      <c r="A25767" s="3" t="str">
        <f>IFERROR(__xludf.DUMMYFUNCTION("GOOGLETRANSLATE(A25767,""en"",""pt"")"),"tampa da lente estúpido e nenhum indicador de vida da bateria até que as pilhas estão fracas.")</f>
        <v>tampa da lente estúpido e nenhum indicador de vida da bateria até que as pilhas estão fracas.</v>
      </c>
      <c r="B25767" s="3">
        <v>0</v>
      </c>
    </row>
    <row r="25768" ht="15.75" customHeight="1" spans="1:2">
      <c r="A25768" s="3" t="str">
        <f>IFERROR(__xludf.DUMMYFUNCTION("GOOGLETRANSLATE(A25768,""en"",""pt"")"),"A bateria recarregável teria sido mais apropriado")</f>
        <v>A bateria recarregável teria sido mais apropriado</v>
      </c>
      <c r="B25768" s="3">
        <v>0</v>
      </c>
    </row>
    <row r="25769" ht="15.75" customHeight="1" spans="1:2">
      <c r="A25769" s="3" t="str">
        <f>IFERROR(__xludf.DUMMYFUNCTION("GOOGLETRANSLATE(A25769,""en"",""pt"")"),"Não muitos recursos extras e pode ser muito simples para as pessoas que gostam de aparelhos")</f>
        <v>Não muitos recursos extras e pode ser muito simples para as pessoas que gostam de aparelhos</v>
      </c>
      <c r="B25769" s="3">
        <v>0</v>
      </c>
    </row>
    <row r="25770" ht="15.75" customHeight="1" spans="1:2">
      <c r="A25770" s="3" t="str">
        <f>IFERROR(__xludf.DUMMYFUNCTION("GOOGLETRANSLATE(A25770,""en"",""pt"")"),"usa um monte de baterias")</f>
        <v>usa um monte de baterias</v>
      </c>
      <c r="B25770" s="3">
        <v>0</v>
      </c>
    </row>
    <row r="25771" ht="15.75" customHeight="1" spans="1:2">
      <c r="A25771" s="3" t="str">
        <f>IFERROR(__xludf.DUMMYFUNCTION("GOOGLETRANSLATE(A25771,""en"",""pt"")"),"Tela é difícil ver no sol. Definitivamente precisa comprar um cartão de memória.")</f>
        <v>Tela é difícil ver no sol. Definitivamente precisa comprar um cartão de memória.</v>
      </c>
      <c r="B25771" s="3">
        <v>0</v>
      </c>
    </row>
    <row r="25772" ht="15.75" customHeight="1" spans="1:2">
      <c r="A25772" s="3" t="str">
        <f>IFERROR(__xludf.DUMMYFUNCTION("GOOGLETRANSLATE(A25772,""en"",""pt"")"),"Menu é um pouco complicado de usar, eu ainda estou me acostumando com isso.")</f>
        <v>Menu é um pouco complicado de usar, eu ainda estou me acostumando com isso.</v>
      </c>
      <c r="B25772" s="3">
        <v>0</v>
      </c>
    </row>
    <row r="25773" ht="15.75" customHeight="1" spans="1:2">
      <c r="A25773" s="3" t="str">
        <f>IFERROR(__xludf.DUMMYFUNCTION("GOOGLETRANSLATE(A25773,""en"",""pt"")"),"A duração da bateria é curta, ea reação imagem é um pouco lento.")</f>
        <v>A duração da bateria é curta, ea reação imagem é um pouco lento.</v>
      </c>
      <c r="B25773" s="3">
        <v>0</v>
      </c>
    </row>
    <row r="25774" ht="15.75" customHeight="1" spans="1:2">
      <c r="A25774" s="3" t="str">
        <f>IFERROR(__xludf.DUMMYFUNCTION("GOOGLETRANSLATE(A25774,""en"",""pt"")"),"software, JPG compressão única opção, nenhum indicador de bateria")</f>
        <v>software, JPG compressão única opção, nenhum indicador de bateria</v>
      </c>
      <c r="B25774" s="3">
        <v>0</v>
      </c>
    </row>
    <row r="25775" ht="15.75" customHeight="1" spans="1:2">
      <c r="A25775" s="3" t="str">
        <f>IFERROR(__xludf.DUMMYFUNCTION("GOOGLETRANSLATE(A25775,""en"",""pt"")"),"Pegue algumas baterias de reserva!")</f>
        <v>Pegue algumas baterias de reserva!</v>
      </c>
      <c r="B25775" s="3">
        <v>0</v>
      </c>
    </row>
    <row r="25776" ht="15.75" customHeight="1" spans="1:2">
      <c r="A25776" s="3" t="str">
        <f>IFERROR(__xludf.DUMMYFUNCTION("GOOGLETRANSLATE(A25776,""en"",""pt"")"),"Amplificador de potência; LCD (ver comentário).")</f>
        <v>Amplificador de potência; LCD (ver comentário).</v>
      </c>
      <c r="B25776" s="3">
        <v>0</v>
      </c>
    </row>
    <row r="25777" ht="15.75" customHeight="1" spans="1:2">
      <c r="A25777" s="3" t="str">
        <f>IFERROR(__xludf.DUMMYFUNCTION("GOOGLETRANSLATE(A25777,""en"",""pt"")"),"Visualizando pequena tela, possíveis problemas de durabilidade na estrada")</f>
        <v>Visualizando pequena tela, possíveis problemas de durabilidade na estrada</v>
      </c>
      <c r="B25777" s="3">
        <v>0</v>
      </c>
    </row>
    <row r="25778" ht="15.75" customHeight="1" spans="1:2">
      <c r="A25778" s="3" t="str">
        <f>IFERROR(__xludf.DUMMYFUNCTION("GOOGLETRANSLATE(A25778,""en"",""pt"")"),"Alta resolução de modo must pelo disco maior e mais caro para segurar fotos.")</f>
        <v>Alta resolução de modo must pelo disco maior e mais caro para segurar fotos.</v>
      </c>
      <c r="B25778" s="3">
        <v>0</v>
      </c>
    </row>
    <row r="25779" ht="15.75" customHeight="1" spans="1:2">
      <c r="A25779" s="3" t="str">
        <f>IFERROR(__xludf.DUMMYFUNCTION("GOOGLETRANSLATE(A25779,""en"",""pt"")"),"Impressão da data não é automática")</f>
        <v>Impressão da data não é automática</v>
      </c>
      <c r="B25779" s="3">
        <v>0</v>
      </c>
    </row>
    <row r="25780" ht="15.75" customHeight="1" spans="1:2">
      <c r="A25780" s="3" t="str">
        <f>IFERROR(__xludf.DUMMYFUNCTION("GOOGLETRANSLATE(A25780,""en"",""pt"")"),"software Picture está faltando. Docking Station S / B incluído com a câmara.")</f>
        <v>software Picture está faltando. Docking Station S / B incluído com a câmara.</v>
      </c>
      <c r="B25780" s="3">
        <v>0</v>
      </c>
    </row>
    <row r="25781" ht="15.75" customHeight="1" spans="1:2">
      <c r="A25781" s="3" t="str">
        <f>IFERROR(__xludf.DUMMYFUNCTION("GOOGLETRANSLATE(A25781,""en"",""pt"")"),"Os olhares, cartão de memória muito pequena, não dioptria!")</f>
        <v>Os olhares, cartão de memória muito pequena, não dioptria!</v>
      </c>
      <c r="B25781" s="3">
        <v>0</v>
      </c>
    </row>
    <row r="25782" ht="15.75" customHeight="1" spans="1:2">
      <c r="A25782" s="3" t="str">
        <f>IFERROR(__xludf.DUMMYFUNCTION("GOOGLETRANSLATE(A25782,""en"",""pt"")"),"Difícil de espera, cartão de memória pequeno, o tempo de espera estranho para tirar fotos")</f>
        <v>Difícil de espera, cartão de memória pequeno, o tempo de espera estranho para tirar fotos</v>
      </c>
      <c r="B25782" s="3">
        <v>0</v>
      </c>
    </row>
    <row r="25783" ht="15.75" customHeight="1" spans="1:2">
      <c r="A25783" s="3" t="str">
        <f>IFERROR(__xludf.DUMMYFUNCTION("GOOGLETRANSLATE(A25783,""en"",""pt"")"),"vida útil da bateria caro e curto")</f>
        <v>vida útil da bateria caro e curto</v>
      </c>
      <c r="B25783" s="3">
        <v>0</v>
      </c>
    </row>
    <row r="25784" ht="15.75" customHeight="1" spans="1:2">
      <c r="A25784" s="3" t="str">
        <f>IFERROR(__xludf.DUMMYFUNCTION("GOOGLETRANSLATE(A25784,""en"",""pt"")"),"Catastrófica WindowsME corrupção do registro, a vida da bateria lamentável, fraco LCD, choppiness imagem, transferência de extra-custo / suporte de carregamento.")</f>
        <v>Catastrófica WindowsME corrupção do registro, a vida da bateria lamentável, fraco LCD, choppiness imagem, transferência de extra-custo / suporte de carregamento.</v>
      </c>
      <c r="B25784" s="3">
        <v>0</v>
      </c>
    </row>
    <row r="25785" ht="15.75" customHeight="1" spans="1:2">
      <c r="A25785" s="3" t="str">
        <f>IFERROR(__xludf.DUMMYFUNCTION("GOOGLETRANSLATE(A25785,""en"",""pt"")"),"1-As baterias ir mais rápido. Obter um carregador para back-up.")</f>
        <v>1-As baterias ir mais rápido. Obter um carregador para back-up.</v>
      </c>
      <c r="B25785" s="3">
        <v>0</v>
      </c>
    </row>
    <row r="25786" ht="15.75" customHeight="1" spans="1:2">
      <c r="A25786" s="3" t="str">
        <f>IFERROR(__xludf.DUMMYFUNCTION("GOOGLETRANSLATE(A25786,""en"",""pt"")"),"Não muito.")</f>
        <v>Não muito.</v>
      </c>
      <c r="B25786" s="3">
        <v>0</v>
      </c>
    </row>
    <row r="25787" ht="15.75" customHeight="1" spans="1:2">
      <c r="A25787" s="3" t="str">
        <f>IFERROR(__xludf.DUMMYFUNCTION("GOOGLETRANSLATE(A25787,""en"",""pt"")"),"A vida da bateria")</f>
        <v>A vida da bateria</v>
      </c>
      <c r="B25787" s="3">
        <v>0</v>
      </c>
    </row>
    <row r="25788" ht="15.75" customHeight="1" spans="1:2">
      <c r="A25788" s="3" t="str">
        <f>IFERROR(__xludf.DUMMYFUNCTION("GOOGLETRANSLATE(A25788,""en"",""pt"")"),"vida útil da bateria, zoom óptico, software está faltando")</f>
        <v>vida útil da bateria, zoom óptico, software está faltando</v>
      </c>
      <c r="B25788" s="3">
        <v>0</v>
      </c>
    </row>
    <row r="25789" ht="15.75" customHeight="1" spans="1:2">
      <c r="A25789" s="3" t="str">
        <f>IFERROR(__xludf.DUMMYFUNCTION("GOOGLETRANSLATE(A25789,""en"",""pt"")"),"difícil na navegação tela, zoom óptico limitado")</f>
        <v>difícil na navegação tela, zoom óptico limitado</v>
      </c>
      <c r="B25789" s="3">
        <v>0</v>
      </c>
    </row>
    <row r="25790" ht="15.75" customHeight="1" spans="1:2">
      <c r="A25790" s="3" t="str">
        <f>IFERROR(__xludf.DUMMYFUNCTION("GOOGLETRANSLATE(A25790,""en"",""pt"")"),"LCD é pequeno, software não é a melhor")</f>
        <v>LCD é pequeno, software não é a melhor</v>
      </c>
      <c r="B25790" s="3">
        <v>0</v>
      </c>
    </row>
    <row r="25791" ht="15.75" customHeight="1" spans="1:2">
      <c r="A25791" s="3" t="str">
        <f>IFERROR(__xludf.DUMMYFUNCTION("GOOGLETRANSLATE(A25791,""en"",""pt"")"),"vida útil da bateria. dificuldade em se concentrar, tamanho.")</f>
        <v>vida útil da bateria. dificuldade em se concentrar, tamanho.</v>
      </c>
      <c r="B25791" s="3">
        <v>0</v>
      </c>
    </row>
    <row r="25792" ht="15.75" customHeight="1" spans="1:2">
      <c r="A25792" s="3" t="str">
        <f>IFERROR(__xludf.DUMMYFUNCTION("GOOGLETRANSLATE(A25792,""en"",""pt"")"),"vida útil da bateria")</f>
        <v>vida útil da bateria</v>
      </c>
      <c r="B25792" s="3">
        <v>0</v>
      </c>
    </row>
    <row r="25793" ht="15.75" customHeight="1" spans="1:2">
      <c r="A25793" s="3" t="str">
        <f>IFERROR(__xludf.DUMMYFUNCTION("GOOGLETRANSLATE(A25793,""en"",""pt"")"),"A vida da bateria, o software é estranho.")</f>
        <v>A vida da bateria, o software é estranho.</v>
      </c>
      <c r="B25793" s="3">
        <v>0</v>
      </c>
    </row>
    <row r="25794" ht="15.75" customHeight="1" spans="1:2">
      <c r="A25794" s="3" t="str">
        <f>IFERROR(__xludf.DUMMYFUNCTION("GOOGLETRANSLATE(A25794,""en"",""pt"")"),"vida útil da bateria, software faltando.")</f>
        <v>vida útil da bateria, software faltando.</v>
      </c>
      <c r="B25794" s="3">
        <v>0</v>
      </c>
    </row>
    <row r="25795" ht="15.75" customHeight="1" spans="1:2">
      <c r="A25795" s="3" t="str">
        <f>IFERROR(__xludf.DUMMYFUNCTION("GOOGLETRANSLATE(A25795,""en"",""pt"")"),"O software de edição é bastante básico e limitado.")</f>
        <v>O software de edição é bastante básico e limitado.</v>
      </c>
      <c r="B25795" s="3">
        <v>0</v>
      </c>
    </row>
    <row r="25796" ht="15.75" customHeight="1" spans="1:2">
      <c r="A25796" s="3" t="str">
        <f>IFERROR(__xludf.DUMMYFUNCTION("GOOGLETRANSLATE(A25796,""en"",""pt"")"),"Nenhum, a satisfação total")</f>
        <v>Nenhum, a satisfação total</v>
      </c>
      <c r="B25796" s="3">
        <v>0</v>
      </c>
    </row>
    <row r="25797" ht="15.75" customHeight="1" spans="1:2">
      <c r="A25797" s="3" t="str">
        <f>IFERROR(__xludf.DUMMYFUNCTION("GOOGLETRANSLATE(A25797,""en"",""pt"")"),"Em seguida, ele morreu !,")</f>
        <v>Em seguida, ele morreu !,</v>
      </c>
      <c r="B25797" s="3">
        <v>0</v>
      </c>
    </row>
    <row r="25798" ht="15.75" customHeight="1" spans="1:2">
      <c r="A25798" s="3" t="str">
        <f>IFERROR(__xludf.DUMMYFUNCTION("GOOGLETRANSLATE(A25798,""en"",""pt"")"),"vida útil da bateria é curta, estação de acoplamento deve ser parte do pacote")</f>
        <v>vida útil da bateria é curta, estação de acoplamento deve ser parte do pacote</v>
      </c>
      <c r="B25798" s="3">
        <v>0</v>
      </c>
    </row>
    <row r="25799" ht="15.75" customHeight="1" spans="1:2">
      <c r="A25799" s="3" t="str">
        <f>IFERROR(__xludf.DUMMYFUNCTION("GOOGLETRANSLATE(A25799,""en"",""pt"")"),"Borrões qualquer coisa que se move e suga com pouca luz")</f>
        <v>Borrões qualquer coisa que se move e suga com pouca luz</v>
      </c>
      <c r="B25799" s="3">
        <v>0</v>
      </c>
    </row>
    <row r="25800" ht="15.75" customHeight="1" spans="1:2">
      <c r="A25800" s="3" t="str">
        <f>IFERROR(__xludf.DUMMYFUNCTION("GOOGLETRANSLATE(A25800,""en"",""pt"")"),"vida útil da bateria recarregável é muito curto, cartão de memória pequeno, necessidade de pelos acessórios")</f>
        <v>vida útil da bateria recarregável é muito curto, cartão de memória pequeno, necessidade de pelos acessórios</v>
      </c>
      <c r="B25800" s="3">
        <v>0</v>
      </c>
    </row>
    <row r="25801" ht="15.75" customHeight="1" spans="1:2">
      <c r="A25801" s="3" t="str">
        <f>IFERROR(__xludf.DUMMYFUNCTION("GOOGLETRANSLATE(A25801,""en"",""pt"")"),"lento processamento &amp; amp imagem; armazenar, não pode lidar com tiros da noite superiores a cerca de pés dez.")</f>
        <v>lento processamento &amp; amp imagem; armazenar, não pode lidar com tiros da noite superiores a cerca de pés dez.</v>
      </c>
      <c r="B25801" s="3">
        <v>0</v>
      </c>
    </row>
    <row r="25802" ht="15.75" customHeight="1" spans="1:2">
      <c r="A25802" s="3" t="str">
        <f>IFERROR(__xludf.DUMMYFUNCTION("GOOGLETRANSLATE(A25802,""en"",""pt"")"),"pequena memória interna, nenhum saco da câmera incluída, o preço um pouco alto")</f>
        <v>pequena memória interna, nenhum saco da câmera incluída, o preço um pouco alto</v>
      </c>
      <c r="B25802" s="3">
        <v>0</v>
      </c>
    </row>
    <row r="25803" ht="15.75" customHeight="1" spans="1:2">
      <c r="A25803" s="3" t="str">
        <f>IFERROR(__xludf.DUMMYFUNCTION("GOOGLETRANSLATE(A25803,""en"",""pt"")"),"pequena memória interna, câmera caso não incluir")</f>
        <v>pequena memória interna, câmera caso não incluir</v>
      </c>
      <c r="B25803" s="3">
        <v>0</v>
      </c>
    </row>
    <row r="25804" ht="15.75" customHeight="1" spans="1:2">
      <c r="A25804" s="3" t="str">
        <f>IFERROR(__xludf.DUMMYFUNCTION("GOOGLETRANSLATE(A25804,""en"",""pt"")"),"pequena quantidade de memória interna.")</f>
        <v>pequena quantidade de memória interna.</v>
      </c>
      <c r="B25804" s="3">
        <v>0</v>
      </c>
    </row>
    <row r="25805" ht="15.75" customHeight="1" spans="1:2">
      <c r="A25805" s="3" t="str">
        <f>IFERROR(__xludf.DUMMYFUNCTION("GOOGLETRANSLATE(A25805,""en"",""pt"")"),"A memória interna é pequena (16), nenhum caso ou neckstrap, correia de pulso sente frágil")</f>
        <v>A memória interna é pequena (16), nenhum caso ou neckstrap, correia de pulso sente frágil</v>
      </c>
      <c r="B25805" s="3">
        <v>0</v>
      </c>
    </row>
    <row r="25806" ht="15.75" customHeight="1" spans="1:2">
      <c r="A25806" s="3" t="str">
        <f>IFERROR(__xludf.DUMMYFUNCTION("GOOGLETRANSLATE(A25806,""en"",""pt"")"),"Esta câmara não pode gravar filmes")</f>
        <v>Esta câmara não pode gravar filmes</v>
      </c>
      <c r="B25806" s="3">
        <v>0</v>
      </c>
    </row>
    <row r="25807" ht="15.75" customHeight="1" spans="1:2">
      <c r="A25807" s="3" t="str">
        <f>IFERROR(__xludf.DUMMYFUNCTION("GOOGLETRANSLATE(A25807,""en"",""pt"")"),"memória interna pequena, software incluído não é grande coisa")</f>
        <v>memória interna pequena, software incluído não é grande coisa</v>
      </c>
      <c r="B25807" s="3">
        <v>0</v>
      </c>
    </row>
    <row r="25808" ht="15.75" customHeight="1" spans="1:2">
      <c r="A25808" s="3" t="str">
        <f>IFERROR(__xludf.DUMMYFUNCTION("GOOGLETRANSLATE(A25808,""en"",""pt"")"),"A memória interna é baixa, nenhum saco da câmera, LCD")</f>
        <v>A memória interna é baixa, nenhum saco da câmera, LCD</v>
      </c>
      <c r="B25808" s="3">
        <v>0</v>
      </c>
    </row>
    <row r="25809" ht="15.75" customHeight="1" spans="1:2">
      <c r="A25809" s="3" t="str">
        <f>IFERROR(__xludf.DUMMYFUNCTION("GOOGLETRANSLATE(A25809,""en"",""pt"")"),"Precisa de cartão de memória extra, bolsa de transporte. Use View Finder em vez de LCD para economizar bateria.")</f>
        <v>Precisa de cartão de memória extra, bolsa de transporte. Use View Finder em vez de LCD para economizar bateria.</v>
      </c>
      <c r="B25809" s="3">
        <v>0</v>
      </c>
    </row>
    <row r="25810" ht="15.75" customHeight="1" spans="1:2">
      <c r="A25810" s="3" t="str">
        <f>IFERROR(__xludf.DUMMYFUNCTION("GOOGLETRANSLATE(A25810,""en"",""pt"")"),"Nenhum se não quebrar.")</f>
        <v>Nenhum se não quebrar.</v>
      </c>
      <c r="B25810" s="3">
        <v>0</v>
      </c>
    </row>
    <row r="25811" ht="15.75" customHeight="1" spans="1:2">
      <c r="A25811" s="3" t="str">
        <f>IFERROR(__xludf.DUMMYFUNCTION("GOOGLETRANSLATE(A25811,""en"",""pt"")"),"recursos de software limitados")</f>
        <v>recursos de software limitados</v>
      </c>
      <c r="B25811" s="3">
        <v>0</v>
      </c>
    </row>
    <row r="25812" ht="15.75" customHeight="1" spans="1:2">
      <c r="A25812" s="3" t="str">
        <f>IFERROR(__xludf.DUMMYFUNCTION("GOOGLETRANSLATE(A25812,""en"",""pt"")"),"memória poderia ser maior, mas não um problema")</f>
        <v>memória poderia ser maior, mas não um problema</v>
      </c>
      <c r="B25812" s="3">
        <v>0</v>
      </c>
    </row>
    <row r="25813" ht="15.75" customHeight="1" spans="1:2">
      <c r="A25813" s="3" t="str">
        <f>IFERROR(__xludf.DUMMYFUNCTION("GOOGLETRANSLATE(A25813,""en"",""pt"")"),"Falha ao tentar preencher um cartão de 256MB SD com conteúdo (ainda e / ou vídeo).")</f>
        <v>Falha ao tentar preencher um cartão de 256MB SD com conteúdo (ainda e / ou vídeo).</v>
      </c>
      <c r="B25813" s="3">
        <v>0</v>
      </c>
    </row>
    <row r="25814" ht="15.75" customHeight="1" spans="1:2">
      <c r="A25814" s="3" t="str">
        <f>IFERROR(__xludf.DUMMYFUNCTION("GOOGLETRANSLATE(A25814,""en"",""pt"")"),"display LCD fraco, a velocidade de processamento lento, sem medidor de bateria")</f>
        <v>display LCD fraco, a velocidade de processamento lento, sem medidor de bateria</v>
      </c>
      <c r="B25814" s="3">
        <v>0</v>
      </c>
    </row>
    <row r="25815" ht="15.75" customHeight="1" spans="1:2">
      <c r="A25815" s="3" t="str">
        <f>IFERROR(__xludf.DUMMYFUNCTION("GOOGLETRANSLATE(A25815,""en"",""pt"")"),"auto-foco terrível; software EasyShare; bateria proprietária e carga estranha através doca")</f>
        <v>auto-foco terrível; software EasyShare; bateria proprietária e carga estranha através doca</v>
      </c>
      <c r="B25815" s="3">
        <v>0</v>
      </c>
    </row>
    <row r="25816" ht="15.75" customHeight="1" spans="1:2">
      <c r="A25816" s="3" t="str">
        <f>IFERROR(__xludf.DUMMYFUNCTION("GOOGLETRANSLATE(A25816,""en"",""pt"")"),"atraso do obturador.")</f>
        <v>atraso do obturador.</v>
      </c>
      <c r="B25816" s="3">
        <v>0</v>
      </c>
    </row>
    <row r="25817" ht="15.75" customHeight="1" spans="1:2">
      <c r="A25817" s="3" t="str">
        <f>IFERROR(__xludf.DUMMYFUNCTION("GOOGLETRANSLATE(A25817,""en"",""pt"")"),"carregamento, bateria")</f>
        <v>carregamento, bateria</v>
      </c>
      <c r="B25817" s="3">
        <v>0</v>
      </c>
    </row>
    <row r="25818" ht="15.75" customHeight="1" spans="1:2">
      <c r="A25818" s="3" t="str">
        <f>IFERROR(__xludf.DUMMYFUNCTION("GOOGLETRANSLATE(A25818,""en"",""pt"")"),"display LCD fraco e indicador de bateria mostra apenas com bateria fraca.")</f>
        <v>display LCD fraco e indicador de bateria mostra apenas com bateria fraca.</v>
      </c>
      <c r="B25818" s="3">
        <v>0</v>
      </c>
    </row>
    <row r="25819" ht="15.75" customHeight="1" spans="1:2">
      <c r="A25819" s="3" t="str">
        <f>IFERROR(__xludf.DUMMYFUNCTION("GOOGLETRANSLATE(A25819,""en"",""pt"")"),"obturador lento, grandes fotos um pouco confuso")</f>
        <v>obturador lento, grandes fotos um pouco confuso</v>
      </c>
      <c r="B25819" s="3">
        <v>0</v>
      </c>
    </row>
    <row r="25820" ht="15.75" customHeight="1" spans="1:2">
      <c r="A25820" s="3" t="str">
        <f>IFERROR(__xludf.DUMMYFUNCTION("GOOGLETRANSLATE(A25820,""en"",""pt"")"),"Câmera vai quebrar.")</f>
        <v>Câmera vai quebrar.</v>
      </c>
      <c r="B25820" s="3">
        <v>0</v>
      </c>
    </row>
    <row r="25821" ht="15.75" customHeight="1" spans="1:2">
      <c r="A25821" s="3" t="str">
        <f>IFERROR(__xludf.DUMMYFUNCTION("GOOGLETRANSLATE(A25821,""en"",""pt"")"),"nenhum realmente.")</f>
        <v>nenhum realmente.</v>
      </c>
      <c r="B25821" s="3">
        <v>0</v>
      </c>
    </row>
    <row r="25822" ht="15.75" customHeight="1" spans="1:2">
      <c r="A25822" s="3" t="str">
        <f>IFERROR(__xludf.DUMMYFUNCTION("GOOGLETRANSLATE(A25822,""en"",""pt"")"),"Imagem de má qualidade, corridas de vídeo inferior a 25fps, nenhuma tela de visualização, somente a memória de 4MB.")</f>
        <v>Imagem de má qualidade, corridas de vídeo inferior a 25fps, nenhuma tela de visualização, somente a memória de 4MB.</v>
      </c>
      <c r="B25822" s="3">
        <v>0</v>
      </c>
    </row>
    <row r="25823" ht="15.75" customHeight="1" spans="1:2">
      <c r="A25823" s="3" t="str">
        <f>IFERROR(__xludf.DUMMYFUNCTION("GOOGLETRANSLATE(A25823,""en"",""pt"")"),"Recursos limitados")</f>
        <v>Recursos limitados</v>
      </c>
      <c r="B25823" s="3">
        <v>0</v>
      </c>
    </row>
    <row r="25824" ht="15.75" customHeight="1" spans="1:2">
      <c r="A25824" s="3" t="str">
        <f>IFERROR(__xludf.DUMMYFUNCTION("GOOGLETRANSLATE(A25824,""en"",""pt"")"),"Conecta ao computador para transferir pictures.Does não usar discos.")</f>
        <v>Conecta ao computador para transferir pictures.Does não usar discos.</v>
      </c>
      <c r="B25824" s="3">
        <v>0</v>
      </c>
    </row>
    <row r="25825" ht="15.75" customHeight="1" spans="1:2">
      <c r="A25825" s="3" t="str">
        <f>IFERROR(__xludf.DUMMYFUNCTION("GOOGLETRANSLATE(A25825,""en"",""pt"")"),"No Flash, sem zoom")</f>
        <v>No Flash, sem zoom</v>
      </c>
      <c r="B25825" s="3">
        <v>0</v>
      </c>
    </row>
    <row r="25826" ht="15.75" customHeight="1" spans="1:2">
      <c r="A25826" s="3" t="str">
        <f>IFERROR(__xludf.DUMMYFUNCTION("GOOGLETRANSLATE(A25826,""en"",""pt"")"),"software fornecido é horrível, não há suporte Mac")</f>
        <v>software fornecido é horrível, não há suporte Mac</v>
      </c>
      <c r="B25826" s="3">
        <v>0</v>
      </c>
    </row>
    <row r="25827" ht="15.75" customHeight="1" spans="1:2">
      <c r="A25827" s="3" t="str">
        <f>IFERROR(__xludf.DUMMYFUNCTION("GOOGLETRANSLATE(A25827,""en"",""pt"")"),"Sem a visão da tela")</f>
        <v>Sem a visão da tela</v>
      </c>
      <c r="B25827" s="3">
        <v>0</v>
      </c>
    </row>
    <row r="25828" ht="15.75" customHeight="1" spans="1:2">
      <c r="A25828" s="3" t="str">
        <f>IFERROR(__xludf.DUMMYFUNCTION("GOOGLETRANSLATE(A25828,""en"",""pt"")"),"sem zoom")</f>
        <v>sem zoom</v>
      </c>
      <c r="B25828" s="3">
        <v>0</v>
      </c>
    </row>
    <row r="25829" ht="15.75" customHeight="1" spans="1:2">
      <c r="A25829" s="3" t="str">
        <f>IFERROR(__xludf.DUMMYFUNCTION("GOOGLETRANSLATE(A25829,""en"",""pt"")"),"Apenas em luz brilhante do sol. Sem visualização, nenhuma revisão. software &amp; amp porcaria; apoio BAD.")</f>
        <v>Apenas em luz brilhante do sol. Sem visualização, nenhuma revisão. software &amp; amp porcaria; apoio BAD.</v>
      </c>
      <c r="B25829" s="3">
        <v>0</v>
      </c>
    </row>
    <row r="25830" ht="15.75" customHeight="1" spans="1:2">
      <c r="A25830" s="3" t="str">
        <f>IFERROR(__xludf.DUMMYFUNCTION("GOOGLETRANSLATE(A25830,""en"",""pt"")"),"curto período de clips de vídeo")</f>
        <v>curto período de clips de vídeo</v>
      </c>
      <c r="B25830" s="3">
        <v>0</v>
      </c>
    </row>
    <row r="25831" ht="15.75" customHeight="1" spans="1:2">
      <c r="A25831" s="3" t="str">
        <f>IFERROR(__xludf.DUMMYFUNCTION("GOOGLETRANSLATE(A25831,""en"",""pt"")"),"Sem tela de visualização")</f>
        <v>Sem tela de visualização</v>
      </c>
      <c r="B25831" s="3">
        <v>0</v>
      </c>
    </row>
    <row r="25832" ht="15.75" customHeight="1" spans="1:2">
      <c r="A25832" s="3" t="str">
        <f>IFERROR(__xludf.DUMMYFUNCTION("GOOGLETRANSLATE(A25832,""en"",""pt"")"),"tela sem pré-visualização, sem flash, apenas a 640x480")</f>
        <v>tela sem pré-visualização, sem flash, apenas a 640x480</v>
      </c>
      <c r="B25832" s="3">
        <v>0</v>
      </c>
    </row>
    <row r="25833" ht="15.75" customHeight="1" spans="1:2">
      <c r="A25833" s="3" t="str">
        <f>IFERROR(__xludf.DUMMYFUNCTION("GOOGLETRANSLATE(A25833,""en"",""pt"")"),"NO painel de visualização")</f>
        <v>NO painel de visualização</v>
      </c>
      <c r="B25833" s="3">
        <v>0</v>
      </c>
    </row>
    <row r="25834" ht="15.75" customHeight="1" spans="1:2">
      <c r="A25834" s="3" t="str">
        <f>IFERROR(__xludf.DUMMYFUNCTION("GOOGLETRANSLATE(A25834,""en"",""pt"")"),"No Flash, Focando poderia ser melhor.")</f>
        <v>No Flash, Focando poderia ser melhor.</v>
      </c>
      <c r="B25834" s="3">
        <v>0</v>
      </c>
    </row>
    <row r="25835" ht="15.75" customHeight="1" spans="1:2">
      <c r="A25835" s="3" t="str">
        <f>IFERROR(__xludf.DUMMYFUNCTION("GOOGLETRANSLATE(A25835,""en"",""pt"")"),"A instalação do software, juntamente com o suporte técnico Kodak conseguiu arruinar completamente a configuração do meu computador.")</f>
        <v>A instalação do software, juntamente com o suporte técnico Kodak conseguiu arruinar completamente a configuração do meu computador.</v>
      </c>
      <c r="B25835" s="3">
        <v>0</v>
      </c>
    </row>
    <row r="25836" ht="15.75" customHeight="1" spans="1:2">
      <c r="A25836" s="3" t="str">
        <f>IFERROR(__xludf.DUMMYFUNCTION("GOOGLETRANSLATE(A25836,""en"",""pt"")"),"qualidade da imagem não é a melhor, sem tela de visualização,")</f>
        <v>qualidade da imagem não é a melhor, sem tela de visualização,</v>
      </c>
      <c r="B25836" s="3">
        <v>0</v>
      </c>
    </row>
    <row r="25837" ht="15.75" customHeight="1" spans="1:2">
      <c r="A25837" s="3" t="str">
        <f>IFERROR(__xludf.DUMMYFUNCTION("GOOGLETRANSLATE(A25837,""en"",""pt"")"),"Sem flash, zoom, ou tela de visualização, memória apenas 4MB, auto-focus única")</f>
        <v>Sem flash, zoom, ou tela de visualização, memória apenas 4MB, auto-focus única</v>
      </c>
      <c r="B25837" s="3">
        <v>0</v>
      </c>
    </row>
    <row r="25838" ht="15.75" customHeight="1" spans="1:2">
      <c r="A25838" s="3" t="str">
        <f>IFERROR(__xludf.DUMMYFUNCTION("GOOGLETRANSLATE(A25838,""en"",""pt"")"),"Difícil de ver a tela com pouca luz; qualidade de construção poderia ser melhor ...")</f>
        <v>Difícil de ver a tela com pouca luz; qualidade de construção poderia ser melhor ...</v>
      </c>
      <c r="B25838" s="3">
        <v>0</v>
      </c>
    </row>
    <row r="25839" ht="15.75" customHeight="1" spans="1:2">
      <c r="A25839" s="3" t="str">
        <f>IFERROR(__xludf.DUMMYFUNCTION("GOOGLETRANSLATE(A25839,""en"",""pt"")"),"Não há flash na câmara")</f>
        <v>Não há flash na câmara</v>
      </c>
      <c r="B25839" s="3">
        <v>0</v>
      </c>
    </row>
    <row r="25840" ht="15.75" customHeight="1" spans="1:2">
      <c r="A25840" s="3" t="str">
        <f>IFERROR(__xludf.DUMMYFUNCTION("GOOGLETRANSLATE(A25840,""en"",""pt"")"),"* Qualidade de vídeos e fotos é pobre, sem muita luz.")</f>
        <v>* Qualidade de vídeos e fotos é pobre, sem muita luz.</v>
      </c>
      <c r="B25840" s="3">
        <v>0</v>
      </c>
    </row>
    <row r="25841" ht="15.75" customHeight="1" spans="1:2">
      <c r="A25841" s="3" t="str">
        <f>IFERROR(__xludf.DUMMYFUNCTION("GOOGLETRANSLATE(A25841,""en"",""pt"")"),"qualidade de imagem satisfatória.")</f>
        <v>qualidade de imagem satisfatória.</v>
      </c>
      <c r="B25841" s="3">
        <v>0</v>
      </c>
    </row>
    <row r="25842" ht="15.75" customHeight="1" spans="1:2">
      <c r="A25842" s="3" t="str">
        <f>IFERROR(__xludf.DUMMYFUNCTION("GOOGLETRANSLATE(A25842,""en"",""pt"")"),"Jack de todos os comércios, mestre de ninguém!")</f>
        <v>Jack de todos os comércios, mestre de ninguém!</v>
      </c>
      <c r="B25842" s="3">
        <v>0</v>
      </c>
    </row>
    <row r="25843" ht="15.75" customHeight="1" spans="1:2">
      <c r="A25843" s="3" t="str">
        <f>IFERROR(__xludf.DUMMYFUNCTION("GOOGLETRANSLATE(A25843,""en"",""pt"")"),"sem flash, software de computador ruim, sem zoom, maus imagens de qualidade")</f>
        <v>sem flash, software de computador ruim, sem zoom, maus imagens de qualidade</v>
      </c>
      <c r="B25843" s="3">
        <v>0</v>
      </c>
    </row>
    <row r="25844" ht="15.75" customHeight="1" spans="1:2">
      <c r="A25844" s="3" t="str">
        <f>IFERROR(__xludf.DUMMYFUNCTION("GOOGLETRANSLATE(A25844,""en"",""pt"")"),"resultados extremamente pobres. Sem flash. Muito baixa resolução e qualidade.")</f>
        <v>resultados extremamente pobres. Sem flash. Muito baixa resolução e qualidade.</v>
      </c>
      <c r="B25844" s="3">
        <v>0</v>
      </c>
    </row>
    <row r="25845" ht="15.75" customHeight="1" spans="1:2">
      <c r="A25845" s="3" t="str">
        <f>IFERROR(__xludf.DUMMYFUNCTION("GOOGLETRANSLATE(A25845,""en"",""pt"")"),"memória insuficiente. Sem flash. sem visor. vídeo de má qualidade.")</f>
        <v>memória insuficiente. Sem flash. sem visor. vídeo de má qualidade.</v>
      </c>
      <c r="B25845" s="3">
        <v>0</v>
      </c>
    </row>
    <row r="25846" ht="15.75" customHeight="1" spans="1:2">
      <c r="A25846" s="3" t="str">
        <f>IFERROR(__xludf.DUMMYFUNCTION("GOOGLETRANSLATE(A25846,""en"",""pt"")"),"Pobres fotos de qualidade, leva pilhas AAA, usa Quicktime para vídeo")</f>
        <v>Pobres fotos de qualidade, leva pilhas AAA, usa Quicktime para vídeo</v>
      </c>
      <c r="B25846" s="3">
        <v>0</v>
      </c>
    </row>
    <row r="25847" ht="15.75" customHeight="1" spans="1:2">
      <c r="A25847" s="3" t="str">
        <f>IFERROR(__xludf.DUMMYFUNCTION("GOOGLETRANSLATE(A25847,""en"",""pt"")"),"compartimento da bateria não seria próximo, sem flash, software pobres, fotos entremeadas.")</f>
        <v>compartimento da bateria não seria próximo, sem flash, software pobres, fotos entremeadas.</v>
      </c>
      <c r="B25847" s="3">
        <v>0</v>
      </c>
    </row>
    <row r="25848" ht="15.75" customHeight="1" spans="1:2">
      <c r="A25848" s="3" t="str">
        <f>IFERROR(__xludf.DUMMYFUNCTION("GOOGLETRANSLATE(A25848,""en"",""pt"")"),"resolução cam")</f>
        <v>resolução cam</v>
      </c>
      <c r="B25848" s="3">
        <v>0</v>
      </c>
    </row>
    <row r="25849" ht="15.75" customHeight="1" spans="1:2">
      <c r="A25849" s="3" t="str">
        <f>IFERROR(__xludf.DUMMYFUNCTION("GOOGLETRANSLATE(A25849,""en"",""pt"")"),"fotos VGA de qualidade não são muito bons, não suporta cartão de mídia inteligente.")</f>
        <v>fotos VGA de qualidade não são muito bons, não suporta cartão de mídia inteligente.</v>
      </c>
      <c r="B25849" s="3">
        <v>0</v>
      </c>
    </row>
    <row r="25850" ht="15.75" customHeight="1" spans="1:2">
      <c r="A25850" s="3" t="str">
        <f>IFERROR(__xludf.DUMMYFUNCTION("GOOGLETRANSLATE(A25850,""en"",""pt"")"),"Difícil de ver a tela LCD, sem visor, sem flash, não pode usá-lo em ambientes fechados")</f>
        <v>Difícil de ver a tela LCD, sem visor, sem flash, não pode usá-lo em ambientes fechados</v>
      </c>
      <c r="B25850" s="3">
        <v>0</v>
      </c>
    </row>
    <row r="25851" ht="15.75" customHeight="1" spans="1:2">
      <c r="A25851" s="3" t="str">
        <f>IFERROR(__xludf.DUMMYFUNCTION("GOOGLETRANSLATE(A25851,""en"",""pt"")"),"Sem flash; Software é horrível")</f>
        <v>Sem flash; Software é horrível</v>
      </c>
      <c r="B25851" s="3">
        <v>0</v>
      </c>
    </row>
    <row r="25852" ht="15.75" customHeight="1" spans="1:2">
      <c r="A25852" s="3" t="str">
        <f>IFERROR(__xludf.DUMMYFUNCTION("GOOGLETRANSLATE(A25852,""en"",""pt"")"),"Sem flash, nem visor!")</f>
        <v>Sem flash, nem visor!</v>
      </c>
      <c r="B25852" s="3">
        <v>0</v>
      </c>
    </row>
    <row r="25853" ht="15.75" customHeight="1" spans="1:2">
      <c r="A25853" s="3" t="str">
        <f>IFERROR(__xludf.DUMMYFUNCTION("GOOGLETRANSLATE(A25853,""en"",""pt"")"),"Má qualidade de imagem / filme, muito frágil, sem bolsa de transporte, caro (pacote considerando)")</f>
        <v>Má qualidade de imagem / filme, muito frágil, sem bolsa de transporte, caro (pacote considerando)</v>
      </c>
      <c r="B25853" s="3">
        <v>0</v>
      </c>
    </row>
    <row r="25854" ht="15.75" customHeight="1" spans="1:2">
      <c r="A25854" s="3" t="str">
        <f>IFERROR(__xludf.DUMMYFUNCTION("GOOGLETRANSLATE(A25854,""en"",""pt"")"),"Sem flash / luz, faz não executar com pouca luz.")</f>
        <v>Sem flash / luz, faz não executar com pouca luz.</v>
      </c>
      <c r="B25854" s="3">
        <v>0</v>
      </c>
    </row>
    <row r="25855" ht="15.75" customHeight="1" spans="1:2">
      <c r="A25855" s="3" t="str">
        <f>IFERROR(__xludf.DUMMYFUNCTION("GOOGLETRANSLATE(A25855,""en"",""pt"")"),"Sem flash, difícil de ver a tela, sem zoom")</f>
        <v>Sem flash, difícil de ver a tela, sem zoom</v>
      </c>
      <c r="B25855" s="3">
        <v>0</v>
      </c>
    </row>
    <row r="25856" ht="15.75" customHeight="1" spans="1:2">
      <c r="A25856" s="3" t="str">
        <f>IFERROR(__xludf.DUMMYFUNCTION("GOOGLETRANSLATE(A25856,""en"",""pt"")"),"sofre de qualidade. controle Mp3 é básico, e foto / vídeo retoques são necessários para cada foto.")</f>
        <v>sofre de qualidade. controle Mp3 é básico, e foto / vídeo retoques são necessários para cada foto.</v>
      </c>
      <c r="B25856" s="3">
        <v>0</v>
      </c>
    </row>
    <row r="25857" ht="15.75" customHeight="1" spans="1:2">
      <c r="A25857" s="3" t="str">
        <f>IFERROR(__xludf.DUMMYFUNCTION("GOOGLETRANSLATE(A25857,""en"",""pt"")"),"I foi realmente surpreendidos com a falta de velocidade e qualidade de impressão inaceitável")</f>
        <v>I foi realmente surpreendidos com a falta de velocidade e qualidade de impressão inaceitável</v>
      </c>
      <c r="B25857" s="3">
        <v>0</v>
      </c>
    </row>
    <row r="25858" ht="15.75" customHeight="1" spans="1:2">
      <c r="A25858" s="3" t="str">
        <f>IFERROR(__xludf.DUMMYFUNCTION("GOOGLETRANSLATE(A25858,""en"",""pt"")"),"CÓPIAS muito lento")</f>
        <v>CÓPIAS muito lento</v>
      </c>
      <c r="B25858" s="3">
        <v>0</v>
      </c>
    </row>
    <row r="25859" ht="15.75" customHeight="1" spans="1:2">
      <c r="A25859" s="3" t="str">
        <f>IFERROR(__xludf.DUMMYFUNCTION("GOOGLETRANSLATE(A25859,""en"",""pt"")"),"nunca trabalhou para mim para testá-lo")</f>
        <v>nunca trabalhou para mim para testá-lo</v>
      </c>
      <c r="B25859" s="3">
        <v>0</v>
      </c>
    </row>
    <row r="25860" ht="15.75" customHeight="1" spans="1:2">
      <c r="A25860" s="3" t="str">
        <f>IFERROR(__xludf.DUMMYFUNCTION("GOOGLETRANSLATE(A25860,""en"",""pt"")"),"Má qualidade de impressão, suprimentos caros, construção barato, alto, tinta parece nunca seca, problemas de compatibilidade")</f>
        <v>Má qualidade de impressão, suprimentos caros, construção barato, alto, tinta parece nunca seca, problemas de compatibilidade</v>
      </c>
      <c r="B25860" s="3">
        <v>0</v>
      </c>
    </row>
    <row r="25861" ht="15.75" customHeight="1" spans="1:2">
      <c r="A25861" s="3" t="str">
        <f>IFERROR(__xludf.DUMMYFUNCTION("GOOGLETRANSLATE(A25861,""en"",""pt"")"),"Lentos, drivers de software instáveis, manuseio de papel Bad, no tinteiros separados para cada cor")</f>
        <v>Lentos, drivers de software instáveis, manuseio de papel Bad, no tinteiros separados para cada cor</v>
      </c>
      <c r="B25861" s="3">
        <v>0</v>
      </c>
    </row>
    <row r="25862" ht="15.75" customHeight="1" spans="1:2">
      <c r="A25862" s="3" t="str">
        <f>IFERROR(__xludf.DUMMYFUNCTION("GOOGLETRANSLATE(A25862,""en"",""pt"")"),"impressão lenta na mais alta qualidade")</f>
        <v>impressão lenta na mais alta qualidade</v>
      </c>
      <c r="B25862" s="3">
        <v>0</v>
      </c>
    </row>
    <row r="25863" ht="15.75" customHeight="1" spans="1:2">
      <c r="A25863" s="3" t="str">
        <f>IFERROR(__xludf.DUMMYFUNCTION("GOOGLETRANSLATE(A25863,""en"",""pt"")"),"Velocidade, uso de tinta. Deve comprar um cabo USB.")</f>
        <v>Velocidade, uso de tinta. Deve comprar um cabo USB.</v>
      </c>
      <c r="B25863" s="3">
        <v>0</v>
      </c>
    </row>
    <row r="25864" ht="15.75" customHeight="1" spans="1:2">
      <c r="A25864" s="3" t="str">
        <f>IFERROR(__xludf.DUMMYFUNCTION("GOOGLETRANSLATE(A25864,""en"",""pt"")"),"nenhum ainda.")</f>
        <v>nenhum ainda.</v>
      </c>
      <c r="B25864" s="3">
        <v>0</v>
      </c>
    </row>
    <row r="25865" ht="15.75" customHeight="1" spans="1:2">
      <c r="A25865" s="3" t="str">
        <f>IFERROR(__xludf.DUMMYFUNCTION("GOOGLETRANSLATE(A25865,""en"",""pt"")"),"Custo de papel / tinta, tempo para imprimir.")</f>
        <v>Custo de papel / tinta, tempo para imprimir.</v>
      </c>
      <c r="B25865" s="3">
        <v>0</v>
      </c>
    </row>
    <row r="25866" ht="15.75" customHeight="1" spans="1:2">
      <c r="A25866" s="3" t="str">
        <f>IFERROR(__xludf.DUMMYFUNCTION("GOOGLETRANSLATE(A25866,""en"",""pt"")"),"Lento, a qualidade de impressão um pouco decepcionante, problemas de instalação no Win2k")</f>
        <v>Lento, a qualidade de impressão um pouco decepcionante, problemas de instalação no Win2k</v>
      </c>
      <c r="B25866" s="3">
        <v>0</v>
      </c>
    </row>
    <row r="25867" ht="15.75" customHeight="1" spans="1:2">
      <c r="A25867" s="3" t="str">
        <f>IFERROR(__xludf.DUMMYFUNCTION("GOOGLETRANSLATE(A25867,""en"",""pt"")"),"nenhuma bandeja pai")</f>
        <v>nenhuma bandeja pai</v>
      </c>
      <c r="B25867" s="3">
        <v>0</v>
      </c>
    </row>
    <row r="25868" ht="15.75" customHeight="1" spans="1:2">
      <c r="A25868" s="3" t="str">
        <f>IFERROR(__xludf.DUMMYFUNCTION("GOOGLETRANSLATE(A25868,""en"",""pt"")"),"Não é um bom carrinho para gêmeos a menos que eles são idade criança.")</f>
        <v>Não é um bom carrinho para gêmeos a menos que eles são idade criança.</v>
      </c>
      <c r="B25868" s="3">
        <v>0</v>
      </c>
    </row>
    <row r="25869" ht="15.75" customHeight="1" spans="1:2">
      <c r="A25869" s="3" t="str">
        <f>IFERROR(__xludf.DUMMYFUNCTION("GOOGLETRANSLATE(A25869,""en"",""pt"")"),"IMPOSSÍVEL MANOBRA, muito longo, pesado, sem suporte de copo pai, não sombra suficiente na frente")</f>
        <v>IMPOSSÍVEL MANOBRA, muito longo, pesado, sem suporte de copo pai, não sombra suficiente na frente</v>
      </c>
      <c r="B25869" s="3">
        <v>0</v>
      </c>
    </row>
    <row r="25870" ht="15.75" customHeight="1" spans="1:2">
      <c r="A25870" s="3" t="s">
        <v>130</v>
      </c>
      <c r="B25870" s="3">
        <v>0</v>
      </c>
    </row>
    <row r="25871" ht="15.75" customHeight="1" spans="1:2">
      <c r="A25871" s="3" t="str">
        <f>IFERROR(__xludf.DUMMYFUNCTION("GOOGLETRANSLATE(A25871,""en"",""pt"")"),"Muito grande e quase impossível de boi.")</f>
        <v>Muito grande e quase impossível de boi.</v>
      </c>
      <c r="B25871" s="3">
        <v>0</v>
      </c>
    </row>
    <row r="25872" ht="15.75" customHeight="1" spans="1:2">
      <c r="A25872" s="3" t="str">
        <f>IFERROR(__xludf.DUMMYFUNCTION("GOOGLETRANSLATE(A25872,""en"",""pt"")"),"grande e longo prazo, como o bombeamento de ferro para dirigir a coisa com uma criança a bordo")</f>
        <v>grande e longo prazo, como o bombeamento de ferro para dirigir a coisa com uma criança a bordo</v>
      </c>
      <c r="B25872" s="3">
        <v>0</v>
      </c>
    </row>
    <row r="25873" ht="15.75" customHeight="1" spans="1:2">
      <c r="A25873" s="3" t="str">
        <f>IFERROR(__xludf.DUMMYFUNCTION("GOOGLETRANSLATE(A25873,""en"",""pt"")"),"MUITO difícil de empurrar / Controle, Pesado, Huge")</f>
        <v>MUITO difícil de empurrar / Controle, Pesado, Huge</v>
      </c>
      <c r="B25873" s="3">
        <v>0</v>
      </c>
    </row>
    <row r="25874" ht="15.75" customHeight="1" spans="1:2">
      <c r="A25874" s="3" t="str">
        <f>IFERROR(__xludf.DUMMYFUNCTION("GOOGLETRANSLATE(A25874,""en"",""pt"")"),"Um pouco difícil de manobrar em espaços apertados.")</f>
        <v>Um pouco difícil de manobrar em espaços apertados.</v>
      </c>
      <c r="B25874" s="3">
        <v>0</v>
      </c>
    </row>
    <row r="25875" ht="15.75" customHeight="1" spans="1:2">
      <c r="A25875" s="3" t="str">
        <f>IFERROR(__xludf.DUMMYFUNCTION("GOOGLETRANSLATE(A25875,""en"",""pt"")"),"Grande, pesado, NO SOMBRA, impossível dirigir")</f>
        <v>Grande, pesado, NO SOMBRA, impossível dirigir</v>
      </c>
      <c r="B25875" s="3">
        <v>0</v>
      </c>
    </row>
    <row r="25876" ht="15.75" customHeight="1" spans="1:2">
      <c r="A25876" s="3" t="str">
        <f>IFERROR(__xludf.DUMMYFUNCTION("GOOGLETRANSLATE(A25876,""en"",""pt"")"),"Pesado, difícil de manobrar")</f>
        <v>Pesado, difícil de manobrar</v>
      </c>
      <c r="B25876" s="3">
        <v>0</v>
      </c>
    </row>
    <row r="25877" ht="15.75" customHeight="1" spans="1:2">
      <c r="A25877" s="3" t="str">
        <f>IFERROR(__xludf.DUMMYFUNCTION("GOOGLETRANSLATE(A25877,""en"",""pt"")"),"Nenhum pai Titular Cup")</f>
        <v>Nenhum pai Titular Cup</v>
      </c>
      <c r="B25877" s="3">
        <v>0</v>
      </c>
    </row>
    <row r="25878" ht="15.75" customHeight="1" spans="1:2">
      <c r="A25878" s="3" t="str">
        <f>IFERROR(__xludf.DUMMYFUNCTION("GOOGLETRANSLATE(A25878,""en"",""pt"")"),"nenhum armazenamento")</f>
        <v>nenhum armazenamento</v>
      </c>
      <c r="B25878" s="3">
        <v>0</v>
      </c>
    </row>
    <row r="25879" ht="15.75" customHeight="1" spans="1:2">
      <c r="A25879" s="3" t="str">
        <f>IFERROR(__xludf.DUMMYFUNCTION("GOOGLETRANSLATE(A25879,""en"",""pt"")"),"NO cesta, Canopy é inútil ... não faz bebê proteger do sol ou chuva.")</f>
        <v>NO cesta, Canopy é inútil ... não faz bebê proteger do sol ou chuva.</v>
      </c>
      <c r="B25879" s="3">
        <v>0</v>
      </c>
    </row>
    <row r="25880" ht="15.75" customHeight="1" spans="1:2">
      <c r="A25880" s="3" t="str">
        <f>IFERROR(__xludf.DUMMYFUNCTION("GOOGLETRANSLATE(A25880,""en"",""pt"")"),"No cesta, mas não guarda-sóis fazer. O saco de rede é suficiente / padrão para carrinhos de guarda-chuva.")</f>
        <v>No cesta, mas não guarda-sóis fazer. O saco de rede é suficiente / padrão para carrinhos de guarda-chuva.</v>
      </c>
      <c r="B25880" s="3">
        <v>0</v>
      </c>
    </row>
    <row r="25881" ht="15.75" customHeight="1" spans="1:2">
      <c r="A25881" s="3" t="str">
        <f>IFERROR(__xludf.DUMMYFUNCTION("GOOGLETRANSLATE(A25881,""en"",""pt"")"),"nenhum armazenamento")</f>
        <v>nenhum armazenamento</v>
      </c>
      <c r="B25881" s="3">
        <v>0</v>
      </c>
    </row>
    <row r="25882" ht="15.75" customHeight="1" spans="1:2">
      <c r="A25882" s="3" t="str">
        <f>IFERROR(__xludf.DUMMYFUNCTION("GOOGLETRANSLATE(A25882,""en"",""pt"")"),"não foi inventada no início !!")</f>
        <v>não foi inventada no início !!</v>
      </c>
      <c r="B25882" s="3">
        <v>0</v>
      </c>
    </row>
    <row r="25883" ht="15.75" customHeight="1" spans="1:2">
      <c r="A25883" s="3" t="str">
        <f>IFERROR(__xludf.DUMMYFUNCTION("GOOGLETRANSLATE(A25883,""en"",""pt"")"),"Não é extremamente durável")</f>
        <v>Não é extremamente durável</v>
      </c>
      <c r="B25883" s="3">
        <v>0</v>
      </c>
    </row>
    <row r="25884" ht="15.75" customHeight="1" spans="1:2">
      <c r="A25884" s="3" t="str">
        <f>IFERROR(__xludf.DUMMYFUNCTION("GOOGLETRANSLATE(A25884,""en"",""pt"")"),"dobrar, sem cesto, rodas demasiado pequeno")</f>
        <v>dobrar, sem cesto, rodas demasiado pequeno</v>
      </c>
      <c r="B25884" s="3">
        <v>0</v>
      </c>
    </row>
    <row r="25885" ht="15.75" customHeight="1" spans="1:2">
      <c r="A25885" s="3" t="str">
        <f>IFERROR(__xludf.DUMMYFUNCTION("GOOGLETRANSLATE(A25885,""en"",""pt"")"),"nenhuma cesta, alavanca a entrar em colapso carrinho de criança difícil de usar se você está usando sapatos volumosos")</f>
        <v>nenhuma cesta, alavanca a entrar em colapso carrinho de criança difícil de usar se você está usando sapatos volumosos</v>
      </c>
      <c r="B25885" s="3">
        <v>0</v>
      </c>
    </row>
    <row r="25886" ht="15.75" customHeight="1" spans="1:2">
      <c r="A25886" s="3" t="str">
        <f>IFERROR(__xludf.DUMMYFUNCTION("GOOGLETRANSLATE(A25886,""en"",""pt"")"),"Nenhum")</f>
        <v>Nenhum</v>
      </c>
      <c r="B25886" s="3">
        <v>0</v>
      </c>
    </row>
    <row r="25887" ht="15.75" customHeight="1" spans="1:2">
      <c r="A25887" s="3" t="str">
        <f>IFERROR(__xludf.DUMMYFUNCTION("GOOGLETRANSLATE(A25887,""en"",""pt"")"),"nenhum armazenamento")</f>
        <v>nenhum armazenamento</v>
      </c>
      <c r="B25887" s="3">
        <v>0</v>
      </c>
    </row>
    <row r="25888" ht="15.75" customHeight="1" spans="1:2">
      <c r="A25888" s="3" t="str">
        <f>IFERROR(__xludf.DUMMYFUNCTION("GOOGLETRANSLATE(A25888,""en"",""pt"")"),"muito difícil para abrir")</f>
        <v>muito difícil para abrir</v>
      </c>
      <c r="B25888" s="3">
        <v>0</v>
      </c>
    </row>
    <row r="25889" ht="15.75" customHeight="1" spans="1:2">
      <c r="A25889" s="3" t="str">
        <f>IFERROR(__xludf.DUMMYFUNCTION("GOOGLETRANSLATE(A25889,""en"",""pt"")"),"não tão resistente ou confortável quanto os carrinhos mais pesados")</f>
        <v>não tão resistente ou confortável quanto os carrinhos mais pesados</v>
      </c>
      <c r="B25889" s="3">
        <v>0</v>
      </c>
    </row>
    <row r="25890" ht="15.75" customHeight="1" spans="1:2">
      <c r="A25890" s="3" t="str">
        <f>IFERROR(__xludf.DUMMYFUNCTION("GOOGLETRANSLATE(A25890,""en"",""pt"")"),"inconsistente")</f>
        <v>inconsistente</v>
      </c>
      <c r="B25890" s="3">
        <v>0</v>
      </c>
    </row>
    <row r="25891" ht="15.75" customHeight="1" spans="1:2">
      <c r="A25891" s="3" t="str">
        <f>IFERROR(__xludf.DUMMYFUNCTION("GOOGLETRANSLATE(A25891,""en"",""pt"")"),"áspera, passeio alto")</f>
        <v>áspera, passeio alto</v>
      </c>
      <c r="B25891" s="3">
        <v>0</v>
      </c>
    </row>
    <row r="25892" ht="15.75" customHeight="1" spans="1:2">
      <c r="A25892" s="3" t="str">
        <f>IFERROR(__xludf.DUMMYFUNCTION("GOOGLETRANSLATE(A25892,""en"",""pt"")"),"não é grande na grama ou cascalho")</f>
        <v>não é grande na grama ou cascalho</v>
      </c>
      <c r="B25892" s="3">
        <v>0</v>
      </c>
    </row>
    <row r="25893" ht="15.75" customHeight="1" spans="1:2">
      <c r="A25893" s="3" t="str">
        <f>IFERROR(__xludf.DUMMYFUNCTION("GOOGLETRANSLATE(A25893,""en"",""pt"")"),"Nenhum")</f>
        <v>Nenhum</v>
      </c>
      <c r="B25893" s="3">
        <v>0</v>
      </c>
    </row>
    <row r="25894" ht="15.75" customHeight="1" spans="1:2">
      <c r="A25894" s="3" t="str">
        <f>IFERROR(__xludf.DUMMYFUNCTION("GOOGLETRANSLATE(A25894,""en"",""pt"")"),"difícil encontrar varejo")</f>
        <v>difícil encontrar varejo</v>
      </c>
      <c r="B25894" s="3">
        <v>0</v>
      </c>
    </row>
    <row r="25895" ht="15.75" customHeight="1" spans="1:2">
      <c r="A25895" s="3" t="str">
        <f>IFERROR(__xludf.DUMMYFUNCTION("GOOGLETRANSLATE(A25895,""en"",""pt"")"),"não sei de qualquer")</f>
        <v>não sei de qualquer</v>
      </c>
      <c r="B25895" s="3">
        <v>0</v>
      </c>
    </row>
    <row r="25896" ht="15.75" customHeight="1" spans="1:2">
      <c r="A25896" s="3" t="str">
        <f>IFERROR(__xludf.DUMMYFUNCTION("GOOGLETRANSLATE(A25896,""en"",""pt"")"),"difícil de empurrar na grama")</f>
        <v>difícil de empurrar na grama</v>
      </c>
      <c r="B25896" s="3">
        <v>0</v>
      </c>
    </row>
    <row r="25897" ht="15.75" customHeight="1" spans="1:2">
      <c r="A25897" s="3" t="str">
        <f>IFERROR(__xludf.DUMMYFUNCTION("GOOGLETRANSLATE(A25897,""en"",""pt"")"),"Não é fácil de empurrar quando pega está na posição inversa")</f>
        <v>Não é fácil de empurrar quando pega está na posição inversa</v>
      </c>
      <c r="B25897" s="3">
        <v>0</v>
      </c>
    </row>
    <row r="25898" ht="15.75" customHeight="1" spans="1:2">
      <c r="A25898" s="3" t="str">
        <f>IFERROR(__xludf.DUMMYFUNCTION("GOOGLETRANSLATE(A25898,""en"",""pt"")"),"Tipo de cara para um carrinho guarda-chuva")</f>
        <v>Tipo de cara para um carrinho guarda-chuva</v>
      </c>
      <c r="B25898" s="3">
        <v>0</v>
      </c>
    </row>
    <row r="25899" ht="15.75" customHeight="1" spans="1:2">
      <c r="A25899" s="3" t="str">
        <f>IFERROR(__xludf.DUMMYFUNCTION("GOOGLETRANSLATE(A25899,""en"",""pt"")"),"Nenhum")</f>
        <v>Nenhum</v>
      </c>
      <c r="B25899" s="3">
        <v>0</v>
      </c>
    </row>
    <row r="25900" ht="15.75" customHeight="1" spans="1:2">
      <c r="A25900" s="3" t="str">
        <f>IFERROR(__xludf.DUMMYFUNCTION("GOOGLETRANSLATE(A25900,""en"",""pt"")"),"Nenhum")</f>
        <v>Nenhum</v>
      </c>
      <c r="B25900" s="3">
        <v>0</v>
      </c>
    </row>
    <row r="25901" ht="15.75" customHeight="1" spans="1:2">
      <c r="A25901" s="3" t="str">
        <f>IFERROR(__xludf.DUMMYFUNCTION("GOOGLETRANSLATE(A25901,""en"",""pt"")"),"Feito para uma criança pequena (na minha opinião), dobra facilmente")</f>
        <v>Feito para uma criança pequena (na minha opinião), dobra facilmente</v>
      </c>
      <c r="B25901" s="3">
        <v>0</v>
      </c>
    </row>
    <row r="25902" ht="15.75" customHeight="1" spans="1:2">
      <c r="A25902" s="3" t="str">
        <f>IFERROR(__xludf.DUMMYFUNCTION("GOOGLETRANSLATE(A25902,""en"",""pt"")"),"Rodas pequenas e não muito durável")</f>
        <v>Rodas pequenas e não muito durável</v>
      </c>
      <c r="B25902" s="3">
        <v>0</v>
      </c>
    </row>
    <row r="25903" ht="15.75" customHeight="1" spans="1:2">
      <c r="A25903" s="3" t="str">
        <f>IFERROR(__xludf.DUMMYFUNCTION("GOOGLETRANSLATE(A25903,""en"",""pt"")"),"Shorter assento &amp; amp; amp; dossel de carrinhos de guarda-chuva regulares")</f>
        <v>Shorter assento &amp; amp; amp; dossel de carrinhos de guarda-chuva regulares</v>
      </c>
      <c r="B25903" s="3">
        <v>0</v>
      </c>
    </row>
    <row r="25904" ht="15.75" customHeight="1" spans="1:2">
      <c r="A25904" s="3" t="str">
        <f>IFERROR(__xludf.DUMMYFUNCTION("GOOGLETRANSLATE(A25904,""en"",""pt"")"),"Nenhum")</f>
        <v>Nenhum</v>
      </c>
      <c r="B25904" s="3">
        <v>0</v>
      </c>
    </row>
    <row r="25905" ht="15.75" customHeight="1" spans="1:2">
      <c r="A25905" s="3" t="str">
        <f>IFERROR(__xludf.DUMMYFUNCTION("GOOGLETRANSLATE(A25905,""en"",""pt"")"),"cesta não")</f>
        <v>cesta não</v>
      </c>
      <c r="B25905" s="3">
        <v>0</v>
      </c>
    </row>
    <row r="25906" ht="15.75" customHeight="1" spans="1:2">
      <c r="A25906" s="3" t="str">
        <f>IFERROR(__xludf.DUMMYFUNCTION("GOOGLETRANSLATE(A25906,""en"",""pt"")"),"cesta não")</f>
        <v>cesta não</v>
      </c>
      <c r="B25906" s="3">
        <v>0</v>
      </c>
    </row>
    <row r="25907" ht="15.75" customHeight="1" spans="1:2">
      <c r="A25907" s="3" t="str">
        <f>IFERROR(__xludf.DUMMYFUNCTION("GOOGLETRANSLATE(A25907,""en"",""pt"")"),"Nenhum")</f>
        <v>Nenhum</v>
      </c>
      <c r="B25907" s="3">
        <v>0</v>
      </c>
    </row>
    <row r="25908" ht="15.75" customHeight="1" spans="1:2">
      <c r="A25908" s="3" t="str">
        <f>IFERROR(__xludf.DUMMYFUNCTION("GOOGLETRANSLATE(A25908,""en"",""pt"")"),"nenhuma cesta, não totalmente reclinar e não tão resistente ou confortável, as marcas caras")</f>
        <v>nenhuma cesta, não totalmente reclinar e não tão resistente ou confortável, as marcas caras</v>
      </c>
      <c r="B25908" s="3">
        <v>0</v>
      </c>
    </row>
    <row r="25909" ht="15.75" customHeight="1" spans="1:2">
      <c r="A25909" s="3" t="str">
        <f>IFERROR(__xludf.DUMMYFUNCTION("GOOGLETRANSLATE(A25909,""en"",""pt"")"),"nenhum armazenamento cesta")</f>
        <v>nenhum armazenamento cesta</v>
      </c>
      <c r="B25909" s="3">
        <v>0</v>
      </c>
    </row>
    <row r="25910" ht="15.75" customHeight="1" spans="1:2">
      <c r="A25910" s="3" t="str">
        <f>IFERROR(__xludf.DUMMYFUNCTION("GOOGLETRANSLATE(A25910,""en"",""pt"")"),"muitos!")</f>
        <v>muitos!</v>
      </c>
      <c r="B25910" s="3">
        <v>0</v>
      </c>
    </row>
    <row r="25911" ht="15.75" customHeight="1" spans="1:2">
      <c r="A25911" s="3" t="str">
        <f>IFERROR(__xludf.DUMMYFUNCTION("GOOGLETRANSLATE(A25911,""en"",""pt"")"),"Ele não tem porta-copos ou um lugar para sacos de compras da loja ou um saco de fraldas.")</f>
        <v>Ele não tem porta-copos ou um lugar para sacos de compras da loja ou um saco de fraldas.</v>
      </c>
      <c r="B25911" s="3">
        <v>0</v>
      </c>
    </row>
    <row r="25912" ht="15.75" customHeight="1" spans="1:2">
      <c r="A25912" s="3" t="str">
        <f>IFERROR(__xludf.DUMMYFUNCTION("GOOGLETRANSLATE(A25912,""en"",""pt"")"),"No cesta, um pouco complicado para dobrar.")</f>
        <v>No cesta, um pouco complicado para dobrar.</v>
      </c>
      <c r="B25912" s="3">
        <v>0</v>
      </c>
    </row>
    <row r="25913" ht="15.75" customHeight="1" spans="1:2">
      <c r="A25913" s="3" t="str">
        <f>IFERROR(__xludf.DUMMYFUNCTION("GOOGLETRANSLATE(A25913,""en"",""pt"")"),"não faz bem nas calçadas irregulares.")</f>
        <v>não faz bem nas calçadas irregulares.</v>
      </c>
      <c r="B25913" s="3">
        <v>0</v>
      </c>
    </row>
    <row r="25914" ht="15.75" customHeight="1" spans="1:2">
      <c r="A25914" s="3" t="str">
        <f>IFERROR(__xludf.DUMMYFUNCTION("GOOGLETRANSLATE(A25914,""en"",""pt"")"),"cesta não")</f>
        <v>cesta não</v>
      </c>
      <c r="B25914" s="3">
        <v>0</v>
      </c>
    </row>
    <row r="25915" ht="15.75" customHeight="1" spans="1:2">
      <c r="A25915" s="3" t="str">
        <f>IFERROR(__xludf.DUMMYFUNCTION("GOOGLETRANSLATE(A25915,""en"",""pt"")"),"cesta não")</f>
        <v>cesta não</v>
      </c>
      <c r="B25915" s="3">
        <v>0</v>
      </c>
    </row>
    <row r="25916" ht="15.75" customHeight="1" spans="1:2">
      <c r="A25916" s="3" t="str">
        <f>IFERROR(__xludf.DUMMYFUNCTION("GOOGLETRANSLATE(A25916,""en"",""pt"")"),"mais pesados ​​do que outros carrinhos de guarda-chuva; nenhum suporte para copos")</f>
        <v>mais pesados ​​do que outros carrinhos de guarda-chuva; nenhum suporte para copos</v>
      </c>
      <c r="B25916" s="3">
        <v>0</v>
      </c>
    </row>
    <row r="25917" ht="15.75" customHeight="1" spans="1:2">
      <c r="A25917" s="3" t="str">
        <f>IFERROR(__xludf.DUMMYFUNCTION("GOOGLETRANSLATE(A25917,""en"",""pt"")"),"clipe que prende carrinho fechado é difícil.")</f>
        <v>clipe que prende carrinho fechado é difícil.</v>
      </c>
      <c r="B25917" s="3">
        <v>0</v>
      </c>
    </row>
    <row r="25918" ht="15.75" customHeight="1" spans="1:2">
      <c r="A25918" s="3" t="str">
        <f>IFERROR(__xludf.DUMMYFUNCTION("GOOGLETRANSLATE(A25918,""en"",""pt"")"),"Alças parecem muito curto")</f>
        <v>Alças parecem muito curto</v>
      </c>
      <c r="B25918" s="3">
        <v>0</v>
      </c>
    </row>
    <row r="25919" ht="15.75" customHeight="1" spans="1:2">
      <c r="A25919" s="3" t="str">
        <f>IFERROR(__xludf.DUMMYFUNCTION("GOOGLETRANSLATE(A25919,""en"",""pt"")"),"Nenhuma compartimento de armazenagem.")</f>
        <v>Nenhuma compartimento de armazenagem.</v>
      </c>
      <c r="B25919" s="3">
        <v>0</v>
      </c>
    </row>
    <row r="25920" ht="15.75" customHeight="1" spans="1:2">
      <c r="A25920" s="3" t="str">
        <f>IFERROR(__xludf.DUMMYFUNCTION("GOOGLETRANSLATE(A25920,""en"",""pt"")"),"Não duráveis, durou menos de um ano")</f>
        <v>Não duráveis, durou menos de um ano</v>
      </c>
      <c r="B25920" s="3">
        <v>0</v>
      </c>
    </row>
    <row r="25921" ht="15.75" customHeight="1" spans="1:2">
      <c r="A25921" s="3" t="str">
        <f>IFERROR(__xludf.DUMMYFUNCTION("GOOGLETRANSLATE(A25921,""en"",""pt"")"),"nenhum armazenamento")</f>
        <v>nenhum armazenamento</v>
      </c>
      <c r="B25921" s="3">
        <v>0</v>
      </c>
    </row>
    <row r="25922" ht="15.75" customHeight="1" spans="1:2">
      <c r="A25922" s="3" t="str">
        <f>IFERROR(__xludf.DUMMYFUNCTION("GOOGLETRANSLATE(A25922,""en"",""pt"")"),"Você não pode passar por algumas portas shopping.")</f>
        <v>Você não pode passar por algumas portas shopping.</v>
      </c>
      <c r="B25922" s="3">
        <v>0</v>
      </c>
    </row>
    <row r="25923" ht="15.75" customHeight="1" spans="1:2">
      <c r="A25923" s="3" t="str">
        <f>IFERROR(__xludf.DUMMYFUNCTION("GOOGLETRANSLATE(A25923,""en"",""pt"")"),"Difícil de empurrar com uma mão, vem com pouco armazenamento.")</f>
        <v>Difícil de empurrar com uma mão, vem com pouco armazenamento.</v>
      </c>
      <c r="B25923" s="3">
        <v>0</v>
      </c>
    </row>
    <row r="25924" ht="15.75" customHeight="1" spans="1:2">
      <c r="A25924" s="3" t="str">
        <f>IFERROR(__xludf.DUMMYFUNCTION("GOOGLETRANSLATE(A25924,""en"",""pt"")"),"Eu encontrei este carrinho para ser amplo para muitos loja ilha do e portas.")</f>
        <v>Eu encontrei este carrinho para ser amplo para muitos loja ilha do e portas.</v>
      </c>
      <c r="B25924" s="3">
        <v>0</v>
      </c>
    </row>
    <row r="25925" ht="15.75" customHeight="1" spans="1:2">
      <c r="A25925" s="3" t="str">
        <f>IFERROR(__xludf.DUMMYFUNCTION("GOOGLETRANSLATE(A25925,""en"",""pt"")"),"Rodas poderia ser mais forte")</f>
        <v>Rodas poderia ser mais forte</v>
      </c>
      <c r="B25925" s="3">
        <v>0</v>
      </c>
    </row>
    <row r="25926" ht="15.75" customHeight="1" spans="1:2">
      <c r="A25926" s="3" t="str">
        <f>IFERROR(__xludf.DUMMYFUNCTION("GOOGLETRANSLATE(A25926,""en"",""pt"")"),"Nenhum armazenamento.")</f>
        <v>Nenhum armazenamento.</v>
      </c>
      <c r="B25926" s="3">
        <v>0</v>
      </c>
    </row>
    <row r="25927" ht="15.75" customHeight="1" spans="1:2">
      <c r="A25927" s="3" t="str">
        <f>IFERROR(__xludf.DUMMYFUNCTION("GOOGLETRANSLATE(A25927,""en"",""pt"")"),"Só agora se encaixa através de portas, sem armazenamento, não é adequado para um recém-nascido")</f>
        <v>Só agora se encaixa através de portas, sem armazenamento, não é adequado para um recém-nascido</v>
      </c>
      <c r="B25927" s="3">
        <v>0</v>
      </c>
    </row>
    <row r="25928" ht="15.75" customHeight="1" spans="1:2">
      <c r="A25928" s="3" t="str">
        <f>IFERROR(__xludf.DUMMYFUNCTION("GOOGLETRANSLATE(A25928,""en"",""pt"")"),"Incómodo quando dobrado, em geral difícil de manejar: de direcção, empurrando, armazenamento")</f>
        <v>Incómodo quando dobrado, em geral difícil de manejar: de direcção, empurrando, armazenamento</v>
      </c>
      <c r="B25928" s="3">
        <v>0</v>
      </c>
    </row>
    <row r="25929" ht="15.75" customHeight="1" spans="1:2">
      <c r="A25929" s="3" t="str">
        <f>IFERROR(__xludf.DUMMYFUNCTION("GOOGLETRANSLATE(A25929,""en"",""pt"")"),"Sem área de armazenamento. Rodas, por vezes, difícil de virar.")</f>
        <v>Sem área de armazenamento. Rodas, por vezes, difícil de virar.</v>
      </c>
      <c r="B25929" s="3">
        <v>0</v>
      </c>
    </row>
    <row r="25930" ht="15.75" customHeight="1" spans="1:2">
      <c r="A25930" s="3" t="str">
        <f>IFERROR(__xludf.DUMMYFUNCTION("GOOGLETRANSLATE(A25930,""en"",""pt"")"),"Muito pesado, nenhum armazenamento")</f>
        <v>Muito pesado, nenhum armazenamento</v>
      </c>
      <c r="B25930" s="3">
        <v>0</v>
      </c>
    </row>
    <row r="25931" ht="15.75" customHeight="1" spans="1:2">
      <c r="A25931" s="3" t="str">
        <f>IFERROR(__xludf.DUMMYFUNCTION("GOOGLETRANSLATE(A25931,""en"",""pt"")"),"Nenhum lugar para colocar as coisas")</f>
        <v>Nenhum lugar para colocar as coisas</v>
      </c>
      <c r="B25931" s="3">
        <v>0</v>
      </c>
    </row>
    <row r="25932" ht="15.75" customHeight="1" spans="1:2">
      <c r="A25932" s="3" t="str">
        <f>IFERROR(__xludf.DUMMYFUNCTION("GOOGLETRANSLATE(A25932,""en"",""pt"")"),"Não como plush como alguns dos outros carrinhos.")</f>
        <v>Não como plush como alguns dos outros carrinhos.</v>
      </c>
      <c r="B25932" s="3">
        <v>0</v>
      </c>
    </row>
    <row r="25933" ht="15.75" customHeight="1" spans="1:2">
      <c r="A25933" s="3" t="str">
        <f>IFERROR(__xludf.DUMMYFUNCTION("GOOGLETRANSLATE(A25933,""en"",""pt"")"),"rodas poderia ser mais resistente")</f>
        <v>rodas poderia ser mais resistente</v>
      </c>
      <c r="B25933" s="3">
        <v>0</v>
      </c>
    </row>
    <row r="25934" ht="15.75" customHeight="1" spans="1:2">
      <c r="A25934" s="3" t="str">
        <f>IFERROR(__xludf.DUMMYFUNCTION("GOOGLETRANSLATE(A25934,""en"",""pt"")"),"Nenhum")</f>
        <v>Nenhum</v>
      </c>
      <c r="B25934" s="3">
        <v>0</v>
      </c>
    </row>
    <row r="25935" ht="15.75" customHeight="1" spans="1:2">
      <c r="A25935" s="3" t="str">
        <f>IFERROR(__xludf.DUMMYFUNCTION("GOOGLETRANSLATE(A25935,""en"",""pt"")"),"nenhuma área de armazenamento")</f>
        <v>nenhuma área de armazenamento</v>
      </c>
      <c r="B25935" s="3">
        <v>0</v>
      </c>
    </row>
    <row r="25936" ht="15.75" customHeight="1" spans="1:2">
      <c r="A25936" s="3" t="str">
        <f>IFERROR(__xludf.DUMMYFUNCTION("GOOGLETRANSLATE(A25936,""en"",""pt"")"),"Apenas um pouco estranho no porta-malas.")</f>
        <v>Apenas um pouco estranho no porta-malas.</v>
      </c>
      <c r="B25936" s="3">
        <v>0</v>
      </c>
    </row>
    <row r="25937" ht="15.75" customHeight="1" spans="1:2">
      <c r="A25937" s="3" t="str">
        <f>IFERROR(__xludf.DUMMYFUNCTION("GOOGLETRANSLATE(A25937,""en"",""pt"")"),"Apenas se encaixa através de portas / checkouts em dinheiro (rodas deve ser reta) No cesta")</f>
        <v>Apenas se encaixa através de portas / checkouts em dinheiro (rodas deve ser reta) No cesta</v>
      </c>
      <c r="B25937" s="3">
        <v>0</v>
      </c>
    </row>
    <row r="25938" ht="15.75" customHeight="1" spans="1:2">
      <c r="A25938" s="3" t="str">
        <f>IFERROR(__xludf.DUMMYFUNCTION("GOOGLETRANSLATE(A25938,""en"",""pt"")"),"Pesado, sem cesta de armazenamento")</f>
        <v>Pesado, sem cesta de armazenamento</v>
      </c>
      <c r="B25938" s="3">
        <v>0</v>
      </c>
    </row>
    <row r="25939" ht="15.75" customHeight="1" spans="1:2">
      <c r="A25939" s="3" t="str">
        <f>IFERROR(__xludf.DUMMYFUNCTION("GOOGLETRANSLATE(A25939,""en"",""pt"")"),"Bad Pictures.")</f>
        <v>Bad Pictures.</v>
      </c>
      <c r="B25939" s="3">
        <v>0</v>
      </c>
    </row>
    <row r="25940" ht="15.75" customHeight="1" spans="1:2">
      <c r="A25940" s="3" t="str">
        <f>IFERROR(__xludf.DUMMYFUNCTION("GOOGLETRANSLATE(A25940,""en"",""pt"")"),"No LCD, 3 botões empurrado para o Flash passado, de baixa resolução, nenhuma lente tele.")</f>
        <v>No LCD, 3 botões empurrado para o Flash passado, de baixa resolução, nenhuma lente tele.</v>
      </c>
      <c r="B25940" s="3">
        <v>0</v>
      </c>
    </row>
    <row r="25941" ht="15.75" customHeight="1" spans="1:2">
      <c r="A25941" s="3" t="str">
        <f>IFERROR(__xludf.DUMMYFUNCTION("GOOGLETRANSLATE(A25941,""en"",""pt"")"),"iluminação precisa estar certo, não Display LCD")</f>
        <v>iluminação precisa estar certo, não Display LCD</v>
      </c>
      <c r="B25941" s="3">
        <v>0</v>
      </c>
    </row>
    <row r="25942" ht="15.75" customHeight="1" spans="1:2">
      <c r="A25942" s="3" t="str">
        <f>IFERROR(__xludf.DUMMYFUNCTION("GOOGLETRANSLATE(A25942,""en"",""pt"")"),"Nenhum")</f>
        <v>Nenhum</v>
      </c>
      <c r="B25942" s="3">
        <v>0</v>
      </c>
    </row>
    <row r="25943" ht="15.75" customHeight="1" spans="1:2">
      <c r="A25943" s="3" t="str">
        <f>IFERROR(__xludf.DUMMYFUNCTION("GOOGLETRANSLATE(A25943,""en"",""pt"")"),"Muito baixa resolução")</f>
        <v>Muito baixa resolução</v>
      </c>
      <c r="B25943" s="3">
        <v>0</v>
      </c>
    </row>
    <row r="25944" ht="15.75" customHeight="1" spans="1:2">
      <c r="A25944" s="3" t="str">
        <f>IFERROR(__xludf.DUMMYFUNCTION("GOOGLETRANSLATE(A25944,""en"",""pt"")"),"Automatic desligar depois de tantos segundos inativos.")</f>
        <v>Automatic desligar depois de tantos segundos inativos.</v>
      </c>
      <c r="B25944" s="3">
        <v>0</v>
      </c>
    </row>
    <row r="25945" ht="15.75" customHeight="1" spans="1:2">
      <c r="A25945" s="3" t="str">
        <f>IFERROR(__xludf.DUMMYFUNCTION("GOOGLETRANSLATE(A25945,""en"",""pt"")"),"má qualidade de imagem, instruções pobres, nenhum monitor de imagem")</f>
        <v>má qualidade de imagem, instruções pobres, nenhum monitor de imagem</v>
      </c>
      <c r="B25945" s="3">
        <v>0</v>
      </c>
    </row>
    <row r="25946" ht="15.75" customHeight="1" spans="1:2">
      <c r="A25946" s="3" t="str">
        <f>IFERROR(__xludf.DUMMYFUNCTION("GOOGLETRANSLATE(A25946,""en"",""pt"")"),"Resolução poderia ser melhor")</f>
        <v>Resolução poderia ser melhor</v>
      </c>
      <c r="B25946" s="3">
        <v>0</v>
      </c>
    </row>
    <row r="25947" ht="15.75" customHeight="1" spans="1:2">
      <c r="A25947" s="3" t="str">
        <f>IFERROR(__xludf.DUMMYFUNCTION("GOOGLETRANSLATE(A25947,""en"",""pt"")"),"iluminação precisa estar certo, não Display LCD")</f>
        <v>iluminação precisa estar certo, não Display LCD</v>
      </c>
      <c r="B25947" s="3">
        <v>0</v>
      </c>
    </row>
    <row r="25948" ht="15.75" customHeight="1" spans="1:2">
      <c r="A25948" s="3" t="str">
        <f>IFERROR(__xludf.DUMMYFUNCTION("GOOGLETRANSLATE(A25948,""en"",""pt"")"),"Baixa resolução")</f>
        <v>Baixa resolução</v>
      </c>
      <c r="B25948" s="3">
        <v>0</v>
      </c>
    </row>
    <row r="25949" ht="15.75" customHeight="1" spans="1:2">
      <c r="A25949" s="3" t="str">
        <f>IFERROR(__xludf.DUMMYFUNCTION("GOOGLETRANSLATE(A25949,""en"",""pt"")"),"A qualidade da imagem é terrível, não é adequado para a maioria dos usos.")</f>
        <v>A qualidade da imagem é terrível, não é adequado para a maioria dos usos.</v>
      </c>
      <c r="B25949" s="3">
        <v>0</v>
      </c>
    </row>
    <row r="25950" ht="15.75" customHeight="1" spans="1:2">
      <c r="A25950" s="3" t="str">
        <f>IFERROR(__xludf.DUMMYFUNCTION("GOOGLETRANSLATE(A25950,""en"",""pt"")"),"Flash é muito brilhante, software de transferência não for instalado, a bateria usos CR123A foto (caro).")</f>
        <v>Flash é muito brilhante, software de transferência não for instalado, a bateria usos CR123A foto (caro).</v>
      </c>
      <c r="B25950" s="3">
        <v>0</v>
      </c>
    </row>
    <row r="25951" ht="15.75" customHeight="1" spans="1:2">
      <c r="A25951" s="3" t="str">
        <f>IFERROR(__xludf.DUMMYFUNCTION("GOOGLETRANSLATE(A25951,""en"",""pt"")"),"Flash torna todas as imagens brancas, imagens de qualidade muito pobre, longos ou uploads incompletos")</f>
        <v>Flash torna todas as imagens brancas, imagens de qualidade muito pobre, longos ou uploads incompletos</v>
      </c>
      <c r="B25951" s="3">
        <v>0</v>
      </c>
    </row>
    <row r="25952" ht="15.75" customHeight="1" spans="1:2">
      <c r="A25952" s="3" t="str">
        <f>IFERROR(__xludf.DUMMYFUNCTION("GOOGLETRANSLATE(A25952,""en"",""pt"")"),"Muita dor de cabeça, nenhuma tela de LCD, software empacotado tem bugs")</f>
        <v>Muita dor de cabeça, nenhuma tela de LCD, software empacotado tem bugs</v>
      </c>
      <c r="B25952" s="3">
        <v>0</v>
      </c>
    </row>
    <row r="25953" ht="15.75" customHeight="1" spans="1:2">
      <c r="A25953" s="3" t="str">
        <f>IFERROR(__xludf.DUMMYFUNCTION("GOOGLETRANSLATE(A25953,""en"",""pt"")"),"Visor não que, downloads lentos precisos")</f>
        <v>Visor não que, downloads lentos precisos</v>
      </c>
      <c r="B25953" s="3">
        <v>0</v>
      </c>
    </row>
    <row r="25954" ht="15.75" customHeight="1" spans="1:2">
      <c r="A25954" s="3" t="str">
        <f>IFERROR(__xludf.DUMMYFUNCTION("GOOGLETRANSLATE(A25954,""en"",""pt"")"),"Baixa resolução; de flash estranho; sem entrada USB; visor estranho; Nenhuma foto previews.")</f>
        <v>Baixa resolução; de flash estranho; sem entrada USB; visor estranho; Nenhuma foto previews.</v>
      </c>
      <c r="B25954" s="3">
        <v>0</v>
      </c>
    </row>
    <row r="25955" ht="15.75" customHeight="1" spans="1:2">
      <c r="A25955" s="3" t="str">
        <f>IFERROR(__xludf.DUMMYFUNCTION("GOOGLETRANSLATE(A25955,""en"",""pt"")"),"não pode ver fotos que você tirou.")</f>
        <v>não pode ver fotos que você tirou.</v>
      </c>
      <c r="B25955" s="3">
        <v>0</v>
      </c>
    </row>
    <row r="25956" ht="15.75" customHeight="1" spans="1:2">
      <c r="A25956" s="3" t="str">
        <f>IFERROR(__xludf.DUMMYFUNCTION("GOOGLETRANSLATE(A25956,""en"",""pt"")"),"bateria caros, baixa qualidade de imagem")</f>
        <v>bateria caros, baixa qualidade de imagem</v>
      </c>
      <c r="B25956" s="3">
        <v>0</v>
      </c>
    </row>
    <row r="25957" ht="15.75" customHeight="1" spans="1:2">
      <c r="A25957" s="3" t="str">
        <f>IFERROR(__xludf.DUMMYFUNCTION("GOOGLETRANSLATE(A25957,""en"",""pt"")"),"Fotos fora parecem vir ainda melhor como o flash parece dentro demasiado poderosos.")</f>
        <v>Fotos fora parecem vir ainda melhor como o flash parece dentro demasiado poderosos.</v>
      </c>
      <c r="B25957" s="3">
        <v>0</v>
      </c>
    </row>
    <row r="25958" ht="15.75" customHeight="1" spans="1:2">
      <c r="A25958" s="3" t="str">
        <f>IFERROR(__xludf.DUMMYFUNCTION("GOOGLETRANSLATE(A25958,""en"",""pt"")"),"US $ 60,00 para um monte de tempo e trabalho para obter uma imagem a meio caminho adequado.")</f>
        <v>US $ 60,00 para um monte de tempo e trabalho para obter uma imagem a meio caminho adequado.</v>
      </c>
      <c r="B25958" s="3">
        <v>0</v>
      </c>
    </row>
    <row r="25959" ht="15.75" customHeight="1" spans="1:2">
      <c r="A25959" s="3" t="str">
        <f>IFERROR(__xludf.DUMMYFUNCTION("GOOGLETRANSLATE(A25959,""en"",""pt"")"),"Varia de qualidade pic, bateria caro")</f>
        <v>Varia de qualidade pic, bateria caro</v>
      </c>
      <c r="B25959" s="3">
        <v>0</v>
      </c>
    </row>
    <row r="25960" ht="15.75" customHeight="1" spans="1:2">
      <c r="A25960" s="3" t="str">
        <f>IFERROR(__xludf.DUMMYFUNCTION("GOOGLETRANSLATE(A25960,""en"",""pt"")"),"caro")</f>
        <v>caro</v>
      </c>
      <c r="B25960" s="3">
        <v>0</v>
      </c>
    </row>
    <row r="25961" ht="15.75" customHeight="1" spans="1:2">
      <c r="A25961" s="3" t="str">
        <f>IFERROR(__xludf.DUMMYFUNCTION("GOOGLETRANSLATE(A25961,""en"",""pt"")"),"Baixa resolução, No removível de memória, problemas de software (para mim)")</f>
        <v>Baixa resolução, No removível de memória, problemas de software (para mim)</v>
      </c>
      <c r="B25961" s="3">
        <v>0</v>
      </c>
    </row>
    <row r="25962" ht="15.75" customHeight="1" spans="1:2">
      <c r="A25962" s="3" t="str">
        <f>IFERROR(__xludf.DUMMYFUNCTION("GOOGLETRANSLATE(A25962,""en"",""pt"")"),"baixa resolução, curta duração da bateria")</f>
        <v>baixa resolução, curta duração da bateria</v>
      </c>
      <c r="B25962" s="3">
        <v>0</v>
      </c>
    </row>
    <row r="25963" ht="15.75" customHeight="1" spans="1:2">
      <c r="A25963" s="3" t="str">
        <f>IFERROR(__xludf.DUMMYFUNCTION("GOOGLETRANSLATE(A25963,""en"",""pt"")"),"O download é frustrante, leva muito ruins fotos com o flash ligado.")</f>
        <v>O download é frustrante, leva muito ruins fotos com o flash ligado.</v>
      </c>
      <c r="B25963" s="3">
        <v>0</v>
      </c>
    </row>
    <row r="25964" ht="15.75" customHeight="1" spans="1:2">
      <c r="A25964" s="3" t="str">
        <f>IFERROR(__xludf.DUMMYFUNCTION("GOOGLETRANSLATE(A25964,""en"",""pt"")"),"qualidade de imagem inconsistentes")</f>
        <v>qualidade de imagem inconsistentes</v>
      </c>
      <c r="B25964" s="3">
        <v>0</v>
      </c>
    </row>
    <row r="25965" ht="15.75" customHeight="1" spans="1:2">
      <c r="A25965" s="3" t="str">
        <f>IFERROR(__xludf.DUMMYFUNCTION("GOOGLETRANSLATE(A25965,""en"",""pt"")"),"longo tempo de download de fotos")</f>
        <v>longo tempo de download de fotos</v>
      </c>
      <c r="B25965" s="3">
        <v>0</v>
      </c>
    </row>
    <row r="25966" ht="15.75" customHeight="1" spans="1:2">
      <c r="A25966" s="3" t="str">
        <f>IFERROR(__xludf.DUMMYFUNCTION("GOOGLETRANSLATE(A25966,""en"",""pt"")"),"baterias caras, velocidade de conexão lenta.")</f>
        <v>baterias caras, velocidade de conexão lenta.</v>
      </c>
      <c r="B25966" s="3">
        <v>0</v>
      </c>
    </row>
    <row r="25967" ht="15.75" customHeight="1" spans="1:2">
      <c r="A25967" s="3" t="str">
        <f>IFERROR(__xludf.DUMMYFUNCTION("GOOGLETRANSLATE(A25967,""en"",""pt"")"),"No visor LCD, as pilhas podem ser caro.")</f>
        <v>No visor LCD, as pilhas podem ser caro.</v>
      </c>
      <c r="B25967" s="3">
        <v>0</v>
      </c>
    </row>
    <row r="25968" ht="15.75" customHeight="1" spans="1:2">
      <c r="A25968" s="3" t="str">
        <f>IFERROR(__xludf.DUMMYFUNCTION("GOOGLETRANSLATE(A25968,""en"",""pt"")"),"não a esse preço")</f>
        <v>não a esse preço</v>
      </c>
      <c r="B25968" s="3">
        <v>0</v>
      </c>
    </row>
    <row r="25969" ht="15.75" customHeight="1" spans="1:2">
      <c r="A25969" s="3" t="str">
        <f>IFERROR(__xludf.DUMMYFUNCTION("GOOGLETRANSLATE(A25969,""en"",""pt"")"),"A qualidade da imagem depende do fotógrafo.")</f>
        <v>A qualidade da imagem depende do fotógrafo.</v>
      </c>
      <c r="B25969" s="3">
        <v>0</v>
      </c>
    </row>
    <row r="25970" ht="15.75" customHeight="1" spans="1:2">
      <c r="A25970" s="3" t="str">
        <f>IFERROR(__xludf.DUMMYFUNCTION("GOOGLETRANSLATE(A25970,""en"",""pt"")"),"Estado da arte foi pego com e passou este modelo.")</f>
        <v>Estado da arte foi pego com e passou este modelo.</v>
      </c>
      <c r="B25970" s="3">
        <v>0</v>
      </c>
    </row>
    <row r="25971" ht="15.75" customHeight="1" spans="1:2">
      <c r="A25971" s="3" t="str">
        <f>IFERROR(__xludf.DUMMYFUNCTION("GOOGLETRANSLATE(A25971,""en"",""pt"")"),"O flash é tão poderoso que arruína suas fotos.")</f>
        <v>O flash é tão poderoso que arruína suas fotos.</v>
      </c>
      <c r="B25971" s="3">
        <v>0</v>
      </c>
    </row>
    <row r="25972" ht="15.75" customHeight="1" spans="1:2">
      <c r="A25972" s="3" t="str">
        <f>IFERROR(__xludf.DUMMYFUNCTION("GOOGLETRANSLATE(A25972,""en"",""pt"")"),"É um tempo real / dinheiro waster")</f>
        <v>É um tempo real / dinheiro waster</v>
      </c>
      <c r="B25972" s="3">
        <v>0</v>
      </c>
    </row>
    <row r="25973" ht="15.75" customHeight="1" spans="1:2">
      <c r="A25973" s="3" t="str">
        <f>IFERROR(__xludf.DUMMYFUNCTION("GOOGLETRANSLATE(A25973,""en"",""pt"")"),"Sem visualização de fotos tiradas até download, difícil de flash de uso, curta duração da bateria.")</f>
        <v>Sem visualização de fotos tiradas até download, difícil de flash de uso, curta duração da bateria.</v>
      </c>
      <c r="B25973" s="3">
        <v>0</v>
      </c>
    </row>
    <row r="25974" ht="15.75" customHeight="1" spans="1:2">
      <c r="A25974" s="3" t="str">
        <f>IFERROR(__xludf.DUMMYFUNCTION("GOOGLETRANSLATE(A25974,""en"",""pt"")"),"Pior qualidade de impressão que eu vi desde a minha impressora matricial, por volta de 1987.")</f>
        <v>Pior qualidade de impressão que eu vi desde a minha impressora matricial, por volta de 1987.</v>
      </c>
      <c r="B25974" s="3">
        <v>0</v>
      </c>
    </row>
    <row r="25975" ht="15.75" customHeight="1" spans="1:2">
      <c r="A25975" s="3" t="str">
        <f>IFERROR(__xludf.DUMMYFUNCTION("GOOGLETRANSLATE(A25975,""en"",""pt"")"),"De atolamentos de papel, tinta muito caro, muito lento, So-So imprimir qualidade, não muito confiável.")</f>
        <v>De atolamentos de papel, tinta muito caro, muito lento, So-So imprimir qualidade, não muito confiável.</v>
      </c>
      <c r="B25975" s="3">
        <v>0</v>
      </c>
    </row>
    <row r="25976" ht="15.75" customHeight="1" spans="1:2">
      <c r="A25976" s="3" t="str">
        <f>IFERROR(__xludf.DUMMYFUNCTION("GOOGLETRANSLATE(A25976,""en"",""pt"")"),"impressora a cores barato, alimentação de papel")</f>
        <v>impressora a cores barato, alimentação de papel</v>
      </c>
      <c r="B25976" s="3">
        <v>0</v>
      </c>
    </row>
    <row r="25977" ht="15.75" customHeight="1" spans="1:2">
      <c r="A25977" s="3" t="str">
        <f>IFERROR(__xludf.DUMMYFUNCTION("GOOGLETRANSLATE(A25977,""en"",""pt"")"),"Compotas facilmente, a tinta é muito caro")</f>
        <v>Compotas facilmente, a tinta é muito caro</v>
      </c>
      <c r="B25977" s="3">
        <v>0</v>
      </c>
    </row>
    <row r="25978" ht="15.75" customHeight="1" spans="1:2">
      <c r="A25978" s="3" t="str">
        <f>IFERROR(__xludf.DUMMYFUNCTION("GOOGLETRANSLATE(A25978,""en"",""pt"")"),"papel alimentar chato")</f>
        <v>papel alimentar chato</v>
      </c>
      <c r="B25978" s="3">
        <v>0</v>
      </c>
    </row>
    <row r="25979" ht="15.75" customHeight="1" spans="1:2">
      <c r="A25979" s="3" t="str">
        <f>IFERROR(__xludf.DUMMYFUNCTION("GOOGLETRANSLATE(A25979,""en"",""pt"")"),"Má qualidade da imagem")</f>
        <v>Má qualidade da imagem</v>
      </c>
      <c r="B25979" s="3">
        <v>0</v>
      </c>
    </row>
    <row r="25980" ht="15.75" customHeight="1" spans="1:2">
      <c r="A25980" s="3" t="str">
        <f>IFERROR(__xludf.DUMMYFUNCTION("GOOGLETRANSLATE(A25980,""en"",""pt"")"),"Um pouco lento CÓPIAS DE COR")</f>
        <v>Um pouco lento CÓPIAS DE COR</v>
      </c>
      <c r="B25980" s="3">
        <v>0</v>
      </c>
    </row>
    <row r="25981" ht="15.75" customHeight="1" spans="1:2">
      <c r="A25981" s="3" t="str">
        <f>IFERROR(__xludf.DUMMYFUNCTION("GOOGLETRANSLATE(A25981,""en"",""pt"")"),"Não apenas uma grande impressão")</f>
        <v>Não apenas uma grande impressão</v>
      </c>
      <c r="B25981" s="3">
        <v>0</v>
      </c>
    </row>
    <row r="25982" ht="15.75" customHeight="1" spans="1:2">
      <c r="A25982" s="3" t="str">
        <f>IFERROR(__xludf.DUMMYFUNCTION("GOOGLETRANSLATE(A25982,""en"",""pt"")"),"todo o resto")</f>
        <v>todo o resto</v>
      </c>
      <c r="B25982" s="3">
        <v>0</v>
      </c>
    </row>
    <row r="25983" ht="15.75" customHeight="1" spans="1:2">
      <c r="A25983" s="3" t="str">
        <f>IFERROR(__xludf.DUMMYFUNCTION("GOOGLETRANSLATE(A25983,""en"",""pt"")"),"custo do cartucho, desbotamento da cor, qualidade de impressão")</f>
        <v>custo do cartucho, desbotamento da cor, qualidade de impressão</v>
      </c>
      <c r="B25983" s="3">
        <v>0</v>
      </c>
    </row>
    <row r="25984" ht="15.75" customHeight="1" spans="1:2">
      <c r="A25984" s="3" t="str">
        <f>IFERROR(__xludf.DUMMYFUNCTION("GOOGLETRANSLATE(A25984,""en"",""pt"")"),"má qualidade na de fotografias")</f>
        <v>má qualidade na de fotografias</v>
      </c>
      <c r="B25984" s="3">
        <v>0</v>
      </c>
    </row>
    <row r="25985" ht="15.75" customHeight="1" spans="1:2">
      <c r="A25985" s="3" t="str">
        <f>IFERROR(__xludf.DUMMYFUNCTION("GOOGLETRANSLATE(A25985,""en"",""pt"")"),"Não alta qualidade")</f>
        <v>Não alta qualidade</v>
      </c>
      <c r="B25985" s="3">
        <v>0</v>
      </c>
    </row>
    <row r="25986" ht="15.75" customHeight="1" spans="1:2">
      <c r="A25986" s="3" t="str">
        <f>IFERROR(__xludf.DUMMYFUNCTION("GOOGLETRANSLATE(A25986,""en"",""pt"")"),"seu barato e encravamentos de um monte")</f>
        <v>seu barato e encravamentos de um monte</v>
      </c>
      <c r="B25986" s="3">
        <v>0</v>
      </c>
    </row>
    <row r="25987" ht="15.75" customHeight="1" spans="1:2">
      <c r="A25987" s="3" t="str">
        <f>IFERROR(__xludf.DUMMYFUNCTION("GOOGLETRANSLATE(A25987,""en"",""pt"")"),"Apenas imprime algumas páginas antes que atola-se")</f>
        <v>Apenas imprime algumas páginas antes que atola-se</v>
      </c>
      <c r="B25987" s="3">
        <v>0</v>
      </c>
    </row>
    <row r="25988" ht="15.75" customHeight="1" spans="1:2">
      <c r="A25988" s="3" t="str">
        <f>IFERROR(__xludf.DUMMYFUNCTION("GOOGLETRANSLATE(A25988,""en"",""pt"")"),"A qualidade de impressão, alimentador de papel")</f>
        <v>A qualidade de impressão, alimentador de papel</v>
      </c>
      <c r="B25988" s="3">
        <v>0</v>
      </c>
    </row>
    <row r="25989" ht="15.75" customHeight="1" spans="1:2">
      <c r="A25989" s="3" t="str">
        <f>IFERROR(__xludf.DUMMYFUNCTION("GOOGLETRANSLATE(A25989,""en"",""pt"")"),"Usa muita tinta, atolamentos de papel.")</f>
        <v>Usa muita tinta, atolamentos de papel.</v>
      </c>
      <c r="B25989" s="3">
        <v>0</v>
      </c>
    </row>
    <row r="25990" ht="15.75" customHeight="1" spans="1:2">
      <c r="A25990" s="3" t="str">
        <f>IFERROR(__xludf.DUMMYFUNCTION("GOOGLETRANSLATE(A25990,""en"",""pt"")"),"Ineficiente e pouco confiável")</f>
        <v>Ineficiente e pouco confiável</v>
      </c>
      <c r="B25990" s="3">
        <v>0</v>
      </c>
    </row>
    <row r="25991" ht="15.75" customHeight="1" spans="1:2">
      <c r="A25991" s="3" t="str">
        <f>IFERROR(__xludf.DUMMYFUNCTION("GOOGLETRANSLATE(A25991,""en"",""pt"")"),"muito lento, carrega uma folha de cada vez")</f>
        <v>muito lento, carrega uma folha de cada vez</v>
      </c>
      <c r="B25991" s="3">
        <v>0</v>
      </c>
    </row>
    <row r="25992" ht="15.75" customHeight="1" spans="1:2">
      <c r="A25992" s="3" t="str">
        <f>IFERROR(__xludf.DUMMYFUNCTION("GOOGLETRANSLATE(A25992,""en"",""pt"")"),"frágil, ACESSÍVEL")</f>
        <v>frágil, ACESSÍVEL</v>
      </c>
      <c r="B25992" s="3">
        <v>0</v>
      </c>
    </row>
    <row r="25993" ht="15.75" customHeight="1" spans="1:2">
      <c r="A25993" s="3" t="str">
        <f>IFERROR(__xludf.DUMMYFUNCTION("GOOGLETRANSLATE(A25993,""en"",""pt"")"),"Ele mente para você")</f>
        <v>Ele mente para você</v>
      </c>
      <c r="B25993" s="3">
        <v>0</v>
      </c>
    </row>
    <row r="25994" ht="15.75" customHeight="1" spans="1:2">
      <c r="A25994" s="3" t="str">
        <f>IFERROR(__xludf.DUMMYFUNCTION("GOOGLETRANSLATE(A25994,""en"",""pt"")"),"Irritante.")</f>
        <v>Irritante.</v>
      </c>
      <c r="B25994" s="3">
        <v>0</v>
      </c>
    </row>
    <row r="25995" ht="15.75" customHeight="1" spans="1:2">
      <c r="A25995" s="3" t="str">
        <f>IFERROR(__xludf.DUMMYFUNCTION("GOOGLETRANSLATE(A25995,""en"",""pt"")"),"impressão a cores lento, de baixa qualidade")</f>
        <v>impressão a cores lento, de baixa qualidade</v>
      </c>
      <c r="B25995" s="3">
        <v>0</v>
      </c>
    </row>
    <row r="25996" ht="15.75" customHeight="1" spans="1:2">
      <c r="A25996" s="3" t="str">
        <f>IFERROR(__xludf.DUMMYFUNCTION("GOOGLETRANSLATE(A25996,""en"",""pt"")"),"Quebrou após 4 meses. corridas de tinta muito, atolamentos de papel.")</f>
        <v>Quebrou após 4 meses. corridas de tinta muito, atolamentos de papel.</v>
      </c>
      <c r="B25996" s="3">
        <v>0</v>
      </c>
    </row>
    <row r="25997" ht="15.75" customHeight="1" spans="1:2">
      <c r="A25997" s="3" t="str">
        <f>IFERROR(__xludf.DUMMYFUNCTION("GOOGLETRANSLATE(A25997,""en"",""pt"")"),"mudando de volta &amp; amp; amp; adiante para a cor e B &amp; amp; amp; cartucho W, menos do que a qualidade média cor para fotos com cartucho 3-cor")</f>
        <v>mudando de volta &amp; amp; amp; adiante para a cor e B &amp; amp; amp; cartucho W, menos do que a qualidade média cor para fotos com cartucho 3-cor</v>
      </c>
      <c r="B25997" s="3">
        <v>0</v>
      </c>
    </row>
    <row r="25998" ht="15.75" customHeight="1" spans="1:2">
      <c r="A25998" s="3" t="str">
        <f>IFERROR(__xludf.DUMMYFUNCTION("GOOGLETRANSLATE(A25998,""en"",""pt"")"),"não melhor qualidade, mas ok")</f>
        <v>não melhor qualidade, mas ok</v>
      </c>
      <c r="B25998" s="3">
        <v>0</v>
      </c>
    </row>
    <row r="25999" ht="15.75" customHeight="1" spans="1:2">
      <c r="A25999" s="3" t="str">
        <f>IFERROR(__xludf.DUMMYFUNCTION("GOOGLETRANSLATE(A25999,""en"",""pt"")")," peças defeituosas, barulhento")</f>
        <v> peças defeituosas, barulhento</v>
      </c>
      <c r="B25999" s="3">
        <v>0</v>
      </c>
    </row>
    <row r="26000" ht="15.75" customHeight="1" spans="1:2">
      <c r="A26000" s="3" t="str">
        <f>IFERROR(__xludf.DUMMYFUNCTION("GOOGLETRANSLATE(A26000,""en"",""pt"")"),"Má qualidade, tem quase nenhum papel.")</f>
        <v>Má qualidade, tem quase nenhum papel.</v>
      </c>
      <c r="B26000" s="3">
        <v>0</v>
      </c>
    </row>
    <row r="26001" ht="15.75" customHeight="1" spans="1:2">
      <c r="A26001" s="3" t="str">
        <f>IFERROR(__xludf.DUMMYFUNCTION("GOOGLETRANSLATE(A26001,""en"",""pt"")"),"nenhum é muito confiável")</f>
        <v>nenhum é muito confiável</v>
      </c>
      <c r="B26001" s="3">
        <v>0</v>
      </c>
    </row>
    <row r="26002" ht="15.75" customHeight="1" spans="1:2">
      <c r="A26002" s="3" t="str">
        <f>IFERROR(__xludf.DUMMYFUNCTION("GOOGLETRANSLATE(A26002,""en"",""pt"")"),"Papper carga, o carregamento topo")</f>
        <v>Papper carga, o carregamento topo</v>
      </c>
      <c r="B26002" s="3">
        <v>0</v>
      </c>
    </row>
    <row r="26003" ht="15.75" customHeight="1" spans="1:2">
      <c r="A26003" s="3" t="str">
        <f>IFERROR(__xludf.DUMMYFUNCTION("GOOGLETRANSLATE(A26003,""en"",""pt"")"),"bandejas de papel frágeis")</f>
        <v>bandejas de papel frágeis</v>
      </c>
      <c r="B26003" s="3">
        <v>0</v>
      </c>
    </row>
    <row r="26004" ht="15.75" customHeight="1" spans="1:2">
      <c r="A26004" s="3" t="str">
        <f>IFERROR(__xludf.DUMMYFUNCTION("GOOGLETRANSLATE(A26004,""en"",""pt"")"),"Você não consegue ver a qualidade de impressão")</f>
        <v>Você não consegue ver a qualidade de impressão</v>
      </c>
      <c r="B26004" s="3">
        <v>0</v>
      </c>
    </row>
    <row r="26005" ht="15.75" customHeight="1" spans="1:2">
      <c r="A26005" s="3" t="str">
        <f>IFERROR(__xludf.DUMMYFUNCTION("GOOGLETRANSLATE(A26005,""en"",""pt"")"),"congestionamentos freqüentes, mensagens de erro frequentes, quebrou depois de um ano.")</f>
        <v>congestionamentos freqüentes, mensagens de erro frequentes, quebrou depois de um ano.</v>
      </c>
      <c r="B26005" s="3">
        <v>0</v>
      </c>
    </row>
    <row r="26006" ht="15.75" customHeight="1" spans="1:2">
      <c r="A26006" s="3" t="str">
        <f>IFERROR(__xludf.DUMMYFUNCTION("GOOGLETRANSLATE(A26006,""en"",""pt"")"),"projeto frágil, nenhum cabo incluído")</f>
        <v>projeto frágil, nenhum cabo incluído</v>
      </c>
      <c r="B26006" s="3">
        <v>0</v>
      </c>
    </row>
    <row r="26007" ht="15.75" customHeight="1" spans="1:2">
      <c r="A26007" s="3" t="str">
        <f>IFERROR(__xludf.DUMMYFUNCTION("GOOGLETRANSLATE(A26007,""en"",""pt"")"),"muito barato")</f>
        <v>muito barato</v>
      </c>
      <c r="B26007" s="3">
        <v>0</v>
      </c>
    </row>
    <row r="26008" ht="15.75" customHeight="1" spans="1:2">
      <c r="A26008" s="3" t="str">
        <f>IFERROR(__xludf.DUMMYFUNCTION("GOOGLETRANSLATE(A26008,""en"",""pt"")"),"Aborrecimento, sem complicações, sem complicações")</f>
        <v>Aborrecimento, sem complicações, sem complicações</v>
      </c>
      <c r="B26008" s="3">
        <v>0</v>
      </c>
    </row>
    <row r="26009" ht="15.75" customHeight="1" spans="1:2">
      <c r="A26009" s="3" t="str">
        <f>IFERROR(__xludf.DUMMYFUNCTION("GOOGLETRANSLATE(A26009,""en"",""pt"")"),"Decente com qualidade dos gráficos")</f>
        <v>Decente com qualidade dos gráficos</v>
      </c>
      <c r="B26009" s="3">
        <v>0</v>
      </c>
    </row>
    <row r="26010" ht="15.75" customHeight="1" spans="1:2">
      <c r="A26010" s="3" t="str">
        <f>IFERROR(__xludf.DUMMYFUNCTION("GOOGLETRANSLATE(A26010,""en"",""pt"")"),"atolamentos de papel")</f>
        <v>atolamentos de papel</v>
      </c>
      <c r="B26010" s="3">
        <v>0</v>
      </c>
    </row>
    <row r="26011" ht="15.75" customHeight="1" spans="1:2">
      <c r="A26011" s="3" t="str">
        <f>IFERROR(__xludf.DUMMYFUNCTION("GOOGLETRANSLATE(A26011,""en"",""pt"")"),"Apenas um cartucho")</f>
        <v>Apenas um cartucho</v>
      </c>
      <c r="B26011" s="3">
        <v>0</v>
      </c>
    </row>
    <row r="26012" ht="15.75" customHeight="1" spans="1:2">
      <c r="A26012" s="3" t="str">
        <f>IFERROR(__xludf.DUMMYFUNCTION("GOOGLETRANSLATE(A26012,""en"",""pt"")"),"qualidade")</f>
        <v>qualidade</v>
      </c>
      <c r="B26012" s="3">
        <v>0</v>
      </c>
    </row>
    <row r="26013" ht="15.75" customHeight="1" spans="1:2">
      <c r="A26013" s="3" t="str">
        <f>IFERROR(__xludf.DUMMYFUNCTION("GOOGLETRANSLATE(A26013,""en"",""pt"")"),"encravamentos frequentes e cartuchos de tinta caros")</f>
        <v>encravamentos frequentes e cartuchos de tinta caros</v>
      </c>
      <c r="B26013" s="3">
        <v>0</v>
      </c>
    </row>
    <row r="26014" ht="15.75" customHeight="1" spans="1:2">
      <c r="A26014" s="3" t="str">
        <f>IFERROR(__xludf.DUMMYFUNCTION("GOOGLETRANSLATE(A26014,""en"",""pt"")"),"Jams com facilidade, e não alimentar sem um monte de assistência.")</f>
        <v>Jams com facilidade, e não alimentar sem um monte de assistência.</v>
      </c>
      <c r="B26014" s="3">
        <v>0</v>
      </c>
    </row>
    <row r="26015" ht="15.75" customHeight="1" spans="1:2">
      <c r="A26015" s="3" t="str">
        <f>IFERROR(__xludf.DUMMYFUNCTION("GOOGLETRANSLATE(A26015,""en"",""pt"")"),"cartuchos caros, pobres linhas de suporte, de durabilidade.")</f>
        <v>cartuchos caros, pobres linhas de suporte, de durabilidade.</v>
      </c>
      <c r="B26015" s="3">
        <v>0</v>
      </c>
    </row>
    <row r="26016" ht="15.75" customHeight="1" spans="1:2">
      <c r="A26016" s="3" t="str">
        <f>IFERROR(__xludf.DUMMYFUNCTION("GOOGLETRANSLATE(A26016,""en"",""pt"")"),"custo do cartucho, desbotamento da cor, impressões de baixa qualidade")</f>
        <v>custo do cartucho, desbotamento da cor, impressões de baixa qualidade</v>
      </c>
      <c r="B26016" s="3">
        <v>0</v>
      </c>
    </row>
    <row r="26017" ht="15.75" customHeight="1" spans="1:2">
      <c r="A26017" s="3" t="str">
        <f>IFERROR(__xludf.DUMMYFUNCTION("GOOGLETRANSLATE(A26017,""en"",""pt"")"),"às vezes atolamentos de papel-se")</f>
        <v>às vezes atolamentos de papel-se</v>
      </c>
      <c r="B26017" s="3">
        <v>0</v>
      </c>
    </row>
    <row r="26018" ht="15.75" customHeight="1" spans="1:2">
      <c r="A26018" s="3" t="str">
        <f>IFERROR(__xludf.DUMMYFUNCTION("GOOGLETRANSLATE(A26018,""en"",""pt"")"),"De atolamentos de papel, Low Ink Capacidade, Bad Alinhamento, Frustrante")</f>
        <v>De atolamentos de papel, Low Ink Capacidade, Bad Alinhamento, Frustrante</v>
      </c>
      <c r="B26018" s="3">
        <v>0</v>
      </c>
    </row>
    <row r="26019" ht="15.75" customHeight="1" spans="1:2">
      <c r="A26019" s="3" t="str">
        <f>IFERROR(__xludf.DUMMYFUNCTION("GOOGLETRANSLATE(A26019,""en"",""pt"")"),"Leva uma eternidade, o carregamento de papel suga")</f>
        <v>Leva uma eternidade, o carregamento de papel suga</v>
      </c>
      <c r="B26019" s="3">
        <v>0</v>
      </c>
    </row>
    <row r="26020" ht="15.75" customHeight="1" spans="1:2">
      <c r="A26020" s="3" t="str">
        <f>IFERROR(__xludf.DUMMYFUNCTION("GOOGLETRANSLATE(A26020,""en"",""pt"")"),"cartuchos caros; software às vezes se esquece que impressora é")</f>
        <v>cartuchos caros; software às vezes se esquece que impressora é</v>
      </c>
      <c r="B26020" s="3">
        <v>0</v>
      </c>
    </row>
    <row r="26021" ht="15.75" customHeight="1" spans="1:2">
      <c r="A26021" s="3" t="str">
        <f>IFERROR(__xludf.DUMMYFUNCTION("GOOGLETRANSLATE(A26021,""en"",""pt"")"),"preço de tinta")</f>
        <v>preço de tinta</v>
      </c>
      <c r="B26021" s="3">
        <v>0</v>
      </c>
    </row>
    <row r="26022" ht="15.75" customHeight="1" spans="1:2">
      <c r="A26022" s="3" t="str">
        <f>IFERROR(__xludf.DUMMYFUNCTION("GOOGLETRANSLATE(A26022,""en"",""pt"")"),"sua peça uma")</f>
        <v>sua peça uma</v>
      </c>
      <c r="B26022" s="3">
        <v>0</v>
      </c>
    </row>
    <row r="26023" ht="15.75" customHeight="1" spans="1:2">
      <c r="A26023" s="3" t="str">
        <f>IFERROR(__xludf.DUMMYFUNCTION("GOOGLETRANSLATE(A26023,""en"",""pt"")"),"má qualidade")</f>
        <v>má qualidade</v>
      </c>
      <c r="B26023" s="3">
        <v>0</v>
      </c>
    </row>
    <row r="26024" ht="15.75" customHeight="1" spans="1:2">
      <c r="A26024" s="3" t="str">
        <f>IFERROR(__xludf.DUMMYFUNCTION("GOOGLETRANSLATE(A26024,""en"",""pt"")"),"atolamentos de papel, lento")</f>
        <v>atolamentos de papel, lento</v>
      </c>
      <c r="B26024" s="3">
        <v>0</v>
      </c>
    </row>
    <row r="26025" ht="15.75" customHeight="1" spans="1:2">
      <c r="A26025" s="3" t="str">
        <f>IFERROR(__xludf.DUMMYFUNCTION("GOOGLETRANSLATE(A26025,""en"",""pt"")"),"Não compatível com o Windows NT")</f>
        <v>Não compatível com o Windows NT</v>
      </c>
      <c r="B26025" s="3">
        <v>0</v>
      </c>
    </row>
    <row r="26026" ht="15.75" customHeight="1" spans="1:2">
      <c r="A26026" s="3" t="str">
        <f>IFERROR(__xludf.DUMMYFUNCTION("GOOGLETRANSLATE(A26026,""en"",""pt"")"),"preço dos cartuchos de substituição, velocidade de trabalho (lento)")</f>
        <v>preço dos cartuchos de substituição, velocidade de trabalho (lento)</v>
      </c>
      <c r="B26026" s="3">
        <v>0</v>
      </c>
    </row>
    <row r="26027" ht="15.75" customHeight="1" spans="1:2">
      <c r="A26027" s="3" t="str">
        <f>IFERROR(__xludf.DUMMYFUNCTION("GOOGLETRANSLATE(A26027,""en"",""pt"")"),"Não encontrei nenhum ainda")</f>
        <v>Não encontrei nenhum ainda</v>
      </c>
      <c r="B26027" s="3">
        <v>0</v>
      </c>
    </row>
    <row r="26028" ht="15.75" customHeight="1" spans="1:2">
      <c r="A26028" s="3" t="str">
        <f>IFERROR(__xludf.DUMMYFUNCTION("GOOGLETRANSLATE(A26028,""en"",""pt"")"),"não tão rápido como os outros")</f>
        <v>não tão rápido como os outros</v>
      </c>
      <c r="B26028" s="3">
        <v>0</v>
      </c>
    </row>
    <row r="26029" ht="15.75" customHeight="1" spans="1:2">
      <c r="A26029" s="3" t="str">
        <f>IFERROR(__xludf.DUMMYFUNCTION("GOOGLETRANSLATE(A26029,""en"",""pt"")"),"Os cartuchos são uma liiiiiiiittle caros, mas duram muito tempo por isso não é um grande negócio")</f>
        <v>Os cartuchos são uma liiiiiiiittle caros, mas duram muito tempo por isso não é um grande negócio</v>
      </c>
      <c r="B26029" s="3">
        <v>0</v>
      </c>
    </row>
    <row r="26030" ht="15.75" customHeight="1" spans="1:2">
      <c r="A26030" s="3" t="str">
        <f>IFERROR(__xludf.DUMMYFUNCTION("GOOGLETRANSLATE(A26030,""en"",""pt"")"),"má alimentação de papel, impressão de fraca qualidade")</f>
        <v>má alimentação de papel, impressão de fraca qualidade</v>
      </c>
      <c r="B26030" s="3">
        <v>0</v>
      </c>
    </row>
    <row r="26031" ht="15.75" customHeight="1" spans="1:2">
      <c r="A26031" s="3" t="str">
        <f>IFERROR(__xludf.DUMMYFUNCTION("GOOGLETRANSLATE(A26031,""en"",""pt"")"),"Lotes, ler a resenha!")</f>
        <v>Lotes, ler a resenha!</v>
      </c>
      <c r="B26031" s="3">
        <v>0</v>
      </c>
    </row>
    <row r="26032" ht="15.75" customHeight="1" spans="1:2">
      <c r="A26032" s="3" t="str">
        <f>IFERROR(__xludf.DUMMYFUNCTION("GOOGLETRANSLATE(A26032,""en"",""pt"")"),"impressão lenta, Pequenas &amp; amp; amp; Cartuchos de impressão caros")</f>
        <v>impressão lenta, Pequenas &amp; amp; amp; Cartuchos de impressão caros</v>
      </c>
      <c r="B26032" s="3">
        <v>0</v>
      </c>
    </row>
    <row r="26033" ht="15.75" customHeight="1" spans="1:2">
      <c r="A26033" s="3" t="str">
        <f>IFERROR(__xludf.DUMMYFUNCTION("GOOGLETRANSLATE(A26033,""en"",""pt"")"),"atolamentos de papel, por vezes, e os cartuchos caros")</f>
        <v>atolamentos de papel, por vezes, e os cartuchos caros</v>
      </c>
      <c r="B26033" s="3">
        <v>0</v>
      </c>
    </row>
    <row r="26034" ht="15.75" customHeight="1" spans="1:2">
      <c r="A26034" s="3" t="str">
        <f>IFERROR(__xludf.DUMMYFUNCTION("GOOGLETRANSLATE(A26034,""en"",""pt"")"),"Nenhum encontrado ainda!")</f>
        <v>Nenhum encontrado ainda!</v>
      </c>
      <c r="B26034" s="3">
        <v>0</v>
      </c>
    </row>
    <row r="26035" ht="15.75" customHeight="1" spans="1:2">
      <c r="A26035" s="3" t="str">
        <f>IFERROR(__xludf.DUMMYFUNCTION("GOOGLETRANSLATE(A26035,""en"",""pt"")"),"Lento")</f>
        <v>Lento</v>
      </c>
      <c r="B26035" s="3">
        <v>0</v>
      </c>
    </row>
    <row r="26036" ht="15.75" customHeight="1" spans="1:2">
      <c r="A26036" s="3" t="str">
        <f>IFERROR(__xludf.DUMMYFUNCTION("GOOGLETRANSLATE(A26036,""en"",""pt"")"),"Nenhum")</f>
        <v>Nenhum</v>
      </c>
      <c r="B26036" s="3">
        <v>0</v>
      </c>
    </row>
    <row r="26037" ht="15.75" customHeight="1" spans="1:2">
      <c r="A26037" s="3" t="str">
        <f>IFERROR(__xludf.DUMMYFUNCTION("GOOGLETRANSLATE(A26037,""en"",""pt"")"),"Nenhum")</f>
        <v>Nenhum</v>
      </c>
      <c r="B26037" s="3">
        <v>0</v>
      </c>
    </row>
    <row r="26038" ht="15.75" customHeight="1" spans="1:2">
      <c r="A26038" s="3" t="str">
        <f>IFERROR(__xludf.DUMMYFUNCTION("GOOGLETRANSLATE(A26038,""en"",""pt"")"),"não funciona o tempo todo,")</f>
        <v>não funciona o tempo todo,</v>
      </c>
      <c r="B26038" s="3">
        <v>0</v>
      </c>
    </row>
    <row r="26039" ht="15.75" customHeight="1" spans="1:2">
      <c r="A26039" s="3" t="str">
        <f>IFERROR(__xludf.DUMMYFUNCTION("GOOGLETRANSLATE(A26039,""en"",""pt"")"),"tempermental")</f>
        <v>tempermental</v>
      </c>
      <c r="B26039" s="3">
        <v>0</v>
      </c>
    </row>
    <row r="26040" ht="15.75" customHeight="1" spans="1:2">
      <c r="A26040" s="3" t="str">
        <f>IFERROR(__xludf.DUMMYFUNCTION("GOOGLETRANSLATE(A26040,""en"",""pt"")"),"Ou / ou sistema de cartucho de tinta")</f>
        <v>Ou / ou sistema de cartucho de tinta</v>
      </c>
      <c r="B26040" s="3">
        <v>0</v>
      </c>
    </row>
    <row r="26041" ht="15.75" customHeight="1" spans="1:2">
      <c r="A26041" s="3" t="str">
        <f>IFERROR(__xludf.DUMMYFUNCTION("GOOGLETRANSLATE(A26041,""en"",""pt"")"),"tinta caro, vai através de tinta rapidamente, lento")</f>
        <v>tinta caro, vai através de tinta rapidamente, lento</v>
      </c>
      <c r="B26041" s="3">
        <v>0</v>
      </c>
    </row>
    <row r="26042" ht="15.75" customHeight="1" spans="1:2">
      <c r="A26042" s="3" t="str">
        <f>IFERROR(__xludf.DUMMYFUNCTION("GOOGLETRANSLATE(A26042,""en"",""pt"")"),"Velocidade, qualidade")</f>
        <v>Velocidade, qualidade</v>
      </c>
      <c r="B26042" s="3">
        <v>0</v>
      </c>
    </row>
    <row r="26043" ht="15.75" customHeight="1" spans="1:2">
      <c r="A26043" s="3" t="str">
        <f>IFERROR(__xludf.DUMMYFUNCTION("GOOGLETRANSLATE(A26043,""en"",""pt"")"),"todo o resto")</f>
        <v>todo o resto</v>
      </c>
      <c r="B26043" s="3">
        <v>0</v>
      </c>
    </row>
    <row r="26044" ht="15.75" customHeight="1" spans="1:2">
      <c r="A26044" s="3" t="str">
        <f>IFERROR(__xludf.DUMMYFUNCTION("GOOGLETRANSLATE(A26044,""en"",""pt"")"),"n / D")</f>
        <v>n / D</v>
      </c>
      <c r="B26044" s="3">
        <v>0</v>
      </c>
    </row>
    <row r="26045" ht="15.75" customHeight="1" spans="1:2">
      <c r="A26045" s="3" t="str">
        <f>IFERROR(__xludf.DUMMYFUNCTION("GOOGLETRANSLATE(A26045,""en"",""pt"")"),"Não é adequado para qualquer aplicação de trabalho")</f>
        <v>Não é adequado para qualquer aplicação de trabalho</v>
      </c>
      <c r="B26045" s="3">
        <v>0</v>
      </c>
    </row>
    <row r="26046" ht="15.75" customHeight="1" spans="1:2">
      <c r="A26046" s="3" t="str">
        <f>IFERROR(__xludf.DUMMYFUNCTION("GOOGLETRANSLATE(A26046,""en"",""pt"")"),"alimentação de papel Auto não funciona")</f>
        <v>alimentação de papel Auto não funciona</v>
      </c>
      <c r="B26046" s="3">
        <v>0</v>
      </c>
    </row>
    <row r="26047" ht="15.75" customHeight="1" spans="1:2">
      <c r="A26047" s="3" t="str">
        <f>IFERROR(__xludf.DUMMYFUNCTION("GOOGLETRANSLATE(A26047,""en"",""pt"")"),"congestionamentos freqüentes, manchas e texto compensar ocasionalmente")</f>
        <v>congestionamentos freqüentes, manchas e texto compensar ocasionalmente</v>
      </c>
      <c r="B26047" s="3">
        <v>0</v>
      </c>
    </row>
    <row r="26048" ht="15.75" customHeight="1" spans="1:2">
      <c r="A26048" s="3" t="str">
        <f>IFERROR(__xludf.DUMMYFUNCTION("GOOGLETRANSLATE(A26048,""en"",""pt"")"),"alimentador de topo")</f>
        <v>alimentador de topo</v>
      </c>
      <c r="B26048" s="3">
        <v>0</v>
      </c>
    </row>
    <row r="26049" ht="15.75" customHeight="1" spans="1:2">
      <c r="A26049" s="3" t="str">
        <f>IFERROR(__xludf.DUMMYFUNCTION("GOOGLETRANSLATE(A26049,""en"",""pt"")"),"sistema de cartucho único, velocidades lentas, baixa qualidade, i deve ir em frente?")</f>
        <v>sistema de cartucho único, velocidades lentas, baixa qualidade, i deve ir em frente?</v>
      </c>
      <c r="B26049" s="3">
        <v>0</v>
      </c>
    </row>
    <row r="26050" ht="15.75" customHeight="1" spans="1:2">
      <c r="A26050" s="3" t="str">
        <f>IFERROR(__xludf.DUMMYFUNCTION("GOOGLETRANSLATE(A26050,""en"",""pt"")"),"cartuchos caros, um cartucho, abrandar.")</f>
        <v>cartuchos caros, um cartucho, abrandar.</v>
      </c>
      <c r="B26050" s="3">
        <v>0</v>
      </c>
    </row>
    <row r="26051" ht="15.75" customHeight="1" spans="1:2">
      <c r="A26051" s="3" t="str">
        <f>IFERROR(__xludf.DUMMYFUNCTION("GOOGLETRANSLATE(A26051,""en"",""pt"")"),"Ficha de alimentação, Drivers, velocidade, qualidade")</f>
        <v>Ficha de alimentação, Drivers, velocidade, qualidade</v>
      </c>
      <c r="B26051" s="3">
        <v>0</v>
      </c>
    </row>
    <row r="26052" ht="15.75" customHeight="1" spans="1:2">
      <c r="A26052" s="3" t="str">
        <f>IFERROR(__xludf.DUMMYFUNCTION("GOOGLETRANSLATE(A26052,""en"",""pt"")"),"Pobre velocidade e qualidade")</f>
        <v>Pobre velocidade e qualidade</v>
      </c>
      <c r="B26052" s="3">
        <v>0</v>
      </c>
    </row>
    <row r="26053" ht="15.75" customHeight="1" spans="1:2">
      <c r="A26053" s="3" t="str">
        <f>IFERROR(__xludf.DUMMYFUNCTION("GOOGLETRANSLATE(A26053,""en"",""pt"")"),"Caros cartuchos de tinta")</f>
        <v>Caros cartuchos de tinta</v>
      </c>
      <c r="B26053" s="3">
        <v>0</v>
      </c>
    </row>
    <row r="26054" ht="15.75" customHeight="1" spans="1:2">
      <c r="A26054" s="3" t="str">
        <f>IFERROR(__xludf.DUMMYFUNCTION("GOOGLETRANSLATE(A26054,""en"",""pt"")"),"Muitos para mencionar")</f>
        <v>Muitos para mencionar</v>
      </c>
      <c r="B26054" s="3">
        <v>0</v>
      </c>
    </row>
    <row r="26055" ht="15.75" customHeight="1" spans="1:2">
      <c r="A26055" s="3" t="str">
        <f>IFERROR(__xludf.DUMMYFUNCTION("GOOGLETRANSLATE(A26055,""en"",""pt"")"),"Onde devo começar ........ barato ....")</f>
        <v>Onde devo começar ........ barato ....</v>
      </c>
      <c r="B26055" s="3">
        <v>0</v>
      </c>
    </row>
    <row r="26056" ht="15.75" customHeight="1" spans="1:2">
      <c r="A26056" s="3" t="str">
        <f>IFERROR(__xludf.DUMMYFUNCTION("GOOGLETRANSLATE(A26056,""en"",""pt"")"),"Nenhum")</f>
        <v>Nenhum</v>
      </c>
      <c r="B26056" s="3">
        <v>0</v>
      </c>
    </row>
    <row r="26057" ht="15.75" customHeight="1" spans="1:2">
      <c r="A26057" s="3" t="str">
        <f>IFERROR(__xludf.DUMMYFUNCTION("GOOGLETRANSLATE(A26057,""en"",""pt"")"),"resultados horríveis")</f>
        <v>resultados horríveis</v>
      </c>
      <c r="B26057" s="3">
        <v>0</v>
      </c>
    </row>
    <row r="26058" ht="15.75" customHeight="1" spans="1:2">
      <c r="A26058" s="3" t="str">
        <f>IFERROR(__xludf.DUMMYFUNCTION("GOOGLETRANSLATE(A26058,""en"",""pt"")"),".....")</f>
        <v>.....</v>
      </c>
      <c r="B26058" s="3">
        <v>0</v>
      </c>
    </row>
    <row r="26059" ht="15.75" customHeight="1" spans="1:2">
      <c r="A26059" s="3" t="str">
        <f>IFERROR(__xludf.DUMMYFUNCTION("GOOGLETRANSLATE(A26059,""en"",""pt"")"),"cartuchos de tinta pode ser um pouco difícil de encontrar, mas você pode encomendá-los direto do Lexmark online.")</f>
        <v>cartuchos de tinta pode ser um pouco difícil de encontrar, mas você pode encomendá-los direto do Lexmark online.</v>
      </c>
      <c r="B26059" s="3">
        <v>0</v>
      </c>
    </row>
    <row r="26060" ht="15.75" customHeight="1" spans="1:2">
      <c r="A26060" s="3" t="str">
        <f>IFERROR(__xludf.DUMMYFUNCTION("GOOGLETRANSLATE(A26060,""en"",""pt"")"),"poderia ser mais claro")</f>
        <v>poderia ser mais claro</v>
      </c>
      <c r="B26060" s="3">
        <v>0</v>
      </c>
    </row>
    <row r="26061" ht="15.75" customHeight="1" spans="1:2">
      <c r="A26061" s="3" t="str">
        <f>IFERROR(__xludf.DUMMYFUNCTION("GOOGLETRANSLATE(A26061,""en"",""pt"")"),"Tudo")</f>
        <v>Tudo</v>
      </c>
      <c r="B26061" s="3">
        <v>0</v>
      </c>
    </row>
    <row r="26062" ht="15.75" customHeight="1" spans="1:2">
      <c r="A26062" s="3" t="str">
        <f>IFERROR(__xludf.DUMMYFUNCTION("GOOGLETRANSLATE(A26062,""en"",""pt"")"),"não tão bom quanto os modelos mais caros")</f>
        <v>não tão bom quanto os modelos mais caros</v>
      </c>
      <c r="B26062" s="3">
        <v>0</v>
      </c>
    </row>
    <row r="26063" ht="15.75" customHeight="1" spans="1:2">
      <c r="A26063" s="3" t="str">
        <f>IFERROR(__xludf.DUMMYFUNCTION("GOOGLETRANSLATE(A26063,""en"",""pt"")"),"lento alimentador, o papel não faz o trabalho direito")</f>
        <v>lento alimentador, o papel não faz o trabalho direito</v>
      </c>
      <c r="B26063" s="3">
        <v>0</v>
      </c>
    </row>
    <row r="26064" ht="15.75" customHeight="1" spans="1:2">
      <c r="A26064" s="3" t="str">
        <f>IFERROR(__xludf.DUMMYFUNCTION("GOOGLETRANSLATE(A26064,""en"",""pt"")"),"Para retardar apenas toda a dor nas nádegas.")</f>
        <v>Para retardar apenas toda a dor nas nádegas.</v>
      </c>
      <c r="B26064" s="3">
        <v>0</v>
      </c>
    </row>
    <row r="26065" ht="15.75" customHeight="1" spans="1:2">
      <c r="A26065" s="3" t="str">
        <f>IFERROR(__xludf.DUMMYFUNCTION("GOOGLETRANSLATE(A26065,""en"",""pt"")"),"Recentemente agindo para cima (erro de programa), um slot para cartuchos somente, recomendar re kit de tinta.")</f>
        <v>Recentemente agindo para cima (erro de programa), um slot para cartuchos somente, recomendar re kit de tinta.</v>
      </c>
      <c r="B26065" s="3">
        <v>0</v>
      </c>
    </row>
    <row r="26066" ht="15.75" customHeight="1" spans="1:2">
      <c r="A26066" s="3" t="str">
        <f>IFERROR(__xludf.DUMMYFUNCTION("GOOGLETRANSLATE(A26066,""en"",""pt"")"),"manuseamento de papel - o meu um ano de papel alças velhos melhor")</f>
        <v>manuseamento de papel - o meu um ano de papel alças velhos melhor</v>
      </c>
      <c r="B26066" s="3">
        <v>0</v>
      </c>
    </row>
    <row r="26067" ht="15.75" customHeight="1" spans="1:2">
      <c r="A26067" s="3" t="str">
        <f>IFERROR(__xludf.DUMMYFUNCTION("GOOGLETRANSLATE(A26067,""en"",""pt"")"),"qualidade barata sujeira.")</f>
        <v>qualidade barata sujeira.</v>
      </c>
      <c r="B26067" s="3">
        <v>0</v>
      </c>
    </row>
    <row r="26068" ht="15.75" customHeight="1" spans="1:2">
      <c r="A26068" s="3" t="str">
        <f>IFERROR(__xludf.DUMMYFUNCTION("GOOGLETRANSLATE(A26068,""en"",""pt"")"),"Lento, qualidade das impressões, cartuchos caros")</f>
        <v>Lento, qualidade das impressões, cartuchos caros</v>
      </c>
      <c r="B26068" s="3">
        <v>0</v>
      </c>
    </row>
    <row r="26069" ht="15.75" customHeight="1" spans="1:2">
      <c r="A26069" s="3" t="str">
        <f>IFERROR(__xludf.DUMMYFUNCTION("GOOGLETRANSLATE(A26069,""en"",""pt"")"),"Tudo")</f>
        <v>Tudo</v>
      </c>
      <c r="B26069" s="3">
        <v>0</v>
      </c>
    </row>
    <row r="26070" ht="15.75" customHeight="1" spans="1:2">
      <c r="A26070" s="3" t="str">
        <f>IFERROR(__xludf.DUMMYFUNCTION("GOOGLETRANSLATE(A26070,""en"",""pt"")"),"fabricação barata / não é durável, atolamentos de papel")</f>
        <v>fabricação barata / não é durável, atolamentos de papel</v>
      </c>
      <c r="B26070" s="3">
        <v>0</v>
      </c>
    </row>
    <row r="26071" ht="15.75" customHeight="1" spans="1:2">
      <c r="A26071" s="3" t="str">
        <f>IFERROR(__xludf.DUMMYFUNCTION("GOOGLETRANSLATE(A26071,""en"",""pt"")"),"Normalmente isso não acontece")</f>
        <v>Normalmente isso não acontece</v>
      </c>
      <c r="B26071" s="3">
        <v>0</v>
      </c>
    </row>
    <row r="26072" ht="15.75" customHeight="1" spans="1:2">
      <c r="A26072" s="3" t="str">
        <f>IFERROR(__xludf.DUMMYFUNCTION("GOOGLETRANSLATE(A26072,""en"",""pt"")"),"lento, muitos problemas pequenos")</f>
        <v>lento, muitos problemas pequenos</v>
      </c>
      <c r="B26072" s="3">
        <v>0</v>
      </c>
    </row>
    <row r="26073" ht="15.75" customHeight="1" spans="1:2">
      <c r="A26073" s="3" t="str">
        <f>IFERROR(__xludf.DUMMYFUNCTION("GOOGLETRANSLATE(A26073,""en"",""pt"")"),"atolamentos de papel")</f>
        <v>atolamentos de papel</v>
      </c>
      <c r="B26073" s="3">
        <v>0</v>
      </c>
    </row>
    <row r="26074" ht="15.75" customHeight="1" spans="1:2">
      <c r="A26074" s="3" t="str">
        <f>IFERROR(__xludf.DUMMYFUNCTION("GOOGLETRANSLATE(A26074,""en"",""pt"")"),"O novo ""Compaq"" e ""Samsung"" cartuchos compatíveis não funcionam nele.")</f>
        <v>O novo "Compaq" e "Samsung" cartuchos compatíveis não funcionam nele.</v>
      </c>
      <c r="B26074" s="3">
        <v>0</v>
      </c>
    </row>
    <row r="26075" ht="15.75" customHeight="1" spans="1:2">
      <c r="A26075" s="3" t="str">
        <f>IFERROR(__xludf.DUMMYFUNCTION("GOOGLETRANSLATE(A26075,""en"",""pt"")"),"Não se pode dizer em menos de 15 palavras!")</f>
        <v>Não se pode dizer em menos de 15 palavras!</v>
      </c>
      <c r="B26075" s="3">
        <v>0</v>
      </c>
    </row>
    <row r="26076" ht="15.75" customHeight="1" spans="1:2">
      <c r="A26076" s="3" t="str">
        <f>IFERROR(__xludf.DUMMYFUNCTION("GOOGLETRANSLATE(A26076,""en"",""pt"")"),"atolamentos de papel constantemente, desperdiça tinta")</f>
        <v>atolamentos de papel constantemente, desperdiça tinta</v>
      </c>
      <c r="B26076" s="3">
        <v>0</v>
      </c>
    </row>
    <row r="26077" ht="15.75" customHeight="1" spans="1:2">
      <c r="A26077" s="3" t="str">
        <f>IFERROR(__xludf.DUMMYFUNCTION("GOOGLETRANSLATE(A26077,""en"",""pt"")"),"compotas muito, cartucho de tinta exspensive.")</f>
        <v>compotas muito, cartucho de tinta exspensive.</v>
      </c>
      <c r="B26077" s="3">
        <v>0</v>
      </c>
    </row>
    <row r="26078" ht="15.75" customHeight="1" spans="1:2">
      <c r="A26078" s="3" t="str">
        <f>IFERROR(__xludf.DUMMYFUNCTION("GOOGLETRANSLATE(A26078,""en"",""pt"")"),"muitos")</f>
        <v>muitos</v>
      </c>
      <c r="B26078" s="3">
        <v>0</v>
      </c>
    </row>
    <row r="26079" ht="15.75" customHeight="1" spans="1:2">
      <c r="A26079" s="3" t="str">
        <f>IFERROR(__xludf.DUMMYFUNCTION("GOOGLETRANSLATE(A26079,""en"",""pt"")"),"carros são caros, a cor é desejável, um pouco lento")</f>
        <v>carros são caros, a cor é desejável, um pouco lento</v>
      </c>
      <c r="B26079" s="3">
        <v>0</v>
      </c>
    </row>
    <row r="26080" ht="15.75" customHeight="1" spans="1:2">
      <c r="A26080" s="3" t="str">
        <f>IFERROR(__xludf.DUMMYFUNCTION("GOOGLETRANSLATE(A26080,""en"",""pt"")"),"Nenhuma interruptor de energia, nenhum tabuleiro de folhas impressas de captura")</f>
        <v>Nenhuma interruptor de energia, nenhum tabuleiro de folhas impressas de captura</v>
      </c>
      <c r="B26080" s="3">
        <v>0</v>
      </c>
    </row>
    <row r="26081" ht="15.75" customHeight="1" spans="1:2">
      <c r="A26081" s="3" t="str">
        <f>IFERROR(__xludf.DUMMYFUNCTION("GOOGLETRANSLATE(A26081,""en"",""pt"")"),"Apenas sobre cada coisa que pode fazer uma má impressão.")</f>
        <v>Apenas sobre cada coisa que pode fazer uma má impressão.</v>
      </c>
      <c r="B26081" s="3">
        <v>0</v>
      </c>
    </row>
    <row r="26082" ht="15.75" customHeight="1" spans="1:2">
      <c r="A26082" s="3" t="str">
        <f>IFERROR(__xludf.DUMMYFUNCTION("GOOGLETRANSLATE(A26082,""en"",""pt"")"),"Lento, barulhento")</f>
        <v>Lento, barulhento</v>
      </c>
      <c r="B26082" s="3">
        <v>0</v>
      </c>
    </row>
    <row r="26083" ht="15.75" customHeight="1" spans="1:2">
      <c r="A26083" s="3" t="str">
        <f>IFERROR(__xludf.DUMMYFUNCTION("GOOGLETRANSLATE(A26083,""en"",""pt"")"),"Às vezes um pouco lento, dependendo das definições ...")</f>
        <v>Às vezes um pouco lento, dependendo das definições ...</v>
      </c>
      <c r="B26083" s="3">
        <v>0</v>
      </c>
    </row>
    <row r="26084" ht="15.75" customHeight="1" spans="1:2">
      <c r="A26084" s="3" t="str">
        <f>IFERROR(__xludf.DUMMYFUNCTION("GOOGLETRANSLATE(A26084,""en"",""pt"")"),"Lento, não confiável, papel come")</f>
        <v>Lento, não confiável, papel come</v>
      </c>
      <c r="B26084" s="3">
        <v>0</v>
      </c>
    </row>
    <row r="26085" ht="15.75" customHeight="1" spans="1:2">
      <c r="A26085" s="3" t="str">
        <f>IFERROR(__xludf.DUMMYFUNCTION("GOOGLETRANSLATE(A26085,""en"",""pt"")"),"Constante Erros bidirecional e teve de papel de alimentação mão")</f>
        <v>Constante Erros bidirecional e teve de papel de alimentação mão</v>
      </c>
      <c r="B26085" s="3">
        <v>0</v>
      </c>
    </row>
    <row r="26086" ht="15.75" customHeight="1" spans="1:2">
      <c r="A26086" s="3" t="str">
        <f>IFERROR(__xludf.DUMMYFUNCTION("GOOGLETRANSLATE(A26086,""en"",""pt"")"),"custo dos cartuchos, ruído, perfil")</f>
        <v>custo dos cartuchos, ruído, perfil</v>
      </c>
      <c r="B26086" s="3">
        <v>0</v>
      </c>
    </row>
    <row r="26087" ht="15.75" customHeight="1" spans="1:2">
      <c r="A26087" s="3" t="str">
        <f>IFERROR(__xludf.DUMMYFUNCTION("GOOGLETRANSLATE(A26087,""en"",""pt"")"),"Esperando por ele para ser entregue")</f>
        <v>Esperando por ele para ser entregue</v>
      </c>
      <c r="B26087" s="3">
        <v>0</v>
      </c>
    </row>
    <row r="26088" ht="15.75" customHeight="1" spans="1:2">
      <c r="A26088" s="3" t="str">
        <f>IFERROR(__xludf.DUMMYFUNCTION("GOOGLETRANSLATE(A26088,""en"",""pt"")"),"Os cartuchos são um pouco caros, mas duram um bom tempo")</f>
        <v>Os cartuchos são um pouco caros, mas duram um bom tempo</v>
      </c>
      <c r="B26088" s="3">
        <v>0</v>
      </c>
    </row>
    <row r="26089" ht="15.75" customHeight="1" spans="1:2">
      <c r="A26089" s="3" t="str">
        <f>IFERROR(__xludf.DUMMYFUNCTION("GOOGLETRANSLATE(A26089,""en"",""pt"")"),"Frágil")</f>
        <v>Frágil</v>
      </c>
      <c r="B26089" s="3">
        <v>0</v>
      </c>
    </row>
    <row r="26090" ht="15.75" customHeight="1" spans="1:2">
      <c r="A26090" s="3" t="str">
        <f>IFERROR(__xludf.DUMMYFUNCTION("GOOGLETRANSLATE(A26090,""en"",""pt"")"),"não faz jus a esses créditos. rapidamente se rompe")</f>
        <v>não faz jus a esses créditos. rapidamente se rompe</v>
      </c>
      <c r="B26090" s="3">
        <v>0</v>
      </c>
    </row>
    <row r="26091" ht="15.75" customHeight="1" spans="1:2">
      <c r="A26091" s="3" t="str">
        <f>IFERROR(__xludf.DUMMYFUNCTION("GOOGLETRANSLATE(A26091,""en"",""pt"")"),"cor pode sair mal mesmo com 1/2 de um cartucho de esquerda")</f>
        <v>cor pode sair mal mesmo com 1/2 de um cartucho de esquerda</v>
      </c>
      <c r="B26091" s="3">
        <v>0</v>
      </c>
    </row>
    <row r="26092" ht="15.75" customHeight="1" spans="1:2">
      <c r="A26092" s="3" t="str">
        <f>IFERROR(__xludf.DUMMYFUNCTION("GOOGLETRANSLATE(A26092,""en"",""pt"")"),"Nenhum")</f>
        <v>Nenhum</v>
      </c>
      <c r="B26092" s="3">
        <v>0</v>
      </c>
    </row>
    <row r="26093" ht="15.75" customHeight="1" spans="1:2">
      <c r="A26093" s="3" t="str">
        <f>IFERROR(__xludf.DUMMYFUNCTION("GOOGLETRANSLATE(A26093,""en"",""pt"")"),"Se sente mais barato, cartuchos de tinta caros")</f>
        <v>Se sente mais barato, cartuchos de tinta caros</v>
      </c>
      <c r="B26093" s="3">
        <v>0</v>
      </c>
    </row>
    <row r="26094" ht="15.75" customHeight="1" spans="1:2">
      <c r="A26094" s="3" t="str">
        <f>IFERROR(__xludf.DUMMYFUNCTION("GOOGLETRANSLATE(A26094,""en"",""pt"")"),"alto custo de cartuchos de tinta - e papéis especiais")</f>
        <v>alto custo de cartuchos de tinta - e papéis especiais</v>
      </c>
      <c r="B26094" s="3">
        <v>0</v>
      </c>
    </row>
    <row r="26095" ht="15.75" customHeight="1" spans="1:2">
      <c r="A26095" s="3" t="str">
        <f>IFERROR(__xludf.DUMMYFUNCTION("GOOGLETRANSLATE(A26095,""en"",""pt"")"),"Caso é ligeiramente chinsey")</f>
        <v>Caso é ligeiramente chinsey</v>
      </c>
      <c r="B26095" s="3">
        <v>0</v>
      </c>
    </row>
    <row r="26096" ht="15.75" customHeight="1" spans="1:2">
      <c r="A26096" s="3" t="str">
        <f>IFERROR(__xludf.DUMMYFUNCTION("GOOGLETRANSLATE(A26096,""en"",""pt"")"),"impressão lenta")</f>
        <v>impressão lenta</v>
      </c>
      <c r="B26096" s="3">
        <v>0</v>
      </c>
    </row>
    <row r="26097" ht="15.75" customHeight="1" spans="1:2">
      <c r="A26097" s="3" t="str">
        <f>IFERROR(__xludf.DUMMYFUNCTION("GOOGLETRANSLATE(A26097,""en"",""pt"")"),"cartucho overprice")</f>
        <v>cartucho overprice</v>
      </c>
      <c r="B26097" s="3">
        <v>0</v>
      </c>
    </row>
    <row r="26098" ht="15.75" customHeight="1" spans="1:2">
      <c r="A26098" s="3" t="str">
        <f>IFERROR(__xludf.DUMMYFUNCTION("GOOGLETRANSLATE(A26098,""en"",""pt"")"),"Alto custo por página, pode ser ultrapassado por novas impressoras")</f>
        <v>Alto custo por página, pode ser ultrapassado por novas impressoras</v>
      </c>
      <c r="B26098" s="3">
        <v>0</v>
      </c>
    </row>
    <row r="26099" ht="15.75" customHeight="1" spans="1:2">
      <c r="A26099" s="3" t="str">
        <f>IFERROR(__xludf.DUMMYFUNCTION("GOOGLETRANSLATE(A26099,""en"",""pt"")"),"Erros técnicos, caro para manter")</f>
        <v>Erros técnicos, caro para manter</v>
      </c>
      <c r="B26099" s="3">
        <v>0</v>
      </c>
    </row>
    <row r="26100" ht="15.75" customHeight="1" spans="1:2">
      <c r="A26100" s="3" t="str">
        <f>IFERROR(__xludf.DUMMYFUNCTION("GOOGLETRANSLATE(A26100,""en"",""pt"")"),"Mais $$ do que as marcas cheapo")</f>
        <v>Mais $$ do que as marcas cheapo</v>
      </c>
      <c r="B26100" s="3">
        <v>0</v>
      </c>
    </row>
    <row r="26101" ht="15.75" customHeight="1" spans="1:2">
      <c r="A26101" s="3" t="str">
        <f>IFERROR(__xludf.DUMMYFUNCTION("GOOGLETRANSLATE(A26101,""en"",""pt"")"),"atolamentos de papel se a bandeja de papel bloqueados")</f>
        <v>atolamentos de papel se a bandeja de papel bloqueados</v>
      </c>
      <c r="B26101" s="3">
        <v>0</v>
      </c>
    </row>
    <row r="26102" ht="15.75" customHeight="1" spans="1:2">
      <c r="A26102" s="3" t="str">
        <f>IFERROR(__xludf.DUMMYFUNCTION("GOOGLETRANSLATE(A26102,""en"",""pt"")"),"o uso de tinta dispendiosa")</f>
        <v>o uso de tinta dispendiosa</v>
      </c>
      <c r="B26102" s="3">
        <v>0</v>
      </c>
    </row>
    <row r="26103" ht="15.75" customHeight="1" spans="1:2">
      <c r="A26103" s="3" t="str">
        <f>IFERROR(__xludf.DUMMYFUNCTION("GOOGLETRANSLATE(A26103,""en"",""pt"")"),"Preço dos cartuchos de tinta")</f>
        <v>Preço dos cartuchos de tinta</v>
      </c>
      <c r="B26103" s="3">
        <v>0</v>
      </c>
    </row>
    <row r="26104" ht="15.75" customHeight="1" spans="1:2">
      <c r="A26104" s="3" t="str">
        <f>IFERROR(__xludf.DUMMYFUNCTION("GOOGLETRANSLATE(A26104,""en"",""pt"")"),"É um pouco lento em 1200 x 1200 velocidade de impressão a cores - mas é comparável a outros modelos.")</f>
        <v>É um pouco lento em 1200 x 1200 velocidade de impressão a cores - mas é comparável a outros modelos.</v>
      </c>
      <c r="B26104" s="3">
        <v>0</v>
      </c>
    </row>
    <row r="26105" ht="15.75" customHeight="1" spans="1:2">
      <c r="A26105" s="3" t="str">
        <f>IFERROR(__xludf.DUMMYFUNCTION("GOOGLETRANSLATE(A26105,""en"",""pt"")"),"modelo descontinuado, mas ainda está disponível")</f>
        <v>modelo descontinuado, mas ainda está disponível</v>
      </c>
      <c r="B26105" s="3">
        <v>0</v>
      </c>
    </row>
    <row r="26106" ht="15.75" customHeight="1" spans="1:2">
      <c r="A26106" s="3" t="str">
        <f>IFERROR(__xludf.DUMMYFUNCTION("GOOGLETRANSLATE(A26106,""en"",""pt"")"),"Odeio o tabuleiro de alimentação de papel")</f>
        <v>Odeio o tabuleiro de alimentação de papel</v>
      </c>
      <c r="B26106" s="3">
        <v>0</v>
      </c>
    </row>
    <row r="26107" ht="15.75" customHeight="1" spans="1:2">
      <c r="A26107" s="3" t="str">
        <f>IFERROR(__xludf.DUMMYFUNCTION("GOOGLETRANSLATE(A26107,""en"",""pt"")"),"Cartuchos são caros")</f>
        <v>Cartuchos são caros</v>
      </c>
      <c r="B26107" s="3">
        <v>0</v>
      </c>
    </row>
    <row r="26108" ht="15.75" customHeight="1" spans="1:2">
      <c r="A26108" s="3" t="str">
        <f>IFERROR(__xludf.DUMMYFUNCTION("GOOGLETRANSLATE(A26108,""en"",""pt"")"),"Tem que usar papel pesado ....")</f>
        <v>Tem que usar papel pesado ....</v>
      </c>
      <c r="B26108" s="3">
        <v>0</v>
      </c>
    </row>
    <row r="26109" ht="15.75" customHeight="1" spans="1:2">
      <c r="A26109" s="3" t="str">
        <f>IFERROR(__xludf.DUMMYFUNCTION("GOOGLETRANSLATE(A26109,""en"",""pt"")"),"muito tempo para carretel, nem sempre imprimir")</f>
        <v>muito tempo para carretel, nem sempre imprimir</v>
      </c>
      <c r="B26109" s="3">
        <v>0</v>
      </c>
    </row>
    <row r="26110" ht="15.75" customHeight="1" spans="1:2">
      <c r="A26110" s="3" t="str">
        <f>IFERROR(__xludf.DUMMYFUNCTION("GOOGLETRANSLATE(A26110,""en"",""pt"")"),"Nenhum")</f>
        <v>Nenhum</v>
      </c>
      <c r="B26110" s="3">
        <v>0</v>
      </c>
    </row>
    <row r="26111" ht="15.75" customHeight="1" spans="1:2">
      <c r="A26111" s="3" t="str">
        <f>IFERROR(__xludf.DUMMYFUNCTION("GOOGLETRANSLATE(A26111,""en"",""pt"")"),"Não confiável, hora e máquina de desperdício de recursos.")</f>
        <v>Não confiável, hora e máquina de desperdício de recursos.</v>
      </c>
      <c r="B26111" s="3">
        <v>0</v>
      </c>
    </row>
    <row r="26112" ht="15.75" customHeight="1" spans="1:2">
      <c r="A26112" s="3" t="str">
        <f>IFERROR(__xludf.DUMMYFUNCTION("GOOGLETRANSLATE(A26112,""en"",""pt"")"),"cartuchos de tinta não funcionam adequadamente, a construção parece má qualidade.")</f>
        <v>cartuchos de tinta não funcionam adequadamente, a construção parece má qualidade.</v>
      </c>
      <c r="B26112" s="3">
        <v>0</v>
      </c>
    </row>
    <row r="26113" ht="15.75" customHeight="1" spans="1:2">
      <c r="A26113" s="3" t="str">
        <f>IFERROR(__xludf.DUMMYFUNCTION("GOOGLETRANSLATE(A26113,""en"",""pt"")"),"Nenhum")</f>
        <v>Nenhum</v>
      </c>
      <c r="B26113" s="3">
        <v>0</v>
      </c>
    </row>
    <row r="26114" ht="15.75" customHeight="1" spans="1:2">
      <c r="A26114" s="3" t="str">
        <f>IFERROR(__xludf.DUMMYFUNCTION("GOOGLETRANSLATE(A26114,""en"",""pt"")"),"custo da tinta, o ruído (todos os problemas comuns a jatos de tinta)")</f>
        <v>custo da tinta, o ruído (todos os problemas comuns a jatos de tinta)</v>
      </c>
      <c r="B26114" s="3">
        <v>0</v>
      </c>
    </row>
    <row r="26115" ht="15.75" customHeight="1" spans="1:2">
      <c r="A26115" s="3" t="str">
        <f>IFERROR(__xludf.DUMMYFUNCTION("GOOGLETRANSLATE(A26115,""en"",""pt"")"),"Preço de tinta")</f>
        <v>Preço de tinta</v>
      </c>
      <c r="B26115" s="3">
        <v>0</v>
      </c>
    </row>
    <row r="26116" ht="15.75" customHeight="1" spans="1:2">
      <c r="A26116" s="3" t="str">
        <f>IFERROR(__xludf.DUMMYFUNCTION("GOOGLETRANSLATE(A26116,""en"",""pt"")"),"resolução ruim, problemas freqüentes,")</f>
        <v>resolução ruim, problemas freqüentes,</v>
      </c>
      <c r="B26116" s="3">
        <v>0</v>
      </c>
    </row>
    <row r="26117" ht="15.75" customHeight="1" spans="1:2">
      <c r="A26117" s="3" t="str">
        <f>IFERROR(__xludf.DUMMYFUNCTION("GOOGLETRANSLATE(A26117,""en"",""pt"")"),"recargas de tinta custa muito")</f>
        <v>recargas de tinta custa muito</v>
      </c>
      <c r="B26117" s="3">
        <v>0</v>
      </c>
    </row>
    <row r="26118" ht="15.75" customHeight="1" spans="1:2">
      <c r="A26118" s="3" t="str">
        <f>IFERROR(__xludf.DUMMYFUNCTION("GOOGLETRANSLATE(A26118,""en"",""pt"")"),"Muitos problemas com esta impressora e é motoristas, porta paralela somente, cabo paralelo não incluído, usa muita tinta rapidamente")</f>
        <v>Muitos problemas com esta impressora e é motoristas, porta paralela somente, cabo paralelo não incluído, usa muita tinta rapidamente</v>
      </c>
      <c r="B26118" s="3">
        <v>0</v>
      </c>
    </row>
    <row r="26119" ht="15.75" customHeight="1" spans="1:2">
      <c r="A26119" s="3" t="str">
        <f>IFERROR(__xludf.DUMMYFUNCTION("GOOGLETRANSLATE(A26119,""en"",""pt"")"),"custo muito elevado de consumo, má manipulação dos envelopes")</f>
        <v>custo muito elevado de consumo, má manipulação dos envelopes</v>
      </c>
      <c r="B26119" s="3">
        <v>0</v>
      </c>
    </row>
    <row r="26120" ht="15.75" customHeight="1" spans="1:2">
      <c r="A26120" s="3" t="str">
        <f>IFERROR(__xludf.DUMMYFUNCTION("GOOGLETRANSLATE(A26120,""en"",""pt"")"),"nada que eu possa ver")</f>
        <v>nada que eu possa ver</v>
      </c>
      <c r="B26120" s="3">
        <v>0</v>
      </c>
    </row>
    <row r="26121" ht="15.75" customHeight="1" spans="1:2">
      <c r="A26121" s="3" t="str">
        <f>IFERROR(__xludf.DUMMYFUNCTION("GOOGLETRANSLATE(A26121,""en"",""pt"")"),"Undependable, lento, frágil, inconsistente suportado, suprimentos caros e inconsistentes em qualidade, suprimentos difíceis de encontrar, não é adequado para o uso diário, certamente não é adequado para uso profissional.")</f>
        <v>Undependable, lento, frágil, inconsistente suportado, suprimentos caros e inconsistentes em qualidade, suprimentos difíceis de encontrar, não é adequado para o uso diário, certamente não é adequado para uso profissional.</v>
      </c>
      <c r="B26121" s="3">
        <v>0</v>
      </c>
    </row>
    <row r="26122" ht="15.75" customHeight="1" spans="1:2">
      <c r="A26122" s="3" t="str">
        <f>IFERROR(__xludf.DUMMYFUNCTION("GOOGLETRANSLATE(A26122,""en"",""pt"")"),"É difícil &amp; amp; quot; pontuação &amp; amp; quot; em torno da borda para desencaixar o topo")</f>
        <v>É difícil &amp; amp; quot; pontuação &amp; amp; quot; em torno da borda para desencaixar o topo</v>
      </c>
      <c r="B26122" s="3">
        <v>0</v>
      </c>
    </row>
    <row r="26123" ht="15.75" customHeight="1" spans="1:2">
      <c r="A26123" s="3" t="str">
        <f>IFERROR(__xludf.DUMMYFUNCTION("GOOGLETRANSLATE(A26123,""en"",""pt"")"),"beberrão de tinta ... caro no longo prazo")</f>
        <v>beberrão de tinta ... caro no longo prazo</v>
      </c>
      <c r="B26123" s="3">
        <v>0</v>
      </c>
    </row>
    <row r="26124" ht="15.75" customHeight="1" spans="1:2">
      <c r="A26124" s="3" t="str">
        <f>IFERROR(__xludf.DUMMYFUNCTION("GOOGLETRANSLATE(A26124,""en"",""pt"")"),"Não confiável; geléias; apoio não ajuda; tinta é muito caro")</f>
        <v>Não confiável; geléias; apoio não ajuda; tinta é muito caro</v>
      </c>
      <c r="B26124" s="3">
        <v>0</v>
      </c>
    </row>
    <row r="26125" ht="15.75" customHeight="1" spans="1:2">
      <c r="A26125" s="3" t="str">
        <f>IFERROR(__xludf.DUMMYFUNCTION("GOOGLETRANSLATE(A26125,""en"",""pt"")"),"o desempenho do cartucho pobre, problemas com o alimentador de papel")</f>
        <v>o desempenho do cartucho pobre, problemas com o alimentador de papel</v>
      </c>
      <c r="B26125" s="3">
        <v>0</v>
      </c>
    </row>
    <row r="26126" ht="15.75" customHeight="1" spans="1:2">
      <c r="A26126" s="3" t="str">
        <f>IFERROR(__xludf.DUMMYFUNCTION("GOOGLETRANSLATE(A26126,""en"",""pt"")"),"não gosta quando você reabastecer seus próprios cartuchos. Tinha outras falhas.")</f>
        <v>não gosta quando você reabastecer seus próprios cartuchos. Tinha outras falhas.</v>
      </c>
      <c r="B26126" s="3">
        <v>0</v>
      </c>
    </row>
    <row r="26127" ht="15.75" customHeight="1" spans="1:2">
      <c r="A26127" s="3" t="str">
        <f>IFERROR(__xludf.DUMMYFUNCTION("GOOGLETRANSLATE(A26127,""en"",""pt"")"),"Não é o melhor qualidade, você recebe o que você paga.")</f>
        <v>Não é o melhor qualidade, você recebe o que você paga.</v>
      </c>
      <c r="B26127" s="3">
        <v>0</v>
      </c>
    </row>
    <row r="26128" ht="15.75" customHeight="1" spans="1:2">
      <c r="A26128" s="3" t="str">
        <f>IFERROR(__xludf.DUMMYFUNCTION("GOOGLETRANSLATE(A26128,""en"",""pt"")"),"Imprimir compotas de alimentação, impressão lenta, apenas um cartucho de cada vez.")</f>
        <v>Imprimir compotas de alimentação, impressão lenta, apenas um cartucho de cada vez.</v>
      </c>
      <c r="B26128" s="3">
        <v>0</v>
      </c>
    </row>
    <row r="26129" ht="15.75" customHeight="1" spans="1:2">
      <c r="A26129" s="3" t="str">
        <f>IFERROR(__xludf.DUMMYFUNCTION("GOOGLETRANSLATE(A26129,""en"",""pt"")"),"Apenas 1200 x 1200. ter de trocar os cartuchos de tinta.")</f>
        <v>Apenas 1200 x 1200. ter de trocar os cartuchos de tinta.</v>
      </c>
      <c r="B26129" s="3">
        <v>0</v>
      </c>
    </row>
    <row r="26130" ht="15.75" customHeight="1" spans="1:2">
      <c r="A26130" s="3" t="str">
        <f>IFERROR(__xludf.DUMMYFUNCTION("GOOGLETRANSLATE(A26130,""en"",""pt"")"),"Cartuchos um pouco caro")</f>
        <v>Cartuchos um pouco caro</v>
      </c>
      <c r="B26130" s="3">
        <v>0</v>
      </c>
    </row>
    <row r="26131" ht="15.75" customHeight="1" spans="1:2">
      <c r="A26131" s="3" t="str">
        <f>IFERROR(__xludf.DUMMYFUNCTION("GOOGLETRANSLATE(A26131,""en"",""pt"")"),"Esqueça sobre a impressão de qualquer coisa na cor")</f>
        <v>Esqueça sobre a impressão de qualquer coisa na cor</v>
      </c>
      <c r="B26131" s="3">
        <v>0</v>
      </c>
    </row>
    <row r="26132" ht="15.75" customHeight="1" spans="1:2">
      <c r="A26132" s="3" t="str">
        <f>IFERROR(__xludf.DUMMYFUNCTION("GOOGLETRANSLATE(A26132,""en"",""pt"")"),"muito lento impressão, impressão de qualidade não tão boa como outros na faixa de preço.")</f>
        <v>muito lento impressão, impressão de qualidade não tão boa como outros na faixa de preço.</v>
      </c>
      <c r="B26132" s="3">
        <v>0</v>
      </c>
    </row>
    <row r="26133" ht="15.75" customHeight="1" spans="1:2">
      <c r="A26133" s="3" t="str">
        <f>IFERROR(__xludf.DUMMYFUNCTION("GOOGLETRANSLATE(A26133,""en"",""pt"")"),"atolamentos de papel constantemente")</f>
        <v>atolamentos de papel constantemente</v>
      </c>
      <c r="B26133" s="3">
        <v>0</v>
      </c>
    </row>
    <row r="26134" ht="15.75" customHeight="1" spans="1:2">
      <c r="A26134" s="3" t="str">
        <f>IFERROR(__xludf.DUMMYFUNCTION("GOOGLETRANSLATE(A26134,""en"",""pt"")"),"n / D")</f>
        <v>n / D</v>
      </c>
      <c r="B26134" s="3">
        <v>0</v>
      </c>
    </row>
    <row r="26135" ht="15.75" customHeight="1" spans="1:2">
      <c r="A26135" s="3" t="str">
        <f>IFERROR(__xludf.DUMMYFUNCTION("GOOGLETRANSLATE(A26135,""en"",""pt"")"),"de alimentação de papel terrível")</f>
        <v>de alimentação de papel terrível</v>
      </c>
      <c r="B26135" s="3">
        <v>0</v>
      </c>
    </row>
    <row r="26136" ht="15.75" customHeight="1" spans="1:2">
      <c r="A26136" s="3" t="str">
        <f>IFERROR(__xludf.DUMMYFUNCTION("GOOGLETRANSLATE(A26136,""en"",""pt"")"),"Imprimir problemas, lento como lama")</f>
        <v>Imprimir problemas, lento como lama</v>
      </c>
      <c r="B26136" s="3">
        <v>0</v>
      </c>
    </row>
    <row r="26137" ht="15.75" customHeight="1" spans="1:2">
      <c r="A26137" s="3" t="str">
        <f>IFERROR(__xludf.DUMMYFUNCTION("GOOGLETRANSLATE(A26137,""en"",""pt"")"),"apenas apresenta um cartucho de tinta de cada vez")</f>
        <v>apenas apresenta um cartucho de tinta de cada vez</v>
      </c>
      <c r="B26137" s="3">
        <v>0</v>
      </c>
    </row>
    <row r="26138" ht="15.75" customHeight="1" spans="1:2">
      <c r="A26138" s="3" t="str">
        <f>IFERROR(__xludf.DUMMYFUNCTION("GOOGLETRANSLATE(A26138,""en"",""pt"")"),"Pobre impressão a cores de qualidade, não pode usar rebate")</f>
        <v>Pobre impressão a cores de qualidade, não pode usar rebate</v>
      </c>
      <c r="B26138" s="3">
        <v>0</v>
      </c>
    </row>
    <row r="26139" ht="15.75" customHeight="1" spans="1:2">
      <c r="A26139" s="3" t="str">
        <f>IFERROR(__xludf.DUMMYFUNCTION("GOOGLETRANSLATE(A26139,""en"",""pt"")"),"Ligeiramente mais lento do que os modelos mais caros")</f>
        <v>Ligeiramente mais lento do que os modelos mais caros</v>
      </c>
      <c r="B26139" s="3">
        <v>0</v>
      </c>
    </row>
    <row r="26140" ht="15.75" customHeight="1" spans="1:2">
      <c r="A26140" s="3" t="str">
        <f>IFERROR(__xludf.DUMMYFUNCTION("GOOGLETRANSLATE(A26140,""en"",""pt"")"),"lento")</f>
        <v>lento</v>
      </c>
      <c r="B26140" s="3">
        <v>0</v>
      </c>
    </row>
    <row r="26141" ht="15.75" customHeight="1" spans="1:2">
      <c r="A26141" s="3" t="str">
        <f>IFERROR(__xludf.DUMMYFUNCTION("GOOGLETRANSLATE(A26141,""en"",""pt"")"),"Granulado imagem, imagem Dull, Não Velocidade, LOUD !!")</f>
        <v>Granulado imagem, imagem Dull, Não Velocidade, LOUD !!</v>
      </c>
      <c r="B26141" s="3">
        <v>0</v>
      </c>
    </row>
    <row r="26142" ht="15.75" customHeight="1" spans="1:2">
      <c r="A26142" s="3" t="s">
        <v>131</v>
      </c>
      <c r="B26142" s="3">
        <v>0</v>
      </c>
    </row>
    <row r="26143" ht="15.75" customHeight="1" spans="1:2">
      <c r="A26143" s="3" t="str">
        <f>IFERROR(__xludf.DUMMYFUNCTION("GOOGLETRANSLATE(A26143,""en"",""pt"")"),"manipulação de papel ruim")</f>
        <v>manipulação de papel ruim</v>
      </c>
      <c r="B26143" s="3">
        <v>0</v>
      </c>
    </row>
    <row r="26144" ht="15.75" customHeight="1" spans="1:2">
      <c r="A26144" s="3" t="str">
        <f>IFERROR(__xludf.DUMMYFUNCTION("GOOGLETRANSLATE(A26144,""en"",""pt"")"),"single-carrinho, não para uso doméstico escritório")</f>
        <v>single-carrinho, não para uso doméstico escritório</v>
      </c>
      <c r="B26144" s="3">
        <v>0</v>
      </c>
    </row>
    <row r="26145" ht="15.75" customHeight="1" spans="1:2">
      <c r="A26145" s="3" t="str">
        <f>IFERROR(__xludf.DUMMYFUNCTION("GOOGLETRANSLATE(A26145,""en"",""pt"")"),"impressões pobres, atolamentos de papel até o wazoo, outro perdedor Lexmark")</f>
        <v>impressões pobres, atolamentos de papel até o wazoo, outro perdedor Lexmark</v>
      </c>
      <c r="B26145" s="3">
        <v>0</v>
      </c>
    </row>
    <row r="26146" ht="15.75" customHeight="1" spans="1:2">
      <c r="A26146" s="3" t="str">
        <f>IFERROR(__xludf.DUMMYFUNCTION("GOOGLETRANSLATE(A26146,""en"",""pt"")"),"Nenhum")</f>
        <v>Nenhum</v>
      </c>
      <c r="B26146" s="3">
        <v>0</v>
      </c>
    </row>
    <row r="26147" ht="15.75" customHeight="1" spans="1:2">
      <c r="A26147" s="3" t="str">
        <f>IFERROR(__xludf.DUMMYFUNCTION("GOOGLETRANSLATE(A26147,""en"",""pt"")"),"cor e tinta acabar rápida")</f>
        <v>cor e tinta acabar rápida</v>
      </c>
      <c r="B26147" s="3">
        <v>0</v>
      </c>
    </row>
    <row r="26148" ht="15.75" customHeight="1" spans="1:2">
      <c r="A26148" s="3" t="str">
        <f>IFERROR(__xludf.DUMMYFUNCTION("GOOGLETRANSLATE(A26148,""en"",""pt"")"),", Baixa qualidade de impressão, uso lenta tinta voraz")</f>
        <v>, Baixa qualidade de impressão, uso lenta tinta voraz</v>
      </c>
      <c r="B26148" s="3">
        <v>0</v>
      </c>
    </row>
    <row r="26149" ht="15.75" customHeight="1" spans="1:2">
      <c r="A26149" s="3" t="str">
        <f>IFERROR(__xludf.DUMMYFUNCTION("GOOGLETRANSLATE(A26149,""en"",""pt"")"),"Não há suporte para qualquer coisa, mas o Windows 9x")</f>
        <v>Não há suporte para qualquer coisa, mas o Windows 9x</v>
      </c>
      <c r="B26149" s="3">
        <v>0</v>
      </c>
    </row>
    <row r="26150" ht="15.75" customHeight="1" spans="1:2">
      <c r="A26150" s="3" t="str">
        <f>IFERROR(__xludf.DUMMYFUNCTION("GOOGLETRANSLATE(A26150,""en"",""pt"")"),"vida ruim cartucho")</f>
        <v>vida ruim cartucho</v>
      </c>
      <c r="B26150" s="3">
        <v>0</v>
      </c>
    </row>
    <row r="26151" ht="15.75" customHeight="1" spans="1:2">
      <c r="A26151" s="3" t="str">
        <f>IFERROR(__xludf.DUMMYFUNCTION("GOOGLETRANSLATE(A26151,""en"",""pt"")"),"Tipo de impressão lenta; Imagens de alta definição são uma espécie de granulado.")</f>
        <v>Tipo de impressão lenta; Imagens de alta definição são uma espécie de granulado.</v>
      </c>
      <c r="B26151" s="3">
        <v>0</v>
      </c>
    </row>
    <row r="26152" ht="15.75" customHeight="1" spans="1:2">
      <c r="A26152" s="3" t="str">
        <f>IFERROR(__xludf.DUMMYFUNCTION("GOOGLETRANSLATE(A26152,""en"",""pt"")"),"Nenhum ainda")</f>
        <v>Nenhum ainda</v>
      </c>
      <c r="B26152" s="3">
        <v>0</v>
      </c>
    </row>
    <row r="26153" ht="15.75" customHeight="1" spans="1:2">
      <c r="A26153" s="3" t="str">
        <f>IFERROR(__xludf.DUMMYFUNCTION("GOOGLETRANSLATE(A26153,""en"",""pt"")"),"Bandeja de papel, cartucho único Holder, Alinhamento, cartuchos caros")</f>
        <v>Bandeja de papel, cartucho único Holder, Alinhamento, cartuchos caros</v>
      </c>
      <c r="B26153" s="3">
        <v>0</v>
      </c>
    </row>
    <row r="26154" ht="15.75" customHeight="1" spans="1:2">
      <c r="A26154" s="3" t="str">
        <f>IFERROR(__xludf.DUMMYFUNCTION("GOOGLETRANSLATE(A26154,""en"",""pt"")"),"Velocidade, Tinteiro")</f>
        <v>Velocidade, Tinteiro</v>
      </c>
      <c r="B26154" s="3">
        <v>0</v>
      </c>
    </row>
    <row r="26155" ht="15.75" customHeight="1" spans="1:2">
      <c r="A26155" s="3" t="str">
        <f>IFERROR(__xludf.DUMMYFUNCTION("GOOGLETRANSLATE(A26155,""en"",""pt"")"),"Usa um pouco de tinta sobre a qualidade da imagem")</f>
        <v>Usa um pouco de tinta sobre a qualidade da imagem</v>
      </c>
      <c r="B26155" s="3">
        <v>0</v>
      </c>
    </row>
    <row r="26156" ht="15.75" customHeight="1" spans="1:2">
      <c r="A26156" s="3" t="str">
        <f>IFERROR(__xludf.DUMMYFUNCTION("GOOGLETRANSLATE(A26156,""en"",""pt"")"),"apoio sem Windows 2000 neste momento")</f>
        <v>apoio sem Windows 2000 neste momento</v>
      </c>
      <c r="B26156" s="3">
        <v>0</v>
      </c>
    </row>
    <row r="26157" ht="15.75" customHeight="1" spans="1:2">
      <c r="A26157" s="3" t="str">
        <f>IFERROR(__xludf.DUMMYFUNCTION("GOOGLETRANSLATE(A26157,""en"",""pt"")"),"Ao imprimir uma imagem a cores, ele vai desaparecer as bordas um pouco")</f>
        <v>Ao imprimir uma imagem a cores, ele vai desaparecer as bordas um pouco</v>
      </c>
      <c r="B26157" s="3">
        <v>0</v>
      </c>
    </row>
    <row r="26158" ht="15.75" customHeight="1" spans="1:2">
      <c r="A26158" s="3" t="str">
        <f>IFERROR(__xludf.DUMMYFUNCTION("GOOGLETRANSLATE(A26158,""en"",""pt"")"),"Muito obrigado!")</f>
        <v>Muito obrigado!</v>
      </c>
      <c r="B26158" s="3">
        <v>0</v>
      </c>
    </row>
    <row r="26159" ht="15.75" customHeight="1" spans="1:2">
      <c r="A26159" s="3" t="str">
        <f>IFERROR(__xludf.DUMMYFUNCTION("GOOGLETRANSLATE(A26159,""en"",""pt"")"),"recargas de tinta caros")</f>
        <v>recargas de tinta caros</v>
      </c>
      <c r="B26159" s="3">
        <v>0</v>
      </c>
    </row>
    <row r="26160" ht="15.75" customHeight="1" spans="1:2">
      <c r="A26160" s="3" t="str">
        <f>IFERROR(__xludf.DUMMYFUNCTION("GOOGLETRANSLATE(A26160,""en"",""pt"")"),"lento")</f>
        <v>lento</v>
      </c>
      <c r="B26160" s="3">
        <v>0</v>
      </c>
    </row>
    <row r="26161" ht="15.75" customHeight="1" spans="1:2">
      <c r="A26161" s="3" t="str">
        <f>IFERROR(__xludf.DUMMYFUNCTION("GOOGLETRANSLATE(A26161,""en"",""pt"")"),"Eu ainda não encontrou nenhum desgostos.")</f>
        <v>Eu ainda não encontrou nenhum desgostos.</v>
      </c>
      <c r="B26161" s="3">
        <v>0</v>
      </c>
    </row>
    <row r="26162" ht="15.75" customHeight="1" spans="1:2">
      <c r="A26162" s="3" t="str">
        <f>IFERROR(__xludf.DUMMYFUNCTION("GOOGLETRANSLATE(A26162,""en"",""pt"")"),"cartuchos utilização caros tinta recarga")</f>
        <v>cartuchos utilização caros tinta recarga</v>
      </c>
      <c r="B26162" s="3">
        <v>0</v>
      </c>
    </row>
    <row r="26163" ht="15.75" customHeight="1" spans="1:2">
      <c r="A26163" s="3" t="str">
        <f>IFERROR(__xludf.DUMMYFUNCTION("GOOGLETRANSLATE(A26163,""en"",""pt"")"),"Bug software")</f>
        <v>Bug software</v>
      </c>
      <c r="B26163" s="3">
        <v>0</v>
      </c>
    </row>
    <row r="26164" ht="15.75" customHeight="1" spans="1:2">
      <c r="A26164" s="3" t="str">
        <f>IFERROR(__xludf.DUMMYFUNCTION("GOOGLETRANSLATE(A26164,""en"",""pt"")"),"A velocidade média, o fornecimento de papel de baixo.")</f>
        <v>A velocidade média, o fornecimento de papel de baixo.</v>
      </c>
      <c r="B26164" s="3">
        <v>0</v>
      </c>
    </row>
    <row r="26165" ht="15.75" customHeight="1" spans="1:2">
      <c r="A26165" s="3" t="str">
        <f>IFERROR(__xludf.DUMMYFUNCTION("GOOGLETRANSLATE(A26165,""en"",""pt"")"),"Cartuchos caro. Quase o preço da própria impressora.")</f>
        <v>Cartuchos caro. Quase o preço da própria impressora.</v>
      </c>
      <c r="B26165" s="3">
        <v>0</v>
      </c>
    </row>
    <row r="26166" ht="15.75" customHeight="1" spans="1:2">
      <c r="A26166" s="3" t="str">
        <f>IFERROR(__xludf.DUMMYFUNCTION("GOOGLETRANSLATE(A26166,""en"",""pt"")"),"os cartuchos de tinta CARAS")</f>
        <v>os cartuchos de tinta CARAS</v>
      </c>
      <c r="B26166" s="3">
        <v>0</v>
      </c>
    </row>
    <row r="26167" ht="15.75" customHeight="1" spans="1:2">
      <c r="A26167" s="3" t="str">
        <f>IFERROR(__xludf.DUMMYFUNCTION("GOOGLETRANSLATE(A26167,""en"",""pt"")"),"não é apenas uma boa impressora.")</f>
        <v>não é apenas uma boa impressora.</v>
      </c>
      <c r="B26167" s="3">
        <v>0</v>
      </c>
    </row>
    <row r="26168" ht="15.75" customHeight="1" spans="1:2">
      <c r="A26168" s="3" t="str">
        <f>IFERROR(__xludf.DUMMYFUNCTION("GOOGLETRANSLATE(A26168,""en"",""pt"")"),"É extremamente lento")</f>
        <v>É extremamente lento</v>
      </c>
      <c r="B26168" s="3">
        <v>0</v>
      </c>
    </row>
    <row r="26169" ht="15.75" customHeight="1" spans="1:2">
      <c r="A26169" s="3" t="str">
        <f>IFERROR(__xludf.DUMMYFUNCTION("GOOGLETRANSLATE(A26169,""en"",""pt"")"),"congestionamentos Ocasionalmente, se você empurrar o papel demasiado para dentro")</f>
        <v>congestionamentos Ocasionalmente, se você empurrar o papel demasiado para dentro</v>
      </c>
      <c r="B26169" s="3">
        <v>0</v>
      </c>
    </row>
    <row r="26170" ht="15.75" customHeight="1" spans="1:2">
      <c r="A26170" s="3" t="str">
        <f>IFERROR(__xludf.DUMMYFUNCTION("GOOGLETRANSLATE(A26170,""en"",""pt"")"),"Lento, cartuchos $ 35+")</f>
        <v>Lento, cartuchos $ 35+</v>
      </c>
      <c r="B26170" s="3">
        <v>0</v>
      </c>
    </row>
    <row r="26171" ht="15.75" customHeight="1" spans="1:2">
      <c r="A26171" s="3" t="str">
        <f>IFERROR(__xludf.DUMMYFUNCTION("GOOGLETRANSLATE(A26171,""en"",""pt"")"),"Cartuchos para custo de recarga mais do que a impressora danado")</f>
        <v>Cartuchos para custo de recarga mais do que a impressora danado</v>
      </c>
      <c r="B26171" s="3">
        <v>0</v>
      </c>
    </row>
    <row r="26172" ht="15.75" customHeight="1" spans="1:2">
      <c r="A26172" s="3" t="str">
        <f>IFERROR(__xludf.DUMMYFUNCTION("GOOGLETRANSLATE(A26172,""en"",""pt"")"),"imprimir taxa é um pouco lento, mas os prós compensar isso.")</f>
        <v>imprimir taxa é um pouco lento, mas os prós compensar isso.</v>
      </c>
      <c r="B26172" s="3">
        <v>0</v>
      </c>
    </row>
    <row r="26173" ht="15.75" customHeight="1" spans="1:2">
      <c r="A26173" s="3" t="str">
        <f>IFERROR(__xludf.DUMMYFUNCTION("GOOGLETRANSLATE(A26173,""en"",""pt"")"),"Contras: A tinta é caro ea qualidade de impressão é questionável")</f>
        <v>Contras: A tinta é caro ea qualidade de impressão é questionável</v>
      </c>
      <c r="B26173" s="3">
        <v>0</v>
      </c>
    </row>
    <row r="26174" ht="15.75" customHeight="1" spans="1:2">
      <c r="A26174" s="3" t="str">
        <f>IFERROR(__xludf.DUMMYFUNCTION("GOOGLETRANSLATE(A26174,""en"",""pt"")"),"Lento, barulhento, um cartucho.")</f>
        <v>Lento, barulhento, um cartucho.</v>
      </c>
      <c r="B26174" s="3">
        <v>0</v>
      </c>
    </row>
    <row r="26175" ht="15.75" customHeight="1" spans="1:2">
      <c r="A26175" s="3" t="str">
        <f>IFERROR(__xludf.DUMMYFUNCTION("GOOGLETRANSLATE(A26175,""en"",""pt"")"),"imprimir inconveniência cartucho e despesa")</f>
        <v>imprimir inconveniência cartucho e despesa</v>
      </c>
      <c r="B26175" s="3">
        <v>0</v>
      </c>
    </row>
    <row r="26176" ht="15.75" customHeight="1" spans="1:2">
      <c r="A26176" s="3" t="str">
        <f>IFERROR(__xludf.DUMMYFUNCTION("GOOGLETRANSLATE(A26176,""en"",""pt"")"),"Recargas.")</f>
        <v>Recargas.</v>
      </c>
      <c r="B26176" s="3">
        <v>0</v>
      </c>
    </row>
    <row r="26177" ht="15.75" customHeight="1" spans="1:2">
      <c r="A26177" s="3" t="str">
        <f>IFERROR(__xludf.DUMMYFUNCTION("GOOGLETRANSLATE(A26177,""en"",""pt"")"),"Cartucho colorido drena rapidamente")</f>
        <v>Cartucho colorido drena rapidamente</v>
      </c>
      <c r="B26177" s="3">
        <v>0</v>
      </c>
    </row>
    <row r="26178" ht="15.75" customHeight="1" spans="1:2">
      <c r="A26178" s="3" t="str">
        <f>IFERROR(__xludf.DUMMYFUNCTION("GOOGLETRANSLATE(A26178,""en"",""pt"")"),"Nenhum")</f>
        <v>Nenhum</v>
      </c>
      <c r="B26178" s="3">
        <v>0</v>
      </c>
    </row>
    <row r="26179" ht="15.75" customHeight="1" spans="1:2">
      <c r="A26179" s="3" t="str">
        <f>IFERROR(__xludf.DUMMYFUNCTION("GOOGLETRANSLATE(A26179,""en"",""pt"")"),"lento, apenas uma cabeça de impressão")</f>
        <v>lento, apenas uma cabeça de impressão</v>
      </c>
      <c r="B26179" s="3">
        <v>0</v>
      </c>
    </row>
    <row r="26180" ht="15.75" customHeight="1" spans="1:2">
      <c r="A26180" s="3" t="str">
        <f>IFERROR(__xludf.DUMMYFUNCTION("GOOGLETRANSLATE(A26180,""en"",""pt"")"),"Lento")</f>
        <v>Lento</v>
      </c>
      <c r="B26180" s="3">
        <v>0</v>
      </c>
    </row>
    <row r="26181" ht="15.75" customHeight="1" spans="1:2">
      <c r="A26181" s="3" t="str">
        <f>IFERROR(__xludf.DUMMYFUNCTION("GOOGLETRANSLATE(A26181,""en"",""pt"")"),"Nada até agora!")</f>
        <v>Nada até agora!</v>
      </c>
      <c r="B26181" s="3">
        <v>0</v>
      </c>
    </row>
    <row r="26182" ht="15.75" customHeight="1" spans="1:2">
      <c r="A26182" s="3" t="str">
        <f>IFERROR(__xludf.DUMMYFUNCTION("GOOGLETRANSLATE(A26182,""en"",""pt"")"),"manchas de tinta quando molhado")</f>
        <v>manchas de tinta quando molhado</v>
      </c>
      <c r="B26182" s="3">
        <v>0</v>
      </c>
    </row>
    <row r="26183" ht="15.75" customHeight="1" spans="1:2">
      <c r="A26183" s="3" t="str">
        <f>IFERROR(__xludf.DUMMYFUNCTION("GOOGLETRANSLATE(A26183,""en"",""pt"")"),"Nenhum")</f>
        <v>Nenhum</v>
      </c>
      <c r="B26183" s="3">
        <v>0</v>
      </c>
    </row>
    <row r="26184" ht="15.75" customHeight="1" spans="1:2">
      <c r="A26184" s="3" t="str">
        <f>IFERROR(__xludf.DUMMYFUNCTION("GOOGLETRANSLATE(A26184,""en"",""pt"")"),"Sem soft-ligar, design único cartucho")</f>
        <v>Sem soft-ligar, design único cartucho</v>
      </c>
      <c r="B26184" s="3">
        <v>0</v>
      </c>
    </row>
    <row r="26185" ht="15.75" customHeight="1" spans="1:2">
      <c r="A26185" s="3" t="str">
        <f>IFERROR(__xludf.DUMMYFUNCTION("GOOGLETRANSLATE(A26185,""en"",""pt"")"),"Eu não gosto do jeito que alimenta o papel em")</f>
        <v>Eu não gosto do jeito que alimenta o papel em</v>
      </c>
      <c r="B26185" s="3">
        <v>0</v>
      </c>
    </row>
    <row r="26186" ht="15.75" customHeight="1" spans="1:2">
      <c r="A26186" s="3" t="str">
        <f>IFERROR(__xludf.DUMMYFUNCTION("GOOGLETRANSLATE(A26186,""en"",""pt"")"),"Não para grandes trabalhos ou uso de escritório")</f>
        <v>Não para grandes trabalhos ou uso de escritório</v>
      </c>
      <c r="B26186" s="3">
        <v>0</v>
      </c>
    </row>
    <row r="26187" ht="15.75" customHeight="1" spans="1:2">
      <c r="A26187" s="3" t="str">
        <f>IFERROR(__xludf.DUMMYFUNCTION("GOOGLETRANSLATE(A26187,""en"",""pt"")"),"gastador tinta")</f>
        <v>gastador tinta</v>
      </c>
      <c r="B26187" s="3">
        <v>0</v>
      </c>
    </row>
    <row r="26188" ht="15.75" customHeight="1" spans="1:2">
      <c r="A26188" s="3" t="str">
        <f>IFERROR(__xludf.DUMMYFUNCTION("GOOGLETRANSLATE(A26188,""en"",""pt"")"),"Aceita um cartucho única")</f>
        <v>Aceita um cartucho única</v>
      </c>
      <c r="B26188" s="3">
        <v>0</v>
      </c>
    </row>
    <row r="26189" ht="15.75" customHeight="1" spans="1:2">
      <c r="A26189" s="3" t="str">
        <f>IFERROR(__xludf.DUMMYFUNCTION("GOOGLETRANSLATE(A26189,""en"",""pt"")"),"Você não notou qualquer")</f>
        <v>Você não notou qualquer</v>
      </c>
      <c r="B26189" s="3">
        <v>0</v>
      </c>
    </row>
    <row r="26190" ht="15.75" customHeight="1" spans="1:2">
      <c r="A26190" s="3" t="str">
        <f>IFERROR(__xludf.DUMMYFUNCTION("GOOGLETRANSLATE(A26190,""en"",""pt"")"),"Velocidade lenta")</f>
        <v>Velocidade lenta</v>
      </c>
      <c r="B26190" s="3">
        <v>0</v>
      </c>
    </row>
    <row r="26191" ht="15.75" customHeight="1" spans="1:2">
      <c r="A26191" s="3" t="str">
        <f>IFERROR(__xludf.DUMMYFUNCTION("GOOGLETRANSLATE(A26191,""en"",""pt"")"),"Um cartucho, em vez de dupla.")</f>
        <v>Um cartucho, em vez de dupla.</v>
      </c>
      <c r="B26191" s="3">
        <v>0</v>
      </c>
    </row>
    <row r="26192" ht="15.75" customHeight="1" spans="1:2">
      <c r="A26192" s="3" t="str">
        <f>IFERROR(__xludf.DUMMYFUNCTION("GOOGLETRANSLATE(A26192,""en"",""pt"")"),"imprimir custo de velocidade de cartuchos de reposição")</f>
        <v>imprimir custo de velocidade de cartuchos de reposição</v>
      </c>
      <c r="B26192" s="3">
        <v>0</v>
      </c>
    </row>
    <row r="26193" ht="15.75" customHeight="1" spans="1:2">
      <c r="A26193" s="3" t="str">
        <f>IFERROR(__xludf.DUMMYFUNCTION("GOOGLETRANSLATE(A26193,""en"",""pt"")"),"Velocidade de impressão lenta")</f>
        <v>Velocidade de impressão lenta</v>
      </c>
      <c r="B26193" s="3">
        <v>0</v>
      </c>
    </row>
    <row r="26194" ht="15.75" customHeight="1" spans="1:2">
      <c r="A26194" s="3" t="str">
        <f>IFERROR(__xludf.DUMMYFUNCTION("GOOGLETRANSLATE(A26194,""en"",""pt"")"),"Nenhum")</f>
        <v>Nenhum</v>
      </c>
      <c r="B26194" s="3">
        <v>0</v>
      </c>
    </row>
    <row r="26195" ht="15.75" customHeight="1" spans="1:2">
      <c r="A26195" s="3" t="str">
        <f>IFERROR(__xludf.DUMMYFUNCTION("GOOGLETRANSLATE(A26195,""en"",""pt"")"),"velocidade de impressão")</f>
        <v>velocidade de impressão</v>
      </c>
      <c r="B26195" s="3">
        <v>0</v>
      </c>
    </row>
    <row r="26196" ht="15.75" customHeight="1" spans="1:2">
      <c r="A26196" s="3" t="str">
        <f>IFERROR(__xludf.DUMMYFUNCTION("GOOGLETRANSLATE(A26196,""en"",""pt"")"),"impressão lento e poderia ser melhor")</f>
        <v>impressão lento e poderia ser melhor</v>
      </c>
      <c r="B26196" s="3">
        <v>0</v>
      </c>
    </row>
    <row r="26197" ht="15.75" customHeight="1" spans="1:2">
      <c r="A26197" s="3" t="str">
        <f>IFERROR(__xludf.DUMMYFUNCTION("GOOGLETRANSLATE(A26197,""en"",""pt"")"),"velocidade, usa muita tinta")</f>
        <v>velocidade, usa muita tinta</v>
      </c>
      <c r="B26197" s="3">
        <v>0</v>
      </c>
    </row>
    <row r="26198" ht="15.75" customHeight="1" spans="1:2">
      <c r="A26198" s="3" t="str">
        <f>IFERROR(__xludf.DUMMYFUNCTION("GOOGLETRANSLATE(A26198,""en"",""pt"")"),"Um cartucho, a tinta caro, lento")</f>
        <v>Um cartucho, a tinta caro, lento</v>
      </c>
      <c r="B26198" s="3">
        <v>0</v>
      </c>
    </row>
    <row r="26199" ht="15.75" customHeight="1" spans="1:2">
      <c r="A26199" s="3" t="str">
        <f>IFERROR(__xludf.DUMMYFUNCTION("GOOGLETRANSLATE(A26199,""en"",""pt"")"),"impressões lentas")</f>
        <v>impressões lentas</v>
      </c>
      <c r="B26199" s="3">
        <v>0</v>
      </c>
    </row>
    <row r="26200" ht="15.75" customHeight="1" spans="1:2">
      <c r="A26200" s="3" t="str">
        <f>IFERROR(__xludf.DUMMYFUNCTION("GOOGLETRANSLATE(A26200,""en"",""pt"")"),"impressão lenta na cor")</f>
        <v>impressão lenta na cor</v>
      </c>
      <c r="B26200" s="3">
        <v>0</v>
      </c>
    </row>
    <row r="26201" ht="15.75" customHeight="1" spans="1:2">
      <c r="A26201" s="3" t="str">
        <f>IFERROR(__xludf.DUMMYFUNCTION("GOOGLETRANSLATE(A26201,""en"",""pt"")"),"cartaridges substituição caros")</f>
        <v>cartaridges substituição caros</v>
      </c>
      <c r="B26201" s="3">
        <v>0</v>
      </c>
    </row>
    <row r="26202" ht="15.75" customHeight="1" spans="1:2">
      <c r="A26202" s="3" t="str">
        <f>IFERROR(__xludf.DUMMYFUNCTION("GOOGLETRANSLATE(A26202,""en"",""pt"")"),"Ama a tinta")</f>
        <v>Ama a tinta</v>
      </c>
      <c r="B26202" s="3">
        <v>0</v>
      </c>
    </row>
    <row r="26203" ht="15.75" customHeight="1" spans="1:2">
      <c r="A26203" s="3" t="str">
        <f>IFERROR(__xludf.DUMMYFUNCTION("GOOGLETRANSLATE(A26203,""en"",""pt"")"),"os cartuchos de tinta caros com disponibilidade limitada")</f>
        <v>os cartuchos de tinta caros com disponibilidade limitada</v>
      </c>
      <c r="B26203" s="3">
        <v>0</v>
      </c>
    </row>
    <row r="26204" ht="15.75" customHeight="1" spans="1:2">
      <c r="A26204" s="3" t="str">
        <f>IFERROR(__xludf.DUMMYFUNCTION("GOOGLETRANSLATE(A26204,""en"",""pt"")"),"Ter que comprar a tinta")</f>
        <v>Ter que comprar a tinta</v>
      </c>
      <c r="B26204" s="3">
        <v>0</v>
      </c>
    </row>
    <row r="26205" ht="15.75" customHeight="1" spans="1:2">
      <c r="A26205" s="3" t="str">
        <f>IFERROR(__xludf.DUMMYFUNCTION("GOOGLETRANSLATE(A26205,""en"",""pt"")"),"qualidade de impressão deficiente")</f>
        <v>qualidade de impressão deficiente</v>
      </c>
      <c r="B26205" s="3">
        <v>0</v>
      </c>
    </row>
    <row r="26206" ht="15.75" customHeight="1" spans="1:2">
      <c r="A26206" s="3" t="str">
        <f>IFERROR(__xludf.DUMMYFUNCTION("GOOGLETRANSLATE(A26206,""en"",""pt"")"),"O papel é alimentado às vezes erradas")</f>
        <v>O papel é alimentado às vezes erradas</v>
      </c>
      <c r="B26206" s="3">
        <v>0</v>
      </c>
    </row>
    <row r="26207" ht="15.75" customHeight="1" spans="1:2">
      <c r="A26207" s="3" t="str">
        <f>IFERROR(__xludf.DUMMYFUNCTION("GOOGLETRANSLATE(A26207,""en"",""pt"")"),"Nenhum que eu encontrei ainda.")</f>
        <v>Nenhum que eu encontrei ainda.</v>
      </c>
      <c r="B26207" s="3">
        <v>0</v>
      </c>
    </row>
    <row r="26208" ht="15.75" customHeight="1" spans="1:2">
      <c r="A26208" s="3" t="str">
        <f>IFERROR(__xludf.DUMMYFUNCTION("GOOGLETRANSLATE(A26208,""en"",""pt"")"),"Os cartuchos de substituição são caros")</f>
        <v>Os cartuchos de substituição são caros</v>
      </c>
      <c r="B26208" s="3">
        <v>0</v>
      </c>
    </row>
    <row r="26209" ht="15.75" customHeight="1" spans="1:2">
      <c r="A26209" s="3" t="str">
        <f>IFERROR(__xludf.DUMMYFUNCTION("GOOGLETRANSLATE(A26209,""en"",""pt"")"),"Muito lento para imprimir, cartucho colorido não dura")</f>
        <v>Muito lento para imprimir, cartucho colorido não dura</v>
      </c>
      <c r="B26209" s="3">
        <v>0</v>
      </c>
    </row>
    <row r="26210" ht="15.75" customHeight="1" spans="1:2">
      <c r="A26210" s="3" t="str">
        <f>IFERROR(__xludf.DUMMYFUNCTION("GOOGLETRANSLATE(A26210,""en"",""pt"")"),"pray exet não é o melhor")</f>
        <v>pray exet não é o melhor</v>
      </c>
      <c r="B26210" s="3">
        <v>0</v>
      </c>
    </row>
    <row r="26211" ht="15.75" customHeight="1" spans="1:2">
      <c r="A26211" s="3" t="str">
        <f>IFERROR(__xludf.DUMMYFUNCTION("GOOGLETRANSLATE(A26211,""en"",""pt"")"),"não o maior qualidade de impressão.")</f>
        <v>não o maior qualidade de impressão.</v>
      </c>
      <c r="B26211" s="3">
        <v>0</v>
      </c>
    </row>
    <row r="26212" ht="15.75" customHeight="1" spans="1:2">
      <c r="A26212" s="3" t="str">
        <f>IFERROR(__xludf.DUMMYFUNCTION("GOOGLETRANSLATE(A26212,""en"",""pt"")"),"impressões a cores são de má qualidade, mas ok se o seu apenas começando.")</f>
        <v>impressões a cores são de má qualidade, mas ok se o seu apenas começando.</v>
      </c>
      <c r="B26212" s="3">
        <v>0</v>
      </c>
    </row>
    <row r="26213" ht="15.75" customHeight="1" spans="1:2">
      <c r="A26213" s="3" t="str">
        <f>IFERROR(__xludf.DUMMYFUNCTION("GOOGLETRANSLATE(A26213,""en"",""pt"")"),"os cartuchos de tinta de substituição são caros")</f>
        <v>os cartuchos de tinta de substituição são caros</v>
      </c>
      <c r="B26213" s="3">
        <v>0</v>
      </c>
    </row>
    <row r="26214" ht="15.75" customHeight="1" spans="1:2">
      <c r="A26214" s="3" t="str">
        <f>IFERROR(__xludf.DUMMYFUNCTION("GOOGLETRANSLATE(A26214,""en"",""pt"")"),"muito lento e apenas um cartucho")</f>
        <v>muito lento e apenas um cartucho</v>
      </c>
      <c r="B26214" s="3">
        <v>0</v>
      </c>
    </row>
    <row r="26215" ht="15.75" customHeight="1" spans="1:2">
      <c r="A26215" s="3" t="str">
        <f>IFERROR(__xludf.DUMMYFUNCTION("GOOGLETRANSLATE(A26215,""en"",""pt"")"),"Prints meio lento")</f>
        <v>Prints meio lento</v>
      </c>
      <c r="B26215" s="3">
        <v>0</v>
      </c>
    </row>
    <row r="26216" ht="15.75" customHeight="1" spans="1:2">
      <c r="A26216" s="3" t="str">
        <f>IFERROR(__xludf.DUMMYFUNCTION("GOOGLETRANSLATE(A26216,""en"",""pt"")"),"Não qualidade da foto")</f>
        <v>Não qualidade da foto</v>
      </c>
      <c r="B26216" s="3">
        <v>0</v>
      </c>
    </row>
    <row r="26217" ht="15.75" customHeight="1" spans="1:2">
      <c r="A26217" s="3" t="str">
        <f>IFERROR(__xludf.DUMMYFUNCTION("GOOGLETRANSLATE(A26217,""en"",""pt"")"),"apenas detém um cartucho, cartuchos de substituição pode ficar caro, se você imprimir um monte.")</f>
        <v>apenas detém um cartucho, cartuchos de substituição pode ficar caro, se você imprimir um monte.</v>
      </c>
      <c r="B26217" s="3">
        <v>0</v>
      </c>
    </row>
    <row r="26218" ht="15.75" customHeight="1" spans="1:2">
      <c r="A26218" s="3" t="str">
        <f>IFERROR(__xludf.DUMMYFUNCTION("GOOGLETRANSLATE(A26218,""en"",""pt"")"),"nada até agora")</f>
        <v>nada até agora</v>
      </c>
      <c r="B26218" s="3">
        <v>0</v>
      </c>
    </row>
    <row r="26219" ht="15.75" customHeight="1" spans="1:2">
      <c r="A26219" s="3" t="str">
        <f>IFERROR(__xludf.DUMMYFUNCTION("GOOGLETRANSLATE(A26219,""en"",""pt"")"),"Prints lentamente")</f>
        <v>Prints lentamente</v>
      </c>
      <c r="B26219" s="3">
        <v>0</v>
      </c>
    </row>
    <row r="26220" ht="15.75" customHeight="1" spans="1:2">
      <c r="A26220" s="3" t="str">
        <f>IFERROR(__xludf.DUMMYFUNCTION("GOOGLETRANSLATE(A26220,""en"",""pt"")"),"não consegue encontrar um neste momento")</f>
        <v>não consegue encontrar um neste momento</v>
      </c>
      <c r="B26220" s="3">
        <v>0</v>
      </c>
    </row>
    <row r="26221" ht="15.75" customHeight="1" spans="1:2">
      <c r="A26221" s="3" t="str">
        <f>IFERROR(__xludf.DUMMYFUNCTION("GOOGLETRANSLATE(A26221,""en"",""pt"")"),"muito lento, os cartuchos de tinta são mais caros do que a média")</f>
        <v>muito lento, os cartuchos de tinta são mais caros do que a média</v>
      </c>
      <c r="B26221" s="3">
        <v>0</v>
      </c>
    </row>
    <row r="26222" ht="15.75" customHeight="1" spans="1:2">
      <c r="A26222" s="3" t="str">
        <f>IFERROR(__xludf.DUMMYFUNCTION("GOOGLETRANSLATE(A26222,""en"",""pt"")"),"impressões lento quando reslution é conjunto de alta")</f>
        <v>impressões lento quando reslution é conjunto de alta</v>
      </c>
      <c r="B26222" s="3">
        <v>0</v>
      </c>
    </row>
    <row r="26223" ht="15.75" customHeight="1" spans="1:2">
      <c r="A26223" s="3" t="str">
        <f>IFERROR(__xludf.DUMMYFUNCTION("GOOGLETRANSLATE(A26223,""en"",""pt"")"),"definitivamente não high-end")</f>
        <v>definitivamente não high-end</v>
      </c>
      <c r="B26223" s="3">
        <v>0</v>
      </c>
    </row>
    <row r="26224" ht="15.75" customHeight="1" spans="1:2">
      <c r="A26224" s="3" t="str">
        <f>IFERROR(__xludf.DUMMYFUNCTION("GOOGLETRANSLATE(A26224,""en"",""pt"")"),"velocidade de impressão")</f>
        <v>velocidade de impressão</v>
      </c>
      <c r="B26224" s="3">
        <v>0</v>
      </c>
    </row>
    <row r="26225" ht="15.75" customHeight="1" spans="1:2">
      <c r="A26225" s="3" t="str">
        <f>IFERROR(__xludf.DUMMYFUNCTION("GOOGLETRANSLATE(A26225,""en"",""pt"")"),"devido à popularidade na minha área, cartuchos de tinta são por vezes difíceis de encontrar")</f>
        <v>devido à popularidade na minha área, cartuchos de tinta são por vezes difíceis de encontrar</v>
      </c>
      <c r="B26225" s="3">
        <v>0</v>
      </c>
    </row>
    <row r="26226" ht="15.75" customHeight="1" spans="1:2">
      <c r="A26226" s="3" t="str">
        <f>IFERROR(__xludf.DUMMYFUNCTION("GOOGLETRANSLATE(A26226,""en"",""pt"")"),"Os cartuchos de tinta são caros.")</f>
        <v>Os cartuchos de tinta são caros.</v>
      </c>
      <c r="B26226" s="3">
        <v>0</v>
      </c>
    </row>
    <row r="26227" ht="15.75" customHeight="1" spans="1:2">
      <c r="A26227" s="3" t="str">
        <f>IFERROR(__xludf.DUMMYFUNCTION("GOOGLETRANSLATE(A26227,""en"",""pt"")"),"Não há suporte para o futuro")</f>
        <v>Não há suporte para o futuro</v>
      </c>
      <c r="B26227" s="3">
        <v>0</v>
      </c>
    </row>
    <row r="26228" ht="15.75" customHeight="1" spans="1:2">
      <c r="A26228" s="3" t="str">
        <f>IFERROR(__xludf.DUMMYFUNCTION("GOOGLETRANSLATE(A26228,""en"",""pt"")"),"tinta caro e lento")</f>
        <v>tinta caro e lento</v>
      </c>
      <c r="B26228" s="3">
        <v>0</v>
      </c>
    </row>
    <row r="26229" ht="15.75" customHeight="1" spans="1:2">
      <c r="A26229" s="3" t="str">
        <f>IFERROR(__xludf.DUMMYFUNCTION("GOOGLETRANSLATE(A26229,""en"",""pt"")"),"baixo número de páginas impressas por minuto")</f>
        <v>baixo número de páginas impressas por minuto</v>
      </c>
      <c r="B26229" s="3">
        <v>0</v>
      </c>
    </row>
    <row r="26230" ht="15.75" customHeight="1" spans="1:2">
      <c r="A26230" s="3" t="str">
        <f>IFERROR(__xludf.DUMMYFUNCTION("GOOGLETRANSLATE(A26230,""en"",""pt"")"),"cartucho de cor difícil de encaixar no lugar")</f>
        <v>cartucho de cor difícil de encaixar no lugar</v>
      </c>
      <c r="B26230" s="3">
        <v>0</v>
      </c>
    </row>
    <row r="26231" ht="15.75" customHeight="1" spans="1:2">
      <c r="A26231" s="3" t="str">
        <f>IFERROR(__xludf.DUMMYFUNCTION("GOOGLETRANSLATE(A26231,""en"",""pt"")"),"Os cartuchos são um pouco mais caro. A impressão a cores é bom, mas não a qualidade da foto")</f>
        <v>Os cartuchos são um pouco mais caro. A impressão a cores é bom, mas não a qualidade da foto</v>
      </c>
      <c r="B26231" s="3">
        <v>0</v>
      </c>
    </row>
    <row r="26232" ht="15.75" customHeight="1" spans="1:2">
      <c r="A26232" s="3" t="str">
        <f>IFERROR(__xludf.DUMMYFUNCTION("GOOGLETRANSLATE(A26232,""en"",""pt"")"),"um pouco cartucho lento e agora preto vem com ele.")</f>
        <v>um pouco cartucho lento e agora preto vem com ele.</v>
      </c>
      <c r="B26232" s="3">
        <v>0</v>
      </c>
    </row>
    <row r="26233" ht="15.75" customHeight="1" spans="1:2">
      <c r="A26233" s="3" t="str">
        <f>IFERROR(__xludf.DUMMYFUNCTION("GOOGLETRANSLATE(A26233,""en"",""pt"")"),"velocidade, o custo do cartucho de tinta preta.")</f>
        <v>velocidade, o custo do cartucho de tinta preta.</v>
      </c>
      <c r="B26233" s="3">
        <v>0</v>
      </c>
    </row>
    <row r="26234" ht="15.75" customHeight="1" spans="1:2">
      <c r="A26234" s="3" t="str">
        <f>IFERROR(__xludf.DUMMYFUNCTION("GOOGLETRANSLATE(A26234,""en"",""pt"")"),"apenas espaço para um cartucho de cada vez")</f>
        <v>apenas espaço para um cartucho de cada vez</v>
      </c>
      <c r="B26234" s="3">
        <v>0</v>
      </c>
    </row>
    <row r="26235" ht="15.75" customHeight="1" spans="1:2">
      <c r="A26235" s="3" t="str">
        <f>IFERROR(__xludf.DUMMYFUNCTION("GOOGLETRANSLATE(A26235,""en"",""pt"")"),"I não encontrou esta impressora mais cedo")</f>
        <v>I não encontrou esta impressora mais cedo</v>
      </c>
      <c r="B26235" s="3">
        <v>0</v>
      </c>
    </row>
    <row r="26236" ht="15.75" customHeight="1" spans="1:2">
      <c r="A26236" s="3" t="str">
        <f>IFERROR(__xludf.DUMMYFUNCTION("GOOGLETRANSLATE(A26236,""en"",""pt"")")," Os cartuchos de tinta são caros")</f>
        <v> Os cartuchos de tinta são caros</v>
      </c>
      <c r="B26236" s="3">
        <v>0</v>
      </c>
    </row>
    <row r="26237" ht="15.75" customHeight="1" spans="1:2">
      <c r="A26237" s="3" t="str">
        <f>IFERROR(__xludf.DUMMYFUNCTION("GOOGLETRANSLATE(A26237,""en"",""pt"")"),"Lento - desperdiça tempo e dinheiro")</f>
        <v>Lento - desperdiça tempo e dinheiro</v>
      </c>
      <c r="B26237" s="3">
        <v>0</v>
      </c>
    </row>
    <row r="26238" ht="15.75" customHeight="1" spans="1:2">
      <c r="A26238" s="3" t="str">
        <f>IFERROR(__xludf.DUMMYFUNCTION("GOOGLETRANSLATE(A26238,""en"",""pt"")"),"Nada, Nada, nada !!!!!!!")</f>
        <v>Nada, Nada, nada !!!!!!!</v>
      </c>
      <c r="B26238" s="3">
        <v>0</v>
      </c>
    </row>
    <row r="26239" ht="15.75" customHeight="1" spans="1:2">
      <c r="A26239" s="3" t="str">
        <f>IFERROR(__xludf.DUMMYFUNCTION("GOOGLETRANSLATE(A26239,""en"",""pt"")"),"tende a dobrar papel leve barato quando se inicia um trabalho de impressão")</f>
        <v>tende a dobrar papel leve barato quando se inicia um trabalho de impressão</v>
      </c>
      <c r="B26239" s="3">
        <v>0</v>
      </c>
    </row>
    <row r="26240" ht="15.75" customHeight="1" spans="1:2">
      <c r="A26240" s="3" t="str">
        <f>IFERROR(__xludf.DUMMYFUNCTION("GOOGLETRANSLATE(A26240,""en"",""pt"")"),"Eu tive esta impressora por um tempo e não há nenhum problema com ele. (atolamentos de papel não ou qualquer outra coisa)")</f>
        <v>Eu tive esta impressora por um tempo e não há nenhum problema com ele. (atolamentos de papel não ou qualquer outra coisa)</v>
      </c>
      <c r="B26240" s="3">
        <v>0</v>
      </c>
    </row>
    <row r="26241" ht="15.75" customHeight="1" spans="1:2">
      <c r="A26241" s="3" t="str">
        <f>IFERROR(__xludf.DUMMYFUNCTION("GOOGLETRANSLATE(A26241,""en"",""pt"")"),"Nenhum")</f>
        <v>Nenhum</v>
      </c>
      <c r="B26241" s="3">
        <v>0</v>
      </c>
    </row>
    <row r="26242" ht="15.75" customHeight="1" spans="1:2">
      <c r="A26242" s="3" t="str">
        <f>IFERROR(__xludf.DUMMYFUNCTION("GOOGLETRANSLATE(A26242,""en"",""pt"")"),", Reprodução de cores ruim lento")</f>
        <v>, Reprodução de cores ruim lento</v>
      </c>
      <c r="B26242" s="3">
        <v>0</v>
      </c>
    </row>
    <row r="26243" ht="15.75" customHeight="1" spans="1:2">
      <c r="A26243" s="3" t="str">
        <f>IFERROR(__xludf.DUMMYFUNCTION("GOOGLETRANSLATE(A26243,""en"",""pt"")"),"Não encontrei nenhum ainda")</f>
        <v>Não encontrei nenhum ainda</v>
      </c>
      <c r="B26243" s="3">
        <v>0</v>
      </c>
    </row>
    <row r="26244" ht="15.75" customHeight="1" spans="1:2">
      <c r="A26244" s="3" t="str">
        <f>IFERROR(__xludf.DUMMYFUNCTION("GOOGLETRANSLATE(A26244,""en"",""pt"")"),"Não para aqueles que procuram qualidade fotográfica")</f>
        <v>Não para aqueles que procuram qualidade fotográfica</v>
      </c>
      <c r="B26244" s="3">
        <v>0</v>
      </c>
    </row>
    <row r="26245" ht="15.75" customHeight="1" spans="1:2">
      <c r="A26245" s="3" t="str">
        <f>IFERROR(__xludf.DUMMYFUNCTION("GOOGLETRANSLATE(A26245,""en"",""pt"")"),"sistema de cartucho único, e encontrar a tinta pode ser vir a ser um problema.")</f>
        <v>sistema de cartucho único, e encontrar a tinta pode ser vir a ser um problema.</v>
      </c>
      <c r="B26245" s="3">
        <v>0</v>
      </c>
    </row>
    <row r="26246" ht="15.75" customHeight="1" spans="1:2">
      <c r="A26246" s="3" t="str">
        <f>IFERROR(__xludf.DUMMYFUNCTION("GOOGLETRANSLATE(A26246,""en"",""pt"")"),"uma, somente um cartucho de tinta pouco lento")</f>
        <v>uma, somente um cartucho de tinta pouco lento</v>
      </c>
      <c r="B26246" s="3">
        <v>0</v>
      </c>
    </row>
    <row r="26247" ht="15.75" customHeight="1" spans="1:2">
      <c r="A26247" s="3" t="str">
        <f>IFERROR(__xludf.DUMMYFUNCTION("GOOGLETRANSLATE(A26247,""en"",""pt"")"),"não poderia nunca chegar a vermelhos, suporte técnico era ignorante.")</f>
        <v>não poderia nunca chegar a vermelhos, suporte técnico era ignorante.</v>
      </c>
      <c r="B26247" s="3">
        <v>0</v>
      </c>
    </row>
    <row r="26248" ht="15.75" customHeight="1" spans="1:2">
      <c r="A26248" s="3" t="str">
        <f>IFERROR(__xludf.DUMMYFUNCTION("GOOGLETRANSLATE(A26248,""en"",""pt"")"),"Nenhum")</f>
        <v>Nenhum</v>
      </c>
      <c r="B26248" s="3">
        <v>0</v>
      </c>
    </row>
    <row r="26249" ht="15.75" customHeight="1" spans="1:2">
      <c r="A26249" s="3" t="str">
        <f>IFERROR(__xludf.DUMMYFUNCTION("GOOGLETRANSLATE(A26249,""en"",""pt"")"),"tempo de impressão um pouco lento")</f>
        <v>tempo de impressão um pouco lento</v>
      </c>
      <c r="B26249" s="3">
        <v>0</v>
      </c>
    </row>
    <row r="26250" ht="15.75" customHeight="1" spans="1:2">
      <c r="A26250" s="3" t="str">
        <f>IFERROR(__xludf.DUMMYFUNCTION("GOOGLETRANSLATE(A26250,""en"",""pt"")"),"Ele não tem os recursos programáveis ​​de impressoras mais caras.")</f>
        <v>Ele não tem os recursos programáveis ​​de impressoras mais caras.</v>
      </c>
      <c r="B26250" s="3">
        <v>0</v>
      </c>
    </row>
    <row r="26251" ht="15.75" customHeight="1" spans="1:2">
      <c r="A26251" s="3" t="str">
        <f>IFERROR(__xludf.DUMMYFUNCTION("GOOGLETRANSLATE(A26251,""en"",""pt"")"),"consumo de tinta pesada")</f>
        <v>consumo de tinta pesada</v>
      </c>
      <c r="B26251" s="3">
        <v>0</v>
      </c>
    </row>
    <row r="26252" ht="15.75" customHeight="1" spans="1:2">
      <c r="A26252" s="3" t="str">
        <f>IFERROR(__xludf.DUMMYFUNCTION("GOOGLETRANSLATE(A26252,""en"",""pt"")"),"preços de tinta são demasiado elevado")</f>
        <v>preços de tinta são demasiado elevado</v>
      </c>
      <c r="B26252" s="3">
        <v>0</v>
      </c>
    </row>
    <row r="26253" ht="15.75" customHeight="1" spans="1:2">
      <c r="A26253" s="3" t="str">
        <f>IFERROR(__xludf.DUMMYFUNCTION("GOOGLETRANSLATE(A26253,""en"",""pt"")"),"Cor impressão e intervalo de tempo por página impressa")</f>
        <v>Cor impressão e intervalo de tempo por página impressa</v>
      </c>
      <c r="B26253" s="3">
        <v>0</v>
      </c>
    </row>
    <row r="26254" ht="15.75" customHeight="1" spans="1:2">
      <c r="A26254" s="3" t="str">
        <f>IFERROR(__xludf.DUMMYFUNCTION("GOOGLETRANSLATE(A26254,""en"",""pt"")"),"nenhum ainda")</f>
        <v>nenhum ainda</v>
      </c>
      <c r="B26254" s="3">
        <v>0</v>
      </c>
    </row>
    <row r="26255" ht="15.75" customHeight="1" spans="1:2">
      <c r="A26255" s="3" t="str">
        <f>IFERROR(__xludf.DUMMYFUNCTION("GOOGLETRANSLATE(A26255,""en"",""pt"")"),"Impressora cartucho caro")</f>
        <v>Impressora cartucho caro</v>
      </c>
      <c r="B26255" s="3">
        <v>0</v>
      </c>
    </row>
    <row r="26256" ht="15.75" customHeight="1" spans="1:2">
      <c r="A26256" s="3" t="str">
        <f>IFERROR(__xludf.DUMMYFUNCTION("GOOGLETRANSLATE(A26256,""en"",""pt"")"),"Baixa qualidade")</f>
        <v>Baixa qualidade</v>
      </c>
      <c r="B26256" s="3">
        <v>0</v>
      </c>
    </row>
    <row r="26257" ht="15.75" customHeight="1" spans="1:2">
      <c r="A26257" s="3" t="str">
        <f>IFERROR(__xludf.DUMMYFUNCTION("GOOGLETRANSLATE(A26257,""en"",""pt"")"),"No cartucho preto separado")</f>
        <v>No cartucho preto separado</v>
      </c>
      <c r="B26257" s="3">
        <v>0</v>
      </c>
    </row>
    <row r="26258" ht="15.75" customHeight="1" spans="1:2">
      <c r="A26258" s="3" t="str">
        <f>IFERROR(__xludf.DUMMYFUNCTION("GOOGLETRANSLATE(A26258,""en"",""pt"")"),"Lento, nenhum apoio sério")</f>
        <v>Lento, nenhum apoio sério</v>
      </c>
      <c r="B26258" s="3">
        <v>0</v>
      </c>
    </row>
    <row r="26259" ht="15.75" customHeight="1" spans="1:2">
      <c r="A26259" s="3" t="str">
        <f>IFERROR(__xludf.DUMMYFUNCTION("GOOGLETRANSLATE(A26259,""en"",""pt"")"),"gostaria que imprimir mais rápido")</f>
        <v>gostaria que imprimir mais rápido</v>
      </c>
      <c r="B26259" s="3">
        <v>0</v>
      </c>
    </row>
    <row r="26260" ht="15.75" customHeight="1" spans="1:2">
      <c r="A26260" s="3" t="str">
        <f>IFERROR(__xludf.DUMMYFUNCTION("GOOGLETRANSLATE(A26260,""en"",""pt"")"),"Lento")</f>
        <v>Lento</v>
      </c>
      <c r="B26260" s="3">
        <v>0</v>
      </c>
    </row>
    <row r="26261" ht="15.75" customHeight="1" spans="1:2">
      <c r="A26261" s="3" t="str">
        <f>IFERROR(__xludf.DUMMYFUNCTION("GOOGLETRANSLATE(A26261,""en"",""pt"")"),"Deve trocar carros, um pouco lento na impressão a cores")</f>
        <v>Deve trocar carros, um pouco lento na impressão a cores</v>
      </c>
      <c r="B26261" s="3">
        <v>0</v>
      </c>
    </row>
    <row r="26262" ht="15.75" customHeight="1" spans="1:2">
      <c r="A26262" s="3" t="str">
        <f>IFERROR(__xludf.DUMMYFUNCTION("GOOGLETRANSLATE(A26262,""en"",""pt"")"),"NENHUM")</f>
        <v>NENHUM</v>
      </c>
      <c r="B26262" s="3">
        <v>0</v>
      </c>
    </row>
    <row r="26263" ht="15.75" customHeight="1" spans="1:2">
      <c r="A26263" s="3" t="str">
        <f>IFERROR(__xludf.DUMMYFUNCTION("GOOGLETRANSLATE(A26263,""en"",""pt"")"),"Nenhum")</f>
        <v>Nenhum</v>
      </c>
      <c r="B26263" s="3">
        <v>0</v>
      </c>
    </row>
    <row r="26264" ht="15.75" customHeight="1" spans="1:2">
      <c r="A26264" s="3" t="str">
        <f>IFERROR(__xludf.DUMMYFUNCTION("GOOGLETRANSLATE(A26264,""en"",""pt"")"),"barulhento, lento")</f>
        <v>barulhento, lento</v>
      </c>
      <c r="B26264" s="3">
        <v>0</v>
      </c>
    </row>
    <row r="26265" ht="15.75" customHeight="1" spans="1:2">
      <c r="A26265" s="3" t="str">
        <f>IFERROR(__xludf.DUMMYFUNCTION("GOOGLETRANSLATE(A26265,""en"",""pt"")"),"ele imprime muito lentamente")</f>
        <v>ele imprime muito lentamente</v>
      </c>
      <c r="B26265" s="3">
        <v>0</v>
      </c>
    </row>
    <row r="26266" ht="15.75" customHeight="1" spans="1:2">
      <c r="A26266" s="3" t="str">
        <f>IFERROR(__xludf.DUMMYFUNCTION("GOOGLETRANSLATE(A26266,""en"",""pt"")"),"Nenhum")</f>
        <v>Nenhum</v>
      </c>
      <c r="B26266" s="3">
        <v>0</v>
      </c>
    </row>
    <row r="26267" ht="15.75" customHeight="1" spans="1:2">
      <c r="A26267" s="3" t="str">
        <f>IFERROR(__xludf.DUMMYFUNCTION("GOOGLETRANSLATE(A26267,""en"",""pt"")"),"Ruidoso, tinta é caro, muito lento")</f>
        <v>Ruidoso, tinta é caro, muito lento</v>
      </c>
      <c r="B26267" s="3">
        <v>0</v>
      </c>
    </row>
    <row r="26268" ht="15.75" customHeight="1" spans="1:2">
      <c r="A26268" s="3" t="str">
        <f>IFERROR(__xludf.DUMMYFUNCTION("GOOGLETRANSLATE(A26268,""en"",""pt"")"),"não pode usar o meu scanner")</f>
        <v>não pode usar o meu scanner</v>
      </c>
      <c r="B26268" s="3">
        <v>0</v>
      </c>
    </row>
    <row r="26269" ht="15.75" customHeight="1" spans="1:2">
      <c r="A26269" s="3" t="str">
        <f>IFERROR(__xludf.DUMMYFUNCTION("GOOGLETRANSLATE(A26269,""en"",""pt"")"),"Um sistema de cartucho de tinta")</f>
        <v>Um sistema de cartucho de tinta</v>
      </c>
      <c r="B26269" s="3">
        <v>0</v>
      </c>
    </row>
    <row r="26270" ht="15.75" customHeight="1" spans="1:2">
      <c r="A26270" s="3" t="str">
        <f>IFERROR(__xludf.DUMMYFUNCTION("GOOGLETRANSLATE(A26270,""en"",""pt"")"),"cartuchos")</f>
        <v>cartuchos</v>
      </c>
      <c r="B26270" s="3">
        <v>0</v>
      </c>
    </row>
    <row r="26271" ht="15.75" customHeight="1" spans="1:2">
      <c r="A26271" s="3" t="str">
        <f>IFERROR(__xludf.DUMMYFUNCTION("GOOGLETRANSLATE(A26271,""en"",""pt"")"),"Foto impressão de qualidade, vida útil do cartucho")</f>
        <v>Foto impressão de qualidade, vida útil do cartucho</v>
      </c>
      <c r="B26271" s="3">
        <v>0</v>
      </c>
    </row>
    <row r="26272" ht="15.75" customHeight="1" spans="1:2">
      <c r="A26272" s="3" t="str">
        <f>IFERROR(__xludf.DUMMYFUNCTION("GOOGLETRANSLATE(A26272,""en"",""pt"")"),"imprime lentamente")</f>
        <v>imprime lentamente</v>
      </c>
      <c r="B26272" s="3">
        <v>0</v>
      </c>
    </row>
    <row r="26273" ht="15.75" customHeight="1" spans="1:2">
      <c r="A26273" s="3" t="str">
        <f>IFERROR(__xludf.DUMMYFUNCTION("GOOGLETRANSLATE(A26273,""en"",""pt"")"),"O tempo de impressão")</f>
        <v>O tempo de impressão</v>
      </c>
      <c r="B26273" s="3">
        <v>0</v>
      </c>
    </row>
    <row r="26274" ht="15.75" customHeight="1" spans="1:2">
      <c r="A26274" s="3" t="str">
        <f>IFERROR(__xludf.DUMMYFUNCTION("GOOGLETRANSLATE(A26274,""en"",""pt"")"),"O preço dos cartages tinta")</f>
        <v>O preço dos cartages tinta</v>
      </c>
      <c r="B26274" s="3">
        <v>0</v>
      </c>
    </row>
    <row r="26275" ht="15.75" customHeight="1" spans="1:2">
      <c r="A26275" s="3" t="str">
        <f>IFERROR(__xludf.DUMMYFUNCTION("GOOGLETRANSLATE(A26275,""en"",""pt"")"),"Win98 / 95, Power Mac.")</f>
        <v>Win98 / 95, Power Mac.</v>
      </c>
      <c r="B26275" s="3">
        <v>0</v>
      </c>
    </row>
    <row r="26276" ht="15.75" customHeight="1" spans="1:2">
      <c r="A26276" s="3" t="str">
        <f>IFERROR(__xludf.DUMMYFUNCTION("GOOGLETRANSLATE(A26276,""en"",""pt"")"),"Nenhum")</f>
        <v>Nenhum</v>
      </c>
      <c r="B26276" s="3">
        <v>0</v>
      </c>
    </row>
    <row r="26277" ht="15.75" customHeight="1" spans="1:2">
      <c r="A26277" s="3" t="str">
        <f>IFERROR(__xludf.DUMMYFUNCTION("GOOGLETRANSLATE(A26277,""en"",""pt"")"),"lento, qualidade de impressão ruim")</f>
        <v>lento, qualidade de impressão ruim</v>
      </c>
      <c r="B26277" s="3">
        <v>0</v>
      </c>
    </row>
    <row r="26278" ht="15.75" customHeight="1" spans="1:2">
      <c r="A26278" s="3" t="str">
        <f>IFERROR(__xludf.DUMMYFUNCTION("GOOGLETRANSLATE(A26278,""en"",""pt"")"),"um pouco barulhento no modo de impressão a cores")</f>
        <v>um pouco barulhento no modo de impressão a cores</v>
      </c>
      <c r="B26278" s="3">
        <v>0</v>
      </c>
    </row>
    <row r="26279" ht="15.75" customHeight="1" spans="1:2">
      <c r="A26279" s="3" t="str">
        <f>IFERROR(__xludf.DUMMYFUNCTION("GOOGLETRANSLATE(A26279,""en"",""pt"")"),"32,00 para um cartucho de uma tinta")</f>
        <v>32,00 para um cartucho de uma tinta</v>
      </c>
      <c r="B26279" s="3">
        <v>0</v>
      </c>
    </row>
    <row r="26280" ht="15.75" customHeight="1" spans="1:2">
      <c r="A26280" s="3" t="str">
        <f>IFERROR(__xludf.DUMMYFUNCTION("GOOGLETRANSLATE(A26280,""en"",""pt"")"),"alto custo operacional")</f>
        <v>alto custo operacional</v>
      </c>
      <c r="B26280" s="3">
        <v>0</v>
      </c>
    </row>
    <row r="26281" ht="15.75" customHeight="1" spans="1:2">
      <c r="A26281" s="3" t="str">
        <f>IFERROR(__xludf.DUMMYFUNCTION("GOOGLETRANSLATE(A26281,""en"",""pt"")"),"Um cartucho de cada vez, de papel, por vezes, colocado incorretamente")</f>
        <v>Um cartucho de cada vez, de papel, por vezes, colocado incorretamente</v>
      </c>
      <c r="B26281" s="3">
        <v>0</v>
      </c>
    </row>
    <row r="26282" ht="15.75" customHeight="1" spans="1:2">
      <c r="A26282" s="3" t="str">
        <f>IFERROR(__xludf.DUMMYFUNCTION("GOOGLETRANSLATE(A26282,""en"",""pt"")"),"nenhum ainda")</f>
        <v>nenhum ainda</v>
      </c>
      <c r="B26282" s="3">
        <v>0</v>
      </c>
    </row>
    <row r="26283" ht="15.75" customHeight="1" spans="1:2">
      <c r="A26283" s="3" t="str">
        <f>IFERROR(__xludf.DUMMYFUNCTION("GOOGLETRANSLATE(A26283,""en"",""pt"")"),"Ao criar documentos com várias páginas, eles às vezes acabam no chão")</f>
        <v>Ao criar documentos com várias páginas, eles às vezes acabam no chão</v>
      </c>
      <c r="B26283" s="3">
        <v>0</v>
      </c>
    </row>
    <row r="26284" ht="15.75" customHeight="1" spans="1:2">
      <c r="A26284" s="3" t="str">
        <f>IFERROR(__xludf.DUMMYFUNCTION("GOOGLETRANSLATE(A26284,""en"",""pt"")"),"Serviço ao cliente")</f>
        <v>Serviço ao cliente</v>
      </c>
      <c r="B26284" s="3">
        <v>0</v>
      </c>
    </row>
    <row r="26285" ht="15.75" customHeight="1" spans="1:2">
      <c r="A26285" s="3" t="str">
        <f>IFERROR(__xludf.DUMMYFUNCTION("GOOGLETRANSLATE(A26285,""en"",""pt"")"),"Curto tempo de vida")</f>
        <v>Curto tempo de vida</v>
      </c>
      <c r="B26285" s="3">
        <v>0</v>
      </c>
    </row>
    <row r="26286" ht="15.75" customHeight="1" spans="1:2">
      <c r="A26286" s="3" t="str">
        <f>IFERROR(__xludf.DUMMYFUNCTION("GOOGLETRANSLATE(A26286,""en"",""pt"")"),"alimentador de papel fica louco.")</f>
        <v>alimentador de papel fica louco.</v>
      </c>
      <c r="B26286" s="3">
        <v>0</v>
      </c>
    </row>
    <row r="26287" ht="15.75" customHeight="1" spans="1:2">
      <c r="A26287" s="3" t="str">
        <f>IFERROR(__xludf.DUMMYFUNCTION("GOOGLETRANSLATE(A26287,""en"",""pt"")"),"Trocando cartuchos, cor única adequados, mídia caro")</f>
        <v>Trocando cartuchos, cor única adequados, mídia caro</v>
      </c>
      <c r="B26287" s="3">
        <v>0</v>
      </c>
    </row>
    <row r="26288" ht="15.75" customHeight="1" spans="1:2">
      <c r="A26288" s="3" t="str">
        <f>IFERROR(__xludf.DUMMYFUNCTION("GOOGLETRANSLATE(A26288,""en"",""pt"")"),"Nenhum")</f>
        <v>Nenhum</v>
      </c>
      <c r="B26288" s="3">
        <v>0</v>
      </c>
    </row>
    <row r="26289" ht="15.75" customHeight="1" spans="1:2">
      <c r="A26289" s="3" t="str">
        <f>IFERROR(__xludf.DUMMYFUNCTION("GOOGLETRANSLATE(A26289,""en"",""pt"")"),"Nenhum")</f>
        <v>Nenhum</v>
      </c>
      <c r="B26289" s="3">
        <v>0</v>
      </c>
    </row>
    <row r="26290" ht="15.75" customHeight="1" spans="1:2">
      <c r="A26290" s="3" t="str">
        <f>IFERROR(__xludf.DUMMYFUNCTION("GOOGLETRANSLATE(A26290,""en"",""pt"")"),"Má qualidade de impressão, cartuchos caros e pobres fiabilidade.")</f>
        <v>Má qualidade de impressão, cartuchos caros e pobres fiabilidade.</v>
      </c>
      <c r="B26290" s="3">
        <v>0</v>
      </c>
    </row>
    <row r="26291" ht="15.75" customHeight="1" spans="1:2">
      <c r="A26291" s="3" t="str">
        <f>IFERROR(__xludf.DUMMYFUNCTION("GOOGLETRANSLATE(A26291,""en"",""pt"")"),"É lixo.")</f>
        <v>É lixo.</v>
      </c>
      <c r="B26291" s="3">
        <v>0</v>
      </c>
    </row>
    <row r="26292" ht="15.75" customHeight="1" spans="1:2">
      <c r="A26292" s="3" t="str">
        <f>IFERROR(__xludf.DUMMYFUNCTION("GOOGLETRANSLATE(A26292,""en"",""pt"")"),"vem com apenas o cartucho colorido, suporte técnico confiável, pobre")</f>
        <v>vem com apenas o cartucho colorido, suporte técnico confiável, pobre</v>
      </c>
      <c r="B26292" s="3">
        <v>0</v>
      </c>
    </row>
    <row r="26293" ht="15.75" customHeight="1" spans="1:2">
      <c r="A26293" s="3" t="str">
        <f>IFERROR(__xludf.DUMMYFUNCTION("GOOGLETRANSLATE(A26293,""en"",""pt"")"),"Um pouco lento")</f>
        <v>Um pouco lento</v>
      </c>
      <c r="B26293" s="3">
        <v>0</v>
      </c>
    </row>
    <row r="26294" ht="15.75" customHeight="1" spans="1:2">
      <c r="A26294" s="3" t="str">
        <f>IFERROR(__xludf.DUMMYFUNCTION("GOOGLETRANSLATE(A26294,""en"",""pt"")"),"Quebrou imediatamente, novo custo da tinta, tanto quanto de impressora")</f>
        <v>Quebrou imediatamente, novo custo da tinta, tanto quanto de impressora</v>
      </c>
      <c r="B26294" s="3">
        <v>0</v>
      </c>
    </row>
    <row r="26295" ht="15.75" customHeight="1" spans="1:2">
      <c r="A26295" s="3" t="str">
        <f>IFERROR(__xludf.DUMMYFUNCTION("GOOGLETRANSLATE(A26295,""en"",""pt"")"),"alimentador de papel não é muito bom. O papel não é ficar em linha reta. Cartuchos alta.")</f>
        <v>alimentador de papel não é muito bom. O papel não é ficar em linha reta. Cartuchos alta.</v>
      </c>
      <c r="B26295" s="3">
        <v>0</v>
      </c>
    </row>
    <row r="26296" ht="15.75" customHeight="1" spans="1:2">
      <c r="A26296" s="3" t="str">
        <f>IFERROR(__xludf.DUMMYFUNCTION("GOOGLETRANSLATE(A26296,""en"",""pt"")"),"Muito lento para aqueles com necessidades de alta velocidade")</f>
        <v>Muito lento para aqueles com necessidades de alta velocidade</v>
      </c>
      <c r="B26296" s="3">
        <v>0</v>
      </c>
    </row>
    <row r="26297" ht="15.75" customHeight="1" spans="1:2">
      <c r="A26297" s="3" t="str">
        <f>IFERROR(__xludf.DUMMYFUNCTION("GOOGLETRANSLATE(A26297,""en"",""pt"")"),"Um pouco complicado de configurar.")</f>
        <v>Um pouco complicado de configurar.</v>
      </c>
      <c r="B26297" s="3">
        <v>0</v>
      </c>
    </row>
    <row r="26298" ht="15.75" customHeight="1" spans="1:2">
      <c r="A26298" s="3" t="str">
        <f>IFERROR(__xludf.DUMMYFUNCTION("GOOGLETRANSLATE(A26298,""en"",""pt"")"),"problemas na instalação, com defeito")</f>
        <v>problemas na instalação, com defeito</v>
      </c>
      <c r="B26298" s="3">
        <v>0</v>
      </c>
    </row>
    <row r="26299" ht="15.75" customHeight="1" spans="1:2">
      <c r="A26299" s="3" t="str">
        <f>IFERROR(__xludf.DUMMYFUNCTION("GOOGLETRANSLATE(A26299,""en"",""pt"")"),"cartuchos separados para a cor / preto, cartuchos de secar rapidamente se não for usado diariamente.")</f>
        <v>cartuchos separados para a cor / preto, cartuchos de secar rapidamente se não for usado diariamente.</v>
      </c>
      <c r="B26299" s="3">
        <v>0</v>
      </c>
    </row>
    <row r="26300" ht="15.75" customHeight="1" spans="1:2">
      <c r="A26300" s="3" t="str">
        <f>IFERROR(__xludf.DUMMYFUNCTION("GOOGLETRANSLATE(A26300,""en"",""pt"")"),"meios de cartucho grandes custa um pouco mais para recarga. Novos cartuchos são caros.")</f>
        <v>meios de cartucho grandes custa um pouco mais para recarga. Novos cartuchos são caros.</v>
      </c>
      <c r="B26300" s="3">
        <v>0</v>
      </c>
    </row>
    <row r="26301" ht="15.75" customHeight="1" spans="1:2">
      <c r="A26301" s="3" t="str">
        <f>IFERROR(__xludf.DUMMYFUNCTION("GOOGLETRANSLATE(A26301,""en"",""pt"")"),"quer um preto ou um cartucho de tinta de cor em pelo uma vez")</f>
        <v>quer um preto ou um cartucho de tinta de cor em pelo uma vez</v>
      </c>
      <c r="B26301" s="3">
        <v>0</v>
      </c>
    </row>
    <row r="26302" ht="15.75" customHeight="1" spans="1:2">
      <c r="A26302" s="3" t="str">
        <f>IFERROR(__xludf.DUMMYFUNCTION("GOOGLETRANSLATE(A26302,""en"",""pt"")"),"não pode ser executado através de um scanner")</f>
        <v>não pode ser executado através de um scanner</v>
      </c>
      <c r="B26302" s="3">
        <v>0</v>
      </c>
    </row>
    <row r="26303" ht="15.75" customHeight="1" spans="1:2">
      <c r="A26303" s="3" t="str">
        <f>IFERROR(__xludf.DUMMYFUNCTION("GOOGLETRANSLATE(A26303,""en"",""pt"")"),"Lento. Muitas vezes puxa em mais de uma folha de cada vez.")</f>
        <v>Lento. Muitas vezes puxa em mais de uma folha de cada vez.</v>
      </c>
      <c r="B26303" s="3">
        <v>0</v>
      </c>
    </row>
    <row r="26304" ht="15.75" customHeight="1" spans="1:2">
      <c r="A26304" s="3" t="str">
        <f>IFERROR(__xludf.DUMMYFUNCTION("GOOGLETRANSLATE(A26304,""en"",""pt"")"),"só pode usar um cartucho de cada vez, não dura muito tempo,")</f>
        <v>só pode usar um cartucho de cada vez, não dura muito tempo,</v>
      </c>
      <c r="B26304" s="3">
        <v>0</v>
      </c>
    </row>
    <row r="26305" ht="15.75" customHeight="1" spans="1:2">
      <c r="A26305" s="3" t="str">
        <f>IFERROR(__xludf.DUMMYFUNCTION("GOOGLETRANSLATE(A26305,""en"",""pt"")"),"corre um pouco lento quando definido para impressão de alta qualidade, programas de programa que está sendo impresso quando não é quando definido como de alta qualidade")</f>
        <v>corre um pouco lento quando definido para impressão de alta qualidade, programas de programa que está sendo impresso quando não é quando definido como de alta qualidade</v>
      </c>
      <c r="B26305" s="3">
        <v>0</v>
      </c>
    </row>
    <row r="26306" ht="15.75" customHeight="1" spans="1:2">
      <c r="A26306" s="3" t="str">
        <f>IFERROR(__xludf.DUMMYFUNCTION("GOOGLETRANSLATE(A26306,""en"",""pt"")"),"Não inclui cabo de computador ou cartucho de impressão a preto e branco")</f>
        <v>Não inclui cabo de computador ou cartucho de impressão a preto e branco</v>
      </c>
      <c r="B26306" s="3">
        <v>0</v>
      </c>
    </row>
    <row r="26307" ht="15.75" customHeight="1" spans="1:2">
      <c r="A26307" s="3" t="str">
        <f>IFERROR(__xludf.DUMMYFUNCTION("GOOGLETRANSLATE(A26307,""en"",""pt"")"),"apenas apresenta um cartucho de tinta de cada vez")</f>
        <v>apenas apresenta um cartucho de tinta de cada vez</v>
      </c>
      <c r="B26307" s="3">
        <v>0</v>
      </c>
    </row>
    <row r="26308" ht="15.75" customHeight="1" spans="1:2">
      <c r="A26308" s="3" t="str">
        <f>IFERROR(__xludf.DUMMYFUNCTION("GOOGLETRANSLATE(A26308,""en"",""pt"")"),"Muito exigente quando se utiliza paralelo.")</f>
        <v>Muito exigente quando se utiliza paralelo.</v>
      </c>
      <c r="B26308" s="3">
        <v>0</v>
      </c>
    </row>
    <row r="26309" ht="15.75" customHeight="1" spans="1:2">
      <c r="A26309" s="3" t="str">
        <f>IFERROR(__xludf.DUMMYFUNCTION("GOOGLETRANSLATE(A26309,""en"",""pt"")"),"Qualidade")</f>
        <v>Qualidade</v>
      </c>
      <c r="B26309" s="3">
        <v>0</v>
      </c>
    </row>
    <row r="26310" ht="15.75" customHeight="1" spans="1:2">
      <c r="A26310" s="3" t="str">
        <f>IFERROR(__xludf.DUMMYFUNCTION("GOOGLETRANSLATE(A26310,""en"",""pt"")"),"lento, cabos extras, usa muita tinta muito rapidamente")</f>
        <v>lento, cabos extras, usa muita tinta muito rapidamente</v>
      </c>
      <c r="B26310" s="3">
        <v>0</v>
      </c>
    </row>
    <row r="26311" ht="15.75" customHeight="1" spans="1:2">
      <c r="A26311" s="3" t="str">
        <f>IFERROR(__xludf.DUMMYFUNCTION("GOOGLETRANSLATE(A26311,""en"",""pt"")"),"Extremamente lento! 1/2 ppm a cores!")</f>
        <v>Extremamente lento! 1/2 ppm a cores!</v>
      </c>
      <c r="B26311" s="3">
        <v>0</v>
      </c>
    </row>
    <row r="26312" ht="15.75" customHeight="1" spans="1:2">
      <c r="A26312" s="3" t="str">
        <f>IFERROR(__xludf.DUMMYFUNCTION("GOOGLETRANSLATE(A26312,""en"",""pt"")"),"cartuchos de substituição são caros, e usar um monte de tinta")</f>
        <v>cartuchos de substituição são caros, e usar um monte de tinta</v>
      </c>
      <c r="B26312" s="3">
        <v>0</v>
      </c>
    </row>
    <row r="26313" ht="15.75" customHeight="1" spans="1:2">
      <c r="A26313" s="3" t="str">
        <f>IFERROR(__xludf.DUMMYFUNCTION("GOOGLETRANSLATE(A26313,""en"",""pt"")"),"não trabalha com linux")</f>
        <v>não trabalha com linux</v>
      </c>
      <c r="B26313" s="3">
        <v>0</v>
      </c>
    </row>
    <row r="26314" ht="15.75" customHeight="1" spans="1:2">
      <c r="A26314" s="3" t="str">
        <f>IFERROR(__xludf.DUMMYFUNCTION("GOOGLETRANSLATE(A26314,""en"",""pt"")"),"Você tem que abrir os cartuchos de impressora e de swap para a mudança de cor a B &amp; amp; amp; W")</f>
        <v>Você tem que abrir os cartuchos de impressora e de swap para a mudança de cor a B &amp; amp; amp; W</v>
      </c>
      <c r="B26314" s="3">
        <v>0</v>
      </c>
    </row>
    <row r="26315" ht="15.75" customHeight="1" spans="1:2">
      <c r="A26315" s="3" t="str">
        <f>IFERROR(__xludf.DUMMYFUNCTION("GOOGLETRANSLATE(A26315,""en"",""pt"")"),"Preço de tinta")</f>
        <v>Preço de tinta</v>
      </c>
      <c r="B26315" s="3">
        <v>0</v>
      </c>
    </row>
    <row r="26316" ht="15.75" customHeight="1" spans="1:2">
      <c r="A26316" s="3" t="str">
        <f>IFERROR(__xludf.DUMMYFUNCTION("GOOGLETRANSLATE(A26316,""en"",""pt"")"),"Não encontrei nenhum ainda")</f>
        <v>Não encontrei nenhum ainda</v>
      </c>
      <c r="B26316" s="3">
        <v>0</v>
      </c>
    </row>
    <row r="26317" ht="15.75" customHeight="1" spans="1:2">
      <c r="A26317" s="3" t="str">
        <f>IFERROR(__xludf.DUMMYFUNCTION("GOOGLETRANSLATE(A26317,""en"",""pt"")"),"confundindo")</f>
        <v>confundindo</v>
      </c>
      <c r="B26317" s="3">
        <v>0</v>
      </c>
    </row>
    <row r="26318" ht="15.75" customHeight="1" spans="1:2">
      <c r="A26318" s="3" t="str">
        <f>IFERROR(__xludf.DUMMYFUNCTION("GOOGLETRANSLATE(A26318,""en"",""pt"")"),"storeage papel deve ser recarregados com frequência quando fazendo grandes trabalhos")</f>
        <v>storeage papel deve ser recarregados com frequência quando fazendo grandes trabalhos</v>
      </c>
      <c r="B26318" s="3">
        <v>0</v>
      </c>
    </row>
    <row r="26319" ht="15.75" customHeight="1" spans="1:2">
      <c r="A26319" s="3" t="str">
        <f>IFERROR(__xludf.DUMMYFUNCTION("GOOGLETRANSLATE(A26319,""en"",""pt"")"),"Ele só trabalhou uma vez")</f>
        <v>Ele só trabalhou uma vez</v>
      </c>
      <c r="B26319" s="3">
        <v>0</v>
      </c>
    </row>
    <row r="26320" ht="15.75" customHeight="1" spans="1:2">
      <c r="A26320" s="3" t="str">
        <f>IFERROR(__xludf.DUMMYFUNCTION("GOOGLETRANSLATE(A26320,""en"",""pt"")"),"Sem cabos. No cartucho preto. problemas de interface.")</f>
        <v>Sem cabos. No cartucho preto. problemas de interface.</v>
      </c>
      <c r="B26320" s="3">
        <v>0</v>
      </c>
    </row>
    <row r="26321" ht="15.75" customHeight="1" spans="1:2">
      <c r="A26321" s="3" t="str">
        <f>IFERROR(__xludf.DUMMYFUNCTION("GOOGLETRANSLATE(A26321,""en"",""pt"")"),"Cartucho é tanto B &amp; amp; W e tinta de cor, para substituir um que você substituir tanto")</f>
        <v>Cartucho é tanto B &amp; amp; W e tinta de cor, para substituir um que você substituir tanto</v>
      </c>
      <c r="B26321" s="3">
        <v>0</v>
      </c>
    </row>
    <row r="26322" ht="15.75" customHeight="1" spans="1:2">
      <c r="A26322" s="3" t="str">
        <f>IFERROR(__xludf.DUMMYFUNCTION("GOOGLETRANSLATE(A26322,""en"",""pt"")"),"Média-Alta qualidade de impressão")</f>
        <v>Média-Alta qualidade de impressão</v>
      </c>
      <c r="B26322" s="3">
        <v>0</v>
      </c>
    </row>
    <row r="26323" ht="15.75" customHeight="1" spans="1:2">
      <c r="A26323" s="3" t="str">
        <f>IFERROR(__xludf.DUMMYFUNCTION("GOOGLETRANSLATE(A26323,""en"",""pt"")"),"Eu não poderia encontrar contras quando ele veio para esta impressora. Eu amei tudo.")</f>
        <v>Eu não poderia encontrar contras quando ele veio para esta impressora. Eu amei tudo.</v>
      </c>
      <c r="B26323" s="3">
        <v>0</v>
      </c>
    </row>
    <row r="26324" ht="15.75" customHeight="1" spans="1:2">
      <c r="A26324" s="3" t="str">
        <f>IFERROR(__xludf.DUMMYFUNCTION("GOOGLETRANSLATE(A26324,""en"",""pt"")"),"uou lá em que a tinta")</f>
        <v>uou lá em que a tinta</v>
      </c>
      <c r="B26324" s="3">
        <v>0</v>
      </c>
    </row>
    <row r="26325" ht="15.75" customHeight="1" spans="1:2">
      <c r="A26325" s="3" t="str">
        <f>IFERROR(__xludf.DUMMYFUNCTION("GOOGLETRANSLATE(A26325,""en"",""pt"")"),"Obter o que você paga.")</f>
        <v>Obter o que você paga.</v>
      </c>
      <c r="B26325" s="3">
        <v>0</v>
      </c>
    </row>
    <row r="26326" ht="15.75" customHeight="1" spans="1:2">
      <c r="A26326" s="3" t="str">
        <f>IFERROR(__xludf.DUMMYFUNCTION("GOOGLETRANSLATE(A26326,""en"",""pt"")"),"Motorista de reinstalação, cartucho de troca, 8 1/2"" de limite do papel")</f>
        <v>Motorista de reinstalação, cartucho de troca, 8 1/2" de limite do papel</v>
      </c>
      <c r="B26326" s="3">
        <v>0</v>
      </c>
    </row>
    <row r="26327" ht="15.75" customHeight="1" spans="1:2">
      <c r="A26327" s="3" t="str">
        <f>IFERROR(__xludf.DUMMYFUNCTION("GOOGLETRANSLATE(A26327,""en"",""pt"")"),"Nada até agora.")</f>
        <v>Nada até agora.</v>
      </c>
      <c r="B26327" s="3">
        <v>0</v>
      </c>
    </row>
    <row r="26328" ht="15.75" customHeight="1" spans="1:2">
      <c r="A26328" s="3" t="str">
        <f>IFERROR(__xludf.DUMMYFUNCTION("GOOGLETRANSLATE(A26328,""en"",""pt"")"),"Não é um cavalo de batalha ou demônio da velocidade. caro custo por página.")</f>
        <v>Não é um cavalo de batalha ou demônio da velocidade. caro custo por página.</v>
      </c>
      <c r="B26328" s="3">
        <v>0</v>
      </c>
    </row>
    <row r="26329" ht="15.75" customHeight="1" spans="1:2">
      <c r="A26329" s="3" t="str">
        <f>IFERROR(__xludf.DUMMYFUNCTION("GOOGLETRANSLATE(A26329,""en"",""pt"")"),"não veio com um cabo de impressora")</f>
        <v>não veio com um cabo de impressora</v>
      </c>
      <c r="B26329" s="3">
        <v>0</v>
      </c>
    </row>
    <row r="26330" ht="15.75" customHeight="1" spans="1:2">
      <c r="A26330" s="3" t="str">
        <f>IFERROR(__xludf.DUMMYFUNCTION("GOOGLETRANSLATE(A26330,""en"",""pt"")"),"É um pouco mais lento do que eu gostaria que fosse")</f>
        <v>É um pouco mais lento do que eu gostaria que fosse</v>
      </c>
      <c r="B26330" s="3">
        <v>0</v>
      </c>
    </row>
    <row r="26331" ht="15.75" customHeight="1" spans="1:2">
      <c r="A26331" s="3" t="str">
        <f>IFERROR(__xludf.DUMMYFUNCTION("GOOGLETRANSLATE(A26331,""en"",""pt"")"),"Alternando cartuchos e re-alinhamento, muitas vezes!")</f>
        <v>Alternando cartuchos e re-alinhamento, muitas vezes!</v>
      </c>
      <c r="B26331" s="3">
        <v>0</v>
      </c>
    </row>
    <row r="26332" ht="15.75" customHeight="1" spans="1:2">
      <c r="A26332" s="3" t="str">
        <f>IFERROR(__xludf.DUMMYFUNCTION("GOOGLETRANSLATE(A26332,""en"",""pt"")"),"Apenas um Cartucho Preto e Combinado cores")</f>
        <v>Apenas um Cartucho Preto e Combinado cores</v>
      </c>
      <c r="B26332" s="3">
        <v>0</v>
      </c>
    </row>
    <row r="26333" ht="15.75" customHeight="1" spans="1:2">
      <c r="A26333" s="3" t="str">
        <f>IFERROR(__xludf.DUMMYFUNCTION("GOOGLETRANSLATE(A26333,""en"",""pt"")"),"os cartuchos de tinta caros $ 30-40")</f>
        <v>os cartuchos de tinta caros $ 30-40</v>
      </c>
      <c r="B26333" s="3">
        <v>0</v>
      </c>
    </row>
    <row r="26334" ht="15.75" customHeight="1" spans="1:2">
      <c r="A26334" s="3" t="str">
        <f>IFERROR(__xludf.DUMMYFUNCTION("GOOGLETRANSLATE(A26334,""en"",""pt"")"),"cartuchos não recarregáveis")</f>
        <v>cartuchos não recarregáveis</v>
      </c>
      <c r="B26334" s="3">
        <v>0</v>
      </c>
    </row>
    <row r="26335" ht="15.75" customHeight="1" spans="1:2">
      <c r="A26335" s="3" t="str">
        <f>IFERROR(__xludf.DUMMYFUNCTION("GOOGLETRANSLATE(A26335,""en"",""pt"")"),"um pouco lento,")</f>
        <v>um pouco lento,</v>
      </c>
      <c r="B26335" s="3">
        <v>0</v>
      </c>
    </row>
    <row r="26336" ht="15.75" customHeight="1" spans="1:2">
      <c r="A26336" s="3" t="str">
        <f>IFERROR(__xludf.DUMMYFUNCTION("GOOGLETRANSLATE(A26336,""en"",""pt"")"),"Fazer fotos de qualidade usa tinta excessiva.")</f>
        <v>Fazer fotos de qualidade usa tinta excessiva.</v>
      </c>
      <c r="B26336" s="3">
        <v>0</v>
      </c>
    </row>
    <row r="26337" ht="15.75" customHeight="1" spans="1:2">
      <c r="A26337" s="3" t="str">
        <f>IFERROR(__xludf.DUMMYFUNCTION("GOOGLETRANSLATE(A26337,""en"",""pt"")"),"Não tão rápido como algumas impressoras.")</f>
        <v>Não tão rápido como algumas impressoras.</v>
      </c>
      <c r="B26337" s="3">
        <v>0</v>
      </c>
    </row>
    <row r="26338" ht="15.75" customHeight="1" spans="1:2">
      <c r="A26338" s="3" t="str">
        <f>IFERROR(__xludf.DUMMYFUNCTION("GOOGLETRANSLATE(A26338,""en"",""pt"")"),"instruções de configuração de rede não são fornecidos, mas eles são um pouco diferentes.")</f>
        <v>instruções de configuração de rede não são fornecidos, mas eles são um pouco diferentes.</v>
      </c>
      <c r="B26338" s="3">
        <v>0</v>
      </c>
    </row>
    <row r="26339" ht="15.75" customHeight="1" spans="1:2">
      <c r="A26339" s="3" t="str">
        <f>IFERROR(__xludf.DUMMYFUNCTION("GOOGLETRANSLATE(A26339,""en"",""pt"")"),"Lento e barulhento.")</f>
        <v>Lento e barulhento.</v>
      </c>
      <c r="B26339" s="3">
        <v>0</v>
      </c>
    </row>
    <row r="26340" ht="15.75" customHeight="1" spans="1:2">
      <c r="A26340" s="3" t="str">
        <f>IFERROR(__xludf.DUMMYFUNCTION("GOOGLETRANSLATE(A26340,""en"",""pt"")"),"qualidade de impressão horrível")</f>
        <v>qualidade de impressão horrível</v>
      </c>
      <c r="B26340" s="3">
        <v>0</v>
      </c>
    </row>
    <row r="26341" ht="15.75" customHeight="1" spans="1:2">
      <c r="A26341" s="3" t="str">
        <f>IFERROR(__xludf.DUMMYFUNCTION("GOOGLETRANSLATE(A26341,""en"",""pt"")"),"A imagem latente é uma sombra sobre o lado da luz.")</f>
        <v>A imagem latente é uma sombra sobre o lado da luz.</v>
      </c>
      <c r="B26341" s="3">
        <v>0</v>
      </c>
    </row>
    <row r="26342" ht="15.75" customHeight="1" spans="1:2">
      <c r="A26342" s="3" t="str">
        <f>IFERROR(__xludf.DUMMYFUNCTION("GOOGLETRANSLATE(A26342,""en"",""pt"")"),"Slowwwww, não vem com um cartucho de tinta preta")</f>
        <v>Slowwwww, não vem com um cartucho de tinta preta</v>
      </c>
      <c r="B26342" s="3">
        <v>0</v>
      </c>
    </row>
    <row r="26343" ht="15.75" customHeight="1" spans="1:2">
      <c r="A26343" s="3" t="str">
        <f>IFERROR(__xludf.DUMMYFUNCTION("GOOGLETRANSLATE(A26343,""en"",""pt"")"),"Tende a usar tinta muito rápido, portanto, você precisa de tinta mais.")</f>
        <v>Tende a usar tinta muito rápido, portanto, você precisa de tinta mais.</v>
      </c>
      <c r="B26343" s="3">
        <v>0</v>
      </c>
    </row>
    <row r="26344" ht="15.75" customHeight="1" spans="1:2">
      <c r="A26344" s="3" t="str">
        <f>IFERROR(__xludf.DUMMYFUNCTION("GOOGLETRANSLATE(A26344,""en"",""pt"")"),"folhas de qualidade de impressão muito a desejar.")</f>
        <v>folhas de qualidade de impressão muito a desejar.</v>
      </c>
      <c r="B26344" s="3">
        <v>0</v>
      </c>
    </row>
    <row r="26345" ht="15.75" customHeight="1" spans="1:2">
      <c r="A26345" s="3" t="str">
        <f>IFERROR(__xludf.DUMMYFUNCTION("GOOGLETRANSLATE(A26345,""en"",""pt"")"),"Ink é caro e este é um comedor de tinta!")</f>
        <v>Ink é caro e este é um comedor de tinta!</v>
      </c>
      <c r="B26345" s="3">
        <v>0</v>
      </c>
    </row>
    <row r="26346" ht="15.75" customHeight="1" spans="1:2">
      <c r="A26346" s="3" t="str">
        <f>IFERROR(__xludf.DUMMYFUNCTION("GOOGLETRANSLATE(A26346,""en"",""pt"")"),"Foto Ink é muito caro")</f>
        <v>Foto Ink é muito caro</v>
      </c>
      <c r="B26346" s="3">
        <v>0</v>
      </c>
    </row>
    <row r="26347" ht="15.75" customHeight="1" spans="1:2">
      <c r="A26347" s="3" t="str">
        <f>IFERROR(__xludf.DUMMYFUNCTION("GOOGLETRANSLATE(A26347,""en"",""pt"")"),"Cartuchos ficar parado o tempo todo, deve ser substituído (impressora custos 2x)")</f>
        <v>Cartuchos ficar parado o tempo todo, deve ser substituído (impressora custos 2x)</v>
      </c>
      <c r="B26347" s="3">
        <v>0</v>
      </c>
    </row>
    <row r="26348" ht="15.75" customHeight="1" spans="1:2">
      <c r="A26348" s="3" t="str">
        <f>IFERROR(__xludf.DUMMYFUNCTION("GOOGLETRANSLATE(A26348,""en"",""pt"")"),"Cartuchos de ficar bloqueado muito facilmente, o papel fica jammmed frequentemente")</f>
        <v>Cartuchos de ficar bloqueado muito facilmente, o papel fica jammmed frequentemente</v>
      </c>
      <c r="B26348" s="3">
        <v>0</v>
      </c>
    </row>
    <row r="26349" ht="15.75" customHeight="1" spans="1:2">
      <c r="A26349" s="3" t="str">
        <f>IFERROR(__xludf.DUMMYFUNCTION("GOOGLETRANSLATE(A26349,""en"",""pt"")"),"tinta caro")</f>
        <v>tinta caro</v>
      </c>
      <c r="B26349" s="3">
        <v>0</v>
      </c>
    </row>
    <row r="26350" ht="15.75" customHeight="1" spans="1:2">
      <c r="A26350" s="3" t="str">
        <f>IFERROR(__xludf.DUMMYFUNCTION("GOOGLETRANSLATE(A26350,""en"",""pt"")"),"bebedor tinta")</f>
        <v>bebedor tinta</v>
      </c>
      <c r="B26350" s="3">
        <v>0</v>
      </c>
    </row>
    <row r="26351" ht="15.75" customHeight="1" spans="1:2">
      <c r="A26351" s="3" t="str">
        <f>IFERROR(__xludf.DUMMYFUNCTION("GOOGLETRANSLATE(A26351,""en"",""pt"")"),"Nenhum")</f>
        <v>Nenhum</v>
      </c>
      <c r="B26351" s="3">
        <v>0</v>
      </c>
    </row>
    <row r="26352" ht="15.75" customHeight="1" spans="1:2">
      <c r="A26352" s="3" t="str">
        <f>IFERROR(__xludf.DUMMYFUNCTION("GOOGLETRANSLATE(A26352,""en"",""pt"")"),"plásticos baratos. suporte Linux é limitada. Custo da tinta é ultrajante, quase impossível de recarga.")</f>
        <v>plásticos baratos. suporte Linux é limitada. Custo da tinta é ultrajante, quase impossível de recarga.</v>
      </c>
      <c r="B26352" s="3">
        <v>0</v>
      </c>
    </row>
    <row r="26353" ht="15.75" customHeight="1" spans="1:2">
      <c r="A26353" s="3" t="str">
        <f>IFERROR(__xludf.DUMMYFUNCTION("GOOGLETRANSLATE(A26353,""en"",""pt"")"),"O preço das recargas de tinta e sua vida inerente curto prazo.")</f>
        <v>O preço das recargas de tinta e sua vida inerente curto prazo.</v>
      </c>
      <c r="B26353" s="3">
        <v>0</v>
      </c>
    </row>
    <row r="26354" ht="15.75" customHeight="1" spans="1:2">
      <c r="A26354" s="3" t="str">
        <f>IFERROR(__xludf.DUMMYFUNCTION("GOOGLETRANSLATE(A26354,""en"",""pt"")"),"Não o que é faz jus a ser")</f>
        <v>Não o que é faz jus a ser</v>
      </c>
      <c r="B26354" s="3">
        <v>0</v>
      </c>
    </row>
    <row r="26355" ht="15.75" customHeight="1" spans="1:2">
      <c r="A26355" s="3" t="str">
        <f>IFERROR(__xludf.DUMMYFUNCTION("GOOGLETRANSLATE(A26355,""en"",""pt"")"),"Não inclui o cabo de impressão.")</f>
        <v>Não inclui o cabo de impressão.</v>
      </c>
      <c r="B26355" s="3">
        <v>0</v>
      </c>
    </row>
    <row r="26356" ht="15.75" customHeight="1" spans="1:2">
      <c r="A26356" s="3" t="str">
        <f>IFERROR(__xludf.DUMMYFUNCTION("GOOGLETRANSLATE(A26356,""en"",""pt"")"),"Trata apenas com um cartucho de tinta preta. , Stopped de alimentação de papel, após 6 meses.,")</f>
        <v>Trata apenas com um cartucho de tinta preta. , Stopped de alimentação de papel, após 6 meses.,</v>
      </c>
      <c r="B26356" s="3">
        <v>0</v>
      </c>
    </row>
    <row r="26357" ht="15.75" customHeight="1" spans="1:2">
      <c r="A26357" s="3" t="str">
        <f>IFERROR(__xludf.DUMMYFUNCTION("GOOGLETRANSLATE(A26357,""en"",""pt"")"),"Rapidez")</f>
        <v>Rapidez</v>
      </c>
      <c r="B26357" s="3">
        <v>0</v>
      </c>
    </row>
    <row r="26358" ht="15.75" customHeight="1" spans="1:2">
      <c r="A26358" s="3" t="str">
        <f>IFERROR(__xludf.DUMMYFUNCTION("GOOGLETRANSLATE(A26358,""en"",""pt"")"),"Come tinta. Come tinta.")</f>
        <v>Come tinta. Come tinta.</v>
      </c>
      <c r="B26358" s="3">
        <v>0</v>
      </c>
    </row>
    <row r="26359" ht="15.75" customHeight="1" spans="1:2">
      <c r="A26359" s="3" t="str">
        <f>IFERROR(__xludf.DUMMYFUNCTION("GOOGLETRANSLATE(A26359,""en"",""pt"")"),"tinta caro.")</f>
        <v>tinta caro.</v>
      </c>
      <c r="B26359" s="3">
        <v>0</v>
      </c>
    </row>
    <row r="26360" ht="15.75" customHeight="1" spans="1:2">
      <c r="A26360" s="3" t="str">
        <f>IFERROR(__xludf.DUMMYFUNCTION("GOOGLETRANSLATE(A26360,""en"",""pt"")"),"tinta de reposição é caro, e é uma espécie de lento e um pouco alto")</f>
        <v>tinta de reposição é caro, e é uma espécie de lento e um pouco alto</v>
      </c>
      <c r="B26360" s="3">
        <v>0</v>
      </c>
    </row>
    <row r="26361" ht="15.75" customHeight="1" spans="1:2">
      <c r="A26361" s="3" t="str">
        <f>IFERROR(__xludf.DUMMYFUNCTION("GOOGLETRANSLATE(A26361,""en"",""pt"")"),"A impressão é lenta e e operação é um pouco alto")</f>
        <v>A impressão é lenta e e operação é um pouco alto</v>
      </c>
      <c r="B26361" s="3">
        <v>0</v>
      </c>
    </row>
    <row r="26362" ht="15.75" customHeight="1" spans="1:2">
      <c r="A26362" s="3" t="str">
        <f>IFERROR(__xludf.DUMMYFUNCTION("GOOGLETRANSLATE(A26362,""en"",""pt"")"),"maior do que a Lexmark velho")</f>
        <v>maior do que a Lexmark velho</v>
      </c>
      <c r="B26362" s="3">
        <v>0</v>
      </c>
    </row>
    <row r="26363" ht="15.75" customHeight="1" spans="1:2">
      <c r="A26363" s="3" t="str">
        <f>IFERROR(__xludf.DUMMYFUNCTION("GOOGLETRANSLATE(A26363,""en"",""pt"")"),"A velocidade de impressão poderia ser melhor.")</f>
        <v>A velocidade de impressão poderia ser melhor.</v>
      </c>
      <c r="B26363" s="3">
        <v>0</v>
      </c>
    </row>
    <row r="26364" ht="15.75" customHeight="1" spans="1:2">
      <c r="A26364" s="3" t="str">
        <f>IFERROR(__xludf.DUMMYFUNCTION("GOOGLETRANSLATE(A26364,""en"",""pt"")"),"NENHUM")</f>
        <v>NENHUM</v>
      </c>
      <c r="B26364" s="3">
        <v>0</v>
      </c>
    </row>
    <row r="26365" ht="15.75" customHeight="1" spans="1:2">
      <c r="A26365" s="3" t="str">
        <f>IFERROR(__xludf.DUMMYFUNCTION("GOOGLETRANSLATE(A26365,""en"",""pt"")"),"Ele faz &amp; lt; B &amp; gt; não &amp; lt; / B &amp; gt; vêm com um cabo de impressora - você precisa fornecer o seu próprio.")</f>
        <v>Ele faz &amp; lt; B &amp; gt; não &amp; lt; / B &amp; gt; vêm com um cabo de impressora - você precisa fornecer o seu próprio.</v>
      </c>
      <c r="B26365" s="3">
        <v>0</v>
      </c>
    </row>
    <row r="26366" ht="15.75" customHeight="1" spans="1:2">
      <c r="A26366" s="3" t="str">
        <f>IFERROR(__xludf.DUMMYFUNCTION("GOOGLETRANSLATE(A26366,""en"",""pt"")"),"As substituições do cartucho de tinta são muito elevado preço")</f>
        <v>As substituições do cartucho de tinta são muito elevado preço</v>
      </c>
      <c r="B26366" s="3">
        <v>0</v>
      </c>
    </row>
    <row r="26367" ht="15.75" customHeight="1" spans="1:2">
      <c r="A26367" s="3" t="str">
        <f>IFERROR(__xludf.DUMMYFUNCTION("GOOGLETRANSLATE(A26367,""en"",""pt"")"),"Não vem com cartucho de tinta preta.")</f>
        <v>Não vem com cartucho de tinta preta.</v>
      </c>
      <c r="B26367" s="3">
        <v>0</v>
      </c>
    </row>
    <row r="26368" ht="15.75" customHeight="1" spans="1:2">
      <c r="A26368" s="3" t="str">
        <f>IFERROR(__xludf.DUMMYFUNCTION("GOOGLETRANSLATE(A26368,""en"",""pt"")"),"Não é bom para imagens de alta qualidade")</f>
        <v>Não é bom para imagens de alta qualidade</v>
      </c>
      <c r="B26368" s="3">
        <v>0</v>
      </c>
    </row>
    <row r="26369" ht="15.75" customHeight="1" spans="1:2">
      <c r="A26369" s="3" t="str">
        <f>IFERROR(__xludf.DUMMYFUNCTION("GOOGLETRANSLATE(A26369,""en"",""pt"")"),"carrinhos de tinta são um pouco caro")</f>
        <v>carrinhos de tinta são um pouco caro</v>
      </c>
      <c r="B26369" s="3">
        <v>0</v>
      </c>
    </row>
    <row r="26370" ht="15.75" customHeight="1" spans="1:2">
      <c r="A26370" s="3" t="str">
        <f>IFERROR(__xludf.DUMMYFUNCTION("GOOGLETRANSLATE(A26370,""en"",""pt"")"),"alimentações para fora mais do que um pedaço de papel")</f>
        <v>alimentações para fora mais do que um pedaço de papel</v>
      </c>
      <c r="B26370" s="3">
        <v>0</v>
      </c>
    </row>
    <row r="26371" ht="15.75" customHeight="1" spans="1:2">
      <c r="A26371" s="3" t="str">
        <f>IFERROR(__xludf.DUMMYFUNCTION("GOOGLETRANSLATE(A26371,""en"",""pt"")"),"custo do cartucho, a qualidade")</f>
        <v>custo do cartucho, a qualidade</v>
      </c>
      <c r="B26371" s="3">
        <v>0</v>
      </c>
    </row>
    <row r="26372" ht="15.75" customHeight="1" spans="1:2">
      <c r="A26372" s="3" t="str">
        <f>IFERROR(__xludf.DUMMYFUNCTION("GOOGLETRANSLATE(A26372,""en"",""pt"")"),"Definitivamente não é recomendado para documentos de imagem de alto volume!")</f>
        <v>Definitivamente não é recomendado para documentos de imagem de alto volume!</v>
      </c>
      <c r="B26372" s="3">
        <v>0</v>
      </c>
    </row>
    <row r="26373" ht="15.75" customHeight="1" spans="1:2">
      <c r="A26373" s="3" t="str">
        <f>IFERROR(__xludf.DUMMYFUNCTION("GOOGLETRANSLATE(A26373,""en"",""pt"")"),"não o mais rápido")</f>
        <v>não o mais rápido</v>
      </c>
      <c r="B26373" s="3">
        <v>0</v>
      </c>
    </row>
    <row r="26374" ht="15.75" customHeight="1" spans="1:2">
      <c r="A26374" s="3" t="str">
        <f>IFERROR(__xludf.DUMMYFUNCTION("GOOGLETRANSLATE(A26374,""en"",""pt"")"),"impressora de alimentação superior")</f>
        <v>impressora de alimentação superior</v>
      </c>
      <c r="B26374" s="3">
        <v>0</v>
      </c>
    </row>
    <row r="26375" ht="15.75" customHeight="1" spans="1:2">
      <c r="A26375" s="3" t="s">
        <v>132</v>
      </c>
      <c r="B26375" s="3">
        <v>0</v>
      </c>
    </row>
    <row r="26376" ht="15.75" customHeight="1" spans="1:2">
      <c r="A26376" s="3" t="str">
        <f>IFERROR(__xludf.DUMMYFUNCTION("GOOGLETRANSLATE(A26376,""en"",""pt"")"),"Os cartuchos de tinta são 29,00. um pouco mais lento no spead impressão ppm do que o nosso Epson, cartuchos de tinta encaixe instad de queda no.")</f>
        <v>Os cartuchos de tinta são 29,00. um pouco mais lento no spead impressão ppm do que o nosso Epson, cartuchos de tinta encaixe instad de queda no.</v>
      </c>
      <c r="B26376" s="3">
        <v>0</v>
      </c>
    </row>
    <row r="26377" ht="15.75" customHeight="1" spans="1:2">
      <c r="A26377" s="3" t="str">
        <f>IFERROR(__xludf.DUMMYFUNCTION("GOOGLETRANSLATE(A26377,""en"",""pt"")"),"Cabo incluído foi quebrado, não imprime tão rápido quanto eles possuem na caixa, tipo de impressão alto")</f>
        <v>Cabo incluído foi quebrado, não imprime tão rápido quanto eles possuem na caixa, tipo de impressão alto</v>
      </c>
      <c r="B26377" s="3">
        <v>0</v>
      </c>
    </row>
    <row r="26378" ht="15.75" customHeight="1" spans="1:2">
      <c r="A26378" s="3" t="str">
        <f>IFERROR(__xludf.DUMMYFUNCTION("GOOGLETRANSLATE(A26378,""en"",""pt"")"),"Muito grande, um pouco lento")</f>
        <v>Muito grande, um pouco lento</v>
      </c>
      <c r="B26378" s="3">
        <v>0</v>
      </c>
    </row>
    <row r="26379" ht="15.75" customHeight="1" spans="1:2">
      <c r="A26379" s="3" t="str">
        <f>IFERROR(__xludf.DUMMYFUNCTION("GOOGLETRANSLATE(A26379,""en"",""pt"")"),"instalação do cartucho é um pouco complicado, US $ 29 cartuchos, só vem com um cartucho colorido")</f>
        <v>instalação do cartucho é um pouco complicado, US $ 29 cartuchos, só vem com um cartucho colorido</v>
      </c>
      <c r="B26379" s="3">
        <v>0</v>
      </c>
    </row>
    <row r="26380" ht="15.75" customHeight="1" spans="1:2">
      <c r="A26380" s="3" t="str">
        <f>IFERROR(__xludf.DUMMYFUNCTION("GOOGLETRANSLATE(A26380,""en"",""pt"")"),"Ink caro, Necessidade de substituir a tinta muitas vezes")</f>
        <v>Ink caro, Necessidade de substituir a tinta muitas vezes</v>
      </c>
      <c r="B26380" s="3">
        <v>0</v>
      </c>
    </row>
    <row r="26381" ht="15.75" customHeight="1" spans="1:2">
      <c r="A26381" s="3" t="str">
        <f>IFERROR(__xludf.DUMMYFUNCTION("GOOGLETRANSLATE(A26381,""en"",""pt"")"),"preços de cartuchos")</f>
        <v>preços de cartuchos</v>
      </c>
      <c r="B26381" s="3">
        <v>0</v>
      </c>
    </row>
    <row r="26382" ht="15.75" customHeight="1" spans="1:2">
      <c r="A26382" s="3" t="str">
        <f>IFERROR(__xludf.DUMMYFUNCTION("GOOGLETRANSLATE(A26382,""en"",""pt"")"),"Ink caro, meio barulhento para um jato de tinta.")</f>
        <v>Ink caro, meio barulhento para um jato de tinta.</v>
      </c>
      <c r="B26382" s="3">
        <v>0</v>
      </c>
    </row>
    <row r="26383" ht="15.75" customHeight="1" spans="1:2">
      <c r="A26383" s="3" t="str">
        <f>IFERROR(__xludf.DUMMYFUNCTION("GOOGLETRANSLATE(A26383,""en"",""pt"")"),"A impressão é lenta e um pouco alto")</f>
        <v>A impressão é lenta e um pouco alto</v>
      </c>
      <c r="B26383" s="3">
        <v>0</v>
      </c>
    </row>
    <row r="26384" ht="15.75" customHeight="1" spans="1:2">
      <c r="A26384" s="3" t="str">
        <f>IFERROR(__xludf.DUMMYFUNCTION("GOOGLETRANSLATE(A26384,""en"",""pt"")"),"Nenhum")</f>
        <v>Nenhum</v>
      </c>
      <c r="B26384" s="3">
        <v>0</v>
      </c>
    </row>
    <row r="26385" ht="15.75" customHeight="1" spans="1:2">
      <c r="A26385" s="3" t="str">
        <f>IFERROR(__xludf.DUMMYFUNCTION("GOOGLETRANSLATE(A26385,""en"",""pt"")"),"horrível ... lento ... e defeituosa")</f>
        <v>horrível ... lento ... e defeituosa</v>
      </c>
      <c r="B26385" s="3">
        <v>0</v>
      </c>
    </row>
    <row r="26386" ht="15.75" customHeight="1" spans="1:2">
      <c r="A26386" s="3" t="str">
        <f>IFERROR(__xludf.DUMMYFUNCTION("GOOGLETRANSLATE(A26386,""en"",""pt"")"),"Muito devagar; tinta caro; Compotas, mas raramente.")</f>
        <v>Muito devagar; tinta caro; Compotas, mas raramente.</v>
      </c>
      <c r="B26386" s="3">
        <v>0</v>
      </c>
    </row>
    <row r="26387" ht="15.75" customHeight="1" spans="1:2">
      <c r="A26387" s="3" t="str">
        <f>IFERROR(__xludf.DUMMYFUNCTION("GOOGLETRANSLATE(A26387,""en"",""pt"")"),"tive-mis-alimentar algumas vezes")</f>
        <v>tive-mis-alimentar algumas vezes</v>
      </c>
      <c r="B26387" s="3">
        <v>0</v>
      </c>
    </row>
    <row r="26388" ht="15.75" customHeight="1" spans="1:2">
      <c r="A26388" s="3" t="str">
        <f>IFERROR(__xludf.DUMMYFUNCTION("GOOGLETRANSLATE(A26388,""en"",""pt"")"),"Alto e lento")</f>
        <v>Alto e lento</v>
      </c>
      <c r="B26388" s="3">
        <v>0</v>
      </c>
    </row>
    <row r="26389" ht="15.75" customHeight="1" spans="1:2">
      <c r="A26389" s="3" t="str">
        <f>IFERROR(__xludf.DUMMYFUNCTION("GOOGLETRANSLATE(A26389,""en"",""pt"")"),"Falta de conteúdo da embalagem, preço alto por classificação página")</f>
        <v>Falta de conteúdo da embalagem, preço alto por classificação página</v>
      </c>
      <c r="B26389" s="3">
        <v>0</v>
      </c>
    </row>
    <row r="26390" ht="15.75" customHeight="1" spans="1:2">
      <c r="A26390" s="3" t="str">
        <f>IFERROR(__xludf.DUMMYFUNCTION("GOOGLETRANSLATE(A26390,""en"",""pt"")"),"Mais lento do que o anunciado")</f>
        <v>Mais lento do que o anunciado</v>
      </c>
      <c r="B26390" s="3">
        <v>0</v>
      </c>
    </row>
    <row r="26391" ht="15.75" customHeight="1" spans="1:2">
      <c r="A26391" s="3" t="str">
        <f>IFERROR(__xludf.DUMMYFUNCTION("GOOGLETRANSLATE(A26391,""en"",""pt"")"),"Não vem com muito; utiliza tinta rapidamente; um pouco lento.")</f>
        <v>Não vem com muito; utiliza tinta rapidamente; um pouco lento.</v>
      </c>
      <c r="B26391" s="3">
        <v>0</v>
      </c>
    </row>
    <row r="26392" ht="15.75" customHeight="1" spans="1:2">
      <c r="A26392" s="3" t="str">
        <f>IFERROR(__xludf.DUMMYFUNCTION("GOOGLETRANSLATE(A26392,""en"",""pt"")"),"Leva muito tempo para imprimir uma página")</f>
        <v>Leva muito tempo para imprimir uma página</v>
      </c>
      <c r="B26392" s="3">
        <v>0</v>
      </c>
    </row>
    <row r="26393" ht="15.75" customHeight="1" spans="1:2">
      <c r="A26393" s="3" t="str">
        <f>IFERROR(__xludf.DUMMYFUNCTION("GOOGLETRANSLATE(A26393,""en"",""pt"")"),"Não confiável")</f>
        <v>Não confiável</v>
      </c>
      <c r="B26393" s="3">
        <v>0</v>
      </c>
    </row>
    <row r="26394" ht="15.75" customHeight="1" spans="1:2">
      <c r="A26394" s="3" t="str">
        <f>IFERROR(__xludf.DUMMYFUNCTION("GOOGLETRANSLATE(A26394,""en"",""pt"")"),"Muito lento, usa muita tinta, e muito barulhento &amp; amp;. # 13; &amp; amp; # 10;")</f>
        <v>Muito lento, usa muita tinta, e muito barulhento &amp; amp;. # 13; &amp; amp; # 10;</v>
      </c>
      <c r="B26394" s="3">
        <v>0</v>
      </c>
    </row>
    <row r="26395" ht="15.75" customHeight="1" spans="1:2">
      <c r="A26395" s="3" t="str">
        <f>IFERROR(__xludf.DUMMYFUNCTION("GOOGLETRANSLATE(A26395,""en"",""pt"")"),"... Quando se quer trabalhar")</f>
        <v>... Quando se quer trabalhar</v>
      </c>
      <c r="B26395" s="3">
        <v>0</v>
      </c>
    </row>
    <row r="26396" ht="15.75" customHeight="1" spans="1:2">
      <c r="A26396" s="3" t="str">
        <f>IFERROR(__xludf.DUMMYFUNCTION("GOOGLETRANSLATE(A26396,""en"",""pt"")"),"erros ocasionais em comunicação com o computador. voz irritante.")</f>
        <v>erros ocasionais em comunicação com o computador. voz irritante.</v>
      </c>
      <c r="B26396" s="3">
        <v>0</v>
      </c>
    </row>
    <row r="26397" ht="15.75" customHeight="1" spans="1:2">
      <c r="A26397" s="3" t="str">
        <f>IFERROR(__xludf.DUMMYFUNCTION("GOOGLETRANSLATE(A26397,""en"",""pt"")"),"Pobre XP, compatibilidade, cabo USB não incluído w / impressora, da bandeja de papel.")</f>
        <v>Pobre XP, compatibilidade, cabo USB não incluído w / impressora, da bandeja de papel.</v>
      </c>
      <c r="B26397" s="3">
        <v>0</v>
      </c>
    </row>
    <row r="26398" ht="15.75" customHeight="1" spans="1:2">
      <c r="A26398" s="3" t="str">
        <f>IFERROR(__xludf.DUMMYFUNCTION("GOOGLETRANSLATE(A26398,""en"",""pt"")"),"utilizador tinta PESADA, sem cabo, caros de operar")</f>
        <v>utilizador tinta PESADA, sem cabo, caros de operar</v>
      </c>
      <c r="B26398" s="3">
        <v>0</v>
      </c>
    </row>
    <row r="26399" ht="15.75" customHeight="1" spans="1:2">
      <c r="A26399" s="3" t="str">
        <f>IFERROR(__xludf.DUMMYFUNCTION("GOOGLETRANSLATE(A26399,""en"",""pt"")"),"atolamentos de papel constantes, tinta porcos, caracteres pequenos imprimir fora de ordem.")</f>
        <v>atolamentos de papel constantes, tinta porcos, caracteres pequenos imprimir fora de ordem.</v>
      </c>
      <c r="B26399" s="3">
        <v>0</v>
      </c>
    </row>
    <row r="26400" ht="15.75" customHeight="1" spans="1:2">
      <c r="A26400" s="3" t="str">
        <f>IFERROR(__xludf.DUMMYFUNCTION("GOOGLETRANSLATE(A26400,""en"",""pt"")"),"apenas é fornecido com o cartucho de cor, pequenos cartuchos caros")</f>
        <v>apenas é fornecido com o cartucho de cor, pequenos cartuchos caros</v>
      </c>
      <c r="B26400" s="3">
        <v>0</v>
      </c>
    </row>
    <row r="26401" ht="15.75" customHeight="1" spans="1:2">
      <c r="A26401" s="3" t="s">
        <v>133</v>
      </c>
      <c r="B26401" s="3">
        <v>0</v>
      </c>
    </row>
    <row r="26402" ht="15.75" customHeight="1" spans="1:2">
      <c r="A26402" s="3" t="str">
        <f>IFERROR(__xludf.DUMMYFUNCTION("GOOGLETRANSLATE(A26402,""en"",""pt"")"),"Alto")</f>
        <v>Alto</v>
      </c>
      <c r="B26402" s="3">
        <v>0</v>
      </c>
    </row>
    <row r="26403" ht="15.75" customHeight="1" spans="1:2">
      <c r="A26403" s="3" t="str">
        <f>IFERROR(__xludf.DUMMYFUNCTION("GOOGLETRANSLATE(A26403,""en"",""pt"")"),"Não é bom com XP, manchas de tinta, opções limitadas.")</f>
        <v>Não é bom com XP, manchas de tinta, opções limitadas.</v>
      </c>
      <c r="B26403" s="3">
        <v>0</v>
      </c>
    </row>
    <row r="26404" ht="15.75" customHeight="1" spans="1:2">
      <c r="A26404" s="3" t="str">
        <f>IFERROR(__xludf.DUMMYFUNCTION("GOOGLETRANSLATE(A26404,""en"",""pt"")"),"Apenas USB (não paralela) conectividade, os cartuchos de tinta são caros")</f>
        <v>Apenas USB (não paralela) conectividade, os cartuchos de tinta são caros</v>
      </c>
      <c r="B26404" s="3">
        <v>0</v>
      </c>
    </row>
    <row r="26405" ht="15.75" customHeight="1" spans="1:2">
      <c r="A26405" s="3" t="str">
        <f>IFERROR(__xludf.DUMMYFUNCTION("GOOGLETRANSLATE(A26405,""en"",""pt"")"),"Prints fora do centro. Geléias. Sem reparos fáceis. cartuchos de ultra-caro.")</f>
        <v>Prints fora do centro. Geléias. Sem reparos fáceis. cartuchos de ultra-caro.</v>
      </c>
      <c r="B26405" s="3">
        <v>0</v>
      </c>
    </row>
    <row r="26406" ht="15.75" customHeight="1" spans="1:2">
      <c r="A26406" s="3" t="str">
        <f>IFERROR(__xludf.DUMMYFUNCTION("GOOGLETRANSLATE(A26406,""en"",""pt"")"),"driver de impressora foi uma tarefa para instalar")</f>
        <v>driver de impressora foi uma tarefa para instalar</v>
      </c>
      <c r="B26406" s="3">
        <v>0</v>
      </c>
    </row>
    <row r="26407" ht="15.75" customHeight="1" spans="1:2">
      <c r="A26407" s="3" t="str">
        <f>IFERROR(__xludf.DUMMYFUNCTION("GOOGLETRANSLATE(A26407,""en"",""pt"")"),"cartuchos de impressão caros")</f>
        <v>cartuchos de impressão caros</v>
      </c>
      <c r="B26407" s="3">
        <v>0</v>
      </c>
    </row>
    <row r="26408" ht="15.75" customHeight="1" spans="1:2">
      <c r="A26408" s="3" t="str">
        <f>IFERROR(__xludf.DUMMYFUNCTION("GOOGLETRANSLATE(A26408,""en"",""pt"")"),"Às vezes não vai cancelar quando você quer que ele")</f>
        <v>Às vezes não vai cancelar quando você quer que ele</v>
      </c>
      <c r="B26408" s="3">
        <v>0</v>
      </c>
    </row>
    <row r="26409" ht="15.75" customHeight="1" spans="1:2">
      <c r="A26409" s="3" t="str">
        <f>IFERROR(__xludf.DUMMYFUNCTION("GOOGLETRANSLATE(A26409,""en"",""pt"")"),"papel puxa torto. não veio com um cartucho de tinta preta.")</f>
        <v>papel puxa torto. não veio com um cartucho de tinta preta.</v>
      </c>
      <c r="B26409" s="3">
        <v>0</v>
      </c>
    </row>
    <row r="26410" ht="15.75" customHeight="1" spans="1:2">
      <c r="A26410" s="3" t="str">
        <f>IFERROR(__xludf.DUMMYFUNCTION("GOOGLETRANSLATE(A26410,""en"",""pt"")"),"Lento de impressão a cores, Tinta Uso")</f>
        <v>Lento de impressão a cores, Tinta Uso</v>
      </c>
      <c r="B26410" s="3">
        <v>0</v>
      </c>
    </row>
    <row r="26411" ht="15.75" customHeight="1" spans="1:2">
      <c r="A26411" s="3" t="str">
        <f>IFERROR(__xludf.DUMMYFUNCTION("GOOGLETRANSLATE(A26411,""en"",""pt"")"),"Pobre XP compatibilidade., Motorista Cagado Factory., Pobre Papel Carregando.,,")</f>
        <v>Pobre XP compatibilidade., Motorista Cagado Factory., Pobre Papel Carregando.,,</v>
      </c>
      <c r="B26411" s="3">
        <v>0</v>
      </c>
    </row>
    <row r="26412" ht="15.75" customHeight="1" spans="1:2">
      <c r="A26412" s="3" t="str">
        <f>IFERROR(__xludf.DUMMYFUNCTION("GOOGLETRANSLATE(A26412,""en"",""pt"")"),"Eu não encontrei nenhum.")</f>
        <v>Eu não encontrei nenhum.</v>
      </c>
      <c r="B26412" s="3">
        <v>0</v>
      </c>
    </row>
    <row r="26413" ht="15.75" customHeight="1" spans="1:2">
      <c r="A26413" s="3" t="str">
        <f>IFERROR(__xludf.DUMMYFUNCTION("GOOGLETRANSLATE(A26413,""en"",""pt"")"),"os cartuchos de tinta muito caros; inicialmente só vem com um cartucho de tinta de cor.")</f>
        <v>os cartuchos de tinta muito caros; inicialmente só vem com um cartucho de tinta de cor.</v>
      </c>
      <c r="B26413" s="3">
        <v>0</v>
      </c>
    </row>
    <row r="26414" ht="15.75" customHeight="1" spans="1:2">
      <c r="A26414" s="3" t="str">
        <f>IFERROR(__xludf.DUMMYFUNCTION("GOOGLETRANSLATE(A26414,""en"",""pt"")"),"Encravado regularmente, muito mal feita")</f>
        <v>Encravado regularmente, muito mal feita</v>
      </c>
      <c r="B26414" s="3">
        <v>0</v>
      </c>
    </row>
    <row r="26415" ht="15.75" customHeight="1" spans="1:2">
      <c r="A26415" s="3" t="str">
        <f>IFERROR(__xludf.DUMMYFUNCTION("GOOGLETRANSLATE(A26415,""en"",""pt"")"),"Sem frescura, apenas básico.")</f>
        <v>Sem frescura, apenas básico.</v>
      </c>
      <c r="B26415" s="3">
        <v>0</v>
      </c>
    </row>
    <row r="26416" ht="15.75" customHeight="1" spans="1:2">
      <c r="A26416" s="3" t="str">
        <f>IFERROR(__xludf.DUMMYFUNCTION("GOOGLETRANSLATE(A26416,""en"",""pt"")"),"tinta caro, má qualidade, há soluções em ""Solution Center""")</f>
        <v>tinta caro, má qualidade, há soluções em "Solution Center"</v>
      </c>
      <c r="B26416" s="3">
        <v>0</v>
      </c>
    </row>
    <row r="26417" ht="15.75" customHeight="1" spans="1:2">
      <c r="A26417" s="3" t="str">
        <f>IFERROR(__xludf.DUMMYFUNCTION("GOOGLETRANSLATE(A26417,""en"",""pt"")"),"impressora a cores lento, recargas de tinta caros")</f>
        <v>impressora a cores lento, recargas de tinta caros</v>
      </c>
      <c r="B26417" s="3">
        <v>0</v>
      </c>
    </row>
    <row r="26418" ht="15.75" customHeight="1" spans="1:2">
      <c r="A26418" s="3" t="str">
        <f>IFERROR(__xludf.DUMMYFUNCTION("GOOGLETRANSLATE(A26418,""en"",""pt"")"),"Tinta Tinta Tinta !! Muito caro")</f>
        <v>Tinta Tinta Tinta !! Muito caro</v>
      </c>
      <c r="B26418" s="3">
        <v>0</v>
      </c>
    </row>
    <row r="26419" ht="15.75" customHeight="1" spans="1:2">
      <c r="A26419" s="3" t="str">
        <f>IFERROR(__xludf.DUMMYFUNCTION("GOOGLETRANSLATE(A26419,""en"",""pt"")"),"abaixe a bandeja localização, cópia do pé")</f>
        <v>abaixe a bandeja localização, cópia do pé</v>
      </c>
      <c r="B26419" s="3">
        <v>0</v>
      </c>
    </row>
    <row r="26420" ht="15.75" customHeight="1" spans="1:2">
      <c r="A26420" s="3" t="str">
        <f>IFERROR(__xludf.DUMMYFUNCTION("GOOGLETRANSLATE(A26420,""en"",""pt"")"),"Às vezes, demasiado rápido. (Não sei se isso é uma con)")</f>
        <v>Às vezes, demasiado rápido. (Não sei se isso é uma con)</v>
      </c>
      <c r="B26420" s="3">
        <v>0</v>
      </c>
    </row>
    <row r="26421" ht="15.75" customHeight="1" spans="1:2">
      <c r="A26421" s="3" t="str">
        <f>IFERROR(__xludf.DUMMYFUNCTION("GOOGLETRANSLATE(A26421,""en"",""pt"")"),"Necessidade de cabo de compra, a tinta não seca rápido o suficiente, por vezes,")</f>
        <v>Necessidade de cabo de compra, a tinta não seca rápido o suficiente, por vezes,</v>
      </c>
      <c r="B26421" s="3">
        <v>0</v>
      </c>
    </row>
    <row r="26422" ht="15.75" customHeight="1" spans="1:2">
      <c r="A26422" s="3" t="str">
        <f>IFERROR(__xludf.DUMMYFUNCTION("GOOGLETRANSLATE(A26422,""en"",""pt"")"),"atolamentos de papel, por vezes, e não carrega reta")</f>
        <v>atolamentos de papel, por vezes, e não carrega reta</v>
      </c>
      <c r="B26422" s="3">
        <v>0</v>
      </c>
    </row>
    <row r="26423" ht="15.75" customHeight="1" spans="1:2">
      <c r="A26423" s="3" t="str">
        <f>IFERROR(__xludf.DUMMYFUNCTION("GOOGLETRANSLATE(A26423,""en"",""pt"")"),"Nenhum cabo.")</f>
        <v>Nenhum cabo.</v>
      </c>
      <c r="B26423" s="3">
        <v>0</v>
      </c>
    </row>
    <row r="26424" ht="15.75" customHeight="1" spans="1:2">
      <c r="A26424" s="3" t="str">
        <f>IFERROR(__xludf.DUMMYFUNCTION("GOOGLETRANSLATE(A26424,""en"",""pt"")"),"CARTUCHOS CAROS")</f>
        <v>CARTUCHOS CAROS</v>
      </c>
      <c r="B26424" s="3">
        <v>0</v>
      </c>
    </row>
    <row r="26425" ht="15.75" customHeight="1" spans="1:2">
      <c r="A26425" s="3" t="str">
        <f>IFERROR(__xludf.DUMMYFUNCTION("GOOGLETRANSLATE(A26425,""en"",""pt"")"),"software chato ""falar"". Um pouco barulhento.")</f>
        <v>software chato "falar". Um pouco barulhento.</v>
      </c>
      <c r="B26425" s="3">
        <v>0</v>
      </c>
    </row>
    <row r="26426" ht="15.75" customHeight="1" spans="1:2">
      <c r="A26426" s="3" t="str">
        <f>IFERROR(__xludf.DUMMYFUNCTION("GOOGLETRANSLATE(A26426,""en"",""pt"")"),"não carrega o papel de forma confiável. Os cartuchos de tinta são caros.")</f>
        <v>não carrega o papel de forma confiável. Os cartuchos de tinta são caros.</v>
      </c>
      <c r="B26426" s="3">
        <v>0</v>
      </c>
    </row>
    <row r="26427" ht="15.75" customHeight="1" spans="1:2">
      <c r="A26427" s="3" t="s">
        <v>134</v>
      </c>
      <c r="B26427" s="3">
        <v>0</v>
      </c>
    </row>
    <row r="26428" ht="15.75" customHeight="1" spans="1:2">
      <c r="A26428" s="3" t="str">
        <f>IFERROR(__xludf.DUMMYFUNCTION("GOOGLETRANSLATE(A26428,""en"",""pt"")"),"Um pouco difícil de mudar cartuchos de impressora")</f>
        <v>Um pouco difícil de mudar cartuchos de impressora</v>
      </c>
      <c r="B26428" s="3">
        <v>0</v>
      </c>
    </row>
    <row r="26429" ht="15.75" customHeight="1" spans="1:2">
      <c r="A26429" s="3" t="str">
        <f>IFERROR(__xludf.DUMMYFUNCTION("GOOGLETRANSLATE(A26429,""en"",""pt"")"),"Cartuchos custar mais do que de impressora")</f>
        <v>Cartuchos custar mais do que de impressora</v>
      </c>
      <c r="B26429" s="3">
        <v>0</v>
      </c>
    </row>
    <row r="26430" ht="15.75" customHeight="1" spans="1:2">
      <c r="A26430" s="3" t="str">
        <f>IFERROR(__xludf.DUMMYFUNCTION("GOOGLETRANSLATE(A26430,""en"",""pt"")"),"TENDE A JAM; Um pouco lento aumenta à medida que QUALIDADE")</f>
        <v>TENDE A JAM; Um pouco lento aumenta à medida que QUALIDADE</v>
      </c>
      <c r="B26430" s="3">
        <v>0</v>
      </c>
    </row>
    <row r="26431" ht="15.75" customHeight="1" spans="1:2">
      <c r="A26431" s="3" t="str">
        <f>IFERROR(__xludf.DUMMYFUNCTION("GOOGLETRANSLATE(A26431,""en"",""pt"")"),"Barato, sem cabo USB incluído.")</f>
        <v>Barato, sem cabo USB incluído.</v>
      </c>
      <c r="B26431" s="3">
        <v>0</v>
      </c>
    </row>
    <row r="26432" ht="15.75" customHeight="1" spans="1:2">
      <c r="A26432" s="3" t="str">
        <f>IFERROR(__xludf.DUMMYFUNCTION("GOOGLETRANSLATE(A26432,""en"",""pt"")"),"Parou de funcionar dentro de um mês")</f>
        <v>Parou de funcionar dentro de um mês</v>
      </c>
      <c r="B26432" s="3">
        <v>0</v>
      </c>
    </row>
    <row r="26433" ht="15.75" customHeight="1" spans="1:2">
      <c r="A26433" s="3" t="str">
        <f>IFERROR(__xludf.DUMMYFUNCTION("GOOGLETRANSLATE(A26433,""en"",""pt"")"),"Eu não gosto da voz falando dizendo-me a impressão é iniciada e concluída.")</f>
        <v>Eu não gosto da voz falando dizendo-me a impressão é iniciada e concluída.</v>
      </c>
      <c r="B26433" s="3">
        <v>0</v>
      </c>
    </row>
    <row r="26434" ht="15.75" customHeight="1" spans="1:2">
      <c r="A26434" s="3" t="str">
        <f>IFERROR(__xludf.DUMMYFUNCTION("GOOGLETRANSLATE(A26434,""en"",""pt"")"),"Capacidade de papel baixa, baixa qualidade de impressão, lavado para fora cores, algumas idiossincrasias frustrantes")</f>
        <v>Capacidade de papel baixa, baixa qualidade de impressão, lavado para fora cores, algumas idiossincrasias frustrantes</v>
      </c>
      <c r="B26434" s="3">
        <v>0</v>
      </c>
    </row>
    <row r="26435" ht="15.75" customHeight="1" spans="1:2">
      <c r="A26435" s="3" t="str">
        <f>IFERROR(__xludf.DUMMYFUNCTION("GOOGLETRANSLATE(A26435,""en"",""pt"")"),"Caro para imprimir, drivers desatualizados XP")</f>
        <v>Caro para imprimir, drivers desatualizados XP</v>
      </c>
      <c r="B26435" s="3">
        <v>0</v>
      </c>
    </row>
    <row r="26436" ht="15.75" customHeight="1" spans="1:2">
      <c r="A26436" s="3" t="str">
        <f>IFERROR(__xludf.DUMMYFUNCTION("GOOGLETRANSLATE(A26436,""en"",""pt"")"),"não vêm com um cabo ou tinta preta.")</f>
        <v>não vêm com um cabo ou tinta preta.</v>
      </c>
      <c r="B26436" s="3">
        <v>0</v>
      </c>
    </row>
    <row r="26437" ht="15.75" customHeight="1" spans="1:2">
      <c r="A26437" s="3" t="str">
        <f>IFERROR(__xludf.DUMMYFUNCTION("GOOGLETRANSLATE(A26437,""en"",""pt"")"),"impressões desbotadas, lenta **")</f>
        <v>impressões desbotadas, lenta **</v>
      </c>
      <c r="B26437" s="3">
        <v>0</v>
      </c>
    </row>
    <row r="26438" ht="15.75" customHeight="1" spans="1:2">
      <c r="A26438" s="3" t="str">
        <f>IFERROR(__xludf.DUMMYFUNCTION("GOOGLETRANSLATE(A26438,""en"",""pt"")"),"cartucho de tinta vai rápido, Nossa impressão parou de trabalhar w / in 3mo do de compra")</f>
        <v>cartucho de tinta vai rápido, Nossa impressão parou de trabalhar w / in 3mo do de compra</v>
      </c>
      <c r="B26438" s="3">
        <v>0</v>
      </c>
    </row>
    <row r="26439" ht="15.75" customHeight="1" spans="1:2">
      <c r="A26439" s="3" t="str">
        <f>IFERROR(__xludf.DUMMYFUNCTION("GOOGLETRANSLATE(A26439,""en"",""pt"")"),"Às vezes tem um papel alimentação pouco de dificuldade")</f>
        <v>Às vezes tem um papel alimentação pouco de dificuldade</v>
      </c>
      <c r="B26439" s="3">
        <v>0</v>
      </c>
    </row>
    <row r="26440" ht="15.75" customHeight="1" spans="1:2">
      <c r="A26440" s="3" t="str">
        <f>IFERROR(__xludf.DUMMYFUNCTION("GOOGLETRANSLATE(A26440,""en"",""pt"")"),"um pouco lento; um pouco ruidosa; volumoso")</f>
        <v>um pouco lento; um pouco ruidosa; volumoso</v>
      </c>
      <c r="B26440" s="3">
        <v>0</v>
      </c>
    </row>
    <row r="26441" ht="15.75" customHeight="1" spans="1:2">
      <c r="A26441" s="3" t="str">
        <f>IFERROR(__xludf.DUMMYFUNCTION("GOOGLETRANSLATE(A26441,""en"",""pt"")"),"Instalação e CD de software.")</f>
        <v>Instalação e CD de software.</v>
      </c>
      <c r="B26441" s="3">
        <v>0</v>
      </c>
    </row>
    <row r="26442" ht="15.75" customHeight="1" spans="1:2">
      <c r="A26442" s="3" t="str">
        <f>IFERROR(__xludf.DUMMYFUNCTION("GOOGLETRANSLATE(A26442,""en"",""pt"")"),"alimentação de papel é muito barulhento")</f>
        <v>alimentação de papel é muito barulhento</v>
      </c>
      <c r="B26442" s="3">
        <v>0</v>
      </c>
    </row>
    <row r="26443" ht="15.75" customHeight="1" spans="1:2">
      <c r="A26443" s="3" t="str">
        <f>IFERROR(__xludf.DUMMYFUNCTION("GOOGLETRANSLATE(A26443,""en"",""pt"")"),"Entender o que você está comprando deve reduzir quaisquer negativos")</f>
        <v>Entender o que você está comprando deve reduzir quaisquer negativos</v>
      </c>
      <c r="B26443" s="3">
        <v>0</v>
      </c>
    </row>
    <row r="26444" ht="15.75" customHeight="1" spans="1:2">
      <c r="A26444" s="3" t="str">
        <f>IFERROR(__xludf.DUMMYFUNCTION("GOOGLETRANSLATE(A26444,""en"",""pt"")"),"Mais lento do que um infomercial Ronco")</f>
        <v>Mais lento do que um infomercial Ronco</v>
      </c>
      <c r="B26444" s="3">
        <v>0</v>
      </c>
    </row>
    <row r="26445" ht="15.75" customHeight="1" spans="1:2">
      <c r="A26445" s="3" t="str">
        <f>IFERROR(__xludf.DUMMYFUNCTION("GOOGLETRANSLATE(A26445,""en"",""pt"")"),"Uma máquina-função")</f>
        <v>Uma máquina-função</v>
      </c>
      <c r="B26445" s="3">
        <v>0</v>
      </c>
    </row>
    <row r="26446" ht="15.75" customHeight="1" spans="1:2">
      <c r="A26446" s="3" t="str">
        <f>IFERROR(__xludf.DUMMYFUNCTION("GOOGLETRANSLATE(A26446,""en"",""pt"")"),"maior, requer utilizador para fornecer cabo de impressora")</f>
        <v>maior, requer utilizador para fornecer cabo de impressora</v>
      </c>
      <c r="B26446" s="3">
        <v>0</v>
      </c>
    </row>
    <row r="26447" ht="15.75" customHeight="1" spans="1:2">
      <c r="A26447" s="3" t="str">
        <f>IFERROR(__xludf.DUMMYFUNCTION("GOOGLETRANSLATE(A26447,""en"",""pt"")"),"Você recebe o que você paga. Não é uma HP. Ink é caro.")</f>
        <v>Você recebe o que você paga. Não é uma HP. Ink é caro.</v>
      </c>
      <c r="B26447" s="3">
        <v>0</v>
      </c>
    </row>
    <row r="26448" ht="15.75" customHeight="1" spans="1:2">
      <c r="A26448" s="3" t="str">
        <f>IFERROR(__xludf.DUMMYFUNCTION("GOOGLETRANSLATE(A26448,""en"",""pt"")"),"Não extremamente rápido")</f>
        <v>Não extremamente rápido</v>
      </c>
      <c r="B26448" s="3">
        <v>0</v>
      </c>
    </row>
    <row r="26449" ht="15.75" customHeight="1" spans="1:2">
      <c r="A26449" s="3" t="str">
        <f>IFERROR(__xludf.DUMMYFUNCTION("GOOGLETRANSLATE(A26449,""en"",""pt"")"),"Um pouco mais de $ para cartuchos de tinta")</f>
        <v>Um pouco mais de $ para cartuchos de tinta</v>
      </c>
      <c r="B26449" s="3">
        <v>0</v>
      </c>
    </row>
    <row r="26450" ht="15.75" customHeight="1" spans="1:2">
      <c r="A26450" s="3" t="str">
        <f>IFERROR(__xludf.DUMMYFUNCTION("GOOGLETRANSLATE(A26450,""en"",""pt"")"),"Eu não encontrei um ainda")</f>
        <v>Eu não encontrei um ainda</v>
      </c>
      <c r="B26450" s="3">
        <v>0</v>
      </c>
    </row>
    <row r="26451" ht="15.75" customHeight="1" spans="1:2">
      <c r="A26451" s="3" t="s">
        <v>135</v>
      </c>
      <c r="B26451" s="3">
        <v>0</v>
      </c>
    </row>
    <row r="26452" ht="15.75" customHeight="1" spans="1:2">
      <c r="A26452" s="3" t="str">
        <f>IFERROR(__xludf.DUMMYFUNCTION("GOOGLETRANSLATE(A26452,""en"",""pt"")"),"Não é tão alta qualidade de um como eu esperava; o alimentador de papel é um pouco mal concebidos; o papel-apanhador é muito curta; e parece estar lentamente quebrando seu software. (queixas Principalmente menores)")</f>
        <v>Não é tão alta qualidade de um como eu esperava; o alimentador de papel é um pouco mal concebidos; o papel-apanhador é muito curta; e parece estar lentamente quebrando seu software. (queixas Principalmente menores)</v>
      </c>
      <c r="B26452" s="3">
        <v>0</v>
      </c>
    </row>
    <row r="26453" ht="15.75" customHeight="1" spans="1:2">
      <c r="A26453" s="3" t="str">
        <f>IFERROR(__xludf.DUMMYFUNCTION("GOOGLETRANSLATE(A26453,""en"",""pt"")"),"Cartuchos muito caros")</f>
        <v>Cartuchos muito caros</v>
      </c>
      <c r="B26453" s="3">
        <v>0</v>
      </c>
    </row>
    <row r="26454" ht="15.75" customHeight="1" spans="1:2">
      <c r="A26454" s="3" t="str">
        <f>IFERROR(__xludf.DUMMYFUNCTION("GOOGLETRANSLATE(A26454,""en"",""pt"")"),"Não encontrei qualquer ainda!")</f>
        <v>Não encontrei qualquer ainda!</v>
      </c>
      <c r="B26454" s="3">
        <v>0</v>
      </c>
    </row>
    <row r="26455" ht="15.75" customHeight="1" spans="1:2">
      <c r="A26455" s="3" t="str">
        <f>IFERROR(__xludf.DUMMYFUNCTION("GOOGLETRANSLATE(A26455,""en"",""pt"")"),"empastelamento, cartuchos caros")</f>
        <v>empastelamento, cartuchos caros</v>
      </c>
      <c r="B26455" s="3">
        <v>0</v>
      </c>
    </row>
    <row r="26456" ht="15.75" customHeight="1" spans="1:2">
      <c r="A26456" s="3" t="str">
        <f>IFERROR(__xludf.DUMMYFUNCTION("GOOGLETRANSLATE(A26456,""en"",""pt"")"),"Você decide")</f>
        <v>Você decide</v>
      </c>
      <c r="B26456" s="3">
        <v>0</v>
      </c>
    </row>
    <row r="26457" ht="15.75" customHeight="1" spans="1:2">
      <c r="A26457" s="3" t="str">
        <f>IFERROR(__xludf.DUMMYFUNCTION("GOOGLETRANSLATE(A26457,""en"",""pt"")"),"Nenhum!")</f>
        <v>Nenhum!</v>
      </c>
      <c r="B26457" s="3">
        <v>0</v>
      </c>
    </row>
    <row r="26458" ht="15.75" customHeight="1" spans="1:2">
      <c r="A26458" s="3" t="str">
        <f>IFERROR(__xludf.DUMMYFUNCTION("GOOGLETRANSLATE(A26458,""en"",""pt"")"),"custo de cartuchos de tinta")</f>
        <v>custo de cartuchos de tinta</v>
      </c>
      <c r="B26458" s="3">
        <v>0</v>
      </c>
    </row>
    <row r="26459" ht="15.75" customHeight="1" spans="1:2">
      <c r="A26459" s="3" t="str">
        <f>IFERROR(__xludf.DUMMYFUNCTION("GOOGLETRANSLATE(A26459,""en"",""pt"")"),"Ink caro")</f>
        <v>Ink caro</v>
      </c>
      <c r="B26459" s="3">
        <v>0</v>
      </c>
    </row>
    <row r="26460" ht="15.75" customHeight="1" spans="1:2">
      <c r="A26460" s="3" t="str">
        <f>IFERROR(__xludf.DUMMYFUNCTION("GOOGLETRANSLATE(A26460,""en"",""pt"")"),"Cor repro não imaculada é")</f>
        <v>Cor repro não imaculada é</v>
      </c>
      <c r="B26460" s="3">
        <v>0</v>
      </c>
    </row>
    <row r="26461" ht="15.75" customHeight="1" spans="1:2">
      <c r="A26461" s="3" t="str">
        <f>IFERROR(__xludf.DUMMYFUNCTION("GOOGLETRANSLATE(A26461,""en"",""pt"")"),"Volumoso")</f>
        <v>Volumoso</v>
      </c>
      <c r="B26461" s="3">
        <v>0</v>
      </c>
    </row>
    <row r="26462" ht="15.75" customHeight="1" spans="1:2">
      <c r="A26462" s="3" t="str">
        <f>IFERROR(__xludf.DUMMYFUNCTION("GOOGLETRANSLATE(A26462,""en"",""pt"")"),"Bastante grande pegada, lento, e a tinta tende a secar-se, quando não é usado com frequência.")</f>
        <v>Bastante grande pegada, lento, e a tinta tende a secar-se, quando não é usado com frequência.</v>
      </c>
      <c r="B26462" s="3">
        <v>0</v>
      </c>
    </row>
    <row r="26463" ht="15.75" customHeight="1" spans="1:2">
      <c r="A26463" s="3" t="str">
        <f>IFERROR(__xludf.DUMMYFUNCTION("GOOGLETRANSLATE(A26463,""en"",""pt"")"),"terrível indecisão hw / sw / FW, muito lento")</f>
        <v>terrível indecisão hw / sw / FW, muito lento</v>
      </c>
      <c r="B26463" s="3">
        <v>0</v>
      </c>
    </row>
    <row r="26464" ht="15.75" customHeight="1" spans="1:2">
      <c r="A26464" s="3" t="str">
        <f>IFERROR(__xludf.DUMMYFUNCTION("GOOGLETRANSLATE(A26464,""en"",""pt"")"),"Agarra o papel, volumosos, caros cartuchos de tinta")</f>
        <v>Agarra o papel, volumosos, caros cartuchos de tinta</v>
      </c>
      <c r="B26464" s="3">
        <v>0</v>
      </c>
    </row>
    <row r="26465" ht="15.75" customHeight="1" spans="1:2">
      <c r="A26465" s="3" t="str">
        <f>IFERROR(__xludf.DUMMYFUNCTION("GOOGLETRANSLATE(A26465,""en"",""pt"")"),"cartuchos muito caro.")</f>
        <v>cartuchos muito caro.</v>
      </c>
      <c r="B26465" s="3">
        <v>0</v>
      </c>
    </row>
    <row r="26466" ht="15.75" customHeight="1" spans="1:2">
      <c r="A26466" s="3" t="str">
        <f>IFERROR(__xludf.DUMMYFUNCTION("GOOGLETRANSLATE(A26466,""en"",""pt"")"),"manuseio de papel violento")</f>
        <v>manuseio de papel violento</v>
      </c>
      <c r="B26466" s="3">
        <v>0</v>
      </c>
    </row>
    <row r="26467" ht="15.75" customHeight="1" spans="1:2">
      <c r="A26467" s="3" t="str">
        <f>IFERROR(__xludf.DUMMYFUNCTION("GOOGLETRANSLATE(A26467,""en"",""pt"")"),"Caro e compotas muitas vezes.")</f>
        <v>Caro e compotas muitas vezes.</v>
      </c>
      <c r="B26467" s="3">
        <v>0</v>
      </c>
    </row>
    <row r="26468" ht="15.75" customHeight="1" spans="1:2">
      <c r="A26468" s="3" t="str">
        <f>IFERROR(__xludf.DUMMYFUNCTION("GOOGLETRANSLATE(A26468,""en"",""pt"")"),"Nenhum ainda, mas eu vou mantê-lo!")</f>
        <v>Nenhum ainda, mas eu vou mantê-lo!</v>
      </c>
      <c r="B26468" s="3">
        <v>0</v>
      </c>
    </row>
    <row r="26469" ht="15.75" customHeight="1" spans="1:2">
      <c r="A26469" s="3" t="str">
        <f>IFERROR(__xludf.DUMMYFUNCTION("GOOGLETRANSLATE(A26469,""en"",""pt"")"),"Resolução mais elevada, de impressão mais lento")</f>
        <v>Resolução mais elevada, de impressão mais lento</v>
      </c>
      <c r="B26469" s="3">
        <v>0</v>
      </c>
    </row>
    <row r="26470" ht="15.75" customHeight="1" spans="1:2">
      <c r="A26470" s="3" t="str">
        <f>IFERROR(__xludf.DUMMYFUNCTION("GOOGLETRANSLATE(A26470,""en"",""pt"")"),"Ink Exspensive!")</f>
        <v>Ink Exspensive!</v>
      </c>
      <c r="B26470" s="3">
        <v>0</v>
      </c>
    </row>
    <row r="26471" ht="15.75" customHeight="1" spans="1:2">
      <c r="A26471" s="3" t="str">
        <f>IFERROR(__xludf.DUMMYFUNCTION("GOOGLETRANSLATE(A26471,""en"",""pt"")"),"Um pouco lento em gráficos e cores.")</f>
        <v>Um pouco lento em gráficos e cores.</v>
      </c>
      <c r="B26471" s="3">
        <v>0</v>
      </c>
    </row>
    <row r="26472" ht="15.75" customHeight="1" spans="1:2">
      <c r="A26472" s="3" t="str">
        <f>IFERROR(__xludf.DUMMYFUNCTION("GOOGLETRANSLATE(A26472,""en"",""pt"")"),"print procedimento de alinhamento do cartucho é uma dor no ...")</f>
        <v>print procedimento de alinhamento do cartucho é uma dor no ...</v>
      </c>
      <c r="B26472" s="3">
        <v>0</v>
      </c>
    </row>
    <row r="26473" ht="15.75" customHeight="1" spans="1:2">
      <c r="A26473" s="3" t="str">
        <f>IFERROR(__xludf.DUMMYFUNCTION("GOOGLETRANSLATE(A26473,""en"",""pt"")"),"design de carregamento de papel muito pobre.")</f>
        <v>design de carregamento de papel muito pobre.</v>
      </c>
      <c r="B26473" s="3">
        <v>0</v>
      </c>
    </row>
    <row r="26474" ht="15.75" customHeight="1" spans="1:2">
      <c r="A26474" s="3" t="str">
        <f>IFERROR(__xludf.DUMMYFUNCTION("GOOGLETRANSLATE(A26474,""en"",""pt"")"),"Parece que a utilização de tinta rapidamente; os cartuchos de tinta são cerca de $ 30.")</f>
        <v>Parece que a utilização de tinta rapidamente; os cartuchos de tinta são cerca de $ 30.</v>
      </c>
      <c r="B26474" s="3">
        <v>0</v>
      </c>
    </row>
    <row r="26475" ht="15.75" customHeight="1" spans="1:2">
      <c r="A26475" s="3" t="str">
        <f>IFERROR(__xludf.DUMMYFUNCTION("GOOGLETRANSLATE(A26475,""en"",""pt"")"),"utiliza galões de tinta, cartuchos não duram e suporte técnico é terrível")</f>
        <v>utiliza galões de tinta, cartuchos não duram e suporte técnico é terrível</v>
      </c>
      <c r="B26475" s="3">
        <v>0</v>
      </c>
    </row>
    <row r="26476" ht="15.75" customHeight="1" spans="1:2">
      <c r="A26476" s="3" t="str">
        <f>IFERROR(__xludf.DUMMYFUNCTION("GOOGLETRANSLATE(A26476,""en"",""pt"")"),"nenhum ainda")</f>
        <v>nenhum ainda</v>
      </c>
      <c r="B26476" s="3">
        <v>0</v>
      </c>
    </row>
    <row r="26477" ht="15.75" customHeight="1" spans="1:2">
      <c r="A26477" s="3" t="str">
        <f>IFERROR(__xludf.DUMMYFUNCTION("GOOGLETRANSLATE(A26477,""en"",""pt"")"),"Caro ao próprio")</f>
        <v>Caro ao próprio</v>
      </c>
      <c r="B26477" s="3">
        <v>0</v>
      </c>
    </row>
    <row r="26478" ht="15.75" customHeight="1" spans="1:2">
      <c r="A26478" s="3" t="str">
        <f>IFERROR(__xludf.DUMMYFUNCTION("GOOGLETRANSLATE(A26478,""en"",""pt"")"),"Nenhum")</f>
        <v>Nenhum</v>
      </c>
      <c r="B26478" s="3">
        <v>0</v>
      </c>
    </row>
    <row r="26479" ht="15.75" customHeight="1" spans="1:2">
      <c r="A26479" s="3" t="str">
        <f>IFERROR(__xludf.DUMMYFUNCTION("GOOGLETRANSLATE(A26479,""en"",""pt"")"),"cartuchos caros completa Meia")</f>
        <v>cartuchos caros completa Meia</v>
      </c>
      <c r="B26479" s="3">
        <v>0</v>
      </c>
    </row>
    <row r="26480" ht="15.75" customHeight="1" spans="1:2">
      <c r="A26480" s="3" t="str">
        <f>IFERROR(__xludf.DUMMYFUNCTION("GOOGLETRANSLATE(A26480,""en"",""pt"")"),"consumíveis caro. Impressão com 6 cor não um make impressora fotográfica!")</f>
        <v>consumíveis caro. Impressão com 6 cor não um make impressora fotográfica!</v>
      </c>
      <c r="B26480" s="3">
        <v>0</v>
      </c>
    </row>
    <row r="26481" ht="15.75" customHeight="1" spans="1:2">
      <c r="A26481" s="3" t="str">
        <f>IFERROR(__xludf.DUMMYFUNCTION("GOOGLETRANSLATE(A26481,""en"",""pt"")"),"qualidade das imagens ruins")</f>
        <v>qualidade das imagens ruins</v>
      </c>
      <c r="B26481" s="3">
        <v>0</v>
      </c>
    </row>
    <row r="26482" ht="15.75" customHeight="1" spans="1:2">
      <c r="A26482" s="3" t="str">
        <f>IFERROR(__xludf.DUMMYFUNCTION("GOOGLETRANSLATE(A26482,""en"",""pt"")"),"Congestionamentos freqüentes, manchas de tinta sobre alguns tipos de printables, tinta muito caro.")</f>
        <v>Congestionamentos freqüentes, manchas de tinta sobre alguns tipos de printables, tinta muito caro.</v>
      </c>
      <c r="B26482" s="3">
        <v>0</v>
      </c>
    </row>
    <row r="26483" ht="15.75" customHeight="1" spans="1:2">
      <c r="A26483" s="3" t="str">
        <f>IFERROR(__xludf.DUMMYFUNCTION("GOOGLETRANSLATE(A26483,""en"",""pt"")"),"Tem que comprar novos cartuchos de tinta.")</f>
        <v>Tem que comprar novos cartuchos de tinta.</v>
      </c>
      <c r="B26483" s="3">
        <v>0</v>
      </c>
    </row>
    <row r="26484" ht="15.75" customHeight="1" spans="1:2">
      <c r="A26484" s="3" t="str">
        <f>IFERROR(__xludf.DUMMYFUNCTION("GOOGLETRANSLATE(A26484,""en"",""pt"")"),"cartuchos de tinta não duram o suficiente longo e eles são caros. US $ 30 cada, preto e cor!")</f>
        <v>cartuchos de tinta não duram o suficiente longo e eles são caros. US $ 30 cada, preto e cor!</v>
      </c>
      <c r="B26484" s="3">
        <v>0</v>
      </c>
    </row>
    <row r="26485" ht="15.75" customHeight="1" spans="1:2">
      <c r="A26485" s="3" t="str">
        <f>IFERROR(__xludf.DUMMYFUNCTION("GOOGLETRANSLATE(A26485,""en"",""pt"")"),"recargas de tinta custam mais do que Canon, mas últimos lotes mais longos")</f>
        <v>recargas de tinta custam mais do que Canon, mas últimos lotes mais longos</v>
      </c>
      <c r="B26485" s="3">
        <v>0</v>
      </c>
    </row>
    <row r="26486" ht="15.75" customHeight="1" spans="1:2">
      <c r="A26486" s="3" t="str">
        <f>IFERROR(__xludf.DUMMYFUNCTION("GOOGLETRANSLATE(A26486,""en"",""pt"")"),"imprime apenas uma folha de cada vez.")</f>
        <v>imprime apenas uma folha de cada vez.</v>
      </c>
      <c r="B26486" s="3">
        <v>0</v>
      </c>
    </row>
    <row r="26487" ht="15.75" customHeight="1" spans="1:2">
      <c r="A26487" s="3" t="str">
        <f>IFERROR(__xludf.DUMMYFUNCTION("GOOGLETRANSLATE(A26487,""en"",""pt"")"),"Lento e parece usar a tinta preta rapidamente.")</f>
        <v>Lento e parece usar a tinta preta rapidamente.</v>
      </c>
      <c r="B26487" s="3">
        <v>0</v>
      </c>
    </row>
    <row r="26488" ht="15.75" customHeight="1" spans="1:2">
      <c r="A26488" s="3" t="str">
        <f>IFERROR(__xludf.DUMMYFUNCTION("GOOGLETRANSLATE(A26488,""en"",""pt"")"),"Lento na impressão a cores")</f>
        <v>Lento na impressão a cores</v>
      </c>
      <c r="B26488" s="3">
        <v>0</v>
      </c>
    </row>
    <row r="26489" ht="15.75" customHeight="1" spans="1:2">
      <c r="A26489" s="3" t="str">
        <f>IFERROR(__xludf.DUMMYFUNCTION("GOOGLETRANSLATE(A26489,""en"",""pt"")"),"Altos custos de tinta (segundo me disseram), bandeja de saída Frágil.")</f>
        <v>Altos custos de tinta (segundo me disseram), bandeja de saída Frágil.</v>
      </c>
      <c r="B26489" s="3">
        <v>0</v>
      </c>
    </row>
    <row r="26490" ht="15.75" customHeight="1" spans="1:2">
      <c r="A26490" s="3" t="str">
        <f>IFERROR(__xludf.DUMMYFUNCTION("GOOGLETRANSLATE(A26490,""en"",""pt"")"),"Compatibilidade para o Windows XP, a cor não tão acentuada como outras marcas Lexmark.")</f>
        <v>Compatibilidade para o Windows XP, a cor não tão acentuada como outras marcas Lexmark.</v>
      </c>
      <c r="B26490" s="3">
        <v>0</v>
      </c>
    </row>
    <row r="26491" ht="15.75" customHeight="1" spans="1:2">
      <c r="A26491" s="3" t="str">
        <f>IFERROR(__xludf.DUMMYFUNCTION("GOOGLETRANSLATE(A26491,""en"",""pt"")"),"Sem cabo incluído. bandeja de saída não consegue parar de impressões de cair.")</f>
        <v>Sem cabo incluído. bandeja de saída não consegue parar de impressões de cair.</v>
      </c>
      <c r="B26491" s="3">
        <v>0</v>
      </c>
    </row>
    <row r="26492" ht="15.75" customHeight="1" spans="1:2">
      <c r="A26492" s="3" t="str">
        <f>IFERROR(__xludf.DUMMYFUNCTION("GOOGLETRANSLATE(A26492,""en"",""pt"")"),"lavado cor, manuseio de papel pobre e bebe muita tinta")</f>
        <v>lavado cor, manuseio de papel pobre e bebe muita tinta</v>
      </c>
      <c r="B26492" s="3">
        <v>0</v>
      </c>
    </row>
    <row r="26493" ht="15.75" customHeight="1" spans="1:2">
      <c r="A26493" s="3" t="s">
        <v>136</v>
      </c>
      <c r="B26493" s="3">
        <v>0</v>
      </c>
    </row>
    <row r="26494" ht="15.75" customHeight="1" spans="1:2">
      <c r="A26494" s="3" t="str">
        <f>IFERROR(__xludf.DUMMYFUNCTION("GOOGLETRANSLATE(A26494,""en"",""pt"")"),"preços de tinta")</f>
        <v>preços de tinta</v>
      </c>
      <c r="B26494" s="3">
        <v>0</v>
      </c>
    </row>
    <row r="26495" ht="15.75" customHeight="1" spans="1:2">
      <c r="A26495" s="3" t="str">
        <f>IFERROR(__xludf.DUMMYFUNCTION("GOOGLETRANSLATE(A26495,""en"",""pt"")"),"não ótimo para a impressão de fotos")</f>
        <v>não ótimo para a impressão de fotos</v>
      </c>
      <c r="B26495" s="3">
        <v>0</v>
      </c>
    </row>
    <row r="26496" ht="15.75" customHeight="1" spans="1:2">
      <c r="A26496" s="3" t="str">
        <f>IFERROR(__xludf.DUMMYFUNCTION("GOOGLETRANSLATE(A26496,""en"",""pt"")"),"Bebe tinta como um peixe, tende a jam quase frequentemente")</f>
        <v>Bebe tinta como um peixe, tende a jam quase frequentemente</v>
      </c>
      <c r="B26496" s="3">
        <v>0</v>
      </c>
    </row>
    <row r="26497" ht="15.75" customHeight="1" spans="1:2">
      <c r="A26497" s="3" t="str">
        <f>IFERROR(__xludf.DUMMYFUNCTION("GOOGLETRANSLATE(A26497,""en"",""pt"")"),"cartuchos de tinta atualizados pode sair caro")</f>
        <v>cartuchos de tinta atualizados pode sair caro</v>
      </c>
      <c r="B26497" s="3">
        <v>0</v>
      </c>
    </row>
    <row r="26498" ht="15.75" customHeight="1" spans="1:2">
      <c r="A26498" s="3" t="str">
        <f>IFERROR(__xludf.DUMMYFUNCTION("GOOGLETRANSLATE(A26498,""en"",""pt"")"),"Alguns preço digamos cartucho (~ US $ 30), mas isso parece comparável a outros cartuchos jato de tinta")</f>
        <v>Alguns preço digamos cartucho (~ US $ 30), mas isso parece comparável a outros cartuchos jato de tinta</v>
      </c>
      <c r="B26498" s="3">
        <v>0</v>
      </c>
    </row>
    <row r="26499" ht="15.75" customHeight="1" spans="1:2">
      <c r="A26499" s="3" t="str">
        <f>IFERROR(__xludf.DUMMYFUNCTION("GOOGLETRANSLATE(A26499,""en"",""pt"")"),"impressão de fotos medíocre, bandejas de papel ruim")</f>
        <v>impressão de fotos medíocre, bandejas de papel ruim</v>
      </c>
      <c r="B26499" s="3">
        <v>0</v>
      </c>
    </row>
    <row r="26500" ht="15.75" customHeight="1" spans="1:2">
      <c r="A26500" s="3" t="str">
        <f>IFERROR(__xludf.DUMMYFUNCTION("GOOGLETRANSLATE(A26500,""en"",""pt"")"),"Consumíveis são um pouco caros")</f>
        <v>Consumíveis são um pouco caros</v>
      </c>
      <c r="B26500" s="3">
        <v>0</v>
      </c>
    </row>
    <row r="26501" ht="15.75" customHeight="1" spans="1:2">
      <c r="A26501" s="3" t="str">
        <f>IFERROR(__xludf.DUMMYFUNCTION("GOOGLETRANSLATE(A26501,""en"",""pt"")"),"Nenhum")</f>
        <v>Nenhum</v>
      </c>
      <c r="B26501" s="3">
        <v>0</v>
      </c>
    </row>
    <row r="26502" ht="15.75" customHeight="1" spans="1:2">
      <c r="A26502" s="3" t="str">
        <f>IFERROR(__xludf.DUMMYFUNCTION("GOOGLETRANSLATE(A26502,""en"",""pt"")"),"Nenhum ainda")</f>
        <v>Nenhum ainda</v>
      </c>
      <c r="B26502" s="3">
        <v>0</v>
      </c>
    </row>
    <row r="26503" ht="15.75" customHeight="1" spans="1:2">
      <c r="A26503" s="3" t="str">
        <f>IFERROR(__xludf.DUMMYFUNCTION("GOOGLETRANSLATE(A26503,""en"",""pt"")"),"Barato")</f>
        <v>Barato</v>
      </c>
      <c r="B26503" s="3">
        <v>0</v>
      </c>
    </row>
    <row r="26504" ht="15.75" customHeight="1" spans="1:2">
      <c r="A26504" s="3" t="str">
        <f>IFERROR(__xludf.DUMMYFUNCTION("GOOGLETRANSLATE(A26504,""en"",""pt"")"),"Nada como ainda")</f>
        <v>Nada como ainda</v>
      </c>
      <c r="B26504" s="3">
        <v>0</v>
      </c>
    </row>
    <row r="26505" ht="15.75" customHeight="1" spans="1:2">
      <c r="A26505" s="3" t="str">
        <f>IFERROR(__xludf.DUMMYFUNCTION("GOOGLETRANSLATE(A26505,""en"",""pt"")"),"Não Cabos estão incluídos")</f>
        <v>Não Cabos estão incluídos</v>
      </c>
      <c r="B26505" s="3">
        <v>0</v>
      </c>
    </row>
    <row r="26506" ht="15.75" customHeight="1" spans="1:2">
      <c r="A26506" s="3" t="str">
        <f>IFERROR(__xludf.DUMMYFUNCTION("GOOGLETRANSLATE(A26506,""en"",""pt"")"),"O Z42 é apenas ligeiramente mais caro.")</f>
        <v>O Z42 é apenas ligeiramente mais caro.</v>
      </c>
      <c r="B26506" s="3">
        <v>0</v>
      </c>
    </row>
    <row r="26507" ht="15.75" customHeight="1" spans="1:2">
      <c r="A26507" s="3" t="str">
        <f>IFERROR(__xludf.DUMMYFUNCTION("GOOGLETRANSLATE(A26507,""en"",""pt"")"),"nada até agora")</f>
        <v>nada até agora</v>
      </c>
      <c r="B26507" s="3">
        <v>0</v>
      </c>
    </row>
    <row r="26508" ht="15.75" customHeight="1" spans="1:2">
      <c r="A26508" s="3" t="str">
        <f>IFERROR(__xludf.DUMMYFUNCTION("GOOGLETRANSLATE(A26508,""en"",""pt"")"),"consumíveis caros")</f>
        <v>consumíveis caros</v>
      </c>
      <c r="B26508" s="3">
        <v>0</v>
      </c>
    </row>
    <row r="26509" ht="15.75" customHeight="1" spans="1:2">
      <c r="A26509" s="3" t="str">
        <f>IFERROR(__xludf.DUMMYFUNCTION("GOOGLETRANSLATE(A26509,""en"",""pt"")"),"Nenhum")</f>
        <v>Nenhum</v>
      </c>
      <c r="B26509" s="3">
        <v>0</v>
      </c>
    </row>
    <row r="26510" ht="15.75" customHeight="1" spans="1:2">
      <c r="A26510" s="3" t="str">
        <f>IFERROR(__xludf.DUMMYFUNCTION("GOOGLETRANSLATE(A26510,""en"",""pt"")"),"Barato")</f>
        <v>Barato</v>
      </c>
      <c r="B26510" s="3">
        <v>0</v>
      </c>
    </row>
    <row r="26511" ht="15.75" customHeight="1" spans="1:2">
      <c r="A26511" s="3" t="str">
        <f>IFERROR(__xludf.DUMMYFUNCTION("GOOGLETRANSLATE(A26511,""en"",""pt"")"),"driver da impressora (Mac) não o melhor, cartuchos caros.")</f>
        <v>driver da impressora (Mac) não o melhor, cartuchos caros.</v>
      </c>
      <c r="B26511" s="3">
        <v>0</v>
      </c>
    </row>
    <row r="26512" ht="15.75" customHeight="1" spans="1:2">
      <c r="A26512" s="3" t="str">
        <f>IFERROR(__xludf.DUMMYFUNCTION("GOOGLETRANSLATE(A26512,""en"",""pt"")"),"Os cabos devem ser incluídos")</f>
        <v>Os cabos devem ser incluídos</v>
      </c>
      <c r="B26512" s="3">
        <v>0</v>
      </c>
    </row>
    <row r="26513" ht="15.75" customHeight="1" spans="1:2">
      <c r="A26513" s="3" t="str">
        <f>IFERROR(__xludf.DUMMYFUNCTION("GOOGLETRANSLATE(A26513,""en"",""pt"")"),"&amp; Lt; b &amp; gt; COME TINTA como ele é sair do estilo &amp; lt; / b &amp; gt;")</f>
        <v>&amp; Lt; b &amp; gt; COME TINTA como ele é sair do estilo &amp; lt; / b &amp; gt;</v>
      </c>
      <c r="B26513" s="3">
        <v>0</v>
      </c>
    </row>
    <row r="26514" ht="15.75" customHeight="1" spans="1:2">
      <c r="A26514" s="3" t="str">
        <f>IFERROR(__xludf.DUMMYFUNCTION("GOOGLETRANSLATE(A26514,""en"",""pt"")"),"consumíveis caros (total até cerca de US $ 175 / ano).")</f>
        <v>consumíveis caros (total até cerca de US $ 175 / ano).</v>
      </c>
      <c r="B26514" s="3">
        <v>0</v>
      </c>
    </row>
    <row r="26515" ht="15.75" customHeight="1" spans="1:2">
      <c r="A26515" s="3" t="str">
        <f>IFERROR(__xludf.DUMMYFUNCTION("GOOGLETRANSLATE(A26515,""en"",""pt"")"),"Nenhum ainda")</f>
        <v>Nenhum ainda</v>
      </c>
      <c r="B26515" s="3">
        <v>0</v>
      </c>
    </row>
    <row r="26516" ht="15.75" customHeight="1" spans="1:2">
      <c r="A26516" s="3" t="str">
        <f>IFERROR(__xludf.DUMMYFUNCTION("GOOGLETRANSLATE(A26516,""en"",""pt"")"),"Muito lento em 1200 dpi")</f>
        <v>Muito lento em 1200 dpi</v>
      </c>
      <c r="B26516" s="3">
        <v>0</v>
      </c>
    </row>
    <row r="26517" ht="15.75" customHeight="1" spans="1:2">
      <c r="A26517" s="3" t="str">
        <f>IFERROR(__xludf.DUMMYFUNCTION("GOOGLETRANSLATE(A26517,""en"",""pt"")"),"não uma coisa má sobre ele.")</f>
        <v>não uma coisa má sobre ele.</v>
      </c>
      <c r="B26517" s="3">
        <v>0</v>
      </c>
    </row>
    <row r="26518" ht="15.75" customHeight="1" spans="1:2">
      <c r="A26518" s="3" t="str">
        <f>IFERROR(__xludf.DUMMYFUNCTION("GOOGLETRANSLATE(A26518,""en"",""pt"")"),"Bom, você ganha o que você paga...")</f>
        <v>Bom, você ganha o que você paga...</v>
      </c>
      <c r="B26518" s="3">
        <v>0</v>
      </c>
    </row>
    <row r="26519" ht="15.75" customHeight="1" spans="1:2">
      <c r="A26519" s="3" t="str">
        <f>IFERROR(__xludf.DUMMYFUNCTION("GOOGLETRANSLATE(A26519,""en"",""pt"")"),"Irritante ""falando de impressora"" utilidade")</f>
        <v>Irritante "falando de impressora" utilidade</v>
      </c>
      <c r="B26519" s="3">
        <v>0</v>
      </c>
    </row>
    <row r="26520" ht="15.75" customHeight="1" spans="1:2">
      <c r="A26520" s="3" t="str">
        <f>IFERROR(__xludf.DUMMYFUNCTION("GOOGLETRANSLATE(A26520,""en"",""pt"")"),"lento")</f>
        <v>lento</v>
      </c>
      <c r="B26520" s="3">
        <v>0</v>
      </c>
    </row>
    <row r="26521" ht="15.75" customHeight="1" spans="1:2">
      <c r="A26521" s="3" t="str">
        <f>IFERROR(__xludf.DUMMYFUNCTION("GOOGLETRANSLATE(A26521,""en"",""pt"")"),"&amp; Lt; i &amp; gt; &amp; lt; b &amp; gt; USB cabo não incluído &amp; lt; / b &amp; gt; &amp; lt; / i &amp; gt ;; inicialização e desligamento Noisy; qualidade da cor não o maior.")</f>
        <v>&amp; Lt; i &amp; gt; &amp; lt; b &amp; gt; USB cabo não incluído &amp; lt; / b &amp; gt; &amp; lt; / i &amp; gt ;; inicialização e desligamento Noisy; qualidade da cor não o maior.</v>
      </c>
      <c r="B26521" s="3">
        <v>0</v>
      </c>
    </row>
    <row r="26522" ht="15.75" customHeight="1" spans="1:2">
      <c r="A26522" s="3" t="str">
        <f>IFERROR(__xludf.DUMMYFUNCTION("GOOGLETRANSLATE(A26522,""en"",""pt"")"),"impressão lenta, uma operação do rolo de alimentação. envelope Vertical alimentam apenas.")</f>
        <v>impressão lenta, uma operação do rolo de alimentação. envelope Vertical alimentam apenas.</v>
      </c>
      <c r="B26522" s="3">
        <v>0</v>
      </c>
    </row>
    <row r="26523" ht="15.75" customHeight="1" spans="1:2">
      <c r="A26523" s="3" t="str">
        <f>IFERROR(__xludf.DUMMYFUNCTION("GOOGLETRANSLATE(A26523,""en"",""pt"")"),"custo")</f>
        <v>custo</v>
      </c>
      <c r="B26523" s="3">
        <v>0</v>
      </c>
    </row>
    <row r="26524" ht="15.75" customHeight="1" spans="1:2">
      <c r="A26524" s="3" t="str">
        <f>IFERROR(__xludf.DUMMYFUNCTION("GOOGLETRANSLATE(A26524,""en"",""pt"")"),"recarga de cartuchos muito caros, papel rugas alimentação automática, instalação difícil")</f>
        <v>recarga de cartuchos muito caros, papel rugas alimentação automática, instalação difícil</v>
      </c>
      <c r="B26524" s="3">
        <v>0</v>
      </c>
    </row>
    <row r="26525" ht="15.75" customHeight="1" spans="1:2">
      <c r="A26525" s="3" t="str">
        <f>IFERROR(__xludf.DUMMYFUNCTION("GOOGLETRANSLATE(A26525,""en"",""pt"")"),"Cartuchos de secar rapidamente e são caros. Alguns problemas de driver em XP.")</f>
        <v>Cartuchos de secar rapidamente e são caros. Alguns problemas de driver em XP.</v>
      </c>
      <c r="B26525" s="3">
        <v>0</v>
      </c>
    </row>
    <row r="26526" ht="15.75" customHeight="1" spans="1:2">
      <c r="A26526" s="3" t="str">
        <f>IFERROR(__xludf.DUMMYFUNCTION("GOOGLETRANSLATE(A26526,""en"",""pt"")"),"Pouco lento em documentos grandes. Bandeja de papel muito pequeno. custos de tinta $$")</f>
        <v>Pouco lento em documentos grandes. Bandeja de papel muito pequeno. custos de tinta $$</v>
      </c>
      <c r="B26526" s="3">
        <v>0</v>
      </c>
    </row>
    <row r="26527" ht="15.75" customHeight="1" spans="1:2">
      <c r="A26527" s="3" t="str">
        <f>IFERROR(__xludf.DUMMYFUNCTION("GOOGLETRANSLATE(A26527,""en"",""pt"")"),"Nenhum")</f>
        <v>Nenhum</v>
      </c>
      <c r="B26527" s="3">
        <v>0</v>
      </c>
    </row>
    <row r="26528" ht="15.75" customHeight="1" spans="1:2">
      <c r="A26528" s="3" t="str">
        <f>IFERROR(__xludf.DUMMYFUNCTION("GOOGLETRANSLATE(A26528,""en"",""pt"")"),"Um pouco caro")</f>
        <v>Um pouco caro</v>
      </c>
      <c r="B26528" s="3">
        <v>0</v>
      </c>
    </row>
    <row r="26529" ht="15.75" customHeight="1" spans="1:2">
      <c r="A26529" s="3" t="str">
        <f>IFERROR(__xludf.DUMMYFUNCTION("GOOGLETRANSLATE(A26529,""en"",""pt"")"),"Todos")</f>
        <v>Todos</v>
      </c>
      <c r="B26529" s="3">
        <v>0</v>
      </c>
    </row>
    <row r="26530" ht="15.75" customHeight="1" spans="1:2">
      <c r="A26530" s="3" t="str">
        <f>IFERROR(__xludf.DUMMYFUNCTION("GOOGLETRANSLATE(A26530,""en"",""pt"")"),"possíveis atolamentos de papel")</f>
        <v>possíveis atolamentos de papel</v>
      </c>
      <c r="B26530" s="3">
        <v>0</v>
      </c>
    </row>
    <row r="26531" ht="15.75" customHeight="1" spans="1:2">
      <c r="A26531" s="3" t="str">
        <f>IFERROR(__xludf.DUMMYFUNCTION("GOOGLETRANSLATE(A26531,""en"",""pt"")"),"Ligeiramente lento para a cor")</f>
        <v>Ligeiramente lento para a cor</v>
      </c>
      <c r="B26531" s="3">
        <v>0</v>
      </c>
    </row>
    <row r="26532" ht="15.75" customHeight="1" spans="1:2">
      <c r="A26532" s="3" t="str">
        <f>IFERROR(__xludf.DUMMYFUNCTION("GOOGLETRANSLATE(A26532,""en"",""pt"")"),"Nenhum.")</f>
        <v>Nenhum.</v>
      </c>
      <c r="B26532" s="3">
        <v>0</v>
      </c>
    </row>
    <row r="26533" ht="15.75" customHeight="1" spans="1:2">
      <c r="A26533" s="3" t="str">
        <f>IFERROR(__xludf.DUMMYFUNCTION("GOOGLETRANSLATE(A26533,""en"",""pt"")"),"recargas de cartuchos de tinta de custo mais elevado do que o normal")</f>
        <v>recargas de cartuchos de tinta de custo mais elevado do que o normal</v>
      </c>
      <c r="B26533" s="3">
        <v>0</v>
      </c>
    </row>
    <row r="26534" ht="15.75" customHeight="1" spans="1:2">
      <c r="A26534" s="3" t="str">
        <f>IFERROR(__xludf.DUMMYFUNCTION("GOOGLETRANSLATE(A26534,""en"",""pt"")"),"Pode ser um pouco lento, ficando pronta para imprimir. Eu só adicionado este porque é necessário para colocar em alguma coisa")</f>
        <v>Pode ser um pouco lento, ficando pronta para imprimir. Eu só adicionado este porque é necessário para colocar em alguma coisa</v>
      </c>
      <c r="B26534" s="3">
        <v>0</v>
      </c>
    </row>
    <row r="26535" ht="15.75" customHeight="1" spans="1:2">
      <c r="A26535" s="3" t="str">
        <f>IFERROR(__xludf.DUMMYFUNCTION("GOOGLETRANSLATE(A26535,""en"",""pt"")"),"cartuchos de tinta não são a preços especiais, tão frequentemente como outras marcas.")</f>
        <v>cartuchos de tinta não são a preços especiais, tão frequentemente como outras marcas.</v>
      </c>
      <c r="B26535" s="3">
        <v>0</v>
      </c>
    </row>
    <row r="26536" ht="15.75" customHeight="1" spans="1:2">
      <c r="A26536" s="3" t="str">
        <f>IFERROR(__xludf.DUMMYFUNCTION("GOOGLETRANSLATE(A26536,""en"",""pt"")"),"Alto custo por página, tinta Expensive")</f>
        <v>Alto custo por página, tinta Expensive</v>
      </c>
      <c r="B26536" s="3">
        <v>0</v>
      </c>
    </row>
    <row r="26537" ht="15.75" customHeight="1" spans="1:2">
      <c r="A26537" s="3" t="str">
        <f>IFERROR(__xludf.DUMMYFUNCTION("GOOGLETRANSLATE(A26537,""en"",""pt"")"),"Nenhum")</f>
        <v>Nenhum</v>
      </c>
      <c r="B26537" s="3">
        <v>0</v>
      </c>
    </row>
    <row r="26538" ht="15.75" customHeight="1" spans="1:2">
      <c r="A26538" s="3" t="str">
        <f>IFERROR(__xludf.DUMMYFUNCTION("GOOGLETRANSLATE(A26538,""en"",""pt"")"),"Ele fala, a maioria das impressoras não, assustador")</f>
        <v>Ele fala, a maioria das impressoras não, assustador</v>
      </c>
      <c r="B26538" s="3">
        <v>0</v>
      </c>
    </row>
    <row r="26539" ht="15.75" customHeight="1" spans="1:2">
      <c r="A26539" s="3" t="str">
        <f>IFERROR(__xludf.DUMMYFUNCTION("GOOGLETRANSLATE(A26539,""en"",""pt"")"),"NÃO NT compatível.")</f>
        <v>NÃO NT compatível.</v>
      </c>
      <c r="B26539" s="3">
        <v>0</v>
      </c>
    </row>
    <row r="26540" ht="15.75" customHeight="1" spans="1:2">
      <c r="A26540" s="3" t="str">
        <f>IFERROR(__xludf.DUMMYFUNCTION("GOOGLETRANSLATE(A26540,""en"",""pt"")"),"Não há conexões USB em alguns PC")</f>
        <v>Não há conexões USB em alguns PC</v>
      </c>
      <c r="B26540" s="3">
        <v>0</v>
      </c>
    </row>
    <row r="26541" ht="15.75" customHeight="1" spans="1:2">
      <c r="A26541" s="3" t="str">
        <f>IFERROR(__xludf.DUMMYFUNCTION("GOOGLETRANSLATE(A26541,""en"",""pt"")"),"Software pode ficar confuso")</f>
        <v>Software pode ficar confuso</v>
      </c>
      <c r="B26541" s="3">
        <v>0</v>
      </c>
    </row>
    <row r="26542" ht="15.75" customHeight="1" spans="1:2">
      <c r="A26542" s="3" t="str">
        <f>IFERROR(__xludf.DUMMYFUNCTION("GOOGLETRANSLATE(A26542,""en"",""pt"")"),"Não de rede compatível, sem drivers Unix")</f>
        <v>Não de rede compatível, sem drivers Unix</v>
      </c>
      <c r="B26542" s="3">
        <v>0</v>
      </c>
    </row>
    <row r="26543" ht="15.75" customHeight="1" spans="1:2">
      <c r="A26543" s="3" t="str">
        <f>IFERROR(__xludf.DUMMYFUNCTION("GOOGLETRANSLATE(A26543,""en"",""pt"")"),"Lento, mal concebido, Expensive")</f>
        <v>Lento, mal concebido, Expensive</v>
      </c>
      <c r="B26543" s="3">
        <v>0</v>
      </c>
    </row>
    <row r="26544" ht="15.75" customHeight="1" spans="1:2">
      <c r="A26544" s="3" t="str">
        <f>IFERROR(__xludf.DUMMYFUNCTION("GOOGLETRANSLATE(A26544,""en"",""pt"")"),"Pegada, custo de substituição do cartucho de tinta")</f>
        <v>Pegada, custo de substituição do cartucho de tinta</v>
      </c>
      <c r="B26544" s="3">
        <v>0</v>
      </c>
    </row>
    <row r="26545" ht="15.75" customHeight="1" spans="1:2">
      <c r="A26545" s="3" t="str">
        <f>IFERROR(__xludf.DUMMYFUNCTION("GOOGLETRANSLATE(A26545,""en"",""pt"")"),"Tamanho")</f>
        <v>Tamanho</v>
      </c>
      <c r="B26545" s="3">
        <v>0</v>
      </c>
    </row>
    <row r="26546" ht="15.75" customHeight="1" spans="1:2">
      <c r="A26546" s="3" t="str">
        <f>IFERROR(__xludf.DUMMYFUNCTION("GOOGLETRANSLATE(A26546,""en"",""pt"")"),"impressão rápida é horrível.")</f>
        <v>impressão rápida é horrível.</v>
      </c>
      <c r="B26546" s="3">
        <v>0</v>
      </c>
    </row>
    <row r="26547" ht="15.75" customHeight="1" spans="1:2">
      <c r="A26547" s="3" t="str">
        <f>IFERROR(__xludf.DUMMYFUNCTION("GOOGLETRANSLATE(A26547,""en"",""pt"")"),"Difícil de encontrar em estoque.")</f>
        <v>Difícil de encontrar em estoque.</v>
      </c>
      <c r="B26547" s="3">
        <v>0</v>
      </c>
    </row>
    <row r="26548" ht="15.75" customHeight="1" spans="1:2">
      <c r="A26548" s="3" t="str">
        <f>IFERROR(__xludf.DUMMYFUNCTION("GOOGLETRANSLATE(A26548,""en"",""pt"")"),"não encontrei nenhuma ainda ..")</f>
        <v>não encontrei nenhuma ainda ..</v>
      </c>
      <c r="B26548" s="3">
        <v>0</v>
      </c>
    </row>
    <row r="26549" ht="15.75" customHeight="1" spans="1:2">
      <c r="A26549" s="3" t="str">
        <f>IFERROR(__xludf.DUMMYFUNCTION("GOOGLETRANSLATE(A26549,""en"",""pt"")"),"Uso de tinta de cor parece elevado.")</f>
        <v>Uso de tinta de cor parece elevado.</v>
      </c>
      <c r="B26549" s="3">
        <v>0</v>
      </c>
    </row>
    <row r="26550" ht="15.75" customHeight="1" spans="1:2">
      <c r="A26550" s="3" t="str">
        <f>IFERROR(__xludf.DUMMYFUNCTION("GOOGLETRANSLATE(A26550,""en"",""pt"")"),"Uma impressora de CMYK, com um controlador RGB. Daí as cores são totalmente unadjustable e sem cor pura é possível, Useless para a cor, a menos que você é um amador")</f>
        <v>Uma impressora de CMYK, com um controlador RGB. Daí as cores são totalmente unadjustable e sem cor pura é possível, Useless para a cor, a menos que você é um amador</v>
      </c>
      <c r="B26550" s="3">
        <v>0</v>
      </c>
    </row>
    <row r="26551" ht="15.75" customHeight="1" spans="1:2">
      <c r="A26551" s="3" t="str">
        <f>IFERROR(__xludf.DUMMYFUNCTION("GOOGLETRANSLATE(A26551,""en"",""pt"")"),"usar o papel especial quando imprimir imagens")</f>
        <v>usar o papel especial quando imprimir imagens</v>
      </c>
      <c r="B26551" s="3">
        <v>0</v>
      </c>
    </row>
    <row r="26552" ht="15.75" customHeight="1" spans="1:2">
      <c r="A26552" s="3" t="str">
        <f>IFERROR(__xludf.DUMMYFUNCTION("GOOGLETRANSLATE(A26552,""en"",""pt"")"),"de alimentação de papel e cartuchos de tinta barulhento caros.")</f>
        <v>de alimentação de papel e cartuchos de tinta barulhento caros.</v>
      </c>
      <c r="B26552" s="3">
        <v>0</v>
      </c>
    </row>
    <row r="26553" ht="15.75" customHeight="1" spans="1:2">
      <c r="A26553" s="3" t="str">
        <f>IFERROR(__xludf.DUMMYFUNCTION("GOOGLETRANSLATE(A26553,""en"",""pt"")"),"Nenhum")</f>
        <v>Nenhum</v>
      </c>
      <c r="B26553" s="3">
        <v>0</v>
      </c>
    </row>
    <row r="26554" ht="15.75" customHeight="1" spans="1:2">
      <c r="A26554" s="3" t="str">
        <f>IFERROR(__xludf.DUMMYFUNCTION("GOOGLETRANSLATE(A26554,""en"",""pt"")"),"Prints muito lentamente, usa muita tinta.")</f>
        <v>Prints muito lentamente, usa muita tinta.</v>
      </c>
      <c r="B26554" s="3">
        <v>0</v>
      </c>
    </row>
    <row r="26555" ht="15.75" customHeight="1" spans="1:2">
      <c r="A26555" s="3" t="str">
        <f>IFERROR(__xludf.DUMMYFUNCTION("GOOGLETRANSLATE(A26555,""en"",""pt"")"),"custo cartucho")</f>
        <v>custo cartucho</v>
      </c>
      <c r="B26555" s="3">
        <v>0</v>
      </c>
    </row>
    <row r="26556" ht="15.75" customHeight="1" spans="1:2">
      <c r="A26556" s="3" t="str">
        <f>IFERROR(__xludf.DUMMYFUNCTION("GOOGLETRANSLATE(A26556,""en"",""pt"")"),"custo, temperamental")</f>
        <v>custo, temperamental</v>
      </c>
      <c r="B26556" s="3">
        <v>0</v>
      </c>
    </row>
    <row r="26557" ht="15.75" customHeight="1" spans="1:2">
      <c r="A26557" s="3" t="str">
        <f>IFERROR(__xludf.DUMMYFUNCTION("GOOGLETRANSLATE(A26557,""en"",""pt"")"),"Lento")</f>
        <v>Lento</v>
      </c>
      <c r="B26557" s="3">
        <v>0</v>
      </c>
    </row>
    <row r="26558" ht="15.75" customHeight="1" spans="1:2">
      <c r="A26558" s="3" t="str">
        <f>IFERROR(__xludf.DUMMYFUNCTION("GOOGLETRANSLATE(A26558,""en"",""pt"")"),"Preço")</f>
        <v>Preço</v>
      </c>
      <c r="B26558" s="3">
        <v>0</v>
      </c>
    </row>
    <row r="26559" ht="15.75" customHeight="1" spans="1:2">
      <c r="A26559" s="3" t="str">
        <f>IFERROR(__xludf.DUMMYFUNCTION("GOOGLETRANSLATE(A26559,""en"",""pt"")"),"LEIA ABAIXO")</f>
        <v>LEIA ABAIXO</v>
      </c>
      <c r="B26559" s="3">
        <v>0</v>
      </c>
    </row>
    <row r="26560" ht="15.75" customHeight="1" spans="1:2">
      <c r="A26560" s="3" t="str">
        <f>IFERROR(__xludf.DUMMYFUNCTION("GOOGLETRANSLATE(A26560,""en"",""pt"")"),"Nenhum")</f>
        <v>Nenhum</v>
      </c>
      <c r="B26560" s="3">
        <v>0</v>
      </c>
    </row>
    <row r="26561" ht="15.75" customHeight="1" spans="1:2">
      <c r="A26561" s="3" t="str">
        <f>IFERROR(__xludf.DUMMYFUNCTION("GOOGLETRANSLATE(A26561,""en"",""pt"")"),"impressão lenta foto, recarga de cartuchos caros, torta alimentação de formulário fica pior com o tempo, pegada enorme")</f>
        <v>impressão lenta foto, recarga de cartuchos caros, torta alimentação de formulário fica pior com o tempo, pegada enorme</v>
      </c>
      <c r="B26561" s="3">
        <v>0</v>
      </c>
    </row>
    <row r="26562" ht="15.75" customHeight="1" spans="1:2">
      <c r="A26562" s="3" t="str">
        <f>IFERROR(__xludf.DUMMYFUNCTION("GOOGLETRANSLATE(A26562,""en"",""pt"")"),"Ligeiramente maior pegada do que as impressoras comuns.")</f>
        <v>Ligeiramente maior pegada do que as impressoras comuns.</v>
      </c>
      <c r="B26562" s="3">
        <v>0</v>
      </c>
    </row>
    <row r="26563" ht="15.75" customHeight="1" spans="1:2">
      <c r="A26563" s="3" t="str">
        <f>IFERROR(__xludf.DUMMYFUNCTION("GOOGLETRANSLATE(A26563,""en"",""pt"")"),"Tinta acabar rapidamente")</f>
        <v>Tinta acabar rapidamente</v>
      </c>
      <c r="B26563" s="3">
        <v>0</v>
      </c>
    </row>
    <row r="26564" ht="15.75" customHeight="1" spans="1:2">
      <c r="A26564" s="3" t="str">
        <f>IFERROR(__xludf.DUMMYFUNCTION("GOOGLETRANSLATE(A26564,""en"",""pt"")"),"O custo elevado da tinta.")</f>
        <v>O custo elevado da tinta.</v>
      </c>
      <c r="B26564" s="3">
        <v>0</v>
      </c>
    </row>
    <row r="26565" ht="15.75" customHeight="1" spans="1:2">
      <c r="A26565" s="3" t="str">
        <f>IFERROR(__xludf.DUMMYFUNCTION("GOOGLETRANSLATE(A26565,""en"",""pt"")"),"Propenso a erros SPOOL32")</f>
        <v>Propenso a erros SPOOL32</v>
      </c>
      <c r="B26565" s="3">
        <v>0</v>
      </c>
    </row>
    <row r="26566" ht="15.75" customHeight="1" spans="1:2">
      <c r="A26566" s="3" t="str">
        <f>IFERROR(__xludf.DUMMYFUNCTION("GOOGLETRANSLATE(A26566,""en"",""pt"")"),"Nenhum para o preço")</f>
        <v>Nenhum para o preço</v>
      </c>
      <c r="B26566" s="3">
        <v>0</v>
      </c>
    </row>
    <row r="26567" ht="15.75" customHeight="1" spans="1:2">
      <c r="A26567" s="3" t="str">
        <f>IFERROR(__xludf.DUMMYFUNCTION("GOOGLETRANSLATE(A26567,""en"",""pt"")"),"foto lento")</f>
        <v>foto lento</v>
      </c>
      <c r="B26567" s="3">
        <v>0</v>
      </c>
    </row>
    <row r="26568" ht="15.75" customHeight="1" spans="1:2">
      <c r="A26568" s="3" t="str">
        <f>IFERROR(__xludf.DUMMYFUNCTION("GOOGLETRANSLATE(A26568,""en"",""pt"")"),"Bandeja de papel demasiado curto")</f>
        <v>Bandeja de papel demasiado curto</v>
      </c>
      <c r="B26568" s="3">
        <v>0</v>
      </c>
    </row>
    <row r="26569" ht="15.75" customHeight="1" spans="1:2">
      <c r="A26569" s="3" t="str">
        <f>IFERROR(__xludf.DUMMYFUNCTION("GOOGLETRANSLATE(A26569,""en"",""pt"")"),"Disponibilidade")</f>
        <v>Disponibilidade</v>
      </c>
      <c r="B26569" s="3">
        <v>0</v>
      </c>
    </row>
    <row r="26570" ht="15.75" customHeight="1" spans="1:2">
      <c r="A26570" s="3" t="str">
        <f>IFERROR(__xludf.DUMMYFUNCTION("GOOGLETRANSLATE(A26570,""en"",""pt"")"),"Nenhum")</f>
        <v>Nenhum</v>
      </c>
      <c r="B26570" s="3">
        <v>0</v>
      </c>
    </row>
    <row r="26571" ht="15.75" customHeight="1" spans="1:2">
      <c r="A26571" s="3" t="str">
        <f>IFERROR(__xludf.DUMMYFUNCTION("GOOGLETRANSLATE(A26571,""en"",""pt"")"),"REALMENTE BUGGY !!")</f>
        <v>REALMENTE BUGGY !!</v>
      </c>
      <c r="B26571" s="3">
        <v>0</v>
      </c>
    </row>
    <row r="26572" ht="15.75" customHeight="1" spans="1:2">
      <c r="A26572" s="3" t="str">
        <f>IFERROR(__xludf.DUMMYFUNCTION("GOOGLETRANSLATE(A26572,""en"",""pt"")"),"pode não ter os sleekest aparência.")</f>
        <v>pode não ter os sleekest aparência.</v>
      </c>
      <c r="B26572" s="3">
        <v>0</v>
      </c>
    </row>
    <row r="26573" ht="15.75" customHeight="1" spans="1:2">
      <c r="A26573" s="3" t="str">
        <f>IFERROR(__xludf.DUMMYFUNCTION("GOOGLETRANSLATE(A26573,""en"",""pt"")"),"cartuchos de impressão relativamente caros")</f>
        <v>cartuchos de impressão relativamente caros</v>
      </c>
      <c r="B26573" s="3">
        <v>0</v>
      </c>
    </row>
    <row r="26574" ht="15.75" customHeight="1" spans="1:2">
      <c r="A26574" s="3" t="str">
        <f>IFERROR(__xludf.DUMMYFUNCTION("GOOGLETRANSLATE(A26574,""en"",""pt"")"),"O custo de cartuchos de reposição!")</f>
        <v>O custo de cartuchos de reposição!</v>
      </c>
      <c r="B26574" s="3">
        <v>0</v>
      </c>
    </row>
    <row r="26575" ht="15.75" customHeight="1" spans="1:2">
      <c r="A26575" s="3" t="str">
        <f>IFERROR(__xludf.DUMMYFUNCTION("GOOGLETRANSLATE(A26575,""en"",""pt"")"),"precisa bandeja de papel maior e melhor motorista para definir seus próprios padrões")</f>
        <v>precisa bandeja de papel maior e melhor motorista para definir seus próprios padrões</v>
      </c>
      <c r="B26575" s="3">
        <v>0</v>
      </c>
    </row>
    <row r="26576" ht="15.75" customHeight="1" spans="1:2">
      <c r="A26576" s="3" t="str">
        <f>IFERROR(__xludf.DUMMYFUNCTION("GOOGLETRANSLATE(A26576,""en"",""pt"")"),"Simplesmente não pode ser invocado.")</f>
        <v>Simplesmente não pode ser invocado.</v>
      </c>
      <c r="B26576" s="3">
        <v>0</v>
      </c>
    </row>
    <row r="26577" ht="15.75" customHeight="1" spans="1:2">
      <c r="A26577" s="3" t="str">
        <f>IFERROR(__xludf.DUMMYFUNCTION("GOOGLETRANSLATE(A26577,""en"",""pt"")"),"Alto custo de substituição de tinta &amp; amp; qualidade da foto não satisfazer as minhas expectativas.")</f>
        <v>Alto custo de substituição de tinta &amp; amp; qualidade da foto não satisfazer as minhas expectativas.</v>
      </c>
      <c r="B26577" s="3">
        <v>0</v>
      </c>
    </row>
    <row r="26578" ht="15.75" customHeight="1" spans="1:2">
      <c r="A26578" s="3" t="str">
        <f>IFERROR(__xludf.DUMMYFUNCTION("GOOGLETRANSLATE(A26578,""en"",""pt"")"),"NENHUM")</f>
        <v>NENHUM</v>
      </c>
      <c r="B26578" s="3">
        <v>0</v>
      </c>
    </row>
    <row r="26579" ht="15.75" customHeight="1" spans="1:2">
      <c r="A26579" s="3" t="str">
        <f>IFERROR(__xludf.DUMMYFUNCTION("GOOGLETRANSLATE(A26579,""en"",""pt"")"),"Alimentação de papel pequeno, Noisy")</f>
        <v>Alimentação de papel pequeno, Noisy</v>
      </c>
      <c r="B26579" s="3">
        <v>0</v>
      </c>
    </row>
    <row r="26580" ht="15.75" customHeight="1" spans="1:2">
      <c r="A26580" s="3" t="str">
        <f>IFERROR(__xludf.DUMMYFUNCTION("GOOGLETRANSLATE(A26580,""en"",""pt"")"),"Problemas, problemas &amp; amp; mais problemas!")</f>
        <v>Problemas, problemas &amp; amp; mais problemas!</v>
      </c>
      <c r="B26580" s="3">
        <v>0</v>
      </c>
    </row>
    <row r="26581" ht="15.75" customHeight="1" spans="1:2">
      <c r="A26581" s="3" t="str">
        <f>IFERROR(__xludf.DUMMYFUNCTION("GOOGLETRANSLATE(A26581,""en"",""pt"")"),"Retardar páginas coloridas alta")</f>
        <v>Retardar páginas coloridas alta</v>
      </c>
      <c r="B26581" s="3">
        <v>0</v>
      </c>
    </row>
    <row r="26582" ht="15.75" customHeight="1" spans="1:2">
      <c r="A26582" s="3" t="str">
        <f>IFERROR(__xludf.DUMMYFUNCTION("GOOGLETRANSLATE(A26582,""en"",""pt"")"),"Noisy, recargas de tinta caro.")</f>
        <v>Noisy, recargas de tinta caro.</v>
      </c>
      <c r="B26582" s="3">
        <v>0</v>
      </c>
    </row>
    <row r="26583" ht="15.75" customHeight="1" spans="1:2">
      <c r="A26583" s="3" t="str">
        <f>IFERROR(__xludf.DUMMYFUNCTION("GOOGLETRANSLATE(A26583,""en"",""pt"")"),"serviço ao cliente se torna seu melhor amigo")</f>
        <v>serviço ao cliente se torna seu melhor amigo</v>
      </c>
      <c r="B26583" s="3">
        <v>0</v>
      </c>
    </row>
    <row r="26584" ht="15.75" customHeight="1" spans="1:2">
      <c r="A26584" s="3" t="str">
        <f>IFERROR(__xludf.DUMMYFUNCTION("GOOGLETRANSLATE(A26584,""en"",""pt"")"),"Você pode realmente dizer quando o cartredge vai")</f>
        <v>Você pode realmente dizer quando o cartredge vai</v>
      </c>
      <c r="B26584" s="3">
        <v>0</v>
      </c>
    </row>
    <row r="26585" ht="15.75" customHeight="1" spans="1:2">
      <c r="A26585" s="3" t="str">
        <f>IFERROR(__xludf.DUMMYFUNCTION("GOOGLETRANSLATE(A26585,""en"",""pt"")"),"não comprá-lo mais cedo.")</f>
        <v>não comprá-lo mais cedo.</v>
      </c>
      <c r="B26585" s="3">
        <v>0</v>
      </c>
    </row>
    <row r="26586" ht="15.75" customHeight="1" spans="1:2">
      <c r="A26586" s="3" t="str">
        <f>IFERROR(__xludf.DUMMYFUNCTION("GOOGLETRANSLATE(A26586,""en"",""pt"")"),"Ink caro, baixa quantidade de cartuchos de tinta.")</f>
        <v>Ink caro, baixa quantidade de cartuchos de tinta.</v>
      </c>
      <c r="B26586" s="3">
        <v>0</v>
      </c>
    </row>
    <row r="26587" ht="15.75" customHeight="1" spans="1:2">
      <c r="A26587" s="3" t="str">
        <f>IFERROR(__xludf.DUMMYFUNCTION("GOOGLETRANSLATE(A26587,""en"",""pt"")"),"qualidade barata")</f>
        <v>qualidade barata</v>
      </c>
      <c r="B26587" s="3">
        <v>0</v>
      </c>
    </row>
    <row r="26588" ht="15.75" customHeight="1" spans="1:2">
      <c r="A26588" s="3" t="str">
        <f>IFERROR(__xludf.DUMMYFUNCTION("GOOGLETRANSLATE(A26588,""en"",""pt"")"),"O material usual orçamento-printer")</f>
        <v>O material usual orçamento-printer</v>
      </c>
      <c r="B26588" s="3">
        <v>0</v>
      </c>
    </row>
    <row r="26589" ht="15.75" customHeight="1" spans="1:2">
      <c r="A26589" s="3" t="str">
        <f>IFERROR(__xludf.DUMMYFUNCTION("GOOGLETRANSLATE(A26589,""en"",""pt"")"),"Tamanho, custo Cartridge")</f>
        <v>Tamanho, custo Cartridge</v>
      </c>
      <c r="B26589" s="3">
        <v>0</v>
      </c>
    </row>
    <row r="26590" ht="15.75" customHeight="1" spans="1:2">
      <c r="A26590" s="3" t="str">
        <f>IFERROR(__xludf.DUMMYFUNCTION("GOOGLETRANSLATE(A26590,""en"",""pt"")"),"Não inclui cabeamento paralela ou USB. Requer adicional mesa imobiliário.")</f>
        <v>Não inclui cabeamento paralela ou USB. Requer adicional mesa imobiliário.</v>
      </c>
      <c r="B26590" s="3">
        <v>0</v>
      </c>
    </row>
    <row r="26591" ht="15.75" customHeight="1" spans="1:2">
      <c r="A26591" s="3" t="str">
        <f>IFERROR(__xludf.DUMMYFUNCTION("GOOGLETRANSLATE(A26591,""en"",""pt"")"),"Ink é caro e não tão fácil de encontrar como a maioria das marcas.")</f>
        <v>Ink é caro e não tão fácil de encontrar como a maioria das marcas.</v>
      </c>
      <c r="B26591" s="3">
        <v>0</v>
      </c>
    </row>
    <row r="26592" ht="15.75" customHeight="1" spans="1:2">
      <c r="A26592" s="3" t="str">
        <f>IFERROR(__xludf.DUMMYFUNCTION("GOOGLETRANSLATE(A26592,""en"",""pt"")"),"Um pouco mais lento do que eu gostaria.")</f>
        <v>Um pouco mais lento do que eu gostaria.</v>
      </c>
      <c r="B26592" s="3">
        <v>0</v>
      </c>
    </row>
    <row r="26593" ht="15.75" customHeight="1" spans="1:2">
      <c r="A26593" s="3" t="str">
        <f>IFERROR(__xludf.DUMMYFUNCTION("GOOGLETRANSLATE(A26593,""en"",""pt"")"),"Um pouco barulhento alto custo de impressão,")</f>
        <v>Um pouco barulhento alto custo de impressão,</v>
      </c>
      <c r="B26593" s="3">
        <v>0</v>
      </c>
    </row>
    <row r="26594" ht="15.75" customHeight="1" spans="1:2">
      <c r="A26594" s="3" t="str">
        <f>IFERROR(__xludf.DUMMYFUNCTION("GOOGLETRANSLATE(A26594,""en"",""pt"")"),"impressões de papel liso medíocres, materiais de consumo de tinta solúvel caro, água")</f>
        <v>impressões de papel liso medíocres, materiais de consumo de tinta solúvel caro, água</v>
      </c>
      <c r="B26594" s="3">
        <v>0</v>
      </c>
    </row>
    <row r="26595" ht="15.75" customHeight="1" spans="1:2">
      <c r="A26595" s="3" t="str">
        <f>IFERROR(__xludf.DUMMYFUNCTION("GOOGLETRANSLATE(A26595,""en"",""pt"")"),"tinta caro")</f>
        <v>tinta caro</v>
      </c>
      <c r="B26595" s="3">
        <v>0</v>
      </c>
    </row>
    <row r="26596" ht="15.75" customHeight="1" spans="1:2">
      <c r="A26596" s="3" t="str">
        <f>IFERROR(__xludf.DUMMYFUNCTION("GOOGLETRANSLATE(A26596,""en"",""pt"")"),"substituição cartuchos são muito caros. atolamento de papel ocasional.")</f>
        <v>substituição cartuchos são muito caros. atolamento de papel ocasional.</v>
      </c>
      <c r="B26596" s="3">
        <v>0</v>
      </c>
    </row>
    <row r="26597" ht="15.75" customHeight="1" spans="1:2">
      <c r="A26597" s="3" t="str">
        <f>IFERROR(__xludf.DUMMYFUNCTION("GOOGLETRANSLATE(A26597,""en"",""pt"")"),"não movimento muito preço, marca não é tão conhecido como outros")</f>
        <v>não movimento muito preço, marca não é tão conhecido como outros</v>
      </c>
      <c r="B26597" s="3">
        <v>0</v>
      </c>
    </row>
    <row r="26598" ht="15.75" customHeight="1" spans="1:2">
      <c r="A26598" s="3" t="str">
        <f>IFERROR(__xludf.DUMMYFUNCTION("GOOGLETRANSLATE(A26598,""en"",""pt"")"),"Os cartuchos de tinta são em cara.")</f>
        <v>Os cartuchos de tinta são em cara.</v>
      </c>
      <c r="B26598" s="3">
        <v>0</v>
      </c>
    </row>
    <row r="26599" ht="15.75" customHeight="1" spans="1:2">
      <c r="A26599" s="3" t="str">
        <f>IFERROR(__xludf.DUMMYFUNCTION("GOOGLETRANSLATE(A26599,""en"",""pt"")"),"A volumosa pouco quando se trata de tamanho de impressão")</f>
        <v>A volumosa pouco quando se trata de tamanho de impressão</v>
      </c>
      <c r="B26599" s="3">
        <v>0</v>
      </c>
    </row>
    <row r="26600" ht="15.75" customHeight="1" spans="1:2">
      <c r="A26600" s="3" t="str">
        <f>IFERROR(__xludf.DUMMYFUNCTION("GOOGLETRANSLATE(A26600,""en"",""pt"")"),"não há queixas")</f>
        <v>não há queixas</v>
      </c>
      <c r="B26600" s="3">
        <v>0</v>
      </c>
    </row>
    <row r="26601" ht="15.75" customHeight="1" spans="1:2">
      <c r="A26601" s="3" t="str">
        <f>IFERROR(__xludf.DUMMYFUNCTION("GOOGLETRANSLATE(A26601,""en"",""pt"")"),"NENHUM MESMO!!!")</f>
        <v>NENHUM MESMO!!!</v>
      </c>
      <c r="B26601" s="3">
        <v>0</v>
      </c>
    </row>
    <row r="26602" ht="15.75" customHeight="1" spans="1:2">
      <c r="A26602" s="3" t="str">
        <f>IFERROR(__xludf.DUMMYFUNCTION("GOOGLETRANSLATE(A26602,""en"",""pt"")"),"caro (mas não mais do que outras marcas) cartuchos de tinta")</f>
        <v>caro (mas não mais do que outras marcas) cartuchos de tinta</v>
      </c>
      <c r="B26602" s="3">
        <v>0</v>
      </c>
    </row>
    <row r="26603" ht="15.75" customHeight="1" spans="1:2">
      <c r="A26603" s="3" t="str">
        <f>IFERROR(__xludf.DUMMYFUNCTION("GOOGLETRANSLATE(A26603,""en"",""pt"")"),"escuro, blury impressão de imagem digital")</f>
        <v>escuro, blury impressão de imagem digital</v>
      </c>
      <c r="B26603" s="3">
        <v>0</v>
      </c>
    </row>
    <row r="26604" ht="15.75" customHeight="1" spans="1:2">
      <c r="A26604" s="3" t="str">
        <f>IFERROR(__xludf.DUMMYFUNCTION("GOOGLETRANSLATE(A26604,""en"",""pt"")"),"cartuchos de substituição lenta e cara")</f>
        <v>cartuchos de substituição lenta e cara</v>
      </c>
      <c r="B26604" s="3">
        <v>0</v>
      </c>
    </row>
    <row r="26605" ht="15.75" customHeight="1" spans="1:2">
      <c r="A26605" s="3" t="str">
        <f>IFERROR(__xludf.DUMMYFUNCTION("GOOGLETRANSLATE(A26605,""en"",""pt"")"),"Custo de impressão a cores por página pode acrescentar-se rapidamente, como todos os jatos de tinta embora.")</f>
        <v>Custo de impressão a cores por página pode acrescentar-se rapidamente, como todos os jatos de tinta embora.</v>
      </c>
      <c r="B26605" s="3">
        <v>0</v>
      </c>
    </row>
    <row r="26606" ht="15.75" customHeight="1" spans="1:2">
      <c r="A26606" s="3" t="str">
        <f>IFERROR(__xludf.DUMMYFUNCTION("GOOGLETRANSLATE(A26606,""en"",""pt"")"),"tinta é caro,")</f>
        <v>tinta é caro,</v>
      </c>
      <c r="B26606" s="3">
        <v>0</v>
      </c>
    </row>
    <row r="26607" ht="15.75" customHeight="1" spans="1:2">
      <c r="A26607" s="3" t="str">
        <f>IFERROR(__xludf.DUMMYFUNCTION("GOOGLETRANSLATE(A26607,""en"",""pt"")"),"nenhum ainda...")</f>
        <v>nenhum ainda...</v>
      </c>
      <c r="B26607" s="3">
        <v>0</v>
      </c>
    </row>
    <row r="26608" ht="15.75" customHeight="1" spans="1:2">
      <c r="A26608" s="3" t="str">
        <f>IFERROR(__xludf.DUMMYFUNCTION("GOOGLETRANSLATE(A26608,""en"",""pt"")"),"Ink caro, alto custo por página")</f>
        <v>Ink caro, alto custo por página</v>
      </c>
      <c r="B26608" s="3">
        <v>0</v>
      </c>
    </row>
    <row r="26609" ht="15.75" customHeight="1" spans="1:2">
      <c r="A26609" s="3" t="str">
        <f>IFERROR(__xludf.DUMMYFUNCTION("GOOGLETRANSLATE(A26609,""en"",""pt"")"),"tamanho, preço de tinta")</f>
        <v>tamanho, preço de tinta</v>
      </c>
      <c r="B26609" s="3">
        <v>0</v>
      </c>
    </row>
    <row r="26610" ht="15.75" customHeight="1" spans="1:2">
      <c r="A26610" s="3" t="str">
        <f>IFERROR(__xludf.DUMMYFUNCTION("GOOGLETRANSLATE(A26610,""en"",""pt"")"),"custo cartuchos de tinta")</f>
        <v>custo cartuchos de tinta</v>
      </c>
      <c r="B26610" s="3">
        <v>0</v>
      </c>
    </row>
    <row r="26611" ht="15.75" customHeight="1" spans="1:2">
      <c r="A26611" s="3" t="str">
        <f>IFERROR(__xludf.DUMMYFUNCTION("GOOGLETRANSLATE(A26611,""en"",""pt"")"),"custo tinta")</f>
        <v>custo tinta</v>
      </c>
      <c r="B26611" s="3">
        <v>0</v>
      </c>
    </row>
    <row r="26612" ht="15.75" customHeight="1" spans="1:2">
      <c r="A26612" s="3" t="str">
        <f>IFERROR(__xludf.DUMMYFUNCTION("GOOGLETRANSLATE(A26612,""en"",""pt"")"),"alto custo da tinta, mais lento do que anunciado.")</f>
        <v>alto custo da tinta, mais lento do que anunciado.</v>
      </c>
      <c r="B26612" s="3">
        <v>0</v>
      </c>
    </row>
    <row r="26613" ht="15.75" customHeight="1" spans="1:2">
      <c r="A26613" s="3" t="str">
        <f>IFERROR(__xludf.DUMMYFUNCTION("GOOGLETRANSLATE(A26613,""en"",""pt"")"),"Texto não é perfeito, a velocidade não é rápido")</f>
        <v>Texto não é perfeito, a velocidade não é rápido</v>
      </c>
      <c r="B26613" s="3">
        <v>0</v>
      </c>
    </row>
    <row r="26614" ht="15.75" customHeight="1" spans="1:2">
      <c r="A26614" s="3" t="str">
        <f>IFERROR(__xludf.DUMMYFUNCTION("GOOGLETRANSLATE(A26614,""en"",""pt"")"),"Como todas as impressoras jato de tinta, não haverá custo de tinta. O tempo dirá se é excessiva.")</f>
        <v>Como todas as impressoras jato de tinta, não haverá custo de tinta. O tempo dirá se é excessiva.</v>
      </c>
      <c r="B26614" s="3">
        <v>0</v>
      </c>
    </row>
    <row r="26615" ht="15.75" customHeight="1" spans="1:2">
      <c r="A26615" s="3" t="str">
        <f>IFERROR(__xludf.DUMMYFUNCTION("GOOGLETRANSLATE(A26615,""en"",""pt"")"),"Não é serio")</f>
        <v>Não é serio</v>
      </c>
      <c r="B26615" s="3">
        <v>0</v>
      </c>
    </row>
    <row r="26616" ht="15.75" customHeight="1" spans="1:2">
      <c r="A26616" s="3" t="str">
        <f>IFERROR(__xludf.DUMMYFUNCTION("GOOGLETRANSLATE(A26616,""en"",""pt"")"),"Muito, muito lento")</f>
        <v>Muito, muito lento</v>
      </c>
      <c r="B26616" s="3">
        <v>0</v>
      </c>
    </row>
    <row r="26617" ht="15.75" customHeight="1" spans="1:2">
      <c r="A26617" s="3" t="str">
        <f>IFERROR(__xludf.DUMMYFUNCTION("GOOGLETRANSLATE(A26617,""en"",""pt"")"),"nada até agora")</f>
        <v>nada até agora</v>
      </c>
      <c r="B26617" s="3">
        <v>0</v>
      </c>
    </row>
    <row r="26618" ht="15.75" customHeight="1" spans="1:2">
      <c r="A26618" s="3" t="str">
        <f>IFERROR(__xludf.DUMMYFUNCTION("GOOGLETRANSLATE(A26618,""en"",""pt"")"),"confiabilidade, desempenho")</f>
        <v>confiabilidade, desempenho</v>
      </c>
      <c r="B26618" s="3">
        <v>0</v>
      </c>
    </row>
    <row r="26619" ht="15.75" customHeight="1" spans="1:2">
      <c r="A26619" s="3" t="str">
        <f>IFERROR(__xludf.DUMMYFUNCTION("GOOGLETRANSLATE(A26619,""en"",""pt"")"),"Um pouco caro para pequenos orçamentos, caso contrário, há contras.")</f>
        <v>Um pouco caro para pequenos orçamentos, caso contrário, há contras.</v>
      </c>
      <c r="B26619" s="3">
        <v>0</v>
      </c>
    </row>
    <row r="26620" ht="15.75" customHeight="1" spans="1:2">
      <c r="A26620" s="3" t="str">
        <f>IFERROR(__xludf.DUMMYFUNCTION("GOOGLETRANSLATE(A26620,""en"",""pt"")"),"sem visualização de impressão embutido na qualidade de condutor / impressão deteriora-se significativamente ao longo do tempo")</f>
        <v>sem visualização de impressão embutido na qualidade de condutor / impressão deteriora-se significativamente ao longo do tempo</v>
      </c>
      <c r="B26620" s="3">
        <v>0</v>
      </c>
    </row>
    <row r="26621" ht="15.75" customHeight="1" spans="1:2">
      <c r="A26621" s="3" t="str">
        <f>IFERROR(__xludf.DUMMYFUNCTION("GOOGLETRANSLATE(A26621,""en"",""pt"")"),"difícil de instalar, suporte pobre tecnologia")</f>
        <v>difícil de instalar, suporte pobre tecnologia</v>
      </c>
      <c r="B26621" s="3">
        <v>0</v>
      </c>
    </row>
    <row r="26622" ht="15.75" customHeight="1" spans="1:2">
      <c r="A26622" s="3" t="str">
        <f>IFERROR(__xludf.DUMMYFUNCTION("GOOGLETRANSLATE(A26622,""en"",""pt"")"),"tamanho grande")</f>
        <v>tamanho grande</v>
      </c>
      <c r="B26622" s="3">
        <v>0</v>
      </c>
    </row>
    <row r="26623" ht="15.75" customHeight="1" spans="1:2">
      <c r="A26623" s="3" t="str">
        <f>IFERROR(__xludf.DUMMYFUNCTION("GOOGLETRANSLATE(A26623,""en"",""pt"")"),"Quase rápido demais. alimenta ocasionalmente errado papel.")</f>
        <v>Quase rápido demais. alimenta ocasionalmente errado papel.</v>
      </c>
      <c r="B26623" s="3">
        <v>0</v>
      </c>
    </row>
    <row r="26624" ht="15.75" customHeight="1" spans="1:2">
      <c r="A26624" s="3" t="str">
        <f>IFERROR(__xludf.DUMMYFUNCTION("GOOGLETRANSLATE(A26624,""en"",""pt"")"),"Treme um pouco quando impressão")</f>
        <v>Treme um pouco quando impressão</v>
      </c>
      <c r="B26624" s="3">
        <v>0</v>
      </c>
    </row>
    <row r="26625" ht="15.75" customHeight="1" spans="1:2">
      <c r="A26625" s="3" t="str">
        <f>IFERROR(__xludf.DUMMYFUNCTION("GOOGLETRANSLATE(A26625,""en"",""pt"")"),"suporte USB pobre, alto custo de tinta, má qualidade de construção")</f>
        <v>suporte USB pobre, alto custo de tinta, má qualidade de construção</v>
      </c>
      <c r="B26625" s="3">
        <v>0</v>
      </c>
    </row>
    <row r="26626" ht="15.75" customHeight="1" spans="1:2">
      <c r="A26626" s="3" t="str">
        <f>IFERROR(__xludf.DUMMYFUNCTION("GOOGLETRANSLATE(A26626,""en"",""pt"")"),"sistema de dois Cartucho faz cor comprar cartuchos caros")</f>
        <v>sistema de dois Cartucho faz cor comprar cartuchos caros</v>
      </c>
      <c r="B26626" s="3">
        <v>0</v>
      </c>
    </row>
    <row r="26627" ht="15.75" customHeight="1" spans="1:2">
      <c r="A26627" s="3" t="str">
        <f>IFERROR(__xludf.DUMMYFUNCTION("GOOGLETRANSLATE(A26627,""en"",""pt"")"),"impressão lenta de cor, tinta caro, saída estranho ocasionalmente.")</f>
        <v>impressão lenta de cor, tinta caro, saída estranho ocasionalmente.</v>
      </c>
      <c r="B26627" s="3">
        <v>0</v>
      </c>
    </row>
    <row r="26628" ht="15.75" customHeight="1" spans="1:2">
      <c r="A26628" s="3" t="str">
        <f>IFERROR(__xludf.DUMMYFUNCTION("GOOGLETRANSLATE(A26628,""en"",""pt"")"),"Um pouco volumoso; &amp; amp; # 13; &amp; amp; # 10; de impressora Lexmark cartuchos de tinta são caros")</f>
        <v>Um pouco volumoso; &amp; amp; # 13; &amp; amp; # 10; de impressora Lexmark cartuchos de tinta são caros</v>
      </c>
      <c r="B26628" s="3">
        <v>0</v>
      </c>
    </row>
    <row r="26629" ht="15.75" customHeight="1" spans="1:2">
      <c r="A26629" s="3" t="str">
        <f>IFERROR(__xludf.DUMMYFUNCTION("GOOGLETRANSLATE(A26629,""en"",""pt"")"),"suporte técnico terrível; apreciação do cliente pobre.")</f>
        <v>suporte técnico terrível; apreciação do cliente pobre.</v>
      </c>
      <c r="B26629" s="3">
        <v>0</v>
      </c>
    </row>
    <row r="26630" ht="15.75" customHeight="1" spans="1:2">
      <c r="A26630" s="3" t="str">
        <f>IFERROR(__xludf.DUMMYFUNCTION("GOOGLETRANSLATE(A26630,""en"",""pt"")"),"Moderadamente grande para impressora jato de tinta")</f>
        <v>Moderadamente grande para impressora jato de tinta</v>
      </c>
      <c r="B26630" s="3">
        <v>0</v>
      </c>
    </row>
    <row r="26631" ht="15.75" customHeight="1" spans="1:2">
      <c r="A26631" s="3" t="str">
        <f>IFERROR(__xludf.DUMMYFUNCTION("GOOGLETRANSLATE(A26631,""en"",""pt"")"),"Nenhum")</f>
        <v>Nenhum</v>
      </c>
      <c r="B26631" s="3">
        <v>0</v>
      </c>
    </row>
    <row r="26632" ht="15.75" customHeight="1" spans="1:2">
      <c r="A26632" s="3" t="str">
        <f>IFERROR(__xludf.DUMMYFUNCTION("GOOGLETRANSLATE(A26632,""en"",""pt"")"),"Às vezes as impressões Sideways")</f>
        <v>Às vezes as impressões Sideways</v>
      </c>
      <c r="B26632" s="3">
        <v>0</v>
      </c>
    </row>
    <row r="26633" ht="15.75" customHeight="1" spans="1:2">
      <c r="A26633" s="3" t="str">
        <f>IFERROR(__xludf.DUMMYFUNCTION("GOOGLETRANSLATE(A26633,""en"",""pt"")"),"caro tinta. impressões de baixa qualidade em papel barato")</f>
        <v>caro tinta. impressões de baixa qualidade em papel barato</v>
      </c>
      <c r="B26633" s="3">
        <v>0</v>
      </c>
    </row>
    <row r="26634" ht="15.75" customHeight="1" spans="1:2">
      <c r="A26634" s="3" t="str">
        <f>IFERROR(__xludf.DUMMYFUNCTION("GOOGLETRANSLATE(A26634,""en"",""pt"")"),"Barulhento por vezes e literalmente vomita o papel para fora. Surpreende algumas pessoas.")</f>
        <v>Barulhento por vezes e literalmente vomita o papel para fora. Surpreende algumas pessoas.</v>
      </c>
      <c r="B26634" s="3">
        <v>0</v>
      </c>
    </row>
    <row r="26635" ht="15.75" customHeight="1" spans="1:2">
      <c r="A26635" s="3" t="str">
        <f>IFERROR(__xludf.DUMMYFUNCTION("GOOGLETRANSLATE(A26635,""en"",""pt"")"),"precisa bandeja de papel maior e melhor motorista para definir seus próprios padrões")</f>
        <v>precisa bandeja de papel maior e melhor motorista para definir seus próprios padrões</v>
      </c>
      <c r="B26635" s="3">
        <v>0</v>
      </c>
    </row>
    <row r="26636" ht="15.75" customHeight="1" spans="1:2">
      <c r="A26636" s="3" t="str">
        <f>IFERROR(__xludf.DUMMYFUNCTION("GOOGLETRANSLATE(A26636,""en"",""pt"")"),"Ink (custo) não é um fã")</f>
        <v>Ink (custo) não é um fã</v>
      </c>
      <c r="B26636" s="3">
        <v>0</v>
      </c>
    </row>
    <row r="26637" ht="15.75" customHeight="1" spans="1:2">
      <c r="A26637" s="3" t="str">
        <f>IFERROR(__xludf.DUMMYFUNCTION("GOOGLETRANSLATE(A26637,""en"",""pt"")"),"Grande cópia do pé. Qualidade (não-output) questões.")</f>
        <v>Grande cópia do pé. Qualidade (não-output) questões.</v>
      </c>
      <c r="B26637" s="3">
        <v>0</v>
      </c>
    </row>
    <row r="26638" ht="15.75" customHeight="1" spans="1:2">
      <c r="A26638" s="3" t="str">
        <f>IFERROR(__xludf.DUMMYFUNCTION("GOOGLETRANSLATE(A26638,""en"",""pt"")"),"nenhum cabo usb na caixa")</f>
        <v>nenhum cabo usb na caixa</v>
      </c>
      <c r="B26638" s="3">
        <v>0</v>
      </c>
    </row>
    <row r="26639" ht="15.75" customHeight="1" spans="1:2">
      <c r="A26639" s="3" t="str">
        <f>IFERROR(__xludf.DUMMYFUNCTION("GOOGLETRANSLATE(A26639,""en"",""pt"")"),"Impressão de fotografias de qualidade era baixa, motorista congelou o computador")</f>
        <v>Impressão de fotografias de qualidade era baixa, motorista congelou o computador</v>
      </c>
      <c r="B26639" s="3">
        <v>0</v>
      </c>
    </row>
    <row r="26640" ht="15.75" customHeight="1" spans="1:2">
      <c r="A26640" s="3" t="str">
        <f>IFERROR(__xludf.DUMMYFUNCTION("GOOGLETRANSLATE(A26640,""en"",""pt"")"),"alimentador de papel barulhento.")</f>
        <v>alimentador de papel barulhento.</v>
      </c>
      <c r="B26640" s="3">
        <v>0</v>
      </c>
    </row>
    <row r="26641" ht="15.75" customHeight="1" spans="1:2">
      <c r="A26641" s="3" t="str">
        <f>IFERROR(__xludf.DUMMYFUNCTION("GOOGLETRANSLATE(A26641,""en"",""pt"")"),"Printer é maior, então a maioria dos jatos de tinta. Alto preço de substituição de tinta carroças.")</f>
        <v>Printer é maior, então a maioria dos jatos de tinta. Alto preço de substituição de tinta carroças.</v>
      </c>
      <c r="B26641" s="3">
        <v>0</v>
      </c>
    </row>
    <row r="26642" ht="15.75" customHeight="1" spans="1:2">
      <c r="A26642" s="3" t="str">
        <f>IFERROR(__xludf.DUMMYFUNCTION("GOOGLETRANSLATE(A26642,""en"",""pt"")"),"Pouco sobre o lado alto e shakes um pouco mais do que a impressora I substituído.")</f>
        <v>Pouco sobre o lado alto e shakes um pouco mais do que a impressora I substituído.</v>
      </c>
      <c r="B26642" s="3">
        <v>0</v>
      </c>
    </row>
    <row r="26643" ht="15.75" customHeight="1" spans="1:2">
      <c r="A26643" s="3" t="str">
        <f>IFERROR(__xludf.DUMMYFUNCTION("GOOGLETRANSLATE(A26643,""en"",""pt"")"),"Nenhum cabo USB incluído, cartucho de cor única")</f>
        <v>Nenhum cabo USB incluído, cartucho de cor única</v>
      </c>
      <c r="B26643" s="3">
        <v>0</v>
      </c>
    </row>
    <row r="26644" ht="15.75" customHeight="1" spans="1:2">
      <c r="A26644" s="3" t="str">
        <f>IFERROR(__xludf.DUMMYFUNCTION("GOOGLETRANSLATE(A26644,""en"",""pt"")"),"Pequeno porto de papel, muito movimento kinda adornos!")</f>
        <v>Pequeno porto de papel, muito movimento kinda adornos!</v>
      </c>
      <c r="B26644" s="3">
        <v>0</v>
      </c>
    </row>
    <row r="26645" ht="15.75" customHeight="1" spans="1:2">
      <c r="A26645" s="3" t="str">
        <f>IFERROR(__xludf.DUMMYFUNCTION("GOOGLETRANSLATE(A26645,""en"",""pt"")"),"Algumas questões menores driver no Windows XP e cartuchos caros.")</f>
        <v>Algumas questões menores driver no Windows XP e cartuchos caros.</v>
      </c>
      <c r="B26645" s="3">
        <v>0</v>
      </c>
    </row>
    <row r="26646" ht="15.75" customHeight="1" spans="1:2">
      <c r="A26646" s="3" t="str">
        <f>IFERROR(__xludf.DUMMYFUNCTION("GOOGLETRANSLATE(A26646,""en"",""pt"")"),"papel nem sempre alimentado adequadamente")</f>
        <v>papel nem sempre alimentado adequadamente</v>
      </c>
      <c r="B26646" s="3">
        <v>0</v>
      </c>
    </row>
    <row r="26647" ht="15.75" customHeight="1" spans="1:2">
      <c r="A26647" s="3" t="str">
        <f>IFERROR(__xludf.DUMMYFUNCTION("GOOGLETRANSLATE(A26647,""en"",""pt"")"),"sua maior em espaço necessário")</f>
        <v>sua maior em espaço necessário</v>
      </c>
      <c r="B26647" s="3">
        <v>0</v>
      </c>
    </row>
    <row r="26648" ht="15.75" customHeight="1" spans="1:2">
      <c r="A26648" s="3" t="str">
        <f>IFERROR(__xludf.DUMMYFUNCTION("GOOGLETRANSLATE(A26648,""en"",""pt"")"),"motoristas de buggy (?), recarga de cartuchos caros barulhento.")</f>
        <v>motoristas de buggy (?), recarga de cartuchos caros barulhento.</v>
      </c>
      <c r="B26648" s="3">
        <v>0</v>
      </c>
    </row>
    <row r="26649" ht="15.75" customHeight="1" spans="1:2">
      <c r="A26649" s="3" t="str">
        <f>IFERROR(__xludf.DUMMYFUNCTION("GOOGLETRANSLATE(A26649,""en"",""pt"")"),"superfaturada, barulhento custo, outragous de cartriges substituição")</f>
        <v>superfaturada, barulhento custo, outragous de cartriges substituição</v>
      </c>
      <c r="B26649" s="3">
        <v>0</v>
      </c>
    </row>
    <row r="26650" ht="15.75" customHeight="1" spans="1:2">
      <c r="A26650" s="3" t="str">
        <f>IFERROR(__xludf.DUMMYFUNCTION("GOOGLETRANSLATE(A26650,""en"",""pt"")"),"Custo da tinta, Peso")</f>
        <v>Custo da tinta, Peso</v>
      </c>
      <c r="B26650" s="3">
        <v>0</v>
      </c>
    </row>
    <row r="26651" ht="15.75" customHeight="1" spans="1:2">
      <c r="A26651" s="3" t="str">
        <f>IFERROR(__xludf.DUMMYFUNCTION("GOOGLETRANSLATE(A26651,""en"",""pt"")"),"alimentação de papel não é uma bandeja")</f>
        <v>alimentação de papel não é uma bandeja</v>
      </c>
      <c r="B26651" s="3">
        <v>0</v>
      </c>
    </row>
    <row r="26652" ht="15.75" customHeight="1" spans="1:2">
      <c r="A26652" s="3" t="str">
        <f>IFERROR(__xludf.DUMMYFUNCTION("GOOGLETRANSLATE(A26652,""en"",""pt"")"),"É lento")</f>
        <v>É lento</v>
      </c>
      <c r="B26652" s="3">
        <v>0</v>
      </c>
    </row>
    <row r="26653" ht="15.75" customHeight="1" spans="1:2">
      <c r="A26653" s="3" t="str">
        <f>IFERROR(__xludf.DUMMYFUNCTION("GOOGLETRANSLATE(A26653,""en"",""pt"")"),"Nenhum cabo USB fornecido; ligeiramente volumoso")</f>
        <v>Nenhum cabo USB fornecido; ligeiramente volumoso</v>
      </c>
      <c r="B26653" s="3">
        <v>0</v>
      </c>
    </row>
    <row r="26654" ht="15.75" customHeight="1" spans="1:2">
      <c r="A26654" s="3" t="str">
        <f>IFERROR(__xludf.DUMMYFUNCTION("GOOGLETRANSLATE(A26654,""en"",""pt"")"),", grande, cartuchos caros lentas")</f>
        <v>, grande, cartuchos caros lentas</v>
      </c>
      <c r="B26654" s="3">
        <v>0</v>
      </c>
    </row>
    <row r="26655" ht="15.75" customHeight="1" spans="1:2">
      <c r="A26655" s="3" t="str">
        <f>IFERROR(__xludf.DUMMYFUNCTION("GOOGLETRANSLATE(A26655,""en"",""pt"")"),"Texto decepcionante, elevado consumo de tinta")</f>
        <v>Texto decepcionante, elevado consumo de tinta</v>
      </c>
      <c r="B26655" s="3">
        <v>0</v>
      </c>
    </row>
    <row r="26656" ht="15.75" customHeight="1" spans="1:2">
      <c r="A26656" s="3" t="str">
        <f>IFERROR(__xludf.DUMMYFUNCTION("GOOGLETRANSLATE(A26656,""en"",""pt"")"),"Lento, cartuchos de tinta caros, e atolamentos de papel ruins.")</f>
        <v>Lento, cartuchos de tinta caros, e atolamentos de papel ruins.</v>
      </c>
      <c r="B26656" s="3">
        <v>0</v>
      </c>
    </row>
    <row r="26657" ht="15.75" customHeight="1" spans="1:2">
      <c r="A26657" s="3" t="str">
        <f>IFERROR(__xludf.DUMMYFUNCTION("GOOGLETRANSLATE(A26657,""en"",""pt"")"),"Volumoso, bandeja de papel é muito curto, barulhento durante algumas tarefas")</f>
        <v>Volumoso, bandeja de papel é muito curto, barulhento durante algumas tarefas</v>
      </c>
      <c r="B26657" s="3">
        <v>0</v>
      </c>
    </row>
    <row r="26658" ht="15.75" customHeight="1" spans="1:2">
      <c r="A26658" s="3" t="str">
        <f>IFERROR(__xludf.DUMMYFUNCTION("GOOGLETRANSLATE(A26658,""en"",""pt"")"),"Ligeiramente volumoso; nenhum cabo USB")</f>
        <v>Ligeiramente volumoso; nenhum cabo USB</v>
      </c>
      <c r="B26658" s="3">
        <v>0</v>
      </c>
    </row>
    <row r="26659" ht="15.75" customHeight="1" spans="1:2">
      <c r="A26659" s="3" t="str">
        <f>IFERROR(__xludf.DUMMYFUNCTION("GOOGLETRANSLATE(A26659,""en"",""pt"")"),"papel pode ter problemas para manter-se")</f>
        <v>papel pode ter problemas para manter-se</v>
      </c>
      <c r="B26659" s="3">
        <v>0</v>
      </c>
    </row>
    <row r="26660" ht="15.75" customHeight="1" spans="1:2">
      <c r="A26660" s="3" t="str">
        <f>IFERROR(__xludf.DUMMYFUNCTION("GOOGLETRANSLATE(A26660,""en"",""pt"")"),"Quebra rápido, design volumosos desinteressante, barulhento")</f>
        <v>Quebra rápido, design volumosos desinteressante, barulhento</v>
      </c>
      <c r="B26660" s="3">
        <v>0</v>
      </c>
    </row>
    <row r="26661" ht="15.75" customHeight="1" spans="1:2">
      <c r="A26661" s="3" t="str">
        <f>IFERROR(__xludf.DUMMYFUNCTION("GOOGLETRANSLATE(A26661,""en"",""pt"")"),"Pobre foto &amp; amp; plain qualidade de texto de papel, alto custo por página (um problema consistente com Lexmarks).")</f>
        <v>Pobre foto &amp; amp; plain qualidade de texto de papel, alto custo por página (um problema consistente com Lexmarks).</v>
      </c>
      <c r="B26661" s="3">
        <v>0</v>
      </c>
    </row>
    <row r="26662" ht="15.75" customHeight="1" spans="1:2">
      <c r="A26662" s="3" t="str">
        <f>IFERROR(__xludf.DUMMYFUNCTION("GOOGLETRANSLATE(A26662,""en"",""pt"")"),"manuseio de papel")</f>
        <v>manuseio de papel</v>
      </c>
      <c r="B26662" s="3">
        <v>0</v>
      </c>
    </row>
    <row r="26663" ht="15.75" customHeight="1" spans="1:2">
      <c r="A26663" s="3" t="str">
        <f>IFERROR(__xludf.DUMMYFUNCTION("GOOGLETRANSLATE(A26663,""en"",""pt"")"),"pouco grande, e alimentação de papel alto")</f>
        <v>pouco grande, e alimentação de papel alto</v>
      </c>
      <c r="B26663" s="3">
        <v>0</v>
      </c>
    </row>
    <row r="26664" ht="15.75" customHeight="1" spans="1:2">
      <c r="A26664" s="3" t="str">
        <f>IFERROR(__xludf.DUMMYFUNCTION("GOOGLETRANSLATE(A26664,""en"",""pt"")"),"a qualidade do texto geral foi abaixo do padrão.")</f>
        <v>a qualidade do texto geral foi abaixo do padrão.</v>
      </c>
      <c r="B26664" s="3">
        <v>0</v>
      </c>
    </row>
    <row r="26665" ht="15.75" customHeight="1" spans="1:2">
      <c r="A26665" s="3" t="str">
        <f>IFERROR(__xludf.DUMMYFUNCTION("GOOGLETRANSLATE(A26665,""en"",""pt"")"),"A qualidade da foto mais pobre do que Epson C82.")</f>
        <v>A qualidade da foto mais pobre do que Epson C82.</v>
      </c>
      <c r="B26665" s="3">
        <v>0</v>
      </c>
    </row>
    <row r="26666" ht="15.75" customHeight="1" spans="1:2">
      <c r="A26666" s="3" t="str">
        <f>IFERROR(__xludf.DUMMYFUNCTION("GOOGLETRANSLATE(A26666,""en"",""pt"")"),"barulhento, pobres fotos de qualidade.")</f>
        <v>barulhento, pobres fotos de qualidade.</v>
      </c>
      <c r="B26666" s="3">
        <v>0</v>
      </c>
    </row>
    <row r="26667" ht="15.75" customHeight="1" spans="1:2">
      <c r="A26667" s="3" t="str">
        <f>IFERROR(__xludf.DUMMYFUNCTION("GOOGLETRANSLATE(A26667,""en"",""pt"")"),"Custo de cartuchos de tinta.")</f>
        <v>Custo de cartuchos de tinta.</v>
      </c>
      <c r="B26667" s="3">
        <v>0</v>
      </c>
    </row>
    <row r="26668" ht="15.75" customHeight="1" spans="1:2">
      <c r="A26668" s="3" t="str">
        <f>IFERROR(__xludf.DUMMYFUNCTION("GOOGLETRANSLATE(A26668,""en"",""pt"")"),"Ink é caro. cartucho colorido combinado ... quando uma cor está fora, todos eles são.")</f>
        <v>Ink é caro. cartucho colorido combinado ... quando uma cor está fora, todos eles são.</v>
      </c>
      <c r="B26668" s="3">
        <v>0</v>
      </c>
    </row>
    <row r="26669" ht="15.75" customHeight="1" spans="1:2">
      <c r="A26669" s="3" t="str">
        <f>IFERROR(__xludf.DUMMYFUNCTION("GOOGLETRANSLATE(A26669,""en"",""pt"")"),"Alto custo por página, velocidade de impressão lenta, alimentação de papel não confiável, software de má qualidade, hardware ruim")</f>
        <v>Alto custo por página, velocidade de impressão lenta, alimentação de papel não confiável, software de má qualidade, hardware ruim</v>
      </c>
      <c r="B26669" s="3">
        <v>0</v>
      </c>
    </row>
    <row r="26670" ht="15.75" customHeight="1" spans="1:2">
      <c r="A26670" s="3" t="str">
        <f>IFERROR(__xludf.DUMMYFUNCTION("GOOGLETRANSLATE(A26670,""en"",""pt"")"),"carregamento de papel barulhento e tamanho volumoso")</f>
        <v>carregamento de papel barulhento e tamanho volumoso</v>
      </c>
      <c r="B26670" s="3">
        <v>0</v>
      </c>
    </row>
    <row r="26671" ht="15.75" customHeight="1" spans="1:2">
      <c r="A26671" s="3" t="str">
        <f>IFERROR(__xludf.DUMMYFUNCTION("GOOGLETRANSLATE(A26671,""en"",""pt"")"),"ruído de alimentação de papel Loud. papel de qualidade deve ser utilizado.")</f>
        <v>ruído de alimentação de papel Loud. papel de qualidade deve ser utilizado.</v>
      </c>
      <c r="B26671" s="3">
        <v>0</v>
      </c>
    </row>
    <row r="26672" ht="15.75" customHeight="1" spans="1:2">
      <c r="A26672" s="3" t="str">
        <f>IFERROR(__xludf.DUMMYFUNCTION("GOOGLETRANSLATE(A26672,""en"",""pt"")"),"Os cartuchos de toner são um pouco caro.")</f>
        <v>Os cartuchos de toner são um pouco caro.</v>
      </c>
      <c r="B26672" s="3">
        <v>0</v>
      </c>
    </row>
    <row r="26673" ht="15.75" customHeight="1" spans="1:2">
      <c r="A26673" s="3" t="str">
        <f>IFERROR(__xludf.DUMMYFUNCTION("GOOGLETRANSLATE(A26673,""en"",""pt"")"),"cartuchos caros de toner e custo por página, qualidade da foto decente.")</f>
        <v>cartuchos caros de toner e custo por página, qualidade da foto decente.</v>
      </c>
      <c r="B26673" s="3">
        <v>0</v>
      </c>
    </row>
    <row r="26674" ht="15.75" customHeight="1" spans="1:2">
      <c r="A26674" s="3" t="str">
        <f>IFERROR(__xludf.DUMMYFUNCTION("GOOGLETRANSLATE(A26674,""en"",""pt"")"),"Memória 2Mb, ""pequena"" cache papel (~ 100 folhas)")</f>
        <v>Memória 2Mb, "pequena" cache papel (~ 100 folhas)</v>
      </c>
      <c r="B26674" s="3">
        <v>0</v>
      </c>
    </row>
    <row r="26675" ht="15.75" customHeight="1" spans="1:2">
      <c r="A26675" s="3" t="str">
        <f>IFERROR(__xludf.DUMMYFUNCTION("GOOGLETRANSLATE(A26675,""en"",""pt"")"),"toners caros")</f>
        <v>toners caros</v>
      </c>
      <c r="B26675" s="3">
        <v>0</v>
      </c>
    </row>
    <row r="26676" ht="15.75" customHeight="1" spans="1:2">
      <c r="A26676" s="3" t="str">
        <f>IFERROR(__xludf.DUMMYFUNCTION("GOOGLETRANSLATE(A26676,""en"",""pt"")"),"Sem cor, sem visor LCD apenas 3 luzes no painel")</f>
        <v>Sem cor, sem visor LCD apenas 3 luzes no painel</v>
      </c>
      <c r="B26676" s="3">
        <v>0</v>
      </c>
    </row>
    <row r="26677" ht="15.75" customHeight="1" spans="1:2">
      <c r="A26677" s="3" t="str">
        <f>IFERROR(__xludf.DUMMYFUNCTION("GOOGLETRANSLATE(A26677,""en"",""pt"")"),"Custo cartucho")</f>
        <v>Custo cartucho</v>
      </c>
      <c r="B26677" s="3">
        <v>0</v>
      </c>
    </row>
    <row r="26678" ht="15.75" customHeight="1" spans="1:2">
      <c r="A26678" s="3" t="str">
        <f>IFERROR(__xludf.DUMMYFUNCTION("GOOGLETRANSLATE(A26678,""en"",""pt"")"),"Não encontrei qualquer contras ainda :)")</f>
        <v>Não encontrei qualquer contras ainda :)</v>
      </c>
      <c r="B26678" s="3">
        <v>0</v>
      </c>
    </row>
    <row r="26679" ht="15.75" customHeight="1" spans="1:2">
      <c r="A26679" s="3" t="str">
        <f>IFERROR(__xludf.DUMMYFUNCTION("GOOGLETRANSLATE(A26679,""en"",""pt"")"),"Instalação do driver é esquisito")</f>
        <v>Instalação do driver é esquisito</v>
      </c>
      <c r="B26679" s="3">
        <v>0</v>
      </c>
    </row>
    <row r="26680" ht="15.75" customHeight="1" spans="1:2">
      <c r="A26680" s="3" t="str">
        <f>IFERROR(__xludf.DUMMYFUNCTION("GOOGLETRANSLATE(A26680,""en"",""pt"")"),"alimentador de papel, cartucho de impressão é caro")</f>
        <v>alimentador de papel, cartucho de impressão é caro</v>
      </c>
      <c r="B26680" s="3">
        <v>0</v>
      </c>
    </row>
    <row r="26681" ht="15.75" customHeight="1" spans="1:2">
      <c r="A26681" s="3" t="str">
        <f>IFERROR(__xludf.DUMMYFUNCTION("GOOGLETRANSLATE(A26681,""en"",""pt"")"),"alimentador de papel, cartucho de impressão é caro")</f>
        <v>alimentador de papel, cartucho de impressão é caro</v>
      </c>
      <c r="B26681" s="3">
        <v>0</v>
      </c>
    </row>
    <row r="26682" ht="15.75" customHeight="1" spans="1:2">
      <c r="A26682" s="3" t="str">
        <f>IFERROR(__xludf.DUMMYFUNCTION("GOOGLETRANSLATE(A26682,""en"",""pt"")"),"Talvez eu tenha um limão, mas o manuseio de papel é terrível!")</f>
        <v>Talvez eu tenha um limão, mas o manuseio de papel é terrível!</v>
      </c>
      <c r="B26682" s="3">
        <v>0</v>
      </c>
    </row>
    <row r="26683" ht="15.75" customHeight="1" spans="1:2">
      <c r="A26683" s="3" t="str">
        <f>IFERROR(__xludf.DUMMYFUNCTION("GOOGLETRANSLATE(A26683,""en"",""pt"")"),"Bad apoio, não imprimir em DOS ou Linux")</f>
        <v>Bad apoio, não imprimir em DOS ou Linux</v>
      </c>
      <c r="B26683" s="3">
        <v>0</v>
      </c>
    </row>
    <row r="26684" ht="15.75" customHeight="1" spans="1:2">
      <c r="A26684" s="3" t="str">
        <f>IFERROR(__xludf.DUMMYFUNCTION("GOOGLETRANSLATE(A26684,""en"",""pt"")"),"questão manuseio de papel ligeira")</f>
        <v>questão manuseio de papel ligeira</v>
      </c>
      <c r="B26684" s="3">
        <v>0</v>
      </c>
    </row>
    <row r="26685" ht="15.75" customHeight="1" spans="1:2">
      <c r="A26685" s="3" t="str">
        <f>IFERROR(__xludf.DUMMYFUNCTION("GOOGLETRANSLATE(A26685,""en"",""pt"")"),"Só vem com memória de 4MB.")</f>
        <v>Só vem com memória de 4MB.</v>
      </c>
      <c r="B26685" s="3">
        <v>0</v>
      </c>
    </row>
    <row r="26686" ht="15.75" customHeight="1" spans="1:2">
      <c r="A26686" s="3" t="str">
        <f>IFERROR(__xludf.DUMMYFUNCTION("GOOGLETRANSLATE(A26686,""en"",""pt"")"),"Quantidade de RAM")</f>
        <v>Quantidade de RAM</v>
      </c>
      <c r="B26686" s="3">
        <v>0</v>
      </c>
    </row>
    <row r="26687" ht="15.75" customHeight="1" spans="1:2">
      <c r="A26687" s="3" t="str">
        <f>IFERROR(__xludf.DUMMYFUNCTION("GOOGLETRANSLATE(A26687,""en"",""pt"")"),"Curva de aprendizado necessário para obter manuseio correto do papel.")</f>
        <v>Curva de aprendizado necessário para obter manuseio correto do papel.</v>
      </c>
      <c r="B26687" s="3">
        <v>0</v>
      </c>
    </row>
    <row r="26688" ht="15.75" customHeight="1" spans="1:2">
      <c r="A26688" s="3" t="str">
        <f>IFERROR(__xludf.DUMMYFUNCTION("GOOGLETRANSLATE(A26688,""en"",""pt"")"),"Nenhum nessa faixa de preço")</f>
        <v>Nenhum nessa faixa de preço</v>
      </c>
      <c r="B26688" s="3">
        <v>0</v>
      </c>
    </row>
    <row r="26689" ht="15.75" customHeight="1" spans="1:2">
      <c r="A26689" s="3" t="str">
        <f>IFERROR(__xludf.DUMMYFUNCTION("GOOGLETRANSLATE(A26689,""en"",""pt"")"),"custo do cartucho de toner")</f>
        <v>custo do cartucho de toner</v>
      </c>
      <c r="B26689" s="3">
        <v>0</v>
      </c>
    </row>
    <row r="26690" ht="15.75" customHeight="1" spans="1:2">
      <c r="A26690" s="3" t="str">
        <f>IFERROR(__xludf.DUMMYFUNCTION("GOOGLETRANSLATE(A26690,""en"",""pt"")"),"Um pouco alto / problema de papel puxando")</f>
        <v>Um pouco alto / problema de papel puxando</v>
      </c>
      <c r="B26690" s="3">
        <v>0</v>
      </c>
    </row>
    <row r="26691" ht="15.75" customHeight="1" spans="1:2">
      <c r="A26691" s="3" t="str">
        <f>IFERROR(__xludf.DUMMYFUNCTION("GOOGLETRANSLATE(A26691,""en"",""pt"")"),"embalagens enganadoras em cartucho de toner")</f>
        <v>embalagens enganadoras em cartucho de toner</v>
      </c>
      <c r="B26691" s="3">
        <v>0</v>
      </c>
    </row>
    <row r="26692" ht="15.75" customHeight="1" spans="1:2">
      <c r="A26692" s="3" t="str">
        <f>IFERROR(__xludf.DUMMYFUNCTION("GOOGLETRANSLATE(A26692,""en"",""pt"")"),"Prints parece muito leve, nenhum adaptador de rede")</f>
        <v>Prints parece muito leve, nenhum adaptador de rede</v>
      </c>
      <c r="B26692" s="3">
        <v>0</v>
      </c>
    </row>
    <row r="26693" ht="15.75" customHeight="1" spans="1:2">
      <c r="A26693" s="3" t="str">
        <f>IFERROR(__xludf.DUMMYFUNCTION("GOOGLETRANSLATE(A26693,""en"",""pt"")"),"toner caro, sentimento peças de plástico ligeiramente baratos, site de suporte de baixa tecnologia")</f>
        <v>toner caro, sentimento peças de plástico ligeiramente baratos, site de suporte de baixa tecnologia</v>
      </c>
      <c r="B26693" s="3">
        <v>0</v>
      </c>
    </row>
    <row r="26694" ht="15.75" customHeight="1" spans="1:2">
      <c r="A26694" s="3" t="str">
        <f>IFERROR(__xludf.DUMMYFUNCTION("GOOGLETRANSLATE(A26694,""en"",""pt"")"),"congelou software uma vez")</f>
        <v>congelou software uma vez</v>
      </c>
      <c r="B26694" s="3">
        <v>0</v>
      </c>
    </row>
    <row r="26695" ht="15.75" customHeight="1" spans="1:2">
      <c r="A26695" s="3" t="str">
        <f>IFERROR(__xludf.DUMMYFUNCTION("GOOGLETRANSLATE(A26695,""en"",""pt"")"),"Tudo!")</f>
        <v>Tudo!</v>
      </c>
      <c r="B26695" s="3">
        <v>0</v>
      </c>
    </row>
    <row r="26696" ht="15.75" customHeight="1" spans="1:2">
      <c r="A26696" s="3" t="str">
        <f>IFERROR(__xludf.DUMMYFUNCTION("GOOGLETRANSLATE(A26696,""en"",""pt"")"),"SELETIVAMENTE FAXES, muitos erros de recepção, SERVIÇO HORRÍVEL")</f>
        <v>SELETIVAMENTE FAXES, muitos erros de recepção, SERVIÇO HORRÍVEL</v>
      </c>
      <c r="B26696" s="3">
        <v>0</v>
      </c>
    </row>
    <row r="26697" ht="15.75" customHeight="1" spans="1:2">
      <c r="A26697" s="3" t="str">
        <f>IFERROR(__xludf.DUMMYFUNCTION("GOOGLETRANSLATE(A26697,""en"",""pt"")"),"Não tem o cartão digital eu teria gostado.")</f>
        <v>Não tem o cartão digital eu teria gostado.</v>
      </c>
      <c r="B26697" s="3">
        <v>0</v>
      </c>
    </row>
    <row r="26698" ht="15.75" customHeight="1" spans="1:2">
      <c r="A26698" s="3" t="str">
        <f>IFERROR(__xludf.DUMMYFUNCTION("GOOGLETRANSLATE(A26698,""en"",""pt"")"),"Não, nenhum botão on / off botão telefone / fax. fidelidade de cores pobre no modo de cópia.")</f>
        <v>Não, nenhum botão on / off botão telefone / fax. fidelidade de cores pobre no modo de cópia.</v>
      </c>
      <c r="B26698" s="3">
        <v>0</v>
      </c>
    </row>
    <row r="26699" ht="15.75" customHeight="1" spans="1:2">
      <c r="A26699" s="3" t="str">
        <f>IFERROR(__xludf.DUMMYFUNCTION("GOOGLETRANSLATE(A26699,""en"",""pt"")"),"Barulhento, mais lento do que a maioria, poderia ter melhor software")</f>
        <v>Barulhento, mais lento do que a maioria, poderia ter melhor software</v>
      </c>
      <c r="B26699" s="3">
        <v>0</v>
      </c>
    </row>
    <row r="26700" ht="15.75" customHeight="1" spans="1:2">
      <c r="A26700" s="3" t="str">
        <f>IFERROR(__xludf.DUMMYFUNCTION("GOOGLETRANSLATE(A26700,""en"",""pt"")"),"usa muita tinta, não é um scanner de mesa")</f>
        <v>usa muita tinta, não é um scanner de mesa</v>
      </c>
      <c r="B26700" s="3">
        <v>0</v>
      </c>
    </row>
    <row r="26701" ht="15.75" customHeight="1" spans="1:2">
      <c r="A26701" s="3" t="str">
        <f>IFERROR(__xludf.DUMMYFUNCTION("GOOGLETRANSLATE(A26701,""en"",""pt"")"),"problema Fax")</f>
        <v>problema Fax</v>
      </c>
      <c r="B26701" s="3">
        <v>0</v>
      </c>
    </row>
    <row r="26702" ht="15.75" customHeight="1" spans="1:2">
      <c r="A26702" s="3" t="str">
        <f>IFERROR(__xludf.DUMMYFUNCTION("GOOGLETRANSLATE(A26702,""en"",""pt"")"),"Suga cada pedaço de papel ao mesmo tempo, os motoristas Win2k ruins e apenas por toda é uma merda.")</f>
        <v>Suga cada pedaço de papel ao mesmo tempo, os motoristas Win2k ruins e apenas por toda é uma merda.</v>
      </c>
      <c r="B26702" s="3">
        <v>0</v>
      </c>
    </row>
    <row r="26703" ht="15.75" customHeight="1" spans="1:2">
      <c r="A26703" s="3" t="str">
        <f>IFERROR(__xludf.DUMMYFUNCTION("GOOGLETRANSLATE(A26703,""en"",""pt"")"),"Foi muito difícil de configurar. Ainda não tenham obtido o feito.")</f>
        <v>Foi muito difícil de configurar. Ainda não tenham obtido o feito.</v>
      </c>
      <c r="B26703" s="3">
        <v>0</v>
      </c>
    </row>
    <row r="26704" ht="15.75" customHeight="1" spans="1:2">
      <c r="A26704" s="3" t="str">
        <f>IFERROR(__xludf.DUMMYFUNCTION("GOOGLETRANSLATE(A26704,""en"",""pt"")"),"Senões cerca de 27% dos recursos de memória com os drivers diferentes que fica na memória residente.")</f>
        <v>Senões cerca de 27% dos recursos de memória com os drivers diferentes que fica na memória residente.</v>
      </c>
      <c r="B26704" s="3">
        <v>0</v>
      </c>
    </row>
    <row r="26705" ht="15.75" customHeight="1" spans="1:2">
      <c r="A26705" s="3" t="str">
        <f>IFERROR(__xludf.DUMMYFUNCTION("GOOGLETRANSLATE(A26705,""en"",""pt"")"),"Custo de cartuchos de reposição. Difícil e talvez impossível de rede.")</f>
        <v>Custo de cartuchos de reposição. Difícil e talvez impossível de rede.</v>
      </c>
      <c r="B26705" s="3">
        <v>0</v>
      </c>
    </row>
    <row r="26706" ht="15.75" customHeight="1" spans="1:2">
      <c r="A26706" s="3" t="str">
        <f>IFERROR(__xludf.DUMMYFUNCTION("GOOGLETRANSLATE(A26706,""en"",""pt"")"),"não um scanner de mesa")</f>
        <v>não um scanner de mesa</v>
      </c>
      <c r="B26706" s="3">
        <v>0</v>
      </c>
    </row>
    <row r="26707" ht="15.75" customHeight="1" spans="1:2">
      <c r="A26707" s="3" t="str">
        <f>IFERROR(__xludf.DUMMYFUNCTION("GOOGLETRANSLATE(A26707,""en"",""pt"")"),"suporte Lexmark é bastante pobre. manual de instruções vago sobre determinados temas.")</f>
        <v>suporte Lexmark é bastante pobre. manual de instruções vago sobre determinados temas.</v>
      </c>
      <c r="B26707" s="3">
        <v>0</v>
      </c>
    </row>
    <row r="26708" ht="15.75" customHeight="1" spans="1:2">
      <c r="A26708" s="3" t="str">
        <f>IFERROR(__xludf.DUMMYFUNCTION("GOOGLETRANSLATE(A26708,""en"",""pt"")"),"Os cartuchos de tinta são caros e difíceis de recarga.")</f>
        <v>Os cartuchos de tinta são caros e difíceis de recarga.</v>
      </c>
      <c r="B26708" s="3">
        <v>0</v>
      </c>
    </row>
    <row r="26709" ht="15.75" customHeight="1" spans="1:2">
      <c r="A26709" s="3" t="str">
        <f>IFERROR(__xludf.DUMMYFUNCTION("GOOGLETRANSLATE(A26709,""en"",""pt"")"),"Digitalização e qualidade da cópia são muito pobres. Não é possível digitalizar fotografias impressas em papel Kodak.")</f>
        <v>Digitalização e qualidade da cópia são muito pobres. Não é possível digitalizar fotografias impressas em papel Kodak.</v>
      </c>
      <c r="B26709" s="3">
        <v>0</v>
      </c>
    </row>
    <row r="26710" ht="15.75" customHeight="1" spans="1:2">
      <c r="A26710" s="3" t="str">
        <f>IFERROR(__xludf.DUMMYFUNCTION("GOOGLETRANSLATE(A26710,""en"",""pt"")"),"Incompatíveis w / XP laptops, problemas de tinta, má alimentação de papel, suporte pobres")</f>
        <v>Incompatíveis w / XP laptops, problemas de tinta, má alimentação de papel, suporte pobres</v>
      </c>
      <c r="B26710" s="3">
        <v>0</v>
      </c>
    </row>
    <row r="26711" ht="15.75" customHeight="1" spans="1:2">
      <c r="A26711" s="3" t="str">
        <f>IFERROR(__xludf.DUMMYFUNCTION("GOOGLETRANSLATE(A26711,""en"",""pt"")"),"papel sempre compotas, longo tempo de espera para iniciar a impressão")</f>
        <v>papel sempre compotas, longo tempo de espera para iniciar a impressão</v>
      </c>
      <c r="B26711" s="3">
        <v>0</v>
      </c>
    </row>
    <row r="26712" ht="15.75" customHeight="1" spans="1:2">
      <c r="A26712" s="3" t="str">
        <f>IFERROR(__xludf.DUMMYFUNCTION("GOOGLETRANSLATE(A26712,""en"",""pt"")"),"Às vezes puxa o papel em um pouco inclinada. problemas de configuração inicial")</f>
        <v>Às vezes puxa o papel em um pouco inclinada. problemas de configuração inicial</v>
      </c>
      <c r="B26712" s="3">
        <v>0</v>
      </c>
    </row>
    <row r="26713" ht="15.75" customHeight="1" spans="1:2">
      <c r="A26713" s="3" t="str">
        <f>IFERROR(__xludf.DUMMYFUNCTION("GOOGLETRANSLATE(A26713,""en"",""pt"")"),"Leva apenas 100 folhas de papel, papel encravado ocassional, mas nada frequente ou aquele mau.")</f>
        <v>Leva apenas 100 folhas de papel, papel encravado ocassional, mas nada frequente ou aquele mau.</v>
      </c>
      <c r="B26713" s="3">
        <v>0</v>
      </c>
    </row>
    <row r="26714" ht="15.75" customHeight="1" spans="1:2">
      <c r="A26714" s="3" t="str">
        <f>IFERROR(__xludf.DUMMYFUNCTION("GOOGLETRANSLATE(A26714,""en"",""pt"")"),"Qualidade")</f>
        <v>Qualidade</v>
      </c>
      <c r="B26714" s="3">
        <v>0</v>
      </c>
    </row>
    <row r="26715" ht="15.75" customHeight="1" spans="1:2">
      <c r="A26715" s="3" t="str">
        <f>IFERROR(__xludf.DUMMYFUNCTION("GOOGLETRANSLATE(A26715,""en"",""pt"")"),"falhas de driver no Windows XP, nenhum porta paralela, não funciona como rede de impressora compartilhada")</f>
        <v>falhas de driver no Windows XP, nenhum porta paralela, não funciona como rede de impressora compartilhada</v>
      </c>
      <c r="B26715" s="3">
        <v>0</v>
      </c>
    </row>
    <row r="26716" ht="15.75" customHeight="1" spans="1:2">
      <c r="A26716" s="3" t="str">
        <f>IFERROR(__xludf.DUMMYFUNCTION("GOOGLETRANSLATE(A26716,""en"",""pt"")"),"A impressora tem problemas com o cartucho de tinta para a direita.")</f>
        <v>A impressora tem problemas com o cartucho de tinta para a direita.</v>
      </c>
      <c r="B26716" s="3">
        <v>0</v>
      </c>
    </row>
    <row r="26717" ht="15.75" customHeight="1" spans="1:2">
      <c r="A26717" s="3" t="str">
        <f>IFERROR(__xludf.DUMMYFUNCTION("GOOGLETRANSLATE(A26717,""en"",""pt"")"),"Entrada de papel atola com freqüência, processo pendente")</f>
        <v>Entrada de papel atola com freqüência, processo pendente</v>
      </c>
      <c r="B26717" s="3">
        <v>0</v>
      </c>
    </row>
    <row r="26718" ht="15.75" customHeight="1" spans="1:2">
      <c r="A26718" s="3" t="str">
        <f>IFERROR(__xludf.DUMMYFUNCTION("GOOGLETRANSLATE(A26718,""en"",""pt"")"),"Grande, barulhento")</f>
        <v>Grande, barulhento</v>
      </c>
      <c r="B26718" s="3">
        <v>0</v>
      </c>
    </row>
    <row r="26719" ht="15.75" customHeight="1" spans="1:2">
      <c r="A26719" s="3" t="str">
        <f>IFERROR(__xludf.DUMMYFUNCTION("GOOGLETRANSLATE(A26719,""en"",""pt"")"),"A qualidade de impressão, velocidade, alimentação de papel")</f>
        <v>A qualidade de impressão, velocidade, alimentação de papel</v>
      </c>
      <c r="B26719" s="3">
        <v>0</v>
      </c>
    </row>
    <row r="26720" ht="15.75" customHeight="1" spans="1:2">
      <c r="A26720" s="3" t="str">
        <f>IFERROR(__xludf.DUMMYFUNCTION("GOOGLETRANSLATE(A26720,""en"",""pt"")"),"erros de comunicação numerosos, e quando digitalizar nunca verifica reta mesmo.")</f>
        <v>erros de comunicação numerosos, e quando digitalizar nunca verifica reta mesmo.</v>
      </c>
      <c r="B26720" s="3">
        <v>0</v>
      </c>
    </row>
    <row r="26721" ht="15.75" customHeight="1" spans="1:2">
      <c r="A26721" s="3" t="str">
        <f>IFERROR(__xludf.DUMMYFUNCTION("GOOGLETRANSLATE(A26721,""en"",""pt"")"),"Qualidade da digitalização não é bom para fotos.")</f>
        <v>Qualidade da digitalização não é bom para fotos.</v>
      </c>
      <c r="B26721" s="3">
        <v>0</v>
      </c>
    </row>
    <row r="26722" ht="15.75" customHeight="1" spans="1:2">
      <c r="A26722" s="3" t="str">
        <f>IFERROR(__xludf.DUMMYFUNCTION("GOOGLETRANSLATE(A26722,""en"",""pt"")"),"texto de página inteira (BXW ou cor) ou imprimir fotografias muito mais lento do que as especificações indicam.")</f>
        <v>texto de página inteira (BXW ou cor) ou imprimir fotografias muito mais lento do que as especificações indicam.</v>
      </c>
      <c r="B26722" s="3">
        <v>0</v>
      </c>
    </row>
    <row r="26723" ht="15.75" customHeight="1" spans="1:2">
      <c r="A26723" s="3" t="str">
        <f>IFERROR(__xludf.DUMMYFUNCTION("GOOGLETRANSLATE(A26723,""en"",""pt"")"),"a falta de suporte de rede")</f>
        <v>a falta de suporte de rede</v>
      </c>
      <c r="B26723" s="3">
        <v>0</v>
      </c>
    </row>
    <row r="26724" ht="15.75" customHeight="1" spans="1:2">
      <c r="A26724" s="3" t="str">
        <f>IFERROR(__xludf.DUMMYFUNCTION("GOOGLETRANSLATE(A26724,""en"",""pt"")"),"Cores digitalização, software de instalação, drivers de impressora.")</f>
        <v>Cores digitalização, software de instalação, drivers de impressora.</v>
      </c>
      <c r="B26724" s="3">
        <v>0</v>
      </c>
    </row>
    <row r="26725" ht="15.75" customHeight="1" spans="1:2">
      <c r="A26725" s="3" t="str">
        <f>IFERROR(__xludf.DUMMYFUNCTION("GOOGLETRANSLATE(A26725,""en"",""pt"")"),"não funciona com todos os cartões USB")</f>
        <v>não funciona com todos os cartões USB</v>
      </c>
      <c r="B26725" s="3">
        <v>0</v>
      </c>
    </row>
    <row r="26726" ht="15.75" customHeight="1" spans="1:2">
      <c r="A26726" s="3" t="str">
        <f>IFERROR(__xludf.DUMMYFUNCTION("GOOGLETRANSLATE(A26726,""en"",""pt"")"),"Má qualidade de impressão. Lento")</f>
        <v>Má qualidade de impressão. Lento</v>
      </c>
      <c r="B26726" s="3">
        <v>0</v>
      </c>
    </row>
    <row r="26727" ht="15.75" customHeight="1" spans="1:2">
      <c r="A26727" s="3" t="str">
        <f>IFERROR(__xludf.DUMMYFUNCTION("GOOGLETRANSLATE(A26727,""en"",""pt"")"),"os cartuchos de tinta cara. impressão a cores lento. alimentador de papel de alto. Não para uso de alto volume.")</f>
        <v>os cartuchos de tinta cara. impressão a cores lento. alimentador de papel de alto. Não para uso de alto volume.</v>
      </c>
      <c r="B26727" s="3">
        <v>0</v>
      </c>
    </row>
    <row r="26728" ht="15.75" customHeight="1" spans="1:2">
      <c r="A26728" s="3" t="str">
        <f>IFERROR(__xludf.DUMMYFUNCTION("GOOGLETRANSLATE(A26728,""en"",""pt"")"),"pode ter problemas")</f>
        <v>pode ter problemas</v>
      </c>
      <c r="B26728" s="3">
        <v>0</v>
      </c>
    </row>
    <row r="26729" ht="15.75" customHeight="1" spans="1:2">
      <c r="A26729" s="3" t="str">
        <f>IFERROR(__xludf.DUMMYFUNCTION("GOOGLETRANSLATE(A26729,""en"",""pt"")"),"Um pouco barulhento.")</f>
        <v>Um pouco barulhento.</v>
      </c>
      <c r="B26729" s="3">
        <v>0</v>
      </c>
    </row>
    <row r="26730" ht="15.75" customHeight="1" spans="1:2">
      <c r="A26730" s="3" t="str">
        <f>IFERROR(__xludf.DUMMYFUNCTION("GOOGLETRANSLATE(A26730,""en"",""pt"")"),"bastante grande")</f>
        <v>bastante grande</v>
      </c>
      <c r="B26730" s="3">
        <v>0</v>
      </c>
    </row>
    <row r="26731" ht="15.75" customHeight="1" spans="1:2">
      <c r="A26731" s="3" t="str">
        <f>IFERROR(__xludf.DUMMYFUNCTION("GOOGLETRANSLATE(A26731,""en"",""pt"")"),"Tem que ter computador para cópia.")</f>
        <v>Tem que ter computador para cópia.</v>
      </c>
      <c r="B26731" s="3">
        <v>0</v>
      </c>
    </row>
    <row r="26732" ht="15.75" customHeight="1" spans="1:2">
      <c r="A26732" s="3" t="str">
        <f>IFERROR(__xludf.DUMMYFUNCTION("GOOGLETRANSLATE(A26732,""en"",""pt"")"),"Sua impressão muito estressante, com muitas frustrações. Ir para Kinkos.")</f>
        <v>Sua impressão muito estressante, com muitas frustrações. Ir para Kinkos.</v>
      </c>
      <c r="B26732" s="3">
        <v>0</v>
      </c>
    </row>
    <row r="26733" ht="15.75" customHeight="1" spans="1:2">
      <c r="A26733" s="3" t="str">
        <f>IFERROR(__xludf.DUMMYFUNCTION("GOOGLETRANSLATE(A26733,""en"",""pt"")"),"conexão USB muitas vezes falha, o software é um devorador de memória.")</f>
        <v>conexão USB muitas vezes falha, o software é um devorador de memória.</v>
      </c>
      <c r="B26733" s="3">
        <v>0</v>
      </c>
    </row>
    <row r="26734" ht="15.75" customHeight="1" spans="1:2">
      <c r="A26734" s="3" t="str">
        <f>IFERROR(__xludf.DUMMYFUNCTION("GOOGLETRANSLATE(A26734,""en"",""pt"")"),"alto, a impressão a cores lento")</f>
        <v>alto, a impressão a cores lento</v>
      </c>
      <c r="B26734" s="3">
        <v>0</v>
      </c>
    </row>
    <row r="26735" ht="15.75" customHeight="1" spans="1:2">
      <c r="A26735" s="3" t="str">
        <f>IFERROR(__xludf.DUMMYFUNCTION("GOOGLETRANSLATE(A26735,""en"",""pt"")"),"Eu encontrei nada de errado com este item")</f>
        <v>Eu encontrei nada de errado com este item</v>
      </c>
      <c r="B26735" s="3">
        <v>0</v>
      </c>
    </row>
    <row r="26736" ht="15.75" customHeight="1" spans="1:2">
      <c r="A26736" s="3" t="str">
        <f>IFERROR(__xludf.DUMMYFUNCTION("GOOGLETRANSLATE(A26736,""en"",""pt"")"),"Um pouco barulhento, cartuchos caros, difíceis de digitalizar itens volumosos")</f>
        <v>Um pouco barulhento, cartuchos caros, difíceis de digitalizar itens volumosos</v>
      </c>
      <c r="B26736" s="3">
        <v>0</v>
      </c>
    </row>
    <row r="26737" ht="15.75" customHeight="1" spans="1:2">
      <c r="A26737" s="3" t="str">
        <f>IFERROR(__xludf.DUMMYFUNCTION("GOOGLETRANSLATE(A26737,""en"",""pt"")"),"não fax, cartuchos caros, depois de um ano, a impressora morreu")</f>
        <v>não fax, cartuchos caros, depois de um ano, a impressora morreu</v>
      </c>
      <c r="B26737" s="3">
        <v>0</v>
      </c>
    </row>
    <row r="26738" ht="15.75" customHeight="1" spans="1:2">
      <c r="A26738" s="3" t="str">
        <f>IFERROR(__xludf.DUMMYFUNCTION("GOOGLETRANSLATE(A26738,""en"",""pt"")"),"alto, quebrou facilmente")</f>
        <v>alto, quebrou facilmente</v>
      </c>
      <c r="B26738" s="3">
        <v>0</v>
      </c>
    </row>
    <row r="26739" ht="15.75" customHeight="1" spans="1:2">
      <c r="A26739" s="3" t="str">
        <f>IFERROR(__xludf.DUMMYFUNCTION("GOOGLETRANSLATE(A26739,""en"",""pt"")"),"Cor imprimindo um pouco lento")</f>
        <v>Cor imprimindo um pouco lento</v>
      </c>
      <c r="B26739" s="3">
        <v>0</v>
      </c>
    </row>
    <row r="26740" ht="15.75" customHeight="1" spans="1:2">
      <c r="A26740" s="3" t="str">
        <f>IFERROR(__xludf.DUMMYFUNCTION("GOOGLETRANSLATE(A26740,""en"",""pt"")"),"reinstala frequentes de software para falhas corretas, extremamente ruidosos durante as verificações alta resolução.")</f>
        <v>reinstala frequentes de software para falhas corretas, extremamente ruidosos durante as verificações alta resolução.</v>
      </c>
      <c r="B26740" s="3">
        <v>0</v>
      </c>
    </row>
    <row r="26741" ht="15.75" customHeight="1" spans="1:2">
      <c r="A26741" s="3" t="str">
        <f>IFERROR(__xludf.DUMMYFUNCTION("GOOGLETRANSLATE(A26741,""en"",""pt"")"),"Problemas de Software, Hardware Problemas, problemas de impressão, Horas gastas com o suporte técnico")</f>
        <v>Problemas de Software, Hardware Problemas, problemas de impressão, Horas gastas com o suporte técnico</v>
      </c>
      <c r="B26741" s="3">
        <v>0</v>
      </c>
    </row>
    <row r="26742" ht="15.75" customHeight="1" spans="1:2">
      <c r="A26742" s="3" t="str">
        <f>IFERROR(__xludf.DUMMYFUNCTION("GOOGLETRANSLATE(A26742,""en"",""pt"")"),"Nenhum que eu encontrei")</f>
        <v>Nenhum que eu encontrei</v>
      </c>
      <c r="B26742" s="3">
        <v>0</v>
      </c>
    </row>
    <row r="26743" ht="15.75" customHeight="1" spans="1:2">
      <c r="A26743" s="3" t="str">
        <f>IFERROR(__xludf.DUMMYFUNCTION("GOOGLETRANSLATE(A26743,""en"",""pt"")"),"não vai ficar instalado.")</f>
        <v>não vai ficar instalado.</v>
      </c>
      <c r="B26743" s="3">
        <v>0</v>
      </c>
    </row>
    <row r="26744" ht="15.75" customHeight="1" spans="1:2">
      <c r="A26744" s="3" t="str">
        <f>IFERROR(__xludf.DUMMYFUNCTION("GOOGLETRANSLATE(A26744,""en"",""pt"")"),"Cartuchos regulares podem custar tanto quanto a impressora, a qualidade de digitalização está faltando")</f>
        <v>Cartuchos regulares podem custar tanto quanto a impressora, a qualidade de digitalização está faltando</v>
      </c>
      <c r="B26744" s="3">
        <v>0</v>
      </c>
    </row>
    <row r="26745" ht="15.75" customHeight="1" spans="1:2">
      <c r="A26745" s="3" t="str">
        <f>IFERROR(__xludf.DUMMYFUNCTION("GOOGLETRANSLATE(A26745,""en"",""pt"")"),"""Erro na comunicação com a impressora"" - não funciona com o XP, Compaq &amp; amp; PCs Dell")</f>
        <v>"Erro na comunicação com a impressora" - não funciona com o XP, Compaq &amp; amp; PCs Dell</v>
      </c>
      <c r="B26745" s="3">
        <v>0</v>
      </c>
    </row>
    <row r="26746" ht="15.75" customHeight="1" spans="1:2">
      <c r="A26746" s="3" t="str">
        <f>IFERROR(__xludf.DUMMYFUNCTION("GOOGLETRANSLATE(A26746,""en"",""pt"")"),"Nenhum cabo USB incluído? Vamos lá!")</f>
        <v>Nenhum cabo USB incluído? Vamos lá!</v>
      </c>
      <c r="B26746" s="3">
        <v>0</v>
      </c>
    </row>
    <row r="26747" ht="15.75" customHeight="1" spans="1:2">
      <c r="A26747" s="3" t="str">
        <f>IFERROR(__xludf.DUMMYFUNCTION("GOOGLETRANSLATE(A26747,""en"",""pt"")"),"Tem que esperar para a tela de impressão antes de fazer qualquer outra coisa")</f>
        <v>Tem que esperar para a tela de impressão antes de fazer qualquer outra coisa</v>
      </c>
      <c r="B26747" s="3">
        <v>0</v>
      </c>
    </row>
    <row r="26748" ht="15.75" customHeight="1" spans="1:2">
      <c r="A26748" s="3" t="str">
        <f>IFERROR(__xludf.DUMMYFUNCTION("GOOGLETRANSLATE(A26748,""en"",""pt"")"),"scans pobres, a tinta acabar, preço da tinta em relação à nova impressora, somente para Windows")</f>
        <v>scans pobres, a tinta acabar, preço da tinta em relação à nova impressora, somente para Windows</v>
      </c>
      <c r="B26748" s="3">
        <v>0</v>
      </c>
    </row>
    <row r="26749" ht="15.75" customHeight="1" spans="1:2">
      <c r="A26749" s="3" t="str">
        <f>IFERROR(__xludf.DUMMYFUNCTION("GOOGLETRANSLATE(A26749,""en"",""pt"")"),"De atolamento de papel-ups e desalinhamentos; Não é possível imprimir (personalizado) tamanhos de folha fora do padrão; documentos Tobe digitalizada mustbe superflat onglasstop")</f>
        <v>De atolamento de papel-ups e desalinhamentos; Não é possível imprimir (personalizado) tamanhos de folha fora do padrão; documentos Tobe digitalizada mustbe superflat onglasstop</v>
      </c>
      <c r="B26749" s="3">
        <v>0</v>
      </c>
    </row>
    <row r="26750" ht="15.75" customHeight="1" spans="1:2">
      <c r="A26750" s="3" t="str">
        <f>IFERROR(__xludf.DUMMYFUNCTION("GOOGLETRANSLATE(A26750,""en"",""pt"")"),"volumoso, mas é esperado, já que é um scanner para")</f>
        <v>volumoso, mas é esperado, já que é um scanner para</v>
      </c>
      <c r="B26750" s="3">
        <v>0</v>
      </c>
    </row>
    <row r="26751" ht="15.75" customHeight="1" spans="1:2">
      <c r="A26751" s="3" t="str">
        <f>IFERROR(__xludf.DUMMYFUNCTION("GOOGLETRANSLATE(A26751,""en"",""pt"")"),"Muito lento quando outros programas estão em execução,")</f>
        <v>Muito lento quando outros programas estão em execução,</v>
      </c>
      <c r="B26751" s="3">
        <v>0</v>
      </c>
    </row>
    <row r="26752" ht="15.75" customHeight="1" spans="1:2">
      <c r="A26752" s="3" t="str">
        <f>IFERROR(__xludf.DUMMYFUNCTION("GOOGLETRANSLATE(A26752,""en"",""pt"")"),"Drivers glitchy, manuseio de papel Pobre")</f>
        <v>Drivers glitchy, manuseio de papel Pobre</v>
      </c>
      <c r="B26752" s="3">
        <v>0</v>
      </c>
    </row>
    <row r="26753" ht="15.75" customHeight="1" spans="1:2">
      <c r="A26753" s="3" t="str">
        <f>IFERROR(__xludf.DUMMYFUNCTION("GOOGLETRANSLATE(A26753,""en"",""pt"")"),"problemas de configuração, a velocidade de impressão medíocre.")</f>
        <v>problemas de configuração, a velocidade de impressão medíocre.</v>
      </c>
      <c r="B26753" s="3">
        <v>0</v>
      </c>
    </row>
    <row r="26754" ht="15.75" customHeight="1" spans="1:2">
      <c r="A26754" s="3" t="str">
        <f>IFERROR(__xludf.DUMMYFUNCTION("GOOGLETRANSLATE(A26754,""en"",""pt"")"),"encravamentos de papel. software de interface muito, muito lento. Nenhum cabo USB fornecido.")</f>
        <v>encravamentos de papel. software de interface muito, muito lento. Nenhum cabo USB fornecido.</v>
      </c>
      <c r="B26754" s="3">
        <v>0</v>
      </c>
    </row>
    <row r="26755" ht="15.75" customHeight="1" spans="1:2">
      <c r="A26755" s="3" t="str">
        <f>IFERROR(__xludf.DUMMYFUNCTION("GOOGLETRANSLATE(A26755,""en"",""pt"")"),"Mastiga através da tinta. Precisa do PC para a função uso de cópia.")</f>
        <v>Mastiga através da tinta. Precisa do PC para a função uso de cópia.</v>
      </c>
      <c r="B26755" s="3">
        <v>0</v>
      </c>
    </row>
    <row r="26756" ht="15.75" customHeight="1" spans="1:2">
      <c r="A26756" s="3" t="str">
        <f>IFERROR(__xludf.DUMMYFUNCTION("GOOGLETRANSLATE(A26756,""en"",""pt"")"),"Nenhum que eu descobri")</f>
        <v>Nenhum que eu descobri</v>
      </c>
      <c r="B26756" s="3">
        <v>0</v>
      </c>
    </row>
    <row r="26757" ht="15.75" customHeight="1" spans="1:2">
      <c r="A26757" s="3" t="str">
        <f>IFERROR(__xludf.DUMMYFUNCTION("GOOGLETRANSLATE(A26757,""en"",""pt"")"),"O papel estiver bloqueado e software é lento.")</f>
        <v>O papel estiver bloqueado e software é lento.</v>
      </c>
      <c r="B26757" s="3">
        <v>0</v>
      </c>
    </row>
    <row r="26758" ht="15.75" customHeight="1" spans="1:2">
      <c r="A26758" s="3" t="str">
        <f>IFERROR(__xludf.DUMMYFUNCTION("GOOGLETRANSLATE(A26758,""en"",""pt"")"),"imprimir má qualidade, desalinhada de papel, cartuchos de impressão tapar")</f>
        <v>imprimir má qualidade, desalinhada de papel, cartuchos de impressão tapar</v>
      </c>
      <c r="B26758" s="3">
        <v>0</v>
      </c>
    </row>
    <row r="26759" ht="15.75" customHeight="1" spans="1:2">
      <c r="A26759" s="3" t="str">
        <f>IFERROR(__xludf.DUMMYFUNCTION("GOOGLETRANSLATE(A26759,""en"",""pt"")"),"Buggy manfacture fornecido software necessário para imprimir. carregamento de papel pobre bandeja projetar. Jams facilmente.")</f>
        <v>Buggy manfacture fornecido software necessário para imprimir. carregamento de papel pobre bandeja projetar. Jams facilmente.</v>
      </c>
      <c r="B26759" s="3">
        <v>0</v>
      </c>
    </row>
    <row r="26760" ht="15.75" customHeight="1" spans="1:2">
      <c r="A26760" s="3" t="str">
        <f>IFERROR(__xludf.DUMMYFUNCTION("GOOGLETRANSLATE(A26760,""en"",""pt"")"),"Terá que comprar cabos, inúmeras recargas que são muito difíceis de encontrar.")</f>
        <v>Terá que comprar cabos, inúmeras recargas que são muito difíceis de encontrar.</v>
      </c>
      <c r="B26760" s="3">
        <v>0</v>
      </c>
    </row>
    <row r="26761" ht="15.75" customHeight="1" spans="1:2">
      <c r="A26761" s="3" t="str">
        <f>IFERROR(__xludf.DUMMYFUNCTION("GOOGLETRANSLATE(A26761,""en"",""pt"")"),"Os cartuchos de tinta são pequenos, pode querer olhar para recarga.")</f>
        <v>Os cartuchos de tinta são pequenos, pode querer olhar para recarga.</v>
      </c>
      <c r="B26761" s="3">
        <v>0</v>
      </c>
    </row>
    <row r="26762" ht="15.75" customHeight="1" spans="1:2">
      <c r="A26762" s="3" t="str">
        <f>IFERROR(__xludf.DUMMYFUNCTION("GOOGLETRANSLATE(A26762,""en"",""pt"")"),"Você vai passar por cartuchos de tinta como se fossem água., Imprimir e qualidade do scanner é coxo.,")</f>
        <v>Você vai passar por cartuchos de tinta como se fossem água., Imprimir e qualidade do scanner é coxo.,</v>
      </c>
      <c r="B26762" s="3">
        <v>0</v>
      </c>
    </row>
    <row r="26763" ht="15.75" customHeight="1" spans="1:2">
      <c r="A26763" s="3" t="str">
        <f>IFERROR(__xludf.DUMMYFUNCTION("GOOGLETRANSLATE(A26763,""en"",""pt"")"),"não poderia obtê-lo para o trabalho. Software é lento")</f>
        <v>não poderia obtê-lo para o trabalho. Software é lento</v>
      </c>
      <c r="B26763" s="3">
        <v>0</v>
      </c>
    </row>
    <row r="26764" ht="15.75" customHeight="1" spans="1:2">
      <c r="A26764" s="3" t="str">
        <f>IFERROR(__xludf.DUMMYFUNCTION("GOOGLETRANSLATE(A26764,""en"",""pt"")"),"tempo de carregamento lento, erros de alimentação de papel!")</f>
        <v>tempo de carregamento lento, erros de alimentação de papel!</v>
      </c>
      <c r="B26764" s="3">
        <v>0</v>
      </c>
    </row>
    <row r="26765" ht="15.75" customHeight="1" spans="1:2">
      <c r="A26765" s="3" t="str">
        <f>IFERROR(__xludf.DUMMYFUNCTION("GOOGLETRANSLATE(A26765,""en"",""pt"")"),"Terá de comprar um cabo e recargas de tinta, eventualmente, preto e colorido,")</f>
        <v>Terá de comprar um cabo e recargas de tinta, eventualmente, preto e colorido,</v>
      </c>
      <c r="B26765" s="3">
        <v>0</v>
      </c>
    </row>
    <row r="26766" ht="15.75" customHeight="1" spans="1:2">
      <c r="A26766" s="3" t="str">
        <f>IFERROR(__xludf.DUMMYFUNCTION("GOOGLETRANSLATE(A26766,""en"",""pt"")"),"Muito lento, bebe tinta como a água, atolamentos de papel constantemente, quebrou depois de alguns meses.")</f>
        <v>Muito lento, bebe tinta como a água, atolamentos de papel constantemente, quebrou depois de alguns meses.</v>
      </c>
      <c r="B26766" s="3">
        <v>0</v>
      </c>
    </row>
    <row r="26767" ht="15.75" customHeight="1" spans="1:2">
      <c r="A26767" s="3" t="str">
        <f>IFERROR(__xludf.DUMMYFUNCTION("GOOGLETRANSLATE(A26767,""en"",""pt"")"),"Não pode ser utilizado através de uma rede. de alimentação de papel sensível. USB ONLY Connector.")</f>
        <v>Não pode ser utilizado através de uma rede. de alimentação de papel sensível. USB ONLY Connector.</v>
      </c>
      <c r="B26767" s="3">
        <v>0</v>
      </c>
    </row>
    <row r="26768" ht="15.75" customHeight="1" spans="1:2">
      <c r="A26768" s="3" t="str">
        <f>IFERROR(__xludf.DUMMYFUNCTION("GOOGLETRANSLATE(A26768,""en"",""pt"")"),"má qualidade de impressão de fotos, não pode rede com outros computadores da casa")</f>
        <v>má qualidade de impressão de fotos, não pode rede com outros computadores da casa</v>
      </c>
      <c r="B26768" s="3">
        <v>0</v>
      </c>
    </row>
    <row r="26769" ht="15.75" customHeight="1" spans="1:2">
      <c r="A26769" s="3" t="str">
        <f>IFERROR(__xludf.DUMMYFUNCTION("GOOGLETRANSLATE(A26769,""en"",""pt"")"),"Tão bom quanto a saída de cor é, não é uma impressora fotográfica real.")</f>
        <v>Tão bom quanto a saída de cor é, não é uma impressora fotográfica real.</v>
      </c>
      <c r="B26769" s="3">
        <v>0</v>
      </c>
    </row>
    <row r="26770" ht="15.75" customHeight="1" spans="1:2">
      <c r="A26770" s="3" t="str">
        <f>IFERROR(__xludf.DUMMYFUNCTION("GOOGLETRANSLATE(A26770,""en"",""pt"")"),"caro tinta, sem apoio * nix, manuseio de papel de baixa qualidade, USB-only")</f>
        <v>caro tinta, sem apoio * nix, manuseio de papel de baixa qualidade, USB-only</v>
      </c>
      <c r="B26770" s="3">
        <v>0</v>
      </c>
    </row>
    <row r="26771" ht="15.75" customHeight="1" spans="1:2">
      <c r="A26771" s="3" t="str">
        <f>IFERROR(__xludf.DUMMYFUNCTION("GOOGLETRANSLATE(A26771,""en"",""pt"")"),"Um pouco mais caro do que outras impressoras; no entanto, o preço vale a pena!")</f>
        <v>Um pouco mais caro do que outras impressoras; no entanto, o preço vale a pena!</v>
      </c>
      <c r="B26771" s="3">
        <v>0</v>
      </c>
    </row>
    <row r="26772" ht="15.75" customHeight="1" spans="1:2">
      <c r="A26772" s="3" t="str">
        <f>IFERROR(__xludf.DUMMYFUNCTION("GOOGLETRANSLATE(A26772,""en"",""pt"")"),"Barato construção, mau serviço ao cliente da Lexmark")</f>
        <v>Barato construção, mau serviço ao cliente da Lexmark</v>
      </c>
      <c r="B26772" s="3">
        <v>0</v>
      </c>
    </row>
    <row r="26773" ht="15.75" customHeight="1" spans="1:2">
      <c r="A26773" s="3" t="str">
        <f>IFERROR(__xludf.DUMMYFUNCTION("GOOGLETRANSLATE(A26773,""en"",""pt"")"),"Há um problema com o bloqueio do scanner na algumas das máquinas.")</f>
        <v>Há um problema com o bloqueio do scanner na algumas das máquinas.</v>
      </c>
      <c r="B26773" s="3">
        <v>0</v>
      </c>
    </row>
    <row r="26774" ht="15.75" customHeight="1" spans="1:2">
      <c r="A26774" s="3" t="str">
        <f>IFERROR(__xludf.DUMMYFUNCTION("GOOGLETRANSLATE(A26774,""en"",""pt"")"),"Confiança, confiança, má qualidade e apoio pobres tecnologia")</f>
        <v>Confiança, confiança, má qualidade e apoio pobres tecnologia</v>
      </c>
      <c r="B26774" s="3">
        <v>0</v>
      </c>
    </row>
    <row r="26775" ht="15.75" customHeight="1" spans="1:2">
      <c r="A26775" s="3" t="str">
        <f>IFERROR(__xludf.DUMMYFUNCTION("GOOGLETRANSLATE(A26775,""en"",""pt"")"),"Seu Merda - Disfunctional, design ruim, incompatível, terrível qualidade de impressão")</f>
        <v>Seu Merda - Disfunctional, design ruim, incompatível, terrível qualidade de impressão</v>
      </c>
      <c r="B26775" s="3">
        <v>0</v>
      </c>
    </row>
    <row r="26776" ht="15.75" customHeight="1" spans="1:2">
      <c r="A26776" s="3" t="str">
        <f>IFERROR(__xludf.DUMMYFUNCTION("GOOGLETRANSLATE(A26776,""en"",""pt"")"),"Não é compatível com Windows XP")</f>
        <v>Não é compatível com Windows XP</v>
      </c>
      <c r="B26776" s="3">
        <v>0</v>
      </c>
    </row>
    <row r="26777" ht="15.75" customHeight="1" spans="1:2">
      <c r="A26777" s="3" t="str">
        <f>IFERROR(__xludf.DUMMYFUNCTION("GOOGLETRANSLATE(A26777,""en"",""pt"")"),"atolamentos de papel. Fax enganosa")</f>
        <v>atolamentos de papel. Fax enganosa</v>
      </c>
      <c r="B26777" s="3">
        <v>0</v>
      </c>
    </row>
    <row r="26778" ht="15.75" customHeight="1" spans="1:2">
      <c r="A26778" s="3" t="str">
        <f>IFERROR(__xludf.DUMMYFUNCTION("GOOGLETRANSLATE(A26778,""en"",""pt"")"),"Atravessa tinta muito rapidamente;")</f>
        <v>Atravessa tinta muito rapidamente;</v>
      </c>
      <c r="B26778" s="3">
        <v>0</v>
      </c>
    </row>
    <row r="26779" ht="15.75" customHeight="1" spans="1:2">
      <c r="A26779" s="3" t="str">
        <f>IFERROR(__xludf.DUMMYFUNCTION("GOOGLETRANSLATE(A26779,""en"",""pt"")"),"Tamanho, a confiabilidade de conexão com o XP, o uso de tinta e Custo")</f>
        <v>Tamanho, a confiabilidade de conexão com o XP, o uso de tinta e Custo</v>
      </c>
      <c r="B26779" s="3">
        <v>0</v>
      </c>
    </row>
    <row r="26780" ht="15.75" customHeight="1" spans="1:2">
      <c r="A26780" s="3" t="str">
        <f>IFERROR(__xludf.DUMMYFUNCTION("GOOGLETRANSLATE(A26780,""en"",""pt"")"),"Exposição da janela não iluminada.")</f>
        <v>Exposição da janela não iluminada.</v>
      </c>
      <c r="B26780" s="3">
        <v>0</v>
      </c>
    </row>
    <row r="26781" ht="15.75" customHeight="1" spans="1:2">
      <c r="A26781" s="3" t="str">
        <f>IFERROR(__xludf.DUMMYFUNCTION("GOOGLETRANSLATE(A26781,""en"",""pt"")"),"Alguns recursos não podem ser acessados ​​por software se o Windows XP. No manual do papel.")</f>
        <v>Alguns recursos não podem ser acessados ​​por software se o Windows XP. No manual do papel.</v>
      </c>
      <c r="B26781" s="3">
        <v>0</v>
      </c>
    </row>
    <row r="26782" ht="15.75" customHeight="1" spans="1:2">
      <c r="A26782" s="3" t="str">
        <f>IFERROR(__xludf.DUMMYFUNCTION("GOOGLETRANSLATE(A26782,""en"",""pt"")"),"instalação de software é difícil")</f>
        <v>instalação de software é difícil</v>
      </c>
      <c r="B26782" s="3">
        <v>0</v>
      </c>
    </row>
    <row r="26783" ht="15.75" customHeight="1" spans="1:2">
      <c r="A26783" s="3" t="str">
        <f>IFERROR(__xludf.DUMMYFUNCTION("GOOGLETRANSLATE(A26783,""en"",""pt"")"),"Eu não encontrei nenhum. Caros cartuchos de tinta")</f>
        <v>Eu não encontrei nenhum. Caros cartuchos de tinta</v>
      </c>
      <c r="B26783" s="3">
        <v>0</v>
      </c>
    </row>
    <row r="26784" ht="15.75" customHeight="1" spans="1:2">
      <c r="A26784" s="3" t="str">
        <f>IFERROR(__xludf.DUMMYFUNCTION("GOOGLETRANSLATE(A26784,""en"",""pt"")"),"Margens são maiores do que o esperado.")</f>
        <v>Margens são maiores do que o esperado.</v>
      </c>
      <c r="B26784" s="3">
        <v>0</v>
      </c>
    </row>
    <row r="26785" ht="15.75" customHeight="1" spans="1:2">
      <c r="A26785" s="3" t="str">
        <f>IFERROR(__xludf.DUMMYFUNCTION("GOOGLETRANSLATE(A26785,""en"",""pt"")"),"máquina BIG &amp; amp; # 13; &amp; amp; # 10; Um pouco barulhento ... &amp; amp; # 13; &amp; amp; # 10; Não walk-up fax")</f>
        <v>máquina BIG &amp; amp; # 13; &amp; amp; # 10; Um pouco barulhento ... &amp; amp; # 13; &amp; amp; # 10; Não walk-up fax</v>
      </c>
      <c r="B26785" s="3">
        <v>0</v>
      </c>
    </row>
    <row r="26786" ht="15.75" customHeight="1" spans="1:2">
      <c r="A26786" s="3" t="str">
        <f>IFERROR(__xludf.DUMMYFUNCTION("GOOGLETRANSLATE(A26786,""en"",""pt"")"),"Perguntas sobre robustez")</f>
        <v>Perguntas sobre robustez</v>
      </c>
      <c r="B26786" s="3">
        <v>0</v>
      </c>
    </row>
    <row r="26787" ht="15.75" customHeight="1" spans="1:2">
      <c r="A26787" s="3" t="str">
        <f>IFERROR(__xludf.DUMMYFUNCTION("GOOGLETRANSLATE(A26787,""en"",""pt"")"),"às vezes há uma mensagem de erro não abrangidos no manual ou no site")</f>
        <v>às vezes há uma mensagem de erro não abrangidos no manual ou no site</v>
      </c>
      <c r="B26787" s="3">
        <v>0</v>
      </c>
    </row>
    <row r="26788" ht="15.75" customHeight="1" spans="1:2">
      <c r="A26788" s="3" t="str">
        <f>IFERROR(__xludf.DUMMYFUNCTION("GOOGLETRANSLATE(A26788,""en"",""pt"")"),"O tamanho é um pouco volumoso, não vem com um cabo USB.")</f>
        <v>O tamanho é um pouco volumoso, não vem com um cabo USB.</v>
      </c>
      <c r="B26788" s="3">
        <v>0</v>
      </c>
    </row>
    <row r="26789" ht="15.75" customHeight="1" spans="1:2">
      <c r="A26789" s="3" t="str">
        <f>IFERROR(__xludf.DUMMYFUNCTION("GOOGLETRANSLATE(A26789,""en"",""pt"")"),"Bad scans, escamosa, barato caixa de plástico / dobradiças, cant vidro inferior limpo.")</f>
        <v>Bad scans, escamosa, barato caixa de plástico / dobradiças, cant vidro inferior limpo.</v>
      </c>
      <c r="B26789" s="3">
        <v>0</v>
      </c>
    </row>
    <row r="26790" ht="15.75" customHeight="1" spans="1:2">
      <c r="A26790" s="3" t="str">
        <f>IFERROR(__xludf.DUMMYFUNCTION("GOOGLETRANSLATE(A26790,""en"",""pt"")"),"Demora um tempo para descobrir como usar o fax")</f>
        <v>Demora um tempo para descobrir como usar o fax</v>
      </c>
      <c r="B26790" s="3">
        <v>0</v>
      </c>
    </row>
    <row r="26791" ht="15.75" customHeight="1" spans="1:2">
      <c r="A26791" s="3" t="str">
        <f>IFERROR(__xludf.DUMMYFUNCTION("GOOGLETRANSLATE(A26791,""en"",""pt"")"),"não veio com disco de instalação")</f>
        <v>não veio com disco de instalação</v>
      </c>
      <c r="B26791" s="3">
        <v>0</v>
      </c>
    </row>
    <row r="26792" ht="15.75" customHeight="1" spans="1:2">
      <c r="A26792" s="3" t="str">
        <f>IFERROR(__xludf.DUMMYFUNCTION("GOOGLETRANSLATE(A26792,""en"",""pt"")"),"&amp; Amp; # 149; Podem causar estragos em seu sistema se você possui um PDA &amp; amp;. # 13; &amp; amp; # 10; &amp; amp; # 13; &amp; amp; # 10; &amp; amp; # 13; &amp; amp; # 10; &amp; amp; # 13; &amp; amp; # 10; &amp; amp; # 13; &amp; amp; # 10; &amp; amp; # 13; &amp; amp; # 10; &amp; amp; # 13; &amp; amp; # 10;"&amp;" &amp; amp; # 13; &amp; amp; # 10; &amp; amp; # 13; &amp; amp; # 10; &amp; amp; # 13; &amp; amp; # 10; &amp; amp; # 13; &amp; amp; # 10; &amp; amp; # 13; &amp; amp; # 10; &amp; amp; # 13; &amp; amp; # 10; &amp; amp; # 13; &amp; amp; # 10; &amp; amp; # 13; &amp; amp; # 10; &amp; amp; # 13; &amp; amp; # 10; &amp; amp; # 149; Proble"&amp;"mas de comunicação.")</f>
        <v>&amp; Amp; # 149; Podem causar estragos em seu sistema se você possui um PDA &amp; amp;. # 13; &amp; amp; # 10; &amp; amp; # 13; &amp; amp; # 10; &amp; amp; # 13; &amp; amp; # 10; &amp; amp; # 13; &amp; amp; # 10; &amp; amp; # 13; &amp; amp; # 10; &amp; amp; # 13; &amp; amp; # 10; &amp; amp; # 13; &amp; amp; # 10; &amp; amp; # 13; &amp; amp; # 10; &amp; amp; # 13; &amp; amp; # 10; &amp; amp; # 13; &amp; amp; # 10; &amp; amp; # 13; &amp; amp; # 10; &amp; amp; # 13; &amp; amp; # 10; &amp; amp; # 13; &amp; amp; # 10; &amp; amp; # 13; &amp; amp; # 10; &amp; amp; # 13; &amp; amp; # 10; &amp; amp; # 13; &amp; amp; # 10; &amp; amp; # 149; Problemas de comunicação.</v>
      </c>
      <c r="B26792" s="3">
        <v>0</v>
      </c>
    </row>
    <row r="26793" ht="15.75" customHeight="1" spans="1:2">
      <c r="A26793" s="3" t="str">
        <f>IFERROR(__xludf.DUMMYFUNCTION("GOOGLETRANSLATE(A26793,""en"",""pt"")"),"impressão horrível")</f>
        <v>impressão horrível</v>
      </c>
      <c r="B26793" s="3">
        <v>0</v>
      </c>
    </row>
    <row r="26794" ht="15.75" customHeight="1" spans="1:2">
      <c r="A26794" s="3" t="str">
        <f>IFERROR(__xludf.DUMMYFUNCTION("GOOGLETRANSLATE(A26794,""en"",""pt"")"),"um pouco grande e barulhento")</f>
        <v>um pouco grande e barulhento</v>
      </c>
      <c r="B26794" s="3">
        <v>0</v>
      </c>
    </row>
    <row r="26795" ht="15.75" customHeight="1" spans="1:2">
      <c r="A26795" s="3" t="str">
        <f>IFERROR(__xludf.DUMMYFUNCTION("GOOGLETRANSLATE(A26795,""en"",""pt"")"),"Volumosos e Noisy")</f>
        <v>Volumosos e Noisy</v>
      </c>
      <c r="B26795" s="3">
        <v>0</v>
      </c>
    </row>
    <row r="26796" ht="15.75" customHeight="1" spans="1:2">
      <c r="A26796" s="3" t="str">
        <f>IFERROR(__xludf.DUMMYFUNCTION("GOOGLETRANSLATE(A26796,""en"",""pt"")"),"nada")</f>
        <v>nada</v>
      </c>
      <c r="B26796" s="3">
        <v>0</v>
      </c>
    </row>
    <row r="26797" ht="15.75" customHeight="1" spans="1:2">
      <c r="A26797" s="3" t="str">
        <f>IFERROR(__xludf.DUMMYFUNCTION("GOOGLETRANSLATE(A26797,""en"",""pt"")"),"Um pouco sobre o lado ruidoso.")</f>
        <v>Um pouco sobre o lado ruidoso.</v>
      </c>
      <c r="B26797" s="3">
        <v>0</v>
      </c>
    </row>
    <row r="26798" ht="15.75" customHeight="1" spans="1:2">
      <c r="A26798" s="3" t="str">
        <f>IFERROR(__xludf.DUMMYFUNCTION("GOOGLETRANSLATE(A26798,""en"",""pt"")"),"As fotos não são claras, operação ruidosa, a melhoria necessidades de software, a confiabilidade questionável.")</f>
        <v>As fotos não são claras, operação ruidosa, a melhoria necessidades de software, a confiabilidade questionável.</v>
      </c>
      <c r="B26798" s="3">
        <v>0</v>
      </c>
    </row>
    <row r="26799" ht="15.75" customHeight="1" spans="1:2">
      <c r="A26799" s="3" t="str">
        <f>IFERROR(__xludf.DUMMYFUNCTION("GOOGLETRANSLATE(A26799,""en"",""pt"")"),"Um pouco barulhento, frágil, às vezes embaçada, média software")</f>
        <v>Um pouco barulhento, frágil, às vezes embaçada, média software</v>
      </c>
      <c r="B26799" s="3">
        <v>0</v>
      </c>
    </row>
    <row r="26800" ht="15.75" customHeight="1" spans="1:2">
      <c r="A26800" s="3" t="str">
        <f>IFERROR(__xludf.DUMMYFUNCTION("GOOGLETRANSLATE(A26800,""en"",""pt"")"),"Noisy, longo tempo para copiar no modo de foto. Tende a adicionar muito vermelho.")</f>
        <v>Noisy, longo tempo para copiar no modo de foto. Tende a adicionar muito vermelho.</v>
      </c>
      <c r="B26800" s="3">
        <v>0</v>
      </c>
    </row>
    <row r="26801" ht="15.75" customHeight="1" spans="1:2">
      <c r="A26801" s="3" t="str">
        <f>IFERROR(__xludf.DUMMYFUNCTION("GOOGLETRANSLATE(A26801,""en"",""pt"")"),"Nenhum cabo USB incluído, outro menor.")</f>
        <v>Nenhum cabo USB incluído, outro menor.</v>
      </c>
      <c r="B26801" s="3">
        <v>0</v>
      </c>
    </row>
    <row r="26802" ht="15.75" customHeight="1" spans="1:2">
      <c r="A26802" s="3" t="str">
        <f>IFERROR(__xludf.DUMMYFUNCTION("GOOGLETRANSLATE(A26802,""en"",""pt"")"),"cabo USB não vem com ele.")</f>
        <v>cabo USB não vem com ele.</v>
      </c>
      <c r="B26802" s="3">
        <v>0</v>
      </c>
    </row>
    <row r="26803" ht="15.75" customHeight="1" spans="1:2">
      <c r="A26803" s="3" t="str">
        <f>IFERROR(__xludf.DUMMYFUNCTION("GOOGLETRANSLATE(A26803,""en"",""pt"")"),"cartuchos correu rápida")</f>
        <v>cartuchos correu rápida</v>
      </c>
      <c r="B26803" s="3">
        <v>0</v>
      </c>
    </row>
    <row r="26804" ht="15.75" customHeight="1" spans="1:2">
      <c r="A26804" s="3" t="str">
        <f>IFERROR(__xludf.DUMMYFUNCTION("GOOGLETRANSLATE(A26804,""en"",""pt"")"),"qualidade de cor pobre para a impressão de fotografias, reservatório de plástico barato, cabo USB não incluso.")</f>
        <v>qualidade de cor pobre para a impressão de fotografias, reservatório de plástico barato, cabo USB não incluso.</v>
      </c>
      <c r="B26804" s="3">
        <v>0</v>
      </c>
    </row>
    <row r="26805" ht="15.75" customHeight="1" spans="1:2">
      <c r="A26805" s="3" t="str">
        <f>IFERROR(__xludf.DUMMYFUNCTION("GOOGLETRANSLATE(A26805,""en"",""pt"")"),"divide dois meses após a garantia sai")</f>
        <v>divide dois meses após a garantia sai</v>
      </c>
      <c r="B26805" s="3">
        <v>0</v>
      </c>
    </row>
    <row r="26806" ht="15.75" customHeight="1" spans="1:2">
      <c r="A26806" s="3" t="str">
        <f>IFERROR(__xludf.DUMMYFUNCTION("GOOGLETRANSLATE(A26806,""en"",""pt"")"),"Já não correr em qualquer ainda.")</f>
        <v>Já não correr em qualquer ainda.</v>
      </c>
      <c r="B26806" s="3">
        <v>0</v>
      </c>
    </row>
    <row r="26807" ht="15.75" customHeight="1" spans="1:2">
      <c r="A26807" s="3" t="str">
        <f>IFERROR(__xludf.DUMMYFUNCTION("GOOGLETRANSLATE(A26807,""en"",""pt"")"),"Na maioria das vezes, ele não funciona!")</f>
        <v>Na maioria das vezes, ele não funciona!</v>
      </c>
      <c r="B26807" s="3">
        <v>0</v>
      </c>
    </row>
    <row r="26808" ht="15.75" customHeight="1" spans="1:2">
      <c r="A26808" s="3" t="str">
        <f>IFERROR(__xludf.DUMMYFUNCTION("GOOGLETRANSLATE(A26808,""en"",""pt"")"),"Despesa de cartuchos; não pode usar marcas genéricas.")</f>
        <v>Despesa de cartuchos; não pode usar marcas genéricas.</v>
      </c>
      <c r="B26808" s="3">
        <v>0</v>
      </c>
    </row>
    <row r="26809" ht="15.75" customHeight="1" spans="1:2">
      <c r="A26809" s="3" t="str">
        <f>IFERROR(__xludf.DUMMYFUNCTION("GOOGLETRANSLATE(A26809,""en"",""pt"")"),"Difícil de usar")</f>
        <v>Difícil de usar</v>
      </c>
      <c r="B26809" s="3">
        <v>0</v>
      </c>
    </row>
    <row r="26810" ht="15.75" customHeight="1" spans="1:2">
      <c r="A26810" s="3" t="str">
        <f>IFERROR(__xludf.DUMMYFUNCTION("GOOGLETRANSLATE(A26810,""en"",""pt"")"),"Software difícil de instalar e não funciona bem com XP")</f>
        <v>Software difícil de instalar e não funciona bem com XP</v>
      </c>
      <c r="B26810" s="3">
        <v>0</v>
      </c>
    </row>
    <row r="26811" ht="15.75" customHeight="1" spans="1:2">
      <c r="A26811" s="3" t="str">
        <f>IFERROR(__xludf.DUMMYFUNCTION("GOOGLETRANSLATE(A26811,""en"",""pt"")"),"X83 é incompatível com o Windows XP e avarias em média a cada 3 meses.")</f>
        <v>X83 é incompatível com o Windows XP e avarias em média a cada 3 meses.</v>
      </c>
      <c r="B26811" s="3">
        <v>0</v>
      </c>
    </row>
    <row r="26812" ht="15.75" customHeight="1" spans="1:2">
      <c r="A26812" s="3" t="str">
        <f>IFERROR(__xludf.DUMMYFUNCTION("GOOGLETRANSLATE(A26812,""en"",""pt"")"),"Rapidez")</f>
        <v>Rapidez</v>
      </c>
      <c r="B26812" s="3">
        <v>0</v>
      </c>
    </row>
    <row r="26813" ht="15.75" customHeight="1" spans="1:2">
      <c r="A26813" s="3" t="str">
        <f>IFERROR(__xludf.DUMMYFUNCTION("GOOGLETRANSLATE(A26813,""en"",""pt"")"),"Não compartilhável de rede através")</f>
        <v>Não compartilhável de rede através</v>
      </c>
      <c r="B26813" s="3">
        <v>0</v>
      </c>
    </row>
    <row r="26814" ht="15.75" customHeight="1" spans="1:2">
      <c r="A26814" s="3" t="str">
        <f>IFERROR(__xludf.DUMMYFUNCTION("GOOGLETRANSLATE(A26814,""en"",""pt"")"),"Drivers, velocidade")</f>
        <v>Drivers, velocidade</v>
      </c>
      <c r="B26814" s="3">
        <v>0</v>
      </c>
    </row>
    <row r="26815" ht="15.75" customHeight="1" spans="1:2">
      <c r="A26815" s="3" t="str">
        <f>IFERROR(__xludf.DUMMYFUNCTION("GOOGLETRANSLATE(A26815,""en"",""pt"")"),"Tamanho")</f>
        <v>Tamanho</v>
      </c>
      <c r="B26815" s="3">
        <v>0</v>
      </c>
    </row>
    <row r="26816" ht="15.75" customHeight="1" spans="1:2">
      <c r="A26816" s="3" t="str">
        <f>IFERROR(__xludf.DUMMYFUNCTION("GOOGLETRANSLATE(A26816,""en"",""pt"")"),"Tamanho. Rapidez")</f>
        <v>Tamanho. Rapidez</v>
      </c>
      <c r="B26816" s="3">
        <v>0</v>
      </c>
    </row>
    <row r="26817" ht="15.75" customHeight="1" spans="1:2">
      <c r="A26817" s="3" t="str">
        <f>IFERROR(__xludf.DUMMYFUNCTION("GOOGLETRANSLATE(A26817,""en"",""pt"")"),"Nenhum que eu encontrei.")</f>
        <v>Nenhum que eu encontrei.</v>
      </c>
      <c r="B26817" s="3">
        <v>0</v>
      </c>
    </row>
    <row r="26818" ht="15.75" customHeight="1" spans="1:2">
      <c r="A26818" s="3" t="str">
        <f>IFERROR(__xludf.DUMMYFUNCTION("GOOGLETRANSLATE(A26818,""en"",""pt"")"),"motoristas pobres, falhas de software. apoio pobres.")</f>
        <v>motoristas pobres, falhas de software. apoio pobres.</v>
      </c>
      <c r="B26818" s="3">
        <v>0</v>
      </c>
    </row>
    <row r="26819" ht="15.75" customHeight="1" spans="1:2">
      <c r="A26819" s="3" t="str">
        <f>IFERROR(__xludf.DUMMYFUNCTION("GOOGLETRANSLATE(A26819,""en"",""pt"")"),"Copiar não é grande qualidade. , Configure um tipo de dor.")</f>
        <v>Copiar não é grande qualidade. , Configure um tipo de dor.</v>
      </c>
      <c r="B26819" s="3">
        <v>0</v>
      </c>
    </row>
    <row r="26820" ht="15.75" customHeight="1" spans="1:2">
      <c r="A26820" s="3" t="str">
        <f>IFERROR(__xludf.DUMMYFUNCTION("GOOGLETRANSLATE(A26820,""en"",""pt"")"),"Erros de comunicação")</f>
        <v>Erros de comunicação</v>
      </c>
      <c r="B26820" s="3">
        <v>0</v>
      </c>
    </row>
    <row r="26821" ht="15.75" customHeight="1" spans="1:2">
      <c r="A26821" s="3" t="str">
        <f>IFERROR(__xludf.DUMMYFUNCTION("GOOGLETRANSLATE(A26821,""en"",""pt"")"),"Volumoso, caro")</f>
        <v>Volumoso, caro</v>
      </c>
      <c r="B26821" s="3">
        <v>0</v>
      </c>
    </row>
    <row r="26822" ht="15.75" customHeight="1" spans="1:2">
      <c r="A26822" s="3" t="str">
        <f>IFERROR(__xludf.DUMMYFUNCTION("GOOGLETRANSLATE(A26822,""en"",""pt"")"),"Difícil de instalar")</f>
        <v>Difícil de instalar</v>
      </c>
      <c r="B26822" s="3">
        <v>0</v>
      </c>
    </row>
    <row r="26823" ht="15.75" customHeight="1" spans="1:2">
      <c r="A26823" s="3" t="str">
        <f>IFERROR(__xludf.DUMMYFUNCTION("GOOGLETRANSLATE(A26823,""en"",""pt"")"),"Os motoristas têm uma tendência a ser tempramental.")</f>
        <v>Os motoristas têm uma tendência a ser tempramental.</v>
      </c>
      <c r="B26823" s="3">
        <v>0</v>
      </c>
    </row>
    <row r="26824" ht="15.75" customHeight="1" spans="1:2">
      <c r="A26824" s="3" t="str">
        <f>IFERROR(__xludf.DUMMYFUNCTION("GOOGLETRANSLATE(A26824,""en"",""pt"")"),"Muitos problemas (limitado a XP, possiblly)")</f>
        <v>Muitos problemas (limitado a XP, possiblly)</v>
      </c>
      <c r="B26824" s="3">
        <v>0</v>
      </c>
    </row>
    <row r="26825" ht="15.75" customHeight="1" spans="1:2">
      <c r="A26825" s="3" t="str">
        <f>IFERROR(__xludf.DUMMYFUNCTION("GOOGLETRANSLATE(A26825,""en"",""pt"")"),"Excelente impressão, digitalização, copiadora")</f>
        <v>Excelente impressão, digitalização, copiadora</v>
      </c>
      <c r="B26825" s="3">
        <v>0</v>
      </c>
    </row>
    <row r="26826" ht="15.75" customHeight="1" spans="1:2">
      <c r="A26826" s="3" t="str">
        <f>IFERROR(__xludf.DUMMYFUNCTION("GOOGLETRANSLATE(A26826,""en"",""pt"")"),"Falha de comunicação com o computador ou o Windows XP")</f>
        <v>Falha de comunicação com o computador ou o Windows XP</v>
      </c>
      <c r="B26826" s="3">
        <v>0</v>
      </c>
    </row>
    <row r="26827" ht="15.75" customHeight="1" spans="1:2">
      <c r="A26827" s="3" t="str">
        <f>IFERROR(__xludf.DUMMYFUNCTION("GOOGLETRANSLATE(A26827,""en"",""pt"")"),"Descontinuada na maioria das lojas")</f>
        <v>Descontinuada na maioria das lojas</v>
      </c>
      <c r="B26827" s="3">
        <v>0</v>
      </c>
    </row>
    <row r="26828" ht="15.75" customHeight="1" spans="1:2">
      <c r="A26828" s="3" t="str">
        <f>IFERROR(__xludf.DUMMYFUNCTION("GOOGLETRANSLATE(A26828,""en"",""pt"")"),"Caros, cartuchos apesar de longa duração")</f>
        <v>Caros, cartuchos apesar de longa duração</v>
      </c>
      <c r="B26828" s="3">
        <v>0</v>
      </c>
    </row>
    <row r="26829" ht="15.75" customHeight="1" spans="1:2">
      <c r="A26829" s="3" t="str">
        <f>IFERROR(__xludf.DUMMYFUNCTION("GOOGLETRANSLATE(A26829,""en"",""pt"")"),"Shoots terminou cópias em você. Carga superior.")</f>
        <v>Shoots terminou cópias em você. Carga superior.</v>
      </c>
      <c r="B26829" s="3">
        <v>0</v>
      </c>
    </row>
    <row r="26830" ht="15.75" customHeight="1" spans="1:2">
      <c r="A26830" s="3" t="str">
        <f>IFERROR(__xludf.DUMMYFUNCTION("GOOGLETRANSLATE(A26830,""en"",""pt"")"),"de cada 10 ou mais usos, tem um erro de impressão")</f>
        <v>de cada 10 ou mais usos, tem um erro de impressão</v>
      </c>
      <c r="B26830" s="3">
        <v>0</v>
      </c>
    </row>
    <row r="26831" ht="15.75" customHeight="1" spans="1:2">
      <c r="A26831" s="3" t="str">
        <f>IFERROR(__xludf.DUMMYFUNCTION("GOOGLETRANSLATE(A26831,""en"",""pt"")"),"Velocidade, mas por esse preço eu não posso reclamar.")</f>
        <v>Velocidade, mas por esse preço eu não posso reclamar.</v>
      </c>
      <c r="B26831" s="3">
        <v>0</v>
      </c>
    </row>
    <row r="26832" ht="15.75" customHeight="1" spans="1:2">
      <c r="A26832" s="3" t="str">
        <f>IFERROR(__xludf.DUMMYFUNCTION("GOOGLETRANSLATE(A26832,""en"",""pt"")"),"Impressão lenta, especialmente gráficos e imagens, e papel, por vezes, estão grudadas.")</f>
        <v>Impressão lenta, especialmente gráficos e imagens, e papel, por vezes, estão grudadas.</v>
      </c>
      <c r="B26832" s="3">
        <v>0</v>
      </c>
    </row>
    <row r="26833" ht="15.75" customHeight="1" spans="1:2">
      <c r="A26833" s="3" t="str">
        <f>IFERROR(__xludf.DUMMYFUNCTION("GOOGLETRANSLATE(A26833,""en"",""pt"")"),"JUNK, cara, Cartuchos, Exit Tray muito curto (papel tende a terra no chão).")</f>
        <v>JUNK, cara, Cartuchos, Exit Tray muito curto (papel tende a terra no chão).</v>
      </c>
      <c r="B26833" s="3">
        <v>0</v>
      </c>
    </row>
    <row r="26834" ht="15.75" customHeight="1" spans="1:2">
      <c r="A26834" s="3" t="str">
        <f>IFERROR(__xludf.DUMMYFUNCTION("GOOGLETRANSLATE(A26834,""en"",""pt"")"),"Muitos para listar.")</f>
        <v>Muitos para listar.</v>
      </c>
      <c r="B26834" s="3">
        <v>0</v>
      </c>
    </row>
    <row r="26835" ht="15.75" customHeight="1" spans="1:2">
      <c r="A26835" s="3" t="str">
        <f>IFERROR(__xludf.DUMMYFUNCTION("GOOGLETRANSLATE(A26835,""en"",""pt"")"),"* Embora não seja realmente, avaliações ** nem sempre são a vida real, *** Embora ligeiramente exagero")</f>
        <v>* Embora não seja realmente, avaliações ** nem sempre são a vida real, *** Embora ligeiramente exagero</v>
      </c>
      <c r="B26835" s="3">
        <v>0</v>
      </c>
    </row>
    <row r="26836" ht="15.75" customHeight="1" spans="1:2">
      <c r="A26836" s="3" t="str">
        <f>IFERROR(__xludf.DUMMYFUNCTION("GOOGLETRANSLATE(A26836,""en"",""pt"")"),"Quebra facilmente. Muito, muito má qualidade em outra coisa senão texto preto liso.")</f>
        <v>Quebra facilmente. Muito, muito má qualidade em outra coisa senão texto preto liso.</v>
      </c>
      <c r="B26836" s="3">
        <v>0</v>
      </c>
    </row>
    <row r="26837" ht="15.75" customHeight="1" spans="1:2">
      <c r="A26837" s="3" t="str">
        <f>IFERROR(__xludf.DUMMYFUNCTION("GOOGLETRANSLATE(A26837,""en"",""pt"")"),"Nenhum")</f>
        <v>Nenhum</v>
      </c>
      <c r="B26837" s="3">
        <v>0</v>
      </c>
    </row>
    <row r="26838" ht="15.75" customHeight="1" spans="1:2">
      <c r="A26838" s="3" t="str">
        <f>IFERROR(__xludf.DUMMYFUNCTION("GOOGLETRANSLATE(A26838,""en"",""pt"")"),"preço do cartucho, end-of-print ""vomitar""")</f>
        <v>preço do cartucho, end-of-print "vomitar"</v>
      </c>
      <c r="B26838" s="3">
        <v>0</v>
      </c>
    </row>
    <row r="26839" ht="15.75" customHeight="1" spans="1:2">
      <c r="A26839" s="3" t="str">
        <f>IFERROR(__xludf.DUMMYFUNCTION("GOOGLETRANSLATE(A26839,""en"",""pt"")"),"Software adicional, Problemas cartucho")</f>
        <v>Software adicional, Problemas cartucho</v>
      </c>
      <c r="B26839" s="3">
        <v>0</v>
      </c>
    </row>
    <row r="26840" ht="15.75" customHeight="1" spans="1:2">
      <c r="A26840" s="3" t="str">
        <f>IFERROR(__xludf.DUMMYFUNCTION("GOOGLETRANSLATE(A26840,""en"",""pt"")"),"Nenhum")</f>
        <v>Nenhum</v>
      </c>
      <c r="B26840" s="3">
        <v>0</v>
      </c>
    </row>
    <row r="26841" ht="15.75" customHeight="1" spans="1:2">
      <c r="A26841" s="3" t="str">
        <f>IFERROR(__xludf.DUMMYFUNCTION("GOOGLETRANSLATE(A26841,""en"",""pt"")"),"Às vezes tem problemas com trabalhos de impressão (raramente, embora).")</f>
        <v>Às vezes tem problemas com trabalhos de impressão (raramente, embora).</v>
      </c>
      <c r="B26841" s="3">
        <v>0</v>
      </c>
    </row>
    <row r="26842" ht="15.75" customHeight="1" spans="1:2">
      <c r="A26842" s="3" t="str">
        <f>IFERROR(__xludf.DUMMYFUNCTION("GOOGLETRANSLATE(A26842,""en"",""pt"")"),"alimentação de papel")</f>
        <v>alimentação de papel</v>
      </c>
      <c r="B26842" s="3">
        <v>0</v>
      </c>
    </row>
    <row r="26843" ht="15.75" customHeight="1" spans="1:2">
      <c r="A26843" s="3" t="str">
        <f>IFERROR(__xludf.DUMMYFUNCTION("GOOGLETRANSLATE(A26843,""en"",""pt"")"),"apoio usb falta")</f>
        <v>apoio usb falta</v>
      </c>
      <c r="B26843" s="3">
        <v>0</v>
      </c>
    </row>
    <row r="26844" ht="15.75" customHeight="1" spans="1:2">
      <c r="A26844" s="3" t="str">
        <f>IFERROR(__xludf.DUMMYFUNCTION("GOOGLETRANSLATE(A26844,""en"",""pt"")"),"Nenhum")</f>
        <v>Nenhum</v>
      </c>
      <c r="B26844" s="3">
        <v>0</v>
      </c>
    </row>
    <row r="26845" ht="15.75" customHeight="1" spans="1:2">
      <c r="A26845" s="3" t="s">
        <v>102</v>
      </c>
      <c r="B26845" s="3">
        <v>0</v>
      </c>
    </row>
    <row r="26846" ht="15.75" customHeight="1" spans="1:2">
      <c r="A26846" s="3" t="str">
        <f>IFERROR(__xludf.DUMMYFUNCTION("GOOGLETRANSLATE(A26846,""en"",""pt"")"),"Dispendiosas cartuchos (30 $ vs $ 20 para Epson)")</f>
        <v>Dispendiosas cartuchos (30 $ vs $ 20 para Epson)</v>
      </c>
      <c r="B26846" s="3">
        <v>0</v>
      </c>
    </row>
    <row r="26847" ht="15.75" customHeight="1" spans="1:2">
      <c r="A26847" s="3" t="str">
        <f>IFERROR(__xludf.DUMMYFUNCTION("GOOGLETRANSLATE(A26847,""en"",""pt"")"),"Nenhum")</f>
        <v>Nenhum</v>
      </c>
      <c r="B26847" s="3">
        <v>0</v>
      </c>
    </row>
    <row r="26848" ht="15.75" customHeight="1" spans="1:2">
      <c r="A26848" s="3" t="str">
        <f>IFERROR(__xludf.DUMMYFUNCTION("GOOGLETRANSLATE(A26848,""en"",""pt"")"),"volumoso")</f>
        <v>volumoso</v>
      </c>
      <c r="B26848" s="3">
        <v>0</v>
      </c>
    </row>
    <row r="26849" ht="15.75" customHeight="1" spans="1:2">
      <c r="A26849" s="3" t="str">
        <f>IFERROR(__xludf.DUMMYFUNCTION("GOOGLETRANSLATE(A26849,""en"",""pt"")"),"Nenhum")</f>
        <v>Nenhum</v>
      </c>
      <c r="B26849" s="3">
        <v>0</v>
      </c>
    </row>
    <row r="26850" ht="15.75" customHeight="1" spans="1:2">
      <c r="A26850" s="3" t="str">
        <f>IFERROR(__xludf.DUMMYFUNCTION("GOOGLETRANSLATE(A26850,""en"",""pt"")"),"Moderadamente barulhento.")</f>
        <v>Moderadamente barulhento.</v>
      </c>
      <c r="B26850" s="3">
        <v>0</v>
      </c>
    </row>
    <row r="26851" ht="15.75" customHeight="1" spans="1:2">
      <c r="A26851" s="3" t="str">
        <f>IFERROR(__xludf.DUMMYFUNCTION("GOOGLETRANSLATE(A26851,""en"",""pt"")"),"mais lento do que citou, a saída escuro foto")</f>
        <v>mais lento do que citou, a saída escuro foto</v>
      </c>
      <c r="B26851" s="3">
        <v>0</v>
      </c>
    </row>
    <row r="26852" ht="15.75" customHeight="1" spans="1:2">
      <c r="A26852" s="3" t="str">
        <f>IFERROR(__xludf.DUMMYFUNCTION("GOOGLETRANSLATE(A26852,""en"",""pt"")"),"Conflito com AVI conjunto de chips torna impressora praticamente inutilizável")</f>
        <v>Conflito com AVI conjunto de chips torna impressora praticamente inutilizável</v>
      </c>
      <c r="B26852" s="3">
        <v>0</v>
      </c>
    </row>
    <row r="26853" ht="15.75" customHeight="1" spans="1:2">
      <c r="A26853" s="3" t="str">
        <f>IFERROR(__xludf.DUMMYFUNCTION("GOOGLETRANSLATE(A26853,""en"",""pt"")"),"bandeja documento pequeno")</f>
        <v>bandeja documento pequeno</v>
      </c>
      <c r="B26853" s="3">
        <v>0</v>
      </c>
    </row>
    <row r="26854" ht="15.75" customHeight="1" spans="1:2">
      <c r="A26854" s="3" t="str">
        <f>IFERROR(__xludf.DUMMYFUNCTION("GOOGLETRANSLATE(A26854,""en"",""pt"")"),"Nenhum.")</f>
        <v>Nenhum.</v>
      </c>
      <c r="B26854" s="3">
        <v>0</v>
      </c>
    </row>
    <row r="26855" ht="15.75" customHeight="1" spans="1:2">
      <c r="A26855" s="3" t="str">
        <f>IFERROR(__xludf.DUMMYFUNCTION("GOOGLETRANSLATE(A26855,""en"",""pt"")"),"não imprime ... e nenhuma ajuda de suporte técnico")</f>
        <v>não imprime ... e nenhuma ajuda de suporte técnico</v>
      </c>
      <c r="B26855" s="3">
        <v>0</v>
      </c>
    </row>
    <row r="26856" ht="15.75" customHeight="1" spans="1:2">
      <c r="A26856" s="3" t="str">
        <f>IFERROR(__xludf.DUMMYFUNCTION("GOOGLETRANSLATE(A26856,""en"",""pt"")"),"Nenhum!")</f>
        <v>Nenhum!</v>
      </c>
      <c r="B26856" s="3">
        <v>0</v>
      </c>
    </row>
    <row r="26857" ht="15.75" customHeight="1" spans="1:2">
      <c r="A26857" s="3" t="str">
        <f>IFERROR(__xludf.DUMMYFUNCTION("GOOGLETRANSLATE(A26857,""en"",""pt"")"),"Nenhum ainda!")</f>
        <v>Nenhum ainda!</v>
      </c>
      <c r="B26857" s="3">
        <v>0</v>
      </c>
    </row>
    <row r="26858" ht="15.75" customHeight="1" spans="1:2">
      <c r="A26858" s="3" t="str">
        <f>IFERROR(__xludf.DUMMYFUNCTION("GOOGLETRANSLATE(A26858,""en"",""pt"")"),"Pixels são óbvias")</f>
        <v>Pixels são óbvias</v>
      </c>
      <c r="B26858" s="3">
        <v>0</v>
      </c>
    </row>
    <row r="26859" ht="15.75" customHeight="1" spans="1:2">
      <c r="A26859" s="3" t="str">
        <f>IFERROR(__xludf.DUMMYFUNCTION("GOOGLETRANSLATE(A26859,""en"",""pt"")"),"Nenhum")</f>
        <v>Nenhum</v>
      </c>
      <c r="B26859" s="3">
        <v>0</v>
      </c>
    </row>
    <row r="26860" ht="15.75" customHeight="1" spans="1:2">
      <c r="A26860" s="3" t="str">
        <f>IFERROR(__xludf.DUMMYFUNCTION("GOOGLETRANSLATE(A26860,""en"",""pt"")"),"recargas de tinta caros, difíceis de encontrar recargas de tinta, eu comprei antes da queda de preço recente")</f>
        <v>recargas de tinta caros, difíceis de encontrar recargas de tinta, eu comprei antes da queda de preço recente</v>
      </c>
      <c r="B26860" s="3">
        <v>0</v>
      </c>
    </row>
    <row r="26861" ht="15.75" customHeight="1" spans="1:2">
      <c r="A26861" s="3" t="str">
        <f>IFERROR(__xludf.DUMMYFUNCTION("GOOGLETRANSLATE(A26861,""en"",""pt"")"),"Nada")</f>
        <v>Nada</v>
      </c>
      <c r="B26861" s="3">
        <v>0</v>
      </c>
    </row>
    <row r="26862" ht="15.75" customHeight="1" spans="1:2">
      <c r="A26862" s="3" t="str">
        <f>IFERROR(__xludf.DUMMYFUNCTION("GOOGLETRANSLATE(A26862,""en"",""pt"")"),"Custo cartucho")</f>
        <v>Custo cartucho</v>
      </c>
      <c r="B26862" s="3">
        <v>0</v>
      </c>
    </row>
    <row r="26863" ht="15.75" customHeight="1" spans="1:2">
      <c r="A26863" s="3" t="str">
        <f>IFERROR(__xludf.DUMMYFUNCTION("GOOGLETRANSLATE(A26863,""en"",""pt"")"),"Alto e às vezes lento")</f>
        <v>Alto e às vezes lento</v>
      </c>
      <c r="B26863" s="3">
        <v>0</v>
      </c>
    </row>
    <row r="26864" ht="15.75" customHeight="1" spans="1:2">
      <c r="A26864" s="3" t="str">
        <f>IFERROR(__xludf.DUMMYFUNCTION("GOOGLETRANSLATE(A26864,""en"",""pt"")"),"Nem todos os recursos do Z52.")</f>
        <v>Nem todos os recursos do Z52.</v>
      </c>
      <c r="B26864" s="3">
        <v>0</v>
      </c>
    </row>
    <row r="26865" ht="15.75" customHeight="1" spans="1:2">
      <c r="A26865" s="3" t="str">
        <f>IFERROR(__xludf.DUMMYFUNCTION("GOOGLETRANSLATE(A26865,""en"",""pt"")"),"Qualidade média cor; velocidades máximas única em modo rascunho &amp; amp;. # 13; &amp; amp; # 10;")</f>
        <v>Qualidade média cor; velocidades máximas única em modo rascunho &amp; amp;. # 13; &amp; amp; # 10;</v>
      </c>
      <c r="B26865" s="3">
        <v>0</v>
      </c>
    </row>
    <row r="26866" ht="15.75" customHeight="1" spans="1:2">
      <c r="A26866" s="3" t="str">
        <f>IFERROR(__xludf.DUMMYFUNCTION("GOOGLETRANSLATE(A26866,""en"",""pt"")"),"Ainda têm de encontrar um Con")</f>
        <v>Ainda têm de encontrar um Con</v>
      </c>
      <c r="B26866" s="3">
        <v>0</v>
      </c>
    </row>
    <row r="26867" ht="15.75" customHeight="1" spans="1:2">
      <c r="A26867" s="3" t="str">
        <f>IFERROR(__xludf.DUMMYFUNCTION("GOOGLETRANSLATE(A26867,""en"",""pt"")"),"Não vem com os cabos necessários")</f>
        <v>Não vem com os cabos necessários</v>
      </c>
      <c r="B26867" s="3">
        <v>0</v>
      </c>
    </row>
    <row r="26868" ht="15.75" customHeight="1" spans="1:2">
      <c r="A26868" s="3" t="str">
        <f>IFERROR(__xludf.DUMMYFUNCTION("GOOGLETRANSLATE(A26868,""en"",""pt"")"),"Má qualidade de imagem, afirma 640x480 ou 1.3 megapixel, 1,3 megapixel é falso. Não tem flash")</f>
        <v>Má qualidade de imagem, afirma 640x480 ou 1.3 megapixel, 1,3 megapixel é falso. Não tem flash</v>
      </c>
      <c r="B26868" s="3">
        <v>0</v>
      </c>
    </row>
    <row r="26869" ht="15.75" customHeight="1" spans="1:2">
      <c r="A26869" s="3" t="str">
        <f>IFERROR(__xludf.DUMMYFUNCTION("GOOGLETRANSLATE(A26869,""en"",""pt"")"),"A pior qualidade de imagem que eu já vi em qualquer câmera digital, a qualquer preço.")</f>
        <v>A pior qualidade de imagem que eu já vi em qualquer câmera digital, a qualquer preço.</v>
      </c>
      <c r="B26869" s="3">
        <v>0</v>
      </c>
    </row>
    <row r="26870" ht="15.75" customHeight="1" spans="1:2">
      <c r="A26870" s="3" t="str">
        <f>IFERROR(__xludf.DUMMYFUNCTION("GOOGLETRANSLATE(A26870,""en"",""pt"")"),"fotos de cair o queixo terríveis - absolutamente destruídas nossos bom humor")</f>
        <v>fotos de cair o queixo terríveis - absolutamente destruídas nossos bom humor</v>
      </c>
      <c r="B26870" s="3">
        <v>0</v>
      </c>
    </row>
    <row r="26871" ht="15.75" customHeight="1" spans="1:2">
      <c r="A26871" s="3" t="str">
        <f>IFERROR(__xludf.DUMMYFUNCTION("GOOGLETRANSLATE(A26871,""en"",""pt"")"),"Enganosa Publicidade Levando a PICS HORRÍVEL especialmente em ambientes fechados")</f>
        <v>Enganosa Publicidade Levando a PICS HORRÍVEL especialmente em ambientes fechados</v>
      </c>
      <c r="B26871" s="3">
        <v>0</v>
      </c>
    </row>
    <row r="26872" ht="15.75" customHeight="1" spans="1:2">
      <c r="A26872" s="3" t="str">
        <f>IFERROR(__xludf.DUMMYFUNCTION("GOOGLETRANSLATE(A26872,""en"",""pt"")"),"Sh_t fotos na maioria das vezes, visor não precisa")</f>
        <v>Sh_t fotos na maioria das vezes, visor não precisa</v>
      </c>
      <c r="B26872" s="3">
        <v>0</v>
      </c>
    </row>
    <row r="26873" ht="15.75" customHeight="1" spans="1:2">
      <c r="A26873" s="3" t="str">
        <f>IFERROR(__xludf.DUMMYFUNCTION("GOOGLETRANSLATE(A26873,""en"",""pt"")"),"fotos de baixa qualidade. e pausas dentro de meses de compra.")</f>
        <v>fotos de baixa qualidade. e pausas dentro de meses de compra.</v>
      </c>
      <c r="B26873" s="3">
        <v>0</v>
      </c>
    </row>
    <row r="26874" ht="15.75" customHeight="1" spans="1:2">
      <c r="A26874" s="3" t="str">
        <f>IFERROR(__xludf.DUMMYFUNCTION("GOOGLETRANSLATE(A26874,""en"",""pt"")"),"Sem vista da janela para ver se a imagem saiu OK.")</f>
        <v>Sem vista da janela para ver se a imagem saiu OK.</v>
      </c>
      <c r="B26874" s="3">
        <v>0</v>
      </c>
    </row>
    <row r="26875" ht="15.75" customHeight="1" spans="1:2">
      <c r="A26875" s="3" t="str">
        <f>IFERROR(__xludf.DUMMYFUNCTION("GOOGLETRANSLATE(A26875,""en"",""pt"")"),"não muito boa sob condições de pouca luz")</f>
        <v>não muito boa sob condições de pouca luz</v>
      </c>
      <c r="B26875" s="3">
        <v>0</v>
      </c>
    </row>
    <row r="26876" ht="15.75" customHeight="1" spans="1:2">
      <c r="A26876" s="3" t="str">
        <f>IFERROR(__xludf.DUMMYFUNCTION("GOOGLETRANSLATE(A26876,""en"",""pt"")"),"EXTREMAMENTE má qualidade")</f>
        <v>EXTREMAMENTE má qualidade</v>
      </c>
      <c r="B26876" s="3">
        <v>0</v>
      </c>
    </row>
    <row r="26877" ht="15.75" customHeight="1" spans="1:2">
      <c r="A26877" s="3" t="str">
        <f>IFERROR(__xludf.DUMMYFUNCTION("GOOGLETRANSLATE(A26877,""en"",""pt"")"),"Má Qualidade, Sem Flash, No display LCD.")</f>
        <v>Má Qualidade, Sem Flash, No display LCD.</v>
      </c>
      <c r="B26877" s="3">
        <v>0</v>
      </c>
    </row>
    <row r="26878" ht="15.75" customHeight="1" spans="1:2">
      <c r="A26878" s="3" t="str">
        <f>IFERROR(__xludf.DUMMYFUNCTION("GOOGLETRANSLATE(A26878,""en"",""pt"")"),"Caro, Seat Posição Limitações")</f>
        <v>Caro, Seat Posição Limitações</v>
      </c>
      <c r="B26878" s="3">
        <v>0</v>
      </c>
    </row>
    <row r="26879" ht="15.75" customHeight="1" spans="1:2">
      <c r="A26879" s="3" t="str">
        <f>IFERROR(__xludf.DUMMYFUNCTION("GOOGLETRANSLATE(A26879,""en"",""pt"")"),"apenas um ajuste do banco, limitado sol-triagem")</f>
        <v>apenas um ajuste do banco, limitado sol-triagem</v>
      </c>
      <c r="B26879" s="3">
        <v>0</v>
      </c>
    </row>
    <row r="26880" ht="15.75" customHeight="1" spans="1:2">
      <c r="A26880" s="3" t="str">
        <f>IFERROR(__xludf.DUMMYFUNCTION("GOOGLETRANSLATE(A26880,""en"",""pt"")"),"Alças são frágeis.")</f>
        <v>Alças são frágeis.</v>
      </c>
      <c r="B26880" s="3">
        <v>0</v>
      </c>
    </row>
    <row r="26881" ht="15.75" customHeight="1" spans="1:2">
      <c r="A26881" s="3" t="str">
        <f>IFERROR(__xludf.DUMMYFUNCTION("GOOGLETRANSLATE(A26881,""en"",""pt"")"),"caro, guarda-sol inadequada, difícil de ajustar a posição do assento")</f>
        <v>caro, guarda-sol inadequada, difícil de ajustar a posição do assento</v>
      </c>
      <c r="B26881" s="3">
        <v>0</v>
      </c>
    </row>
    <row r="26882" ht="15.75" customHeight="1" spans="1:2">
      <c r="A26882" s="3" t="str">
        <f>IFERROR(__xludf.DUMMYFUNCTION("GOOGLETRANSLATE(A26882,""en"",""pt"")"),"Assento não reclinar longe o suficiente para bebês pequenos")</f>
        <v>Assento não reclinar longe o suficiente para bebês pequenos</v>
      </c>
      <c r="B26882" s="3">
        <v>0</v>
      </c>
    </row>
    <row r="26883" ht="15.75" customHeight="1" spans="1:2">
      <c r="A26883" s="3" t="str">
        <f>IFERROR(__xludf.DUMMYFUNCTION("GOOGLETRANSLATE(A26883,""en"",""pt"")"),"É impossível desengatar o cinto de cinco pontos. Ela adere horrivelmente.")</f>
        <v>É impossível desengatar o cinto de cinco pontos. Ela adere horrivelmente.</v>
      </c>
      <c r="B26883" s="3">
        <v>0</v>
      </c>
    </row>
    <row r="26884" ht="15.75" customHeight="1" spans="1:2">
      <c r="A26884" s="3" t="str">
        <f>IFERROR(__xludf.DUMMYFUNCTION("GOOGLETRANSLATE(A26884,""en"",""pt"")"),"Caro, pesado, pequenos cestos")</f>
        <v>Caro, pesado, pequenos cestos</v>
      </c>
      <c r="B26884" s="3">
        <v>0</v>
      </c>
    </row>
    <row r="26885" ht="15.75" customHeight="1" spans="1:2">
      <c r="A26885" s="3" t="str">
        <f>IFERROR(__xludf.DUMMYFUNCTION("GOOGLETRANSLATE(A26885,""en"",""pt"")"),"suspensão não")</f>
        <v>suspensão não</v>
      </c>
      <c r="B26885" s="3">
        <v>0</v>
      </c>
    </row>
    <row r="26886" ht="15.75" customHeight="1" spans="1:2">
      <c r="A26886" s="3" t="str">
        <f>IFERROR(__xludf.DUMMYFUNCTION("GOOGLETRANSLATE(A26886,""en"",""pt"")"),"Capa quebrou e bloqueio rachado")</f>
        <v>Capa quebrou e bloqueio rachado</v>
      </c>
      <c r="B26886" s="3">
        <v>0</v>
      </c>
    </row>
    <row r="26887" ht="15.75" customHeight="1" spans="1:2">
      <c r="A26887" s="3" t="str">
        <f>IFERROR(__xludf.DUMMYFUNCTION("GOOGLETRANSLATE(A26887,""en"",""pt"")"),"um pouco caro")</f>
        <v>um pouco caro</v>
      </c>
      <c r="B26887" s="3">
        <v>0</v>
      </c>
    </row>
    <row r="26888" ht="15.75" customHeight="1" spans="1:2">
      <c r="A26888" s="3" t="str">
        <f>IFERROR(__xludf.DUMMYFUNCTION("GOOGLETRANSLATE(A26888,""en"",""pt"")"),"Não é muito confortável, sem carrinho de compras, acessórios Raincover ligeiramente suspeitos")</f>
        <v>Não é muito confortável, sem carrinho de compras, acessórios Raincover ligeiramente suspeitos</v>
      </c>
      <c r="B26888" s="3">
        <v>0</v>
      </c>
    </row>
    <row r="26889" ht="15.75" customHeight="1" spans="1:2">
      <c r="A26889" s="3" t="str">
        <f>IFERROR(__xludf.DUMMYFUNCTION("GOOGLETRANSLATE(A26889,""en"",""pt"")"),"cestas pequenas.")</f>
        <v>cestas pequenas.</v>
      </c>
      <c r="B26889" s="3">
        <v>0</v>
      </c>
    </row>
    <row r="26890" ht="15.75" customHeight="1" spans="1:2">
      <c r="A26890" s="3" t="str">
        <f>IFERROR(__xludf.DUMMYFUNCTION("GOOGLETRANSLATE(A26890,""en"",""pt"")"),"Caro. (Eu encontrei um negócio on-line).")</f>
        <v>Caro. (Eu encontrei um negócio on-line).</v>
      </c>
      <c r="B26890" s="3">
        <v>0</v>
      </c>
    </row>
    <row r="26891" ht="15.75" customHeight="1" spans="1:2">
      <c r="A26891" s="3" t="str">
        <f>IFERROR(__xludf.DUMMYFUNCTION("GOOGLETRANSLATE(A26891,""en"",""pt"")"),"caro")</f>
        <v>caro</v>
      </c>
      <c r="B26891" s="3">
        <v>0</v>
      </c>
    </row>
    <row r="26892" ht="15.75" customHeight="1" spans="1:2">
      <c r="A26892" s="3" t="str">
        <f>IFERROR(__xludf.DUMMYFUNCTION("GOOGLETRANSLATE(A26892,""en"",""pt"")"),"Peças ter quebrado facilmente, pequena copa")</f>
        <v>Peças ter quebrado facilmente, pequena copa</v>
      </c>
      <c r="B26892" s="3">
        <v>0</v>
      </c>
    </row>
    <row r="26893" ht="15.75" customHeight="1" spans="1:2">
      <c r="A26893" s="3" t="str">
        <f>IFERROR(__xludf.DUMMYFUNCTION("GOOGLETRANSLATE(A26893,""en"",""pt"")"),"Preço!")</f>
        <v>Preço!</v>
      </c>
      <c r="B26893" s="3">
        <v>0</v>
      </c>
    </row>
    <row r="26894" ht="15.75" customHeight="1" spans="1:2">
      <c r="A26894" s="3" t="str">
        <f>IFERROR(__xludf.DUMMYFUNCTION("GOOGLETRANSLATE(A26894,""en"",""pt"")"),"capuz destacável é um pouco estranho")</f>
        <v>capuz destacável é um pouco estranho</v>
      </c>
      <c r="B26894" s="3">
        <v>0</v>
      </c>
    </row>
    <row r="26895" ht="15.75" customHeight="1" spans="1:2">
      <c r="A26895" s="3" t="str">
        <f>IFERROR(__xludf.DUMMYFUNCTION("GOOGLETRANSLATE(A26895,""en"",""pt"")"),"preço, necessidade de serviço")</f>
        <v>preço, necessidade de serviço</v>
      </c>
      <c r="B26895" s="3">
        <v>0</v>
      </c>
    </row>
    <row r="26896" ht="15.75" customHeight="1" spans="1:2">
      <c r="A26896" s="3" t="str">
        <f>IFERROR(__xludf.DUMMYFUNCTION("GOOGLETRANSLATE(A26896,""en"",""pt"")"),"caro")</f>
        <v>caro</v>
      </c>
      <c r="B26896" s="3">
        <v>0</v>
      </c>
    </row>
    <row r="26897" ht="15.75" customHeight="1" spans="1:2">
      <c r="A26897" s="3" t="str">
        <f>IFERROR(__xludf.DUMMYFUNCTION("GOOGLETRANSLATE(A26897,""en"",""pt"")"),"cestas poderia ser maior")</f>
        <v>cestas poderia ser maior</v>
      </c>
      <c r="B26897" s="3">
        <v>0</v>
      </c>
    </row>
    <row r="26898" ht="15.75" customHeight="1" spans="1:2">
      <c r="A26898" s="3" t="str">
        <f>IFERROR(__xludf.DUMMYFUNCTION("GOOGLETRANSLATE(A26898,""en"",""pt"")"),"Um pouco costlyly, mas não é mau realitive com a qualidade.")</f>
        <v>Um pouco costlyly, mas não é mau realitive com a qualidade.</v>
      </c>
      <c r="B26898" s="3">
        <v>0</v>
      </c>
    </row>
    <row r="26899" ht="15.75" customHeight="1" spans="1:2">
      <c r="A26899" s="3" t="str">
        <f>IFERROR(__xludf.DUMMYFUNCTION("GOOGLETRANSLATE(A26899,""en"",""pt"")"),"pequenos cestos, copa não bloqueia sol, caro")</f>
        <v>pequenos cestos, copa não bloqueia sol, caro</v>
      </c>
      <c r="B26899" s="3">
        <v>0</v>
      </c>
    </row>
    <row r="26900" ht="15.75" customHeight="1" spans="1:2">
      <c r="A26900" s="3" t="str">
        <f>IFERROR(__xludf.DUMMYFUNCTION("GOOGLETRANSLATE(A26900,""en"",""pt"")"),"Dois mecanismo reclinável handed, difíceis de alcançar gancho de conexão")</f>
        <v>Dois mecanismo reclinável handed, difíceis de alcançar gancho de conexão</v>
      </c>
      <c r="B26900" s="3">
        <v>0</v>
      </c>
    </row>
    <row r="26901" ht="15.75" customHeight="1" spans="1:2">
      <c r="A26901" s="3" t="str">
        <f>IFERROR(__xludf.DUMMYFUNCTION("GOOGLETRANSLATE(A26901,""en"",""pt"")"),"preços, limitações de garantia")</f>
        <v>preços, limitações de garantia</v>
      </c>
      <c r="B26901" s="3">
        <v>0</v>
      </c>
    </row>
    <row r="26902" ht="15.75" customHeight="1" spans="1:2">
      <c r="A26902" s="3" t="str">
        <f>IFERROR(__xludf.DUMMYFUNCTION("GOOGLETRANSLATE(A26902,""en"",""pt"")"),"não é tão fácil de dobrar para baixo com anexos, a largura")</f>
        <v>não é tão fácil de dobrar para baixo com anexos, a largura</v>
      </c>
      <c r="B26902" s="3">
        <v>0</v>
      </c>
    </row>
    <row r="26903" ht="15.75" customHeight="1" spans="1:2">
      <c r="A26903" s="3" t="str">
        <f>IFERROR(__xludf.DUMMYFUNCTION("GOOGLETRANSLATE(A26903,""en"",""pt"")"),"Muito caro! menor sob o armazenamento assento")</f>
        <v>Muito caro! menor sob o armazenamento assento</v>
      </c>
      <c r="B26903" s="3">
        <v>0</v>
      </c>
    </row>
    <row r="26904" ht="15.75" customHeight="1" spans="1:2">
      <c r="A26904" s="3" t="str">
        <f>IFERROR(__xludf.DUMMYFUNCTION("GOOGLETRANSLATE(A26904,""en"",""pt"")"),"Caro, bastante amplo para pequenos espaços, dosséis não são adequados para bloquear sol.")</f>
        <v>Caro, bastante amplo para pequenos espaços, dosséis não são adequados para bloquear sol.</v>
      </c>
      <c r="B26904" s="3">
        <v>0</v>
      </c>
    </row>
    <row r="26905" ht="15.75" customHeight="1" spans="1:2">
      <c r="A26905" s="3" t="str">
        <f>IFERROR(__xludf.DUMMYFUNCTION("GOOGLETRANSLATE(A26905,""en"",""pt"")"),"Rodas baratos, eles tagarelar quando você anda rápido &amp; amp; muito difícil de fechar.")</f>
        <v>Rodas baratos, eles tagarelar quando você anda rápido &amp; amp; muito difícil de fechar.</v>
      </c>
      <c r="B26905" s="3">
        <v>0</v>
      </c>
    </row>
    <row r="26906" ht="15.75" customHeight="1" spans="1:2">
      <c r="A26906" s="3" t="str">
        <f>IFERROR(__xludf.DUMMYFUNCTION("GOOGLETRANSLATE(A26906,""en"",""pt"")"),"Cesta pequena, a colocação da janela da copa")</f>
        <v>Cesta pequena, a colocação da janela da copa</v>
      </c>
      <c r="B26906" s="3">
        <v>0</v>
      </c>
    </row>
    <row r="26907" ht="15.75" customHeight="1" spans="1:2">
      <c r="A26907" s="3" t="str">
        <f>IFERROR(__xludf.DUMMYFUNCTION("GOOGLETRANSLATE(A26907,""en"",""pt"")"),"Caro, cesta inútil.")</f>
        <v>Caro, cesta inútil.</v>
      </c>
      <c r="B26907" s="3">
        <v>0</v>
      </c>
    </row>
    <row r="26908" ht="15.75" customHeight="1" spans="1:2">
      <c r="A26908" s="3" t="str">
        <f>IFERROR(__xludf.DUMMYFUNCTION("GOOGLETRANSLATE(A26908,""en"",""pt"")"),"Carece de rodas de borracha e suspensão na defeituoso alavanca wheels.Canopy traseira em alguns modelos.")</f>
        <v>Carece de rodas de borracha e suspensão na defeituoso alavanca wheels.Canopy traseira em alguns modelos.</v>
      </c>
      <c r="B26908" s="3">
        <v>0</v>
      </c>
    </row>
    <row r="26909" ht="15.75" customHeight="1" spans="1:2">
      <c r="A26909" s="3" t="str">
        <f>IFERROR(__xludf.DUMMYFUNCTION("GOOGLETRANSLATE(A26909,""en"",""pt"")"),"Pesado quando dobrado, caro.")</f>
        <v>Pesado quando dobrado, caro.</v>
      </c>
      <c r="B26909" s="3">
        <v>0</v>
      </c>
    </row>
    <row r="26910" ht="15.75" customHeight="1" spans="1:2">
      <c r="A26910" s="3" t="str">
        <f>IFERROR(__xludf.DUMMYFUNCTION("GOOGLETRANSLATE(A26910,""en"",""pt"")"),"não em tudo")</f>
        <v>não em tudo</v>
      </c>
      <c r="B26910" s="3">
        <v>0</v>
      </c>
    </row>
    <row r="26911" ht="15.75" customHeight="1" spans="1:2">
      <c r="A26911" s="3" t="s">
        <v>137</v>
      </c>
      <c r="B26911" s="3">
        <v>0</v>
      </c>
    </row>
    <row r="26912" ht="15.75" customHeight="1" spans="1:2">
      <c r="A26912" s="3" t="str">
        <f>IFERROR(__xludf.DUMMYFUNCTION("GOOGLETRANSLATE(A26912,""en"",""pt"")"),"caro")</f>
        <v>caro</v>
      </c>
      <c r="B26912" s="3">
        <v>0</v>
      </c>
    </row>
    <row r="26913" ht="15.75" customHeight="1" spans="1:2">
      <c r="A26913" s="3" t="str">
        <f>IFERROR(__xludf.DUMMYFUNCTION("GOOGLETRANSLATE(A26913,""en"",""pt"")"),"freios falharam, vazamentos capô, travas de plástico no capô quebrado - tudo após 4 meses")</f>
        <v>freios falharam, vazamentos capô, travas de plástico no capô quebrado - tudo após 4 meses</v>
      </c>
      <c r="B26913" s="3">
        <v>0</v>
      </c>
    </row>
    <row r="26914" ht="15.75" customHeight="1" spans="1:2">
      <c r="A26914" s="3" t="str">
        <f>IFERROR(__xludf.DUMMYFUNCTION("GOOGLETRANSLATE(A26914,""en"",""pt"")"),"Freios são difíceis de aplicar, canopy does not fornecer muita sombra")</f>
        <v>Freios são difíceis de aplicar, canopy does not fornecer muita sombra</v>
      </c>
      <c r="B26914" s="3">
        <v>0</v>
      </c>
    </row>
    <row r="26915" ht="15.75" customHeight="1" spans="1:2">
      <c r="A26915" s="3" t="str">
        <f>IFERROR(__xludf.DUMMYFUNCTION("GOOGLETRANSLATE(A26915,""en"",""pt"")"),"Caro, pequeno cesto,")</f>
        <v>Caro, pequeno cesto,</v>
      </c>
      <c r="B26915" s="3">
        <v>0</v>
      </c>
    </row>
    <row r="26916" ht="15.75" customHeight="1" spans="1:2">
      <c r="A26916" s="3" t="str">
        <f>IFERROR(__xludf.DUMMYFUNCTION("GOOGLETRANSLATE(A26916,""en"",""pt"")"),"questões de roda, cesta inútil, outros problemas de controle de qualidade")</f>
        <v>questões de roda, cesta inútil, outros problemas de controle de qualidade</v>
      </c>
      <c r="B26916" s="3">
        <v>0</v>
      </c>
    </row>
    <row r="26917" ht="15.75" customHeight="1" spans="1:2">
      <c r="A26917" s="3" t="str">
        <f>IFERROR(__xludf.DUMMYFUNCTION("GOOGLETRANSLATE(A26917,""en"",""pt"")"),"Posicionamento da janela e cesta um pouco estranho")</f>
        <v>Posicionamento da janela e cesta um pouco estranho</v>
      </c>
      <c r="B26917" s="3">
        <v>0</v>
      </c>
    </row>
    <row r="26918" ht="15.75" customHeight="1" spans="1:2">
      <c r="A26918" s="3" t="str">
        <f>IFERROR(__xludf.DUMMYFUNCTION("GOOGLETRANSLATE(A26918,""en"",""pt"")"),"Cesta pequena.")</f>
        <v>Cesta pequena.</v>
      </c>
      <c r="B26918" s="3">
        <v>0</v>
      </c>
    </row>
    <row r="26919" ht="15.75" customHeight="1" spans="1:2">
      <c r="A26919" s="3" t="str">
        <f>IFERROR(__xludf.DUMMYFUNCTION("GOOGLETRANSLATE(A26919,""en"",""pt"")"),"Caro")</f>
        <v>Caro</v>
      </c>
      <c r="B26919" s="3">
        <v>0</v>
      </c>
    </row>
    <row r="26920" ht="15.75" customHeight="1" spans="1:2">
      <c r="A26920" s="3" t="str">
        <f>IFERROR(__xludf.DUMMYFUNCTION("GOOGLETRANSLATE(A26920,""en"",""pt"")"),"não totalmente reclinar, pequena cesta, caro.")</f>
        <v>não totalmente reclinar, pequena cesta, caro.</v>
      </c>
      <c r="B26920" s="3">
        <v>0</v>
      </c>
    </row>
    <row r="26921" ht="15.75" customHeight="1" spans="1:2">
      <c r="A26921" s="3" t="str">
        <f>IFERROR(__xludf.DUMMYFUNCTION("GOOGLETRANSLATE(A26921,""en"",""pt"")"),"caro, cesta pequeno, tamanho médio da copa")</f>
        <v>caro, cesta pequeno, tamanho médio da copa</v>
      </c>
      <c r="B26921" s="3">
        <v>0</v>
      </c>
    </row>
    <row r="26922" ht="15.75" customHeight="1" spans="1:2">
      <c r="A26922" s="3" t="str">
        <f>IFERROR(__xludf.DUMMYFUNCTION("GOOGLETRANSLATE(A26922,""en"",""pt"")"),"heavy volta, dicas muito facilmente")</f>
        <v>heavy volta, dicas muito facilmente</v>
      </c>
      <c r="B26922" s="3">
        <v>0</v>
      </c>
    </row>
    <row r="26923" ht="15.75" customHeight="1" spans="1:2">
      <c r="A26923" s="3" t="str">
        <f>IFERROR(__xludf.DUMMYFUNCTION("GOOGLETRANSLATE(A26923,""en"",""pt"")"),"preço")</f>
        <v>preço</v>
      </c>
      <c r="B26923" s="3">
        <v>0</v>
      </c>
    </row>
    <row r="26924" ht="15.75" customHeight="1" spans="1:2">
      <c r="A26924" s="3" t="str">
        <f>IFERROR(__xludf.DUMMYFUNCTION("GOOGLETRANSLATE(A26924,""en"",""pt"")"),"pequena cesta")</f>
        <v>pequena cesta</v>
      </c>
      <c r="B26924" s="3">
        <v>0</v>
      </c>
    </row>
    <row r="26925" ht="15.75" customHeight="1" spans="1:2">
      <c r="A26925" s="3" t="str">
        <f>IFERROR(__xludf.DUMMYFUNCTION("GOOGLETRANSLATE(A26925,""en"",""pt"")"),"rodas giratórias nem sempre ficar na ""posição fixa"", que eu prefiro usar.")</f>
        <v>rodas giratórias nem sempre ficar na "posição fixa", que eu prefiro usar.</v>
      </c>
      <c r="B26925" s="3">
        <v>0</v>
      </c>
    </row>
    <row r="26926" ht="15.75" customHeight="1" spans="1:2">
      <c r="A26926" s="3" t="str">
        <f>IFERROR(__xludf.DUMMYFUNCTION("GOOGLETRANSLATE(A26926,""en"",""pt"")"),"Rodas NUNCA trabalhou - Eu comprei / devolvido 3 Maclaren Mistrals. freios estranho.")</f>
        <v>Rodas NUNCA trabalhou - Eu comprei / devolvido 3 Maclaren Mistrals. freios estranho.</v>
      </c>
      <c r="B26926" s="3">
        <v>0</v>
      </c>
    </row>
    <row r="26927" ht="15.75" customHeight="1" spans="1:2">
      <c r="A26927" s="3" t="str">
        <f>IFERROR(__xludf.DUMMYFUNCTION("GOOGLETRANSLATE(A26927,""en"",""pt"")"),"não é muito bom para os bebês pequenos, não muito bem acolchoado")</f>
        <v>não é muito bom para os bebês pequenos, não muito bem acolchoado</v>
      </c>
      <c r="B26927" s="3">
        <v>0</v>
      </c>
    </row>
    <row r="26928" ht="15.75" customHeight="1" spans="1:2">
      <c r="A26928" s="3" t="str">
        <f>IFERROR(__xludf.DUMMYFUNCTION("GOOGLETRANSLATE(A26928,""en"",""pt"")"),"INSTÁVEL! Assento baixo, passeio desconfortável, pequena cesta, não resiste quando dobrado,")</f>
        <v>INSTÁVEL! Assento baixo, passeio desconfortável, pequena cesta, não resiste quando dobrado,</v>
      </c>
      <c r="B26928" s="3">
        <v>0</v>
      </c>
    </row>
    <row r="26929" ht="15.75" customHeight="1" spans="1:2">
      <c r="A26929" s="3" t="str">
        <f>IFERROR(__xludf.DUMMYFUNCTION("GOOGLETRANSLATE(A26929,""en"",""pt"")"),"pequena cesta")</f>
        <v>pequena cesta</v>
      </c>
      <c r="B26929" s="3">
        <v>0</v>
      </c>
    </row>
    <row r="26930" ht="15.75" customHeight="1" spans="1:2">
      <c r="A26930" s="3" t="str">
        <f>IFERROR(__xludf.DUMMYFUNCTION("GOOGLETRANSLATE(A26930,""en"",""pt"")"),"preço elevado.")</f>
        <v>preço elevado.</v>
      </c>
      <c r="B26930" s="3">
        <v>0</v>
      </c>
    </row>
    <row r="26931" ht="15.75" customHeight="1" spans="1:2">
      <c r="A26931" s="3" t="str">
        <f>IFERROR(__xludf.DUMMYFUNCTION("GOOGLETRANSLATE(A26931,""en"",""pt"")"),"CUSTO $$$$$, copa, cesta")</f>
        <v>CUSTO $$$$$, copa, cesta</v>
      </c>
      <c r="B26931" s="3">
        <v>0</v>
      </c>
    </row>
    <row r="26932" ht="15.75" customHeight="1" spans="1:2">
      <c r="A26932" s="3" t="str">
        <f>IFERROR(__xludf.DUMMYFUNCTION("GOOGLETRANSLATE(A26932,""en"",""pt"")"),"Não há contras, a menos que o custo é um grande problema")</f>
        <v>Não há contras, a menos que o custo é um grande problema</v>
      </c>
      <c r="B26932" s="3">
        <v>0</v>
      </c>
    </row>
    <row r="26933" ht="15.75" customHeight="1" spans="1:2">
      <c r="A26933" s="3" t="str">
        <f>IFERROR(__xludf.DUMMYFUNCTION("GOOGLETRANSLATE(A26933,""en"",""pt"")"),"extensões de descanso de pernas tendem a entrar em colapso no meio")</f>
        <v>extensões de descanso de pernas tendem a entrar em colapso no meio</v>
      </c>
      <c r="B26933" s="3">
        <v>0</v>
      </c>
    </row>
    <row r="26934" ht="15.75" customHeight="1" spans="1:2">
      <c r="A26934" s="3" t="str">
        <f>IFERROR(__xludf.DUMMYFUNCTION("GOOGLETRANSLATE(A26934,""en"",""pt"")"),"Ele custa mais dinheiro, então os outros.")</f>
        <v>Ele custa mais dinheiro, então os outros.</v>
      </c>
      <c r="B26934" s="3">
        <v>0</v>
      </c>
    </row>
    <row r="26935" ht="15.75" customHeight="1" spans="1:2">
      <c r="A26935" s="3" t="str">
        <f>IFERROR(__xludf.DUMMYFUNCTION("GOOGLETRANSLATE(A26935,""en"",""pt"")"),"Caro")</f>
        <v>Caro</v>
      </c>
      <c r="B26935" s="3">
        <v>0</v>
      </c>
    </row>
    <row r="26936" ht="15.75" customHeight="1" spans="1:2">
      <c r="A26936" s="3" t="str">
        <f>IFERROR(__xludf.DUMMYFUNCTION("GOOGLETRANSLATE(A26936,""en"",""pt"")"),"preço")</f>
        <v>preço</v>
      </c>
      <c r="B26936" s="3">
        <v>0</v>
      </c>
    </row>
    <row r="26937" ht="15.75" customHeight="1" spans="1:2">
      <c r="A26937" s="3" t="str">
        <f>IFERROR(__xludf.DUMMYFUNCTION("GOOGLETRANSLATE(A26937,""en"",""pt"")"),"O sunhood - leia abaixo.")</f>
        <v>O sunhood - leia abaixo.</v>
      </c>
      <c r="B26937" s="3">
        <v>0</v>
      </c>
    </row>
    <row r="26938" ht="15.75" customHeight="1" spans="1:2">
      <c r="A26938" s="3" t="str">
        <f>IFERROR(__xludf.DUMMYFUNCTION("GOOGLETRANSLATE(A26938,""en"",""pt"")"),"Câmera não funciona bem em mais escuras configurações, com fome de poder")</f>
        <v>Câmera não funciona bem em mais escuras configurações, com fome de poder</v>
      </c>
      <c r="B26938" s="3">
        <v>0</v>
      </c>
    </row>
    <row r="26939" ht="15.75" customHeight="1" spans="1:2">
      <c r="A26939" s="3" t="str">
        <f>IFERROR(__xludf.DUMMYFUNCTION("GOOGLETRANSLATE(A26939,""en"",""pt"")"),"Maior devorador de bateria do que brinquedos Fisher Price! Oink!")</f>
        <v>Maior devorador de bateria do que brinquedos Fisher Price! Oink!</v>
      </c>
      <c r="B26939" s="3">
        <v>0</v>
      </c>
    </row>
    <row r="26940" ht="15.75" customHeight="1" spans="1:2">
      <c r="A26940" s="3" t="str">
        <f>IFERROR(__xludf.DUMMYFUNCTION("GOOGLETRANSLATE(A26940,""en"",""pt"")"),"Leva uma eternidade para tirar uma foto")</f>
        <v>Leva uma eternidade para tirar uma foto</v>
      </c>
      <c r="B26940" s="3">
        <v>0</v>
      </c>
    </row>
    <row r="26941" ht="15.75" customHeight="1" spans="1:2">
      <c r="A26941" s="3" t="str">
        <f>IFERROR(__xludf.DUMMYFUNCTION("GOOGLETRANSLATE(A26941,""en"",""pt"")"),"o uso da bateria")</f>
        <v>o uso da bateria</v>
      </c>
      <c r="B26941" s="3">
        <v>0</v>
      </c>
    </row>
    <row r="26942" ht="15.75" customHeight="1" spans="1:2">
      <c r="A26942" s="3" t="str">
        <f>IFERROR(__xludf.DUMMYFUNCTION("GOOGLETRANSLATE(A26942,""en"",""pt"")"),"zoom óptico não &amp; amp; amp; vida de bateria fraca")</f>
        <v>zoom óptico não &amp; amp; amp; vida de bateria fraca</v>
      </c>
      <c r="B26942" s="3">
        <v>0</v>
      </c>
    </row>
    <row r="26943" ht="15.75" customHeight="1" spans="1:2">
      <c r="A26943" s="3" t="str">
        <f>IFERROR(__xludf.DUMMYFUNCTION("GOOGLETRANSLATE(A26943,""en"",""pt"")"),"Sem zoom óptico. Bip não pode ser desativado.")</f>
        <v>Sem zoom óptico. Bip não pode ser desativado.</v>
      </c>
      <c r="B26943" s="3">
        <v>0</v>
      </c>
    </row>
    <row r="26944" ht="15.75" customHeight="1" spans="1:2">
      <c r="A26944" s="3" t="str">
        <f>IFERROR(__xludf.DUMMYFUNCTION("GOOGLETRANSLATE(A26944,""en"",""pt"")"),"Há avanços ainda a serem feitas, mas este é o melhor")</f>
        <v>Há avanços ainda a serem feitas, mas este é o melhor</v>
      </c>
      <c r="B26944" s="3">
        <v>0</v>
      </c>
    </row>
    <row r="26945" ht="15.75" customHeight="1" spans="1:2">
      <c r="A26945" s="3" t="str">
        <f>IFERROR(__xludf.DUMMYFUNCTION("GOOGLETRANSLATE(A26945,""en"",""pt"")"),"lento para iniciar, lento para visualizar imagens")</f>
        <v>lento para iniciar, lento para visualizar imagens</v>
      </c>
      <c r="B26945" s="3">
        <v>0</v>
      </c>
    </row>
    <row r="26946" ht="15.75" customHeight="1" spans="1:2">
      <c r="A26946" s="3" t="str">
        <f>IFERROR(__xludf.DUMMYFUNCTION("GOOGLETRANSLATE(A26946,""en"",""pt"")"),"Sem zoom óptico, foco lento, não é bom para fotos de ação de flash.")</f>
        <v>Sem zoom óptico, foco lento, não é bom para fotos de ação de flash.</v>
      </c>
      <c r="B26946" s="3">
        <v>0</v>
      </c>
    </row>
    <row r="26947" ht="15.75" customHeight="1" spans="1:2">
      <c r="A26947" s="3" t="str">
        <f>IFERROR(__xludf.DUMMYFUNCTION("GOOGLETRANSLATE(A26947,""en"",""pt"")"),"Sem zoom óptico, baterias come (!)")</f>
        <v>Sem zoom óptico, baterias come (!)</v>
      </c>
      <c r="B26947" s="3">
        <v>0</v>
      </c>
    </row>
    <row r="26948" ht="15.75" customHeight="1" spans="1:2">
      <c r="A26948" s="3" t="str">
        <f>IFERROR(__xludf.DUMMYFUNCTION("GOOGLETRANSLATE(A26948,""en"",""pt"")"),"não segurar um monte de energia da bateria")</f>
        <v>não segurar um monte de energia da bateria</v>
      </c>
      <c r="B26948" s="3">
        <v>0</v>
      </c>
    </row>
    <row r="26949" ht="15.75" customHeight="1" spans="1:2">
      <c r="A26949" s="3" t="str">
        <f>IFERROR(__xludf.DUMMYFUNCTION("GOOGLETRANSLATE(A26949,""en"",""pt"")"),"programa incluído, o uso da bateria, muito lento download fotos.")</f>
        <v>programa incluído, o uso da bateria, muito lento download fotos.</v>
      </c>
      <c r="B26949" s="3">
        <v>0</v>
      </c>
    </row>
    <row r="26950" ht="15.75" customHeight="1" spans="1:2">
      <c r="A26950" s="3" t="str">
        <f>IFERROR(__xludf.DUMMYFUNCTION("GOOGLETRANSLATE(A26950,""en"",""pt"")"),"consomem baterias")</f>
        <v>consomem baterias</v>
      </c>
      <c r="B26950" s="3">
        <v>0</v>
      </c>
    </row>
    <row r="26951" ht="15.75" customHeight="1" spans="1:2">
      <c r="A26951" s="3" t="str">
        <f>IFERROR(__xludf.DUMMYFUNCTION("GOOGLETRANSLATE(A26951,""en"",""pt"")"),"não carregar imagens para PC. monstro poder. Exibição deve estar ligado durante o carregamento.")</f>
        <v>não carregar imagens para PC. monstro poder. Exibição deve estar ligado durante o carregamento.</v>
      </c>
      <c r="B26951" s="3">
        <v>0</v>
      </c>
    </row>
    <row r="26952" ht="15.75" customHeight="1" spans="1:2">
      <c r="A26952" s="3" t="str">
        <f>IFERROR(__xludf.DUMMYFUNCTION("GOOGLETRANSLATE(A26952,""en"",""pt"")"),"Retardar AF; visor eletrônico precisa ser melhorado; aperto de mão não é confortável; exposição não é consistente")</f>
        <v>Retardar AF; visor eletrônico precisa ser melhorado; aperto de mão não é confortável; exposição não é consistente</v>
      </c>
      <c r="B26952" s="3">
        <v>0</v>
      </c>
    </row>
    <row r="26953" ht="15.75" customHeight="1" spans="1:2">
      <c r="A26953" s="3" t="str">
        <f>IFERROR(__xludf.DUMMYFUNCTION("GOOGLETRANSLATE(A26953,""en"",""pt"")"),"Aquece, visor granulado, curta duração da bateria, autofocus lento &amp; amp; # 13; &amp; amp; # 10;")</f>
        <v>Aquece, visor granulado, curta duração da bateria, autofocus lento &amp; amp; # 13; &amp; amp; # 10;</v>
      </c>
      <c r="B26953" s="3">
        <v>0</v>
      </c>
    </row>
    <row r="26954" ht="15.75" customHeight="1" spans="1:2">
      <c r="A26954" s="3" t="str">
        <f>IFERROR(__xludf.DUMMYFUNCTION("GOOGLETRANSLATE(A26954,""en"",""pt"")"),"usa pilhas AA, tem frágil flash pop-up")</f>
        <v>usa pilhas AA, tem frágil flash pop-up</v>
      </c>
      <c r="B26954" s="3">
        <v>0</v>
      </c>
    </row>
    <row r="26955" ht="15.75" customHeight="1" spans="1:2">
      <c r="A26955" s="3" t="str">
        <f>IFERROR(__xludf.DUMMYFUNCTION("GOOGLETRANSLATE(A26955,""en"",""pt"")"),"Come baterias, no entanto uso pode usar baterias NiMH recarregáveis ​​que são baratos")</f>
        <v>Come baterias, no entanto uso pode usar baterias NiMH recarregáveis ​​que são baratos</v>
      </c>
      <c r="B26955" s="3">
        <v>0</v>
      </c>
    </row>
    <row r="26956" ht="15.75" customHeight="1" spans="1:2">
      <c r="A26956" s="3" t="str">
        <f>IFERROR(__xludf.DUMMYFUNCTION("GOOGLETRANSLATE(A26956,""en"",""pt"")"),"Leva algum tempo para aprender todos os controles, mas quando o fizer, WOW!")</f>
        <v>Leva algum tempo para aprender todos os controles, mas quando o fizer, WOW!</v>
      </c>
      <c r="B26956" s="3">
        <v>0</v>
      </c>
    </row>
    <row r="26957" ht="15.75" customHeight="1" spans="1:2">
      <c r="A26957" s="3" t="str">
        <f>IFERROR(__xludf.DUMMYFUNCTION("GOOGLETRANSLATE(A26957,""en"",""pt"")"),"problemas de exposição, ainda sem adaptador de flash PC-cabo prometido por Minolta")</f>
        <v>problemas de exposição, ainda sem adaptador de flash PC-cabo prometido por Minolta</v>
      </c>
      <c r="B26957" s="3">
        <v>0</v>
      </c>
    </row>
    <row r="26958" ht="15.75" customHeight="1" spans="1:2">
      <c r="A26958" s="3" t="str">
        <f>IFERROR(__xludf.DUMMYFUNCTION("GOOGLETRANSLATE(A26958,""en"",""pt"")"),"Só vem com 16MB cartão de memória flash compacto e 4 pilhas alcalinas.")</f>
        <v>Só vem com 16MB cartão de memória flash compacto e 4 pilhas alcalinas.</v>
      </c>
      <c r="B26958" s="3">
        <v>0</v>
      </c>
    </row>
    <row r="26959" ht="15.75" customHeight="1" spans="1:2">
      <c r="A26959" s="3" t="str">
        <f>IFERROR(__xludf.DUMMYFUNCTION("GOOGLETRANSLATE(A26959,""en"",""pt"")"),"A vida da bateria é pobre, conector de bloco de poder é fraco.")</f>
        <v>A vida da bateria é pobre, conector de bloco de poder é fraco.</v>
      </c>
      <c r="B26959" s="3">
        <v>0</v>
      </c>
    </row>
    <row r="26960" ht="15.75" customHeight="1" spans="1:2">
      <c r="A26960" s="3" t="str">
        <f>IFERROR(__xludf.DUMMYFUNCTION("GOOGLETRANSLATE(A26960,""en"",""pt"")"),"vida de bateria fraca como todos digitals, passo extra para pix processo")</f>
        <v>vida de bateria fraca como todos digitals, passo extra para pix processo</v>
      </c>
      <c r="B26960" s="3">
        <v>0</v>
      </c>
    </row>
    <row r="26961" ht="15.75" customHeight="1" spans="1:2">
      <c r="A26961" s="3" t="str">
        <f>IFERROR(__xludf.DUMMYFUNCTION("GOOGLETRANSLATE(A26961,""en"",""pt"")"),"O visor leva tempo para se acostumar - não se sente ou aparecer TTL verdadeiramente")</f>
        <v>O visor leva tempo para se acostumar - não se sente ou aparecer TTL verdadeiramente</v>
      </c>
      <c r="B26961" s="3">
        <v>0</v>
      </c>
    </row>
    <row r="26962" ht="15.75" customHeight="1" spans="1:2">
      <c r="A26962" s="3" t="str">
        <f>IFERROR(__xludf.DUMMYFUNCTION("GOOGLETRANSLATE(A26962,""en"",""pt"")"),"NO PC TERMINAL; pobre vida útil da bateria; autofocus dolorosamente lento")</f>
        <v>NO PC TERMINAL; pobre vida útil da bateria; autofocus dolorosamente lento</v>
      </c>
      <c r="B26962" s="3">
        <v>0</v>
      </c>
    </row>
    <row r="26963" ht="15.75" customHeight="1" spans="1:2">
      <c r="A26963" s="3" t="str">
        <f>IFERROR(__xludf.DUMMYFUNCTION("GOOGLETRANSLATE(A26963,""en"",""pt"")"),"lento Autofoco")</f>
        <v>lento Autofoco</v>
      </c>
      <c r="B26963" s="3">
        <v>0</v>
      </c>
    </row>
    <row r="26964" ht="15.75" customHeight="1" spans="1:2">
      <c r="A26964" s="3" t="str">
        <f>IFERROR(__xludf.DUMMYFUNCTION("GOOGLETRANSLATE(A26964,""en"",""pt"")"),"convergência autofocus pobres com pouca luz")</f>
        <v>convergência autofocus pobres com pouca luz</v>
      </c>
      <c r="B26964" s="3">
        <v>0</v>
      </c>
    </row>
    <row r="26965" ht="15.75" customHeight="1" spans="1:2">
      <c r="A26965" s="3" t="str">
        <f>IFERROR(__xludf.DUMMYFUNCTION("GOOGLETRANSLATE(A26965,""en"",""pt"")"),"Muito lento para se concentrar, nenhum som em MPEG, muito pequenos, controles desajeitados, má vida útil da bateria.")</f>
        <v>Muito lento para se concentrar, nenhum som em MPEG, muito pequenos, controles desajeitados, má vida útil da bateria.</v>
      </c>
      <c r="B26965" s="3">
        <v>0</v>
      </c>
    </row>
    <row r="26966" ht="15.75" customHeight="1" spans="1:2">
      <c r="A26966" s="3" t="str">
        <f>IFERROR(__xludf.DUMMYFUNCTION("GOOGLETRANSLATE(A26966,""en"",""pt"")"),"deve acessórios, semi-longo tempo para o retrato de carga")</f>
        <v>deve acessórios, semi-longo tempo para o retrato de carga</v>
      </c>
      <c r="B26966" s="3">
        <v>0</v>
      </c>
    </row>
    <row r="26967" ht="15.75" customHeight="1" spans="1:2">
      <c r="A26967" s="3" t="str">
        <f>IFERROR(__xludf.DUMMYFUNCTION("GOOGLETRANSLATE(A26967,""en"",""pt"")"),"Pobre de flash. foco automático muito lento., visor granulada.")</f>
        <v>Pobre de flash. foco automático muito lento., visor granulada.</v>
      </c>
      <c r="B26967" s="3">
        <v>0</v>
      </c>
    </row>
    <row r="26968" ht="15.75" customHeight="1" spans="1:2">
      <c r="A26968" s="3" t="str">
        <f>IFERROR(__xludf.DUMMYFUNCTION("GOOGLETRANSLATE(A26968,""en"",""pt"")"),"Algumas pessoas podem não gostar visor")</f>
        <v>Algumas pessoas podem não gostar visor</v>
      </c>
      <c r="B26968" s="3">
        <v>0</v>
      </c>
    </row>
    <row r="26969" ht="15.75" customHeight="1" spans="1:2">
      <c r="A26969" s="3" t="str">
        <f>IFERROR(__xludf.DUMMYFUNCTION("GOOGLETRANSLATE(A26969,""en"",""pt"")"),"No caso ou tampa da lente titular.")</f>
        <v>No caso ou tampa da lente titular.</v>
      </c>
      <c r="B26969" s="3">
        <v>0</v>
      </c>
    </row>
    <row r="26970" ht="15.75" customHeight="1" spans="1:2">
      <c r="A26970" s="3" t="str">
        <f>IFERROR(__xludf.DUMMYFUNCTION("GOOGLETRANSLATE(A26970,""en"",""pt"")"),"Nenhum descobriu ainda")</f>
        <v>Nenhum descobriu ainda</v>
      </c>
      <c r="B26970" s="3">
        <v>0</v>
      </c>
    </row>
    <row r="26971" ht="15.75" customHeight="1" spans="1:2">
      <c r="A26971" s="3" t="str">
        <f>IFERROR(__xludf.DUMMYFUNCTION("GOOGLETRANSLATE(A26971,""en"",""pt"")"),"Fácil de produzir fotos ruins.")</f>
        <v>Fácil de produzir fotos ruins.</v>
      </c>
      <c r="B26971" s="3">
        <v>0</v>
      </c>
    </row>
    <row r="26972" ht="15.75" customHeight="1" spans="1:2">
      <c r="A26972" s="3" t="str">
        <f>IFERROR(__xludf.DUMMYFUNCTION("GOOGLETRANSLATE(A26972,""en"",""pt"")"),"curva de aprendizagem - complexo")</f>
        <v>curva de aprendizagem - complexo</v>
      </c>
      <c r="B26972" s="3">
        <v>0</v>
      </c>
    </row>
    <row r="26973" ht="15.75" customHeight="1" spans="1:2">
      <c r="A26973" s="3" t="str">
        <f>IFERROR(__xludf.DUMMYFUNCTION("GOOGLETRANSLATE(A26973,""en"",""pt"")"),"imagens granuladas ruidosos após ISO 200 ,, prata Jantar com orçamento pintura BATERIAS")</f>
        <v>imagens granuladas ruidosos após ISO 200 ,, prata Jantar com orçamento pintura BATERIAS</v>
      </c>
      <c r="B26973" s="3">
        <v>0</v>
      </c>
    </row>
    <row r="26974" ht="15.75" customHeight="1" spans="1:2">
      <c r="A26974" s="3" t="str">
        <f>IFERROR(__xludf.DUMMYFUNCTION("GOOGLETRANSLATE(A26974,""en"",""pt"")"),"Totalmente confiável :(")</f>
        <v>Totalmente confiável :(</v>
      </c>
      <c r="B26974" s="3">
        <v>0</v>
      </c>
    </row>
    <row r="26975" ht="15.75" customHeight="1" spans="1:2">
      <c r="A26975" s="3" t="str">
        <f>IFERROR(__xludf.DUMMYFUNCTION("GOOGLETRANSLATE(A26975,""en"",""pt"")"),"vida útil da bateria, foco automático lento ocasional e velocidade do obturador (o meu mau provavelmente) com pouca luz")</f>
        <v>vida útil da bateria, foco automático lento ocasional e velocidade do obturador (o meu mau provavelmente) com pouca luz</v>
      </c>
      <c r="B26975" s="3">
        <v>0</v>
      </c>
    </row>
    <row r="26976" ht="15.75" customHeight="1" spans="1:2">
      <c r="A26976" s="3" t="s">
        <v>138</v>
      </c>
      <c r="B26976" s="3">
        <v>0</v>
      </c>
    </row>
    <row r="26977" ht="15.75" customHeight="1" spans="1:2">
      <c r="A26977" s="3" t="str">
        <f>IFERROR(__xludf.DUMMYFUNCTION("GOOGLETRANSLATE(A26977,""en"",""pt"")"),"nada até agora.")</f>
        <v>nada até agora.</v>
      </c>
      <c r="B26977" s="3">
        <v>0</v>
      </c>
    </row>
    <row r="26978" ht="15.75" customHeight="1" spans="1:2">
      <c r="A26978" s="3" t="str">
        <f>IFERROR(__xludf.DUMMYFUNCTION("GOOGLETRANSLATE(A26978,""en"",""pt"")"),"Baterias ir um pouco rápido. Traga ao longo de 2 ou 3 séries de rechargables")</f>
        <v>Baterias ir um pouco rápido. Traga ao longo de 2 ou 3 séries de rechargables</v>
      </c>
      <c r="B26978" s="3">
        <v>0</v>
      </c>
    </row>
    <row r="26979" ht="15.75" customHeight="1" spans="1:2">
      <c r="A26979" s="3" t="str">
        <f>IFERROR(__xludf.DUMMYFUNCTION("GOOGLETRANSLATE(A26979,""en"",""pt"")"),"Muito barulho em situações de pouca luz ISO elevada ou.")</f>
        <v>Muito barulho em situações de pouca luz ISO elevada ou.</v>
      </c>
      <c r="B26979" s="3">
        <v>0</v>
      </c>
    </row>
    <row r="26980" ht="15.75" customHeight="1" spans="1:2">
      <c r="A26980" s="3" t="str">
        <f>IFERROR(__xludf.DUMMYFUNCTION("GOOGLETRANSLATE(A26980,""en"",""pt"")"),"O preço pode ser um fator para alguns")</f>
        <v>O preço pode ser um fator para alguns</v>
      </c>
      <c r="B26980" s="3">
        <v>0</v>
      </c>
    </row>
    <row r="26981" ht="15.75" customHeight="1" spans="1:2">
      <c r="A26981" s="3" t="str">
        <f>IFERROR(__xludf.DUMMYFUNCTION("GOOGLETRANSLATE(A26981,""en"",""pt"")"),"bateria não recarregável, 'opcional adaptador AC,")</f>
        <v>bateria não recarregável, 'opcional adaptador AC,</v>
      </c>
      <c r="B26981" s="3">
        <v>0</v>
      </c>
    </row>
    <row r="26982" ht="15.75" customHeight="1" spans="1:2">
      <c r="A26982" s="3" t="str">
        <f>IFERROR(__xludf.DUMMYFUNCTION("GOOGLETRANSLATE(A26982,""en"",""pt"")"),"de flash fraco, lentes lentas")</f>
        <v>de flash fraco, lentes lentas</v>
      </c>
      <c r="B26982" s="3">
        <v>0</v>
      </c>
    </row>
    <row r="26983" ht="15.75" customHeight="1" spans="1:2">
      <c r="A26983" s="3" t="str">
        <f>IFERROR(__xludf.DUMMYFUNCTION("GOOGLETRANSLATE(A26983,""en"",""pt"")"),"Pequeno LCD, longas exposições sobre alguns pix, mic em filmes não grandes")</f>
        <v>Pequeno LCD, longas exposições sobre alguns pix, mic em filmes não grandes</v>
      </c>
      <c r="B26983" s="3">
        <v>0</v>
      </c>
    </row>
    <row r="26984" ht="15.75" customHeight="1" spans="1:2">
      <c r="A26984" s="3" t="str">
        <f>IFERROR(__xludf.DUMMYFUNCTION("GOOGLETRANSLATE(A26984,""en"",""pt"")"),"Veja algumas preocupações,")</f>
        <v>Veja algumas preocupações,</v>
      </c>
      <c r="B26984" s="3">
        <v>0</v>
      </c>
    </row>
    <row r="26985" ht="15.75" customHeight="1" spans="1:2">
      <c r="A26985" s="3" t="str">
        <f>IFERROR(__xludf.DUMMYFUNCTION("GOOGLETRANSLATE(A26985,""en"",""pt"")"),"Terríveis fotos com flash de Interior Pessoas.")</f>
        <v>Terríveis fotos com flash de Interior Pessoas.</v>
      </c>
      <c r="B26985" s="3">
        <v>0</v>
      </c>
    </row>
    <row r="26986" ht="15.75" customHeight="1" spans="1:2">
      <c r="A26986" s="3" t="str">
        <f>IFERROR(__xludf.DUMMYFUNCTION("GOOGLETRANSLATE(A26986,""en"",""pt"")"),"alguns contratempos")</f>
        <v>alguns contratempos</v>
      </c>
      <c r="B26986" s="3">
        <v>0</v>
      </c>
    </row>
    <row r="26987" ht="15.75" customHeight="1" spans="1:2">
      <c r="A26987" s="3" t="str">
        <f>IFERROR(__xludf.DUMMYFUNCTION("GOOGLETRANSLATE(A26987,""en"",""pt"")"),"resultados inconsistentes em modo automático.")</f>
        <v>resultados inconsistentes em modo automático.</v>
      </c>
      <c r="B26987" s="3">
        <v>0</v>
      </c>
    </row>
    <row r="26988" ht="15.75" customHeight="1" spans="1:2">
      <c r="A26988" s="3" t="str">
        <f>IFERROR(__xludf.DUMMYFUNCTION("GOOGLETRANSLATE(A26988,""en"",""pt"")"),"A vida da bateria poderia ser melhor")</f>
        <v>A vida da bateria poderia ser melhor</v>
      </c>
      <c r="B26988" s="3">
        <v>0</v>
      </c>
    </row>
    <row r="26989" ht="15.75" customHeight="1" spans="1:2">
      <c r="A26989" s="3" t="str">
        <f>IFERROR(__xludf.DUMMYFUNCTION("GOOGLETRANSLATE(A26989,""en"",""pt"")"),"qualidade picutre horible")</f>
        <v>qualidade picutre horible</v>
      </c>
      <c r="B26989" s="3">
        <v>0</v>
      </c>
    </row>
    <row r="26990" ht="15.75" customHeight="1" spans="1:2">
      <c r="A26990" s="3" t="str">
        <f>IFERROR(__xludf.DUMMYFUNCTION("GOOGLETRANSLATE(A26990,""en"",""pt"")"),"Tem que ter no modo manual para impressão de data. Sem outras queixas!")</f>
        <v>Tem que ter no modo manual para impressão de data. Sem outras queixas!</v>
      </c>
      <c r="B26990" s="3">
        <v>0</v>
      </c>
    </row>
    <row r="26991" ht="15.75" customHeight="1" spans="1:2">
      <c r="A26991" s="3" t="str">
        <f>IFERROR(__xludf.DUMMYFUNCTION("GOOGLETRANSLATE(A26991,""en"",""pt"")"),"baixas condições de luz. modo macro")</f>
        <v>baixas condições de luz. modo macro</v>
      </c>
      <c r="B26991" s="3">
        <v>0</v>
      </c>
    </row>
    <row r="26992" ht="15.75" customHeight="1" spans="1:2">
      <c r="A26992" s="3" t="str">
        <f>IFERROR(__xludf.DUMMYFUNCTION("GOOGLETRANSLATE(A26992,""en"",""pt"")"),"O carregamento da bateria Frequent")</f>
        <v>O carregamento da bateria Frequent</v>
      </c>
      <c r="B26992" s="3">
        <v>0</v>
      </c>
    </row>
    <row r="26993" ht="15.75" customHeight="1" spans="1:2">
      <c r="A26993" s="3" t="str">
        <f>IFERROR(__xludf.DUMMYFUNCTION("GOOGLETRANSLATE(A26993,""en"",""pt"")"),"Macro tem probs com foco, sem lente anexar,")</f>
        <v>Macro tem probs com foco, sem lente anexar,</v>
      </c>
      <c r="B26993" s="3">
        <v>0</v>
      </c>
    </row>
    <row r="26994" ht="15.75" customHeight="1" spans="1:2">
      <c r="A26994" s="3" t="str">
        <f>IFERROR(__xludf.DUMMYFUNCTION("GOOGLETRANSLATE(A26994,""en"",""pt"")"),"Inicialização um pouco lento. Flash pode ser obscurecido pelo dedo., Acidental a partir seletor de controle.")</f>
        <v>Inicialização um pouco lento. Flash pode ser obscurecido pelo dedo., Acidental a partir seletor de controle.</v>
      </c>
      <c r="B26994" s="3">
        <v>0</v>
      </c>
    </row>
    <row r="26995" ht="15.75" customHeight="1" spans="1:2">
      <c r="A26995" s="3" t="str">
        <f>IFERROR(__xludf.DUMMYFUNCTION("GOOGLETRANSLATE(A26995,""en"",""pt"")"),"Pode ligar no seu bolso, flash fraco")</f>
        <v>Pode ligar no seu bolso, flash fraco</v>
      </c>
      <c r="B26995" s="3">
        <v>0</v>
      </c>
    </row>
    <row r="26996" ht="15.75" customHeight="1" spans="1:2">
      <c r="A26996" s="3" t="str">
        <f>IFERROR(__xludf.DUMMYFUNCTION("GOOGLETRANSLATE(A26996,""en"",""pt"")"),"Sem opções de colocação da objectiva")</f>
        <v>Sem opções de colocação da objectiva</v>
      </c>
      <c r="B26996" s="3">
        <v>0</v>
      </c>
    </row>
    <row r="26997" ht="15.75" customHeight="1" spans="1:2">
      <c r="A26997" s="3" t="str">
        <f>IFERROR(__xludf.DUMMYFUNCTION("GOOGLETRANSLATE(A26997,""en"",""pt"")"),"Bad qualidade de construção, pior suporte de baixo nível ao cliente que eu já encontrei")</f>
        <v>Bad qualidade de construção, pior suporte de baixo nível ao cliente que eu já encontrei</v>
      </c>
      <c r="B26997" s="3">
        <v>0</v>
      </c>
    </row>
    <row r="26998" ht="15.75" customHeight="1" spans="1:2">
      <c r="A26998" s="3" t="str">
        <f>IFERROR(__xludf.DUMMYFUNCTION("GOOGLETRANSLATE(A26998,""en"",""pt"")"),"Nenhum ainda.")</f>
        <v>Nenhum ainda.</v>
      </c>
      <c r="B26998" s="3">
        <v>0</v>
      </c>
    </row>
    <row r="26999" ht="15.75" customHeight="1" spans="1:2">
      <c r="A26999" s="3" t="str">
        <f>IFERROR(__xludf.DUMMYFUNCTION("GOOGLETRANSLATE(A26999,""en"",""pt"")"),"Grande, pesado ... um pouco complicado quando se utiliza recursos avançados ... Problemas com a vida da bateria e foco.")</f>
        <v>Grande, pesado ... um pouco complicado quando se utiliza recursos avançados ... Problemas com a vida da bateria e foco.</v>
      </c>
      <c r="B26999" s="3">
        <v>0</v>
      </c>
    </row>
    <row r="27000" ht="15.75" customHeight="1" spans="1:2">
      <c r="A27000" s="3" t="str">
        <f>IFERROR(__xludf.DUMMYFUNCTION("GOOGLETRANSLATE(A27000,""en"",""pt"")"),"Teria gostado de uma tampa da lente de metal ...")</f>
        <v>Teria gostado de uma tampa da lente de metal ...</v>
      </c>
      <c r="B27000" s="3">
        <v>0</v>
      </c>
    </row>
    <row r="27001" ht="15.75" customHeight="1" spans="1:2">
      <c r="A27001" s="3" t="str">
        <f>IFERROR(__xludf.DUMMYFUNCTION("GOOGLETRANSLATE(A27001,""en"",""pt"")"),"problema de auto-foco e auto set modo em ISO 400")</f>
        <v>problema de auto-foco e auto set modo em ISO 400</v>
      </c>
      <c r="B27001" s="3">
        <v>0</v>
      </c>
    </row>
    <row r="27002" ht="15.75" customHeight="1" spans="1:2">
      <c r="A27002" s="3" t="str">
        <f>IFERROR(__xludf.DUMMYFUNCTION("GOOGLETRANSLATE(A27002,""en"",""pt"")"),"Não é suportado pelo Linux (ainda), cai ocasionalmente fotos sem memória, Horrível tripé")</f>
        <v>Não é suportado pelo Linux (ainda), cai ocasionalmente fotos sem memória, Horrível tripé</v>
      </c>
      <c r="B27002" s="3">
        <v>0</v>
      </c>
    </row>
    <row r="27003" ht="15.75" customHeight="1" spans="1:2">
      <c r="A27003" s="3" t="str">
        <f>IFERROR(__xludf.DUMMYFUNCTION("GOOGLETRANSLATE(A27003,""en"",""pt"")"),"Controles sensíveis, interface não-intuitiva, baterias recarregáveis ​​uma obrigação., Precisa de cartão de memória adicional.")</f>
        <v>Controles sensíveis, interface não-intuitiva, baterias recarregáveis ​​uma obrigação., Precisa de cartão de memória adicional.</v>
      </c>
      <c r="B27003" s="3">
        <v>0</v>
      </c>
    </row>
    <row r="27004" ht="15.75" customHeight="1" spans="1:2">
      <c r="A27004" s="3" t="str">
        <f>IFERROR(__xludf.DUMMYFUNCTION("GOOGLETRANSLATE(A27004,""en"",""pt"")"),"Leia-olho ao usar flash, drena as baterias rapidamente.")</f>
        <v>Leia-olho ao usar flash, drena as baterias rapidamente.</v>
      </c>
      <c r="B27004" s="3">
        <v>0</v>
      </c>
    </row>
    <row r="27005" ht="15.75" customHeight="1" spans="1:2">
      <c r="A27005" s="3" t="str">
        <f>IFERROR(__xludf.DUMMYFUNCTION("GOOGLETRANSLATE(A27005,""en"",""pt"")"),"As baterias recarregáveis ​​uma obrigação. Precisa de cartão de memória adicional")</f>
        <v>As baterias recarregáveis ​​uma obrigação. Precisa de cartão de memória adicional</v>
      </c>
      <c r="B27005" s="3">
        <v>0</v>
      </c>
    </row>
    <row r="27006" ht="15.75" customHeight="1" spans="1:2">
      <c r="A27006" s="3" t="str">
        <f>IFERROR(__xludf.DUMMYFUNCTION("GOOGLETRANSLATE(A27006,""en"",""pt"")"),"Baterias morrem rapidamente, mas com boas rechargables, quem se importa.")</f>
        <v>Baterias morrem rapidamente, mas com boas rechargables, quem se importa.</v>
      </c>
      <c r="B27006" s="3">
        <v>0</v>
      </c>
    </row>
    <row r="27007" ht="15.75" customHeight="1" spans="1:2">
      <c r="A27007" s="3" t="str">
        <f>IFERROR(__xludf.DUMMYFUNCTION("GOOGLETRANSLATE(A27007,""en"",""pt"")"),"Gostaria de poder encontrar uma câmera que faz prazos decorrer.")</f>
        <v>Gostaria de poder encontrar uma câmera que faz prazos decorrer.</v>
      </c>
      <c r="B27007" s="3">
        <v>0</v>
      </c>
    </row>
    <row r="27008" ht="15.75" customHeight="1" spans="1:2">
      <c r="A27008" s="3" t="str">
        <f>IFERROR(__xludf.DUMMYFUNCTION("GOOGLETRANSLATE(A27008,""en"",""pt"")"),"NÃO LINUX compatível, zoom / chave seletora mal localizado, Tri-pod montagem mal localizado")</f>
        <v>NÃO LINUX compatível, zoom / chave seletora mal localizado, Tri-pod montagem mal localizado</v>
      </c>
      <c r="B27008" s="3">
        <v>0</v>
      </c>
    </row>
    <row r="27009" ht="15.75" customHeight="1" spans="1:2">
      <c r="A27009" s="3" t="str">
        <f>IFERROR(__xludf.DUMMYFUNCTION("GOOGLETRANSLATE(A27009,""en"",""pt"")"),"Lens cap aborrecimento - selector necessidades melhor retenção, Side Door Opens 2-EZ")</f>
        <v>Lens cap aborrecimento - selector necessidades melhor retenção, Side Door Opens 2-EZ</v>
      </c>
      <c r="B27009" s="3">
        <v>0</v>
      </c>
    </row>
    <row r="27010" ht="15.75" customHeight="1" spans="1:2">
      <c r="A27010" s="3" t="str">
        <f>IFERROR(__xludf.DUMMYFUNCTION("GOOGLETRANSLATE(A27010,""en"",""pt"")"),"Matiz amarelo Interior, algumas falhas projeto físico")</f>
        <v>Matiz amarelo Interior, algumas falhas projeto físico</v>
      </c>
      <c r="B27010" s="3">
        <v>0</v>
      </c>
    </row>
    <row r="27011" ht="15.75" customHeight="1" spans="1:2">
      <c r="A27011" s="3" t="str">
        <f>IFERROR(__xludf.DUMMYFUNCTION("GOOGLETRANSLATE(A27011,""en"",""pt"")"),"zoom digital, plugue do adaptador AC no local.")</f>
        <v>zoom digital, plugue do adaptador AC no local.</v>
      </c>
      <c r="B27011" s="3">
        <v>0</v>
      </c>
    </row>
    <row r="27012" ht="15.75" customHeight="1" spans="1:2">
      <c r="A27012" s="3" t="str">
        <f>IFERROR(__xludf.DUMMYFUNCTION("GOOGLETRANSLATE(A27012,""en"",""pt"")"),"Não salva definições no modo automático, come alkalines, câmera âncora cinta de má localização.")</f>
        <v>Não salva definições no modo automático, come alkalines, câmera âncora cinta de má localização.</v>
      </c>
      <c r="B27012" s="3">
        <v>0</v>
      </c>
    </row>
    <row r="27013" ht="15.75" customHeight="1" spans="1:2">
      <c r="A27013" s="3" t="str">
        <f>IFERROR(__xludf.DUMMYFUNCTION("GOOGLETRANSLATE(A27013,""en"",""pt"")"),"Muito poucos contras!")</f>
        <v>Muito poucos contras!</v>
      </c>
      <c r="B27013" s="3">
        <v>0</v>
      </c>
    </row>
    <row r="27014" ht="15.75" customHeight="1" spans="1:2">
      <c r="A27014" s="3" t="str">
        <f>IFERROR(__xludf.DUMMYFUNCTION("GOOGLETRANSLATE(A27014,""en"",""pt"")"),"A lente dobrada compromete a qualidade de imagem, um pouco tímido em características - veja o comentário")</f>
        <v>A lente dobrada compromete a qualidade de imagem, um pouco tímido em características - veja o comentário</v>
      </c>
      <c r="B27014" s="3">
        <v>0</v>
      </c>
    </row>
    <row r="27015" ht="15.75" customHeight="1" spans="1:2">
      <c r="A27015" s="3" t="str">
        <f>IFERROR(__xludf.DUMMYFUNCTION("GOOGLETRANSLATE(A27015,""en"",""pt"")"),"Fraco Flash, HoHum Optics, Decent Life Battery, Falta Características competição vs.")</f>
        <v>Fraco Flash, HoHum Optics, Decent Life Battery, Falta Características competição vs.</v>
      </c>
      <c r="B27015" s="3">
        <v>0</v>
      </c>
    </row>
    <row r="27016" ht="15.75" customHeight="1" spans="1:2">
      <c r="A27016" s="3" t="str">
        <f>IFERROR(__xludf.DUMMYFUNCTION("GOOGLETRANSLATE(A27016,""en"",""pt"")"),"8 megabyte cartão SD não armazena muitas fotos. Conte com a compra de mais meios de armazenamento.")</f>
        <v>8 megabyte cartão SD não armazena muitas fotos. Conte com a compra de mais meios de armazenamento.</v>
      </c>
      <c r="B27016" s="3">
        <v>0</v>
      </c>
    </row>
    <row r="27017" ht="15.75" customHeight="1" spans="1:2">
      <c r="A27017" s="3" t="str">
        <f>IFERROR(__xludf.DUMMYFUNCTION("GOOGLETRANSLATE(A27017,""en"",""pt"")"),"Aperfeiçoar apenas para apontar e disparar. cartão de usos SD (mais caro). Só vem com 8MB.")</f>
        <v>Aperfeiçoar apenas para apontar e disparar. cartão de usos SD (mais caro). Só vem com 8MB.</v>
      </c>
      <c r="B27017" s="3">
        <v>0</v>
      </c>
    </row>
    <row r="27018" ht="15.75" customHeight="1" spans="1:2">
      <c r="A27018" s="3" t="str">
        <f>IFERROR(__xludf.DUMMYFUNCTION("GOOGLETRANSLATE(A27018,""en"",""pt"")"),"Lens em necessidades de canto para se acostumar. Pode facilmente ter dedo na armação")</f>
        <v>Lens em necessidades de canto para se acostumar. Pode facilmente ter dedo na armação</v>
      </c>
      <c r="B27018" s="3">
        <v>0</v>
      </c>
    </row>
    <row r="27019" ht="15.75" customHeight="1" spans="1:2">
      <c r="A27019" s="3" t="str">
        <f>IFERROR(__xludf.DUMMYFUNCTION("GOOGLETRANSLATE(A27019,""en"",""pt"")"),"cartão SD de 8 MB. Definitivamente comprar 64 ou 128 MB de cartão SD.")</f>
        <v>cartão SD de 8 MB. Definitivamente comprar 64 ou 128 MB de cartão SD.</v>
      </c>
      <c r="B27019" s="3">
        <v>0</v>
      </c>
    </row>
    <row r="27020" ht="15.75" customHeight="1" spans="1:2">
      <c r="A27020" s="3" t="str">
        <f>IFERROR(__xludf.DUMMYFUNCTION("GOOGLETRANSLATE(A27020,""en"",""pt"")"),"A qualidade da imagem não tão bom como outras câmeras 2-MP")</f>
        <v>A qualidade da imagem não tão bom como outras câmeras 2-MP</v>
      </c>
      <c r="B27020" s="3">
        <v>0</v>
      </c>
    </row>
    <row r="27021" ht="15.75" customHeight="1" spans="1:2">
      <c r="A27021" s="3" t="str">
        <f>IFERROR(__xludf.DUMMYFUNCTION("GOOGLETRANSLATE(A27021,""en"",""pt"")"),"Falta de recursos")</f>
        <v>Falta de recursos</v>
      </c>
      <c r="B27021" s="3">
        <v>0</v>
      </c>
    </row>
    <row r="27022" ht="15.75" customHeight="1" spans="1:2">
      <c r="A27022" s="3" t="str">
        <f>IFERROR(__xludf.DUMMYFUNCTION("GOOGLETRANSLATE(A27022,""en"",""pt"")"),"Medíocre qualidade de imagem, dentro de focagem problemas, flash anêmica, não robusta.")</f>
        <v>Medíocre qualidade de imagem, dentro de focagem problemas, flash anêmica, não robusta.</v>
      </c>
      <c r="B27022" s="3">
        <v>0</v>
      </c>
    </row>
    <row r="27023" ht="15.75" customHeight="1" spans="1:2">
      <c r="A27023" s="3" t="str">
        <f>IFERROR(__xludf.DUMMYFUNCTION("GOOGLETRANSLATE(A27023,""en"",""pt"")"),"A qualidade da imagem é satisfatória, não excelente.")</f>
        <v>A qualidade da imagem é satisfatória, não excelente.</v>
      </c>
      <c r="B27023" s="3">
        <v>0</v>
      </c>
    </row>
    <row r="27024" ht="15.75" customHeight="1" spans="1:2">
      <c r="A27024" s="3" t="str">
        <f>IFERROR(__xludf.DUMMYFUNCTION("GOOGLETRANSLATE(A27024,""en"",""pt"")"),"Pode ser muito compacto. Não uma câmera para uma pessoa com mãos grandes")</f>
        <v>Pode ser muito compacto. Não uma câmera para uma pessoa com mãos grandes</v>
      </c>
      <c r="B27024" s="3">
        <v>0</v>
      </c>
    </row>
    <row r="27025" ht="15.75" customHeight="1" spans="1:2">
      <c r="A27025" s="3" t="str">
        <f>IFERROR(__xludf.DUMMYFUNCTION("GOOGLETRANSLATE(A27025,""en"",""pt"")"),"Nenhum! Bem ok talvez a vida da bateria, mas o Dimage de ainda melhor é que a maioria.")</f>
        <v>Nenhum! Bem ok talvez a vida da bateria, mas o Dimage de ainda melhor é que a maioria.</v>
      </c>
      <c r="B27025" s="3">
        <v>0</v>
      </c>
    </row>
    <row r="27026" ht="15.75" customHeight="1" spans="1:2">
      <c r="A27026" s="3" t="str">
        <f>IFERROR(__xludf.DUMMYFUNCTION("GOOGLETRANSLATE(A27026,""en"",""pt"")"),"umm ...")</f>
        <v>umm ...</v>
      </c>
      <c r="B27026" s="3">
        <v>0</v>
      </c>
    </row>
    <row r="27027" ht="15.75" customHeight="1" spans="1:2">
      <c r="A27027" s="3" t="str">
        <f>IFERROR(__xludf.DUMMYFUNCTION("GOOGLETRANSLATE(A27027,""en"",""pt"")"),"Pequeno")</f>
        <v>Pequeno</v>
      </c>
      <c r="B27027" s="3">
        <v>0</v>
      </c>
    </row>
    <row r="27028" ht="15.75" customHeight="1" spans="1:2">
      <c r="A27028" s="3" t="str">
        <f>IFERROR(__xludf.DUMMYFUNCTION("GOOGLETRANSLATE(A27028,""en"",""pt"")"),"Muito básico, Modo de Filme muito pequeno")</f>
        <v>Muito básico, Modo de Filme muito pequeno</v>
      </c>
      <c r="B27028" s="3">
        <v>0</v>
      </c>
    </row>
    <row r="27029" ht="15.75" customHeight="1" spans="1:2">
      <c r="A27029" s="3" t="str">
        <f>IFERROR(__xludf.DUMMYFUNCTION("GOOGLETRANSLATE(A27029,""en"",""pt"")"),"cartão de 8 MB não é suficiente, qualidade de som e de gravações de vídeo não é bom, a vida da bateria")</f>
        <v>cartão de 8 MB não é suficiente, qualidade de som e de gravações de vídeo não é bom, a vida da bateria</v>
      </c>
      <c r="B27029" s="3">
        <v>0</v>
      </c>
    </row>
    <row r="27030" ht="15.75" customHeight="1" spans="1:2">
      <c r="A27030" s="3" t="str">
        <f>IFERROR(__xludf.DUMMYFUNCTION("GOOGLETRANSLATE(A27030,""en"",""pt"")"),"Lente em uma situação difícil, apresenta, por vezes, de difícil acesso")</f>
        <v>Lente em uma situação difícil, apresenta, por vezes, de difícil acesso</v>
      </c>
      <c r="B27030" s="3">
        <v>0</v>
      </c>
    </row>
    <row r="27031" ht="15.75" customHeight="1" spans="1:2">
      <c r="A27031" s="3" t="str">
        <f>IFERROR(__xludf.DUMMYFUNCTION("GOOGLETRANSLATE(A27031,""en"",""pt"")"),"Nenhum")</f>
        <v>Nenhum</v>
      </c>
      <c r="B27031" s="3">
        <v>0</v>
      </c>
    </row>
    <row r="27032" ht="15.75" customHeight="1" spans="1:2">
      <c r="A27032" s="3" t="str">
        <f>IFERROR(__xludf.DUMMYFUNCTION("GOOGLETRANSLATE(A27032,""en"",""pt"")"),"Comprometida a qualidade da imagem.")</f>
        <v>Comprometida a qualidade da imagem.</v>
      </c>
      <c r="B27032" s="3">
        <v>0</v>
      </c>
    </row>
    <row r="27033" ht="15.75" customHeight="1" spans="1:2">
      <c r="A27033" s="3" t="str">
        <f>IFERROR(__xludf.DUMMYFUNCTION("GOOGLETRANSLATE(A27033,""en"",""pt"")"),"curta duração da bateria")</f>
        <v>curta duração da bateria</v>
      </c>
      <c r="B27033" s="3">
        <v>0</v>
      </c>
    </row>
    <row r="27034" ht="15.75" customHeight="1" spans="1:2">
      <c r="A27034" s="3" t="str">
        <f>IFERROR(__xludf.DUMMYFUNCTION("GOOGLETRANSLATE(A27034,""en"",""pt"")"),"lente de cobertura podem funcionar mal, flash fraco, mais instável do que as câmeras maiores, sem transformador de corrente incluído")</f>
        <v>lente de cobertura podem funcionar mal, flash fraco, mais instável do que as câmeras maiores, sem transformador de corrente incluído</v>
      </c>
      <c r="B27034" s="3">
        <v>0</v>
      </c>
    </row>
    <row r="27035" ht="15.75" customHeight="1" spans="1:2">
      <c r="A27035" s="3" t="str">
        <f>IFERROR(__xludf.DUMMYFUNCTION("GOOGLETRANSLATE(A27035,""en"",""pt"")"),"bateria proprietária")</f>
        <v>bateria proprietária</v>
      </c>
      <c r="B27035" s="3">
        <v>0</v>
      </c>
    </row>
    <row r="27036" ht="15.75" customHeight="1" spans="1:2">
      <c r="A27036" s="3" t="str">
        <f>IFERROR(__xludf.DUMMYFUNCTION("GOOGLETRANSLATE(A27036,""en"",""pt"")"),"um pouco devido embaraçoso para o seu tamanho, fácil de bloquear a lente ao tirar fotos")</f>
        <v>um pouco devido embaraçoso para o seu tamanho, fácil de bloquear a lente ao tirar fotos</v>
      </c>
      <c r="B27036" s="3">
        <v>0</v>
      </c>
    </row>
    <row r="27037" ht="15.75" customHeight="1" spans="1:2">
      <c r="A27037" s="3" t="str">
        <f>IFERROR(__xludf.DUMMYFUNCTION("GOOGLETRANSLATE(A27037,""en"",""pt"")"),"balanço de branco quando usar o flash proporciona imagens com um tom azulado.")</f>
        <v>balanço de branco quando usar o flash proporciona imagens com um tom azulado.</v>
      </c>
      <c r="B27037" s="3">
        <v>0</v>
      </c>
    </row>
    <row r="27038" ht="15.75" customHeight="1" spans="1:2">
      <c r="A27038" s="3" t="str">
        <f>IFERROR(__xludf.DUMMYFUNCTION("GOOGLETRANSLATE(A27038,""en"",""pt"")"),"Flash fraco, pobre vida da bateria, limitado conjunto de recursos, design / ergonomia, imagens difusas,")</f>
        <v>Flash fraco, pobre vida da bateria, limitado conjunto de recursos, design / ergonomia, imagens difusas,</v>
      </c>
      <c r="B27038" s="3">
        <v>0</v>
      </c>
    </row>
    <row r="27039" ht="15.75" customHeight="1" spans="1:2">
      <c r="A27039" s="3" t="str">
        <f>IFERROR(__xludf.DUMMYFUNCTION("GOOGLETRANSLATE(A27039,""en"",""pt"")"),"cuidadoso ou você vai bloquear lentes com o dedo!")</f>
        <v>cuidadoso ou você vai bloquear lentes com o dedo!</v>
      </c>
      <c r="B27039" s="3">
        <v>0</v>
      </c>
    </row>
    <row r="27040" ht="15.75" customHeight="1" spans="1:2">
      <c r="A27040" s="3" t="str">
        <f>IFERROR(__xludf.DUMMYFUNCTION("GOOGLETRANSLATE(A27040,""en"",""pt"")"),"Spendy.")</f>
        <v>Spendy.</v>
      </c>
      <c r="B27040" s="3">
        <v>0</v>
      </c>
    </row>
    <row r="27041" ht="15.75" customHeight="1" spans="1:2">
      <c r="A27041" s="3" t="str">
        <f>IFERROR(__xludf.DUMMYFUNCTION("GOOGLETRANSLATE(A27041,""en"",""pt"")"),"localização da lente faz com que seja fácil de bloco quando segurando, menu é difícil de gerir")</f>
        <v>localização da lente faz com que seja fácil de bloco quando segurando, menu é difícil de gerir</v>
      </c>
      <c r="B27041" s="3">
        <v>0</v>
      </c>
    </row>
    <row r="27042" ht="15.75" customHeight="1" spans="1:2">
      <c r="A27042" s="3" t="str">
        <f>IFERROR(__xludf.DUMMYFUNCTION("GOOGLETRANSLATE(A27042,""en"",""pt"")"),"sistema de menus complicados para plantas daninhas através (como é o caso de todas as câmeras digitais). A vida da bateria.")</f>
        <v>sistema de menus complicados para plantas daninhas através (como é o caso de todas as câmeras digitais). A vida da bateria.</v>
      </c>
      <c r="B27042" s="3">
        <v>0</v>
      </c>
    </row>
    <row r="27043" ht="15.75" customHeight="1" spans="1:2">
      <c r="A27043" s="3" t="str">
        <f>IFERROR(__xludf.DUMMYFUNCTION("GOOGLETRANSLATE(A27043,""en"",""pt"")"),"botões do obturador cair fora")</f>
        <v>botões do obturador cair fora</v>
      </c>
      <c r="B27043" s="3">
        <v>0</v>
      </c>
    </row>
    <row r="27044" ht="15.75" customHeight="1" spans="1:2">
      <c r="A27044" s="3" t="str">
        <f>IFERROR(__xludf.DUMMYFUNCTION("GOOGLETRANSLATE(A27044,""en"",""pt"")"),"Noisy and Power Hog.")</f>
        <v>Noisy and Power Hog.</v>
      </c>
      <c r="B27044" s="3">
        <v>0</v>
      </c>
    </row>
    <row r="27045" ht="15.75" customHeight="1" spans="1:2">
      <c r="A27045" s="3" t="str">
        <f>IFERROR(__xludf.DUMMYFUNCTION("GOOGLETRANSLATE(A27045,""en"",""pt"")"),"Maior do que a jacto de tinta, mais barulhento.")</f>
        <v>Maior do que a jacto de tinta, mais barulhento.</v>
      </c>
      <c r="B27045" s="3">
        <v>0</v>
      </c>
    </row>
    <row r="27046" ht="15.75" customHeight="1" spans="1:2">
      <c r="A27046" s="3" t="str">
        <f>IFERROR(__xludf.DUMMYFUNCTION("GOOGLETRANSLATE(A27046,""en"",""pt"")"),"ventilador barulhento, pobres brilhantes fotos")</f>
        <v>ventilador barulhento, pobres brilhantes fotos</v>
      </c>
      <c r="B27046" s="3">
        <v>0</v>
      </c>
    </row>
    <row r="27047" ht="15.75" customHeight="1" spans="1:2">
      <c r="A27047" s="3" t="str">
        <f>IFERROR(__xludf.DUMMYFUNCTION("GOOGLETRANSLATE(A27047,""en"",""pt"")"),"Consta que uma máquina barulhenta (Per ZD / PC Mag)")</f>
        <v>Consta que uma máquina barulhenta (Per ZD / PC Mag)</v>
      </c>
      <c r="B27047" s="3">
        <v>0</v>
      </c>
    </row>
    <row r="27048" ht="15.75" customHeight="1" spans="1:2">
      <c r="A27048" s="3" t="str">
        <f>IFERROR(__xludf.DUMMYFUNCTION("GOOGLETRANSLATE(A27048,""en"",""pt"")"),"Hora de aquecimento. Suporte técnico!")</f>
        <v>Hora de aquecimento. Suporte técnico!</v>
      </c>
      <c r="B27048" s="3">
        <v>0</v>
      </c>
    </row>
    <row r="27049" ht="15.75" customHeight="1" spans="1:2">
      <c r="A27049" s="3" t="str">
        <f>IFERROR(__xludf.DUMMYFUNCTION("GOOGLETRANSLATE(A27049,""en"",""pt"")"),"Windows Controladores não-padrão.")</f>
        <v>Windows Controladores não-padrão.</v>
      </c>
      <c r="B27049" s="3">
        <v>0</v>
      </c>
    </row>
    <row r="27050" ht="15.75" customHeight="1" spans="1:2">
      <c r="A27050" s="3" t="str">
        <f>IFERROR(__xludf.DUMMYFUNCTION("GOOGLETRANSLATE(A27050,""en"",""pt"")"),"Lento aquecimento. Esfregaços ao imprimir em papel de alto brilho")</f>
        <v>Lento aquecimento. Esfregaços ao imprimir em papel de alto brilho</v>
      </c>
      <c r="B27050" s="3">
        <v>0</v>
      </c>
    </row>
    <row r="27051" ht="15.75" customHeight="1" spans="1:2">
      <c r="A27051" s="3" t="str">
        <f>IFERROR(__xludf.DUMMYFUNCTION("GOOGLETRANSLATE(A27051,""en"",""pt"")"),"Lento acordar do modo de economia de energia. porco poder. software Odd instala.")</f>
        <v>Lento acordar do modo de economia de energia. porco poder. software Odd instala.</v>
      </c>
      <c r="B27051" s="3">
        <v>0</v>
      </c>
    </row>
    <row r="27052" ht="15.75" customHeight="1" spans="1:2">
      <c r="A27052" s="3" t="str">
        <f>IFERROR(__xludf.DUMMYFUNCTION("GOOGLETRANSLATE(A27052,""en"",""pt"")"),"Loud, acessórios caros, lentos, rachaduras cor quando dobrado")</f>
        <v>Loud, acessórios caros, lentos, rachaduras cor quando dobrado</v>
      </c>
      <c r="B27052" s="3">
        <v>0</v>
      </c>
    </row>
    <row r="27053" ht="15.75" customHeight="1" spans="1:2">
      <c r="A27053" s="3" t="str">
        <f>IFERROR(__xludf.DUMMYFUNCTION("GOOGLETRANSLATE(A27053,""en"",""pt"")"),"não pode pensar em qualquer")</f>
        <v>não pode pensar em qualquer</v>
      </c>
      <c r="B27053" s="3">
        <v>0</v>
      </c>
    </row>
    <row r="27054" ht="15.75" customHeight="1" spans="1:2">
      <c r="A27054" s="3" t="str">
        <f>IFERROR(__xludf.DUMMYFUNCTION("GOOGLETRANSLATE(A27054,""en"",""pt"")"),"bandeja de saída de papel padrão leva tempo para se acostumar (ver comentário). Caso contrário, nenhum.")</f>
        <v>bandeja de saída de papel padrão leva tempo para se acostumar (ver comentário). Caso contrário, nenhum.</v>
      </c>
      <c r="B27054" s="3">
        <v>0</v>
      </c>
    </row>
    <row r="27055" ht="15.75" customHeight="1" spans="1:2">
      <c r="A27055" s="3" t="s">
        <v>139</v>
      </c>
      <c r="B27055" s="3">
        <v>0</v>
      </c>
    </row>
    <row r="27056" ht="15.75" customHeight="1" spans="1:2">
      <c r="A27056" s="3" t="str">
        <f>IFERROR(__xludf.DUMMYFUNCTION("GOOGLETRANSLATE(A27056,""en"",""pt"")"),"Você deve ter um circuito elétrico independente para esta unidade.")</f>
        <v>Você deve ter um circuito elétrico independente para esta unidade.</v>
      </c>
      <c r="B27056" s="3">
        <v>0</v>
      </c>
    </row>
    <row r="27057" ht="15.75" customHeight="1" spans="1:2">
      <c r="A27057" s="3" t="str">
        <f>IFERROR(__xludf.DUMMYFUNCTION("GOOGLETRANSLATE(A27057,""en"",""pt"")"),"Não é bom para fotos (incluindo B &amp; amp; W)")</f>
        <v>Não é bom para fotos (incluindo B &amp; amp; W)</v>
      </c>
      <c r="B27057" s="3">
        <v>0</v>
      </c>
    </row>
    <row r="27058" ht="15.75" customHeight="1" spans="1:2">
      <c r="A27058" s="3" t="str">
        <f>IFERROR(__xludf.DUMMYFUNCTION("GOOGLETRANSLATE(A27058,""en"",""pt"")"),"bandeja de papel padrão é um pouco frágil")</f>
        <v>bandeja de papel padrão é um pouco frágil</v>
      </c>
      <c r="B27058" s="3">
        <v>0</v>
      </c>
    </row>
    <row r="27059" ht="15.75" customHeight="1" spans="1:2">
      <c r="A27059" s="3" t="str">
        <f>IFERROR(__xludf.DUMMYFUNCTION("GOOGLETRANSLATE(A27059,""en"",""pt"")"),"Guia de configuração inadequada pode ser difícil para pessoas inexperientes na configuração da impressora.")</f>
        <v>Guia de configuração inadequada pode ser difícil para pessoas inexperientes na configuração da impressora.</v>
      </c>
      <c r="B27059" s="3">
        <v>0</v>
      </c>
    </row>
    <row r="27060" ht="15.75" customHeight="1" spans="1:2">
      <c r="A27060" s="3" t="str">
        <f>IFERROR(__xludf.DUMMYFUNCTION("GOOGLETRANSLATE(A27060,""en"",""pt"")"),"bandeja de papel pequeno, cabo USB não fornecido")</f>
        <v>bandeja de papel pequeno, cabo USB não fornecido</v>
      </c>
      <c r="B27060" s="3">
        <v>0</v>
      </c>
    </row>
    <row r="27061" ht="15.75" customHeight="1" spans="1:2">
      <c r="A27061" s="3" t="str">
        <f>IFERROR(__xludf.DUMMYFUNCTION("GOOGLETRANSLATE(A27061,""en"",""pt"")"),"Não para o seu preço")</f>
        <v>Não para o seu preço</v>
      </c>
      <c r="B27061" s="3">
        <v>0</v>
      </c>
    </row>
    <row r="27062" ht="15.75" customHeight="1" spans="1:2">
      <c r="A27062" s="3" t="str">
        <f>IFERROR(__xludf.DUMMYFUNCTION("GOOGLETRANSLATE(A27062,""en"",""pt"")"),"fotos de má qualidade &amp; amp;. # 13; &amp; amp; # 10;. flash pobre &amp; amp; # 13; &amp; amp; # 10; longa espera entre os disparos &amp; amp;. # 13; &amp; amp; # 10; serviço ao cliente é horrível &amp; amp;. # 13; &amp; amp; # 10;")</f>
        <v>fotos de má qualidade &amp; amp;. # 13; &amp; amp; # 10;. flash pobre &amp; amp; # 13; &amp; amp; # 10; longa espera entre os disparos &amp; amp;. # 13; &amp; amp; # 10; serviço ao cliente é horrível &amp; amp;. # 13; &amp; amp; # 10;</v>
      </c>
      <c r="B27062" s="3">
        <v>0</v>
      </c>
    </row>
    <row r="27063" ht="15.75" customHeight="1" spans="1:2">
      <c r="A27063" s="3" t="str">
        <f>IFERROR(__xludf.DUMMYFUNCTION("GOOGLETRANSLATE(A27063,""en"",""pt"")"),"Close-ups um pouco confuso, pouca memória (atualizável, embora), espectador estranho")</f>
        <v>Close-ups um pouco confuso, pouca memória (atualizável, embora), espectador estranho</v>
      </c>
      <c r="B27063" s="3">
        <v>0</v>
      </c>
    </row>
    <row r="27064" ht="15.75" customHeight="1" spans="1:2">
      <c r="A27064" s="3" t="str">
        <f>IFERROR(__xludf.DUMMYFUNCTION("GOOGLETRANSLATE(A27064,""en"",""pt"")"),"não tão bom em locais escuros")</f>
        <v>não tão bom em locais escuros</v>
      </c>
      <c r="B27064" s="3">
        <v>0</v>
      </c>
    </row>
    <row r="27065" ht="15.75" customHeight="1" spans="1:2">
      <c r="A27065" s="3" t="str">
        <f>IFERROR(__xludf.DUMMYFUNCTION("GOOGLETRANSLATE(A27065,""en"",""pt"")"),"difícil de uso")</f>
        <v>difícil de uso</v>
      </c>
      <c r="B27065" s="3">
        <v>0</v>
      </c>
    </row>
    <row r="27066" ht="15.75" customHeight="1" spans="1:2">
      <c r="A27066" s="3" t="str">
        <f>IFERROR(__xludf.DUMMYFUNCTION("GOOGLETRANSLATE(A27066,""en"",""pt"")"),"~ Does'nt tirar boas PICS no escuro é ~ SUBAVALIAÇÃO AN")</f>
        <v>~ Does'nt tirar boas PICS no escuro é ~ SUBAVALIAÇÃO AN</v>
      </c>
      <c r="B27066" s="3">
        <v>0</v>
      </c>
    </row>
    <row r="27067" ht="15.75" customHeight="1" spans="1:2">
      <c r="A27067" s="3" t="str">
        <f>IFERROR(__xludf.DUMMYFUNCTION("GOOGLETRANSLATE(A27067,""en"",""pt"")"),"fotos são sub-par")</f>
        <v>fotos são sub-par</v>
      </c>
      <c r="B27067" s="3">
        <v>0</v>
      </c>
    </row>
    <row r="27068" ht="15.75" customHeight="1" spans="1:2">
      <c r="A27068" s="3" t="str">
        <f>IFERROR(__xludf.DUMMYFUNCTION("GOOGLETRANSLATE(A27068,""en"",""pt"")"),"resolução da foto limitada, colocação de lente")</f>
        <v>resolução da foto limitada, colocação de lente</v>
      </c>
      <c r="B27068" s="3">
        <v>0</v>
      </c>
    </row>
    <row r="27069" ht="15.75" customHeight="1" spans="1:2">
      <c r="A27069" s="3" t="str">
        <f>IFERROR(__xludf.DUMMYFUNCTION("GOOGLETRANSLATE(A27069,""en"",""pt"")"),"Nenhum")</f>
        <v>Nenhum</v>
      </c>
      <c r="B27069" s="3">
        <v>0</v>
      </c>
    </row>
    <row r="27070" ht="15.75" customHeight="1" spans="1:2">
      <c r="A27070" s="3" t="str">
        <f>IFERROR(__xludf.DUMMYFUNCTION("GOOGLETRANSLATE(A27070,""en"",""pt"")"),"má qualidade de imagem, flash pobres")</f>
        <v>má qualidade de imagem, flash pobres</v>
      </c>
      <c r="B27070" s="3">
        <v>0</v>
      </c>
    </row>
    <row r="27071" ht="15.75" customHeight="1" spans="1:2">
      <c r="A27071" s="3" t="str">
        <f>IFERROR(__xludf.DUMMYFUNCTION("GOOGLETRANSLATE(A27071,""en"",""pt"")"),"Barato, a qualidade não é tão grande, curta duração da bateria")</f>
        <v>Barato, a qualidade não é tão grande, curta duração da bateria</v>
      </c>
      <c r="B27071" s="3">
        <v>0</v>
      </c>
    </row>
    <row r="27072" ht="15.75" customHeight="1" spans="1:2">
      <c r="A27072" s="3" t="str">
        <f>IFERROR(__xludf.DUMMYFUNCTION("GOOGLETRANSLATE(A27072,""en"",""pt"")"),"imagens são duvidoso na melhor das hipóteses, não high-tech")</f>
        <v>imagens são duvidoso na melhor das hipóteses, não high-tech</v>
      </c>
      <c r="B27072" s="3">
        <v>0</v>
      </c>
    </row>
    <row r="27073" ht="15.75" customHeight="1" spans="1:2">
      <c r="A27073" s="3" t="str">
        <f>IFERROR(__xludf.DUMMYFUNCTION("GOOGLETRANSLATE(A27073,""en"",""pt"")"),"Não a melhor qualidade de imagem")</f>
        <v>Não a melhor qualidade de imagem</v>
      </c>
      <c r="B27073" s="3">
        <v>0</v>
      </c>
    </row>
    <row r="27074" ht="15.75" customHeight="1" spans="1:2">
      <c r="A27074" s="3" t="str">
        <f>IFERROR(__xludf.DUMMYFUNCTION("GOOGLETRANSLATE(A27074,""en"",""pt"")"),"Pré-visualização de imagem, memória incomum")</f>
        <v>Pré-visualização de imagem, memória incomum</v>
      </c>
      <c r="B27074" s="3">
        <v>0</v>
      </c>
    </row>
    <row r="27075" ht="15.75" customHeight="1" spans="1:2">
      <c r="A27075" s="3" t="str">
        <f>IFERROR(__xludf.DUMMYFUNCTION("GOOGLETRANSLATE(A27075,""en"",""pt"")"),"Comprar uma fábrica de baterias para manter-se, um pouco grande")</f>
        <v>Comprar uma fábrica de baterias para manter-se, um pouco grande</v>
      </c>
      <c r="B27075" s="3">
        <v>0</v>
      </c>
    </row>
    <row r="27076" ht="15.75" customHeight="1" spans="1:2">
      <c r="A27076" s="3" t="str">
        <f>IFERROR(__xludf.DUMMYFUNCTION("GOOGLETRANSLATE(A27076,""en"",""pt"")"),"sem zoom, nenhuma capacidade de pré-visualizar, imagens de qualidade média")</f>
        <v>sem zoom, nenhuma capacidade de pré-visualizar, imagens de qualidade média</v>
      </c>
      <c r="B27076" s="3">
        <v>0</v>
      </c>
    </row>
    <row r="27077" ht="15.75" customHeight="1" spans="1:2">
      <c r="A27077" s="3" t="str">
        <f>IFERROR(__xludf.DUMMYFUNCTION("GOOGLETRANSLATE(A27077,""en"",""pt"")"),"Sem flexibilidade e limitada a 640 x 480")</f>
        <v>Sem flexibilidade e limitada a 640 x 480</v>
      </c>
      <c r="B27077" s="3">
        <v>0</v>
      </c>
    </row>
    <row r="27078" ht="15.75" customHeight="1" spans="1:2">
      <c r="A27078" s="3" t="str">
        <f>IFERROR(__xludf.DUMMYFUNCTION("GOOGLETRANSLATE(A27078,""en"",""pt"")"),"A qualidade da imagem poderia ser melhor")</f>
        <v>A qualidade da imagem poderia ser melhor</v>
      </c>
      <c r="B27078" s="3">
        <v>0</v>
      </c>
    </row>
    <row r="27079" ht="15.75" customHeight="1" spans="1:2">
      <c r="A27079" s="3" t="str">
        <f>IFERROR(__xludf.DUMMYFUNCTION("GOOGLETRANSLATE(A27079,""en"",""pt"")"),"Non-Standard de memória, Interface Serial")</f>
        <v>Non-Standard de memória, Interface Serial</v>
      </c>
      <c r="B27079" s="3">
        <v>0</v>
      </c>
    </row>
    <row r="27080" ht="15.75" customHeight="1" spans="1:2">
      <c r="A27080" s="3" t="str">
        <f>IFERROR(__xludf.DUMMYFUNCTION("GOOGLETRANSLATE(A27080,""en"",""pt"")"),"Mina explodiu")</f>
        <v>Mina explodiu</v>
      </c>
      <c r="B27080" s="3">
        <v>0</v>
      </c>
    </row>
    <row r="27081" ht="15.75" customHeight="1" spans="1:2">
      <c r="A27081" s="3" t="str">
        <f>IFERROR(__xludf.DUMMYFUNCTION("GOOGLETRANSLATE(A27081,""en"",""pt"")"),"Papel rugas ao fazer impressão frente e verso de vez em quando")</f>
        <v>Papel rugas ao fazer impressão frente e verso de vez em quando</v>
      </c>
      <c r="B27081" s="3">
        <v>0</v>
      </c>
    </row>
    <row r="27082" ht="15.75" customHeight="1" spans="1:2">
      <c r="A27082" s="3" t="str">
        <f>IFERROR(__xludf.DUMMYFUNCTION("GOOGLETRANSLATE(A27082,""en"",""pt"")"),"Não encontrei um.")</f>
        <v>Não encontrei um.</v>
      </c>
      <c r="B27082" s="3">
        <v>0</v>
      </c>
    </row>
    <row r="27083" ht="15.75" customHeight="1" spans="1:2">
      <c r="A27083" s="3" t="str">
        <f>IFERROR(__xludf.DUMMYFUNCTION("GOOGLETRANSLATE(A27083,""en"",""pt"")"),"Software irritante, modelo mais antigo")</f>
        <v>Software irritante, modelo mais antigo</v>
      </c>
      <c r="B27083" s="3">
        <v>0</v>
      </c>
    </row>
    <row r="27084" ht="15.75" customHeight="1" spans="1:2">
      <c r="A27084" s="3" t="str">
        <f>IFERROR(__xludf.DUMMYFUNCTION("GOOGLETRANSLATE(A27084,""en"",""pt"")"),"O ruído durante a impressão (muito calmo quando não)")</f>
        <v>O ruído durante a impressão (muito calmo quando não)</v>
      </c>
      <c r="B27084" s="3">
        <v>0</v>
      </c>
    </row>
    <row r="27085" ht="15.75" customHeight="1" spans="1:2">
      <c r="A27085" s="3" t="str">
        <f>IFERROR(__xludf.DUMMYFUNCTION("GOOGLETRANSLATE(A27085,""en"",""pt"")"),"Medíocre qualidade gráfica, um pouco barulhento")</f>
        <v>Medíocre qualidade gráfica, um pouco barulhento</v>
      </c>
      <c r="B27085" s="3">
        <v>0</v>
      </c>
    </row>
    <row r="27086" ht="15.75" customHeight="1" spans="1:2">
      <c r="A27086" s="3" t="str">
        <f>IFERROR(__xludf.DUMMYFUNCTION("GOOGLETRANSLATE(A27086,""en"",""pt"")"),"condutores, painel de controlo, a impressão torto")</f>
        <v>condutores, painel de controlo, a impressão torto</v>
      </c>
      <c r="B27086" s="3">
        <v>0</v>
      </c>
    </row>
    <row r="27087" ht="15.75" customHeight="1" spans="1:2">
      <c r="A27087" s="3" t="str">
        <f>IFERROR(__xludf.DUMMYFUNCTION("GOOGLETRANSLATE(A27087,""en"",""pt"")"),"motoristas Lousy Win2k quase matar a coisa (leia mais para o meu correção.)")</f>
        <v>motoristas Lousy Win2k quase matar a coisa (leia mais para o meu correção.)</v>
      </c>
      <c r="B27087" s="3">
        <v>0</v>
      </c>
    </row>
    <row r="27088" ht="15.75" customHeight="1" spans="1:2">
      <c r="A27088" s="3" t="str">
        <f>IFERROR(__xludf.DUMMYFUNCTION("GOOGLETRANSLATE(A27088,""en"",""pt"")"),"nenhum ainda.")</f>
        <v>nenhum ainda.</v>
      </c>
      <c r="B27088" s="3">
        <v>0</v>
      </c>
    </row>
    <row r="27089" ht="15.75" customHeight="1" spans="1:2">
      <c r="A27089" s="3" t="str">
        <f>IFERROR(__xludf.DUMMYFUNCTION("GOOGLETRANSLATE(A27089,""en"",""pt"")"),"Barulho")</f>
        <v>Barulho</v>
      </c>
      <c r="B27089" s="3">
        <v>0</v>
      </c>
    </row>
    <row r="27090" ht="15.75" customHeight="1" spans="1:2">
      <c r="A27090" s="3" t="str">
        <f>IFERROR(__xludf.DUMMYFUNCTION("GOOGLETRANSLATE(A27090,""en"",""pt"")"),"Prints ligeiramente distorcida (difícil de aviso), nenhuma conectividade USB")</f>
        <v>Prints ligeiramente distorcida (difícil de aviso), nenhuma conectividade USB</v>
      </c>
      <c r="B27090" s="3">
        <v>0</v>
      </c>
    </row>
    <row r="27091" ht="15.75" customHeight="1" spans="1:2">
      <c r="A27091" s="3" t="str">
        <f>IFERROR(__xludf.DUMMYFUNCTION("GOOGLETRANSLATE(A27091,""en"",""pt"")"),"repetição irritante de contar voz que não há papel, ou para qualquer tipo de erro (felizmente eu só tinha um erro nos seis meses desde a compra da minha máquina)")</f>
        <v>repetição irritante de contar voz que não há papel, ou para qualquer tipo de erro (felizmente eu só tinha um erro nos seis meses desde a compra da minha máquina)</v>
      </c>
      <c r="B27091" s="3">
        <v>0</v>
      </c>
    </row>
    <row r="27092" ht="15.75" customHeight="1" spans="1:2">
      <c r="A27092" s="3" t="str">
        <f>IFERROR(__xludf.DUMMYFUNCTION("GOOGLETRANSLATE(A27092,""en"",""pt"")"),"Big pegada")</f>
        <v>Big pegada</v>
      </c>
      <c r="B27092" s="3">
        <v>0</v>
      </c>
    </row>
    <row r="27093" ht="15.75" customHeight="1" spans="1:2">
      <c r="A27093" s="3" t="str">
        <f>IFERROR(__xludf.DUMMYFUNCTION("GOOGLETRANSLATE(A27093,""en"",""pt"")"),"Prints ligeiramente distorcida, há conexões USB, Noise. voz robótica estéril irritante que repete mensagens de erro e necessidade (ou seja, fora do papel, etc.).")</f>
        <v>Prints ligeiramente distorcida, há conexões USB, Noise. voz robótica estéril irritante que repete mensagens de erro e necessidade (ou seja, fora do papel, etc.).</v>
      </c>
      <c r="B27093" s="3">
        <v>0</v>
      </c>
    </row>
    <row r="27094" ht="15.75" customHeight="1" spans="1:2">
      <c r="A27094" s="3" t="str">
        <f>IFERROR(__xludf.DUMMYFUNCTION("GOOGLETRANSLATE(A27094,""en"",""pt"")"),"alimentador de papel mal concebido, nenhuma conexão USB")</f>
        <v>alimentador de papel mal concebido, nenhuma conexão USB</v>
      </c>
      <c r="B27094" s="3">
        <v>0</v>
      </c>
    </row>
    <row r="27095" ht="15.75" customHeight="1" spans="1:2">
      <c r="A27095" s="3" t="str">
        <f>IFERROR(__xludf.DUMMYFUNCTION("GOOGLETRANSLATE(A27095,""en"",""pt"")"),"Suporte horrível")</f>
        <v>Suporte horrível</v>
      </c>
      <c r="B27095" s="3">
        <v>0</v>
      </c>
    </row>
    <row r="27096" ht="15.75" customHeight="1" spans="1:2">
      <c r="A27096" s="3" t="str">
        <f>IFERROR(__xludf.DUMMYFUNCTION("GOOGLETRANSLATE(A27096,""en"",""pt"")"),"Às vezes, os feeds de papel em um ângulo")</f>
        <v>Às vezes, os feeds de papel em um ângulo</v>
      </c>
      <c r="B27096" s="3">
        <v>0</v>
      </c>
    </row>
    <row r="27097" ht="15.75" customHeight="1" spans="1:2">
      <c r="A27097" s="3" t="str">
        <f>IFERROR(__xludf.DUMMYFUNCTION("GOOGLETRANSLATE(A27097,""en"",""pt"")"),"Noise &amp; amp; amp; Tamanho")</f>
        <v>Noise &amp; amp; amp; Tamanho</v>
      </c>
      <c r="B27097" s="3">
        <v>0</v>
      </c>
    </row>
    <row r="27098" ht="15.75" customHeight="1" spans="1:2">
      <c r="A27098" s="3" t="str">
        <f>IFERROR(__xludf.DUMMYFUNCTION("GOOGLETRANSLATE(A27098,""en"",""pt"")"),"bandeja de papel nem sempre carregar o papel em linha reta, leva tempo para começar a imprimir, o cheiro de tinta")</f>
        <v>bandeja de papel nem sempre carregar o papel em linha reta, leva tempo para começar a imprimir, o cheiro de tinta</v>
      </c>
      <c r="B27098" s="3">
        <v>0</v>
      </c>
    </row>
    <row r="27099" ht="15.75" customHeight="1" spans="1:2">
      <c r="A27099" s="3" t="str">
        <f>IFERROR(__xludf.DUMMYFUNCTION("GOOGLETRANSLATE(A27099,""en"",""pt"")"),"manuseio de papel pobre, empastelamento")</f>
        <v>manuseio de papel pobre, empastelamento</v>
      </c>
      <c r="B27099" s="3">
        <v>0</v>
      </c>
    </row>
    <row r="27100" ht="15.75" customHeight="1" spans="1:2">
      <c r="A27100" s="3" t="str">
        <f>IFERROR(__xludf.DUMMYFUNCTION("GOOGLETRANSLATE(A27100,""en"",""pt"")"),"Papel falha de projeto de alimentação é extremamente irritante para negócios ou trabalho profissional")</f>
        <v>Papel falha de projeto de alimentação é extremamente irritante para negócios ou trabalho profissional</v>
      </c>
      <c r="B27100" s="3">
        <v>0</v>
      </c>
    </row>
    <row r="27101" ht="15.75" customHeight="1" spans="1:2">
      <c r="A27101" s="3" t="str">
        <f>IFERROR(__xludf.DUMMYFUNCTION("GOOGLETRANSLATE(A27101,""en"",""pt"")"),"Congestionamentos difíceis de unjam, não lidar com papel grosso bem, às vezes alimenta o papel em um ângulo")</f>
        <v>Congestionamentos difíceis de unjam, não lidar com papel grosso bem, às vezes alimenta o papel em um ângulo</v>
      </c>
      <c r="B27101" s="3">
        <v>0</v>
      </c>
    </row>
    <row r="27102" ht="15.75" customHeight="1" spans="1:2">
      <c r="A27102" s="3" t="str">
        <f>IFERROR(__xludf.DUMMYFUNCTION("GOOGLETRANSLATE(A27102,""en"",""pt"")"),"Não muito")</f>
        <v>Não muito</v>
      </c>
      <c r="B27102" s="3">
        <v>0</v>
      </c>
    </row>
    <row r="27103" ht="15.75" customHeight="1" spans="1:2">
      <c r="A27103" s="3" t="str">
        <f>IFERROR(__xludf.DUMMYFUNCTION("GOOGLETRANSLATE(A27103,""en"",""pt"")"),"NEC deve enviar estes para fora com um cartucho de toner cheio em vez de meio")</f>
        <v>NEC deve enviar estes para fora com um cartucho de toner cheio em vez de meio</v>
      </c>
      <c r="B27103" s="3">
        <v>0</v>
      </c>
    </row>
    <row r="27104" ht="15.75" customHeight="1" spans="1:2">
      <c r="A27104" s="3" t="str">
        <f>IFERROR(__xludf.DUMMYFUNCTION("GOOGLETRANSLATE(A27104,""en"",""pt"")"),"Ele não está funcionando para fora da direita da fábrica !!")</f>
        <v>Ele não está funcionando para fora da direita da fábrica !!</v>
      </c>
      <c r="B27104" s="3">
        <v>0</v>
      </c>
    </row>
    <row r="27105" ht="15.75" customHeight="1" spans="1:2">
      <c r="A27105" s="3" t="str">
        <f>IFERROR(__xludf.DUMMYFUNCTION("GOOGLETRANSLATE(A27105,""en"",""pt"")"),"preço")</f>
        <v>preço</v>
      </c>
      <c r="B27105" s="3">
        <v>0</v>
      </c>
    </row>
    <row r="27106" ht="15.75" customHeight="1" spans="1:2">
      <c r="A27106" s="3" t="str">
        <f>IFERROR(__xludf.DUMMYFUNCTION("GOOGLETRANSLATE(A27106,""en"",""pt"")"),"suprimento de papel no lado pequeno, lento para aquecer")</f>
        <v>suprimento de papel no lado pequeno, lento para aquecer</v>
      </c>
      <c r="B27106" s="3">
        <v>0</v>
      </c>
    </row>
    <row r="27107" ht="15.75" customHeight="1" spans="1:2">
      <c r="A27107" s="3" t="str">
        <f>IFERROR(__xludf.DUMMYFUNCTION("GOOGLETRANSLATE(A27107,""en"",""pt"")"),"Nenhum")</f>
        <v>Nenhum</v>
      </c>
      <c r="B27107" s="3">
        <v>0</v>
      </c>
    </row>
    <row r="27108" ht="15.75" customHeight="1" spans="1:2">
      <c r="A27108" s="3" t="str">
        <f>IFERROR(__xludf.DUMMYFUNCTION("GOOGLETRANSLATE(A27108,""en"",""pt"")"),"Eu não gosto do modo de economia de energia")</f>
        <v>Eu não gosto do modo de economia de energia</v>
      </c>
      <c r="B27108" s="3">
        <v>0</v>
      </c>
    </row>
    <row r="27109" ht="15.75" customHeight="1" spans="1:2">
      <c r="A27109" s="3" t="str">
        <f>IFERROR(__xludf.DUMMYFUNCTION("GOOGLETRANSLATE(A27109,""en"",""pt"")"),"Preto e branco")</f>
        <v>Preto e branco</v>
      </c>
      <c r="B27109" s="3">
        <v>0</v>
      </c>
    </row>
    <row r="27110" ht="15.75" customHeight="1" spans="1:2">
      <c r="A27110" s="3" t="str">
        <f>IFERROR(__xludf.DUMMYFUNCTION("GOOGLETRANSLATE(A27110,""en"",""pt"")"),"Tamanho, não a melhor impressora para trabalhos profissionais.")</f>
        <v>Tamanho, não a melhor impressora para trabalhos profissionais.</v>
      </c>
      <c r="B27110" s="3">
        <v>0</v>
      </c>
    </row>
    <row r="27111" ht="15.75" customHeight="1" spans="1:2">
      <c r="A27111" s="3" t="str">
        <f>IFERROR(__xludf.DUMMYFUNCTION("GOOGLETRANSLATE(A27111,""en"",""pt"")"),"Suporte NEC suga")</f>
        <v>Suporte NEC suga</v>
      </c>
      <c r="B27111" s="3">
        <v>0</v>
      </c>
    </row>
    <row r="27112" ht="15.75" customHeight="1" spans="1:2">
      <c r="A27112" s="3" t="str">
        <f>IFERROR(__xludf.DUMMYFUNCTION("GOOGLETRANSLATE(A27112,""en"",""pt"")"),"capacidade de papel")</f>
        <v>capacidade de papel</v>
      </c>
      <c r="B27112" s="3">
        <v>0</v>
      </c>
    </row>
    <row r="27113" ht="15.75" customHeight="1" spans="1:2">
      <c r="A27113" s="3" t="str">
        <f>IFERROR(__xludf.DUMMYFUNCTION("GOOGLETRANSLATE(A27113,""en"",""pt"")"),"potencial de distorção de papel")</f>
        <v>potencial de distorção de papel</v>
      </c>
      <c r="B27113" s="3">
        <v>0</v>
      </c>
    </row>
    <row r="27114" ht="15.75" customHeight="1" spans="1:2">
      <c r="A27114" s="3" t="str">
        <f>IFERROR(__xludf.DUMMYFUNCTION("GOOGLETRANSLATE(A27114,""en"",""pt"")"),"motoristas terrível NT / Windows 2000")</f>
        <v>motoristas terrível NT / Windows 2000</v>
      </c>
      <c r="B27114" s="3">
        <v>0</v>
      </c>
    </row>
    <row r="27115" ht="15.75" customHeight="1" spans="1:2">
      <c r="A27115" s="3" t="str">
        <f>IFERROR(__xludf.DUMMYFUNCTION("GOOGLETRANSLATE(A27115,""en"",""pt"")"),"Grande, volumoso, de alimentação de papel torto, bandeja de saída frágil")</f>
        <v>Grande, volumoso, de alimentação de papel torto, bandeja de saída frágil</v>
      </c>
      <c r="B27115" s="3">
        <v>0</v>
      </c>
    </row>
    <row r="27116" ht="15.75" customHeight="1" spans="1:2">
      <c r="A27116" s="3" t="str">
        <f>IFERROR(__xludf.DUMMYFUNCTION("GOOGLETRANSLATE(A27116,""en"",""pt"")"),"Nenhum")</f>
        <v>Nenhum</v>
      </c>
      <c r="B27116" s="3">
        <v>0</v>
      </c>
    </row>
    <row r="27117" ht="15.75" customHeight="1" spans="1:2">
      <c r="A27117" s="3" t="str">
        <f>IFERROR(__xludf.DUMMYFUNCTION("GOOGLETRANSLATE(A27117,""en"",""pt"")"),"Suporte Técnico horrível e não futuras atualizações de drivers de impressora.")</f>
        <v>Suporte Técnico horrível e não futuras atualizações de drivers de impressora.</v>
      </c>
      <c r="B27117" s="3">
        <v>0</v>
      </c>
    </row>
    <row r="27118" ht="15.75" customHeight="1" spans="1:2">
      <c r="A27118" s="3" t="str">
        <f>IFERROR(__xludf.DUMMYFUNCTION("GOOGLETRANSLATE(A27118,""en"",""pt"")"),"Atola constantemente. Cheiro terrível. toners muito caro. Toners baratos e desmoronar na impressora.")</f>
        <v>Atola constantemente. Cheiro terrível. toners muito caro. Toners baratos e desmoronar na impressora.</v>
      </c>
      <c r="B27118" s="3">
        <v>0</v>
      </c>
    </row>
    <row r="27119" ht="15.75" customHeight="1" spans="1:2">
      <c r="A27119" s="3" t="str">
        <f>IFERROR(__xludf.DUMMYFUNCTION("GOOGLETRANSLATE(A27119,""en"",""pt"")"),"Muito lento para ambientes de trabalho maiores")</f>
        <v>Muito lento para ambientes de trabalho maiores</v>
      </c>
      <c r="B27119" s="3">
        <v>0</v>
      </c>
    </row>
    <row r="27120" ht="15.75" customHeight="1" spans="1:2">
      <c r="A27120" s="3" t="str">
        <f>IFERROR(__xludf.DUMMYFUNCTION("GOOGLETRANSLATE(A27120,""en"",""pt"")"),"Fan é slighty voz alta durante a operação, cargas de papel torto algumas vezes, e os vincos de papel, ocasionalmente,")</f>
        <v>Fan é slighty voz alta durante a operação, cargas de papel torto algumas vezes, e os vincos de papel, ocasionalmente,</v>
      </c>
      <c r="B27120" s="3">
        <v>0</v>
      </c>
    </row>
    <row r="27121" ht="15.75" customHeight="1" spans="1:2">
      <c r="A27121" s="3" t="str">
        <f>IFERROR(__xludf.DUMMYFUNCTION("GOOGLETRANSLATE(A27121,""en"",""pt"")"),"projeto um pouco volumoso")</f>
        <v>projeto um pouco volumoso</v>
      </c>
      <c r="B27121" s="3">
        <v>0</v>
      </c>
    </row>
    <row r="27122" ht="15.75" customHeight="1" spans="1:2">
      <c r="A27122" s="3" t="str">
        <f>IFERROR(__xludf.DUMMYFUNCTION("GOOGLETRANSLATE(A27122,""en"",""pt"")"),"condutores, painel de controlo, a impressão torto")</f>
        <v>condutores, painel de controlo, a impressão torto</v>
      </c>
      <c r="B27122" s="3">
        <v>0</v>
      </c>
    </row>
    <row r="27123" ht="15.75" customHeight="1" spans="1:2">
      <c r="A27123" s="3" t="str">
        <f>IFERROR(__xludf.DUMMYFUNCTION("GOOGLETRANSLATE(A27123,""en"",""pt"")"),"É difícil fazer a reta de alimentação de papel. Sem USB.")</f>
        <v>É difícil fazer a reta de alimentação de papel. Sem USB.</v>
      </c>
      <c r="B27123" s="3">
        <v>0</v>
      </c>
    </row>
    <row r="27124" ht="15.75" customHeight="1" spans="1:2">
      <c r="A27124" s="3" t="str">
        <f>IFERROR(__xludf.DUMMYFUNCTION("GOOGLETRANSLATE(A27124,""en"",""pt"")"),"bandeja de carregamento de papel nem sempre carregar o papel em linha reta. pacote de software não está disponível para Win2k.")</f>
        <v>bandeja de carregamento de papel nem sempre carregar o papel em linha reta. pacote de software não está disponível para Win2k.</v>
      </c>
      <c r="B27124" s="3">
        <v>0</v>
      </c>
    </row>
    <row r="27125" ht="15.75" customHeight="1" spans="1:2">
      <c r="A27125" s="3" t="str">
        <f>IFERROR(__xludf.DUMMYFUNCTION("GOOGLETRANSLATE(A27125,""en"",""pt"")"),"Irritante se você é esquecido.")</f>
        <v>Irritante se você é esquecido.</v>
      </c>
      <c r="B27125" s="3">
        <v>0</v>
      </c>
    </row>
    <row r="27126" ht="15.75" customHeight="1" spans="1:2">
      <c r="A27126" s="3" t="str">
        <f>IFERROR(__xludf.DUMMYFUNCTION("GOOGLETRANSLATE(A27126,""en"",""pt"")"),"velocidades lentas Se não estiver usando o Flash, não tem visor, modos de cena imagem, muitas vezes distorcem")</f>
        <v>velocidades lentas Se não estiver usando o Flash, não tem visor, modos de cena imagem, muitas vezes distorcem</v>
      </c>
      <c r="B27126" s="3">
        <v>0</v>
      </c>
    </row>
    <row r="27127" ht="15.75" customHeight="1" spans="1:2">
      <c r="A27127" s="3" t="str">
        <f>IFERROR(__xludf.DUMMYFUNCTION("GOOGLETRANSLATE(A27127,""en"",""pt"")"),"No visor óptico, flash fraco")</f>
        <v>No visor óptico, flash fraco</v>
      </c>
      <c r="B27127" s="3">
        <v>0</v>
      </c>
    </row>
    <row r="27128" ht="15.75" customHeight="1" spans="1:2">
      <c r="A27128" s="3" t="str">
        <f>IFERROR(__xludf.DUMMYFUNCTION("GOOGLETRANSLATE(A27128,""en"",""pt"")"),"imagens borradas")</f>
        <v>imagens borradas</v>
      </c>
      <c r="B27128" s="3">
        <v>0</v>
      </c>
    </row>
    <row r="27129" ht="15.75" customHeight="1" spans="1:2">
      <c r="A27129" s="3" t="str">
        <f>IFERROR(__xludf.DUMMYFUNCTION("GOOGLETRANSLATE(A27129,""en"",""pt"")"),"No visor, a vida da bateria, Flash")</f>
        <v>No visor, a vida da bateria, Flash</v>
      </c>
      <c r="B27129" s="3">
        <v>0</v>
      </c>
    </row>
    <row r="27130" ht="15.75" customHeight="1" spans="1:2">
      <c r="A27130" s="3" t="str">
        <f>IFERROR(__xludf.DUMMYFUNCTION("GOOGLETRANSLATE(A27130,""en"",""pt"")"),"Às vezes imagens são borradas")</f>
        <v>Às vezes imagens são borradas</v>
      </c>
      <c r="B27130" s="3">
        <v>0</v>
      </c>
    </row>
    <row r="27131" ht="15.75" customHeight="1" spans="1:2">
      <c r="A27131" s="3" t="str">
        <f>IFERROR(__xludf.DUMMYFUNCTION("GOOGLETRANSLATE(A27131,""en"",""pt"")"),"No visor óptico, piscar fraco e muito perto de lente")</f>
        <v>No visor óptico, piscar fraco e muito perto de lente</v>
      </c>
      <c r="B27131" s="3">
        <v>0</v>
      </c>
    </row>
    <row r="27132" ht="15.75" customHeight="1" spans="1:2">
      <c r="A27132" s="3" t="str">
        <f>IFERROR(__xludf.DUMMYFUNCTION("GOOGLETRANSLATE(A27132,""en"",""pt"")"),"No visor óptico, a vida da bateria")</f>
        <v>No visor óptico, a vida da bateria</v>
      </c>
      <c r="B27132" s="3">
        <v>0</v>
      </c>
    </row>
    <row r="27133" ht="15.75" customHeight="1" spans="1:2">
      <c r="A27133" s="3" t="str">
        <f>IFERROR(__xludf.DUMMYFUNCTION("GOOGLETRANSLATE(A27133,""en"",""pt"")"),"Pobre interior qualidade da foto. Especialmente o flash e equilíbrio de branco. A vida da bateria.")</f>
        <v>Pobre interior qualidade da foto. Especialmente o flash e equilíbrio de branco. A vida da bateria.</v>
      </c>
      <c r="B27133" s="3">
        <v>0</v>
      </c>
    </row>
    <row r="27134" ht="15.75" customHeight="1" spans="1:2">
      <c r="A27134" s="3" t="str">
        <f>IFERROR(__xludf.DUMMYFUNCTION("GOOGLETRANSLATE(A27134,""en"",""pt"")"),"ligeiramente mais pesado")</f>
        <v>ligeiramente mais pesado</v>
      </c>
      <c r="B27134" s="3">
        <v>0</v>
      </c>
    </row>
    <row r="27135" ht="15.75" customHeight="1" spans="1:2">
      <c r="A27135" s="3" t="str">
        <f>IFERROR(__xludf.DUMMYFUNCTION("GOOGLETRANSLATE(A27135,""en"",""pt"")"),"Nenhuma vida visor, a bateria poderia ser melhor")</f>
        <v>Nenhuma vida visor, a bateria poderia ser melhor</v>
      </c>
      <c r="B27135" s="3">
        <v>0</v>
      </c>
    </row>
    <row r="27136" ht="15.75" customHeight="1" spans="1:2">
      <c r="A27136" s="3" t="str">
        <f>IFERROR(__xludf.DUMMYFUNCTION("GOOGLETRANSLATE(A27136,""en"",""pt"")"),"Problemas quando usando com monitor LCD off.")</f>
        <v>Problemas quando usando com monitor LCD off.</v>
      </c>
      <c r="B27136" s="3">
        <v>0</v>
      </c>
    </row>
    <row r="27137" ht="15.75" customHeight="1" spans="1:2">
      <c r="A27137" s="3" t="str">
        <f>IFERROR(__xludf.DUMMYFUNCTION("GOOGLETRANSLATE(A27137,""en"",""pt"")"),"Liga e desliga muito facilmente quando colocá-lo em saco da câmera.")</f>
        <v>Liga e desliga muito facilmente quando colocá-lo em saco da câmera.</v>
      </c>
      <c r="B27137" s="3">
        <v>0</v>
      </c>
    </row>
    <row r="27138" ht="15.75" customHeight="1" spans="1:2">
      <c r="A27138" s="3" t="str">
        <f>IFERROR(__xludf.DUMMYFUNCTION("GOOGLETRANSLATE(A27138,""en"",""pt"")"),"às vezes é um pouco lento quando o foco ou tirar fotos")</f>
        <v>às vezes é um pouco lento quando o foco ou tirar fotos</v>
      </c>
      <c r="B27138" s="3">
        <v>0</v>
      </c>
    </row>
    <row r="27139" ht="15.75" customHeight="1" spans="1:2">
      <c r="A27139" s="3" t="str">
        <f>IFERROR(__xludf.DUMMYFUNCTION("GOOGLETRANSLATE(A27139,""en"",""pt"")"),"A bateria recarregável não está incluída.")</f>
        <v>A bateria recarregável não está incluída.</v>
      </c>
      <c r="B27139" s="3">
        <v>0</v>
      </c>
    </row>
    <row r="27140" ht="15.75" customHeight="1" spans="1:2">
      <c r="A27140" s="3" t="str">
        <f>IFERROR(__xludf.DUMMYFUNCTION("GOOGLETRANSLATE(A27140,""en"",""pt"")"),"curta duração da bateria")</f>
        <v>curta duração da bateria</v>
      </c>
      <c r="B27140" s="3">
        <v>0</v>
      </c>
    </row>
    <row r="27141" ht="15.75" customHeight="1" spans="1:2">
      <c r="A27141" s="3" t="str">
        <f>IFERROR(__xludf.DUMMYFUNCTION("GOOGLETRANSLATE(A27141,""en"",""pt"")"),"As baterias CR-V3 custar muito, flash não é muito potente")</f>
        <v>As baterias CR-V3 custar muito, flash não é muito potente</v>
      </c>
      <c r="B27141" s="3">
        <v>0</v>
      </c>
    </row>
    <row r="27142" ht="15.75" customHeight="1" spans="1:2">
      <c r="A27142" s="3" t="str">
        <f>IFERROR(__xludf.DUMMYFUNCTION("GOOGLETRANSLATE(A27142,""en"",""pt"")"),"O tamanho pequeno poderia ser um problema para as grandes mãos / Não para o especialista.")</f>
        <v>O tamanho pequeno poderia ser um problema para as grandes mãos / Não para o especialista.</v>
      </c>
      <c r="B27142" s="3">
        <v>0</v>
      </c>
    </row>
    <row r="27143" ht="15.75" customHeight="1" spans="1:2">
      <c r="A27143" s="3" t="str">
        <f>IFERROR(__xludf.DUMMYFUNCTION("GOOGLETRANSLATE(A27143,""en"",""pt"")"),"tela LCD auto shut-off, cartão de 16MB, sem desconto no cartão de compras, vida útil da bateria")</f>
        <v>tela LCD auto shut-off, cartão de 16MB, sem desconto no cartão de compras, vida útil da bateria</v>
      </c>
      <c r="B27143" s="3">
        <v>0</v>
      </c>
    </row>
    <row r="27144" ht="15.75" customHeight="1" spans="1:2">
      <c r="A27144" s="3" t="str">
        <f>IFERROR(__xludf.DUMMYFUNCTION("GOOGLETRANSLATE(A27144,""en"",""pt"")"),"No visor óptico, nenhuma porta de saída de vídeo, problemas de Olho Vermelho,")</f>
        <v>No visor óptico, nenhuma porta de saída de vídeo, problemas de Olho Vermelho,</v>
      </c>
      <c r="B27144" s="3">
        <v>0</v>
      </c>
    </row>
    <row r="27145" ht="15.75" customHeight="1" spans="1:2">
      <c r="A27145" s="3" t="str">
        <f>IFERROR(__xludf.DUMMYFUNCTION("GOOGLETRANSLATE(A27145,""en"",""pt"")"),"Apenas visor LCD")</f>
        <v>Apenas visor LCD</v>
      </c>
      <c r="B27145" s="3">
        <v>0</v>
      </c>
    </row>
    <row r="27146" ht="15.75" customHeight="1" spans="1:2">
      <c r="A27146" s="3" t="str">
        <f>IFERROR(__xludf.DUMMYFUNCTION("GOOGLETRANSLATE(A27146,""en"",""pt"")"),"Não view finder")</f>
        <v>Não view finder</v>
      </c>
      <c r="B27146" s="3">
        <v>0</v>
      </c>
    </row>
    <row r="27147" ht="15.75" customHeight="1" spans="1:2">
      <c r="A27147" s="3" t="str">
        <f>IFERROR(__xludf.DUMMYFUNCTION("GOOGLETRANSLATE(A27147,""en"",""pt"")"),"Você tem que comprar uma bateria especial para esta câmara.")</f>
        <v>Você tem que comprar uma bateria especial para esta câmara.</v>
      </c>
      <c r="B27147" s="3">
        <v>0</v>
      </c>
    </row>
    <row r="27148" ht="15.75" customHeight="1" spans="1:2">
      <c r="A27148" s="3" t="str">
        <f>IFERROR(__xludf.DUMMYFUNCTION("GOOGLETRANSLATE(A27148,""en"",""pt"")"),"curta duração da bateria e sente apenas um pouco frágeis")</f>
        <v>curta duração da bateria e sente apenas um pouco frágeis</v>
      </c>
      <c r="B27148" s="3">
        <v>0</v>
      </c>
    </row>
    <row r="27149" ht="15.75" customHeight="1" spans="1:2">
      <c r="A27149" s="3" t="str">
        <f>IFERROR(__xludf.DUMMYFUNCTION("GOOGLETRANSLATE(A27149,""en"",""pt"")"),"Olho vermelho")</f>
        <v>Olho vermelho</v>
      </c>
      <c r="B27149" s="3">
        <v>0</v>
      </c>
    </row>
    <row r="27150" ht="15.75" customHeight="1" spans="1:2">
      <c r="A27150" s="3" t="str">
        <f>IFERROR(__xludf.DUMMYFUNCTION("GOOGLETRANSLATE(A27150,""en"",""pt"")"),"apenas modo de vídeo gravar por 15 segundos, o cartão de memória é muito pequeno")</f>
        <v>apenas modo de vídeo gravar por 15 segundos, o cartão de memória é muito pequeno</v>
      </c>
      <c r="B27150" s="3">
        <v>0</v>
      </c>
    </row>
    <row r="27151" ht="15.75" customHeight="1" spans="1:2">
      <c r="A27151" s="3" t="str">
        <f>IFERROR(__xludf.DUMMYFUNCTION("GOOGLETRANSLATE(A27151,""en"",""pt"")"),"Interior redeye, a tela é propenso a arranhões")</f>
        <v>Interior redeye, a tela é propenso a arranhões</v>
      </c>
      <c r="B27151" s="3">
        <v>0</v>
      </c>
    </row>
    <row r="27152" ht="15.75" customHeight="1" spans="1:2">
      <c r="A27152" s="3" t="str">
        <f>IFERROR(__xludf.DUMMYFUNCTION("GOOGLETRANSLATE(A27152,""en"",""pt"")"),"Ele faz tudo para você.")</f>
        <v>Ele faz tudo para você.</v>
      </c>
      <c r="B27152" s="3">
        <v>0</v>
      </c>
    </row>
    <row r="27153" ht="15.75" customHeight="1" spans="1:2">
      <c r="A27153" s="3" t="str">
        <f>IFERROR(__xludf.DUMMYFUNCTION("GOOGLETRANSLATE(A27153,""en"",""pt"")"),"Sente, problemas nos olhos vermelhos enormes frágeis.")</f>
        <v>Sente, problemas nos olhos vermelhos enormes frágeis.</v>
      </c>
      <c r="B27153" s="3">
        <v>0</v>
      </c>
    </row>
    <row r="27154" ht="15.75" customHeight="1" spans="1:2">
      <c r="A27154" s="3" t="str">
        <f>IFERROR(__xludf.DUMMYFUNCTION("GOOGLETRANSLATE(A27154,""en"",""pt"")"),"Não é possível definir a velocidade do obturador, LCD propenso a atrair poeira &amp; amp; arranhões")</f>
        <v>Não é possível definir a velocidade do obturador, LCD propenso a atrair poeira &amp; amp; arranhões</v>
      </c>
      <c r="B27154" s="3">
        <v>0</v>
      </c>
    </row>
    <row r="27155" ht="15.75" customHeight="1" spans="1:2">
      <c r="A27155" s="3" t="str">
        <f>IFERROR(__xludf.DUMMYFUNCTION("GOOGLETRANSLATE(A27155,""en"",""pt"")"),"olhos vermelhos, um pouco sobre o lado caro")</f>
        <v>olhos vermelhos, um pouco sobre o lado caro</v>
      </c>
      <c r="B27155" s="3">
        <v>0</v>
      </c>
    </row>
    <row r="27156" ht="15.75" customHeight="1" spans="1:2">
      <c r="A27156" s="3" t="str">
        <f>IFERROR(__xludf.DUMMYFUNCTION("GOOGLETRANSLATE(A27156,""en"",""pt"")"),"delicado, nenhum caso, nem visor óptico")</f>
        <v>delicado, nenhum caso, nem visor óptico</v>
      </c>
      <c r="B27156" s="3">
        <v>0</v>
      </c>
    </row>
    <row r="27157" ht="15.75" customHeight="1" spans="1:2">
      <c r="A27157" s="3" t="str">
        <f>IFERROR(__xludf.DUMMYFUNCTION("GOOGLETRANSLATE(A27157,""en"",""pt"")"),"problemas redeye graves em baixa iluminação, distorção de barril em ângulos de largura, nem visor separado")</f>
        <v>problemas redeye graves em baixa iluminação, distorção de barril em ângulos de largura, nem visor separado</v>
      </c>
      <c r="B27157" s="3">
        <v>0</v>
      </c>
    </row>
    <row r="27158" ht="15.75" customHeight="1" spans="1:2">
      <c r="A27158" s="3" t="str">
        <f>IFERROR(__xludf.DUMMYFUNCTION("GOOGLETRANSLATE(A27158,""en"",""pt"")"),"Horrível problema de olhos vermelhos. não pode tomar qualquer fotos de pessoas dentro.")</f>
        <v>Horrível problema de olhos vermelhos. não pode tomar qualquer fotos de pessoas dentro.</v>
      </c>
      <c r="B27158" s="3">
        <v>0</v>
      </c>
    </row>
    <row r="27159" ht="15.75" customHeight="1" spans="1:2">
      <c r="A27159" s="3" t="str">
        <f>IFERROR(__xludf.DUMMYFUNCTION("GOOGLETRANSLATE(A27159,""en"",""pt"")"),"Lento para cenas de ação, nem visor óptico, má qualidade pic à noite")</f>
        <v>Lento para cenas de ação, nem visor óptico, má qualidade pic à noite</v>
      </c>
      <c r="B27159" s="3">
        <v>0</v>
      </c>
    </row>
    <row r="27160" ht="15.75" customHeight="1" spans="1:2">
      <c r="A27160" s="3" t="str">
        <f>IFERROR(__xludf.DUMMYFUNCTION("GOOGLETRANSLATE(A27160,""en"",""pt"")"),"velocidade de carregamento da bateria lento")</f>
        <v>velocidade de carregamento da bateria lento</v>
      </c>
      <c r="B27160" s="3">
        <v>0</v>
      </c>
    </row>
    <row r="27161" ht="15.75" customHeight="1" spans="1:2">
      <c r="A27161" s="3" t="str">
        <f>IFERROR(__xludf.DUMMYFUNCTION("GOOGLETRANSLATE(A27161,""en"",""pt"")"),"2 pixels não é bom para imprimir fotos grandes para fora")</f>
        <v>2 pixels não é bom para imprimir fotos grandes para fora</v>
      </c>
      <c r="B27161" s="3">
        <v>0</v>
      </c>
    </row>
    <row r="27162" ht="15.75" customHeight="1" spans="1:2">
      <c r="A27162" s="3" t="str">
        <f>IFERROR(__xludf.DUMMYFUNCTION("GOOGLETRANSLATE(A27162,""en"",""pt"")"),"auto-foco pode ser mimado")</f>
        <v>auto-foco pode ser mimado</v>
      </c>
      <c r="B27162" s="3">
        <v>0</v>
      </c>
    </row>
    <row r="27163" ht="15.75" customHeight="1" spans="1:2">
      <c r="A27163" s="3" t="str">
        <f>IFERROR(__xludf.DUMMYFUNCTION("GOOGLETRANSLATE(A27163,""en"",""pt"")"),"Sem rosca lente para aceitar filtros ou anexos, e que é com o esquema de cores?")</f>
        <v>Sem rosca lente para aceitar filtros ou anexos, e que é com o esquema de cores?</v>
      </c>
      <c r="B27163" s="3">
        <v>0</v>
      </c>
    </row>
    <row r="27164" ht="15.75" customHeight="1" spans="1:2">
      <c r="A27164" s="3" t="str">
        <f>IFERROR(__xludf.DUMMYFUNCTION("GOOGLETRANSLATE(A27164,""en"",""pt"")"),"fotos noturnas. Um pouco lento. A maioria das lojas não tem as baterias à venda.")</f>
        <v>fotos noturnas. Um pouco lento. A maioria das lojas não tem as baterias à venda.</v>
      </c>
      <c r="B27164" s="3">
        <v>0</v>
      </c>
    </row>
    <row r="27165" ht="15.75" customHeight="1" spans="1:2">
      <c r="A27165" s="3" t="str">
        <f>IFERROR(__xludf.DUMMYFUNCTION("GOOGLETRANSLATE(A27165,""en"",""pt"")"),"Brilho no LCD quando fora.,")</f>
        <v>Brilho no LCD quando fora.,</v>
      </c>
      <c r="B27165" s="3">
        <v>0</v>
      </c>
    </row>
    <row r="27166" ht="15.75" customHeight="1" spans="1:2">
      <c r="A27166" s="3" t="str">
        <f>IFERROR(__xludf.DUMMYFUNCTION("GOOGLETRANSLATE(A27166,""en"",""pt"")"),"Um pouco granuladas interiores / baixa luminosidade imagens, pequeno alcance do flash e alguns olhos vermelhos")</f>
        <v>Um pouco granuladas interiores / baixa luminosidade imagens, pequeno alcance do flash e alguns olhos vermelhos</v>
      </c>
      <c r="B27166" s="3">
        <v>0</v>
      </c>
    </row>
    <row r="27167" ht="15.75" customHeight="1" spans="1:2">
      <c r="A27167" s="3" t="str">
        <f>IFERROR(__xludf.DUMMYFUNCTION("GOOGLETRANSLATE(A27167,""en"",""pt"")"),"Bad de olhos vermelhos. O pior caso de ""flare flash"" de sempre.")</f>
        <v>Bad de olhos vermelhos. O pior caso de "flare flash" de sempre.</v>
      </c>
      <c r="B27167" s="3">
        <v>0</v>
      </c>
    </row>
    <row r="27168" ht="15.75" customHeight="1" spans="1:2">
      <c r="A27168" s="3" t="str">
        <f>IFERROR(__xludf.DUMMYFUNCTION("GOOGLETRANSLATE(A27168,""en"",""pt"")"),"Flash fraco, alguns resultados surpreendentemente imprevisíveis, visor só de LCD.")</f>
        <v>Flash fraco, alguns resultados surpreendentemente imprevisíveis, visor só de LCD.</v>
      </c>
      <c r="B27168" s="3">
        <v>0</v>
      </c>
    </row>
    <row r="27169" ht="15.75" customHeight="1" spans="1:2">
      <c r="A27169" s="3" t="str">
        <f>IFERROR(__xludf.DUMMYFUNCTION("GOOGLETRANSLATE(A27169,""en"",""pt"")"),"pobres fotos com pouca luz, velocidade do obturador, 2,3 megapixel")</f>
        <v>pobres fotos com pouca luz, velocidade do obturador, 2,3 megapixel</v>
      </c>
      <c r="B27169" s="3">
        <v>0</v>
      </c>
    </row>
    <row r="27170" ht="15.75" customHeight="1" spans="1:2">
      <c r="A27170" s="3" t="str">
        <f>IFERROR(__xludf.DUMMYFUNCTION("GOOGLETRANSLATE(A27170,""en"",""pt"")"),"nenhum realmente")</f>
        <v>nenhum realmente</v>
      </c>
      <c r="B27170" s="3">
        <v>0</v>
      </c>
    </row>
    <row r="27171" ht="15.75" customHeight="1" spans="1:2">
      <c r="A27171" s="3" t="str">
        <f>IFERROR(__xludf.DUMMYFUNCTION("GOOGLETRANSLATE(A27171,""en"",""pt"")"),"Apenas 2 Megapixel, filmes só pode ser tomada por 15 segundos")</f>
        <v>Apenas 2 Megapixel, filmes só pode ser tomada por 15 segundos</v>
      </c>
      <c r="B27171" s="3">
        <v>0</v>
      </c>
    </row>
    <row r="27172" ht="15.75" customHeight="1" spans="1:2">
      <c r="A27172" s="3" t="str">
        <f>IFERROR(__xludf.DUMMYFUNCTION("GOOGLETRANSLATE(A27172,""en"",""pt"")"),"Sem sair de vídeo, olhos vermelhos, flash de fraca potência, nenhuma lâmpada auxiliar AF")</f>
        <v>Sem sair de vídeo, olhos vermelhos, flash de fraca potência, nenhuma lâmpada auxiliar AF</v>
      </c>
      <c r="B27172" s="3">
        <v>0</v>
      </c>
    </row>
    <row r="27173" ht="15.75" customHeight="1" spans="1:2">
      <c r="A27173" s="3" t="str">
        <f>IFERROR(__xludf.DUMMYFUNCTION("GOOGLETRANSLATE(A27173,""en"",""pt"")"),"olhos vermelhos, a falta de visor óptico")</f>
        <v>olhos vermelhos, a falta de visor óptico</v>
      </c>
      <c r="B27173" s="3">
        <v>0</v>
      </c>
    </row>
    <row r="27174" ht="15.75" customHeight="1" spans="1:2">
      <c r="A27174" s="3" t="str">
        <f>IFERROR(__xludf.DUMMYFUNCTION("GOOGLETRANSLATE(A27174,""en"",""pt"")"),"usa bateria rapidamente, vem com um cartão de memória ruim")</f>
        <v>usa bateria rapidamente, vem com um cartão de memória ruim</v>
      </c>
      <c r="B27174" s="3">
        <v>0</v>
      </c>
    </row>
    <row r="27175" ht="15.75" customHeight="1" spans="1:2">
      <c r="A27175" s="3" t="str">
        <f>IFERROR(__xludf.DUMMYFUNCTION("GOOGLETRANSLATE(A27175,""en"",""pt"")"),"pobres em pouca luz sem flash")</f>
        <v>pobres em pouca luz sem flash</v>
      </c>
      <c r="B27175" s="3">
        <v>0</v>
      </c>
    </row>
    <row r="27176" ht="15.75" customHeight="1" spans="1:2">
      <c r="A27176" s="3" t="str">
        <f>IFERROR(__xludf.DUMMYFUNCTION("GOOGLETRANSLATE(A27176,""en"",""pt"")"),"qualidade inconsistente. interface não tão fácil. Um pouco grande em comparação com outras câmeras digitais.")</f>
        <v>qualidade inconsistente. interface não tão fácil. Um pouco grande em comparação com outras câmeras digitais.</v>
      </c>
      <c r="B27176" s="3">
        <v>0</v>
      </c>
    </row>
    <row r="27177" ht="15.75" customHeight="1" spans="1:2">
      <c r="A27177" s="3" t="str">
        <f>IFERROR(__xludf.DUMMYFUNCTION("GOOGLETRANSLATE(A27177,""en"",""pt"")"),"No visor óptico, sem vídeo-out; questões de olhos vermelhos")</f>
        <v>No visor óptico, sem vídeo-out; questões de olhos vermelhos</v>
      </c>
      <c r="B27177" s="3">
        <v>0</v>
      </c>
    </row>
    <row r="27178" ht="15.75" customHeight="1" spans="1:2">
      <c r="A27178" s="3" t="str">
        <f>IFERROR(__xludf.DUMMYFUNCTION("GOOGLETRANSLATE(A27178,""en"",""pt"")"),"Filme tiro tem a duração de 40 anos somente, vida de bateria fraca -. 80mins mais")</f>
        <v>Filme tiro tem a duração de 40 anos somente, vida de bateria fraca -. 80mins mais</v>
      </c>
      <c r="B27178" s="3">
        <v>0</v>
      </c>
    </row>
    <row r="27179" ht="15.75" customHeight="1" spans="1:2">
      <c r="A27179" s="3" t="str">
        <f>IFERROR(__xludf.DUMMYFUNCTION("GOOGLETRANSLATE(A27179,""en"",""pt"")"),"Drena baterias mais rápido do que outras câmeras digitais.")</f>
        <v>Drena baterias mais rápido do que outras câmeras digitais.</v>
      </c>
      <c r="B27179" s="3">
        <v>0</v>
      </c>
    </row>
    <row r="27180" ht="15.75" customHeight="1" spans="1:2">
      <c r="A27180" s="3" t="str">
        <f>IFERROR(__xludf.DUMMYFUNCTION("GOOGLETRANSLATE(A27180,""en"",""pt"")"),"Pelo menos uma Meg CF cartão de 32 teria sido mais agradável.")</f>
        <v>Pelo menos uma Meg CF cartão de 32 teria sido mais agradável.</v>
      </c>
      <c r="B27180" s="3">
        <v>0</v>
      </c>
    </row>
    <row r="27181" ht="15.75" customHeight="1" spans="1:2">
      <c r="A27181" s="3" t="str">
        <f>IFERROR(__xludf.DUMMYFUNCTION("GOOGLETRANSLATE(A27181,""en"",""pt"")"),"Não recarregável! baterias recarregáveis ​​e caso disponível a custo adicional. Algum tempo atraso do obturador")</f>
        <v>Não recarregável! baterias recarregáveis ​​e caso disponível a custo adicional. Algum tempo atraso do obturador</v>
      </c>
      <c r="B27181" s="3">
        <v>0</v>
      </c>
    </row>
    <row r="27182" ht="15.75" customHeight="1" spans="1:2">
      <c r="A27182" s="3" t="str">
        <f>IFERROR(__xludf.DUMMYFUNCTION("GOOGLETRANSLATE(A27182,""en"",""pt"")"),"A vida da bateria é horrível, com pouca luz fotos vir maçante, um pouco pequeno demais")</f>
        <v>A vida da bateria é horrível, com pouca luz fotos vir maçante, um pouco pequeno demais</v>
      </c>
      <c r="B27182" s="3">
        <v>0</v>
      </c>
    </row>
    <row r="27183" ht="15.75" customHeight="1" spans="1:2">
      <c r="A27183" s="3" t="str">
        <f>IFERROR(__xludf.DUMMYFUNCTION("GOOGLETRANSLATE(A27183,""en"",""pt"")"),"Shutter Lag Time.")</f>
        <v>Shutter Lag Time.</v>
      </c>
      <c r="B27183" s="3">
        <v>0</v>
      </c>
    </row>
    <row r="27184" ht="15.75" customHeight="1" spans="1:2">
      <c r="A27184" s="3" t="str">
        <f>IFERROR(__xludf.DUMMYFUNCTION("GOOGLETRANSLATE(A27184,""en"",""pt"")"),"Curta vida útil da bateria")</f>
        <v>Curta vida útil da bateria</v>
      </c>
      <c r="B27184" s="3">
        <v>0</v>
      </c>
    </row>
    <row r="27185" ht="15.75" customHeight="1" spans="1:2">
      <c r="A27185" s="3" t="str">
        <f>IFERROR(__xludf.DUMMYFUNCTION("GOOGLETRANSLATE(A27185,""en"",""pt"")"),"selector cena gira acidentalmente.")</f>
        <v>selector cena gira acidentalmente.</v>
      </c>
      <c r="B27185" s="3">
        <v>0</v>
      </c>
    </row>
    <row r="27186" ht="15.75" customHeight="1" spans="1:2">
      <c r="A27186" s="3" t="str">
        <f>IFERROR(__xludf.DUMMYFUNCTION("GOOGLETRANSLATE(A27186,""en"",""pt"")"),"3.1 Mega Pixels é muito, mas seria bom ter mais!")</f>
        <v>3.1 Mega Pixels é muito, mas seria bom ter mais!</v>
      </c>
      <c r="B27186" s="3">
        <v>0</v>
      </c>
    </row>
    <row r="27187" ht="15.75" customHeight="1" spans="1:2">
      <c r="A27187" s="3" t="str">
        <f>IFERROR(__xludf.DUMMYFUNCTION("GOOGLETRANSLATE(A27187,""en"",""pt"")"),"pilhas recarregáveis ​​/ carregador não incluído, há opções de exposição manual")</f>
        <v>pilhas recarregáveis ​​/ carregador não incluído, há opções de exposição manual</v>
      </c>
      <c r="B27187" s="3">
        <v>0</v>
      </c>
    </row>
    <row r="27188" ht="15.75" customHeight="1" spans="1:2">
      <c r="A27188" s="3" t="str">
        <f>IFERROR(__xludf.DUMMYFUNCTION("GOOGLETRANSLATE(A27188,""en"",""pt"")"),"restos obturador aberto por muito tempo, provoca manchas sem tripé")</f>
        <v>restos obturador aberto por muito tempo, provoca manchas sem tripé</v>
      </c>
      <c r="B27188" s="3">
        <v>0</v>
      </c>
    </row>
    <row r="27189" ht="15.75" customHeight="1" spans="1:2">
      <c r="A27189" s="3" t="str">
        <f>IFERROR(__xludf.DUMMYFUNCTION("GOOGLETRANSLATE(A27189,""en"",""pt"")"),"Uso da bateria é um pouco demais - talvez não mais do que a maioria das câmeras digitais.")</f>
        <v>Uso da bateria é um pouco demais - talvez não mais do que a maioria das câmeras digitais.</v>
      </c>
      <c r="B27189" s="3">
        <v>0</v>
      </c>
    </row>
    <row r="27190" ht="15.75" customHeight="1" spans="1:2">
      <c r="A27190" s="3" t="str">
        <f>IFERROR(__xludf.DUMMYFUNCTION("GOOGLETRANSLATE(A27190,""en"",""pt"")"),"Há modos manuais para falar de")</f>
        <v>Há modos manuais para falar de</v>
      </c>
      <c r="B27190" s="3">
        <v>0</v>
      </c>
    </row>
    <row r="27191" ht="15.75" customHeight="1" spans="1:2">
      <c r="A27191" s="3" t="str">
        <f>IFERROR(__xludf.DUMMYFUNCTION("GOOGLETRANSLATE(A27191,""en"",""pt"")"),"No microfone e a bateria se esgotar rapidamente.")</f>
        <v>No microfone e a bateria se esgotar rapidamente.</v>
      </c>
      <c r="B27191" s="3">
        <v>0</v>
      </c>
    </row>
    <row r="27192" ht="15.75" customHeight="1" spans="1:2">
      <c r="A27192" s="3" t="str">
        <f>IFERROR(__xludf.DUMMYFUNCTION("GOOGLETRANSLATE(A27192,""en"",""pt"")"),"Fácil de colocar suas impressões digitais na lente.")</f>
        <v>Fácil de colocar suas impressões digitais na lente.</v>
      </c>
      <c r="B27192" s="3">
        <v>0</v>
      </c>
    </row>
    <row r="27193" ht="15.75" customHeight="1" spans="1:2">
      <c r="A27193" s="3" t="str">
        <f>IFERROR(__xludf.DUMMYFUNCTION("GOOGLETRANSLATE(A27193,""en"",""pt"")"),"No visor óptico, nenhuma porta de saída de vídeo, problemas de Olho Vermelho,,")</f>
        <v>No visor óptico, nenhuma porta de saída de vídeo, problemas de Olho Vermelho,,</v>
      </c>
      <c r="B27193" s="3">
        <v>0</v>
      </c>
    </row>
    <row r="27194" ht="15.75" customHeight="1" spans="1:2">
      <c r="A27194" s="3" t="str">
        <f>IFERROR(__xludf.DUMMYFUNCTION("GOOGLETRANSLATE(A27194,""en"",""pt"")"),"fácil de colocar as impressões digitais na lente, você tem que virar a toda lente.")</f>
        <v>fácil de colocar as impressões digitais na lente, você tem que virar a toda lente.</v>
      </c>
      <c r="B27194" s="3">
        <v>0</v>
      </c>
    </row>
    <row r="27195" ht="15.75" customHeight="1" spans="1:2">
      <c r="A27195" s="3" t="str">
        <f>IFERROR(__xludf.DUMMYFUNCTION("GOOGLETRANSLATE(A27195,""en"",""pt"")"),"No visor óptico, bateria Proprietary, nem todos os recursos disponíveis prontamente.")</f>
        <v>No visor óptico, bateria Proprietary, nem todos os recursos disponíveis prontamente.</v>
      </c>
      <c r="B27195" s="3">
        <v>0</v>
      </c>
    </row>
    <row r="27196" ht="15.75" customHeight="1" spans="1:2">
      <c r="A27196" s="3" t="str">
        <f>IFERROR(__xludf.DUMMYFUNCTION("GOOGLETRANSLATE(A27196,""en"",""pt"")"),"Se você comprá-lo em S. Korea todas as instruções será em japonês.")</f>
        <v>Se você comprá-lo em S. Korea todas as instruções será em japonês.</v>
      </c>
      <c r="B27196" s="3">
        <v>0</v>
      </c>
    </row>
    <row r="27197" ht="15.75" customHeight="1" spans="1:2">
      <c r="A27197" s="3" t="str">
        <f>IFERROR(__xludf.DUMMYFUNCTION("GOOGLETRANSLATE(A27197,""en"",""pt"")"),"Não é uma câmera fácil de usar para iniciantes, muito caro")</f>
        <v>Não é uma câmera fácil de usar para iniciantes, muito caro</v>
      </c>
      <c r="B27197" s="3">
        <v>0</v>
      </c>
    </row>
    <row r="27198" ht="15.75" customHeight="1" spans="1:2">
      <c r="A27198" s="3" t="str">
        <f>IFERROR(__xludf.DUMMYFUNCTION("GOOGLETRANSLATE(A27198,""en"",""pt"")"),"Bateria morre depois de um dia e difícil de tirar.")</f>
        <v>Bateria morre depois de um dia e difícil de tirar.</v>
      </c>
      <c r="B27198" s="3">
        <v>0</v>
      </c>
    </row>
    <row r="27199" ht="15.75" customHeight="1" spans="1:2">
      <c r="A27199" s="3" t="str">
        <f>IFERROR(__xludf.DUMMYFUNCTION("GOOGLETRANSLATE(A27199,""en"",""pt"")"),"Terrível qualidade de imagem, menus são difíceis de navegar, software carece")</f>
        <v>Terrível qualidade de imagem, menus são difíceis de navegar, software carece</v>
      </c>
      <c r="B27199" s="3">
        <v>0</v>
      </c>
    </row>
    <row r="27200" ht="15.75" customHeight="1" spans="1:2">
      <c r="A27200" s="3" t="str">
        <f>IFERROR(__xludf.DUMMYFUNCTION("GOOGLETRANSLATE(A27200,""en"",""pt"")"),"zoom digital fica muito ruim imagem, mas isso é em todo zoom digital")</f>
        <v>zoom digital fica muito ruim imagem, mas isso é em todo zoom digital</v>
      </c>
      <c r="B27200" s="3">
        <v>0</v>
      </c>
    </row>
    <row r="27201" ht="15.75" customHeight="1" spans="1:2">
      <c r="A27201" s="3" t="str">
        <f>IFERROR(__xludf.DUMMYFUNCTION("GOOGLETRANSLATE(A27201,""en"",""pt"")"),"Nenhum som w / vídeo, livro de instruções intimidante, zoom e foco lento")</f>
        <v>Nenhum som w / vídeo, livro de instruções intimidante, zoom e foco lento</v>
      </c>
      <c r="B27201" s="3">
        <v>0</v>
      </c>
    </row>
    <row r="27202" ht="15.75" customHeight="1" spans="1:2">
      <c r="A27202" s="3" t="str">
        <f>IFERROR(__xludf.DUMMYFUNCTION("GOOGLETRANSLATE(A27202,""en"",""pt"")"),"Bateria poderia ser melhor, cartão de memória flash de 16MB")</f>
        <v>Bateria poderia ser melhor, cartão de memória flash de 16MB</v>
      </c>
      <c r="B27202" s="3">
        <v>0</v>
      </c>
    </row>
    <row r="27203" ht="15.75" customHeight="1" spans="1:2">
      <c r="A27203" s="3" t="str">
        <f>IFERROR(__xludf.DUMMYFUNCTION("GOOGLETRANSLATE(A27203,""en"",""pt"")"),"Com este conjunto de recursos e nessa faixa de preço, nenhum que são significativos,")</f>
        <v>Com este conjunto de recursos e nessa faixa de preço, nenhum que são significativos,</v>
      </c>
      <c r="B27203" s="3">
        <v>0</v>
      </c>
    </row>
    <row r="27204" ht="15.75" customHeight="1" spans="1:2">
      <c r="A27204" s="3" t="str">
        <f>IFERROR(__xludf.DUMMYFUNCTION("GOOGLETRANSLATE(A27204,""en"",""pt"")"),"Não grandes cenas de ação")</f>
        <v>Não grandes cenas de ação</v>
      </c>
      <c r="B27204" s="3">
        <v>0</v>
      </c>
    </row>
    <row r="27205" ht="15.75" customHeight="1" spans="1:2">
      <c r="A27205" s="3" t="str">
        <f>IFERROR(__xludf.DUMMYFUNCTION("GOOGLETRANSLATE(A27205,""en"",""pt"")"),"Traiu zoom óptico")</f>
        <v>Traiu zoom óptico</v>
      </c>
      <c r="B27205" s="3">
        <v>0</v>
      </c>
    </row>
    <row r="27206" ht="15.75" customHeight="1" spans="1:2">
      <c r="A27206" s="3" t="str">
        <f>IFERROR(__xludf.DUMMYFUNCTION("GOOGLETRANSLATE(A27206,""en"",""pt"")"),"Nenhum que eu posso pensar para o preço")</f>
        <v>Nenhum que eu posso pensar para o preço</v>
      </c>
      <c r="B27206" s="3">
        <v>0</v>
      </c>
    </row>
    <row r="27207" ht="15.75" customHeight="1" spans="1:2">
      <c r="A27207" s="3" t="str">
        <f>IFERROR(__xludf.DUMMYFUNCTION("GOOGLETRANSLATE(A27207,""en"",""pt"")"),"Um desastre! Software caiu meu computador.")</f>
        <v>Um desastre! Software caiu meu computador.</v>
      </c>
      <c r="B27207" s="3">
        <v>0</v>
      </c>
    </row>
    <row r="27208" ht="15.75" customHeight="1" spans="1:2">
      <c r="A27208" s="3" t="str">
        <f>IFERROR(__xludf.DUMMYFUNCTION("GOOGLETRANSLATE(A27208,""en"",""pt"")"),"não RAW, pequeno LCD, não ""aidlamp"" para o foco automático, menus demasiado complexos")</f>
        <v>não RAW, pequeno LCD, não "aidlamp" para o foco automático, menus demasiado complexos</v>
      </c>
      <c r="B27208" s="3">
        <v>0</v>
      </c>
    </row>
    <row r="27209" ht="15.75" customHeight="1" spans="1:2">
      <c r="A27209" s="3" t="str">
        <f>IFERROR(__xludf.DUMMYFUNCTION("GOOGLETRANSLATE(A27209,""en"",""pt"")"),"Alguns menus em modo manual de difícil acesso.")</f>
        <v>Alguns menus em modo manual de difícil acesso.</v>
      </c>
      <c r="B27209" s="3">
        <v>0</v>
      </c>
    </row>
    <row r="27210" ht="15.75" customHeight="1" spans="1:2">
      <c r="A27210" s="3" t="str">
        <f>IFERROR(__xludf.DUMMYFUNCTION("GOOGLETRANSLATE(A27210,""en"",""pt"")"),"bateria recarregável proprietárias, cartão de 8MB fornecido com a câmera")</f>
        <v>bateria recarregável proprietárias, cartão de 8MB fornecido com a câmera</v>
      </c>
      <c r="B27210" s="3">
        <v>0</v>
      </c>
    </row>
    <row r="27211" ht="15.75" customHeight="1" spans="1:2">
      <c r="A27211" s="3" t="str">
        <f>IFERROR(__xludf.DUMMYFUNCTION("GOOGLETRANSLATE(A27211,""en"",""pt"")"),"fotos em ambientes fechados pode lavar, nenhum som com vídeo (leia), cartão de 16MB inútil")</f>
        <v>fotos em ambientes fechados pode lavar, nenhum som com vídeo (leia), cartão de 16MB inútil</v>
      </c>
      <c r="B27211" s="3">
        <v>0</v>
      </c>
    </row>
    <row r="27212" ht="15.75" customHeight="1" spans="1:2">
      <c r="A27212" s="3" t="str">
        <f>IFERROR(__xludf.DUMMYFUNCTION("GOOGLETRANSLATE(A27212,""en"",""pt"")"),"BIG se você quer uma câmera ir a qualquer lugar. TAMPA DA LENTE!! Sem proteção da lente integrada.")</f>
        <v>BIG se você quer uma câmera ir a qualquer lugar. TAMPA DA LENTE!! Sem proteção da lente integrada.</v>
      </c>
      <c r="B27212" s="3">
        <v>0</v>
      </c>
    </row>
    <row r="27213" ht="15.75" customHeight="1" spans="1:2">
      <c r="A27213" s="3" t="str">
        <f>IFERROR(__xludf.DUMMYFUNCTION("GOOGLETRANSLATE(A27213,""en"",""pt"")"),"O atraso do obturador, foco manual difícil, nenhum indicador espaço CF")</f>
        <v>O atraso do obturador, foco manual difícil, nenhum indicador espaço CF</v>
      </c>
      <c r="B27213" s="3">
        <v>0</v>
      </c>
    </row>
    <row r="27214" ht="15.75" customHeight="1" spans="1:2">
      <c r="A27214" s="3" t="str">
        <f>IFERROR(__xludf.DUMMYFUNCTION("GOOGLETRANSLATE(A27214,""en"",""pt"")"),"Lens vulneráveis ​​a sujeira e danos, nenhuma alça de pescoço")</f>
        <v>Lens vulneráveis ​​a sujeira e danos, nenhuma alça de pescoço</v>
      </c>
      <c r="B27214" s="3">
        <v>0</v>
      </c>
    </row>
    <row r="27215" ht="15.75" customHeight="1" spans="1:2">
      <c r="A27215" s="3" t="str">
        <f>IFERROR(__xludf.DUMMYFUNCTION("GOOGLETRANSLATE(A27215,""en"",""pt"")"),"Câmara teve de ser reparado após 31 dias de propriedade.")</f>
        <v>Câmara teve de ser reparado após 31 dias de propriedade.</v>
      </c>
      <c r="B27215" s="3">
        <v>0</v>
      </c>
    </row>
    <row r="27216" ht="15.75" customHeight="1" spans="1:2">
      <c r="A27216" s="3" t="str">
        <f>IFERROR(__xludf.DUMMYFUNCTION("GOOGLETRANSLATE(A27216,""en"",""pt"")"),"Shutter atraso, zoom digital poderia ser mais claro")</f>
        <v>Shutter atraso, zoom digital poderia ser mais claro</v>
      </c>
      <c r="B27216" s="3">
        <v>0</v>
      </c>
    </row>
    <row r="27217" ht="15.75" customHeight="1" spans="1:2">
      <c r="A27217" s="3" t="str">
        <f>IFERROR(__xludf.DUMMYFUNCTION("GOOGLETRANSLATE(A27217,""en"",""pt"")"),"Nenhum que eu posso pensar.")</f>
        <v>Nenhum que eu posso pensar.</v>
      </c>
      <c r="B27217" s="3">
        <v>0</v>
      </c>
    </row>
    <row r="27218" ht="15.75" customHeight="1" spans="1:2">
      <c r="A27218" s="3" t="str">
        <f>IFERROR(__xludf.DUMMYFUNCTION("GOOGLETRANSLATE(A27218,""en"",""pt"")"),"Ummm ... não a Coolpix 4500 ?! Deixe-me tentar pensar em uma melhor con ...")</f>
        <v>Ummm ... não a Coolpix 4500 ?! Deixe-me tentar pensar em uma melhor con ...</v>
      </c>
      <c r="B27218" s="3">
        <v>0</v>
      </c>
    </row>
    <row r="27219" ht="15.75" customHeight="1" spans="1:2">
      <c r="A27219" s="3" t="str">
        <f>IFERROR(__xludf.DUMMYFUNCTION("GOOGLETRANSLATE(A27219,""en"",""pt"")"),"carcaça barata, cartão de 16MB")</f>
        <v>carcaça barata, cartão de 16MB</v>
      </c>
      <c r="B27219" s="3">
        <v>0</v>
      </c>
    </row>
    <row r="27220" ht="15.75" customHeight="1" spans="1:2">
      <c r="A27220" s="3" t="str">
        <f>IFERROR(__xludf.DUMMYFUNCTION("GOOGLETRANSLATE(A27220,""en"",""pt"")"),"Nenhum significativo")</f>
        <v>Nenhum significativo</v>
      </c>
      <c r="B27220" s="3">
        <v>0</v>
      </c>
    </row>
    <row r="27221" ht="15.75" customHeight="1" spans="1:2">
      <c r="A27221" s="3" t="str">
        <f>IFERROR(__xludf.DUMMYFUNCTION("GOOGLETRANSLATE(A27221,""en"",""pt"")"),"Não há som quando o obturador é liberado")</f>
        <v>Não há som quando o obturador é liberado</v>
      </c>
      <c r="B27221" s="3">
        <v>0</v>
      </c>
    </row>
    <row r="27222" ht="15.75" customHeight="1" spans="1:2">
      <c r="A27222" s="3" t="str">
        <f>IFERROR(__xludf.DUMMYFUNCTION("GOOGLETRANSLATE(A27222,""en"",""pt"")"),"Preço e ligeiro atraso do obturador &amp; amp; # 13; &amp; amp; # 10;")</f>
        <v>Preço e ligeiro atraso do obturador &amp; amp; # 13; &amp; amp; # 10;</v>
      </c>
      <c r="B27222" s="3">
        <v>0</v>
      </c>
    </row>
    <row r="27223" ht="15.75" customHeight="1" spans="1:2">
      <c r="A27223" s="3" t="str">
        <f>IFERROR(__xludf.DUMMYFUNCTION("GOOGLETRANSLATE(A27223,""en"",""pt"")"),"New LCD é menor, menus complexos, auto-foco pode ser enganado em certas condições.")</f>
        <v>New LCD é menor, menus complexos, auto-foco pode ser enganado em certas condições.</v>
      </c>
      <c r="B27223" s="3">
        <v>0</v>
      </c>
    </row>
    <row r="27224" ht="15.75" customHeight="1" spans="1:2">
      <c r="A27224" s="3" t="str">
        <f>IFERROR(__xludf.DUMMYFUNCTION("GOOGLETRANSLATE(A27224,""en"",""pt"")"),"A vida da bateria é um pouco curto. Mas não um disjuntor do negócio, com certeza.")</f>
        <v>A vida da bateria é um pouco curto. Mas não um disjuntor do negócio, com certeza.</v>
      </c>
      <c r="B27224" s="3">
        <v>0</v>
      </c>
    </row>
    <row r="27225" ht="15.75" customHeight="1" spans="1:2">
      <c r="A27225" s="3" t="str">
        <f>IFERROR(__xludf.DUMMYFUNCTION("GOOGLETRANSLATE(A27225,""en"",""pt"")"),"Ainda uma grande câmera em geral com uma bateria so-so.")</f>
        <v>Ainda uma grande câmera em geral com uma bateria so-so.</v>
      </c>
      <c r="B27225" s="3">
        <v>0</v>
      </c>
    </row>
    <row r="27226" ht="15.75" customHeight="1" spans="1:2">
      <c r="A27226" s="3" t="str">
        <f>IFERROR(__xludf.DUMMYFUNCTION("GOOGLETRANSLATE(A27226,""en"",""pt"")"),"Custo, custo, custo")</f>
        <v>Custo, custo, custo</v>
      </c>
      <c r="B27226" s="3">
        <v>0</v>
      </c>
    </row>
    <row r="27227" ht="15.75" customHeight="1" spans="1:2">
      <c r="A27227" s="3" t="str">
        <f>IFERROR(__xludf.DUMMYFUNCTION("GOOGLETRANSLATE(A27227,""en"",""pt"")"),"tempo de atraso de liberação do obturador, a vida da bateria semelhante ao da Coolpix 995")</f>
        <v>tempo de atraso de liberação do obturador, a vida da bateria semelhante ao da Coolpix 995</v>
      </c>
      <c r="B27227" s="3">
        <v>0</v>
      </c>
    </row>
    <row r="27228" ht="15.75" customHeight="1" spans="1:2">
      <c r="A27228" s="3" t="str">
        <f>IFERROR(__xludf.DUMMYFUNCTION("GOOGLETRANSLATE(A27228,""en"",""pt"")"),"Acredito Coolpix a ser um pouco infantil, mas a câmera certeza prova que errado.")</f>
        <v>Acredito Coolpix a ser um pouco infantil, mas a câmera certeza prova que errado.</v>
      </c>
      <c r="B27228" s="3">
        <v>0</v>
      </c>
    </row>
    <row r="27229" ht="15.75" customHeight="1" spans="1:2">
      <c r="A27229" s="3" t="str">
        <f>IFERROR(__xludf.DUMMYFUNCTION("GOOGLETRANSLATE(A27229,""en"",""pt"")"),"pop-up flash, curta duração da bateria, não vem com câmera caso")</f>
        <v>pop-up flash, curta duração da bateria, não vem com câmera caso</v>
      </c>
      <c r="B27229" s="3">
        <v>0</v>
      </c>
    </row>
    <row r="27230" ht="15.75" customHeight="1" spans="1:2">
      <c r="A27230" s="3" t="str">
        <f>IFERROR(__xludf.DUMMYFUNCTION("GOOGLETRANSLATE(A27230,""en"",""pt"")"),"Pop-Flash; preço.")</f>
        <v>Pop-Flash; preço.</v>
      </c>
      <c r="B27230" s="3">
        <v>0</v>
      </c>
    </row>
    <row r="27231" ht="15.75" customHeight="1" spans="1:2">
      <c r="A27231" s="3" t="str">
        <f>IFERROR(__xludf.DUMMYFUNCTION("GOOGLETRANSLATE(A27231,""en"",""pt"")"),"exposição medição duvidoso, cartão de memória flash compacto muito pequeno")</f>
        <v>exposição medição duvidoso, cartão de memória flash compacto muito pequeno</v>
      </c>
      <c r="B27231" s="3">
        <v>0</v>
      </c>
    </row>
    <row r="27232" ht="15.75" customHeight="1" spans="1:2">
      <c r="A27232" s="3" t="str">
        <f>IFERROR(__xludf.DUMMYFUNCTION("GOOGLETRANSLATE(A27232,""en"",""pt"")"),"RUIM!")</f>
        <v>RUIM!</v>
      </c>
      <c r="B27232" s="3">
        <v>0</v>
      </c>
    </row>
    <row r="27233" ht="15.75" customHeight="1" spans="1:2">
      <c r="A27233" s="3" t="str">
        <f>IFERROR(__xludf.DUMMYFUNCTION("GOOGLETRANSLATE(A27233,""en"",""pt"")"),"sistema de menu Modal, por vezes, deixa você saber como chegar a um determinado recurso.")</f>
        <v>sistema de menu Modal, por vezes, deixa você saber como chegar a um determinado recurso.</v>
      </c>
      <c r="B27233" s="3">
        <v>0</v>
      </c>
    </row>
    <row r="27234" ht="15.75" customHeight="1" spans="1:2">
      <c r="A27234" s="3" t="str">
        <f>IFERROR(__xludf.DUMMYFUNCTION("GOOGLETRANSLATE(A27234,""en"",""pt"")"),"interface de usuário é mal projetado., No USB câmera de controle.")</f>
        <v>interface de usuário é mal projetado., No USB câmera de controle.</v>
      </c>
      <c r="B27234" s="3">
        <v>0</v>
      </c>
    </row>
    <row r="27235" ht="15.75" customHeight="1" spans="1:2">
      <c r="A27235" s="3" t="str">
        <f>IFERROR(__xludf.DUMMYFUNCTION("GOOGLETRANSLATE(A27235,""en"",""pt"")"),"Por que Nikon encolher a tela LCD? formato não RAW.")</f>
        <v>Por que Nikon encolher a tela LCD? formato não RAW.</v>
      </c>
      <c r="B27235" s="3">
        <v>0</v>
      </c>
    </row>
    <row r="27236" ht="15.75" customHeight="1" spans="1:2">
      <c r="A27236" s="3" t="str">
        <f>IFERROR(__xludf.DUMMYFUNCTION("GOOGLETRANSLATE(A27236,""en"",""pt"")"),"Iniciantes cuidado! Menus confuso em comparação com outras marcas. O atraso do obturador.")</f>
        <v>Iniciantes cuidado! Menus confuso em comparação com outras marcas. O atraso do obturador.</v>
      </c>
      <c r="B27236" s="3">
        <v>0</v>
      </c>
    </row>
    <row r="27237" ht="15.75" customHeight="1" spans="1:2">
      <c r="A27237" s="3" t="str">
        <f>IFERROR(__xludf.DUMMYFUNCTION("GOOGLETRANSLATE(A27237,""en"",""pt"")"),"interface de usuário muito pobre, irritante atraso de tempo em tiros de movimento")</f>
        <v>interface de usuário muito pobre, irritante atraso de tempo em tiros de movimento</v>
      </c>
      <c r="B27237" s="3">
        <v>0</v>
      </c>
    </row>
    <row r="27238" ht="15.75" customHeight="1" spans="1:2">
      <c r="A27238" s="3" t="str">
        <f>IFERROR(__xludf.DUMMYFUNCTION("GOOGLETRANSLATE(A27238,""en"",""pt"")"),"vida útil da bateria. toneladas de recursos. tamanho grande.")</f>
        <v>vida útil da bateria. toneladas de recursos. tamanho grande.</v>
      </c>
      <c r="B27238" s="3">
        <v>0</v>
      </c>
    </row>
    <row r="27239" ht="15.75" customHeight="1" spans="1:2">
      <c r="A27239" s="3" t="str">
        <f>IFERROR(__xludf.DUMMYFUNCTION("GOOGLETRANSLATE(A27239,""en"",""pt"")"),"A vida da bateria é um pouco curto")</f>
        <v>A vida da bateria é um pouco curto</v>
      </c>
      <c r="B27239" s="3">
        <v>0</v>
      </c>
    </row>
    <row r="27240" ht="15.75" customHeight="1" spans="1:2">
      <c r="A27240" s="3" t="str">
        <f>IFERROR(__xludf.DUMMYFUNCTION("GOOGLETRANSLATE(A27240,""en"",""pt"")"),"não af iluminador auxiliar, 16 MB de Flash cartão, lag ligeira obturador")</f>
        <v>não af iluminador auxiliar, 16 MB de Flash cartão, lag ligeira obturador</v>
      </c>
      <c r="B27240" s="3">
        <v>0</v>
      </c>
    </row>
    <row r="27241" ht="15.75" customHeight="1" spans="1:2">
      <c r="A27241" s="3" t="str">
        <f>IFERROR(__xludf.DUMMYFUNCTION("GOOGLETRANSLATE(A27241,""en"",""pt"")"),"Flash fraco")</f>
        <v>Flash fraco</v>
      </c>
      <c r="B27241" s="3">
        <v>0</v>
      </c>
    </row>
    <row r="27242" ht="15.75" customHeight="1" spans="1:2">
      <c r="A27242" s="3" t="str">
        <f>IFERROR(__xludf.DUMMYFUNCTION("GOOGLETRANSLATE(A27242,""en"",""pt"")"),"A vida da bateria, a duração do tempo que leva para gravar a imagem para o cartão CF")</f>
        <v>A vida da bateria, a duração do tempo que leva para gravar a imagem para o cartão CF</v>
      </c>
      <c r="B27242" s="3">
        <v>0</v>
      </c>
    </row>
    <row r="27243" ht="15.75" customHeight="1" spans="1:2">
      <c r="A27243" s="3" t="str">
        <f>IFERROR(__xludf.DUMMYFUNCTION("GOOGLETRANSLATE(A27243,""en"",""pt"")"),"atraso do obturador, mal escrito o manual, os menus não amigável")</f>
        <v>atraso do obturador, mal escrito o manual, os menus não amigável</v>
      </c>
      <c r="B27243" s="3">
        <v>0</v>
      </c>
    </row>
    <row r="27244" ht="15.75" customHeight="1" spans="1:2">
      <c r="A27244" s="3" t="str">
        <f>IFERROR(__xludf.DUMMYFUNCTION("GOOGLETRANSLATE(A27244,""en"",""pt"")"),"tipo de bateria proprietária. recursos incorporados levar algum aprendizado.")</f>
        <v>tipo de bateria proprietária. recursos incorporados levar algum aprendizado.</v>
      </c>
      <c r="B27244" s="3">
        <v>0</v>
      </c>
    </row>
    <row r="27245" ht="15.75" customHeight="1" spans="1:2">
      <c r="A27245" s="3" t="s">
        <v>140</v>
      </c>
      <c r="B27245" s="3">
        <v>0</v>
      </c>
    </row>
    <row r="27246" ht="15.75" customHeight="1" spans="1:2">
      <c r="A27246" s="3" t="str">
        <f>IFERROR(__xludf.DUMMYFUNCTION("GOOGLETRANSLATE(A27246,""en"",""pt"")"),"Nada importante")</f>
        <v>Nada importante</v>
      </c>
      <c r="B27246" s="3">
        <v>0</v>
      </c>
    </row>
    <row r="27247" ht="15.75" customHeight="1" spans="1:2">
      <c r="A27247" s="3" t="str">
        <f>IFERROR(__xludf.DUMMYFUNCTION("GOOGLETRANSLATE(A27247,""en"",""pt"")"),"caro para o consumidor médio, única 3x zoom, há outras grandes fraquezas")</f>
        <v>caro para o consumidor médio, única 3x zoom, há outras grandes fraquezas</v>
      </c>
      <c r="B27247" s="3">
        <v>0</v>
      </c>
    </row>
    <row r="27248" ht="15.75" customHeight="1" spans="1:2">
      <c r="A27248" s="3" t="str">
        <f>IFERROR(__xludf.DUMMYFUNCTION("GOOGLETRANSLATE(A27248,""en"",""pt"")"),"Caro, manual não é grande")</f>
        <v>Caro, manual não é grande</v>
      </c>
      <c r="B27248" s="3">
        <v>0</v>
      </c>
    </row>
    <row r="27249" ht="15.75" customHeight="1" spans="1:2">
      <c r="A27249" s="3" t="str">
        <f>IFERROR(__xludf.DUMMYFUNCTION("GOOGLETRANSLATE(A27249,""en"",""pt"")"),"Nova tecnologia é cara")</f>
        <v>Nova tecnologia é cara</v>
      </c>
      <c r="B27249" s="3">
        <v>0</v>
      </c>
    </row>
    <row r="27250" ht="15.75" customHeight="1" spans="1:2">
      <c r="A27250" s="3" t="str">
        <f>IFERROR(__xludf.DUMMYFUNCTION("GOOGLETRANSLATE(A27250,""en"",""pt"")"),"Desagradável lag geral - No Focus Assist - Suporte Lousy Flash Card")</f>
        <v>Desagradável lag geral - No Focus Assist - Suporte Lousy Flash Card</v>
      </c>
      <c r="B27250" s="3">
        <v>0</v>
      </c>
    </row>
    <row r="27251" ht="15.75" customHeight="1" spans="1:2">
      <c r="A27251" s="3" t="str">
        <f>IFERROR(__xludf.DUMMYFUNCTION("GOOGLETRANSLATE(A27251,""en"",""pt"")"),"tela escura com display desordenado, o tempo de processamento lento de fotos")</f>
        <v>tela escura com display desordenado, o tempo de processamento lento de fotos</v>
      </c>
      <c r="B27251" s="3">
        <v>0</v>
      </c>
    </row>
    <row r="27252" ht="15.75" customHeight="1" spans="1:2">
      <c r="A27252" s="3" t="str">
        <f>IFERROR(__xludf.DUMMYFUNCTION("GOOGLETRANSLATE(A27252,""en"",""pt"")"),"Você tem que ler o manual para usá-lo.")</f>
        <v>Você tem que ler o manual para usá-lo.</v>
      </c>
      <c r="B27252" s="3">
        <v>0</v>
      </c>
    </row>
    <row r="27253" ht="15.75" customHeight="1" spans="1:2">
      <c r="A27253" s="3" t="str">
        <f>IFERROR(__xludf.DUMMYFUNCTION("GOOGLETRANSLATE(A27253,""en"",""pt"")"),"O preço pode ser o maior desvio!")</f>
        <v>O preço pode ser o maior desvio!</v>
      </c>
      <c r="B27253" s="3">
        <v>0</v>
      </c>
    </row>
    <row r="27254" ht="15.75" customHeight="1" spans="1:2">
      <c r="A27254" s="3" t="str">
        <f>IFERROR(__xludf.DUMMYFUNCTION("GOOGLETRANSLATE(A27254,""en"",""pt"")"),"Caro. Apenas um zoom óptico de 3x. &amp; Lt; i &amp; gt; Alguns &amp; lt; / i &amp; gt; atraso do obturador.")</f>
        <v>Caro. Apenas um zoom óptico de 3x. &amp; Lt; i &amp; gt; Alguns &amp; lt; / i &amp; gt; atraso do obturador.</v>
      </c>
      <c r="B27254" s="3">
        <v>0</v>
      </c>
    </row>
    <row r="27255" ht="15.75" customHeight="1" spans="1:2">
      <c r="A27255" s="3" t="str">
        <f>IFERROR(__xludf.DUMMYFUNCTION("GOOGLETRANSLATE(A27255,""en"",""pt"")"),"Nenhum.")</f>
        <v>Nenhum.</v>
      </c>
      <c r="B27255" s="3">
        <v>0</v>
      </c>
    </row>
    <row r="27256" ht="15.75" customHeight="1" spans="1:2">
      <c r="A27256" s="3" t="str">
        <f>IFERROR(__xludf.DUMMYFUNCTION("GOOGLETRANSLATE(A27256,""en"",""pt"")"),"Lentos e fracos resultados de flash, complicado, caro.")</f>
        <v>Lentos e fracos resultados de flash, complicado, caro.</v>
      </c>
      <c r="B27256" s="3">
        <v>0</v>
      </c>
    </row>
    <row r="27257" ht="15.75" customHeight="1" spans="1:2">
      <c r="A27257" s="3" t="str">
        <f>IFERROR(__xludf.DUMMYFUNCTION("GOOGLETRANSLATE(A27257,""en"",""pt"")"),"Flash sensor de ESTÙPIDA colocado muito perto de dedo do obturador, foco automático lento")</f>
        <v>Flash sensor de ESTÙPIDA colocado muito perto de dedo do obturador, foco automático lento</v>
      </c>
      <c r="B27257" s="3">
        <v>0</v>
      </c>
    </row>
    <row r="27258" ht="15.75" customHeight="1" spans="1:2">
      <c r="A27258" s="3" t="str">
        <f>IFERROR(__xludf.DUMMYFUNCTION("GOOGLETRANSLATE(A27258,""en"",""pt"")"),"ergonomia pobre, pobre integração Flash, pobre visor, foco automático quase inútil")</f>
        <v>ergonomia pobre, pobre integração Flash, pobre visor, foco automático quase inútil</v>
      </c>
      <c r="B27258" s="3">
        <v>0</v>
      </c>
    </row>
    <row r="27259" ht="15.75" customHeight="1" spans="1:2">
      <c r="A27259" s="3" t="str">
        <f>IFERROR(__xludf.DUMMYFUNCTION("GOOGLETRANSLATE(A27259,""en"",""pt"")"),"velocidade de reacção lento")</f>
        <v>velocidade de reacção lento</v>
      </c>
      <c r="B27259" s="3">
        <v>0</v>
      </c>
    </row>
    <row r="27260" ht="15.75" customHeight="1" spans="1:2">
      <c r="A27260" s="3" t="str">
        <f>IFERROR(__xludf.DUMMYFUNCTION("GOOGLETRANSLATE(A27260,""en"",""pt"")"),"Nada muito grande, um par de queixas mencionado ...")</f>
        <v>Nada muito grande, um par de queixas mencionado ...</v>
      </c>
      <c r="B27260" s="3">
        <v>0</v>
      </c>
    </row>
    <row r="27261" ht="15.75" customHeight="1" spans="1:2">
      <c r="A27261" s="3" t="str">
        <f>IFERROR(__xludf.DUMMYFUNCTION("GOOGLETRANSLATE(A27261,""en"",""pt"")"),"Preço, curva de aprendizado lento, colocação de sensores.")</f>
        <v>Preço, curva de aprendizado lento, colocação de sensores.</v>
      </c>
      <c r="B27261" s="3">
        <v>0</v>
      </c>
    </row>
    <row r="27262" ht="15.75" customHeight="1" spans="1:2">
      <c r="A27262" s="3" t="str">
        <f>IFERROR(__xludf.DUMMYFUNCTION("GOOGLETRANSLATE(A27262,""en"",""pt"")"),"poderia usar lente mais rápida, controlls levar algum começando a usar")</f>
        <v>poderia usar lente mais rápida, controlls levar algum começando a usar</v>
      </c>
      <c r="B27262" s="3">
        <v>0</v>
      </c>
    </row>
    <row r="27263" ht="15.75" customHeight="1" spans="1:2">
      <c r="A27263" s="3" t="str">
        <f>IFERROR(__xludf.DUMMYFUNCTION("GOOGLETRANSLATE(A27263,""en"",""pt"")"),"Realmente mau desempenho para o preço")</f>
        <v>Realmente mau desempenho para o preço</v>
      </c>
      <c r="B27263" s="3">
        <v>0</v>
      </c>
    </row>
    <row r="27264" ht="15.75" customHeight="1" spans="1:2">
      <c r="A27264" s="3" t="str">
        <f>IFERROR(__xludf.DUMMYFUNCTION("GOOGLETRANSLATE(A27264,""en"",""pt"")"),"Um pouco complicado para o usuário amador, mais caros do que outras câmeras comparáveis.")</f>
        <v>Um pouco complicado para o usuário amador, mais caros do que outras câmeras comparáveis.</v>
      </c>
      <c r="B27264" s="3">
        <v>0</v>
      </c>
    </row>
    <row r="27265" ht="15.75" customHeight="1" spans="1:2">
      <c r="A27265" s="3" t="str">
        <f>IFERROR(__xludf.DUMMYFUNCTION("GOOGLETRANSLATE(A27265,""en"",""pt"")"),"Visor Eletrônico, sem assistência AF luz, sem estabilização de lente,")</f>
        <v>Visor Eletrônico, sem assistência AF luz, sem estabilização de lente,</v>
      </c>
      <c r="B27265" s="3">
        <v>0</v>
      </c>
    </row>
    <row r="27266" ht="15.75" customHeight="1" spans="1:2">
      <c r="A27266" s="3" t="str">
        <f>IFERROR(__xludf.DUMMYFUNCTION("GOOGLETRANSLATE(A27266,""en"",""pt"")"),"Baixo desempenho luz, Caro, não totalmente apoiar Nikon marca apoio speedlight")</f>
        <v>Baixo desempenho luz, Caro, não totalmente apoiar Nikon marca apoio speedlight</v>
      </c>
      <c r="B27266" s="3">
        <v>0</v>
      </c>
    </row>
    <row r="27267" ht="15.75" customHeight="1" spans="1:2">
      <c r="A27267" s="3" t="str">
        <f>IFERROR(__xludf.DUMMYFUNCTION("GOOGLETRANSLATE(A27267,""en"",""pt"")"),"Meio volumosos, caros, ho-hum a vida da bateria.")</f>
        <v>Meio volumosos, caros, ho-hum a vida da bateria.</v>
      </c>
      <c r="B27267" s="3">
        <v>0</v>
      </c>
    </row>
    <row r="27268" ht="15.75" customHeight="1" spans="1:2">
      <c r="A27268" s="3" t="str">
        <f>IFERROR(__xludf.DUMMYFUNCTION("GOOGLETRANSLATE(A27268,""en"",""pt"")"),"Sem Fio Lens, vida da bateria pobres, Expensive, Suporte Nikon difícil.")</f>
        <v>Sem Fio Lens, vida da bateria pobres, Expensive, Suporte Nikon difícil.</v>
      </c>
      <c r="B27268" s="3">
        <v>0</v>
      </c>
    </row>
    <row r="27269" ht="15.75" customHeight="1" spans="1:2">
      <c r="A27269" s="3" t="str">
        <f>IFERROR(__xludf.DUMMYFUNCTION("GOOGLETRANSLATE(A27269,""en"",""pt"")"),"autofocus lento, o posicionamento de flash desfavorável")</f>
        <v>autofocus lento, o posicionamento de flash desfavorável</v>
      </c>
      <c r="B27269" s="3">
        <v>0</v>
      </c>
    </row>
    <row r="27270" ht="15.75" customHeight="1" spans="1:2">
      <c r="A27270" s="3" t="str">
        <f>IFERROR(__xludf.DUMMYFUNCTION("GOOGLETRANSLATE(A27270,""en"",""pt"")"),"Você deve ler o manual e brincar com as configurações da câmera!")</f>
        <v>Você deve ler o manual e brincar com as configurações da câmera!</v>
      </c>
      <c r="B27270" s="3">
        <v>0</v>
      </c>
    </row>
    <row r="27271" ht="15.75" customHeight="1" spans="1:2">
      <c r="A27271" s="3" t="str">
        <f>IFERROR(__xludf.DUMMYFUNCTION("GOOGLETRANSLATE(A27271,""en"",""pt"")"),"não é bom para ação rápida, melhor usado em motivos parados")</f>
        <v>não é bom para ação rápida, melhor usado em motivos parados</v>
      </c>
      <c r="B27271" s="3">
        <v>0</v>
      </c>
    </row>
    <row r="27272" ht="15.75" customHeight="1" spans="1:2">
      <c r="A27272" s="3" t="str">
        <f>IFERROR(__xludf.DUMMYFUNCTION("GOOGLETRANSLATE(A27272,""en"",""pt"")"),"Cervo nos olhares dos faróis com tiros interiores. Concentre-se lento e difícil de manter.")</f>
        <v>Cervo nos olhares dos faróis com tiros interiores. Concentre-se lento e difícil de manter.</v>
      </c>
      <c r="B27272" s="3">
        <v>0</v>
      </c>
    </row>
    <row r="27273" ht="15.75" customHeight="1" spans="1:2">
      <c r="A27273" s="3" t="str">
        <f>IFERROR(__xludf.DUMMYFUNCTION("GOOGLETRANSLATE(A27273,""en"",""pt"")"),"autofocus lento e sensível à luz, nenhuma maneira fácil de adicionar filtros")</f>
        <v>autofocus lento e sensível à luz, nenhuma maneira fácil de adicionar filtros</v>
      </c>
      <c r="B27273" s="3">
        <v>0</v>
      </c>
    </row>
    <row r="27274" ht="15.75" customHeight="1" spans="1:2">
      <c r="A27274" s="3" t="str">
        <f>IFERROR(__xludf.DUMMYFUNCTION("GOOGLETRANSLATE(A27274,""en"",""pt"")"),"foco automático lento, fica confuso em condições de pouca luz")</f>
        <v>foco automático lento, fica confuso em condições de pouca luz</v>
      </c>
      <c r="B27274" s="3">
        <v>0</v>
      </c>
    </row>
    <row r="27275" ht="15.75" customHeight="1" spans="1:2">
      <c r="A27275" s="3" t="str">
        <f>IFERROR(__xludf.DUMMYFUNCTION("GOOGLETRANSLATE(A27275,""en"",""pt"")"),"limitações EVF causar frustração")</f>
        <v>limitações EVF causar frustração</v>
      </c>
      <c r="B27275" s="3">
        <v>0</v>
      </c>
    </row>
    <row r="27276" ht="15.75" customHeight="1" spans="1:2">
      <c r="A27276" s="3" t="str">
        <f>IFERROR(__xludf.DUMMYFUNCTION("GOOGLETRANSLATE(A27276,""en"",""pt"")"),"qualidade de imagem e foco")</f>
        <v>qualidade de imagem e foco</v>
      </c>
      <c r="B27276" s="3">
        <v>0</v>
      </c>
    </row>
    <row r="27277" ht="15.75" customHeight="1" spans="1:2">
      <c r="A27277" s="3" t="str">
        <f>IFERROR(__xludf.DUMMYFUNCTION("GOOGLETRANSLATE(A27277,""en"",""pt"")"),"Auto-foco, fotos de pouca luz, Underexposes, vagaroso, layout de botões Pobre, UI Annoying")</f>
        <v>Auto-foco, fotos de pouca luz, Underexposes, vagaroso, layout de botões Pobre, UI Annoying</v>
      </c>
      <c r="B27277" s="3">
        <v>0</v>
      </c>
    </row>
    <row r="27278" ht="15.75" customHeight="1" spans="1:2">
      <c r="A27278" s="3" t="str">
        <f>IFERROR(__xludf.DUMMYFUNCTION("GOOGLETRANSLATE(A27278,""en"",""pt"")"),"não Iluminador AF, cartão CF subdimensionado")</f>
        <v>não Iluminador AF, cartão CF subdimensionado</v>
      </c>
      <c r="B27278" s="3">
        <v>0</v>
      </c>
    </row>
    <row r="27279" ht="15.75" customHeight="1" spans="1:2">
      <c r="A27279" s="3" t="str">
        <f>IFERROR(__xludf.DUMMYFUNCTION("GOOGLETRANSLATE(A27279,""en"",""pt"")"),"retardar focando, pequenas telas")</f>
        <v>retardar focando, pequenas telas</v>
      </c>
      <c r="B27279" s="3">
        <v>0</v>
      </c>
    </row>
    <row r="27280" ht="15.75" customHeight="1" spans="1:2">
      <c r="A27280" s="3" t="str">
        <f>IFERROR(__xludf.DUMMYFUNCTION("GOOGLETRANSLATE(A27280,""en"",""pt"")"),"foco, nenhuma lente de zoom óptico, botões pequenos, falta de flexibilidade em relação aos produtos concorrentes")</f>
        <v>foco, nenhuma lente de zoom óptico, botões pequenos, falta de flexibilidade em relação aos produtos concorrentes</v>
      </c>
      <c r="B27280" s="3">
        <v>0</v>
      </c>
    </row>
    <row r="27281" ht="15.75" customHeight="1" spans="1:2">
      <c r="A27281" s="3" t="str">
        <f>IFERROR(__xludf.DUMMYFUNCTION("GOOGLETRANSLATE(A27281,""en"",""pt"")"),"muito duro para fazer o upload para um PC")</f>
        <v>muito duro para fazer o upload para um PC</v>
      </c>
      <c r="B27281" s="3">
        <v>0</v>
      </c>
    </row>
    <row r="27282" ht="15.75" customHeight="1" spans="1:2">
      <c r="A27282" s="3" t="str">
        <f>IFERROR(__xludf.DUMMYFUNCTION("GOOGLETRANSLATE(A27282,""en"",""pt"")"),"...")</f>
        <v>...</v>
      </c>
      <c r="B27282" s="3">
        <v>0</v>
      </c>
    </row>
    <row r="27283" ht="15.75" customHeight="1" spans="1:2">
      <c r="A27283" s="3" t="str">
        <f>IFERROR(__xludf.DUMMYFUNCTION("GOOGLETRANSLATE(A27283,""en"",""pt"")"),"Sem zoom óptico, a transferência de série lenta")</f>
        <v>Sem zoom óptico, a transferência de série lenta</v>
      </c>
      <c r="B27283" s="3">
        <v>0</v>
      </c>
    </row>
    <row r="27284" ht="15.75" customHeight="1" spans="1:2">
      <c r="A27284" s="3" t="str">
        <f>IFERROR(__xludf.DUMMYFUNCTION("GOOGLETRANSLATE(A27284,""en"",""pt"")"),"Energia da bateria")</f>
        <v>Energia da bateria</v>
      </c>
      <c r="B27284" s="3">
        <v>0</v>
      </c>
    </row>
    <row r="27285" ht="15.75" customHeight="1" spans="1:2">
      <c r="A27285" s="3" t="str">
        <f>IFERROR(__xludf.DUMMYFUNCTION("GOOGLETRANSLATE(A27285,""en"",""pt"")"),"Precisa de pilhas Duracell Ultra, uploads PC lento")</f>
        <v>Precisa de pilhas Duracell Ultra, uploads PC lento</v>
      </c>
      <c r="B27285" s="3">
        <v>0</v>
      </c>
    </row>
    <row r="27286" ht="15.75" customHeight="1" spans="1:2">
      <c r="A27286" s="3" t="str">
        <f>IFERROR(__xludf.DUMMYFUNCTION("GOOGLETRANSLATE(A27286,""en"",""pt"")"),"Sem zoom óptico")</f>
        <v>Sem zoom óptico</v>
      </c>
      <c r="B27286" s="3">
        <v>0</v>
      </c>
    </row>
    <row r="27287" ht="15.75" customHeight="1" spans="1:2">
      <c r="A27287" s="3" t="str">
        <f>IFERROR(__xludf.DUMMYFUNCTION("GOOGLETRANSLATE(A27287,""en"",""pt"")"),"botão do obturador tem má sensação.")</f>
        <v>botão do obturador tem má sensação.</v>
      </c>
      <c r="B27287" s="3">
        <v>0</v>
      </c>
    </row>
    <row r="27288" ht="15.75" customHeight="1" spans="1:2">
      <c r="A27288" s="3" t="str">
        <f>IFERROR(__xludf.DUMMYFUNCTION("GOOGLETRANSLATE(A27288,""en"",""pt"")"),"Nenhum")</f>
        <v>Nenhum</v>
      </c>
      <c r="B27288" s="3">
        <v>0</v>
      </c>
    </row>
    <row r="27289" ht="15.75" customHeight="1" spans="1:2">
      <c r="A27289" s="3" t="str">
        <f>IFERROR(__xludf.DUMMYFUNCTION("GOOGLETRANSLATE(A27289,""en"",""pt"")"),"baterias se esgotam rapidamente")</f>
        <v>baterias se esgotam rapidamente</v>
      </c>
      <c r="B27289" s="3">
        <v>0</v>
      </c>
    </row>
    <row r="27290" ht="15.75" customHeight="1" spans="1:2">
      <c r="A27290" s="3" t="str">
        <f>IFERROR(__xludf.DUMMYFUNCTION("GOOGLETRANSLATE(A27290,""en"",""pt"")"),"Não USB sem tampa da lente cinta segundo olho não para o pobre alça de pescoço LCD em sunlite")</f>
        <v>Não USB sem tampa da lente cinta segundo olho não para o pobre alça de pescoço LCD em sunlite</v>
      </c>
      <c r="B27290" s="3">
        <v>0</v>
      </c>
    </row>
    <row r="27291" ht="15.75" customHeight="1" spans="1:2">
      <c r="A27291" s="3" t="str">
        <f>IFERROR(__xludf.DUMMYFUNCTION("GOOGLETRANSLATE(A27291,""en"",""pt"")"),"Não USB, LCD suga na luz solar")</f>
        <v>Não USB, LCD suga na luz solar</v>
      </c>
      <c r="B27291" s="3">
        <v>0</v>
      </c>
    </row>
    <row r="27292" ht="15.75" customHeight="1" spans="1:2">
      <c r="A27292" s="3" t="str">
        <f>IFERROR(__xludf.DUMMYFUNCTION("GOOGLETRANSLATE(A27292,""en"",""pt"")"),"Alguns problemas para se acostumar características modo manual.")</f>
        <v>Alguns problemas para se acostumar características modo manual.</v>
      </c>
      <c r="B27292" s="3">
        <v>0</v>
      </c>
    </row>
    <row r="27293" ht="15.75" customHeight="1" spans="1:2">
      <c r="A27293" s="3" t="str">
        <f>IFERROR(__xludf.DUMMYFUNCTION("GOOGLETRANSLATE(A27293,""en"",""pt"")"),"duro tela LCD para ver quando virou-se para uma posição verticle.")</f>
        <v>duro tela LCD para ver quando virou-se para uma posição verticle.</v>
      </c>
      <c r="B27293" s="3">
        <v>0</v>
      </c>
    </row>
    <row r="27294" ht="15.75" customHeight="1" spans="1:2">
      <c r="A27294" s="3" t="str">
        <f>IFERROR(__xludf.DUMMYFUNCTION("GOOGLETRANSLATE(A27294,""en"",""pt"")"),"inicialização lenta, as imagens não sempre ""sharp"" como filme fotos")</f>
        <v>inicialização lenta, as imagens não sempre "sharp" como filme fotos</v>
      </c>
      <c r="B27294" s="3">
        <v>0</v>
      </c>
    </row>
    <row r="27295" ht="15.75" customHeight="1" spans="1:2">
      <c r="A27295" s="3" t="str">
        <f>IFERROR(__xludf.DUMMYFUNCTION("GOOGLETRANSLATE(A27295,""en"",""pt"")"),"As instruções são por vezes vagos.")</f>
        <v>As instruções são por vezes vagos.</v>
      </c>
      <c r="B27295" s="3">
        <v>0</v>
      </c>
    </row>
    <row r="27296" ht="15.75" customHeight="1" spans="1:2">
      <c r="A27296" s="3" t="str">
        <f>IFERROR(__xludf.DUMMYFUNCTION("GOOGLETRANSLATE(A27296,""en"",""pt"")"),"Sem foco pontual, lento sensibilidade ISO 100, se sente tipo de barato, mas não é.")</f>
        <v>Sem foco pontual, lento sensibilidade ISO 100, se sente tipo de barato, mas não é.</v>
      </c>
      <c r="B27296" s="3">
        <v>0</v>
      </c>
    </row>
    <row r="27297" ht="15.75" customHeight="1" spans="1:2">
      <c r="A27297" s="3" t="str">
        <f>IFERROR(__xludf.DUMMYFUNCTION("GOOGLETRANSLATE(A27297,""en"",""pt"")"),"atraso irritante quando tiro fotos. Sem audível ou tátil feedback.")</f>
        <v>atraso irritante quando tiro fotos. Sem audível ou tátil feedback.</v>
      </c>
      <c r="B27297" s="3">
        <v>0</v>
      </c>
    </row>
    <row r="27298" ht="15.75" customHeight="1" spans="1:2">
      <c r="A27298" s="3" t="str">
        <f>IFERROR(__xludf.DUMMYFUNCTION("GOOGLETRANSLATE(A27298,""en"",""pt"")"),"fotografia da noite é tão-lo. Pode não ser muito bom para usuários avançados.")</f>
        <v>fotografia da noite é tão-lo. Pode não ser muito bom para usuários avançados.</v>
      </c>
      <c r="B27298" s="3">
        <v>0</v>
      </c>
    </row>
    <row r="27299" ht="15.75" customHeight="1" spans="1:2">
      <c r="A27299" s="3" t="str">
        <f>IFERROR(__xludf.DUMMYFUNCTION("GOOGLETRANSLATE(A27299,""en"",""pt"")"),"Pictures simplesmente não têm a profundidade encontrada em câmeras digitais não,")</f>
        <v>Pictures simplesmente não têm a profundidade encontrada em câmeras digitais não,</v>
      </c>
      <c r="B27299" s="3">
        <v>0</v>
      </c>
    </row>
    <row r="27300" ht="15.75" customHeight="1" spans="1:2">
      <c r="A27300" s="3" t="str">
        <f>IFERROR(__xludf.DUMMYFUNCTION("GOOGLETRANSLATE(A27300,""en"",""pt"")"),"alguns recursos não são intuitivas num ápice.")</f>
        <v>alguns recursos não são intuitivas num ápice.</v>
      </c>
      <c r="B27300" s="3">
        <v>0</v>
      </c>
    </row>
    <row r="27301" ht="15.75" customHeight="1" spans="1:2">
      <c r="A27301" s="3" t="str">
        <f>IFERROR(__xludf.DUMMYFUNCTION("GOOGLETRANSLATE(A27301,""en"",""pt"")"),"Frustrante se você está acostumado a Nikon equipamento profissional!")</f>
        <v>Frustrante se você está acostumado a Nikon equipamento profissional!</v>
      </c>
      <c r="B27301" s="3">
        <v>0</v>
      </c>
    </row>
    <row r="27302" ht="15.75" customHeight="1" spans="1:2">
      <c r="A27302" s="3" t="str">
        <f>IFERROR(__xludf.DUMMYFUNCTION("GOOGLETRANSLATE(A27302,""en"",""pt"")"),"vida útil da bateria parece curta, precisa de cartão de memória maior")</f>
        <v>vida útil da bateria parece curta, precisa de cartão de memória maior</v>
      </c>
      <c r="B27302" s="3">
        <v>0</v>
      </c>
    </row>
    <row r="27303" ht="15.75" customHeight="1" spans="1:2">
      <c r="A27303" s="3" t="str">
        <f>IFERROR(__xludf.DUMMYFUNCTION("GOOGLETRANSLATE(A27303,""en"",""pt"")"),"tempo de inicialização lenta, tiros borradas de objetos em movimento")</f>
        <v>tempo de inicialização lenta, tiros borradas de objetos em movimento</v>
      </c>
      <c r="B27303" s="3">
        <v>0</v>
      </c>
    </row>
    <row r="27304" ht="15.75" customHeight="1" spans="1:2">
      <c r="A27304" s="3" t="str">
        <f>IFERROR(__xludf.DUMMYFUNCTION("GOOGLETRANSLATE(A27304,""en"",""pt"")"),"falha de projeto lente")</f>
        <v>falha de projeto lente</v>
      </c>
      <c r="B27304" s="3">
        <v>0</v>
      </c>
    </row>
    <row r="27305" ht="15.75" customHeight="1" spans="1:2">
      <c r="A27305" s="3" t="str">
        <f>IFERROR(__xludf.DUMMYFUNCTION("GOOGLETRANSLATE(A27305,""en"",""pt"")"),"atraso do obturador, por vezes frustrante, controle geral foto única")</f>
        <v>atraso do obturador, por vezes frustrante, controle geral foto única</v>
      </c>
      <c r="B27305" s="3">
        <v>0</v>
      </c>
    </row>
    <row r="27306" ht="15.75" customHeight="1" spans="1:2">
      <c r="A27306" s="3" t="str">
        <f>IFERROR(__xludf.DUMMYFUNCTION("GOOGLETRANSLATE(A27306,""en"",""pt"")"),"a vida da bateria parece curta")</f>
        <v>a vida da bateria parece curta</v>
      </c>
      <c r="B27306" s="3">
        <v>0</v>
      </c>
    </row>
    <row r="27307" ht="15.75" customHeight="1" spans="1:2">
      <c r="A27307" s="3" t="str">
        <f>IFERROR(__xludf.DUMMYFUNCTION("GOOGLETRANSLATE(A27307,""en"",""pt"")"),"sem funções manuais, sente-se frágeis, sem lentes intercambiáveis")</f>
        <v>sem funções manuais, sente-se frágeis, sem lentes intercambiáveis</v>
      </c>
      <c r="B27307" s="3">
        <v>0</v>
      </c>
    </row>
    <row r="27308" ht="15.75" customHeight="1" spans="1:2">
      <c r="A27308" s="3" t="str">
        <f>IFERROR(__xludf.DUMMYFUNCTION("GOOGLETRANSLATE(A27308,""en"",""pt"")"),"MUITO LENTO que tomam o retrato !! Não é bom em situações de pouca luz. ""Modos de Cena"" são confusas.")</f>
        <v>MUITO LENTO que tomam o retrato !! Não é bom em situações de pouca luz. "Modos de Cena" são confusas.</v>
      </c>
      <c r="B27308" s="3">
        <v>0</v>
      </c>
    </row>
    <row r="27309" ht="15.75" customHeight="1" spans="1:2">
      <c r="A27309" s="3" t="str">
        <f>IFERROR(__xludf.DUMMYFUNCTION("GOOGLETRANSLATE(A27309,""en"",""pt"")"),"não vai se transformar em uma partida de carro remoto, ou uma gravata borboleta.")</f>
        <v>não vai se transformar em uma partida de carro remoto, ou uma gravata borboleta.</v>
      </c>
      <c r="B27309" s="3">
        <v>0</v>
      </c>
    </row>
    <row r="27310" ht="15.75" customHeight="1" spans="1:2">
      <c r="A27310" s="3" t="str">
        <f>IFERROR(__xludf.DUMMYFUNCTION("GOOGLETRANSLATE(A27310,""en"",""pt"")"),"improvisadas fotos saem borradas, res mais elevados se traduz em imagens granuladas.")</f>
        <v>improvisadas fotos saem borradas, res mais elevados se traduz em imagens granuladas.</v>
      </c>
      <c r="B27310" s="3">
        <v>0</v>
      </c>
    </row>
    <row r="27311" ht="15.75" customHeight="1" spans="1:2">
      <c r="A27311" s="3" t="str">
        <f>IFERROR(__xludf.DUMMYFUNCTION("GOOGLETRANSLATE(A27311,""en"",""pt"")"),"Sente um pouco barato, não é a melhor qualidade, mero cartão de 8MB")</f>
        <v>Sente um pouco barato, não é a melhor qualidade, mero cartão de 8MB</v>
      </c>
      <c r="B27311" s="3">
        <v>0</v>
      </c>
    </row>
    <row r="27312" ht="15.75" customHeight="1" spans="1:2">
      <c r="A27312" s="3" t="str">
        <f>IFERROR(__xludf.DUMMYFUNCTION("GOOGLETRANSLATE(A27312,""en"",""pt"")"),"menos de tiros que se deslocam espectaculares, pequeno o suficiente para perder. Não há configurações manuais")</f>
        <v>menos de tiros que se deslocam espectaculares, pequeno o suficiente para perder. Não há configurações manuais</v>
      </c>
      <c r="B27312" s="3">
        <v>0</v>
      </c>
    </row>
    <row r="27313" ht="15.75" customHeight="1" spans="1:2">
      <c r="A27313" s="3" t="str">
        <f>IFERROR(__xludf.DUMMYFUNCTION("GOOGLETRANSLATE(A27313,""en"",""pt"")"),"Velocidade, alguns problemas de interface PC")</f>
        <v>Velocidade, alguns problemas de interface PC</v>
      </c>
      <c r="B27313" s="3">
        <v>0</v>
      </c>
    </row>
    <row r="27314" ht="15.75" customHeight="1" spans="1:2">
      <c r="A27314" s="3" t="str">
        <f>IFERROR(__xludf.DUMMYFUNCTION("GOOGLETRANSLATE(A27314,""en"",""pt"")"),"resposta lenta liberação do obturador")</f>
        <v>resposta lenta liberação do obturador</v>
      </c>
      <c r="B27314" s="3">
        <v>0</v>
      </c>
    </row>
    <row r="27315" ht="15.75" customHeight="1" spans="1:2">
      <c r="A27315" s="3" t="str">
        <f>IFERROR(__xludf.DUMMYFUNCTION("GOOGLETRANSLATE(A27315,""en"",""pt"")"),"Foco profundidade poderia ser melhor, a vida da bateria poderia ser maior.")</f>
        <v>Foco profundidade poderia ser melhor, a vida da bateria poderia ser maior.</v>
      </c>
      <c r="B27315" s="3">
        <v>0</v>
      </c>
    </row>
    <row r="27316" ht="15.75" customHeight="1" spans="1:2">
      <c r="A27316" s="3" t="str">
        <f>IFERROR(__xludf.DUMMYFUNCTION("GOOGLETRANSLATE(A27316,""en"",""pt"")"),"Pobre noite e fotos de pouca luz.")</f>
        <v>Pobre noite e fotos de pouca luz.</v>
      </c>
      <c r="B27316" s="3">
        <v>0</v>
      </c>
    </row>
    <row r="27317" ht="15.75" customHeight="1" spans="1:2">
      <c r="A27317" s="3" t="str">
        <f>IFERROR(__xludf.DUMMYFUNCTION("GOOGLETRANSLATE(A27317,""en"",""pt"")"),"tela LCD é inferior a ideal")</f>
        <v>tela LCD é inferior a ideal</v>
      </c>
      <c r="B27317" s="3">
        <v>0</v>
      </c>
    </row>
    <row r="27318" ht="15.75" customHeight="1" spans="1:2">
      <c r="A27318" s="3" t="str">
        <f>IFERROR(__xludf.DUMMYFUNCTION("GOOGLETRANSLATE(A27318,""en"",""pt"")"),"bateria proprietária e limite de resolução pequena para usuários novatos.")</f>
        <v>bateria proprietária e limite de resolução pequena para usuários novatos.</v>
      </c>
      <c r="B27318" s="3">
        <v>0</v>
      </c>
    </row>
    <row r="27319" ht="15.75" customHeight="1" spans="1:2">
      <c r="A27319" s="3" t="str">
        <f>IFERROR(__xludf.DUMMYFUNCTION("GOOGLETRANSLATE(A27319,""en"",""pt"")"),"Uma câmera de vinte dólares vendido por mais de trezentos.")</f>
        <v>Uma câmera de vinte dólares vendido por mais de trezentos.</v>
      </c>
      <c r="B27319" s="3">
        <v>0</v>
      </c>
    </row>
    <row r="27320" ht="15.75" customHeight="1" spans="1:2">
      <c r="A27320" s="3" t="str">
        <f>IFERROR(__xludf.DUMMYFUNCTION("GOOGLETRANSLATE(A27320,""en"",""pt"")"),"intervalo de tempo entre tiros, software ""demonstração"", estritamente diurnas fotos.")</f>
        <v>intervalo de tempo entre tiros, software "demonstração", estritamente diurnas fotos.</v>
      </c>
      <c r="B27320" s="3">
        <v>0</v>
      </c>
    </row>
    <row r="27321" ht="15.75" customHeight="1" spans="1:2">
      <c r="A27321" s="3" t="str">
        <f>IFERROR(__xludf.DUMMYFUNCTION("GOOGLETRANSLATE(A27321,""en"",""pt"")"),"arranque lento, lento quando armazenar ou excluir a partir do cartão CF, um pouco estranho impressão")</f>
        <v>arranque lento, lento quando armazenar ou excluir a partir do cartão CF, um pouco estranho impressão</v>
      </c>
      <c r="B27321" s="3">
        <v>0</v>
      </c>
    </row>
    <row r="27322" ht="15.75" customHeight="1" spans="1:2">
      <c r="A27322" s="3" t="str">
        <f>IFERROR(__xludf.DUMMYFUNCTION("GOOGLETRANSLATE(A27322,""en"",""pt"")"),"Lens falha de projeto é REAL !!")</f>
        <v>Lens falha de projeto é REAL !!</v>
      </c>
      <c r="B27322" s="3">
        <v>0</v>
      </c>
    </row>
    <row r="27323" ht="15.75" customHeight="1" spans="1:2">
      <c r="A27323" s="3" t="str">
        <f>IFERROR(__xludf.DUMMYFUNCTION("GOOGLETRANSLATE(A27323,""en"",""pt"")"),"- Pobres de pouca luz fotos, - imagem Nenhum ruído / confirmação quando se toma")</f>
        <v>- Pobres de pouca luz fotos, - imagem Nenhum ruído / confirmação quando se toma</v>
      </c>
      <c r="B27323" s="3">
        <v>0</v>
      </c>
    </row>
    <row r="27324" ht="15.75" customHeight="1" spans="1:2">
      <c r="A27324" s="3" t="str">
        <f>IFERROR(__xludf.DUMMYFUNCTION("GOOGLETRANSLATE(A27324,""en"",""pt"")"),"Fraco desempenho com pouca luz.")</f>
        <v>Fraco desempenho com pouca luz.</v>
      </c>
      <c r="B27324" s="3">
        <v>0</v>
      </c>
    </row>
    <row r="27325" ht="15.75" customHeight="1" spans="1:2">
      <c r="A27325" s="3" t="str">
        <f>IFERROR(__xludf.DUMMYFUNCTION("GOOGLETRANSLATE(A27325,""en"",""pt"")"),"cartão Skimpy 8MB CF, a vida da bateria muito baixo quando se usa visor LCD")</f>
        <v>cartão Skimpy 8MB CF, a vida da bateria muito baixo quando se usa visor LCD</v>
      </c>
      <c r="B27325" s="3">
        <v>0</v>
      </c>
    </row>
    <row r="27326" ht="15.75" customHeight="1" spans="1:2">
      <c r="A27326" s="3" t="str">
        <f>IFERROR(__xludf.DUMMYFUNCTION("GOOGLETRANSLATE(A27326,""en"",""pt"")"),"tira uma fotografia lenta, o tempo de gravação lenta")</f>
        <v>tira uma fotografia lenta, o tempo de gravação lenta</v>
      </c>
      <c r="B27326" s="3">
        <v>0</v>
      </c>
    </row>
    <row r="27327" ht="15.75" customHeight="1" spans="1:2">
      <c r="A27327" s="3" t="str">
        <f>IFERROR(__xludf.DUMMYFUNCTION("GOOGLETRANSLATE(A27327,""en"",""pt"")"),"Todo o resto")</f>
        <v>Todo o resto</v>
      </c>
      <c r="B27327" s="3">
        <v>0</v>
      </c>
    </row>
    <row r="27328" ht="15.75" customHeight="1" spans="1:2">
      <c r="A27328" s="3" t="str">
        <f>IFERROR(__xludf.DUMMYFUNCTION("GOOGLETRANSLATE(A27328,""en"",""pt"")"),"curta vida")</f>
        <v>curta vida</v>
      </c>
      <c r="B27328" s="3">
        <v>0</v>
      </c>
    </row>
    <row r="27329" ht="15.75" customHeight="1" spans="1:2">
      <c r="A27329" s="3" t="str">
        <f>IFERROR(__xludf.DUMMYFUNCTION("GOOGLETRANSLATE(A27329,""en"",""pt"")"),"mais pixels pode ser melhor, a vida da bateria, efeitos especiais não")</f>
        <v>mais pixels pode ser melhor, a vida da bateria, efeitos especiais não</v>
      </c>
      <c r="B27329" s="3">
        <v>0</v>
      </c>
    </row>
    <row r="27330" ht="15.75" customHeight="1" spans="1:2">
      <c r="A27330" s="3" t="str">
        <f>IFERROR(__xludf.DUMMYFUNCTION("GOOGLETRANSLATE(A27330,""en"",""pt"")"),"curta duração da bateria")</f>
        <v>curta duração da bateria</v>
      </c>
      <c r="B27330" s="3">
        <v>0</v>
      </c>
    </row>
    <row r="27331" ht="15.75" customHeight="1" spans="1:2">
      <c r="A27331" s="3" t="str">
        <f>IFERROR(__xludf.DUMMYFUNCTION("GOOGLETRANSLATE(A27331,""en"",""pt"")"),"longas pausas entre as fotos, não modo panorâmico.")</f>
        <v>longas pausas entre as fotos, não modo panorâmico.</v>
      </c>
      <c r="B27331" s="3">
        <v>0</v>
      </c>
    </row>
    <row r="27332" ht="15.75" customHeight="1" spans="1:2">
      <c r="A27332" s="3" t="str">
        <f>IFERROR(__xludf.DUMMYFUNCTION("GOOGLETRANSLATE(A27332,""en"",""pt"")"),"olhos vermelhos é horrível, qualquer movimento do assunto provoca indefinição, as imagens são suaves")</f>
        <v>olhos vermelhos é horrível, qualquer movimento do assunto provoca indefinição, as imagens são suaves</v>
      </c>
      <c r="B27332" s="3">
        <v>0</v>
      </c>
    </row>
    <row r="27333" ht="15.75" customHeight="1" spans="1:2">
      <c r="A27333" s="3" t="str">
        <f>IFERROR(__xludf.DUMMYFUNCTION("GOOGLETRANSLATE(A27333,""en"",""pt"")"),"Nenhum!")</f>
        <v>Nenhum!</v>
      </c>
      <c r="B27333" s="3">
        <v>0</v>
      </c>
    </row>
    <row r="27334" ht="15.75" customHeight="1" spans="1:2">
      <c r="A27334" s="3" t="str">
        <f>IFERROR(__xludf.DUMMYFUNCTION("GOOGLETRANSLATE(A27334,""en"",""pt"")"),"tira uma fotografia lenta, possível problema lente &amp; amp; lento revisão da imagem.")</f>
        <v>tira uma fotografia lenta, possível problema lente &amp; amp; lento revisão da imagem.</v>
      </c>
      <c r="B27334" s="3">
        <v>0</v>
      </c>
    </row>
    <row r="27335" ht="15.75" customHeight="1" spans="1:2">
      <c r="A27335" s="3" t="str">
        <f>IFERROR(__xludf.DUMMYFUNCTION("GOOGLETRANSLATE(A27335,""en"",""pt"")"),"tempo de inicialização lenta, assuntos de nitidez")</f>
        <v>tempo de inicialização lenta, assuntos de nitidez</v>
      </c>
      <c r="B27335" s="3">
        <v>0</v>
      </c>
    </row>
    <row r="27336" ht="15.75" customHeight="1" spans="1:2">
      <c r="A27336" s="3" t="str">
        <f>IFERROR(__xludf.DUMMYFUNCTION("GOOGLETRANSLATE(A27336,""en"",""pt"")"),"câmera leva um longo tempo para atirar, leva muito tempo para fotos Excluir individualmente")</f>
        <v>câmera leva um longo tempo para atirar, leva muito tempo para fotos Excluir individualmente</v>
      </c>
      <c r="B27336" s="3">
        <v>0</v>
      </c>
    </row>
    <row r="27337" ht="15.75" customHeight="1" spans="1:2">
      <c r="A27337" s="3" t="str">
        <f>IFERROR(__xludf.DUMMYFUNCTION("GOOGLETRANSLATE(A27337,""en"",""pt"")"),"aguarda cerca de 5 segundos para tirar uma foto por isso, se ele está se movendo você pode perder!")</f>
        <v>aguarda cerca de 5 segundos para tirar uma foto por isso, se ele está se movendo você pode perder!</v>
      </c>
      <c r="B27337" s="3">
        <v>0</v>
      </c>
    </row>
    <row r="27338" ht="15.75" customHeight="1" spans="1:2">
      <c r="A27338" s="3" t="str">
        <f>IFERROR(__xludf.DUMMYFUNCTION("GOOGLETRANSLATE(A27338,""en"",""pt"")"),"Não confiável")</f>
        <v>Não confiável</v>
      </c>
      <c r="B27338" s="3">
        <v>0</v>
      </c>
    </row>
    <row r="27339" ht="15.75" customHeight="1" spans="1:2">
      <c r="A27339" s="3" t="str">
        <f>IFERROR(__xludf.DUMMYFUNCTION("GOOGLETRANSLATE(A27339,""en"",""pt"")"),"Construção de baixa qualidade, responsabilidade dividida para efeitos de garantia")</f>
        <v>Construção de baixa qualidade, responsabilidade dividida para efeitos de garantia</v>
      </c>
      <c r="B27339" s="3">
        <v>0</v>
      </c>
    </row>
    <row r="27340" ht="15.75" customHeight="1" spans="1:2">
      <c r="A27340" s="3" t="str">
        <f>IFERROR(__xludf.DUMMYFUNCTION("GOOGLETRANSLATE(A27340,""en"",""pt"")"),"Leva um pouco longo demais para tirar uma foto.")</f>
        <v>Leva um pouco longo demais para tirar uma foto.</v>
      </c>
      <c r="B27340" s="3">
        <v>0</v>
      </c>
    </row>
    <row r="27341" ht="15.75" customHeight="1" spans="1:2">
      <c r="A27341" s="3" t="str">
        <f>IFERROR(__xludf.DUMMYFUNCTION("GOOGLETRANSLATE(A27341,""en"",""pt"")"),"Qualidade de remate de longe não é grande.")</f>
        <v>Qualidade de remate de longe não é grande.</v>
      </c>
      <c r="B27341" s="3">
        <v>0</v>
      </c>
    </row>
    <row r="27342" ht="15.75" customHeight="1" spans="1:2">
      <c r="A27342" s="3" t="str">
        <f>IFERROR(__xludf.DUMMYFUNCTION("GOOGLETRANSLATE(A27342,""en"",""pt"")"),"Precisa de muita luz; de flash fraco; Reds ""saltar"" um pouco; Esquece algumas configurações.")</f>
        <v>Precisa de muita luz; de flash fraco; Reds "saltar" um pouco; Esquece algumas configurações.</v>
      </c>
      <c r="B27342" s="3">
        <v>0</v>
      </c>
    </row>
    <row r="27343" ht="15.75" customHeight="1" spans="1:2">
      <c r="A27343" s="3" t="str">
        <f>IFERROR(__xludf.DUMMYFUNCTION("GOOGLETRANSLATE(A27343,""en"",""pt"")"),"Sem capacidade de pan quando o zoom no modo de revisão")</f>
        <v>Sem capacidade de pan quando o zoom no modo de revisão</v>
      </c>
      <c r="B27343" s="3">
        <v>0</v>
      </c>
    </row>
    <row r="27344" ht="15.75" customHeight="1" spans="1:2">
      <c r="A27344" s="3" t="str">
        <f>IFERROR(__xludf.DUMMYFUNCTION("GOOGLETRANSLATE(A27344,""en"",""pt"")"),"frágil porta do cartão, porta da bateria é complicado, cartão Compact Flash não é grande em tamanho.")</f>
        <v>frágil porta do cartão, porta da bateria é complicado, cartão Compact Flash não é grande em tamanho.</v>
      </c>
      <c r="B27344" s="3">
        <v>0</v>
      </c>
    </row>
    <row r="27345" ht="15.75" customHeight="1" spans="1:2">
      <c r="A27345" s="3" t="str">
        <f>IFERROR(__xludf.DUMMYFUNCTION("GOOGLETRANSLATE(A27345,""en"",""pt"")"),"nenhuma porta USB câmera direto para se conectar ao PC")</f>
        <v>nenhuma porta USB câmera direto para se conectar ao PC</v>
      </c>
      <c r="B27345" s="3">
        <v>0</v>
      </c>
    </row>
    <row r="27346" ht="15.75" customHeight="1" spans="1:2">
      <c r="A27346" s="3" t="str">
        <f>IFERROR(__xludf.DUMMYFUNCTION("GOOGLETRANSLATE(A27346,""en"",""pt"")"),"Há tamanho da câmera eo corpo não tão atraente como os outros de fora.")</f>
        <v>Há tamanho da câmera eo corpo não tão atraente como os outros de fora.</v>
      </c>
      <c r="B27346" s="3">
        <v>0</v>
      </c>
    </row>
    <row r="27347" ht="15.75" customHeight="1" spans="1:2">
      <c r="A27347" s="3" t="str">
        <f>IFERROR(__xludf.DUMMYFUNCTION("GOOGLETRANSLATE(A27347,""en"",""pt"")"),"lente lento. Difícil de recuperar cartão de memória.")</f>
        <v>lente lento. Difícil de recuperar cartão de memória.</v>
      </c>
      <c r="B27347" s="3">
        <v>0</v>
      </c>
    </row>
    <row r="27348" ht="15.75" customHeight="1" spans="1:2">
      <c r="A27348" s="3" t="str">
        <f>IFERROR(__xludf.DUMMYFUNCTION("GOOGLETRANSLATE(A27348,""en"",""pt"")"),"Você não pode facilmente editar diretamente na câmera.")</f>
        <v>Você não pode facilmente editar diretamente na câmera.</v>
      </c>
      <c r="B27348" s="3">
        <v>0</v>
      </c>
    </row>
    <row r="27349" ht="15.75" customHeight="1" spans="1:2">
      <c r="A27349" s="3" t="str">
        <f>IFERROR(__xludf.DUMMYFUNCTION("GOOGLETRANSLATE(A27349,""en"",""pt"")"),"Sem a velocidade do obturador ou a abertura de controlo.")</f>
        <v>Sem a velocidade do obturador ou a abertura de controlo.</v>
      </c>
      <c r="B27349" s="3">
        <v>0</v>
      </c>
    </row>
    <row r="27350" ht="15.75" customHeight="1" spans="1:2">
      <c r="A27350" s="3" t="str">
        <f>IFERROR(__xludf.DUMMYFUNCTION("GOOGLETRANSLATE(A27350,""en"",""pt"")"),"Apenas 2x de zoom óptico, o apelo pouco lento olho")</f>
        <v>Apenas 2x de zoom óptico, o apelo pouco lento olho</v>
      </c>
      <c r="B27350" s="3">
        <v>0</v>
      </c>
    </row>
    <row r="27351" ht="15.75" customHeight="1" spans="1:2">
      <c r="A27351" s="3" t="str">
        <f>IFERROR(__xludf.DUMMYFUNCTION("GOOGLETRANSLATE(A27351,""en"",""pt"")"),"download difícil, falhas ocasionais no desempenho, porta flashcard brega")</f>
        <v>download difícil, falhas ocasionais no desempenho, porta flashcard brega</v>
      </c>
      <c r="B27351" s="3">
        <v>0</v>
      </c>
    </row>
    <row r="27352" ht="15.75" customHeight="1" spans="1:2">
      <c r="A27352" s="3" t="str">
        <f>IFERROR(__xludf.DUMMYFUNCTION("GOOGLETRANSLATE(A27352,""en"",""pt"")"),"menor, não muito a aderência")</f>
        <v>menor, não muito a aderência</v>
      </c>
      <c r="B27352" s="3">
        <v>0</v>
      </c>
    </row>
    <row r="27353" ht="15.75" customHeight="1" spans="1:2">
      <c r="A27353" s="3" t="str">
        <f>IFERROR(__xludf.DUMMYFUNCTION("GOOGLETRANSLATE(A27353,""en"",""pt"")"),"Flash fraco")</f>
        <v>Flash fraco</v>
      </c>
      <c r="B27353" s="3">
        <v>0</v>
      </c>
    </row>
    <row r="27354" ht="15.75" customHeight="1" spans="1:2">
      <c r="A27354" s="3" t="str">
        <f>IFERROR(__xludf.DUMMYFUNCTION("GOOGLETRANSLATE(A27354,""en"",""pt"")"),"conexão de porta serial é lento, flash é um pouco fraco, vem com pouca memória")</f>
        <v>conexão de porta serial é lento, flash é um pouco fraco, vem com pouca memória</v>
      </c>
      <c r="B27354" s="3">
        <v>0</v>
      </c>
    </row>
    <row r="27355" ht="15.75" customHeight="1" spans="1:2">
      <c r="A27355" s="3" t="str">
        <f>IFERROR(__xludf.DUMMYFUNCTION("GOOGLETRANSLATE(A27355,""en"",""pt"")"),"Flash fracos, o atraso entre os disparos, 2x de zoom")</f>
        <v>Flash fracos, o atraso entre os disparos, 2x de zoom</v>
      </c>
      <c r="B27355" s="3">
        <v>0</v>
      </c>
    </row>
    <row r="27356" ht="15.75" customHeight="1" spans="1:2">
      <c r="A27356" s="3" t="str">
        <f>IFERROR(__xludf.DUMMYFUNCTION("GOOGLETRANSLATE(A27356,""en"",""pt"")"),"A inflamação é muito fraco, underexposures menos de 7 pés")</f>
        <v>A inflamação é muito fraco, underexposures menos de 7 pés</v>
      </c>
      <c r="B27356" s="3">
        <v>0</v>
      </c>
    </row>
    <row r="27357" ht="15.75" customHeight="1" spans="1:2">
      <c r="A27357" s="3" t="str">
        <f>IFERROR(__xludf.DUMMYFUNCTION("GOOGLETRANSLATE(A27357,""en"",""pt"")"),"tecnologia de 1999, está em fase final de vida do produto.")</f>
        <v>tecnologia de 1999, está em fase final de vida do produto.</v>
      </c>
      <c r="B27357" s="3">
        <v>0</v>
      </c>
    </row>
    <row r="27358" ht="15.75" customHeight="1" spans="1:2">
      <c r="A27358" s="3" t="str">
        <f>IFERROR(__xludf.DUMMYFUNCTION("GOOGLETRANSLATE(A27358,""en"",""pt"")"),"Manual em CD-ROM")</f>
        <v>Manual em CD-ROM</v>
      </c>
      <c r="B27358" s="3">
        <v>0</v>
      </c>
    </row>
    <row r="27359" ht="15.75" customHeight="1" spans="1:2">
      <c r="A27359" s="3" t="str">
        <f>IFERROR(__xludf.DUMMYFUNCTION("GOOGLETRANSLATE(A27359,""en"",""pt"")"),"Para a foto Enthusiast você vai querer um controle mais manual.")</f>
        <v>Para a foto Enthusiast você vai querer um controle mais manual.</v>
      </c>
      <c r="B27359" s="3">
        <v>0</v>
      </c>
    </row>
    <row r="27360" ht="15.75" customHeight="1" spans="1:2">
      <c r="A27360" s="3" t="str">
        <f>IFERROR(__xludf.DUMMYFUNCTION("GOOGLETRANSLATE(A27360,""en"",""pt"")"),"Feio corpo sentimento frágil; taxas de transferência de porta serial")</f>
        <v>Feio corpo sentimento frágil; taxas de transferência de porta serial</v>
      </c>
      <c r="B27360" s="3">
        <v>0</v>
      </c>
    </row>
    <row r="27361" ht="15.75" customHeight="1" spans="1:2">
      <c r="A27361" s="3" t="str">
        <f>IFERROR(__xludf.DUMMYFUNCTION("GOOGLETRANSLATE(A27361,""en"",""pt"")"),"Sem USB, flash fraco.")</f>
        <v>Sem USB, flash fraco.</v>
      </c>
      <c r="B27361" s="3">
        <v>0</v>
      </c>
    </row>
    <row r="27362" ht="15.75" customHeight="1" spans="1:2">
      <c r="A27362" s="3" t="str">
        <f>IFERROR(__xludf.DUMMYFUNCTION("GOOGLETRANSLATE(A27362,""en"",""pt"")"),"Sem conexão USB, tem 1 milhão de anos para download. O flash não é forte o suficiente.")</f>
        <v>Sem conexão USB, tem 1 milhão de anos para download. O flash não é forte o suficiente.</v>
      </c>
      <c r="B27362" s="3">
        <v>0</v>
      </c>
    </row>
    <row r="27363" ht="15.75" customHeight="1" spans="1:2">
      <c r="A27363" s="3" t="str">
        <f>IFERROR(__xludf.DUMMYFUNCTION("GOOGLETRANSLATE(A27363,""en"",""pt"")"),"funcionalidade caro")</f>
        <v>funcionalidade caro</v>
      </c>
      <c r="B27363" s="3">
        <v>0</v>
      </c>
    </row>
    <row r="27364" ht="15.75" customHeight="1" spans="1:2">
      <c r="A27364" s="3" t="str">
        <f>IFERROR(__xludf.DUMMYFUNCTION("GOOGLETRANSLATE(A27364,""en"",""pt"")"),"suporte técnico Nikon não é útil, fóruns de tecnologia úteis só por causa de outros usos da câmera ...")</f>
        <v>suporte técnico Nikon não é útil, fóruns de tecnologia úteis só por causa de outros usos da câmera ...</v>
      </c>
      <c r="B27364" s="3">
        <v>0</v>
      </c>
    </row>
    <row r="27365" ht="15.75" customHeight="1" spans="1:2">
      <c r="A27365" s="3" t="str">
        <f>IFERROR(__xludf.DUMMYFUNCTION("GOOGLETRANSLATE(A27365,""en"",""pt"")"),"A vida da bateria")</f>
        <v>A vida da bateria</v>
      </c>
      <c r="B27365" s="3">
        <v>0</v>
      </c>
    </row>
    <row r="27366" ht="15.75" customHeight="1" spans="1:2">
      <c r="A27366" s="3" t="str">
        <f>IFERROR(__xludf.DUMMYFUNCTION("GOOGLETRANSLATE(A27366,""en"",""pt"")"),"Construiu um, mas frágil, vai rachar um pouco em caso de queda (mesmo em um caso). Essa é a única razão por que estou classificação este um 4.")</f>
        <v>Construiu um, mas frágil, vai rachar um pouco em caso de queda (mesmo em um caso). Essa é a única razão por que estou classificação este um 4.</v>
      </c>
      <c r="B27366" s="3">
        <v>0</v>
      </c>
    </row>
    <row r="27367" ht="15.75" customHeight="1" spans="1:2">
      <c r="A27367" s="3" t="str">
        <f>IFERROR(__xludf.DUMMYFUNCTION("GOOGLETRANSLATE(A27367,""en"",""pt"")"),"Nenhum")</f>
        <v>Nenhum</v>
      </c>
      <c r="B27367" s="3">
        <v>0</v>
      </c>
    </row>
    <row r="27368" ht="15.75" customHeight="1" spans="1:2">
      <c r="A27368" s="3" t="str">
        <f>IFERROR(__xludf.DUMMYFUNCTION("GOOGLETRANSLATE(A27368,""en"",""pt"")"),"pesado, olhar estúpido")</f>
        <v>pesado, olhar estúpido</v>
      </c>
      <c r="B27368" s="3">
        <v>0</v>
      </c>
    </row>
    <row r="27369" ht="15.75" customHeight="1" spans="1:2">
      <c r="A27369" s="3" t="str">
        <f>IFERROR(__xludf.DUMMYFUNCTION("GOOGLETRANSLATE(A27369,""en"",""pt"")"),"Reduzido acessórios padrão: 8 Mb CompactFlash, sem baterias recarregáveis ​​e carregador, não built-in capacidade USB, copie sem disco manual, o pacote de software medíocre. Fácil de perder a tampa da lente solto. curta duração da bateria.")</f>
        <v>Reduzido acessórios padrão: 8 Mb CompactFlash, sem baterias recarregáveis ​​e carregador, não built-in capacidade USB, copie sem disco manual, o pacote de software medíocre. Fácil de perder a tampa da lente solto. curta duração da bateria.</v>
      </c>
      <c r="B27369" s="3">
        <v>0</v>
      </c>
    </row>
    <row r="27370" ht="15.75" customHeight="1" spans="1:2">
      <c r="A27370" s="3" t="str">
        <f>IFERROR(__xludf.DUMMYFUNCTION("GOOGLETRANSLATE(A27370,""en"",""pt"")"),"2x de zoom óptico, precisa de um cartão de 16-32MB")</f>
        <v>2x de zoom óptico, precisa de um cartão de 16-32MB</v>
      </c>
      <c r="B27370" s="3">
        <v>0</v>
      </c>
    </row>
    <row r="27371" ht="15.75" customHeight="1" spans="1:2">
      <c r="A27371" s="3" t="str">
        <f>IFERROR(__xludf.DUMMYFUNCTION("GOOGLETRANSLATE(A27371,""en"",""pt"")"),"deve usar o Nikon View")</f>
        <v>deve usar o Nikon View</v>
      </c>
      <c r="B27371" s="3">
        <v>0</v>
      </c>
    </row>
    <row r="27372" ht="15.75" customHeight="1" spans="1:2">
      <c r="A27372" s="3" t="str">
        <f>IFERROR(__xludf.DUMMYFUNCTION("GOOGLETRANSLATE(A27372,""en"",""pt"")"),"pequeno cartão de memória incluída, sem suporte USB, pobres indoor tiros de baixa luz")</f>
        <v>pequeno cartão de memória incluída, sem suporte USB, pobres indoor tiros de baixa luz</v>
      </c>
      <c r="B27372" s="3">
        <v>0</v>
      </c>
    </row>
    <row r="27373" ht="15.75" customHeight="1" spans="1:2">
      <c r="A27373" s="3" t="str">
        <f>IFERROR(__xludf.DUMMYFUNCTION("GOOGLETRANSLATE(A27373,""en"",""pt"")"),"tampa da lente Unattached")</f>
        <v>tampa da lente Unattached</v>
      </c>
      <c r="B27373" s="3">
        <v>0</v>
      </c>
    </row>
    <row r="27374" ht="15.75" customHeight="1" spans="1:2">
      <c r="A27374" s="3" t="str">
        <f>IFERROR(__xludf.DUMMYFUNCTION("GOOGLETRANSLATE(A27374,""en"",""pt"")"),"cabo serial ao invés de USB sem controlo da velocidade do obturador (que ou eu não encontrei ainda) porta do cartão de memória frágil alto consumo de energia!")</f>
        <v>cabo serial ao invés de USB sem controlo da velocidade do obturador (que ou eu não encontrei ainda) porta do cartão de memória frágil alto consumo de energia!</v>
      </c>
      <c r="B27374" s="3">
        <v>0</v>
      </c>
    </row>
    <row r="27375" ht="15.75" customHeight="1" spans="1:2">
      <c r="A27375" s="3" t="str">
        <f>IFERROR(__xludf.DUMMYFUNCTION("GOOGLETRANSLATE(A27375,""en"",""pt"")"),"Você pode ter que esperar a chegada")</f>
        <v>Você pode ter que esperar a chegada</v>
      </c>
      <c r="B27375" s="3">
        <v>0</v>
      </c>
    </row>
    <row r="27376" ht="15.75" customHeight="1" spans="1:2">
      <c r="A27376" s="3" t="str">
        <f>IFERROR(__xludf.DUMMYFUNCTION("GOOGLETRANSLATE(A27376,""en"",""pt"")"),"zoom limitada; cartão de memória inacessível; transferência de série")</f>
        <v>zoom limitada; cartão de memória inacessível; transferência de série</v>
      </c>
      <c r="B27376" s="3">
        <v>0</v>
      </c>
    </row>
    <row r="27377" ht="15.75" customHeight="1" spans="1:2">
      <c r="A27377" s="3" t="str">
        <f>IFERROR(__xludf.DUMMYFUNCTION("GOOGLETRANSLATE(A27377,""en"",""pt"")"),"Nenhum")</f>
        <v>Nenhum</v>
      </c>
      <c r="B27377" s="3">
        <v>0</v>
      </c>
    </row>
    <row r="27378" ht="15.75" customHeight="1" spans="1:2">
      <c r="A27378" s="3" t="str">
        <f>IFERROR(__xludf.DUMMYFUNCTION("GOOGLETRANSLATE(A27378,""en"",""pt"")"),"Nenhuma transferência USB / Não Twain compatível")</f>
        <v>Nenhuma transferência USB / Não Twain compatível</v>
      </c>
      <c r="B27378" s="3">
        <v>0</v>
      </c>
    </row>
    <row r="27379" ht="15.75" customHeight="1" spans="1:2">
      <c r="A27379" s="3" t="str">
        <f>IFERROR(__xludf.DUMMYFUNCTION("GOOGLETRANSLATE(A27379,""en"",""pt"")"),"apenas uma lente 2x, come alkalines para o almoço")</f>
        <v>apenas uma lente 2x, come alkalines para o almoço</v>
      </c>
      <c r="B27379" s="3">
        <v>0</v>
      </c>
    </row>
    <row r="27380" ht="15.75" customHeight="1" spans="1:2">
      <c r="A27380" s="3" t="str">
        <f>IFERROR(__xludf.DUMMYFUNCTION("GOOGLETRANSLATE(A27380,""en"",""pt"")"),"capacidades de zoom digital")</f>
        <v>capacidades de zoom digital</v>
      </c>
      <c r="B27380" s="3">
        <v>0</v>
      </c>
    </row>
    <row r="27381" ht="15.75" customHeight="1" spans="1:2">
      <c r="A27381" s="3" t="str">
        <f>IFERROR(__xludf.DUMMYFUNCTION("GOOGLETRANSLATE(A27381,""en"",""pt"")"),"Nenhum")</f>
        <v>Nenhum</v>
      </c>
      <c r="B27381" s="3">
        <v>0</v>
      </c>
    </row>
    <row r="27382" ht="15.75" customHeight="1" spans="1:2">
      <c r="A27382" s="3" t="str">
        <f>IFERROR(__xludf.DUMMYFUNCTION("GOOGLETRANSLATE(A27382,""en"",""pt"")"),"única interface de série")</f>
        <v>única interface de série</v>
      </c>
      <c r="B27382" s="3">
        <v>0</v>
      </c>
    </row>
    <row r="27383" ht="15.75" customHeight="1" spans="1:2">
      <c r="A27383" s="3" t="str">
        <f>IFERROR(__xludf.DUMMYFUNCTION("GOOGLETRANSLATE(A27383,""en"",""pt"")"),"Não consigo pensar em nenhum ainda")</f>
        <v>Não consigo pensar em nenhum ainda</v>
      </c>
      <c r="B27383" s="3">
        <v>0</v>
      </c>
    </row>
    <row r="27384" ht="15.75" customHeight="1" spans="1:2">
      <c r="A27384" s="3" t="str">
        <f>IFERROR(__xludf.DUMMYFUNCTION("GOOGLETRANSLATE(A27384,""en"",""pt"")"),"Apenas 8MB cartão CF incluído; não USB")</f>
        <v>Apenas 8MB cartão CF incluído; não USB</v>
      </c>
      <c r="B27384" s="3">
        <v>0</v>
      </c>
    </row>
    <row r="27385" ht="15.75" customHeight="1" spans="1:2">
      <c r="A27385" s="3" t="str">
        <f>IFERROR(__xludf.DUMMYFUNCTION("GOOGLETRANSLATE(A27385,""en"",""pt"")"),"Looks quadradão e um grande bit.")</f>
        <v>Looks quadradão e um grande bit.</v>
      </c>
      <c r="B27385" s="3">
        <v>0</v>
      </c>
    </row>
    <row r="27386" ht="15.75" customHeight="1" spans="1:2">
      <c r="A27386" s="3" t="str">
        <f>IFERROR(__xludf.DUMMYFUNCTION("GOOGLETRANSLATE(A27386,""en"",""pt"")"),"Puxadores com um pouco de cuidado.")</f>
        <v>Puxadores com um pouco de cuidado.</v>
      </c>
      <c r="B27386" s="3">
        <v>0</v>
      </c>
    </row>
    <row r="27387" ht="15.75" customHeight="1" spans="1:2">
      <c r="A27387" s="3" t="str">
        <f>IFERROR(__xludf.DUMMYFUNCTION("GOOGLETRANSLATE(A27387,""en"",""pt"")"),"Flash fraco, sem interface USB, de olhos vermelhos frequentes")</f>
        <v>Flash fraco, sem interface USB, de olhos vermelhos frequentes</v>
      </c>
      <c r="B27387" s="3">
        <v>0</v>
      </c>
    </row>
    <row r="27388" ht="15.75" customHeight="1" spans="1:2">
      <c r="A27388" s="3" t="str">
        <f>IFERROR(__xludf.DUMMYFUNCTION("GOOGLETRANSLATE(A27388,""en"",""pt"")"),"iluminação um pouco limitado")</f>
        <v>iluminação um pouco limitado</v>
      </c>
      <c r="B27388" s="3">
        <v>0</v>
      </c>
    </row>
    <row r="27389" ht="15.75" customHeight="1" spans="1:2">
      <c r="A27389" s="3" t="str">
        <f>IFERROR(__xludf.DUMMYFUNCTION("GOOGLETRANSLATE(A27389,""en"",""pt"")"),"Não é a melhor câmera olhando e seu meio frágil")</f>
        <v>Não é a melhor câmera olhando e seu meio frágil</v>
      </c>
      <c r="B27389" s="3">
        <v>0</v>
      </c>
    </row>
    <row r="27390" ht="15.75" customHeight="1" spans="1:2">
      <c r="A27390" s="3" t="str">
        <f>IFERROR(__xludf.DUMMYFUNCTION("GOOGLETRANSLATE(A27390,""en"",""pt"")"),"corpo de plástico se sente frágil")</f>
        <v>corpo de plástico se sente frágil</v>
      </c>
      <c r="B27390" s="3">
        <v>0</v>
      </c>
    </row>
    <row r="27391" ht="15.75" customHeight="1" spans="1:2">
      <c r="A27391" s="3" t="str">
        <f>IFERROR(__xludf.DUMMYFUNCTION("GOOGLETRANSLATE(A27391,""en"",""pt"")"),"porta da bateria é exigente.")</f>
        <v>porta da bateria é exigente.</v>
      </c>
      <c r="B27391" s="3">
        <v>0</v>
      </c>
    </row>
    <row r="27392" ht="15.75" customHeight="1" spans="1:2">
      <c r="A27392" s="3" t="str">
        <f>IFERROR(__xludf.DUMMYFUNCTION("GOOGLETRANSLATE(A27392,""en"",""pt"")"),"Poucos e distantes entre si")</f>
        <v>Poucos e distantes entre si</v>
      </c>
      <c r="B27392" s="3">
        <v>0</v>
      </c>
    </row>
    <row r="27393" ht="15.75" customHeight="1" spans="1:2">
      <c r="A27393" s="3" t="str">
        <f>IFERROR(__xludf.DUMMYFUNCTION("GOOGLETRANSLATE(A27393,""en"",""pt"")"),"fraco do flash")</f>
        <v>fraco do flash</v>
      </c>
      <c r="B27393" s="3">
        <v>0</v>
      </c>
    </row>
    <row r="27394" ht="15.75" customHeight="1" spans="1:2">
      <c r="A27394" s="3" t="str">
        <f>IFERROR(__xludf.DUMMYFUNCTION("GOOGLETRANSLATE(A27394,""en"",""pt"")"),"Tirar fotos em situações de pouca luz")</f>
        <v>Tirar fotos em situações de pouca luz</v>
      </c>
      <c r="B27394" s="3">
        <v>0</v>
      </c>
    </row>
    <row r="27395" ht="15.75" customHeight="1" spans="1:2">
      <c r="A27395" s="3" t="str">
        <f>IFERROR(__xludf.DUMMYFUNCTION("GOOGLETRANSLATE(A27395,""en"",""pt"")"),"Nenhum")</f>
        <v>Nenhum</v>
      </c>
      <c r="B27395" s="3">
        <v>0</v>
      </c>
    </row>
    <row r="27396" ht="15.75" customHeight="1" spans="1:2">
      <c r="A27396" s="3" t="str">
        <f>IFERROR(__xludf.DUMMYFUNCTION("GOOGLETRANSLATE(A27396,""en"",""pt"")"),"absolutamente nenhuma")</f>
        <v>absolutamente nenhuma</v>
      </c>
      <c r="B27396" s="3">
        <v>0</v>
      </c>
    </row>
    <row r="27397" ht="15.75" customHeight="1" spans="1:2">
      <c r="A27397" s="3" t="str">
        <f>IFERROR(__xludf.DUMMYFUNCTION("GOOGLETRANSLATE(A27397,""en"",""pt"")"),"documentação escrita esboçado. CD ROM é um pouco melhor")</f>
        <v>documentação escrita esboçado. CD ROM é um pouco melhor</v>
      </c>
      <c r="B27397" s="3">
        <v>0</v>
      </c>
    </row>
    <row r="27398" ht="15.75" customHeight="1" spans="1:2">
      <c r="A27398" s="3" t="s">
        <v>141</v>
      </c>
      <c r="B27398" s="3">
        <v>0</v>
      </c>
    </row>
    <row r="27399" ht="15.75" customHeight="1" spans="1:2">
      <c r="A27399" s="3" t="str">
        <f>IFERROR(__xludf.DUMMYFUNCTION("GOOGLETRANSLATE(A27399,""en"",""pt"")"),"nenhuma porta USB")</f>
        <v>nenhuma porta USB</v>
      </c>
      <c r="B27399" s="3">
        <v>0</v>
      </c>
    </row>
    <row r="27400" ht="15.75" customHeight="1" spans="1:2">
      <c r="A27400" s="3" t="str">
        <f>IFERROR(__xludf.DUMMYFUNCTION("GOOGLETRANSLATE(A27400,""en"",""pt"")"),"curta duração da bateria")</f>
        <v>curta duração da bateria</v>
      </c>
      <c r="B27400" s="3">
        <v>0</v>
      </c>
    </row>
    <row r="27401" ht="15.75" customHeight="1" spans="1:2">
      <c r="A27401" s="3" t="str">
        <f>IFERROR(__xludf.DUMMYFUNCTION("GOOGLETRANSLATE(A27401,""en"",""pt"")"),"nenhum manual de papel, nenhuma conexão USB, um pouco frágil")</f>
        <v>nenhum manual de papel, nenhuma conexão USB, um pouco frágil</v>
      </c>
      <c r="B27401" s="3">
        <v>0</v>
      </c>
    </row>
    <row r="27402" ht="15.75" customHeight="1" spans="1:2">
      <c r="A27402" s="3" t="str">
        <f>IFERROR(__xludf.DUMMYFUNCTION("GOOGLETRANSLATE(A27402,""en"",""pt"")"),"o carregamento lento com porta serial padrão")</f>
        <v>o carregamento lento com porta serial padrão</v>
      </c>
      <c r="B27402" s="3">
        <v>0</v>
      </c>
    </row>
    <row r="27403" ht="15.75" customHeight="1" spans="1:2">
      <c r="A27403" s="3" t="str">
        <f>IFERROR(__xludf.DUMMYFUNCTION("GOOGLETRANSLATE(A27403,""en"",""pt"")"),"vida de bateria fraca")</f>
        <v>vida de bateria fraca</v>
      </c>
      <c r="B27403" s="3">
        <v>0</v>
      </c>
    </row>
    <row r="27404" ht="15.75" customHeight="1" spans="1:2">
      <c r="A27404" s="3" t="str">
        <f>IFERROR(__xludf.DUMMYFUNCTION("GOOGLETRANSLATE(A27404,""en"",""pt"")"),"resposta lenta")</f>
        <v>resposta lenta</v>
      </c>
      <c r="B27404" s="3">
        <v>0</v>
      </c>
    </row>
    <row r="27405" ht="15.75" customHeight="1" spans="1:2">
      <c r="A27405" s="3" t="str">
        <f>IFERROR(__xludf.DUMMYFUNCTION("GOOGLETRANSLATE(A27405,""en"",""pt"")"),"Nenhum")</f>
        <v>Nenhum</v>
      </c>
      <c r="B27405" s="3">
        <v>0</v>
      </c>
    </row>
    <row r="27406" ht="15.75" customHeight="1" spans="1:2">
      <c r="A27406" s="3" t="str">
        <f>IFERROR(__xludf.DUMMYFUNCTION("GOOGLETRANSLATE(A27406,""en"",""pt"")"),"mau flash e outros recursos.")</f>
        <v>mau flash e outros recursos.</v>
      </c>
      <c r="B27406" s="3">
        <v>0</v>
      </c>
    </row>
    <row r="27407" ht="15.75" customHeight="1" spans="1:2">
      <c r="A27407" s="3" t="str">
        <f>IFERROR(__xludf.DUMMYFUNCTION("GOOGLETRANSLATE(A27407,""en"",""pt"")"),"vida útil da bateria é terrível - transferências de imagem são dolorosamente lento")</f>
        <v>vida útil da bateria é terrível - transferências de imagem são dolorosamente lento</v>
      </c>
      <c r="B27407" s="3">
        <v>0</v>
      </c>
    </row>
    <row r="27408" ht="15.75" customHeight="1" spans="1:2">
      <c r="A27408" s="3" t="str">
        <f>IFERROR(__xludf.DUMMYFUNCTION("GOOGLETRANSLATE(A27408,""en"",""pt"")"),"Poucos segunda espera para imagem, preço, uso da bateria.")</f>
        <v>Poucos segunda espera para imagem, preço, uso da bateria.</v>
      </c>
      <c r="B27408" s="3">
        <v>0</v>
      </c>
    </row>
    <row r="27409" ht="15.75" customHeight="1" spans="1:2">
      <c r="A27409" s="3" t="str">
        <f>IFERROR(__xludf.DUMMYFUNCTION("GOOGLETRANSLATE(A27409,""en"",""pt"")"),"resolução insuficiente para 8x10 impressões. Má qualidade zoom além 2X.")</f>
        <v>resolução insuficiente para 8x10 impressões. Má qualidade zoom além 2X.</v>
      </c>
      <c r="B27409" s="3">
        <v>0</v>
      </c>
    </row>
    <row r="27410" ht="15.75" customHeight="1" spans="1:2">
      <c r="A27410" s="3" t="str">
        <f>IFERROR(__xludf.DUMMYFUNCTION("GOOGLETRANSLATE(A27410,""en"",""pt"")"),"confiabilidade questionável ... pobre flash, caro!")</f>
        <v>confiabilidade questionável ... pobre flash, caro!</v>
      </c>
      <c r="B27410" s="3">
        <v>0</v>
      </c>
    </row>
    <row r="27411" ht="15.75" customHeight="1" spans="1:2">
      <c r="A27411" s="3" t="str">
        <f>IFERROR(__xludf.DUMMYFUNCTION("GOOGLETRANSLATE(A27411,""en"",""pt"")"),"vida pobre da bateria, cartão de memória de 8MB inadequada, e revestimentos frágeis.")</f>
        <v>vida pobre da bateria, cartão de memória de 8MB inadequada, e revestimentos frágeis.</v>
      </c>
      <c r="B27411" s="3">
        <v>0</v>
      </c>
    </row>
    <row r="27412" ht="15.75" customHeight="1" spans="1:2">
      <c r="A27412" s="3" t="str">
        <f>IFERROR(__xludf.DUMMYFUNCTION("GOOGLETRANSLATE(A27412,""en"",""pt"")"),"SLOOOOWWWW upload de vezes. Não é titular de configurações. Inábil para segurar. Sem alça tampa da lente.")</f>
        <v>SLOOOOWWWW upload de vezes. Não é titular de configurações. Inábil para segurar. Sem alça tampa da lente.</v>
      </c>
      <c r="B27412" s="3">
        <v>0</v>
      </c>
    </row>
    <row r="27413" ht="15.75" customHeight="1" spans="1:2">
      <c r="A27413" s="3" t="str">
        <f>IFERROR(__xludf.DUMMYFUNCTION("GOOGLETRANSLATE(A27413,""en"",""pt"")"),"olhos vermelhos, distorção da lente, poderia usar mais acessórios")</f>
        <v>olhos vermelhos, distorção da lente, poderia usar mais acessórios</v>
      </c>
      <c r="B27413" s="3">
        <v>0</v>
      </c>
    </row>
    <row r="27414" ht="15.75" customHeight="1" spans="1:2">
      <c r="A27414" s="3" t="str">
        <f>IFERROR(__xludf.DUMMYFUNCTION("GOOGLETRANSLATE(A27414,""en"",""pt"")"),"Para a foto Enthusiast você vai querer um controle mais manual.")</f>
        <v>Para a foto Enthusiast você vai querer um controle mais manual.</v>
      </c>
      <c r="B27414" s="3">
        <v>0</v>
      </c>
    </row>
    <row r="27415" ht="15.75" customHeight="1" spans="1:2">
      <c r="A27415" s="3" t="str">
        <f>IFERROR(__xludf.DUMMYFUNCTION("GOOGLETRANSLATE(A27415,""en"",""pt"")"),"preocupações de qualidade.")</f>
        <v>preocupações de qualidade.</v>
      </c>
      <c r="B27415" s="3">
        <v>0</v>
      </c>
    </row>
    <row r="27416" ht="15.75" customHeight="1" spans="1:2">
      <c r="A27416" s="3" t="str">
        <f>IFERROR(__xludf.DUMMYFUNCTION("GOOGLETRANSLATE(A27416,""en"",""pt"")"),"Feio, meu finalmente quebrou detalhes abaixo")</f>
        <v>Feio, meu finalmente quebrou detalhes abaixo</v>
      </c>
      <c r="B27416" s="3">
        <v>0</v>
      </c>
    </row>
    <row r="27417" ht="15.75" customHeight="1" spans="1:2">
      <c r="A27417" s="3" t="str">
        <f>IFERROR(__xludf.DUMMYFUNCTION("GOOGLETRANSLATE(A27417,""en"",""pt"")"),"botão de atraso até obturador, a vida da bateria médio, 8mb CF incluído (1 tiff = 9mb)")</f>
        <v>botão de atraso até obturador, a vida da bateria médio, 8mb CF incluído (1 tiff = 9mb)</v>
      </c>
      <c r="B27417" s="3">
        <v>0</v>
      </c>
    </row>
    <row r="27418" ht="15.75" customHeight="1" spans="1:2">
      <c r="A27418" s="3" t="str">
        <f>IFERROR(__xludf.DUMMYFUNCTION("GOOGLETRANSLATE(A27418,""en"",""pt"")"),"display LCD é difícil de ver em iluminação exterior brilhante.")</f>
        <v>display LCD é difícil de ver em iluminação exterior brilhante.</v>
      </c>
      <c r="B27418" s="3">
        <v>0</v>
      </c>
    </row>
    <row r="27419" ht="15.75" customHeight="1" spans="1:2">
      <c r="A27419" s="3" t="str">
        <f>IFERROR(__xludf.DUMMYFUNCTION("GOOGLETRANSLATE(A27419,""en"",""pt"")"),"lentas velocidade de flash leva a atrasos")</f>
        <v>lentas velocidade de flash leva a atrasos</v>
      </c>
      <c r="B27419" s="3">
        <v>0</v>
      </c>
    </row>
    <row r="27420" ht="15.75" customHeight="1" spans="1:2">
      <c r="A27420" s="3" t="str">
        <f>IFERROR(__xludf.DUMMYFUNCTION("GOOGLETRANSLATE(A27420,""en"",""pt"")"),"As baterias recarregáveis ​​são caros. (Mas você só precisa de duas!)")</f>
        <v>As baterias recarregáveis ​​são caros. (Mas você só precisa de duas!)</v>
      </c>
      <c r="B27420" s="3">
        <v>0</v>
      </c>
    </row>
    <row r="27421" ht="15.75" customHeight="1" spans="1:2">
      <c r="A27421" s="3" t="str">
        <f>IFERROR(__xludf.DUMMYFUNCTION("GOOGLETRANSLATE(A27421,""en"",""pt"")"),"vídeo não tem áudio, lento, sem tampa da lente auto, alto, melhores opções disponíveis")</f>
        <v>vídeo não tem áudio, lento, sem tampa da lente auto, alto, melhores opções disponíveis</v>
      </c>
      <c r="B27421" s="3">
        <v>0</v>
      </c>
    </row>
    <row r="27422" ht="15.75" customHeight="1" spans="1:2">
      <c r="A27422" s="3" t="str">
        <f>IFERROR(__xludf.DUMMYFUNCTION("GOOGLETRANSLATE(A27422,""en"",""pt"")"),"fotos desfocadas, caros ad-ons necessários, na loja 2 vezes em 1 ano")</f>
        <v>fotos desfocadas, caros ad-ons necessários, na loja 2 vezes em 1 ano</v>
      </c>
      <c r="B27422" s="3">
        <v>0</v>
      </c>
    </row>
    <row r="27423" ht="15.75" customHeight="1" spans="1:2">
      <c r="A27423" s="3" t="str">
        <f>IFERROR(__xludf.DUMMYFUNCTION("GOOGLETRANSLATE(A27423,""en"",""pt"")"),"curta duração da bateria, bateria de câmera especial (não do AA)")</f>
        <v>curta duração da bateria, bateria de câmera especial (não do AA)</v>
      </c>
      <c r="B27423" s="3">
        <v>0</v>
      </c>
    </row>
    <row r="27424" ht="15.75" customHeight="1" spans="1:2">
      <c r="A27424" s="3" t="str">
        <f>IFERROR(__xludf.DUMMYFUNCTION("GOOGLETRANSLATE(A27424,""en"",""pt"")"),"vida útil da bateria medíocre. Definitivamente obter uma bateria recarregável.")</f>
        <v>vida útil da bateria medíocre. Definitivamente obter uma bateria recarregável.</v>
      </c>
      <c r="B27424" s="3">
        <v>0</v>
      </c>
    </row>
    <row r="27425" ht="15.75" customHeight="1" spans="1:2">
      <c r="A27425" s="3" t="str">
        <f>IFERROR(__xludf.DUMMYFUNCTION("GOOGLETRANSLATE(A27425,""en"",""pt"")"),"Bateria passa rápido, ajustes manuais são difíceis de acertar,")</f>
        <v>Bateria passa rápido, ajustes manuais são difíceis de acertar,</v>
      </c>
      <c r="B27425" s="3">
        <v>0</v>
      </c>
    </row>
    <row r="27426" ht="15.75" customHeight="1" spans="1:2">
      <c r="A27426" s="3" t="str">
        <f>IFERROR(__xludf.DUMMYFUNCTION("GOOGLETRANSLATE(A27426,""en"",""pt"")"),"Grande atraso entre premir botão e imagem, botão must duro")</f>
        <v>Grande atraso entre premir botão e imagem, botão must duro</v>
      </c>
      <c r="B27426" s="3">
        <v>0</v>
      </c>
    </row>
    <row r="27427" ht="15.75" customHeight="1" spans="1:2">
      <c r="A27427" s="3" t="str">
        <f>IFERROR(__xludf.DUMMYFUNCTION("GOOGLETRANSLATE(A27427,""en"",""pt"")"),"suporta apenas Tipo I cartões CF")</f>
        <v>suporta apenas Tipo I cartões CF</v>
      </c>
      <c r="B27427" s="3">
        <v>0</v>
      </c>
    </row>
    <row r="27428" ht="15.75" customHeight="1" spans="1:2">
      <c r="A27428" s="3" t="str">
        <f>IFERROR(__xludf.DUMMYFUNCTION("GOOGLETRANSLATE(A27428,""en"",""pt"")"),"vida útil da bateria")</f>
        <v>vida útil da bateria</v>
      </c>
      <c r="B27428" s="3">
        <v>0</v>
      </c>
    </row>
    <row r="27429" ht="15.75" customHeight="1" spans="1:2">
      <c r="A27429" s="3" t="str">
        <f>IFERROR(__xludf.DUMMYFUNCTION("GOOGLETRANSLATE(A27429,""en"",""pt"")"),"bateria recarregável é extra, a duração da bateria é curta, apenas duas paragens aperature, se tampa esquerda na enquanto a unidade é ligada, a lente é impulsionado na tampa (não que lidar um grande, mas ruim de engenharia)")</f>
        <v>bateria recarregável é extra, a duração da bateria é curta, apenas duas paragens aperature, se tampa esquerda na enquanto a unidade é ligada, a lente é impulsionado na tampa (não que lidar um grande, mas ruim de engenharia)</v>
      </c>
      <c r="B27429" s="3">
        <v>0</v>
      </c>
    </row>
    <row r="27430" ht="15.75" customHeight="1" spans="1:2">
      <c r="A27430" s="3" t="str">
        <f>IFERROR(__xludf.DUMMYFUNCTION("GOOGLETRANSLATE(A27430,""en"",""pt"")"),"Bateria!")</f>
        <v>Bateria!</v>
      </c>
      <c r="B27430" s="3">
        <v>0</v>
      </c>
    </row>
    <row r="27431" ht="15.75" customHeight="1" spans="1:2">
      <c r="A27431" s="3" t="str">
        <f>IFERROR(__xludf.DUMMYFUNCTION("GOOGLETRANSLATE(A27431,""en"",""pt"")"),"Sem função carimbo de data, Tampa da lente pode danificar telefoto.")</f>
        <v>Sem função carimbo de data, Tampa da lente pode danificar telefoto.</v>
      </c>
      <c r="B27431" s="3">
        <v>0</v>
      </c>
    </row>
    <row r="27432" ht="15.75" customHeight="1" spans="1:2">
      <c r="A27432" s="3" t="str">
        <f>IFERROR(__xludf.DUMMYFUNCTION("GOOGLETRANSLATE(A27432,""en"",""pt"")"),"breaks portal da bateria de plástico; Características difícil de navegar; apenas duas configurações de abertura;")</f>
        <v>breaks portal da bateria de plástico; Características difícil de navegar; apenas duas configurações de abertura;</v>
      </c>
      <c r="B27432" s="3">
        <v>0</v>
      </c>
    </row>
    <row r="27433" ht="15.75" customHeight="1" spans="1:2">
      <c r="A27433" s="3" t="str">
        <f>IFERROR(__xludf.DUMMYFUNCTION("GOOGLETRANSLATE(A27433,""en"",""pt"")"),"Muito tempo de atraso para tirar uma foto.")</f>
        <v>Muito tempo de atraso para tirar uma foto.</v>
      </c>
      <c r="B27433" s="3">
        <v>0</v>
      </c>
    </row>
    <row r="27434" ht="15.75" customHeight="1" spans="1:2">
      <c r="A27434" s="3" t="str">
        <f>IFERROR(__xludf.DUMMYFUNCTION("GOOGLETRANSLATE(A27434,""en"",""pt"")"),"barril distorção, um pouco de atraso do obturador lento, lcd fixo visor")</f>
        <v>barril distorção, um pouco de atraso do obturador lento, lcd fixo visor</v>
      </c>
      <c r="B27434" s="3">
        <v>0</v>
      </c>
    </row>
    <row r="27435" ht="15.75" customHeight="1" spans="1:2">
      <c r="A27435" s="3" t="str">
        <f>IFERROR(__xludf.DUMMYFUNCTION("GOOGLETRANSLATE(A27435,""en"",""pt"")"),"tamanho compacto &amp; amp; configurações em abundância")</f>
        <v>tamanho compacto &amp; amp; configurações em abundância</v>
      </c>
      <c r="B27435" s="3">
        <v>0</v>
      </c>
    </row>
    <row r="27436" ht="15.75" customHeight="1" spans="1:2">
      <c r="A27436" s="3" t="str">
        <f>IFERROR(__xludf.DUMMYFUNCTION("GOOGLETRANSLATE(A27436,""en"",""pt"")"),"Produto descontinuado, só está disponível ""preowned"".")</f>
        <v>Produto descontinuado, só está disponível "preowned".</v>
      </c>
      <c r="B27436" s="3">
        <v>0</v>
      </c>
    </row>
    <row r="27437" ht="15.75" customHeight="1" spans="1:2">
      <c r="A27437" s="3" t="str">
        <f>IFERROR(__xludf.DUMMYFUNCTION("GOOGLETRANSLATE(A27437,""en"",""pt"")"),"bateria de 2CR5, 8MB incluídos cartão CompactFlash")</f>
        <v>bateria de 2CR5, 8MB incluídos cartão CompactFlash</v>
      </c>
      <c r="B27437" s="3">
        <v>0</v>
      </c>
    </row>
    <row r="27438" ht="15.75" customHeight="1" spans="1:2">
      <c r="A27438" s="3" t="str">
        <f>IFERROR(__xludf.DUMMYFUNCTION("GOOGLETRANSLATE(A27438,""en"",""pt"")"),"única 2.5X zoom óptico")</f>
        <v>única 2.5X zoom óptico</v>
      </c>
      <c r="B27438" s="3">
        <v>0</v>
      </c>
    </row>
    <row r="27439" ht="15.75" customHeight="1" spans="1:2">
      <c r="A27439" s="3" t="str">
        <f>IFERROR(__xludf.DUMMYFUNCTION("GOOGLETRANSLATE(A27439,""en"",""pt"")"),"Desafiados com pouca luz, um pouco lento, pacote fraco")</f>
        <v>Desafiados com pouca luz, um pouco lento, pacote fraco</v>
      </c>
      <c r="B27439" s="3">
        <v>0</v>
      </c>
    </row>
    <row r="27440" ht="15.75" customHeight="1" spans="1:2">
      <c r="A27440" s="3" t="str">
        <f>IFERROR(__xludf.DUMMYFUNCTION("GOOGLETRANSLATE(A27440,""en"",""pt"")"),"A vida da bateria")</f>
        <v>A vida da bateria</v>
      </c>
      <c r="B27440" s="3">
        <v>0</v>
      </c>
    </row>
    <row r="27441" ht="15.75" customHeight="1" spans="1:2">
      <c r="A27441" s="3" t="str">
        <f>IFERROR(__xludf.DUMMYFUNCTION("GOOGLETRANSLATE(A27441,""en"",""pt"")"),"Alto consumo de energia")</f>
        <v>Alto consumo de energia</v>
      </c>
      <c r="B27441" s="3">
        <v>0</v>
      </c>
    </row>
    <row r="27442" ht="15.75" customHeight="1" spans="1:2">
      <c r="A27442" s="3" t="str">
        <f>IFERROR(__xludf.DUMMYFUNCTION("GOOGLETRANSLATE(A27442,""en"",""pt"")"),"flash interna, tempo de atraso para o gatilho")</f>
        <v>flash interna, tempo de atraso para o gatilho</v>
      </c>
      <c r="B27442" s="3">
        <v>0</v>
      </c>
    </row>
    <row r="27443" ht="15.75" customHeight="1" spans="1:2">
      <c r="A27443" s="3" t="str">
        <f>IFERROR(__xludf.DUMMYFUNCTION("GOOGLETRANSLATE(A27443,""en"",""pt"")"),"A vida da bateria.")</f>
        <v>A vida da bateria.</v>
      </c>
      <c r="B27443" s="3">
        <v>0</v>
      </c>
    </row>
    <row r="27444" ht="15.75" customHeight="1" spans="1:2">
      <c r="A27444" s="3" t="str">
        <f>IFERROR(__xludf.DUMMYFUNCTION("GOOGLETRANSLATE(A27444,""en"",""pt"")"),"custos ocultos (bateria, flash compacto, Software)")</f>
        <v>custos ocultos (bateria, flash compacto, Software)</v>
      </c>
      <c r="B27444" s="3">
        <v>0</v>
      </c>
    </row>
    <row r="27445" ht="15.75" customHeight="1" spans="1:2">
      <c r="A27445" s="3" t="str">
        <f>IFERROR(__xludf.DUMMYFUNCTION("GOOGLETRANSLATE(A27445,""en"",""pt"")"),"A vida da bateria é terrível, cartão de memória de 8MB incluído")</f>
        <v>A vida da bateria é terrível, cartão de memória de 8MB incluído</v>
      </c>
      <c r="B27445" s="3">
        <v>0</v>
      </c>
    </row>
    <row r="27446" ht="15.75" customHeight="1" spans="1:2">
      <c r="A27446" s="3" t="str">
        <f>IFERROR(__xludf.DUMMYFUNCTION("GOOGLETRANSLATE(A27446,""en"",""pt"")"),"Ilegal Bait and Switch práticas de vendas pelo som da câmera, COMPDIRECT, CAMERA ZONE e DISCOVERY CAMERA")</f>
        <v>Ilegal Bait and Switch práticas de vendas pelo som da câmera, COMPDIRECT, CAMERA ZONE e DISCOVERY CAMERA</v>
      </c>
      <c r="B27446" s="3">
        <v>0</v>
      </c>
    </row>
    <row r="27447" ht="15.75" customHeight="1" spans="1:2">
      <c r="A27447" s="3" t="str">
        <f>IFERROR(__xludf.DUMMYFUNCTION("GOOGLETRANSLATE(A27447,""en"",""pt"")"),"obturador lento, lento autofocus alto, filmes não têm som, caro")</f>
        <v>obturador lento, lento autofocus alto, filmes não têm som, caro</v>
      </c>
      <c r="B27447" s="3">
        <v>0</v>
      </c>
    </row>
    <row r="27448" ht="15.75" customHeight="1" spans="1:2">
      <c r="A27448" s="3" t="str">
        <f>IFERROR(__xludf.DUMMYFUNCTION("GOOGLETRANSLATE(A27448,""en"",""pt"")"),"A vida da bateria. Nenhum caso. Olhar sobre o LCD antes de comprar. Apenas 8 MB cartão de memória flash compacto.")</f>
        <v>A vida da bateria. Nenhum caso. Olhar sobre o LCD antes de comprar. Apenas 8 MB cartão de memória flash compacto.</v>
      </c>
      <c r="B27448" s="3">
        <v>0</v>
      </c>
    </row>
    <row r="27449" ht="15.75" customHeight="1" spans="1:2">
      <c r="A27449" s="3" t="str">
        <f>IFERROR(__xludf.DUMMYFUNCTION("GOOGLETRANSLATE(A27449,""en"",""pt"")"),"Pequeno visor, difícil de se concentrar.")</f>
        <v>Pequeno visor, difícil de se concentrar.</v>
      </c>
      <c r="B27449" s="3">
        <v>0</v>
      </c>
    </row>
    <row r="27450" ht="15.75" customHeight="1" spans="1:2">
      <c r="A27450" s="3" t="str">
        <f>IFERROR(__xludf.DUMMYFUNCTION("GOOGLETRANSLATE(A27450,""en"",""pt"")"),"Apenas 16 MB C &amp; amp; # 238; mpactFlash, 2CR5 - pobre vida útil da bateria (necessidade recarregável bateria)")</f>
        <v>Apenas 16 MB C &amp; amp; # 238; mpactFlash, 2CR5 - pobre vida útil da bateria (necessidade recarregável bateria)</v>
      </c>
      <c r="B27450" s="3">
        <v>0</v>
      </c>
    </row>
    <row r="27451" ht="15.75" customHeight="1" spans="1:2">
      <c r="A27451" s="3" t="str">
        <f>IFERROR(__xludf.DUMMYFUNCTION("GOOGLETRANSLATE(A27451,""en"",""pt"")"),"Não vem w / carregador e baterias recarregáveis, único cartão de 8MB CF.")</f>
        <v>Não vem w / carregador e baterias recarregáveis, único cartão de 8MB CF.</v>
      </c>
      <c r="B27451" s="3">
        <v>0</v>
      </c>
    </row>
    <row r="27452" ht="15.75" customHeight="1" spans="1:2">
      <c r="A27452" s="3" t="str">
        <f>IFERROR(__xludf.DUMMYFUNCTION("GOOGLETRANSLATE(A27452,""en"",""pt"")"),"curva de aprendizagem para cima, para um cara SLR de idade")</f>
        <v>curva de aprendizagem para cima, para um cara SLR de idade</v>
      </c>
      <c r="B27452" s="3">
        <v>0</v>
      </c>
    </row>
    <row r="27453" ht="15.75" customHeight="1" spans="1:2">
      <c r="A27453" s="3" t="str">
        <f>IFERROR(__xludf.DUMMYFUNCTION("GOOGLETRANSLATE(A27453,""en"",""pt"")"),"difícil de tirar fotos estáveis, sem tripé, muito brilho LCD")</f>
        <v>difícil de tirar fotos estáveis, sem tripé, muito brilho LCD</v>
      </c>
      <c r="B27453" s="3">
        <v>0</v>
      </c>
    </row>
    <row r="27454" ht="15.75" customHeight="1" spans="1:2">
      <c r="A27454" s="3" t="str">
        <f>IFERROR(__xludf.DUMMYFUNCTION("GOOGLETRANSLATE(A27454,""en"",""pt"")"),"Vida útil da bateria, Software.")</f>
        <v>Vida útil da bateria, Software.</v>
      </c>
      <c r="B27454" s="3">
        <v>0</v>
      </c>
    </row>
    <row r="27455" ht="15.75" customHeight="1" spans="1:2">
      <c r="A27455" s="3" t="str">
        <f>IFERROR(__xludf.DUMMYFUNCTION("GOOGLETRANSLATE(A27455,""en"",""pt"")"),"Nenhum")</f>
        <v>Nenhum</v>
      </c>
      <c r="B27455" s="3">
        <v>0</v>
      </c>
    </row>
    <row r="27456" ht="15.75" customHeight="1" spans="1:2">
      <c r="A27456" s="3" t="str">
        <f>IFERROR(__xludf.DUMMYFUNCTION("GOOGLETRANSLATE(A27456,""en"",""pt"")"),"fundos dentro de casa muito vermelho, mau serviço ao cliente")</f>
        <v>fundos dentro de casa muito vermelho, mau serviço ao cliente</v>
      </c>
      <c r="B27456" s="3">
        <v>0</v>
      </c>
    </row>
    <row r="27457" ht="15.75" customHeight="1" spans="1:2">
      <c r="A27457" s="3" t="str">
        <f>IFERROR(__xludf.DUMMYFUNCTION("GOOGLETRANSLATE(A27457,""en"",""pt"")"),"cor VERMELHA - a duração da bateria terrível e adaptador / carregador é extra")</f>
        <v>cor VERMELHA - a duração da bateria terrível e adaptador / carregador é extra</v>
      </c>
      <c r="B27457" s="3">
        <v>0</v>
      </c>
    </row>
    <row r="27458" ht="15.75" customHeight="1" spans="1:2">
      <c r="A27458" s="3" t="str">
        <f>IFERROR(__xludf.DUMMYFUNCTION("GOOGLETRANSLATE(A27458,""en"",""pt"")"),"Grande angular não larga o suficiente, sem flash externo, 16MB de memória não é suficiente, a vida da bateria.")</f>
        <v>Grande angular não larga o suficiente, sem flash externo, 16MB de memória não é suficiente, a vida da bateria.</v>
      </c>
      <c r="B27458" s="3">
        <v>0</v>
      </c>
    </row>
    <row r="27459" ht="15.75" customHeight="1" spans="1:2">
      <c r="A27459" s="3" t="str">
        <f>IFERROR(__xludf.DUMMYFUNCTION("GOOGLETRANSLATE(A27459,""en"",""pt"")"),"Nenhum som no modo de filme, a cor tende ao vermelho com pouca luz")</f>
        <v>Nenhum som no modo de filme, a cor tende ao vermelho com pouca luz</v>
      </c>
      <c r="B27459" s="3">
        <v>0</v>
      </c>
    </row>
    <row r="27460" ht="15.75" customHeight="1" spans="1:2">
      <c r="A27460" s="3" t="str">
        <f>IFERROR(__xludf.DUMMYFUNCTION("GOOGLETRANSLATE(A27460,""en"",""pt"")"),"um pouco complicado no modo manual, de curto alcance do flash, relativamente curta vida útil da bateria")</f>
        <v>um pouco complicado no modo manual, de curto alcance do flash, relativamente curta vida útil da bateria</v>
      </c>
      <c r="B27460" s="3">
        <v>0</v>
      </c>
    </row>
    <row r="27461" ht="15.75" customHeight="1" spans="1:2">
      <c r="A27461" s="3" t="str">
        <f>IFERROR(__xludf.DUMMYFUNCTION("GOOGLETRANSLATE(A27461,""en"",""pt"")"),"vida útil da bateria, limão-propensa, mau serviço ao cliente.")</f>
        <v>vida útil da bateria, limão-propensa, mau serviço ao cliente.</v>
      </c>
      <c r="B27461" s="3">
        <v>0</v>
      </c>
    </row>
    <row r="27462" ht="15.75" customHeight="1" spans="1:2">
      <c r="A27462" s="3" t="str">
        <f>IFERROR(__xludf.DUMMYFUNCTION("GOOGLETRANSLATE(A27462,""en"",""pt"")"),"botões, frágil vida curta da bateria, sem extras, acessórios difíceis de encontrar")</f>
        <v>botões, frágil vida curta da bateria, sem extras, acessórios difíceis de encontrar</v>
      </c>
      <c r="B27462" s="3">
        <v>0</v>
      </c>
    </row>
    <row r="27463" ht="15.75" customHeight="1" spans="1:2">
      <c r="A27463" s="3" t="str">
        <f>IFERROR(__xludf.DUMMYFUNCTION("GOOGLETRANSLATE(A27463,""en"",""pt"")"),"acessórios limitados incluídos, tampa da lente, muitos menus, Quicktime, flash de preenchimento inconsistente, software pobres")</f>
        <v>acessórios limitados incluídos, tampa da lente, muitos menus, Quicktime, flash de preenchimento inconsistente, software pobres</v>
      </c>
      <c r="B27463" s="3">
        <v>0</v>
      </c>
    </row>
    <row r="27464" ht="15.75" customHeight="1" spans="1:2">
      <c r="A27464" s="3" t="str">
        <f>IFERROR(__xludf.DUMMYFUNCTION("GOOGLETRANSLATE(A27464,""en"",""pt"")"),"tudo, mas o tamanho e fácil de usar")</f>
        <v>tudo, mas o tamanho e fácil de usar</v>
      </c>
      <c r="B27464" s="3">
        <v>0</v>
      </c>
    </row>
    <row r="27465" ht="15.75" customHeight="1" spans="1:2">
      <c r="A27465" s="3" t="str">
        <f>IFERROR(__xludf.DUMMYFUNCTION("GOOGLETRANSLATE(A27465,""en"",""pt"")"),"Não tenho sido capaz de encontrar nenhum.")</f>
        <v>Não tenho sido capaz de encontrar nenhum.</v>
      </c>
      <c r="B27465" s="3">
        <v>0</v>
      </c>
    </row>
    <row r="27466" ht="15.75" customHeight="1" spans="1:2">
      <c r="A27466" s="3" t="str">
        <f>IFERROR(__xludf.DUMMYFUNCTION("GOOGLETRANSLATE(A27466,""en"",""pt"")"),"vermelhos são muito brilhantes")</f>
        <v>vermelhos são muito brilhantes</v>
      </c>
      <c r="B27466" s="3">
        <v>0</v>
      </c>
    </row>
    <row r="27467" ht="15.75" customHeight="1" spans="1:2">
      <c r="A27467" s="3" t="str">
        <f>IFERROR(__xludf.DUMMYFUNCTION("GOOGLETRANSLATE(A27467,""en"",""pt"")"),"botão de zoom está em um lugar chato.")</f>
        <v>botão de zoom está em um lugar chato.</v>
      </c>
      <c r="B27467" s="3">
        <v>0</v>
      </c>
    </row>
    <row r="27468" ht="15.75" customHeight="1" spans="1:2">
      <c r="A27468" s="3" t="str">
        <f>IFERROR(__xludf.DUMMYFUNCTION("GOOGLETRANSLATE(A27468,""en"",""pt"")"),"Cor vermelho olha pobres, outros modos são confusos para uso, sem acessórios reais incluído")</f>
        <v>Cor vermelho olha pobres, outros modos são confusos para uso, sem acessórios reais incluído</v>
      </c>
      <c r="B27468" s="3">
        <v>0</v>
      </c>
    </row>
    <row r="27469" ht="15.75" customHeight="1" spans="1:2">
      <c r="A27469" s="3" t="str">
        <f>IFERROR(__xludf.DUMMYFUNCTION("GOOGLETRANSLATE(A27469,""en"",""pt"")"),"tampa da lente na corda, dentro tons vermelhos, carregador de bateria não incluído")</f>
        <v>tampa da lente na corda, dentro tons vermelhos, carregador de bateria não incluído</v>
      </c>
      <c r="B27469" s="3">
        <v>0</v>
      </c>
    </row>
    <row r="27470" ht="15.75" customHeight="1" spans="1:2">
      <c r="A27470" s="3" t="str">
        <f>IFERROR(__xludf.DUMMYFUNCTION("GOOGLETRANSLATE(A27470,""en"",""pt"")"),"Não encontrei qualquer ainda!")</f>
        <v>Não encontrei qualquer ainda!</v>
      </c>
      <c r="B27470" s="3">
        <v>0</v>
      </c>
    </row>
    <row r="27471" ht="15.75" customHeight="1" spans="1:2">
      <c r="A27471" s="3" t="str">
        <f>IFERROR(__xludf.DUMMYFUNCTION("GOOGLETRANSLATE(A27471,""en"",""pt"")"),"curta duração da bateria")</f>
        <v>curta duração da bateria</v>
      </c>
      <c r="B27471" s="3">
        <v>0</v>
      </c>
    </row>
    <row r="27472" ht="15.75" customHeight="1" spans="1:2">
      <c r="A27472" s="3" t="str">
        <f>IFERROR(__xludf.DUMMYFUNCTION("GOOGLETRANSLATE(A27472,""en"",""pt"")"),"lapso de tempo entre as imagens é muito lenta; maleta não faz parte do pacote de compra;")</f>
        <v>lapso de tempo entre as imagens é muito lenta; maleta não faz parte do pacote de compra;</v>
      </c>
      <c r="B27472" s="3">
        <v>0</v>
      </c>
    </row>
    <row r="27473" ht="15.75" customHeight="1" spans="1:2">
      <c r="A27473" s="3" t="str">
        <f>IFERROR(__xludf.DUMMYFUNCTION("GOOGLETRANSLATE(A27473,""en"",""pt"")"),"tampa colocada por corda; fácil de derrubar acidentalmente deixando lente desprotegida")</f>
        <v>tampa colocada por corda; fácil de derrubar acidentalmente deixando lente desprotegida</v>
      </c>
      <c r="B27473" s="3">
        <v>0</v>
      </c>
    </row>
    <row r="27474" ht="15.75" customHeight="1" spans="1:2">
      <c r="A27474" s="3" t="str">
        <f>IFERROR(__xludf.DUMMYFUNCTION("GOOGLETRANSLATE(A27474,""en"",""pt"")"),"Demasiada de uma avermelhada elenco dado a maioria das fotos em ambientes interiores.")</f>
        <v>Demasiada de uma avermelhada elenco dado a maioria das fotos em ambientes interiores.</v>
      </c>
      <c r="B27474" s="3">
        <v>0</v>
      </c>
    </row>
    <row r="27475" ht="15.75" customHeight="1" spans="1:2">
      <c r="A27475" s="3" t="str">
        <f>IFERROR(__xludf.DUMMYFUNCTION("GOOGLETRANSLATE(A27475,""en"",""pt"")"),"sem flash externo ligar")</f>
        <v>sem flash externo ligar</v>
      </c>
      <c r="B27475" s="3">
        <v>0</v>
      </c>
    </row>
    <row r="27476" ht="15.75" customHeight="1" spans="1:2">
      <c r="A27476" s="3" t="str">
        <f>IFERROR(__xludf.DUMMYFUNCTION("GOOGLETRANSLATE(A27476,""en"",""pt"")"),"má experiência de reparação, limão, curta duração da bateria, tampa da lente cai fora, vermelhos quente.")</f>
        <v>má experiência de reparação, limão, curta duração da bateria, tampa da lente cai fora, vermelhos quente.</v>
      </c>
      <c r="B27476" s="3">
        <v>0</v>
      </c>
    </row>
    <row r="27477" ht="15.75" customHeight="1" spans="1:2">
      <c r="A27477" s="3" t="str">
        <f>IFERROR(__xludf.DUMMYFUNCTION("GOOGLETRANSLATE(A27477,""en"",""pt"")"),"tempos lentos start-up / ciclo, bateria recarregável / carregador não incluído &amp; amp; # 13; &amp; amp; # 10;")</f>
        <v>tempos lentos start-up / ciclo, bateria recarregável / carregador não incluído &amp; amp; # 13; &amp; amp; # 10;</v>
      </c>
      <c r="B27477" s="3">
        <v>0</v>
      </c>
    </row>
    <row r="27478" ht="15.75" customHeight="1" spans="1:2">
      <c r="A27478" s="3" t="str">
        <f>IFERROR(__xludf.DUMMYFUNCTION("GOOGLETRANSLATE(A27478,""en"",""pt"")"),"Cap Lens removível, a falta de software")</f>
        <v>Cap Lens removível, a falta de software</v>
      </c>
      <c r="B27478" s="3">
        <v>0</v>
      </c>
    </row>
    <row r="27479" ht="15.75" customHeight="1" spans="1:2">
      <c r="A27479" s="3" t="str">
        <f>IFERROR(__xludf.DUMMYFUNCTION("GOOGLETRANSLATE(A27479,""en"",""pt"")"),"um tanto pequena, de forma estranha ao punho")</f>
        <v>um tanto pequena, de forma estranha ao punho</v>
      </c>
      <c r="B27479" s="3">
        <v>0</v>
      </c>
    </row>
    <row r="27480" ht="15.75" customHeight="1" spans="1:2">
      <c r="A27480" s="3" t="str">
        <f>IFERROR(__xludf.DUMMYFUNCTION("GOOGLETRANSLATE(A27480,""en"",""pt"")"),"Reds muito vermelho, tampa da lente em uma corda, 'tratamento' lento velocidades")</f>
        <v>Reds muito vermelho, tampa da lente em uma corda, 'tratamento' lento velocidades</v>
      </c>
      <c r="B27480" s="3">
        <v>0</v>
      </c>
    </row>
    <row r="27481" ht="15.75" customHeight="1" spans="1:2">
      <c r="A27481" s="3" t="str">
        <f>IFERROR(__xludf.DUMMYFUNCTION("GOOGLETRANSLATE(A27481,""en"",""pt"")"),"Destaques vermelhos matizes em situações de pouca luz, contras semelhantes compartilhadas pela maioria das câmeras digitais.")</f>
        <v>Destaques vermelhos matizes em situações de pouca luz, contras semelhantes compartilhadas pela maioria das câmeras digitais.</v>
      </c>
      <c r="B27481" s="3">
        <v>0</v>
      </c>
    </row>
    <row r="27482" ht="15.75" customHeight="1" spans="1:2">
      <c r="A27482" s="3" t="str">
        <f>IFERROR(__xludf.DUMMYFUNCTION("GOOGLETRANSLATE(A27482,""en"",""pt"")"),"Tamanho, de espessura. Bad reprodução de cores reais! Lapso de tempo, pressione o botão e esperar. software PC.")</f>
        <v>Tamanho, de espessura. Bad reprodução de cores reais! Lapso de tempo, pressione o botão e esperar. software PC.</v>
      </c>
      <c r="B27482" s="3">
        <v>0</v>
      </c>
    </row>
    <row r="27483" ht="15.75" customHeight="1" spans="1:2">
      <c r="A27483" s="3" t="str">
        <f>IFERROR(__xludf.DUMMYFUNCTION("GOOGLETRANSLATE(A27483,""en"",""pt"")"),"Pobre construção, não confiável, falta de apoio da Nikon, sistema de menus, lcd fraca, viewfinder")</f>
        <v>Pobre construção, não confiável, falta de apoio da Nikon, sistema de menus, lcd fraca, viewfinder</v>
      </c>
      <c r="B27483" s="3">
        <v>0</v>
      </c>
    </row>
    <row r="27484" ht="15.75" customHeight="1" spans="1:2">
      <c r="A27484" s="3" t="str">
        <f>IFERROR(__xludf.DUMMYFUNCTION("GOOGLETRANSLATE(A27484,""en"",""pt"")"),"2-megapixel, sem suporte do Windows XP, short bateria de vida, conexão limitado, 8MB-CompactFlash, nenhum software de edição de imagem, não de captura de movimento.")</f>
        <v>2-megapixel, sem suporte do Windows XP, short bateria de vida, conexão limitado, 8MB-CompactFlash, nenhum software de edição de imagem, não de captura de movimento.</v>
      </c>
      <c r="B27484" s="3">
        <v>0</v>
      </c>
    </row>
    <row r="27485" ht="15.75" customHeight="1" spans="1:2">
      <c r="A27485" s="3" t="str">
        <f>IFERROR(__xludf.DUMMYFUNCTION("GOOGLETRANSLATE(A27485,""en"",""pt"")"),"Controles, lente giratória pode ser útil ou desagradável, pode ser difícil em baterias")</f>
        <v>Controles, lente giratória pode ser útil ou desagradável, pode ser difícil em baterias</v>
      </c>
      <c r="B27485" s="3">
        <v>0</v>
      </c>
    </row>
    <row r="27486" ht="15.75" customHeight="1" spans="1:2">
      <c r="A27486" s="3" t="str">
        <f>IFERROR(__xludf.DUMMYFUNCTION("GOOGLETRANSLATE(A27486,""en"",""pt"")"),"tampa do cartão frágil CF. Apenas zoom óptico 3x. Incluído 8 cartão megabyte é inútil.")</f>
        <v>tampa do cartão frágil CF. Apenas zoom óptico 3x. Incluído 8 cartão megabyte é inútil.</v>
      </c>
      <c r="B27486" s="3">
        <v>0</v>
      </c>
    </row>
    <row r="27487" ht="15.75" customHeight="1" spans="1:2">
      <c r="A27487" s="3" t="str">
        <f>IFERROR(__xludf.DUMMYFUNCTION("GOOGLETRANSLATE(A27487,""en"",""pt"")"),"software ruim")</f>
        <v>software ruim</v>
      </c>
      <c r="B27487" s="3">
        <v>0</v>
      </c>
    </row>
    <row r="27488" ht="15.75" customHeight="1" spans="1:2">
      <c r="A27488" s="3" t="str">
        <f>IFERROR(__xludf.DUMMYFUNCTION("GOOGLETRANSLATE(A27488,""en"",""pt"")"),"Redeye em tiros interno das crianças, não pode baixar fotos para uma porta serial, suporte pobre tecnologia")</f>
        <v>Redeye em tiros interno das crianças, não pode baixar fotos para uma porta serial, suporte pobre tecnologia</v>
      </c>
      <c r="B27488" s="3">
        <v>0</v>
      </c>
    </row>
    <row r="27489" ht="15.75" customHeight="1" spans="1:2">
      <c r="A27489" s="3" t="str">
        <f>IFERROR(__xludf.DUMMYFUNCTION("GOOGLETRANSLATE(A27489,""en"",""pt"")"),"Caro, Frequent Red-eye, transferência de imagem Serial é lento, Software inábil, Camera sempre amplia por padrão")</f>
        <v>Caro, Frequent Red-eye, transferência de imagem Serial é lento, Software inábil, Camera sempre amplia por padrão</v>
      </c>
      <c r="B27489" s="3">
        <v>0</v>
      </c>
    </row>
    <row r="27490" ht="15.75" customHeight="1" spans="1:2">
      <c r="A27490" s="3" t="str">
        <f>IFERROR(__xludf.DUMMYFUNCTION("GOOGLETRANSLATE(A27490,""en"",""pt"")"),"caro")</f>
        <v>caro</v>
      </c>
      <c r="B27490" s="3">
        <v>0</v>
      </c>
    </row>
    <row r="27491" ht="15.75" customHeight="1" spans="1:2">
      <c r="A27491" s="3" t="str">
        <f>IFERROR(__xludf.DUMMYFUNCTION("GOOGLETRANSLATE(A27491,""en"",""pt"")"),"curva de aprendizado íngreme, nenhuma transferência USB")</f>
        <v>curva de aprendizado íngreme, nenhuma transferência USB</v>
      </c>
      <c r="B27491" s="3">
        <v>0</v>
      </c>
    </row>
    <row r="27492" ht="15.75" customHeight="1" spans="1:2">
      <c r="A27492" s="3" t="str">
        <f>IFERROR(__xludf.DUMMYFUNCTION("GOOGLETRANSLATE(A27492,""en"",""pt"")"),"baterias não duram muito tempo")</f>
        <v>baterias não duram muito tempo</v>
      </c>
      <c r="B27492" s="3">
        <v>0</v>
      </c>
    </row>
    <row r="27493" ht="15.75" customHeight="1" spans="1:2">
      <c r="A27493" s="3" t="str">
        <f>IFERROR(__xludf.DUMMYFUNCTION("GOOGLETRANSLATE(A27493,""en"",""pt"")"),"documentação impressa pobres")</f>
        <v>documentação impressa pobres</v>
      </c>
      <c r="B27493" s="3">
        <v>0</v>
      </c>
    </row>
    <row r="27494" ht="15.75" customHeight="1" spans="1:2">
      <c r="A27494" s="3" t="str">
        <f>IFERROR(__xludf.DUMMYFUNCTION("GOOGLETRANSLATE(A27494,""en"",""pt"")"),"nenhuma bateria de recarga-able")</f>
        <v>nenhuma bateria de recarga-able</v>
      </c>
      <c r="B27494" s="3">
        <v>0</v>
      </c>
    </row>
    <row r="27495" ht="15.75" customHeight="1" spans="1:2">
      <c r="A27495" s="3" t="str">
        <f>IFERROR(__xludf.DUMMYFUNCTION("GOOGLETRANSLATE(A27495,""en"",""pt"")"),"Esgota as baterias rapidamente.")</f>
        <v>Esgota as baterias rapidamente.</v>
      </c>
      <c r="B27495" s="3">
        <v>0</v>
      </c>
    </row>
    <row r="27496" ht="15.75" customHeight="1" spans="1:2">
      <c r="A27496" s="3" t="str">
        <f>IFERROR(__xludf.DUMMYFUNCTION("GOOGLETRANSLATE(A27496,""en"",""pt"")"),"Custo, não tem conectividade USB direta")</f>
        <v>Custo, não tem conectividade USB direta</v>
      </c>
      <c r="B27496" s="3">
        <v>0</v>
      </c>
    </row>
    <row r="27497" ht="15.75" customHeight="1" spans="1:2">
      <c r="A27497" s="3" t="str">
        <f>IFERROR(__xludf.DUMMYFUNCTION("GOOGLETRANSLATE(A27497,""en"",""pt"")"),"Utiliza até as baterias rapidamente")</f>
        <v>Utiliza até as baterias rapidamente</v>
      </c>
      <c r="B27497" s="3">
        <v>0</v>
      </c>
    </row>
    <row r="27498" ht="15.75" customHeight="1" spans="1:2">
      <c r="A27498" s="3" t="str">
        <f>IFERROR(__xludf.DUMMYFUNCTION("GOOGLETRANSLATE(A27498,""en"",""pt"")"),"investimento inicial pode ser caro em comparação com 35MM, a qualidade não é tão boa como 35MM em enlagements, especialmente mais de 8x10")</f>
        <v>investimento inicial pode ser caro em comparação com 35MM, a qualidade não é tão boa como 35MM em enlagements, especialmente mais de 8x10</v>
      </c>
      <c r="B27498" s="3">
        <v>0</v>
      </c>
    </row>
    <row r="27499" ht="15.75" customHeight="1" spans="1:2">
      <c r="A27499" s="3" t="str">
        <f>IFERROR(__xludf.DUMMYFUNCTION("GOOGLETRANSLATE(A27499,""en"",""pt"")"),"defaults power-up")</f>
        <v>defaults power-up</v>
      </c>
      <c r="B27499" s="3">
        <v>0</v>
      </c>
    </row>
    <row r="27500" ht="15.75" customHeight="1" spans="1:2">
      <c r="A27500" s="3" t="str">
        <f>IFERROR(__xludf.DUMMYFUNCTION("GOOGLETRANSLATE(A27500,""en"",""pt"")"),"tampa da lente não está ligado à câmera de forma alguma. Ele come baterias.")</f>
        <v>tampa da lente não está ligado à câmera de forma alguma. Ele come baterias.</v>
      </c>
      <c r="B27500" s="3">
        <v>0</v>
      </c>
    </row>
    <row r="27501" ht="15.75" customHeight="1" spans="1:2">
      <c r="A27501" s="3" t="str">
        <f>IFERROR(__xludf.DUMMYFUNCTION("GOOGLETRANSLATE(A27501,""en"",""pt"")"),"Sem conectividade USB - câmera descontinuado")</f>
        <v>Sem conectividade USB - câmera descontinuado</v>
      </c>
      <c r="B27501" s="3">
        <v>0</v>
      </c>
    </row>
    <row r="27502" ht="15.75" customHeight="1" spans="1:2">
      <c r="A27502" s="3" t="str">
        <f>IFERROR(__xludf.DUMMYFUNCTION("GOOGLETRANSLATE(A27502,""en"",""pt"")"),"instantâneo")</f>
        <v>instantâneo</v>
      </c>
      <c r="B27502" s="3">
        <v>0</v>
      </c>
    </row>
    <row r="27503" ht="15.75" customHeight="1" spans="1:2">
      <c r="A27503" s="3" t="str">
        <f>IFERROR(__xludf.DUMMYFUNCTION("GOOGLETRANSLATE(A27503,""en"",""pt"")"),"Conexão Serial")</f>
        <v>Conexão Serial</v>
      </c>
      <c r="B27503" s="3">
        <v>0</v>
      </c>
    </row>
    <row r="27504" ht="15.75" customHeight="1" spans="1:2">
      <c r="A27504" s="3" t="str">
        <f>IFERROR(__xludf.DUMMYFUNCTION("GOOGLETRANSLATE(A27504,""en"",""pt"")"),"Conexão de porta serial, drenagem rápida da bateria (devido ao brilhante LCD), cartão pequeno 8MB incluído")</f>
        <v>Conexão de porta serial, drenagem rápida da bateria (devido ao brilhante LCD), cartão pequeno 8MB incluído</v>
      </c>
      <c r="B27504" s="3">
        <v>0</v>
      </c>
    </row>
    <row r="27505" ht="15.75" customHeight="1" spans="1:2">
      <c r="A27505" s="3" t="str">
        <f>IFERROR(__xludf.DUMMYFUNCTION("GOOGLETRANSLATE(A27505,""en"",""pt"")"),"baterias orçamento limitado, lento download de imagem.")</f>
        <v>baterias orçamento limitado, lento download de imagem.</v>
      </c>
      <c r="B27505" s="3">
        <v>0</v>
      </c>
    </row>
    <row r="27506" ht="15.75" customHeight="1" spans="1:2">
      <c r="A27506" s="3" t="str">
        <f>IFERROR(__xludf.DUMMYFUNCTION("GOOGLETRANSLATE(A27506,""en"",""pt"")"),"cartão de memória fornecido é muito pequeno")</f>
        <v>cartão de memória fornecido é muito pequeno</v>
      </c>
      <c r="B27506" s="3">
        <v>0</v>
      </c>
    </row>
    <row r="27507" ht="15.75" customHeight="1" spans="1:2">
      <c r="A27507" s="3" t="str">
        <f>IFERROR(__xludf.DUMMYFUNCTION("GOOGLETRANSLATE(A27507,""en"",""pt"")"),"corpo de plástico, mau fotografias com flash,")</f>
        <v>corpo de plástico, mau fotografias com flash,</v>
      </c>
      <c r="B27507" s="3">
        <v>0</v>
      </c>
    </row>
    <row r="27508" ht="15.75" customHeight="1" spans="1:2">
      <c r="A27508" s="3" t="str">
        <f>IFERROR(__xludf.DUMMYFUNCTION("GOOGLETRANSLATE(A27508,""en"",""pt"")"),"Fome de poder. Às vezes difícil de se concentrar (auto) Lotes de olhos vermelhos!")</f>
        <v>Fome de poder. Às vezes difícil de se concentrar (auto) Lotes de olhos vermelhos!</v>
      </c>
      <c r="B27508" s="3">
        <v>0</v>
      </c>
    </row>
    <row r="27509" ht="15.75" customHeight="1" spans="1:2">
      <c r="A27509" s="3" t="str">
        <f>IFERROR(__xludf.DUMMYFUNCTION("GOOGLETRANSLATE(A27509,""en"",""pt"")"),"visibilidade pobre tela na luz solar, problema estranho quando alterar os modos, alguma dificuldade em usar as configurações avançadas")</f>
        <v>visibilidade pobre tela na luz solar, problema estranho quando alterar os modos, alguma dificuldade em usar as configurações avançadas</v>
      </c>
      <c r="B27509" s="3">
        <v>0</v>
      </c>
    </row>
    <row r="27510" ht="15.75" customHeight="1" spans="1:2">
      <c r="A27510" s="3" t="str">
        <f>IFERROR(__xludf.DUMMYFUNCTION("GOOGLETRANSLATE(A27510,""en"",""pt"")"),"falhas de software menores")</f>
        <v>falhas de software menores</v>
      </c>
      <c r="B27510" s="3">
        <v>0</v>
      </c>
    </row>
    <row r="27511" ht="15.75" customHeight="1" spans="1:2">
      <c r="A27511" s="3" t="str">
        <f>IFERROR(__xludf.DUMMYFUNCTION("GOOGLETRANSLATE(A27511,""en"",""pt"")"),"Caro, LCD não pode ser usado na luz solar")</f>
        <v>Caro, LCD não pode ser usado na luz solar</v>
      </c>
      <c r="B27511" s="3">
        <v>0</v>
      </c>
    </row>
    <row r="27512" ht="15.75" customHeight="1" spans="1:2">
      <c r="A27512" s="3" t="str">
        <f>IFERROR(__xludf.DUMMYFUNCTION("GOOGLETRANSLATE(A27512,""en"",""pt"")"),"Algumas pequenas falhas")</f>
        <v>Algumas pequenas falhas</v>
      </c>
      <c r="B27512" s="3">
        <v>0</v>
      </c>
    </row>
    <row r="27513" ht="15.75" customHeight="1" spans="1:2">
      <c r="A27513" s="3" t="str">
        <f>IFERROR(__xludf.DUMMYFUNCTION("GOOGLETRANSLATE(A27513,""en"",""pt"")"),"Caro.")</f>
        <v>Caro.</v>
      </c>
      <c r="B27513" s="3">
        <v>0</v>
      </c>
    </row>
    <row r="27514" ht="15.75" customHeight="1" spans="1:2">
      <c r="A27514" s="3" t="str">
        <f>IFERROR(__xludf.DUMMYFUNCTION("GOOGLETRANSLATE(A27514,""en"",""pt"")"),"olhos vermelhos, flash fraco, muito pouca memória para começar")</f>
        <v>olhos vermelhos, flash fraco, muito pouca memória para começar</v>
      </c>
      <c r="B27514" s="3">
        <v>0</v>
      </c>
    </row>
    <row r="27515" ht="15.75" customHeight="1" spans="1:2">
      <c r="A27515" s="3" t="str">
        <f>IFERROR(__xludf.DUMMYFUNCTION("GOOGLETRANSLATE(A27515,""en"",""pt"")"),"Pobre documentação e suporte")</f>
        <v>Pobre documentação e suporte</v>
      </c>
      <c r="B27515" s="3">
        <v>0</v>
      </c>
    </row>
    <row r="27516" ht="15.75" customHeight="1" spans="1:2">
      <c r="A27516" s="3" t="str">
        <f>IFERROR(__xludf.DUMMYFUNCTION("GOOGLETRANSLATE(A27516,""en"",""pt"")"),"sem USB, qualidade flash / olhos vermelhos")</f>
        <v>sem USB, qualidade flash / olhos vermelhos</v>
      </c>
      <c r="B27516" s="3">
        <v>0</v>
      </c>
    </row>
    <row r="27517" ht="15.75" customHeight="1" spans="1:2">
      <c r="A27517" s="3" t="str">
        <f>IFERROR(__xludf.DUMMYFUNCTION("GOOGLETRANSLATE(A27517,""en"",""pt"")"),"tampa da lente, a documentação")</f>
        <v>tampa da lente, a documentação</v>
      </c>
      <c r="B27517" s="3">
        <v>0</v>
      </c>
    </row>
    <row r="27518" ht="15.75" customHeight="1" spans="1:2">
      <c r="A27518" s="3" t="str">
        <f>IFERROR(__xludf.DUMMYFUNCTION("GOOGLETRANSLATE(A27518,""en"",""pt"")"),"Optical visor não cobre zoom digital. Você quer adivinhar o enquadramento ou utilizar o LCD que é difícil de ver à luz do dia.")</f>
        <v>Optical visor não cobre zoom digital. Você quer adivinhar o enquadramento ou utilizar o LCD que é difícil de ver à luz do dia.</v>
      </c>
      <c r="B27518" s="3">
        <v>0</v>
      </c>
    </row>
    <row r="27519" ht="15.75" customHeight="1" spans="1:2">
      <c r="A27519" s="3" t="str">
        <f>IFERROR(__xludf.DUMMYFUNCTION("GOOGLETRANSLATE(A27519,""en"",""pt"")"),"nenhuma porta USB (apenas serial) para downloads")</f>
        <v>nenhuma porta USB (apenas serial) para downloads</v>
      </c>
      <c r="B27519" s="3">
        <v>0</v>
      </c>
    </row>
    <row r="27520" ht="15.75" customHeight="1" spans="1:2">
      <c r="A27520" s="3" t="str">
        <f>IFERROR(__xludf.DUMMYFUNCTION("GOOGLETRANSLATE(A27520,""en"",""pt"")"),"Adiada Shutter Response")</f>
        <v>Adiada Shutter Response</v>
      </c>
      <c r="B27520" s="3">
        <v>0</v>
      </c>
    </row>
    <row r="27521" ht="15.75" customHeight="1" spans="1:2">
      <c r="A27521" s="3" t="str">
        <f>IFERROR(__xludf.DUMMYFUNCTION("GOOGLETRANSLATE(A27521,""en"",""pt"")"),"o turbo lag entre pressionar o botão do obturador eo obturador.")</f>
        <v>o turbo lag entre pressionar o botão do obturador eo obturador.</v>
      </c>
      <c r="B27521" s="3">
        <v>0</v>
      </c>
    </row>
    <row r="27522" ht="15.75" customHeight="1" spans="1:2">
      <c r="A27522" s="3" t="str">
        <f>IFERROR(__xludf.DUMMYFUNCTION("GOOGLETRANSLATE(A27522,""en"",""pt"")"),"curva de aprendizado, comedor da bateria")</f>
        <v>curva de aprendizado, comedor da bateria</v>
      </c>
      <c r="B27522" s="3">
        <v>0</v>
      </c>
    </row>
    <row r="27523" ht="15.75" customHeight="1" spans="1:2">
      <c r="A27523" s="3" t="str">
        <f>IFERROR(__xludf.DUMMYFUNCTION("GOOGLETRANSLATE(A27523,""en"",""pt"")"),"Incompatibilidade com o Windows NT")</f>
        <v>Incompatibilidade com o Windows NT</v>
      </c>
      <c r="B27523" s="3">
        <v>0</v>
      </c>
    </row>
    <row r="27524" ht="15.75" customHeight="1" spans="1:2">
      <c r="A27524" s="3" t="str">
        <f>IFERROR(__xludf.DUMMYFUNCTION("GOOGLETRANSLATE(A27524,""en"",""pt"")"),"Difícil de obter, de alto preço, brilho médio LCD, design pobre porta CF.")</f>
        <v>Difícil de obter, de alto preço, brilho médio LCD, design pobre porta CF.</v>
      </c>
      <c r="B27524" s="3">
        <v>0</v>
      </c>
    </row>
    <row r="27525" ht="15.75" customHeight="1" spans="1:2">
      <c r="A27525" s="3" t="str">
        <f>IFERROR(__xludf.DUMMYFUNCTION("GOOGLETRANSLATE(A27525,""en"",""pt"")"),"Software o pouco desajeitado. Falta de manual de usuários de papel completa")</f>
        <v>Software o pouco desajeitado. Falta de manual de usuários de papel completa</v>
      </c>
      <c r="B27525" s="3">
        <v>0</v>
      </c>
    </row>
    <row r="27526" ht="15.75" customHeight="1" spans="1:2">
      <c r="A27526" s="3" t="str">
        <f>IFERROR(__xludf.DUMMYFUNCTION("GOOGLETRANSLATE(A27526,""en"",""pt"")"),"muito grandes e pesados")</f>
        <v>muito grandes e pesados</v>
      </c>
      <c r="B27526" s="3">
        <v>0</v>
      </c>
    </row>
    <row r="27527" ht="15.75" customHeight="1" spans="1:2">
      <c r="A27527" s="3" t="str">
        <f>IFERROR(__xludf.DUMMYFUNCTION("GOOGLETRANSLATE(A27527,""en"",""pt"")"),"olho vermelho com flash")</f>
        <v>olho vermelho com flash</v>
      </c>
      <c r="B27527" s="3">
        <v>0</v>
      </c>
    </row>
    <row r="27528" ht="15.75" customHeight="1" spans="1:2">
      <c r="A27528" s="3" t="str">
        <f>IFERROR(__xludf.DUMMYFUNCTION("GOOGLETRANSLATE(A27528,""en"",""pt"")"),"Preço + atualizações")</f>
        <v>Preço + atualizações</v>
      </c>
      <c r="B27528" s="3">
        <v>0</v>
      </c>
    </row>
    <row r="27529" ht="15.75" customHeight="1" spans="1:2">
      <c r="A27529" s="3" t="str">
        <f>IFERROR(__xludf.DUMMYFUNCTION("GOOGLETRANSLATE(A27529,""en"",""pt"")"),"transferências lentas com conexão serial")</f>
        <v>transferências lentas com conexão serial</v>
      </c>
      <c r="B27529" s="3">
        <v>0</v>
      </c>
    </row>
    <row r="27530" ht="15.75" customHeight="1" spans="1:2">
      <c r="A27530" s="3" t="str">
        <f>IFERROR(__xludf.DUMMYFUNCTION("GOOGLETRANSLATE(A27530,""en"",""pt"")"),"composição fotográfico limitado")</f>
        <v>composição fotográfico limitado</v>
      </c>
      <c r="B27530" s="3">
        <v>0</v>
      </c>
    </row>
    <row r="27531" ht="15.75" customHeight="1" spans="1:2">
      <c r="A27531" s="3" t="str">
        <f>IFERROR(__xludf.DUMMYFUNCTION("GOOGLETRANSLATE(A27531,""en"",""pt"")"),"- Etiqueta de preço ($ 800 - $ 900) - Despesas de acessórios quase indispensáveis")</f>
        <v>- Etiqueta de preço ($ 800 - $ 900) - Despesas de acessórios quase indispensáveis</v>
      </c>
      <c r="B27531" s="3">
        <v>0</v>
      </c>
    </row>
    <row r="27532" ht="15.75" customHeight="1" spans="1:2">
      <c r="A27532" s="3" t="str">
        <f>IFERROR(__xludf.DUMMYFUNCTION("GOOGLETRANSLATE(A27532,""en"",""pt"")"),"pobre documentação, tampa da bateria, tripé de design")</f>
        <v>pobre documentação, tampa da bateria, tripé de design</v>
      </c>
      <c r="B27532" s="3">
        <v>0</v>
      </c>
    </row>
    <row r="27533" ht="15.75" customHeight="1" spans="1:2">
      <c r="A27533" s="3" t="str">
        <f>IFERROR(__xludf.DUMMYFUNCTION("GOOGLETRANSLATE(A27533,""en"",""pt"")"),"preço")</f>
        <v>preço</v>
      </c>
      <c r="B27533" s="3">
        <v>0</v>
      </c>
    </row>
    <row r="27534" ht="15.75" customHeight="1" spans="1:2">
      <c r="A27534" s="3" t="str">
        <f>IFERROR(__xludf.DUMMYFUNCTION("GOOGLETRANSLATE(A27534,""en"",""pt"")"),"Necessidade de utilizar o modo manual para obter melhores fotos, o manual é inadequada, cabo serial incluído é muito lento para transferir imagens grandes, a vida da bateria muito curta (Nota: Com exceção do manual, estes são contras prováveis ​​de todas "&amp;"as câmeras)")</f>
        <v>Necessidade de utilizar o modo manual para obter melhores fotos, o manual é inadequada, cabo serial incluído é muito lento para transferir imagens grandes, a vida da bateria muito curta (Nota: Com exceção do manual, estes são contras prováveis ​​de todas as câmeras)</v>
      </c>
      <c r="B27534" s="3">
        <v>0</v>
      </c>
    </row>
    <row r="27535" ht="15.75" customHeight="1" spans="1:2">
      <c r="A27535" s="3" t="str">
        <f>IFERROR(__xludf.DUMMYFUNCTION("GOOGLETRANSLATE(A27535,""en"",""pt"")"),"Não encontrei um ainda!")</f>
        <v>Não encontrei um ainda!</v>
      </c>
      <c r="B27535" s="3">
        <v>0</v>
      </c>
    </row>
    <row r="27536" ht="15.75" customHeight="1" spans="1:2">
      <c r="A27536" s="3" t="str">
        <f>IFERROR(__xludf.DUMMYFUNCTION("GOOGLETRANSLATE(A27536,""en"",""pt"")"),"GRANDE")</f>
        <v>GRANDE</v>
      </c>
      <c r="B27536" s="3">
        <v>0</v>
      </c>
    </row>
    <row r="27537" ht="15.75" customHeight="1" spans="1:2">
      <c r="A27537" s="3" t="str">
        <f>IFERROR(__xludf.DUMMYFUNCTION("GOOGLETRANSLATE(A27537,""en"",""pt"")"),"LCD difícil ver ao sol, mau olhos vermelhos")</f>
        <v>LCD difícil ver ao sol, mau olhos vermelhos</v>
      </c>
      <c r="B27537" s="3">
        <v>0</v>
      </c>
    </row>
    <row r="27538" ht="15.75" customHeight="1" spans="1:2">
      <c r="A27538" s="3" t="str">
        <f>IFERROR(__xludf.DUMMYFUNCTION("GOOGLETRANSLATE(A27538,""en"",""pt"")"),"Ruim serviço.")</f>
        <v>Ruim serviço.</v>
      </c>
      <c r="B27538" s="3">
        <v>0</v>
      </c>
    </row>
    <row r="27539" ht="15.75" customHeight="1" spans="1:2">
      <c r="A27539" s="3" t="str">
        <f>IFERROR(__xludf.DUMMYFUNCTION("GOOGLETRANSLATE(A27539,""en"",""pt"")"),"colocação tripé, de olhos vermelhos, com foco")</f>
        <v>colocação tripé, de olhos vermelhos, com foco</v>
      </c>
      <c r="B27539" s="3">
        <v>0</v>
      </c>
    </row>
    <row r="27540" ht="15.75" customHeight="1" spans="1:2">
      <c r="A27540" s="3" t="str">
        <f>IFERROR(__xludf.DUMMYFUNCTION("GOOGLETRANSLATE(A27540,""en"",""pt"")"),"atraso do obturador, nenhum conector USB")</f>
        <v>atraso do obturador, nenhum conector USB</v>
      </c>
      <c r="B27540" s="3">
        <v>0</v>
      </c>
    </row>
    <row r="27541" ht="15.75" customHeight="1" spans="1:2">
      <c r="A27541" s="3" t="str">
        <f>IFERROR(__xludf.DUMMYFUNCTION("GOOGLETRANSLATE(A27541,""en"",""pt"")"),"assassino bateria !!!!!")</f>
        <v>assassino bateria !!!!!</v>
      </c>
      <c r="B27541" s="3">
        <v>0</v>
      </c>
    </row>
    <row r="27542" ht="15.75" customHeight="1" spans="1:2">
      <c r="A27542" s="3" t="str">
        <f>IFERROR(__xludf.DUMMYFUNCTION("GOOGLETRANSLATE(A27542,""en"",""pt"")"),"A extensa gama de mostradores e botões pode ser confuso; qualidade da imagem não é top dog")</f>
        <v>A extensa gama de mostradores e botões pode ser confuso; qualidade da imagem não é top dog</v>
      </c>
      <c r="B27542" s="3">
        <v>0</v>
      </c>
    </row>
    <row r="27543" ht="15.75" customHeight="1" spans="1:2">
      <c r="A27543" s="3" t="str">
        <f>IFERROR(__xludf.DUMMYFUNCTION("GOOGLETRANSLATE(A27543,""en"",""pt"")"),"Dificuldade em PROGRAMÁVEL MODO, A VIDA DE BATERIAS")</f>
        <v>Dificuldade em PROGRAMÁVEL MODO, A VIDA DE BATERIAS</v>
      </c>
      <c r="B27543" s="3">
        <v>0</v>
      </c>
    </row>
    <row r="27544" ht="15.75" customHeight="1" spans="1:2">
      <c r="A27544" s="3" t="str">
        <f>IFERROR(__xludf.DUMMYFUNCTION("GOOGLETRANSLATE(A27544,""en"",""pt"")"),"come baterias rápidas")</f>
        <v>come baterias rápidas</v>
      </c>
      <c r="B27544" s="3">
        <v>0</v>
      </c>
    </row>
    <row r="27545" ht="15.75" customHeight="1" spans="1:2">
      <c r="A27545" s="3" t="str">
        <f>IFERROR(__xludf.DUMMYFUNCTION("GOOGLETRANSLATE(A27545,""en"",""pt"")"),"difícil de pegar fotos espontâneas devido a atraso")</f>
        <v>difícil de pegar fotos espontâneas devido a atraso</v>
      </c>
      <c r="B27545" s="3">
        <v>0</v>
      </c>
    </row>
    <row r="27546" ht="15.75" customHeight="1" spans="1:2">
      <c r="A27546" s="3" t="str">
        <f>IFERROR(__xludf.DUMMYFUNCTION("GOOGLETRANSLATE(A27546,""en"",""pt"")"),"instruções pobres no livreto")</f>
        <v>instruções pobres no livreto</v>
      </c>
      <c r="B27546" s="3">
        <v>0</v>
      </c>
    </row>
    <row r="27547" ht="15.75" customHeight="1" spans="1:2">
      <c r="A27547" s="3" t="str">
        <f>IFERROR(__xludf.DUMMYFUNCTION("GOOGLETRANSLATE(A27547,""en"",""pt"")"),"veja o comentário")</f>
        <v>veja o comentário</v>
      </c>
      <c r="B27547" s="3">
        <v>0</v>
      </c>
    </row>
    <row r="27548" ht="15.75" customHeight="1" spans="1:2">
      <c r="A27548" s="3" t="str">
        <f>IFERROR(__xludf.DUMMYFUNCTION("GOOGLETRANSLATE(A27548,""en"",""pt"")"),"firmware instável, parques no modo tele")</f>
        <v>firmware instável, parques no modo tele</v>
      </c>
      <c r="B27548" s="3">
        <v>0</v>
      </c>
    </row>
    <row r="27549" ht="15.75" customHeight="1" spans="1:2">
      <c r="A27549" s="3" t="str">
        <f>IFERROR(__xludf.DUMMYFUNCTION("GOOGLETRANSLATE(A27549,""en"",""pt"")"),"Come baterias. Não construído em USB.")</f>
        <v>Come baterias. Não construído em USB.</v>
      </c>
      <c r="B27549" s="3">
        <v>0</v>
      </c>
    </row>
    <row r="27550" ht="15.75" customHeight="1" spans="1:2">
      <c r="A27550" s="3" t="str">
        <f>IFERROR(__xludf.DUMMYFUNCTION("GOOGLETRANSLATE(A27550,""en"",""pt"")"),"nenhum neste momento")</f>
        <v>nenhum neste momento</v>
      </c>
      <c r="B27550" s="3">
        <v>0</v>
      </c>
    </row>
    <row r="27551" ht="15.75" customHeight="1" spans="1:2">
      <c r="A27551" s="3" t="str">
        <f>IFERROR(__xludf.DUMMYFUNCTION("GOOGLETRANSLATE(A27551,""en"",""pt"")"),"Manual foi em CD para que eu não encontrá-lo por um longo tempo.")</f>
        <v>Manual foi em CD para que eu não encontrá-lo por um longo tempo.</v>
      </c>
      <c r="B27551" s="3">
        <v>0</v>
      </c>
    </row>
    <row r="27552" ht="15.75" customHeight="1" spans="1:2">
      <c r="A27552" s="3" t="str">
        <f>IFERROR(__xludf.DUMMYFUNCTION("GOOGLETRANSLATE(A27552,""en"",""pt"")"),"Nenhum que eu sei")</f>
        <v>Nenhum que eu sei</v>
      </c>
      <c r="B27552" s="3">
        <v>0</v>
      </c>
    </row>
    <row r="27553" ht="15.75" customHeight="1" spans="1:2">
      <c r="A27553" s="3" t="str">
        <f>IFERROR(__xludf.DUMMYFUNCTION("GOOGLETRANSLATE(A27553,""en"",""pt"")"),"sistema de bateria, baixar lenta")</f>
        <v>sistema de bateria, baixar lenta</v>
      </c>
      <c r="B27553" s="3">
        <v>0</v>
      </c>
    </row>
    <row r="27554" ht="15.75" customHeight="1" spans="1:2">
      <c r="A27554" s="3" t="str">
        <f>IFERROR(__xludf.DUMMYFUNCTION("GOOGLETRANSLATE(A27554,""en"",""pt"")"),"Fracas Baterias Flash, orçamento limitado (get NiMh rechargables)")</f>
        <v>Fracas Baterias Flash, orçamento limitado (get NiMh rechargables)</v>
      </c>
      <c r="B27554" s="3">
        <v>0</v>
      </c>
    </row>
    <row r="27555" ht="15.75" customHeight="1" spans="1:2">
      <c r="A27555" s="3" t="str">
        <f>IFERROR(__xludf.DUMMYFUNCTION("GOOGLETRANSLATE(A27555,""en"",""pt"")"),"Alto preço, porta serial para download, uso de energia")</f>
        <v>Alto preço, porta serial para download, uso de energia</v>
      </c>
      <c r="B27555" s="3">
        <v>0</v>
      </c>
    </row>
    <row r="27556" ht="15.75" customHeight="1" spans="1:2">
      <c r="A27556" s="3" t="str">
        <f>IFERROR(__xludf.DUMMYFUNCTION("GOOGLETRANSLATE(A27556,""en"",""pt"")"),"preço")</f>
        <v>preço</v>
      </c>
      <c r="B27556" s="3">
        <v>0</v>
      </c>
    </row>
    <row r="27557" ht="15.75" customHeight="1" spans="1:2">
      <c r="A27557" s="3" t="str">
        <f>IFERROR(__xludf.DUMMYFUNCTION("GOOGLETRANSLATE(A27557,""en"",""pt"")"),"Crummy visor; LCD Dim; terrível desempenho de pouca luz")</f>
        <v>Crummy visor; LCD Dim; terrível desempenho de pouca luz</v>
      </c>
      <c r="B27557" s="3">
        <v>0</v>
      </c>
    </row>
    <row r="27558" ht="15.75" customHeight="1" spans="1:2">
      <c r="A27558" s="3" t="str">
        <f>IFERROR(__xludf.DUMMYFUNCTION("GOOGLETRANSLATE(A27558,""en"",""pt"")"),"tomada de tripé Cheezy, alguns problemas de produção")</f>
        <v>tomada de tripé Cheezy, alguns problemas de produção</v>
      </c>
      <c r="B27558" s="3">
        <v>0</v>
      </c>
    </row>
    <row r="27559" ht="15.75" customHeight="1" spans="1:2">
      <c r="A27559" s="3" t="str">
        <f>IFERROR(__xludf.DUMMYFUNCTION("GOOGLETRANSLATE(A27559,""en"",""pt"")"),"não é real resistente, muitos recursos para aprender com explicações pobres")</f>
        <v>não é real resistente, muitos recursos para aprender com explicações pobres</v>
      </c>
      <c r="B27559" s="3">
        <v>0</v>
      </c>
    </row>
    <row r="27560" ht="15.75" customHeight="1" spans="1:2">
      <c r="A27560" s="3" t="str">
        <f>IFERROR(__xludf.DUMMYFUNCTION("GOOGLETRANSLATE(A27560,""en"",""pt"")"),"equipamentos muito sensíveis ... decompõe em meio a manipulação grosseira")</f>
        <v>equipamentos muito sensíveis ... decompõe em meio a manipulação grosseira</v>
      </c>
      <c r="B27560" s="3">
        <v>0</v>
      </c>
    </row>
    <row r="27561" ht="15.75" customHeight="1" spans="1:2">
      <c r="A27561" s="3" t="str">
        <f>IFERROR(__xludf.DUMMYFUNCTION("GOOGLETRANSLATE(A27561,""en"",""pt"")"),"redeye grave, falhas de projeto")</f>
        <v>redeye grave, falhas de projeto</v>
      </c>
      <c r="B27561" s="3">
        <v>0</v>
      </c>
    </row>
    <row r="27562" ht="15.75" customHeight="1" spans="1:2">
      <c r="A27562" s="3" t="str">
        <f>IFERROR(__xludf.DUMMYFUNCTION("GOOGLETRANSLATE(A27562,""en"",""pt"")"),"Não built-in de conexão USB, lente Zoom tem uma mente própria, tampa do slot Frágil CF")</f>
        <v>Não built-in de conexão USB, lente Zoom tem uma mente própria, tampa do slot Frágil CF</v>
      </c>
      <c r="B27562" s="3">
        <v>0</v>
      </c>
    </row>
    <row r="27563" ht="15.75" customHeight="1" spans="1:2">
      <c r="A27563" s="3" t="str">
        <f>IFERROR(__xludf.DUMMYFUNCTION("GOOGLETRANSLATE(A27563,""en"",""pt"")"),"Preço Alto")</f>
        <v>Preço Alto</v>
      </c>
      <c r="B27563" s="3">
        <v>0</v>
      </c>
    </row>
    <row r="27564" ht="15.75" customHeight="1" spans="1:2">
      <c r="A27564" s="3" t="str">
        <f>IFERROR(__xludf.DUMMYFUNCTION("GOOGLETRANSLATE(A27564,""en"",""pt"")"),"não é apropriado para a ação ou a fotografia macro")</f>
        <v>não é apropriado para a ação ou a fotografia macro</v>
      </c>
      <c r="B27564" s="3">
        <v>0</v>
      </c>
    </row>
    <row r="27565" ht="15.75" customHeight="1" spans="1:2">
      <c r="A27565" s="3" t="str">
        <f>IFERROR(__xludf.DUMMYFUNCTION("GOOGLETRANSLATE(A27565,""en"",""pt"")"),"Zooms em quando você ligar a câmera, baterias usos rapidamente,")</f>
        <v>Zooms em quando você ligar a câmera, baterias usos rapidamente,</v>
      </c>
      <c r="B27565" s="3">
        <v>0</v>
      </c>
    </row>
    <row r="27566" ht="15.75" customHeight="1" spans="1:2">
      <c r="A27566" s="3" t="str">
        <f>IFERROR(__xludf.DUMMYFUNCTION("GOOGLETRANSLATE(A27566,""en"",""pt"")"),"Nenhum manual de papel para referência")</f>
        <v>Nenhum manual de papel para referência</v>
      </c>
      <c r="B27566" s="3">
        <v>0</v>
      </c>
    </row>
    <row r="27567" ht="15.75" customHeight="1" spans="1:2">
      <c r="A27567" s="3" t="str">
        <f>IFERROR(__xludf.DUMMYFUNCTION("GOOGLETRANSLATE(A27567,""en"",""pt"")"),"câmera fica em seu próprio caminho")</f>
        <v>câmera fica em seu próprio caminho</v>
      </c>
      <c r="B27567" s="3">
        <v>0</v>
      </c>
    </row>
    <row r="27568" ht="15.75" customHeight="1" spans="1:2">
      <c r="A27568" s="3" t="str">
        <f>IFERROR(__xludf.DUMMYFUNCTION("GOOGLETRANSLATE(A27568,""en"",""pt"")"),"Não é muito bom fotos de ação")</f>
        <v>Não é muito bom fotos de ação</v>
      </c>
      <c r="B27568" s="3">
        <v>0</v>
      </c>
    </row>
    <row r="27569" ht="15.75" customHeight="1" spans="1:2">
      <c r="A27569" s="3" t="str">
        <f>IFERROR(__xludf.DUMMYFUNCTION("GOOGLETRANSLATE(A27569,""en"",""pt"")"),"Ele não funciona mais. Tecnologia de apoio as pessoas são frustrantes.")</f>
        <v>Ele não funciona mais. Tecnologia de apoio as pessoas são frustrantes.</v>
      </c>
      <c r="B27569" s="3">
        <v>0</v>
      </c>
    </row>
    <row r="27570" ht="15.75" customHeight="1" spans="1:2">
      <c r="A27570" s="3" t="str">
        <f>IFERROR(__xludf.DUMMYFUNCTION("GOOGLETRANSLATE(A27570,""en"",""pt"")"),"modos manuais limitados, baterias com orçamento limitado (não todos eles?)")</f>
        <v>modos manuais limitados, baterias com orçamento limitado (não todos eles?)</v>
      </c>
      <c r="B27570" s="3">
        <v>0</v>
      </c>
    </row>
    <row r="27571" ht="15.75" customHeight="1" spans="1:2">
      <c r="A27571" s="3" t="str">
        <f>IFERROR(__xludf.DUMMYFUNCTION("GOOGLETRANSLATE(A27571,""en"",""pt"")"),"A velocidade de transferência lenta com o cabo série dada")</f>
        <v>A velocidade de transferência lenta com o cabo série dada</v>
      </c>
      <c r="B27571" s="3">
        <v>0</v>
      </c>
    </row>
    <row r="27572" ht="15.75" customHeight="1" spans="1:2">
      <c r="A27572" s="3" t="str">
        <f>IFERROR(__xludf.DUMMYFUNCTION("GOOGLETRANSLATE(A27572,""en"",""pt"")"),"Come baterias, difícil de baixar imagens")</f>
        <v>Come baterias, difícil de baixar imagens</v>
      </c>
      <c r="B27572" s="3">
        <v>0</v>
      </c>
    </row>
    <row r="27573" ht="15.75" customHeight="1" spans="1:2">
      <c r="A27573" s="3" t="str">
        <f>IFERROR(__xludf.DUMMYFUNCTION("GOOGLETRANSLATE(A27573,""en"",""pt"")"),"pobre redução de olhos vermelhos, curta duração da bateria, problemas de download")</f>
        <v>pobre redução de olhos vermelhos, curta duração da bateria, problemas de download</v>
      </c>
      <c r="B27573" s="3">
        <v>0</v>
      </c>
    </row>
    <row r="27574" ht="15.75" customHeight="1" spans="1:2">
      <c r="A27574" s="3" t="str">
        <f>IFERROR(__xludf.DUMMYFUNCTION("GOOGLETRANSLATE(A27574,""en"",""pt"")"),"visor, olhos vermelhos")</f>
        <v>visor, olhos vermelhos</v>
      </c>
      <c r="B27574" s="3">
        <v>0</v>
      </c>
    </row>
    <row r="27575" ht="15.75" customHeight="1" spans="1:2">
      <c r="A27575" s="3" t="str">
        <f>IFERROR(__xludf.DUMMYFUNCTION("GOOGLETRANSLATE(A27575,""en"",""pt"")"),"problemas com os olhos vermelhos")</f>
        <v>problemas com os olhos vermelhos</v>
      </c>
      <c r="B27575" s="3">
        <v>0</v>
      </c>
    </row>
    <row r="27576" ht="15.75" customHeight="1" spans="1:2">
      <c r="A27576" s="3" t="str">
        <f>IFERROR(__xludf.DUMMYFUNCTION("GOOGLETRANSLATE(A27576,""en"",""pt"")"),"pouco caro")</f>
        <v>pouco caro</v>
      </c>
      <c r="B27576" s="3">
        <v>0</v>
      </c>
    </row>
    <row r="27577" ht="15.75" customHeight="1" spans="1:2">
      <c r="A27577" s="3" t="str">
        <f>IFERROR(__xludf.DUMMYFUNCTION("GOOGLETRANSLATE(A27577,""en"",""pt"")"),"parafuso do tripé no lugar errado, estadias porta compact flash abrir, o menu difícil de ler algumas vezes")</f>
        <v>parafuso do tripé no lugar errado, estadias porta compact flash abrir, o menu difícil de ler algumas vezes</v>
      </c>
      <c r="B27577" s="3">
        <v>0</v>
      </c>
    </row>
    <row r="27578" ht="15.75" customHeight="1" spans="1:2">
      <c r="A27578" s="3" t="str">
        <f>IFERROR(__xludf.DUMMYFUNCTION("GOOGLETRANSLATE(A27578,""en"",""pt"")"),"Documentação em CD-ROM, porta serial, inútil para a fotografia de ação, fuga de alta bateria.")</f>
        <v>Documentação em CD-ROM, porta serial, inútil para a fotografia de ação, fuga de alta bateria.</v>
      </c>
      <c r="B27578" s="3">
        <v>0</v>
      </c>
    </row>
    <row r="27579" ht="15.75" customHeight="1" spans="1:2">
      <c r="A27579" s="3" t="str">
        <f>IFERROR(__xludf.DUMMYFUNCTION("GOOGLETRANSLATE(A27579,""en"",""pt"")"),"forma invulgar, de ligação série é lento")</f>
        <v>forma invulgar, de ligação série é lento</v>
      </c>
      <c r="B27579" s="3">
        <v>0</v>
      </c>
    </row>
    <row r="27580" ht="15.75" customHeight="1" spans="1:2">
      <c r="A27580" s="3" t="str">
        <f>IFERROR(__xludf.DUMMYFUNCTION("GOOGLETRANSLATE(A27580,""en"",""pt"")"),"Várias falhas de projeto; suporte ao produto horrível")</f>
        <v>Várias falhas de projeto; suporte ao produto horrível</v>
      </c>
      <c r="B27580" s="3">
        <v>0</v>
      </c>
    </row>
    <row r="27581" ht="15.75" customHeight="1" spans="1:2">
      <c r="A27581" s="3" t="str">
        <f>IFERROR(__xludf.DUMMYFUNCTION("GOOGLETRANSLATE(A27581,""en"",""pt"")"),"A curva de aprendizagem é bastante íngreme. Ele come baterias para café da manhã.")</f>
        <v>A curva de aprendizagem é bastante íngreme. Ele come baterias para café da manhã.</v>
      </c>
      <c r="B27581" s="3">
        <v>0</v>
      </c>
    </row>
    <row r="27582" ht="15.75" customHeight="1" spans="1:2">
      <c r="A27582" s="3" t="str">
        <f>IFERROR(__xludf.DUMMYFUNCTION("GOOGLETRANSLATE(A27582,""en"",""pt"")"),"Visor.")</f>
        <v>Visor.</v>
      </c>
      <c r="B27582" s="3">
        <v>0</v>
      </c>
    </row>
    <row r="27583" ht="15.75" customHeight="1" spans="1:2">
      <c r="A27583" s="3" t="str">
        <f>IFERROR(__xludf.DUMMYFUNCTION("GOOGLETRANSLATE(A27583,""en"",""pt"")"),"Leva muito tempo para baixar as fotos, devorador de bateria")</f>
        <v>Leva muito tempo para baixar as fotos, devorador de bateria</v>
      </c>
      <c r="B27583" s="3">
        <v>0</v>
      </c>
    </row>
    <row r="27584" ht="15.75" customHeight="1" spans="1:2">
      <c r="A27584" s="3" t="str">
        <f>IFERROR(__xludf.DUMMYFUNCTION("GOOGLETRANSLATE(A27584,""en"",""pt"")"),"LCD fica suja quando você usa visor, indicador de nível de bateria, tampa da lente fácil perder")</f>
        <v>LCD fica suja quando você usa visor, indicador de nível de bateria, tampa da lente fácil perder</v>
      </c>
      <c r="B27584" s="3">
        <v>0</v>
      </c>
    </row>
    <row r="27585" ht="15.75" customHeight="1" spans="1:2">
      <c r="A27585" s="3" t="str">
        <f>IFERROR(__xludf.DUMMYFUNCTION("GOOGLETRANSLATE(A27585,""en"",""pt"")"),"A vida da bateria")</f>
        <v>A vida da bateria</v>
      </c>
      <c r="B27585" s="3">
        <v>0</v>
      </c>
    </row>
    <row r="27586" ht="15.75" customHeight="1" spans="1:2">
      <c r="A27586" s="3" t="str">
        <f>IFERROR(__xludf.DUMMYFUNCTION("GOOGLETRANSLATE(A27586,""en"",""pt"")"),"curta duração da bateria, redução de olhos vermelhos não é muito bom.")</f>
        <v>curta duração da bateria, redução de olhos vermelhos não é muito bom.</v>
      </c>
      <c r="B27586" s="3">
        <v>0</v>
      </c>
    </row>
    <row r="27587" ht="15.75" customHeight="1" spans="1:2">
      <c r="A27587" s="3" t="str">
        <f>IFERROR(__xludf.DUMMYFUNCTION("GOOGLETRANSLATE(A27587,""en"",""pt"")"),"olho vermelho com construído em flash")</f>
        <v>olho vermelho com construído em flash</v>
      </c>
      <c r="B27587" s="3">
        <v>0</v>
      </c>
    </row>
    <row r="27588" ht="15.75" customHeight="1" spans="1:2">
      <c r="A27588" s="3" t="str">
        <f>IFERROR(__xludf.DUMMYFUNCTION("GOOGLETRANSLATE(A27588,""en"",""pt"")"),"De olhos vermelhos Bad, dreno alta da bateria, nenhum detentor tampa da lente. cartão de 8 MB é pequena.")</f>
        <v>De olhos vermelhos Bad, dreno alta da bateria, nenhum detentor tampa da lente. cartão de 8 MB é pequena.</v>
      </c>
      <c r="B27588" s="3">
        <v>0</v>
      </c>
    </row>
    <row r="27589" ht="15.75" customHeight="1" spans="1:2">
      <c r="A27589" s="3" t="str">
        <f>IFERROR(__xludf.DUMMYFUNCTION("GOOGLETRANSLATE(A27589,""en"",""pt"")"),"Preço, software, não usb")</f>
        <v>Preço, software, não usb</v>
      </c>
      <c r="B27589" s="3">
        <v>0</v>
      </c>
    </row>
    <row r="27590" ht="15.75" customHeight="1" spans="1:2">
      <c r="A27590" s="3" t="str">
        <f>IFERROR(__xludf.DUMMYFUNCTION("GOOGLETRANSLATE(A27590,""en"",""pt"")"),"As indicações foram incompleta. fecha câmera fora muito cedo para poupar as pilhas.")</f>
        <v>As indicações foram incompleta. fecha câmera fora muito cedo para poupar as pilhas.</v>
      </c>
      <c r="B27590" s="3">
        <v>0</v>
      </c>
    </row>
    <row r="27591" ht="15.75" customHeight="1" spans="1:2">
      <c r="A27591" s="3" t="str">
        <f>IFERROR(__xludf.DUMMYFUNCTION("GOOGLETRANSLATE(A27591,""en"",""pt"")"),"Brilho varia muito em LCD, fora de vídeo e computador")</f>
        <v>Brilho varia muito em LCD, fora de vídeo e computador</v>
      </c>
      <c r="B27591" s="3">
        <v>0</v>
      </c>
    </row>
    <row r="27592" ht="15.75" customHeight="1" spans="1:2">
      <c r="A27592" s="3" t="str">
        <f>IFERROR(__xludf.DUMMYFUNCTION("GOOGLETRANSLATE(A27592,""en"",""pt"")"),"não faz a fotografia de ação facilmente, dreno de alta da bateria")</f>
        <v>não faz a fotografia de ação facilmente, dreno de alta da bateria</v>
      </c>
      <c r="B27592" s="3">
        <v>0</v>
      </c>
    </row>
    <row r="27593" ht="15.75" customHeight="1" spans="1:2">
      <c r="A27593" s="3" t="str">
        <f>IFERROR(__xludf.DUMMYFUNCTION("GOOGLETRANSLATE(A27593,""en"",""pt"")"),"cartão frágil CF e portas de bateria, interface serial. Um pouco frágil.")</f>
        <v>cartão frágil CF e portas de bateria, interface serial. Um pouco frágil.</v>
      </c>
      <c r="B27593" s="3">
        <v>0</v>
      </c>
    </row>
    <row r="27594" ht="15.75" customHeight="1" spans="1:2">
      <c r="A27594" s="3" t="str">
        <f>IFERROR(__xludf.DUMMYFUNCTION("GOOGLETRANSLATE(A27594,""en"",""pt"")"),"inicialização lenta, olhos vermelhos, pobre baixa foco de luz.")</f>
        <v>inicialização lenta, olhos vermelhos, pobre baixa foco de luz.</v>
      </c>
      <c r="B27594" s="3">
        <v>0</v>
      </c>
    </row>
    <row r="27595" ht="15.75" customHeight="1" spans="1:2">
      <c r="A27595" s="3" t="str">
        <f>IFERROR(__xludf.DUMMYFUNCTION("GOOGLETRANSLATE(A27595,""en"",""pt"")"),"A vida da bateria, difícil de ver o exterior do monitor na luz solar")</f>
        <v>A vida da bateria, difícil de ver o exterior do monitor na luz solar</v>
      </c>
      <c r="B27595" s="3">
        <v>0</v>
      </c>
    </row>
    <row r="27596" ht="15.75" customHeight="1" spans="1:2">
      <c r="A27596" s="3" t="str">
        <f>IFERROR(__xludf.DUMMYFUNCTION("GOOGLETRANSLATE(A27596,""en"",""pt"")"),"Come baterias.")</f>
        <v>Come baterias.</v>
      </c>
      <c r="B27596" s="3">
        <v>0</v>
      </c>
    </row>
    <row r="27597" ht="15.75" customHeight="1" spans="1:2">
      <c r="A27597" s="3" t="str">
        <f>IFERROR(__xludf.DUMMYFUNCTION("GOOGLETRANSLATE(A27597,""en"",""pt"")"),"Flash Red-eye é uma dor. Eu tento não usar o flash. vida de bateria fraca")</f>
        <v>Flash Red-eye é uma dor. Eu tento não usar o flash. vida de bateria fraca</v>
      </c>
      <c r="B27597" s="3">
        <v>0</v>
      </c>
    </row>
    <row r="27598" ht="15.75" customHeight="1" spans="1:2">
      <c r="A27598" s="3" t="str">
        <f>IFERROR(__xludf.DUMMYFUNCTION("GOOGLETRANSLATE(A27598,""en"",""pt"")"),"caso crummy fornecido pela Nikon, não viewvfinder-lcd")</f>
        <v>caso crummy fornecido pela Nikon, não viewvfinder-lcd</v>
      </c>
      <c r="B27598" s="3">
        <v>0</v>
      </c>
    </row>
    <row r="27599" ht="15.75" customHeight="1" spans="1:2">
      <c r="A27599" s="3" t="str">
        <f>IFERROR(__xludf.DUMMYFUNCTION("GOOGLETRANSLATE(A27599,""en"",""pt"")"),"Disponibilidade de Acessórios")</f>
        <v>Disponibilidade de Acessórios</v>
      </c>
      <c r="B27599" s="3">
        <v>0</v>
      </c>
    </row>
    <row r="27600" ht="15.75" customHeight="1" spans="1:2">
      <c r="A27600" s="3" t="str">
        <f>IFERROR(__xludf.DUMMYFUNCTION("GOOGLETRANSLATE(A27600,""en"",""pt"")"),"Preço, fornecido cartão CompactFlash é pequeno")</f>
        <v>Preço, fornecido cartão CompactFlash é pequeno</v>
      </c>
      <c r="B27600" s="3">
        <v>0</v>
      </c>
    </row>
    <row r="27601" ht="15.75" customHeight="1" spans="1:2">
      <c r="A27601" s="3" t="str">
        <f>IFERROR(__xludf.DUMMYFUNCTION("GOOGLETRANSLATE(A27601,""en"",""pt"")"),"Muito grandes em tamanho, lente giratória estranho")</f>
        <v>Muito grandes em tamanho, lente giratória estranho</v>
      </c>
      <c r="B27601" s="3">
        <v>0</v>
      </c>
    </row>
    <row r="27602" ht="15.75" customHeight="1" spans="1:2">
      <c r="A27602" s="3" t="str">
        <f>IFERROR(__xludf.DUMMYFUNCTION("GOOGLETRANSLATE(A27602,""en"",""pt"")"),"caro")</f>
        <v>caro</v>
      </c>
      <c r="B27602" s="3">
        <v>0</v>
      </c>
    </row>
    <row r="27603" ht="15.75" customHeight="1" spans="1:2">
      <c r="A27603" s="3" t="str">
        <f>IFERROR(__xludf.DUMMYFUNCTION("GOOGLETRANSLATE(A27603,""en"",""pt"")"),"Download lenta sem unidade separada")</f>
        <v>Download lenta sem unidade separada</v>
      </c>
      <c r="B27603" s="3">
        <v>0</v>
      </c>
    </row>
    <row r="27604" ht="15.75" customHeight="1" spans="1:2">
      <c r="A27604" s="3" t="str">
        <f>IFERROR(__xludf.DUMMYFUNCTION("GOOGLETRANSLATE(A27604,""en"",""pt"")"),"caro")</f>
        <v>caro</v>
      </c>
      <c r="B27604" s="3">
        <v>0</v>
      </c>
    </row>
    <row r="27605" ht="15.75" customHeight="1" spans="1:2">
      <c r="A27605" s="3" t="str">
        <f>IFERROR(__xludf.DUMMYFUNCTION("GOOGLETRANSLATE(A27605,""en"",""pt"")"),"Complicadas opções de menu ocultos, sensibilidade obturador pobres bloqueio de focagem")</f>
        <v>Complicadas opções de menu ocultos, sensibilidade obturador pobres bloqueio de focagem</v>
      </c>
      <c r="B27605" s="3">
        <v>0</v>
      </c>
    </row>
    <row r="27606" ht="15.75" customHeight="1" spans="1:2">
      <c r="A27606" s="3" t="str">
        <f>IFERROR(__xludf.DUMMYFUNCTION("GOOGLETRANSLATE(A27606,""en"",""pt"")"),"tamanho, design e usabilidade pode ser batida. acessórios ridiculamente caro.")</f>
        <v>tamanho, design e usabilidade pode ser batida. acessórios ridiculamente caro.</v>
      </c>
      <c r="B27606" s="3">
        <v>0</v>
      </c>
    </row>
    <row r="27607" ht="15.75" customHeight="1" spans="1:2">
      <c r="A27607" s="3" t="str">
        <f>IFERROR(__xludf.DUMMYFUNCTION("GOOGLETRANSLATE(A27607,""en"",""pt"")"),"faz grande vídeo sem som embora")</f>
        <v>faz grande vídeo sem som embora</v>
      </c>
      <c r="B27607" s="3">
        <v>0</v>
      </c>
    </row>
    <row r="27608" ht="15.75" customHeight="1" spans="1:2">
      <c r="A27608" s="3" t="str">
        <f>IFERROR(__xludf.DUMMYFUNCTION("GOOGLETRANSLATE(A27608,""en"",""pt"")"),"Vida útil da bateria, Software, User Interface, No carregador")</f>
        <v>Vida útil da bateria, Software, User Interface, No carregador</v>
      </c>
      <c r="B27608" s="3">
        <v>0</v>
      </c>
    </row>
    <row r="27609" ht="15.75" customHeight="1" spans="1:2">
      <c r="A27609" s="3" t="str">
        <f>IFERROR(__xludf.DUMMYFUNCTION("GOOGLETRANSLATE(A27609,""en"",""pt"")"),"de olhos vermelhos, pobre alcance do flash, difícil de se concentrar em pouca luz")</f>
        <v>de olhos vermelhos, pobre alcance do flash, difícil de se concentrar em pouca luz</v>
      </c>
      <c r="B27609" s="3">
        <v>0</v>
      </c>
    </row>
    <row r="27610" ht="15.75" customHeight="1" spans="1:2">
      <c r="A27610" s="3" t="str">
        <f>IFERROR(__xludf.DUMMYFUNCTION("GOOGLETRANSLATE(A27610,""en"",""pt"")"),"Deve ter CD software original, energia AC na frente, limitando filme &amp; amp; Não há som.")</f>
        <v>Deve ter CD software original, energia AC na frente, limitando filme &amp; amp; Não há som.</v>
      </c>
      <c r="B27610" s="3">
        <v>0</v>
      </c>
    </row>
    <row r="27611" ht="15.75" customHeight="1" spans="1:2">
      <c r="A27611" s="3" t="str">
        <f>IFERROR(__xludf.DUMMYFUNCTION("GOOGLETRANSLATE(A27611,""en"",""pt"")"),"não para os novatos")</f>
        <v>não para os novatos</v>
      </c>
      <c r="B27611" s="3">
        <v>0</v>
      </c>
    </row>
    <row r="27612" ht="15.75" customHeight="1" spans="1:2">
      <c r="A27612" s="3" t="str">
        <f>IFERROR(__xludf.DUMMYFUNCTION("GOOGLETRANSLATE(A27612,""en"",""pt"")"),"caro")</f>
        <v>caro</v>
      </c>
      <c r="B27612" s="3">
        <v>0</v>
      </c>
    </row>
    <row r="27613" ht="15.75" customHeight="1" spans="1:2">
      <c r="A27613" s="3" t="str">
        <f>IFERROR(__xludf.DUMMYFUNCTION("GOOGLETRANSLATE(A27613,""en"",""pt"")"),"o uso da bateria, lento para a carga")</f>
        <v>o uso da bateria, lento para a carga</v>
      </c>
      <c r="B27613" s="3">
        <v>0</v>
      </c>
    </row>
    <row r="27614" ht="15.75" customHeight="1" spans="1:2">
      <c r="A27614" s="3" t="str">
        <f>IFERROR(__xludf.DUMMYFUNCTION("GOOGLETRANSLATE(A27614,""en"",""pt"")"),"Baterias drenar muito rapidamente, Software incluído suga")</f>
        <v>Baterias drenar muito rapidamente, Software incluído suga</v>
      </c>
      <c r="B27614" s="3">
        <v>0</v>
      </c>
    </row>
    <row r="27615" ht="15.75" customHeight="1" spans="1:2">
      <c r="A27615" s="3" t="str">
        <f>IFERROR(__xludf.DUMMYFUNCTION("GOOGLETRANSLATE(A27615,""en"",""pt"")"),"Relativamente fraca built-in flash, bolsa de transporte não incluído")</f>
        <v>Relativamente fraca built-in flash, bolsa de transporte não incluído</v>
      </c>
      <c r="B27615" s="3">
        <v>0</v>
      </c>
    </row>
    <row r="27616" ht="15.75" customHeight="1" spans="1:2">
      <c r="A27616" s="3" t="str">
        <f>IFERROR(__xludf.DUMMYFUNCTION("GOOGLETRANSLATE(A27616,""en"",""pt"")"),"baterias orçamento limitado")</f>
        <v>baterias orçamento limitado</v>
      </c>
      <c r="B27616" s="3">
        <v>0</v>
      </c>
    </row>
    <row r="27617" ht="15.75" customHeight="1" spans="1:2">
      <c r="A27617" s="3" t="str">
        <f>IFERROR(__xludf.DUMMYFUNCTION("GOOGLETRANSLATE(A27617,""en"",""pt"")"),"Big, pode sentir lente motor em funcionamento")</f>
        <v>Big, pode sentir lente motor em funcionamento</v>
      </c>
      <c r="B27617" s="3">
        <v>0</v>
      </c>
    </row>
    <row r="27618" ht="15.75" customHeight="1" spans="1:2">
      <c r="A27618" s="3" t="str">
        <f>IFERROR(__xludf.DUMMYFUNCTION("GOOGLETRANSLATE(A27618,""en"",""pt"")"),"Nenhum!")</f>
        <v>Nenhum!</v>
      </c>
      <c r="B27618" s="3">
        <v>0</v>
      </c>
    </row>
    <row r="27619" ht="15.75" customHeight="1" spans="1:2">
      <c r="A27619" s="3" t="str">
        <f>IFERROR(__xludf.DUMMYFUNCTION("GOOGLETRANSLATE(A27619,""en"",""pt"")"),"gama de zoom limitado, limitando a 400ISO, não constante zoom de abertura.")</f>
        <v>gama de zoom limitado, limitando a 400ISO, não constante zoom de abertura.</v>
      </c>
      <c r="B27619" s="3">
        <v>0</v>
      </c>
    </row>
    <row r="27620" ht="15.75" customHeight="1" spans="1:2">
      <c r="A27620" s="3" t="str">
        <f>IFERROR(__xludf.DUMMYFUNCTION("GOOGLETRANSLATE(A27620,""en"",""pt"")"),"caro")</f>
        <v>caro</v>
      </c>
      <c r="B27620" s="3">
        <v>0</v>
      </c>
    </row>
    <row r="27621" ht="15.75" customHeight="1" spans="1:2">
      <c r="A27621" s="3" t="str">
        <f>IFERROR(__xludf.DUMMYFUNCTION("GOOGLETRANSLATE(A27621,""en"",""pt"")"),"pobre vida útil da bateria, propenso a RedEye quando usar o flash")</f>
        <v>pobre vida útil da bateria, propenso a RedEye quando usar o flash</v>
      </c>
      <c r="B27621" s="3">
        <v>0</v>
      </c>
    </row>
    <row r="27622" ht="15.75" customHeight="1" spans="1:2">
      <c r="A27622" s="3" t="str">
        <f>IFERROR(__xludf.DUMMYFUNCTION("GOOGLETRANSLATE(A27622,""en"",""pt"")"),"Não perca o manual, você vai precisar de um cartão de memória maior e baterias recarregáveis")</f>
        <v>Não perca o manual, você vai precisar de um cartão de memória maior e baterias recarregáveis</v>
      </c>
      <c r="B27622" s="3">
        <v>0</v>
      </c>
    </row>
    <row r="27623" ht="15.75" customHeight="1" spans="1:2">
      <c r="A27623" s="3" t="str">
        <f>IFERROR(__xludf.DUMMYFUNCTION("GOOGLETRANSLATE(A27623,""en"",""pt"")"),"suporte telefônico escandalosamente ruim.")</f>
        <v>suporte telefônico escandalosamente ruim.</v>
      </c>
      <c r="B27623" s="3">
        <v>0</v>
      </c>
    </row>
    <row r="27624" ht="15.75" customHeight="1" spans="1:2">
      <c r="A27624" s="3" t="str">
        <f>IFERROR(__xludf.DUMMYFUNCTION("GOOGLETRANSLATE(A27624,""en"",""pt"")"),"Esperar para passar algum tempo se você quer aprender tudo.")</f>
        <v>Esperar para passar algum tempo se você quer aprender tudo.</v>
      </c>
      <c r="B27624" s="3">
        <v>0</v>
      </c>
    </row>
    <row r="27625" ht="15.75" customHeight="1" spans="1:2">
      <c r="A27625" s="3" t="str">
        <f>IFERROR(__xludf.DUMMYFUNCTION("GOOGLETRANSLATE(A27625,""en"",""pt"")"),"Caro")</f>
        <v>Caro</v>
      </c>
      <c r="B27625" s="3">
        <v>0</v>
      </c>
    </row>
    <row r="27626" ht="15.75" customHeight="1" spans="1:2">
      <c r="A27626" s="3" t="str">
        <f>IFERROR(__xludf.DUMMYFUNCTION("GOOGLETRANSLATE(A27626,""en"",""pt"")"),"curta duração da bateria, e não é uma SLR.")</f>
        <v>curta duração da bateria, e não é uma SLR.</v>
      </c>
      <c r="B27626" s="3">
        <v>0</v>
      </c>
    </row>
    <row r="27627" ht="15.75" customHeight="1" spans="1:2">
      <c r="A27627" s="3" t="str">
        <f>IFERROR(__xludf.DUMMYFUNCTION("GOOGLETRANSLATE(A27627,""en"",""pt"")"),"Deve ter vindo com baterias NiMH")</f>
        <v>Deve ter vindo com baterias NiMH</v>
      </c>
      <c r="B27627" s="3">
        <v>0</v>
      </c>
    </row>
    <row r="27628" ht="15.75" customHeight="1" spans="1:2">
      <c r="A27628" s="3" t="str">
        <f>IFERROR(__xludf.DUMMYFUNCTION("GOOGLETRANSLATE(A27628,""en"",""pt"")"),"Tamanho")</f>
        <v>Tamanho</v>
      </c>
      <c r="B27628" s="3">
        <v>0</v>
      </c>
    </row>
    <row r="27629" ht="15.75" customHeight="1" spans="1:2">
      <c r="A27629" s="3" t="str">
        <f>IFERROR(__xludf.DUMMYFUNCTION("GOOGLETRANSLATE(A27629,""en"",""pt"")"),"Frustrante para trabalhar com para a fotografia avançada.")</f>
        <v>Frustrante para trabalhar com para a fotografia avançada.</v>
      </c>
      <c r="B27629" s="3">
        <v>0</v>
      </c>
    </row>
    <row r="27630" ht="15.75" customHeight="1" spans="1:2">
      <c r="A27630" s="3" t="str">
        <f>IFERROR(__xludf.DUMMYFUNCTION("GOOGLETRANSLATE(A27630,""en"",""pt"")"),"Complexidade, o manual, nenhum tipo slot 2 memória e software incluído")</f>
        <v>Complexidade, o manual, nenhum tipo slot 2 memória e software incluído</v>
      </c>
      <c r="B27630" s="3">
        <v>0</v>
      </c>
    </row>
    <row r="27631" ht="15.75" customHeight="1" spans="1:2">
      <c r="A27631" s="3" t="str">
        <f>IFERROR(__xludf.DUMMYFUNCTION("GOOGLETRANSLATE(A27631,""en"",""pt"")"),"Construído em flash é fraca (como todos os câmera compacta)")</f>
        <v>Construído em flash é fraca (como todos os câmera compacta)</v>
      </c>
      <c r="B27631" s="3">
        <v>0</v>
      </c>
    </row>
    <row r="27632" ht="15.75" customHeight="1" spans="1:2">
      <c r="A27632" s="3" t="str">
        <f>IFERROR(__xludf.DUMMYFUNCTION("GOOGLETRANSLATE(A27632,""en"",""pt"")"),"AF lento, alto, vida útil da bateria é tão-lo")</f>
        <v>AF lento, alto, vida útil da bateria é tão-lo</v>
      </c>
      <c r="B27632" s="3">
        <v>0</v>
      </c>
    </row>
    <row r="27633" ht="15.75" customHeight="1" spans="1:2">
      <c r="A27633" s="3" t="str">
        <f>IFERROR(__xludf.DUMMYFUNCTION("GOOGLETRANSLATE(A27633,""en"",""pt"")"),"Veja Elaborado")</f>
        <v>Veja Elaborado</v>
      </c>
      <c r="B27633" s="3">
        <v>0</v>
      </c>
    </row>
    <row r="27634" ht="15.75" customHeight="1" spans="1:2">
      <c r="A27634" s="3" t="str">
        <f>IFERROR(__xludf.DUMMYFUNCTION("GOOGLETRANSLATE(A27634,""en"",""pt"")"),"Caro, precisa de maior cartão de memória, come baterias")</f>
        <v>Caro, precisa de maior cartão de memória, come baterias</v>
      </c>
      <c r="B27634" s="3">
        <v>0</v>
      </c>
    </row>
    <row r="27635" ht="15.75" customHeight="1" spans="1:2">
      <c r="A27635" s="3" t="str">
        <f>IFERROR(__xludf.DUMMYFUNCTION("GOOGLETRANSLATE(A27635,""en"",""pt"")"),"Zoom pequeno, pobre Light Collection, Short Vida útil da bateria, tipo 1 CF slot")</f>
        <v>Zoom pequeno, pobre Light Collection, Short Vida útil da bateria, tipo 1 CF slot</v>
      </c>
      <c r="B27635" s="3">
        <v>0</v>
      </c>
    </row>
    <row r="27636" ht="15.75" customHeight="1" spans="1:2">
      <c r="A27636" s="3" t="str">
        <f>IFERROR(__xludf.DUMMYFUNCTION("GOOGLETRANSLATE(A27636,""en"",""pt"")"),"preço, tendo um laptop ou a compra de uma carteira digital")</f>
        <v>preço, tendo um laptop ou a compra de uma carteira digital</v>
      </c>
      <c r="B27636" s="3">
        <v>0</v>
      </c>
    </row>
    <row r="27637" ht="15.75" customHeight="1" spans="1:2">
      <c r="A27637" s="3" t="str">
        <f>IFERROR(__xludf.DUMMYFUNCTION("GOOGLETRANSLATE(A27637,""en"",""pt"")"),"A vida da bateria e de olhos vermelhos")</f>
        <v>A vida da bateria e de olhos vermelhos</v>
      </c>
      <c r="B27637" s="3">
        <v>0</v>
      </c>
    </row>
    <row r="27638" ht="15.75" customHeight="1" spans="1:2">
      <c r="A27638" s="3" t="str">
        <f>IFERROR(__xludf.DUMMYFUNCTION("GOOGLETRANSLATE(A27638,""en"",""pt"")"),"Low Life Battery (desligar o ecrã sempre que não estiver em uso para economizar a bateria)")</f>
        <v>Low Life Battery (desligar o ecrã sempre que não estiver em uso para economizar a bateria)</v>
      </c>
      <c r="B27638" s="3">
        <v>0</v>
      </c>
    </row>
    <row r="27639" ht="15.75" customHeight="1" spans="1:2">
      <c r="A27639" s="3" t="str">
        <f>IFERROR(__xludf.DUMMYFUNCTION("GOOGLETRANSLATE(A27639,""en"",""pt"")"),"caro, um exagero para a maioria dos usos da web")</f>
        <v>caro, um exagero para a maioria dos usos da web</v>
      </c>
      <c r="B27639" s="3">
        <v>0</v>
      </c>
    </row>
    <row r="27640" ht="15.75" customHeight="1" spans="1:2">
      <c r="A27640" s="3" t="str">
        <f>IFERROR(__xludf.DUMMYFUNCTION("GOOGLETRANSLATE(A27640,""en"",""pt"")")," não através da visualização da lente na parte do olho")</f>
        <v> não através da visualização da lente na parte do olho</v>
      </c>
      <c r="B27640" s="3">
        <v>0</v>
      </c>
    </row>
    <row r="27641" ht="15.75" customHeight="1" spans="1:2">
      <c r="A27641" s="3" t="str">
        <f>IFERROR(__xludf.DUMMYFUNCTION("GOOGLETRANSLATE(A27641,""en"",""pt"")"),"Nenhum")</f>
        <v>Nenhum</v>
      </c>
      <c r="B27641" s="3">
        <v>0</v>
      </c>
    </row>
    <row r="27642" ht="15.75" customHeight="1" spans="1:2">
      <c r="A27642" s="3" t="str">
        <f>IFERROR(__xludf.DUMMYFUNCTION("GOOGLETRANSLATE(A27642,""en"",""pt"")"),"Esperar para comprar mais cartões Compact Flash de mídia de armazenamento !!")</f>
        <v>Esperar para comprar mais cartões Compact Flash de mídia de armazenamento !!</v>
      </c>
      <c r="B27642" s="3">
        <v>0</v>
      </c>
    </row>
    <row r="27643" ht="15.75" customHeight="1" spans="1:2">
      <c r="A27643" s="3" t="str">
        <f>IFERROR(__xludf.DUMMYFUNCTION("GOOGLETRANSLATE(A27643,""en"",""pt"")"),"é um pouco caro")</f>
        <v>é um pouco caro</v>
      </c>
      <c r="B27643" s="3">
        <v>0</v>
      </c>
    </row>
    <row r="27644" ht="15.75" customHeight="1" spans="1:2">
      <c r="A27644" s="3" t="str">
        <f>IFERROR(__xludf.DUMMYFUNCTION("GOOGLETRANSLATE(A27644,""en"",""pt"")"),"Requer uma compreensão completa de fotografia")</f>
        <v>Requer uma compreensão completa de fotografia</v>
      </c>
      <c r="B27644" s="3">
        <v>0</v>
      </c>
    </row>
    <row r="27645" ht="15.75" customHeight="1" spans="1:2">
      <c r="A27645" s="3" t="str">
        <f>IFERROR(__xludf.DUMMYFUNCTION("GOOGLETRANSLATE(A27645,""en"",""pt"")"),"Veja acima")</f>
        <v>Veja acima</v>
      </c>
      <c r="B27645" s="3">
        <v>0</v>
      </c>
    </row>
    <row r="27646" ht="15.75" customHeight="1" spans="1:2">
      <c r="A27646" s="3" t="str">
        <f>IFERROR(__xludf.DUMMYFUNCTION("GOOGLETRANSLATE(A27646,""en"",""pt"")"),"coisa")</f>
        <v>coisa</v>
      </c>
      <c r="B27646" s="3">
        <v>0</v>
      </c>
    </row>
    <row r="27647" ht="15.75" customHeight="1" spans="1:2">
      <c r="A27647" s="3" t="str">
        <f>IFERROR(__xludf.DUMMYFUNCTION("GOOGLETRANSLATE(A27647,""en"",""pt"")"),"Algumas preocupações Minor Compatibilidade")</f>
        <v>Algumas preocupações Minor Compatibilidade</v>
      </c>
      <c r="B27647" s="3">
        <v>0</v>
      </c>
    </row>
    <row r="27648" ht="15.75" customHeight="1" spans="1:2">
      <c r="A27648" s="3" t="str">
        <f>IFERROR(__xludf.DUMMYFUNCTION("GOOGLETRANSLATE(A27648,""en"",""pt"")"),"confiabilidade")</f>
        <v>confiabilidade</v>
      </c>
      <c r="B27648" s="3">
        <v>0</v>
      </c>
    </row>
    <row r="27649" ht="15.75" customHeight="1" spans="1:2">
      <c r="A27649" s="3" t="str">
        <f>IFERROR(__xludf.DUMMYFUNCTION("GOOGLETRANSLATE(A27649,""en"",""pt"")"),"baterias ruim")</f>
        <v>baterias ruim</v>
      </c>
      <c r="B27649" s="3">
        <v>0</v>
      </c>
    </row>
    <row r="27650" ht="15.75" customHeight="1" spans="1:2">
      <c r="A27650" s="3" t="str">
        <f>IFERROR(__xludf.DUMMYFUNCTION("GOOGLETRANSLATE(A27650,""en"",""pt"")"),"nenhum som na captura de vídeo ... cartão de memória pequeno")</f>
        <v>nenhum som na captura de vídeo ... cartão de memória pequeno</v>
      </c>
      <c r="B27650" s="3">
        <v>0</v>
      </c>
    </row>
    <row r="27651" ht="15.75" customHeight="1" spans="1:2">
      <c r="A27651" s="3" t="str">
        <f>IFERROR(__xludf.DUMMYFUNCTION("GOOGLETRANSLATE(A27651,""en"",""pt"")"),"Sujo visor óptico, pobre vida útil da bateria")</f>
        <v>Sujo visor óptico, pobre vida útil da bateria</v>
      </c>
      <c r="B27651" s="3">
        <v>0</v>
      </c>
    </row>
    <row r="27652" ht="15.75" customHeight="1" spans="1:2">
      <c r="A27652" s="3" t="str">
        <f>IFERROR(__xludf.DUMMYFUNCTION("GOOGLETRANSLATE(A27652,""en"",""pt"")"),"algumas franjas roxo, devorador de bateria")</f>
        <v>algumas franjas roxo, devorador de bateria</v>
      </c>
      <c r="B27652" s="3">
        <v>0</v>
      </c>
    </row>
    <row r="27653" ht="15.75" customHeight="1" spans="1:2">
      <c r="A27653" s="3" t="str">
        <f>IFERROR(__xludf.DUMMYFUNCTION("GOOGLETRANSLATE(A27653,""en"",""pt"")"),"come baterias, flash muito brilhante para close-ups, é caro!")</f>
        <v>come baterias, flash muito brilhante para close-ups, é caro!</v>
      </c>
      <c r="B27653" s="3">
        <v>0</v>
      </c>
    </row>
    <row r="27654" ht="15.75" customHeight="1" spans="1:2">
      <c r="A27654" s="3" t="str">
        <f>IFERROR(__xludf.DUMMYFUNCTION("GOOGLETRANSLATE(A27654,""en"",""pt"")"),"A vida da bateria")</f>
        <v>A vida da bateria</v>
      </c>
      <c r="B27654" s="3">
        <v>0</v>
      </c>
    </row>
    <row r="27655" ht="15.75" customHeight="1" spans="1:2">
      <c r="A27655" s="3" t="str">
        <f>IFERROR(__xludf.DUMMYFUNCTION("GOOGLETRANSLATE(A27655,""en"",""pt"")"),"baterias come, menu complicado, algumas preocupações mesquinhas.")</f>
        <v>baterias come, menu complicado, algumas preocupações mesquinhas.</v>
      </c>
      <c r="B27655" s="3">
        <v>0</v>
      </c>
    </row>
    <row r="27656" ht="15.75" customHeight="1" spans="1:2">
      <c r="A27656" s="3" t="str">
        <f>IFERROR(__xludf.DUMMYFUNCTION("GOOGLETRANSLATE(A27656,""en"",""pt"")"),"olho vermelho com construído em flash")</f>
        <v>olho vermelho com construído em flash</v>
      </c>
      <c r="B27656" s="3">
        <v>0</v>
      </c>
    </row>
    <row r="27657" ht="15.75" customHeight="1" spans="1:2">
      <c r="A27657" s="3" t="str">
        <f>IFERROR(__xludf.DUMMYFUNCTION("GOOGLETRANSLATE(A27657,""en"",""pt"")"),"olhos vermelhos insuportável e zoom quebrado no primeiro mês")</f>
        <v>olhos vermelhos insuportável e zoom quebrado no primeiro mês</v>
      </c>
      <c r="B27657" s="3">
        <v>0</v>
      </c>
    </row>
    <row r="27658" ht="15.75" customHeight="1" spans="1:2">
      <c r="A27658" s="3" t="str">
        <f>IFERROR(__xludf.DUMMYFUNCTION("GOOGLETRANSLATE(A27658,""en"",""pt"")"),"de flash inadequada / vermelho-olho, o consumo de energia, o preço relativamente elevado, o tempo de resposta lento")</f>
        <v>de flash inadequada / vermelho-olho, o consumo de energia, o preço relativamente elevado, o tempo de resposta lento</v>
      </c>
      <c r="B27658" s="3">
        <v>0</v>
      </c>
    </row>
    <row r="27659" ht="15.75" customHeight="1" spans="1:2">
      <c r="A27659" s="3" t="str">
        <f>IFERROR(__xludf.DUMMYFUNCTION("GOOGLETRANSLATE(A27659,""en"",""pt"")"),"come baterias vivo")</f>
        <v>come baterias vivo</v>
      </c>
      <c r="B27659" s="3">
        <v>0</v>
      </c>
    </row>
    <row r="27660" ht="15.75" customHeight="1" spans="1:2">
      <c r="A27660" s="3" t="str">
        <f>IFERROR(__xludf.DUMMYFUNCTION("GOOGLETRANSLATE(A27660,""en"",""pt"")"),"Mecanicamente soa um pouco rústica quando o foco")</f>
        <v>Mecanicamente soa um pouco rústica quando o foco</v>
      </c>
      <c r="B27660" s="3">
        <v>0</v>
      </c>
    </row>
    <row r="27661" ht="15.75" customHeight="1" spans="1:2">
      <c r="A27661" s="3" t="str">
        <f>IFERROR(__xludf.DUMMYFUNCTION("GOOGLETRANSLATE(A27661,""en"",""pt"")"),"lente Noisy, muito para aprender (várias funções)")</f>
        <v>lente Noisy, muito para aprender (várias funções)</v>
      </c>
      <c r="B27661" s="3">
        <v>0</v>
      </c>
    </row>
    <row r="27662" ht="15.75" customHeight="1" spans="1:2">
      <c r="A27662" s="3" t="str">
        <f>IFERROR(__xludf.DUMMYFUNCTION("GOOGLETRANSLATE(A27662,""en"",""pt"")"),"Foco às vezes caça em condições de pouca luz")</f>
        <v>Foco às vezes caça em condições de pouca luz</v>
      </c>
      <c r="B27662" s="3">
        <v>0</v>
      </c>
    </row>
    <row r="27663" ht="15.75" customHeight="1" spans="1:2">
      <c r="A27663" s="3" t="str">
        <f>IFERROR(__xludf.DUMMYFUNCTION("GOOGLETRANSLATE(A27663,""en"",""pt"")"),"Características abundância, difícil de usar, pesado, muito caro")</f>
        <v>Características abundância, difícil de usar, pesado, muito caro</v>
      </c>
      <c r="B27663" s="3">
        <v>0</v>
      </c>
    </row>
    <row r="27664" ht="15.75" customHeight="1" spans="1:2">
      <c r="A27664" s="3" t="str">
        <f>IFERROR(__xludf.DUMMYFUNCTION("GOOGLETRANSLATE(A27664,""en"",""pt"")"),"Noisy, muito para aprender uma vez que você for corajoso o suficiente para tirá-lo auto")</f>
        <v>Noisy, muito para aprender uma vez que você for corajoso o suficiente para tirá-lo auto</v>
      </c>
      <c r="B27664" s="3">
        <v>0</v>
      </c>
    </row>
    <row r="27665" ht="15.75" customHeight="1" spans="1:2">
      <c r="A27665" s="3" t="str">
        <f>IFERROR(__xludf.DUMMYFUNCTION("GOOGLETRANSLATE(A27665,""en"",""pt"")"),"caro")</f>
        <v>caro</v>
      </c>
      <c r="B27665" s="3">
        <v>0</v>
      </c>
    </row>
    <row r="27666" ht="15.75" customHeight="1" spans="1:2">
      <c r="A27666" s="3" t="str">
        <f>IFERROR(__xludf.DUMMYFUNCTION("GOOGLETRANSLATE(A27666,""en"",""pt"")"),"Ainda não é adequado para a ação ou a fotografia sincero.")</f>
        <v>Ainda não é adequado para a ação ou a fotografia sincero.</v>
      </c>
      <c r="B27666" s="3">
        <v>0</v>
      </c>
    </row>
    <row r="27667" ht="15.75" customHeight="1" spans="1:2">
      <c r="A27667" s="3" t="str">
        <f>IFERROR(__xludf.DUMMYFUNCTION("GOOGLETRANSLATE(A27667,""en"",""pt"")"),"visor óptico às vezes pode ser enganosa")</f>
        <v>visor óptico às vezes pode ser enganosa</v>
      </c>
      <c r="B27667" s="3">
        <v>0</v>
      </c>
    </row>
    <row r="27668" ht="15.75" customHeight="1" spans="1:2">
      <c r="A27668" s="3" t="str">
        <f>IFERROR(__xludf.DUMMYFUNCTION("GOOGLETRANSLATE(A27668,""en"",""pt"")"),"curva de aprendizagem no modo Manual")</f>
        <v>curva de aprendizagem no modo Manual</v>
      </c>
      <c r="B27668" s="3">
        <v>0</v>
      </c>
    </row>
    <row r="27669" ht="15.75" customHeight="1" spans="1:2">
      <c r="A27669" s="3" t="str">
        <f>IFERROR(__xludf.DUMMYFUNCTION("GOOGLETRANSLATE(A27669,""en"",""pt"")"),"consumo relativamente alta energia da bateria e atraso do obturador")</f>
        <v>consumo relativamente alta energia da bateria e atraso do obturador</v>
      </c>
      <c r="B27669" s="3">
        <v>0</v>
      </c>
    </row>
    <row r="27670" ht="15.75" customHeight="1" spans="1:2">
      <c r="A27670" s="3" t="str">
        <f>IFERROR(__xludf.DUMMYFUNCTION("GOOGLETRANSLATE(A27670,""en"",""pt"")"),"Ementa, ementa, menus")</f>
        <v>Ementa, ementa, menus</v>
      </c>
      <c r="B27670" s="3">
        <v>0</v>
      </c>
    </row>
    <row r="27671" ht="15.75" customHeight="1" spans="1:2">
      <c r="A27671" s="3" t="str">
        <f>IFERROR(__xludf.DUMMYFUNCTION("GOOGLETRANSLATE(A27671,""en"",""pt"")"),"Software pode ser exigente se outras câmeras estão instaladas")</f>
        <v>Software pode ser exigente se outras câmeras estão instaladas</v>
      </c>
      <c r="B27671" s="3">
        <v>0</v>
      </c>
    </row>
    <row r="27672" ht="15.75" customHeight="1" spans="1:2">
      <c r="A27672" s="3" t="str">
        <f>IFERROR(__xludf.DUMMYFUNCTION("GOOGLETRANSLATE(A27672,""en"",""pt"")"),"Ainda fraco em situações de pouca luz, ainda pior do que o amp 950. &amp;; # 13; &amp; amp; # 10;")</f>
        <v>Ainda fraco em situações de pouca luz, ainda pior do que o amp 950. &amp;; # 13; &amp; amp; # 10;</v>
      </c>
      <c r="B27672" s="3">
        <v>0</v>
      </c>
    </row>
    <row r="27673" ht="15.75" customHeight="1" spans="1:2">
      <c r="A27673" s="3" t="str">
        <f>IFERROR(__xludf.DUMMYFUNCTION("GOOGLETRANSLATE(A27673,""en"",""pt"")"),"câmera pode ser um devorador de energia")</f>
        <v>câmera pode ser um devorador de energia</v>
      </c>
      <c r="B27673" s="3">
        <v>0</v>
      </c>
    </row>
    <row r="27674" ht="15.75" customHeight="1" spans="1:2">
      <c r="A27674" s="3" t="str">
        <f>IFERROR(__xludf.DUMMYFUNCTION("GOOGLETRANSLATE(A27674,""en"",""pt"")"),"LENTO! Insensível e complicados de usar, vermelho-olho, problemas de geometria de imagem")</f>
        <v>LENTO! Insensível e complicados de usar, vermelho-olho, problemas de geometria de imagem</v>
      </c>
      <c r="B27674" s="3">
        <v>0</v>
      </c>
    </row>
    <row r="27675" ht="15.75" customHeight="1" spans="1:2">
      <c r="A27675" s="3" t="str">
        <f>IFERROR(__xludf.DUMMYFUNCTION("GOOGLETRANSLATE(A27675,""en"",""pt"")"),"más condições de baixa luminosidade, velocidade adequada")</f>
        <v>más condições de baixa luminosidade, velocidade adequada</v>
      </c>
      <c r="B27675" s="3">
        <v>0</v>
      </c>
    </row>
    <row r="27676" ht="15.75" customHeight="1" spans="1:2">
      <c r="A27676" s="3" t="str">
        <f>IFERROR(__xludf.DUMMYFUNCTION("GOOGLETRANSLATE(A27676,""en"",""pt"")"),"Volumoso!!")</f>
        <v>Volumoso!!</v>
      </c>
      <c r="B27676" s="3">
        <v>0</v>
      </c>
    </row>
    <row r="27677" ht="15.75" customHeight="1" spans="1:2">
      <c r="A27677" s="3" t="str">
        <f>IFERROR(__xludf.DUMMYFUNCTION("GOOGLETRANSLATE(A27677,""en"",""pt"")"),"Lento às vezes, de aprendizagem íngreme curva")</f>
        <v>Lento às vezes, de aprendizagem íngreme curva</v>
      </c>
      <c r="B27677" s="3">
        <v>0</v>
      </c>
    </row>
    <row r="27678" ht="15.75" customHeight="1" spans="1:2">
      <c r="A27678" s="3" t="str">
        <f>IFERROR(__xludf.DUMMYFUNCTION("GOOGLETRANSLATE(A27678,""en"",""pt"")"),"A qualidade de cores brilhantes é extremamente pobre.")</f>
        <v>A qualidade de cores brilhantes é extremamente pobre.</v>
      </c>
      <c r="B27678" s="3">
        <v>0</v>
      </c>
    </row>
    <row r="27679" ht="15.75" customHeight="1" spans="1:2">
      <c r="A27679" s="3" t="str">
        <f>IFERROR(__xludf.DUMMYFUNCTION("GOOGLETRANSLATE(A27679,""en"",""pt"")"),"A Nikon não repará-lo")</f>
        <v>A Nikon não repará-lo</v>
      </c>
      <c r="B27679" s="3">
        <v>0</v>
      </c>
    </row>
    <row r="27680" ht="15.75" customHeight="1" spans="1:2">
      <c r="A27680" s="3" t="str">
        <f>IFERROR(__xludf.DUMMYFUNCTION("GOOGLETRANSLATE(A27680,""en"",""pt"")"),"Lento, desajeitado, confundindo")</f>
        <v>Lento, desajeitado, confundindo</v>
      </c>
      <c r="B27680" s="3">
        <v>0</v>
      </c>
    </row>
    <row r="27681" ht="15.75" customHeight="1" spans="1:2">
      <c r="A27681" s="3" t="str">
        <f>IFERROR(__xludf.DUMMYFUNCTION("GOOGLETRANSLATE(A27681,""en"",""pt"")"),"Diferentes tempos de atraso entre botão do obturador tempo está vestida e a imagem realmente é gravado")</f>
        <v>Diferentes tempos de atraso entre botão do obturador tempo está vestida e a imagem realmente é gravado</v>
      </c>
      <c r="B27681" s="3">
        <v>0</v>
      </c>
    </row>
    <row r="27682" ht="15.75" customHeight="1" spans="1:2">
      <c r="A27682" s="3" t="str">
        <f>IFERROR(__xludf.DUMMYFUNCTION("GOOGLETRANSLATE(A27682,""en"",""pt"")"),"Um pouco barulhento, Nikon deve ter construído em torno de um 4 CCD megapixel &amp; amp;. # 13; &amp; amp; # 10;")</f>
        <v>Um pouco barulhento, Nikon deve ter construído em torno de um 4 CCD megapixel &amp; amp;. # 13; &amp; amp; # 10;</v>
      </c>
      <c r="B27682" s="3">
        <v>0</v>
      </c>
    </row>
    <row r="27683" ht="15.75" customHeight="1" spans="1:2">
      <c r="A27683" s="3" t="str">
        <f>IFERROR(__xludf.DUMMYFUNCTION("GOOGLETRANSLATE(A27683,""en"",""pt"")"),"cores manchadas, Super granulado acima 100ISO, moagem lente, lento")</f>
        <v>cores manchadas, Super granulado acima 100ISO, moagem lente, lento</v>
      </c>
      <c r="B27683" s="3">
        <v>0</v>
      </c>
    </row>
    <row r="27684" ht="15.75" customHeight="1" spans="1:2">
      <c r="A27684" s="3" t="str">
        <f>IFERROR(__xludf.DUMMYFUNCTION("GOOGLETRANSLATE(A27684,""en"",""pt"")"),"O manual é complicado, plano de fazer um monte de leitura para uso completo.")</f>
        <v>O manual é complicado, plano de fazer um monte de leitura para uso completo.</v>
      </c>
      <c r="B27684" s="3">
        <v>0</v>
      </c>
    </row>
    <row r="27685" ht="15.75" customHeight="1" spans="1:2">
      <c r="A27685" s="3" t="str">
        <f>IFERROR(__xludf.DUMMYFUNCTION("GOOGLETRANSLATE(A27685,""en"",""pt"")"),"Sem TWAIN")</f>
        <v>Sem TWAIN</v>
      </c>
      <c r="B27685" s="3">
        <v>0</v>
      </c>
    </row>
    <row r="27686" ht="15.75" customHeight="1" spans="1:2">
      <c r="A27686" s="3" t="str">
        <f>IFERROR(__xludf.DUMMYFUNCTION("GOOGLETRANSLATE(A27686,""en"",""pt"")"),"Muitas coisas para descobrir se você quer passar o básico.")</f>
        <v>Muitas coisas para descobrir se você quer passar o básico.</v>
      </c>
      <c r="B27686" s="3">
        <v>0</v>
      </c>
    </row>
    <row r="27687" ht="15.75" customHeight="1" spans="1:2">
      <c r="A27687" s="3" t="str">
        <f>IFERROR(__xludf.DUMMYFUNCTION("GOOGLETRANSLATE(A27687,""en"",""pt"")"),"Nenhum significativa, exceto que não está livre ...")</f>
        <v>Nenhum significativa, exceto que não está livre ...</v>
      </c>
      <c r="B27687" s="3">
        <v>0</v>
      </c>
    </row>
    <row r="27688" ht="15.75" customHeight="1" spans="1:2">
      <c r="A27688" s="3" t="str">
        <f>IFERROR(__xludf.DUMMYFUNCTION("GOOGLETRANSLATE(A27688,""en"",""pt"")"),"apenas o tampão caro, grande, 6 tiro, sem IEEE-1394, altera o comprimento focal da objectiva para 1,5X")</f>
        <v>apenas o tampão caro, grande, 6 tiro, sem IEEE-1394, altera o comprimento focal da objectiva para 1,5X</v>
      </c>
      <c r="B27688" s="3">
        <v>0</v>
      </c>
    </row>
    <row r="27689" ht="15.75" customHeight="1" spans="1:2">
      <c r="A27689" s="3" t="str">
        <f>IFERROR(__xludf.DUMMYFUNCTION("GOOGLETRANSLATE(A27689,""en"",""pt"")"),"Contras: ver &amp; amp; # 147; algumas preocupações &amp; amp; # 148; abaixo &amp; amp; # 13; &amp; amp; # 10; &amp; amp; # 13; &amp; amp; # 10;")</f>
        <v>Contras: ver &amp; amp; # 147; algumas preocupações &amp; amp; # 148; abaixo &amp; amp; # 13; &amp; amp; # 10; &amp; amp; # 13; &amp; amp; # 10;</v>
      </c>
      <c r="B27689" s="3">
        <v>0</v>
      </c>
    </row>
    <row r="27690" ht="15.75" customHeight="1" spans="1:2">
      <c r="A27690" s="3" t="str">
        <f>IFERROR(__xludf.DUMMYFUNCTION("GOOGLETRANSLATE(A27690,""en"",""pt"")"),"Poucas imagem estabilização lentes disponíveis")</f>
        <v>Poucas imagem estabilização lentes disponíveis</v>
      </c>
      <c r="B27690" s="3">
        <v>0</v>
      </c>
    </row>
    <row r="27691" ht="15.75" customHeight="1" spans="1:2">
      <c r="A27691" s="3" t="str">
        <f>IFERROR(__xludf.DUMMYFUNCTION("GOOGLETRANSLATE(A27691,""en"",""pt"")"),"NC 3 software, underexposes câmera")</f>
        <v>NC 3 software, underexposes câmera</v>
      </c>
      <c r="B27691" s="3">
        <v>0</v>
      </c>
    </row>
    <row r="27692" ht="15.75" customHeight="1" spans="1:2">
      <c r="A27692" s="3" t="str">
        <f>IFERROR(__xludf.DUMMYFUNCTION("GOOGLETRANSLATE(A27692,""en"",""pt"")"),"Não para usuários casuais, Pictures precisa de pós-processamento, preço, Nikon Capture 3 custos extra.")</f>
        <v>Não para usuários casuais, Pictures precisa de pós-processamento, preço, Nikon Capture 3 custos extra.</v>
      </c>
      <c r="B27692" s="3">
        <v>0</v>
      </c>
    </row>
    <row r="27693" ht="15.75" customHeight="1" spans="1:2">
      <c r="A27693" s="3" t="str">
        <f>IFERROR(__xludf.DUMMYFUNCTION("GOOGLETRANSLATE(A27693,""en"",""pt"")"),"Não vem com uma lente, ou qualquer flash compacto. Demonstração dias de teste de software 30.")</f>
        <v>Não vem com uma lente, ou qualquer flash compacto. Demonstração dias de teste de software 30.</v>
      </c>
      <c r="B27693" s="3">
        <v>0</v>
      </c>
    </row>
    <row r="27694" ht="15.75" customHeight="1" spans="1:2">
      <c r="A27694" s="3" t="str">
        <f>IFERROR(__xludf.DUMMYFUNCTION("GOOGLETRANSLATE(A27694,""en"",""pt"")"),"Software, Suporte")</f>
        <v>Software, Suporte</v>
      </c>
      <c r="B27694" s="3">
        <v>0</v>
      </c>
    </row>
    <row r="27695" ht="15.75" customHeight="1" spans="1:2">
      <c r="A27695" s="3" t="str">
        <f>IFERROR(__xludf.DUMMYFUNCTION("GOOGLETRANSLATE(A27695,""en"",""pt"")"),"A câmera sai depois de muito poucas fotos; deve, então, esperar.")</f>
        <v>A câmera sai depois de muito poucas fotos; deve, então, esperar.</v>
      </c>
      <c r="B27695" s="3">
        <v>0</v>
      </c>
    </row>
    <row r="27696" ht="15.75" customHeight="1" spans="1:2">
      <c r="A27696" s="3" t="str">
        <f>IFERROR(__xludf.DUMMYFUNCTION("GOOGLETRANSLATE(A27696,""en"",""pt"")"),"interface de usuário pode ser difícil de aprender. Pesado. Interface USB. LENTO NEF comprimida")</f>
        <v>interface de usuário pode ser difícil de aprender. Pesado. Interface USB. LENTO NEF comprimida</v>
      </c>
      <c r="B27696" s="3">
        <v>0</v>
      </c>
    </row>
    <row r="27697" ht="15.75" customHeight="1" spans="1:2">
      <c r="A27697" s="3" t="str">
        <f>IFERROR(__xludf.DUMMYFUNCTION("GOOGLETRANSLATE(A27697,""en"",""pt"")"),"Não tão acentuada")</f>
        <v>Não tão acentuada</v>
      </c>
      <c r="B27697" s="3">
        <v>0</v>
      </c>
    </row>
    <row r="27698" ht="15.75" customHeight="1" spans="1:2">
      <c r="A27698" s="3" t="str">
        <f>IFERROR(__xludf.DUMMYFUNCTION("GOOGLETRANSLATE(A27698,""en"",""pt"")"),"Somente dois quadros por segundo accionamento do motor.")</f>
        <v>Somente dois quadros por segundo accionamento do motor.</v>
      </c>
      <c r="B27698" s="3">
        <v>0</v>
      </c>
    </row>
    <row r="27699" ht="15.75" customHeight="1" spans="1:2">
      <c r="A27699" s="3" t="str">
        <f>IFERROR(__xludf.DUMMYFUNCTION("GOOGLETRANSLATE(A27699,""en"",""pt"")"),"Não encontrei qualquer")</f>
        <v>Não encontrei qualquer</v>
      </c>
      <c r="B27699" s="3">
        <v>0</v>
      </c>
    </row>
    <row r="27700" ht="15.75" customHeight="1" spans="1:2">
      <c r="A27700" s="3" t="str">
        <f>IFERROR(__xludf.DUMMYFUNCTION("GOOGLETRANSLATE(A27700,""en"",""pt"")"),"qualidade jpeg, deve usar software Capture3 para trabalhar com arquivos RAW, C3 é inaceitável.")</f>
        <v>qualidade jpeg, deve usar software Capture3 para trabalhar com arquivos RAW, C3 é inaceitável.</v>
      </c>
      <c r="B27700" s="3">
        <v>0</v>
      </c>
    </row>
    <row r="27701" ht="15.75" customHeight="1" spans="1:2">
      <c r="A27701" s="3" t="str">
        <f>IFERROR(__xludf.DUMMYFUNCTION("GOOGLETRANSLATE(A27701,""en"",""pt"")"),"corpo N80, USB,")</f>
        <v>corpo N80, USB,</v>
      </c>
      <c r="B27701" s="3">
        <v>0</v>
      </c>
    </row>
    <row r="27702" ht="15.75" customHeight="1" spans="1:2">
      <c r="A27702" s="3" t="str">
        <f>IFERROR(__xludf.DUMMYFUNCTION("GOOGLETRANSLATE(A27702,""en"",""pt"")"),"nitidez, o tempo de gravação")</f>
        <v>nitidez, o tempo de gravação</v>
      </c>
      <c r="B27702" s="3">
        <v>0</v>
      </c>
    </row>
    <row r="27703" ht="15.75" customHeight="1" spans="1:2">
      <c r="A27703" s="3" t="str">
        <f>IFERROR(__xludf.DUMMYFUNCTION("GOOGLETRANSLATE(A27703,""en"",""pt"")"),"Uma lente grande angular é muito caro e é mal necessário.")</f>
        <v>Uma lente grande angular é muito caro e é mal necessário.</v>
      </c>
      <c r="B27703" s="3">
        <v>0</v>
      </c>
    </row>
    <row r="27704" ht="15.75" customHeight="1" spans="1:2">
      <c r="A27704" s="3" t="str">
        <f>IFERROR(__xludf.DUMMYFUNCTION("GOOGLETRANSLATE(A27704,""en"",""pt"")"),"Custo &amp; amp; # 13; &amp; amp; # 10; &amp; amp; # 13; &amp; amp; # 10; &amp; amp; # 13; &amp; amp; # 10;")</f>
        <v>Custo &amp; amp; # 13; &amp; amp; # 10; &amp; amp; # 13; &amp; amp; # 10; &amp; amp; # 13; &amp; amp; # 10;</v>
      </c>
      <c r="B27704" s="3">
        <v>0</v>
      </c>
    </row>
    <row r="27705" ht="15.75" customHeight="1" spans="1:2">
      <c r="A27705" s="3" t="str">
        <f>IFERROR(__xludf.DUMMYFUNCTION("GOOGLETRANSLATE(A27705,""en"",""pt"")"),"Custo (Mas ainda assim vale a pena)")</f>
        <v>Custo (Mas ainda assim vale a pena)</v>
      </c>
      <c r="B27705" s="3">
        <v>0</v>
      </c>
    </row>
    <row r="27706" ht="15.75" customHeight="1" spans="1:2">
      <c r="A27706" s="3" t="str">
        <f>IFERROR(__xludf.DUMMYFUNCTION("GOOGLETRANSLATE(A27706,""en"",""pt"")"),"Caro")</f>
        <v>Caro</v>
      </c>
      <c r="B27706" s="3">
        <v>0</v>
      </c>
    </row>
    <row r="27707" ht="15.75" customHeight="1" spans="1:2">
      <c r="A27707" s="3" t="str">
        <f>IFERROR(__xludf.DUMMYFUNCTION("GOOGLETRANSLATE(A27707,""en"",""pt"")"),"Sujidade acumula-se sobre o sensor, a imagem tampão muito pequeno.")</f>
        <v>Sujidade acumula-se sobre o sensor, a imagem tampão muito pequeno.</v>
      </c>
      <c r="B27707" s="3">
        <v>0</v>
      </c>
    </row>
    <row r="27708" ht="15.75" customHeight="1" spans="1:2">
      <c r="A27708" s="3" t="str">
        <f>IFERROR(__xludf.DUMMYFUNCTION("GOOGLETRANSLATE(A27708,""en"",""pt"")"),"É pesado, eo software que acompanha a câmera é uma merda.")</f>
        <v>É pesado, eo software que acompanha a câmera é uma merda.</v>
      </c>
      <c r="B27708" s="3">
        <v>0</v>
      </c>
    </row>
    <row r="27709" ht="15.75" customHeight="1" spans="1:2">
      <c r="A27709" s="3" t="str">
        <f>IFERROR(__xludf.DUMMYFUNCTION("GOOGLETRANSLATE(A27709,""en"",""pt"")"),"Peso")</f>
        <v>Peso</v>
      </c>
      <c r="B27709" s="3">
        <v>0</v>
      </c>
    </row>
    <row r="27710" ht="15.75" customHeight="1" spans="1:2">
      <c r="A27710" s="3" t="str">
        <f>IFERROR(__xludf.DUMMYFUNCTION("GOOGLETRANSLATE(A27710,""en"",""pt"")"),"Nenhum observou")</f>
        <v>Nenhum observou</v>
      </c>
      <c r="B27710" s="3">
        <v>0</v>
      </c>
    </row>
    <row r="27711" ht="15.75" customHeight="1" spans="1:2">
      <c r="A27711" s="3" t="str">
        <f>IFERROR(__xludf.DUMMYFUNCTION("GOOGLETRANSLATE(A27711,""en"",""pt"")"),"Preço Alto")</f>
        <v>Preço Alto</v>
      </c>
      <c r="B27711" s="3">
        <v>0</v>
      </c>
    </row>
    <row r="27712" ht="15.75" customHeight="1" spans="1:2">
      <c r="A27712" s="3" t="str">
        <f>IFERROR(__xludf.DUMMYFUNCTION("GOOGLETRANSLATE(A27712,""en"",""pt"")"),"Necessidade pelo menos US $ 5500 para começar")</f>
        <v>Necessidade pelo menos US $ 5500 para começar</v>
      </c>
      <c r="B27712" s="3">
        <v>0</v>
      </c>
    </row>
    <row r="27713" ht="15.75" customHeight="1" spans="1:2">
      <c r="A27713" s="3" t="str">
        <f>IFERROR(__xludf.DUMMYFUNCTION("GOOGLETRANSLATE(A27713,""en"",""pt"")"),"erros de primeira geração, caro")</f>
        <v>erros de primeira geração, caro</v>
      </c>
      <c r="B27713" s="3">
        <v>0</v>
      </c>
    </row>
    <row r="27714" ht="15.75" customHeight="1" spans="1:2">
      <c r="A27714" s="3" t="str">
        <f>IFERROR(__xludf.DUMMYFUNCTION("GOOGLETRANSLATE(A27714,""en"",""pt"")"),"preço")</f>
        <v>preço</v>
      </c>
      <c r="B27714" s="3">
        <v>0</v>
      </c>
    </row>
    <row r="27715" ht="15.75" customHeight="1" spans="1:2">
      <c r="A27715" s="3" t="str">
        <f>IFERROR(__xludf.DUMMYFUNCTION("GOOGLETRANSLATE(A27715,""en"",""pt"")"),"Caro, pesado")</f>
        <v>Caro, pesado</v>
      </c>
      <c r="B27715" s="3">
        <v>0</v>
      </c>
    </row>
    <row r="27716" ht="15.75" customHeight="1" spans="1:2">
      <c r="A27716" s="3" t="str">
        <f>IFERROR(__xludf.DUMMYFUNCTION("GOOGLETRANSLATE(A27716,""en"",""pt"")"),"cor pode ser complicado para obter direito sobre")</f>
        <v>cor pode ser complicado para obter direito sobre</v>
      </c>
      <c r="B27716" s="3">
        <v>0</v>
      </c>
    </row>
    <row r="27717" ht="15.75" customHeight="1" spans="1:2">
      <c r="A27717" s="3" t="str">
        <f>IFERROR(__xludf.DUMMYFUNCTION("GOOGLETRANSLATE(A27717,""en"",""pt"")"),"Faixa de Preço - Disponibilidade de Acessórios")</f>
        <v>Faixa de Preço - Disponibilidade de Acessórios</v>
      </c>
      <c r="B27717" s="3">
        <v>0</v>
      </c>
    </row>
    <row r="27718" ht="15.75" customHeight="1" spans="1:2">
      <c r="A27718" s="3" t="str">
        <f>IFERROR(__xludf.DUMMYFUNCTION("GOOGLETRANSLATE(A27718,""en"",""pt"")"),"Você tem que saber o que está fazendo para usá-lo.")</f>
        <v>Você tem que saber o que está fazendo para usá-lo.</v>
      </c>
      <c r="B27718" s="3">
        <v>0</v>
      </c>
    </row>
    <row r="27719" ht="15.75" customHeight="1" spans="1:2">
      <c r="A27719" s="3" t="str">
        <f>IFERROR(__xludf.DUMMYFUNCTION("GOOGLETRANSLATE(A27719,""en"",""pt"")"),"O custo $$$$$$$")</f>
        <v>O custo $$$$$$$</v>
      </c>
      <c r="B27719" s="3">
        <v>0</v>
      </c>
    </row>
    <row r="27720" ht="15.75" customHeight="1" spans="1:2">
      <c r="A27720" s="3" t="str">
        <f>IFERROR(__xludf.DUMMYFUNCTION("GOOGLETRANSLATE(A27720,""en"",""pt"")"),"unidades de micro e baterias precisam de trabalho. Requer DX Nikon modelo flash para consistência.")</f>
        <v>unidades de micro e baterias precisam de trabalho. Requer DX Nikon modelo flash para consistência.</v>
      </c>
      <c r="B27720" s="3">
        <v>0</v>
      </c>
    </row>
    <row r="27721" ht="15.75" customHeight="1" spans="1:2">
      <c r="A27721" s="3" t="str">
        <f>IFERROR(__xludf.DUMMYFUNCTION("GOOGLETRANSLATE(A27721,""en"",""pt"")"),"alimentação de papel ruim")</f>
        <v>alimentação de papel ruim</v>
      </c>
      <c r="B27721" s="3">
        <v>0</v>
      </c>
    </row>
    <row r="27722" ht="15.75" customHeight="1" spans="1:2">
      <c r="A27722" s="3" t="str">
        <f>IFERROR(__xludf.DUMMYFUNCTION("GOOGLETRANSLATE(A27722,""en"",""pt"")"),"Não boa impressão")</f>
        <v>Não boa impressão</v>
      </c>
      <c r="B27722" s="3">
        <v>0</v>
      </c>
    </row>
    <row r="27723" ht="15.75" customHeight="1" spans="1:2">
      <c r="A27723" s="3" t="str">
        <f>IFERROR(__xludf.DUMMYFUNCTION("GOOGLETRANSLATE(A27723,""en"",""pt"")"),"Não para imagens.")</f>
        <v>Não para imagens.</v>
      </c>
      <c r="B27723" s="3">
        <v>0</v>
      </c>
    </row>
    <row r="27724" ht="15.75" customHeight="1" spans="1:2">
      <c r="A27724" s="3" t="str">
        <f>IFERROR(__xludf.DUMMYFUNCTION("GOOGLETRANSLATE(A27724,""en"",""pt"")"),"Os problemas são logo para vir.")</f>
        <v>Os problemas são logo para vir.</v>
      </c>
      <c r="B27724" s="3">
        <v>0</v>
      </c>
    </row>
    <row r="27725" ht="15.75" customHeight="1" spans="1:2">
      <c r="A27725" s="3" t="str">
        <f>IFERROR(__xludf.DUMMYFUNCTION("GOOGLETRANSLATE(A27725,""en"",""pt"")"),"cama")</f>
        <v>cama</v>
      </c>
      <c r="B27725" s="3">
        <v>0</v>
      </c>
    </row>
    <row r="27726" ht="15.75" customHeight="1" spans="1:2">
      <c r="A27726" s="3" t="str">
        <f>IFERROR(__xludf.DUMMYFUNCTION("GOOGLETRANSLATE(A27726,""en"",""pt"")"),"impressão pode abrandar o seu computador, difícil de eliminar o papel encravado")</f>
        <v>impressão pode abrandar o seu computador, difícil de eliminar o papel encravado</v>
      </c>
      <c r="B27726" s="3">
        <v>0</v>
      </c>
    </row>
    <row r="27727" ht="15.75" customHeight="1" spans="1:2">
      <c r="A27727" s="3" t="str">
        <f>IFERROR(__xludf.DUMMYFUNCTION("GOOGLETRANSLATE(A27727,""en"",""pt"")"),"partes mecânicas")</f>
        <v>partes mecânicas</v>
      </c>
      <c r="B27727" s="3">
        <v>0</v>
      </c>
    </row>
    <row r="27728" ht="15.75" customHeight="1" spans="1:2">
      <c r="A27728" s="3" t="str">
        <f>IFERROR(__xludf.DUMMYFUNCTION("GOOGLETRANSLATE(A27728,""en"",""pt"")"),"Nenhum cabo, imprimir qualidade.")</f>
        <v>Nenhum cabo, imprimir qualidade.</v>
      </c>
      <c r="B27728" s="3">
        <v>0</v>
      </c>
    </row>
    <row r="27729" ht="15.75" customHeight="1" spans="1:2">
      <c r="A27729" s="3" t="str">
        <f>IFERROR(__xludf.DUMMYFUNCTION("GOOGLETRANSLATE(A27729,""en"",""pt"")"),"Pode ser complicado para encontrar algumas funções. cartão de 16M xD é muito pequeno.")</f>
        <v>Pode ser complicado para encontrar algumas funções. cartão de 16M xD é muito pequeno.</v>
      </c>
      <c r="B27729" s="3">
        <v>0</v>
      </c>
    </row>
    <row r="27730" ht="15.75" customHeight="1" spans="1:2">
      <c r="A27730" s="3" t="str">
        <f>IFERROR(__xludf.DUMMYFUNCTION("GOOGLETRANSLATE(A27730,""en"",""pt"")"),"O vídeo não tem som")</f>
        <v>O vídeo não tem som</v>
      </c>
      <c r="B27730" s="3">
        <v>0</v>
      </c>
    </row>
    <row r="27731" ht="15.75" customHeight="1" spans="1:2">
      <c r="A27731" s="3" t="str">
        <f>IFERROR(__xludf.DUMMYFUNCTION("GOOGLETRANSLATE(A27731,""en"",""pt"")"),"Usa baterias rápido (nenhuma surpresa!), Fede de atendimento ao cliente Olympus!")</f>
        <v>Usa baterias rápido (nenhuma surpresa!), Fede de atendimento ao cliente Olympus!</v>
      </c>
      <c r="B27731" s="3">
        <v>0</v>
      </c>
    </row>
    <row r="27732" ht="15.75" customHeight="1" spans="1:2">
      <c r="A27732" s="3" t="str">
        <f>IFERROR(__xludf.DUMMYFUNCTION("GOOGLETRANSLATE(A27732,""en"",""pt"")"),"Custo de acessórios, sem sapata")</f>
        <v>Custo de acessórios, sem sapata</v>
      </c>
      <c r="B27732" s="3">
        <v>0</v>
      </c>
    </row>
    <row r="27733" ht="15.75" customHeight="1" spans="1:2">
      <c r="A27733" s="3" t="str">
        <f>IFERROR(__xludf.DUMMYFUNCTION("GOOGLETRANSLATE(A27733,""en"",""pt"")"),"obturador intervalo de tempo, usa cartões XD")</f>
        <v>obturador intervalo de tempo, usa cartões XD</v>
      </c>
      <c r="B27733" s="3">
        <v>0</v>
      </c>
    </row>
    <row r="27734" ht="15.75" customHeight="1" spans="1:2">
      <c r="A27734" s="3" t="str">
        <f>IFERROR(__xludf.DUMMYFUNCTION("GOOGLETRANSLATE(A27734,""en"",""pt"")"),"Dificuldade em tomar tiros de baixa luminosidade, má qualidade de vídeo e nenhum som")</f>
        <v>Dificuldade em tomar tiros de baixa luminosidade, má qualidade de vídeo e nenhum som</v>
      </c>
      <c r="B27734" s="3">
        <v>0</v>
      </c>
    </row>
    <row r="27735" ht="15.75" customHeight="1" spans="1:2">
      <c r="A27735" s="3" t="str">
        <f>IFERROR(__xludf.DUMMYFUNCTION("GOOGLETRANSLATE(A27735,""en"",""pt"")"),"Shutter lag, tamanho")</f>
        <v>Shutter lag, tamanho</v>
      </c>
      <c r="B27735" s="3">
        <v>0</v>
      </c>
    </row>
    <row r="27736" ht="15.75" customHeight="1" spans="1:2">
      <c r="A27736" s="3" t="str">
        <f>IFERROR(__xludf.DUMMYFUNCTION("GOOGLETRANSLATE(A27736,""en"",""pt"")"),"Sem estabilização de imagem,")</f>
        <v>Sem estabilização de imagem,</v>
      </c>
      <c r="B27736" s="3">
        <v>0</v>
      </c>
    </row>
    <row r="27737" ht="15.75" customHeight="1" spans="1:2">
      <c r="A27737" s="3" t="str">
        <f>IFERROR(__xludf.DUMMYFUNCTION("GOOGLETRANSLATE(A27737,""en"",""pt"")"),"difícil de usar")</f>
        <v>difícil de usar</v>
      </c>
      <c r="B27737" s="3">
        <v>0</v>
      </c>
    </row>
    <row r="27738" ht="15.75" customHeight="1" spans="1:2">
      <c r="A27738" s="3" t="str">
        <f>IFERROR(__xludf.DUMMYFUNCTION("GOOGLETRANSLATE(A27738,""en"",""pt"")"),"Menus um pouco confuso.")</f>
        <v>Menus um pouco confuso.</v>
      </c>
      <c r="B27738" s="3">
        <v>0</v>
      </c>
    </row>
    <row r="27739" ht="15.75" customHeight="1" spans="1:2">
      <c r="A27739" s="3" t="str">
        <f>IFERROR(__xludf.DUMMYFUNCTION("GOOGLETRANSLATE(A27739,""en"",""pt"")"),"Flash recarrega lentamente com NiMH. Cartão pequeno 8MB.")</f>
        <v>Flash recarrega lentamente com NiMH. Cartão pequeno 8MB.</v>
      </c>
      <c r="B27739" s="3">
        <v>0</v>
      </c>
    </row>
    <row r="27740" ht="15.75" customHeight="1" spans="1:2">
      <c r="A27740" s="3" t="str">
        <f>IFERROR(__xludf.DUMMYFUNCTION("GOOGLETRANSLATE(A27740,""en"",""pt"")"),"Não ""automático"" em download para PC; suporte apenas via telefone não e-mail")</f>
        <v>Não "automático" em download para PC; suporte apenas via telefone não e-mail</v>
      </c>
      <c r="B27740" s="3">
        <v>0</v>
      </c>
    </row>
    <row r="27741" ht="15.75" customHeight="1" spans="1:2">
      <c r="A27741" s="3" t="str">
        <f>IFERROR(__xludf.DUMMYFUNCTION("GOOGLETRANSLATE(A27741,""en"",""pt"")"),"Menu impulsionada")</f>
        <v>Menu impulsionada</v>
      </c>
      <c r="B27741" s="3">
        <v>0</v>
      </c>
    </row>
    <row r="27742" ht="15.75" customHeight="1" spans="1:2">
      <c r="A27742" s="3" t="str">
        <f>IFERROR(__xludf.DUMMYFUNCTION("GOOGLETRANSLATE(A27742,""en"",""pt"")"),"vida útil da bateria é horrível")</f>
        <v>vida útil da bateria é horrível</v>
      </c>
      <c r="B27742" s="3">
        <v>0</v>
      </c>
    </row>
    <row r="27743" ht="15.75" customHeight="1" spans="1:2">
      <c r="A27743" s="3" t="str">
        <f>IFERROR(__xludf.DUMMYFUNCTION("GOOGLETRANSLATE(A27743,""en"",""pt"")"),"Baterias morrer instantaneamente Ao usar!")</f>
        <v>Baterias morrer instantaneamente Ao usar!</v>
      </c>
      <c r="B27743" s="3">
        <v>0</v>
      </c>
    </row>
    <row r="27744" ht="15.75" customHeight="1" spans="1:2">
      <c r="A27744" s="3" t="str">
        <f>IFERROR(__xludf.DUMMYFUNCTION("GOOGLETRANSLATE(A27744,""en"",""pt"")"),"plástico, a vida da bateria alcalina")</f>
        <v>plástico, a vida da bateria alcalina</v>
      </c>
      <c r="B27744" s="3">
        <v>0</v>
      </c>
    </row>
    <row r="27745" ht="15.75" customHeight="1" spans="1:2">
      <c r="A27745" s="3" t="str">
        <f>IFERROR(__xludf.DUMMYFUNCTION("GOOGLETRANSLATE(A27745,""en"",""pt"")"),"sem zoom óptico, a vida pequena")</f>
        <v>sem zoom óptico, a vida pequena</v>
      </c>
      <c r="B27745" s="3">
        <v>0</v>
      </c>
    </row>
    <row r="27746" ht="15.75" customHeight="1" spans="1:2">
      <c r="A27746" s="3" t="str">
        <f>IFERROR(__xludf.DUMMYFUNCTION("GOOGLETRANSLATE(A27746,""en"",""pt"")"),"Precisa de um zoom óptico")</f>
        <v>Precisa de um zoom óptico</v>
      </c>
      <c r="B27746" s="3">
        <v>0</v>
      </c>
    </row>
    <row r="27747" ht="15.75" customHeight="1" spans="1:2">
      <c r="A27747" s="3" t="str">
        <f>IFERROR(__xludf.DUMMYFUNCTION("GOOGLETRANSLATE(A27747,""en"",""pt"")"),"tela LCD pequeno, pequeno cartão SmartMedia incluída, a vida de bateria fraca")</f>
        <v>tela LCD pequeno, pequeno cartão SmartMedia incluída, a vida de bateria fraca</v>
      </c>
      <c r="B27747" s="3">
        <v>0</v>
      </c>
    </row>
    <row r="27748" ht="15.75" customHeight="1" spans="1:2">
      <c r="A27748" s="3" t="str">
        <f>IFERROR(__xludf.DUMMYFUNCTION("GOOGLETRANSLATE(A27748,""en"",""pt"")"),"Nenhum realmente diferente do cartão de 8M Smartmedia enviado com a câmera um pouco pequeno.")</f>
        <v>Nenhum realmente diferente do cartão de 8M Smartmedia enviado com a câmera um pouco pequeno.</v>
      </c>
      <c r="B27748" s="3">
        <v>0</v>
      </c>
    </row>
    <row r="27749" ht="15.75" customHeight="1" spans="1:2">
      <c r="A27749" s="3" t="str">
        <f>IFERROR(__xludf.DUMMYFUNCTION("GOOGLETRANSLATE(A27749,""en"",""pt"")"),"Um dia, D: 1E10 apareceu na tela ea câmera não funcionou depois disso.")</f>
        <v>Um dia, D: 1E10 apareceu na tela ea câmera não funcionou depois disso.</v>
      </c>
      <c r="B27749" s="3">
        <v>0</v>
      </c>
    </row>
    <row r="27750" ht="15.75" customHeight="1" spans="1:2">
      <c r="A27750" s="3" t="str">
        <f>IFERROR(__xludf.DUMMYFUNCTION("GOOGLETRANSLATE(A27750,""en"",""pt"")"),"Mesmas limitações como qualquer outro ponto e atirar câmera. Necessidade de comprar cartão de memória maior.")</f>
        <v>Mesmas limitações como qualquer outro ponto e atirar câmera. Necessidade de comprar cartão de memória maior.</v>
      </c>
      <c r="B27750" s="3">
        <v>0</v>
      </c>
    </row>
    <row r="27751" ht="15.75" customHeight="1" spans="1:2">
      <c r="A27751" s="3" t="str">
        <f>IFERROR(__xludf.DUMMYFUNCTION("GOOGLETRANSLATE(A27751,""en"",""pt"")"),"Nenhum")</f>
        <v>Nenhum</v>
      </c>
      <c r="B27751" s="3">
        <v>0</v>
      </c>
    </row>
    <row r="27752" ht="15.75" customHeight="1" spans="1:2">
      <c r="A27752" s="3" t="str">
        <f>IFERROR(__xludf.DUMMYFUNCTION("GOOGLETRANSLATE(A27752,""en"",""pt"")"),"Sem zoom óptico")</f>
        <v>Sem zoom óptico</v>
      </c>
      <c r="B27752" s="3">
        <v>0</v>
      </c>
    </row>
    <row r="27753" ht="15.75" customHeight="1" spans="1:2">
      <c r="A27753" s="3" t="str">
        <f>IFERROR(__xludf.DUMMYFUNCTION("GOOGLETRANSLATE(A27753,""en"",""pt"")"),"Falta de zoom")</f>
        <v>Falta de zoom</v>
      </c>
      <c r="B27753" s="3">
        <v>0</v>
      </c>
    </row>
    <row r="27754" ht="15.75" customHeight="1" spans="1:2">
      <c r="A27754" s="3" t="str">
        <f>IFERROR(__xludf.DUMMYFUNCTION("GOOGLETRANSLATE(A27754,""en"",""pt"")"),"Ao usar bateria do monitor dura muito curto")</f>
        <v>Ao usar bateria do monitor dura muito curto</v>
      </c>
      <c r="B27754" s="3">
        <v>0</v>
      </c>
    </row>
    <row r="27755" ht="15.75" customHeight="1" spans="1:2">
      <c r="A27755" s="3" t="str">
        <f>IFERROR(__xludf.DUMMYFUNCTION("GOOGLETRANSLATE(A27755,""en"",""pt"")"),"Sem zoom óptico, drena as baterias muito rápido")</f>
        <v>Sem zoom óptico, drena as baterias muito rápido</v>
      </c>
      <c r="B27755" s="3">
        <v>0</v>
      </c>
    </row>
    <row r="27756" ht="15.75" customHeight="1" spans="1:2">
      <c r="A27756" s="3" t="str">
        <f>IFERROR(__xludf.DUMMYFUNCTION("GOOGLETRANSLATE(A27756,""en"",""pt"")"),"Vida útil da bateria é os poços!")</f>
        <v>Vida útil da bateria é os poços!</v>
      </c>
      <c r="B27756" s="3">
        <v>0</v>
      </c>
    </row>
    <row r="27757" ht="15.75" customHeight="1" spans="1:2">
      <c r="A27757" s="3" t="str">
        <f>IFERROR(__xludf.DUMMYFUNCTION("GOOGLETRANSLATE(A27757,""en"",""pt"")"),"Tão leve que se sente um pouco frágil; LCD pode ser maior (apenas 1,5"" )")</f>
        <v>Tão leve que se sente um pouco frágil; LCD pode ser maior (apenas 1,5" )</v>
      </c>
      <c r="B27757" s="3">
        <v>0</v>
      </c>
    </row>
    <row r="27758" ht="15.75" customHeight="1" spans="1:2">
      <c r="A27758" s="3" t="str">
        <f>IFERROR(__xludf.DUMMYFUNCTION("GOOGLETRANSLATE(A27758,""en"",""pt"")"),"Tem que fechar a câmera para ver fotos na tela")</f>
        <v>Tem que fechar a câmera para ver fotos na tela</v>
      </c>
      <c r="B27758" s="3">
        <v>0</v>
      </c>
    </row>
    <row r="27759" ht="15.75" customHeight="1" spans="1:2">
      <c r="A27759" s="3" t="str">
        <f>IFERROR(__xludf.DUMMYFUNCTION("GOOGLETRANSLATE(A27759,""en"",""pt"")"),"não compatível com os padrões, tampa da lente estranho")</f>
        <v>não compatível com os padrões, tampa da lente estranho</v>
      </c>
      <c r="B27759" s="3">
        <v>0</v>
      </c>
    </row>
    <row r="27760" ht="15.75" customHeight="1" spans="1:2">
      <c r="A27760" s="3" t="str">
        <f>IFERROR(__xludf.DUMMYFUNCTION("GOOGLETRANSLATE(A27760,""en"",""pt"")"),"Não gosta de quão lento ele se retrai!")</f>
        <v>Não gosta de quão lento ele se retrai!</v>
      </c>
      <c r="B27760" s="3">
        <v>0</v>
      </c>
    </row>
    <row r="27761" ht="15.75" customHeight="1" spans="1:2">
      <c r="A27761" s="3" t="str">
        <f>IFERROR(__xludf.DUMMYFUNCTION("GOOGLETRANSLATE(A27761,""en"",""pt"")"),"adaptador n A / C incluído")</f>
        <v>adaptador n A / C incluído</v>
      </c>
      <c r="B27761" s="3">
        <v>0</v>
      </c>
    </row>
    <row r="27762" ht="15.75" customHeight="1" spans="1:2">
      <c r="A27762" s="3" t="str">
        <f>IFERROR(__xludf.DUMMYFUNCTION("GOOGLETRANSLATE(A27762,""en"",""pt"")"),"Não é tão versátil como as câmeras digitais muito caros.")</f>
        <v>Não é tão versátil como as câmeras digitais muito caros.</v>
      </c>
      <c r="B27762" s="3">
        <v>0</v>
      </c>
    </row>
    <row r="27763" ht="15.75" customHeight="1" spans="1:2">
      <c r="A27763" s="3" t="str">
        <f>IFERROR(__xludf.DUMMYFUNCTION("GOOGLETRANSLATE(A27763,""en"",""pt"")"),"1.3 Megapixle. mechanisim perto aberto para, por vezes, beliscões barril lente.")</f>
        <v>1.3 Megapixle. mechanisim perto aberto para, por vezes, beliscões barril lente.</v>
      </c>
      <c r="B27763" s="3">
        <v>0</v>
      </c>
    </row>
    <row r="27764" ht="15.75" customHeight="1" spans="1:2">
      <c r="A27764" s="3" t="str">
        <f>IFERROR(__xludf.DUMMYFUNCTION("GOOGLETRANSLATE(A27764,""en"",""pt"")"),"Nenhum")</f>
        <v>Nenhum</v>
      </c>
      <c r="B27764" s="3">
        <v>0</v>
      </c>
    </row>
    <row r="27765" ht="15.75" customHeight="1" spans="1:2">
      <c r="A27765" s="3" t="str">
        <f>IFERROR(__xludf.DUMMYFUNCTION("GOOGLETRANSLATE(A27765,""en"",""pt"")"),"Eu vou ficar até noites, tentando pensar em alguns contras, mas ainda sem sorte.")</f>
        <v>Eu vou ficar até noites, tentando pensar em alguns contras, mas ainda sem sorte.</v>
      </c>
      <c r="B27765" s="3">
        <v>0</v>
      </c>
    </row>
    <row r="27766" ht="15.75" customHeight="1" spans="1:2">
      <c r="A27766" s="3" t="str">
        <f>IFERROR(__xludf.DUMMYFUNCTION("GOOGLETRANSLATE(A27766,""en"",""pt"")"),"não funciona muito bem com pouca luz.")</f>
        <v>não funciona muito bem com pouca luz.</v>
      </c>
      <c r="B27766" s="3">
        <v>0</v>
      </c>
    </row>
    <row r="27767" ht="15.75" customHeight="1" spans="1:2">
      <c r="A27767" s="3" t="str">
        <f>IFERROR(__xludf.DUMMYFUNCTION("GOOGLETRANSLATE(A27767,""en"",""pt"")"),"colocação botão de energia, lente não tampa fixada")</f>
        <v>colocação botão de energia, lente não tampa fixada</v>
      </c>
      <c r="B27767" s="3">
        <v>0</v>
      </c>
    </row>
    <row r="27768" ht="15.75" customHeight="1" spans="1:2">
      <c r="A27768" s="3" t="str">
        <f>IFERROR(__xludf.DUMMYFUNCTION("GOOGLETRANSLATE(A27768,""en"",""pt"")"),"menor.")</f>
        <v>menor.</v>
      </c>
      <c r="B27768" s="3">
        <v>0</v>
      </c>
    </row>
    <row r="27769" ht="15.75" customHeight="1" spans="1:2">
      <c r="A27769" s="3" t="str">
        <f>IFERROR(__xludf.DUMMYFUNCTION("GOOGLETRANSLATE(A27769,""en"",""pt"")"),"compartimento da bateria estranho, mau posicionamento do botão de energia")</f>
        <v>compartimento da bateria estranho, mau posicionamento do botão de energia</v>
      </c>
      <c r="B27769" s="3">
        <v>0</v>
      </c>
    </row>
    <row r="27770" ht="15.75" customHeight="1" spans="1:2">
      <c r="A27770" s="3" t="str">
        <f>IFERROR(__xludf.DUMMYFUNCTION("GOOGLETRANSLATE(A27770,""en"",""pt"")"),"Preço Alto")</f>
        <v>Preço Alto</v>
      </c>
      <c r="B27770" s="3">
        <v>0</v>
      </c>
    </row>
    <row r="27771" ht="15.75" customHeight="1" spans="1:2">
      <c r="A27771" s="3" t="str">
        <f>IFERROR(__xludf.DUMMYFUNCTION("GOOGLETRANSLATE(A27771,""en"",""pt"")"),"algumas falhas com o design do que")</f>
        <v>algumas falhas com o design do que</v>
      </c>
      <c r="B27771" s="3">
        <v>0</v>
      </c>
    </row>
    <row r="27772" ht="15.75" customHeight="1" spans="1:2">
      <c r="A27772" s="3" t="str">
        <f>IFERROR(__xludf.DUMMYFUNCTION("GOOGLETRANSLATE(A27772,""en"",""pt"")"),"A câmera foi construído um pouco fora de modo que o botão de energia é muito perto do obturador que pode fazer com que você desligue a câmera quando tirar uma fotografia. Além disso, as baterias de drenagem rápida, mas uma vez que são apenas quatro pilhas"&amp;" AA, não fazia diferença para mim")</f>
        <v>A câmera foi construído um pouco fora de modo que o botão de energia é muito perto do obturador que pode fazer com que você desligue a câmera quando tirar uma fotografia. Além disso, as baterias de drenagem rápida, mas uma vez que são apenas quatro pilhas AA, não fazia diferença para mim</v>
      </c>
      <c r="B27772" s="3">
        <v>0</v>
      </c>
    </row>
    <row r="27773" ht="15.75" customHeight="1" spans="1:2">
      <c r="A27773" s="3" t="str">
        <f>IFERROR(__xludf.DUMMYFUNCTION("GOOGLETRANSLATE(A27773,""en"",""pt"")"),"comedor da bateria, colocação botão de energia, cabo paralelo significa downloads lentos")</f>
        <v>comedor da bateria, colocação botão de energia, cabo paralelo significa downloads lentos</v>
      </c>
      <c r="B27773" s="3">
        <v>0</v>
      </c>
    </row>
    <row r="27774" ht="15.75" customHeight="1" spans="1:2">
      <c r="A27774" s="3" t="str">
        <f>IFERROR(__xludf.DUMMYFUNCTION("GOOGLETRANSLATE(A27774,""en"",""pt"")"),"colocação poder botão, fora isso, nada!")</f>
        <v>colocação poder botão, fora isso, nada!</v>
      </c>
      <c r="B27774" s="3">
        <v>0</v>
      </c>
    </row>
    <row r="27775" ht="15.75" customHeight="1" spans="1:2">
      <c r="A27775" s="3" t="str">
        <f>IFERROR(__xludf.DUMMYFUNCTION("GOOGLETRANSLATE(A27775,""en"",""pt"")"),"LCD difícil de usar na luz solar, confundindo interface, suga baterias secar muito rapidamente, falhas de projeto menores")</f>
        <v>LCD difícil de usar na luz solar, confundindo interface, suga baterias secar muito rapidamente, falhas de projeto menores</v>
      </c>
      <c r="B27775" s="3">
        <v>0</v>
      </c>
    </row>
    <row r="27776" ht="15.75" customHeight="1" spans="1:2">
      <c r="A27776" s="3" t="str">
        <f>IFERROR(__xludf.DUMMYFUNCTION("GOOGLETRANSLATE(A27776,""en"",""pt"")"),"tampa da lente ruim, difícil de alternar entre os modos de flash, caro")</f>
        <v>tampa da lente ruim, difícil de alternar entre os modos de flash, caro</v>
      </c>
      <c r="B27776" s="3">
        <v>0</v>
      </c>
    </row>
    <row r="27777" ht="15.75" customHeight="1" spans="1:2">
      <c r="A27777" s="3" t="str">
        <f>IFERROR(__xludf.DUMMYFUNCTION("GOOGLETRANSLATE(A27777,""en"",""pt"")"),"Baixa qualidade da luz (granulado), má vida da bateria alcalina (uso NiMH), Pobre localização botão de energia, única 8MB, nenhum USB")</f>
        <v>Baixa qualidade da luz (granulado), má vida da bateria alcalina (uso NiMH), Pobre localização botão de energia, única 8MB, nenhum USB</v>
      </c>
      <c r="B27777" s="3">
        <v>0</v>
      </c>
    </row>
    <row r="27778" ht="15.75" customHeight="1" spans="1:2">
      <c r="A27778" s="3" t="str">
        <f>IFERROR(__xludf.DUMMYFUNCTION("GOOGLETRANSLATE(A27778,""en"",""pt"")"),"Tamanho, software")</f>
        <v>Tamanho, software</v>
      </c>
      <c r="B27778" s="3">
        <v>0</v>
      </c>
    </row>
    <row r="27779" ht="15.75" customHeight="1" spans="1:2">
      <c r="A27779" s="3" t="str">
        <f>IFERROR(__xludf.DUMMYFUNCTION("GOOGLETRANSLATE(A27779,""en"",""pt"")"),", Tela de visualização não muito memória para manter os tiros pequeno LCD")</f>
        <v>, Tela de visualização não muito memória para manter os tiros pequeno LCD</v>
      </c>
      <c r="B27779" s="3">
        <v>0</v>
      </c>
    </row>
    <row r="27780" ht="15.75" customHeight="1" spans="1:2">
      <c r="A27780" s="3" t="str">
        <f>IFERROR(__xludf.DUMMYFUNCTION("GOOGLETRANSLATE(A27780,""en"",""pt"")"),"tempo de download lento")</f>
        <v>tempo de download lento</v>
      </c>
      <c r="B27780" s="3">
        <v>0</v>
      </c>
    </row>
    <row r="27781" ht="15.75" customHeight="1" spans="1:2">
      <c r="A27781" s="3" t="str">
        <f>IFERROR(__xludf.DUMMYFUNCTION("GOOGLETRANSLATE(A27781,""en"",""pt"")"),"Bateria com fome com lcd on, recursos avançados levar algum aprendizado")</f>
        <v>Bateria com fome com lcd on, recursos avançados levar algum aprendizado</v>
      </c>
      <c r="B27781" s="3">
        <v>0</v>
      </c>
    </row>
    <row r="27782" ht="15.75" customHeight="1" spans="1:2">
      <c r="A27782" s="3" t="str">
        <f>IFERROR(__xludf.DUMMYFUNCTION("GOOGLETRANSLATE(A27782,""en"",""pt"")"),"Preço Alto")</f>
        <v>Preço Alto</v>
      </c>
      <c r="B27782" s="3">
        <v>0</v>
      </c>
    </row>
    <row r="27783" ht="15.75" customHeight="1" spans="1:2">
      <c r="A27783" s="3" t="str">
        <f>IFERROR(__xludf.DUMMYFUNCTION("GOOGLETRANSLATE(A27783,""en"",""pt"")"),"sem carregador de bateria, usa a energia da bateria rapidamente, flash brilhante com nenhuma capacidade de salto")</f>
        <v>sem carregador de bateria, usa a energia da bateria rapidamente, flash brilhante com nenhuma capacidade de salto</v>
      </c>
      <c r="B27783" s="3">
        <v>0</v>
      </c>
    </row>
    <row r="27784" ht="15.75" customHeight="1" spans="1:2">
      <c r="A27784" s="3" t="str">
        <f>IFERROR(__xludf.DUMMYFUNCTION("GOOGLETRANSLATE(A27784,""en"",""pt"")"),"O custo 2020, apenas um pouco mais e oferece mais recursos.")</f>
        <v>O custo 2020, apenas um pouco mais e oferece mais recursos.</v>
      </c>
      <c r="B27784" s="3">
        <v>0</v>
      </c>
    </row>
    <row r="27785" ht="15.75" customHeight="1" spans="1:2">
      <c r="A27785" s="3" t="str">
        <f>IFERROR(__xludf.DUMMYFUNCTION("GOOGLETRANSLATE(A27785,""en"",""pt"")"),"Confundindo controles.")</f>
        <v>Confundindo controles.</v>
      </c>
      <c r="B27785" s="3">
        <v>0</v>
      </c>
    </row>
    <row r="27786" ht="15.75" customHeight="1" spans="1:2">
      <c r="A27786" s="3" t="str">
        <f>IFERROR(__xludf.DUMMYFUNCTION("GOOGLETRANSLATE(A27786,""en"",""pt"")"),"serviço Olympus cliente, câmera de reset &amp; amp; quot; característica &amp; amp; quot ;, nenhuma maneira fácil de contatos SmartMedia limpas")</f>
        <v>serviço Olympus cliente, câmera de reset &amp; amp; quot; característica &amp; amp; quot ;, nenhuma maneira fácil de contatos SmartMedia limpas</v>
      </c>
      <c r="B27786" s="3">
        <v>0</v>
      </c>
    </row>
    <row r="27787" ht="15.75" customHeight="1" spans="1:2">
      <c r="A27787" s="3" t="str">
        <f>IFERROR(__xludf.DUMMYFUNCTION("GOOGLETRANSLATE(A27787,""en"",""pt"")"),"Não consigo pensar em qualquer")</f>
        <v>Não consigo pensar em qualquer</v>
      </c>
      <c r="B27787" s="3">
        <v>0</v>
      </c>
    </row>
    <row r="27788" ht="15.75" customHeight="1" spans="1:2">
      <c r="A27788" s="3" t="str">
        <f>IFERROR(__xludf.DUMMYFUNCTION("GOOGLETRANSLATE(A27788,""en"",""pt"")"),"Alguns problemas ergonômicos")</f>
        <v>Alguns problemas ergonômicos</v>
      </c>
      <c r="B27788" s="3">
        <v>0</v>
      </c>
    </row>
    <row r="27789" ht="15.75" customHeight="1" spans="1:2">
      <c r="A27789" s="3" t="str">
        <f>IFERROR(__xludf.DUMMYFUNCTION("GOOGLETRANSLATE(A27789,""en"",""pt"")"),"Nada importante, senão o tempo talvez recuperação")</f>
        <v>Nada importante, senão o tempo talvez recuperação</v>
      </c>
      <c r="B27789" s="3">
        <v>0</v>
      </c>
    </row>
    <row r="27790" ht="15.75" customHeight="1" spans="1:2">
      <c r="A27790" s="3" t="str">
        <f>IFERROR(__xludf.DUMMYFUNCTION("GOOGLETRANSLATE(A27790,""en"",""pt"")"),"localização botão de energia.")</f>
        <v>localização botão de energia.</v>
      </c>
      <c r="B27790" s="3">
        <v>0</v>
      </c>
    </row>
    <row r="27791" ht="15.75" customHeight="1" spans="1:2">
      <c r="A27791" s="3" t="str">
        <f>IFERROR(__xludf.DUMMYFUNCTION("GOOGLETRANSLATE(A27791,""en"",""pt"")"),"NÃO EXISTEM CONS sobre esta câmera e eu gostaria de recomendar a TODOS")</f>
        <v>NÃO EXISTEM CONS sobre esta câmera e eu gostaria de recomendar a TODOS</v>
      </c>
      <c r="B27791" s="3">
        <v>0</v>
      </c>
    </row>
    <row r="27792" ht="15.75" customHeight="1" spans="1:2">
      <c r="A27792" s="3" t="str">
        <f>IFERROR(__xludf.DUMMYFUNCTION("GOOGLETRANSLATE(A27792,""en"",""pt"")"),"botão de energia e botão de disparo muito juntos")</f>
        <v>botão de energia e botão de disparo muito juntos</v>
      </c>
      <c r="B27792" s="3">
        <v>0</v>
      </c>
    </row>
    <row r="27793" ht="15.75" customHeight="1" spans="1:2">
      <c r="A27793" s="3" t="str">
        <f>IFERROR(__xludf.DUMMYFUNCTION("GOOGLETRANSLATE(A27793,""en"",""pt"")"),"Interface parece um pouco de buggy")</f>
        <v>Interface parece um pouco de buggy</v>
      </c>
      <c r="B27793" s="3">
        <v>0</v>
      </c>
    </row>
    <row r="27794" ht="15.75" customHeight="1" spans="1:2">
      <c r="A27794" s="3" t="str">
        <f>IFERROR(__xludf.DUMMYFUNCTION("GOOGLETRANSLATE(A27794,""en"",""pt"")"),"tamanho compacto, por vezes um problema, pode ter problemas da porta da bateria")</f>
        <v>tamanho compacto, por vezes um problema, pode ter problemas da porta da bateria</v>
      </c>
      <c r="B27794" s="3">
        <v>0</v>
      </c>
    </row>
    <row r="27795" ht="15.75" customHeight="1" spans="1:2">
      <c r="A27795" s="3" t="str">
        <f>IFERROR(__xludf.DUMMYFUNCTION("GOOGLETRANSLATE(A27795,""en"",""pt"")"),"tampa da lente, a colocação ruim botão de energia, colocação ruim botão de seleção, durabilidade")</f>
        <v>tampa da lente, a colocação ruim botão de energia, colocação ruim botão de seleção, durabilidade</v>
      </c>
      <c r="B27795" s="3">
        <v>0</v>
      </c>
    </row>
    <row r="27796" ht="15.75" customHeight="1" spans="1:2">
      <c r="A27796" s="3" t="str">
        <f>IFERROR(__xludf.DUMMYFUNCTION("GOOGLETRANSLATE(A27796,""en"",""pt"")"),"Lavados fotos. problemas de balanço de branco. Falta de saturação de cor.")</f>
        <v>Lavados fotos. problemas de balanço de branco. Falta de saturação de cor.</v>
      </c>
      <c r="B27796" s="3">
        <v>0</v>
      </c>
    </row>
    <row r="27797" ht="15.75" customHeight="1" spans="1:2">
      <c r="A27797" s="3" t="str">
        <f>IFERROR(__xludf.DUMMYFUNCTION("GOOGLETRANSLATE(A27797,""en"",""pt"")"),"tampa da lente, a vida da bateria, um pouco grande")</f>
        <v>tampa da lente, a vida da bateria, um pouco grande</v>
      </c>
      <c r="B27797" s="3">
        <v>0</v>
      </c>
    </row>
    <row r="27798" ht="15.75" customHeight="1" spans="1:2">
      <c r="A27798" s="3" t="str">
        <f>IFERROR(__xludf.DUMMYFUNCTION("GOOGLETRANSLATE(A27798,""en"",""pt"")"),"tampa da lente não ligado, falhas de projeto menores. Não é bom para tiros de improviso.")</f>
        <v>tampa da lente não ligado, falhas de projeto menores. Não é bom para tiros de improviso.</v>
      </c>
      <c r="B27798" s="3">
        <v>0</v>
      </c>
    </row>
    <row r="27799" ht="15.75" customHeight="1" spans="1:2">
      <c r="A27799" s="3" t="str">
        <f>IFERROR(__xludf.DUMMYFUNCTION("GOOGLETRANSLATE(A27799,""en"",""pt"")"),"No caso da câmera?")</f>
        <v>No caso da câmera?</v>
      </c>
      <c r="B27799" s="3">
        <v>0</v>
      </c>
    </row>
    <row r="27800" ht="15.75" customHeight="1" spans="1:2">
      <c r="A27800" s="3" t="str">
        <f>IFERROR(__xludf.DUMMYFUNCTION("GOOGLETRANSLATE(A27800,""en"",""pt"")"),"não tão amigável para o casual foto-snapper")</f>
        <v>não tão amigável para o casual foto-snapper</v>
      </c>
      <c r="B27800" s="3">
        <v>0</v>
      </c>
    </row>
    <row r="27801" ht="15.75" customHeight="1" spans="1:2">
      <c r="A27801" s="3" t="str">
        <f>IFERROR(__xludf.DUMMYFUNCTION("GOOGLETRANSLATE(A27801,""en"",""pt"")"),"Sem conexão USB, nenhum som")</f>
        <v>Sem conexão USB, nenhum som</v>
      </c>
      <c r="B27801" s="3">
        <v>0</v>
      </c>
    </row>
    <row r="27802" ht="15.75" customHeight="1" spans="1:2">
      <c r="A27802" s="3" t="str">
        <f>IFERROR(__xludf.DUMMYFUNCTION("GOOGLETRANSLATE(A27802,""en"",""pt"")"),"É SURDO !!!!")</f>
        <v>É SURDO !!!!</v>
      </c>
      <c r="B27802" s="3">
        <v>0</v>
      </c>
    </row>
    <row r="27803" ht="15.75" customHeight="1" spans="1:2">
      <c r="A27803" s="3" t="str">
        <f>IFERROR(__xludf.DUMMYFUNCTION("GOOGLETRANSLATE(A27803,""en"",""pt"")"),"não tenham tomado a tempo para descobrir o controle remoto")</f>
        <v>não tenham tomado a tempo para descobrir o controle remoto</v>
      </c>
      <c r="B27803" s="3">
        <v>0</v>
      </c>
    </row>
    <row r="27804" ht="15.75" customHeight="1" spans="1:2">
      <c r="A27804" s="3" t="str">
        <f>IFERROR(__xludf.DUMMYFUNCTION("GOOGLETRANSLATE(A27804,""en"",""pt"")"),"Sem USB, motor barulhento")</f>
        <v>Sem USB, motor barulhento</v>
      </c>
      <c r="B27804" s="3">
        <v>0</v>
      </c>
    </row>
    <row r="27805" ht="15.75" customHeight="1" spans="1:2">
      <c r="A27805" s="3" t="str">
        <f>IFERROR(__xludf.DUMMYFUNCTION("GOOGLETRANSLATE(A27805,""en"",""pt"")"),"controle de zoom")</f>
        <v>controle de zoom</v>
      </c>
      <c r="B27805" s="3">
        <v>0</v>
      </c>
    </row>
    <row r="27806" ht="15.75" customHeight="1" spans="1:2">
      <c r="A27806" s="3" t="str">
        <f>IFERROR(__xludf.DUMMYFUNCTION("GOOGLETRANSLATE(A27806,""en"",""pt"")"),"Nenhum")</f>
        <v>Nenhum</v>
      </c>
      <c r="B27806" s="3">
        <v>0</v>
      </c>
    </row>
    <row r="27807" ht="15.75" customHeight="1" spans="1:2">
      <c r="A27807" s="3" t="str">
        <f>IFERROR(__xludf.DUMMYFUNCTION("GOOGLETRANSLATE(A27807,""en"",""pt"")"),"tampa da lente sai muito fácil. facilmente perdidos")</f>
        <v>tampa da lente sai muito fácil. facilmente perdidos</v>
      </c>
      <c r="B27807" s="3">
        <v>0</v>
      </c>
    </row>
    <row r="27808" ht="15.75" customHeight="1" spans="1:2">
      <c r="A27808" s="3" t="str">
        <f>IFERROR(__xludf.DUMMYFUNCTION("GOOGLETRANSLATE(A27808,""en"",""pt"")"),"Não é muito resistente, software bastante lame")</f>
        <v>Não é muito resistente, software bastante lame</v>
      </c>
      <c r="B27808" s="3">
        <v>0</v>
      </c>
    </row>
    <row r="27809" ht="15.75" customHeight="1" spans="1:2">
      <c r="A27809" s="3" t="str">
        <f>IFERROR(__xludf.DUMMYFUNCTION("GOOGLETRANSLATE(A27809,""en"",""pt"")"),"Quando ele pára de funcionar, a política de assistência da Olympus é mau.")</f>
        <v>Quando ele pára de funcionar, a política de assistência da Olympus é mau.</v>
      </c>
      <c r="B27809" s="3">
        <v>0</v>
      </c>
    </row>
    <row r="27810" ht="15.75" customHeight="1" spans="1:2">
      <c r="A27810" s="3" t="str">
        <f>IFERROR(__xludf.DUMMYFUNCTION("GOOGLETRANSLATE(A27810,""en"",""pt"")"),"configurações complicadas e downloads longos")</f>
        <v>configurações complicadas e downloads longos</v>
      </c>
      <c r="B27810" s="3">
        <v>0</v>
      </c>
    </row>
    <row r="27811" ht="15.75" customHeight="1" spans="1:2">
      <c r="A27811" s="3" t="str">
        <f>IFERROR(__xludf.DUMMYFUNCTION("GOOGLETRANSLATE(A27811,""en"",""pt"")"),"Sem tampa da lente coleira")</f>
        <v>Sem tampa da lente coleira</v>
      </c>
      <c r="B27811" s="3">
        <v>0</v>
      </c>
    </row>
    <row r="27812" ht="15.75" customHeight="1" spans="1:2">
      <c r="A27812" s="3" t="str">
        <f>IFERROR(__xludf.DUMMYFUNCTION("GOOGLETRANSLATE(A27812,""en"",""pt"")"),"Pobre Proprietários Manuel")</f>
        <v>Pobre Proprietários Manuel</v>
      </c>
      <c r="B27812" s="3">
        <v>0</v>
      </c>
    </row>
    <row r="27813" ht="15.75" customHeight="1" spans="1:2">
      <c r="A27813" s="3" t="str">
        <f>IFERROR(__xludf.DUMMYFUNCTION("GOOGLETRANSLATE(A27813,""en"",""pt"")"),"retracção da lente, tampa da lente solto, sem som")</f>
        <v>retracção da lente, tampa da lente solto, sem som</v>
      </c>
      <c r="B27813" s="3">
        <v>0</v>
      </c>
    </row>
    <row r="27814" ht="15.75" customHeight="1" spans="1:2">
      <c r="A27814" s="3" t="str">
        <f>IFERROR(__xludf.DUMMYFUNCTION("GOOGLETRANSLATE(A27814,""en"",""pt"")"),"Complicado. Muito pequeno?")</f>
        <v>Complicado. Muito pequeno?</v>
      </c>
      <c r="B27814" s="3">
        <v>0</v>
      </c>
    </row>
    <row r="27815" ht="15.75" customHeight="1" spans="1:2">
      <c r="A27815" s="3" t="str">
        <f>IFERROR(__xludf.DUMMYFUNCTION("GOOGLETRANSLATE(A27815,""en"",""pt"")"),"Um pouco pequeno demais para as mãos de um grande homem, Sem gravação de som.")</f>
        <v>Um pouco pequeno demais para as mãos de um grande homem, Sem gravação de som.</v>
      </c>
      <c r="B27815" s="3">
        <v>0</v>
      </c>
    </row>
    <row r="27816" ht="15.75" customHeight="1" spans="1:2">
      <c r="A27816" s="3" t="str">
        <f>IFERROR(__xludf.DUMMYFUNCTION("GOOGLETRANSLATE(A27816,""en"",""pt"")"),"Nenhum")</f>
        <v>Nenhum</v>
      </c>
      <c r="B27816" s="3">
        <v>0</v>
      </c>
    </row>
    <row r="27817" ht="15.75" customHeight="1" spans="1:2">
      <c r="A27817" s="3" t="str">
        <f>IFERROR(__xludf.DUMMYFUNCTION("GOOGLETRANSLATE(A27817,""en"",""pt"")"),"NÃO EXISTEM CONS sobre esse produto. É apenas uma ótima câmera !!!!!!!!!!!!!!!")</f>
        <v>NÃO EXISTEM CONS sobre esse produto. É apenas uma ótima câmera !!!!!!!!!!!!!!!</v>
      </c>
      <c r="B27817" s="3">
        <v>0</v>
      </c>
    </row>
    <row r="27818" ht="15.75" customHeight="1" spans="1:2">
      <c r="A27818" s="3" t="str">
        <f>IFERROR(__xludf.DUMMYFUNCTION("GOOGLETRANSLATE(A27818,""en"",""pt"")"),"tamanho pequeno")</f>
        <v>tamanho pequeno</v>
      </c>
      <c r="B27818" s="3">
        <v>0</v>
      </c>
    </row>
    <row r="27819" ht="15.75" customHeight="1" spans="1:2">
      <c r="A27819" s="3" t="s">
        <v>142</v>
      </c>
      <c r="B27819" s="3">
        <v>0</v>
      </c>
    </row>
    <row r="27820" ht="15.75" customHeight="1" spans="1:2">
      <c r="A27820" s="3" t="str">
        <f>IFERROR(__xludf.DUMMYFUNCTION("GOOGLETRANSLATE(A27820,""en"",""pt"")"),"Nenhum")</f>
        <v>Nenhum</v>
      </c>
      <c r="B27820" s="3">
        <v>0</v>
      </c>
    </row>
    <row r="27821" ht="15.75" customHeight="1" spans="1:2">
      <c r="A27821" s="3" t="str">
        <f>IFERROR(__xludf.DUMMYFUNCTION("GOOGLETRANSLATE(A27821,""en"",""pt"")"),"não é compatível com iMac")</f>
        <v>não é compatível com iMac</v>
      </c>
      <c r="B27821" s="3">
        <v>0</v>
      </c>
    </row>
    <row r="27822" ht="15.75" customHeight="1" spans="1:2">
      <c r="A27822" s="3" t="str">
        <f>IFERROR(__xludf.DUMMYFUNCTION("GOOGLETRANSLATE(A27822,""en"",""pt"")"),"menu é um pouco intenso com opções")</f>
        <v>menu é um pouco intenso com opções</v>
      </c>
      <c r="B27822" s="3">
        <v>0</v>
      </c>
    </row>
    <row r="27823" ht="15.75" customHeight="1" spans="1:2">
      <c r="A27823" s="3" t="str">
        <f>IFERROR(__xludf.DUMMYFUNCTION("GOOGLETRANSLATE(A27823,""en"",""pt"")"),"Deve incluir conexão USB")</f>
        <v>Deve incluir conexão USB</v>
      </c>
      <c r="B27823" s="3">
        <v>0</v>
      </c>
    </row>
    <row r="27824" ht="15.75" customHeight="1" spans="1:2">
      <c r="A27824" s="3" t="str">
        <f>IFERROR(__xludf.DUMMYFUNCTION("GOOGLETRANSLATE(A27824,""en"",""pt"")"),"Nenhum")</f>
        <v>Nenhum</v>
      </c>
      <c r="B27824" s="3">
        <v>0</v>
      </c>
    </row>
    <row r="27825" ht="15.75" customHeight="1" spans="1:2">
      <c r="A27825" s="3" t="str">
        <f>IFERROR(__xludf.DUMMYFUNCTION("GOOGLETRANSLATE(A27825,""en"",""pt"")"),"a cinta era uma dor de colocar.")</f>
        <v>a cinta era uma dor de colocar.</v>
      </c>
      <c r="B27825" s="3">
        <v>0</v>
      </c>
    </row>
    <row r="27826" ht="15.75" customHeight="1" spans="1:2">
      <c r="A27826" s="3" t="str">
        <f>IFERROR(__xludf.DUMMYFUNCTION("GOOGLETRANSLATE(A27826,""en"",""pt"")"),"tampa da lente, é isso!")</f>
        <v>tampa da lente, é isso!</v>
      </c>
      <c r="B27826" s="3">
        <v>0</v>
      </c>
    </row>
    <row r="27827" ht="15.75" customHeight="1" spans="1:2">
      <c r="A27827" s="3" t="str">
        <f>IFERROR(__xludf.DUMMYFUNCTION("GOOGLETRANSLATE(A27827,""en"",""pt"")"),"Não USB, nenhum som com filmes")</f>
        <v>Não USB, nenhum som com filmes</v>
      </c>
      <c r="B27827" s="3">
        <v>0</v>
      </c>
    </row>
    <row r="27828" ht="15.75" customHeight="1" spans="1:2">
      <c r="A27828" s="3" t="str">
        <f>IFERROR(__xludf.DUMMYFUNCTION("GOOGLETRANSLATE(A27828,""en"",""pt"")"),"acessórios pobres")</f>
        <v>acessórios pobres</v>
      </c>
      <c r="B27828" s="3">
        <v>0</v>
      </c>
    </row>
    <row r="27829" ht="15.75" customHeight="1" spans="1:2">
      <c r="A27829" s="3" t="str">
        <f>IFERROR(__xludf.DUMMYFUNCTION("GOOGLETRANSLATE(A27829,""en"",""pt"")"),"Manual Lousy instrução, que estúpido lente-cap, pobres pequenos exibir ícones.")</f>
        <v>Manual Lousy instrução, que estúpido lente-cap, pobres pequenos exibir ícones.</v>
      </c>
      <c r="B27829" s="3">
        <v>0</v>
      </c>
    </row>
    <row r="27830" ht="15.75" customHeight="1" spans="1:2">
      <c r="A27830" s="3" t="str">
        <f>IFERROR(__xludf.DUMMYFUNCTION("GOOGLETRANSLATE(A27830,""en"",""pt"")"),"Lembre-se a tampa da lente")</f>
        <v>Lembre-se a tampa da lente</v>
      </c>
      <c r="B27830" s="3">
        <v>0</v>
      </c>
    </row>
    <row r="27831" ht="15.75" customHeight="1" spans="1:2">
      <c r="A27831" s="3" t="str">
        <f>IFERROR(__xludf.DUMMYFUNCTION("GOOGLETRANSLATE(A27831,""en"",""pt"")"),"não lida com pouca luz e distância muito bem")</f>
        <v>não lida com pouca luz e distância muito bem</v>
      </c>
      <c r="B27831" s="3">
        <v>0</v>
      </c>
    </row>
    <row r="27832" ht="15.75" customHeight="1" spans="1:2">
      <c r="A27832" s="3" t="str">
        <f>IFERROR(__xludf.DUMMYFUNCTION("GOOGLETRANSLATE(A27832,""en"",""pt"")"),"habilidades macro poderia ser melhor")</f>
        <v>habilidades macro poderia ser melhor</v>
      </c>
      <c r="B27832" s="3">
        <v>0</v>
      </c>
    </row>
    <row r="27833" ht="15.75" customHeight="1" spans="1:2">
      <c r="A27833" s="3" t="str">
        <f>IFERROR(__xludf.DUMMYFUNCTION("GOOGLETRANSLATE(A27833,""en"",""pt"")"),"Abaixo software média de edição de imagem.")</f>
        <v>Abaixo software média de edição de imagem.</v>
      </c>
      <c r="B27833" s="3">
        <v>0</v>
      </c>
    </row>
    <row r="27834" ht="15.75" customHeight="1" spans="1:2">
      <c r="A27834" s="3" t="str">
        <f>IFERROR(__xludf.DUMMYFUNCTION("GOOGLETRANSLATE(A27834,""en"",""pt"")"),"tampa da lente frágil, dificuldades de software")</f>
        <v>tampa da lente frágil, dificuldades de software</v>
      </c>
      <c r="B27834" s="3">
        <v>0</v>
      </c>
    </row>
    <row r="27835" ht="15.75" customHeight="1" spans="1:2">
      <c r="A27835" s="3" t="str">
        <f>IFERROR(__xludf.DUMMYFUNCTION("GOOGLETRANSLATE(A27835,""en"",""pt"")"),"Não particularmente user-friendly")</f>
        <v>Não particularmente user-friendly</v>
      </c>
      <c r="B27835" s="3">
        <v>0</v>
      </c>
    </row>
    <row r="27836" ht="15.75" customHeight="1" spans="1:2">
      <c r="A27836" s="3" t="str">
        <f>IFERROR(__xludf.DUMMYFUNCTION("GOOGLETRANSLATE(A27836,""en"",""pt"")"),"Boas coisas custam dinheiro")</f>
        <v>Boas coisas custam dinheiro</v>
      </c>
      <c r="B27836" s="3">
        <v>0</v>
      </c>
    </row>
    <row r="27837" ht="15.75" customHeight="1" spans="1:2">
      <c r="A27837" s="3" t="str">
        <f>IFERROR(__xludf.DUMMYFUNCTION("GOOGLETRANSLATE(A27837,""en"",""pt"")"),"acessórios não incluídos, tempo de atraso ocasional")</f>
        <v>acessórios não incluídos, tempo de atraso ocasional</v>
      </c>
      <c r="B27837" s="3">
        <v>0</v>
      </c>
    </row>
    <row r="27838" ht="15.75" customHeight="1" spans="1:2">
      <c r="A27838" s="3" t="str">
        <f>IFERROR(__xludf.DUMMYFUNCTION("GOOGLETRANSLATE(A27838,""en"",""pt"")"),"Para mais conveniência de um cartão maior deve ser comprado, a tela LCD drena a bateria rapidamente")</f>
        <v>Para mais conveniência de um cartão maior deve ser comprado, a tela LCD drena a bateria rapidamente</v>
      </c>
      <c r="B27838" s="3">
        <v>0</v>
      </c>
    </row>
    <row r="27839" ht="15.75" customHeight="1" spans="1:2">
      <c r="A27839" s="3" t="str">
        <f>IFERROR(__xludf.DUMMYFUNCTION("GOOGLETRANSLATE(A27839,""en"",""pt"")"),"Um pouco volumoso")</f>
        <v>Um pouco volumoso</v>
      </c>
      <c r="B27839" s="3">
        <v>0</v>
      </c>
    </row>
    <row r="27840" ht="15.75" customHeight="1" spans="1:2">
      <c r="A27840" s="3" t="str">
        <f>IFERROR(__xludf.DUMMYFUNCTION("GOOGLETRANSLATE(A27840,""en"",""pt"")"),"8 &amp; amp; quot; macro distância de focagem")</f>
        <v>8 &amp; amp; quot; macro distância de focagem</v>
      </c>
      <c r="B27840" s="3">
        <v>0</v>
      </c>
    </row>
    <row r="27841" ht="15.75" customHeight="1" spans="1:2">
      <c r="A27841" s="3" t="str">
        <f>IFERROR(__xludf.DUMMYFUNCTION("GOOGLETRANSLATE(A27841,""en"",""pt"")"),"Sem USB, frágil exposta barril da lente, software ruim, falta de pensamento Ergonmic, design thinking em pontos")</f>
        <v>Sem USB, frágil exposta barril da lente, software ruim, falta de pensamento Ergonmic, design thinking em pontos</v>
      </c>
      <c r="B27841" s="3">
        <v>0</v>
      </c>
    </row>
    <row r="27842" ht="15.75" customHeight="1" spans="1:2">
      <c r="A27842" s="3" t="str">
        <f>IFERROR(__xludf.DUMMYFUNCTION("GOOGLETRANSLATE(A27842,""en"",""pt"")"),"falhas de projeto menores")</f>
        <v>falhas de projeto menores</v>
      </c>
      <c r="B27842" s="3">
        <v>0</v>
      </c>
    </row>
    <row r="27843" ht="15.75" customHeight="1" spans="1:2">
      <c r="A27843" s="3" t="str">
        <f>IFERROR(__xludf.DUMMYFUNCTION("GOOGLETRANSLATE(A27843,""en"",""pt"")"),"lenscap queijo")</f>
        <v>lenscap queijo</v>
      </c>
      <c r="B27843" s="3">
        <v>0</v>
      </c>
    </row>
    <row r="27844" ht="15.75" customHeight="1" spans="1:2">
      <c r="A27844" s="3" t="str">
        <f>IFERROR(__xludf.DUMMYFUNCTION("GOOGLETRANSLATE(A27844,""en"",""pt"")"),"lente frágil")</f>
        <v>lente frágil</v>
      </c>
      <c r="B27844" s="3">
        <v>0</v>
      </c>
    </row>
    <row r="27845" ht="15.75" customHeight="1" spans="1:2">
      <c r="A27845" s="3" t="str">
        <f>IFERROR(__xludf.DUMMYFUNCTION("GOOGLETRANSLATE(A27845,""en"",""pt"")"),"tampa da lente / Primavera funciona engraçado")</f>
        <v>tampa da lente / Primavera funciona engraçado</v>
      </c>
      <c r="B27845" s="3">
        <v>0</v>
      </c>
    </row>
    <row r="27846" ht="15.75" customHeight="1" spans="1:2">
      <c r="A27846" s="3" t="str">
        <f>IFERROR(__xludf.DUMMYFUNCTION("GOOGLETRANSLATE(A27846,""en"",""pt"")"),"lembrar de tomar tampa da lente antes de disparar")</f>
        <v>lembrar de tomar tampa da lente antes de disparar</v>
      </c>
      <c r="B27846" s="3">
        <v>0</v>
      </c>
    </row>
    <row r="27847" ht="15.75" customHeight="1" spans="1:2">
      <c r="A27847" s="3" t="str">
        <f>IFERROR(__xludf.DUMMYFUNCTION("GOOGLETRANSLATE(A27847,""en"",""pt"")"),"zoom eletrônico")</f>
        <v>zoom eletrônico</v>
      </c>
      <c r="B27847" s="3">
        <v>0</v>
      </c>
    </row>
    <row r="27848" ht="15.75" customHeight="1" spans="1:2">
      <c r="A27848" s="3" t="str">
        <f>IFERROR(__xludf.DUMMYFUNCTION("GOOGLETRANSLATE(A27848,""en"",""pt"")"),"Pago tanto que eu tenho medo de levá-lo lugares")</f>
        <v>Pago tanto que eu tenho medo de levá-lo lugares</v>
      </c>
      <c r="B27848" s="3">
        <v>0</v>
      </c>
    </row>
    <row r="27849" ht="15.75" customHeight="1" spans="1:2">
      <c r="A27849" s="3" t="str">
        <f>IFERROR(__xludf.DUMMYFUNCTION("GOOGLETRANSLATE(A27849,""en"",""pt"")"),"Sem conectividade USB")</f>
        <v>Sem conectividade USB</v>
      </c>
      <c r="B27849" s="3">
        <v>0</v>
      </c>
    </row>
    <row r="27850" ht="15.75" customHeight="1" spans="1:2">
      <c r="A27850" s="3" t="str">
        <f>IFERROR(__xludf.DUMMYFUNCTION("GOOGLETRANSLATE(A27850,""en"",""pt"")"),"porta serial, nenhum caso, a tampa da lente não ligado ao corpo")</f>
        <v>porta serial, nenhum caso, a tampa da lente não ligado ao corpo</v>
      </c>
      <c r="B27850" s="3">
        <v>0</v>
      </c>
    </row>
    <row r="27851" ht="15.75" customHeight="1" spans="1:2">
      <c r="A27851" s="3" t="str">
        <f>IFERROR(__xludf.DUMMYFUNCTION("GOOGLETRANSLATE(A27851,""en"",""pt"")"),"caro")</f>
        <v>caro</v>
      </c>
      <c r="B27851" s="3">
        <v>0</v>
      </c>
    </row>
    <row r="27852" ht="15.75" customHeight="1" spans="1:2">
      <c r="A27852" s="3" t="str">
        <f>IFERROR(__xludf.DUMMYFUNCTION("GOOGLETRANSLATE(A27852,""en"",""pt"")"),"por vezes, difícil de operar tarefas complicadas")</f>
        <v>por vezes, difícil de operar tarefas complicadas</v>
      </c>
      <c r="B27852" s="3">
        <v>0</v>
      </c>
    </row>
    <row r="27853" ht="15.75" customHeight="1" spans="1:2">
      <c r="A27853" s="3" t="str">
        <f>IFERROR(__xludf.DUMMYFUNCTION("GOOGLETRANSLATE(A27853,""en"",""pt"")"),"Não muitos do que eu posso ver.")</f>
        <v>Não muitos do que eu posso ver.</v>
      </c>
      <c r="B27853" s="3">
        <v>0</v>
      </c>
    </row>
    <row r="27854" ht="15.75" customHeight="1" spans="1:2">
      <c r="A27854" s="3" t="str">
        <f>IFERROR(__xludf.DUMMYFUNCTION("GOOGLETRANSLATE(A27854,""en"",""pt"")"),"Nenhum muito mentionable")</f>
        <v>Nenhum muito mentionable</v>
      </c>
      <c r="B27854" s="3">
        <v>0</v>
      </c>
    </row>
    <row r="27855" ht="15.75" customHeight="1" spans="1:2">
      <c r="A27855" s="3" t="str">
        <f>IFERROR(__xludf.DUMMYFUNCTION("GOOGLETRANSLATE(A27855,""en"",""pt"")"),"Pouco grande demais para o bolso; não é barato.")</f>
        <v>Pouco grande demais para o bolso; não é barato.</v>
      </c>
      <c r="B27855" s="3">
        <v>0</v>
      </c>
    </row>
    <row r="27856" ht="15.75" customHeight="1" spans="1:2">
      <c r="A27856" s="3" t="str">
        <f>IFERROR(__xludf.DUMMYFUNCTION("GOOGLETRANSLATE(A27856,""en"",""pt"")"),"tampa da lente perder facilmente; nenhuma USB; visor óptico grande")</f>
        <v>tampa da lente perder facilmente; nenhuma USB; visor óptico grande</v>
      </c>
      <c r="B27856" s="3">
        <v>0</v>
      </c>
    </row>
    <row r="27857" ht="15.75" customHeight="1" spans="1:2">
      <c r="A27857" s="3" t="str">
        <f>IFERROR(__xludf.DUMMYFUNCTION("GOOGLETRANSLATE(A27857,""en"",""pt"")"),"não permite dupla exposição")</f>
        <v>não permite dupla exposição</v>
      </c>
      <c r="B27857" s="3">
        <v>0</v>
      </c>
    </row>
    <row r="27858" ht="15.75" customHeight="1" spans="1:2">
      <c r="A27858" s="3" t="str">
        <f>IFERROR(__xludf.DUMMYFUNCTION("GOOGLETRANSLATE(A27858,""en"",""pt"")"),"Alguns pequenos aborrecimentos, um pouco desatualizado")</f>
        <v>Alguns pequenos aborrecimentos, um pouco desatualizado</v>
      </c>
      <c r="B27858" s="3">
        <v>0</v>
      </c>
    </row>
    <row r="27859" ht="15.75" customHeight="1" spans="1:2">
      <c r="A27859" s="3" t="str">
        <f>IFERROR(__xludf.DUMMYFUNCTION("GOOGLETRANSLATE(A27859,""en"",""pt"")"),"No link direto para Macintosh. Você precisa comprar um escritor leitor USB.")</f>
        <v>No link direto para Macintosh. Você precisa comprar um escritor leitor USB.</v>
      </c>
      <c r="B27859" s="3">
        <v>0</v>
      </c>
    </row>
    <row r="27860" ht="15.75" customHeight="1" spans="1:2">
      <c r="A27860" s="3" t="str">
        <f>IFERROR(__xludf.DUMMYFUNCTION("GOOGLETRANSLATE(A27860,""en"",""pt"")"),"Usa ligeiramente mais lento de memória Smartmedia")</f>
        <v>Usa ligeiramente mais lento de memória Smartmedia</v>
      </c>
      <c r="B27860" s="3">
        <v>0</v>
      </c>
    </row>
    <row r="27861" ht="15.75" customHeight="1" spans="1:2">
      <c r="A27861" s="3" t="str">
        <f>IFERROR(__xludf.DUMMYFUNCTION("GOOGLETRANSLATE(A27861,""en"",""pt"")"),"confundindo Menus")</f>
        <v>confundindo Menus</v>
      </c>
      <c r="B27861" s="3">
        <v>0</v>
      </c>
    </row>
    <row r="27862" ht="15.75" customHeight="1" spans="1:2">
      <c r="A27862" s="3" t="str">
        <f>IFERROR(__xludf.DUMMYFUNCTION("GOOGLETRANSLATE(A27862,""en"",""pt"")"),"As instruções de download de imagens estão errados .. causando ligeira frustração")</f>
        <v>As instruções de download de imagens estão errados .. causando ligeira frustração</v>
      </c>
      <c r="B27862" s="3">
        <v>0</v>
      </c>
    </row>
    <row r="27863" ht="15.75" customHeight="1" spans="1:2">
      <c r="A27863" s="3" t="str">
        <f>IFERROR(__xludf.DUMMYFUNCTION("GOOGLETRANSLATE(A27863,""en"",""pt"")"),"menus complicados")</f>
        <v>menus complicados</v>
      </c>
      <c r="B27863" s="3">
        <v>0</v>
      </c>
    </row>
    <row r="27864" ht="15.75" customHeight="1" spans="1:2">
      <c r="A27864" s="3" t="str">
        <f>IFERROR(__xludf.DUMMYFUNCTION("GOOGLETRANSLATE(A27864,""en"",""pt"")"),"Interface desordenado, Maior que a Canon S110")</f>
        <v>Interface desordenado, Maior que a Canon S110</v>
      </c>
      <c r="B27864" s="3">
        <v>0</v>
      </c>
    </row>
    <row r="27865" ht="15.75" customHeight="1" spans="1:2">
      <c r="A27865" s="3" t="str">
        <f>IFERROR(__xludf.DUMMYFUNCTION("GOOGLETRANSLATE(A27865,""en"",""pt"")"),"Transferir para computador é um pouco complicado !!")</f>
        <v>Transferir para computador é um pouco complicado !!</v>
      </c>
      <c r="B27865" s="3">
        <v>0</v>
      </c>
    </row>
    <row r="27866" ht="15.75" customHeight="1" spans="1:2">
      <c r="A27866" s="3" t="str">
        <f>IFERROR(__xludf.DUMMYFUNCTION("GOOGLETRANSLATE(A27866,""en"",""pt"")"),"Definições são um pouco confusa em primeiro lugar; deve comprar alguns acessórios.")</f>
        <v>Definições são um pouco confusa em primeiro lugar; deve comprar alguns acessórios.</v>
      </c>
      <c r="B27866" s="3">
        <v>0</v>
      </c>
    </row>
    <row r="27867" ht="15.75" customHeight="1" spans="1:2">
      <c r="A27867" s="3" t="str">
        <f>IFERROR(__xludf.DUMMYFUNCTION("GOOGLETRANSLATE(A27867,""en"",""pt"")"),"Tampa da lente")</f>
        <v>Tampa da lente</v>
      </c>
      <c r="B27867" s="3">
        <v>0</v>
      </c>
    </row>
    <row r="27868" ht="15.75" customHeight="1" spans="1:2">
      <c r="A27868" s="3" t="str">
        <f>IFERROR(__xludf.DUMMYFUNCTION("GOOGLETRANSLATE(A27868,""en"",""pt"")"),"Menus poderia ser um pouco mais intuitivo")</f>
        <v>Menus poderia ser um pouco mais intuitivo</v>
      </c>
      <c r="B27868" s="3">
        <v>0</v>
      </c>
    </row>
    <row r="27869" ht="15.75" customHeight="1" spans="1:2">
      <c r="A27869" s="3" t="str">
        <f>IFERROR(__xludf.DUMMYFUNCTION("GOOGLETRANSLATE(A27869,""en"",""pt"")"),"visor imprecisos, ligeiramente lento")</f>
        <v>visor imprecisos, ligeiramente lento</v>
      </c>
      <c r="B27869" s="3">
        <v>0</v>
      </c>
    </row>
    <row r="27870" ht="15.75" customHeight="1" spans="1:2">
      <c r="A27870" s="3" t="str">
        <f>IFERROR(__xludf.DUMMYFUNCTION("GOOGLETRANSLATE(A27870,""en"",""pt"")"),"Os cartões de memória com a qual durar cerca de 4 anos.")</f>
        <v>Os cartões de memória com a qual durar cerca de 4 anos.</v>
      </c>
      <c r="B27870" s="3">
        <v>0</v>
      </c>
    </row>
    <row r="27871" ht="15.75" customHeight="1" spans="1:2">
      <c r="A27871" s="3" t="str">
        <f>IFERROR(__xludf.DUMMYFUNCTION("GOOGLETRANSLATE(A27871,""en"",""pt"")"),"caso não pode conter dedicado filtro câmara + (o que requer um adaptador).")</f>
        <v>caso não pode conter dedicado filtro câmara + (o que requer um adaptador).</v>
      </c>
      <c r="B27871" s="3">
        <v>0</v>
      </c>
    </row>
    <row r="27872" ht="15.75" customHeight="1" spans="1:2">
      <c r="A27872" s="3" t="str">
        <f>IFERROR(__xludf.DUMMYFUNCTION("GOOGLETRANSLATE(A27872,""en"",""pt"")"),"Software incluído com a câmera não muito grande.")</f>
        <v>Software incluído com a câmera não muito grande.</v>
      </c>
      <c r="B27872" s="3">
        <v>0</v>
      </c>
    </row>
    <row r="27873" ht="15.75" customHeight="1" spans="1:2">
      <c r="A27873" s="3" t="str">
        <f>IFERROR(__xludf.DUMMYFUNCTION("GOOGLETRANSLATE(A27873,""en"",""pt"")"),"Visor não muito preciso, display LCD difícil de ver em condições de alta luz solar")</f>
        <v>Visor não muito preciso, display LCD difícil de ver em condições de alta luz solar</v>
      </c>
      <c r="B27873" s="3">
        <v>0</v>
      </c>
    </row>
    <row r="27874" ht="15.75" customHeight="1" spans="1:2">
      <c r="A27874" s="3" t="str">
        <f>IFERROR(__xludf.DUMMYFUNCTION("GOOGLETRANSLATE(A27874,""en"",""pt"")"),"A configuração tampa da lente poderia ser melhor")</f>
        <v>A configuração tampa da lente poderia ser melhor</v>
      </c>
      <c r="B27874" s="3">
        <v>0</v>
      </c>
    </row>
    <row r="27875" ht="15.75" customHeight="1" spans="1:2">
      <c r="A27875" s="3" t="str">
        <f>IFERROR(__xludf.DUMMYFUNCTION("GOOGLETRANSLATE(A27875,""en"",""pt"")"),"Nenhum significativa")</f>
        <v>Nenhum significativa</v>
      </c>
      <c r="B27875" s="3">
        <v>0</v>
      </c>
    </row>
    <row r="27876" ht="15.75" customHeight="1" spans="1:2">
      <c r="A27876" s="3" t="str">
        <f>IFERROR(__xludf.DUMMYFUNCTION("GOOGLETRANSLATE(A27876,""en"",""pt"")"),"grandes quantidades e pesada")</f>
        <v>grandes quantidades e pesada</v>
      </c>
      <c r="B27876" s="3">
        <v>0</v>
      </c>
    </row>
    <row r="27877" ht="15.75" customHeight="1" spans="1:2">
      <c r="A27877" s="3" t="str">
        <f>IFERROR(__xludf.DUMMYFUNCTION("GOOGLETRANSLATE(A27877,""en"",""pt"")"),"EVF difícil ver através na penumbra.")</f>
        <v>EVF difícil ver através na penumbra.</v>
      </c>
      <c r="B27877" s="3">
        <v>0</v>
      </c>
    </row>
    <row r="27878" ht="15.75" customHeight="1" spans="1:2">
      <c r="A27878" s="3" t="str">
        <f>IFERROR(__xludf.DUMMYFUNCTION("GOOGLETRANSLATE(A27878,""en"",""pt"")"),"perda de Pano quando SMcard formatado com leitores de cartão, insuficiente incluído SMcard, não era livre.")</f>
        <v>perda de Pano quando SMcard formatado com leitores de cartão, insuficiente incluído SMcard, não era livre.</v>
      </c>
      <c r="B27878" s="3">
        <v>0</v>
      </c>
    </row>
    <row r="27879" ht="15.75" customHeight="1" spans="1:2">
      <c r="A27879" s="3" t="str">
        <f>IFERROR(__xludf.DUMMYFUNCTION("GOOGLETRANSLATE(A27879,""en"",""pt"")"),"Resolução única 2.1Mp, Caro para 2.1Mp câmera, único cartão de 8MB")</f>
        <v>Resolução única 2.1Mp, Caro para 2.1Mp câmera, único cartão de 8MB</v>
      </c>
      <c r="B27879" s="3">
        <v>0</v>
      </c>
    </row>
    <row r="27880" ht="15.75" customHeight="1" spans="1:2">
      <c r="A27880" s="3" t="s">
        <v>143</v>
      </c>
      <c r="B27880" s="3">
        <v>0</v>
      </c>
    </row>
    <row r="27881" ht="15.75" customHeight="1" spans="1:2">
      <c r="A27881" s="3" t="str">
        <f>IFERROR(__xludf.DUMMYFUNCTION("GOOGLETRANSLATE(A27881,""en"",""pt"")"),"Rumor Has It Olympus parou de fabricá-lo")</f>
        <v>Rumor Has It Olympus parou de fabricá-lo</v>
      </c>
      <c r="B27881" s="3">
        <v>0</v>
      </c>
    </row>
    <row r="27882" ht="15.75" customHeight="1" spans="1:2">
      <c r="A27882" s="3" t="str">
        <f>IFERROR(__xludf.DUMMYFUNCTION("GOOGLETRANSLATE(A27882,""en"",""pt"")"),"Inclui apenas o cartão de 8Mb. Muitos recursos.")</f>
        <v>Inclui apenas o cartão de 8Mb. Muitos recursos.</v>
      </c>
      <c r="B27882" s="3">
        <v>0</v>
      </c>
    </row>
    <row r="27883" ht="15.75" customHeight="1" spans="1:2">
      <c r="A27883" s="3" t="str">
        <f>IFERROR(__xludf.DUMMYFUNCTION("GOOGLETRANSLATE(A27883,""en"",""pt"")"),"Nenhum .")</f>
        <v>Nenhum .</v>
      </c>
      <c r="B27883" s="3">
        <v>0</v>
      </c>
    </row>
    <row r="27884" ht="15.75" customHeight="1" spans="1:2">
      <c r="A27884" s="3" t="str">
        <f>IFERROR(__xludf.DUMMYFUNCTION("GOOGLETRANSLATE(A27884,""en"",""pt"")"),"corpo de plástico, cartão de suporte 8 meg")</f>
        <v>corpo de plástico, cartão de suporte 8 meg</v>
      </c>
      <c r="B27884" s="3">
        <v>0</v>
      </c>
    </row>
    <row r="27885" ht="15.75" customHeight="1" spans="1:2">
      <c r="A27885" s="3" t="str">
        <f>IFERROR(__xludf.DUMMYFUNCTION("GOOGLETRANSLATE(A27885,""en"",""pt"")"),"grande")</f>
        <v>grande</v>
      </c>
      <c r="B27885" s="3">
        <v>0</v>
      </c>
    </row>
    <row r="27886" ht="15.75" customHeight="1" spans="1:2">
      <c r="A27886" s="3" t="str">
        <f>IFERROR(__xludf.DUMMYFUNCTION("GOOGLETRANSLATE(A27886,""en"",""pt"")"),"balanço de branco automático está desligado maior parte do tempo quando fotografar em ambientes fechados. programa de software coxo.")</f>
        <v>balanço de branco automático está desligado maior parte do tempo quando fotografar em ambientes fechados. programa de software coxo.</v>
      </c>
      <c r="B27886" s="3">
        <v>0</v>
      </c>
    </row>
    <row r="27887" ht="15.75" customHeight="1" spans="1:2">
      <c r="A27887" s="3" t="str">
        <f>IFERROR(__xludf.DUMMYFUNCTION("GOOGLETRANSLATE(A27887,""en"",""pt"")"),"8MB de memória alça muito pequeno e tampa de lente não era incluir")</f>
        <v>8MB de memória alça muito pequeno e tampa de lente não era incluir</v>
      </c>
      <c r="B27887" s="3">
        <v>0</v>
      </c>
    </row>
    <row r="27888" ht="15.75" customHeight="1" spans="1:2">
      <c r="A27888" s="3" t="str">
        <f>IFERROR(__xludf.DUMMYFUNCTION("GOOGLETRANSLATE(A27888,""en"",""pt"")"),"Alto consumo de bateria.")</f>
        <v>Alto consumo de bateria.</v>
      </c>
      <c r="B27888" s="3">
        <v>0</v>
      </c>
    </row>
    <row r="27889" ht="15.75" customHeight="1" spans="1:2">
      <c r="A27889" s="3" t="str">
        <f>IFERROR(__xludf.DUMMYFUNCTION("GOOGLETRANSLATE(A27889,""en"",""pt"")"),"Algumas compensações menores")</f>
        <v>Algumas compensações menores</v>
      </c>
      <c r="B27889" s="3">
        <v>0</v>
      </c>
    </row>
    <row r="27890" ht="15.75" customHeight="1" spans="1:2">
      <c r="A27890" s="3" t="str">
        <f>IFERROR(__xludf.DUMMYFUNCTION("GOOGLETRANSLATE(A27890,""en"",""pt"")"),"Nenhum")</f>
        <v>Nenhum</v>
      </c>
      <c r="B27890" s="3">
        <v>0</v>
      </c>
    </row>
    <row r="27891" ht="15.75" customHeight="1" spans="1:2">
      <c r="A27891" s="3" t="str">
        <f>IFERROR(__xludf.DUMMYFUNCTION("GOOGLETRANSLATE(A27891,""en"",""pt"")"),"Grande, pesado, reiniciar longo de Suspender")</f>
        <v>Grande, pesado, reiniciar longo de Suspender</v>
      </c>
      <c r="B27891" s="3">
        <v>0</v>
      </c>
    </row>
    <row r="27892" ht="15.75" customHeight="1" spans="1:2">
      <c r="A27892" s="3" t="str">
        <f>IFERROR(__xludf.DUMMYFUNCTION("GOOGLETRANSLATE(A27892,""en"",""pt"")"),"Poeira no visor, trechos de aderência mão de borracha &amp; amp; torna-se descolado")</f>
        <v>Poeira no visor, trechos de aderência mão de borracha &amp; amp; torna-se descolado</v>
      </c>
      <c r="B27892" s="3">
        <v>0</v>
      </c>
    </row>
    <row r="27893" ht="15.75" customHeight="1" spans="1:2">
      <c r="A27893" s="3" t="str">
        <f>IFERROR(__xludf.DUMMYFUNCTION("GOOGLETRANSLATE(A27893,""en"",""pt"")"),"Só usa Smart Media e este modelo de câmera está ficando difícil de encontrar.")</f>
        <v>Só usa Smart Media e este modelo de câmera está ficando difícil de encontrar.</v>
      </c>
      <c r="B27893" s="3">
        <v>0</v>
      </c>
    </row>
    <row r="27894" ht="15.75" customHeight="1" spans="1:2">
      <c r="A27894" s="3" t="str">
        <f>IFERROR(__xludf.DUMMYFUNCTION("GOOGLETRANSLATE(A27894,""en"",""pt"")"),"Half-segundo atraso do obturador, mas câmera aparentemente quase todos digital tem isso.")</f>
        <v>Half-segundo atraso do obturador, mas câmera aparentemente quase todos digital tem isso.</v>
      </c>
      <c r="B27894" s="3">
        <v>0</v>
      </c>
    </row>
    <row r="27895" ht="15.75" customHeight="1" spans="1:2">
      <c r="A27895" s="3" t="str">
        <f>IFERROR(__xludf.DUMMYFUNCTION("GOOGLETRANSLATE(A27895,""en"",""pt"")"),"""Apenas"" 2,1 megapixel, visor eletrônico, não é pequena")</f>
        <v>"Apenas" 2,1 megapixel, visor eletrônico, não é pequena</v>
      </c>
      <c r="B27895" s="3">
        <v>0</v>
      </c>
    </row>
    <row r="27896" ht="15.75" customHeight="1" spans="1:2">
      <c r="A27896" s="3" t="s">
        <v>144</v>
      </c>
      <c r="B27896" s="3">
        <v>0</v>
      </c>
    </row>
    <row r="27897" ht="15.75" customHeight="1" spans="1:2">
      <c r="A27897" s="3" t="str">
        <f>IFERROR(__xludf.DUMMYFUNCTION("GOOGLETRANSLATE(A27897,""en"",""pt"")"),"Tem grandes mãos?")</f>
        <v>Tem grandes mãos?</v>
      </c>
      <c r="B27897" s="3">
        <v>0</v>
      </c>
    </row>
    <row r="27898" ht="15.75" customHeight="1" spans="1:2">
      <c r="A27898" s="3" t="str">
        <f>IFERROR(__xludf.DUMMYFUNCTION("GOOGLETRANSLATE(A27898,""en"",""pt"")"),"Um pouco caro")</f>
        <v>Um pouco caro</v>
      </c>
      <c r="B27898" s="3">
        <v>0</v>
      </c>
    </row>
    <row r="27899" ht="15.75" customHeight="1" spans="1:2">
      <c r="A27899" s="3" t="str">
        <f>IFERROR(__xludf.DUMMYFUNCTION("GOOGLETRANSLATE(A27899,""en"",""pt"")"),"Poucos. Falta indicador de bateria decente.")</f>
        <v>Poucos. Falta indicador de bateria decente.</v>
      </c>
      <c r="B27899" s="3">
        <v>0</v>
      </c>
    </row>
    <row r="27900" ht="15.75" customHeight="1" spans="1:2">
      <c r="A27900" s="3" t="str">
        <f>IFERROR(__xludf.DUMMYFUNCTION("GOOGLETRANSLATE(A27900,""en"",""pt"")"),"Pode ser um pouco complicado para o iniciante, pode comer baterias.")</f>
        <v>Pode ser um pouco complicado para o iniciante, pode comer baterias.</v>
      </c>
      <c r="B27900" s="3">
        <v>0</v>
      </c>
    </row>
    <row r="27901" ht="15.75" customHeight="1" spans="1:2">
      <c r="A27901" s="3" t="str">
        <f>IFERROR(__xludf.DUMMYFUNCTION("GOOGLETRANSLATE(A27901,""en"",""pt"")"),"Pesados, volumosos")</f>
        <v>Pesados, volumosos</v>
      </c>
      <c r="B27901" s="3">
        <v>0</v>
      </c>
    </row>
    <row r="27902" ht="15.75" customHeight="1" spans="1:2">
      <c r="A27902" s="3" t="str">
        <f>IFERROR(__xludf.DUMMYFUNCTION("GOOGLETRANSLATE(A27902,""en"",""pt"")"),"Colocação de um par de botões poderia ser melhor.")</f>
        <v>Colocação de um par de botões poderia ser melhor.</v>
      </c>
      <c r="B27902" s="3">
        <v>0</v>
      </c>
    </row>
    <row r="27903" ht="15.75" customHeight="1" spans="1:2">
      <c r="A27903" s="3" t="str">
        <f>IFERROR(__xludf.DUMMYFUNCTION("GOOGLETRANSLATE(A27903,""en"",""pt"")"),"Muito volumosos se você quer uma câmera de viagem")</f>
        <v>Muito volumosos se você quer uma câmera de viagem</v>
      </c>
      <c r="B27903" s="3">
        <v>0</v>
      </c>
    </row>
    <row r="27904" ht="15.75" customHeight="1" spans="1:2">
      <c r="A27904" s="3" t="str">
        <f>IFERROR(__xludf.DUMMYFUNCTION("GOOGLETRANSLATE(A27904,""en"",""pt"")"),"resolução mais baixa do que os concorrentes, não tão rápido como concorrentes")</f>
        <v>resolução mais baixa do que os concorrentes, não tão rápido como concorrentes</v>
      </c>
      <c r="B27904" s="3">
        <v>0</v>
      </c>
    </row>
    <row r="27905" ht="15.75" customHeight="1" spans="1:2">
      <c r="A27905" s="3" t="str">
        <f>IFERROR(__xludf.DUMMYFUNCTION("GOOGLETRANSLATE(A27905,""en"",""pt"")"),"Nenhum que eu encontrei")</f>
        <v>Nenhum que eu encontrei</v>
      </c>
      <c r="B27905" s="3">
        <v>0</v>
      </c>
    </row>
    <row r="27906" ht="15.75" customHeight="1" spans="1:2">
      <c r="A27906" s="3" t="str">
        <f>IFERROR(__xludf.DUMMYFUNCTION("GOOGLETRANSLATE(A27906,""en"",""pt"")"),"O preço: US $ 999, Além disso, ele vem com PhotoDeluxe, não PhotoShop.")</f>
        <v>O preço: US $ 999, Além disso, ele vem com PhotoDeluxe, não PhotoShop.</v>
      </c>
      <c r="B27906" s="3">
        <v>0</v>
      </c>
    </row>
    <row r="27907" ht="15.75" customHeight="1" spans="1:2">
      <c r="A27907" s="3" t="str">
        <f>IFERROR(__xludf.DUMMYFUNCTION("GOOGLETRANSLATE(A27907,""en"",""pt"")"),"tom azulado para algumas fotos")</f>
        <v>tom azulado para algumas fotos</v>
      </c>
      <c r="B27907" s="3">
        <v>0</v>
      </c>
    </row>
    <row r="27908" ht="15.75" customHeight="1" spans="1:2">
      <c r="A27908" s="3" t="str">
        <f>IFERROR(__xludf.DUMMYFUNCTION("GOOGLETRANSLATE(A27908,""en"",""pt"")"),"""Apenas"" 2,1 MP, maiores e mais pesados ​​do que a maioria das câmeras digitais")</f>
        <v>"Apenas" 2,1 MP, maiores e mais pesados ​​do que a maioria das câmeras digitais</v>
      </c>
      <c r="B27908" s="3">
        <v>0</v>
      </c>
    </row>
    <row r="27909" ht="15.75" customHeight="1" spans="1:2">
      <c r="A27909" s="3" t="str">
        <f>IFERROR(__xludf.DUMMYFUNCTION("GOOGLETRANSLATE(A27909,""en"",""pt"")"),"MP baixa de apenas 2,1 a visor de pequeno")</f>
        <v>MP baixa de apenas 2,1 a visor de pequeno</v>
      </c>
      <c r="B27909" s="3">
        <v>0</v>
      </c>
    </row>
    <row r="27910" ht="15.75" customHeight="1" spans="1:2">
      <c r="A27910" s="3" t="str">
        <f>IFERROR(__xludf.DUMMYFUNCTION("GOOGLETRANSLATE(A27910,""en"",""pt"")"),"Não câmera de um novato")</f>
        <v>Não câmera de um novato</v>
      </c>
      <c r="B27910" s="3">
        <v>0</v>
      </c>
    </row>
    <row r="27911" ht="15.75" customHeight="1" spans="1:2">
      <c r="A27911" s="3" t="str">
        <f>IFERROR(__xludf.DUMMYFUNCTION("GOOGLETRANSLATE(A27911,""en"",""pt"")"),"Não pequeno comparado a outras cams. Difícil de encontrar.")</f>
        <v>Não pequeno comparado a outras cams. Difícil de encontrar.</v>
      </c>
      <c r="B27911" s="3">
        <v>0</v>
      </c>
    </row>
    <row r="27912" ht="15.75" customHeight="1" spans="1:2">
      <c r="A27912" s="3" t="str">
        <f>IFERROR(__xludf.DUMMYFUNCTION("GOOGLETRANSLATE(A27912,""en"",""pt"")"),"Mais razoáveis, câmera enorme, pesado, o filme é caro, a vida da bateria")</f>
        <v>Mais razoáveis, câmera enorme, pesado, o filme é caro, a vida da bateria</v>
      </c>
      <c r="B27912" s="3">
        <v>0</v>
      </c>
    </row>
    <row r="27913" ht="15.75" customHeight="1" spans="1:2">
      <c r="A27913" s="3" t="str">
        <f>IFERROR(__xludf.DUMMYFUNCTION("GOOGLETRANSLATE(A27913,""en"",""pt"")"),"Engole baterias como nada que você já viu, mas o digital não faz?")</f>
        <v>Engole baterias como nada que você já viu, mas o digital não faz?</v>
      </c>
      <c r="B27913" s="3">
        <v>0</v>
      </c>
    </row>
    <row r="27914" ht="15.75" customHeight="1" spans="1:2">
      <c r="A27914" s="3" t="str">
        <f>IFERROR(__xludf.DUMMYFUNCTION("GOOGLETRANSLATE(A27914,""en"",""pt"")"),"Engole baterias como nada que você já viu, mas o digital não faz?")</f>
        <v>Engole baterias como nada que você já viu, mas o digital não faz?</v>
      </c>
      <c r="B27914" s="3">
        <v>0</v>
      </c>
    </row>
    <row r="27915" ht="15.75" customHeight="1" spans="1:2">
      <c r="A27915" s="3" t="str">
        <f>IFERROR(__xludf.DUMMYFUNCTION("GOOGLETRANSLATE(A27915,""en"",""pt"")"),"Ela passa por baterias rapidamente.")</f>
        <v>Ela passa por baterias rapidamente.</v>
      </c>
      <c r="B27915" s="3">
        <v>0</v>
      </c>
    </row>
    <row r="27916" ht="15.75" customHeight="1" spans="1:2">
      <c r="A27916" s="3" t="str">
        <f>IFERROR(__xludf.DUMMYFUNCTION("GOOGLETRANSLATE(A27916,""en"",""pt"")"),"No visor óptico. A volumosa bit.")</f>
        <v>No visor óptico. A volumosa bit.</v>
      </c>
      <c r="B27916" s="3">
        <v>0</v>
      </c>
    </row>
    <row r="27917" ht="15.75" customHeight="1" spans="1:2">
      <c r="A27917" s="3" t="str">
        <f>IFERROR(__xludf.DUMMYFUNCTION("GOOGLETRANSLATE(A27917,""en"",""pt"")"),"Peso pesado, assassino poder, nem visor")</f>
        <v>Peso pesado, assassino poder, nem visor</v>
      </c>
      <c r="B27917" s="3">
        <v>0</v>
      </c>
    </row>
    <row r="27918" ht="15.75" customHeight="1" spans="1:2">
      <c r="A27918" s="3" t="str">
        <f>IFERROR(__xludf.DUMMYFUNCTION("GOOGLETRANSLATE(A27918,""en"",""pt"")"),"nada")</f>
        <v>nada</v>
      </c>
      <c r="B27918" s="3">
        <v>0</v>
      </c>
    </row>
    <row r="27919" ht="15.75" customHeight="1" spans="1:2">
      <c r="A27919" s="3" t="str">
        <f>IFERROR(__xludf.DUMMYFUNCTION("GOOGLETRANSLATE(A27919,""en"",""pt"")"),"Você pode precisar de um exorcista.")</f>
        <v>Você pode precisar de um exorcista.</v>
      </c>
      <c r="B27919" s="3">
        <v>0</v>
      </c>
    </row>
    <row r="27920" ht="15.75" customHeight="1" spans="1:2">
      <c r="A27920" s="3" t="str">
        <f>IFERROR(__xludf.DUMMYFUNCTION("GOOGLETRANSLATE(A27920,""en"",""pt"")"),"Maior e mais pesado do que outras câmeras digitais.")</f>
        <v>Maior e mais pesado do que outras câmeras digitais.</v>
      </c>
      <c r="B27920" s="3">
        <v>0</v>
      </c>
    </row>
    <row r="27921" ht="15.75" customHeight="1" spans="1:2">
      <c r="A27921" s="3" t="str">
        <f>IFERROR(__xludf.DUMMYFUNCTION("GOOGLETRANSLATE(A27921,""en"",""pt"")"),"Volumosos e, por vezes, difíceis de transportar")</f>
        <v>Volumosos e, por vezes, difíceis de transportar</v>
      </c>
      <c r="B27921" s="3">
        <v>0</v>
      </c>
    </row>
    <row r="27922" ht="15.75" customHeight="1" spans="1:2">
      <c r="A27922" s="3" t="str">
        <f>IFERROR(__xludf.DUMMYFUNCTION("GOOGLETRANSLATE(A27922,""en"",""pt"")"),"Volumoso, imprimindo qualidade é muito boa, mas Polaroid 500 fotos são de tamanho pequeno.")</f>
        <v>Volumoso, imprimindo qualidade é muito boa, mas Polaroid 500 fotos são de tamanho pequeno.</v>
      </c>
      <c r="B27922" s="3">
        <v>0</v>
      </c>
    </row>
    <row r="27923" ht="15.75" customHeight="1" spans="1:2">
      <c r="A27923" s="3" t="str">
        <f>IFERROR(__xludf.DUMMYFUNCTION("GOOGLETRANSLATE(A27923,""en"",""pt"")"),"Baterias tendem a ir Morto rápido, Memory Card Reader pode ser necessária. Tipo de pesado.")</f>
        <v>Baterias tendem a ir Morto rápido, Memory Card Reader pode ser necessária. Tipo de pesado.</v>
      </c>
      <c r="B27923" s="3">
        <v>0</v>
      </c>
    </row>
    <row r="27924" ht="15.75" customHeight="1" spans="1:2">
      <c r="A27924" s="3" t="str">
        <f>IFERROR(__xludf.DUMMYFUNCTION("GOOGLETRANSLATE(A27924,""en"",""pt"")"),"Maior do que o esperado")</f>
        <v>Maior do que o esperado</v>
      </c>
      <c r="B27924" s="3">
        <v>0</v>
      </c>
    </row>
    <row r="27925" ht="15.75" customHeight="1" spans="1:2">
      <c r="A27925" s="3" t="str">
        <f>IFERROR(__xludf.DUMMYFUNCTION("GOOGLETRANSLATE(A27925,""en"",""pt"")"),"Pode me emprestar US $ 800, talvez eu vou vir para cima com mais")</f>
        <v>Pode me emprestar US $ 800, talvez eu vou vir para cima com mais</v>
      </c>
      <c r="B27925" s="3">
        <v>0</v>
      </c>
    </row>
    <row r="27926" ht="15.75" customHeight="1" spans="1:2">
      <c r="A27926" s="3" t="str">
        <f>IFERROR(__xludf.DUMMYFUNCTION("GOOGLETRANSLATE(A27926,""en"",""pt"")"),"Volumoso, a qualidade de impressão é média")</f>
        <v>Volumoso, a qualidade de impressão é média</v>
      </c>
      <c r="B27926" s="3">
        <v>0</v>
      </c>
    </row>
    <row r="27927" ht="15.75" customHeight="1" spans="1:2">
      <c r="A27927" s="3" t="str">
        <f>IFERROR(__xludf.DUMMYFUNCTION("GOOGLETRANSLATE(A27927,""en"",""pt"")"),"Big, às vezes pesado, comedor da bateria, quicktime clips de vídeo sem som ...")</f>
        <v>Big, às vezes pesado, comedor da bateria, quicktime clips de vídeo sem som ...</v>
      </c>
      <c r="B27927" s="3">
        <v>0</v>
      </c>
    </row>
    <row r="27928" ht="15.75" customHeight="1" spans="1:2">
      <c r="A27928" s="3" t="str">
        <f>IFERROR(__xludf.DUMMYFUNCTION("GOOGLETRANSLATE(A27928,""en"",""pt"")"),"Bastante grande, película polaroid caro")</f>
        <v>Bastante grande, película polaroid caro</v>
      </c>
      <c r="B27928" s="3">
        <v>0</v>
      </c>
    </row>
    <row r="27929" ht="15.75" customHeight="1" spans="1:2">
      <c r="A27929" s="3" t="str">
        <f>IFERROR(__xludf.DUMMYFUNCTION("GOOGLETRANSLATE(A27929,""en"",""pt"")"),"Um pouco grande, off posição não bloqueia para evitar o uso da bateria, pequena imagem impressa (2X3)")</f>
        <v>Um pouco grande, off posição não bloqueia para evitar o uso da bateria, pequena imagem impressa (2X3)</v>
      </c>
      <c r="B27929" s="3">
        <v>0</v>
      </c>
    </row>
    <row r="27930" ht="15.75" customHeight="1" spans="1:2">
      <c r="A27930" s="3" t="str">
        <f>IFERROR(__xludf.DUMMYFUNCTION("GOOGLETRANSLATE(A27930,""en"",""pt"")"),"Nenhuma, excepto o tamanho da câmera &amp; amp;. # 13; &amp; amp; # 10;")</f>
        <v>Nenhuma, excepto o tamanho da câmera &amp; amp;. # 13; &amp; amp; # 10;</v>
      </c>
      <c r="B27930" s="3">
        <v>0</v>
      </c>
    </row>
    <row r="27931" ht="15.75" customHeight="1" spans="1:2">
      <c r="A27931" s="3" t="str">
        <f>IFERROR(__xludf.DUMMYFUNCTION("GOOGLETRANSLATE(A27931,""en"",""pt"")"),"Overkill para o novato. Memória e as pilhas uma obrigação.")</f>
        <v>Overkill para o novato. Memória e as pilhas uma obrigação.</v>
      </c>
      <c r="B27931" s="3">
        <v>0</v>
      </c>
    </row>
    <row r="27932" ht="15.75" customHeight="1" spans="1:2">
      <c r="A27932" s="3" t="str">
        <f>IFERROR(__xludf.DUMMYFUNCTION("GOOGLETRANSLATE(A27932,""en"",""pt"")"),"Noise às vezes visível, Sem conexão USB, não ""anel de foco real""")</f>
        <v>Noise às vezes visível, Sem conexão USB, não "anel de foco real"</v>
      </c>
      <c r="B27932" s="3">
        <v>0</v>
      </c>
    </row>
    <row r="27933" ht="15.75" customHeight="1" spans="1:2">
      <c r="A27933" s="3" t="str">
        <f>IFERROR(__xludf.DUMMYFUNCTION("GOOGLETRANSLATE(A27933,""en"",""pt"")"),"adaptador AC extra, cabo serial não USB, apenas 4 configurações de F-stop: F2.8, F3.9, F5.6, F7,8")</f>
        <v>adaptador AC extra, cabo serial não USB, apenas 4 configurações de F-stop: F2.8, F3.9, F5.6, F7,8</v>
      </c>
      <c r="B27933" s="3">
        <v>0</v>
      </c>
    </row>
    <row r="27934" ht="15.75" customHeight="1" spans="1:2">
      <c r="A27934" s="3" t="str">
        <f>IFERROR(__xludf.DUMMYFUNCTION("GOOGLETRANSLATE(A27934,""en"",""pt"")"),"Nenhuma porta USB, construção leve")</f>
        <v>Nenhuma porta USB, construção leve</v>
      </c>
      <c r="B27934" s="3">
        <v>0</v>
      </c>
    </row>
    <row r="27935" ht="15.75" customHeight="1" spans="1:2">
      <c r="A27935" s="3" t="str">
        <f>IFERROR(__xludf.DUMMYFUNCTION("GOOGLETRANSLATE(A27935,""en"",""pt"")"),"Não zoom suficiente, caro")</f>
        <v>Não zoom suficiente, caro</v>
      </c>
      <c r="B27935" s="3">
        <v>0</v>
      </c>
    </row>
    <row r="27936" ht="15.75" customHeight="1" spans="1:2">
      <c r="A27936" s="3" t="str">
        <f>IFERROR(__xludf.DUMMYFUNCTION("GOOGLETRANSLATE(A27936,""en"",""pt"")"),"Muito lenta resposta de tiro piscar de olhos - tem nenhum caso, tampa da lente pode ser facilmente perdida")</f>
        <v>Muito lenta resposta de tiro piscar de olhos - tem nenhum caso, tampa da lente pode ser facilmente perdida</v>
      </c>
      <c r="B27936" s="3">
        <v>0</v>
      </c>
    </row>
    <row r="27937" ht="15.75" customHeight="1" spans="1:2">
      <c r="A27937" s="3" t="str">
        <f>IFERROR(__xludf.DUMMYFUNCTION("GOOGLETRANSLATE(A27937,""en"",""pt"")"),"Um pouco maior do que os não-SLRs, alguns erros no manuseio do cartão de 32MB Smartmedia")</f>
        <v>Um pouco maior do que os não-SLRs, alguns erros no manuseio do cartão de 32MB Smartmedia</v>
      </c>
      <c r="B27937" s="3">
        <v>0</v>
      </c>
    </row>
    <row r="27938" ht="15.75" customHeight="1" spans="1:2">
      <c r="A27938" s="3" t="str">
        <f>IFERROR(__xludf.DUMMYFUNCTION("GOOGLETRANSLATE(A27938,""en"",""pt"")"),"nenhum caso incluído, um pouco caro, mas vale a pena")</f>
        <v>nenhum caso incluído, um pouco caro, mas vale a pena</v>
      </c>
      <c r="B27938" s="3">
        <v>0</v>
      </c>
    </row>
    <row r="27939" ht="15.75" customHeight="1" spans="1:2">
      <c r="A27939" s="3" t="str">
        <f>IFERROR(__xludf.DUMMYFUNCTION("GOOGLETRANSLATE(A27939,""en"",""pt"")"),"Peculiar qualidade de imagem de visualização, controle de abertura limitada")</f>
        <v>Peculiar qualidade de imagem de visualização, controle de abertura limitada</v>
      </c>
      <c r="B27939" s="3">
        <v>0</v>
      </c>
    </row>
    <row r="27940" ht="15.75" customHeight="1" spans="1:2">
      <c r="A27940" s="3" t="str">
        <f>IFERROR(__xludf.DUMMYFUNCTION("GOOGLETRANSLATE(A27940,""en"",""pt"")"),"Preço")</f>
        <v>Preço</v>
      </c>
      <c r="B27940" s="3">
        <v>0</v>
      </c>
    </row>
    <row r="27941" ht="15.75" customHeight="1" spans="1:2">
      <c r="A27941" s="3" t="str">
        <f>IFERROR(__xludf.DUMMYFUNCTION("GOOGLETRANSLATE(A27941,""en"",""pt"")"),"preço é alto")</f>
        <v>preço é alto</v>
      </c>
      <c r="B27941" s="3">
        <v>0</v>
      </c>
    </row>
    <row r="27942" ht="15.75" customHeight="1" spans="1:2">
      <c r="A27942" s="3" t="str">
        <f>IFERROR(__xludf.DUMMYFUNCTION("GOOGLETRANSLATE(A27942,""en"",""pt"")"),"Usa muita energia da bateria.")</f>
        <v>Usa muita energia da bateria.</v>
      </c>
      <c r="B27942" s="3">
        <v>0</v>
      </c>
    </row>
    <row r="27943" ht="15.75" customHeight="1" spans="1:2">
      <c r="A27943" s="3" t="s">
        <v>145</v>
      </c>
      <c r="B27943" s="3">
        <v>0</v>
      </c>
    </row>
    <row r="27944" ht="15.75" customHeight="1" spans="1:2">
      <c r="A27944" s="3" t="str">
        <f>IFERROR(__xludf.DUMMYFUNCTION("GOOGLETRANSLATE(A27944,""en"",""pt"")"),"O foco manual requer que empurra a tecla")</f>
        <v>O foco manual requer que empurra a tecla</v>
      </c>
      <c r="B27944" s="3">
        <v>0</v>
      </c>
    </row>
    <row r="27945" ht="15.75" customHeight="1" spans="1:2">
      <c r="A27945" s="3" t="str">
        <f>IFERROR(__xludf.DUMMYFUNCTION("GOOGLETRANSLATE(A27945,""en"",""pt"")"),"Nenhum")</f>
        <v>Nenhum</v>
      </c>
      <c r="B27945" s="3">
        <v>0</v>
      </c>
    </row>
    <row r="27946" ht="15.75" customHeight="1" spans="1:2">
      <c r="A27946" s="3" t="str">
        <f>IFERROR(__xludf.DUMMYFUNCTION("GOOGLETRANSLATE(A27946,""en"",""pt"")"),"não pode enquadrar fotos através do ecrã LCD, apenas dois ajustes de abertura, apenas a 3x de zoom")</f>
        <v>não pode enquadrar fotos através do ecrã LCD, apenas dois ajustes de abertura, apenas a 3x de zoom</v>
      </c>
      <c r="B27946" s="3">
        <v>0</v>
      </c>
    </row>
    <row r="27947" ht="15.75" customHeight="1" spans="1:2">
      <c r="A27947" s="3" t="str">
        <f>IFERROR(__xludf.DUMMYFUNCTION("GOOGLETRANSLATE(A27947,""en"",""pt"")"),"Não encontrei um ainda")</f>
        <v>Não encontrei um ainda</v>
      </c>
      <c r="B27947" s="3">
        <v>0</v>
      </c>
    </row>
    <row r="27948" ht="15.75" customHeight="1" spans="1:2">
      <c r="A27948" s="3" t="str">
        <f>IFERROR(__xludf.DUMMYFUNCTION("GOOGLETRANSLATE(A27948,""en"",""pt"")"),"etiqueta de preço")</f>
        <v>etiqueta de preço</v>
      </c>
      <c r="B27948" s="3">
        <v>0</v>
      </c>
    </row>
    <row r="27949" ht="15.75" customHeight="1" spans="1:2">
      <c r="A27949" s="3" t="str">
        <f>IFERROR(__xludf.DUMMYFUNCTION("GOOGLETRANSLATE(A27949,""en"",""pt"")"),"apenas 2 ajustes de abertura, caro, sem USB")</f>
        <v>apenas 2 ajustes de abertura, caro, sem USB</v>
      </c>
      <c r="B27949" s="3">
        <v>0</v>
      </c>
    </row>
    <row r="27950" ht="15.75" customHeight="1" spans="1:2">
      <c r="A27950" s="3" t="str">
        <f>IFERROR(__xludf.DUMMYFUNCTION("GOOGLETRANSLATE(A27950,""en"",""pt"")"),"zoom Limited, tem uma curva de aprendizado")</f>
        <v>zoom Limited, tem uma curva de aprendizado</v>
      </c>
      <c r="B27950" s="3">
        <v>0</v>
      </c>
    </row>
    <row r="27951" ht="15.75" customHeight="1" spans="1:2">
      <c r="A27951" s="3" t="str">
        <f>IFERROR(__xludf.DUMMYFUNCTION("GOOGLETRANSLATE(A27951,""en"",""pt"")"),"dreno de bateria, necessidade de pacote com cartões de memória maior capacidade")</f>
        <v>dreno de bateria, necessidade de pacote com cartões de memória maior capacidade</v>
      </c>
      <c r="B27951" s="3">
        <v>0</v>
      </c>
    </row>
    <row r="27952" ht="15.75" customHeight="1" spans="1:2">
      <c r="A27952" s="3" t="str">
        <f>IFERROR(__xludf.DUMMYFUNCTION("GOOGLETRANSLATE(A27952,""en"",""pt"")"),"Não é possível mudar as lentes, ajustes de abertura limitados (2!)")</f>
        <v>Não é possível mudar as lentes, ajustes de abertura limitados (2!)</v>
      </c>
      <c r="B27952" s="3">
        <v>0</v>
      </c>
    </row>
    <row r="27953" ht="15.75" customHeight="1" spans="1:2">
      <c r="A27953" s="3" t="str">
        <f>IFERROR(__xludf.DUMMYFUNCTION("GOOGLETRANSLATE(A27953,""en"",""pt"")"),"tampa da lente não ligado.")</f>
        <v>tampa da lente não ligado.</v>
      </c>
      <c r="B27953" s="3">
        <v>0</v>
      </c>
    </row>
    <row r="27954" ht="15.75" customHeight="1" spans="1:2">
      <c r="A27954" s="3" t="str">
        <f>IFERROR(__xludf.DUMMYFUNCTION("GOOGLETRANSLATE(A27954,""en"",""pt"")"),"Um pouco difícil de aprender.")</f>
        <v>Um pouco difícil de aprender.</v>
      </c>
      <c r="B27954" s="3">
        <v>0</v>
      </c>
    </row>
    <row r="27955" ht="15.75" customHeight="1" spans="1:2">
      <c r="A27955" s="3" t="str">
        <f>IFERROR(__xludf.DUMMYFUNCTION("GOOGLETRANSLATE(A27955,""en"",""pt"")"),"projeto tampa da lente, muito complexo para o usuário casual")</f>
        <v>projeto tampa da lente, muito complexo para o usuário casual</v>
      </c>
      <c r="B27955" s="3">
        <v>0</v>
      </c>
    </row>
    <row r="27956" ht="15.75" customHeight="1" spans="1:2">
      <c r="A27956" s="3" t="str">
        <f>IFERROR(__xludf.DUMMYFUNCTION("GOOGLETRANSLATE(A27956,""en"",""pt"")"),"Não tamanho compacto, anexando add-on lentes é um aborrecimento")</f>
        <v>Não tamanho compacto, anexando add-on lentes é um aborrecimento</v>
      </c>
      <c r="B27956" s="3">
        <v>0</v>
      </c>
    </row>
    <row r="27957" ht="15.75" customHeight="1" spans="1:2">
      <c r="A27957" s="3" t="str">
        <f>IFERROR(__xludf.DUMMYFUNCTION("GOOGLETRANSLATE(A27957,""en"",""pt"")"),"A vida da bateria, deve ler o manual, deve remover a tampa da lente, cartão de memória pequeno 8MB &amp; amp;. # 13; &amp; amp; # 10; fornecidas")</f>
        <v>A vida da bateria, deve ler o manual, deve remover a tampa da lente, cartão de memória pequeno 8MB &amp; amp;. # 13; &amp; amp; # 10; fornecidas</v>
      </c>
      <c r="B27957" s="3">
        <v>0</v>
      </c>
    </row>
    <row r="27958" ht="15.75" customHeight="1" spans="1:2">
      <c r="A27958" s="3" t="str">
        <f>IFERROR(__xludf.DUMMYFUNCTION("GOOGLETRANSLATE(A27958,""en"",""pt"")"),"O cartão de memória tem de ser de pelo menos 64 MB de ter uma sessão fotográfica longa")</f>
        <v>O cartão de memória tem de ser de pelo menos 64 MB de ter uma sessão fotográfica longa</v>
      </c>
      <c r="B27958" s="3">
        <v>0</v>
      </c>
    </row>
    <row r="27959" ht="15.75" customHeight="1" spans="1:2">
      <c r="A27959" s="3" t="str">
        <f>IFERROR(__xludf.DUMMYFUNCTION("GOOGLETRANSLATE(A27959,""en"",""pt"")"),"3 megapixels ainda não vai fazer uma grande 8x10, apesar do hype")</f>
        <v>3 megapixels ainda não vai fazer uma grande 8x10, apesar do hype</v>
      </c>
      <c r="B27959" s="3">
        <v>0</v>
      </c>
    </row>
    <row r="27960" ht="15.75" customHeight="1" spans="1:2">
      <c r="A27960" s="3" t="str">
        <f>IFERROR(__xludf.DUMMYFUNCTION("GOOGLETRANSLATE(A27960,""en"",""pt"")"),"Os menus são confuso no início")</f>
        <v>Os menus são confuso no início</v>
      </c>
      <c r="B27960" s="3">
        <v>0</v>
      </c>
    </row>
    <row r="27961" ht="15.75" customHeight="1" spans="1:2">
      <c r="A27961" s="3" t="str">
        <f>IFERROR(__xludf.DUMMYFUNCTION("GOOGLETRANSLATE(A27961,""en"",""pt"")"),"Só vem com cartão de memória de 8 MB")</f>
        <v>Só vem com cartão de memória de 8 MB</v>
      </c>
      <c r="B27961" s="3">
        <v>0</v>
      </c>
    </row>
    <row r="27962" ht="15.75" customHeight="1" spans="1:2">
      <c r="A27962" s="3" t="str">
        <f>IFERROR(__xludf.DUMMYFUNCTION("GOOGLETRANSLATE(A27962,""en"",""pt"")"),"visor óptico não corresponde à imagem")</f>
        <v>visor óptico não corresponde à imagem</v>
      </c>
      <c r="B27962" s="3">
        <v>0</v>
      </c>
    </row>
    <row r="27963" ht="15.75" customHeight="1" spans="1:2">
      <c r="A27963" s="3" t="str">
        <f>IFERROR(__xludf.DUMMYFUNCTION("GOOGLETRANSLATE(A27963,""en"",""pt"")"),"software pobres. Projeto frágil. Esteja preparado para gastar dinheiro em acessórios que devem ser incluídos.")</f>
        <v>software pobres. Projeto frágil. Esteja preparado para gastar dinheiro em acessórios que devem ser incluídos.</v>
      </c>
      <c r="B27963" s="3">
        <v>0</v>
      </c>
    </row>
    <row r="27964" ht="15.75" customHeight="1" spans="1:2">
      <c r="A27964" s="3" t="str">
        <f>IFERROR(__xludf.DUMMYFUNCTION("GOOGLETRANSLATE(A27964,""en"",""pt"")"),"Menor das reclamações a respeito da interface, on / off recurso, abertura, som, visor")</f>
        <v>Menor das reclamações a respeito da interface, on / off recurso, abertura, som, visor</v>
      </c>
      <c r="B27964" s="3">
        <v>0</v>
      </c>
    </row>
    <row r="27965" ht="15.75" customHeight="1" spans="1:2">
      <c r="A27965" s="3" t="str">
        <f>IFERROR(__xludf.DUMMYFUNCTION("GOOGLETRANSLATE(A27965,""en"",""pt"")"),"Deve vir com um cartão de memória maior.")</f>
        <v>Deve vir com um cartão de memória maior.</v>
      </c>
      <c r="B27965" s="3">
        <v>0</v>
      </c>
    </row>
    <row r="27966" ht="15.75" customHeight="1" spans="1:2">
      <c r="A27966" s="3" t="str">
        <f>IFERROR(__xludf.DUMMYFUNCTION("GOOGLETRANSLATE(A27966,""en"",""pt"")"),"Lentos para puxar para cima fotografias que já tenham sido tomadas")</f>
        <v>Lentos para puxar para cima fotografias que já tenham sido tomadas</v>
      </c>
      <c r="B27966" s="3">
        <v>0</v>
      </c>
    </row>
    <row r="27967" ht="15.75" customHeight="1" spans="1:2">
      <c r="A27967" s="3" t="str">
        <f>IFERROR(__xludf.DUMMYFUNCTION("GOOGLETRANSLATE(A27967,""en"",""pt"")"),"projeto falho tampa da lente, pobre visor, cartão de memória acanhado, não adaptador AC, sem baterias recarregáveis.")</f>
        <v>projeto falho tampa da lente, pobre visor, cartão de memória acanhado, não adaptador AC, sem baterias recarregáveis.</v>
      </c>
      <c r="B27967" s="3">
        <v>0</v>
      </c>
    </row>
    <row r="27968" ht="15.75" customHeight="1" spans="1:2">
      <c r="A27968" s="3" t="str">
        <f>IFERROR(__xludf.DUMMYFUNCTION("GOOGLETRANSLATE(A27968,""en"",""pt"")"),"Requer tempo para aprender usando todas as funções")</f>
        <v>Requer tempo para aprender usando todas as funções</v>
      </c>
      <c r="B27968" s="3">
        <v>0</v>
      </c>
    </row>
    <row r="27969" ht="15.75" customHeight="1" spans="1:2">
      <c r="A27969" s="3" t="str">
        <f>IFERROR(__xludf.DUMMYFUNCTION("GOOGLETRANSLATE(A27969,""en"",""pt"")"),"Não há configurações de modo (desportos, noite, retrato) tiros. tampa da lente ... fácil de perder.")</f>
        <v>Não há configurações de modo (desportos, noite, retrato) tiros. tampa da lente ... fácil de perder.</v>
      </c>
      <c r="B27969" s="3">
        <v>0</v>
      </c>
    </row>
    <row r="27970" ht="15.75" customHeight="1" spans="1:2">
      <c r="A27970" s="3" t="str">
        <f>IFERROR(__xludf.DUMMYFUNCTION("GOOGLETRANSLATE(A27970,""en"",""pt"")"),"Lens Cap precisa de uma correia (já perdi o meu), precisa de um monte de acessórios")</f>
        <v>Lens Cap precisa de uma correia (já perdi o meu), precisa de um monte de acessórios</v>
      </c>
      <c r="B27970" s="3">
        <v>0</v>
      </c>
    </row>
    <row r="27971" ht="15.75" customHeight="1" spans="1:2">
      <c r="A27971" s="3" t="str">
        <f>IFERROR(__xludf.DUMMYFUNCTION("GOOGLETRANSLATE(A27971,""en"",""pt"")"),"A vida da bateria, um pouco volumosos")</f>
        <v>A vida da bateria, um pouco volumosos</v>
      </c>
      <c r="B27971" s="3">
        <v>0</v>
      </c>
    </row>
    <row r="27972" ht="15.75" customHeight="1" spans="1:2">
      <c r="A27972" s="3" t="str">
        <f>IFERROR(__xludf.DUMMYFUNCTION("GOOGLETRANSLATE(A27972,""en"",""pt"")"),"um pequeno manual esmagadora em primeiro lugar, disco de mídia inteligente só é 8MB.")</f>
        <v>um pequeno manual esmagadora em primeiro lugar, disco de mídia inteligente só é 8MB.</v>
      </c>
      <c r="B27972" s="3">
        <v>0</v>
      </c>
    </row>
    <row r="27973" ht="15.75" customHeight="1" spans="1:2">
      <c r="A27973" s="3" t="str">
        <f>IFERROR(__xludf.DUMMYFUNCTION("GOOGLETRANSLATE(A27973,""en"",""pt"")"),"Você vai precisar de mais SmartMedia que a 8MB fornecido.")</f>
        <v>Você vai precisar de mais SmartMedia que a 8MB fornecido.</v>
      </c>
      <c r="B27973" s="3">
        <v>0</v>
      </c>
    </row>
    <row r="27974" ht="15.75" customHeight="1" spans="1:2">
      <c r="A27974" s="3" t="str">
        <f>IFERROR(__xludf.DUMMYFUNCTION("GOOGLETRANSLATE(A27974,""en"",""pt"")"),"NENHUM")</f>
        <v>NENHUM</v>
      </c>
      <c r="B27974" s="3">
        <v>0</v>
      </c>
    </row>
    <row r="27975" ht="15.75" customHeight="1" spans="1:2">
      <c r="A27975" s="3" t="str">
        <f>IFERROR(__xludf.DUMMYFUNCTION("GOOGLETRANSLATE(A27975,""en"",""pt"")"),"Não para você se você tem 5 ou 6 megapixels inveja!")</f>
        <v>Não para você se você tem 5 ou 6 megapixels inveja!</v>
      </c>
      <c r="B27975" s="3">
        <v>0</v>
      </c>
    </row>
    <row r="27976" ht="15.75" customHeight="1" spans="1:2">
      <c r="A27976" s="3" t="str">
        <f>IFERROR(__xludf.DUMMYFUNCTION("GOOGLETRANSLATE(A27976,""en"",""pt"")"),"tampa da lente poderia ser perdido.")</f>
        <v>tampa da lente poderia ser perdido.</v>
      </c>
      <c r="B27976" s="3">
        <v>0</v>
      </c>
    </row>
    <row r="27977" ht="15.75" customHeight="1" spans="1:2">
      <c r="A27977" s="3" t="str">
        <f>IFERROR(__xludf.DUMMYFUNCTION("GOOGLETRANSLATE(A27977,""en"",""pt"")"),"velho modelo pode ser facilmente ultrapassado por mais novos, melhores e mais baratos.")</f>
        <v>velho modelo pode ser facilmente ultrapassado por mais novos, melhores e mais baratos.</v>
      </c>
      <c r="B27977" s="3">
        <v>0</v>
      </c>
    </row>
    <row r="27978" ht="15.75" customHeight="1" spans="1:2">
      <c r="A27978" s="3" t="str">
        <f>IFERROR(__xludf.DUMMYFUNCTION("GOOGLETRANSLATE(A27978,""en"",""pt"")"),"Câmera trava ao escrever para a mídia. a operação da câmera não user-friendly.")</f>
        <v>Câmera trava ao escrever para a mídia. a operação da câmera não user-friendly.</v>
      </c>
      <c r="B27978" s="3">
        <v>0</v>
      </c>
    </row>
    <row r="27979" ht="15.75" customHeight="1" spans="1:2">
      <c r="A27979" s="3" t="str">
        <f>IFERROR(__xludf.DUMMYFUNCTION("GOOGLETRANSLATE(A27979,""en"",""pt"")"),"Funky do Windows Software, cartão de memória pequeno, tampa da lente")</f>
        <v>Funky do Windows Software, cartão de memória pequeno, tampa da lente</v>
      </c>
      <c r="B27979" s="3">
        <v>0</v>
      </c>
    </row>
    <row r="27980" ht="15.75" customHeight="1" spans="1:2">
      <c r="A27980" s="3" t="str">
        <f>IFERROR(__xludf.DUMMYFUNCTION("GOOGLETRANSLATE(A27980,""en"",""pt"")"),"fábrica remodelado não veio com tampa da lente")</f>
        <v>fábrica remodelado não veio com tampa da lente</v>
      </c>
      <c r="B27980" s="3">
        <v>0</v>
      </c>
    </row>
    <row r="27981" ht="15.75" customHeight="1" spans="1:2">
      <c r="A27981" s="3" t="str">
        <f>IFERROR(__xludf.DUMMYFUNCTION("GOOGLETRANSLATE(A27981,""en"",""pt"")"),"Imagens grandes ocupam mais espaço no cartão inteligente")</f>
        <v>Imagens grandes ocupam mais espaço no cartão inteligente</v>
      </c>
      <c r="B27981" s="3">
        <v>0</v>
      </c>
    </row>
    <row r="27982" ht="15.75" customHeight="1" spans="1:2">
      <c r="A27982" s="3" t="str">
        <f>IFERROR(__xludf.DUMMYFUNCTION("GOOGLETRANSLATE(A27982,""en"",""pt"")"),"Menus demais, Button para ver última foto tirada")</f>
        <v>Menus demais, Button para ver última foto tirada</v>
      </c>
      <c r="B27982" s="3">
        <v>0</v>
      </c>
    </row>
    <row r="27983" ht="15.75" customHeight="1" spans="1:2">
      <c r="A27983" s="3" t="str">
        <f>IFERROR(__xludf.DUMMYFUNCTION("GOOGLETRANSLATE(A27983,""en"",""pt"")"),"Menus às vezes um pouco complicadas.")</f>
        <v>Menus às vezes um pouco complicadas.</v>
      </c>
      <c r="B27983" s="3">
        <v>0</v>
      </c>
    </row>
    <row r="27984" ht="15.75" customHeight="1" spans="1:2">
      <c r="A27984" s="3" t="str">
        <f>IFERROR(__xludf.DUMMYFUNCTION("GOOGLETRANSLATE(A27984,""en"",""pt"")"),"Utiliza baterias rapidamente, fácil de perder a tampa da lente, software está faltando.")</f>
        <v>Utiliza baterias rapidamente, fácil de perder a tampa da lente, software está faltando.</v>
      </c>
      <c r="B27984" s="3">
        <v>0</v>
      </c>
    </row>
    <row r="27985" ht="15.75" customHeight="1" spans="1:2">
      <c r="A27985" s="3" t="str">
        <f>IFERROR(__xludf.DUMMYFUNCTION("GOOGLETRANSLATE(A27985,""en"",""pt"")"),"Caro $ 850, utiliza uma grande quantidade de energia.")</f>
        <v>Caro $ 850, utiliza uma grande quantidade de energia.</v>
      </c>
      <c r="B27985" s="3">
        <v>0</v>
      </c>
    </row>
    <row r="27986" ht="15.75" customHeight="1" spans="1:2">
      <c r="A27986" s="3" t="str">
        <f>IFERROR(__xludf.DUMMYFUNCTION("GOOGLETRANSLATE(A27986,""en"",""pt"")"),"interface do usuário não é amigável")</f>
        <v>interface do usuário não é amigável</v>
      </c>
      <c r="B27986" s="3">
        <v>0</v>
      </c>
    </row>
    <row r="27987" ht="15.75" customHeight="1" spans="1:2">
      <c r="A27987" s="3" t="str">
        <f>IFERROR(__xludf.DUMMYFUNCTION("GOOGLETRANSLATE(A27987,""en"",""pt"")"),"sem alça objectiva, o cartão Smartmedia fornecido")</f>
        <v>sem alça objectiva, o cartão Smartmedia fornecido</v>
      </c>
      <c r="B27987" s="3">
        <v>0</v>
      </c>
    </row>
    <row r="27988" ht="15.75" customHeight="1" spans="1:2">
      <c r="A27988" s="3" t="str">
        <f>IFERROR(__xludf.DUMMYFUNCTION("GOOGLETRANSLATE(A27988,""en"",""pt"")"),"única USB")</f>
        <v>única USB</v>
      </c>
      <c r="B27988" s="3">
        <v>0</v>
      </c>
    </row>
    <row r="27989" ht="15.75" customHeight="1" spans="1:2">
      <c r="A27989" s="3" t="str">
        <f>IFERROR(__xludf.DUMMYFUNCTION("GOOGLETRANSLATE(A27989,""en"",""pt"")"),"Caro e deve vir com mais cartões de memória e um adaptador AC para o dinheiro.")</f>
        <v>Caro e deve vir com mais cartões de memória e um adaptador AC para o dinheiro.</v>
      </c>
      <c r="B27989" s="3">
        <v>0</v>
      </c>
    </row>
    <row r="27990" ht="15.75" customHeight="1" spans="1:2">
      <c r="A27990" s="3" t="str">
        <f>IFERROR(__xludf.DUMMYFUNCTION("GOOGLETRANSLATE(A27990,""en"",""pt"")"),"tampa da lente aborrecimentos. Alguns extras incluídos.")</f>
        <v>tampa da lente aborrecimentos. Alguns extras incluídos.</v>
      </c>
      <c r="B27990" s="3">
        <v>0</v>
      </c>
    </row>
    <row r="27991" ht="15.75" customHeight="1" spans="1:2">
      <c r="A27991" s="3" t="str">
        <f>IFERROR(__xludf.DUMMYFUNCTION("GOOGLETRANSLATE(A27991,""en"",""pt"")"),"visor imprecisa, ""dark"" fotos, distorção da imagem / vinhetas em grande angular, modo panorama bobo, cartão não confiável")</f>
        <v>visor imprecisa, "dark" fotos, distorção da imagem / vinhetas em grande angular, modo panorama bobo, cartão não confiável</v>
      </c>
      <c r="B27991" s="3">
        <v>0</v>
      </c>
    </row>
    <row r="27992" ht="15.75" customHeight="1" spans="1:2">
      <c r="A27992" s="3" t="str">
        <f>IFERROR(__xludf.DUMMYFUNCTION("GOOGLETRANSLATE(A27992,""en"",""pt"")"),"Ao ligá-lo você tem que esperar para a lente para sair!")</f>
        <v>Ao ligá-lo você tem que esperar para a lente para sair!</v>
      </c>
      <c r="B27992" s="3">
        <v>0</v>
      </c>
    </row>
    <row r="27993" ht="15.75" customHeight="1" spans="1:2">
      <c r="A27993" s="3" t="str">
        <f>IFERROR(__xludf.DUMMYFUNCTION("GOOGLETRANSLATE(A27993,""en"",""pt"")"),"Preço e tampa da lente tampa não acoplada à câmera.")</f>
        <v>Preço e tampa da lente tampa não acoplada à câmera.</v>
      </c>
      <c r="B27993" s="3">
        <v>0</v>
      </c>
    </row>
    <row r="27994" ht="15.75" customHeight="1" spans="1:2">
      <c r="A27994" s="3" t="str">
        <f>IFERROR(__xludf.DUMMYFUNCTION("GOOGLETRANSLATE(A27994,""en"",""pt"")"),"caro")</f>
        <v>caro</v>
      </c>
      <c r="B27994" s="3">
        <v>0</v>
      </c>
    </row>
    <row r="27995" ht="15.75" customHeight="1" spans="1:2">
      <c r="A27995" s="3" t="str">
        <f>IFERROR(__xludf.DUMMYFUNCTION("GOOGLETRANSLATE(A27995,""en"",""pt"")"),"mal escrito o manual, não inclui baterias recarregáveis")</f>
        <v>mal escrito o manual, não inclui baterias recarregáveis</v>
      </c>
      <c r="B27995" s="3">
        <v>0</v>
      </c>
    </row>
    <row r="27996" ht="15.75" customHeight="1" spans="1:2">
      <c r="A27996" s="3" t="str">
        <f>IFERROR(__xludf.DUMMYFUNCTION("GOOGLETRANSLATE(A27996,""en"",""pt"")"),"mau visor óptico, baterias não recarregáveis")</f>
        <v>mau visor óptico, baterias não recarregáveis</v>
      </c>
      <c r="B27996" s="3">
        <v>0</v>
      </c>
    </row>
    <row r="27997" ht="15.75" customHeight="1" spans="1:2">
      <c r="A27997" s="3" t="str">
        <f>IFERROR(__xludf.DUMMYFUNCTION("GOOGLETRANSLATE(A27997,""en"",""pt"")"),"tampa da lente pode ser incômodo")</f>
        <v>tampa da lente pode ser incômodo</v>
      </c>
      <c r="B27997" s="3">
        <v>0</v>
      </c>
    </row>
    <row r="27998" ht="15.75" customHeight="1" spans="1:2">
      <c r="A27998" s="3" t="str">
        <f>IFERROR(__xludf.DUMMYFUNCTION("GOOGLETRANSLATE(A27998,""en"",""pt"")"),"tampa da lente e compras adicionais necessários")</f>
        <v>tampa da lente e compras adicionais necessários</v>
      </c>
      <c r="B27998" s="3">
        <v>0</v>
      </c>
    </row>
    <row r="27999" ht="15.75" customHeight="1" spans="1:2">
      <c r="A27999" s="3" t="str">
        <f>IFERROR(__xludf.DUMMYFUNCTION("GOOGLETRANSLATE(A27999,""en"",""pt"")"),"cartão de memória não espaço suficiente, tampa da lente frágil, deixa de funcionar em resoluções mais altas, atendimento ao cliente")</f>
        <v>cartão de memória não espaço suficiente, tampa da lente frágil, deixa de funcionar em resoluções mais altas, atendimento ao cliente</v>
      </c>
      <c r="B27999" s="3">
        <v>0</v>
      </c>
    </row>
    <row r="28000" ht="15.75" customHeight="1" spans="1:2">
      <c r="A28000" s="3" t="str">
        <f>IFERROR(__xludf.DUMMYFUNCTION("GOOGLETRANSLATE(A28000,""en"",""pt"")"),"tampa da lente frágil, entregue com cartão de memória pequeno")</f>
        <v>tampa da lente frágil, entregue com cartão de memória pequeno</v>
      </c>
      <c r="B28000" s="3">
        <v>0</v>
      </c>
    </row>
    <row r="28001" ht="15.75" customHeight="1" spans="1:2">
      <c r="A28001" s="3" t="str">
        <f>IFERROR(__xludf.DUMMYFUNCTION("GOOGLETRANSLATE(A28001,""en"",""pt"")"),"lente f2.8, Olympus should'va manteve a lente f2")</f>
        <v>lente f2.8, Olympus should'va manteve a lente f2</v>
      </c>
      <c r="B28001" s="3">
        <v>0</v>
      </c>
    </row>
    <row r="28002" ht="15.75" customHeight="1" spans="1:2">
      <c r="A28002" s="3" t="str">
        <f>IFERROR(__xludf.DUMMYFUNCTION("GOOGLETRANSLATE(A28002,""en"",""pt"")"),"Caro! Câmera deve vir com mais de um cartão de memória de 8MB. adaptador AC não incluído.")</f>
        <v>Caro! Câmera deve vir com mais de um cartão de memória de 8MB. adaptador AC não incluído.</v>
      </c>
      <c r="B28002" s="3">
        <v>0</v>
      </c>
    </row>
    <row r="28003" ht="15.75" customHeight="1" spans="1:2">
      <c r="A28003" s="3" t="str">
        <f>IFERROR(__xludf.DUMMYFUNCTION("GOOGLETRANSLATE(A28003,""en"",""pt"")"),"Pode perder a tampa da lente!")</f>
        <v>Pode perder a tampa da lente!</v>
      </c>
      <c r="B28003" s="3">
        <v>0</v>
      </c>
    </row>
    <row r="28004" ht="15.75" customHeight="1" spans="1:2">
      <c r="A28004" s="3" t="str">
        <f>IFERROR(__xludf.DUMMYFUNCTION("GOOGLETRANSLATE(A28004,""en"",""pt"")"),"Vem com um cartão de memória pequena.")</f>
        <v>Vem com um cartão de memória pequena.</v>
      </c>
      <c r="B28004" s="3">
        <v>0</v>
      </c>
    </row>
    <row r="28005" ht="15.75" customHeight="1" spans="1:2">
      <c r="A28005" s="3" t="str">
        <f>IFERROR(__xludf.DUMMYFUNCTION("GOOGLETRANSLATE(A28005,""en"",""pt"")"),"Só vem com 8 MB cartão de memória flash")</f>
        <v>Só vem com 8 MB cartão de memória flash</v>
      </c>
      <c r="B28005" s="3">
        <v>0</v>
      </c>
    </row>
    <row r="28006" ht="15.75" customHeight="1" spans="1:2">
      <c r="A28006" s="3" t="str">
        <f>IFERROR(__xludf.DUMMYFUNCTION("GOOGLETRANSLATE(A28006,""en"",""pt"")"),"Foco poderia usar um pouco de trabalho, e a tampa da lente solto é muito chato. Alguns compatibilidade de terceiros teria sido inchamento, também")</f>
        <v>Foco poderia usar um pouco de trabalho, e a tampa da lente solto é muito chato. Alguns compatibilidade de terceiros teria sido inchamento, também</v>
      </c>
      <c r="B28006" s="3">
        <v>0</v>
      </c>
    </row>
    <row r="28007" ht="15.75" customHeight="1" spans="1:2">
      <c r="A28007" s="3" t="str">
        <f>IFERROR(__xludf.DUMMYFUNCTION("GOOGLETRANSLATE(A28007,""en"",""pt"")"),"Você tem que remover a tampa da lente antes de ligá-lo")</f>
        <v>Você tem que remover a tampa da lente antes de ligá-lo</v>
      </c>
      <c r="B28007" s="3">
        <v>0</v>
      </c>
    </row>
    <row r="28008" ht="15.75" customHeight="1" spans="1:2">
      <c r="A28008" s="3" t="str">
        <f>IFERROR(__xludf.DUMMYFUNCTION("GOOGLETRANSLATE(A28008,""en"",""pt"")"),"Baixa imagem luz má qualidade, tampa da lente precisa de um retentor ou uma cinta.")</f>
        <v>Baixa imagem luz má qualidade, tampa da lente precisa de um retentor ou uma cinta.</v>
      </c>
      <c r="B28008" s="3">
        <v>0</v>
      </c>
    </row>
    <row r="28009" ht="15.75" customHeight="1" spans="1:2">
      <c r="A28009" s="3" t="str">
        <f>IFERROR(__xludf.DUMMYFUNCTION("GOOGLETRANSLATE(A28009,""en"",""pt"")"),"Leva algum tempo para aprender todas as opções, taxa de disparo mais lenta do que 3030 mas que precisa mais rápido?")</f>
        <v>Leva algum tempo para aprender todas as opções, taxa de disparo mais lenta do que 3030 mas que precisa mais rápido?</v>
      </c>
      <c r="B28009" s="3">
        <v>0</v>
      </c>
    </row>
    <row r="28010" ht="15.75" customHeight="1" spans="1:2">
      <c r="A28010" s="3" t="str">
        <f>IFERROR(__xludf.DUMMYFUNCTION("GOOGLETRANSLATE(A28010,""en"",""pt"")"),"INCONVENIENTE LENS CAP / difícil de seguir MENUS")</f>
        <v>INCONVENIENTE LENS CAP / difícil de seguir MENUS</v>
      </c>
      <c r="B28010" s="3">
        <v>0</v>
      </c>
    </row>
    <row r="28011" ht="15.75" customHeight="1" spans="1:2">
      <c r="A28011" s="3" t="str">
        <f>IFERROR(__xludf.DUMMYFUNCTION("GOOGLETRANSLATE(A28011,""en"",""pt"")"),"cartão de memória pequeno, sem baterias recarregáveis ​​incluídos, modo de filme necessidade de muita luz")</f>
        <v>cartão de memória pequeno, sem baterias recarregáveis ​​incluídos, modo de filme necessidade de muita luz</v>
      </c>
      <c r="B28011" s="3">
        <v>0</v>
      </c>
    </row>
    <row r="28012" ht="15.75" customHeight="1" spans="1:2">
      <c r="A28012" s="3" t="str">
        <f>IFERROR(__xludf.DUMMYFUNCTION("GOOGLETRANSLATE(A28012,""en"",""pt"")"),"cartão de memória pequeno, precisa de baterias recarregáveis ​​e carregador, tampa da lente facilmente perdidos, visor está desligado.")</f>
        <v>cartão de memória pequeno, precisa de baterias recarregáveis ​​e carregador, tampa da lente facilmente perdidos, visor está desligado.</v>
      </c>
      <c r="B28012" s="3">
        <v>0</v>
      </c>
    </row>
    <row r="28013" ht="15.75" customHeight="1" spans="1:2">
      <c r="A28013" s="3" t="str">
        <f>IFERROR(__xludf.DUMMYFUNCTION("GOOGLETRANSLATE(A28013,""en"",""pt"")"),"PREÇO!!!")</f>
        <v>PREÇO!!!</v>
      </c>
      <c r="B28013" s="3">
        <v>0</v>
      </c>
    </row>
    <row r="28014" ht="15.75" customHeight="1" spans="1:2">
      <c r="A28014" s="3" t="str">
        <f>IFERROR(__xludf.DUMMYFUNCTION("GOOGLETRANSLATE(A28014,""en"",""pt"")"),"Nenhum")</f>
        <v>Nenhum</v>
      </c>
      <c r="B28014" s="3">
        <v>0</v>
      </c>
    </row>
    <row r="28015" ht="15.75" customHeight="1" spans="1:2">
      <c r="A28015" s="3" t="str">
        <f>IFERROR(__xludf.DUMMYFUNCTION("GOOGLETRANSLATE(A28015,""en"",""pt"")"),"cartão de 8 MB, não recarregável")</f>
        <v>cartão de 8 MB, não recarregável</v>
      </c>
      <c r="B28015" s="3">
        <v>0</v>
      </c>
    </row>
    <row r="28016" ht="15.75" customHeight="1" spans="1:2">
      <c r="A28016" s="3" t="str">
        <f>IFERROR(__xludf.DUMMYFUNCTION("GOOGLETRANSLATE(A28016,""en"",""pt"")"),"Visor mostra apenas 80 por cento da área da imagem")</f>
        <v>Visor mostra apenas 80 por cento da área da imagem</v>
      </c>
      <c r="B28016" s="3">
        <v>0</v>
      </c>
    </row>
    <row r="28017" ht="15.75" customHeight="1" spans="1:2">
      <c r="A28017" s="3" t="str">
        <f>IFERROR(__xludf.DUMMYFUNCTION("GOOGLETRANSLATE(A28017,""en"",""pt"")"),"baterias orçamento limitado, mas pode-se facilmente determinar maneiras de economizar em dreno de energia.")</f>
        <v>baterias orçamento limitado, mas pode-se facilmente determinar maneiras de economizar em dreno de energia.</v>
      </c>
      <c r="B28017" s="3">
        <v>0</v>
      </c>
    </row>
    <row r="28018" ht="15.75" customHeight="1" spans="1:2">
      <c r="A28018" s="3" t="str">
        <f>IFERROR(__xludf.DUMMYFUNCTION("GOOGLETRANSLATE(A28018,""en"",""pt"")"),"Flash é fraco, as baterias come")</f>
        <v>Flash é fraco, as baterias come</v>
      </c>
      <c r="B28018" s="3">
        <v>0</v>
      </c>
    </row>
    <row r="28019" ht="15.75" customHeight="1" spans="1:2">
      <c r="A28019" s="3" t="str">
        <f>IFERROR(__xludf.DUMMYFUNCTION("GOOGLETRANSLATE(A28019,""en"",""pt"")"),"cartão SmartMedia não é grande o suficiente!")</f>
        <v>cartão SmartMedia não é grande o suficiente!</v>
      </c>
      <c r="B28019" s="3">
        <v>0</v>
      </c>
    </row>
    <row r="28020" ht="15.75" customHeight="1" spans="1:2">
      <c r="A28020" s="3" t="str">
        <f>IFERROR(__xludf.DUMMYFUNCTION("GOOGLETRANSLATE(A28020,""en"",""pt"")"),"modo macro média e lenta start-up")</f>
        <v>modo macro média e lenta start-up</v>
      </c>
      <c r="B28020" s="3">
        <v>0</v>
      </c>
    </row>
    <row r="28021" ht="15.75" customHeight="1" spans="1:2">
      <c r="A28021" s="3" t="str">
        <f>IFERROR(__xludf.DUMMYFUNCTION("GOOGLETRANSLATE(A28021,""en"",""pt"")"),"Mais caro do que outras opções")</f>
        <v>Mais caro do que outras opções</v>
      </c>
      <c r="B28021" s="3">
        <v>0</v>
      </c>
    </row>
    <row r="28022" ht="15.75" customHeight="1" spans="1:2">
      <c r="A28022" s="3" t="str">
        <f>IFERROR(__xludf.DUMMYFUNCTION("GOOGLETRANSLATE(A28022,""en"",""pt"")"),"cartão de 16mb é pequeno, eo zoom digital fica distorcido quando impresso.")</f>
        <v>cartão de 16mb é pequeno, eo zoom digital fica distorcido quando impresso.</v>
      </c>
      <c r="B28022" s="3">
        <v>0</v>
      </c>
    </row>
    <row r="28023" ht="15.75" customHeight="1" spans="1:2">
      <c r="A28023" s="3" t="str">
        <f>IFERROR(__xludf.DUMMYFUNCTION("GOOGLETRANSLATE(A28023,""en"",""pt"")"),"Menu pode ser confuso, cap Lens")</f>
        <v>Menu pode ser confuso, cap Lens</v>
      </c>
      <c r="B28023" s="3">
        <v>0</v>
      </c>
    </row>
    <row r="28024" ht="15.75" customHeight="1" spans="1:2">
      <c r="A28024" s="3" t="str">
        <f>IFERROR(__xludf.DUMMYFUNCTION("GOOGLETRANSLATE(A28024,""en"",""pt"")"),"ligeiramente desajeitado")</f>
        <v>ligeiramente desajeitado</v>
      </c>
      <c r="B28024" s="3">
        <v>0</v>
      </c>
    </row>
    <row r="28025" ht="15.75" customHeight="1" spans="1:2">
      <c r="A28025" s="3" t="str">
        <f>IFERROR(__xludf.DUMMYFUNCTION("GOOGLETRANSLATE(A28025,""en"",""pt"")"),"Lento para iniciar, 3X zoom ótico um pouco lento")</f>
        <v>Lento para iniciar, 3X zoom ótico um pouco lento</v>
      </c>
      <c r="B28025" s="3">
        <v>0</v>
      </c>
    </row>
    <row r="28026" ht="15.75" customHeight="1" spans="1:2">
      <c r="A28026" s="3" t="str">
        <f>IFERROR(__xludf.DUMMYFUNCTION("GOOGLETRANSLATE(A28026,""en"",""pt"")"),"curta duração da bateria.")</f>
        <v>curta duração da bateria.</v>
      </c>
      <c r="B28026" s="3">
        <v>0</v>
      </c>
    </row>
    <row r="28027" ht="15.75" customHeight="1" spans="1:2">
      <c r="A28027" s="3" t="str">
        <f>IFERROR(__xludf.DUMMYFUNCTION("GOOGLETRANSLATE(A28027,""en"",""pt"")"),"vida útil da bateria terrível, nenhum som em filmes, volumoso")</f>
        <v>vida útil da bateria terrível, nenhum som em filmes, volumoso</v>
      </c>
      <c r="B28027" s="3">
        <v>0</v>
      </c>
    </row>
    <row r="28028" ht="15.75" customHeight="1" spans="1:2">
      <c r="A28028" s="3" t="str">
        <f>IFERROR(__xludf.DUMMYFUNCTION("GOOGLETRANSLATE(A28028,""en"",""pt"")"),"tampa da lente não é tão estável. Tente não deixar cair !!")</f>
        <v>tampa da lente não é tão estável. Tente não deixar cair !!</v>
      </c>
      <c r="B28028" s="3">
        <v>0</v>
      </c>
    </row>
    <row r="28029" ht="15.75" customHeight="1" spans="1:2">
      <c r="A28029" s="3" t="str">
        <f>IFERROR(__xludf.DUMMYFUNCTION("GOOGLETRANSLATE(A28029,""en"",""pt"")"),"View finder não ""frame"" mesmo tamanho de tela CCD.")</f>
        <v>View finder não "frame" mesmo tamanho de tela CCD.</v>
      </c>
      <c r="B28029" s="3">
        <v>0</v>
      </c>
    </row>
    <row r="28030" ht="15.75" customHeight="1" spans="1:2">
      <c r="A28030" s="3" t="str">
        <f>IFERROR(__xludf.DUMMYFUNCTION("GOOGLETRANSLATE(A28030,""en"",""pt"")"),"Lento para abrir e fechar")</f>
        <v>Lento para abrir e fechar</v>
      </c>
      <c r="B28030" s="3">
        <v>0</v>
      </c>
    </row>
    <row r="28031" ht="15.75" customHeight="1" spans="1:2">
      <c r="A28031" s="3" t="str">
        <f>IFERROR(__xludf.DUMMYFUNCTION("GOOGLETRANSLATE(A28031,""en"",""pt"")"),"Nada até agora")</f>
        <v>Nada até agora</v>
      </c>
      <c r="B28031" s="3">
        <v>0</v>
      </c>
    </row>
    <row r="28032" ht="15.75" customHeight="1" spans="1:2">
      <c r="A28032" s="3" t="str">
        <f>IFERROR(__xludf.DUMMYFUNCTION("GOOGLETRANSLATE(A28032,""en"",""pt"")"),"vida útil da bateria, caso, nenhum som filme")</f>
        <v>vida útil da bateria, caso, nenhum som filme</v>
      </c>
      <c r="B28032" s="3">
        <v>0</v>
      </c>
    </row>
    <row r="28033" ht="15.75" customHeight="1" spans="1:2">
      <c r="A28033" s="3" t="str">
        <f>IFERROR(__xludf.DUMMYFUNCTION("GOOGLETRANSLATE(A28033,""en"",""pt"")"),"vezes auto-foco e de recarga um pouco lento")</f>
        <v>vezes auto-foco e de recarga um pouco lento</v>
      </c>
      <c r="B28033" s="3">
        <v>0</v>
      </c>
    </row>
    <row r="28034" ht="15.75" customHeight="1" spans="1:2">
      <c r="A28034" s="3" t="str">
        <f>IFERROR(__xludf.DUMMYFUNCTION("GOOGLETRANSLATE(A28034,""en"",""pt"")"),"qualidade óptica inferior, em vez complicado de usar,")</f>
        <v>qualidade óptica inferior, em vez complicado de usar,</v>
      </c>
      <c r="B28034" s="3">
        <v>0</v>
      </c>
    </row>
    <row r="28035" ht="15.75" customHeight="1" spans="1:2">
      <c r="A28035" s="3" t="str">
        <f>IFERROR(__xludf.DUMMYFUNCTION("GOOGLETRANSLATE(A28035,""en"",""pt"")"),"projeto tampa da lente é pobre, menus complicados.")</f>
        <v>projeto tampa da lente é pobre, menus complicados.</v>
      </c>
      <c r="B28035" s="3">
        <v>0</v>
      </c>
    </row>
    <row r="28036" ht="15.75" customHeight="1" spans="1:2">
      <c r="A28036" s="3" t="str">
        <f>IFERROR(__xludf.DUMMYFUNCTION("GOOGLETRANSLATE(A28036,""en"",""pt"")"),"tampa da lente não está ligado")</f>
        <v>tampa da lente não está ligado</v>
      </c>
      <c r="B28036" s="3">
        <v>0</v>
      </c>
    </row>
    <row r="28037" ht="15.75" customHeight="1" spans="1:2">
      <c r="A28037" s="3" t="s">
        <v>146</v>
      </c>
      <c r="B28037" s="3">
        <v>0</v>
      </c>
    </row>
    <row r="28038" ht="15.75" customHeight="1" spans="1:2">
      <c r="A28038" s="3" t="str">
        <f>IFERROR(__xludf.DUMMYFUNCTION("GOOGLETRANSLATE(A28038,""en"",""pt"")"),"modo macro é ZERO !!!")</f>
        <v>modo macro é ZERO !!!</v>
      </c>
      <c r="B28038" s="3">
        <v>0</v>
      </c>
    </row>
    <row r="28039" ht="15.75" customHeight="1" spans="1:2">
      <c r="A28039" s="3" t="str">
        <f>IFERROR(__xludf.DUMMYFUNCTION("GOOGLETRANSLATE(A28039,""en"",""pt"")"),"Modo Macro, Cap Lens destacável")</f>
        <v>Modo Macro, Cap Lens destacável</v>
      </c>
      <c r="B28039" s="3">
        <v>0</v>
      </c>
    </row>
    <row r="28040" ht="15.75" customHeight="1" spans="1:2">
      <c r="A28040" s="3" t="str">
        <f>IFERROR(__xludf.DUMMYFUNCTION("GOOGLETRANSLATE(A28040,""en"",""pt"")"),"tampa da lente não ligado por um cabo, de modo que pode ser facilmente perdido.")</f>
        <v>tampa da lente não ligado por um cabo, de modo que pode ser facilmente perdido.</v>
      </c>
      <c r="B28040" s="3">
        <v>0</v>
      </c>
    </row>
    <row r="28041" ht="15.75" customHeight="1" spans="1:2">
      <c r="A28041" s="3" t="str">
        <f>IFERROR(__xludf.DUMMYFUNCTION("GOOGLETRANSLATE(A28041,""en"",""pt"")"),"As baterias não duram muito tempo, tem que redefini-la quando eu ligar a câmara")</f>
        <v>As baterias não duram muito tempo, tem que redefini-la quando eu ligar a câmara</v>
      </c>
      <c r="B28041" s="3">
        <v>0</v>
      </c>
    </row>
    <row r="28042" ht="15.75" customHeight="1" spans="1:2">
      <c r="A28042" s="3" t="str">
        <f>IFERROR(__xludf.DUMMYFUNCTION("GOOGLETRANSLATE(A28042,""en"",""pt"")"),"Nenhum")</f>
        <v>Nenhum</v>
      </c>
      <c r="B28042" s="3">
        <v>0</v>
      </c>
    </row>
    <row r="28043" ht="15.75" customHeight="1" spans="1:2">
      <c r="A28043" s="3" t="str">
        <f>IFERROR(__xludf.DUMMYFUNCTION("GOOGLETRANSLATE(A28043,""en"",""pt"")"),"reprodução de cores nem sempre precisas, tampa da lente, foco automático lento, bateria recarregável não incluído.")</f>
        <v>reprodução de cores nem sempre precisas, tampa da lente, foco automático lento, bateria recarregável não incluído.</v>
      </c>
      <c r="B28043" s="3">
        <v>0</v>
      </c>
    </row>
    <row r="28044" ht="15.75" customHeight="1" spans="1:2">
      <c r="A28044" s="3" t="str">
        <f>IFERROR(__xludf.DUMMYFUNCTION("GOOGLETRANSLATE(A28044,""en"",""pt"")"),"Flash mal colocado, não hotshoe e longo lag foto")</f>
        <v>Flash mal colocado, não hotshoe e longo lag foto</v>
      </c>
      <c r="B28044" s="3">
        <v>0</v>
      </c>
    </row>
    <row r="28045" ht="15.75" customHeight="1" spans="1:2">
      <c r="A28045" s="3" t="str">
        <f>IFERROR(__xludf.DUMMYFUNCTION("GOOGLETRANSLATE(A28045,""en"",""pt"")"),"Difícil de dar de volta para o vendedor depois de brincar com ele.")</f>
        <v>Difícil de dar de volta para o vendedor depois de brincar com ele.</v>
      </c>
      <c r="B28045" s="3">
        <v>0</v>
      </c>
    </row>
    <row r="28046" ht="15.75" customHeight="1" spans="1:2">
      <c r="A28046" s="3" t="str">
        <f>IFERROR(__xludf.DUMMYFUNCTION("GOOGLETRANSLATE(A28046,""en"",""pt"")"),"Olympus' 'mesquinhez' em extras incluídos, incluído manual não correspondeu às expectativas")</f>
        <v>Olympus' 'mesquinhez' em extras incluídos, incluído manual não correspondeu às expectativas</v>
      </c>
      <c r="B28046" s="3">
        <v>0</v>
      </c>
    </row>
    <row r="28047" ht="15.75" customHeight="1" spans="1:2">
      <c r="A28047" s="3" t="str">
        <f>IFERROR(__xludf.DUMMYFUNCTION("GOOGLETRANSLATE(A28047,""en"",""pt"")"),"Curva de aprendizado para os recursos --- recurso Macro é pobre - atraso no obturador")</f>
        <v>Curva de aprendizado para os recursos --- recurso Macro é pobre - atraso no obturador</v>
      </c>
      <c r="B28047" s="3">
        <v>0</v>
      </c>
    </row>
    <row r="28048" ht="15.75" customHeight="1" spans="1:2">
      <c r="A28048" s="3" t="str">
        <f>IFERROR(__xludf.DUMMYFUNCTION("GOOGLETRANSLATE(A28048,""en"",""pt"")"),"O modo macro é bastante inexpressivo.")</f>
        <v>O modo macro é bastante inexpressivo.</v>
      </c>
      <c r="B28048" s="3">
        <v>0</v>
      </c>
    </row>
    <row r="28049" ht="15.75" customHeight="1" spans="1:2">
      <c r="A28049" s="3" t="str">
        <f>IFERROR(__xludf.DUMMYFUNCTION("GOOGLETRANSLATE(A28049,""en"",""pt"")"),"tampa da lente, preço")</f>
        <v>tampa da lente, preço</v>
      </c>
      <c r="B28049" s="3">
        <v>0</v>
      </c>
    </row>
    <row r="28050" ht="15.75" customHeight="1" spans="1:2">
      <c r="A28050" s="3" t="str">
        <f>IFERROR(__xludf.DUMMYFUNCTION("GOOGLETRANSLATE(A28050,""en"",""pt"")"),"Frágil ... parece um prêmio de uma caixa jack Cracker")</f>
        <v>Frágil ... parece um prêmio de uma caixa jack Cracker</v>
      </c>
      <c r="B28050" s="3">
        <v>0</v>
      </c>
    </row>
    <row r="28051" ht="15.75" customHeight="1" spans="1:2">
      <c r="A28051" s="3" t="str">
        <f>IFERROR(__xludf.DUMMYFUNCTION("GOOGLETRANSLATE(A28051,""en"",""pt"")"),"Custo ea complexidade do livro de instruções.")</f>
        <v>Custo ea complexidade do livro de instruções.</v>
      </c>
      <c r="B28051" s="3">
        <v>0</v>
      </c>
    </row>
    <row r="28052" ht="15.75" customHeight="1" spans="1:2">
      <c r="A28052" s="3" t="str">
        <f>IFERROR(__xludf.DUMMYFUNCTION("GOOGLETRANSLATE(A28052,""en"",""pt"")"),"O modo macro não impressionante.")</f>
        <v>O modo macro não impressionante.</v>
      </c>
      <c r="B28052" s="3">
        <v>0</v>
      </c>
    </row>
    <row r="28053" ht="15.75" customHeight="1" spans="1:2">
      <c r="A28053" s="3" t="str">
        <f>IFERROR(__xludf.DUMMYFUNCTION("GOOGLETRANSLATE(A28053,""en"",""pt"")"),"nenhum significado")</f>
        <v>nenhum significado</v>
      </c>
      <c r="B28053" s="3">
        <v>0</v>
      </c>
    </row>
    <row r="28054" ht="15.75" customHeight="1" spans="1:2">
      <c r="A28054" s="3" t="str">
        <f>IFERROR(__xludf.DUMMYFUNCTION("GOOGLETRANSLATE(A28054,""en"",""pt"")"),"nenhuma porta firewire, nenhum plug photoshop em, download de software pobres")</f>
        <v>nenhuma porta firewire, nenhum plug photoshop em, download de software pobres</v>
      </c>
      <c r="B28054" s="3">
        <v>0</v>
      </c>
    </row>
    <row r="28055" ht="15.75" customHeight="1" spans="1:2">
      <c r="A28055" s="3" t="str">
        <f>IFERROR(__xludf.DUMMYFUNCTION("GOOGLETRANSLATE(A28055,""en"",""pt"")"),"interface de usuário pobres, modo macro não é tudo o que &amp; amp; quot; macro &amp; amp; quot;")</f>
        <v>interface de usuário pobres, modo macro não é tudo o que &amp; amp; quot; macro &amp; amp; quot;</v>
      </c>
      <c r="B28055" s="3">
        <v>0</v>
      </c>
    </row>
    <row r="28056" ht="15.75" customHeight="1" spans="1:2">
      <c r="A28056" s="3" t="str">
        <f>IFERROR(__xludf.DUMMYFUNCTION("GOOGLETRANSLATE(A28056,""en"",""pt"")"),"interface de pobres")</f>
        <v>interface de pobres</v>
      </c>
      <c r="B28056" s="3">
        <v>0</v>
      </c>
    </row>
    <row r="28057" ht="15.75" customHeight="1" spans="1:2">
      <c r="A28057" s="3" t="str">
        <f>IFERROR(__xludf.DUMMYFUNCTION("GOOGLETRANSLATE(A28057,""en"",""pt"")"),"Moagem mecanismo de lente, tampa da lente, sistema de menu um pouco enigmática")</f>
        <v>Moagem mecanismo de lente, tampa da lente, sistema de menu um pouco enigmática</v>
      </c>
      <c r="B28057" s="3">
        <v>0</v>
      </c>
    </row>
    <row r="28058" ht="15.75" customHeight="1" spans="1:2">
      <c r="A28058" s="3" t="str">
        <f>IFERROR(__xludf.DUMMYFUNCTION("GOOGLETRANSLATE(A28058,""en"",""pt"")"),"Caro, mas a descer")</f>
        <v>Caro, mas a descer</v>
      </c>
      <c r="B28058" s="3">
        <v>0</v>
      </c>
    </row>
    <row r="28059" ht="15.75" customHeight="1" spans="1:2">
      <c r="A28059" s="3" t="str">
        <f>IFERROR(__xludf.DUMMYFUNCTION("GOOGLETRANSLATE(A28059,""en"",""pt"")"),"Caro, Poor manual e mal projetado Cap Lens")</f>
        <v>Caro, Poor manual e mal projetado Cap Lens</v>
      </c>
      <c r="B28059" s="3">
        <v>0</v>
      </c>
    </row>
    <row r="28060" ht="15.75" customHeight="1" spans="1:2">
      <c r="A28060" s="3" t="str">
        <f>IFERROR(__xludf.DUMMYFUNCTION("GOOGLETRANSLATE(A28060,""en"",""pt"")"),"não")</f>
        <v>não</v>
      </c>
      <c r="B28060" s="3">
        <v>0</v>
      </c>
    </row>
    <row r="28061" ht="15.75" customHeight="1" spans="1:2">
      <c r="A28061" s="3" t="str">
        <f>IFERROR(__xludf.DUMMYFUNCTION("GOOGLETRANSLATE(A28061,""en"",""pt"")"),"ainda caro")</f>
        <v>ainda caro</v>
      </c>
      <c r="B28061" s="3">
        <v>0</v>
      </c>
    </row>
    <row r="28062" ht="15.75" customHeight="1" spans="1:2">
      <c r="A28062" s="3" t="str">
        <f>IFERROR(__xludf.DUMMYFUNCTION("GOOGLETRANSLATE(A28062,""en"",""pt"")"),"tamanho pequeno para grandes mãos")</f>
        <v>tamanho pequeno para grandes mãos</v>
      </c>
      <c r="B28062" s="3">
        <v>0</v>
      </c>
    </row>
    <row r="28063" ht="15.75" customHeight="1" spans="1:2">
      <c r="A28063" s="3" t="str">
        <f>IFERROR(__xludf.DUMMYFUNCTION("GOOGLETRANSLATE(A28063,""en"",""pt"")"),"desenho mecânico pobre")</f>
        <v>desenho mecânico pobre</v>
      </c>
      <c r="B28063" s="3">
        <v>0</v>
      </c>
    </row>
    <row r="28064" ht="15.75" customHeight="1" spans="1:2">
      <c r="A28064" s="3" t="str">
        <f>IFERROR(__xludf.DUMMYFUNCTION("GOOGLETRANSLATE(A28064,""en"",""pt"")"),"No caso ou teather lenscap.")</f>
        <v>No caso ou teather lenscap.</v>
      </c>
      <c r="B28064" s="3">
        <v>0</v>
      </c>
    </row>
    <row r="28065" ht="15.75" customHeight="1" spans="1:2">
      <c r="A28065" s="3" t="str">
        <f>IFERROR(__xludf.DUMMYFUNCTION("GOOGLETRANSLATE(A28065,""en"",""pt"")"),"limitado a lente existente")</f>
        <v>limitado a lente existente</v>
      </c>
      <c r="B28065" s="3">
        <v>0</v>
      </c>
    </row>
    <row r="28066" ht="15.75" customHeight="1" spans="1:2">
      <c r="A28066" s="3" t="str">
        <f>IFERROR(__xludf.DUMMYFUNCTION("GOOGLETRANSLATE(A28066,""en"",""pt"")"),"curva de aprendizagem")</f>
        <v>curva de aprendizagem</v>
      </c>
      <c r="B28066" s="3">
        <v>0</v>
      </c>
    </row>
    <row r="28067" ht="15.75" customHeight="1" spans="1:2">
      <c r="A28067" s="3" t="str">
        <f>IFERROR(__xludf.DUMMYFUNCTION("GOOGLETRANSLATE(A28067,""en"",""pt"")"),"Preço")</f>
        <v>Preço</v>
      </c>
      <c r="B28067" s="3">
        <v>0</v>
      </c>
    </row>
    <row r="28068" ht="15.75" customHeight="1" spans="1:2">
      <c r="A28068" s="3" t="str">
        <f>IFERROR(__xludf.DUMMYFUNCTION("GOOGLETRANSLATE(A28068,""en"",""pt"")"),"pode ser intimidante")</f>
        <v>pode ser intimidante</v>
      </c>
      <c r="B28068" s="3">
        <v>0</v>
      </c>
    </row>
    <row r="28069" ht="15.75" customHeight="1" spans="1:2">
      <c r="A28069" s="3" t="str">
        <f>IFERROR(__xludf.DUMMYFUNCTION("GOOGLETRANSLATE(A28069,""en"",""pt"")"),"Quanto mais tempo você esperar para comprar, mais você vai ter para o seu dinheiro.")</f>
        <v>Quanto mais tempo você esperar para comprar, mais você vai ter para o seu dinheiro.</v>
      </c>
      <c r="B28069" s="3">
        <v>0</v>
      </c>
    </row>
    <row r="28070" ht="15.75" customHeight="1" spans="1:2">
      <c r="A28070" s="3" t="str">
        <f>IFERROR(__xludf.DUMMYFUNCTION("GOOGLETRANSLATE(A28070,""en"",""pt"")"),"Não consigo pensar em um ainda!")</f>
        <v>Não consigo pensar em um ainda!</v>
      </c>
      <c r="B28070" s="3">
        <v>0</v>
      </c>
    </row>
    <row r="28071" ht="15.75" customHeight="1" spans="1:2">
      <c r="A28071" s="3" t="str">
        <f>IFERROR(__xludf.DUMMYFUNCTION("GOOGLETRANSLATE(A28071,""en"",""pt"")"),"superexpõe sobre as definições de automóveis, doesn &amp; amp; # 146; t navio com baterias recarregáveis ​​/ carregador, lento RAW modo / TIFF &amp; amp; # 13; &amp; amp; # 10;")</f>
        <v>superexpõe sobre as definições de automóveis, doesn &amp; amp; # 146; t navio com baterias recarregáveis ​​/ carregador, lento RAW modo / TIFF &amp; amp; # 13; &amp; amp; # 10;</v>
      </c>
      <c r="B28071" s="3">
        <v>0</v>
      </c>
    </row>
    <row r="28072" ht="15.75" customHeight="1" spans="1:2">
      <c r="A28072" s="3" t="str">
        <f>IFERROR(__xludf.DUMMYFUNCTION("GOOGLETRANSLATE(A28072,""en"",""pt"")"),"Lembre-se de tirar a tampa da lente off. Uso de menus em comparação com controles.")</f>
        <v>Lembre-se de tirar a tampa da lente off. Uso de menus em comparação com controles.</v>
      </c>
      <c r="B28072" s="3">
        <v>0</v>
      </c>
    </row>
    <row r="28073" ht="15.75" customHeight="1" spans="1:2">
      <c r="A28073" s="3" t="str">
        <f>IFERROR(__xludf.DUMMYFUNCTION("GOOGLETRANSLATE(A28073,""en"",""pt"")"),"tempo de resposta lento, ligeiro excesso de exposição, nenhum carregador ou de alimentação do adaptador incluído.")</f>
        <v>tempo de resposta lento, ligeiro excesso de exposição, nenhum carregador ou de alimentação do adaptador incluído.</v>
      </c>
      <c r="B28073" s="3">
        <v>0</v>
      </c>
    </row>
    <row r="28074" ht="15.75" customHeight="1" spans="1:2">
      <c r="A28074" s="3" t="str">
        <f>IFERROR(__xludf.DUMMYFUNCTION("GOOGLETRANSLATE(A28074,""en"",""pt"")"),"Nenhum")</f>
        <v>Nenhum</v>
      </c>
      <c r="B28074" s="3">
        <v>0</v>
      </c>
    </row>
    <row r="28075" ht="15.75" customHeight="1" spans="1:2">
      <c r="A28075" s="3" t="str">
        <f>IFERROR(__xludf.DUMMYFUNCTION("GOOGLETRANSLATE(A28075,""en"",""pt"")"),"projeto tampa da lente, ligeira sobreexposição, tamanho um pouco grande")</f>
        <v>projeto tampa da lente, ligeira sobreexposição, tamanho um pouco grande</v>
      </c>
      <c r="B28075" s="3">
        <v>0</v>
      </c>
    </row>
    <row r="28076" ht="15.75" customHeight="1" spans="1:2">
      <c r="A28076" s="3" t="str">
        <f>IFERROR(__xludf.DUMMYFUNCTION("GOOGLETRANSLATE(A28076,""en"",""pt"")"),"cartão de memória pequeno, a interferência tampa da lente.")</f>
        <v>cartão de memória pequeno, a interferência tampa da lente.</v>
      </c>
      <c r="B28076" s="3">
        <v>0</v>
      </c>
    </row>
    <row r="28077" ht="15.75" customHeight="1" spans="1:2">
      <c r="A28077" s="3" t="str">
        <f>IFERROR(__xludf.DUMMYFUNCTION("GOOGLETRANSLATE(A28077,""en"",""pt"")"),"vida útil da bateria média, um pouco volumoso, vem com cartão de memória pequeno, acessórios caros")</f>
        <v>vida útil da bateria média, um pouco volumoso, vem com cartão de memória pequeno, acessórios caros</v>
      </c>
      <c r="B28077" s="3">
        <v>0</v>
      </c>
    </row>
    <row r="28078" ht="15.75" customHeight="1" spans="1:2">
      <c r="A28078" s="3" t="str">
        <f>IFERROR(__xludf.DUMMYFUNCTION("GOOGLETRANSLATE(A28078,""en"",""pt"")"),"Tamanho, a bateria é um extra")</f>
        <v>Tamanho, a bateria é um extra</v>
      </c>
      <c r="B28078" s="3">
        <v>0</v>
      </c>
    </row>
    <row r="28079" ht="15.75" customHeight="1" spans="1:2">
      <c r="A28079" s="3" t="str">
        <f>IFERROR(__xludf.DUMMYFUNCTION("GOOGLETRANSLATE(A28079,""en"",""pt"")"),"Interior problema overflash")</f>
        <v>Interior problema overflash</v>
      </c>
      <c r="B28079" s="3">
        <v>0</v>
      </c>
    </row>
    <row r="28080" ht="15.75" customHeight="1" spans="1:2">
      <c r="A28080" s="3" t="str">
        <f>IFERROR(__xludf.DUMMYFUNCTION("GOOGLETRANSLATE(A28080,""en"",""pt"")"),"só aceita cartões de sm")</f>
        <v>só aceita cartões de sm</v>
      </c>
      <c r="B28080" s="3">
        <v>0</v>
      </c>
    </row>
    <row r="28081" ht="15.75" customHeight="1" spans="1:2">
      <c r="A28081" s="3" t="str">
        <f>IFERROR(__xludf.DUMMYFUNCTION("GOOGLETRANSLATE(A28081,""en"",""pt"")"),"A câmera em si é bastante baixa qualidade e pausas demasiado frequentemente.")</f>
        <v>A câmera em si é bastante baixa qualidade e pausas demasiado frequentemente.</v>
      </c>
      <c r="B28081" s="3">
        <v>0</v>
      </c>
    </row>
    <row r="28082" ht="15.75" customHeight="1" spans="1:2">
      <c r="A28082" s="3" t="str">
        <f>IFERROR(__xludf.DUMMYFUNCTION("GOOGLETRANSLATE(A28082,""en"",""pt"")"),"Pobre documentação sobre as fotos download para o computador, algumas características peculiares")</f>
        <v>Pobre documentação sobre as fotos download para o computador, algumas características peculiares</v>
      </c>
      <c r="B28082" s="3">
        <v>0</v>
      </c>
    </row>
    <row r="28083" ht="15.75" customHeight="1" spans="1:2">
      <c r="A28083" s="3" t="str">
        <f>IFERROR(__xludf.DUMMYFUNCTION("GOOGLETRANSLATE(A28083,""en"",""pt"")"),"Às vezes superexpõe nas configurações de auto. pacote de software desatualizado.")</f>
        <v>Às vezes superexpõe nas configurações de auto. pacote de software desatualizado.</v>
      </c>
      <c r="B28083" s="3">
        <v>0</v>
      </c>
    </row>
    <row r="28084" ht="15.75" customHeight="1" spans="1:2">
      <c r="A28084" s="3" t="str">
        <f>IFERROR(__xludf.DUMMYFUNCTION("GOOGLETRANSLATE(A28084,""en"",""pt"")"),"Caro (mas vale a pena)")</f>
        <v>Caro (mas vale a pena)</v>
      </c>
      <c r="B28084" s="3">
        <v>0</v>
      </c>
    </row>
    <row r="28085" ht="15.75" customHeight="1" spans="1:2">
      <c r="A28085" s="3" t="str">
        <f>IFERROR(__xludf.DUMMYFUNCTION("GOOGLETRANSLATE(A28085,""en"",""pt"")"),"Caro. Bad software.")</f>
        <v>Caro. Bad software.</v>
      </c>
      <c r="B28085" s="3">
        <v>0</v>
      </c>
    </row>
    <row r="28086" ht="15.75" customHeight="1" spans="1:2">
      <c r="A28086" s="3" t="str">
        <f>IFERROR(__xludf.DUMMYFUNCTION("GOOGLETRANSLATE(A28086,""en"",""pt"")"),"Sem baterias recarregáveis ​​&amp; amp; # 13; &amp; amp; # 10; Dois &amp; amp; # 145; pixels quentes &amp; amp; # 146; Na minha noite de tempo tiros &amp; amp; # 13; &amp; amp; # 10; cap &amp; amp Lens; # 13; &amp; amp; # 10;")</f>
        <v>Sem baterias recarregáveis ​​&amp; amp; # 13; &amp; amp; # 10; Dois &amp; amp; # 145; pixels quentes &amp; amp; # 146; Na minha noite de tempo tiros &amp; amp; # 13; &amp; amp; # 10; cap &amp; amp Lens; # 13; &amp; amp; # 10;</v>
      </c>
      <c r="B28086" s="3">
        <v>0</v>
      </c>
    </row>
    <row r="28087" ht="15.75" customHeight="1" spans="1:2">
      <c r="A28087" s="3" t="s">
        <v>147</v>
      </c>
      <c r="B28087" s="3">
        <v>0</v>
      </c>
    </row>
    <row r="28088" ht="15.75" customHeight="1" spans="1:2">
      <c r="A28088" s="3" t="str">
        <f>IFERROR(__xludf.DUMMYFUNCTION("GOOGLETRANSLATE(A28088,""en"",""pt"")"),"disposições de flash externo não é bom.")</f>
        <v>disposições de flash externo não é bom.</v>
      </c>
      <c r="B28088" s="3">
        <v>0</v>
      </c>
    </row>
    <row r="28089" ht="15.75" customHeight="1" spans="1:2">
      <c r="A28089" s="3" t="str">
        <f>IFERROR(__xludf.DUMMYFUNCTION("GOOGLETRANSLATE(A28089,""en"",""pt"")"),"às vezes tende a expor demais, preço")</f>
        <v>às vezes tende a expor demais, preço</v>
      </c>
      <c r="B28089" s="3">
        <v>0</v>
      </c>
    </row>
    <row r="28090" ht="15.75" customHeight="1" spans="1:2">
      <c r="A28090" s="3" t="str">
        <f>IFERROR(__xludf.DUMMYFUNCTION("GOOGLETRANSLATE(A28090,""en"",""pt"")"),"Custo")</f>
        <v>Custo</v>
      </c>
      <c r="B28090" s="3">
        <v>0</v>
      </c>
    </row>
    <row r="28091" ht="15.75" customHeight="1" spans="1:2">
      <c r="A28091" s="3" t="str">
        <f>IFERROR(__xludf.DUMMYFUNCTION("GOOGLETRANSLATE(A28091,""en"",""pt"")"),"não recarregáveis ​​fornecido, visor electrónico, não NTSC / PAL de comutação, a exposição de flash, focagem manual")</f>
        <v>não recarregáveis ​​fornecido, visor electrónico, não NTSC / PAL de comutação, a exposição de flash, focagem manual</v>
      </c>
      <c r="B28091" s="3">
        <v>0</v>
      </c>
    </row>
    <row r="28092" ht="15.75" customHeight="1" spans="1:2">
      <c r="A28092" s="3" t="str">
        <f>IFERROR(__xludf.DUMMYFUNCTION("GOOGLETRANSLATE(A28092,""en"",""pt"")"),"flash é bloqueado um pouco com add on lentes")</f>
        <v>flash é bloqueado um pouco com add on lentes</v>
      </c>
      <c r="B28092" s="3">
        <v>0</v>
      </c>
    </row>
    <row r="28093" ht="15.75" customHeight="1" spans="1:2">
      <c r="A28093" s="3" t="str">
        <f>IFERROR(__xludf.DUMMYFUNCTION("GOOGLETRANSLATE(A28093,""en"",""pt"")"),"Filtros indisponíveis (que eu saiba)")</f>
        <v>Filtros indisponíveis (que eu saiba)</v>
      </c>
      <c r="B28093" s="3">
        <v>0</v>
      </c>
    </row>
    <row r="28094" ht="15.75" customHeight="1" spans="1:2">
      <c r="A28094" s="3" t="str">
        <f>IFERROR(__xludf.DUMMYFUNCTION("GOOGLETRANSLATE(A28094,""en"",""pt"")"),"8 cartão MB de armazenamento fornecido com a câmera é totalmente inadequada")</f>
        <v>8 cartão MB de armazenamento fornecido com a câmera é totalmente inadequada</v>
      </c>
      <c r="B28094" s="3">
        <v>0</v>
      </c>
    </row>
    <row r="28095" ht="15.75" customHeight="1" spans="1:2">
      <c r="A28095" s="3" t="str">
        <f>IFERROR(__xludf.DUMMYFUNCTION("GOOGLETRANSLATE(A28095,""en"",""pt"")"),"A esse preço, nenhum,")</f>
        <v>A esse preço, nenhum,</v>
      </c>
      <c r="B28095" s="3">
        <v>0</v>
      </c>
    </row>
    <row r="28096" ht="15.75" customHeight="1" spans="1:2">
      <c r="A28096" s="3" t="str">
        <f>IFERROR(__xludf.DUMMYFUNCTION("GOOGLETRANSLATE(A28096,""en"",""pt"")"),"bateria")</f>
        <v>bateria</v>
      </c>
      <c r="B28096" s="3">
        <v>0</v>
      </c>
    </row>
    <row r="28097" ht="15.75" customHeight="1" spans="1:2">
      <c r="A28097" s="3" t="str">
        <f>IFERROR(__xludf.DUMMYFUNCTION("GOOGLETRANSLATE(A28097,""en"",""pt"")"),"cartão de memória pequeno, vida útil da bateria.")</f>
        <v>cartão de memória pequeno, vida útil da bateria.</v>
      </c>
      <c r="B28097" s="3">
        <v>0</v>
      </c>
    </row>
    <row r="28098" ht="15.75" customHeight="1" spans="1:2">
      <c r="A28098" s="3" t="str">
        <f>IFERROR(__xludf.DUMMYFUNCTION("GOOGLETRANSLATE(A28098,""en"",""pt"")"),"Nenhuma notificação de que a tampa da lente ainda está em")</f>
        <v>Nenhuma notificação de que a tampa da lente ainda está em</v>
      </c>
      <c r="B28098" s="3">
        <v>0</v>
      </c>
    </row>
    <row r="28099" ht="15.75" customHeight="1" spans="1:2">
      <c r="A28099" s="3" t="str">
        <f>IFERROR(__xludf.DUMMYFUNCTION("GOOGLETRANSLATE(A28099,""en"",""pt"")"),"Alguma distorção barril em imagens; carece de um iluminador de foco automático; nenhuma captura de som")</f>
        <v>Alguma distorção barril em imagens; carece de um iluminador de foco automático; nenhuma captura de som</v>
      </c>
      <c r="B28099" s="3">
        <v>0</v>
      </c>
    </row>
    <row r="28100" ht="15.75" customHeight="1" spans="1:2">
      <c r="A28100" s="3" t="str">
        <f>IFERROR(__xludf.DUMMYFUNCTION("GOOGLETRANSLATE(A28100,""en"",""pt"")"),"flash direto frontal, drenagem rápida da bateria")</f>
        <v>flash direto frontal, drenagem rápida da bateria</v>
      </c>
      <c r="B28100" s="3">
        <v>0</v>
      </c>
    </row>
    <row r="28101" ht="15.75" customHeight="1" spans="1:2">
      <c r="A28101" s="3" t="str">
        <f>IFERROR(__xludf.DUMMYFUNCTION("GOOGLETRANSLATE(A28101,""en"",""pt"")"),"Há tantas coisas que você pode fazer com esta câmara, tente encontrar o tempo.")</f>
        <v>Há tantas coisas que você pode fazer com esta câmara, tente encontrar o tempo.</v>
      </c>
      <c r="B28101" s="3">
        <v>0</v>
      </c>
    </row>
    <row r="28102" ht="15.75" customHeight="1" spans="1:2">
      <c r="A28102" s="3" t="str">
        <f>IFERROR(__xludf.DUMMYFUNCTION("GOOGLETRANSLATE(A28102,""en"",""pt"")"),"gostaria que tivesse maior zoom óptico")</f>
        <v>gostaria que tivesse maior zoom óptico</v>
      </c>
      <c r="B28102" s="3">
        <v>0</v>
      </c>
    </row>
    <row r="28103" ht="15.75" customHeight="1" spans="1:2">
      <c r="A28103" s="3" t="str">
        <f>IFERROR(__xludf.DUMMYFUNCTION("GOOGLETRANSLATE(A28103,""en"",""pt"")"),"Ligeiramente pesado. Não como olhar fresco como outras câmaras.")</f>
        <v>Ligeiramente pesado. Não como olhar fresco como outras câmaras.</v>
      </c>
      <c r="B28103" s="3">
        <v>0</v>
      </c>
    </row>
    <row r="28104" ht="15.75" customHeight="1" spans="1:2">
      <c r="A28104" s="3" t="str">
        <f>IFERROR(__xludf.DUMMYFUNCTION("GOOGLETRANSLATE(A28104,""en"",""pt"")"),"Visor muito pequeno, superexposição ocasional ocorre")</f>
        <v>Visor muito pequeno, superexposição ocasional ocorre</v>
      </c>
      <c r="B28104" s="3">
        <v>0</v>
      </c>
    </row>
    <row r="28105" ht="15.75" customHeight="1" spans="1:2">
      <c r="A28105" s="3" t="str">
        <f>IFERROR(__xludf.DUMMYFUNCTION("GOOGLETRANSLATE(A28105,""en"",""pt"")"),"Sem controle remoto, não tão durável quanto a 3000 Zoom")</f>
        <v>Sem controle remoto, não tão durável quanto a 3000 Zoom</v>
      </c>
      <c r="B28105" s="3">
        <v>0</v>
      </c>
    </row>
    <row r="28106" ht="15.75" customHeight="1" spans="1:2">
      <c r="A28106" s="3" t="str">
        <f>IFERROR(__xludf.DUMMYFUNCTION("GOOGLETRANSLATE(A28106,""en"",""pt"")"),"Nenhum")</f>
        <v>Nenhum</v>
      </c>
      <c r="B28106" s="3">
        <v>0</v>
      </c>
    </row>
    <row r="28107" ht="15.75" customHeight="1" spans="1:2">
      <c r="A28107" s="3" t="str">
        <f>IFERROR(__xludf.DUMMYFUNCTION("GOOGLETRANSLATE(A28107,""en"",""pt"")"),"Tamanho das imagens e recursos de apagamento não é o que eu gostaria.")</f>
        <v>Tamanho das imagens e recursos de apagamento não é o que eu gostaria.</v>
      </c>
      <c r="B28107" s="3">
        <v>0</v>
      </c>
    </row>
    <row r="28108" ht="15.75" customHeight="1" spans="1:2">
      <c r="A28108" s="3" t="str">
        <f>IFERROR(__xludf.DUMMYFUNCTION("GOOGLETRANSLATE(A28108,""en"",""pt"")"),"Flash não está centrada sobre lense .. vai gerar algum efeito de olhos vermelhos")</f>
        <v>Flash não está centrada sobre lense .. vai gerar algum efeito de olhos vermelhos</v>
      </c>
      <c r="B28108" s="3">
        <v>0</v>
      </c>
    </row>
    <row r="28109" ht="15.75" customHeight="1" spans="1:2">
      <c r="A28109" s="3" t="str">
        <f>IFERROR(__xludf.DUMMYFUNCTION("GOOGLETRANSLATE(A28109,""en"",""pt"")"),"Depende do que você vai usá-lo para")</f>
        <v>Depende do que você vai usá-lo para</v>
      </c>
      <c r="B28109" s="3">
        <v>0</v>
      </c>
    </row>
    <row r="28110" ht="15.75" customHeight="1" spans="1:2">
      <c r="A28110" s="3" t="str">
        <f>IFERROR(__xludf.DUMMYFUNCTION("GOOGLETRANSLATE(A28110,""en"",""pt"")"),"Nenhum tanto quanto eu posso dizer")</f>
        <v>Nenhum tanto quanto eu posso dizer</v>
      </c>
      <c r="B28110" s="3">
        <v>0</v>
      </c>
    </row>
    <row r="28111" ht="15.75" customHeight="1" spans="1:2">
      <c r="A28111" s="3" t="str">
        <f>IFERROR(__xludf.DUMMYFUNCTION("GOOGLETRANSLATE(A28111,""en"",""pt"")"),"Um pouco de um esforço para aprender características mais finas.")</f>
        <v>Um pouco de um esforço para aprender características mais finas.</v>
      </c>
      <c r="B28111" s="3">
        <v>0</v>
      </c>
    </row>
    <row r="28112" ht="15.75" customHeight="1" spans="1:2">
      <c r="A28112" s="3" t="str">
        <f>IFERROR(__xludf.DUMMYFUNCTION("GOOGLETRANSLATE(A28112,""en"",""pt"")"),"Nenhum.")</f>
        <v>Nenhum.</v>
      </c>
      <c r="B28112" s="3">
        <v>0</v>
      </c>
    </row>
    <row r="28113" ht="15.75" customHeight="1" spans="1:2">
      <c r="A28113" s="3" t="str">
        <f>IFERROR(__xludf.DUMMYFUNCTION("GOOGLETRANSLATE(A28113,""en"",""pt"")"),"cartão de memória empacotado é muito insubstancial. Nenhuma voz com gravação de filme. Manual carece de conteúdo de qualidade.")</f>
        <v>cartão de memória empacotado é muito insubstancial. Nenhuma voz com gravação de filme. Manual carece de conteúdo de qualidade.</v>
      </c>
      <c r="B28113" s="3">
        <v>0</v>
      </c>
    </row>
    <row r="28114" ht="15.75" customHeight="1" spans="1:2">
      <c r="A28114" s="3" t="str">
        <f>IFERROR(__xludf.DUMMYFUNCTION("GOOGLETRANSLATE(A28114,""en"",""pt"")"),"Eu achei o preço a ser um pouco alta")</f>
        <v>Eu achei o preço a ser um pouco alta</v>
      </c>
      <c r="B28114" s="3">
        <v>0</v>
      </c>
    </row>
    <row r="28115" ht="15.75" customHeight="1" spans="1:2">
      <c r="A28115" s="3" t="str">
        <f>IFERROR(__xludf.DUMMYFUNCTION("GOOGLETRANSLATE(A28115,""en"",""pt"")"),"Ele cria maus resultados em estradas esburacadas.")</f>
        <v>Ele cria maus resultados em estradas esburacadas.</v>
      </c>
      <c r="B28115" s="3">
        <v>0</v>
      </c>
    </row>
    <row r="28116" ht="15.75" customHeight="1" spans="1:2">
      <c r="A28116" s="3" t="str">
        <f>IFERROR(__xludf.DUMMYFUNCTION("GOOGLETRANSLATE(A28116,""en"",""pt"")"),"Tipo de pesado, mas não muito ruim. A qualidade da imagem é boa, exceto para a sua tonalidade.")</f>
        <v>Tipo de pesado, mas não muito ruim. A qualidade da imagem é boa, exceto para a sua tonalidade.</v>
      </c>
      <c r="B28116" s="3">
        <v>0</v>
      </c>
    </row>
    <row r="28117" ht="15.75" customHeight="1" spans="1:2">
      <c r="A28117" s="3" t="str">
        <f>IFERROR(__xludf.DUMMYFUNCTION("GOOGLETRANSLATE(A28117,""en"",""pt"")"),"cartão de SM tem apenas 128M máxima.")</f>
        <v>cartão de SM tem apenas 128M máxima.</v>
      </c>
      <c r="B28117" s="3">
        <v>0</v>
      </c>
    </row>
    <row r="28118" ht="15.75" customHeight="1" spans="1:2">
      <c r="A28118" s="3" t="s">
        <v>148</v>
      </c>
      <c r="B28118" s="3">
        <v>0</v>
      </c>
    </row>
    <row r="28119" ht="15.75" customHeight="1" spans="1:2">
      <c r="A28119" s="3" t="str">
        <f>IFERROR(__xludf.DUMMYFUNCTION("GOOGLETRANSLATE(A28119,""en"",""pt"")"),"Cartão de Memória Smartmedia, um pouco desajeitado (até que você aprender) sistema de menu")</f>
        <v>Cartão de Memória Smartmedia, um pouco desajeitado (até que você aprender) sistema de menu</v>
      </c>
      <c r="B28119" s="3">
        <v>0</v>
      </c>
    </row>
    <row r="28120" ht="15.75" customHeight="1" spans="1:2">
      <c r="A28120" s="3" t="str">
        <f>IFERROR(__xludf.DUMMYFUNCTION("GOOGLETRANSLATE(A28120,""en"",""pt"")"),"Nenhum ainda")</f>
        <v>Nenhum ainda</v>
      </c>
      <c r="B28120" s="3">
        <v>0</v>
      </c>
    </row>
    <row r="28121" ht="15.75" customHeight="1" spans="1:2">
      <c r="A28121" s="3" t="str">
        <f>IFERROR(__xludf.DUMMYFUNCTION("GOOGLETRANSLATE(A28121,""en"",""pt"")"),"Não tão bom para esportes - zoom óptico é muito pequeno.")</f>
        <v>Não tão bom para esportes - zoom óptico é muito pequeno.</v>
      </c>
      <c r="B28121" s="3">
        <v>0</v>
      </c>
    </row>
    <row r="28122" ht="15.75" customHeight="1" spans="1:2">
      <c r="A28122" s="3" t="str">
        <f>IFERROR(__xludf.DUMMYFUNCTION("GOOGLETRANSLATE(A28122,""en"",""pt"")"),"Complicado para um suporte ao cliente / help garantia amador-Horrível")</f>
        <v>Complicado para um suporte ao cliente / help garantia amador-Horrível</v>
      </c>
      <c r="B28122" s="3">
        <v>0</v>
      </c>
    </row>
    <row r="28123" ht="15.75" customHeight="1" spans="1:2">
      <c r="A28123" s="3" t="str">
        <f>IFERROR(__xludf.DUMMYFUNCTION("GOOGLETRANSLATE(A28123,""en"",""pt"")"),"vida &amp; amp bateria; nenhum saco da câmera. Para o preço, maior cartão de mídia inteligente.")</f>
        <v>vida &amp; amp bateria; nenhum saco da câmera. Para o preço, maior cartão de mídia inteligente.</v>
      </c>
      <c r="B28123" s="3">
        <v>0</v>
      </c>
    </row>
    <row r="28124" ht="15.75" customHeight="1" spans="1:2">
      <c r="A28124" s="3" t="str">
        <f>IFERROR(__xludf.DUMMYFUNCTION("GOOGLETRANSLATE(A28124,""en"",""pt"")"),"manual do usuário, tipo de simples software.")</f>
        <v>manual do usuário, tipo de simples software.</v>
      </c>
      <c r="B28124" s="3">
        <v>0</v>
      </c>
    </row>
    <row r="28125" ht="15.75" customHeight="1" spans="1:2">
      <c r="A28125" s="3" t="str">
        <f>IFERROR(__xludf.DUMMYFUNCTION("GOOGLETRANSLATE(A28125,""en"",""pt"")"),"Detém engraçado nas mãos")</f>
        <v>Detém engraçado nas mãos</v>
      </c>
      <c r="B28125" s="3">
        <v>0</v>
      </c>
    </row>
    <row r="28126" ht="15.75" customHeight="1" spans="1:2">
      <c r="A28126" s="3" t="str">
        <f>IFERROR(__xludf.DUMMYFUNCTION("GOOGLETRANSLATE(A28126,""en"",""pt"")"),"A capacidade máxima meios inteligente é apenas 128 mb")</f>
        <v>A capacidade máxima meios inteligente é apenas 128 mb</v>
      </c>
      <c r="B28126" s="3">
        <v>0</v>
      </c>
    </row>
    <row r="28127" ht="15.75" customHeight="1" spans="1:2">
      <c r="A28127" s="3" t="str">
        <f>IFERROR(__xludf.DUMMYFUNCTION("GOOGLETRANSLATE(A28127,""en"",""pt"")"),"Leva um tempo para se acostumar com isso.")</f>
        <v>Leva um tempo para se acostumar com isso.</v>
      </c>
      <c r="B28127" s="3">
        <v>0</v>
      </c>
    </row>
    <row r="28128" ht="15.75" customHeight="1" spans="1:2">
      <c r="A28128" s="3" t="str">
        <f>IFERROR(__xludf.DUMMYFUNCTION("GOOGLETRANSLATE(A28128,""en"",""pt"")"),"Um pouco grande demais")</f>
        <v>Um pouco grande demais</v>
      </c>
      <c r="B28128" s="3">
        <v>0</v>
      </c>
    </row>
    <row r="28129" ht="15.75" customHeight="1" spans="1:2">
      <c r="A28129" s="3" t="str">
        <f>IFERROR(__xludf.DUMMYFUNCTION("GOOGLETRANSLATE(A28129,""en"",""pt"")"),"Mantém revertendo para o modo de imagem padrão (HQ) cada cameram tempo está desligado.")</f>
        <v>Mantém revertendo para o modo de imagem padrão (HQ) cada cameram tempo está desligado.</v>
      </c>
      <c r="B28129" s="3">
        <v>0</v>
      </c>
    </row>
    <row r="28130" ht="15.75" customHeight="1" spans="1:2">
      <c r="A28130" s="3" t="str">
        <f>IFERROR(__xludf.DUMMYFUNCTION("GOOGLETRANSLATE(A28130,""en"",""pt"")"),"Ver cortes localizador fora bordas ... e é sobre isso!")</f>
        <v>Ver cortes localizador fora bordas ... e é sobre isso!</v>
      </c>
      <c r="B28130" s="3">
        <v>0</v>
      </c>
    </row>
    <row r="28131" ht="15.75" customHeight="1" spans="1:2">
      <c r="A28131" s="3" t="str">
        <f>IFERROR(__xludf.DUMMYFUNCTION("GOOGLETRANSLATE(A28131,""en"",""pt"")"),"Caro...")</f>
        <v>Caro...</v>
      </c>
      <c r="B28131" s="3">
        <v>0</v>
      </c>
    </row>
    <row r="28132" ht="15.75" customHeight="1" spans="1:2">
      <c r="A28132" s="3" t="str">
        <f>IFERROR(__xludf.DUMMYFUNCTION("GOOGLETRANSLATE(A28132,""en"",""pt"")"),"Difícil de revisão de imagem com LCD sob luz forte.")</f>
        <v>Difícil de revisão de imagem com LCD sob luz forte.</v>
      </c>
      <c r="B28132" s="3">
        <v>0</v>
      </c>
    </row>
    <row r="28133" ht="15.75" customHeight="1" spans="1:2">
      <c r="A28133" s="3" t="str">
        <f>IFERROR(__xludf.DUMMYFUNCTION("GOOGLETRANSLATE(A28133,""en"",""pt"")"),"baterias não recarregáveis ​​e cartão de 16MB")</f>
        <v>baterias não recarregáveis ​​e cartão de 16MB</v>
      </c>
      <c r="B28133" s="3">
        <v>0</v>
      </c>
    </row>
    <row r="28134" ht="15.75" customHeight="1" spans="1:2">
      <c r="A28134" s="3" t="str">
        <f>IFERROR(__xludf.DUMMYFUNCTION("GOOGLETRANSLATE(A28134,""en"",""pt"")"),"baterias &amp; amp não recarregáveis; o cartão SmartMedia é muito pequeno!")</f>
        <v>baterias &amp; amp não recarregáveis; o cartão SmartMedia é muito pequeno!</v>
      </c>
      <c r="B28134" s="3">
        <v>0</v>
      </c>
    </row>
    <row r="28135" ht="15.75" customHeight="1" spans="1:2">
      <c r="A28135" s="3" t="str">
        <f>IFERROR(__xludf.DUMMYFUNCTION("GOOGLETRANSLATE(A28135,""en"",""pt"")"),"Sem NiMH baterias, carregador ou caso incluído w câmera /")</f>
        <v>Sem NiMH baterias, carregador ou caso incluído w câmera /</v>
      </c>
      <c r="B28135" s="3">
        <v>0</v>
      </c>
    </row>
    <row r="28136" ht="15.75" customHeight="1" spans="1:2">
      <c r="A28136" s="3" t="str">
        <f>IFERROR(__xludf.DUMMYFUNCTION("GOOGLETRANSLATE(A28136,""en"",""pt"")"),"Estranho para fora flash externo, as opções nos menus são camadas profundas")</f>
        <v>Estranho para fora flash externo, as opções nos menus são camadas profundas</v>
      </c>
      <c r="B28136" s="3">
        <v>0</v>
      </c>
    </row>
    <row r="28137" ht="15.75" customHeight="1" spans="1:2">
      <c r="A28137" s="3" t="str">
        <f>IFERROR(__xludf.DUMMYFUNCTION("GOOGLETRANSLATE(A28137,""en"",""pt"")"),"a falta de acessórios essenciais, zoom 3x")</f>
        <v>a falta de acessórios essenciais, zoom 3x</v>
      </c>
      <c r="B28137" s="3">
        <v>0</v>
      </c>
    </row>
    <row r="28138" ht="15.75" customHeight="1" spans="1:2">
      <c r="A28138" s="3" t="str">
        <f>IFERROR(__xludf.DUMMYFUNCTION("GOOGLETRANSLATE(A28138,""en"",""pt"")"),"A volumosa pouco para o meu gosto. smartmedia (limite de 128Meg a partir de agora).")</f>
        <v>A volumosa pouco para o meu gosto. smartmedia (limite de 128Meg a partir de agora).</v>
      </c>
      <c r="B28138" s="3">
        <v>0</v>
      </c>
    </row>
    <row r="28139" ht="15.75" customHeight="1" spans="1:2">
      <c r="A28139" s="3" t="str">
        <f>IFERROR(__xludf.DUMMYFUNCTION("GOOGLETRANSLATE(A28139,""en"",""pt"")"),"Incapaz de cor equilibrando adequadamente com pouca luz")</f>
        <v>Incapaz de cor equilibrando adequadamente com pouca luz</v>
      </c>
      <c r="B28139" s="3">
        <v>0</v>
      </c>
    </row>
    <row r="28140" ht="15.75" customHeight="1" spans="1:2">
      <c r="A28140" s="3" t="str">
        <f>IFERROR(__xludf.DUMMYFUNCTION("GOOGLETRANSLATE(A28140,""en"",""pt"")"),"Desejo-lo enviado com baterias recarregáveis.")</f>
        <v>Desejo-lo enviado com baterias recarregáveis.</v>
      </c>
      <c r="B28140" s="3">
        <v>0</v>
      </c>
    </row>
    <row r="28141" ht="15.75" customHeight="1" spans="1:2">
      <c r="A28141" s="3" t="str">
        <f>IFERROR(__xludf.DUMMYFUNCTION("GOOGLETRANSLATE(A28141,""en"",""pt"")"),"tampa da lente pode atolar extensão da lente quando ligado")</f>
        <v>tampa da lente pode atolar extensão da lente quando ligado</v>
      </c>
      <c r="B28141" s="3">
        <v>0</v>
      </c>
    </row>
    <row r="28142" ht="15.75" customHeight="1" spans="1:2">
      <c r="A28142" s="3" t="str">
        <f>IFERROR(__xludf.DUMMYFUNCTION("GOOGLETRANSLATE(A28142,""en"",""pt"")"),"vida útil da bateria, lcd recebe, os pixels mortos quentes - tudo facilmente sanado")</f>
        <v>vida útil da bateria, lcd recebe, os pixels mortos quentes - tudo facilmente sanado</v>
      </c>
      <c r="B28142" s="3">
        <v>0</v>
      </c>
    </row>
    <row r="28143" ht="15.75" customHeight="1" spans="1:2">
      <c r="A28143" s="3" t="str">
        <f>IFERROR(__xludf.DUMMYFUNCTION("GOOGLETRANSLATE(A28143,""en"",""pt"")"),"A vida da bateria poderia ser mais longa (use baterias recarregáveis); 128 cartão de memória = 120 fotos!")</f>
        <v>A vida da bateria poderia ser mais longa (use baterias recarregáveis); 128 cartão de memória = 120 fotos!</v>
      </c>
      <c r="B28143" s="3">
        <v>0</v>
      </c>
    </row>
    <row r="28144" ht="15.75" customHeight="1" spans="1:2">
      <c r="A28144" s="3" t="str">
        <f>IFERROR(__xludf.DUMMYFUNCTION("GOOGLETRANSLATE(A28144,""en"",""pt"")"),"cartão de memória incluído muito pequeno, manual do usuário pobre")</f>
        <v>cartão de memória incluído muito pequeno, manual do usuário pobre</v>
      </c>
      <c r="B28144" s="3">
        <v>0</v>
      </c>
    </row>
    <row r="28145" ht="15.75" customHeight="1" spans="1:2">
      <c r="A28145" s="3" t="str">
        <f>IFERROR(__xludf.DUMMYFUNCTION("GOOGLETRANSLATE(A28145,""en"",""pt"")"),"3x zoom. Flash é esmagadora, por vezes.")</f>
        <v>3x zoom. Flash é esmagadora, por vezes.</v>
      </c>
      <c r="B28145" s="3">
        <v>0</v>
      </c>
    </row>
    <row r="28146" ht="15.75" customHeight="1" spans="1:2">
      <c r="A28146" s="3" t="str">
        <f>IFERROR(__xludf.DUMMYFUNCTION("GOOGLETRANSLATE(A28146,""en"",""pt"")"),"Sem pilhas recarregáveis ​​fornecido, lento arranque.")</f>
        <v>Sem pilhas recarregáveis ​​fornecido, lento arranque.</v>
      </c>
      <c r="B28146" s="3">
        <v>0</v>
      </c>
    </row>
    <row r="28147" ht="15.75" customHeight="1" spans="1:2">
      <c r="A28147" s="3" t="str">
        <f>IFERROR(__xludf.DUMMYFUNCTION("GOOGLETRANSLATE(A28147,""en"",""pt"")"),"tampa da lente de alarme é chato, mas realmente funciona. De olhos vermelhos fotografar pessoas em ambientes escuros.")</f>
        <v>tampa da lente de alarme é chato, mas realmente funciona. De olhos vermelhos fotografar pessoas em ambientes escuros.</v>
      </c>
      <c r="B28147" s="3">
        <v>0</v>
      </c>
    </row>
    <row r="28148" ht="15.75" customHeight="1" spans="1:2">
      <c r="A28148" s="3" t="str">
        <f>IFERROR(__xludf.DUMMYFUNCTION("GOOGLETRANSLATE(A28148,""en"",""pt"")"),"Tampa da lente. Tampa da lente. Tampa da lente")</f>
        <v>Tampa da lente. Tampa da lente. Tampa da lente</v>
      </c>
      <c r="B28148" s="3">
        <v>0</v>
      </c>
    </row>
    <row r="28149" ht="15.75" customHeight="1" spans="1:2">
      <c r="A28149" s="3" t="str">
        <f>IFERROR(__xludf.DUMMYFUNCTION("GOOGLETRANSLATE(A28149,""en"",""pt"")"),"Às vezes funk focando questão. Curva de aprendizado")</f>
        <v>Às vezes funk focando questão. Curva de aprendizado</v>
      </c>
      <c r="B28149" s="3">
        <v>0</v>
      </c>
    </row>
    <row r="28150" ht="15.75" customHeight="1" spans="1:2">
      <c r="A28150" s="3" t="str">
        <f>IFERROR(__xludf.DUMMYFUNCTION("GOOGLETRANSLATE(A28150,""en"",""pt"")"),"Destaques ""queimar"" no sol brilhante.")</f>
        <v>Destaques "queimar" no sol brilhante.</v>
      </c>
      <c r="B28150" s="3">
        <v>0</v>
      </c>
    </row>
    <row r="28151" ht="15.75" customHeight="1" spans="1:2">
      <c r="A28151" s="3" t="str">
        <f>IFERROR(__xludf.DUMMYFUNCTION("GOOGLETRANSLATE(A28151,""en"",""pt"")"),"Granuladas fotos, Sem áudio, muita vermelhidão")</f>
        <v>Granuladas fotos, Sem áudio, muita vermelhidão</v>
      </c>
      <c r="B28151" s="3">
        <v>0</v>
      </c>
    </row>
    <row r="28152" ht="15.75" customHeight="1" spans="1:2">
      <c r="A28152" s="3" t="str">
        <f>IFERROR(__xludf.DUMMYFUNCTION("GOOGLETRANSLATE(A28152,""en"",""pt"")"),"Preço")</f>
        <v>Preço</v>
      </c>
      <c r="B28152" s="3">
        <v>0</v>
      </c>
    </row>
    <row r="28153" ht="15.75" customHeight="1" spans="1:2">
      <c r="A28153" s="3" t="str">
        <f>IFERROR(__xludf.DUMMYFUNCTION("GOOGLETRANSLATE(A28153,""en"",""pt"")"),"Nenhum")</f>
        <v>Nenhum</v>
      </c>
      <c r="B28153" s="3">
        <v>0</v>
      </c>
    </row>
    <row r="28154" ht="15.75" customHeight="1" spans="1:2">
      <c r="A28154" s="3" t="str">
        <f>IFERROR(__xludf.DUMMYFUNCTION("GOOGLETRANSLATE(A28154,""en"",""pt"")"),"baixa foco de luz, de olhos vermelhos, a bateria não-padrão")</f>
        <v>baixa foco de luz, de olhos vermelhos, a bateria não-padrão</v>
      </c>
      <c r="B28154" s="3">
        <v>0</v>
      </c>
    </row>
    <row r="28155" ht="15.75" customHeight="1" spans="1:2">
      <c r="A28155" s="3" t="str">
        <f>IFERROR(__xludf.DUMMYFUNCTION("GOOGLETRANSLATE(A28155,""en"",""pt"")"),"cobertura sem protetor sobre LCD, capacidades questionáveis ​​de baixa luz, muitas configurações")</f>
        <v>cobertura sem protetor sobre LCD, capacidades questionáveis ​​de baixa luz, muitas configurações</v>
      </c>
      <c r="B28155" s="3">
        <v>0</v>
      </c>
    </row>
    <row r="28156" ht="15.75" customHeight="1" spans="1:2">
      <c r="A28156" s="3" t="str">
        <f>IFERROR(__xludf.DUMMYFUNCTION("GOOGLETRANSLATE(A28156,""en"",""pt"")"),"preço, usa novo xD Picture Card")</f>
        <v>preço, usa novo xD Picture Card</v>
      </c>
      <c r="B28156" s="3">
        <v>0</v>
      </c>
    </row>
    <row r="28157" ht="15.75" customHeight="1" spans="1:2">
      <c r="A28157" s="3" t="str">
        <f>IFERROR(__xludf.DUMMYFUNCTION("GOOGLETRANSLATE(A28157,""en"",""pt"")"),"Câmera é pequena e deve ser mantido estável ao fotografar fotografia.")</f>
        <v>Câmera é pequena e deve ser mantido estável ao fotografar fotografia.</v>
      </c>
      <c r="B28157" s="3">
        <v>0</v>
      </c>
    </row>
    <row r="28158" ht="15.75" customHeight="1" spans="1:2">
      <c r="A28158" s="3" t="str">
        <f>IFERROR(__xludf.DUMMYFUNCTION("GOOGLETRANSLATE(A28158,""en"",""pt"")"),"mesmos problemas que o D-360L, muitas opções &amp; amp; granuladas fotos de baixa luz")</f>
        <v>mesmos problemas que o D-360L, muitas opções &amp; amp; granuladas fotos de baixa luz</v>
      </c>
      <c r="B28158" s="3">
        <v>0</v>
      </c>
    </row>
    <row r="28159" ht="15.75" customHeight="1" spans="1:2">
      <c r="A28159" s="3" t="str">
        <f>IFERROR(__xludf.DUMMYFUNCTION("GOOGLETRANSLATE(A28159,""en"",""pt"")"),"Complexo, às vezes; sem áudio")</f>
        <v>Complexo, às vezes; sem áudio</v>
      </c>
      <c r="B28159" s="3">
        <v>0</v>
      </c>
    </row>
    <row r="28160" ht="15.75" customHeight="1" spans="1:2">
      <c r="A28160" s="3" t="str">
        <f>IFERROR(__xludf.DUMMYFUNCTION("GOOGLETRANSLATE(A28160,""en"",""pt"")"),"nenhum guarda zero para LCD, software é horrível")</f>
        <v>nenhum guarda zero para LCD, software é horrível</v>
      </c>
      <c r="B28160" s="3">
        <v>0</v>
      </c>
    </row>
    <row r="28161" ht="15.75" customHeight="1" spans="1:2">
      <c r="A28161" s="3" t="str">
        <f>IFERROR(__xludf.DUMMYFUNCTION("GOOGLETRANSLATE(A28161,""en"",""pt"")"),"PRODUTOS WARRATEE é falso, alto preço, qualidade questionável dos componentes da câmera")</f>
        <v>PRODUTOS WARRATEE é falso, alto preço, qualidade questionável dos componentes da câmera</v>
      </c>
      <c r="B28161" s="3">
        <v>0</v>
      </c>
    </row>
    <row r="28162" ht="15.75" customHeight="1" spans="1:2">
      <c r="A28162" s="3" t="str">
        <f>IFERROR(__xludf.DUMMYFUNCTION("GOOGLETRANSLATE(A28162,""en"",""pt"")"),"operação do menu errático, Serviço de garantia")</f>
        <v>operação do menu errático, Serviço de garantia</v>
      </c>
      <c r="B28162" s="3">
        <v>0</v>
      </c>
    </row>
    <row r="28163" ht="15.75" customHeight="1" spans="1:2">
      <c r="A28163" s="3" t="str">
        <f>IFERROR(__xludf.DUMMYFUNCTION("GOOGLETRANSLATE(A28163,""en"",""pt"")"),"Sem cobertura de tela LCD, nenhuma luz auxiliar de AF,")</f>
        <v>Sem cobertura de tela LCD, nenhuma luz auxiliar de AF,</v>
      </c>
      <c r="B28163" s="3">
        <v>0</v>
      </c>
    </row>
    <row r="28164" ht="15.75" customHeight="1" spans="1:2">
      <c r="A28164" s="3" t="str">
        <f>IFERROR(__xludf.DUMMYFUNCTION("GOOGLETRANSLATE(A28164,""en"",""pt"")"),"Terrível resolução!")</f>
        <v>Terrível resolução!</v>
      </c>
      <c r="B28164" s="3">
        <v>0</v>
      </c>
    </row>
    <row r="28165" ht="15.75" customHeight="1" spans="1:2">
      <c r="A28165" s="3" t="str">
        <f>IFERROR(__xludf.DUMMYFUNCTION("GOOGLETRANSLATE(A28165,""en"",""pt"")"),"caro")</f>
        <v>caro</v>
      </c>
      <c r="B28165" s="3">
        <v>0</v>
      </c>
    </row>
    <row r="28166" ht="15.75" customHeight="1" spans="1:2">
      <c r="A28166" s="3" t="str">
        <f>IFERROR(__xludf.DUMMYFUNCTION("GOOGLETRANSLATE(A28166,""en"",""pt"")"),"modo macro é bobo bonita, distorção nos extremos do zoom")</f>
        <v>modo macro é bobo bonita, distorção nos extremos do zoom</v>
      </c>
      <c r="B28166" s="3">
        <v>0</v>
      </c>
    </row>
    <row r="28167" ht="15.75" customHeight="1" spans="1:2">
      <c r="A28167" s="3" t="str">
        <f>IFERROR(__xludf.DUMMYFUNCTION("GOOGLETRANSLATE(A28167,""en"",""pt"")"),"Programação configurado")</f>
        <v>Programação configurado</v>
      </c>
      <c r="B28167" s="3">
        <v>0</v>
      </c>
    </row>
    <row r="28168" ht="15.75" customHeight="1" spans="1:2">
      <c r="A28168" s="3" t="str">
        <f>IFERROR(__xludf.DUMMYFUNCTION("GOOGLETRANSLATE(A28168,""en"",""pt"")"),"não pode carregar a bateria na câmera")</f>
        <v>não pode carregar a bateria na câmera</v>
      </c>
      <c r="B28168" s="3">
        <v>0</v>
      </c>
    </row>
    <row r="28169" ht="15.75" customHeight="1" spans="1:2">
      <c r="A28169" s="3" t="str">
        <f>IFERROR(__xludf.DUMMYFUNCTION("GOOGLETRANSLATE(A28169,""en"",""pt"")"),"A tela LCD se dobra todo o caminho.")</f>
        <v>A tela LCD se dobra todo o caminho.</v>
      </c>
      <c r="B28169" s="3">
        <v>0</v>
      </c>
    </row>
    <row r="28170" ht="15.75" customHeight="1" spans="1:2">
      <c r="A28170" s="3" t="str">
        <f>IFERROR(__xludf.DUMMYFUNCTION("GOOGLETRANSLATE(A28170,""en"",""pt"")"),"minúsculo, visor barato; software desajeitado com nenhum plugin Adobe PS para arquivos raw")</f>
        <v>minúsculo, visor barato; software desajeitado com nenhum plugin Adobe PS para arquivos raw</v>
      </c>
      <c r="B28170" s="3">
        <v>0</v>
      </c>
    </row>
    <row r="28171" ht="15.75" customHeight="1" spans="1:2">
      <c r="A28171" s="3" t="str">
        <f>IFERROR(__xludf.DUMMYFUNCTION("GOOGLETRANSLATE(A28171,""en"",""pt"")"),"nada de significativo")</f>
        <v>nada de significativo</v>
      </c>
      <c r="B28171" s="3">
        <v>0</v>
      </c>
    </row>
    <row r="28172" ht="15.75" customHeight="1" spans="1:2">
      <c r="A28172" s="3" t="str">
        <f>IFERROR(__xludf.DUMMYFUNCTION("GOOGLETRANSLATE(A28172,""en"",""pt"")"),"microfone não muito boa")</f>
        <v>microfone não muito boa</v>
      </c>
      <c r="B28172" s="3">
        <v>0</v>
      </c>
    </row>
    <row r="28173" ht="15.75" customHeight="1" spans="1:2">
      <c r="A28173" s="3" t="str">
        <f>IFERROR(__xludf.DUMMYFUNCTION("GOOGLETRANSLATE(A28173,""en"",""pt"")"),"Nenhum, em comparação com outras câmeras em sua classe, mas visor poderia ser melhor.")</f>
        <v>Nenhum, em comparação com outras câmeras em sua classe, mas visor poderia ser melhor.</v>
      </c>
      <c r="B28173" s="3">
        <v>0</v>
      </c>
    </row>
    <row r="28174" ht="15.75" customHeight="1" spans="1:2">
      <c r="A28174" s="3" t="str">
        <f>IFERROR(__xludf.DUMMYFUNCTION("GOOGLETRANSLATE(A28174,""en"",""pt"")"),"Voz do sinc com vídeo, Max 400iso, lento para tirar uma foto, Lenscap")</f>
        <v>Voz do sinc com vídeo, Max 400iso, lento para tirar uma foto, Lenscap</v>
      </c>
      <c r="B28174" s="3">
        <v>0</v>
      </c>
    </row>
    <row r="28175" ht="15.75" customHeight="1" spans="1:2">
      <c r="A28175" s="3" t="str">
        <f>IFERROR(__xludf.DUMMYFUNCTION("GOOGLETRANSLATE(A28175,""en"",""pt"")"),"Complicado para iniciantes ..")</f>
        <v>Complicado para iniciantes ..</v>
      </c>
      <c r="B28175" s="3">
        <v>0</v>
      </c>
    </row>
    <row r="28176" ht="15.75" customHeight="1" spans="1:2">
      <c r="A28176" s="3" t="str">
        <f>IFERROR(__xludf.DUMMYFUNCTION("GOOGLETRANSLATE(A28176,""en"",""pt"")"),"interruptor de alimentação é fácil de bater para a posição")</f>
        <v>interruptor de alimentação é fácil de bater para a posição</v>
      </c>
      <c r="B28176" s="3">
        <v>0</v>
      </c>
    </row>
    <row r="28177" ht="15.75" customHeight="1" spans="1:2">
      <c r="A28177" s="3" t="str">
        <f>IFERROR(__xludf.DUMMYFUNCTION("GOOGLETRANSLATE(A28177,""en"",""pt"")"),"Tempo entre as fotos")</f>
        <v>Tempo entre as fotos</v>
      </c>
      <c r="B28177" s="3">
        <v>0</v>
      </c>
    </row>
    <row r="28178" ht="15.75" customHeight="1" spans="1:2">
      <c r="A28178" s="3" t="str">
        <f>IFERROR(__xludf.DUMMYFUNCTION("GOOGLETRANSLATE(A28178,""en"",""pt"")"),"Tem um hábito irritante de mostrar ""porta do cartão aberto"" erro.")</f>
        <v>Tem um hábito irritante de mostrar "porta do cartão aberto" erro.</v>
      </c>
      <c r="B28178" s="3">
        <v>0</v>
      </c>
    </row>
    <row r="28179" ht="15.75" customHeight="1" spans="1:2">
      <c r="A28179" s="3" t="str">
        <f>IFERROR(__xludf.DUMMYFUNCTION("GOOGLETRANSLATE(A28179,""en"",""pt"")"),"Nada para escrever aqui.")</f>
        <v>Nada para escrever aqui.</v>
      </c>
      <c r="B28179" s="3">
        <v>0</v>
      </c>
    </row>
    <row r="28180" ht="15.75" customHeight="1" spans="1:2">
      <c r="A28180" s="3" t="str">
        <f>IFERROR(__xludf.DUMMYFUNCTION("GOOGLETRANSLATE(A28180,""en"",""pt"")"),"Não credível em ponto e modo de disparo, requer muita mexer para obter melhores resultados.")</f>
        <v>Não credível em ponto e modo de disparo, requer muita mexer para obter melhores resultados.</v>
      </c>
      <c r="B28180" s="3">
        <v>0</v>
      </c>
    </row>
    <row r="28181" ht="15.75" customHeight="1" spans="1:2">
      <c r="A28181" s="3" t="str">
        <f>IFERROR(__xludf.DUMMYFUNCTION("GOOGLETRANSLATE(A28181,""en"",""pt"")"),"Caro e pode ficar um pouco complicado se você é bastante novo atirador.")</f>
        <v>Caro e pode ficar um pouco complicado se você é bastante novo atirador.</v>
      </c>
      <c r="B28181" s="3">
        <v>0</v>
      </c>
    </row>
    <row r="28182" ht="15.75" customHeight="1" spans="1:2">
      <c r="A28182" s="3" t="str">
        <f>IFERROR(__xludf.DUMMYFUNCTION("GOOGLETRANSLATE(A28182,""en"",""pt"")"),"zoom da lente, tampa da lente ackward")</f>
        <v>zoom da lente, tampa da lente ackward</v>
      </c>
      <c r="B28182" s="3">
        <v>0</v>
      </c>
    </row>
    <row r="28183" ht="15.75" customHeight="1" spans="1:2">
      <c r="A28183" s="3" t="str">
        <f>IFERROR(__xludf.DUMMYFUNCTION("GOOGLETRANSLATE(A28183,""en"",""pt"")"),"Nenhum")</f>
        <v>Nenhum</v>
      </c>
      <c r="B28183" s="3">
        <v>0</v>
      </c>
    </row>
    <row r="28184" ht="15.75" customHeight="1" spans="1:2">
      <c r="A28184" s="3" t="str">
        <f>IFERROR(__xludf.DUMMYFUNCTION("GOOGLETRANSLATE(A28184,""en"",""pt"")"),"manual de instruções do produto quase um insulto para uma câmera desta qualidade.")</f>
        <v>manual de instruções do produto quase um insulto para uma câmera desta qualidade.</v>
      </c>
      <c r="B28184" s="3">
        <v>0</v>
      </c>
    </row>
    <row r="28185" ht="15.75" customHeight="1" spans="1:2">
      <c r="A28185" s="3" t="str">
        <f>IFERROR(__xludf.DUMMYFUNCTION("GOOGLETRANSLATE(A28185,""en"",""pt"")"),"Os cartões CF são caros e alguns trabalhos não faça nada")</f>
        <v>Os cartões CF são caros e alguns trabalhos não faça nada</v>
      </c>
      <c r="B28185" s="3">
        <v>0</v>
      </c>
    </row>
    <row r="28186" ht="15.75" customHeight="1" spans="1:2">
      <c r="A28186" s="3" t="str">
        <f>IFERROR(__xludf.DUMMYFUNCTION("GOOGLETRANSLATE(A28186,""en"",""pt"")"),"Não é realmente um con, mas eu aprender algo novo sobre isso todos os dias")</f>
        <v>Não é realmente um con, mas eu aprender algo novo sobre isso todos os dias</v>
      </c>
      <c r="B28186" s="3">
        <v>0</v>
      </c>
    </row>
    <row r="28187" ht="15.75" customHeight="1" spans="1:2">
      <c r="A28187" s="3" t="str">
        <f>IFERROR(__xludf.DUMMYFUNCTION("GOOGLETRANSLATE(A28187,""en"",""pt"")"),"Shutter lag, especialmente com flash. View finder.")</f>
        <v>Shutter lag, especialmente com flash. View finder.</v>
      </c>
      <c r="B28187" s="3">
        <v>0</v>
      </c>
    </row>
    <row r="28188" ht="15.75" customHeight="1" spans="1:2">
      <c r="A28188" s="3" t="str">
        <f>IFERROR(__xludf.DUMMYFUNCTION("GOOGLETRANSLATE(A28188,""en"",""pt"")"),"LCD pode ser maior / mais neg. incline, Só óptico de 3x, resets da câmera para fábrica.")</f>
        <v>LCD pode ser maior / mais neg. incline, Só óptico de 3x, resets da câmera para fábrica.</v>
      </c>
      <c r="B28188" s="3">
        <v>0</v>
      </c>
    </row>
    <row r="28189" ht="15.75" customHeight="1" spans="1:2">
      <c r="A28189" s="3" t="str">
        <f>IFERROR(__xludf.DUMMYFUNCTION("GOOGLETRANSLATE(A28189,""en"",""pt"")"),"de peso é um problema, mais pesado do que outros")</f>
        <v>de peso é um problema, mais pesado do que outros</v>
      </c>
      <c r="B28189" s="3">
        <v>0</v>
      </c>
    </row>
    <row r="28190" ht="15.75" customHeight="1" spans="1:2">
      <c r="A28190" s="3" t="str">
        <f>IFERROR(__xludf.DUMMYFUNCTION("GOOGLETRANSLATE(A28190,""en"",""pt"")"),"Compact Flash problemas e limitações de ação.")</f>
        <v>Compact Flash problemas e limitações de ação.</v>
      </c>
      <c r="B28190" s="3">
        <v>0</v>
      </c>
    </row>
    <row r="28191" ht="15.75" customHeight="1" spans="1:2">
      <c r="A28191" s="3" t="str">
        <f>IFERROR(__xludf.DUMMYFUNCTION("GOOGLETRANSLATE(A28191,""en"",""pt"")"),"Flash é muito brilhante na configuração automática, mas pode ser ajustado.")</f>
        <v>Flash é muito brilhante na configuração automática, mas pode ser ajustado.</v>
      </c>
      <c r="B28191" s="3">
        <v>0</v>
      </c>
    </row>
    <row r="28192" ht="15.75" customHeight="1" spans="1:2">
      <c r="A28192" s="3" t="str">
        <f>IFERROR(__xludf.DUMMYFUNCTION("GOOGLETRANSLATE(A28192,""en"",""pt"")"),"Não tem indicador de bateria baixa / média.")</f>
        <v>Não tem indicador de bateria baixa / média.</v>
      </c>
      <c r="B28192" s="3">
        <v>0</v>
      </c>
    </row>
    <row r="28193" ht="15.75" customHeight="1" spans="1:2">
      <c r="A28193" s="3" t="str">
        <f>IFERROR(__xludf.DUMMYFUNCTION("GOOGLETRANSLATE(A28193,""en"",""pt"")"),"Necessidade boa luz para uma exposição adequada")</f>
        <v>Necessidade boa luz para uma exposição adequada</v>
      </c>
      <c r="B28193" s="3">
        <v>0</v>
      </c>
    </row>
    <row r="28194" ht="15.75" customHeight="1" spans="1:2">
      <c r="A28194" s="3" t="str">
        <f>IFERROR(__xludf.DUMMYFUNCTION("GOOGLETRANSLATE(A28194,""en"",""pt"")"),"nenhum realmente")</f>
        <v>nenhum realmente</v>
      </c>
      <c r="B28194" s="3">
        <v>0</v>
      </c>
    </row>
    <row r="28195" ht="15.75" customHeight="1" spans="1:2">
      <c r="A28195" s="3" t="str">
        <f>IFERROR(__xludf.DUMMYFUNCTION("GOOGLETRANSLATE(A28195,""en"",""pt"")"),"Monitor de LCD poderia ser um pouco melhor")</f>
        <v>Monitor de LCD poderia ser um pouco melhor</v>
      </c>
      <c r="B28195" s="3">
        <v>0</v>
      </c>
    </row>
    <row r="28196" ht="15.75" customHeight="1" spans="1:2">
      <c r="A28196" s="3" t="str">
        <f>IFERROR(__xludf.DUMMYFUNCTION("GOOGLETRANSLATE(A28196,""en"",""pt"")"),"Visor pode ser um pouco maior. manual impresso poderia ser mais abrangente.")</f>
        <v>Visor pode ser um pouco maior. manual impresso poderia ser mais abrangente.</v>
      </c>
      <c r="B28196" s="3">
        <v>0</v>
      </c>
    </row>
    <row r="28197" ht="15.75" customHeight="1" spans="1:2">
      <c r="A28197" s="3" t="str">
        <f>IFERROR(__xludf.DUMMYFUNCTION("GOOGLETRANSLATE(A28197,""en"",""pt"")"),"atraso do obturador irritante,, erro de paralaxe em tiros perto, Requer tampa da lente,")</f>
        <v>atraso do obturador irritante,, erro de paralaxe em tiros perto, Requer tampa da lente,</v>
      </c>
      <c r="B28197" s="3">
        <v>0</v>
      </c>
    </row>
    <row r="28198" ht="15.75" customHeight="1" spans="1:2">
      <c r="A28198" s="3" t="str">
        <f>IFERROR(__xludf.DUMMYFUNCTION("GOOGLETRANSLATE(A28198,""en"",""pt"")"),"qualidade de imagem (se você não ler meu comentário)")</f>
        <v>qualidade de imagem (se você não ler meu comentário)</v>
      </c>
      <c r="B28198" s="3">
        <v>0</v>
      </c>
    </row>
    <row r="28199" ht="15.75" customHeight="1" spans="1:2">
      <c r="A28199" s="3" t="str">
        <f>IFERROR(__xludf.DUMMYFUNCTION("GOOGLETRANSLATE(A28199,""en"",""pt"")"),"não pode usar o flash da Nikon, porta da bateria um pouco fraco.")</f>
        <v>não pode usar o flash da Nikon, porta da bateria um pouco fraco.</v>
      </c>
      <c r="B28199" s="3">
        <v>0</v>
      </c>
    </row>
    <row r="28200" ht="15.75" customHeight="1" spans="1:2">
      <c r="A28200" s="3" t="str">
        <f>IFERROR(__xludf.DUMMYFUNCTION("GOOGLETRANSLATE(A28200,""en"",""pt"")"),"tampa da lente estúpido / potência no problema, LCD deve girar, bem como de inclinação.")</f>
        <v>tampa da lente estúpido / potência no problema, LCD deve girar, bem como de inclinação.</v>
      </c>
      <c r="B28200" s="3">
        <v>0</v>
      </c>
    </row>
    <row r="28201" ht="15.75" customHeight="1" spans="1:2">
      <c r="A28201" s="3" t="str">
        <f>IFERROR(__xludf.DUMMYFUNCTION("GOOGLETRANSLATE(A28201,""en"",""pt"")"),"Um pouco maior do que algumas pessoas podem gostar.")</f>
        <v>Um pouco maior do que algumas pessoas podem gostar.</v>
      </c>
      <c r="B28201" s="3">
        <v>0</v>
      </c>
    </row>
    <row r="28202" ht="15.75" customHeight="1" spans="1:2">
      <c r="A28202" s="3" t="str">
        <f>IFERROR(__xludf.DUMMYFUNCTION("GOOGLETRANSLATE(A28202,""en"",""pt"")"),"Menu é um pouco complexo e é grande para caber no seu bolso.")</f>
        <v>Menu é um pouco complexo e é grande para caber no seu bolso.</v>
      </c>
      <c r="B28202" s="3">
        <v>0</v>
      </c>
    </row>
    <row r="28203" ht="15.75" customHeight="1" spans="1:2">
      <c r="A28203" s="3" t="str">
        <f>IFERROR(__xludf.DUMMYFUNCTION("GOOGLETRANSLATE(A28203,""en"",""pt"")"),"um pouco desajeitado para transportar cerca de")</f>
        <v>um pouco desajeitado para transportar cerca de</v>
      </c>
      <c r="B28203" s="3">
        <v>0</v>
      </c>
    </row>
    <row r="28204" ht="15.75" customHeight="1" spans="1:2">
      <c r="A28204" s="3" t="str">
        <f>IFERROR(__xludf.DUMMYFUNCTION("GOOGLETRANSLATE(A28204,""en"",""pt"")"),"My # 1 con é a paralaxe visor quando o zoom.")</f>
        <v>My # 1 con é a paralaxe visor quando o zoom.</v>
      </c>
      <c r="B28204" s="3">
        <v>0</v>
      </c>
    </row>
    <row r="28205" ht="15.75" customHeight="1" spans="1:2">
      <c r="A28205" s="3" t="str">
        <f>IFERROR(__xludf.DUMMYFUNCTION("GOOGLETRANSLATE(A28205,""en"",""pt"")"),"Alguns aberração cromática")</f>
        <v>Alguns aberração cromática</v>
      </c>
      <c r="B28205" s="3">
        <v>0</v>
      </c>
    </row>
    <row r="28206" ht="15.75" customHeight="1" spans="1:2">
      <c r="A28206" s="3" t="str">
        <f>IFERROR(__xludf.DUMMYFUNCTION("GOOGLETRANSLATE(A28206,""en"",""pt"")"),"Vem com cartão de bastante pequena memória, baterias não recarregáveis, e nenhum leitor de cartão de memória.")</f>
        <v>Vem com cartão de bastante pequena memória, baterias não recarregáveis, e nenhum leitor de cartão de memória.</v>
      </c>
      <c r="B28206" s="3">
        <v>0</v>
      </c>
    </row>
    <row r="28207" ht="15.75" customHeight="1" spans="1:2">
      <c r="A28207" s="3" t="str">
        <f>IFERROR(__xludf.DUMMYFUNCTION("GOOGLETRANSLATE(A28207,""en"",""pt"")"),"Nenhum!")</f>
        <v>Nenhum!</v>
      </c>
      <c r="B28207" s="3">
        <v>0</v>
      </c>
    </row>
    <row r="28208" ht="15.75" customHeight="1" spans="1:2">
      <c r="A28208" s="3" t="str">
        <f>IFERROR(__xludf.DUMMYFUNCTION("GOOGLETRANSLATE(A28208,""en"",""pt"")"),"Nenhum!")</f>
        <v>Nenhum!</v>
      </c>
      <c r="B28208" s="3">
        <v>0</v>
      </c>
    </row>
    <row r="28209" ht="15.75" customHeight="1" spans="1:2">
      <c r="A28209" s="3" t="str">
        <f>IFERROR(__xludf.DUMMYFUNCTION("GOOGLETRANSLATE(A28209,""en"",""pt"")"),"você &amp; lt; / b &amp; gt; must &amp; lt; / b &amp; gt; comprar mais memória. Mais volumosos do que alguns frios Nikon / Cânones")</f>
        <v>você &amp; lt; / b &amp; gt; must &amp; lt; / b &amp; gt; comprar mais memória. Mais volumosos do que alguns frios Nikon / Cânones</v>
      </c>
      <c r="B28209" s="3">
        <v>0</v>
      </c>
    </row>
    <row r="28210" ht="15.75" customHeight="1" spans="1:2">
      <c r="A28210" s="3" t="str">
        <f>IFERROR(__xludf.DUMMYFUNCTION("GOOGLETRANSLATE(A28210,""en"",""pt"")"),"De olhos vermelhos com flash embutido (como acontece com todas as câmeras compactas)")</f>
        <v>De olhos vermelhos com flash embutido (como acontece com todas as câmeras compactas)</v>
      </c>
      <c r="B28210" s="3">
        <v>0</v>
      </c>
    </row>
    <row r="28211" ht="15.75" customHeight="1" spans="1:2">
      <c r="A28211" s="3" t="str">
        <f>IFERROR(__xludf.DUMMYFUNCTION("GOOGLETRANSLATE(A28211,""en"",""pt"")"),"distorções de imagem")</f>
        <v>distorções de imagem</v>
      </c>
      <c r="B28211" s="3">
        <v>0</v>
      </c>
    </row>
    <row r="28212" ht="15.75" customHeight="1" spans="1:2">
      <c r="A28212" s="3" t="str">
        <f>IFERROR(__xludf.DUMMYFUNCTION("GOOGLETRANSLATE(A28212,""en"",""pt"")"),"franja roxo, deve ficar parado por pix clara")</f>
        <v>franja roxo, deve ficar parado por pix clara</v>
      </c>
      <c r="B28212" s="3">
        <v>0</v>
      </c>
    </row>
    <row r="28213" ht="15.75" customHeight="1" spans="1:2">
      <c r="A28213" s="3" t="str">
        <f>IFERROR(__xludf.DUMMYFUNCTION("GOOGLETRANSLATE(A28213,""en"",""pt"")"),"cartão de memória pequena, as baterias não recarregáveis")</f>
        <v>cartão de memória pequena, as baterias não recarregáveis</v>
      </c>
      <c r="B28213" s="3">
        <v>0</v>
      </c>
    </row>
    <row r="28214" ht="15.75" customHeight="1" spans="1:2">
      <c r="A28214" s="3" t="str">
        <f>IFERROR(__xludf.DUMMYFUNCTION("GOOGLETRANSLATE(A28214,""en"",""pt"")"),"s / w caiu sistema Win98, volumosos em comparação com outros modelos. Não Carregador A / C, pequeno cartão de 8MB.")</f>
        <v>s / w caiu sistema Win98, volumosos em comparação com outros modelos. Não Carregador A / C, pequeno cartão de 8MB.</v>
      </c>
      <c r="B28214" s="3">
        <v>0</v>
      </c>
    </row>
    <row r="28215" ht="15.75" customHeight="1" spans="1:2">
      <c r="A28215" s="3" t="str">
        <f>IFERROR(__xludf.DUMMYFUNCTION("GOOGLETRANSLATE(A28215,""en"",""pt"")"),"Falta de durabilidade de processo terminar")</f>
        <v>Falta de durabilidade de processo terminar</v>
      </c>
      <c r="B28215" s="3">
        <v>0</v>
      </c>
    </row>
    <row r="28216" ht="15.75" customHeight="1" spans="1:2">
      <c r="A28216" s="3" t="str">
        <f>IFERROR(__xludf.DUMMYFUNCTION("GOOGLETRANSLATE(A28216,""en"",""pt"")"),"Tem não se deparar com qualquer ainda.")</f>
        <v>Tem não se deparar com qualquer ainda.</v>
      </c>
      <c r="B28216" s="3">
        <v>0</v>
      </c>
    </row>
    <row r="28217" ht="15.75" customHeight="1" spans="1:2">
      <c r="A28217" s="3" t="str">
        <f>IFERROR(__xludf.DUMMYFUNCTION("GOOGLETRANSLATE(A28217,""en"",""pt"")"),"lente sem rosca, difícil de usar zoom completo sem tripé.")</f>
        <v>lente sem rosca, difícil de usar zoom completo sem tripé.</v>
      </c>
      <c r="B28217" s="3">
        <v>0</v>
      </c>
    </row>
    <row r="28218" ht="15.75" customHeight="1" spans="1:2">
      <c r="A28218" s="3" t="str">
        <f>IFERROR(__xludf.DUMMYFUNCTION("GOOGLETRANSLATE(A28218,""en"",""pt"")"),"No IS e franja roxa em algumas fotos")</f>
        <v>No IS e franja roxa em algumas fotos</v>
      </c>
      <c r="B28218" s="3">
        <v>0</v>
      </c>
    </row>
    <row r="28219" ht="15.75" customHeight="1" spans="1:2">
      <c r="A28219" s="3" t="str">
        <f>IFERROR(__xludf.DUMMYFUNCTION("GOOGLETRANSLATE(A28219,""en"",""pt"")"),"Pesado, memória de 8 MB")</f>
        <v>Pesado, memória de 8 MB</v>
      </c>
      <c r="B28219" s="3">
        <v>0</v>
      </c>
    </row>
    <row r="28220" ht="15.75" customHeight="1" spans="1:2">
      <c r="A28220" s="3" t="str">
        <f>IFERROR(__xludf.DUMMYFUNCTION("GOOGLETRANSLATE(A28220,""en"",""pt"")"),"vida útil da bateria")</f>
        <v>vida útil da bateria</v>
      </c>
      <c r="B28220" s="3">
        <v>0</v>
      </c>
    </row>
    <row r="28221" ht="15.75" customHeight="1" spans="1:2">
      <c r="A28221" s="3" t="str">
        <f>IFERROR(__xludf.DUMMYFUNCTION("GOOGLETRANSLATE(A28221,""en"",""pt"")"),"Sem bateria recarregável, pequeno LCD")</f>
        <v>Sem bateria recarregável, pequeno LCD</v>
      </c>
      <c r="B28221" s="3">
        <v>0</v>
      </c>
    </row>
    <row r="28222" ht="15.75" customHeight="1" spans="1:2">
      <c r="A28222" s="3" t="str">
        <f>IFERROR(__xludf.DUMMYFUNCTION("GOOGLETRANSLATE(A28222,""en"",""pt"")"),"Alguns padrões peculiares na programação, cap lense, não cabe no bolso.")</f>
        <v>Alguns padrões peculiares na programação, cap lense, não cabe no bolso.</v>
      </c>
      <c r="B28222" s="3">
        <v>0</v>
      </c>
    </row>
    <row r="28223" ht="15.75" customHeight="1" spans="1:2">
      <c r="A28223" s="3" t="str">
        <f>IFERROR(__xludf.DUMMYFUNCTION("GOOGLETRANSLATE(A28223,""en"",""pt"")"),"volumosos, cartão de memória pequeno, succeptable a tremer, pesada abberration cromática,")</f>
        <v>volumosos, cartão de memória pequeno, succeptable a tremer, pesada abberration cromática,</v>
      </c>
      <c r="B28223" s="3">
        <v>0</v>
      </c>
    </row>
    <row r="28224" ht="15.75" customHeight="1" spans="1:2">
      <c r="A28224" s="3" t="str">
        <f>IFERROR(__xludf.DUMMYFUNCTION("GOOGLETRANSLATE(A28224,""en"",""pt"")"),"Nenhum adaptador A / C, nenhum recurso de ""Steady-Shot""")</f>
        <v>Nenhum adaptador A / C, nenhum recurso de "Steady-Shot"</v>
      </c>
      <c r="B28224" s="3">
        <v>0</v>
      </c>
    </row>
    <row r="28225" ht="15.75" customHeight="1" spans="1:2">
      <c r="A28225" s="3" t="str">
        <f>IFERROR(__xludf.DUMMYFUNCTION("GOOGLETRANSLATE(A28225,""en"",""pt"")"),"O consumo de bateria")</f>
        <v>O consumo de bateria</v>
      </c>
      <c r="B28225" s="3">
        <v>0</v>
      </c>
    </row>
    <row r="28226" ht="15.75" customHeight="1" spans="1:2">
      <c r="A28226" s="3" t="str">
        <f>IFERROR(__xludf.DUMMYFUNCTION("GOOGLETRANSLATE(A28226,""en"",""pt"")"),"Sem estabilização, baterias orçamento limitado, pequeno cartão incluído, ajudar sem foco")</f>
        <v>Sem estabilização, baterias orçamento limitado, pequeno cartão incluído, ajudar sem foco</v>
      </c>
      <c r="B28226" s="3">
        <v>0</v>
      </c>
    </row>
    <row r="28227" ht="15.75" customHeight="1" spans="1:2">
      <c r="A28227" s="3" t="str">
        <f>IFERROR(__xludf.DUMMYFUNCTION("GOOGLETRANSLATE(A28227,""en"",""pt"")"),"Desejo foi 3,3 megapixels, algum ruído em situações de pouca luz.")</f>
        <v>Desejo foi 3,3 megapixels, algum ruído em situações de pouca luz.</v>
      </c>
      <c r="B28227" s="3">
        <v>0</v>
      </c>
    </row>
    <row r="28228" ht="15.75" customHeight="1" spans="1:2">
      <c r="A28228" s="3" t="str">
        <f>IFERROR(__xludf.DUMMYFUNCTION("GOOGLETRANSLATE(A28228,""en"",""pt"")"),"Melhor do que o iniciante fotógrafos vai precisar de um melhor do que o esta câmera!")</f>
        <v>Melhor do que o iniciante fotógrafos vai precisar de um melhor do que o esta câmera!</v>
      </c>
      <c r="B28228" s="3">
        <v>0</v>
      </c>
    </row>
    <row r="28229" ht="15.75" customHeight="1" spans="1:2">
      <c r="A28229" s="3" t="str">
        <f>IFERROR(__xludf.DUMMYFUNCTION("GOOGLETRANSLATE(A28229,""en"",""pt"")"),"sem zoom manual, muito funcional, mas precisa de algum tempo para se acostumar, um pouco caro")</f>
        <v>sem zoom manual, muito funcional, mas precisa de algum tempo para se acostumar, um pouco caro</v>
      </c>
      <c r="B28229" s="3">
        <v>0</v>
      </c>
    </row>
    <row r="28230" ht="15.75" customHeight="1" spans="1:2">
      <c r="A28230" s="3" t="str">
        <f>IFERROR(__xludf.DUMMYFUNCTION("GOOGLETRANSLATE(A28230,""en"",""pt"")"),"Touchy, foco lento, sem a / c adaptador, nenhum som de cinema, sem autofocus")</f>
        <v>Touchy, foco lento, sem a / c adaptador, nenhum som de cinema, sem autofocus</v>
      </c>
      <c r="B28230" s="3">
        <v>0</v>
      </c>
    </row>
    <row r="28231" ht="15.75" customHeight="1" spans="1:2">
      <c r="A28231" s="3" t="str">
        <f>IFERROR(__xludf.DUMMYFUNCTION("GOOGLETRANSLATE(A28231,""en"",""pt"")"),"não funcionou bem para tirar fotos da minha wiggly bebê. Confuso para usar em primeiro lugar.")</f>
        <v>não funcionou bem para tirar fotos da minha wiggly bebê. Confuso para usar em primeiro lugar.</v>
      </c>
      <c r="B28231" s="3">
        <v>0</v>
      </c>
    </row>
    <row r="28232" ht="15.75" customHeight="1" spans="1:2">
      <c r="A28232" s="3" t="str">
        <f>IFERROR(__xludf.DUMMYFUNCTION("GOOGLETRANSLATE(A28232,""en"",""pt"")"),"problemas técnicos desde o início")</f>
        <v>problemas técnicos desde o início</v>
      </c>
      <c r="B28232" s="3">
        <v>0</v>
      </c>
    </row>
    <row r="28233" ht="15.75" customHeight="1" spans="1:2">
      <c r="A28233" s="3" t="str">
        <f>IFERROR(__xludf.DUMMYFUNCTION("GOOGLETRANSLATE(A28233,""en"",""pt"")"),"lag média do obturador e ruído de imagem menor,,")</f>
        <v>lag média do obturador e ruído de imagem menor,,</v>
      </c>
      <c r="B28233" s="3">
        <v>0</v>
      </c>
    </row>
    <row r="28234" ht="15.75" customHeight="1" spans="1:2">
      <c r="A28234" s="3" t="str">
        <f>IFERROR(__xludf.DUMMYFUNCTION("GOOGLETRANSLATE(A28234,""en"",""pt"")"),"zoom digital é inútil (surpresa!)")</f>
        <v>zoom digital é inútil (surpresa!)</v>
      </c>
      <c r="B28234" s="3">
        <v>0</v>
      </c>
    </row>
    <row r="28235" ht="15.75" customHeight="1" spans="1:2">
      <c r="A28235" s="3" t="str">
        <f>IFERROR(__xludf.DUMMYFUNCTION("GOOGLETRANSLATE(A28235,""en"",""pt"")"),"1) Plano Focando")</f>
        <v>1) Plano Focando</v>
      </c>
      <c r="B28235" s="3">
        <v>0</v>
      </c>
    </row>
    <row r="28236" ht="15.75" customHeight="1" spans="1:2">
      <c r="A28236" s="3" t="str">
        <f>IFERROR(__xludf.DUMMYFUNCTION("GOOGLETRANSLATE(A28236,""en"",""pt"")"),"OBTURAD.LENTO, fotos borradas, sem capacidade de capturar imagens em movimento.")</f>
        <v>OBTURAD.LENTO, fotos borradas, sem capacidade de capturar imagens em movimento.</v>
      </c>
      <c r="B28236" s="3">
        <v>0</v>
      </c>
    </row>
    <row r="28237" ht="15.75" customHeight="1" spans="1:2">
      <c r="A28237" s="3" t="str">
        <f>IFERROR(__xludf.DUMMYFUNCTION("GOOGLETRANSLATE(A28237,""en"",""pt"")"),"O atraso do obturador é muito longo. display LCD é enganosa.")</f>
        <v>O atraso do obturador é muito longo. display LCD é enganosa.</v>
      </c>
      <c r="B28237" s="3">
        <v>0</v>
      </c>
    </row>
    <row r="28238" ht="15.75" customHeight="1" spans="1:2">
      <c r="A28238" s="3" t="str">
        <f>IFERROR(__xludf.DUMMYFUNCTION("GOOGLETRANSLATE(A28238,""en"",""pt"")"),"As fotografias não a mais nítida. modo de filme apenas OK. Lens chocalhos quando abalada.")</f>
        <v>As fotografias não a mais nítida. modo de filme apenas OK. Lens chocalhos quando abalada.</v>
      </c>
      <c r="B28238" s="3">
        <v>0</v>
      </c>
    </row>
    <row r="28239" ht="15.75" customHeight="1" spans="1:2">
      <c r="A28239" s="3" t="str">
        <f>IFERROR(__xludf.DUMMYFUNCTION("GOOGLETRANSLATE(A28239,""en"",""pt"")"),"foco lento, foco pobres não corresponde resolução, capa de lente no caminho.")</f>
        <v>foco lento, foco pobres não corresponde resolução, capa de lente no caminho.</v>
      </c>
      <c r="B28239" s="3">
        <v>0</v>
      </c>
    </row>
    <row r="28240" ht="15.75" customHeight="1" spans="1:2">
      <c r="A28240" s="3" t="str">
        <f>IFERROR(__xludf.DUMMYFUNCTION("GOOGLETRANSLATE(A28240,""en"",""pt"")"),"mover fotos são mais difíceis de tomar, sem foco manual")</f>
        <v>mover fotos são mais difíceis de tomar, sem foco manual</v>
      </c>
      <c r="B28240" s="3">
        <v>0</v>
      </c>
    </row>
    <row r="28241" ht="15.75" customHeight="1" spans="1:2">
      <c r="A28241" s="3" t="str">
        <f>IFERROR(__xludf.DUMMYFUNCTION("GOOGLETRANSLATE(A28241,""en"",""pt"")"),"auto-foco terrível; problemas de olho vermelho")</f>
        <v>auto-foco terrível; problemas de olho vermelho</v>
      </c>
      <c r="B28241" s="3">
        <v>0</v>
      </c>
    </row>
    <row r="28242" ht="15.75" customHeight="1" spans="1:2">
      <c r="A28242" s="3" t="str">
        <f>IFERROR(__xludf.DUMMYFUNCTION("GOOGLETRANSLATE(A28242,""en"",""pt"")"),"Nenhum")</f>
        <v>Nenhum</v>
      </c>
      <c r="B28242" s="3">
        <v>0</v>
      </c>
    </row>
    <row r="28243" ht="15.75" customHeight="1" spans="1:2">
      <c r="A28243" s="3" t="str">
        <f>IFERROR(__xludf.DUMMYFUNCTION("GOOGLETRANSLATE(A28243,""en"",""pt"")"),"ruído significativo no indoor tiros ao usar as configurações de fábrica, má manual impresso.")</f>
        <v>ruído significativo no indoor tiros ao usar as configurações de fábrica, má manual impresso.</v>
      </c>
      <c r="B28243" s="3">
        <v>0</v>
      </c>
    </row>
    <row r="28244" ht="15.75" customHeight="1" spans="1:2">
      <c r="A28244" s="3" t="str">
        <f>IFERROR(__xludf.DUMMYFUNCTION("GOOGLETRANSLATE(A28244,""en"",""pt"")"),"baterias parvos não recarregáveis ​​incluídas. caso incluído não se encaixa a câmera")</f>
        <v>baterias parvos não recarregáveis ​​incluídas. caso incluído não se encaixa a câmera</v>
      </c>
      <c r="B28244" s="3">
        <v>0</v>
      </c>
    </row>
    <row r="28245" ht="15.75" customHeight="1" spans="1:2">
      <c r="A28245" s="3" t="str">
        <f>IFERROR(__xludf.DUMMYFUNCTION("GOOGLETRANSLATE(A28245,""en"",""pt"")"),"Sem estabilização de imagem, obturador / lag AF,")</f>
        <v>Sem estabilização de imagem, obturador / lag AF,</v>
      </c>
      <c r="B28245" s="3">
        <v>0</v>
      </c>
    </row>
    <row r="28246" ht="15.75" customHeight="1" spans="1:2">
      <c r="A28246" s="3" t="str">
        <f>IFERROR(__xludf.DUMMYFUNCTION("GOOGLETRANSLATE(A28246,""en"",""pt"")"),"complicado menu")</f>
        <v>complicado menu</v>
      </c>
      <c r="B28246" s="3">
        <v>0</v>
      </c>
    </row>
    <row r="28247" ht="15.75" customHeight="1" spans="1:2">
      <c r="A28247" s="3" t="str">
        <f>IFERROR(__xludf.DUMMYFUNCTION("GOOGLETRANSLATE(A28247,""en"",""pt"")"),"Alguns complexidade dos menus / configurações, necessidade de estabilizar para teleobjectiva")</f>
        <v>Alguns complexidade dos menus / configurações, necessidade de estabilizar para teleobjectiva</v>
      </c>
      <c r="B28247" s="3">
        <v>0</v>
      </c>
    </row>
    <row r="28248" ht="15.75" customHeight="1" spans="1:2">
      <c r="A28248" s="3" t="str">
        <f>IFERROR(__xludf.DUMMYFUNCTION("GOOGLETRANSLATE(A28248,""en"",""pt"")"),"Zoom é barulhento e solto, suga as baterias., Pop-Flash")</f>
        <v>Zoom é barulhento e solto, suga as baterias., Pop-Flash</v>
      </c>
      <c r="B28248" s="3">
        <v>0</v>
      </c>
    </row>
    <row r="28249" ht="15.75" customHeight="1" spans="1:2">
      <c r="A28249" s="3" t="str">
        <f>IFERROR(__xludf.DUMMYFUNCTION("GOOGLETRANSLATE(A28249,""en"",""pt"")"),"atraso do obturador muito longa, muito longa recuperação do modo de suspensão")</f>
        <v>atraso do obturador muito longa, muito longa recuperação do modo de suspensão</v>
      </c>
      <c r="B28249" s="3">
        <v>0</v>
      </c>
    </row>
    <row r="28250" ht="15.75" customHeight="1" spans="1:2">
      <c r="A28250" s="3" t="str">
        <f>IFERROR(__xludf.DUMMYFUNCTION("GOOGLETRANSLATE(A28250,""en"",""pt"")"),"Software poderia ser mais amigável.")</f>
        <v>Software poderia ser mais amigável.</v>
      </c>
      <c r="B28250" s="3">
        <v>0</v>
      </c>
    </row>
    <row r="28251" ht="15.75" customHeight="1" spans="1:2">
      <c r="A28251" s="3" t="str">
        <f>IFERROR(__xludf.DUMMYFUNCTION("GOOGLETRANSLATE(A28251,""en"",""pt"")"),"Um pouco caro")</f>
        <v>Um pouco caro</v>
      </c>
      <c r="B28251" s="3">
        <v>0</v>
      </c>
    </row>
    <row r="28252" ht="15.75" customHeight="1" spans="1:2">
      <c r="A28252" s="3" t="str">
        <f>IFERROR(__xludf.DUMMYFUNCTION("GOOGLETRANSLATE(A28252,""en"",""pt"")"),"Sem baterias re-chargable ou carregador fornecido na Austrália., Apenas um cartão de 16MB fornecido")</f>
        <v>Sem baterias re-chargable ou carregador fornecido na Austrália., Apenas um cartão de 16MB fornecido</v>
      </c>
      <c r="B28252" s="3">
        <v>0</v>
      </c>
    </row>
    <row r="28253" ht="15.75" customHeight="1" spans="1:2">
      <c r="A28253" s="3" t="str">
        <f>IFERROR(__xludf.DUMMYFUNCTION("GOOGLETRANSLATE(A28253,""en"",""pt"")"),"Você precisa dedicar tempo para aprender a usá-lo -, mas fazer.")</f>
        <v>Você precisa dedicar tempo para aprender a usá-lo -, mas fazer.</v>
      </c>
      <c r="B28253" s="3">
        <v>0</v>
      </c>
    </row>
    <row r="28254" ht="15.75" customHeight="1" spans="1:2">
      <c r="A28254" s="3" t="str">
        <f>IFERROR(__xludf.DUMMYFUNCTION("GOOGLETRANSLATE(A28254,""en"",""pt"")"),"Espessura, bateria, visor digital.")</f>
        <v>Espessura, bateria, visor digital.</v>
      </c>
      <c r="B28254" s="3">
        <v>0</v>
      </c>
    </row>
    <row r="28255" ht="15.75" customHeight="1" spans="1:2">
      <c r="A28255" s="3" t="str">
        <f>IFERROR(__xludf.DUMMYFUNCTION("GOOGLETRANSLATE(A28255,""en"",""pt"")"),"Difícil ver assunto no visor com pouca luz com FL20")</f>
        <v>Difícil ver assunto no visor com pouca luz com FL20</v>
      </c>
      <c r="B28255" s="3">
        <v>0</v>
      </c>
    </row>
    <row r="28256" ht="15.75" customHeight="1" spans="1:2">
      <c r="A28256" s="3" t="str">
        <f>IFERROR(__xludf.DUMMYFUNCTION("GOOGLETRANSLATE(A28256,""en"",""pt"")"),"O cartão de memória é muito pequeno e sem baterias recarregáveis!")</f>
        <v>O cartão de memória é muito pequeno e sem baterias recarregáveis!</v>
      </c>
      <c r="B28256" s="3">
        <v>0</v>
      </c>
    </row>
    <row r="28257" ht="15.75" customHeight="1" spans="1:2">
      <c r="A28257" s="3" t="str">
        <f>IFERROR(__xludf.DUMMYFUNCTION("GOOGLETRANSLATE(A28257,""en"",""pt"")"),"Sem estabilização de imagem, a C730 usavam tanto SM e xD cartões,")</f>
        <v>Sem estabilização de imagem, a C730 usavam tanto SM e xD cartões,</v>
      </c>
      <c r="B28257" s="3">
        <v>0</v>
      </c>
    </row>
    <row r="28258" ht="15.75" customHeight="1" spans="1:2">
      <c r="A28258" s="3" t="str">
        <f>IFERROR(__xludf.DUMMYFUNCTION("GOOGLETRANSLATE(A28258,""en"",""pt"")"),"Manual de instruções de 271 páginas é difícil de ler em PDF incluído no software.")</f>
        <v>Manual de instruções de 271 páginas é difícil de ler em PDF incluído no software.</v>
      </c>
      <c r="B28258" s="3">
        <v>0</v>
      </c>
    </row>
    <row r="28259" ht="15.75" customHeight="1" spans="1:2">
      <c r="A28259" s="3" t="str">
        <f>IFERROR(__xludf.DUMMYFUNCTION("GOOGLETRANSLATE(A28259,""en"",""pt"")"),"Navegação de configuração. Pode ser confuso no início.")</f>
        <v>Navegação de configuração. Pode ser confuso no início.</v>
      </c>
      <c r="B28259" s="3">
        <v>0</v>
      </c>
    </row>
    <row r="28260" ht="15.75" customHeight="1" spans="1:2">
      <c r="A28260" s="3" t="str">
        <f>IFERROR(__xludf.DUMMYFUNCTION("GOOGLETRANSLATE(A28260,""en"",""pt"")"),"tampa da lente solto, requer a extensão da lente para add ons, visor pobre à noite")</f>
        <v>tampa da lente solto, requer a extensão da lente para add ons, visor pobre à noite</v>
      </c>
      <c r="B28260" s="3">
        <v>0</v>
      </c>
    </row>
    <row r="28261" ht="15.75" customHeight="1" spans="1:2">
      <c r="A28261" s="3" t="str">
        <f>IFERROR(__xludf.DUMMYFUNCTION("GOOGLETRANSLATE(A28261,""en"",""pt"")"),"Longo atraso entre o botão pressionado e foto tirada. Caro. media XD caros e limitados")</f>
        <v>Longo atraso entre o botão pressionado e foto tirada. Caro. media XD caros e limitados</v>
      </c>
      <c r="B28261" s="3">
        <v>0</v>
      </c>
    </row>
    <row r="28262" ht="15.75" customHeight="1" spans="1:2">
      <c r="A28262" s="3" t="str">
        <f>IFERROR(__xludf.DUMMYFUNCTION("GOOGLETRANSLATE(A28262,""en"",""pt"")"),"Barulhento e zoom lento, caro")</f>
        <v>Barulhento e zoom lento, caro</v>
      </c>
      <c r="B28262" s="3">
        <v>0</v>
      </c>
    </row>
    <row r="28263" ht="15.75" customHeight="1" spans="1:2">
      <c r="A28263" s="3" t="str">
        <f>IFERROR(__xludf.DUMMYFUNCTION("GOOGLETRANSLATE(A28263,""en"",""pt"")"),"curta duração da bateria, armazenamento pequeno")</f>
        <v>curta duração da bateria, armazenamento pequeno</v>
      </c>
      <c r="B28263" s="3">
        <v>0</v>
      </c>
    </row>
    <row r="28264" ht="15.75" customHeight="1" spans="1:2">
      <c r="A28264" s="3" t="str">
        <f>IFERROR(__xludf.DUMMYFUNCTION("GOOGLETRANSLATE(A28264,""en"",""pt"")"),"Nenhuma porta USB, não incluídos leitor de cartão inteligente.")</f>
        <v>Nenhuma porta USB, não incluídos leitor de cartão inteligente.</v>
      </c>
      <c r="B28264" s="3">
        <v>0</v>
      </c>
    </row>
    <row r="28265" ht="15.75" customHeight="1" spans="1:2">
      <c r="A28265" s="3" t="str">
        <f>IFERROR(__xludf.DUMMYFUNCTION("GOOGLETRANSLATE(A28265,""en"",""pt"")"),"adaptador sem AC incluído")</f>
        <v>adaptador sem AC incluído</v>
      </c>
      <c r="B28265" s="3">
        <v>0</v>
      </c>
    </row>
    <row r="28266" ht="15.75" customHeight="1" spans="1:2">
      <c r="A28266" s="3" t="str">
        <f>IFERROR(__xludf.DUMMYFUNCTION("GOOGLETRANSLATE(A28266,""en"",""pt"")"),"Sem zoom óptico")</f>
        <v>Sem zoom óptico</v>
      </c>
      <c r="B28266" s="3">
        <v>0</v>
      </c>
    </row>
    <row r="28267" ht="15.75" customHeight="1" spans="1:2">
      <c r="A28267" s="3" t="str">
        <f>IFERROR(__xludf.DUMMYFUNCTION("GOOGLETRANSLATE(A28267,""en"",""pt"")"),"A vida da bateria, sem zoom, sistema de menu peculiar")</f>
        <v>A vida da bateria, sem zoom, sistema de menu peculiar</v>
      </c>
      <c r="B28267" s="3">
        <v>0</v>
      </c>
    </row>
    <row r="28268" ht="15.75" customHeight="1" spans="1:2">
      <c r="A28268" s="3" t="str">
        <f>IFERROR(__xludf.DUMMYFUNCTION("GOOGLETRANSLATE(A28268,""en"",""pt"")"),"Não imediatamente Mac compatível, sem zoom óptico, come-se baterias, botões são difíceis de impulso")</f>
        <v>Não imediatamente Mac compatível, sem zoom óptico, come-se baterias, botões são difíceis de impulso</v>
      </c>
      <c r="B28268" s="3">
        <v>0</v>
      </c>
    </row>
    <row r="28269" ht="15.75" customHeight="1" spans="1:2">
      <c r="A28269" s="3" t="str">
        <f>IFERROR(__xludf.DUMMYFUNCTION("GOOGLETRANSLATE(A28269,""en"",""pt"")"),"software camedia não tudo o que poderia ser.")</f>
        <v>software camedia não tudo o que poderia ser.</v>
      </c>
      <c r="B28269" s="3">
        <v>0</v>
      </c>
    </row>
    <row r="28270" ht="15.75" customHeight="1" spans="1:2">
      <c r="A28270" s="3" t="str">
        <f>IFERROR(__xludf.DUMMYFUNCTION("GOOGLETRANSLATE(A28270,""en"",""pt"")"),"A vida da bateria, leva um segundo para fechar por causa da lente de zoom.")</f>
        <v>A vida da bateria, leva um segundo para fechar por causa da lente de zoom.</v>
      </c>
      <c r="B28270" s="3">
        <v>0</v>
      </c>
    </row>
    <row r="28271" ht="15.75" customHeight="1" spans="1:2">
      <c r="A28271" s="3" t="str">
        <f>IFERROR(__xludf.DUMMYFUNCTION("GOOGLETRANSLATE(A28271,""en"",""pt"")"),"Não USB fora da caixa")</f>
        <v>Não USB fora da caixa</v>
      </c>
      <c r="B28271" s="3">
        <v>0</v>
      </c>
    </row>
    <row r="28272" ht="15.75" customHeight="1" spans="1:2">
      <c r="A28272" s="3" t="str">
        <f>IFERROR(__xludf.DUMMYFUNCTION("GOOGLETRANSLATE(A28272,""en"",""pt"")"),"software pobres. Lançá-lo.")</f>
        <v>software pobres. Lançá-lo.</v>
      </c>
      <c r="B28272" s="3">
        <v>0</v>
      </c>
    </row>
    <row r="28273" ht="15.75" customHeight="1" spans="1:2">
      <c r="A28273" s="3" t="str">
        <f>IFERROR(__xludf.DUMMYFUNCTION("GOOGLETRANSLATE(A28273,""en"",""pt"")"),"Não perca o cd sw")</f>
        <v>Não perca o cd sw</v>
      </c>
      <c r="B28273" s="3">
        <v>0</v>
      </c>
    </row>
    <row r="28274" ht="15.75" customHeight="1" spans="1:2">
      <c r="A28274" s="3" t="str">
        <f>IFERROR(__xludf.DUMMYFUNCTION("GOOGLETRANSLATE(A28274,""en"",""pt"")"),"Ele tem apenas 2x de zoom e come baterias ópticos Ao usar o Monitor LCD")</f>
        <v>Ele tem apenas 2x de zoom e come baterias ópticos Ao usar o Monitor LCD</v>
      </c>
      <c r="B28274" s="3">
        <v>0</v>
      </c>
    </row>
    <row r="28275" ht="15.75" customHeight="1" spans="1:2">
      <c r="A28275" s="3" t="str">
        <f>IFERROR(__xludf.DUMMYFUNCTION("GOOGLETRANSLATE(A28275,""en"",""pt"")"),"Atraso de quando você clica para tirar a foto e quando ele realmente leva")</f>
        <v>Atraso de quando você clica para tirar a foto e quando ele realmente leva</v>
      </c>
      <c r="B28275" s="3">
        <v>0</v>
      </c>
    </row>
    <row r="28276" ht="15.75" customHeight="1" spans="1:2">
      <c r="A28276" s="3" t="str">
        <f>IFERROR(__xludf.DUMMYFUNCTION("GOOGLETRANSLATE(A28276,""en"",""pt"")"),"Só vem com um cartão de 8 MB.")</f>
        <v>Só vem com um cartão de 8 MB.</v>
      </c>
      <c r="B28276" s="3">
        <v>0</v>
      </c>
    </row>
    <row r="28277" ht="15.75" customHeight="1" spans="1:2">
      <c r="A28277" s="3" t="str">
        <f>IFERROR(__xludf.DUMMYFUNCTION("GOOGLETRANSLATE(A28277,""en"",""pt"")"),"nenhum conector USB, apenas 1,3 megapixels")</f>
        <v>nenhum conector USB, apenas 1,3 megapixels</v>
      </c>
      <c r="B28277" s="3">
        <v>0</v>
      </c>
    </row>
    <row r="28278" ht="15.75" customHeight="1" spans="1:2">
      <c r="A28278" s="3" t="str">
        <f>IFERROR(__xludf.DUMMYFUNCTION("GOOGLETRANSLATE(A28278,""en"",""pt"")"),"porta de saída, onde acessórios conectar é muito frágil")</f>
        <v>porta de saída, onde acessórios conectar é muito frágil</v>
      </c>
      <c r="B28278" s="3">
        <v>0</v>
      </c>
    </row>
    <row r="28279" ht="15.75" customHeight="1" spans="1:2">
      <c r="A28279" s="3" t="str">
        <f>IFERROR(__xludf.DUMMYFUNCTION("GOOGLETRANSLATE(A28279,""en"",""pt"")"),"A vida da bateria, sem opção de zoom")</f>
        <v>A vida da bateria, sem opção de zoom</v>
      </c>
      <c r="B28279" s="3">
        <v>0</v>
      </c>
    </row>
    <row r="28280" ht="15.75" customHeight="1" spans="1:2">
      <c r="A28280" s="3" t="str">
        <f>IFERROR(__xludf.DUMMYFUNCTION("GOOGLETRANSLATE(A28280,""en"",""pt"")"),"Imagens de vidro vermelho não mostram bem a todos.")</f>
        <v>Imagens de vidro vermelho não mostram bem a todos.</v>
      </c>
      <c r="B28280" s="3">
        <v>0</v>
      </c>
    </row>
    <row r="28281" ht="15.75" customHeight="1" spans="1:2">
      <c r="A28281" s="3" t="str">
        <f>IFERROR(__xludf.DUMMYFUNCTION("GOOGLETRANSLATE(A28281,""en"",""pt"")"),"Sem zoom óptico, a vida da bateria, má qualidade de imagem, transferência lenta")</f>
        <v>Sem zoom óptico, a vida da bateria, má qualidade de imagem, transferência lenta</v>
      </c>
      <c r="B28281" s="3">
        <v>0</v>
      </c>
    </row>
    <row r="28282" ht="15.75" customHeight="1" spans="1:2">
      <c r="A28282" s="3" t="str">
        <f>IFERROR(__xludf.DUMMYFUNCTION("GOOGLETRANSLATE(A28282,""en"",""pt"")"),"Morreu! Socorro!")</f>
        <v>Morreu! Socorro!</v>
      </c>
      <c r="B28282" s="3">
        <v>0</v>
      </c>
    </row>
    <row r="28283" ht="15.75" customHeight="1" spans="1:2">
      <c r="A28283" s="3" t="str">
        <f>IFERROR(__xludf.DUMMYFUNCTION("GOOGLETRANSLATE(A28283,""en"",""pt"")"),"sem adaptador AC, utiliza baterias rapidamente")</f>
        <v>sem adaptador AC, utiliza baterias rapidamente</v>
      </c>
      <c r="B28283" s="3">
        <v>0</v>
      </c>
    </row>
    <row r="28284" ht="15.75" customHeight="1" spans="1:2">
      <c r="A28284" s="3" t="str">
        <f>IFERROR(__xludf.DUMMYFUNCTION("GOOGLETRANSLATE(A28284,""en"",""pt"")"),"velocidade de processamento lento, capacidade de bateria fraca")</f>
        <v>velocidade de processamento lento, capacidade de bateria fraca</v>
      </c>
      <c r="B28284" s="3">
        <v>0</v>
      </c>
    </row>
    <row r="28285" ht="15.75" customHeight="1" spans="1:2">
      <c r="A28285" s="3" t="str">
        <f>IFERROR(__xludf.DUMMYFUNCTION("GOOGLETRANSLATE(A28285,""en"",""pt"")"),"Nenhum - é melhor do que deveria ser.")</f>
        <v>Nenhum - é melhor do que deveria ser.</v>
      </c>
      <c r="B28285" s="3">
        <v>0</v>
      </c>
    </row>
    <row r="28286" ht="15.75" customHeight="1" spans="1:2">
      <c r="A28286" s="3" t="str">
        <f>IFERROR(__xludf.DUMMYFUNCTION("GOOGLETRANSLATE(A28286,""en"",""pt"")"),"Sem U.S.B. cabo; tampa da lente dianteira frágil")</f>
        <v>Sem U.S.B. cabo; tampa da lente dianteira frágil</v>
      </c>
      <c r="B28286" s="3">
        <v>0</v>
      </c>
    </row>
    <row r="28287" ht="15.75" customHeight="1" spans="1:2">
      <c r="A28287" s="3" t="str">
        <f>IFERROR(__xludf.DUMMYFUNCTION("GOOGLETRANSLATE(A28287,""en"",""pt"")"),"suga baterias como se não houvesse amanhã, as imagens podem ser um pouco granulada")</f>
        <v>suga baterias como se não houvesse amanhã, as imagens podem ser um pouco granulada</v>
      </c>
      <c r="B28287" s="3">
        <v>0</v>
      </c>
    </row>
    <row r="28288" ht="15.75" customHeight="1" spans="1:2">
      <c r="A28288" s="3" t="str">
        <f>IFERROR(__xludf.DUMMYFUNCTION("GOOGLETRANSLATE(A28288,""en"",""pt"")"),"Ícone da interface leva algum tempo para se acostumar.")</f>
        <v>Ícone da interface leva algum tempo para se acostumar.</v>
      </c>
      <c r="B28288" s="3">
        <v>0</v>
      </c>
    </row>
    <row r="28289" ht="15.75" customHeight="1" spans="1:2">
      <c r="A28289" s="3" t="str">
        <f>IFERROR(__xludf.DUMMYFUNCTION("GOOGLETRANSLATE(A28289,""en"",""pt"")"),"Não consigo encontrar qualquer ainda!")</f>
        <v>Não consigo encontrar qualquer ainda!</v>
      </c>
      <c r="B28289" s="3">
        <v>0</v>
      </c>
    </row>
    <row r="28290" ht="15.75" customHeight="1" spans="1:2">
      <c r="A28290" s="3" t="str">
        <f>IFERROR(__xludf.DUMMYFUNCTION("GOOGLETRANSLATE(A28290,""en"",""pt"")"),"NÃO Lente Zoom Ótico")</f>
        <v>NÃO Lente Zoom Ótico</v>
      </c>
      <c r="B28290" s="3">
        <v>0</v>
      </c>
    </row>
    <row r="28291" ht="15.75" customHeight="1" spans="1:2">
      <c r="A28291" s="3" t="str">
        <f>IFERROR(__xludf.DUMMYFUNCTION("GOOGLETRANSLATE(A28291,""en"",""pt"")"),"velocidade do obturador lento e sem zoom.")</f>
        <v>velocidade do obturador lento e sem zoom.</v>
      </c>
      <c r="B28291" s="3">
        <v>0</v>
      </c>
    </row>
    <row r="28292" ht="15.75" customHeight="1" spans="1:2">
      <c r="A28292" s="3" t="str">
        <f>IFERROR(__xludf.DUMMYFUNCTION("GOOGLETRANSLATE(A28292,""en"",""pt"")"),"não zoomability real, e cartões de memória caros")</f>
        <v>não zoomability real, e cartões de memória caros</v>
      </c>
      <c r="B28292" s="3">
        <v>0</v>
      </c>
    </row>
    <row r="28293" ht="15.75" customHeight="1" spans="1:2">
      <c r="A28293" s="3" t="str">
        <f>IFERROR(__xludf.DUMMYFUNCTION("GOOGLETRANSLATE(A28293,""en"",""pt"")"),"recurso de zoom")</f>
        <v>recurso de zoom</v>
      </c>
      <c r="B28293" s="3">
        <v>0</v>
      </c>
    </row>
    <row r="28294" ht="15.75" customHeight="1" spans="1:2">
      <c r="A28294" s="3" t="str">
        <f>IFERROR(__xludf.DUMMYFUNCTION("GOOGLETRANSLATE(A28294,""en"",""pt"")"),"nenhum que eu posso pensar tão longe .........")</f>
        <v>nenhum que eu posso pensar tão longe .........</v>
      </c>
      <c r="B28294" s="3">
        <v>0</v>
      </c>
    </row>
    <row r="28295" ht="15.75" customHeight="1" spans="1:2">
      <c r="A28295" s="3" t="str">
        <f>IFERROR(__xludf.DUMMYFUNCTION("GOOGLETRANSLATE(A28295,""en"",""pt"")"),"baterias, 8 MB de memória")</f>
        <v>baterias, 8 MB de memória</v>
      </c>
      <c r="B28295" s="3">
        <v>0</v>
      </c>
    </row>
    <row r="28296" ht="15.75" customHeight="1" spans="1:2">
      <c r="A28296" s="3" t="str">
        <f>IFERROR(__xludf.DUMMYFUNCTION("GOOGLETRANSLATE(A28296,""en"",""pt"")"),"Ele não vem com uma câmera caso!")</f>
        <v>Ele não vem com uma câmera caso!</v>
      </c>
      <c r="B28296" s="3">
        <v>0</v>
      </c>
    </row>
    <row r="28297" ht="15.75" customHeight="1" spans="1:2">
      <c r="A28297" s="3" t="str">
        <f>IFERROR(__xludf.DUMMYFUNCTION("GOOGLETRANSLATE(A28297,""en"",""pt"")"),"quantidade de fotos que você pode disparar")</f>
        <v>quantidade de fotos que você pode disparar</v>
      </c>
      <c r="B28297" s="3">
        <v>0</v>
      </c>
    </row>
    <row r="28298" ht="15.75" customHeight="1" spans="1:2">
      <c r="A28298" s="3" t="str">
        <f>IFERROR(__xludf.DUMMYFUNCTION("GOOGLETRANSLATE(A28298,""en"",""pt"")"),"baterias Usos")</f>
        <v>baterias Usos</v>
      </c>
      <c r="B28298" s="3">
        <v>0</v>
      </c>
    </row>
    <row r="28299" ht="15.75" customHeight="1" spans="1:2">
      <c r="A28299" s="3" t="str">
        <f>IFERROR(__xludf.DUMMYFUNCTION("GOOGLETRANSLATE(A28299,""en"",""pt"")"),"Menu pesado; Lavou-fora de LCD; suporte técnico")</f>
        <v>Menu pesado; Lavou-fora de LCD; suporte técnico</v>
      </c>
      <c r="B28299" s="3">
        <v>0</v>
      </c>
    </row>
    <row r="28300" ht="15.75" customHeight="1" spans="1:2">
      <c r="A28300" s="3" t="str">
        <f>IFERROR(__xludf.DUMMYFUNCTION("GOOGLETRANSLATE(A28300,""en"",""pt"")"),"Telefoto limitada a 2x, não pode adicionar lentes")</f>
        <v>Telefoto limitada a 2x, não pode adicionar lentes</v>
      </c>
      <c r="B28300" s="3">
        <v>0</v>
      </c>
    </row>
    <row r="28301" ht="15.75" customHeight="1" spans="1:2">
      <c r="A28301" s="3" t="str">
        <f>IFERROR(__xludf.DUMMYFUNCTION("GOOGLETRANSLATE(A28301,""en"",""pt"")"),"Necessidades Sandisk ImageWriter")</f>
        <v>Necessidades Sandisk ImageWriter</v>
      </c>
      <c r="B28301" s="3">
        <v>0</v>
      </c>
    </row>
    <row r="28302" ht="15.75" customHeight="1" spans="1:2">
      <c r="A28302" s="3" t="str">
        <f>IFERROR(__xludf.DUMMYFUNCTION("GOOGLETRANSLATE(A28302,""en"",""pt"")"),"Nenhum")</f>
        <v>Nenhum</v>
      </c>
      <c r="B28302" s="3">
        <v>0</v>
      </c>
    </row>
    <row r="28303" ht="15.75" customHeight="1" spans="1:2">
      <c r="A28303" s="3" t="str">
        <f>IFERROR(__xludf.DUMMYFUNCTION("GOOGLETRANSLATE(A28303,""en"",""pt"")"),"As baterias não duram tanto tempo quanto eu gostaria.")</f>
        <v>As baterias não duram tanto tempo quanto eu gostaria.</v>
      </c>
      <c r="B28303" s="3">
        <v>0</v>
      </c>
    </row>
    <row r="28304" ht="15.75" customHeight="1" spans="1:2">
      <c r="A28304" s="3" t="str">
        <f>IFERROR(__xludf.DUMMYFUNCTION("GOOGLETRANSLATE(A28304,""en"",""pt"")"),"Nenhum")</f>
        <v>Nenhum</v>
      </c>
      <c r="B28304" s="3">
        <v>0</v>
      </c>
    </row>
    <row r="28305" ht="15.75" customHeight="1" spans="1:2">
      <c r="A28305" s="3" t="str">
        <f>IFERROR(__xludf.DUMMYFUNCTION("GOOGLETRANSLATE(A28305,""en"",""pt"")"),"Você vai querer pegar um acessório para transferir imagens fotográficas mais rápido.")</f>
        <v>Você vai querer pegar um acessório para transferir imagens fotográficas mais rápido.</v>
      </c>
      <c r="B28305" s="3">
        <v>0</v>
      </c>
    </row>
    <row r="28306" ht="15.75" customHeight="1" spans="1:2">
      <c r="A28306" s="3" t="str">
        <f>IFERROR(__xludf.DUMMYFUNCTION("GOOGLETRANSLATE(A28306,""en"",""pt"")"),"ajustando a nenhum processamento de filmes?")</f>
        <v>ajustando a nenhum processamento de filmes?</v>
      </c>
      <c r="B28306" s="3">
        <v>0</v>
      </c>
    </row>
    <row r="28307" ht="15.75" customHeight="1" spans="1:2">
      <c r="A28307" s="3" t="str">
        <f>IFERROR(__xludf.DUMMYFUNCTION("GOOGLETRANSLATE(A28307,""en"",""pt"")"),"adaptador sem AC incluído")</f>
        <v>adaptador sem AC incluído</v>
      </c>
      <c r="B28307" s="3">
        <v>0</v>
      </c>
    </row>
    <row r="28308" ht="15.75" customHeight="1" spans="1:2">
      <c r="A28308" s="3" t="str">
        <f>IFERROR(__xludf.DUMMYFUNCTION("GOOGLETRANSLATE(A28308,""en"",""pt"")"),"nenhum ainda")</f>
        <v>nenhum ainda</v>
      </c>
      <c r="B28308" s="3">
        <v>0</v>
      </c>
    </row>
    <row r="28309" ht="15.75" customHeight="1" spans="1:2">
      <c r="A28309" s="3" t="str">
        <f>IFERROR(__xludf.DUMMYFUNCTION("GOOGLETRANSLATE(A28309,""en"",""pt"")"),"Nenhum")</f>
        <v>Nenhum</v>
      </c>
      <c r="B28309" s="3">
        <v>0</v>
      </c>
    </row>
    <row r="28310" ht="15.75" customHeight="1" spans="1:2">
      <c r="A28310" s="3" t="str">
        <f>IFERROR(__xludf.DUMMYFUNCTION("GOOGLETRANSLATE(A28310,""en"",""pt"")"),"Dedo pode ser colocado para fechar a lente")</f>
        <v>Dedo pode ser colocado para fechar a lente</v>
      </c>
      <c r="B28310" s="3">
        <v>0</v>
      </c>
    </row>
    <row r="28311" ht="15.75" customHeight="1" spans="1:2">
      <c r="A28311" s="3" t="str">
        <f>IFERROR(__xludf.DUMMYFUNCTION("GOOGLETRANSLATE(A28311,""en"",""pt"")"),"Come baterias se você usar o visualizador traseira muito.")</f>
        <v>Come baterias se você usar o visualizador traseira muito.</v>
      </c>
      <c r="B28311" s="3">
        <v>0</v>
      </c>
    </row>
    <row r="28312" ht="15.75" customHeight="1" spans="1:2">
      <c r="A28312" s="3" t="str">
        <f>IFERROR(__xludf.DUMMYFUNCTION("GOOGLETRANSLATE(A28312,""en"",""pt"")"),"Usos um monte de baterias")</f>
        <v>Usos um monte de baterias</v>
      </c>
      <c r="B28312" s="3">
        <v>0</v>
      </c>
    </row>
    <row r="28313" ht="15.75" customHeight="1" spans="1:2">
      <c r="A28313" s="3" t="str">
        <f>IFERROR(__xludf.DUMMYFUNCTION("GOOGLETRANSLATE(A28313,""en"",""pt"")"),"vida útil da bateria")</f>
        <v>vida útil da bateria</v>
      </c>
      <c r="B28313" s="3">
        <v>0</v>
      </c>
    </row>
    <row r="28314" ht="15.75" customHeight="1" spans="1:2">
      <c r="A28314" s="3" t="str">
        <f>IFERROR(__xludf.DUMMYFUNCTION("GOOGLETRANSLATE(A28314,""en"",""pt"")"),"memória Smartmedia. zoom digital")</f>
        <v>memória Smartmedia. zoom digital</v>
      </c>
      <c r="B28314" s="3">
        <v>0</v>
      </c>
    </row>
    <row r="28315" ht="15.75" customHeight="1" spans="1:2">
      <c r="A28315" s="3" t="str">
        <f>IFERROR(__xludf.DUMMYFUNCTION("GOOGLETRANSLATE(A28315,""en"",""pt"")"),"NENHUM")</f>
        <v>NENHUM</v>
      </c>
      <c r="B28315" s="3">
        <v>0</v>
      </c>
    </row>
    <row r="28316" ht="15.75" customHeight="1" spans="1:2">
      <c r="A28316" s="3" t="str">
        <f>IFERROR(__xludf.DUMMYFUNCTION("GOOGLETRANSLATE(A28316,""en"",""pt"")"),"nenhuma lente óptica")</f>
        <v>nenhuma lente óptica</v>
      </c>
      <c r="B28316" s="3">
        <v>0</v>
      </c>
    </row>
    <row r="28317" ht="15.75" customHeight="1" spans="1:2">
      <c r="A28317" s="3" t="str">
        <f>IFERROR(__xludf.DUMMYFUNCTION("GOOGLETRANSLATE(A28317,""en"",""pt"")"),"Deve comprar o adaptador de disquete, no mínimo, para qualquer tipo de velocidade na transferência de SmartCard para o computador.")</f>
        <v>Deve comprar o adaptador de disquete, no mínimo, para qualquer tipo de velocidade na transferência de SmartCard para o computador.</v>
      </c>
      <c r="B28317" s="3">
        <v>0</v>
      </c>
    </row>
    <row r="28318" ht="15.75" customHeight="1" spans="1:2">
      <c r="A28318" s="3" t="str">
        <f>IFERROR(__xludf.DUMMYFUNCTION("GOOGLETRANSLATE(A28318,""en"",""pt"")"),"baterias come")</f>
        <v>baterias come</v>
      </c>
      <c r="B28318" s="3">
        <v>0</v>
      </c>
    </row>
    <row r="28319" ht="15.75" customHeight="1" spans="1:2">
      <c r="A28319" s="3" t="str">
        <f>IFERROR(__xludf.DUMMYFUNCTION("GOOGLETRANSLATE(A28319,""en"",""pt"")"),"Sem zoom")</f>
        <v>Sem zoom</v>
      </c>
      <c r="B28319" s="3">
        <v>0</v>
      </c>
    </row>
    <row r="28320" ht="15.75" customHeight="1" spans="1:2">
      <c r="A28320" s="3" t="str">
        <f>IFERROR(__xludf.DUMMYFUNCTION("GOOGLETRANSLATE(A28320,""en"",""pt"")"),"CHEEZY porta plug pouco escotilha. Tenho que ter cuidado com ele")</f>
        <v>CHEEZY porta plug pouco escotilha. Tenho que ter cuidado com ele</v>
      </c>
      <c r="B28320" s="3">
        <v>0</v>
      </c>
    </row>
    <row r="28321" ht="15.75" customHeight="1" spans="1:2">
      <c r="A28321" s="3" t="str">
        <f>IFERROR(__xludf.DUMMYFUNCTION("GOOGLETRANSLATE(A28321,""en"",""pt"")"),"Você desligar a câmera, a fim de ver e ou fotos Excluir.")</f>
        <v>Você desligar a câmera, a fim de ver e ou fotos Excluir.</v>
      </c>
      <c r="B28321" s="3">
        <v>0</v>
      </c>
    </row>
    <row r="28322" ht="15.75" customHeight="1" spans="1:2">
      <c r="A28322" s="3" t="str">
        <f>IFERROR(__xludf.DUMMYFUNCTION("GOOGLETRANSLATE(A28322,""en"",""pt"")"),"Sem zoom óptico, velocidade do obturador, curta duração da bateria, USB seria bom")</f>
        <v>Sem zoom óptico, velocidade do obturador, curta duração da bateria, USB seria bom</v>
      </c>
      <c r="B28322" s="3">
        <v>0</v>
      </c>
    </row>
    <row r="28323" ht="15.75" customHeight="1" spans="1:2">
      <c r="A28323" s="3" t="str">
        <f>IFERROR(__xludf.DUMMYFUNCTION("GOOGLETRANSLATE(A28323,""en"",""pt"")"),"meu dedo entra no quadro pic, nenhum saco de transporte")</f>
        <v>meu dedo entra no quadro pic, nenhum saco de transporte</v>
      </c>
      <c r="B28323" s="3">
        <v>0</v>
      </c>
    </row>
    <row r="28324" ht="15.75" customHeight="1" spans="1:2">
      <c r="A28324" s="3" t="str">
        <f>IFERROR(__xludf.DUMMYFUNCTION("GOOGLETRANSLATE(A28324,""en"",""pt"")"),"sem zoom, lag")</f>
        <v>sem zoom, lag</v>
      </c>
      <c r="B28324" s="3">
        <v>0</v>
      </c>
    </row>
    <row r="28325" ht="15.75" customHeight="1" spans="1:2">
      <c r="A28325" s="3" t="str">
        <f>IFERROR(__xludf.DUMMYFUNCTION("GOOGLETRANSLATE(A28325,""en"",""pt"")"),"nenhum para reclamar de!")</f>
        <v>nenhum para reclamar de!</v>
      </c>
      <c r="B28325" s="3">
        <v>0</v>
      </c>
    </row>
    <row r="28326" ht="15.75" customHeight="1" spans="1:2">
      <c r="A28326" s="3" t="str">
        <f>IFERROR(__xludf.DUMMYFUNCTION("GOOGLETRANSLATE(A28326,""en"",""pt"")"),"usa um monte de baterias, o menu confuso no início")</f>
        <v>usa um monte de baterias, o menu confuso no início</v>
      </c>
      <c r="B28326" s="3">
        <v>0</v>
      </c>
    </row>
    <row r="28327" ht="15.75" customHeight="1" spans="1:2">
      <c r="A28327" s="3" t="str">
        <f>IFERROR(__xludf.DUMMYFUNCTION("GOOGLETRANSLATE(A28327,""en"",""pt"")"),"Sem zoom, terrível UI, software terrível")</f>
        <v>Sem zoom, terrível UI, software terrível</v>
      </c>
      <c r="B28327" s="3">
        <v>0</v>
      </c>
    </row>
    <row r="28328" ht="15.75" customHeight="1" spans="1:2">
      <c r="A28328" s="3" t="str">
        <f>IFERROR(__xludf.DUMMYFUNCTION("GOOGLETRANSLATE(A28328,""en"",""pt"")"),"Falta de adaptador AC")</f>
        <v>Falta de adaptador AC</v>
      </c>
      <c r="B28328" s="3">
        <v>0</v>
      </c>
    </row>
    <row r="28329" ht="15.75" customHeight="1" spans="1:2">
      <c r="A28329" s="3" t="str">
        <f>IFERROR(__xludf.DUMMYFUNCTION("GOOGLETRANSLATE(A28329,""en"",""pt"")"),"Curta vida útil da bateria")</f>
        <v>Curta vida útil da bateria</v>
      </c>
      <c r="B28329" s="3">
        <v>0</v>
      </c>
    </row>
    <row r="28330" ht="15.75" customHeight="1" spans="1:2">
      <c r="A28330" s="3" t="str">
        <f>IFERROR(__xludf.DUMMYFUNCTION("GOOGLETRANSLATE(A28330,""en"",""pt"")"),"Obter um adaptador AC ou obter um Smartmedia Leitor USB")</f>
        <v>Obter um adaptador AC ou obter um Smartmedia Leitor USB</v>
      </c>
      <c r="B28330" s="3">
        <v>0</v>
      </c>
    </row>
    <row r="28331" ht="15.75" customHeight="1" spans="1:2">
      <c r="A28331" s="3" t="str">
        <f>IFERROR(__xludf.DUMMYFUNCTION("GOOGLETRANSLATE(A28331,""en"",""pt"")"),"Mau desempenho em contraste")</f>
        <v>Mau desempenho em contraste</v>
      </c>
      <c r="B28331" s="3">
        <v>0</v>
      </c>
    </row>
    <row r="28332" ht="15.75" customHeight="1" spans="1:2">
      <c r="A28332" s="3" t="s">
        <v>149</v>
      </c>
      <c r="B28332" s="3">
        <v>0</v>
      </c>
    </row>
    <row r="28333" ht="15.75" customHeight="1" spans="1:2">
      <c r="A28333" s="3" t="str">
        <f>IFERROR(__xludf.DUMMYFUNCTION("GOOGLETRANSLATE(A28333,""en"",""pt"")"),"Software pode ter mais recursos. Cord Sem alimentação AC.")</f>
        <v>Software pode ter mais recursos. Cord Sem alimentação AC.</v>
      </c>
      <c r="B28333" s="3">
        <v>0</v>
      </c>
    </row>
    <row r="28334" ht="15.75" customHeight="1" spans="1:2">
      <c r="A28334" s="3" t="str">
        <f>IFERROR(__xludf.DUMMYFUNCTION("GOOGLETRANSLATE(A28334,""en"",""pt"")"),"Nenhum falar de")</f>
        <v>Nenhum falar de</v>
      </c>
      <c r="B28334" s="3">
        <v>0</v>
      </c>
    </row>
    <row r="28335" ht="15.75" customHeight="1" spans="1:2">
      <c r="A28335" s="3" t="str">
        <f>IFERROR(__xludf.DUMMYFUNCTION("GOOGLETRANSLATE(A28335,""en"",""pt"")"),"pequeno cartão de memória vem com ele, suga baterias")</f>
        <v>pequeno cartão de memória vem com ele, suga baterias</v>
      </c>
      <c r="B28335" s="3">
        <v>0</v>
      </c>
    </row>
    <row r="28336" ht="15.75" customHeight="1" spans="1:2">
      <c r="A28336" s="3" t="str">
        <f>IFERROR(__xludf.DUMMYFUNCTION("GOOGLETRANSLATE(A28336,""en"",""pt"")"),"barato à procura, a vida curta da bateria")</f>
        <v>barato à procura, a vida curta da bateria</v>
      </c>
      <c r="B28336" s="3">
        <v>0</v>
      </c>
    </row>
    <row r="28337" ht="15.75" customHeight="1" spans="1:2">
      <c r="A28337" s="3" t="str">
        <f>IFERROR(__xludf.DUMMYFUNCTION("GOOGLETRANSLATE(A28337,""en"",""pt"")"),"sem zoom óptico, apenas 8 MB padrão, nenhum USB")</f>
        <v>sem zoom óptico, apenas 8 MB padrão, nenhum USB</v>
      </c>
      <c r="B28337" s="3">
        <v>0</v>
      </c>
    </row>
    <row r="28338" ht="15.75" customHeight="1" spans="1:2">
      <c r="A28338" s="3" t="str">
        <f>IFERROR(__xludf.DUMMYFUNCTION("GOOGLETRANSLATE(A28338,""en"",""pt"")"),"instruções do manual precisa de tempo para ler, comer baterias")</f>
        <v>instruções do manual precisa de tempo para ler, comer baterias</v>
      </c>
      <c r="B28338" s="3">
        <v>0</v>
      </c>
    </row>
    <row r="28339" ht="15.75" customHeight="1" spans="1:2">
      <c r="A28339" s="3" t="str">
        <f>IFERROR(__xludf.DUMMYFUNCTION("GOOGLETRANSLATE(A28339,""en"",""pt"")"),"zoom fraco")</f>
        <v>zoom fraco</v>
      </c>
      <c r="B28339" s="3">
        <v>0</v>
      </c>
    </row>
    <row r="28340" ht="15.75" customHeight="1" spans="1:2">
      <c r="A28340" s="3" t="str">
        <f>IFERROR(__xludf.DUMMYFUNCTION("GOOGLETRANSLATE(A28340,""en"",""pt"")"),"drenos de bateria")</f>
        <v>drenos de bateria</v>
      </c>
      <c r="B28340" s="3">
        <v>0</v>
      </c>
    </row>
    <row r="28341" ht="15.75" customHeight="1" spans="1:2">
      <c r="A28341" s="3" t="str">
        <f>IFERROR(__xludf.DUMMYFUNCTION("GOOGLETRANSLATE(A28341,""en"",""pt"")"),"baterias come")</f>
        <v>baterias come</v>
      </c>
      <c r="B28341" s="3">
        <v>0</v>
      </c>
    </row>
    <row r="28342" ht="15.75" customHeight="1" spans="1:2">
      <c r="A28342" s="3" t="str">
        <f>IFERROR(__xludf.DUMMYFUNCTION("GOOGLETRANSLATE(A28342,""en"",""pt"")"),"botões de recesso são complicados de usar")</f>
        <v>botões de recesso são complicados de usar</v>
      </c>
      <c r="B28342" s="3">
        <v>0</v>
      </c>
    </row>
    <row r="28343" ht="15.75" customHeight="1" spans="1:2">
      <c r="A28343" s="3" t="str">
        <f>IFERROR(__xludf.DUMMYFUNCTION("GOOGLETRANSLATE(A28343,""en"",""pt"")"),"Deve manter as baterias na mão")</f>
        <v>Deve manter as baterias na mão</v>
      </c>
      <c r="B28343" s="3">
        <v>0</v>
      </c>
    </row>
    <row r="28344" ht="15.75" customHeight="1" spans="1:2">
      <c r="A28344" s="3" t="str">
        <f>IFERROR(__xludf.DUMMYFUNCTION("GOOGLETRANSLATE(A28344,""en"",""pt"")"),"software poderia ser melhorado")</f>
        <v>software poderia ser melhorado</v>
      </c>
      <c r="B28344" s="3">
        <v>0</v>
      </c>
    </row>
    <row r="28345" ht="15.75" customHeight="1" spans="1:2">
      <c r="A28345" s="3" t="str">
        <f>IFERROR(__xludf.DUMMYFUNCTION("GOOGLETRANSLATE(A28345,""en"",""pt"")"),"vida útil da bateria")</f>
        <v>vida útil da bateria</v>
      </c>
      <c r="B28345" s="3">
        <v>0</v>
      </c>
    </row>
    <row r="28346" ht="15.75" customHeight="1" spans="1:2">
      <c r="A28346" s="3" t="str">
        <f>IFERROR(__xludf.DUMMYFUNCTION("GOOGLETRANSLATE(A28346,""en"",""pt"")"),"Nenhum que eu saiba")</f>
        <v>Nenhum que eu saiba</v>
      </c>
      <c r="B28346" s="3">
        <v>0</v>
      </c>
    </row>
    <row r="28347" ht="15.75" customHeight="1" spans="1:2">
      <c r="A28347" s="3" t="str">
        <f>IFERROR(__xludf.DUMMYFUNCTION("GOOGLETRANSLATE(A28347,""en"",""pt"")"),"manter a abundância de baterias em torno de")</f>
        <v>manter a abundância de baterias em torno de</v>
      </c>
      <c r="B28347" s="3">
        <v>0</v>
      </c>
    </row>
    <row r="28348" ht="15.75" customHeight="1" spans="1:2">
      <c r="A28348" s="3" t="str">
        <f>IFERROR(__xludf.DUMMYFUNCTION("GOOGLETRANSLATE(A28348,""en"",""pt"")"),"Adeus álbuns de fotografias, álbuns de computador Olá!")</f>
        <v>Adeus álbuns de fotografias, álbuns de computador Olá!</v>
      </c>
      <c r="B28348" s="3">
        <v>0</v>
      </c>
    </row>
    <row r="28349" ht="15.75" customHeight="1" spans="1:2">
      <c r="A28349" s="3" t="str">
        <f>IFERROR(__xludf.DUMMYFUNCTION("GOOGLETRANSLATE(A28349,""en"",""pt"")"),"Má qualidade de imagem zoom")</f>
        <v>Má qualidade de imagem zoom</v>
      </c>
      <c r="B28349" s="3">
        <v>0</v>
      </c>
    </row>
    <row r="28350" ht="15.75" customHeight="1" spans="1:2">
      <c r="A28350" s="3" t="str">
        <f>IFERROR(__xludf.DUMMYFUNCTION("GOOGLETRANSLATE(A28350,""en"",""pt"")"),"Fotografar em interiores Granulado na tela, flash padrão é &amp; amp; quot; em &amp; amp; quot;")</f>
        <v>Fotografar em interiores Granulado na tela, flash padrão é &amp; amp; quot; em &amp; amp; quot;</v>
      </c>
      <c r="B28350" s="3">
        <v>0</v>
      </c>
    </row>
    <row r="28351" ht="15.75" customHeight="1" spans="1:2">
      <c r="A28351" s="3" t="str">
        <f>IFERROR(__xludf.DUMMYFUNCTION("GOOGLETRANSLATE(A28351,""en"",""pt"")"),"Bateria morre rápido")</f>
        <v>Bateria morre rápido</v>
      </c>
      <c r="B28351" s="3">
        <v>0</v>
      </c>
    </row>
    <row r="28352" ht="15.75" customHeight="1" spans="1:2">
      <c r="A28352" s="3" t="str">
        <f>IFERROR(__xludf.DUMMYFUNCTION("GOOGLETRANSLATE(A28352,""en"",""pt"")"),"compactados polegar unhas fotos")</f>
        <v>compactados polegar unhas fotos</v>
      </c>
      <c r="B28352" s="3">
        <v>0</v>
      </c>
    </row>
    <row r="28353" ht="15.75" customHeight="1" spans="1:2">
      <c r="A28353" s="3" t="str">
        <f>IFERROR(__xludf.DUMMYFUNCTION("GOOGLETRANSLATE(A28353,""en"",""pt"")"),"sem zoom óptico")</f>
        <v>sem zoom óptico</v>
      </c>
      <c r="B28353" s="3">
        <v>0</v>
      </c>
    </row>
    <row r="28354" ht="15.75" customHeight="1" spans="1:2">
      <c r="A28354" s="3" t="str">
        <f>IFERROR(__xludf.DUMMYFUNCTION("GOOGLETRANSLATE(A28354,""en"",""pt"")"),"tempo de retorno de garantia")</f>
        <v>tempo de retorno de garantia</v>
      </c>
      <c r="B28354" s="3">
        <v>0</v>
      </c>
    </row>
    <row r="28355" ht="15.75" customHeight="1" spans="1:2">
      <c r="A28355" s="3" t="str">
        <f>IFERROR(__xludf.DUMMYFUNCTION("GOOGLETRANSLATE(A28355,""en"",""pt"")"),"A vida da bateria")</f>
        <v>A vida da bateria</v>
      </c>
      <c r="B28355" s="3">
        <v>0</v>
      </c>
    </row>
    <row r="28356" ht="15.75" customHeight="1" spans="1:2">
      <c r="A28356" s="3" t="str">
        <f>IFERROR(__xludf.DUMMYFUNCTION("GOOGLETRANSLATE(A28356,""en"",""pt"")"),"Sem zoom")</f>
        <v>Sem zoom</v>
      </c>
      <c r="B28356" s="3">
        <v>0</v>
      </c>
    </row>
    <row r="28357" ht="15.75" customHeight="1" spans="1:2">
      <c r="A28357" s="3" t="str">
        <f>IFERROR(__xludf.DUMMYFUNCTION("GOOGLETRANSLATE(A28357,""en"",""pt"")"),"Ele não tem uma lente zoom")</f>
        <v>Ele não tem uma lente zoom</v>
      </c>
      <c r="B28357" s="3">
        <v>0</v>
      </c>
    </row>
    <row r="28358" ht="15.75" customHeight="1" spans="1:2">
      <c r="A28358" s="3" t="str">
        <f>IFERROR(__xludf.DUMMYFUNCTION("GOOGLETRANSLATE(A28358,""en"",""pt"")"),"não veio com um adaptador / c")</f>
        <v>não veio com um adaptador / c</v>
      </c>
      <c r="B28358" s="3">
        <v>0</v>
      </c>
    </row>
    <row r="28359" ht="15.75" customHeight="1" spans="1:2">
      <c r="A28359" s="3" t="s">
        <v>150</v>
      </c>
      <c r="B28359" s="3">
        <v>0</v>
      </c>
    </row>
    <row r="28360" ht="15.75" customHeight="1" spans="1:2">
      <c r="A28360" s="3" t="str">
        <f>IFERROR(__xludf.DUMMYFUNCTION("GOOGLETRANSLATE(A28360,""en"",""pt"")"),"zoom, cartão sm,")</f>
        <v>zoom, cartão sm,</v>
      </c>
      <c r="B28360" s="3">
        <v>0</v>
      </c>
    </row>
    <row r="28361" ht="15.75" customHeight="1" spans="1:2">
      <c r="A28361" s="3" t="str">
        <f>IFERROR(__xludf.DUMMYFUNCTION("GOOGLETRANSLATE(A28361,""en"",""pt"")"),"tempo de download")</f>
        <v>tempo de download</v>
      </c>
      <c r="B28361" s="3">
        <v>0</v>
      </c>
    </row>
    <row r="28362" ht="15.75" customHeight="1" spans="1:2">
      <c r="A28362" s="3" t="str">
        <f>IFERROR(__xludf.DUMMYFUNCTION("GOOGLETRANSLATE(A28362,""en"",""pt"")"),"Nenhum")</f>
        <v>Nenhum</v>
      </c>
      <c r="B28362" s="3">
        <v>0</v>
      </c>
    </row>
    <row r="28363" ht="15.75" customHeight="1" spans="1:2">
      <c r="A28363" s="3" t="str">
        <f>IFERROR(__xludf.DUMMYFUNCTION("GOOGLETRANSLATE(A28363,""en"",""pt"")"),"Fácil de usar")</f>
        <v>Fácil de usar</v>
      </c>
      <c r="B28363" s="3">
        <v>0</v>
      </c>
    </row>
    <row r="28364" ht="15.75" customHeight="1" spans="1:2">
      <c r="A28364" s="3" t="str">
        <f>IFERROR(__xludf.DUMMYFUNCTION("GOOGLETRANSLATE(A28364,""en"",""pt"")"),"conexão serial lento")</f>
        <v>conexão serial lento</v>
      </c>
      <c r="B28364" s="3">
        <v>0</v>
      </c>
    </row>
    <row r="28365" ht="15.75" customHeight="1" spans="1:2">
      <c r="A28365" s="3" t="str">
        <f>IFERROR(__xludf.DUMMYFUNCTION("GOOGLETRANSLATE(A28365,""en"",""pt"")"),"Panaramic só funciona em Film Factory Digital.")</f>
        <v>Panaramic só funciona em Film Factory Digital.</v>
      </c>
      <c r="B28365" s="3">
        <v>0</v>
      </c>
    </row>
    <row r="28366" ht="15.75" customHeight="1" spans="1:2">
      <c r="A28366" s="3" t="str">
        <f>IFERROR(__xludf.DUMMYFUNCTION("GOOGLETRANSLATE(A28366,""en"",""pt"")"),"A vida da bateria, conexão serial")</f>
        <v>A vida da bateria, conexão serial</v>
      </c>
      <c r="B28366" s="3">
        <v>0</v>
      </c>
    </row>
    <row r="28367" ht="15.75" customHeight="1" spans="1:2">
      <c r="A28367" s="3" t="str">
        <f>IFERROR(__xludf.DUMMYFUNCTION("GOOGLETRANSLATE(A28367,""en"",""pt"")"),"Não construído em zoom")</f>
        <v>Não construído em zoom</v>
      </c>
      <c r="B28367" s="3">
        <v>0</v>
      </c>
    </row>
    <row r="28368" ht="15.75" customHeight="1" spans="1:2">
      <c r="A28368" s="3" t="str">
        <f>IFERROR(__xludf.DUMMYFUNCTION("GOOGLETRANSLATE(A28368,""en"",""pt"")"),"Sem Zoom")</f>
        <v>Sem Zoom</v>
      </c>
      <c r="B28368" s="3">
        <v>0</v>
      </c>
    </row>
    <row r="28369" ht="15.75" customHeight="1" spans="1:2">
      <c r="A28369" s="3" t="str">
        <f>IFERROR(__xludf.DUMMYFUNCTION("GOOGLETRANSLATE(A28369,""en"",""pt"")"),"sem zoom")</f>
        <v>sem zoom</v>
      </c>
      <c r="B28369" s="3">
        <v>0</v>
      </c>
    </row>
    <row r="28370" ht="15.75" customHeight="1" spans="1:2">
      <c r="A28370" s="3" t="str">
        <f>IFERROR(__xludf.DUMMYFUNCTION("GOOGLETRANSLATE(A28370,""en"",""pt"")"),"vida útil da bateria")</f>
        <v>vida útil da bateria</v>
      </c>
      <c r="B28370" s="3">
        <v>0</v>
      </c>
    </row>
    <row r="28371" ht="15.75" customHeight="1" spans="1:2">
      <c r="A28371" s="3" t="str">
        <f>IFERROR(__xludf.DUMMYFUNCTION("GOOGLETRANSLATE(A28371,""en"",""pt"")"),"zoom fraco, bateria")</f>
        <v>zoom fraco, bateria</v>
      </c>
      <c r="B28371" s="3">
        <v>0</v>
      </c>
    </row>
    <row r="28372" ht="15.75" customHeight="1" spans="1:2">
      <c r="A28372" s="3" t="str">
        <f>IFERROR(__xludf.DUMMYFUNCTION("GOOGLETRANSLATE(A28372,""en"",""pt"")"),"Baterias morrer rápido")</f>
        <v>Baterias morrer rápido</v>
      </c>
      <c r="B28372" s="3">
        <v>0</v>
      </c>
    </row>
    <row r="28373" ht="15.75" customHeight="1" spans="1:2">
      <c r="A28373" s="3" t="str">
        <f>IFERROR(__xludf.DUMMYFUNCTION("GOOGLETRANSLATE(A28373,""en"",""pt"")"),"Apenas baterias Ni-MH passado, um tanto lenta transferência de porta paralela")</f>
        <v>Apenas baterias Ni-MH passado, um tanto lenta transferência de porta paralela</v>
      </c>
      <c r="B28373" s="3">
        <v>0</v>
      </c>
    </row>
    <row r="28374" ht="15.75" customHeight="1" spans="1:2">
      <c r="A28374" s="3" t="str">
        <f>IFERROR(__xludf.DUMMYFUNCTION("GOOGLETRANSLATE(A28374,""en"",""pt"")"),"não chique, escuros de imagens em tempo nublado")</f>
        <v>não chique, escuros de imagens em tempo nublado</v>
      </c>
      <c r="B28374" s="3">
        <v>0</v>
      </c>
    </row>
    <row r="28375" ht="15.75" customHeight="1" spans="1:2">
      <c r="A28375" s="3" t="str">
        <f>IFERROR(__xludf.DUMMYFUNCTION("GOOGLETRANSLATE(A28375,""en"",""pt"")"),"baterias orçamento limitado")</f>
        <v>baterias orçamento limitado</v>
      </c>
      <c r="B28375" s="3">
        <v>0</v>
      </c>
    </row>
    <row r="28376" ht="15.75" customHeight="1" spans="1:2">
      <c r="A28376" s="3" t="str">
        <f>IFERROR(__xludf.DUMMYFUNCTION("GOOGLETRANSLATE(A28376,""en"",""pt"")"),"Nenhum")</f>
        <v>Nenhum</v>
      </c>
      <c r="B28376" s="3">
        <v>0</v>
      </c>
    </row>
    <row r="28377" ht="15.75" customHeight="1" spans="1:2">
      <c r="A28377" s="3" t="str">
        <f>IFERROR(__xludf.DUMMYFUNCTION("GOOGLETRANSLATE(A28377,""en"",""pt"")"),"Nenhuma Zoom, Software Fedores, de transferência de imagem é S-G-S-W")</f>
        <v>Nenhuma Zoom, Software Fedores, de transferência de imagem é S-G-S-W</v>
      </c>
      <c r="B28377" s="3">
        <v>0</v>
      </c>
    </row>
    <row r="28378" ht="15.75" customHeight="1" spans="1:2">
      <c r="A28378" s="3" t="str">
        <f>IFERROR(__xludf.DUMMYFUNCTION("GOOGLETRANSLATE(A28378,""en"",""pt"")"),"Você não terá de recolher essas pequenas latas agradáveis ​​que filme de 35mm vieram.")</f>
        <v>Você não terá de recolher essas pequenas latas agradáveis ​​que filme de 35mm vieram.</v>
      </c>
      <c r="B28378" s="3">
        <v>0</v>
      </c>
    </row>
    <row r="28379" ht="15.75" customHeight="1" spans="1:2">
      <c r="A28379" s="3" t="str">
        <f>IFERROR(__xludf.DUMMYFUNCTION("GOOGLETRANSLATE(A28379,""en"",""pt"")"),"pessoas embaçada, sem zoom, funções de menu desajeitados, baixar lenta e processamento entre as fotos, software ruim")</f>
        <v>pessoas embaçada, sem zoom, funções de menu desajeitados, baixar lenta e processamento entre as fotos, software ruim</v>
      </c>
      <c r="B28379" s="3">
        <v>0</v>
      </c>
    </row>
    <row r="28380" ht="15.75" customHeight="1" spans="1:2">
      <c r="A28380" s="3" t="str">
        <f>IFERROR(__xludf.DUMMYFUNCTION("GOOGLETRANSLATE(A28380,""en"",""pt"")"),"Sem zoom óptico / consome baterias rápido")</f>
        <v>Sem zoom óptico / consome baterias rápido</v>
      </c>
      <c r="B28380" s="3">
        <v>0</v>
      </c>
    </row>
    <row r="28381" ht="15.75" customHeight="1" spans="1:2">
      <c r="A28381" s="3" t="str">
        <f>IFERROR(__xludf.DUMMYFUNCTION("GOOGLETRANSLATE(A28381,""en"",""pt"")"),"Utiliza baterias rapidamente")</f>
        <v>Utiliza baterias rapidamente</v>
      </c>
      <c r="B28381" s="3">
        <v>0</v>
      </c>
    </row>
    <row r="28382" ht="15.75" customHeight="1" spans="1:2">
      <c r="A28382" s="3" t="str">
        <f>IFERROR(__xludf.DUMMYFUNCTION("GOOGLETRANSLATE(A28382,""en"",""pt"")"),"Sem zoom reais")</f>
        <v>Sem zoom reais</v>
      </c>
      <c r="B28382" s="3">
        <v>0</v>
      </c>
    </row>
    <row r="28383" ht="15.75" customHeight="1" spans="1:2">
      <c r="A28383" s="3" t="str">
        <f>IFERROR(__xludf.DUMMYFUNCTION("GOOGLETRANSLATE(A28383,""en"",""pt"")"),"vezes Useage bateria e fazer o download")</f>
        <v>vezes Useage bateria e fazer o download</v>
      </c>
      <c r="B28383" s="3">
        <v>0</v>
      </c>
    </row>
    <row r="28384" ht="15.75" customHeight="1" spans="1:2">
      <c r="A28384" s="3" t="str">
        <f>IFERROR(__xludf.DUMMYFUNCTION("GOOGLETRANSLATE(A28384,""en"",""pt"")"),"software Camedia Bad, a interface lenta, baterias come")</f>
        <v>software Camedia Bad, a interface lenta, baterias come</v>
      </c>
      <c r="B28384" s="3">
        <v>0</v>
      </c>
    </row>
    <row r="28385" ht="15.75" customHeight="1" spans="1:2">
      <c r="A28385" s="3" t="str">
        <f>IFERROR(__xludf.DUMMYFUNCTION("GOOGLETRANSLATE(A28385,""en"",""pt"")"),"Difícil de resolução mudança.")</f>
        <v>Difícil de resolução mudança.</v>
      </c>
      <c r="B28385" s="3">
        <v>0</v>
      </c>
    </row>
    <row r="28386" ht="15.75" customHeight="1" spans="1:2">
      <c r="A28386" s="3" t="str">
        <f>IFERROR(__xludf.DUMMYFUNCTION("GOOGLETRANSLATE(A28386,""en"",""pt"")"),"vida útil da bateria baixa, mas ainda uma boa câmera.")</f>
        <v>vida útil da bateria baixa, mas ainda uma boa câmera.</v>
      </c>
      <c r="B28386" s="3">
        <v>0</v>
      </c>
    </row>
    <row r="28387" ht="15.75" customHeight="1" spans="1:2">
      <c r="A28387" s="3" t="str">
        <f>IFERROR(__xludf.DUMMYFUNCTION("GOOGLETRANSLATE(A28387,""en"",""pt"")"),"curta duração da bateria quando utilizar LCD, sem zoom")</f>
        <v>curta duração da bateria quando utilizar LCD, sem zoom</v>
      </c>
      <c r="B28387" s="3">
        <v>0</v>
      </c>
    </row>
    <row r="28388" ht="15.75" customHeight="1" spans="1:2">
      <c r="A28388" s="3" t="str">
        <f>IFERROR(__xludf.DUMMYFUNCTION("GOOGLETRANSLATE(A28388,""en"",""pt"")"),"Megapixel &amp; amp; # 13; &amp; amp; # 10; memória &amp; amp; # 13; &amp; amp; # 10;")</f>
        <v>Megapixel &amp; amp; # 13; &amp; amp; # 10; memória &amp; amp; # 13; &amp; amp; # 10;</v>
      </c>
      <c r="B28388" s="3">
        <v>0</v>
      </c>
    </row>
    <row r="28389" ht="15.75" customHeight="1" spans="1:2">
      <c r="A28389" s="3" t="str">
        <f>IFERROR(__xludf.DUMMYFUNCTION("GOOGLETRANSLATE(A28389,""en"",""pt"")"),"Leva tempo para descobrir")</f>
        <v>Leva tempo para descobrir</v>
      </c>
      <c r="B28389" s="3">
        <v>0</v>
      </c>
    </row>
    <row r="28390" ht="15.75" customHeight="1" spans="1:2">
      <c r="A28390" s="3" t="str">
        <f>IFERROR(__xludf.DUMMYFUNCTION("GOOGLETRANSLATE(A28390,""en"",""pt"")"),"controles desajeitado, memória mínima, comer bateria quando conectado ao PC, recarga lenta, sem zoom óptico")</f>
        <v>controles desajeitado, memória mínima, comer bateria quando conectado ao PC, recarga lenta, sem zoom óptico</v>
      </c>
      <c r="B28390" s="3">
        <v>0</v>
      </c>
    </row>
    <row r="28391" ht="15.75" customHeight="1" spans="1:2">
      <c r="A28391" s="3" t="s">
        <v>151</v>
      </c>
      <c r="B28391" s="3">
        <v>0</v>
      </c>
    </row>
    <row r="28392" ht="15.75" customHeight="1" spans="1:2">
      <c r="A28392" s="3" t="str">
        <f>IFERROR(__xludf.DUMMYFUNCTION("GOOGLETRANSLATE(A28392,""en"",""pt"")"),"não é fornecido com o cartão smartmedia")</f>
        <v>não é fornecido com o cartão smartmedia</v>
      </c>
      <c r="B28392" s="3">
        <v>0</v>
      </c>
    </row>
    <row r="28393" ht="15.75" customHeight="1" spans="1:2">
      <c r="A28393" s="3" t="str">
        <f>IFERROR(__xludf.DUMMYFUNCTION("GOOGLETRANSLATE(A28393,""en"",""pt"")"),"Apenas 2 MB de memória interna, elevada quantidade de ruído de cor em tiros interiores.")</f>
        <v>Apenas 2 MB de memória interna, elevada quantidade de ruído de cor em tiros interiores.</v>
      </c>
      <c r="B28393" s="3">
        <v>0</v>
      </c>
    </row>
    <row r="28394" ht="15.75" customHeight="1" spans="1:2">
      <c r="A28394" s="3" t="str">
        <f>IFERROR(__xludf.DUMMYFUNCTION("GOOGLETRANSLATE(A28394,""en"",""pt"")"),"Feroz gobbler bateria, adaptador A / C é o custo extra, documentação miseráveis. &amp; Amp; # 13; &amp; amp; # 10;")</f>
        <v>Feroz gobbler bateria, adaptador A / C é o custo extra, documentação miseráveis. &amp; Amp; # 13; &amp; amp; # 10;</v>
      </c>
      <c r="B28394" s="3">
        <v>0</v>
      </c>
    </row>
    <row r="28395" ht="15.75" customHeight="1" spans="1:2">
      <c r="A28395" s="3" t="str">
        <f>IFERROR(__xludf.DUMMYFUNCTION("GOOGLETRANSLATE(A28395,""en"",""pt"")"),"Não (não digital) zoom, baterias come, software pobre, desempenho variável em algumas condições de iluminação")</f>
        <v>Não (não digital) zoom, baterias come, software pobre, desempenho variável em algumas condições de iluminação</v>
      </c>
      <c r="B28395" s="3">
        <v>0</v>
      </c>
    </row>
    <row r="28396" ht="15.75" customHeight="1" spans="1:2">
      <c r="A28396" s="3" t="str">
        <f>IFERROR(__xludf.DUMMYFUNCTION("GOOGLETRANSLATE(A28396,""en"",""pt"")"),"custos ocultos - comprar pilhas recarregáveis ​​e um cartão inteligente")</f>
        <v>custos ocultos - comprar pilhas recarregáveis ​​e um cartão inteligente</v>
      </c>
      <c r="B28396" s="3">
        <v>0</v>
      </c>
    </row>
    <row r="28397" ht="15.75" customHeight="1" spans="1:2">
      <c r="A28397" s="3" t="str">
        <f>IFERROR(__xludf.DUMMYFUNCTION("GOOGLETRANSLATE(A28397,""en"",""pt"")"),"filmes precisam de muita luz")</f>
        <v>filmes precisam de muita luz</v>
      </c>
      <c r="B28397" s="3">
        <v>0</v>
      </c>
    </row>
    <row r="28398" ht="15.75" customHeight="1" spans="1:2">
      <c r="A28398" s="3" t="str">
        <f>IFERROR(__xludf.DUMMYFUNCTION("GOOGLETRANSLATE(A28398,""en"",""pt"")"),"Sem zoom óptico")</f>
        <v>Sem zoom óptico</v>
      </c>
      <c r="B28398" s="3">
        <v>0</v>
      </c>
    </row>
    <row r="28399" ht="15.75" customHeight="1" spans="1:2">
      <c r="A28399" s="3" t="str">
        <f>IFERROR(__xludf.DUMMYFUNCTION("GOOGLETRANSLATE(A28399,""en"",""pt"")"),"Não há conexões de TV! As baterias não recarregáveis ​​incluído!")</f>
        <v>Não há conexões de TV! As baterias não recarregáveis ​​incluído!</v>
      </c>
      <c r="B28399" s="3">
        <v>0</v>
      </c>
    </row>
    <row r="28400" ht="15.75" customHeight="1" spans="1:2">
      <c r="A28400" s="3" t="str">
        <f>IFERROR(__xludf.DUMMYFUNCTION("GOOGLETRANSLATE(A28400,""en"",""pt"")"),"Software não é compatível com a atualização do Windows 98SE.")</f>
        <v>Software não é compatível com a atualização do Windows 98SE.</v>
      </c>
      <c r="B28400" s="3">
        <v>0</v>
      </c>
    </row>
    <row r="28401" ht="15.75" customHeight="1" spans="1:2">
      <c r="A28401" s="3" t="str">
        <f>IFERROR(__xludf.DUMMYFUNCTION("GOOGLETRANSLATE(A28401,""en"",""pt"")"),"função de zoom diminui severamente a qualidade pic")</f>
        <v>função de zoom diminui severamente a qualidade pic</v>
      </c>
      <c r="B28401" s="3">
        <v>0</v>
      </c>
    </row>
    <row r="28402" ht="15.75" customHeight="1" spans="1:2">
      <c r="A28402" s="3" t="str">
        <f>IFERROR(__xludf.DUMMYFUNCTION("GOOGLETRANSLATE(A28402,""en"",""pt"")"),"zoom digital, não óptico. É sobre isso!")</f>
        <v>zoom digital, não óptico. É sobre isso!</v>
      </c>
      <c r="B28402" s="3">
        <v>0</v>
      </c>
    </row>
    <row r="28403" ht="15.75" customHeight="1" spans="1:2">
      <c r="A28403" s="3" t="str">
        <f>IFERROR(__xludf.DUMMYFUNCTION("GOOGLETRANSLATE(A28403,""en"",""pt"")"),"tela LCD come baterias. cartão de memória incluído é pequena.")</f>
        <v>tela LCD come baterias. cartão de memória incluído é pequena.</v>
      </c>
      <c r="B28403" s="3">
        <v>0</v>
      </c>
    </row>
    <row r="28404" ht="15.75" customHeight="1" spans="1:2">
      <c r="A28404" s="3" t="str">
        <f>IFERROR(__xludf.DUMMYFUNCTION("GOOGLETRANSLATE(A28404,""en"",""pt"")"),"Padrão resolução é alta (mas pode ser alterado antes de tirar a foto)")</f>
        <v>Padrão resolução é alta (mas pode ser alterado antes de tirar a foto)</v>
      </c>
      <c r="B28404" s="3">
        <v>0</v>
      </c>
    </row>
    <row r="28405" ht="15.75" customHeight="1" spans="1:2">
      <c r="A28405" s="3" t="str">
        <f>IFERROR(__xludf.DUMMYFUNCTION("GOOGLETRANSLATE(A28405,""en"",""pt"")"),"Má qualidade quando o zoom mais de 1,5x; a vida da bateria um pouco curto.")</f>
        <v>Má qualidade quando o zoom mais de 1,5x; a vida da bateria um pouco curto.</v>
      </c>
      <c r="B28405" s="3">
        <v>0</v>
      </c>
    </row>
    <row r="28406" ht="15.75" customHeight="1" spans="1:2">
      <c r="A28406" s="3" t="str">
        <f>IFERROR(__xludf.DUMMYFUNCTION("GOOGLETRANSLATE(A28406,""en"",""pt"")"),"Não domina o zoom ainda ... oh ya..no saída de vídeo ... :(")</f>
        <v>Não domina o zoom ainda ... oh ya..no saída de vídeo ... :(</v>
      </c>
      <c r="B28406" s="3">
        <v>0</v>
      </c>
    </row>
    <row r="28407" ht="15.75" customHeight="1" spans="1:2">
      <c r="A28407" s="3" t="str">
        <f>IFERROR(__xludf.DUMMYFUNCTION("GOOGLETRANSLATE(A28407,""en"",""pt"")"),"pilhas não recarregáveis.")</f>
        <v>pilhas não recarregáveis.</v>
      </c>
      <c r="B28407" s="3">
        <v>0</v>
      </c>
    </row>
    <row r="28408" ht="15.75" customHeight="1" spans="1:2">
      <c r="A28408" s="3" t="str">
        <f>IFERROR(__xludf.DUMMYFUNCTION("GOOGLETRANSLATE(A28408,""en"",""pt"")"),"difícil delet fotos")</f>
        <v>difícil delet fotos</v>
      </c>
      <c r="B28408" s="3">
        <v>0</v>
      </c>
    </row>
    <row r="28409" ht="15.75" customHeight="1" spans="1:2">
      <c r="A28409" s="3" t="str">
        <f>IFERROR(__xludf.DUMMYFUNCTION("GOOGLETRANSLATE(A28409,""en"",""pt"")"),"Nenhum ainda")</f>
        <v>Nenhum ainda</v>
      </c>
      <c r="B28409" s="3">
        <v>0</v>
      </c>
    </row>
    <row r="28410" ht="15.75" customHeight="1" spans="1:2">
      <c r="A28410" s="3" t="str">
        <f>IFERROR(__xludf.DUMMYFUNCTION("GOOGLETRANSLATE(A28410,""en"",""pt"")"),"Perder uma imagem se a bateria é baixo;")</f>
        <v>Perder uma imagem se a bateria é baixo;</v>
      </c>
      <c r="B28410" s="3">
        <v>0</v>
      </c>
    </row>
    <row r="28411" ht="15.75" customHeight="1" spans="1:2">
      <c r="A28411" s="3" t="str">
        <f>IFERROR(__xludf.DUMMYFUNCTION("GOOGLETRANSLATE(A28411,""en"",""pt"")"),"acessórios limitado, zoom fraca, apenas 2,0 megapixels")</f>
        <v>acessórios limitado, zoom fraca, apenas 2,0 megapixels</v>
      </c>
      <c r="B28411" s="3">
        <v>0</v>
      </c>
    </row>
    <row r="28412" ht="15.75" customHeight="1" spans="1:2">
      <c r="A28412" s="3" t="str">
        <f>IFERROR(__xludf.DUMMYFUNCTION("GOOGLETRANSLATE(A28412,""en"",""pt"")"),"Apenas 2,0 Megapixels")</f>
        <v>Apenas 2,0 Megapixels</v>
      </c>
      <c r="B28412" s="3">
        <v>0</v>
      </c>
    </row>
    <row r="28413" ht="15.75" customHeight="1" spans="1:2">
      <c r="A28413" s="3" t="str">
        <f>IFERROR(__xludf.DUMMYFUNCTION("GOOGLETRANSLATE(A28413,""en"",""pt"")"),"Nenhum")</f>
        <v>Nenhum</v>
      </c>
      <c r="B28413" s="3">
        <v>0</v>
      </c>
    </row>
    <row r="28414" ht="15.75" customHeight="1" spans="1:2">
      <c r="A28414" s="3" t="str">
        <f>IFERROR(__xludf.DUMMYFUNCTION("GOOGLETRANSLATE(A28414,""en"",""pt"")"),"Sem zoom óptico (somente zoom digital), meios espertos")</f>
        <v>Sem zoom óptico (somente zoom digital), meios espertos</v>
      </c>
      <c r="B28414" s="3">
        <v>0</v>
      </c>
    </row>
    <row r="28415" ht="15.75" customHeight="1" spans="1:2">
      <c r="A28415" s="3" t="str">
        <f>IFERROR(__xludf.DUMMYFUNCTION("GOOGLETRANSLATE(A28415,""en"",""pt"")"),"sem conexões de TV e baterias não duram muito tempo")</f>
        <v>sem conexões de TV e baterias não duram muito tempo</v>
      </c>
      <c r="B28415" s="3">
        <v>0</v>
      </c>
    </row>
    <row r="28416" ht="15.75" customHeight="1" spans="1:2">
      <c r="A28416" s="3" t="str">
        <f>IFERROR(__xludf.DUMMYFUNCTION("GOOGLETRANSLATE(A28416,""en"",""pt"")"),"vida de bateria fraca, sem zoom óptico, zoom digital deteriora a qualidade da imagem")</f>
        <v>vida de bateria fraca, sem zoom óptico, zoom digital deteriora a qualidade da imagem</v>
      </c>
      <c r="B28416" s="3">
        <v>0</v>
      </c>
    </row>
    <row r="28417" ht="15.75" customHeight="1" spans="1:2">
      <c r="A28417" s="3" t="str">
        <f>IFERROR(__xludf.DUMMYFUNCTION("GOOGLETRANSLATE(A28417,""en"",""pt"")"),"vida pobre da bateria, maus fotos de qualidade quando o zoom.")</f>
        <v>vida pobre da bateria, maus fotos de qualidade quando o zoom.</v>
      </c>
      <c r="B28417" s="3">
        <v>0</v>
      </c>
    </row>
    <row r="28418" ht="15.75" customHeight="1" spans="1:2">
      <c r="A28418" s="3" t="str">
        <f>IFERROR(__xludf.DUMMYFUNCTION("GOOGLETRANSLATE(A28418,""en"",""pt"")"),"Não uma bateria de longa duração.")</f>
        <v>Não uma bateria de longa duração.</v>
      </c>
      <c r="B28418" s="3">
        <v>0</v>
      </c>
    </row>
    <row r="28419" ht="15.75" customHeight="1" spans="1:2">
      <c r="A28419" s="3" t="str">
        <f>IFERROR(__xludf.DUMMYFUNCTION("GOOGLETRANSLATE(A28419,""en"",""pt"")"),"pops porta da bateria abrir inesperadamente; explode câmera quando caiu no oceano; reparos Olympus muito caro.")</f>
        <v>pops porta da bateria abrir inesperadamente; explode câmera quando caiu no oceano; reparos Olympus muito caro.</v>
      </c>
      <c r="B28419" s="3">
        <v>0</v>
      </c>
    </row>
    <row r="28420" ht="15.75" customHeight="1" spans="1:2">
      <c r="A28420" s="3" t="str">
        <f>IFERROR(__xludf.DUMMYFUNCTION("GOOGLETRANSLATE(A28420,""en"",""pt"")"),"pilhas não-recarregáveis, a vida da bateria muito curta, cartão de memória relativamente pequeno")</f>
        <v>pilhas não-recarregáveis, a vida da bateria muito curta, cartão de memória relativamente pequeno</v>
      </c>
      <c r="B28420" s="3">
        <v>0</v>
      </c>
    </row>
    <row r="28421" ht="15.75" customHeight="1" spans="1:2">
      <c r="A28421" s="3" t="str">
        <f>IFERROR(__xludf.DUMMYFUNCTION("GOOGLETRANSLATE(A28421,""en"",""pt"")"),"Bateria uso, fotos nebuloso em zoom")</f>
        <v>Bateria uso, fotos nebuloso em zoom</v>
      </c>
      <c r="B28421" s="3">
        <v>0</v>
      </c>
    </row>
    <row r="28422" ht="15.75" customHeight="1" spans="1:2">
      <c r="A28422" s="3" t="str">
        <f>IFERROR(__xludf.DUMMYFUNCTION("GOOGLETRANSLATE(A28422,""en"",""pt"")"),"Distância focal fixa")</f>
        <v>Distância focal fixa</v>
      </c>
      <c r="B28422" s="3">
        <v>0</v>
      </c>
    </row>
    <row r="28423" ht="15.75" customHeight="1" spans="1:2">
      <c r="A28423" s="3" t="str">
        <f>IFERROR(__xludf.DUMMYFUNCTION("GOOGLETRANSLATE(A28423,""en"",""pt"")"),"Sem baterias recarregáveis ​​incluído eo cartão de 16MB SmartMedia é muito pequeno!")</f>
        <v>Sem baterias recarregáveis ​​incluído eo cartão de 16MB SmartMedia é muito pequeno!</v>
      </c>
      <c r="B28423" s="3">
        <v>0</v>
      </c>
    </row>
    <row r="28424" ht="15.75" customHeight="1" spans="1:2">
      <c r="A28424" s="3" t="str">
        <f>IFERROR(__xludf.DUMMYFUNCTION("GOOGLETRANSLATE(A28424,""en"",""pt"")"),"Custo, cartão de memória incluído pequeno")</f>
        <v>Custo, cartão de memória incluído pequeno</v>
      </c>
      <c r="B28424" s="3">
        <v>0</v>
      </c>
    </row>
    <row r="28425" ht="15.75" customHeight="1" spans="1:2">
      <c r="A28425" s="3" t="str">
        <f>IFERROR(__xludf.DUMMYFUNCTION("GOOGLETRANSLATE(A28425,""en"",""pt"")"),"não pode usar visor ao tirar fotos macro.")</f>
        <v>não pode usar visor ao tirar fotos macro.</v>
      </c>
      <c r="B28425" s="3">
        <v>0</v>
      </c>
    </row>
    <row r="28426" ht="15.75" customHeight="1" spans="1:2">
      <c r="A28426" s="3" t="str">
        <f>IFERROR(__xludf.DUMMYFUNCTION("GOOGLETRANSLATE(A28426,""en"",""pt"")"),"baterias incluídas, nenhum caso protetora incluída")</f>
        <v>baterias incluídas, nenhum caso protetora incluída</v>
      </c>
      <c r="B28426" s="3">
        <v>0</v>
      </c>
    </row>
    <row r="28427" ht="15.75" customHeight="1" spans="1:2">
      <c r="A28427" s="3" t="str">
        <f>IFERROR(__xludf.DUMMYFUNCTION("GOOGLETRANSLATE(A28427,""en"",""pt"")"),"nenhum caso, drena as baterias, nenhum adaptador AC")</f>
        <v>nenhum caso, drena as baterias, nenhum adaptador AC</v>
      </c>
      <c r="B28427" s="3">
        <v>0</v>
      </c>
    </row>
    <row r="28428" ht="15.75" customHeight="1" spans="1:2">
      <c r="A28428" s="3" t="str">
        <f>IFERROR(__xludf.DUMMYFUNCTION("GOOGLETRANSLATE(A28428,""en"",""pt"")"),"Caro. Pequeno (16mb) incluiu cartão de memória.")</f>
        <v>Caro. Pequeno (16mb) incluiu cartão de memória.</v>
      </c>
      <c r="B28428" s="3">
        <v>0</v>
      </c>
    </row>
    <row r="28429" ht="15.75" customHeight="1" spans="1:2">
      <c r="A28429" s="3" t="str">
        <f>IFERROR(__xludf.DUMMYFUNCTION("GOOGLETRANSLATE(A28429,""en"",""pt"")"),"as aberrações cromáticas, de curto alcance do zoom, a vida da bateria")</f>
        <v>as aberrações cromáticas, de curto alcance do zoom, a vida da bateria</v>
      </c>
      <c r="B28429" s="3">
        <v>0</v>
      </c>
    </row>
    <row r="28430" ht="15.75" customHeight="1" spans="1:2">
      <c r="A28430" s="3" t="str">
        <f>IFERROR(__xludf.DUMMYFUNCTION("GOOGLETRANSLATE(A28430,""en"",""pt"")"),"Flash fraco, com tempo de reciclagem longo")</f>
        <v>Flash fraco, com tempo de reciclagem longo</v>
      </c>
      <c r="B28430" s="3">
        <v>0</v>
      </c>
    </row>
    <row r="28431" ht="15.75" customHeight="1" spans="1:2">
      <c r="A28431" s="3" t="str">
        <f>IFERROR(__xludf.DUMMYFUNCTION("GOOGLETRANSLATE(A28431,""en"",""pt"")"),"Nenhum")</f>
        <v>Nenhum</v>
      </c>
      <c r="B28431" s="3">
        <v>0</v>
      </c>
    </row>
    <row r="28432" ht="15.75" customHeight="1" spans="1:2">
      <c r="A28432" s="3" t="str">
        <f>IFERROR(__xludf.DUMMYFUNCTION("GOOGLETRANSLATE(A28432,""en"",""pt"")"),"Poderia usar uma lente um pouco mais rápido (f 2.0), mas não absolutamente necessário.")</f>
        <v>Poderia usar uma lente um pouco mais rápido (f 2.0), mas não absolutamente necessário.</v>
      </c>
      <c r="B28432" s="3">
        <v>0</v>
      </c>
    </row>
    <row r="28433" ht="15.75" customHeight="1" spans="1:2">
      <c r="A28433" s="3" t="str">
        <f>IFERROR(__xludf.DUMMYFUNCTION("GOOGLETRANSLATE(A28433,""en"",""pt"")"),"Preço, limitada zoom óptico, a taxa de reciclagem do obturador.")</f>
        <v>Preço, limitada zoom óptico, a taxa de reciclagem do obturador.</v>
      </c>
      <c r="B28433" s="3">
        <v>0</v>
      </c>
    </row>
    <row r="28434" ht="15.75" customHeight="1" spans="1:2">
      <c r="A28434" s="3" t="str">
        <f>IFERROR(__xludf.DUMMYFUNCTION("GOOGLETRANSLATE(A28434,""en"",""pt"")"),"só poderia obter os double-barrel baterias L-íon para trabalhar bem, lag longo do obturador")</f>
        <v>só poderia obter os double-barrel baterias L-íon para trabalhar bem, lag longo do obturador</v>
      </c>
      <c r="B28434" s="3">
        <v>0</v>
      </c>
    </row>
    <row r="28435" ht="15.75" customHeight="1" spans="1:2">
      <c r="A28435" s="3" t="str">
        <f>IFERROR(__xludf.DUMMYFUNCTION("GOOGLETRANSLATE(A28435,""en"",""pt"")"),"Não grande autonomia da bateria, não pode colocar as lentes sobre ele")</f>
        <v>Não grande autonomia da bateria, não pode colocar as lentes sobre ele</v>
      </c>
      <c r="B28435" s="3">
        <v>0</v>
      </c>
    </row>
    <row r="28436" ht="15.75" customHeight="1" spans="1:2">
      <c r="A28436" s="3" t="str">
        <f>IFERROR(__xludf.DUMMYFUNCTION("GOOGLETRANSLATE(A28436,""en"",""pt"")"),"Não recarregáveis, única? 2,8x zoom")</f>
        <v>Não recarregáveis, única? 2,8x zoom</v>
      </c>
      <c r="B28436" s="3">
        <v>0</v>
      </c>
    </row>
    <row r="28437" ht="15.75" customHeight="1" spans="1:2">
      <c r="A28437" s="3" t="str">
        <f>IFERROR(__xludf.DUMMYFUNCTION("GOOGLETRANSLATE(A28437,""en"",""pt"")"),"baterias freaking não duram muito tempo. não vem com um caso, ou baterias recarregáveis ​​...")</f>
        <v>baterias freaking não duram muito tempo. não vem com um caso, ou baterias recarregáveis ​​...</v>
      </c>
      <c r="B28437" s="3">
        <v>0</v>
      </c>
    </row>
    <row r="28438" ht="15.75" customHeight="1" spans="1:2">
      <c r="A28438" s="3" t="str">
        <f>IFERROR(__xludf.DUMMYFUNCTION("GOOGLETRANSLATE(A28438,""en"",""pt"")"),"Longa curva de aprendizado para alguns; delicados mecanismos; deixaram de ser vendidos!")</f>
        <v>Longa curva de aprendizado para alguns; delicados mecanismos; deixaram de ser vendidos!</v>
      </c>
      <c r="B28438" s="3">
        <v>0</v>
      </c>
    </row>
    <row r="28439" ht="15.75" customHeight="1" spans="1:2">
      <c r="A28439" s="3" t="str">
        <f>IFERROR(__xludf.DUMMYFUNCTION("GOOGLETRANSLATE(A28439,""en"",""pt"")"),"Necessidade de descobrir (em seu próprio país) algumas das opções mais detalhadas disponíveis.")</f>
        <v>Necessidade de descobrir (em seu próprio país) algumas das opções mais detalhadas disponíveis.</v>
      </c>
      <c r="B28439" s="3">
        <v>0</v>
      </c>
    </row>
    <row r="28440" ht="15.75" customHeight="1" spans="1:2">
      <c r="A28440" s="3" t="str">
        <f>IFERROR(__xludf.DUMMYFUNCTION("GOOGLETRANSLATE(A28440,""en"",""pt"")"),"Menu-intensivo, mas eu acho que já descobri-los!")</f>
        <v>Menu-intensivo, mas eu acho que já descobri-los!</v>
      </c>
      <c r="B28440" s="3">
        <v>0</v>
      </c>
    </row>
    <row r="28441" ht="15.75" customHeight="1" spans="1:2">
      <c r="A28441" s="3" t="str">
        <f>IFERROR(__xludf.DUMMYFUNCTION("GOOGLETRANSLATE(A28441,""en"",""pt"")"),"Você tem que ligar o som separadamente, quando você seleciona filme.")</f>
        <v>Você tem que ligar o som separadamente, quando você seleciona filme.</v>
      </c>
      <c r="B28441" s="3">
        <v>0</v>
      </c>
    </row>
    <row r="28442" ht="15.75" customHeight="1" spans="1:2">
      <c r="A28442" s="3" t="str">
        <f>IFERROR(__xludf.DUMMYFUNCTION("GOOGLETRANSLATE(A28442,""en"",""pt"")"),"SmartMedia Card, apenas 2,8 zoom óptico, Short Vida útil da bateria, sem acessórios")</f>
        <v>SmartMedia Card, apenas 2,8 zoom óptico, Short Vida útil da bateria, sem acessórios</v>
      </c>
      <c r="B28442" s="3">
        <v>0</v>
      </c>
    </row>
    <row r="28443" ht="15.75" customHeight="1" spans="1:2">
      <c r="A28443" s="3" t="str">
        <f>IFERROR(__xludf.DUMMYFUNCTION("GOOGLETRANSLATE(A28443,""en"",""pt"")"),"visor desalinhado, software não ""conversar"" com a câmera")</f>
        <v>visor desalinhado, software não "conversar" com a câmera</v>
      </c>
      <c r="B28443" s="3">
        <v>0</v>
      </c>
    </row>
    <row r="28444" ht="15.75" customHeight="1" spans="1:2">
      <c r="A28444" s="3" t="str">
        <f>IFERROR(__xludf.DUMMYFUNCTION("GOOGLETRANSLATE(A28444,""en"",""pt"")"),"Os ícones na câmera são difíceis de ler.")</f>
        <v>Os ícones na câmera são difíceis de ler.</v>
      </c>
      <c r="B28444" s="3">
        <v>0</v>
      </c>
    </row>
    <row r="28445" ht="15.75" customHeight="1" spans="1:2">
      <c r="A28445" s="3" t="str">
        <f>IFERROR(__xludf.DUMMYFUNCTION("GOOGLETRANSLATE(A28445,""en"",""pt"")"),"veja o comentário")</f>
        <v>veja o comentário</v>
      </c>
      <c r="B28445" s="3">
        <v>0</v>
      </c>
    </row>
    <row r="28446" ht="15.75" customHeight="1" spans="1:2">
      <c r="A28446" s="3" t="str">
        <f>IFERROR(__xludf.DUMMYFUNCTION("GOOGLETRANSLATE(A28446,""en"",""pt"")"),"Come baterias como a fome está vindo amanhã, único cartão de 8MB incluídos, confundindo sistema de menu.")</f>
        <v>Come baterias como a fome está vindo amanhã, único cartão de 8MB incluídos, confundindo sistema de menu.</v>
      </c>
      <c r="B28446" s="3">
        <v>0</v>
      </c>
    </row>
    <row r="28447" ht="15.75" customHeight="1" spans="1:2">
      <c r="A28447" s="3" t="str">
        <f>IFERROR(__xludf.DUMMYFUNCTION("GOOGLETRANSLATE(A28447,""en"",""pt"")"),"Manual somente em CD, a tampa lente deslizante")</f>
        <v>Manual somente em CD, a tampa lente deslizante</v>
      </c>
      <c r="B28447" s="3">
        <v>0</v>
      </c>
    </row>
    <row r="28448" ht="15.75" customHeight="1" spans="1:2">
      <c r="A28448" s="3" t="str">
        <f>IFERROR(__xludf.DUMMYFUNCTION("GOOGLETRANSLATE(A28448,""en"",""pt"")"),"Nenhum")</f>
        <v>Nenhum</v>
      </c>
      <c r="B28448" s="3">
        <v>0</v>
      </c>
    </row>
    <row r="28449" ht="15.75" customHeight="1" spans="1:2">
      <c r="A28449" s="3" t="str">
        <f>IFERROR(__xludf.DUMMYFUNCTION("GOOGLETRANSLATE(A28449,""en"",""pt"")"),"Pobre manual Noite fotos provavelmente, apenas 8 Mb cartão de memória incluído")</f>
        <v>Pobre manual Noite fotos provavelmente, apenas 8 Mb cartão de memória incluído</v>
      </c>
      <c r="B28449" s="3">
        <v>0</v>
      </c>
    </row>
    <row r="28450" ht="15.75" customHeight="1" spans="1:2">
      <c r="A28450" s="3" t="str">
        <f>IFERROR(__xludf.DUMMYFUNCTION("GOOGLETRANSLATE(A28450,""en"",""pt"")"),"software incluído fraco; não muitos add-ons")</f>
        <v>software incluído fraco; não muitos add-ons</v>
      </c>
      <c r="B28450" s="3">
        <v>0</v>
      </c>
    </row>
    <row r="28451" ht="15.75" customHeight="1" spans="1:2">
      <c r="A28451" s="3" t="str">
        <f>IFERROR(__xludf.DUMMYFUNCTION("GOOGLETRANSLATE(A28451,""en"",""pt"")"),"Problemas de qualidade")</f>
        <v>Problemas de qualidade</v>
      </c>
      <c r="B28451" s="3">
        <v>0</v>
      </c>
    </row>
    <row r="28452" ht="15.75" customHeight="1" spans="1:2">
      <c r="A28452" s="3" t="str">
        <f>IFERROR(__xludf.DUMMYFUNCTION("GOOGLETRANSLATE(A28452,""en"",""pt"")"),"Manual horrível, software medíocre")</f>
        <v>Manual horrível, software medíocre</v>
      </c>
      <c r="B28452" s="3">
        <v>0</v>
      </c>
    </row>
    <row r="28453" ht="15.75" customHeight="1" spans="1:2">
      <c r="A28453" s="3" t="str">
        <f>IFERROR(__xludf.DUMMYFUNCTION("GOOGLETRANSLATE(A28453,""en"",""pt"")"),"Sem foco manual, a documentação terrível, em menus da câmera não user-amigáveis")</f>
        <v>Sem foco manual, a documentação terrível, em menus da câmera não user-amigáveis</v>
      </c>
      <c r="B28453" s="3">
        <v>0</v>
      </c>
    </row>
    <row r="28454" ht="15.75" customHeight="1" spans="1:2">
      <c r="A28454" s="3" t="str">
        <f>IFERROR(__xludf.DUMMYFUNCTION("GOOGLETRANSLATE(A28454,""en"",""pt"")"),"Pode &amp; amp; # 146; t apagar imagem mais do que 1 de cada vez, interface de usuário complicado")</f>
        <v>Pode &amp; amp; # 146; t apagar imagem mais do que 1 de cada vez, interface de usuário complicado</v>
      </c>
      <c r="B28454" s="3">
        <v>0</v>
      </c>
    </row>
    <row r="28455" ht="15.75" customHeight="1" spans="1:2">
      <c r="A28455" s="3" t="str">
        <f>IFERROR(__xludf.DUMMYFUNCTION("GOOGLETRANSLATE(A28455,""en"",""pt"")"),"contras essencialmente nenhuma significativos.")</f>
        <v>contras essencialmente nenhuma significativos.</v>
      </c>
      <c r="B28455" s="3">
        <v>0</v>
      </c>
    </row>
    <row r="28456" ht="15.75" customHeight="1" spans="1:2">
      <c r="A28456" s="3" t="str">
        <f>IFERROR(__xludf.DUMMYFUNCTION("GOOGLETRANSLATE(A28456,""en"",""pt"")"),"No LCD informações sobre o manual do topo, instrução em um CD, sem baterias recarregável / carregador incluído.")</f>
        <v>No LCD informações sobre o manual do topo, instrução em um CD, sem baterias recarregável / carregador incluído.</v>
      </c>
      <c r="B28456" s="3">
        <v>0</v>
      </c>
    </row>
    <row r="28457" ht="15.75" customHeight="1" spans="1:2">
      <c r="A28457" s="3" t="str">
        <f>IFERROR(__xludf.DUMMYFUNCTION("GOOGLETRANSLATE(A28457,""en"",""pt"")"),"funções ausentes, aparência cheapish, problemas de qualidade de graves")</f>
        <v>funções ausentes, aparência cheapish, problemas de qualidade de graves</v>
      </c>
      <c r="B28457" s="3">
        <v>0</v>
      </c>
    </row>
    <row r="28458" ht="15.75" customHeight="1" spans="1:2">
      <c r="A28458" s="3" t="str">
        <f>IFERROR(__xludf.DUMMYFUNCTION("GOOGLETRANSLATE(A28458,""en"",""pt"")"),"Deve comprar baterias recarregáveis ​​&amp; amp; # 13; &amp; amp; # 10; e maiores de cartão de mídia inteligente - embora ainda uma grande compra")</f>
        <v>Deve comprar baterias recarregáveis ​​&amp; amp; # 13; &amp; amp; # 10; e maiores de cartão de mídia inteligente - embora ainda uma grande compra</v>
      </c>
      <c r="B28458" s="3">
        <v>0</v>
      </c>
    </row>
    <row r="28459" ht="15.75" customHeight="1" spans="1:2">
      <c r="A28459" s="3" t="str">
        <f>IFERROR(__xludf.DUMMYFUNCTION("GOOGLETRANSLATE(A28459,""en"",""pt"")"),"Come-se baterias.")</f>
        <v>Come-se baterias.</v>
      </c>
      <c r="B28459" s="3">
        <v>0</v>
      </c>
    </row>
    <row r="28460" ht="15.75" customHeight="1" spans="1:2">
      <c r="A28460" s="3" t="str">
        <f>IFERROR(__xludf.DUMMYFUNCTION("GOOGLETRANSLATE(A28460,""en"",""pt"")"),"sem baterias recarregáveis, sem carimbo de data em pic, exposta tela de visualização (interno)")</f>
        <v>sem baterias recarregáveis, sem carimbo de data em pic, exposta tela de visualização (interno)</v>
      </c>
      <c r="B28460" s="3">
        <v>0</v>
      </c>
    </row>
    <row r="28461" ht="15.75" customHeight="1" spans="1:2">
      <c r="A28461" s="3" t="str">
        <f>IFERROR(__xludf.DUMMYFUNCTION("GOOGLETRANSLATE(A28461,""en"",""pt"")"),"obturador atraso")</f>
        <v>obturador atraso</v>
      </c>
      <c r="B28461" s="3">
        <v>0</v>
      </c>
    </row>
    <row r="28462" ht="15.75" customHeight="1" spans="1:2">
      <c r="A28462" s="3" t="str">
        <f>IFERROR(__xludf.DUMMYFUNCTION("GOOGLETRANSLATE(A28462,""en"",""pt"")"),"baterias não recarregáveis, cartão de memória pequena, não LCD topo")</f>
        <v>baterias não recarregáveis, cartão de memória pequena, não LCD topo</v>
      </c>
      <c r="B28462" s="3">
        <v>0</v>
      </c>
    </row>
    <row r="28463" ht="15.75" customHeight="1" spans="1:2">
      <c r="A28463" s="3" t="str">
        <f>IFERROR(__xludf.DUMMYFUNCTION("GOOGLETRANSLATE(A28463,""en"",""pt"")"),"Peso com baterias recarregáveis")</f>
        <v>Peso com baterias recarregáveis</v>
      </c>
      <c r="B28463" s="3">
        <v>0</v>
      </c>
    </row>
    <row r="28464" ht="15.75" customHeight="1" spans="1:2">
      <c r="A28464" s="3" t="str">
        <f>IFERROR(__xludf.DUMMYFUNCTION("GOOGLETRANSLATE(A28464,""en"",""pt"")"),"Atravessa baterias muito rápido, demora irritante em tirar fotos")</f>
        <v>Atravessa baterias muito rápido, demora irritante em tirar fotos</v>
      </c>
      <c r="B28464" s="3">
        <v>0</v>
      </c>
    </row>
    <row r="28465" ht="15.75" customHeight="1" spans="1:2">
      <c r="A28465" s="3" t="str">
        <f>IFERROR(__xludf.DUMMYFUNCTION("GOOGLETRANSLATE(A28465,""en"",""pt"")"),"Nenhum que eu posso ver.")</f>
        <v>Nenhum que eu posso ver.</v>
      </c>
      <c r="B28465" s="3">
        <v>0</v>
      </c>
    </row>
    <row r="28466" ht="15.75" customHeight="1" spans="1:2">
      <c r="A28466" s="3" t="str">
        <f>IFERROR(__xludf.DUMMYFUNCTION("GOOGLETRANSLATE(A28466,""en"",""pt"")"),"Falta de recursos e baixa resolução em comparação com alguns outros modelos lá fora.")</f>
        <v>Falta de recursos e baixa resolução em comparação com alguns outros modelos lá fora.</v>
      </c>
      <c r="B28466" s="3">
        <v>0</v>
      </c>
    </row>
    <row r="28467" ht="15.75" customHeight="1" spans="1:2">
      <c r="A28467" s="3" t="str">
        <f>IFERROR(__xludf.DUMMYFUNCTION("GOOGLETRANSLATE(A28467,""en"",""pt"")"),"difícil de ligar para o seu computador")</f>
        <v>difícil de ligar para o seu computador</v>
      </c>
      <c r="B28467" s="3">
        <v>0</v>
      </c>
    </row>
    <row r="28468" ht="15.75" customHeight="1" spans="1:2">
      <c r="A28468" s="3" t="str">
        <f>IFERROR(__xludf.DUMMYFUNCTION("GOOGLETRANSLATE(A28468,""en"",""pt"")"),"tampa de obturação / flash pesado.")</f>
        <v>tampa de obturação / flash pesado.</v>
      </c>
      <c r="B28468" s="3">
        <v>0</v>
      </c>
    </row>
    <row r="28469" ht="15.75" customHeight="1" spans="1:2">
      <c r="A28469" s="3" t="str">
        <f>IFERROR(__xludf.DUMMYFUNCTION("GOOGLETRANSLATE(A28469,""en"",""pt"")"),"Software é fraca, sistemas de menu precisa ser revisto, nenhum caso")</f>
        <v>Software é fraca, sistemas de menu precisa ser revisto, nenhum caso</v>
      </c>
      <c r="B28469" s="3">
        <v>0</v>
      </c>
    </row>
    <row r="28470" ht="15.75" customHeight="1" spans="1:2">
      <c r="A28470" s="3" t="str">
        <f>IFERROR(__xludf.DUMMYFUNCTION("GOOGLETRANSLATE(A28470,""en"",""pt"")"),"Eats através de baterias, pesado")</f>
        <v>Eats através de baterias, pesado</v>
      </c>
      <c r="B28470" s="3">
        <v>0</v>
      </c>
    </row>
    <row r="28471" ht="15.75" customHeight="1" spans="1:2">
      <c r="A28471" s="3" t="str">
        <f>IFERROR(__xludf.DUMMYFUNCTION("GOOGLETRANSLATE(A28471,""en"",""pt"")"),"Duro com baterias")</f>
        <v>Duro com baterias</v>
      </c>
      <c r="B28471" s="3">
        <v>0</v>
      </c>
    </row>
    <row r="28472" ht="15.75" customHeight="1" spans="1:2">
      <c r="A28472" s="3" t="str">
        <f>IFERROR(__xludf.DUMMYFUNCTION("GOOGLETRANSLATE(A28472,""en"",""pt"")"),"Apenas 8 mb Smart Media Card incluídos")</f>
        <v>Apenas 8 mb Smart Media Card incluídos</v>
      </c>
      <c r="B28472" s="3">
        <v>0</v>
      </c>
    </row>
    <row r="28473" ht="15.75" customHeight="1" spans="1:2">
      <c r="A28473" s="3" t="str">
        <f>IFERROR(__xludf.DUMMYFUNCTION("GOOGLETRANSLATE(A28473,""en"",""pt"")"),"memória padrão é baixo documentação, total somente em CD-ROM")</f>
        <v>memória padrão é baixo documentação, total somente em CD-ROM</v>
      </c>
      <c r="B28473" s="3">
        <v>0</v>
      </c>
    </row>
    <row r="28474" ht="15.75" customHeight="1" spans="1:2">
      <c r="A28474" s="3" t="str">
        <f>IFERROR(__xludf.DUMMYFUNCTION("GOOGLETRANSLATE(A28474,""en"",""pt"")"),"Nenhuma informação digital de leitura, alguns recursos enterrado no menu")</f>
        <v>Nenhuma informação digital de leitura, alguns recursos enterrado no menu</v>
      </c>
      <c r="B28474" s="3">
        <v>0</v>
      </c>
    </row>
    <row r="28475" ht="15.75" customHeight="1" spans="1:2">
      <c r="A28475" s="3" t="str">
        <f>IFERROR(__xludf.DUMMYFUNCTION("GOOGLETRANSLATE(A28475,""en"",""pt"")"),"manual de instruções não no alvo para o arranque")</f>
        <v>manual de instruções não no alvo para o arranque</v>
      </c>
      <c r="B28475" s="3">
        <v>0</v>
      </c>
    </row>
    <row r="28476" ht="15.75" customHeight="1" spans="1:2">
      <c r="A28476" s="3" t="str">
        <f>IFERROR(__xludf.DUMMYFUNCTION("GOOGLETRANSLATE(A28476,""en"",""pt"")"),"Normalmente difícil de operar por causa da tampa da lente.")</f>
        <v>Normalmente difícil de operar por causa da tampa da lente.</v>
      </c>
      <c r="B28476" s="3">
        <v>0</v>
      </c>
    </row>
    <row r="28477" ht="15.75" customHeight="1" spans="1:2">
      <c r="A28477" s="3" t="s">
        <v>152</v>
      </c>
      <c r="B28477" s="3">
        <v>0</v>
      </c>
    </row>
    <row r="28478" ht="15.75" customHeight="1" spans="1:2">
      <c r="A28478" s="3" t="str">
        <f>IFERROR(__xludf.DUMMYFUNCTION("GOOGLETRANSLATE(A28478,""en"",""pt"")"),"Nenhum")</f>
        <v>Nenhum</v>
      </c>
      <c r="B28478" s="3">
        <v>0</v>
      </c>
    </row>
    <row r="28479" ht="15.75" customHeight="1" spans="1:2">
      <c r="A28479" s="3" t="str">
        <f>IFERROR(__xludf.DUMMYFUNCTION("GOOGLETRANSLATE(A28479,""en"",""pt"")"),"Algumas fotos borradas em movimento ea exposição está muito escura quando sombreada sob o sol")</f>
        <v>Algumas fotos borradas em movimento ea exposição está muito escura quando sombreada sob o sol</v>
      </c>
      <c r="B28479" s="3">
        <v>0</v>
      </c>
    </row>
    <row r="28480" ht="15.75" customHeight="1" spans="1:2">
      <c r="A28480" s="3" t="str">
        <f>IFERROR(__xludf.DUMMYFUNCTION("GOOGLETRANSLATE(A28480,""en"",""pt"")"),"8 mb SmartMedia")</f>
        <v>8 mb SmartMedia</v>
      </c>
      <c r="B28480" s="3">
        <v>0</v>
      </c>
    </row>
    <row r="28481" ht="15.75" customHeight="1" spans="1:2">
      <c r="A28481" s="3" t="str">
        <f>IFERROR(__xludf.DUMMYFUNCTION("GOOGLETRANSLATE(A28481,""en"",""pt"")"),"configuração para difícil, curta duração da bateria, não confiável em hardware eletrônico")</f>
        <v>configuração para difícil, curta duração da bateria, não confiável em hardware eletrônico</v>
      </c>
      <c r="B28481" s="3">
        <v>0</v>
      </c>
    </row>
    <row r="28482" ht="15.75" customHeight="1" spans="1:2">
      <c r="A28482" s="3" t="str">
        <f>IFERROR(__xludf.DUMMYFUNCTION("GOOGLETRANSLATE(A28482,""en"",""pt"")"),"não funcionar, cartão de 8 MB SmartMedia.")</f>
        <v>não funcionar, cartão de 8 MB SmartMedia.</v>
      </c>
      <c r="B28482" s="3">
        <v>0</v>
      </c>
    </row>
    <row r="28483" ht="15.75" customHeight="1" spans="1:2">
      <c r="A28483" s="3" t="str">
        <f>IFERROR(__xludf.DUMMYFUNCTION("GOOGLETRANSLATE(A28483,""en"",""pt"")"),"Nenhum.")</f>
        <v>Nenhum.</v>
      </c>
      <c r="B28483" s="3">
        <v>0</v>
      </c>
    </row>
    <row r="28484" ht="15.75" customHeight="1" spans="1:2">
      <c r="A28484" s="3" t="str">
        <f>IFERROR(__xludf.DUMMYFUNCTION("GOOGLETRANSLATE(A28484,""en"",""pt"")"),"vida útil da bateria")</f>
        <v>vida útil da bateria</v>
      </c>
      <c r="B28484" s="3">
        <v>0</v>
      </c>
    </row>
    <row r="28485" ht="15.75" customHeight="1" spans="1:2">
      <c r="A28485" s="3" t="str">
        <f>IFERROR(__xludf.DUMMYFUNCTION("GOOGLETRANSLATE(A28485,""en"",""pt"")"),"pequeno atraso na captura de imagem, uma vez que você pressiona o botão de atirar. Drena as baterias rapidamente.")</f>
        <v>pequeno atraso na captura de imagem, uma vez que você pressiona o botão de atirar. Drena as baterias rapidamente.</v>
      </c>
      <c r="B28485" s="3">
        <v>0</v>
      </c>
    </row>
    <row r="28486" ht="15.75" customHeight="1" spans="1:2">
      <c r="A28486" s="3" t="str">
        <f>IFERROR(__xludf.DUMMYFUNCTION("GOOGLETRANSLATE(A28486,""en"",""pt"")"),"única 2.1Mp, nenhum som em clipes vid, GUI ligeiramente irritante")</f>
        <v>única 2.1Mp, nenhum som em clipes vid, GUI ligeiramente irritante</v>
      </c>
      <c r="B28486" s="3">
        <v>0</v>
      </c>
    </row>
    <row r="28487" ht="15.75" customHeight="1" spans="1:2">
      <c r="A28487" s="3" t="str">
        <f>IFERROR(__xludf.DUMMYFUNCTION("GOOGLETRANSLATE(A28487,""en"",""pt"")"),"tempo de captura lento! Flash lento tempo de recarga, software marginal e pequeno espectador.")</f>
        <v>tempo de captura lento! Flash lento tempo de recarga, software marginal e pequeno espectador.</v>
      </c>
      <c r="B28487" s="3">
        <v>0</v>
      </c>
    </row>
    <row r="28488" ht="15.75" customHeight="1" spans="1:2">
      <c r="A28488" s="3" t="str">
        <f>IFERROR(__xludf.DUMMYFUNCTION("GOOGLETRANSLATE(A28488,""en"",""pt"")"),"Nenhum")</f>
        <v>Nenhum</v>
      </c>
      <c r="B28488" s="3">
        <v>0</v>
      </c>
    </row>
    <row r="28489" ht="15.75" customHeight="1" spans="1:2">
      <c r="A28489" s="3" t="str">
        <f>IFERROR(__xludf.DUMMYFUNCTION("GOOGLETRANSLATE(A28489,""en"",""pt"")"),"flash até Flip, revisão imagem limitações")</f>
        <v>flash até Flip, revisão imagem limitações</v>
      </c>
      <c r="B28489" s="3">
        <v>0</v>
      </c>
    </row>
    <row r="28490" ht="15.75" customHeight="1" spans="1:2">
      <c r="A28490" s="3" t="str">
        <f>IFERROR(__xludf.DUMMYFUNCTION("GOOGLETRANSLATE(A28490,""en"",""pt"")"),"Maior do que a Canon S200")</f>
        <v>Maior do que a Canon S200</v>
      </c>
      <c r="B28490" s="3">
        <v>0</v>
      </c>
    </row>
    <row r="28491" ht="15.75" customHeight="1" spans="1:2">
      <c r="A28491" s="3" t="str">
        <f>IFERROR(__xludf.DUMMYFUNCTION("GOOGLETRANSLATE(A28491,""en"",""pt"")"),"não se dão bem com cenas de ação, recuperação lenta para tomar próxima tacada")</f>
        <v>não se dão bem com cenas de ação, recuperação lenta para tomar próxima tacada</v>
      </c>
      <c r="B28491" s="3">
        <v>0</v>
      </c>
    </row>
    <row r="28492" ht="15.75" customHeight="1" spans="1:2">
      <c r="A28492" s="3" t="str">
        <f>IFERROR(__xludf.DUMMYFUNCTION("GOOGLETRANSLATE(A28492,""en"",""pt"")"),"atraso entre o botão pressionado e foto tirada, às vezes flash não se envolver em auto-flash")</f>
        <v>atraso entre o botão pressionado e foto tirada, às vezes flash não se envolver em auto-flash</v>
      </c>
      <c r="B28492" s="3">
        <v>0</v>
      </c>
    </row>
    <row r="28493" ht="15.75" customHeight="1" spans="1:2">
      <c r="A28493" s="3" t="str">
        <f>IFERROR(__xludf.DUMMYFUNCTION("GOOGLETRANSLATE(A28493,""en"",""pt"")"),"retardar o disparo entre os disparos de flash; exigente smartmedia cartão")</f>
        <v>retardar o disparo entre os disparos de flash; exigente smartmedia cartão</v>
      </c>
      <c r="B28493" s="3">
        <v>0</v>
      </c>
    </row>
    <row r="28494" ht="15.75" customHeight="1" spans="1:2">
      <c r="A28494" s="3" t="str">
        <f>IFERROR(__xludf.DUMMYFUNCTION("GOOGLETRANSLATE(A28494,""en"",""pt"")"),"dreno de bateria rápida, longa espera entre fotos com flash, pobre de baixa luz captura")</f>
        <v>dreno de bateria rápida, longa espera entre fotos com flash, pobre de baixa luz captura</v>
      </c>
      <c r="B28494" s="3">
        <v>0</v>
      </c>
    </row>
    <row r="28495" ht="15.75" customHeight="1" spans="1:2">
      <c r="A28495" s="3" t="str">
        <f>IFERROR(__xludf.DUMMYFUNCTION("GOOGLETRANSLATE(A28495,""en"",""pt"")"),"vida útil da bateria, necessidade de data e hora definidas depois de colocar pilhas novas")</f>
        <v>vida útil da bateria, necessidade de data e hora definidas depois de colocar pilhas novas</v>
      </c>
      <c r="B28495" s="3">
        <v>0</v>
      </c>
    </row>
    <row r="28496" ht="15.75" customHeight="1" spans="1:2">
      <c r="A28496" s="3" t="str">
        <f>IFERROR(__xludf.DUMMYFUNCTION("GOOGLETRANSLATE(A28496,""en"",""pt"")"),"""Filme"" lenta velocidade, eo ângulo mais amplo não é grande o suficiente")</f>
        <v>"Filme" lenta velocidade, eo ângulo mais amplo não é grande o suficiente</v>
      </c>
      <c r="B28496" s="3">
        <v>0</v>
      </c>
    </row>
    <row r="28497" ht="15.75" customHeight="1" spans="1:2">
      <c r="A28497" s="3" t="str">
        <f>IFERROR(__xludf.DUMMYFUNCTION("GOOGLETRANSLATE(A28497,""en"",""pt"")"),"As configurações são difíceis de navegar, software de computador é fraco")</f>
        <v>As configurações são difíceis de navegar, software de computador é fraco</v>
      </c>
      <c r="B28497" s="3">
        <v>0</v>
      </c>
    </row>
    <row r="28498" ht="15.75" customHeight="1" spans="1:2">
      <c r="A28498" s="3" t="str">
        <f>IFERROR(__xludf.DUMMYFUNCTION("GOOGLETRANSLATE(A28498,""en"",""pt"")"),"Sem baterias recarregáveis ​​incluído, tamanho Frágil, grande torna estranho.")</f>
        <v>Sem baterias recarregáveis ​​incluído, tamanho Frágil, grande torna estranho.</v>
      </c>
      <c r="B28498" s="3">
        <v>0</v>
      </c>
    </row>
    <row r="28499" ht="15.75" customHeight="1" spans="1:2">
      <c r="A28499" s="3" t="str">
        <f>IFERROR(__xludf.DUMMYFUNCTION("GOOGLETRANSLATE(A28499,""en"",""pt"")"),"A vida da bateria. Você terá de investir em baterias recarregáveis.")</f>
        <v>A vida da bateria. Você terá de investir em baterias recarregáveis.</v>
      </c>
      <c r="B28499" s="3">
        <v>0</v>
      </c>
    </row>
    <row r="28500" ht="15.75" customHeight="1" spans="1:2">
      <c r="A28500" s="3" t="str">
        <f>IFERROR(__xludf.DUMMYFUNCTION("GOOGLETRANSLATE(A28500,""en"",""pt"")"),"inábil para perto, requer definir os ajustes de cada vez que você ligá-lo, come baterias")</f>
        <v>inábil para perto, requer definir os ajustes de cada vez que você ligá-lo, come baterias</v>
      </c>
      <c r="B28500" s="3">
        <v>0</v>
      </c>
    </row>
    <row r="28501" ht="15.75" customHeight="1" spans="1:2">
      <c r="A28501" s="3" t="str">
        <f>IFERROR(__xludf.DUMMYFUNCTION("GOOGLETRANSLATE(A28501,""en"",""pt"")"),"lenta do flash")</f>
        <v>lenta do flash</v>
      </c>
      <c r="B28501" s="3">
        <v>0</v>
      </c>
    </row>
    <row r="28502" ht="15.75" customHeight="1" spans="1:2">
      <c r="A28502" s="3" t="str">
        <f>IFERROR(__xludf.DUMMYFUNCTION("GOOGLETRANSLATE(A28502,""en"",""pt"")"),"Só vem com media 16MB, mas pode ser expandida para 128.")</f>
        <v>Só vem com media 16MB, mas pode ser expandida para 128.</v>
      </c>
      <c r="B28502" s="3">
        <v>0</v>
      </c>
    </row>
    <row r="28503" ht="15.75" customHeight="1" spans="1:2">
      <c r="A28503" s="3" t="str">
        <f>IFERROR(__xludf.DUMMYFUNCTION("GOOGLETRANSLATE(A28503,""en"",""pt"")"),"Filme não tem som.")</f>
        <v>Filme não tem som.</v>
      </c>
      <c r="B28503" s="3">
        <v>0</v>
      </c>
    </row>
    <row r="28504" ht="15.75" customHeight="1" spans="1:2">
      <c r="A28504" s="3" t="str">
        <f>IFERROR(__xludf.DUMMYFUNCTION("GOOGLETRANSLATE(A28504,""en"",""pt"")"),"Ele faz comer baterias, mas, em seguida, tudo o que fazem")</f>
        <v>Ele faz comer baterias, mas, em seguida, tudo o que fazem</v>
      </c>
      <c r="B28504" s="3">
        <v>0</v>
      </c>
    </row>
    <row r="28505" ht="15.75" customHeight="1" spans="1:2">
      <c r="A28505" s="3" t="str">
        <f>IFERROR(__xludf.DUMMYFUNCTION("GOOGLETRANSLATE(A28505,""en"",""pt"")"),"Bastante pesado e grande")</f>
        <v>Bastante pesado e grande</v>
      </c>
      <c r="B28505" s="3">
        <v>0</v>
      </c>
    </row>
    <row r="28506" ht="15.75" customHeight="1" spans="1:2">
      <c r="A28506" s="3" t="str">
        <f>IFERROR(__xludf.DUMMYFUNCTION("GOOGLETRANSLATE(A28506,""en"",""pt"")"),"Você precisa comprar pilhas recarregáveis.")</f>
        <v>Você precisa comprar pilhas recarregáveis.</v>
      </c>
      <c r="B28506" s="3">
        <v>0</v>
      </c>
    </row>
    <row r="28507" ht="15.75" customHeight="1" spans="1:2">
      <c r="A28507" s="3" t="str">
        <f>IFERROR(__xludf.DUMMYFUNCTION("GOOGLETRANSLATE(A28507,""en"",""pt"")"),"Manual deve ser mais detalhado, suspeito vida útil da bateria, nenhum adaptador AC.")</f>
        <v>Manual deve ser mais detalhado, suspeito vida útil da bateria, nenhum adaptador AC.</v>
      </c>
      <c r="B28507" s="3">
        <v>0</v>
      </c>
    </row>
    <row r="28508" ht="15.75" customHeight="1" spans="1:2">
      <c r="A28508" s="3" t="str">
        <f>IFERROR(__xludf.DUMMYFUNCTION("GOOGLETRANSLATE(A28508,""en"",""pt"")"),"Tampa deslizante da lente, tampa do cartão de memória barato.")</f>
        <v>Tampa deslizante da lente, tampa do cartão de memória barato.</v>
      </c>
      <c r="B28508" s="3">
        <v>0</v>
      </c>
    </row>
    <row r="28509" ht="15.75" customHeight="1" spans="1:2">
      <c r="A28509" s="3" t="str">
        <f>IFERROR(__xludf.DUMMYFUNCTION("GOOGLETRANSLATE(A28509,""en"",""pt"")"),"balanço de branco para salas com não iluminação quente muito bom, tanto questionável qualidade de construção.")</f>
        <v>balanço de branco para salas com não iluminação quente muito bom, tanto questionável qualidade de construção.</v>
      </c>
      <c r="B28509" s="3">
        <v>0</v>
      </c>
    </row>
    <row r="28510" ht="15.75" customHeight="1" spans="1:2">
      <c r="A28510" s="3" t="str">
        <f>IFERROR(__xludf.DUMMYFUNCTION("GOOGLETRANSLATE(A28510,""en"",""pt"")"),"Retardar em Res Superior. Modos, não há muito espaço para a criatividade.")</f>
        <v>Retardar em Res Superior. Modos, não há muito espaço para a criatividade.</v>
      </c>
      <c r="B28510" s="3">
        <v>0</v>
      </c>
    </row>
    <row r="28511" ht="15.75" customHeight="1" spans="1:2">
      <c r="A28511" s="3" t="str">
        <f>IFERROR(__xludf.DUMMYFUNCTION("GOOGLETRANSLATE(A28511,""en"",""pt"")"),"Toma um ou dois segundos para que a imagem realmente tomar.")</f>
        <v>Toma um ou dois segundos para que a imagem realmente tomar.</v>
      </c>
      <c r="B28511" s="3">
        <v>0</v>
      </c>
    </row>
    <row r="28512" ht="15.75" customHeight="1" spans="1:2">
      <c r="A28512" s="3" t="str">
        <f>IFERROR(__xludf.DUMMYFUNCTION("GOOGLETRANSLATE(A28512,""en"",""pt"")"),"Lenta entre fotos, não duráveis, as baterias se esgotam rapidamente, volumoso")</f>
        <v>Lenta entre fotos, não duráveis, as baterias se esgotam rapidamente, volumoso</v>
      </c>
      <c r="B28512" s="3">
        <v>0</v>
      </c>
    </row>
    <row r="28513" ht="15.75" customHeight="1" spans="1:2">
      <c r="A28513" s="3" t="str">
        <f>IFERROR(__xludf.DUMMYFUNCTION("GOOGLETRANSLATE(A28513,""en"",""pt"")"),"Goofs-se na iluminação ocasionalmente")</f>
        <v>Goofs-se na iluminação ocasionalmente</v>
      </c>
      <c r="B28513" s="3">
        <v>0</v>
      </c>
    </row>
    <row r="28514" ht="15.75" customHeight="1" spans="1:2">
      <c r="A28514" s="3" t="str">
        <f>IFERROR(__xludf.DUMMYFUNCTION("GOOGLETRANSLATE(A28514,""en"",""pt"")"),"Pouco lento com pouca luz, agitado lcd com pouca luz")</f>
        <v>Pouco lento com pouca luz, agitado lcd com pouca luz</v>
      </c>
      <c r="B28514" s="3">
        <v>0</v>
      </c>
    </row>
    <row r="28515" ht="15.75" customHeight="1" spans="1:2">
      <c r="A28515" s="3" t="str">
        <f>IFERROR(__xludf.DUMMYFUNCTION("GOOGLETRANSLATE(A28515,""en"",""pt"")"),"grande")</f>
        <v>grande</v>
      </c>
      <c r="B28515" s="3">
        <v>0</v>
      </c>
    </row>
    <row r="28516" ht="15.75" customHeight="1" spans="1:2">
      <c r="A28516" s="3" t="str">
        <f>IFERROR(__xludf.DUMMYFUNCTION("GOOGLETRANSLATE(A28516,""en"",""pt"")"),"Essa coisa come baterias.")</f>
        <v>Essa coisa come baterias.</v>
      </c>
      <c r="B28516" s="3">
        <v>0</v>
      </c>
    </row>
    <row r="28517" ht="15.75" customHeight="1" spans="1:2">
      <c r="A28517" s="3" t="str">
        <f>IFERROR(__xludf.DUMMYFUNCTION("GOOGLETRANSLATE(A28517,""en"",""pt"")"),"No AF feixe de iluminação, nenhuma opção de exposição manual, baterias recarregáveis ​​e carregador não incluído")</f>
        <v>No AF feixe de iluminação, nenhuma opção de exposição manual, baterias recarregáveis ​​e carregador não incluído</v>
      </c>
      <c r="B28517" s="3">
        <v>0</v>
      </c>
    </row>
    <row r="28518" ht="15.75" customHeight="1" spans="1:2">
      <c r="A28518" s="3" t="str">
        <f>IFERROR(__xludf.DUMMYFUNCTION("GOOGLETRANSLATE(A28518,""en"",""pt"")"),"A correia incluída só é bom para o pulso.")</f>
        <v>A correia incluída só é bom para o pulso.</v>
      </c>
      <c r="B28518" s="3">
        <v>0</v>
      </c>
    </row>
    <row r="28519" ht="15.75" customHeight="1" spans="1:2">
      <c r="A28519" s="3" t="str">
        <f>IFERROR(__xludf.DUMMYFUNCTION("GOOGLETRANSLATE(A28519,""en"",""pt"")"),"A vida da bateria, lente fixa")</f>
        <v>A vida da bateria, lente fixa</v>
      </c>
      <c r="B28519" s="3">
        <v>0</v>
      </c>
    </row>
    <row r="28520" ht="15.75" customHeight="1" spans="1:2">
      <c r="A28520" s="3" t="str">
        <f>IFERROR(__xludf.DUMMYFUNCTION("GOOGLETRANSLATE(A28520,""en"",""pt"")"),"não é fácil para criar profundidade de efeitos de campo com E10. zoom Limited. menus lento.")</f>
        <v>não é fácil para criar profundidade de efeitos de campo com E10. zoom Limited. menus lento.</v>
      </c>
      <c r="B28520" s="3">
        <v>0</v>
      </c>
    </row>
    <row r="28521" ht="15.75" customHeight="1" spans="1:2">
      <c r="A28521" s="3" t="str">
        <f>IFERROR(__xludf.DUMMYFUNCTION("GOOGLETRANSLATE(A28521,""en"",""pt"")"),"Não vem com rechargables.")</f>
        <v>Não vem com rechargables.</v>
      </c>
      <c r="B28521" s="3">
        <v>0</v>
      </c>
    </row>
    <row r="28522" ht="15.75" customHeight="1" spans="1:2">
      <c r="A28522" s="3" t="str">
        <f>IFERROR(__xludf.DUMMYFUNCTION("GOOGLETRANSLATE(A28522,""en"",""pt"")"),"Fraco AF com pouca luz, AF irá confirmar que OOF, tampão pequena lento write")</f>
        <v>Fraco AF com pouca luz, AF irá confirmar que OOF, tampão pequena lento write</v>
      </c>
      <c r="B28522" s="3">
        <v>0</v>
      </c>
    </row>
    <row r="28523" ht="15.75" customHeight="1" spans="1:2">
      <c r="A28523" s="3" t="str">
        <f>IFERROR(__xludf.DUMMYFUNCTION("GOOGLETRANSLATE(A28523,""en"",""pt"")"),"Recursos não são muito fáceis de dominar.")</f>
        <v>Recursos não são muito fáceis de dominar.</v>
      </c>
      <c r="B28523" s="3">
        <v>0</v>
      </c>
    </row>
    <row r="28524" ht="15.75" customHeight="1" spans="1:2">
      <c r="A28524" s="3" t="str">
        <f>IFERROR(__xludf.DUMMYFUNCTION("GOOGLETRANSLATE(A28524,""en"",""pt"")"),"Auto Focus pode em algum momento ser desligado, se não um bem iluminado assunto.")</f>
        <v>Auto Focus pode em algum momento ser desligado, se não um bem iluminado assunto.</v>
      </c>
      <c r="B28524" s="3">
        <v>0</v>
      </c>
    </row>
    <row r="28525" ht="15.75" customHeight="1" spans="1:2">
      <c r="A28525" s="3" t="str">
        <f>IFERROR(__xludf.DUMMYFUNCTION("GOOGLETRANSLATE(A28525,""en"",""pt"")"),"acessórios opcionais estão limitados, fraca e muito expensive..some características são difíceis de usar")</f>
        <v>acessórios opcionais estão limitados, fraca e muito expensive..some características são difíceis de usar</v>
      </c>
      <c r="B28525" s="3">
        <v>0</v>
      </c>
    </row>
    <row r="28526" ht="15.75" customHeight="1" spans="1:2">
      <c r="A28526" s="3" t="str">
        <f>IFERROR(__xludf.DUMMYFUNCTION("GOOGLETRANSLATE(A28526,""en"",""pt"")"),"Alto preço, a qualidade não corresponder filme de 35mm ainda.")</f>
        <v>Alto preço, a qualidade não corresponder filme de 35mm ainda.</v>
      </c>
      <c r="B28526" s="3">
        <v>0</v>
      </c>
    </row>
    <row r="28527" ht="15.75" customHeight="1" spans="1:2">
      <c r="A28527" s="3" t="str">
        <f>IFERROR(__xludf.DUMMYFUNCTION("GOOGLETRANSLATE(A28527,""en"",""pt"")"),"modo de programa não é cambiável.")</f>
        <v>modo de programa não é cambiável.</v>
      </c>
      <c r="B28527" s="3">
        <v>0</v>
      </c>
    </row>
    <row r="28528" ht="15.75" customHeight="1" spans="1:2">
      <c r="A28528" s="3" t="str">
        <f>IFERROR(__xludf.DUMMYFUNCTION("GOOGLETRANSLATE(A28528,""en"",""pt"")"),"curta aderência necessita de bateria opcional e aderência estendida para mãos grandes. Expostos LCD.")</f>
        <v>curta aderência necessita de bateria opcional e aderência estendida para mãos grandes. Expostos LCD.</v>
      </c>
      <c r="B28528" s="3">
        <v>0</v>
      </c>
    </row>
    <row r="28529" ht="15.75" customHeight="1" spans="1:2">
      <c r="A28529" s="3" t="str">
        <f>IFERROR(__xludf.DUMMYFUNCTION("GOOGLETRANSLATE(A28529,""en"",""pt"")"),"Nenhum Notável")</f>
        <v>Nenhum Notável</v>
      </c>
      <c r="B28529" s="3">
        <v>0</v>
      </c>
    </row>
    <row r="28530" ht="15.75" customHeight="1" spans="1:2">
      <c r="A28530" s="3" t="str">
        <f>IFERROR(__xludf.DUMMYFUNCTION("GOOGLETRANSLATE(A28530,""en"",""pt"")"),"lente de zoom fixo de qualidade questionável e nitidez")</f>
        <v>lente de zoom fixo de qualidade questionável e nitidez</v>
      </c>
      <c r="B28530" s="3">
        <v>0</v>
      </c>
    </row>
    <row r="28531" ht="15.75" customHeight="1" spans="1:2">
      <c r="A28531" s="3" t="str">
        <f>IFERROR(__xludf.DUMMYFUNCTION("GOOGLETRANSLATE(A28531,""en"",""pt"")"),"IBM Microdrive não é recomendado; um tanto fraca visor, um sensor de AF, punho vertical pode ser melhor; mais ruído sombra do que algumas outras câmeras digitais de alto nível")</f>
        <v>IBM Microdrive não é recomendado; um tanto fraca visor, um sensor de AF, punho vertical pode ser melhor; mais ruído sombra do que algumas outras câmeras digitais de alto nível</v>
      </c>
      <c r="B28531" s="3">
        <v>0</v>
      </c>
    </row>
    <row r="28532" ht="15.75" customHeight="1" spans="1:2">
      <c r="A28532" s="3" t="str">
        <f>IFERROR(__xludf.DUMMYFUNCTION("GOOGLETRANSLATE(A28532,""en"",""pt"")"),"O preço: 1.999, também a quantidade de fotos que pode realizar (ver detalhes abaixo)")</f>
        <v>O preço: 1.999, também a quantidade de fotos que pode realizar (ver detalhes abaixo)</v>
      </c>
      <c r="B28532" s="3">
        <v>0</v>
      </c>
    </row>
    <row r="28533" ht="15.75" customHeight="1" spans="1:2">
      <c r="A28533" s="3" t="str">
        <f>IFERROR(__xludf.DUMMYFUNCTION("GOOGLETRANSLATE(A28533,""en"",""pt"")"),"Programas")</f>
        <v>Programas</v>
      </c>
      <c r="B28533" s="3">
        <v>0</v>
      </c>
    </row>
    <row r="28534" ht="15.75" customHeight="1" spans="1:2">
      <c r="A28534" s="3" t="str">
        <f>IFERROR(__xludf.DUMMYFUNCTION("GOOGLETRANSLATE(A28534,""en"",""pt"")"),"Caro para o fotógrafo fim de semana, mau baixa foco de luz, questões ISO.")</f>
        <v>Caro para o fotógrafo fim de semana, mau baixa foco de luz, questões ISO.</v>
      </c>
      <c r="B28534" s="3">
        <v>0</v>
      </c>
    </row>
    <row r="28535" ht="15.75" customHeight="1" spans="1:2">
      <c r="A28535" s="3" t="str">
        <f>IFERROR(__xludf.DUMMYFUNCTION("GOOGLETRANSLATE(A28535,""en"",""pt"")"),"autofoco em situações escuras é uma porcaria - não é possível recarregar baterias em câmera")</f>
        <v>autofoco em situações escuras é uma porcaria - não é possível recarregar baterias em câmera</v>
      </c>
      <c r="B28535" s="3">
        <v>0</v>
      </c>
    </row>
    <row r="28536" ht="15.75" customHeight="1" spans="1:2">
      <c r="A28536" s="3" t="str">
        <f>IFERROR(__xludf.DUMMYFUNCTION("GOOGLETRANSLATE(A28536,""en"",""pt"")"),"&amp; amp; # 13; &amp; amp; # 10; IBM Microdrive não é suportado, algumas listras na tela LCD")</f>
        <v>&amp; amp; # 13; &amp; amp; # 10; IBM Microdrive não é suportado, algumas listras na tela LCD</v>
      </c>
      <c r="B28536" s="3">
        <v>0</v>
      </c>
    </row>
    <row r="28537" ht="15.75" customHeight="1" spans="1:2">
      <c r="A28537" s="3" t="str">
        <f>IFERROR(__xludf.DUMMYFUNCTION("GOOGLETRANSLATE(A28537,""en"",""pt"")"),"modo de visualização lenta e start-up, preço substancial")</f>
        <v>modo de visualização lenta e start-up, preço substancial</v>
      </c>
      <c r="B28537" s="3">
        <v>0</v>
      </c>
    </row>
    <row r="28538" ht="15.75" customHeight="1" spans="1:2">
      <c r="A28538" s="3" t="str">
        <f>IFERROR(__xludf.DUMMYFUNCTION("GOOGLETRANSLATE(A28538,""en"",""pt"")"),"problema de pixel quente. Vagando auto-foco.")</f>
        <v>problema de pixel quente. Vagando auto-foco.</v>
      </c>
      <c r="B28538" s="3">
        <v>0</v>
      </c>
    </row>
    <row r="28539" ht="15.75" customHeight="1" spans="1:2">
      <c r="A28539" s="3" t="str">
        <f>IFERROR(__xludf.DUMMYFUNCTION("GOOGLETRANSLATE(A28539,""en"",""pt"")"),"Apenas con posso pensar é que é não vem com um estojo de transporte.")</f>
        <v>Apenas con posso pensar é que é não vem com um estojo de transporte.</v>
      </c>
      <c r="B28539" s="3">
        <v>0</v>
      </c>
    </row>
    <row r="28540" ht="15.75" customHeight="1" spans="1:2">
      <c r="A28540" s="3" t="str">
        <f>IFERROR(__xludf.DUMMYFUNCTION("GOOGLETRANSLATE(A28540,""en"",""pt"")"),"Aqueles maldita luzes brilhantes ao lado do visor. Cegando!")</f>
        <v>Aqueles maldita luzes brilhantes ao lado do visor. Cegando!</v>
      </c>
      <c r="B28540" s="3">
        <v>0</v>
      </c>
    </row>
    <row r="28541" ht="15.75" customHeight="1" spans="1:2">
      <c r="A28541" s="3" t="str">
        <f>IFERROR(__xludf.DUMMYFUNCTION("GOOGLETRANSLATE(A28541,""en"",""pt"")"),"tela do menu é difícil de ler, definição de macro é praticamente inútil")</f>
        <v>tela do menu é difícil de ler, definição de macro é praticamente inútil</v>
      </c>
      <c r="B28541" s="3">
        <v>0</v>
      </c>
    </row>
    <row r="28542" ht="15.75" customHeight="1" spans="1:2">
      <c r="A28542" s="3" t="str">
        <f>IFERROR(__xludf.DUMMYFUNCTION("GOOGLETRANSLATE(A28542,""en"",""pt"")"),"Porta deslizante abre muitas vezes no bolso")</f>
        <v>Porta deslizante abre muitas vezes no bolso</v>
      </c>
      <c r="B28542" s="3">
        <v>0</v>
      </c>
    </row>
    <row r="28543" ht="15.75" customHeight="1" spans="1:2">
      <c r="A28543" s="3" t="str">
        <f>IFERROR(__xludf.DUMMYFUNCTION("GOOGLETRANSLATE(A28543,""en"",""pt"")"),"Leva muito tempo para entrar em modo de pré-visualização. Quebrou em mim depois de 3 semanas.")</f>
        <v>Leva muito tempo para entrar em modo de pré-visualização. Quebrou em mim depois de 3 semanas.</v>
      </c>
      <c r="B28543" s="3">
        <v>0</v>
      </c>
    </row>
    <row r="28544" ht="15.75" customHeight="1" spans="1:2">
      <c r="A28544" s="3" t="str">
        <f>IFERROR(__xludf.DUMMYFUNCTION("GOOGLETRANSLATE(A28544,""en"",""pt"")"),"NENHUM")</f>
        <v>NENHUM</v>
      </c>
      <c r="B28544" s="3">
        <v>0</v>
      </c>
    </row>
    <row r="28545" ht="15.75" customHeight="1" spans="1:2">
      <c r="A28545" s="3" t="str">
        <f>IFERROR(__xludf.DUMMYFUNCTION("GOOGLETRANSLATE(A28545,""en"",""pt"")"),"Ele não tem a capacidade de tirar quantas fotos quiser.")</f>
        <v>Ele não tem a capacidade de tirar quantas fotos quiser.</v>
      </c>
      <c r="B28545" s="3">
        <v>0</v>
      </c>
    </row>
    <row r="28546" ht="15.75" customHeight="1" spans="1:2">
      <c r="A28546" s="3" t="str">
        <f>IFERROR(__xludf.DUMMYFUNCTION("GOOGLETRANSLATE(A28546,""en"",""pt"")"),"USB 1.1 em vez de USB 2, velocidade do obturador padrão é lento sem o flash.")</f>
        <v>USB 1.1 em vez de USB 2, velocidade do obturador padrão é lento sem o flash.</v>
      </c>
      <c r="B28546" s="3">
        <v>0</v>
      </c>
    </row>
    <row r="28547" ht="15.75" customHeight="1" spans="1:2">
      <c r="A28547" s="3" t="str">
        <f>IFERROR(__xludf.DUMMYFUNCTION("GOOGLETRANSLATE(A28547,""en"",""pt"")"),"Sem controles manuais, sem AF iluminação do feixe, os usuários totalmente manual está no CD,")</f>
        <v>Sem controles manuais, sem AF iluminação do feixe, os usuários totalmente manual está no CD,</v>
      </c>
      <c r="B28547" s="3">
        <v>0</v>
      </c>
    </row>
    <row r="28548" ht="15.75" customHeight="1" spans="1:2">
      <c r="A28548" s="3" t="str">
        <f>IFERROR(__xludf.DUMMYFUNCTION("GOOGLETRANSLATE(A28548,""en"",""pt"")"),"qualidade de imagem, flash terrível, terrível interface de usuário !!")</f>
        <v>qualidade de imagem, flash terrível, terrível interface de usuário !!</v>
      </c>
      <c r="B28548" s="3">
        <v>0</v>
      </c>
    </row>
    <row r="28549" ht="15.75" customHeight="1" spans="1:2">
      <c r="A28549" s="3" t="str">
        <f>IFERROR(__xludf.DUMMYFUNCTION("GOOGLETRANSLATE(A28549,""en"",""pt"")"),"não pode tomar filmes longos")</f>
        <v>não pode tomar filmes longos</v>
      </c>
      <c r="B28549" s="3">
        <v>0</v>
      </c>
    </row>
    <row r="28550" ht="15.75" customHeight="1" spans="1:2">
      <c r="A28550" s="3" t="str">
        <f>IFERROR(__xludf.DUMMYFUNCTION("GOOGLETRANSLATE(A28550,""en"",""pt"")"),"Não menu completamente intuitiva, balanço de branco nenhum manual")</f>
        <v>Não menu completamente intuitiva, balanço de branco nenhum manual</v>
      </c>
      <c r="B28550" s="3">
        <v>0</v>
      </c>
    </row>
    <row r="28551" ht="15.75" customHeight="1" spans="1:2">
      <c r="A28551" s="3" t="str">
        <f>IFERROR(__xludf.DUMMYFUNCTION("GOOGLETRANSLATE(A28551,""en"",""pt"")"),"a tampa para os plug-ins foi difícil aberto")</f>
        <v>a tampa para os plug-ins foi difícil aberto</v>
      </c>
      <c r="B28551" s="3">
        <v>0</v>
      </c>
    </row>
    <row r="28552" ht="15.75" customHeight="1" spans="1:2">
      <c r="A28552" s="3" t="str">
        <f>IFERROR(__xludf.DUMMYFUNCTION("GOOGLETRANSLATE(A28552,""en"",""pt"")"),"assistência de modo Panorama é uma piada")</f>
        <v>assistência de modo Panorama é uma piada</v>
      </c>
      <c r="B28552" s="3">
        <v>0</v>
      </c>
    </row>
    <row r="28553" ht="15.75" customHeight="1" spans="1:2">
      <c r="A28553" s="3" t="str">
        <f>IFERROR(__xludf.DUMMYFUNCTION("GOOGLETRANSLATE(A28553,""en"",""pt"")"),"Shutter lag")</f>
        <v>Shutter lag</v>
      </c>
      <c r="B28553" s="3">
        <v>0</v>
      </c>
    </row>
    <row r="28554" ht="15.75" customHeight="1" spans="1:2">
      <c r="A28554" s="3" t="str">
        <f>IFERROR(__xludf.DUMMYFUNCTION("GOOGLETRANSLATE(A28554,""en"",""pt"")"),"não pode fazer fogo rápido imagens, o atraso do obturador, preço global, sucesso limitado de acessórios")</f>
        <v>não pode fazer fogo rápido imagens, o atraso do obturador, preço global, sucesso limitado de acessórios</v>
      </c>
      <c r="B28554" s="3">
        <v>0</v>
      </c>
    </row>
    <row r="28555" ht="15.75" customHeight="1" spans="1:2">
      <c r="A28555" s="3" t="str">
        <f>IFERROR(__xludf.DUMMYFUNCTION("GOOGLETRANSLATE(A28555,""en"",""pt"")"),"Ele quebrou após 1 mês. Borradas fotos são comuns.")</f>
        <v>Ele quebrou após 1 mês. Borradas fotos são comuns.</v>
      </c>
      <c r="B28555" s="3">
        <v>0</v>
      </c>
    </row>
    <row r="28556" ht="15.75" customHeight="1" spans="1:2">
      <c r="A28556" s="3" t="str">
        <f>IFERROR(__xludf.DUMMYFUNCTION("GOOGLETRANSLATE(A28556,""en"",""pt"")"),"O atraso do obturador é um pouco lento e nenhum som para vídeos!")</f>
        <v>O atraso do obturador é um pouco lento e nenhum som para vídeos!</v>
      </c>
      <c r="B28556" s="3">
        <v>0</v>
      </c>
    </row>
    <row r="28557" ht="15.75" customHeight="1" spans="1:2">
      <c r="A28557" s="3" t="str">
        <f>IFERROR(__xludf.DUMMYFUNCTION("GOOGLETRANSLATE(A28557,""en"",""pt"")"),"Flash pode tendem a abafar assuntos de imagem (muito forte!)")</f>
        <v>Flash pode tendem a abafar assuntos de imagem (muito forte!)</v>
      </c>
      <c r="B28557" s="3">
        <v>0</v>
      </c>
    </row>
    <row r="28558" ht="15.75" customHeight="1" spans="1:2">
      <c r="A28558" s="3" t="str">
        <f>IFERROR(__xludf.DUMMYFUNCTION("GOOGLETRANSLATE(A28558,""en"",""pt"")"),"Nenhum")</f>
        <v>Nenhum</v>
      </c>
      <c r="B28558" s="3">
        <v>0</v>
      </c>
    </row>
    <row r="28559" ht="15.75" customHeight="1" spans="1:2">
      <c r="A28559" s="3" t="str">
        <f>IFERROR(__xludf.DUMMYFUNCTION("GOOGLETRANSLATE(A28559,""en"",""pt"")"),"Meu polegar continua empurrando a bateria trava abrir e botões são frágeis")</f>
        <v>Meu polegar continua empurrando a bateria trava abrir e botões são frágeis</v>
      </c>
      <c r="B28559" s="3">
        <v>0</v>
      </c>
    </row>
    <row r="28560" ht="15.75" customHeight="1" spans="1:2">
      <c r="A28560" s="3" t="str">
        <f>IFERROR(__xludf.DUMMYFUNCTION("GOOGLETRANSLATE(A28560,""en"",""pt"")"),"O ruído de imagem")</f>
        <v>O ruído de imagem</v>
      </c>
      <c r="B28560" s="3">
        <v>0</v>
      </c>
    </row>
    <row r="28561" ht="15.75" customHeight="1" spans="1:2">
      <c r="A28561" s="3" t="str">
        <f>IFERROR(__xludf.DUMMYFUNCTION("GOOGLETRANSLATE(A28561,""en"",""pt"")"),"Quando não estiver usando flash, a velocidade do obturador é muito lenta.")</f>
        <v>Quando não estiver usando flash, a velocidade do obturador é muito lenta.</v>
      </c>
      <c r="B28561" s="3">
        <v>0</v>
      </c>
    </row>
    <row r="28562" ht="15.75" customHeight="1" spans="1:2">
      <c r="A28562" s="3" t="str">
        <f>IFERROR(__xludf.DUMMYFUNCTION("GOOGLETRANSLATE(A28562,""en"",""pt"")"),"Quando não estiver usando flash, a velocidade do obturador é muito lenta.")</f>
        <v>Quando não estiver usando flash, a velocidade do obturador é muito lenta.</v>
      </c>
      <c r="B28562" s="3">
        <v>0</v>
      </c>
    </row>
    <row r="28563" ht="15.75" customHeight="1" spans="1:2">
      <c r="A28563" s="3" t="str">
        <f>IFERROR(__xludf.DUMMYFUNCTION("GOOGLETRANSLATE(A28563,""en"",""pt"")"),"Carece de uma lente zoom.")</f>
        <v>Carece de uma lente zoom.</v>
      </c>
      <c r="B28563" s="3">
        <v>0</v>
      </c>
    </row>
    <row r="28564" ht="15.75" customHeight="1" spans="1:2">
      <c r="A28564" s="3" t="str">
        <f>IFERROR(__xludf.DUMMYFUNCTION("GOOGLETRANSLATE(A28564,""en"",""pt"")"),"Ele morreu sem razão, há muitas pessoas isso aconteceu com ... leia porquê.")</f>
        <v>Ele morreu sem razão, há muitas pessoas isso aconteceu com ... leia porquê.</v>
      </c>
      <c r="B28564" s="3">
        <v>0</v>
      </c>
    </row>
    <row r="28565" ht="15.75" customHeight="1" spans="1:2">
      <c r="A28565" s="3" t="str">
        <f>IFERROR(__xludf.DUMMYFUNCTION("GOOGLETRANSLATE(A28565,""en"",""pt"")"),"piscar não tão quente, sem zoom")</f>
        <v>piscar não tão quente, sem zoom</v>
      </c>
      <c r="B28565" s="3">
        <v>0</v>
      </c>
    </row>
    <row r="28566" ht="15.75" customHeight="1" spans="1:2">
      <c r="A28566" s="3" t="str">
        <f>IFERROR(__xludf.DUMMYFUNCTION("GOOGLETRANSLATE(A28566,""en"",""pt"")"),"a vida da bateria quando utilizar LCD")</f>
        <v>a vida da bateria quando utilizar LCD</v>
      </c>
      <c r="B28566" s="3">
        <v>0</v>
      </c>
    </row>
    <row r="28567" ht="15.75" customHeight="1" spans="1:2">
      <c r="A28567" s="3" t="str">
        <f>IFERROR(__xludf.DUMMYFUNCTION("GOOGLETRANSLATE(A28567,""en"",""pt"")"),"sem zoom")</f>
        <v>sem zoom</v>
      </c>
      <c r="B28567" s="3">
        <v>0</v>
      </c>
    </row>
    <row r="28568" ht="15.75" customHeight="1" spans="1:2">
      <c r="A28568" s="3" t="str">
        <f>IFERROR(__xludf.DUMMYFUNCTION("GOOGLETRANSLATE(A28568,""en"",""pt"")"),"sem zoom")</f>
        <v>sem zoom</v>
      </c>
      <c r="B28568" s="3">
        <v>0</v>
      </c>
    </row>
    <row r="28569" ht="15.75" customHeight="1" spans="1:2">
      <c r="A28569" s="3" t="str">
        <f>IFERROR(__xludf.DUMMYFUNCTION("GOOGLETRANSLATE(A28569,""en"",""pt"")"),"Adaptador de disquete não está incluída em todos os pacotes")</f>
        <v>Adaptador de disquete não está incluída em todos os pacotes</v>
      </c>
      <c r="B28569" s="3">
        <v>0</v>
      </c>
    </row>
    <row r="28570" ht="15.75" customHeight="1" spans="1:2">
      <c r="A28570" s="3" t="str">
        <f>IFERROR(__xludf.DUMMYFUNCTION("GOOGLETRANSLATE(A28570,""en"",""pt"")"),"Seria melhor se ele veio w fonte de alimentação / AC e Zoom upgradeability.")</f>
        <v>Seria melhor se ele veio w fonte de alimentação / AC e Zoom upgradeability.</v>
      </c>
      <c r="B28570" s="3">
        <v>0</v>
      </c>
    </row>
    <row r="28571" ht="15.75" customHeight="1" spans="1:2">
      <c r="A28571" s="3" t="str">
        <f>IFERROR(__xludf.DUMMYFUNCTION("GOOGLETRANSLATE(A28571,""en"",""pt"")"),"Vida útil da bateria, Tende a desfocar objectos em movimento")</f>
        <v>Vida útil da bateria, Tende a desfocar objectos em movimento</v>
      </c>
      <c r="B28571" s="3">
        <v>0</v>
      </c>
    </row>
    <row r="28572" ht="15.75" customHeight="1" spans="1:2">
      <c r="A28572" s="3" t="str">
        <f>IFERROR(__xludf.DUMMYFUNCTION("GOOGLETRANSLATE(A28572,""en"",""pt"")"),"na câmera controles são um pouco difícil de trabalho")</f>
        <v>na câmera controles são um pouco difícil de trabalho</v>
      </c>
      <c r="B28572" s="3">
        <v>0</v>
      </c>
    </row>
    <row r="28573" ht="15.75" customHeight="1" spans="1:2">
      <c r="A28573" s="3" t="str">
        <f>IFERROR(__xludf.DUMMYFUNCTION("GOOGLETRANSLATE(A28573,""en"",""pt"")"),"lentas de download imagens para um computador, sem zoom óptico")</f>
        <v>lentas de download imagens para um computador, sem zoom óptico</v>
      </c>
      <c r="B28573" s="3">
        <v>0</v>
      </c>
    </row>
    <row r="28574" ht="15.75" customHeight="1" spans="1:2">
      <c r="A28574" s="3" t="str">
        <f>IFERROR(__xludf.DUMMYFUNCTION("GOOGLETRANSLATE(A28574,""en"",""pt"")"),"Hog bateria")</f>
        <v>Hog bateria</v>
      </c>
      <c r="B28574" s="3">
        <v>0</v>
      </c>
    </row>
    <row r="28575" ht="15.75" customHeight="1" spans="1:2">
      <c r="A28575" s="3" t="str">
        <f>IFERROR(__xludf.DUMMYFUNCTION("GOOGLETRANSLATE(A28575,""en"",""pt"")"),"Nenhum")</f>
        <v>Nenhum</v>
      </c>
      <c r="B28575" s="3">
        <v>0</v>
      </c>
    </row>
    <row r="28576" ht="15.75" customHeight="1" spans="1:2">
      <c r="A28576" s="3" t="str">
        <f>IFERROR(__xludf.DUMMYFUNCTION("GOOGLETRANSLATE(A28576,""en"",""pt"")"),"Use a tela LCD drena baterias rápido")</f>
        <v>Use a tela LCD drena baterias rápido</v>
      </c>
      <c r="B28576" s="3">
        <v>0</v>
      </c>
    </row>
    <row r="28577" ht="15.75" customHeight="1" spans="1:2">
      <c r="A28577" s="3" t="str">
        <f>IFERROR(__xludf.DUMMYFUNCTION("GOOGLETRANSLATE(A28577,""en"",""pt"")"),"sem zoom óptico, por vezes, obter círculos")</f>
        <v>sem zoom óptico, por vezes, obter círculos</v>
      </c>
      <c r="B28577" s="3">
        <v>0</v>
      </c>
    </row>
    <row r="28578" ht="15.75" customHeight="1" spans="1:2">
      <c r="A28578" s="3" t="str">
        <f>IFERROR(__xludf.DUMMYFUNCTION("GOOGLETRANSLATE(A28578,""en"",""pt"")"),"Nenhum menu System confuso para uso")</f>
        <v>Nenhum menu System confuso para uso</v>
      </c>
      <c r="B28578" s="3">
        <v>0</v>
      </c>
    </row>
    <row r="28579" ht="15.75" customHeight="1" spans="1:2">
      <c r="A28579" s="3" t="str">
        <f>IFERROR(__xludf.DUMMYFUNCTION("GOOGLETRANSLATE(A28579,""en"",""pt"")"),"Livro de Instruções poderia ser mais fácil de usar")</f>
        <v>Livro de Instruções poderia ser mais fácil de usar</v>
      </c>
      <c r="B28579" s="3">
        <v>0</v>
      </c>
    </row>
    <row r="28580" ht="15.75" customHeight="1" spans="1:2">
      <c r="A28580" s="3" t="str">
        <f>IFERROR(__xludf.DUMMYFUNCTION("GOOGLETRANSLATE(A28580,""en"",""pt"")"),"O uso pesado de Exibir tela vai comer baterias.")</f>
        <v>O uso pesado de Exibir tela vai comer baterias.</v>
      </c>
      <c r="B28580" s="3">
        <v>0</v>
      </c>
    </row>
    <row r="28581" ht="15.75" customHeight="1" spans="1:2">
      <c r="A28581" s="3" t="str">
        <f>IFERROR(__xludf.DUMMYFUNCTION("GOOGLETRANSLATE(A28581,""en"",""pt"")"),"cartões de memória pequenos")</f>
        <v>cartões de memória pequenos</v>
      </c>
      <c r="B28581" s="3">
        <v>0</v>
      </c>
    </row>
    <row r="28582" ht="15.75" customHeight="1" spans="1:2">
      <c r="A28582" s="3" t="str">
        <f>IFERROR(__xludf.DUMMYFUNCTION("GOOGLETRANSLATE(A28582,""en"",""pt"")"),"guzzling bateria")</f>
        <v>guzzling bateria</v>
      </c>
      <c r="B28582" s="3">
        <v>0</v>
      </c>
    </row>
    <row r="28583" ht="15.75" customHeight="1" spans="1:2">
      <c r="A28583" s="3" t="str">
        <f>IFERROR(__xludf.DUMMYFUNCTION("GOOGLETRANSLATE(A28583,""en"",""pt"")"),"ferramenta de edição de computador está lento")</f>
        <v>ferramenta de edição de computador está lento</v>
      </c>
      <c r="B28583" s="3">
        <v>0</v>
      </c>
    </row>
    <row r="28584" ht="15.75" customHeight="1" spans="1:2">
      <c r="A28584" s="3" t="str">
        <f>IFERROR(__xludf.DUMMYFUNCTION("GOOGLETRANSLATE(A28584,""en"",""pt"")"),"duração da bateria apenas por isso. Sem conexão USB")</f>
        <v>duração da bateria apenas por isso. Sem conexão USB</v>
      </c>
      <c r="B28584" s="3">
        <v>0</v>
      </c>
    </row>
    <row r="28585" ht="15.75" customHeight="1" spans="1:2">
      <c r="A28585" s="3" t="str">
        <f>IFERROR(__xludf.DUMMYFUNCTION("GOOGLETRANSLATE(A28585,""en"",""pt"")"),"Carece de um zoom")</f>
        <v>Carece de um zoom</v>
      </c>
      <c r="B28585" s="3">
        <v>0</v>
      </c>
    </row>
    <row r="28586" ht="15.75" customHeight="1" spans="1:2">
      <c r="A28586" s="3" t="str">
        <f>IFERROR(__xludf.DUMMYFUNCTION("GOOGLETRANSLATE(A28586,""en"",""pt"")"),"um pequeno manual confundindo")</f>
        <v>um pequeno manual confundindo</v>
      </c>
      <c r="B28586" s="3">
        <v>0</v>
      </c>
    </row>
    <row r="28587" ht="15.75" customHeight="1" spans="1:2">
      <c r="A28587" s="3" t="str">
        <f>IFERROR(__xludf.DUMMYFUNCTION("GOOGLETRANSLATE(A28587,""en"",""pt"")"),"1.3 Megapix, sem zoom")</f>
        <v>1.3 Megapix, sem zoom</v>
      </c>
      <c r="B28587" s="3">
        <v>0</v>
      </c>
    </row>
    <row r="28588" ht="15.75" customHeight="1" spans="1:2">
      <c r="A28588" s="3" t="str">
        <f>IFERROR(__xludf.DUMMYFUNCTION("GOOGLETRANSLATE(A28588,""en"",""pt"")"),"Sem zoom, peças de câmera são facilmente quebrável")</f>
        <v>Sem zoom, peças de câmera são facilmente quebrável</v>
      </c>
      <c r="B28588" s="3">
        <v>0</v>
      </c>
    </row>
    <row r="28589" ht="15.75" customHeight="1" spans="1:2">
      <c r="A28589" s="3" t="str">
        <f>IFERROR(__xludf.DUMMYFUNCTION("GOOGLETRANSLATE(A28589,""en"",""pt"")"),"dreno de bateria, garantia Olympus")</f>
        <v>dreno de bateria, garantia Olympus</v>
      </c>
      <c r="B28589" s="3">
        <v>0</v>
      </c>
    </row>
    <row r="28590" ht="15.75" customHeight="1" spans="1:2">
      <c r="A28590" s="3" t="str">
        <f>IFERROR(__xludf.DUMMYFUNCTION("GOOGLETRANSLATE(A28590,""en"",""pt"")"),"Pesado, desempenho de perto Pobres.")</f>
        <v>Pesado, desempenho de perto Pobres.</v>
      </c>
      <c r="B28590" s="3">
        <v>0</v>
      </c>
    </row>
    <row r="28591" ht="15.75" customHeight="1" spans="1:2">
      <c r="A28591" s="3" t="str">
        <f>IFERROR(__xludf.DUMMYFUNCTION("GOOGLETRANSLATE(A28591,""en"",""pt"")"),"Sem zoom, baixos megapixels")</f>
        <v>Sem zoom, baixos megapixels</v>
      </c>
      <c r="B28591" s="3">
        <v>0</v>
      </c>
    </row>
    <row r="28592" ht="15.75" customHeight="1" spans="1:2">
      <c r="A28592" s="3" t="str">
        <f>IFERROR(__xludf.DUMMYFUNCTION("GOOGLETRANSLATE(A28592,""en"",""pt"")"),"Zoom é menos do que perfeito, complicado menu de recurso, incluído software não até rapé")</f>
        <v>Zoom é menos do que perfeito, complicado menu de recurso, incluído software não até rapé</v>
      </c>
      <c r="B28592" s="3">
        <v>0</v>
      </c>
    </row>
    <row r="28593" ht="15.75" customHeight="1" spans="1:2">
      <c r="A28593" s="3" t="str">
        <f>IFERROR(__xludf.DUMMYFUNCTION("GOOGLETRANSLATE(A28593,""en"",""pt"")"),"Come baterias como eles são doces !!")</f>
        <v>Come baterias como eles são doces !!</v>
      </c>
      <c r="B28593" s="3">
        <v>0</v>
      </c>
    </row>
    <row r="28594" ht="15.75" customHeight="1" spans="1:2">
      <c r="A28594" s="3" t="str">
        <f>IFERROR(__xludf.DUMMYFUNCTION("GOOGLETRANSLATE(A28594,""en"",""pt"")"),"Lentos para download")</f>
        <v>Lentos para download</v>
      </c>
      <c r="B28594" s="3">
        <v>0</v>
      </c>
    </row>
    <row r="28595" ht="15.75" customHeight="1" spans="1:2">
      <c r="A28595" s="3" t="str">
        <f>IFERROR(__xludf.DUMMYFUNCTION("GOOGLETRANSLATE(A28595,""en"",""pt"")"),"Usando espectador consome baterias.")</f>
        <v>Usando espectador consome baterias.</v>
      </c>
      <c r="B28595" s="3">
        <v>0</v>
      </c>
    </row>
    <row r="28596" ht="15.75" customHeight="1" spans="1:2">
      <c r="A28596" s="3" t="str">
        <f>IFERROR(__xludf.DUMMYFUNCTION("GOOGLETRANSLATE(A28596,""en"",""pt"")"),"Nada até agora.")</f>
        <v>Nada até agora.</v>
      </c>
      <c r="B28596" s="3">
        <v>0</v>
      </c>
    </row>
    <row r="28597" ht="15.75" customHeight="1" spans="1:2">
      <c r="A28597" s="3" t="str">
        <f>IFERROR(__xludf.DUMMYFUNCTION("GOOGLETRANSLATE(A28597,""en"",""pt"")"),"adaptador necessidade de downloads rápidos, sem zoom")</f>
        <v>adaptador necessidade de downloads rápidos, sem zoom</v>
      </c>
      <c r="B28597" s="3">
        <v>0</v>
      </c>
    </row>
    <row r="28598" ht="15.75" customHeight="1" spans="1:2">
      <c r="A28598" s="3" t="str">
        <f>IFERROR(__xludf.DUMMYFUNCTION("GOOGLETRANSLATE(A28598,""en"",""pt"")"),"Nenhum!")</f>
        <v>Nenhum!</v>
      </c>
      <c r="B28598" s="3">
        <v>0</v>
      </c>
    </row>
    <row r="28599" ht="15.75" customHeight="1" spans="1:2">
      <c r="A28599" s="3" t="str">
        <f>IFERROR(__xludf.DUMMYFUNCTION("GOOGLETRANSLATE(A28599,""en"",""pt"")"),"custo")</f>
        <v>custo</v>
      </c>
      <c r="B28599" s="3">
        <v>0</v>
      </c>
    </row>
    <row r="28600" ht="15.75" customHeight="1" spans="1:2">
      <c r="A28600" s="3" t="str">
        <f>IFERROR(__xludf.DUMMYFUNCTION("GOOGLETRANSLATE(A28600,""en"",""pt"")"),"nenhum que eu posso pensar para este pric")</f>
        <v>nenhum que eu posso pensar para este pric</v>
      </c>
      <c r="B28600" s="3">
        <v>0</v>
      </c>
    </row>
    <row r="28601" ht="15.75" customHeight="1" spans="1:2">
      <c r="A28601" s="3" t="str">
        <f>IFERROR(__xludf.DUMMYFUNCTION("GOOGLETRANSLATE(A28601,""en"",""pt"")"),"disparador-atraso, peso, sem zoom")</f>
        <v>disparador-atraso, peso, sem zoom</v>
      </c>
      <c r="B28601" s="3">
        <v>0</v>
      </c>
    </row>
    <row r="28602" ht="15.75" customHeight="1" spans="1:2">
      <c r="A28602" s="3" t="str">
        <f>IFERROR(__xludf.DUMMYFUNCTION("GOOGLETRANSLATE(A28602,""en"",""pt"")"),"vida útil da bateria, movimento, zoom x2")</f>
        <v>vida útil da bateria, movimento, zoom x2</v>
      </c>
      <c r="B28602" s="3">
        <v>0</v>
      </c>
    </row>
    <row r="28603" ht="15.75" customHeight="1" spans="1:2">
      <c r="A28603" s="3" t="str">
        <f>IFERROR(__xludf.DUMMYFUNCTION("GOOGLETRANSLATE(A28603,""en"",""pt"")"),"tela de LCD fica borrada quando você usar o visor, o seu beberrão de uma bateria.")</f>
        <v>tela de LCD fica borrada quando você usar o visor, o seu beberrão de uma bateria.</v>
      </c>
      <c r="B28603" s="3">
        <v>0</v>
      </c>
    </row>
    <row r="28604" ht="15.75" customHeight="1" spans="1:2">
      <c r="A28604" s="3" t="str">
        <f>IFERROR(__xludf.DUMMYFUNCTION("GOOGLETRANSLATE(A28604,""en"",""pt"")"),"o kit básico não vem com uma bolsa de transporte")</f>
        <v>o kit básico não vem com uma bolsa de transporte</v>
      </c>
      <c r="B28604" s="3">
        <v>0</v>
      </c>
    </row>
    <row r="28605" ht="15.75" customHeight="1" spans="1:2">
      <c r="A28605" s="3" t="str">
        <f>IFERROR(__xludf.DUMMYFUNCTION("GOOGLETRANSLATE(A28605,""en"",""pt"")"),"Nenhum!")</f>
        <v>Nenhum!</v>
      </c>
      <c r="B28605" s="3">
        <v>0</v>
      </c>
    </row>
    <row r="28606" ht="15.75" customHeight="1" spans="1:2">
      <c r="A28606" s="3" t="str">
        <f>IFERROR(__xludf.DUMMYFUNCTION("GOOGLETRANSLATE(A28606,""en"",""pt"")"),"sem zoom")</f>
        <v>sem zoom</v>
      </c>
      <c r="B28606" s="3">
        <v>0</v>
      </c>
    </row>
    <row r="28607" ht="15.75" customHeight="1" spans="1:2">
      <c r="A28607" s="3" t="str">
        <f>IFERROR(__xludf.DUMMYFUNCTION("GOOGLETRANSLATE(A28607,""en"",""pt"")"),"Manual de operação poderia ser escrito mais clara, sem Zoom Física")</f>
        <v>Manual de operação poderia ser escrito mais clara, sem Zoom Física</v>
      </c>
      <c r="B28607" s="3">
        <v>0</v>
      </c>
    </row>
    <row r="28608" ht="15.75" customHeight="1" spans="1:2">
      <c r="A28608" s="3" t="str">
        <f>IFERROR(__xludf.DUMMYFUNCTION("GOOGLETRANSLATE(A28608,""en"",""pt"")"),"acessórios necessários, a disponibilidade de extras")</f>
        <v>acessórios necessários, a disponibilidade de extras</v>
      </c>
      <c r="B28608" s="3">
        <v>0</v>
      </c>
    </row>
    <row r="28609" ht="15.75" customHeight="1" spans="1:2">
      <c r="A28609" s="3" t="str">
        <f>IFERROR(__xludf.DUMMYFUNCTION("GOOGLETRANSLATE(A28609,""en"",""pt"")"),"Adaptador de alimentação excessivamente caro")</f>
        <v>Adaptador de alimentação excessivamente caro</v>
      </c>
      <c r="B28609" s="3">
        <v>0</v>
      </c>
    </row>
    <row r="28610" ht="15.75" customHeight="1" spans="1:2">
      <c r="A28610" s="3" t="str">
        <f>IFERROR(__xludf.DUMMYFUNCTION("GOOGLETRANSLATE(A28610,""en"",""pt"")"),"No recurso de zoom")</f>
        <v>No recurso de zoom</v>
      </c>
      <c r="B28610" s="3">
        <v>0</v>
      </c>
    </row>
    <row r="28611" ht="15.75" customHeight="1" spans="1:2">
      <c r="A28611" s="3" t="str">
        <f>IFERROR(__xludf.DUMMYFUNCTION("GOOGLETRANSLATE(A28611,""en"",""pt"")"),"Esteja preparado para passar por um monte de baterias")</f>
        <v>Esteja preparado para passar por um monte de baterias</v>
      </c>
      <c r="B28611" s="3">
        <v>0</v>
      </c>
    </row>
    <row r="28612" ht="15.75" customHeight="1" spans="1:2">
      <c r="A28612" s="3" t="str">
        <f>IFERROR(__xludf.DUMMYFUNCTION("GOOGLETRANSLATE(A28612,""en"",""pt"")"),"consumo excessivo de bateria em algumas características")</f>
        <v>consumo excessivo de bateria em algumas características</v>
      </c>
      <c r="B28612" s="3">
        <v>0</v>
      </c>
    </row>
    <row r="28613" ht="15.75" customHeight="1" spans="1:2">
      <c r="A28613" s="3" t="s">
        <v>153</v>
      </c>
      <c r="B28613" s="3">
        <v>0</v>
      </c>
    </row>
    <row r="28614" ht="15.75" customHeight="1" spans="1:2">
      <c r="A28614" s="3" t="str">
        <f>IFERROR(__xludf.DUMMYFUNCTION("GOOGLETRANSLATE(A28614,""en"",""pt"")"),"tempo de download lento")</f>
        <v>tempo de download lento</v>
      </c>
      <c r="B28614" s="3">
        <v>0</v>
      </c>
    </row>
    <row r="28615" ht="15.75" customHeight="1" spans="1:2">
      <c r="A28615" s="3" t="str">
        <f>IFERROR(__xludf.DUMMYFUNCTION("GOOGLETRANSLATE(A28615,""en"",""pt"")"),"Bateria Hog, o Slow Shutter, precisamos de novas Printer")</f>
        <v>Bateria Hog, o Slow Shutter, precisamos de novas Printer</v>
      </c>
      <c r="B28615" s="3">
        <v>0</v>
      </c>
    </row>
    <row r="28616" ht="15.75" customHeight="1" spans="1:2">
      <c r="A28616" s="3" t="str">
        <f>IFERROR(__xludf.DUMMYFUNCTION("GOOGLETRANSLATE(A28616,""en"",""pt"")"),"Usar vários pequenos botões.")</f>
        <v>Usar vários pequenos botões.</v>
      </c>
      <c r="B28616" s="3">
        <v>0</v>
      </c>
    </row>
    <row r="28617" ht="15.75" customHeight="1" spans="1:2">
      <c r="A28617" s="3" t="str">
        <f>IFERROR(__xludf.DUMMYFUNCTION("GOOGLETRANSLATE(A28617,""en"",""pt"")"),"O livro de instruções era difícil de entender sobre a formatação dos novos cartões de mídia (eu pensei)")</f>
        <v>O livro de instruções era difícil de entender sobre a formatação dos novos cartões de mídia (eu pensei)</v>
      </c>
      <c r="B28617" s="3">
        <v>0</v>
      </c>
    </row>
    <row r="28618" ht="15.75" customHeight="1" spans="1:2">
      <c r="A28618" s="3" t="str">
        <f>IFERROR(__xludf.DUMMYFUNCTION("GOOGLETRANSLATE(A28618,""en"",""pt"")"),"sem zoom óptico")</f>
        <v>sem zoom óptico</v>
      </c>
      <c r="B28618" s="3">
        <v>0</v>
      </c>
    </row>
    <row r="28619" ht="15.75" customHeight="1" spans="1:2">
      <c r="A28619" s="3" t="str">
        <f>IFERROR(__xludf.DUMMYFUNCTION("GOOGLETRANSLATE(A28619,""en"",""pt"")"),"zoom limitada, câmera muito pequeno e lento")</f>
        <v>zoom limitada, câmera muito pequeno e lento</v>
      </c>
      <c r="B28619" s="3">
        <v>0</v>
      </c>
    </row>
    <row r="28620" ht="15.75" customHeight="1" spans="1:2">
      <c r="A28620" s="3" t="str">
        <f>IFERROR(__xludf.DUMMYFUNCTION("GOOGLETRANSLATE(A28620,""en"",""pt"")"),"Velocidade de download")</f>
        <v>Velocidade de download</v>
      </c>
      <c r="B28620" s="3">
        <v>0</v>
      </c>
    </row>
    <row r="28621" ht="15.75" customHeight="1" spans="1:2">
      <c r="A28621" s="3" t="str">
        <f>IFERROR(__xludf.DUMMYFUNCTION("GOOGLETRANSLATE(A28621,""en"",""pt"")"),"Não como resolução de alta qualidade como os outros")</f>
        <v>Não como resolução de alta qualidade como os outros</v>
      </c>
      <c r="B28621" s="3">
        <v>0</v>
      </c>
    </row>
    <row r="28622" ht="15.75" customHeight="1" spans="1:2">
      <c r="A28622" s="3" t="str">
        <f>IFERROR(__xludf.DUMMYFUNCTION("GOOGLETRANSLATE(A28622,""en"",""pt"")"),"A velocidade de transferência lenta; deve ter um de flash em ambientes fechados")</f>
        <v>A velocidade de transferência lenta; deve ter um de flash em ambientes fechados</v>
      </c>
      <c r="B28622" s="3">
        <v>0</v>
      </c>
    </row>
    <row r="28623" ht="15.75" customHeight="1" spans="1:2">
      <c r="A28623" s="3" t="str">
        <f>IFERROR(__xludf.DUMMYFUNCTION("GOOGLETRANSLATE(A28623,""en"",""pt"")"),"meios caros, características básicas, fonte de alimentação pobre")</f>
        <v>meios caros, características básicas, fonte de alimentação pobre</v>
      </c>
      <c r="B28623" s="3">
        <v>0</v>
      </c>
    </row>
    <row r="28624" ht="15.75" customHeight="1" spans="1:2">
      <c r="A28624" s="3" t="str">
        <f>IFERROR(__xludf.DUMMYFUNCTION("GOOGLETRANSLATE(A28624,""en"",""pt"")"),"baterias come")</f>
        <v>baterias come</v>
      </c>
      <c r="B28624" s="3">
        <v>0</v>
      </c>
    </row>
    <row r="28625" ht="15.75" customHeight="1" spans="1:2">
      <c r="A28625" s="3" t="str">
        <f>IFERROR(__xludf.DUMMYFUNCTION("GOOGLETRANSLATE(A28625,""en"",""pt"")"),"sem zoom óptico, a apenas 2x zoom digital")</f>
        <v>sem zoom óptico, a apenas 2x zoom digital</v>
      </c>
      <c r="B28625" s="3">
        <v>0</v>
      </c>
    </row>
    <row r="28626" ht="15.75" customHeight="1" spans="1:2">
      <c r="A28626" s="3" t="str">
        <f>IFERROR(__xludf.DUMMYFUNCTION("GOOGLETRANSLATE(A28626,""en"",""pt"")"),"Não é bom para 8x10 impressões, nenhuma conexão USB,")</f>
        <v>Não é bom para 8x10 impressões, nenhuma conexão USB,</v>
      </c>
      <c r="B28626" s="3">
        <v>0</v>
      </c>
    </row>
    <row r="28627" ht="15.75" customHeight="1" spans="1:2">
      <c r="A28627" s="3" t="str">
        <f>IFERROR(__xludf.DUMMYFUNCTION("GOOGLETRANSLATE(A28627,""en"",""pt"")"),"Nenhum")</f>
        <v>Nenhum</v>
      </c>
      <c r="B28627" s="3">
        <v>0</v>
      </c>
    </row>
    <row r="28628" ht="15.75" customHeight="1" spans="1:2">
      <c r="A28628" s="3" t="str">
        <f>IFERROR(__xludf.DUMMYFUNCTION("GOOGLETRANSLATE(A28628,""en"",""pt"")"),"Ele não faz laundery")</f>
        <v>Ele não faz laundery</v>
      </c>
      <c r="B28628" s="3">
        <v>0</v>
      </c>
    </row>
    <row r="28629" ht="15.75" customHeight="1" spans="1:2">
      <c r="A28629" s="3" t="str">
        <f>IFERROR(__xludf.DUMMYFUNCTION("GOOGLETRANSLATE(A28629,""en"",""pt"")"),"Sem zoom")</f>
        <v>Sem zoom</v>
      </c>
      <c r="B28629" s="3">
        <v>0</v>
      </c>
    </row>
    <row r="28630" ht="15.75" customHeight="1" spans="1:2">
      <c r="A28630" s="3" t="str">
        <f>IFERROR(__xludf.DUMMYFUNCTION("GOOGLETRANSLATE(A28630,""en"",""pt"")"),"Não Zoom óptico")</f>
        <v>Não Zoom óptico</v>
      </c>
      <c r="B28630" s="3">
        <v>0</v>
      </c>
    </row>
    <row r="28631" ht="15.75" customHeight="1" spans="1:2">
      <c r="A28631" s="3" t="str">
        <f>IFERROR(__xludf.DUMMYFUNCTION("GOOGLETRANSLATE(A28631,""en"",""pt"")"),"Sem zoom óptico, porta com nenhuma alta velocidade")</f>
        <v>Sem zoom óptico, porta com nenhuma alta velocidade</v>
      </c>
      <c r="B28631" s="3">
        <v>0</v>
      </c>
    </row>
    <row r="28632" ht="15.75" customHeight="1" spans="1:2">
      <c r="A28632" s="3" t="str">
        <f>IFERROR(__xludf.DUMMYFUNCTION("GOOGLETRANSLATE(A28632,""en"",""pt"")"),"sem zoom, a qualidade da paisagem, adaptador AC extra, sem usb")</f>
        <v>sem zoom, a qualidade da paisagem, adaptador AC extra, sem usb</v>
      </c>
      <c r="B28632" s="3">
        <v>0</v>
      </c>
    </row>
    <row r="28633" ht="15.75" customHeight="1" spans="1:2">
      <c r="A28633" s="3" t="str">
        <f>IFERROR(__xludf.DUMMYFUNCTION("GOOGLETRANSLATE(A28633,""en"",""pt"")"),"nenhum até o momento")</f>
        <v>nenhum até o momento</v>
      </c>
      <c r="B28633" s="3">
        <v>0</v>
      </c>
    </row>
    <row r="28634" ht="15.75" customHeight="1" spans="1:2">
      <c r="A28634" s="3" t="str">
        <f>IFERROR(__xludf.DUMMYFUNCTION("GOOGLETRANSLATE(A28634,""en"",""pt"")"),"Nenhum")</f>
        <v>Nenhum</v>
      </c>
      <c r="B28634" s="3">
        <v>0</v>
      </c>
    </row>
    <row r="28635" ht="15.75" customHeight="1" spans="1:2">
      <c r="A28635" s="3" t="str">
        <f>IFERROR(__xludf.DUMMYFUNCTION("GOOGLETRANSLATE(A28635,""en"",""pt"")"),"conexão serial lento, sem zoom óptico")</f>
        <v>conexão serial lento, sem zoom óptico</v>
      </c>
      <c r="B28635" s="3">
        <v>0</v>
      </c>
    </row>
    <row r="28636" ht="15.75" customHeight="1" spans="1:2">
      <c r="A28636" s="3" t="str">
        <f>IFERROR(__xludf.DUMMYFUNCTION("GOOGLETRANSLATE(A28636,""en"",""pt"")"),"caro")</f>
        <v>caro</v>
      </c>
      <c r="B28636" s="3">
        <v>0</v>
      </c>
    </row>
    <row r="28637" ht="15.75" customHeight="1" spans="1:2">
      <c r="A28637" s="3" t="str">
        <f>IFERROR(__xludf.DUMMYFUNCTION("GOOGLETRANSLATE(A28637,""en"",""pt"")"),"sem zoom óptico")</f>
        <v>sem zoom óptico</v>
      </c>
      <c r="B28637" s="3">
        <v>0</v>
      </c>
    </row>
    <row r="28638" ht="15.75" customHeight="1" spans="1:2">
      <c r="A28638" s="3" t="str">
        <f>IFERROR(__xludf.DUMMYFUNCTION("GOOGLETRANSLATE(A28638,""en"",""pt"")"),"o uso da bateria")</f>
        <v>o uso da bateria</v>
      </c>
      <c r="B28638" s="3">
        <v>0</v>
      </c>
    </row>
    <row r="28639" ht="15.75" customHeight="1" spans="1:2">
      <c r="A28639" s="3" t="str">
        <f>IFERROR(__xludf.DUMMYFUNCTION("GOOGLETRANSLATE(A28639,""en"",""pt"")"),"Nenhum")</f>
        <v>Nenhum</v>
      </c>
      <c r="B28639" s="3">
        <v>0</v>
      </c>
    </row>
    <row r="28640" ht="15.75" customHeight="1" spans="1:2">
      <c r="A28640" s="3" t="str">
        <f>IFERROR(__xludf.DUMMYFUNCTION("GOOGLETRANSLATE(A28640,""en"",""pt"")"),"Tiros borrada de Ação")</f>
        <v>Tiros borrada de Ação</v>
      </c>
      <c r="B28640" s="3">
        <v>0</v>
      </c>
    </row>
    <row r="28641" ht="15.75" customHeight="1" spans="1:2">
      <c r="A28641" s="3" t="str">
        <f>IFERROR(__xludf.DUMMYFUNCTION("GOOGLETRANSLATE(A28641,""en"",""pt"")"),"Come um monte de baterias")</f>
        <v>Come um monte de baterias</v>
      </c>
      <c r="B28641" s="3">
        <v>0</v>
      </c>
    </row>
    <row r="28642" ht="15.75" customHeight="1" spans="1:2">
      <c r="A28642" s="3" t="str">
        <f>IFERROR(__xludf.DUMMYFUNCTION("GOOGLETRANSLATE(A28642,""en"",""pt"")"),"zoom digital muda para diminuir a compressão qualidade.")</f>
        <v>zoom digital muda para diminuir a compressão qualidade.</v>
      </c>
      <c r="B28642" s="3">
        <v>0</v>
      </c>
    </row>
    <row r="28643" ht="15.75" customHeight="1" spans="1:2">
      <c r="A28643" s="3" t="str">
        <f>IFERROR(__xludf.DUMMYFUNCTION("GOOGLETRANSLATE(A28643,""en"",""pt"")"),"incapaz de anexar filtros ou lentes de telefoto")</f>
        <v>incapaz de anexar filtros ou lentes de telefoto</v>
      </c>
      <c r="B28643" s="3">
        <v>0</v>
      </c>
    </row>
    <row r="28644" ht="15.75" customHeight="1" spans="1:2">
      <c r="A28644" s="3" t="str">
        <f>IFERROR(__xludf.DUMMYFUNCTION("GOOGLETRANSLATE(A28644,""en"",""pt"")"),"sem zoom, marginal qualidade fotográfica interior")</f>
        <v>sem zoom, marginal qualidade fotográfica interior</v>
      </c>
      <c r="B28644" s="3">
        <v>0</v>
      </c>
    </row>
    <row r="28645" ht="15.75" customHeight="1" spans="1:2">
      <c r="A28645" s="3" t="str">
        <f>IFERROR(__xludf.DUMMYFUNCTION("GOOGLETRANSLATE(A28645,""en"",""pt"")"),"comedor bateria")</f>
        <v>comedor bateria</v>
      </c>
      <c r="B28645" s="3">
        <v>0</v>
      </c>
    </row>
    <row r="28646" ht="15.75" customHeight="1" spans="1:2">
      <c r="A28646" s="3" t="str">
        <f>IFERROR(__xludf.DUMMYFUNCTION("GOOGLETRANSLATE(A28646,""en"",""pt"")"),"Direções para ligar ao computador são vagos")</f>
        <v>Direções para ligar ao computador são vagos</v>
      </c>
      <c r="B28646" s="3">
        <v>0</v>
      </c>
    </row>
    <row r="28647" ht="15.75" customHeight="1" spans="1:2">
      <c r="A28647" s="3" t="str">
        <f>IFERROR(__xludf.DUMMYFUNCTION("GOOGLETRANSLATE(A28647,""en"",""pt"")"),"há zoom óptico, pequenos botões")</f>
        <v>há zoom óptico, pequenos botões</v>
      </c>
      <c r="B28647" s="3">
        <v>0</v>
      </c>
    </row>
    <row r="28648" ht="15.75" customHeight="1" spans="1:2">
      <c r="A28648" s="3" t="str">
        <f>IFERROR(__xludf.DUMMYFUNCTION("GOOGLETRANSLATE(A28648,""en"",""pt"")"),"Nenhum")</f>
        <v>Nenhum</v>
      </c>
      <c r="B28648" s="3">
        <v>0</v>
      </c>
    </row>
    <row r="28649" ht="15.75" customHeight="1" spans="1:2">
      <c r="A28649" s="3" t="str">
        <f>IFERROR(__xludf.DUMMYFUNCTION("GOOGLETRANSLATE(A28649,""en"",""pt"")"),"2 megapixel seria bom")</f>
        <v>2 megapixel seria bom</v>
      </c>
      <c r="B28649" s="3">
        <v>0</v>
      </c>
    </row>
    <row r="28650" ht="15.75" customHeight="1" spans="1:2">
      <c r="A28650" s="3" t="str">
        <f>IFERROR(__xludf.DUMMYFUNCTION("GOOGLETRANSLATE(A28650,""en"",""pt"")"),"configurações, nenhum caso")</f>
        <v>configurações, nenhum caso</v>
      </c>
      <c r="B28650" s="3">
        <v>0</v>
      </c>
    </row>
    <row r="28651" ht="15.75" customHeight="1" spans="1:2">
      <c r="A28651" s="3" t="str">
        <f>IFERROR(__xludf.DUMMYFUNCTION("GOOGLETRANSLATE(A28651,""en"",""pt"")"),"curta duração da bateria quando o download")</f>
        <v>curta duração da bateria quando o download</v>
      </c>
      <c r="B28651" s="3">
        <v>0</v>
      </c>
    </row>
    <row r="28652" ht="15.75" customHeight="1" spans="1:2">
      <c r="A28652" s="3" t="str">
        <f>IFERROR(__xludf.DUMMYFUNCTION("GOOGLETRANSLATE(A28652,""en"",""pt"")"),"curta duração da bateria, má qualidade de imagem, não suporta um disquete")</f>
        <v>curta duração da bateria, má qualidade de imagem, não suporta um disquete</v>
      </c>
      <c r="B28652" s="3">
        <v>0</v>
      </c>
    </row>
    <row r="28653" ht="15.75" customHeight="1" spans="1:2">
      <c r="A28653" s="3" t="str">
        <f>IFERROR(__xludf.DUMMYFUNCTION("GOOGLETRANSLATE(A28653,""en"",""pt"")"),"garantia pode não cobri-lo se a câmera já teve impacto, mesmo que isso não causou o dano pertinente")</f>
        <v>garantia pode não cobri-lo se a câmera já teve impacto, mesmo que isso não causou o dano pertinente</v>
      </c>
      <c r="B28653" s="3">
        <v>0</v>
      </c>
    </row>
    <row r="28654" ht="15.75" customHeight="1" spans="1:2">
      <c r="A28654" s="3" t="str">
        <f>IFERROR(__xludf.DUMMYFUNCTION("GOOGLETRANSLATE(A28654,""en"",""pt"")"),"Não vem com adaptador AC, zoom torna as imagens um pouco confuso")</f>
        <v>Não vem com adaptador AC, zoom torna as imagens um pouco confuso</v>
      </c>
      <c r="B28654" s="3">
        <v>0</v>
      </c>
    </row>
    <row r="28655" ht="15.75" customHeight="1" spans="1:2">
      <c r="A28655" s="3" t="str">
        <f>IFERROR(__xludf.DUMMYFUNCTION("GOOGLETRANSLATE(A28655,""en"",""pt"")"),"Sem conexão USB, come baterias a menos que você use NiMH")</f>
        <v>Sem conexão USB, come baterias a menos que você use NiMH</v>
      </c>
      <c r="B28655" s="3">
        <v>0</v>
      </c>
    </row>
    <row r="28656" ht="15.75" customHeight="1" spans="1:2">
      <c r="A28656" s="3" t="str">
        <f>IFERROR(__xludf.DUMMYFUNCTION("GOOGLETRANSLATE(A28656,""en"",""pt"")"),"baterias precisam ser substituídos frequentemente")</f>
        <v>baterias precisam ser substituídos frequentemente</v>
      </c>
      <c r="B28656" s="3">
        <v>0</v>
      </c>
    </row>
    <row r="28657" ht="15.75" customHeight="1" spans="1:2">
      <c r="A28657" s="3" t="str">
        <f>IFERROR(__xludf.DUMMYFUNCTION("GOOGLETRANSLATE(A28657,""en"",""pt"")"),"vida útil da bateria com LCD ligado, a falta de zoom real, compartimento da bateria")</f>
        <v>vida útil da bateria com LCD ligado, a falta de zoom real, compartimento da bateria</v>
      </c>
      <c r="B28657" s="3">
        <v>0</v>
      </c>
    </row>
    <row r="28658" ht="15.75" customHeight="1" spans="1:2">
      <c r="A28658" s="3" t="str">
        <f>IFERROR(__xludf.DUMMYFUNCTION("GOOGLETRANSLATE(A28658,""en"",""pt"")"),"botão LCD desconfortável")</f>
        <v>botão LCD desconfortável</v>
      </c>
      <c r="B28658" s="3">
        <v>0</v>
      </c>
    </row>
    <row r="28659" ht="15.75" customHeight="1" spans="1:2">
      <c r="A28659" s="3" t="str">
        <f>IFERROR(__xludf.DUMMYFUNCTION("GOOGLETRANSLATE(A28659,""en"",""pt"")"),"Não é possível imprimir maior do que um 5x7")</f>
        <v>Não é possível imprimir maior do que um 5x7</v>
      </c>
      <c r="B28659" s="3">
        <v>0</v>
      </c>
    </row>
    <row r="28660" ht="15.75" customHeight="1" spans="1:2">
      <c r="A28660" s="3" t="str">
        <f>IFERROR(__xludf.DUMMYFUNCTION("GOOGLETRANSLATE(A28660,""en"",""pt"")"),"leva muito tempo entre as imagens, não inclui adaptador.")</f>
        <v>leva muito tempo entre as imagens, não inclui adaptador.</v>
      </c>
      <c r="B28660" s="3">
        <v>0</v>
      </c>
    </row>
    <row r="28661" ht="15.75" customHeight="1" spans="1:2">
      <c r="A28661" s="3" t="str">
        <f>IFERROR(__xludf.DUMMYFUNCTION("GOOGLETRANSLATE(A28661,""en"",""pt"")"),"carece de zoom óptico")</f>
        <v>carece de zoom óptico</v>
      </c>
      <c r="B28661" s="3">
        <v>0</v>
      </c>
    </row>
    <row r="28662" ht="15.75" customHeight="1" spans="1:2">
      <c r="A28662" s="3" t="str">
        <f>IFERROR(__xludf.DUMMYFUNCTION("GOOGLETRANSLATE(A28662,""en"",""pt"")"),"Um pouco grande, e um pouco pesado, poderia usar um pouco mais espaço de armazenamento e resolução.")</f>
        <v>Um pouco grande, e um pouco pesado, poderia usar um pouco mais espaço de armazenamento e resolução.</v>
      </c>
      <c r="B28662" s="3">
        <v>0</v>
      </c>
    </row>
    <row r="28663" ht="15.75" customHeight="1" spans="1:2">
      <c r="A28663" s="3" t="str">
        <f>IFERROR(__xludf.DUMMYFUNCTION("GOOGLETRANSLATE(A28663,""en"",""pt"")"),"Sem zoom")</f>
        <v>Sem zoom</v>
      </c>
      <c r="B28663" s="3">
        <v>0</v>
      </c>
    </row>
    <row r="28664" ht="15.75" customHeight="1" spans="1:2">
      <c r="A28664" s="3" t="str">
        <f>IFERROR(__xludf.DUMMYFUNCTION("GOOGLETRANSLATE(A28664,""en"",""pt"")"),"suga energia, flash não boa")</f>
        <v>suga energia, flash não boa</v>
      </c>
      <c r="B28664" s="3">
        <v>0</v>
      </c>
    </row>
    <row r="28665" ht="15.75" customHeight="1" spans="1:2">
      <c r="A28665" s="3" t="str">
        <f>IFERROR(__xludf.DUMMYFUNCTION("GOOGLETRANSLATE(A28665,""en"",""pt"")"),"apenas os símbolos nos botões")</f>
        <v>apenas os símbolos nos botões</v>
      </c>
      <c r="B28665" s="3">
        <v>0</v>
      </c>
    </row>
    <row r="28666" ht="15.75" customHeight="1" spans="1:2">
      <c r="A28666" s="3" t="str">
        <f>IFERROR(__xludf.DUMMYFUNCTION("GOOGLETRANSLATE(A28666,""en"",""pt"")"),"o uso da bateria e design botão")</f>
        <v>o uso da bateria e design botão</v>
      </c>
      <c r="B28666" s="3">
        <v>0</v>
      </c>
    </row>
    <row r="28667" ht="15.75" customHeight="1" spans="1:2">
      <c r="A28667" s="3" t="str">
        <f>IFERROR(__xludf.DUMMYFUNCTION("GOOGLETRANSLATE(A28667,""en"",""pt"")"),"baterias ...")</f>
        <v>baterias ...</v>
      </c>
      <c r="B28667" s="3">
        <v>0</v>
      </c>
    </row>
    <row r="28668" ht="15.75" customHeight="1" spans="1:2">
      <c r="A28668" s="3" t="str">
        <f>IFERROR(__xludf.DUMMYFUNCTION("GOOGLETRANSLATE(A28668,""en"",""pt"")"),"Nenhum")</f>
        <v>Nenhum</v>
      </c>
      <c r="B28668" s="3">
        <v>0</v>
      </c>
    </row>
    <row r="28669" ht="15.75" customHeight="1" spans="1:2">
      <c r="A28669" s="3" t="str">
        <f>IFERROR(__xludf.DUMMYFUNCTION("GOOGLETRANSLATE(A28669,""en"",""pt"")"),"Não capacidades USB")</f>
        <v>Não capacidades USB</v>
      </c>
      <c r="B28669" s="3">
        <v>0</v>
      </c>
    </row>
    <row r="28670" ht="15.75" customHeight="1" spans="1:2">
      <c r="A28670" s="3" t="str">
        <f>IFERROR(__xludf.DUMMYFUNCTION("GOOGLETRANSLATE(A28670,""en"",""pt"")"),"ficar escura")</f>
        <v>ficar escura</v>
      </c>
      <c r="B28670" s="3">
        <v>0</v>
      </c>
    </row>
    <row r="28671" ht="15.75" customHeight="1" spans="1:2">
      <c r="A28671" s="3" t="str">
        <f>IFERROR(__xludf.DUMMYFUNCTION("GOOGLETRANSLATE(A28671,""en"",""pt"")"),"você tem que comprar um monte de baterias")</f>
        <v>você tem que comprar um monte de baterias</v>
      </c>
      <c r="B28671" s="3">
        <v>0</v>
      </c>
    </row>
    <row r="28672" ht="15.75" customHeight="1" spans="1:2">
      <c r="A28672" s="3" t="str">
        <f>IFERROR(__xludf.DUMMYFUNCTION("GOOGLETRANSLATE(A28672,""en"",""pt"")"),"Não USB ou Zoom Óptico")</f>
        <v>Não USB ou Zoom Óptico</v>
      </c>
      <c r="B28672" s="3">
        <v>0</v>
      </c>
    </row>
    <row r="28673" ht="15.75" customHeight="1" spans="1:2">
      <c r="A28673" s="3" t="str">
        <f>IFERROR(__xludf.DUMMYFUNCTION("GOOGLETRANSLATE(A28673,""en"",""pt"")"),"Muitos adaptadores para se acostumar com")</f>
        <v>Muitos adaptadores para se acostumar com</v>
      </c>
      <c r="B28673" s="3">
        <v>0</v>
      </c>
    </row>
    <row r="28674" ht="15.75" customHeight="1" spans="1:2">
      <c r="A28674" s="3" t="str">
        <f>IFERROR(__xludf.DUMMYFUNCTION("GOOGLETRANSLATE(A28674,""en"",""pt"")"),"Eu esperei muito longo para comprar um! Período.")</f>
        <v>Eu esperei muito longo para comprar um! Período.</v>
      </c>
      <c r="B28674" s="3">
        <v>0</v>
      </c>
    </row>
    <row r="28675" ht="15.75" customHeight="1" spans="1:2">
      <c r="A28675" s="3" t="str">
        <f>IFERROR(__xludf.DUMMYFUNCTION("GOOGLETRANSLATE(A28675,""en"",""pt"")"),"nenhum que encontramos")</f>
        <v>nenhum que encontramos</v>
      </c>
      <c r="B28675" s="3">
        <v>0</v>
      </c>
    </row>
    <row r="28676" ht="15.75" customHeight="1" spans="1:2">
      <c r="A28676" s="3" t="str">
        <f>IFERROR(__xludf.DUMMYFUNCTION("GOOGLETRANSLATE(A28676,""en"",""pt"")"),"Suga a vida fora das baterias")</f>
        <v>Suga a vida fora das baterias</v>
      </c>
      <c r="B28676" s="3">
        <v>0</v>
      </c>
    </row>
    <row r="28677" ht="15.75" customHeight="1" spans="1:2">
      <c r="A28677" s="3" t="str">
        <f>IFERROR(__xludf.DUMMYFUNCTION("GOOGLETRANSLATE(A28677,""en"",""pt"")"),"precisa de botões que operam mais simplificados")</f>
        <v>precisa de botões que operam mais simplificados</v>
      </c>
      <c r="B28677" s="3">
        <v>0</v>
      </c>
    </row>
    <row r="28678" ht="15.75" customHeight="1" spans="1:2">
      <c r="A28678" s="3" t="str">
        <f>IFERROR(__xludf.DUMMYFUNCTION("GOOGLETRANSLATE(A28678,""en"",""pt"")"),"Not Enough SmartMemory")</f>
        <v>Not Enough SmartMemory</v>
      </c>
      <c r="B28678" s="3">
        <v>0</v>
      </c>
    </row>
    <row r="28679" ht="15.75" customHeight="1" spans="1:2">
      <c r="A28679" s="3" t="str">
        <f>IFERROR(__xludf.DUMMYFUNCTION("GOOGLETRANSLATE(A28679,""en"",""pt"")"),"A vida da bateria")</f>
        <v>A vida da bateria</v>
      </c>
      <c r="B28679" s="3">
        <v>0</v>
      </c>
    </row>
    <row r="28680" ht="15.75" customHeight="1" spans="1:2">
      <c r="A28680" s="3" t="str">
        <f>IFERROR(__xludf.DUMMYFUNCTION("GOOGLETRANSLATE(A28680,""en"",""pt"")"),"Carece de algumas características interessantes O 360L tem")</f>
        <v>Carece de algumas características interessantes O 360L tem</v>
      </c>
      <c r="B28680" s="3">
        <v>0</v>
      </c>
    </row>
    <row r="28681" ht="15.75" customHeight="1" spans="1:2">
      <c r="A28681" s="3" t="str">
        <f>IFERROR(__xludf.DUMMYFUNCTION("GOOGLETRANSLATE(A28681,""en"",""pt"")"),"deslizante frente facilmente quebrado")</f>
        <v>deslizante frente facilmente quebrado</v>
      </c>
      <c r="B28681" s="3">
        <v>0</v>
      </c>
    </row>
    <row r="28682" ht="15.75" customHeight="1" spans="1:2">
      <c r="A28682" s="3" t="str">
        <f>IFERROR(__xludf.DUMMYFUNCTION("GOOGLETRANSLATE(A28682,""en"",""pt"")"),"A vida da bateria é patético (nada algumas baterias recarregáveis ​​NiMH não pode lidar com).")</f>
        <v>A vida da bateria é patético (nada algumas baterias recarregáveis ​​NiMH não pode lidar com).</v>
      </c>
      <c r="B28682" s="3">
        <v>0</v>
      </c>
    </row>
    <row r="28683" ht="15.75" customHeight="1" spans="1:2">
      <c r="A28683" s="3" t="str">
        <f>IFERROR(__xludf.DUMMYFUNCTION("GOOGLETRANSLATE(A28683,""en"",""pt"")"),"baterias drenos")</f>
        <v>baterias drenos</v>
      </c>
      <c r="B28683" s="3">
        <v>0</v>
      </c>
    </row>
    <row r="28684" ht="15.75" customHeight="1" spans="1:2">
      <c r="A28684" s="3" t="str">
        <f>IFERROR(__xludf.DUMMYFUNCTION("GOOGLETRANSLATE(A28684,""en"",""pt"")"),"Apenas Conexão Serial, Sem Zoom Óptico, volumoso")</f>
        <v>Apenas Conexão Serial, Sem Zoom Óptico, volumoso</v>
      </c>
      <c r="B28684" s="3">
        <v>0</v>
      </c>
    </row>
    <row r="28685" ht="15.75" customHeight="1" spans="1:2">
      <c r="A28685" s="3" t="str">
        <f>IFERROR(__xludf.DUMMYFUNCTION("GOOGLETRANSLATE(A28685,""en"",""pt"")"),"transferência de dados é lenta, o uso da bateria fraca")</f>
        <v>transferência de dados é lenta, o uso da bateria fraca</v>
      </c>
      <c r="B28685" s="3">
        <v>0</v>
      </c>
    </row>
    <row r="28686" ht="15.75" customHeight="1" spans="1:2">
      <c r="A28686" s="3" t="str">
        <f>IFERROR(__xludf.DUMMYFUNCTION("GOOGLETRANSLATE(A28686,""en"",""pt"")"),"vida curta da bateria, sem zoom óptico, confundindo controles.")</f>
        <v>vida curta da bateria, sem zoom óptico, confundindo controles.</v>
      </c>
      <c r="B28686" s="3">
        <v>0</v>
      </c>
    </row>
    <row r="28687" ht="15.75" customHeight="1" spans="1:2">
      <c r="A28687" s="3" t="str">
        <f>IFERROR(__xludf.DUMMYFUNCTION("GOOGLETRANSLATE(A28687,""en"",""pt"")"),"Bateria-escorredor")</f>
        <v>Bateria-escorredor</v>
      </c>
      <c r="B28687" s="3">
        <v>0</v>
      </c>
    </row>
    <row r="28688" ht="15.75" customHeight="1" spans="1:2">
      <c r="A28688" s="3" t="str">
        <f>IFERROR(__xludf.DUMMYFUNCTION("GOOGLETRANSLATE(A28688,""en"",""pt"")"),"sem zoom óptico, nenhuma interface USB")</f>
        <v>sem zoom óptico, nenhuma interface USB</v>
      </c>
      <c r="B28688" s="3">
        <v>0</v>
      </c>
    </row>
    <row r="28689" ht="15.75" customHeight="1" spans="1:2">
      <c r="A28689" s="3" t="str">
        <f>IFERROR(__xludf.DUMMYFUNCTION("GOOGLETRANSLATE(A28689,""en"",""pt"")"),"Nenhum")</f>
        <v>Nenhum</v>
      </c>
      <c r="B28689" s="3">
        <v>0</v>
      </c>
    </row>
    <row r="28690" ht="15.75" customHeight="1" spans="1:2">
      <c r="A28690" s="3" t="str">
        <f>IFERROR(__xludf.DUMMYFUNCTION("GOOGLETRANSLATE(A28690,""en"",""pt"")"),"Se você tem medo de coisas oi-tech, parece intimidante no início.")</f>
        <v>Se você tem medo de coisas oi-tech, parece intimidante no início.</v>
      </c>
      <c r="B28690" s="3">
        <v>0</v>
      </c>
    </row>
    <row r="28691" ht="15.75" customHeight="1" spans="1:2">
      <c r="A28691" s="3" t="str">
        <f>IFERROR(__xludf.DUMMYFUNCTION("GOOGLETRANSLATE(A28691,""en"",""pt"")"),"Software é lento / difícil de uso")</f>
        <v>Software é lento / difícil de uso</v>
      </c>
      <c r="B28691" s="3">
        <v>0</v>
      </c>
    </row>
    <row r="28692" ht="15.75" customHeight="1" spans="1:2">
      <c r="A28692" s="3" t="s">
        <v>154</v>
      </c>
      <c r="B28692" s="3">
        <v>0</v>
      </c>
    </row>
    <row r="28693" ht="15.75" customHeight="1" spans="1:2">
      <c r="A28693" s="3" t="str">
        <f>IFERROR(__xludf.DUMMYFUNCTION("GOOGLETRANSLATE(A28693,""en"",""pt"")"),"Uso de energia, de resposta lento quando Fria")</f>
        <v>Uso de energia, de resposta lento quando Fria</v>
      </c>
      <c r="B28693" s="3">
        <v>0</v>
      </c>
    </row>
    <row r="28694" ht="15.75" customHeight="1" spans="1:2">
      <c r="A28694" s="3" t="str">
        <f>IFERROR(__xludf.DUMMYFUNCTION("GOOGLETRANSLATE(A28694,""en"",""pt"")"),"Necessita de tripé para closeups, extensão lente lenta / retração")</f>
        <v>Necessita de tripé para closeups, extensão lente lenta / retração</v>
      </c>
      <c r="B28694" s="3">
        <v>0</v>
      </c>
    </row>
    <row r="28695" ht="15.75" customHeight="1" spans="1:2">
      <c r="A28695" s="3" t="str">
        <f>IFERROR(__xludf.DUMMYFUNCTION("GOOGLETRANSLATE(A28695,""en"",""pt"")"),"preço um pouco elevado, deve estar ainda ao tirar fotos")</f>
        <v>preço um pouco elevado, deve estar ainda ao tirar fotos</v>
      </c>
      <c r="B28695" s="3">
        <v>0</v>
      </c>
    </row>
    <row r="28696" ht="15.75" customHeight="1" spans="1:2">
      <c r="A28696" s="3" t="str">
        <f>IFERROR(__xludf.DUMMYFUNCTION("GOOGLETRANSLATE(A28696,""en"",""pt"")"),"recursos de energia são difíceis de aprender")</f>
        <v>recursos de energia são difíceis de aprender</v>
      </c>
      <c r="B28696" s="3">
        <v>0</v>
      </c>
    </row>
    <row r="28697" ht="15.75" customHeight="1" spans="1:2">
      <c r="A28697" s="3" t="str">
        <f>IFERROR(__xludf.DUMMYFUNCTION("GOOGLETRANSLATE(A28697,""en"",""pt"")"),"períodos longos de download")</f>
        <v>períodos longos de download</v>
      </c>
      <c r="B28697" s="3">
        <v>0</v>
      </c>
    </row>
    <row r="28698" ht="15.75" customHeight="1" spans="1:2">
      <c r="A28698" s="3" t="str">
        <f>IFERROR(__xludf.DUMMYFUNCTION("GOOGLETRANSLATE(A28698,""en"",""pt"")"),"recurso retrair Lens, Alkaline vida útil da bateria")</f>
        <v>recurso retrair Lens, Alkaline vida útil da bateria</v>
      </c>
      <c r="B28698" s="3">
        <v>0</v>
      </c>
    </row>
    <row r="28699" ht="15.75" customHeight="1" spans="1:2">
      <c r="A28699" s="3" t="str">
        <f>IFERROR(__xludf.DUMMYFUNCTION("GOOGLETRANSLATE(A28699,""en"",""pt"")"),"A vida da bateria")</f>
        <v>A vida da bateria</v>
      </c>
      <c r="B28699" s="3">
        <v>0</v>
      </c>
    </row>
    <row r="28700" ht="15.75" customHeight="1" spans="1:2">
      <c r="A28700" s="3" t="str">
        <f>IFERROR(__xludf.DUMMYFUNCTION("GOOGLETRANSLATE(A28700,""en"",""pt"")"),"Battrey curto espaço de tempo; F-stop não controbable; memória disponível é limitada a 16 mg.")</f>
        <v>Battrey curto espaço de tempo; F-stop não controbable; memória disponível é limitada a 16 mg.</v>
      </c>
      <c r="B28700" s="3">
        <v>0</v>
      </c>
    </row>
    <row r="28701" ht="15.75" customHeight="1" spans="1:2">
      <c r="A28701" s="3" t="str">
        <f>IFERROR(__xludf.DUMMYFUNCTION("GOOGLETRANSLATE(A28701,""en"",""pt"")"),"Come baterias.")</f>
        <v>Come baterias.</v>
      </c>
      <c r="B28701" s="3">
        <v>0</v>
      </c>
    </row>
    <row r="28702" ht="15.75" customHeight="1" spans="1:2">
      <c r="A28702" s="3" t="str">
        <f>IFERROR(__xludf.DUMMYFUNCTION("GOOGLETRANSLATE(A28702,""en"",""pt"")"),"Quando você ligar a câmera, você precisa empurrar para trás a tampa da lente - posteriormente, a lente saia. Para desligar a câmera, você precisa fechar a metade de direcções tampa da lente ea lente automaticamente deve recuar. Isso nem sempre acontece se"&amp;"m problemas.")</f>
        <v>Quando você ligar a câmera, você precisa empurrar para trás a tampa da lente - posteriormente, a lente saia. Para desligar a câmera, você precisa fechar a metade de direcções tampa da lente ea lente automaticamente deve recuar. Isso nem sempre acontece sem problemas.</v>
      </c>
      <c r="B28702" s="3">
        <v>0</v>
      </c>
    </row>
    <row r="28703" ht="15.75" customHeight="1" spans="1:2">
      <c r="A28703" s="3" t="str">
        <f>IFERROR(__xludf.DUMMYFUNCTION("GOOGLETRANSLATE(A28703,""en"",""pt"")"),"caixa de plástico barato, não tem porta USB")</f>
        <v>caixa de plástico barato, não tem porta USB</v>
      </c>
      <c r="B28703" s="3">
        <v>0</v>
      </c>
    </row>
    <row r="28704" ht="15.75" customHeight="1" spans="1:2">
      <c r="A28704" s="3" t="str">
        <f>IFERROR(__xludf.DUMMYFUNCTION("GOOGLETRANSLATE(A28704,""en"",""pt"")"),"Limitadas capacidades de manipulação de luz. Pobre fidelidade de cores.")</f>
        <v>Limitadas capacidades de manipulação de luz. Pobre fidelidade de cores.</v>
      </c>
      <c r="B28704" s="3">
        <v>0</v>
      </c>
    </row>
    <row r="28705" ht="15.75" customHeight="1" spans="1:2">
      <c r="A28705" s="3" t="str">
        <f>IFERROR(__xludf.DUMMYFUNCTION("GOOGLETRANSLATE(A28705,""en"",""pt"")"),"baterias come AA rápidos")</f>
        <v>baterias come AA rápidos</v>
      </c>
      <c r="B28705" s="3">
        <v>0</v>
      </c>
    </row>
    <row r="28706" ht="15.75" customHeight="1" spans="1:2">
      <c r="A28706" s="3" t="str">
        <f>IFERROR(__xludf.DUMMYFUNCTION("GOOGLETRANSLATE(A28706,""en"",""pt"")"),"Nenhum!")</f>
        <v>Nenhum!</v>
      </c>
      <c r="B28706" s="3">
        <v>0</v>
      </c>
    </row>
    <row r="28707" ht="15.75" customHeight="1" spans="1:2">
      <c r="A28707" s="3" t="str">
        <f>IFERROR(__xludf.DUMMYFUNCTION("GOOGLETRANSLATE(A28707,""en"",""pt"")"),"Didnt' vêm com um caso carring")</f>
        <v>Didnt' vêm com um caso carring</v>
      </c>
      <c r="B28707" s="3">
        <v>0</v>
      </c>
    </row>
    <row r="28708" ht="15.75" customHeight="1" spans="1:2">
      <c r="A28708" s="3" t="str">
        <f>IFERROR(__xludf.DUMMYFUNCTION("GOOGLETRANSLATE(A28708,""en"",""pt"")"),"vida útil da bateria, o tempo de carregamento")</f>
        <v>vida útil da bateria, o tempo de carregamento</v>
      </c>
      <c r="B28708" s="3">
        <v>0</v>
      </c>
    </row>
    <row r="28709" ht="15.75" customHeight="1" spans="1:2">
      <c r="A28709" s="3" t="str">
        <f>IFERROR(__xludf.DUMMYFUNCTION("GOOGLETRANSLATE(A28709,""en"",""pt"")"),"sem zoom, ligeiro atraso depois de tomar pic, deve ter baterias de lítio para a melhor vida")</f>
        <v>sem zoom, ligeiro atraso depois de tomar pic, deve ter baterias de lítio para a melhor vida</v>
      </c>
      <c r="B28709" s="3">
        <v>0</v>
      </c>
    </row>
    <row r="28710" ht="15.75" customHeight="1" spans="1:2">
      <c r="A28710" s="3" t="str">
        <f>IFERROR(__xludf.DUMMYFUNCTION("GOOGLETRANSLATE(A28710,""en"",""pt"")"),"Algum tempo melhor usar visor")</f>
        <v>Algum tempo melhor usar visor</v>
      </c>
      <c r="B28710" s="3">
        <v>0</v>
      </c>
    </row>
    <row r="28711" ht="15.75" customHeight="1" spans="1:2">
      <c r="A28711" s="3" t="str">
        <f>IFERROR(__xludf.DUMMYFUNCTION("GOOGLETRANSLATE(A28711,""en"",""pt"")"),"aborrecimento upload. &amp; Amp; quot; Techy &amp; amp; quot; manual e não é tão fácil de usar.")</f>
        <v>aborrecimento upload. &amp; Amp; quot; Techy &amp; amp; quot; manual e não é tão fácil de usar.</v>
      </c>
      <c r="B28711" s="3">
        <v>0</v>
      </c>
    </row>
    <row r="28712" ht="15.75" customHeight="1" spans="1:2">
      <c r="A28712" s="3" t="str">
        <f>IFERROR(__xludf.DUMMYFUNCTION("GOOGLETRANSLATE(A28712,""en"",""pt"")"),"Sem Zoom Óptico, No USB")</f>
        <v>Sem Zoom Óptico, No USB</v>
      </c>
      <c r="B28712" s="3">
        <v>0</v>
      </c>
    </row>
    <row r="28713" ht="15.75" customHeight="1" spans="1:2">
      <c r="A28713" s="3" t="str">
        <f>IFERROR(__xludf.DUMMYFUNCTION("GOOGLETRANSLATE(A28713,""en"",""pt"")"),"baterias orçamento limitado (menos que você tenha as recarregáveis ​​NiMH)")</f>
        <v>baterias orçamento limitado (menos que você tenha as recarregáveis ​​NiMH)</v>
      </c>
      <c r="B28713" s="3">
        <v>0</v>
      </c>
    </row>
    <row r="28714" ht="15.75" customHeight="1" spans="1:2">
      <c r="A28714" s="3" t="str">
        <f>IFERROR(__xludf.DUMMYFUNCTION("GOOGLETRANSLATE(A28714,""en"",""pt"")"),"sem um adaptador AC")</f>
        <v>sem um adaptador AC</v>
      </c>
      <c r="B28714" s="3">
        <v>0</v>
      </c>
    </row>
    <row r="28715" ht="15.75" customHeight="1" spans="1:2">
      <c r="A28715" s="3" t="str">
        <f>IFERROR(__xludf.DUMMYFUNCTION("GOOGLETRANSLATE(A28715,""en"",""pt"")"),"Sem USB, apenas 1,3 megapixel, vida de bateria fraca")</f>
        <v>Sem USB, apenas 1,3 megapixel, vida de bateria fraca</v>
      </c>
      <c r="B28715" s="3">
        <v>0</v>
      </c>
    </row>
    <row r="28716" ht="15.75" customHeight="1" spans="1:2">
      <c r="A28716" s="3" t="str">
        <f>IFERROR(__xludf.DUMMYFUNCTION("GOOGLETRANSLATE(A28716,""en"",""pt"")"),"o consumo da bateria")</f>
        <v>o consumo da bateria</v>
      </c>
      <c r="B28716" s="3">
        <v>0</v>
      </c>
    </row>
    <row r="28717" ht="15.75" customHeight="1" spans="1:2">
      <c r="A28717" s="3" t="str">
        <f>IFERROR(__xludf.DUMMYFUNCTION("GOOGLETRANSLATE(A28717,""en"",""pt"")"),"O uso de baterias de tela come, manual aparentemente escrito por gorilas")</f>
        <v>O uso de baterias de tela come, manual aparentemente escrito por gorilas</v>
      </c>
      <c r="B28717" s="3">
        <v>0</v>
      </c>
    </row>
    <row r="28718" ht="15.75" customHeight="1" spans="1:2">
      <c r="A28718" s="3" t="str">
        <f>IFERROR(__xludf.DUMMYFUNCTION("GOOGLETRANSLATE(A28718,""en"",""pt"")"),"Não é um zoom")</f>
        <v>Não é um zoom</v>
      </c>
      <c r="B28718" s="3">
        <v>0</v>
      </c>
    </row>
    <row r="28719" ht="15.75" customHeight="1" spans="1:2">
      <c r="A28719" s="3" t="str">
        <f>IFERROR(__xludf.DUMMYFUNCTION("GOOGLETRANSLATE(A28719,""en"",""pt"")"),"drena baterias com pressa, nenhum adaptador AC disponível para adquirir em separado")</f>
        <v>drena baterias com pressa, nenhum adaptador AC disponível para adquirir em separado</v>
      </c>
      <c r="B28719" s="3">
        <v>0</v>
      </c>
    </row>
    <row r="28720" ht="15.75" customHeight="1" spans="1:2">
      <c r="A28720" s="3" t="str">
        <f>IFERROR(__xludf.DUMMYFUNCTION("GOOGLETRANSLATE(A28720,""en"",""pt"")"),"Usa as baterias 4 AA-se rapidamente !!, Camera é pesado")</f>
        <v>Usa as baterias 4 AA-se rapidamente !!, Camera é pesado</v>
      </c>
      <c r="B28720" s="3">
        <v>0</v>
      </c>
    </row>
    <row r="28721" ht="15.75" customHeight="1" spans="1:2">
      <c r="A28721" s="3" t="str">
        <f>IFERROR(__xludf.DUMMYFUNCTION("GOOGLETRANSLATE(A28721,""en"",""pt"")"),"A vida da bateria &amp; amp; amp; tempo de download")</f>
        <v>A vida da bateria &amp; amp; amp; tempo de download</v>
      </c>
      <c r="B28721" s="3">
        <v>0</v>
      </c>
    </row>
    <row r="28722" ht="15.75" customHeight="1" spans="1:2">
      <c r="A28722" s="3" t="str">
        <f>IFERROR(__xludf.DUMMYFUNCTION("GOOGLETRANSLATE(A28722,""en"",""pt"")"),"Passa por baterias como louco.")</f>
        <v>Passa por baterias como louco.</v>
      </c>
      <c r="B28722" s="3">
        <v>0</v>
      </c>
    </row>
    <row r="28723" ht="15.75" customHeight="1" spans="1:2">
      <c r="A28723" s="3" t="str">
        <f>IFERROR(__xludf.DUMMYFUNCTION("GOOGLETRANSLATE(A28723,""en"",""pt"")"),"o uso da bateria")</f>
        <v>o uso da bateria</v>
      </c>
      <c r="B28723" s="3">
        <v>0</v>
      </c>
    </row>
    <row r="28724" ht="15.75" customHeight="1" spans="1:2">
      <c r="A28724" s="3" t="str">
        <f>IFERROR(__xludf.DUMMYFUNCTION("GOOGLETRANSLATE(A28724,""en"",""pt"")"),"menus, extensão lente / tempo de retracção")</f>
        <v>menus, extensão lente / tempo de retracção</v>
      </c>
      <c r="B28724" s="3">
        <v>0</v>
      </c>
    </row>
    <row r="28725" ht="15.75" customHeight="1" spans="1:2">
      <c r="A28725" s="3" t="str">
        <f>IFERROR(__xludf.DUMMYFUNCTION("GOOGLETRANSLATE(A28725,""en"",""pt"")"),"cartão de 8 MB é muito pequeno; LCD drena as baterias rapidamente")</f>
        <v>cartão de 8 MB é muito pequeno; LCD drena as baterias rapidamente</v>
      </c>
      <c r="B28725" s="3">
        <v>0</v>
      </c>
    </row>
    <row r="28726" ht="15.75" customHeight="1" spans="1:2">
      <c r="A28726" s="3" t="str">
        <f>IFERROR(__xludf.DUMMYFUNCTION("GOOGLETRANSLATE(A28726,""en"",""pt"")"),"Alto uso da bateria")</f>
        <v>Alto uso da bateria</v>
      </c>
      <c r="B28726" s="3">
        <v>0</v>
      </c>
    </row>
    <row r="28727" ht="15.75" customHeight="1" spans="1:2">
      <c r="A28727" s="3" t="str">
        <f>IFERROR(__xludf.DUMMYFUNCTION("GOOGLETRANSLATE(A28727,""en"",""pt"")"),"Ama as baterias! Comprar as baterias de níquel-hidreto metálico recarregáveis ​​elas durarem 3 vezes enquanto baterias recarregáveis ​​normais")</f>
        <v>Ama as baterias! Comprar as baterias de níquel-hidreto metálico recarregáveis ​​elas durarem 3 vezes enquanto baterias recarregáveis ​​normais</v>
      </c>
      <c r="B28727" s="3">
        <v>0</v>
      </c>
    </row>
    <row r="28728" ht="15.75" customHeight="1" spans="1:2">
      <c r="A28728" s="3" t="str">
        <f>IFERROR(__xludf.DUMMYFUNCTION("GOOGLETRANSLATE(A28728,""en"",""pt"")"),"porta Cheezy que se abre para o compartimento do cartão de memória, e você não pode adicionar lentes de rosca para esta lente para proteção adicional.")</f>
        <v>porta Cheezy que se abre para o compartimento do cartão de memória, e você não pode adicionar lentes de rosca para esta lente para proteção adicional.</v>
      </c>
      <c r="B28728" s="3">
        <v>0</v>
      </c>
    </row>
    <row r="28729" ht="15.75" customHeight="1" spans="1:2">
      <c r="A28729" s="3" t="str">
        <f>IFERROR(__xludf.DUMMYFUNCTION("GOOGLETRANSLATE(A28729,""en"",""pt"")"),"controles intuitivos para configurações detalhadas")</f>
        <v>controles intuitivos para configurações detalhadas</v>
      </c>
      <c r="B28729" s="3">
        <v>0</v>
      </c>
    </row>
    <row r="28730" ht="15.75" customHeight="1" spans="1:2">
      <c r="A28730" s="3" t="str">
        <f>IFERROR(__xludf.DUMMYFUNCTION("GOOGLETRANSLATE(A28730,""en"",""pt"")"),"Corpo arranha facilmente")</f>
        <v>Corpo arranha facilmente</v>
      </c>
      <c r="B28730" s="3">
        <v>0</v>
      </c>
    </row>
    <row r="28731" ht="15.75" customHeight="1" spans="1:2">
      <c r="A28731" s="3" t="str">
        <f>IFERROR(__xludf.DUMMYFUNCTION("GOOGLETRANSLATE(A28731,""en"",""pt"")"),"Complicado consumo Manual, poder com LCD on, não inclui adaptador AC, resposta lenta para pronto para o próximo tiro, nem sempre menuing intuitiva")</f>
        <v>Complicado consumo Manual, poder com LCD on, não inclui adaptador AC, resposta lenta para pronto para o próximo tiro, nem sempre menuing intuitiva</v>
      </c>
      <c r="B28731" s="3">
        <v>0</v>
      </c>
    </row>
    <row r="28732" ht="15.75" customHeight="1" spans="1:2">
      <c r="A28732" s="3" t="str">
        <f>IFERROR(__xludf.DUMMYFUNCTION("GOOGLETRANSLATE(A28732,""en"",""pt"")"),"conflito de software com scanner HP para mim")</f>
        <v>conflito de software com scanner HP para mim</v>
      </c>
      <c r="B28732" s="3">
        <v>0</v>
      </c>
    </row>
    <row r="28733" ht="15.75" customHeight="1" spans="1:2">
      <c r="A28733" s="3" t="str">
        <f>IFERROR(__xludf.DUMMYFUNCTION("GOOGLETRANSLATE(A28733,""en"",""pt"")"),"vida útil da bateria, de olhos vermelhos")</f>
        <v>vida útil da bateria, de olhos vermelhos</v>
      </c>
      <c r="B28733" s="3">
        <v>0</v>
      </c>
    </row>
    <row r="28734" ht="15.75" customHeight="1" spans="1:2">
      <c r="A28734" s="3" t="str">
        <f>IFERROR(__xludf.DUMMYFUNCTION("GOOGLETRANSLATE(A28734,""en"",""pt"")"),"Melhor estoque de um bom suprimento de baterias.")</f>
        <v>Melhor estoque de um bom suprimento de baterias.</v>
      </c>
      <c r="B28734" s="3">
        <v>0</v>
      </c>
    </row>
    <row r="28735" ht="15.75" customHeight="1" spans="1:2">
      <c r="A28735" s="3" t="str">
        <f>IFERROR(__xludf.DUMMYFUNCTION("GOOGLETRANSLATE(A28735,""en"",""pt"")"),"Um Baterias palavra-.")</f>
        <v>Um Baterias palavra-.</v>
      </c>
      <c r="B28735" s="3">
        <v>0</v>
      </c>
    </row>
    <row r="28736" ht="15.75" customHeight="1" spans="1:2">
      <c r="A28736" s="3" t="str">
        <f>IFERROR(__xludf.DUMMYFUNCTION("GOOGLETRANSLATE(A28736,""en"",""pt"")"),"Características demorar um pouco para aprender &amp; amp; # 13; &amp; amp; # 10; botões de menu difícil identificar")</f>
        <v>Características demorar um pouco para aprender &amp; amp; # 13; &amp; amp; # 10; botões de menu difícil identificar</v>
      </c>
      <c r="B28736" s="3">
        <v>0</v>
      </c>
    </row>
    <row r="28737" ht="15.75" customHeight="1" spans="1:2">
      <c r="A28737" s="3" t="str">
        <f>IFERROR(__xludf.DUMMYFUNCTION("GOOGLETRANSLATE(A28737,""en"",""pt"")"),"pobre vida útil da bateria e interface de usuário difícil")</f>
        <v>pobre vida útil da bateria e interface de usuário difícil</v>
      </c>
      <c r="B28737" s="3">
        <v>0</v>
      </c>
    </row>
    <row r="28738" ht="15.75" customHeight="1" spans="1:2">
      <c r="A28738" s="3" t="str">
        <f>IFERROR(__xludf.DUMMYFUNCTION("GOOGLETRANSLATE(A28738,""en"",""pt"")"),"display LCD lento")</f>
        <v>display LCD lento</v>
      </c>
      <c r="B28738" s="3">
        <v>0</v>
      </c>
    </row>
    <row r="28739" ht="15.75" customHeight="1" spans="1:2">
      <c r="A28739" s="3" t="str">
        <f>IFERROR(__xludf.DUMMYFUNCTION("GOOGLETRANSLATE(A28739,""en"",""pt"")"),"poderia usar mais capacidade de memória")</f>
        <v>poderia usar mais capacidade de memória</v>
      </c>
      <c r="B28739" s="3">
        <v>0</v>
      </c>
    </row>
    <row r="28740" ht="15.75" customHeight="1" spans="1:2">
      <c r="A28740" s="3" t="str">
        <f>IFERROR(__xludf.DUMMYFUNCTION("GOOGLETRANSLATE(A28740,""en"",""pt"")"),"leva alguns segundos a mais do que algumas outras câmeras digitais para rever fotos usando os botões +/-")</f>
        <v>leva alguns segundos a mais do que algumas outras câmeras digitais para rever fotos usando os botões +/-</v>
      </c>
      <c r="B28740" s="3">
        <v>0</v>
      </c>
    </row>
    <row r="28741" ht="15.75" customHeight="1" spans="1:2">
      <c r="A28741" s="3" t="str">
        <f>IFERROR(__xludf.DUMMYFUNCTION("GOOGLETRANSLATE(A28741,""en"",""pt"")"),"apenas 1,3 megapixel")</f>
        <v>apenas 1,3 megapixel</v>
      </c>
      <c r="B28741" s="3">
        <v>0</v>
      </c>
    </row>
    <row r="28742" ht="15.75" customHeight="1" spans="1:2">
      <c r="A28742" s="3" t="str">
        <f>IFERROR(__xludf.DUMMYFUNCTION("GOOGLETRANSLATE(A28742,""en"",""pt"")"),"captura lento depois mantendo gatilho")</f>
        <v>captura lento depois mantendo gatilho</v>
      </c>
      <c r="B28742" s="3">
        <v>0</v>
      </c>
    </row>
    <row r="28743" ht="15.75" customHeight="1" spans="1:2">
      <c r="A28743" s="3" t="str">
        <f>IFERROR(__xludf.DUMMYFUNCTION("GOOGLETRANSLATE(A28743,""en"",""pt"")"),"Tome um pouco de tempo para se acostumar")</f>
        <v>Tome um pouco de tempo para se acostumar</v>
      </c>
      <c r="B28743" s="3">
        <v>0</v>
      </c>
    </row>
    <row r="28744" ht="15.75" customHeight="1" spans="1:2">
      <c r="A28744" s="3" t="str">
        <f>IFERROR(__xludf.DUMMYFUNCTION("GOOGLETRANSLATE(A28744,""en"",""pt"")"),"nenhuma porta USB")</f>
        <v>nenhuma porta USB</v>
      </c>
      <c r="B28744" s="3">
        <v>0</v>
      </c>
    </row>
    <row r="28745" ht="15.75" customHeight="1" spans="1:2">
      <c r="A28745" s="3" t="str">
        <f>IFERROR(__xludf.DUMMYFUNCTION("GOOGLETRANSLATE(A28745,""en"",""pt"")"),"Você pode perder os velhos álbuns de fotos no início, mas você começar a usar isso.")</f>
        <v>Você pode perder os velhos álbuns de fotos no início, mas você começar a usar isso.</v>
      </c>
      <c r="B28745" s="3">
        <v>0</v>
      </c>
    </row>
    <row r="28746" ht="15.75" customHeight="1" spans="1:2">
      <c r="A28746" s="3" t="str">
        <f>IFERROR(__xludf.DUMMYFUNCTION("GOOGLETRANSLATE(A28746,""en"",""pt"")"),"fotos de carregamento lento para o computador.")</f>
        <v>fotos de carregamento lento para o computador.</v>
      </c>
      <c r="B28746" s="3">
        <v>0</v>
      </c>
    </row>
    <row r="28747" ht="15.75" customHeight="1" spans="1:2">
      <c r="A28747" s="3" t="str">
        <f>IFERROR(__xludf.DUMMYFUNCTION("GOOGLETRANSLATE(A28747,""en"",""pt"")"),"um pouco volumoso, flash não é automática")</f>
        <v>um pouco volumoso, flash não é automática</v>
      </c>
      <c r="B28747" s="3">
        <v>0</v>
      </c>
    </row>
    <row r="28748" ht="15.75" customHeight="1" spans="1:2">
      <c r="A28748" s="3" t="str">
        <f>IFERROR(__xludf.DUMMYFUNCTION("GOOGLETRANSLATE(A28748,""en"",""pt"")"),"Fácil esquecer de flip-up flash, que pode compreender o botão ícones?")</f>
        <v>Fácil esquecer de flip-up flash, que pode compreender o botão ícones?</v>
      </c>
      <c r="B28748" s="3">
        <v>0</v>
      </c>
    </row>
    <row r="28749" ht="15.75" customHeight="1" spans="1:2">
      <c r="A28749" s="3" t="str">
        <f>IFERROR(__xludf.DUMMYFUNCTION("GOOGLETRANSLATE(A28749,""en"",""pt"")"),"mais caro para imprimir fotos")</f>
        <v>mais caro para imprimir fotos</v>
      </c>
      <c r="B28749" s="3">
        <v>0</v>
      </c>
    </row>
    <row r="28750" ht="15.75" customHeight="1" spans="1:2">
      <c r="A28750" s="3" t="str">
        <f>IFERROR(__xludf.DUMMYFUNCTION("GOOGLETRANSLATE(A28750,""en"",""pt"")"),"Flash Overexposed, às vezes botões arcanos e menus.")</f>
        <v>Flash Overexposed, às vezes botões arcanos e menus.</v>
      </c>
      <c r="B28750" s="3">
        <v>0</v>
      </c>
    </row>
    <row r="28751" ht="15.75" customHeight="1" spans="1:2">
      <c r="A28751" s="3" t="str">
        <f>IFERROR(__xludf.DUMMYFUNCTION("GOOGLETRANSLATE(A28751,""en"",""pt"")"),"Nenhum")</f>
        <v>Nenhum</v>
      </c>
      <c r="B28751" s="3">
        <v>0</v>
      </c>
    </row>
    <row r="28752" ht="15.75" customHeight="1" spans="1:2">
      <c r="A28752" s="3" t="str">
        <f>IFERROR(__xludf.DUMMYFUNCTION("GOOGLETRANSLATE(A28752,""en"",""pt"")"),"Nenhum")</f>
        <v>Nenhum</v>
      </c>
      <c r="B28752" s="3">
        <v>0</v>
      </c>
    </row>
    <row r="28753" ht="15.75" customHeight="1" spans="1:2">
      <c r="A28753" s="3" t="str">
        <f>IFERROR(__xludf.DUMMYFUNCTION("GOOGLETRANSLATE(A28753,""en"",""pt"")"),"Requer software, a vida da bateria curta")</f>
        <v>Requer software, a vida da bateria curta</v>
      </c>
      <c r="B28753" s="3">
        <v>0</v>
      </c>
    </row>
    <row r="28754" ht="15.75" customHeight="1" spans="1:2">
      <c r="A28754" s="3" t="str">
        <f>IFERROR(__xludf.DUMMYFUNCTION("GOOGLETRANSLATE(A28754,""en"",""pt"")"),"Passa por baterias rápido !!")</f>
        <v>Passa por baterias rápido !!</v>
      </c>
      <c r="B28754" s="3">
        <v>0</v>
      </c>
    </row>
    <row r="28755" ht="15.75" customHeight="1" spans="1:2">
      <c r="A28755" s="3" t="str">
        <f>IFERROR(__xludf.DUMMYFUNCTION("GOOGLETRANSLATE(A28755,""en"",""pt"")"),"Manual, alcance do flash limitado de usuários")</f>
        <v>Manual, alcance do flash limitado de usuários</v>
      </c>
      <c r="B28755" s="3">
        <v>0</v>
      </c>
    </row>
    <row r="28756" ht="15.75" customHeight="1" spans="1:2">
      <c r="A28756" s="3" t="str">
        <f>IFERROR(__xludf.DUMMYFUNCTION("GOOGLETRANSLATE(A28756,""en"",""pt"")"),"Necessidades maleta para proteção")</f>
        <v>Necessidades maleta para proteção</v>
      </c>
      <c r="B28756" s="3">
        <v>0</v>
      </c>
    </row>
    <row r="28757" ht="15.75" customHeight="1" spans="1:2">
      <c r="A28757" s="3" t="str">
        <f>IFERROR(__xludf.DUMMYFUNCTION("GOOGLETRANSLATE(A28757,""en"",""pt"")"),"baterias gobbles")</f>
        <v>baterias gobbles</v>
      </c>
      <c r="B28757" s="3">
        <v>0</v>
      </c>
    </row>
    <row r="28758" ht="15.75" customHeight="1" spans="1:2">
      <c r="A28758" s="3" t="str">
        <f>IFERROR(__xludf.DUMMYFUNCTION("GOOGLETRANSLATE(A28758,""en"",""pt"")"),"não menus ergonômicas, conexão lenta com o pc")</f>
        <v>não menus ergonômicas, conexão lenta com o pc</v>
      </c>
      <c r="B28758" s="3">
        <v>0</v>
      </c>
    </row>
    <row r="28759" ht="15.75" customHeight="1" spans="1:2">
      <c r="A28759" s="3" t="str">
        <f>IFERROR(__xludf.DUMMYFUNCTION("GOOGLETRANSLATE(A28759,""en"",""pt"")"),"muito pequeno para grandes mãos")</f>
        <v>muito pequeno para grandes mãos</v>
      </c>
      <c r="B28759" s="3">
        <v>0</v>
      </c>
    </row>
    <row r="28760" ht="15.75" customHeight="1" spans="1:2">
      <c r="A28760" s="3" t="str">
        <f>IFERROR(__xludf.DUMMYFUNCTION("GOOGLETRANSLATE(A28760,""en"",""pt"")"),"Não é possível adicionar quaisquer outras lentes. Mas a maioria dos digitals são assim.")</f>
        <v>Não é possível adicionar quaisquer outras lentes. Mas a maioria dos digitals são assim.</v>
      </c>
      <c r="B28760" s="3">
        <v>0</v>
      </c>
    </row>
    <row r="28761" ht="15.75" customHeight="1" spans="1:2">
      <c r="A28761" s="3" t="str">
        <f>IFERROR(__xludf.DUMMYFUNCTION("GOOGLETRANSLATE(A28761,""en"",""pt"")"),"No pop-up automático de flash")</f>
        <v>No pop-up automático de flash</v>
      </c>
      <c r="B28761" s="3">
        <v>0</v>
      </c>
    </row>
    <row r="28762" ht="15.75" customHeight="1" spans="1:2">
      <c r="A28762" s="3" t="str">
        <f>IFERROR(__xludf.DUMMYFUNCTION("GOOGLETRANSLATE(A28762,""en"",""pt"")"),"sistema de menus é um pouco claro (você deve ler o manual, então é muito bom)")</f>
        <v>sistema de menus é um pouco claro (você deve ler o manual, então é muito bom)</v>
      </c>
      <c r="B28762" s="3">
        <v>0</v>
      </c>
    </row>
    <row r="28763" ht="15.75" customHeight="1" spans="1:2">
      <c r="A28763" s="3" t="str">
        <f>IFERROR(__xludf.DUMMYFUNCTION("GOOGLETRANSLATE(A28763,""en"",""pt"")"),"Passa por baterias tipo de jejum com o LCD ligado")</f>
        <v>Passa por baterias tipo de jejum com o LCD ligado</v>
      </c>
      <c r="B28763" s="3">
        <v>0</v>
      </c>
    </row>
    <row r="28764" ht="15.75" customHeight="1" spans="1:2">
      <c r="A28764" s="3" t="str">
        <f>IFERROR(__xludf.DUMMYFUNCTION("GOOGLETRANSLATE(A28764,""en"",""pt"")"),"a vida da bateria menor do que o esperado")</f>
        <v>a vida da bateria menor do que o esperado</v>
      </c>
      <c r="B28764" s="3">
        <v>0</v>
      </c>
    </row>
    <row r="28765" ht="15.75" customHeight="1" spans="1:2">
      <c r="A28765" s="3" t="str">
        <f>IFERROR(__xludf.DUMMYFUNCTION("GOOGLETRANSLATE(A28765,""en"",""pt"")"),"Menu / botões precisam ser aprendidas, display LCD lento")</f>
        <v>Menu / botões precisam ser aprendidas, display LCD lento</v>
      </c>
      <c r="B28765" s="3">
        <v>0</v>
      </c>
    </row>
    <row r="28766" ht="15.75" customHeight="1" spans="1:2">
      <c r="A28766" s="3" t="str">
        <f>IFERROR(__xludf.DUMMYFUNCTION("GOOGLETRANSLATE(A28766,""en"",""pt"")"),"custo dos acessórios, curva de aprendizado")</f>
        <v>custo dos acessórios, curva de aprendizado</v>
      </c>
      <c r="B28766" s="3">
        <v>0</v>
      </c>
    </row>
    <row r="28767" ht="15.75" customHeight="1" spans="1:2">
      <c r="A28767" s="3" t="str">
        <f>IFERROR(__xludf.DUMMYFUNCTION("GOOGLETRANSLATE(A28767,""en"",""pt"")"),"difícil de encontrar")</f>
        <v>difícil de encontrar</v>
      </c>
      <c r="B28767" s="3">
        <v>0</v>
      </c>
    </row>
    <row r="28768" ht="15.75" customHeight="1" spans="1:2">
      <c r="A28768" s="3" t="str">
        <f>IFERROR(__xludf.DUMMYFUNCTION("GOOGLETRANSLATE(A28768,""en"",""pt"")"),"Preços mais elevados e as baterias são consumidos rapidamente")</f>
        <v>Preços mais elevados e as baterias são consumidos rapidamente</v>
      </c>
      <c r="B28768" s="3">
        <v>0</v>
      </c>
    </row>
    <row r="28769" ht="15.75" customHeight="1" spans="1:2">
      <c r="A28769" s="3" t="str">
        <f>IFERROR(__xludf.DUMMYFUNCTION("GOOGLETRANSLATE(A28769,""en"",""pt"")"),"reparos levar meses, nenhuma conectividade USB, imprecisão de cores, barato armação de plástico")</f>
        <v>reparos levar meses, nenhuma conectividade USB, imprecisão de cores, barato armação de plástico</v>
      </c>
      <c r="B28769" s="3">
        <v>0</v>
      </c>
    </row>
    <row r="28770" ht="15.75" customHeight="1" spans="1:2">
      <c r="A28770" s="3" t="str">
        <f>IFERROR(__xludf.DUMMYFUNCTION("GOOGLETRANSLATE(A28770,""en"",""pt"")"),"Na extremidade inferior da resolução")</f>
        <v>Na extremidade inferior da resolução</v>
      </c>
      <c r="B28770" s="3">
        <v>0</v>
      </c>
    </row>
    <row r="28771" ht="15.75" customHeight="1" spans="1:2">
      <c r="A28771" s="3" t="str">
        <f>IFERROR(__xludf.DUMMYFUNCTION("GOOGLETRANSLATE(A28771,""en"",""pt"")"),"Pode quebrar se você jogá-lo fora de seu carro em 50 mph")</f>
        <v>Pode quebrar se você jogá-lo fora de seu carro em 50 mph</v>
      </c>
      <c r="B28771" s="3">
        <v>0</v>
      </c>
    </row>
    <row r="28772" ht="15.75" customHeight="1" spans="1:2">
      <c r="A28772" s="3" t="str">
        <f>IFERROR(__xludf.DUMMYFUNCTION("GOOGLETRANSLATE(A28772,""en"",""pt"")"),"Zoom não é tão grande")</f>
        <v>Zoom não é tão grande</v>
      </c>
      <c r="B28772" s="3">
        <v>0</v>
      </c>
    </row>
    <row r="28773" ht="15.75" customHeight="1" spans="1:2">
      <c r="A28773" s="3" t="str">
        <f>IFERROR(__xludf.DUMMYFUNCTION("GOOGLETRANSLATE(A28773,""en"",""pt"")"),"difícil de ler manuais de instruções ..... utiliza baterias muito rápido")</f>
        <v>difícil de ler manuais de instruções ..... utiliza baterias muito rápido</v>
      </c>
      <c r="B28773" s="3">
        <v>0</v>
      </c>
    </row>
    <row r="28774" ht="15.75" customHeight="1" spans="1:2">
      <c r="A28774" s="3" t="str">
        <f>IFERROR(__xludf.DUMMYFUNCTION("GOOGLETRANSLATE(A28774,""en"",""pt"")"),"Esta câmera leva algum tempo para se acostumar. Os acessórios (adaptador AC, adaptador de disco, discos de cartões inteligentes extras etc.) são caros como você tem que comprá-los de fornecedores do 3o partido.")</f>
        <v>Esta câmera leva algum tempo para se acostumar. Os acessórios (adaptador AC, adaptador de disco, discos de cartões inteligentes extras etc.) são caros como você tem que comprá-los de fornecedores do 3o partido.</v>
      </c>
      <c r="B28774" s="3">
        <v>0</v>
      </c>
    </row>
    <row r="28775" ht="15.75" customHeight="1" spans="1:2">
      <c r="A28775" s="3" t="str">
        <f>IFERROR(__xludf.DUMMYFUNCTION("GOOGLETRANSLATE(A28775,""en"",""pt"")"),"Baterias se esgotam rapidamente")</f>
        <v>Baterias se esgotam rapidamente</v>
      </c>
      <c r="B28775" s="3">
        <v>0</v>
      </c>
    </row>
    <row r="28776" ht="15.75" customHeight="1" spans="1:2">
      <c r="A28776" s="3" t="str">
        <f>IFERROR(__xludf.DUMMYFUNCTION("GOOGLETRANSLATE(A28776,""en"",""pt"")"),"Flash faz, menores irrita ergonômicas não auto pop-up")</f>
        <v>Flash faz, menores irrita ergonômicas não auto pop-up</v>
      </c>
      <c r="B28776" s="3">
        <v>0</v>
      </c>
    </row>
    <row r="28777" ht="15.75" customHeight="1" spans="1:2">
      <c r="A28777" s="3" t="str">
        <f>IFERROR(__xludf.DUMMYFUNCTION("GOOGLETRANSLATE(A28777,""en"",""pt"")"),"não é uma coisa abençoada")</f>
        <v>não é uma coisa abençoada</v>
      </c>
      <c r="B28777" s="3">
        <v>0</v>
      </c>
    </row>
    <row r="28778" ht="15.75" customHeight="1" spans="1:2">
      <c r="A28778" s="3" t="str">
        <f>IFERROR(__xludf.DUMMYFUNCTION("GOOGLETRANSLATE(A28778,""en"",""pt"")"),"impressão")</f>
        <v>impressão</v>
      </c>
      <c r="B28778" s="3">
        <v>0</v>
      </c>
    </row>
    <row r="28779" ht="15.75" customHeight="1" spans="1:2">
      <c r="A28779" s="3" t="str">
        <f>IFERROR(__xludf.DUMMYFUNCTION("GOOGLETRANSLATE(A28779,""en"",""pt"")"),"Gostaria que você pudesse carregar com filme também.")</f>
        <v>Gostaria que você pudesse carregar com filme também.</v>
      </c>
      <c r="B28779" s="3">
        <v>0</v>
      </c>
    </row>
    <row r="28780" ht="15.75" customHeight="1" spans="1:2">
      <c r="A28780" s="3" t="str">
        <f>IFERROR(__xludf.DUMMYFUNCTION("GOOGLETRANSLATE(A28780,""en"",""pt"")"),"ícones de botões são um pouco fora do padrão, download para PC é lento sem adaptadores, não salvar configurações apresentam")</f>
        <v>ícones de botões são um pouco fora do padrão, download para PC é lento sem adaptadores, não salvar configurações apresentam</v>
      </c>
      <c r="B28780" s="3">
        <v>0</v>
      </c>
    </row>
    <row r="28781" ht="15.75" customHeight="1" spans="1:2">
      <c r="A28781" s="3" t="str">
        <f>IFERROR(__xludf.DUMMYFUNCTION("GOOGLETRANSLATE(A28781,""en"",""pt"")"),"não lidar bem com brilho, sem profundidade de campo, as imagens granuladas e / ou difusa em boa resolution- completa por apenas trabalho web")</f>
        <v>não lidar bem com brilho, sem profundidade de campo, as imagens granuladas e / ou difusa em boa resolution- completa por apenas trabalho web</v>
      </c>
      <c r="B28781" s="3">
        <v>0</v>
      </c>
    </row>
    <row r="28782" ht="15.75" customHeight="1" spans="1:2">
      <c r="A28782" s="3" t="str">
        <f>IFERROR(__xludf.DUMMYFUNCTION("GOOGLETRANSLATE(A28782,""en"",""pt"")"),"Deslizante pontas de cobertura de retracção da lente objectiva")</f>
        <v>Deslizante pontas de cobertura de retracção da lente objectiva</v>
      </c>
      <c r="B28782" s="3">
        <v>0</v>
      </c>
    </row>
    <row r="28783" ht="15.75" customHeight="1" spans="1:2">
      <c r="A28783" s="3" t="str">
        <f>IFERROR(__xludf.DUMMYFUNCTION("GOOGLETRANSLATE(A28783,""en"",""pt"")"),"Controles poderia ser mais simples, poderia ter USB em vez de série")</f>
        <v>Controles poderia ser mais simples, poderia ter USB em vez de série</v>
      </c>
      <c r="B28783" s="3">
        <v>0</v>
      </c>
    </row>
    <row r="28784" ht="15.75" customHeight="1" spans="1:2">
      <c r="A28784" s="3" t="str">
        <f>IFERROR(__xludf.DUMMYFUNCTION("GOOGLETRANSLATE(A28784,""en"",""pt"")"),"LCD consome baterias muito rapidamente")</f>
        <v>LCD consome baterias muito rapidamente</v>
      </c>
      <c r="B28784" s="3">
        <v>0</v>
      </c>
    </row>
    <row r="28785" ht="15.75" customHeight="1" spans="1:2">
      <c r="A28785" s="3" t="str">
        <f>IFERROR(__xludf.DUMMYFUNCTION("GOOGLETRANSLATE(A28785,""en"",""pt"")"),"ainda tentando descobrir algumas das características")</f>
        <v>ainda tentando descobrir algumas das características</v>
      </c>
      <c r="B28785" s="3">
        <v>0</v>
      </c>
    </row>
    <row r="28786" ht="15.75" customHeight="1" spans="1:2">
      <c r="A28786" s="3" t="str">
        <f>IFERROR(__xludf.DUMMYFUNCTION("GOOGLETRANSLATE(A28786,""en"",""pt"")"),"confundindo controles")</f>
        <v>confundindo controles</v>
      </c>
      <c r="B28786" s="3">
        <v>0</v>
      </c>
    </row>
    <row r="28787" ht="15.75" customHeight="1" spans="1:2">
      <c r="A28787" s="3" t="str">
        <f>IFERROR(__xludf.DUMMYFUNCTION("GOOGLETRANSLATE(A28787,""en"",""pt"")"),"drenos baterias rapidamente")</f>
        <v>drenos baterias rapidamente</v>
      </c>
      <c r="B28787" s="3">
        <v>0</v>
      </c>
    </row>
    <row r="28788" ht="15.75" customHeight="1" spans="1:2">
      <c r="A28788" s="3" t="str">
        <f>IFERROR(__xludf.DUMMYFUNCTION("GOOGLETRANSLATE(A28788,""en"",""pt"")"),"controlos não-intuitivos, ligação em série lento")</f>
        <v>controlos não-intuitivos, ligação em série lento</v>
      </c>
      <c r="B28788" s="3">
        <v>0</v>
      </c>
    </row>
    <row r="28789" ht="15.75" customHeight="1" spans="1:2">
      <c r="A28789" s="3" t="str">
        <f>IFERROR(__xludf.DUMMYFUNCTION("GOOGLETRANSLATE(A28789,""en"",""pt"")"),"sistema de menus é um pouco difícil de entender e lembrar")</f>
        <v>sistema de menus é um pouco difícil de entender e lembrar</v>
      </c>
      <c r="B28789" s="3">
        <v>0</v>
      </c>
    </row>
    <row r="28790" ht="15.75" customHeight="1" spans="1:2">
      <c r="A28790" s="3" t="str">
        <f>IFERROR(__xludf.DUMMYFUNCTION("GOOGLETRANSLATE(A28790,""en"",""pt"")"),"come AAs, nenhum adaptador AC incluído")</f>
        <v>come AAs, nenhum adaptador AC incluído</v>
      </c>
      <c r="B28790" s="3">
        <v>0</v>
      </c>
    </row>
    <row r="28791" ht="15.75" customHeight="1" spans="1:2">
      <c r="A28791" s="3" t="str">
        <f>IFERROR(__xludf.DUMMYFUNCTION("GOOGLETRANSLATE(A28791,""en"",""pt"")"),"zoom total fica embaçada")</f>
        <v>zoom total fica embaçada</v>
      </c>
      <c r="B28791" s="3">
        <v>0</v>
      </c>
    </row>
    <row r="28792" ht="15.75" customHeight="1" spans="1:2">
      <c r="A28792" s="3" t="str">
        <f>IFERROR(__xludf.DUMMYFUNCTION("GOOGLETRANSLATE(A28792,""en"",""pt"")"),"de download lento da câmera para o PC")</f>
        <v>de download lento da câmera para o PC</v>
      </c>
      <c r="B28792" s="3">
        <v>0</v>
      </c>
    </row>
    <row r="28793" ht="15.75" customHeight="1" spans="1:2">
      <c r="A28793" s="3" t="str">
        <f>IFERROR(__xludf.DUMMYFUNCTION("GOOGLETRANSLATE(A28793,""en"",""pt"")"),"interface de usuário pobres")</f>
        <v>interface de usuário pobres</v>
      </c>
      <c r="B28793" s="3">
        <v>0</v>
      </c>
    </row>
    <row r="28794" ht="15.75" customHeight="1" spans="1:2">
      <c r="A28794" s="3" t="str">
        <f>IFERROR(__xludf.DUMMYFUNCTION("GOOGLETRANSLATE(A28794,""en"",""pt"")"),"Que escreveu que manual?")</f>
        <v>Que escreveu que manual?</v>
      </c>
      <c r="B28794" s="3">
        <v>0</v>
      </c>
    </row>
    <row r="28795" ht="15.75" customHeight="1" spans="1:2">
      <c r="A28795" s="3" t="str">
        <f>IFERROR(__xludf.DUMMYFUNCTION("GOOGLETRANSLATE(A28795,""en"",""pt"")"),"Pilhas incluídas impróprio")</f>
        <v>Pilhas incluídas impróprio</v>
      </c>
      <c r="B28795" s="3">
        <v>0</v>
      </c>
    </row>
    <row r="28796" ht="15.75" customHeight="1" spans="1:2">
      <c r="A28796" s="3" t="str">
        <f>IFERROR(__xludf.DUMMYFUNCTION("GOOGLETRANSLATE(A28796,""en"",""pt"")"),"Nenhum ainda")</f>
        <v>Nenhum ainda</v>
      </c>
      <c r="B28796" s="3">
        <v>0</v>
      </c>
    </row>
    <row r="28797" ht="15.75" customHeight="1" spans="1:2">
      <c r="A28797" s="3" t="str">
        <f>IFERROR(__xludf.DUMMYFUNCTION("GOOGLETRANSLATE(A28797,""en"",""pt"")"),"Mastiga através das baterias. Software poderia ser melhor.")</f>
        <v>Mastiga através das baterias. Software poderia ser melhor.</v>
      </c>
      <c r="B28797" s="3">
        <v>0</v>
      </c>
    </row>
    <row r="28798" ht="15.75" customHeight="1" spans="1:2">
      <c r="A28798" s="3" t="str">
        <f>IFERROR(__xludf.DUMMYFUNCTION("GOOGLETRANSLATE(A28798,""en"",""pt"")"),"de download lento, recursos ausentes.")</f>
        <v>de download lento, recursos ausentes.</v>
      </c>
      <c r="B28798" s="3">
        <v>0</v>
      </c>
    </row>
    <row r="28799" ht="15.75" customHeight="1" spans="1:2">
      <c r="A28799" s="3" t="str">
        <f>IFERROR(__xludf.DUMMYFUNCTION("GOOGLETRANSLATE(A28799,""en"",""pt"")"),"alguns detalhes que poderiam ser melhoradas em")</f>
        <v>alguns detalhes que poderiam ser melhoradas em</v>
      </c>
      <c r="B28799" s="3">
        <v>0</v>
      </c>
    </row>
    <row r="28800" ht="15.75" customHeight="1" spans="1:2">
      <c r="A28800" s="3" t="str">
        <f>IFERROR(__xludf.DUMMYFUNCTION("GOOGLETRANSLATE(A28800,""en"",""pt"")"),"As câmeras digitais são ainda pouco acidentado. Cuidar")</f>
        <v>As câmeras digitais são ainda pouco acidentado. Cuidar</v>
      </c>
      <c r="B28800" s="3">
        <v>0</v>
      </c>
    </row>
    <row r="28801" ht="15.75" customHeight="1" spans="1:2">
      <c r="A28801" s="3" t="str">
        <f>IFERROR(__xludf.DUMMYFUNCTION("GOOGLETRANSLATE(A28801,""en"",""pt"")"),"bateria consumir, nenhum caso")</f>
        <v>bateria consumir, nenhum caso</v>
      </c>
      <c r="B28801" s="3">
        <v>0</v>
      </c>
    </row>
    <row r="28802" ht="15.75" customHeight="1" spans="1:2">
      <c r="A28802" s="3" t="str">
        <f>IFERROR(__xludf.DUMMYFUNCTION("GOOGLETRANSLATE(A28802,""en"",""pt"")"),"Não encontrei um ainda")</f>
        <v>Não encontrei um ainda</v>
      </c>
      <c r="B28802" s="3">
        <v>0</v>
      </c>
    </row>
    <row r="28803" ht="15.75" customHeight="1" spans="1:2">
      <c r="A28803" s="3" t="str">
        <f>IFERROR(__xludf.DUMMYFUNCTION("GOOGLETRANSLATE(A28803,""en"",""pt"")"),"É muito fácil de fotos acidentalmente apagar.")</f>
        <v>É muito fácil de fotos acidentalmente apagar.</v>
      </c>
      <c r="B28803" s="3">
        <v>0</v>
      </c>
    </row>
    <row r="28804" ht="15.75" customHeight="1" spans="1:2">
      <c r="A28804" s="3" t="str">
        <f>IFERROR(__xludf.DUMMYFUNCTION("GOOGLETRANSLATE(A28804,""en"",""pt"")"),"Curta vida útil da bateria; Download lento")</f>
        <v>Curta vida útil da bateria; Download lento</v>
      </c>
      <c r="B28804" s="3">
        <v>0</v>
      </c>
    </row>
    <row r="28805" ht="15.75" customHeight="1" spans="1:2">
      <c r="A28805" s="3" t="str">
        <f>IFERROR(__xludf.DUMMYFUNCTION("GOOGLETRANSLATE(A28805,""en"",""pt"")"),"marcações de controlo estão confundindo")</f>
        <v>marcações de controlo estão confundindo</v>
      </c>
      <c r="B28805" s="3">
        <v>0</v>
      </c>
    </row>
    <row r="28806" ht="15.75" customHeight="1" spans="1:2">
      <c r="A28806" s="3" t="str">
        <f>IFERROR(__xludf.DUMMYFUNCTION("GOOGLETRANSLATE(A28806,""en"",""pt"")"),"Difícil em baterias")</f>
        <v>Difícil em baterias</v>
      </c>
      <c r="B28806" s="3">
        <v>0</v>
      </c>
    </row>
    <row r="28807" ht="15.75" customHeight="1" spans="1:2">
      <c r="A28807" s="3" t="str">
        <f>IFERROR(__xludf.DUMMYFUNCTION("GOOGLETRANSLATE(A28807,""en"",""pt"")"),"olhos vermelhos de flash, data &amp; amp às vezes perdem; amp; seleção de qualidade")</f>
        <v>olhos vermelhos de flash, data &amp; amp às vezes perdem; amp; seleção de qualidade</v>
      </c>
      <c r="B28807" s="3">
        <v>0</v>
      </c>
    </row>
    <row r="28808" ht="15.75" customHeight="1" spans="1:2">
      <c r="A28808" s="3" t="str">
        <f>IFERROR(__xludf.DUMMYFUNCTION("GOOGLETRANSLATE(A28808,""en"",""pt"")"),"porta serial lento é um pouco antiquado")</f>
        <v>porta serial lento é um pouco antiquado</v>
      </c>
      <c r="B28808" s="3">
        <v>0</v>
      </c>
    </row>
    <row r="28809" ht="15.75" customHeight="1" spans="1:2">
      <c r="A28809" s="3" t="str">
        <f>IFERROR(__xludf.DUMMYFUNCTION("GOOGLETRANSLATE(A28809,""en"",""pt"")"),"foto granulação !, tela LED drena baterias muito rápido!")</f>
        <v>foto granulação !, tela LED drena baterias muito rápido!</v>
      </c>
      <c r="B28809" s="3">
        <v>0</v>
      </c>
    </row>
    <row r="28810" ht="15.75" customHeight="1" spans="1:2">
      <c r="A28810" s="3" t="str">
        <f>IFERROR(__xludf.DUMMYFUNCTION("GOOGLETRANSLATE(A28810,""en"",""pt"")"),"Eu não encontrei nada, exceto o item lente mencionado acima")</f>
        <v>Eu não encontrei nada, exceto o item lente mencionado acima</v>
      </c>
      <c r="B28810" s="3">
        <v>0</v>
      </c>
    </row>
    <row r="28811" ht="15.75" customHeight="1" spans="1:2">
      <c r="A28811" s="3" t="str">
        <f>IFERROR(__xludf.DUMMYFUNCTION("GOOGLETRANSLATE(A28811,""en"",""pt"")"),"Come baterias, controles poderia ser mais simples, eo que está acontecendo com a tampa da lente?")</f>
        <v>Come baterias, controles poderia ser mais simples, eo que está acontecendo com a tampa da lente?</v>
      </c>
      <c r="B28811" s="3">
        <v>0</v>
      </c>
    </row>
    <row r="28812" ht="15.75" customHeight="1" spans="1:2">
      <c r="A28812" s="3" t="str">
        <f>IFERROR(__xludf.DUMMYFUNCTION("GOOGLETRANSLATE(A28812,""en"",""pt"")"),"A vida da bateria.")</f>
        <v>A vida da bateria.</v>
      </c>
      <c r="B28812" s="3">
        <v>0</v>
      </c>
    </row>
    <row r="28813" ht="15.75" customHeight="1" spans="1:2">
      <c r="A28813" s="3" t="str">
        <f>IFERROR(__xludf.DUMMYFUNCTION("GOOGLETRANSLATE(A28813,""en"",""pt"")"),"não muito quente sob pouca luz ou de ação tiros, deve comprar baterias separadas")</f>
        <v>não muito quente sob pouca luz ou de ação tiros, deve comprar baterias separadas</v>
      </c>
      <c r="B28813" s="3">
        <v>0</v>
      </c>
    </row>
    <row r="28814" ht="15.75" customHeight="1" spans="1:2">
      <c r="A28814" s="3" t="str">
        <f>IFERROR(__xludf.DUMMYFUNCTION("GOOGLETRANSLATE(A28814,""en"",""pt"")"),"vida de bateria fraca. olhar consegui pelo manual de instruções.")</f>
        <v>vida de bateria fraca. olhar consegui pelo manual de instruções.</v>
      </c>
      <c r="B28814" s="3">
        <v>0</v>
      </c>
    </row>
    <row r="28815" ht="15.75" customHeight="1" spans="1:2">
      <c r="A28815" s="3" t="str">
        <f>IFERROR(__xludf.DUMMYFUNCTION("GOOGLETRANSLATE(A28815,""en"",""pt"")"),"No caso, as pilhas alcalinas executar curto")</f>
        <v>No caso, as pilhas alcalinas executar curto</v>
      </c>
      <c r="B28815" s="3">
        <v>0</v>
      </c>
    </row>
    <row r="28816" ht="15.75" customHeight="1" spans="1:2">
      <c r="A28816" s="3" t="str">
        <f>IFERROR(__xludf.DUMMYFUNCTION("GOOGLETRANSLATE(A28816,""en"",""pt"")"),"Nenhum notado por este novato")</f>
        <v>Nenhum notado por este novato</v>
      </c>
      <c r="B28816" s="3">
        <v>0</v>
      </c>
    </row>
    <row r="28817" ht="15.75" customHeight="1" spans="1:2">
      <c r="A28817" s="3" t="str">
        <f>IFERROR(__xludf.DUMMYFUNCTION("GOOGLETRANSLATE(A28817,""en"",""pt"")"),"Algumas atualizações necessárias para obter o máximo desempenho")</f>
        <v>Algumas atualizações necessárias para obter o máximo desempenho</v>
      </c>
      <c r="B28817" s="3">
        <v>0</v>
      </c>
    </row>
    <row r="28818" ht="15.75" customHeight="1" spans="1:2">
      <c r="A28818" s="3" t="str">
        <f>IFERROR(__xludf.DUMMYFUNCTION("GOOGLETRANSLATE(A28818,""en"",""pt"")"),"baterias são caros, recomendar rechargables, também a memória é caro para atualizar")</f>
        <v>baterias são caros, recomendar rechargables, também a memória é caro para atualizar</v>
      </c>
      <c r="B28818" s="3">
        <v>0</v>
      </c>
    </row>
    <row r="28819" ht="15.75" customHeight="1" spans="1:2">
      <c r="A28819" s="3" t="str">
        <f>IFERROR(__xludf.DUMMYFUNCTION("GOOGLETRANSLATE(A28819,""en"",""pt"")"),"sem um adaptador / c com a compra")</f>
        <v>sem um adaptador / c com a compra</v>
      </c>
      <c r="B28819" s="3">
        <v>0</v>
      </c>
    </row>
    <row r="28820" ht="15.75" customHeight="1" spans="1:2">
      <c r="A28820" s="3" t="str">
        <f>IFERROR(__xludf.DUMMYFUNCTION("GOOGLETRANSLATE(A28820,""en"",""pt"")"),"pobre, pobre confiabilidade")</f>
        <v>pobre, pobre confiabilidade</v>
      </c>
      <c r="B28820" s="3">
        <v>0</v>
      </c>
    </row>
    <row r="28821" ht="15.75" customHeight="1" spans="1:2">
      <c r="A28821" s="3" t="str">
        <f>IFERROR(__xludf.DUMMYFUNCTION("GOOGLETRANSLATE(A28821,""en"",""pt"")"),"o uso da bateria")</f>
        <v>o uso da bateria</v>
      </c>
      <c r="B28821" s="3">
        <v>0</v>
      </c>
    </row>
    <row r="28822" ht="15.75" customHeight="1" spans="1:2">
      <c r="A28822" s="3" t="str">
        <f>IFERROR(__xludf.DUMMYFUNCTION("GOOGLETRANSLATE(A28822,""en"",""pt"")"),"Pode obter borrão ocasional, impressões são melhores com ajuste SHQ, que permite menos disparos.")</f>
        <v>Pode obter borrão ocasional, impressões são melhores com ajuste SHQ, que permite menos disparos.</v>
      </c>
      <c r="B28822" s="3">
        <v>0</v>
      </c>
    </row>
    <row r="28823" ht="15.75" customHeight="1" spans="1:2">
      <c r="A28823" s="3" t="str">
        <f>IFERROR(__xludf.DUMMYFUNCTION("GOOGLETRANSLATE(A28823,""en"",""pt"")"),"Low megapixel, dentro má qualidade de imagem, limitados recursos extras.")</f>
        <v>Low megapixel, dentro má qualidade de imagem, limitados recursos extras.</v>
      </c>
      <c r="B28823" s="3">
        <v>0</v>
      </c>
    </row>
    <row r="28824" ht="15.75" customHeight="1" spans="1:2">
      <c r="A28824" s="3" t="str">
        <f>IFERROR(__xludf.DUMMYFUNCTION("GOOGLETRANSLATE(A28824,""en"",""pt"")"),"Cabo serial tem velocidades de transferência lentas")</f>
        <v>Cabo serial tem velocidades de transferência lentas</v>
      </c>
      <c r="B28824" s="3">
        <v>0</v>
      </c>
    </row>
    <row r="28825" ht="15.75" customHeight="1" spans="1:2">
      <c r="A28825" s="3" t="str">
        <f>IFERROR(__xludf.DUMMYFUNCTION("GOOGLETRANSLATE(A28825,""en"",""pt"")"),"modelo descontinuado.")</f>
        <v>modelo descontinuado.</v>
      </c>
      <c r="B28825" s="3">
        <v>0</v>
      </c>
    </row>
    <row r="28826" ht="15.75" customHeight="1" spans="1:2">
      <c r="A28826" s="3" t="str">
        <f>IFERROR(__xludf.DUMMYFUNCTION("GOOGLETRANSLATE(A28826,""en"",""pt"")"),"devorador de bateria, faltando adaptador AC e carregador")</f>
        <v>devorador de bateria, faltando adaptador AC e carregador</v>
      </c>
      <c r="B28826" s="3">
        <v>0</v>
      </c>
    </row>
    <row r="28827" ht="15.75" customHeight="1" spans="1:2">
      <c r="A28827" s="3" t="str">
        <f>IFERROR(__xludf.DUMMYFUNCTION("GOOGLETRANSLATE(A28827,""en"",""pt"")"),"Problemas de bateria; Difícil de encontrar")</f>
        <v>Problemas de bateria; Difícil de encontrar</v>
      </c>
      <c r="B28827" s="3">
        <v>0</v>
      </c>
    </row>
    <row r="28828" ht="15.75" customHeight="1" spans="1:2">
      <c r="A28828" s="3" t="str">
        <f>IFERROR(__xludf.DUMMYFUNCTION("GOOGLETRANSLATE(A28828,""en"",""pt"")"),"nenhum que eu encontrei até agora")</f>
        <v>nenhum que eu encontrei até agora</v>
      </c>
      <c r="B28828" s="3">
        <v>0</v>
      </c>
    </row>
    <row r="28829" ht="15.75" customHeight="1" spans="1:2">
      <c r="A28829" s="3" t="str">
        <f>IFERROR(__xludf.DUMMYFUNCTION("GOOGLETRANSLATE(A28829,""en"",""pt"")"),"Gosta de comer baterias, cartão de 8 MB incluído é muito pequeno")</f>
        <v>Gosta de comer baterias, cartão de 8 MB incluído é muito pequeno</v>
      </c>
      <c r="B28829" s="3">
        <v>0</v>
      </c>
    </row>
    <row r="28830" ht="15.75" customHeight="1" spans="1:2">
      <c r="A28830" s="3" t="str">
        <f>IFERROR(__xludf.DUMMYFUNCTION("GOOGLETRANSLATE(A28830,""en"",""pt"")"),"Pesado para ver fotos e downloads, alta probabilidade de manchas.")</f>
        <v>Pesado para ver fotos e downloads, alta probabilidade de manchas.</v>
      </c>
      <c r="B28830" s="3">
        <v>0</v>
      </c>
    </row>
    <row r="28831" ht="15.75" customHeight="1" spans="1:2">
      <c r="A28831" s="3" t="str">
        <f>IFERROR(__xludf.DUMMYFUNCTION("GOOGLETRANSLATE(A28831,""en"",""pt"")"),"Sem suporte USB")</f>
        <v>Sem suporte USB</v>
      </c>
      <c r="B28831" s="3">
        <v>0</v>
      </c>
    </row>
    <row r="28832" ht="15.75" customHeight="1" spans="1:2">
      <c r="A28832" s="3" t="str">
        <f>IFERROR(__xludf.DUMMYFUNCTION("GOOGLETRANSLATE(A28832,""en"",""pt"")")," Não USB, fornecido 8mb smartmedia não é suficiente, leva um tempo para abrir / prepare-se")</f>
        <v> Não USB, fornecido 8mb smartmedia não é suficiente, leva um tempo para abrir / prepare-se</v>
      </c>
      <c r="B28832" s="3">
        <v>0</v>
      </c>
    </row>
    <row r="28833" ht="15.75" customHeight="1" spans="1:2">
      <c r="A28833" s="3" t="str">
        <f>IFERROR(__xludf.DUMMYFUNCTION("GOOGLETRANSLATE(A28833,""en"",""pt"")"),"Os acessórios são um pouco caro.")</f>
        <v>Os acessórios são um pouco caro.</v>
      </c>
      <c r="B28833" s="3">
        <v>0</v>
      </c>
    </row>
    <row r="28834" ht="15.75" customHeight="1" spans="1:2">
      <c r="A28834" s="3" t="str">
        <f>IFERROR(__xludf.DUMMYFUNCTION("GOOGLETRANSLATE(A28834,""en"",""pt"")"),"pobre vida da bateria quando usando display LCD, interface de porta de série é lento")</f>
        <v>pobre vida da bateria quando usando display LCD, interface de porta de série é lento</v>
      </c>
      <c r="B28834" s="3">
        <v>0</v>
      </c>
    </row>
    <row r="28835" ht="15.75" customHeight="1" spans="1:2">
      <c r="A28835" s="3" t="str">
        <f>IFERROR(__xludf.DUMMYFUNCTION("GOOGLETRANSLATE(A28835,""en"",""pt"")"),"Não vem com os extras que você realmente quer ter.")</f>
        <v>Não vem com os extras que você realmente quer ter.</v>
      </c>
      <c r="B28835" s="3">
        <v>0</v>
      </c>
    </row>
    <row r="28836" ht="15.75" customHeight="1" spans="1:2">
      <c r="A28836" s="3" t="str">
        <f>IFERROR(__xludf.DUMMYFUNCTION("GOOGLETRANSLATE(A28836,""en"",""pt"")"),"Nenhum.")</f>
        <v>Nenhum.</v>
      </c>
      <c r="B28836" s="3">
        <v>0</v>
      </c>
    </row>
    <row r="28837" ht="15.75" customHeight="1" spans="1:2">
      <c r="A28837" s="3" t="str">
        <f>IFERROR(__xludf.DUMMYFUNCTION("GOOGLETRANSLATE(A28837,""en"",""pt"")"),"Indicador de flash não é tão facilmente visto como eu gostaria.")</f>
        <v>Indicador de flash não é tão facilmente visto como eu gostaria.</v>
      </c>
      <c r="B28837" s="3">
        <v>0</v>
      </c>
    </row>
    <row r="28838" ht="15.75" customHeight="1" spans="1:2">
      <c r="A28838" s="3" t="str">
        <f>IFERROR(__xludf.DUMMYFUNCTION("GOOGLETRANSLATE(A28838,""en"",""pt"")"),"vida útil da bateria, apenas 1,3")</f>
        <v>vida útil da bateria, apenas 1,3</v>
      </c>
      <c r="B28838" s="3">
        <v>0</v>
      </c>
    </row>
    <row r="28839" ht="15.75" customHeight="1" spans="1:2">
      <c r="A28839" s="3" t="str">
        <f>IFERROR(__xludf.DUMMYFUNCTION("GOOGLETRANSLATE(A28839,""en"",""pt"")"),"interfere tampa da lente com lente ao fechar, interface serial é lento, atualizações de tela lentas")</f>
        <v>interfere tampa da lente com lente ao fechar, interface serial é lento, atualizações de tela lentas</v>
      </c>
      <c r="B28839" s="3">
        <v>0</v>
      </c>
    </row>
    <row r="28840" ht="15.75" customHeight="1" spans="1:2">
      <c r="A28840" s="3" t="str">
        <f>IFERROR(__xludf.DUMMYFUNCTION("GOOGLETRANSLATE(A28840,""en"",""pt"")"),"Somente 1.3 mega-pixels, melhor junto com acessórios-chave")</f>
        <v>Somente 1.3 mega-pixels, melhor junto com acessórios-chave</v>
      </c>
      <c r="B28840" s="3">
        <v>0</v>
      </c>
    </row>
    <row r="28841" ht="15.75" customHeight="1" spans="1:2">
      <c r="A28841" s="3" t="str">
        <f>IFERROR(__xludf.DUMMYFUNCTION("GOOGLETRANSLATE(A28841,""en"",""pt"")"),"Poderia proporcionar melhor software / mais fácil, tem que comprar um adaptador / c separadamente.")</f>
        <v>Poderia proporcionar melhor software / mais fácil, tem que comprar um adaptador / c separadamente.</v>
      </c>
      <c r="B28841" s="3">
        <v>0</v>
      </c>
    </row>
    <row r="28842" ht="15.75" customHeight="1" spans="1:2">
      <c r="A28842" s="3" t="str">
        <f>IFERROR(__xludf.DUMMYFUNCTION("GOOGLETRANSLATE(A28842,""en"",""pt"")"),"não USB")</f>
        <v>não USB</v>
      </c>
      <c r="B28842" s="3">
        <v>0</v>
      </c>
    </row>
    <row r="28843" ht="15.75" customHeight="1" spans="1:2">
      <c r="A28843" s="3" t="str">
        <f>IFERROR(__xludf.DUMMYFUNCTION("GOOGLETRANSLATE(A28843,""en"",""pt"")"),"upload de série pode ser mais lento .... adaptador USB disponível")</f>
        <v>upload de série pode ser mais lento .... adaptador USB disponível</v>
      </c>
      <c r="B28843" s="3">
        <v>0</v>
      </c>
    </row>
    <row r="28844" ht="15.75" customHeight="1" spans="1:2">
      <c r="A28844" s="3" t="str">
        <f>IFERROR(__xludf.DUMMYFUNCTION("GOOGLETRANSLATE(A28844,""en"",""pt"")"),"Come baterias - embora isso depende em grande medida da bateria. comprar recarregável com carregador")</f>
        <v>Come baterias - embora isso depende em grande medida da bateria. comprar recarregável com carregador</v>
      </c>
      <c r="B28844" s="3">
        <v>0</v>
      </c>
    </row>
    <row r="28845" ht="15.75" customHeight="1" spans="1:2">
      <c r="A28845" s="3" t="str">
        <f>IFERROR(__xludf.DUMMYFUNCTION("GOOGLETRANSLATE(A28845,""en"",""pt"")"),"Software é um pouco falta")</f>
        <v>Software é um pouco falta</v>
      </c>
      <c r="B28845" s="3">
        <v>0</v>
      </c>
    </row>
    <row r="28846" ht="15.75" customHeight="1" spans="1:2">
      <c r="A28846" s="3" t="str">
        <f>IFERROR(__xludf.DUMMYFUNCTION("GOOGLETRANSLATE(A28846,""en"",""pt"")"),"Há uma variação entre o visor óptico eo digital. Pode ficar confusa.")</f>
        <v>Há uma variação entre o visor óptico eo digital. Pode ficar confusa.</v>
      </c>
      <c r="B28846" s="3">
        <v>0</v>
      </c>
    </row>
    <row r="28847" ht="15.75" customHeight="1" spans="1:2">
      <c r="A28847" s="3" t="str">
        <f>IFERROR(__xludf.DUMMYFUNCTION("GOOGLETRANSLATE(A28847,""en"",""pt"")"),"BATERIAS ........ AHHHHHHHHHHHHH !!!!!!!!!!")</f>
        <v>BATERIAS ........ AHHHHHHHHHHHHH !!!!!!!!!!</v>
      </c>
      <c r="B28847" s="3">
        <v>0</v>
      </c>
    </row>
    <row r="28848" ht="15.75" customHeight="1" spans="1:2">
      <c r="A28848" s="3" t="str">
        <f>IFERROR(__xludf.DUMMYFUNCTION("GOOGLETRANSLATE(A28848,""en"",""pt"")"),"Baterias, não vem com um caso")</f>
        <v>Baterias, não vem com um caso</v>
      </c>
      <c r="B28848" s="3">
        <v>0</v>
      </c>
    </row>
    <row r="28849" ht="15.75" customHeight="1" spans="1:2">
      <c r="A28849" s="3" t="str">
        <f>IFERROR(__xludf.DUMMYFUNCTION("GOOGLETRANSLATE(A28849,""en"",""pt"")"),"incluído conexão PC série é lento")</f>
        <v>incluído conexão PC série é lento</v>
      </c>
      <c r="B28849" s="3">
        <v>0</v>
      </c>
    </row>
    <row r="28850" ht="15.75" customHeight="1" spans="1:2">
      <c r="A28850" s="3" t="str">
        <f>IFERROR(__xludf.DUMMYFUNCTION("GOOGLETRANSLATE(A28850,""en"",""pt"")"),"Operação do menu, Software, design flash")</f>
        <v>Operação do menu, Software, design flash</v>
      </c>
      <c r="B28850" s="3">
        <v>0</v>
      </c>
    </row>
    <row r="28851" ht="15.75" customHeight="1" spans="1:2">
      <c r="A28851" s="3" t="str">
        <f>IFERROR(__xludf.DUMMYFUNCTION("GOOGLETRANSLATE(A28851,""en"",""pt"")"),"software difícil, lento para download, a cobertura de flash")</f>
        <v>software difícil, lento para download, a cobertura de flash</v>
      </c>
      <c r="B28851" s="3">
        <v>0</v>
      </c>
    </row>
    <row r="28852" ht="15.75" customHeight="1" spans="1:2">
      <c r="A28852" s="3" t="str">
        <f>IFERROR(__xludf.DUMMYFUNCTION("GOOGLETRANSLATE(A28852,""en"",""pt"")"),"Limitada faixa de zoom, manual limitada Controle")</f>
        <v>Limitada faixa de zoom, manual limitada Controle</v>
      </c>
      <c r="B28852" s="3">
        <v>0</v>
      </c>
    </row>
    <row r="28853" ht="15.75" customHeight="1" spans="1:2">
      <c r="A28853" s="3" t="str">
        <f>IFERROR(__xludf.DUMMYFUNCTION("GOOGLETRANSLATE(A28853,""en"",""pt"")"),"Não tem capacidades USB, sem 110v. fonte de energia")</f>
        <v>Não tem capacidades USB, sem 110v. fonte de energia</v>
      </c>
      <c r="B28853" s="3">
        <v>0</v>
      </c>
    </row>
    <row r="28854" ht="15.75" customHeight="1" spans="1:2">
      <c r="A28854" s="3" t="str">
        <f>IFERROR(__xludf.DUMMYFUNCTION("GOOGLETRANSLATE(A28854,""en"",""pt"")"),"A lente puxa lento, leva alguns segundos para recarga para a próxima imagem.")</f>
        <v>A lente puxa lento, leva alguns segundos para recarga para a próxima imagem.</v>
      </c>
      <c r="B28854" s="3">
        <v>0</v>
      </c>
    </row>
    <row r="28855" ht="15.75" customHeight="1" spans="1:2">
      <c r="A28855" s="3" t="str">
        <f>IFERROR(__xludf.DUMMYFUNCTION("GOOGLETRANSLATE(A28855,""en"",""pt"")"),"Tem que se lembrar de virar o flash para cima - não é grande coisa")</f>
        <v>Tem que se lembrar de virar o flash para cima - não é grande coisa</v>
      </c>
      <c r="B28855" s="3">
        <v>0</v>
      </c>
    </row>
    <row r="28856" ht="15.75" customHeight="1" spans="1:2">
      <c r="A28856" s="3" t="str">
        <f>IFERROR(__xludf.DUMMYFUNCTION("GOOGLETRANSLATE(A28856,""en"",""pt"")"),"Os menus do usuário não são fáceis de usar! Difícil de problemas Resolução de problemas.")</f>
        <v>Os menus do usuário não são fáceis de usar! Difícil de problemas Resolução de problemas.</v>
      </c>
      <c r="B28856" s="3">
        <v>0</v>
      </c>
    </row>
    <row r="28857" ht="15.75" customHeight="1" spans="1:2">
      <c r="A28857" s="3" t="str">
        <f>IFERROR(__xludf.DUMMYFUNCTION("GOOGLETRANSLATE(A28857,""en"",""pt"")"),"Caixa de plástico poderia ser sensação mais sólida")</f>
        <v>Caixa de plástico poderia ser sensação mais sólida</v>
      </c>
      <c r="B28857" s="3">
        <v>0</v>
      </c>
    </row>
    <row r="28858" ht="15.75" customHeight="1" spans="1:2">
      <c r="A28858" s="3" t="str">
        <f>IFERROR(__xludf.DUMMYFUNCTION("GOOGLETRANSLATE(A28858,""en"",""pt"")"),"nenhum caso câmera incluída")</f>
        <v>nenhum caso câmera incluída</v>
      </c>
      <c r="B28858" s="3">
        <v>0</v>
      </c>
    </row>
    <row r="28859" ht="15.75" customHeight="1" spans="1:2">
      <c r="A28859" s="3" t="str">
        <f>IFERROR(__xludf.DUMMYFUNCTION("GOOGLETRANSLATE(A28859,""en"",""pt"")"),"Todo mundo ninguém quer jogar com ele!")</f>
        <v>Todo mundo ninguém quer jogar com ele!</v>
      </c>
      <c r="B28859" s="3">
        <v>0</v>
      </c>
    </row>
    <row r="28860" ht="15.75" customHeight="1" spans="1:2">
      <c r="A28860" s="3" t="str">
        <f>IFERROR(__xludf.DUMMYFUNCTION("GOOGLETRANSLATE(A28860,""en"",""pt"")"),"Menu poderia ser melhor, usa SmartMedia e uma interface serial")</f>
        <v>Menu poderia ser melhor, usa SmartMedia e uma interface serial</v>
      </c>
      <c r="B28860" s="3">
        <v>0</v>
      </c>
    </row>
    <row r="28861" ht="15.75" customHeight="1" spans="1:2">
      <c r="A28861" s="3" t="str">
        <f>IFERROR(__xludf.DUMMYFUNCTION("GOOGLETRANSLATE(A28861,""en"",""pt"")"),"Vida útil da bateria é de cerca de um semanas inteiras de tomada de imagem")</f>
        <v>Vida útil da bateria é de cerca de um semanas inteiras de tomada de imagem</v>
      </c>
      <c r="B28861" s="3">
        <v>0</v>
      </c>
    </row>
    <row r="28862" ht="15.75" customHeight="1" spans="1:2">
      <c r="A28862" s="3" t="str">
        <f>IFERROR(__xludf.DUMMYFUNCTION("GOOGLETRANSLATE(A28862,""en"",""pt"")"),"Sem suporte USB .. única série xarope lento")</f>
        <v>Sem suporte USB .. única série xarope lento</v>
      </c>
      <c r="B28862" s="3">
        <v>0</v>
      </c>
    </row>
    <row r="28863" ht="15.75" customHeight="1" spans="1:2">
      <c r="A28863" s="3" t="str">
        <f>IFERROR(__xludf.DUMMYFUNCTION("GOOGLETRANSLATE(A28863,""en"",""pt"")"),"menus de controle pode ser um problema menor, até você se acostumar a eles.")</f>
        <v>menus de controle pode ser um problema menor, até você se acostumar a eles.</v>
      </c>
      <c r="B28863" s="3">
        <v>0</v>
      </c>
    </row>
    <row r="28864" ht="15.75" customHeight="1" spans="1:2">
      <c r="A28864" s="3" t="str">
        <f>IFERROR(__xludf.DUMMYFUNCTION("GOOGLETRANSLATE(A28864,""en"",""pt"")"),"construção de plástico e passa por baterias rapidamente.")</f>
        <v>construção de plástico e passa por baterias rapidamente.</v>
      </c>
      <c r="B28864" s="3">
        <v>0</v>
      </c>
    </row>
    <row r="28865" ht="15.75" customHeight="1" spans="1:2">
      <c r="A28865" s="3" t="str">
        <f>IFERROR(__xludf.DUMMYFUNCTION("GOOGLETRANSLATE(A28865,""en"",""pt"")"),"Sem suporte USB. curta duração da bateria.")</f>
        <v>Sem suporte USB. curta duração da bateria.</v>
      </c>
      <c r="B28865" s="3">
        <v>0</v>
      </c>
    </row>
    <row r="28866" ht="15.75" customHeight="1" spans="1:2">
      <c r="A28866" s="3" t="str">
        <f>IFERROR(__xludf.DUMMYFUNCTION("GOOGLETRANSLATE(A28866,""en"",""pt"")"),"Revendo fotos é complicado. Sem conexão USB.")</f>
        <v>Revendo fotos é complicado. Sem conexão USB.</v>
      </c>
      <c r="B28866" s="3">
        <v>0</v>
      </c>
    </row>
    <row r="28867" ht="15.75" customHeight="1" spans="1:2">
      <c r="A28867" s="3" t="str">
        <f>IFERROR(__xludf.DUMMYFUNCTION("GOOGLETRANSLATE(A28867,""en"",""pt"")"),"conexão serial para transferir fotos, por vezes, as imagens são fenomenais.")</f>
        <v>conexão serial para transferir fotos, por vezes, as imagens são fenomenais.</v>
      </c>
      <c r="B28867" s="3">
        <v>0</v>
      </c>
    </row>
    <row r="28868" ht="15.75" customHeight="1" spans="1:2">
      <c r="A28868" s="3" t="str">
        <f>IFERROR(__xludf.DUMMYFUNCTION("GOOGLETRANSLATE(A28868,""en"",""pt"")"),"Alimente-me Baterias se você usar o LCD")</f>
        <v>Alimente-me Baterias se você usar o LCD</v>
      </c>
      <c r="B28868" s="3">
        <v>0</v>
      </c>
    </row>
    <row r="28869" ht="15.75" customHeight="1" spans="1:2">
      <c r="A28869" s="3" t="str">
        <f>IFERROR(__xludf.DUMMYFUNCTION("GOOGLETRANSLATE(A28869,""en"",""pt"")"),"Comprar discos, caro.")</f>
        <v>Comprar discos, caro.</v>
      </c>
      <c r="B28869" s="3">
        <v>0</v>
      </c>
    </row>
    <row r="28870" ht="15.75" customHeight="1" spans="1:2">
      <c r="A28870" s="3" t="str">
        <f>IFERROR(__xludf.DUMMYFUNCTION("GOOGLETRANSLATE(A28870,""en"",""pt"")"),"Nenhum para um novato como eu")</f>
        <v>Nenhum para um novato como eu</v>
      </c>
      <c r="B28870" s="3">
        <v>0</v>
      </c>
    </row>
    <row r="28871" ht="15.75" customHeight="1" spans="1:2">
      <c r="A28871" s="3" t="str">
        <f>IFERROR(__xludf.DUMMYFUNCTION("GOOGLETRANSLATE(A28871,""en"",""pt"")"),"nenhum modo de filme")</f>
        <v>nenhum modo de filme</v>
      </c>
      <c r="B28871" s="3">
        <v>0</v>
      </c>
    </row>
    <row r="28872" ht="15.75" customHeight="1" spans="1:2">
      <c r="A28872" s="3" t="str">
        <f>IFERROR(__xludf.DUMMYFUNCTION("GOOGLETRANSLATE(A28872,""en"",""pt"")"),"adaptador AC vendido separadamente")</f>
        <v>adaptador AC vendido separadamente</v>
      </c>
      <c r="B28872" s="3">
        <v>0</v>
      </c>
    </row>
    <row r="28873" ht="15.75" customHeight="1" spans="1:2">
      <c r="A28873" s="3" t="str">
        <f>IFERROR(__xludf.DUMMYFUNCTION("GOOGLETRANSLATE(A28873,""en"",""pt"")"),"Drena baterias muito rápido!")</f>
        <v>Drena baterias muito rápido!</v>
      </c>
      <c r="B28873" s="3">
        <v>0</v>
      </c>
    </row>
    <row r="28874" ht="15.75" customHeight="1" spans="1:2">
      <c r="A28874" s="3" t="str">
        <f>IFERROR(__xludf.DUMMYFUNCTION("GOOGLETRANSLATE(A28874,""en"",""pt"")"),"drenos Baterias")</f>
        <v>drenos Baterias</v>
      </c>
      <c r="B28874" s="3">
        <v>0</v>
      </c>
    </row>
    <row r="28875" ht="15.75" customHeight="1" spans="1:2">
      <c r="A28875" s="3" t="str">
        <f>IFERROR(__xludf.DUMMYFUNCTION("GOOGLETRANSLATE(A28875,""en"",""pt"")"),"Leva um tempo para se familiarizar características w / câmera. adaptador sem AC.")</f>
        <v>Leva um tempo para se familiarizar características w / câmera. adaptador sem AC.</v>
      </c>
      <c r="B28875" s="3">
        <v>0</v>
      </c>
    </row>
    <row r="28876" ht="15.75" customHeight="1" spans="1:2">
      <c r="A28876" s="3" t="str">
        <f>IFERROR(__xludf.DUMMYFUNCTION("GOOGLETRANSLATE(A28876,""en"",""pt"")"),"Bateria não dura tanto tempo")</f>
        <v>Bateria não dura tanto tempo</v>
      </c>
      <c r="B28876" s="3">
        <v>0</v>
      </c>
    </row>
    <row r="28877" ht="15.75" customHeight="1" spans="1:2">
      <c r="A28877" s="3" t="str">
        <f>IFERROR(__xludf.DUMMYFUNCTION("GOOGLETRANSLATE(A28877,""en"",""pt"")"),"adaptador CA vendido em separado, carregador de bateria vendido em separado")</f>
        <v>adaptador CA vendido em separado, carregador de bateria vendido em separado</v>
      </c>
      <c r="B28877" s="3">
        <v>0</v>
      </c>
    </row>
    <row r="28878" ht="15.75" customHeight="1" spans="1:2">
      <c r="A28878" s="3" t="str">
        <f>IFERROR(__xludf.DUMMYFUNCTION("GOOGLETRANSLATE(A28878,""en"",""pt"")"),"Não USB direta. No caso de transporte incluído.")</f>
        <v>Não USB direta. No caso de transporte incluído.</v>
      </c>
      <c r="B28878" s="3">
        <v>0</v>
      </c>
    </row>
    <row r="28879" ht="15.75" customHeight="1" spans="1:2">
      <c r="A28879" s="3" t="str">
        <f>IFERROR(__xludf.DUMMYFUNCTION("GOOGLETRANSLATE(A28879,""en"",""pt"")"),"não vai funcionar com o meu computador")</f>
        <v>não vai funcionar com o meu computador</v>
      </c>
      <c r="B28879" s="3">
        <v>0</v>
      </c>
    </row>
    <row r="28880" ht="15.75" customHeight="1" spans="1:2">
      <c r="A28880" s="3" t="str">
        <f>IFERROR(__xludf.DUMMYFUNCTION("GOOGLETRANSLATE(A28880,""en"",""pt"")"),"reacção do obturador. porta serial de transferência de imagem. Sem controle de velocidade do obturador.")</f>
        <v>reacção do obturador. porta serial de transferência de imagem. Sem controle de velocidade do obturador.</v>
      </c>
      <c r="B28880" s="3">
        <v>0</v>
      </c>
    </row>
    <row r="28881" ht="15.75" customHeight="1" spans="1:2">
      <c r="A28881" s="3" t="str">
        <f>IFERROR(__xludf.DUMMYFUNCTION("GOOGLETRANSLATE(A28881,""en"",""pt"")"),"nenhuma porta de sincronização flash externo,% de cobertura visor, deslocamento da porta tripé.")</f>
        <v>nenhuma porta de sincronização flash externo,% de cobertura visor, deslocamento da porta tripé.</v>
      </c>
      <c r="B28881" s="3">
        <v>0</v>
      </c>
    </row>
    <row r="28882" ht="15.75" customHeight="1" spans="1:2">
      <c r="A28882" s="3" t="str">
        <f>IFERROR(__xludf.DUMMYFUNCTION("GOOGLETRANSLATE(A28882,""en"",""pt"")"),"vida útil da bateria limitada. (Eu recomendo baterias recarregáveis)")</f>
        <v>vida útil da bateria limitada. (Eu recomendo baterias recarregáveis)</v>
      </c>
      <c r="B28882" s="3">
        <v>0</v>
      </c>
    </row>
    <row r="28883" ht="15.75" customHeight="1" spans="1:2">
      <c r="A28883" s="3" t="str">
        <f>IFERROR(__xludf.DUMMYFUNCTION("GOOGLETRANSLATE(A28883,""en"",""pt"")"),"fechar a tampa às vezes é difícil, ea lente zoom pode ficar no caminho")</f>
        <v>fechar a tampa às vezes é difícil, ea lente zoom pode ficar no caminho</v>
      </c>
      <c r="B28883" s="3">
        <v>0</v>
      </c>
    </row>
    <row r="28884" ht="15.75" customHeight="1" spans="1:2">
      <c r="A28884" s="3" t="str">
        <f>IFERROR(__xludf.DUMMYFUNCTION("GOOGLETRANSLATE(A28884,""en"",""pt"")"),"A tampa da lente deslizante pode quebrar coisas se você não for cuidadoso.")</f>
        <v>A tampa da lente deslizante pode quebrar coisas se você não for cuidadoso.</v>
      </c>
      <c r="B28884" s="3">
        <v>0</v>
      </c>
    </row>
    <row r="28885" ht="15.75" customHeight="1" spans="1:2">
      <c r="A28885" s="3" t="str">
        <f>IFERROR(__xludf.DUMMYFUNCTION("GOOGLETRANSLATE(A28885,""en"",""pt"")"),"Um pouco volumoso, tem que abrir e fechar porta do obturador demasiado frequentemente (para funções switch)")</f>
        <v>Um pouco volumoso, tem que abrir e fechar porta do obturador demasiado frequentemente (para funções switch)</v>
      </c>
      <c r="B28885" s="3">
        <v>0</v>
      </c>
    </row>
    <row r="28886" ht="15.75" customHeight="1" spans="1:2">
      <c r="A28886" s="3" t="str">
        <f>IFERROR(__xludf.DUMMYFUNCTION("GOOGLETRANSLATE(A28886,""en"",""pt"")"),"Veio com cartão de 8MB, sem baterias recarregáveis, ISO automático em situações escuras não é bom.")</f>
        <v>Veio com cartão de 8MB, sem baterias recarregáveis, ISO automático em situações escuras não é bom.</v>
      </c>
      <c r="B28886" s="3">
        <v>0</v>
      </c>
    </row>
    <row r="28887" ht="15.75" customHeight="1" spans="1:2">
      <c r="A28887" s="3" t="str">
        <f>IFERROR(__xludf.DUMMYFUNCTION("GOOGLETRANSLATE(A28887,""en"",""pt"")"),"vida útil da bateria, tem que virar o flash")</f>
        <v>vida útil da bateria, tem que virar o flash</v>
      </c>
      <c r="B28887" s="3">
        <v>0</v>
      </c>
    </row>
    <row r="28888" ht="15.75" customHeight="1" spans="1:2">
      <c r="A28888" s="3" t="s">
        <v>155</v>
      </c>
      <c r="B28888" s="3">
        <v>0</v>
      </c>
    </row>
    <row r="28889" ht="15.75" customHeight="1" spans="1:2">
      <c r="A28889" s="3" t="str">
        <f>IFERROR(__xludf.DUMMYFUNCTION("GOOGLETRANSLATE(A28889,""en"",""pt"")"),"menus complicados para recursos avançados.")</f>
        <v>menus complicados para recursos avançados.</v>
      </c>
      <c r="B28889" s="3">
        <v>0</v>
      </c>
    </row>
    <row r="28890" ht="15.75" customHeight="1" spans="1:2">
      <c r="A28890" s="3" t="str">
        <f>IFERROR(__xludf.DUMMYFUNCTION("GOOGLETRANSLATE(A28890,""en"",""pt"")"),"a falta de ajustes manuais, sem conexão USB direta")</f>
        <v>a falta de ajustes manuais, sem conexão USB direta</v>
      </c>
      <c r="B28890" s="3">
        <v>0</v>
      </c>
    </row>
    <row r="28891" ht="15.75" customHeight="1" spans="1:2">
      <c r="A28891" s="3" t="str">
        <f>IFERROR(__xludf.DUMMYFUNCTION("GOOGLETRANSLATE(A28891,""en"",""pt"")"),"Configurações nem sempre é fácil de mudar.")</f>
        <v>Configurações nem sempre é fácil de mudar.</v>
      </c>
      <c r="B28891" s="3">
        <v>0</v>
      </c>
    </row>
    <row r="28892" ht="15.75" customHeight="1" spans="1:2">
      <c r="A28892" s="3" t="str">
        <f>IFERROR(__xludf.DUMMYFUNCTION("GOOGLETRANSLATE(A28892,""en"",""pt"")"),"PROJETO FRÁGIL, aleta manual para cima flash, configurações de nenhum manual")</f>
        <v>PROJETO FRÁGIL, aleta manual para cima flash, configurações de nenhum manual</v>
      </c>
      <c r="B28892" s="3">
        <v>0</v>
      </c>
    </row>
    <row r="28893" ht="15.75" customHeight="1" spans="1:2">
      <c r="A28893" s="3" t="str">
        <f>IFERROR(__xludf.DUMMYFUNCTION("GOOGLETRANSLATE(A28893,""en"",""pt"")"),"Grandes, volumosos e pesados.")</f>
        <v>Grandes, volumosos e pesados.</v>
      </c>
      <c r="B28893" s="3">
        <v>0</v>
      </c>
    </row>
    <row r="28894" ht="15.75" customHeight="1" spans="1:2">
      <c r="A28894" s="3" t="str">
        <f>IFERROR(__xludf.DUMMYFUNCTION("GOOGLETRANSLATE(A28894,""en"",""pt"")"),"Tem que redefinir a data a cada baterias de tempo sair.")</f>
        <v>Tem que redefinir a data a cada baterias de tempo sair.</v>
      </c>
      <c r="B28894" s="3">
        <v>0</v>
      </c>
    </row>
    <row r="28895" ht="15.75" customHeight="1" spans="1:2">
      <c r="A28895" s="3" t="str">
        <f>IFERROR(__xludf.DUMMYFUNCTION("GOOGLETRANSLATE(A28895,""en"",""pt"")"),"Um pouco demasiado volumoso, devorador de bateria, conexão PC pobres.")</f>
        <v>Um pouco demasiado volumoso, devorador de bateria, conexão PC pobres.</v>
      </c>
      <c r="B28895" s="3">
        <v>0</v>
      </c>
    </row>
    <row r="28896" ht="15.75" customHeight="1" spans="1:2">
      <c r="A28896" s="3" t="s">
        <v>156</v>
      </c>
      <c r="B28896" s="3">
        <v>0</v>
      </c>
    </row>
    <row r="28897" ht="15.75" customHeight="1" spans="1:2">
      <c r="A28897" s="3" t="str">
        <f>IFERROR(__xludf.DUMMYFUNCTION("GOOGLETRANSLATE(A28897,""en"",""pt"")"),"viragem desajeitado e fora")</f>
        <v>viragem desajeitado e fora</v>
      </c>
      <c r="B28897" s="3">
        <v>0</v>
      </c>
    </row>
    <row r="28898" ht="15.75" customHeight="1" spans="1:2">
      <c r="A28898" s="3" t="str">
        <f>IFERROR(__xludf.DUMMYFUNCTION("GOOGLETRANSLATE(A28898,""en"",""pt"")"),"difícil de encontrar")</f>
        <v>difícil de encontrar</v>
      </c>
      <c r="B28898" s="3">
        <v>0</v>
      </c>
    </row>
    <row r="28899" ht="15.75" customHeight="1" spans="1:2">
      <c r="A28899" s="3" t="str">
        <f>IFERROR(__xludf.DUMMYFUNCTION("GOOGLETRANSLATE(A28899,""en"",""pt"")"),"não")</f>
        <v>não</v>
      </c>
      <c r="B28899" s="3">
        <v>0</v>
      </c>
    </row>
    <row r="28900" ht="15.75" customHeight="1" spans="1:2">
      <c r="A28900" s="3" t="str">
        <f>IFERROR(__xludf.DUMMYFUNCTION("GOOGLETRANSLATE(A28900,""en"",""pt"")"),"Os preços são um pouco alta.")</f>
        <v>Os preços são um pouco alta.</v>
      </c>
      <c r="B28900" s="3">
        <v>0</v>
      </c>
    </row>
    <row r="28901" ht="15.75" customHeight="1" spans="1:2">
      <c r="A28901" s="3" t="str">
        <f>IFERROR(__xludf.DUMMYFUNCTION("GOOGLETRANSLATE(A28901,""en"",""pt"")"),"conexão serial SLOW, cartão de memória pequeno 8mb")</f>
        <v>conexão serial SLOW, cartão de memória pequeno 8mb</v>
      </c>
      <c r="B28901" s="3">
        <v>0</v>
      </c>
    </row>
    <row r="28902" ht="15.75" customHeight="1" spans="1:2">
      <c r="A28902" s="3" t="str">
        <f>IFERROR(__xludf.DUMMYFUNCTION("GOOGLETRANSLATE(A28902,""en"",""pt"")"),"às vezes fora de foco em objetos em movimento")</f>
        <v>às vezes fora de foco em objetos em movimento</v>
      </c>
      <c r="B28902" s="3">
        <v>0</v>
      </c>
    </row>
    <row r="28903" ht="15.75" customHeight="1" spans="1:2">
      <c r="A28903" s="3" t="str">
        <f>IFERROR(__xludf.DUMMYFUNCTION("GOOGLETRANSLATE(A28903,""en"",""pt"")"),"Problemas w / software, filmes não têm sons, a falta de conectividade USB, Minor problemas !!")</f>
        <v>Problemas w / software, filmes não têm sons, a falta de conectividade USB, Minor problemas !!</v>
      </c>
      <c r="B28903" s="3">
        <v>0</v>
      </c>
    </row>
    <row r="28904" ht="15.75" customHeight="1" spans="1:2">
      <c r="A28904" s="3" t="str">
        <f>IFERROR(__xludf.DUMMYFUNCTION("GOOGLETRANSLATE(A28904,""en"",""pt"")"),"Deve se lembrar de pop-up flash!")</f>
        <v>Deve se lembrar de pop-up flash!</v>
      </c>
      <c r="B28904" s="3">
        <v>0</v>
      </c>
    </row>
    <row r="28905" ht="15.75" customHeight="1" spans="1:2">
      <c r="A28905" s="3" t="str">
        <f>IFERROR(__xludf.DUMMYFUNCTION("GOOGLETRANSLATE(A28905,""en"",""pt"")"),"Não computador bastante amigável; não incluído adaptador AC; nenhuma interface USB incluído")</f>
        <v>Não computador bastante amigável; não incluído adaptador AC; nenhuma interface USB incluído</v>
      </c>
      <c r="B28905" s="3">
        <v>0</v>
      </c>
    </row>
    <row r="28906" ht="15.75" customHeight="1" spans="1:2">
      <c r="A28906" s="3" t="str">
        <f>IFERROR(__xludf.DUMMYFUNCTION("GOOGLETRANSLATE(A28906,""en"",""pt"")"),"nenhuma comparação com outras câmaras digitais")</f>
        <v>nenhuma comparação com outras câmaras digitais</v>
      </c>
      <c r="B28906" s="3">
        <v>0</v>
      </c>
    </row>
    <row r="28907" ht="15.75" customHeight="1" spans="1:2">
      <c r="A28907" s="3" t="str">
        <f>IFERROR(__xludf.DUMMYFUNCTION("GOOGLETRANSLATE(A28907,""en"",""pt"")"),"Sem USB out-of-the-box, peso volumoso, come baterias")</f>
        <v>Sem USB out-of-the-box, peso volumoso, come baterias</v>
      </c>
      <c r="B28907" s="3">
        <v>0</v>
      </c>
    </row>
    <row r="28908" ht="15.75" customHeight="1" spans="1:2">
      <c r="A28908" s="3" t="str">
        <f>IFERROR(__xludf.DUMMYFUNCTION("GOOGLETRANSLATE(A28908,""en"",""pt"")"),"flash manual, a localização da tela em volta.")</f>
        <v>flash manual, a localização da tela em volta.</v>
      </c>
      <c r="B28908" s="3">
        <v>0</v>
      </c>
    </row>
    <row r="28909" ht="15.75" customHeight="1" spans="1:2">
      <c r="A28909" s="3" t="str">
        <f>IFERROR(__xludf.DUMMYFUNCTION("GOOGLETRANSLATE(A28909,""en"",""pt"")"),"Sem USB, tampa da lente é problemático")</f>
        <v>Sem USB, tampa da lente é problemático</v>
      </c>
      <c r="B28909" s="3">
        <v>0</v>
      </c>
    </row>
    <row r="28910" ht="15.75" customHeight="1" spans="1:2">
      <c r="A28910" s="3" t="str">
        <f>IFERROR(__xludf.DUMMYFUNCTION("GOOGLETRANSLATE(A28910,""en"",""pt"")"),"virar manualmente do flash, sem cobertura. Não USB-serial somente.")</f>
        <v>virar manualmente do flash, sem cobertura. Não USB-serial somente.</v>
      </c>
      <c r="B28910" s="3">
        <v>0</v>
      </c>
    </row>
    <row r="28911" ht="15.75" customHeight="1" spans="1:2">
      <c r="A28911" s="3" t="str">
        <f>IFERROR(__xludf.DUMMYFUNCTION("GOOGLETRANSLATE(A28911,""en"",""pt"")"),"USB só está disponível através de oferta promocional. invólucro de plástico ...")</f>
        <v>USB só está disponível através de oferta promocional. invólucro de plástico ...</v>
      </c>
      <c r="B28911" s="3">
        <v>0</v>
      </c>
    </row>
    <row r="28912" ht="15.75" customHeight="1" spans="1:2">
      <c r="A28912" s="3" t="str">
        <f>IFERROR(__xludf.DUMMYFUNCTION("GOOGLETRANSLATE(A28912,""en"",""pt"")"),"vida útil da bateria moderada, nenhuma conexão USB")</f>
        <v>vida útil da bateria moderada, nenhuma conexão USB</v>
      </c>
      <c r="B28912" s="3">
        <v>0</v>
      </c>
    </row>
    <row r="28913" ht="15.75" customHeight="1" spans="1:2">
      <c r="A28913" s="3" t="str">
        <f>IFERROR(__xludf.DUMMYFUNCTION("GOOGLETRANSLATE(A28913,""en"",""pt"")"),"Sem conexão USB para transferência de fotos para o computador")</f>
        <v>Sem conexão USB para transferência de fotos para o computador</v>
      </c>
      <c r="B28913" s="3">
        <v>0</v>
      </c>
    </row>
    <row r="28914" ht="15.75" customHeight="1" spans="1:2">
      <c r="A28914" s="3" t="str">
        <f>IFERROR(__xludf.DUMMYFUNCTION("GOOGLETRANSLATE(A28914,""en"",""pt"")"),"curta duração da bateria; usb não veio com a câmera")</f>
        <v>curta duração da bateria; usb não veio com a câmera</v>
      </c>
      <c r="B28914" s="3">
        <v>0</v>
      </c>
    </row>
    <row r="28915" ht="15.75" customHeight="1" spans="1:2">
      <c r="A28915" s="3" t="str">
        <f>IFERROR(__xludf.DUMMYFUNCTION("GOOGLETRANSLATE(A28915,""en"",""pt"")"),"Sem capacidade de transferência USB. Necessidade USB leitor SmartMedia.")</f>
        <v>Sem capacidade de transferência USB. Necessidade USB leitor SmartMedia.</v>
      </c>
      <c r="B28915" s="3">
        <v>0</v>
      </c>
    </row>
    <row r="28916" ht="15.75" customHeight="1" spans="1:2">
      <c r="A28916" s="3" t="str">
        <f>IFERROR(__xludf.DUMMYFUNCTION("GOOGLETRANSLATE(A28916,""en"",""pt"")"),"Serial somente, 8MB de cartão de mídia inteligente é muito pequeno, deve ter o cuidado de fechar a tampa da lente")</f>
        <v>Serial somente, 8MB de cartão de mídia inteligente é muito pequeno, deve ter o cuidado de fechar a tampa da lente</v>
      </c>
      <c r="B28916" s="3">
        <v>0</v>
      </c>
    </row>
    <row r="28917" ht="15.75" customHeight="1" spans="1:2">
      <c r="A28917" s="3" t="str">
        <f>IFERROR(__xludf.DUMMYFUNCTION("GOOGLETRANSLATE(A28917,""en"",""pt"")"),"nenhuma USB")</f>
        <v>nenhuma USB</v>
      </c>
      <c r="B28917" s="3">
        <v>0</v>
      </c>
    </row>
    <row r="28918" ht="15.75" customHeight="1" spans="1:2">
      <c r="A28918" s="3" t="str">
        <f>IFERROR(__xludf.DUMMYFUNCTION("GOOGLETRANSLATE(A28918,""en"",""pt"")"),"não pode obter fotos baixado / desenvolvido")</f>
        <v>não pode obter fotos baixado / desenvolvido</v>
      </c>
      <c r="B28918" s="3">
        <v>0</v>
      </c>
    </row>
    <row r="28919" ht="15.75" customHeight="1" spans="1:2">
      <c r="A28919" s="3" t="str">
        <f>IFERROR(__xludf.DUMMYFUNCTION("GOOGLETRANSLATE(A28919,""en"",""pt"")"),"Memória insuficiente")</f>
        <v>Memória insuficiente</v>
      </c>
      <c r="B28919" s="3">
        <v>0</v>
      </c>
    </row>
    <row r="28920" ht="15.75" customHeight="1" spans="1:2">
      <c r="A28920" s="3" t="str">
        <f>IFERROR(__xludf.DUMMYFUNCTION("GOOGLETRANSLATE(A28920,""en"",""pt"")"),"Falta de USB e SOM ... apenas uma queixa para os não iniciados ou totalmente anal")</f>
        <v>Falta de USB e SOM ... apenas uma queixa para os não iniciados ou totalmente anal</v>
      </c>
      <c r="B28920" s="3">
        <v>0</v>
      </c>
    </row>
    <row r="28921" ht="15.75" customHeight="1" spans="1:2">
      <c r="A28921" s="3" t="str">
        <f>IFERROR(__xludf.DUMMYFUNCTION("GOOGLETRANSLATE(A28921,""en"",""pt"")"),"devorador de bateria, faltando adaptador AC e carregador")</f>
        <v>devorador de bateria, faltando adaptador AC e carregador</v>
      </c>
      <c r="B28921" s="3">
        <v>0</v>
      </c>
    </row>
    <row r="28922" ht="15.75" customHeight="1" spans="1:2">
      <c r="A28922" s="3" t="str">
        <f>IFERROR(__xludf.DUMMYFUNCTION("GOOGLETRANSLATE(A28922,""en"",""pt"")"),"8 Cartão MB não é suficiente.")</f>
        <v>8 Cartão MB não é suficiente.</v>
      </c>
      <c r="B28922" s="3">
        <v>0</v>
      </c>
    </row>
    <row r="28923" ht="15.75" customHeight="1" spans="1:2">
      <c r="A28923" s="3" t="str">
        <f>IFERROR(__xludf.DUMMYFUNCTION("GOOGLETRANSLATE(A28923,""en"",""pt"")"),"8 mb cartão Smartmedia muito pequeno")</f>
        <v>8 mb cartão Smartmedia muito pequeno</v>
      </c>
      <c r="B28923" s="3">
        <v>0</v>
      </c>
    </row>
    <row r="28924" ht="15.75" customHeight="1" spans="1:2">
      <c r="A28924" s="3" t="str">
        <f>IFERROR(__xludf.DUMMYFUNCTION("GOOGLETRANSLATE(A28924,""en"",""pt"")"),"Custo, flash, tampa da lente")</f>
        <v>Custo, flash, tampa da lente</v>
      </c>
      <c r="B28924" s="3">
        <v>0</v>
      </c>
    </row>
    <row r="28925" ht="15.75" customHeight="1" spans="1:2">
      <c r="A28925" s="3" t="str">
        <f>IFERROR(__xludf.DUMMYFUNCTION("GOOGLETRANSLATE(A28925,""en"",""pt"")"),"Nenhum")</f>
        <v>Nenhum</v>
      </c>
      <c r="B28925" s="3">
        <v>0</v>
      </c>
    </row>
    <row r="28926" ht="15.75" customHeight="1" spans="1:2">
      <c r="A28926" s="3" t="str">
        <f>IFERROR(__xludf.DUMMYFUNCTION("GOOGLETRANSLATE(A28926,""en"",""pt"")"),"conexão serial muito lento, memória incluído muito pequeno")</f>
        <v>conexão serial muito lento, memória incluído muito pequeno</v>
      </c>
      <c r="B28926" s="3">
        <v>0</v>
      </c>
    </row>
    <row r="28927" ht="15.75" customHeight="1" spans="1:2">
      <c r="A28927" s="3" t="str">
        <f>IFERROR(__xludf.DUMMYFUNCTION("GOOGLETRANSLATE(A28927,""en"",""pt"")"),"Nenhum")</f>
        <v>Nenhum</v>
      </c>
      <c r="B28927" s="3">
        <v>0</v>
      </c>
    </row>
    <row r="28928" ht="15.75" customHeight="1" spans="1:2">
      <c r="A28928" s="3" t="str">
        <f>IFERROR(__xludf.DUMMYFUNCTION("GOOGLETRANSLATE(A28928,""en"",""pt"")"),"Virar para cima flash e tampa da lente")</f>
        <v>Virar para cima flash e tampa da lente</v>
      </c>
      <c r="B28928" s="3">
        <v>0</v>
      </c>
    </row>
    <row r="28929" ht="15.75" customHeight="1" spans="1:2">
      <c r="A28929" s="3" t="str">
        <f>IFERROR(__xludf.DUMMYFUNCTION("GOOGLETRANSLATE(A28929,""en"",""pt"")"),"tampa da lente complicado para perto, necessidade de comprar acessórios")</f>
        <v>tampa da lente complicado para perto, necessidade de comprar acessórios</v>
      </c>
      <c r="B28929" s="3">
        <v>0</v>
      </c>
    </row>
    <row r="28930" ht="15.75" customHeight="1" spans="1:2">
      <c r="A28930" s="3" t="str">
        <f>IFERROR(__xludf.DUMMYFUNCTION("GOOGLETRANSLATE(A28930,""en"",""pt"")"),"Não USB incluído")</f>
        <v>Não USB incluído</v>
      </c>
      <c r="B28930" s="3">
        <v>0</v>
      </c>
    </row>
    <row r="28931" ht="15.75" customHeight="1" spans="1:2">
      <c r="A28931" s="3" t="str">
        <f>IFERROR(__xludf.DUMMYFUNCTION("GOOGLETRANSLATE(A28931,""en"",""pt"")"),"custo da Olympus marca adaptador AC")</f>
        <v>custo da Olympus marca adaptador AC</v>
      </c>
      <c r="B28931" s="3">
        <v>0</v>
      </c>
    </row>
    <row r="28932" ht="15.75" customHeight="1" spans="1:2">
      <c r="A28932" s="3" t="str">
        <f>IFERROR(__xludf.DUMMYFUNCTION("GOOGLETRANSLATE(A28932,""en"",""pt"")"),"Melhor qualidade fotográfica leva um pouco de tempo para obter fora da câmera.")</f>
        <v>Melhor qualidade fotográfica leva um pouco de tempo para obter fora da câmera.</v>
      </c>
      <c r="B28932" s="3">
        <v>0</v>
      </c>
    </row>
    <row r="28933" ht="15.75" customHeight="1" spans="1:2">
      <c r="A28933" s="3" t="str">
        <f>IFERROR(__xludf.DUMMYFUNCTION("GOOGLETRANSLATE(A28933,""en"",""pt"")"),"não USB")</f>
        <v>não USB</v>
      </c>
      <c r="B28933" s="3">
        <v>0</v>
      </c>
    </row>
    <row r="28934" ht="15.75" customHeight="1" spans="1:2">
      <c r="A28934" s="3" t="str">
        <f>IFERROR(__xludf.DUMMYFUNCTION("GOOGLETRANSLATE(A28934,""en"",""pt"")"),"cartão de memória pequeno e sem conectividade USB")</f>
        <v>cartão de memória pequeno e sem conectividade USB</v>
      </c>
      <c r="B28934" s="3">
        <v>0</v>
      </c>
    </row>
    <row r="28935" ht="15.75" customHeight="1" spans="1:2">
      <c r="A28935" s="3" t="str">
        <f>IFERROR(__xludf.DUMMYFUNCTION("GOOGLETRANSLATE(A28935,""en"",""pt"")"),"Ele precisa vir com um adaptador AC e baterias recarregáveis")</f>
        <v>Ele precisa vir com um adaptador AC e baterias recarregáveis</v>
      </c>
      <c r="B28935" s="3">
        <v>0</v>
      </c>
    </row>
    <row r="28936" ht="15.75" customHeight="1" spans="1:2">
      <c r="A28936" s="3" t="str">
        <f>IFERROR(__xludf.DUMMYFUNCTION("GOOGLETRANSLATE(A28936,""en"",""pt"")"),"Sem conexão USB (mas aproveitam o cupom leitor de cartão USB livre)")</f>
        <v>Sem conexão USB (mas aproveitam o cupom leitor de cartão USB livre)</v>
      </c>
      <c r="B28936" s="3">
        <v>0</v>
      </c>
    </row>
    <row r="28937" ht="15.75" customHeight="1" spans="1:2">
      <c r="A28937" s="3" t="str">
        <f>IFERROR(__xludf.DUMMYFUNCTION("GOOGLETRANSLATE(A28937,""en"",""pt"")"),"Já não descobriu qualquer como ainda")</f>
        <v>Já não descobriu qualquer como ainda</v>
      </c>
      <c r="B28937" s="3">
        <v>0</v>
      </c>
    </row>
    <row r="28938" ht="15.75" customHeight="1" spans="1:2">
      <c r="A28938" s="3" t="str">
        <f>IFERROR(__xludf.DUMMYFUNCTION("GOOGLETRANSLATE(A28938,""en"",""pt"")"),"pop manual para cima flash, câmera parece frágil")</f>
        <v>pop manual para cima flash, câmera parece frágil</v>
      </c>
      <c r="B28938" s="3">
        <v>0</v>
      </c>
    </row>
    <row r="28939" ht="15.75" customHeight="1" spans="1:2">
      <c r="A28939" s="3" t="str">
        <f>IFERROR(__xludf.DUMMYFUNCTION("GOOGLETRANSLATE(A28939,""en"",""pt"")"),"Manual (embora demorado) falha alguns fatos importantes; Software é apenas OK.")</f>
        <v>Manual (embora demorado) falha alguns fatos importantes; Software é apenas OK.</v>
      </c>
      <c r="B28939" s="3">
        <v>0</v>
      </c>
    </row>
    <row r="28940" ht="15.75" customHeight="1" spans="1:2">
      <c r="A28940" s="3" t="str">
        <f>IFERROR(__xludf.DUMMYFUNCTION("GOOGLETRANSLATE(A28940,""en"",""pt"")"),"Poderia ser menores, alguns problemas de uso.")</f>
        <v>Poderia ser menores, alguns problemas de uso.</v>
      </c>
      <c r="B28940" s="3">
        <v>0</v>
      </c>
    </row>
    <row r="28941" ht="15.75" customHeight="1" spans="1:2">
      <c r="A28941" s="3" t="str">
        <f>IFERROR(__xludf.DUMMYFUNCTION("GOOGLETRANSLATE(A28941,""en"",""pt"")"),"Você tem que aparecer manualmente o flash-se")</f>
        <v>Você tem que aparecer manualmente o flash-se</v>
      </c>
      <c r="B28941" s="3">
        <v>0</v>
      </c>
    </row>
    <row r="28942" ht="15.75" customHeight="1" spans="1:2">
      <c r="A28942" s="3" t="str">
        <f>IFERROR(__xludf.DUMMYFUNCTION("GOOGLETRANSLATE(A28942,""en"",""pt"")"),"Nenhum")</f>
        <v>Nenhum</v>
      </c>
      <c r="B28942" s="3">
        <v>0</v>
      </c>
    </row>
    <row r="28943" ht="15.75" customHeight="1" spans="1:2">
      <c r="A28943" s="3" t="str">
        <f>IFERROR(__xludf.DUMMYFUNCTION("GOOGLETRANSLATE(A28943,""en"",""pt"")"),"menus complicados, acessórios semi-caro.")</f>
        <v>menus complicados, acessórios semi-caro.</v>
      </c>
      <c r="B28943" s="3">
        <v>0</v>
      </c>
    </row>
    <row r="28944" ht="15.75" customHeight="1" spans="1:2">
      <c r="A28944" s="3" t="str">
        <f>IFERROR(__xludf.DUMMYFUNCTION("GOOGLETRANSLATE(A28944,""en"",""pt"")"),"Varias coisas.")</f>
        <v>Varias coisas.</v>
      </c>
      <c r="B28944" s="3">
        <v>0</v>
      </c>
    </row>
    <row r="28945" ht="15.75" customHeight="1" spans="1:2">
      <c r="A28945" s="3" t="str">
        <f>IFERROR(__xludf.DUMMYFUNCTION("GOOGLETRANSLATE(A28945,""en"",""pt"")"),"muitos acessórios votos (mas não necessárias) não incluído")</f>
        <v>muitos acessórios votos (mas não necessárias) não incluído</v>
      </c>
      <c r="B28945" s="3">
        <v>0</v>
      </c>
    </row>
    <row r="28946" ht="15.75" customHeight="1" spans="1:2">
      <c r="A28946" s="3" t="str">
        <f>IFERROR(__xludf.DUMMYFUNCTION("GOOGLETRANSLATE(A28946,""en"",""pt"")"),"Navios com cartão de 8MB SM, Não Case, Sem anexos lente.")</f>
        <v>Navios com cartão de 8MB SM, Não Case, Sem anexos lente.</v>
      </c>
      <c r="B28946" s="3">
        <v>0</v>
      </c>
    </row>
    <row r="28947" ht="15.75" customHeight="1" spans="1:2">
      <c r="A28947" s="3" t="str">
        <f>IFERROR(__xludf.DUMMYFUNCTION("GOOGLETRANSLATE(A28947,""en"",""pt"")"),"Flash manual")</f>
        <v>Flash manual</v>
      </c>
      <c r="B28947" s="3">
        <v>0</v>
      </c>
    </row>
    <row r="28948" ht="15.75" customHeight="1" spans="1:2">
      <c r="A28948" s="3" t="str">
        <f>IFERROR(__xludf.DUMMYFUNCTION("GOOGLETRANSLATE(A28948,""en"",""pt"")"),"Realmente deveria ter vêm com um cartão de 16 MB (ou melhor)")</f>
        <v>Realmente deveria ter vêm com um cartão de 16 MB (ou melhor)</v>
      </c>
      <c r="B28948" s="3">
        <v>0</v>
      </c>
    </row>
    <row r="28949" ht="15.75" customHeight="1" spans="1:2">
      <c r="A28949" s="3" t="str">
        <f>IFERROR(__xludf.DUMMYFUNCTION("GOOGLETRANSLATE(A28949,""en"",""pt"")"),"Você tem que abrir manualmente o flash")</f>
        <v>Você tem que abrir manualmente o flash</v>
      </c>
      <c r="B28949" s="3">
        <v>0</v>
      </c>
    </row>
    <row r="28950" ht="15.75" customHeight="1" spans="1:2">
      <c r="A28950" s="3" t="str">
        <f>IFERROR(__xludf.DUMMYFUNCTION("GOOGLETRANSLATE(A28950,""en"",""pt"")"),"Bait and Switch Estratégias por CAMERA ZONE, som Fotografia, COMPDIRECT e DISCOVERY CAMERA")</f>
        <v>Bait and Switch Estratégias por CAMERA ZONE, som Fotografia, COMPDIRECT e DISCOVERY CAMERA</v>
      </c>
      <c r="B28950" s="3">
        <v>0</v>
      </c>
    </row>
    <row r="28951" ht="15.75" customHeight="1" spans="1:2">
      <c r="A28951" s="3" t="str">
        <f>IFERROR(__xludf.DUMMYFUNCTION("GOOGLETRANSLATE(A28951,""en"",""pt"")"),"smart card é de apenas 8 mb. 3 1'2 cartão adoptante é um add on caro")</f>
        <v>smart card é de apenas 8 mb. 3 1'2 cartão adoptante é um add on caro</v>
      </c>
      <c r="B28951" s="3">
        <v>0</v>
      </c>
    </row>
    <row r="28952" ht="15.75" customHeight="1" spans="1:2">
      <c r="A28952" s="3" t="str">
        <f>IFERROR(__xludf.DUMMYFUNCTION("GOOGLETRANSLATE(A28952,""en"",""pt"")"),"Um pouco pesado e incómodo, de flash é manual")</f>
        <v>Um pouco pesado e incómodo, de flash é manual</v>
      </c>
      <c r="B28952" s="3">
        <v>0</v>
      </c>
    </row>
    <row r="28953" ht="15.75" customHeight="1" spans="1:2">
      <c r="A28953" s="3" t="str">
        <f>IFERROR(__xludf.DUMMYFUNCTION("GOOGLETRANSLATE(A28953,""en"",""pt"")"),"Apenas 8 mb Smart Media Card incluídos")</f>
        <v>Apenas 8 mb Smart Media Card incluídos</v>
      </c>
      <c r="B28953" s="3">
        <v>0</v>
      </c>
    </row>
    <row r="28954" ht="15.75" customHeight="1" spans="1:2">
      <c r="A28954" s="3" t="str">
        <f>IFERROR(__xludf.DUMMYFUNCTION("GOOGLETRANSLATE(A28954,""en"",""pt"")"),"fede de apoio.")</f>
        <v>fede de apoio.</v>
      </c>
      <c r="B28954" s="3">
        <v>0</v>
      </c>
    </row>
    <row r="28955" ht="15.75" customHeight="1" spans="1:2">
      <c r="A28955" s="3" t="str">
        <f>IFERROR(__xludf.DUMMYFUNCTION("GOOGLETRANSLATE(A28955,""en"",""pt"")"),"Difícil de foco com pouca luz, usa-se baterias rapidamente")</f>
        <v>Difícil de foco com pouca luz, usa-se baterias rapidamente</v>
      </c>
      <c r="B28955" s="3">
        <v>0</v>
      </c>
    </row>
    <row r="28956" ht="15.75" customHeight="1" spans="1:2">
      <c r="A28956" s="3" t="str">
        <f>IFERROR(__xludf.DUMMYFUNCTION("GOOGLETRANSLATE(A28956,""en"",""pt"")"),"curta duração da bateria")</f>
        <v>curta duração da bateria</v>
      </c>
      <c r="B28956" s="3">
        <v>0</v>
      </c>
    </row>
    <row r="28957" ht="15.75" customHeight="1" spans="1:2">
      <c r="A28957" s="3" t="str">
        <f>IFERROR(__xludf.DUMMYFUNCTION("GOOGLETRANSLATE(A28957,""en"",""pt"")"),"Muito difícil de usar")</f>
        <v>Muito difícil de usar</v>
      </c>
      <c r="B28957" s="3">
        <v>0</v>
      </c>
    </row>
    <row r="28958" ht="15.75" customHeight="1" spans="1:2">
      <c r="A28958" s="3" t="str">
        <f>IFERROR(__xludf.DUMMYFUNCTION("GOOGLETRANSLATE(A28958,""en"",""pt"")"),"Muito mau desempenho com pouca luz")</f>
        <v>Muito mau desempenho com pouca luz</v>
      </c>
      <c r="B28958" s="3">
        <v>0</v>
      </c>
    </row>
    <row r="28959" ht="15.75" customHeight="1" spans="1:2">
      <c r="A28959" s="3" t="str">
        <f>IFERROR(__xludf.DUMMYFUNCTION("GOOGLETRANSLATE(A28959,""en"",""pt"")"),"3X de zoom é fraco e cartões SmartMedia são muito frágeis, baterias come")</f>
        <v>3X de zoom é fraco e cartões SmartMedia são muito frágeis, baterias come</v>
      </c>
      <c r="B28959" s="3">
        <v>0</v>
      </c>
    </row>
    <row r="28960" ht="15.75" customHeight="1" spans="1:2">
      <c r="A28960" s="3" t="str">
        <f>IFERROR(__xludf.DUMMYFUNCTION("GOOGLETRANSLATE(A28960,""en"",""pt"")"),"o consumo de bateria, sistema de auto-foco")</f>
        <v>o consumo de bateria, sistema de auto-foco</v>
      </c>
      <c r="B28960" s="3">
        <v>0</v>
      </c>
    </row>
    <row r="28961" ht="15.75" customHeight="1" spans="1:2">
      <c r="A28961" s="3" t="str">
        <f>IFERROR(__xludf.DUMMYFUNCTION("GOOGLETRANSLATE(A28961,""en"",""pt"")"),"não pc saída, nenhum foco manual ou ecrã de focagem, ama baterias")</f>
        <v>não pc saída, nenhum foco manual ou ecrã de focagem, ama baterias</v>
      </c>
      <c r="B28961" s="3">
        <v>0</v>
      </c>
    </row>
    <row r="28962" ht="15.75" customHeight="1" spans="1:2">
      <c r="A28962" s="3" t="str">
        <f>IFERROR(__xludf.DUMMYFUNCTION("GOOGLETRANSLATE(A28962,""en"",""pt"")"),"difícil em baterias")</f>
        <v>difícil em baterias</v>
      </c>
      <c r="B28962" s="3">
        <v>0</v>
      </c>
    </row>
    <row r="28963" ht="15.75" customHeight="1" spans="1:2">
      <c r="A28963" s="3" t="str">
        <f>IFERROR(__xludf.DUMMYFUNCTION("GOOGLETRANSLATE(A28963,""en"",""pt"")"),"Baterias extra na mão? Boa!")</f>
        <v>Baterias extra na mão? Boa!</v>
      </c>
      <c r="B28963" s="3">
        <v>0</v>
      </c>
    </row>
    <row r="28964" ht="15.75" customHeight="1" spans="1:2">
      <c r="A28964" s="3" t="str">
        <f>IFERROR(__xludf.DUMMYFUNCTION("GOOGLETRANSLATE(A28964,""en"",""pt"")"),"Um pouco mais difícil de uso")</f>
        <v>Um pouco mais difícil de uso</v>
      </c>
      <c r="B28964" s="3">
        <v>0</v>
      </c>
    </row>
    <row r="28965" ht="15.75" customHeight="1" spans="1:2">
      <c r="A28965" s="3" t="str">
        <f>IFERROR(__xludf.DUMMYFUNCTION("GOOGLETRANSLATE(A28965,""en"",""pt"")"),"Precisa capacidade de tiro rápido. algumas oportunidades de fotos perdidas, porque você precisa esperar para a foto a ser armazenados em Flash Disk antes de uma outra foto pode ser tomado")</f>
        <v>Precisa capacidade de tiro rápido. algumas oportunidades de fotos perdidas, porque você precisa esperar para a foto a ser armazenados em Flash Disk antes de uma outra foto pode ser tomado</v>
      </c>
      <c r="B28965" s="3">
        <v>0</v>
      </c>
    </row>
    <row r="28966" ht="15.75" customHeight="1" spans="1:2">
      <c r="A28966" s="3" t="str">
        <f>IFERROR(__xludf.DUMMYFUNCTION("GOOGLETRANSLATE(A28966,""en"",""pt"")"),"não descontado muito - comprar ao redor!")</f>
        <v>não descontado muito - comprar ao redor!</v>
      </c>
      <c r="B28966" s="3">
        <v>0</v>
      </c>
    </row>
    <row r="28967" ht="15.75" customHeight="1" spans="1:2">
      <c r="A28967" s="3" t="str">
        <f>IFERROR(__xludf.DUMMYFUNCTION("GOOGLETRANSLATE(A28967,""en"",""pt"")"),"tela de exibição, tendo velocidade de quadros, Olympus Web site.")</f>
        <v>tela de exibição, tendo velocidade de quadros, Olympus Web site.</v>
      </c>
      <c r="B28967" s="3">
        <v>0</v>
      </c>
    </row>
    <row r="28968" ht="15.75" customHeight="1" spans="1:2">
      <c r="A28968" s="3" t="str">
        <f>IFERROR(__xludf.DUMMYFUNCTION("GOOGLETRANSLATE(A28968,""en"",""pt"")"),"Os custos extra para salvar no computador")</f>
        <v>Os custos extra para salvar no computador</v>
      </c>
      <c r="B28968" s="3">
        <v>0</v>
      </c>
    </row>
    <row r="28969" ht="15.75" customHeight="1" spans="1:2">
      <c r="A28969" s="3" t="str">
        <f>IFERROR(__xludf.DUMMYFUNCTION("GOOGLETRANSLATE(A28969,""en"",""pt"")"),"má qualidade")</f>
        <v>má qualidade</v>
      </c>
      <c r="B28969" s="3">
        <v>0</v>
      </c>
    </row>
    <row r="28970" ht="15.75" customHeight="1" spans="1:2">
      <c r="A28970" s="3" t="str">
        <f>IFERROR(__xludf.DUMMYFUNCTION("GOOGLETRANSLATE(A28970,""en"",""pt"")"),"mais difícil de usar")</f>
        <v>mais difícil de usar</v>
      </c>
      <c r="B28970" s="3">
        <v>0</v>
      </c>
    </row>
    <row r="28971" ht="15.75" customHeight="1" spans="1:2">
      <c r="A28971" s="3" t="str">
        <f>IFERROR(__xludf.DUMMYFUNCTION("GOOGLETRANSLATE(A28971,""en"",""pt"")"),"o uso da bateria")</f>
        <v>o uso da bateria</v>
      </c>
      <c r="B28971" s="3">
        <v>0</v>
      </c>
    </row>
    <row r="28972" ht="15.75" customHeight="1" spans="1:2">
      <c r="A28972" s="3" t="str">
        <f>IFERROR(__xludf.DUMMYFUNCTION("GOOGLETRANSLATE(A28972,""en"",""pt"")"),"downloads de arquivos mimado")</f>
        <v>downloads de arquivos mimado</v>
      </c>
      <c r="B28972" s="3">
        <v>0</v>
      </c>
    </row>
    <row r="28973" ht="15.75" customHeight="1" spans="1:2">
      <c r="A28973" s="3" t="str">
        <f>IFERROR(__xludf.DUMMYFUNCTION("GOOGLETRANSLATE(A28973,""en"",""pt"")"),"atraso do obturador, o tempo de recuperação lento, escuro flash fotos no visor")</f>
        <v>atraso do obturador, o tempo de recuperação lento, escuro flash fotos no visor</v>
      </c>
      <c r="B28973" s="3">
        <v>0</v>
      </c>
    </row>
    <row r="28974" ht="15.75" customHeight="1" spans="1:2">
      <c r="A28974" s="3" t="str">
        <f>IFERROR(__xludf.DUMMYFUNCTION("GOOGLETRANSLATE(A28974,""en"",""pt"")"),"tem de instalar software no seu computador para recuperar imagens")</f>
        <v>tem de instalar software no seu computador para recuperar imagens</v>
      </c>
      <c r="B28974" s="3">
        <v>0</v>
      </c>
    </row>
    <row r="28975" ht="15.75" customHeight="1" spans="1:2">
      <c r="A28975" s="3" t="str">
        <f>IFERROR(__xludf.DUMMYFUNCTION("GOOGLETRANSLATE(A28975,""en"",""pt"")"),"Pobre interface, reparos pobres")</f>
        <v>Pobre interface, reparos pobres</v>
      </c>
      <c r="B28975" s="3">
        <v>0</v>
      </c>
    </row>
    <row r="28976" ht="15.75" customHeight="1" spans="1:2">
      <c r="A28976" s="3" t="str">
        <f>IFERROR(__xludf.DUMMYFUNCTION("GOOGLETRANSLATE(A28976,""en"",""pt"")"),"A pulseira é difícil atribuir")</f>
        <v>A pulseira é difícil atribuir</v>
      </c>
      <c r="B28976" s="3">
        <v>0</v>
      </c>
    </row>
    <row r="28977" ht="15.75" customHeight="1" spans="1:2">
      <c r="A28977" s="3" t="str">
        <f>IFERROR(__xludf.DUMMYFUNCTION("GOOGLETRANSLATE(A28977,""en"",""pt"")"),"Poderia ser um pouco mais fácil de usar, tampa da lente mantém cair !!")</f>
        <v>Poderia ser um pouco mais fácil de usar, tampa da lente mantém cair !!</v>
      </c>
      <c r="B28977" s="3">
        <v>0</v>
      </c>
    </row>
    <row r="28978" ht="15.75" customHeight="1" spans="1:2">
      <c r="A28978" s="3" t="str">
        <f>IFERROR(__xludf.DUMMYFUNCTION("GOOGLETRANSLATE(A28978,""en"",""pt"")"),"Auto-foco")</f>
        <v>Auto-foco</v>
      </c>
      <c r="B28978" s="3">
        <v>0</v>
      </c>
    </row>
    <row r="28979" ht="15.75" customHeight="1" spans="1:2">
      <c r="A28979" s="3" t="str">
        <f>IFERROR(__xludf.DUMMYFUNCTION("GOOGLETRANSLATE(A28979,""en"",""pt"")"),"Finicky em situações de pouca luz, software de download difícil de uso")</f>
        <v>Finicky em situações de pouca luz, software de download difícil de uso</v>
      </c>
      <c r="B28979" s="3">
        <v>0</v>
      </c>
    </row>
    <row r="28980" ht="15.75" customHeight="1" spans="1:2">
      <c r="A28980" s="3" t="str">
        <f>IFERROR(__xludf.DUMMYFUNCTION("GOOGLETRANSLATE(A28980,""en"",""pt"")"),"Bateria de vida. ligação de porta paralela")</f>
        <v>Bateria de vida. ligação de porta paralela</v>
      </c>
      <c r="B28980" s="3">
        <v>0</v>
      </c>
    </row>
    <row r="28981" ht="15.75" customHeight="1" spans="1:2">
      <c r="A28981" s="3" t="str">
        <f>IFERROR(__xludf.DUMMYFUNCTION("GOOGLETRANSLATE(A28981,""en"",""pt"")"),"foco automático, por vezes, fica confuso")</f>
        <v>foco automático, por vezes, fica confuso</v>
      </c>
      <c r="B28981" s="3">
        <v>0</v>
      </c>
    </row>
    <row r="28982" ht="15.75" customHeight="1" spans="1:2">
      <c r="A28982" s="3" t="str">
        <f>IFERROR(__xludf.DUMMYFUNCTION("GOOGLETRANSLATE(A28982,""en"",""pt"")"),"memória limitada mau desempenho, lento, de baixa luz")</f>
        <v>memória limitada mau desempenho, lento, de baixa luz</v>
      </c>
      <c r="B28982" s="3">
        <v>0</v>
      </c>
    </row>
    <row r="28983" ht="15.75" customHeight="1" spans="1:2">
      <c r="A28983" s="3" t="str">
        <f>IFERROR(__xludf.DUMMYFUNCTION("GOOGLETRANSLATE(A28983,""en"",""pt"")"),"baterias morrem rapidamente, precisa adaptador AC para obter melhores resultados ..")</f>
        <v>baterias morrem rapidamente, precisa adaptador AC para obter melhores resultados ..</v>
      </c>
      <c r="B28983" s="3">
        <v>0</v>
      </c>
    </row>
    <row r="28984" ht="15.75" customHeight="1" spans="1:2">
      <c r="A28984" s="3" t="str">
        <f>IFERROR(__xludf.DUMMYFUNCTION("GOOGLETRANSLATE(A28984,""en"",""pt"")"),"Grandes e volumosos, caros")</f>
        <v>Grandes e volumosos, caros</v>
      </c>
      <c r="B28984" s="3">
        <v>0</v>
      </c>
    </row>
    <row r="28985" ht="15.75" customHeight="1" spans="1:2">
      <c r="A28985" s="3" t="str">
        <f>IFERROR(__xludf.DUMMYFUNCTION("GOOGLETRANSLATE(A28985,""en"",""pt"")"),"atraso do obturador, má focalização, capacidade de mídia pequena")</f>
        <v>atraso do obturador, má focalização, capacidade de mídia pequena</v>
      </c>
      <c r="B28985" s="3">
        <v>0</v>
      </c>
    </row>
    <row r="28986" ht="15.75" customHeight="1" spans="1:2">
      <c r="A28986" s="3" t="str">
        <f>IFERROR(__xludf.DUMMYFUNCTION("GOOGLETRANSLATE(A28986,""en"",""pt"")"),"Não é bom com situações de pouca luz.")</f>
        <v>Não é bom com situações de pouca luz.</v>
      </c>
      <c r="B28986" s="3">
        <v>0</v>
      </c>
    </row>
    <row r="28987" ht="15.75" customHeight="1" spans="1:2">
      <c r="A28987" s="3" t="str">
        <f>IFERROR(__xludf.DUMMYFUNCTION("GOOGLETRANSLATE(A28987,""en"",""pt"")"),"Desarrumada velocidade do obturador, não é grande memória suportada, e custa um braço e uma perna apenas para 1.5MPs")</f>
        <v>Desarrumada velocidade do obturador, não é grande memória suportada, e custa um braço e uma perna apenas para 1.5MPs</v>
      </c>
      <c r="B28987" s="3">
        <v>0</v>
      </c>
    </row>
    <row r="28988" ht="15.75" customHeight="1" spans="1:2">
      <c r="A28988" s="3" t="str">
        <f>IFERROR(__xludf.DUMMYFUNCTION("GOOGLETRANSLATE(A28988,""en"",""pt"")"),"Difícil de obter o foco com pouca luz")</f>
        <v>Difícil de obter o foco com pouca luz</v>
      </c>
      <c r="B28988" s="3">
        <v>0</v>
      </c>
    </row>
    <row r="28989" ht="15.75" customHeight="1" spans="1:2">
      <c r="A28989" s="3" t="str">
        <f>IFERROR(__xludf.DUMMYFUNCTION("GOOGLETRANSLATE(A28989,""en"",""pt"")"),"Come baterias como um cão grande, glitchy")</f>
        <v>Come baterias como um cão grande, glitchy</v>
      </c>
      <c r="B28989" s="3">
        <v>0</v>
      </c>
    </row>
    <row r="28990" ht="15.75" customHeight="1" spans="1:2">
      <c r="A28990" s="3" t="str">
        <f>IFERROR(__xludf.DUMMYFUNCTION("GOOGLETRANSLATE(A28990,""en"",""pt"")"),"nenhum foco manual; limite 32mb; difícil de auto-foco em condições de pouca luz")</f>
        <v>nenhum foco manual; limite 32mb; difícil de auto-foco em condições de pouca luz</v>
      </c>
      <c r="B28990" s="3">
        <v>0</v>
      </c>
    </row>
    <row r="28991" ht="15.75" customHeight="1" spans="1:2">
      <c r="A28991" s="3" t="str">
        <f>IFERROR(__xludf.DUMMYFUNCTION("GOOGLETRANSLATE(A28991,""en"",""pt"")"),"vida útil da bateria e alguns controles")</f>
        <v>vida útil da bateria e alguns controles</v>
      </c>
      <c r="B28991" s="3">
        <v>0</v>
      </c>
    </row>
    <row r="28992" ht="15.75" customHeight="1" spans="1:2">
      <c r="A28992" s="3" t="str">
        <f>IFERROR(__xludf.DUMMYFUNCTION("GOOGLETRANSLATE(A28992,""en"",""pt"")"),"- As cores da imagem ligeiramente pálido")</f>
        <v>- As cores da imagem ligeiramente pálido</v>
      </c>
      <c r="B28992" s="3">
        <v>0</v>
      </c>
    </row>
    <row r="28993" ht="15.75" customHeight="1" spans="1:2">
      <c r="A28993" s="3" t="str">
        <f>IFERROR(__xludf.DUMMYFUNCTION("GOOGLETRANSLATE(A28993,""en"",""pt"")"),"Limitada sob condições de pouca luz.")</f>
        <v>Limitada sob condições de pouca luz.</v>
      </c>
      <c r="B28993" s="3">
        <v>0</v>
      </c>
    </row>
    <row r="28994" ht="15.75" customHeight="1" spans="1:2">
      <c r="A28994" s="3" t="str">
        <f>IFERROR(__xludf.DUMMYFUNCTION("GOOGLETRANSLATE(A28994,""en"",""pt"")"),"Smart Card Media, funções manuais não é suficiente")</f>
        <v>Smart Card Media, funções manuais não é suficiente</v>
      </c>
      <c r="B28994" s="3">
        <v>0</v>
      </c>
    </row>
    <row r="28995" ht="15.75" customHeight="1" spans="1:2">
      <c r="A28995" s="3" t="str">
        <f>IFERROR(__xludf.DUMMYFUNCTION("GOOGLETRANSLATE(A28995,""en"",""pt"")"),"A fotografia é manipulado principalmente após a foto ser tirada, e não durante.")</f>
        <v>A fotografia é manipulado principalmente após a foto ser tirada, e não durante.</v>
      </c>
      <c r="B28995" s="3">
        <v>0</v>
      </c>
    </row>
    <row r="28996" ht="15.75" customHeight="1" spans="1:2">
      <c r="A28996" s="3" t="str">
        <f>IFERROR(__xludf.DUMMYFUNCTION("GOOGLETRANSLATE(A28996,""en"",""pt"")"),"deixa ao cliente muito a desejar, a coisa é enorme, um monte de coisas não funcionam uma grande parte do tempo.")</f>
        <v>deixa ao cliente muito a desejar, a coisa é enorme, um monte de coisas não funcionam uma grande parte do tempo.</v>
      </c>
      <c r="B28996" s="3">
        <v>0</v>
      </c>
    </row>
    <row r="28997" ht="15.75" customHeight="1" spans="1:2">
      <c r="A28997" s="3" t="str">
        <f>IFERROR(__xludf.DUMMYFUNCTION("GOOGLETRANSLATE(A28997,""en"",""pt"")"),"de downloads de série muito lento, vida da bateria alcalina curto, sistema de foco manual inadequada.")</f>
        <v>de downloads de série muito lento, vida da bateria alcalina curto, sistema de foco manual inadequada.</v>
      </c>
      <c r="B28997" s="3">
        <v>0</v>
      </c>
    </row>
    <row r="28998" ht="15.75" customHeight="1" spans="1:2">
      <c r="A28998" s="3" t="str">
        <f>IFERROR(__xludf.DUMMYFUNCTION("GOOGLETRANSLATE(A28998,""en"",""pt"")"),"um volumoso pouco, mas vale a pena para as características")</f>
        <v>um volumoso pouco, mas vale a pena para as características</v>
      </c>
      <c r="B28998" s="3">
        <v>0</v>
      </c>
    </row>
    <row r="28999" ht="15.75" customHeight="1" spans="1:2">
      <c r="A28999" s="3" t="str">
        <f>IFERROR(__xludf.DUMMYFUNCTION("GOOGLETRANSLATE(A28999,""en"",""pt"")"),"não se assemelha a uma câmera de 35mm")</f>
        <v>não se assemelha a uma câmera de 35mm</v>
      </c>
      <c r="B28999" s="3">
        <v>0</v>
      </c>
    </row>
    <row r="29000" ht="15.75" customHeight="1" spans="1:2">
      <c r="A29000" s="3" t="str">
        <f>IFERROR(__xludf.DUMMYFUNCTION("GOOGLETRANSLATE(A29000,""en"",""pt"")"),"Céu azul Parece Verde, Slow Time entre os disparos.")</f>
        <v>Céu azul Parece Verde, Slow Time entre os disparos.</v>
      </c>
      <c r="B29000" s="3">
        <v>0</v>
      </c>
    </row>
    <row r="29001" ht="15.75" customHeight="1" spans="1:2">
      <c r="A29001" s="3" t="str">
        <f>IFERROR(__xludf.DUMMYFUNCTION("GOOGLETRANSLATE(A29001,""en"",""pt"")"),"Pesado, Big")</f>
        <v>Pesado, Big</v>
      </c>
      <c r="B29001" s="3">
        <v>0</v>
      </c>
    </row>
    <row r="29002" ht="15.75" customHeight="1" spans="1:2">
      <c r="A29002" s="3" t="str">
        <f>IFERROR(__xludf.DUMMYFUNCTION("GOOGLETRANSLATE(A29002,""en"",""pt"")"),"A volumosa pouco e $$$$.")</f>
        <v>A volumosa pouco e $$$$.</v>
      </c>
      <c r="B29002" s="3">
        <v>0</v>
      </c>
    </row>
    <row r="29003" ht="15.75" customHeight="1" spans="1:2">
      <c r="A29003" s="3" t="str">
        <f>IFERROR(__xludf.DUMMYFUNCTION("GOOGLETRANSLATE(A29003,""en"",""pt"")"),"bateria curta vida, câmera facilmente riscado")</f>
        <v>bateria curta vida, câmera facilmente riscado</v>
      </c>
      <c r="B29003" s="3">
        <v>0</v>
      </c>
    </row>
    <row r="29004" ht="15.75" customHeight="1" spans="1:2">
      <c r="A29004" s="3" t="str">
        <f>IFERROR(__xludf.DUMMYFUNCTION("GOOGLETRANSLATE(A29004,""en"",""pt"")"),"Preço, a falta de visor, a tela não é &amp; amp; quot; resistente &amp; amp; quot;")</f>
        <v>Preço, a falta de visor, a tela não é &amp; amp; quot; resistente &amp; amp; quot;</v>
      </c>
      <c r="B29004" s="3">
        <v>0</v>
      </c>
    </row>
    <row r="29005" ht="15.75" customHeight="1" spans="1:2">
      <c r="A29005" s="3" t="str">
        <f>IFERROR(__xludf.DUMMYFUNCTION("GOOGLETRANSLATE(A29005,""en"",""pt"")"),"profundidade de cor pobres")</f>
        <v>profundidade de cor pobres</v>
      </c>
      <c r="B29005" s="3">
        <v>0</v>
      </c>
    </row>
    <row r="29006" ht="15.75" customHeight="1" spans="1:2">
      <c r="A29006" s="3" t="str">
        <f>IFERROR(__xludf.DUMMYFUNCTION("GOOGLETRANSLATE(A29006,""en"",""pt"")"),"$$$")</f>
        <v>$$$</v>
      </c>
      <c r="B29006" s="3">
        <v>0</v>
      </c>
    </row>
    <row r="29007" ht="15.75" customHeight="1" spans="1:2">
      <c r="A29007" s="3" t="str">
        <f>IFERROR(__xludf.DUMMYFUNCTION("GOOGLETRANSLATE(A29007,""en"",""pt"")"),"de flash inadequada; recuperação lenta entre fotos; O varejo é muito caro (apesar de existirem ofertas lá fora)")</f>
        <v>de flash inadequada; recuperação lenta entre fotos; O varejo é muito caro (apesar de existirem ofertas lá fora)</v>
      </c>
      <c r="B29007" s="3">
        <v>0</v>
      </c>
    </row>
    <row r="29008" ht="15.75" customHeight="1" spans="1:2">
      <c r="A29008" s="3" t="str">
        <f>IFERROR(__xludf.DUMMYFUNCTION("GOOGLETRANSLATE(A29008,""en"",""pt"")"),"zoom, questões menores com muitos recursos")</f>
        <v>zoom, questões menores com muitos recursos</v>
      </c>
      <c r="B29008" s="3">
        <v>0</v>
      </c>
    </row>
    <row r="29009" ht="15.75" customHeight="1" spans="1:2">
      <c r="A29009" s="3" t="str">
        <f>IFERROR(__xludf.DUMMYFUNCTION("GOOGLETRANSLATE(A29009,""en"",""pt"")"),"Lento para gravar no disco, muito caro para iniciantes")</f>
        <v>Lento para gravar no disco, muito caro para iniciantes</v>
      </c>
      <c r="B29009" s="3">
        <v>0</v>
      </c>
    </row>
    <row r="29010" ht="15.75" customHeight="1" spans="1:2">
      <c r="A29010" s="3" t="str">
        <f>IFERROR(__xludf.DUMMYFUNCTION("GOOGLETRANSLATE(A29010,""en"",""pt"")"),"Grande, um pouco pesado")</f>
        <v>Grande, um pouco pesado</v>
      </c>
      <c r="B29010" s="3">
        <v>0</v>
      </c>
    </row>
    <row r="29011" ht="15.75" customHeight="1" spans="1:2">
      <c r="A29011" s="3" t="str">
        <f>IFERROR(__xludf.DUMMYFUNCTION("GOOGLETRANSLATE(A29011,""en"",""pt"")"),"vulneráveis ​​LCD")</f>
        <v>vulneráveis ​​LCD</v>
      </c>
      <c r="B29011" s="3">
        <v>0</v>
      </c>
    </row>
    <row r="29012" ht="15.75" customHeight="1" spans="1:2">
      <c r="A29012" s="3" t="str">
        <f>IFERROR(__xludf.DUMMYFUNCTION("GOOGLETRANSLATE(A29012,""en"",""pt"")"),"No rating negativa")</f>
        <v>No rating negativa</v>
      </c>
      <c r="B29012" s="3">
        <v>0</v>
      </c>
    </row>
    <row r="29013" ht="15.75" customHeight="1" spans="1:2">
      <c r="A29013" s="3" t="str">
        <f>IFERROR(__xludf.DUMMYFUNCTION("GOOGLETRANSLATE(A29013,""en"",""pt"")"),"um pouco grande, mas eu acho que é isso para cons")</f>
        <v>um pouco grande, mas eu acho que é isso para cons</v>
      </c>
      <c r="B29013" s="3">
        <v>0</v>
      </c>
    </row>
    <row r="29014" ht="15.75" customHeight="1" spans="1:2">
      <c r="A29014" s="3" t="str">
        <f>IFERROR(__xludf.DUMMYFUNCTION("GOOGLETRANSLATE(A29014,""en"",""pt"")"),"Looooooooong tempo de download. Muito má cor e granulada.")</f>
        <v>Looooooooong tempo de download. Muito má cor e granulada.</v>
      </c>
      <c r="B29014" s="3">
        <v>0</v>
      </c>
    </row>
    <row r="29015" ht="15.75" customHeight="1" spans="1:2">
      <c r="A29015" s="3" t="str">
        <f>IFERROR(__xludf.DUMMYFUNCTION("GOOGLETRANSLATE(A29015,""en"",""pt"")"),"Feito barata, de má qualidade, sérias falhas de design que a tornam inutilizáveis.")</f>
        <v>Feito barata, de má qualidade, sérias falhas de design que a tornam inutilizáveis.</v>
      </c>
      <c r="B29015" s="3">
        <v>0</v>
      </c>
    </row>
    <row r="29016" ht="15.75" customHeight="1" spans="1:2">
      <c r="A29016" s="3" t="str">
        <f>IFERROR(__xludf.DUMMYFUNCTION("GOOGLETRANSLATE(A29016,""en"",""pt"")"),"Todo o resto.")</f>
        <v>Todo o resto.</v>
      </c>
      <c r="B29016" s="3">
        <v>0</v>
      </c>
    </row>
    <row r="29017" ht="15.75" customHeight="1" spans="1:2">
      <c r="A29017" s="3" t="str">
        <f>IFERROR(__xludf.DUMMYFUNCTION("GOOGLETRANSLATE(A29017,""en"",""pt"")"),"um pouco pesado e volumoso, mas também o são a maioria dos sistemas de viagens")</f>
        <v>um pouco pesado e volumoso, mas também o são a maioria dos sistemas de viagens</v>
      </c>
      <c r="B29017" s="3">
        <v>0</v>
      </c>
    </row>
    <row r="29018" ht="15.75" customHeight="1" spans="1:2">
      <c r="A29018" s="3" t="str">
        <f>IFERROR(__xludf.DUMMYFUNCTION("GOOGLETRANSLATE(A29018,""en"",""pt"")"),"Deve usar base do assento de carro")</f>
        <v>Deve usar base do assento de carro</v>
      </c>
      <c r="B29018" s="3">
        <v>0</v>
      </c>
    </row>
    <row r="29019" ht="15.75" customHeight="1" spans="1:2">
      <c r="A29019" s="3" t="str">
        <f>IFERROR(__xludf.DUMMYFUNCTION("GOOGLETRANSLATE(A29019,""en"",""pt"")"),"pesado, alça pode ser difícil")</f>
        <v>pesado, alça pode ser difícil</v>
      </c>
      <c r="B29019" s="3">
        <v>0</v>
      </c>
    </row>
    <row r="29020" ht="15.75" customHeight="1" spans="1:2">
      <c r="A29020" s="3" t="str">
        <f>IFERROR(__xludf.DUMMYFUNCTION("GOOGLETRANSLATE(A29020,""en"",""pt"")"),"não pode usar sem base, alça é desajeitado, 2 relembra dentro de 1 ano, caro")</f>
        <v>não pode usar sem base, alça é desajeitado, 2 relembra dentro de 1 ano, caro</v>
      </c>
      <c r="B29020" s="3">
        <v>0</v>
      </c>
    </row>
    <row r="29021" ht="15.75" customHeight="1" spans="1:2">
      <c r="A29021" s="3" t="str">
        <f>IFERROR(__xludf.DUMMYFUNCTION("GOOGLETRANSLATE(A29021,""en"",""pt"")"),"Leva um pouco de prática para obtê-lo desdobrado")</f>
        <v>Leva um pouco de prática para obtê-lo desdobrado</v>
      </c>
      <c r="B29021" s="3">
        <v>0</v>
      </c>
    </row>
    <row r="29022" ht="15.75" customHeight="1" spans="1:2">
      <c r="A29022" s="3" t="str">
        <f>IFERROR(__xludf.DUMMYFUNCTION("GOOGLETRANSLATE(A29022,""en"",""pt"")"),"Caro se você não for um cliente, BIGWHEELS,")</f>
        <v>Caro se você não for um cliente, BIGWHEELS,</v>
      </c>
      <c r="B29022" s="3">
        <v>0</v>
      </c>
    </row>
    <row r="29023" ht="15.75" customHeight="1" spans="1:2">
      <c r="A29023" s="3" t="str">
        <f>IFERROR(__xludf.DUMMYFUNCTION("GOOGLETRANSLATE(A29023,""en"",""pt"")"),"A base do carro é extra grande para colocar no banco do meio do nosso volvo.")</f>
        <v>A base do carro é extra grande para colocar no banco do meio do nosso volvo.</v>
      </c>
      <c r="B29023" s="3">
        <v>0</v>
      </c>
    </row>
    <row r="29024" ht="15.75" customHeight="1" spans="1:2">
      <c r="A29024" s="3" t="str">
        <f>IFERROR(__xludf.DUMMYFUNCTION("GOOGLETRANSLATE(A29024,""en"",""pt"")"),"preço, um volumoso bit (ocupa toda a parte de trás da minha expedição)")</f>
        <v>preço, um volumoso bit (ocupa toda a parte de trás da minha expedição)</v>
      </c>
      <c r="B29024" s="3">
        <v>0</v>
      </c>
    </row>
    <row r="29025" ht="15.75" customHeight="1" spans="1:2">
      <c r="A29025" s="3" t="str">
        <f>IFERROR(__xludf.DUMMYFUNCTION("GOOGLETRANSLATE(A29025,""en"",""pt"")"),"todo o resto")</f>
        <v>todo o resto</v>
      </c>
      <c r="B29025" s="3">
        <v>0</v>
      </c>
    </row>
    <row r="29026" ht="15.75" customHeight="1" spans="1:2">
      <c r="A29026" s="3" t="str">
        <f>IFERROR(__xludf.DUMMYFUNCTION("GOOGLETRANSLATE(A29026,""en"",""pt"")"),"Todo o resto")</f>
        <v>Todo o resto</v>
      </c>
      <c r="B29026" s="3">
        <v>0</v>
      </c>
    </row>
    <row r="29027" ht="15.75" customHeight="1" spans="1:2">
      <c r="A29027" s="3" t="str">
        <f>IFERROR(__xludf.DUMMYFUNCTION("GOOGLETRANSLATE(A29027,""en"",""pt"")"),"grande, pesado e caro")</f>
        <v>grande, pesado e caro</v>
      </c>
      <c r="B29027" s="3">
        <v>0</v>
      </c>
    </row>
    <row r="29028" ht="15.75" customHeight="1" spans="1:2">
      <c r="A29028" s="3" t="str">
        <f>IFERROR(__xludf.DUMMYFUNCTION("GOOGLETRANSLATE(A29028,""en"",""pt"")"),"Caro, grande!")</f>
        <v>Caro, grande!</v>
      </c>
      <c r="B29028" s="3">
        <v>0</v>
      </c>
    </row>
    <row r="29029" ht="15.75" customHeight="1" spans="1:2">
      <c r="A29029" s="3" t="str">
        <f>IFERROR(__xludf.DUMMYFUNCTION("GOOGLETRANSLATE(A29029,""en"",""pt"")"),"Rodas poderia ser maior, ou ar.")</f>
        <v>Rodas poderia ser maior, ou ar.</v>
      </c>
      <c r="B29029" s="3">
        <v>0</v>
      </c>
    </row>
    <row r="29030" ht="15.75" customHeight="1" spans="1:2">
      <c r="A29030" s="3" t="str">
        <f>IFERROR(__xludf.DUMMYFUNCTION("GOOGLETRANSLATE(A29030,""en"",""pt"")"),"Deve ter grande carro para caber este carrinho.")</f>
        <v>Deve ter grande carro para caber este carrinho.</v>
      </c>
      <c r="B29030" s="3">
        <v>0</v>
      </c>
    </row>
    <row r="29031" ht="15.75" customHeight="1" spans="1:2">
      <c r="A29031" s="3" t="str">
        <f>IFERROR(__xludf.DUMMYFUNCTION("GOOGLETRANSLATE(A29031,""en"",""pt"")"),"difícil de dobrar, ocupa muito espaço")</f>
        <v>difícil de dobrar, ocupa muito espaço</v>
      </c>
      <c r="B29031" s="3">
        <v>0</v>
      </c>
    </row>
    <row r="29032" ht="15.75" customHeight="1" spans="1:2">
      <c r="A29032" s="3" t="str">
        <f>IFERROR(__xludf.DUMMYFUNCTION("GOOGLETRANSLATE(A29032,""en"",""pt"")"),"Apesar de caro, ele mantém o seu valor")</f>
        <v>Apesar de caro, ele mantém o seu valor</v>
      </c>
      <c r="B29032" s="3">
        <v>0</v>
      </c>
    </row>
    <row r="29033" ht="15.75" customHeight="1" spans="1:2">
      <c r="A29033" s="3" t="str">
        <f>IFERROR(__xludf.DUMMYFUNCTION("GOOGLETRANSLATE(A29033,""en"",""pt"")"),"produto local (e acessório) disponibilidade. etiqueta de preço um pouco elevado.")</f>
        <v>produto local (e acessório) disponibilidade. etiqueta de preço um pouco elevado.</v>
      </c>
      <c r="B29033" s="3">
        <v>0</v>
      </c>
    </row>
    <row r="29034" ht="15.75" customHeight="1" spans="1:2">
      <c r="A29034" s="3" t="str">
        <f>IFERROR(__xludf.DUMMYFUNCTION("GOOGLETRANSLATE(A29034,""en"",""pt"")"),"Custo")</f>
        <v>Custo</v>
      </c>
      <c r="B29034" s="3">
        <v>0</v>
      </c>
    </row>
    <row r="29035" ht="15.75" customHeight="1" spans="1:2">
      <c r="A29035" s="3" t="str">
        <f>IFERROR(__xludf.DUMMYFUNCTION("GOOGLETRANSLATE(A29035,""en"",""pt"")"),"Não consigo pensar em um para ser honesto com você.")</f>
        <v>Não consigo pensar em um para ser honesto com você.</v>
      </c>
      <c r="B29035" s="3">
        <v>0</v>
      </c>
    </row>
    <row r="29036" ht="15.75" customHeight="1" spans="1:2">
      <c r="A29036" s="3" t="str">
        <f>IFERROR(__xludf.DUMMYFUNCTION("GOOGLETRANSLATE(A29036,""en"",""pt"")"),"caro")</f>
        <v>caro</v>
      </c>
      <c r="B29036" s="3">
        <v>0</v>
      </c>
    </row>
    <row r="29037" ht="15.75" customHeight="1" spans="1:2">
      <c r="A29037" s="3" t="str">
        <f>IFERROR(__xludf.DUMMYFUNCTION("GOOGLETRANSLATE(A29037,""en"",""pt"")"),"faz-me olhar girlie")</f>
        <v>faz-me olhar girlie</v>
      </c>
      <c r="B29037" s="3">
        <v>0</v>
      </c>
    </row>
    <row r="29038" ht="15.75" customHeight="1" spans="1:2">
      <c r="A29038" s="3" t="str">
        <f>IFERROR(__xludf.DUMMYFUNCTION("GOOGLETRANSLATE(A29038,""en"",""pt"")"),"nenhuma cesta (você precisa para obter um você mesmo), não cai todo o caminho")</f>
        <v>nenhuma cesta (você precisa para obter um você mesmo), não cai todo o caminho</v>
      </c>
      <c r="B29038" s="3">
        <v>0</v>
      </c>
    </row>
    <row r="29039" ht="15.75" customHeight="1" spans="1:2">
      <c r="A29039" s="3" t="str">
        <f>IFERROR(__xludf.DUMMYFUNCTION("GOOGLETRANSLATE(A29039,""en"",""pt"")"),"Custo, a granel, cesta rasa, copa baixa")</f>
        <v>Custo, a granel, cesta rasa, copa baixa</v>
      </c>
      <c r="B29039" s="3">
        <v>0</v>
      </c>
    </row>
    <row r="29040" ht="15.75" customHeight="1" spans="1:2">
      <c r="A29040" s="3" t="str">
        <f>IFERROR(__xludf.DUMMYFUNCTION("GOOGLETRANSLATE(A29040,""en"",""pt"")"),"Caro?")</f>
        <v>Caro?</v>
      </c>
      <c r="B29040" s="3">
        <v>0</v>
      </c>
    </row>
    <row r="29041" ht="15.75" customHeight="1" spans="1:2">
      <c r="A29041" s="3" t="str">
        <f>IFERROR(__xludf.DUMMYFUNCTION("GOOGLETRANSLATE(A29041,""en"",""pt"")"),"Preço alto, difícil de viajar.")</f>
        <v>Preço alto, difícil de viajar.</v>
      </c>
      <c r="B29041" s="3">
        <v>0</v>
      </c>
    </row>
    <row r="29042" ht="15.75" customHeight="1" spans="1:2">
      <c r="A29042" s="3" t="str">
        <f>IFERROR(__xludf.DUMMYFUNCTION("GOOGLETRANSLATE(A29042,""en"",""pt"")"),"Vale a pena para aqueles que não carrinho de bebê durante todo o dia em um assento de carro")</f>
        <v>Vale a pena para aqueles que não carrinho de bebê durante todo o dia em um assento de carro</v>
      </c>
      <c r="B29042" s="3">
        <v>0</v>
      </c>
    </row>
    <row r="29043" ht="15.75" customHeight="1" spans="1:2">
      <c r="A29043" s="3" t="str">
        <f>IFERROR(__xludf.DUMMYFUNCTION("GOOGLETRANSLATE(A29043,""en"",""pt"")"),"cesta é muito pequeno")</f>
        <v>cesta é muito pequeno</v>
      </c>
      <c r="B29043" s="3">
        <v>0</v>
      </c>
    </row>
    <row r="29044" ht="15.75" customHeight="1" spans="1:2">
      <c r="A29044" s="3" t="str">
        <f>IFERROR(__xludf.DUMMYFUNCTION("GOOGLETRANSLATE(A29044,""en"",""pt"")"),"Pesado, grande, não é bom para uso shopping")</f>
        <v>Pesado, grande, não é bom para uso shopping</v>
      </c>
      <c r="B29044" s="3">
        <v>0</v>
      </c>
    </row>
    <row r="29045" ht="15.75" customHeight="1" spans="1:2">
      <c r="A29045" s="3" t="str">
        <f>IFERROR(__xludf.DUMMYFUNCTION("GOOGLETRANSLATE(A29045,""en"",""pt"")"),"HEAVY, peculiar, complicado")</f>
        <v>HEAVY, peculiar, complicado</v>
      </c>
      <c r="B29045" s="3">
        <v>0</v>
      </c>
    </row>
    <row r="29046" ht="15.75" customHeight="1" spans="1:2">
      <c r="A29046" s="3" t="str">
        <f>IFERROR(__xludf.DUMMYFUNCTION("GOOGLETRANSLATE(A29046,""en"",""pt"")"),"Pesado, enorme, e quase impossível de dirigir em terrenos irregulares.")</f>
        <v>Pesado, enorme, e quase impossível de dirigir em terrenos irregulares.</v>
      </c>
      <c r="B29046" s="3">
        <v>0</v>
      </c>
    </row>
    <row r="29047" ht="15.75" customHeight="1" spans="1:2">
      <c r="A29047" s="3" t="str">
        <f>IFERROR(__xludf.DUMMYFUNCTION("GOOGLETRANSLATE(A29047,""en"",""pt"")"),"Preço, peso")</f>
        <v>Preço, peso</v>
      </c>
      <c r="B29047" s="3">
        <v>0</v>
      </c>
    </row>
    <row r="29048" ht="15.75" customHeight="1" spans="1:2">
      <c r="A29048" s="3" t="str">
        <f>IFERROR(__xludf.DUMMYFUNCTION("GOOGLETRANSLATE(A29048,""en"",""pt"")"),"caro, rodas não são grandes lá fora, outros componentes ter quebrado")</f>
        <v>caro, rodas não são grandes lá fora, outros componentes ter quebrado</v>
      </c>
      <c r="B29048" s="3">
        <v>0</v>
      </c>
    </row>
    <row r="29049" ht="15.75" customHeight="1" spans="1:2">
      <c r="A29049" s="3" t="str">
        <f>IFERROR(__xludf.DUMMYFUNCTION("GOOGLETRANSLATE(A29049,""en"",""pt"")"),"pesado, suporte de copo não permanecer na bem")</f>
        <v>pesado, suporte de copo não permanecer na bem</v>
      </c>
      <c r="B29049" s="3">
        <v>0</v>
      </c>
    </row>
    <row r="29050" ht="15.75" customHeight="1" spans="1:2">
      <c r="A29050" s="3" t="str">
        <f>IFERROR(__xludf.DUMMYFUNCTION("GOOGLETRANSLATE(A29050,""en"",""pt"")"),"armazenamento carrinho limitado")</f>
        <v>armazenamento carrinho limitado</v>
      </c>
      <c r="B29050" s="3">
        <v>0</v>
      </c>
    </row>
    <row r="29051" ht="15.75" customHeight="1" spans="1:2">
      <c r="A29051" s="3" t="str">
        <f>IFERROR(__xludf.DUMMYFUNCTION("GOOGLETRANSLATE(A29051,""en"",""pt"")"),"tecido desvaneceu-se, rodas rangem, não passar por cima de solavancos muito facilmente")</f>
        <v>tecido desvaneceu-se, rodas rangem, não passar por cima de solavancos muito facilmente</v>
      </c>
      <c r="B29051" s="3">
        <v>0</v>
      </c>
    </row>
    <row r="29052" ht="15.75" customHeight="1" spans="1:2">
      <c r="A29052" s="3" t="str">
        <f>IFERROR(__xludf.DUMMYFUNCTION("GOOGLETRANSLATE(A29052,""en"",""pt"")"),"volumosos e difíceis de manusear quando fechada")</f>
        <v>volumosos e difíceis de manusear quando fechada</v>
      </c>
      <c r="B29052" s="3">
        <v>0</v>
      </c>
    </row>
    <row r="29053" ht="15.75" customHeight="1" spans="1:2">
      <c r="A29053" s="3" t="str">
        <f>IFERROR(__xludf.DUMMYFUNCTION("GOOGLETRANSLATE(A29053,""en"",""pt"")"),"Um pouco pesado")</f>
        <v>Um pouco pesado</v>
      </c>
      <c r="B29053" s="3">
        <v>0</v>
      </c>
    </row>
    <row r="29054" ht="15.75" customHeight="1" spans="1:2">
      <c r="A29054" s="3" t="str">
        <f>IFERROR(__xludf.DUMMYFUNCTION("GOOGLETRANSLATE(A29054,""en"",""pt"")"),"Não é ideal para viagens ... provavelmente não é para ser")</f>
        <v>Não é ideal para viagens ... provavelmente não é para ser</v>
      </c>
      <c r="B29054" s="3">
        <v>0</v>
      </c>
    </row>
    <row r="29055" ht="15.75" customHeight="1" spans="1:2">
      <c r="A29055" s="3" t="str">
        <f>IFERROR(__xludf.DUMMYFUNCTION("GOOGLETRANSLATE(A29055,""en"",""pt"")"),"preço")</f>
        <v>preço</v>
      </c>
      <c r="B29055" s="3">
        <v>0</v>
      </c>
    </row>
    <row r="29056" ht="15.75" customHeight="1" spans="1:2">
      <c r="A29056" s="3" t="str">
        <f>IFERROR(__xludf.DUMMYFUNCTION("GOOGLETRANSLATE(A29056,""en"",""pt"")"),"tamanho caro, grande pode fazer na difícil de se mover")</f>
        <v>tamanho caro, grande pode fazer na difícil de se mover</v>
      </c>
      <c r="B29056" s="3">
        <v>0</v>
      </c>
    </row>
    <row r="29057" ht="15.75" customHeight="1" spans="1:2">
      <c r="A29057" s="3" t="str">
        <f>IFERROR(__xludf.DUMMYFUNCTION("GOOGLETRANSLATE(A29057,""en"",""pt"")"),"muito grande no tronco, não realmente para passeios bairro")</f>
        <v>muito grande no tronco, não realmente para passeios bairro</v>
      </c>
      <c r="B29057" s="3">
        <v>0</v>
      </c>
    </row>
    <row r="29058" ht="15.75" customHeight="1" spans="1:2">
      <c r="A29058" s="3" t="str">
        <f>IFERROR(__xludf.DUMMYFUNCTION("GOOGLETRANSLATE(A29058,""en"",""pt"")"),"Meu quebrou depois de apenas alguns meses")</f>
        <v>Meu quebrou depois de apenas alguns meses</v>
      </c>
      <c r="B29058" s="3">
        <v>0</v>
      </c>
    </row>
    <row r="29059" ht="15.75" customHeight="1" spans="1:2">
      <c r="A29059" s="3" t="str">
        <f>IFERROR(__xludf.DUMMYFUNCTION("GOOGLETRANSLATE(A29059,""en"",""pt"")"),"É difícil de dobrar.")</f>
        <v>É difícil de dobrar.</v>
      </c>
      <c r="B29059" s="3">
        <v>0</v>
      </c>
    </row>
    <row r="29060" ht="15.75" customHeight="1" spans="1:2">
      <c r="A29060" s="3" t="str">
        <f>IFERROR(__xludf.DUMMYFUNCTION("GOOGLETRANSLATE(A29060,""en"",""pt"")"),"Caro para algo que é superada após 1 ano")</f>
        <v>Caro para algo que é superada após 1 ano</v>
      </c>
      <c r="B29060" s="3">
        <v>0</v>
      </c>
    </row>
    <row r="29061" ht="15.75" customHeight="1" spans="1:2">
      <c r="A29061" s="3" t="str">
        <f>IFERROR(__xludf.DUMMYFUNCTION("GOOGLETRANSLATE(A29061,""en"",""pt"")"),"caro, quebra, rodas ficar preso")</f>
        <v>caro, quebra, rodas ficar preso</v>
      </c>
      <c r="B29061" s="3">
        <v>0</v>
      </c>
    </row>
    <row r="29062" ht="15.75" customHeight="1" spans="1:2">
      <c r="A29062" s="3" t="str">
        <f>IFERROR(__xludf.DUMMYFUNCTION("GOOGLETRANSLATE(A29062,""en"",""pt"")"),"Eu chuto apoio para os pés quando o bebê está em rear-sentido e da criança 'poleiro' não é seguro")</f>
        <v>Eu chuto apoio para os pés quando o bebê está em rear-sentido e da criança 'poleiro' não é seguro</v>
      </c>
      <c r="B29062" s="3">
        <v>0</v>
      </c>
    </row>
    <row r="29063" ht="15.75" customHeight="1" spans="1:2">
      <c r="A29063" s="3" t="str">
        <f>IFERROR(__xludf.DUMMYFUNCTION("GOOGLETRANSLATE(A29063,""en"",""pt"")"),"Caro, pesado, não orientar bem, arreios fica preso, &amp; amp; # 13; &amp; amp; # 10; rodas muito pequeno, é um tanque")</f>
        <v>Caro, pesado, não orientar bem, arreios fica preso, &amp; amp; # 13; &amp; amp; # 10; rodas muito pequeno, é um tanque</v>
      </c>
      <c r="B29063" s="3">
        <v>0</v>
      </c>
    </row>
    <row r="29064" ht="15.75" customHeight="1" spans="1:2">
      <c r="A29064" s="3" t="str">
        <f>IFERROR(__xludf.DUMMYFUNCTION("GOOGLETRANSLATE(A29064,""en"",""pt"")"),"Muito pesado e ocupa muito espaço")</f>
        <v>Muito pesado e ocupa muito espaço</v>
      </c>
      <c r="B29064" s="3">
        <v>0</v>
      </c>
    </row>
    <row r="29065" ht="15.75" customHeight="1" spans="1:2">
      <c r="A29065" s="3" t="str">
        <f>IFERROR(__xludf.DUMMYFUNCTION("GOOGLETRANSLATE(A29065,""en"",""pt"")"),"preço")</f>
        <v>preço</v>
      </c>
      <c r="B29065" s="3">
        <v>0</v>
      </c>
    </row>
    <row r="29066" ht="15.75" customHeight="1" spans="1:2">
      <c r="A29066" s="3" t="str">
        <f>IFERROR(__xludf.DUMMYFUNCTION("GOOGLETRANSLATE(A29066,""en"",""pt"")"),"área de armazenamento difícil, tamanho grande")</f>
        <v>área de armazenamento difícil, tamanho grande</v>
      </c>
      <c r="B29066" s="3">
        <v>0</v>
      </c>
    </row>
    <row r="29067" ht="15.75" customHeight="1" spans="1:2">
      <c r="A29067" s="3" t="str">
        <f>IFERROR(__xludf.DUMMYFUNCTION("GOOGLETRANSLATE(A29067,""en"",""pt"")"),"volumoso quando dobrado, difícil de empurrar com uma mão")</f>
        <v>volumoso quando dobrado, difícil de empurrar com uma mão</v>
      </c>
      <c r="B29067" s="3">
        <v>0</v>
      </c>
    </row>
    <row r="29068" ht="15.75" customHeight="1" spans="1:2">
      <c r="A29068" s="3" t="str">
        <f>IFERROR(__xludf.DUMMYFUNCTION("GOOGLETRANSLATE(A29068,""en"",""pt"")"),"Não é conveniente ou bem concebido o suficiente para ele é caro pricetag")</f>
        <v>Não é conveniente ou bem concebido o suficiente para ele é caro pricetag</v>
      </c>
      <c r="B29068" s="3">
        <v>0</v>
      </c>
    </row>
    <row r="29069" ht="15.75" customHeight="1" spans="1:2">
      <c r="A29069" s="3" t="str">
        <f>IFERROR(__xludf.DUMMYFUNCTION("GOOGLETRANSLATE(A29069,""en"",""pt"")"),"Não é útil após os primeiros meses")</f>
        <v>Não é útil após os primeiros meses</v>
      </c>
      <c r="B29069" s="3">
        <v>0</v>
      </c>
    </row>
    <row r="29070" ht="15.75" customHeight="1" spans="1:2">
      <c r="A29070" s="3" t="str">
        <f>IFERROR(__xludf.DUMMYFUNCTION("GOOGLETRANSLATE(A29070,""en"",""pt"")"),"Handle altura não ajustável")</f>
        <v>Handle altura não ajustável</v>
      </c>
      <c r="B29070" s="3">
        <v>0</v>
      </c>
    </row>
    <row r="29071" ht="15.75" customHeight="1" spans="1:2">
      <c r="A29071" s="3" t="str">
        <f>IFERROR(__xludf.DUMMYFUNCTION("GOOGLETRANSLATE(A29071,""en"",""pt"")"),"Muito caro, um pouco grande, o acesso cesta difícil")</f>
        <v>Muito caro, um pouco grande, o acesso cesta difícil</v>
      </c>
      <c r="B29071" s="3">
        <v>0</v>
      </c>
    </row>
    <row r="29072" ht="15.75" customHeight="1" spans="1:2">
      <c r="A29072" s="3" t="str">
        <f>IFERROR(__xludf.DUMMYFUNCTION("GOOGLETRANSLATE(A29072,""en"",""pt"")"),"Cesta poderia ser um grande maior, peso")</f>
        <v>Cesta poderia ser um grande maior, peso</v>
      </c>
      <c r="B29072" s="3">
        <v>0</v>
      </c>
    </row>
    <row r="29073" ht="15.75" customHeight="1" spans="1:2">
      <c r="A29073" s="3" t="str">
        <f>IFERROR(__xludf.DUMMYFUNCTION("GOOGLETRANSLATE(A29073,""en"",""pt"")"),"O material não é fácil de remover, transporte está no lado pesado, e você precisa de duas mãos para dobrá-la.")</f>
        <v>O material não é fácil de remover, transporte está no lado pesado, e você precisa de duas mãos para dobrá-la.</v>
      </c>
      <c r="B29073" s="3">
        <v>0</v>
      </c>
    </row>
    <row r="29074" ht="15.75" customHeight="1" spans="1:2">
      <c r="A29074" s="3" t="str">
        <f>IFERROR(__xludf.DUMMYFUNCTION("GOOGLETRANSLATE(A29074,""en"",""pt"")"),"muito caro, facilmente quebráveis, problemas de cinta")</f>
        <v>muito caro, facilmente quebráveis, problemas de cinta</v>
      </c>
      <c r="B29074" s="3">
        <v>0</v>
      </c>
    </row>
    <row r="29075" ht="15.75" customHeight="1" spans="1:2">
      <c r="A29075" s="3" t="str">
        <f>IFERROR(__xludf.DUMMYFUNCTION("GOOGLETRANSLATE(A29075,""en"",""pt"")"),"cesta poderia ser maior")</f>
        <v>cesta poderia ser maior</v>
      </c>
      <c r="B29075" s="3">
        <v>0</v>
      </c>
    </row>
    <row r="29076" ht="15.75" customHeight="1" spans="1:2">
      <c r="A29076" s="3" t="str">
        <f>IFERROR(__xludf.DUMMYFUNCTION("GOOGLETRANSLATE(A29076,""en"",""pt"")"),"n / D")</f>
        <v>n / D</v>
      </c>
      <c r="B29076" s="3">
        <v>0</v>
      </c>
    </row>
    <row r="29077" ht="15.75" customHeight="1" spans="1:2">
      <c r="A29077" s="3" t="str">
        <f>IFERROR(__xludf.DUMMYFUNCTION("GOOGLETRANSLATE(A29077,""en"",""pt"")"),"tamanho, facilidade de uso, o tamanho da cesta, durabilidade")</f>
        <v>tamanho, facilidade de uso, o tamanho da cesta, durabilidade</v>
      </c>
      <c r="B29077" s="3">
        <v>0</v>
      </c>
    </row>
    <row r="29078" ht="15.75" customHeight="1" spans="1:2">
      <c r="A29078" s="3" t="str">
        <f>IFERROR(__xludf.DUMMYFUNCTION("GOOGLETRANSLATE(A29078,""en"",""pt"")"),"Preço")</f>
        <v>Preço</v>
      </c>
      <c r="B29078" s="3">
        <v>0</v>
      </c>
    </row>
    <row r="29079" ht="15.75" customHeight="1" spans="1:2">
      <c r="A29079" s="3" t="str">
        <f>IFERROR(__xludf.DUMMYFUNCTION("GOOGLETRANSLATE(A29079,""en"",""pt"")"),"pesado, caro")</f>
        <v>pesado, caro</v>
      </c>
      <c r="B29079" s="3">
        <v>0</v>
      </c>
    </row>
    <row r="29080" ht="15.75" customHeight="1" spans="1:2">
      <c r="A29080" s="3" t="str">
        <f>IFERROR(__xludf.DUMMYFUNCTION("GOOGLETRANSLATE(A29080,""en"",""pt"")"),"Caro")</f>
        <v>Caro</v>
      </c>
      <c r="B29080" s="3">
        <v>0</v>
      </c>
    </row>
    <row r="29081" ht="15.75" customHeight="1" spans="1:2">
      <c r="A29081" s="3" t="str">
        <f>IFERROR(__xludf.DUMMYFUNCTION("GOOGLETRANSLATE(A29081,""en"",""pt"")"),"preço")</f>
        <v>preço</v>
      </c>
      <c r="B29081" s="3">
        <v>0</v>
      </c>
    </row>
    <row r="29082" ht="15.75" customHeight="1" spans="1:2">
      <c r="A29082" s="3" t="str">
        <f>IFERROR(__xludf.DUMMYFUNCTION("GOOGLETRANSLATE(A29082,""en"",""pt"")"),"difícil de empurrar se você estiver muito alto")</f>
        <v>difícil de empurrar se você estiver muito alto</v>
      </c>
      <c r="B29082" s="3">
        <v>0</v>
      </c>
    </row>
    <row r="29083" ht="15.75" customHeight="1" spans="1:2">
      <c r="A29083" s="3" t="str">
        <f>IFERROR(__xludf.DUMMYFUNCTION("GOOGLETRANSLATE(A29083,""en"",""pt"")"),"Investimento inicial")</f>
        <v>Investimento inicial</v>
      </c>
      <c r="B29083" s="3">
        <v>0</v>
      </c>
    </row>
    <row r="29084" ht="15.75" customHeight="1" spans="1:2">
      <c r="A29084" s="3" t="str">
        <f>IFERROR(__xludf.DUMMYFUNCTION("GOOGLETRANSLATE(A29084,""en"",""pt"")"),"&amp; Amp; quot; forro de oceano &amp; amp; quot; proporções, cesta inacessível")</f>
        <v>&amp; Amp; quot; forro de oceano &amp; amp; quot; proporções, cesta inacessível</v>
      </c>
      <c r="B29084" s="3">
        <v>0</v>
      </c>
    </row>
    <row r="29085" ht="15.75" customHeight="1" spans="1:2">
      <c r="A29085" s="3" t="str">
        <f>IFERROR(__xludf.DUMMYFUNCTION("GOOGLETRANSLATE(A29085,""en"",""pt"")"),"custo, peso")</f>
        <v>custo, peso</v>
      </c>
      <c r="B29085" s="3">
        <v>0</v>
      </c>
    </row>
    <row r="29086" ht="15.75" customHeight="1" spans="1:2">
      <c r="A29086" s="3" t="str">
        <f>IFERROR(__xludf.DUMMYFUNCTION("GOOGLETRANSLATE(A29086,""en"",""pt"")"),"Grande, pesado, caro")</f>
        <v>Grande, pesado, caro</v>
      </c>
      <c r="B29086" s="3">
        <v>0</v>
      </c>
    </row>
    <row r="29087" ht="15.75" customHeight="1" spans="1:2">
      <c r="A29087" s="3" t="str">
        <f>IFERROR(__xludf.DUMMYFUNCTION("GOOGLETRANSLATE(A29087,""en"",""pt"")"),"cinto de segurança não é o maior, pesado para carga")</f>
        <v>cinto de segurança não é o maior, pesado para carga</v>
      </c>
      <c r="B29087" s="3">
        <v>0</v>
      </c>
    </row>
    <row r="29088" ht="15.75" customHeight="1" spans="1:2">
      <c r="A29088" s="3" t="str">
        <f>IFERROR(__xludf.DUMMYFUNCTION("GOOGLETRANSLATE(A29088,""en"",""pt"")"),"preços mais elevados")</f>
        <v>preços mais elevados</v>
      </c>
      <c r="B29088" s="3">
        <v>0</v>
      </c>
    </row>
    <row r="29089" ht="15.75" customHeight="1" spans="1:2">
      <c r="A29089" s="3" t="str">
        <f>IFERROR(__xludf.DUMMYFUNCTION("GOOGLETRANSLATE(A29089,""en"",""pt"")"),"custo")</f>
        <v>custo</v>
      </c>
      <c r="B29089" s="3">
        <v>0</v>
      </c>
    </row>
    <row r="29090" ht="15.75" customHeight="1" spans="1:2">
      <c r="A29090" s="3" t="str">
        <f>IFERROR(__xludf.DUMMYFUNCTION("GOOGLETRANSLATE(A29090,""en"",""pt"")"),"muito pesado para carregar")</f>
        <v>muito pesado para carregar</v>
      </c>
      <c r="B29090" s="3">
        <v>0</v>
      </c>
    </row>
    <row r="29091" ht="15.75" customHeight="1" spans="1:2">
      <c r="A29091" s="3" t="str">
        <f>IFERROR(__xludf.DUMMYFUNCTION("GOOGLETRANSLATE(A29091,""en"",""pt"")"),"Ele fica muito distante antes de terminar precisar dele!")</f>
        <v>Ele fica muito distante antes de terminar precisar dele!</v>
      </c>
      <c r="B29091" s="3">
        <v>0</v>
      </c>
    </row>
    <row r="29092" ht="15.75" customHeight="1" spans="1:2">
      <c r="A29092" s="3" t="str">
        <f>IFERROR(__xludf.DUMMYFUNCTION("GOOGLETRANSLATE(A29092,""en"",""pt"")"),"Um pouco pesado; não há suportes de copo")</f>
        <v>Um pouco pesado; não há suportes de copo</v>
      </c>
      <c r="B29092" s="3">
        <v>0</v>
      </c>
    </row>
    <row r="29093" ht="15.75" customHeight="1" spans="1:2">
      <c r="A29093" s="3" t="str">
        <f>IFERROR(__xludf.DUMMYFUNCTION("GOOGLETRANSLATE(A29093,""en"",""pt"")"),"pesado, largamente, caro")</f>
        <v>pesado, largamente, caro</v>
      </c>
      <c r="B29093" s="3">
        <v>0</v>
      </c>
    </row>
    <row r="29094" ht="15.75" customHeight="1" spans="1:2">
      <c r="A29094" s="3" t="str">
        <f>IFERROR(__xludf.DUMMYFUNCTION("GOOGLETRANSLATE(A29094,""en"",""pt"")"),"preço (!!!!!), muito grande e pesado")</f>
        <v>preço (!!!!!), muito grande e pesado</v>
      </c>
      <c r="B29094" s="3">
        <v>0</v>
      </c>
    </row>
    <row r="29095" ht="15.75" customHeight="1" spans="1:2">
      <c r="A29095" s="3" t="str">
        <f>IFERROR(__xludf.DUMMYFUNCTION("GOOGLETRANSLATE(A29095,""en"",""pt"")"),"difícil de manobrar")</f>
        <v>difícil de manobrar</v>
      </c>
      <c r="B29095" s="3">
        <v>0</v>
      </c>
    </row>
    <row r="29096" ht="15.75" customHeight="1" spans="1:2">
      <c r="A29096" s="3" t="str">
        <f>IFERROR(__xludf.DUMMYFUNCTION("GOOGLETRANSLATE(A29096,""en"",""pt"")"),"pesado, muito grande")</f>
        <v>pesado, muito grande</v>
      </c>
      <c r="B29096" s="3">
        <v>0</v>
      </c>
    </row>
    <row r="29097" ht="15.75" customHeight="1" spans="1:2">
      <c r="A29097" s="3" t="str">
        <f>IFERROR(__xludf.DUMMYFUNCTION("GOOGLETRANSLATE(A29097,""en"",""pt"")"),"peças de plástico")</f>
        <v>peças de plástico</v>
      </c>
      <c r="B29097" s="3">
        <v>0</v>
      </c>
    </row>
    <row r="29098" ht="15.75" customHeight="1" spans="1:2">
      <c r="A29098" s="3" t="str">
        <f>IFERROR(__xludf.DUMMYFUNCTION("GOOGLETRANSLATE(A29098,""en"",""pt"")"),"Alta no preço")</f>
        <v>Alta no preço</v>
      </c>
      <c r="B29098" s="3">
        <v>0</v>
      </c>
    </row>
    <row r="29099" ht="15.75" customHeight="1" spans="1:2">
      <c r="A29099" s="3" t="str">
        <f>IFERROR(__xludf.DUMMYFUNCTION("GOOGLETRANSLATE(A29099,""en"",""pt"")"),"pouco copa pequena.")</f>
        <v>pouco copa pequena.</v>
      </c>
      <c r="B29099" s="3">
        <v>0</v>
      </c>
    </row>
    <row r="29100" ht="15.75" customHeight="1" spans="1:2">
      <c r="A29100" s="3" t="str">
        <f>IFERROR(__xludf.DUMMYFUNCTION("GOOGLETRANSLATE(A29100,""en"",""pt"")"),"É muito caro!")</f>
        <v>É muito caro!</v>
      </c>
      <c r="B29100" s="3">
        <v>0</v>
      </c>
    </row>
    <row r="29101" ht="15.75" customHeight="1" spans="1:2">
      <c r="A29101" s="3" t="str">
        <f>IFERROR(__xludf.DUMMYFUNCTION("GOOGLETRANSLATE(A29101,""en"",""pt"")"),"cesta")</f>
        <v>cesta</v>
      </c>
      <c r="B29101" s="3">
        <v>0</v>
      </c>
    </row>
    <row r="29102" ht="15.75" customHeight="1" spans="1:2">
      <c r="A29102" s="3" t="str">
        <f>IFERROR(__xludf.DUMMYFUNCTION("GOOGLETRANSLATE(A29102,""en"",""pt"")"),"Pesado, caro, ""transatlântico""")</f>
        <v>Pesado, caro, "transatlântico"</v>
      </c>
      <c r="B29102" s="3">
        <v>0</v>
      </c>
    </row>
    <row r="29103" ht="15.75" customHeight="1" spans="1:2">
      <c r="A29103" s="3" t="s">
        <v>102</v>
      </c>
      <c r="B29103" s="3">
        <v>0</v>
      </c>
    </row>
    <row r="29104" ht="15.75" customHeight="1" spans="1:2">
      <c r="A29104" s="3" t="s">
        <v>157</v>
      </c>
      <c r="B29104" s="3">
        <v>0</v>
      </c>
    </row>
    <row r="29105" ht="15.75" customHeight="1" spans="1:2">
      <c r="A29105" s="3" t="s">
        <v>158</v>
      </c>
      <c r="B29105" s="3">
        <v>0</v>
      </c>
    </row>
    <row r="29106" ht="15.75" customHeight="1" spans="1:2">
      <c r="A29106" s="3" t="str">
        <f>IFERROR(__xludf.DUMMYFUNCTION("GOOGLETRANSLATE(A29106,""en"",""pt"")"),"nenhum que eu posso pensar!")</f>
        <v>nenhum que eu posso pensar!</v>
      </c>
      <c r="B29106" s="3">
        <v>0</v>
      </c>
    </row>
    <row r="29107" ht="15.75" customHeight="1" spans="1:2">
      <c r="A29107" s="3" t="str">
        <f>IFERROR(__xludf.DUMMYFUNCTION("GOOGLETRANSLATE(A29107,""en"",""pt"")"),"Pouco complicado para dobrar, Extra para a cesta, No armazenamento no dossel, titular Cup")</f>
        <v>Pouco complicado para dobrar, Extra para a cesta, No armazenamento no dossel, titular Cup</v>
      </c>
      <c r="B29107" s="3">
        <v>0</v>
      </c>
    </row>
    <row r="29108" ht="15.75" customHeight="1" spans="1:2">
      <c r="A29108" s="3" t="s">
        <v>159</v>
      </c>
      <c r="B29108" s="3">
        <v>0</v>
      </c>
    </row>
    <row r="29109" ht="15.75" customHeight="1" spans="1:2">
      <c r="A29109" s="3" t="str">
        <f>IFERROR(__xludf.DUMMYFUNCTION("GOOGLETRANSLATE(A29109,""en"",""pt"")"),"Difícil de quebrar e um pouco pesado.")</f>
        <v>Difícil de quebrar e um pouco pesado.</v>
      </c>
      <c r="B29109" s="3">
        <v>0</v>
      </c>
    </row>
    <row r="29110" ht="15.75" customHeight="1" spans="1:2">
      <c r="A29110" s="3" t="str">
        <f>IFERROR(__xludf.DUMMYFUNCTION("GOOGLETRANSLATE(A29110,""en"",""pt"")"),"Poderia ser mais leve")</f>
        <v>Poderia ser mais leve</v>
      </c>
      <c r="B29110" s="3">
        <v>0</v>
      </c>
    </row>
    <row r="29111" ht="15.75" customHeight="1" spans="1:2">
      <c r="A29111" s="3" t="str">
        <f>IFERROR(__xludf.DUMMYFUNCTION("GOOGLETRANSLATE(A29111,""en"",""pt"")"),"cesta pequena")</f>
        <v>cesta pequena</v>
      </c>
      <c r="B29111" s="3">
        <v>0</v>
      </c>
    </row>
    <row r="29112" ht="15.75" customHeight="1" spans="1:2">
      <c r="A29112" s="3" t="str">
        <f>IFERROR(__xludf.DUMMYFUNCTION("GOOGLETRANSLATE(A29112,""en"",""pt"")"),"Complicado para aprender a dobrar. suporte de copo adulto pequeno. cesta frágil.")</f>
        <v>Complicado para aprender a dobrar. suporte de copo adulto pequeno. cesta frágil.</v>
      </c>
      <c r="B29112" s="3">
        <v>0</v>
      </c>
    </row>
    <row r="29113" ht="15.75" customHeight="1" spans="1:2">
      <c r="A29113" s="3" t="str">
        <f>IFERROR(__xludf.DUMMYFUNCTION("GOOGLETRANSLATE(A29113,""en"",""pt"")"),"Preço, não é fácil de dirigir com uma mão.")</f>
        <v>Preço, não é fácil de dirigir com uma mão.</v>
      </c>
      <c r="B29113" s="3">
        <v>0</v>
      </c>
    </row>
    <row r="29114" ht="15.75" customHeight="1" spans="1:2">
      <c r="A29114" s="3" t="str">
        <f>IFERROR(__xludf.DUMMYFUNCTION("GOOGLETRANSLATE(A29114,""en"",""pt"")"),"deve comprar cesta; requer alguma prática para abrir rapidamente; sente frágil, por vezes,")</f>
        <v>deve comprar cesta; requer alguma prática para abrir rapidamente; sente frágil, por vezes,</v>
      </c>
      <c r="B29114" s="3">
        <v>0</v>
      </c>
    </row>
    <row r="29115" ht="15.75" customHeight="1" spans="1:2">
      <c r="A29115" s="3" t="str">
        <f>IFERROR(__xludf.DUMMYFUNCTION("GOOGLETRANSLATE(A29115,""en"",""pt"")"),"Falta de espaço de armazenamento")</f>
        <v>Falta de espaço de armazenamento</v>
      </c>
      <c r="B29115" s="3">
        <v>0</v>
      </c>
    </row>
    <row r="29116" ht="15.75" customHeight="1" spans="1:2">
      <c r="A29116" s="3" t="str">
        <f>IFERROR(__xludf.DUMMYFUNCTION("GOOGLETRANSLATE(A29116,""en"",""pt"")"),"Preços mais elevados, cesta pequeno")</f>
        <v>Preços mais elevados, cesta pequeno</v>
      </c>
      <c r="B29116" s="3">
        <v>0</v>
      </c>
    </row>
    <row r="29117" ht="15.75" customHeight="1" spans="1:2">
      <c r="A29117" s="3" t="str">
        <f>IFERROR(__xludf.DUMMYFUNCTION("GOOGLETRANSLATE(A29117,""en"",""pt"")"),"É caro, cesto inferior é um custo adicional.")</f>
        <v>É caro, cesto inferior é um custo adicional.</v>
      </c>
      <c r="B29117" s="3">
        <v>0</v>
      </c>
    </row>
    <row r="29118" ht="15.75" customHeight="1" spans="1:2">
      <c r="A29118" s="3" t="str">
        <f>IFERROR(__xludf.DUMMYFUNCTION("GOOGLETRANSLATE(A29118,""en"",""pt"")"),"Guidão parece frágil; um pouco pesado para ser usado para viagens")</f>
        <v>Guidão parece frágil; um pouco pesado para ser usado para viagens</v>
      </c>
      <c r="B29118" s="3">
        <v>0</v>
      </c>
    </row>
    <row r="29119" ht="15.75" customHeight="1" spans="1:2">
      <c r="A29119" s="3" t="str">
        <f>IFERROR(__xludf.DUMMYFUNCTION("GOOGLETRANSLATE(A29119,""en"",""pt"")"),"Preço, armazenamento, base carro difícil de instalar.")</f>
        <v>Preço, armazenamento, base carro difícil de instalar.</v>
      </c>
      <c r="B29119" s="3">
        <v>0</v>
      </c>
    </row>
    <row r="29120" ht="15.75" customHeight="1" spans="1:2">
      <c r="A29120" s="3" t="s">
        <v>160</v>
      </c>
      <c r="B29120" s="3">
        <v>0</v>
      </c>
    </row>
    <row r="29121" ht="15.75" customHeight="1" spans="1:2">
      <c r="A29121" s="3" t="str">
        <f>IFERROR(__xludf.DUMMYFUNCTION("GOOGLETRANSLATE(A29121,""en"",""pt"")"),"A challengin pouco para aprender a dobrar. Poderia ser uma operação de duas mãos.")</f>
        <v>A challengin pouco para aprender a dobrar. Poderia ser uma operação de duas mãos.</v>
      </c>
      <c r="B29121" s="3">
        <v>0</v>
      </c>
    </row>
    <row r="29122" ht="15.75" customHeight="1" spans="1:2">
      <c r="A29122" s="3" t="str">
        <f>IFERROR(__xludf.DUMMYFUNCTION("GOOGLETRANSLATE(A29122,""en"",""pt"")"),"Peg Perego não faz mais bares conversor para uso com outros assentos de carro infantis")</f>
        <v>Peg Perego não faz mais bares conversor para uso com outros assentos de carro infantis</v>
      </c>
      <c r="B29122" s="3">
        <v>0</v>
      </c>
    </row>
    <row r="29123" ht="15.75" customHeight="1" spans="1:2">
      <c r="A29123" s="3" t="str">
        <f>IFERROR(__xludf.DUMMYFUNCTION("GOOGLETRANSLATE(A29123,""en"",""pt"")"),"Sem acesso fácil ao carrinho quando garoto está sentado, não fechar com uma só mão.")</f>
        <v>Sem acesso fácil ao carrinho quando garoto está sentado, não fechar com uma só mão.</v>
      </c>
      <c r="B29123" s="3">
        <v>0</v>
      </c>
    </row>
    <row r="29124" ht="15.75" customHeight="1" spans="1:2">
      <c r="A29124" s="3" t="str">
        <f>IFERROR(__xludf.DUMMYFUNCTION("GOOGLETRANSLATE(A29124,""en"",""pt"")"),"não inclui uma cesta")</f>
        <v>não inclui uma cesta</v>
      </c>
      <c r="B29124" s="3">
        <v>0</v>
      </c>
    </row>
    <row r="29125" ht="15.75" customHeight="1" spans="1:2">
      <c r="A29125" s="3" t="str">
        <f>IFERROR(__xludf.DUMMYFUNCTION("GOOGLETRANSLATE(A29125,""en"",""pt"")"),"Preço")</f>
        <v>Preço</v>
      </c>
      <c r="B29125" s="3">
        <v>0</v>
      </c>
    </row>
    <row r="29126" ht="15.75" customHeight="1" spans="1:2">
      <c r="A29126" s="3" t="str">
        <f>IFERROR(__xludf.DUMMYFUNCTION("GOOGLETRANSLATE(A29126,""en"",""pt"")"),"Nenhum armazenamento, não é bom na neve, complicada para dobrar")</f>
        <v>Nenhum armazenamento, não é bom na neve, complicada para dobrar</v>
      </c>
      <c r="B29126" s="3">
        <v>0</v>
      </c>
    </row>
    <row r="29127" ht="15.75" customHeight="1" spans="1:2">
      <c r="A29127" s="3" t="str">
        <f>IFERROR(__xludf.DUMMYFUNCTION("GOOGLETRANSLATE(A29127,""en"",""pt"")"),"pequeno, fracote, difíceis de alcançar cesta!")</f>
        <v>pequeno, fracote, difíceis de alcançar cesta!</v>
      </c>
      <c r="B29127" s="3">
        <v>0</v>
      </c>
    </row>
    <row r="29128" ht="15.75" customHeight="1" spans="1:2">
      <c r="A29128" s="3" t="str">
        <f>IFERROR(__xludf.DUMMYFUNCTION("GOOGLETRANSLATE(A29128,""en"",""pt"")"),"um pouco difícil de abrir / fechar")</f>
        <v>um pouco difícil de abrir / fechar</v>
      </c>
      <c r="B29128" s="3">
        <v>0</v>
      </c>
    </row>
    <row r="29129" ht="15.75" customHeight="1" spans="1:2">
      <c r="A29129" s="3" t="str">
        <f>IFERROR(__xludf.DUMMYFUNCTION("GOOGLETRANSLATE(A29129,""en"",""pt"")"),"Cesta não incluído")</f>
        <v>Cesta não incluído</v>
      </c>
      <c r="B29129" s="3">
        <v>0</v>
      </c>
    </row>
    <row r="29130" ht="15.75" customHeight="1" spans="1:2">
      <c r="A29130" s="3" t="str">
        <f>IFERROR(__xludf.DUMMYFUNCTION("GOOGLETRANSLATE(A29130,""en"",""pt"")"),"nenhuma cesta, PREÇO !!")</f>
        <v>nenhuma cesta, PREÇO !!</v>
      </c>
      <c r="B29130" s="3">
        <v>0</v>
      </c>
    </row>
    <row r="29131" ht="15.75" customHeight="1" spans="1:2">
      <c r="A29131" s="3" t="str">
        <f>IFERROR(__xludf.DUMMYFUNCTION("GOOGLETRANSLATE(A29131,""en"",""pt"")"),"cesta SUGA !, base larga roda, rodas desgastadas.")</f>
        <v>cesta SUGA !, base larga roda, rodas desgastadas.</v>
      </c>
      <c r="B29131" s="3">
        <v>0</v>
      </c>
    </row>
    <row r="29132" ht="15.75" customHeight="1" spans="1:2">
      <c r="A29132" s="3" t="str">
        <f>IFERROR(__xludf.DUMMYFUNCTION("GOOGLETRANSLATE(A29132,""en"",""pt"")"),"Veja")</f>
        <v>Veja</v>
      </c>
      <c r="B29132" s="3">
        <v>0</v>
      </c>
    </row>
    <row r="29133" ht="15.75" customHeight="1" spans="1:2">
      <c r="A29133" s="3" t="str">
        <f>IFERROR(__xludf.DUMMYFUNCTION("GOOGLETRANSLATE(A29133,""en"",""pt"")"),"confundindo, cesta e suporte de copo em falta")</f>
        <v>confundindo, cesta e suporte de copo em falta</v>
      </c>
      <c r="B29133" s="3">
        <v>0</v>
      </c>
    </row>
    <row r="29134" ht="15.75" customHeight="1" spans="1:2">
      <c r="A29134" s="3" t="str">
        <f>IFERROR(__xludf.DUMMYFUNCTION("GOOGLETRANSLATE(A29134,""en"",""pt"")"),"Não vem com cesta (vendido separadamente)")</f>
        <v>Não vem com cesta (vendido separadamente)</v>
      </c>
      <c r="B29134" s="3">
        <v>0</v>
      </c>
    </row>
    <row r="29135" ht="15.75" customHeight="1" spans="1:2">
      <c r="A29135" s="3" t="str">
        <f>IFERROR(__xludf.DUMMYFUNCTION("GOOGLETRANSLATE(A29135,""en"",""pt"")"),"Pode querer algo mais leve")</f>
        <v>Pode querer algo mais leve</v>
      </c>
      <c r="B29135" s="3">
        <v>0</v>
      </c>
    </row>
    <row r="29136" ht="15.75" customHeight="1" spans="1:2">
      <c r="A29136" s="3" t="str">
        <f>IFERROR(__xludf.DUMMYFUNCTION("GOOGLETRANSLATE(A29136,""en"",""pt"")"),"um pouco pesado &amp; amp; amp; precisa de 2 mãos para dirigir")</f>
        <v>um pouco pesado &amp; amp; amp; precisa de 2 mãos para dirigir</v>
      </c>
      <c r="B29136" s="3">
        <v>0</v>
      </c>
    </row>
    <row r="29137" ht="15.75" customHeight="1" spans="1:2">
      <c r="A29137" s="3" t="str">
        <f>IFERROR(__xludf.DUMMYFUNCTION("GOOGLETRANSLATE(A29137,""en"",""pt"")"),"difícil de travar no lugar, pode ser um mau bocado, preço")</f>
        <v>difícil de travar no lugar, pode ser um mau bocado, preço</v>
      </c>
      <c r="B29137" s="3">
        <v>0</v>
      </c>
    </row>
    <row r="29138" ht="15.75" customHeight="1" spans="1:2">
      <c r="A29138" s="3" t="str">
        <f>IFERROR(__xludf.DUMMYFUNCTION("GOOGLETRANSLATE(A29138,""en"",""pt"")"),"Não é bem leve, como reivindicado")</f>
        <v>Não é bem leve, como reivindicado</v>
      </c>
      <c r="B29138" s="3">
        <v>0</v>
      </c>
    </row>
    <row r="29139" ht="15.75" customHeight="1" spans="1:2">
      <c r="A29139" s="3" t="str">
        <f>IFERROR(__xludf.DUMMYFUNCTION("GOOGLETRANSLATE(A29139,""en"",""pt"")"),"Caro")</f>
        <v>Caro</v>
      </c>
      <c r="B29139" s="3">
        <v>0</v>
      </c>
    </row>
    <row r="29140" ht="15.75" customHeight="1" spans="1:2">
      <c r="A29140" s="3" t="str">
        <f>IFERROR(__xludf.DUMMYFUNCTION("GOOGLETRANSLATE(A29140,""en"",""pt"")"),"Não é tão confortável para recém-nascidos")</f>
        <v>Não é tão confortável para recém-nascidos</v>
      </c>
      <c r="B29140" s="3">
        <v>0</v>
      </c>
    </row>
    <row r="29141" ht="15.75" customHeight="1" spans="1:2">
      <c r="A29141" s="3" t="str">
        <f>IFERROR(__xludf.DUMMYFUNCTION("GOOGLETRANSLATE(A29141,""en"",""pt"")"),"difícil abrir &amp; amp; amp; Fechar")</f>
        <v>difícil abrir &amp; amp; amp; Fechar</v>
      </c>
      <c r="B29141" s="3">
        <v>0</v>
      </c>
    </row>
    <row r="29142" ht="15.75" customHeight="1" spans="1:2">
      <c r="A29142" s="3" t="str">
        <f>IFERROR(__xludf.DUMMYFUNCTION("GOOGLETRANSLATE(A29142,""en"",""pt"")"),"Nenhum")</f>
        <v>Nenhum</v>
      </c>
      <c r="B29142" s="3">
        <v>0</v>
      </c>
    </row>
    <row r="29143" ht="15.75" customHeight="1" spans="1:2">
      <c r="A29143" s="3" t="str">
        <f>IFERROR(__xludf.DUMMYFUNCTION("GOOGLETRANSLATE(A29143,""en"",""pt"")"),"plástico encosto do banco, mais pesado do que a maioria dos carrinhos de guarda-chuva")</f>
        <v>plástico encosto do banco, mais pesado do que a maioria dos carrinhos de guarda-chuva</v>
      </c>
      <c r="B29143" s="3">
        <v>0</v>
      </c>
    </row>
    <row r="29144" ht="15.75" customHeight="1" spans="1:2">
      <c r="A29144" s="3" t="str">
        <f>IFERROR(__xludf.DUMMYFUNCTION("GOOGLETRANSLATE(A29144,""en"",""pt"")"),"preço e pequena cesta")</f>
        <v>preço e pequena cesta</v>
      </c>
      <c r="B29144" s="3">
        <v>0</v>
      </c>
    </row>
    <row r="29145" ht="15.75" customHeight="1" spans="1:2">
      <c r="A29145" s="3" t="str">
        <f>IFERROR(__xludf.DUMMYFUNCTION("GOOGLETRANSLATE(A29145,""en"",""pt"")"),"Caro.")</f>
        <v>Caro.</v>
      </c>
      <c r="B29145" s="3">
        <v>0</v>
      </c>
    </row>
    <row r="29146" ht="15.75" customHeight="1" spans="1:2">
      <c r="A29146" s="3" t="str">
        <f>IFERROR(__xludf.DUMMYFUNCTION("GOOGLETRANSLATE(A29146,""en"",""pt"")"),"deve comprar cesta e capô cheio separadamente! nenhum suporte de copo, fechaduras quebrou")</f>
        <v>deve comprar cesta e capô cheio separadamente! nenhum suporte de copo, fechaduras quebrou</v>
      </c>
      <c r="B29146" s="3">
        <v>0</v>
      </c>
    </row>
    <row r="29147" ht="15.75" customHeight="1" spans="1:2">
      <c r="A29147" s="3" t="str">
        <f>IFERROR(__xludf.DUMMYFUNCTION("GOOGLETRANSLATE(A29147,""en"",""pt"")"),"Difícil de dobrar e de trinco, custo")</f>
        <v>Difícil de dobrar e de trinco, custo</v>
      </c>
      <c r="B29147" s="3">
        <v>0</v>
      </c>
    </row>
    <row r="29148" ht="15.75" customHeight="1" spans="1:2">
      <c r="A29148" s="3" t="str">
        <f>IFERROR(__xludf.DUMMYFUNCTION("GOOGLETRANSLATE(A29148,""en"",""pt"")"),"Folding pode ser complicado, não é ótimo para a criança mais alto.")</f>
        <v>Folding pode ser complicado, não é ótimo para a criança mais alto.</v>
      </c>
      <c r="B29148" s="3">
        <v>0</v>
      </c>
    </row>
    <row r="29149" ht="15.75" customHeight="1" spans="1:2">
      <c r="A29149" s="3" t="str">
        <f>IFERROR(__xludf.DUMMYFUNCTION("GOOGLETRANSLATE(A29149,""en"",""pt"")"),"não canto bem, não cesta.")</f>
        <v>não canto bem, não cesta.</v>
      </c>
      <c r="B29149" s="3">
        <v>0</v>
      </c>
    </row>
    <row r="29150" ht="15.75" customHeight="1" spans="1:2">
      <c r="A29150" s="3" t="str">
        <f>IFERROR(__xludf.DUMMYFUNCTION("GOOGLETRANSLATE(A29150,""en"",""pt"")"),"pesado! difícil de abrir e fechar")</f>
        <v>pesado! difícil de abrir e fechar</v>
      </c>
      <c r="B29150" s="3">
        <v>0</v>
      </c>
    </row>
    <row r="29151" ht="15.75" customHeight="1" spans="1:2">
      <c r="A29151" s="3" t="str">
        <f>IFERROR(__xludf.DUMMYFUNCTION("GOOGLETRANSLATE(A29151,""en"",""pt"")"),"Difícil de fechar com o carrinho ligado. Não é muito bom em fixar criança.")</f>
        <v>Difícil de fechar com o carrinho ligado. Não é muito bom em fixar criança.</v>
      </c>
      <c r="B29151" s="3">
        <v>0</v>
      </c>
    </row>
    <row r="29152" ht="15.75" customHeight="1" spans="1:2">
      <c r="A29152" s="3" t="str">
        <f>IFERROR(__xludf.DUMMYFUNCTION("GOOGLETRANSLATE(A29152,""en"",""pt"")"),"custo")</f>
        <v>custo</v>
      </c>
      <c r="B29152" s="3">
        <v>0</v>
      </c>
    </row>
    <row r="29153" ht="15.75" customHeight="1" spans="1:2">
      <c r="A29153" s="3" t="str">
        <f>IFERROR(__xludf.DUMMYFUNCTION("GOOGLETRANSLATE(A29153,""en"",""pt"")"),"Difícil de dominar como desbloquear e dobre. Não é bom para os recém-nascidos.")</f>
        <v>Difícil de dominar como desbloquear e dobre. Não é bom para os recém-nascidos.</v>
      </c>
      <c r="B29153" s="3">
        <v>0</v>
      </c>
    </row>
    <row r="29154" ht="15.75" customHeight="1" spans="1:2">
      <c r="A29154" s="3" t="str">
        <f>IFERROR(__xludf.DUMMYFUNCTION("GOOGLETRANSLATE(A29154,""en"",""pt"")"),"um pouco caro")</f>
        <v>um pouco caro</v>
      </c>
      <c r="B29154" s="3">
        <v>0</v>
      </c>
    </row>
    <row r="29155" ht="15.75" customHeight="1" spans="1:2">
      <c r="A29155" s="3" t="str">
        <f>IFERROR(__xludf.DUMMYFUNCTION("GOOGLETRANSLATE(A29155,""en"",""pt"")"),"preços, curta dossel, puxadores")</f>
        <v>preços, curta dossel, puxadores</v>
      </c>
      <c r="B29155" s="3">
        <v>0</v>
      </c>
    </row>
    <row r="29156" ht="15.75" customHeight="1" spans="1:2">
      <c r="A29156" s="3" t="str">
        <f>IFERROR(__xludf.DUMMYFUNCTION("GOOGLETRANSLATE(A29156,""en"",""pt"")"),"caro")</f>
        <v>caro</v>
      </c>
      <c r="B29156" s="3">
        <v>0</v>
      </c>
    </row>
    <row r="29157" ht="15.75" customHeight="1" spans="1:2">
      <c r="A29157" s="3" t="str">
        <f>IFERROR(__xludf.DUMMYFUNCTION("GOOGLETRANSLATE(A29157,""en"",""pt"")"),"Cesta é frágil, preço, olhares invejosos de outros pode dar-lhe um complexo de culpa.")</f>
        <v>Cesta é frágil, preço, olhares invejosos de outros pode dar-lhe um complexo de culpa.</v>
      </c>
      <c r="B29157" s="3">
        <v>0</v>
      </c>
    </row>
    <row r="29158" ht="15.75" customHeight="1" spans="1:2">
      <c r="A29158" s="3" t="str">
        <f>IFERROR(__xludf.DUMMYFUNCTION("GOOGLETRANSLATE(A29158,""en"",""pt"")"),"Apenas a cesta que é frágil, não se sustenta muito, e é de difícil acesso.")</f>
        <v>Apenas a cesta que é frágil, não se sustenta muito, e é de difícil acesso.</v>
      </c>
      <c r="B29158" s="3">
        <v>0</v>
      </c>
    </row>
    <row r="29159" ht="15.75" customHeight="1" spans="1:2">
      <c r="A29159" s="3" t="str">
        <f>IFERROR(__xludf.DUMMYFUNCTION("GOOGLETRANSLATE(A29159,""en"",""pt"")"),"Difícil de cesta de acesso, a janela de visualização pequena inconveniente, caro")</f>
        <v>Difícil de cesta de acesso, a janela de visualização pequena inconveniente, caro</v>
      </c>
      <c r="B29159" s="3">
        <v>0</v>
      </c>
    </row>
    <row r="29160" ht="15.75" customHeight="1" spans="1:2">
      <c r="A29160" s="3" t="str">
        <f>IFERROR(__xludf.DUMMYFUNCTION("GOOGLETRANSLATE(A29160,""en"",""pt"")"),"No bar assento de bebê universal então você tem que usar seu assento inferior.")</f>
        <v>No bar assento de bebê universal então você tem que usar seu assento inferior.</v>
      </c>
      <c r="B29160" s="3">
        <v>0</v>
      </c>
    </row>
    <row r="29161" ht="15.75" customHeight="1" spans="1:2">
      <c r="A29161" s="3" t="str">
        <f>IFERROR(__xludf.DUMMYFUNCTION("GOOGLETRANSLATE(A29161,""en"",""pt"")"),"alças de guarda-chuva, em vez de uma barra do meio através &amp; amp; # 13; &amp; amp; # 10; pequena cesta de armazenamento")</f>
        <v>alças de guarda-chuva, em vez de uma barra do meio através &amp; amp; # 13; &amp; amp; # 10; pequena cesta de armazenamento</v>
      </c>
      <c r="B29161" s="3">
        <v>0</v>
      </c>
    </row>
    <row r="29162" ht="15.75" customHeight="1" spans="1:2">
      <c r="A29162" s="3" t="str">
        <f>IFERROR(__xludf.DUMMYFUNCTION("GOOGLETRANSLATE(A29162,""en"",""pt"")"),"preço, fechamento é difícil até chegar o jeito dele")</f>
        <v>preço, fechamento é difícil até chegar o jeito dele</v>
      </c>
      <c r="B29162" s="3">
        <v>0</v>
      </c>
    </row>
    <row r="29163" ht="15.75" customHeight="1" spans="1:2">
      <c r="A29163" s="3" t="str">
        <f>IFERROR(__xludf.DUMMYFUNCTION("GOOGLETRANSLATE(A29163,""en"",""pt"")"),"cesta de armazenamento é frágil.")</f>
        <v>cesta de armazenamento é frágil.</v>
      </c>
      <c r="B29163" s="3">
        <v>0</v>
      </c>
    </row>
    <row r="29164" ht="15.75" customHeight="1" spans="1:2">
      <c r="A29164" s="3" t="str">
        <f>IFERROR(__xludf.DUMMYFUNCTION("GOOGLETRANSLATE(A29164,""en"",""pt"")"),"Passeios melhor com a criança maior no banco traseiro.")</f>
        <v>Passeios melhor com a criança maior no banco traseiro.</v>
      </c>
      <c r="B29164" s="3">
        <v>0</v>
      </c>
    </row>
    <row r="29165" ht="15.75" customHeight="1" spans="1:2">
      <c r="A29165" s="3" t="str">
        <f>IFERROR(__xludf.DUMMYFUNCTION("GOOGLETRANSLATE(A29165,""en"",""pt"")"),"cesta pequena. Cintos de segurança poderia ser melhor concebido.")</f>
        <v>cesta pequena. Cintos de segurança poderia ser melhor concebido.</v>
      </c>
      <c r="B29165" s="3">
        <v>0</v>
      </c>
    </row>
    <row r="29166" ht="15.75" customHeight="1" spans="1:2">
      <c r="A29166" s="3" t="str">
        <f>IFERROR(__xludf.DUMMYFUNCTION("GOOGLETRANSLATE(A29166,""en"",""pt"")"),"Caros, difíceis de dobrar, difícil de transformar, muito pequeno cesto")</f>
        <v>Caros, difíceis de dobrar, difícil de transformar, muito pequeno cesto</v>
      </c>
      <c r="B29166" s="3">
        <v>0</v>
      </c>
    </row>
    <row r="29167" ht="15.75" customHeight="1" spans="1:2">
      <c r="A29167" s="3" t="str">
        <f>IFERROR(__xludf.DUMMYFUNCTION("GOOGLETRANSLATE(A29167,""en"",""pt"")"),"caro, não ""vista"" do banco de trás, difícil de lidar em freios")</f>
        <v>caro, não "vista" do banco de trás, difícil de lidar em freios</v>
      </c>
      <c r="B29167" s="3">
        <v>0</v>
      </c>
    </row>
    <row r="29168" ht="15.75" customHeight="1" spans="1:2">
      <c r="A29168" s="3" t="str">
        <f>IFERROR(__xludf.DUMMYFUNCTION("GOOGLETRANSLATE(A29168,""en"",""pt"")"),"O preço pode influenciar alguns, mas valor a longo prazo vale a pena.")</f>
        <v>O preço pode influenciar alguns, mas valor a longo prazo vale a pena.</v>
      </c>
      <c r="B29168" s="3">
        <v>0</v>
      </c>
    </row>
    <row r="29169" ht="15.75" customHeight="1" spans="1:2">
      <c r="A29169" s="3" t="str">
        <f>IFERROR(__xludf.DUMMYFUNCTION("GOOGLETRANSLATE(A29169,""en"",""pt"")"),"não vai ficar trabalho fechado, extra necessário para a posição (opcional) assento de carro para recém-nascidos")</f>
        <v>não vai ficar trabalho fechado, extra necessário para a posição (opcional) assento de carro para recém-nascidos</v>
      </c>
      <c r="B29169" s="3">
        <v>0</v>
      </c>
    </row>
    <row r="29170" ht="15.75" customHeight="1" spans="1:2">
      <c r="A29170" s="3" t="str">
        <f>IFERROR(__xludf.DUMMYFUNCTION("GOOGLETRANSLATE(A29170,""en"",""pt"")"),"mas é realmente difícil de dirigir e muito pesado")</f>
        <v>mas é realmente difícil de dirigir e muito pesado</v>
      </c>
      <c r="B29170" s="3">
        <v>0</v>
      </c>
    </row>
    <row r="29171" ht="15.75" customHeight="1" spans="1:2">
      <c r="A29171" s="3" t="str">
        <f>IFERROR(__xludf.DUMMYFUNCTION("GOOGLETRANSLATE(A29171,""en"",""pt"")"),"há porta-copos, ridiculamente pequenos cestos de carga, soooo caros, tons curtos")</f>
        <v>há porta-copos, ridiculamente pequenos cestos de carga, soooo caros, tons curtos</v>
      </c>
      <c r="B29171" s="3">
        <v>0</v>
      </c>
    </row>
    <row r="29172" ht="15.75" customHeight="1" spans="1:2">
      <c r="A29172" s="3" t="str">
        <f>IFERROR(__xludf.DUMMYFUNCTION("GOOGLETRANSLATE(A29172,""en"",""pt"")"),"caro")</f>
        <v>caro</v>
      </c>
      <c r="B29172" s="3">
        <v>0</v>
      </c>
    </row>
    <row r="29173" ht="15.75" customHeight="1" spans="1:2">
      <c r="A29173" s="3" t="str">
        <f>IFERROR(__xludf.DUMMYFUNCTION("GOOGLETRANSLATE(A29173,""en"",""pt"")"),"Difícil de lavar cobrindo")</f>
        <v>Difícil de lavar cobrindo</v>
      </c>
      <c r="B29173" s="3">
        <v>0</v>
      </c>
    </row>
    <row r="29174" ht="15.75" customHeight="1" spans="1:2">
      <c r="A29174" s="3" t="str">
        <f>IFERROR(__xludf.DUMMYFUNCTION("GOOGLETRANSLATE(A29174,""en"",""pt"")"),"pequena cesta")</f>
        <v>pequena cesta</v>
      </c>
      <c r="B29174" s="3">
        <v>0</v>
      </c>
    </row>
    <row r="29175" ht="15.75" customHeight="1" spans="1:2">
      <c r="A29175" s="3" t="str">
        <f>IFERROR(__xludf.DUMMYFUNCTION("GOOGLETRANSLATE(A29175,""en"",""pt"")"),"Difícil de empurrar e rodar")</f>
        <v>Difícil de empurrar e rodar</v>
      </c>
      <c r="B29175" s="3">
        <v>0</v>
      </c>
    </row>
    <row r="29176" ht="15.75" customHeight="1" spans="1:2">
      <c r="A29176" s="3" t="str">
        <f>IFERROR(__xludf.DUMMYFUNCTION("GOOGLETRANSLATE(A29176,""en"",""pt"")"),"garantia não muito longo")</f>
        <v>garantia não muito longo</v>
      </c>
      <c r="B29176" s="3">
        <v>0</v>
      </c>
    </row>
    <row r="29177" ht="15.75" customHeight="1" spans="1:2">
      <c r="A29177" s="3" t="str">
        <f>IFERROR(__xludf.DUMMYFUNCTION("GOOGLETRANSLATE(A29177,""en"",""pt"")"),"pesado e dispendioso")</f>
        <v>pesado e dispendioso</v>
      </c>
      <c r="B29177" s="3">
        <v>0</v>
      </c>
    </row>
    <row r="29178" ht="15.75" customHeight="1" spans="1:2">
      <c r="A29178" s="3" t="str">
        <f>IFERROR(__xludf.DUMMYFUNCTION("GOOGLETRANSLATE(A29178,""en"",""pt"")"),"cesta de armazenamento pequeno, não construído em porta-copos.")</f>
        <v>cesta de armazenamento pequeno, não construído em porta-copos.</v>
      </c>
      <c r="B29178" s="3">
        <v>0</v>
      </c>
    </row>
    <row r="29179" ht="15.75" customHeight="1" spans="1:2">
      <c r="A29179" s="3" t="str">
        <f>IFERROR(__xludf.DUMMYFUNCTION("GOOGLETRANSLATE(A29179,""en"",""pt"")"),"preço")</f>
        <v>preço</v>
      </c>
      <c r="B29179" s="3">
        <v>0</v>
      </c>
    </row>
    <row r="29180" ht="15.75" customHeight="1" spans="1:2">
      <c r="A29180" s="3" t="str">
        <f>IFERROR(__xludf.DUMMYFUNCTION("GOOGLETRANSLATE(A29180,""en"",""pt"")"),"Cesta pequena, porta-copos Não.")</f>
        <v>Cesta pequena, porta-copos Não.</v>
      </c>
      <c r="B29180" s="3">
        <v>0</v>
      </c>
    </row>
    <row r="29181" ht="15.75" customHeight="1" spans="1:2">
      <c r="A29181" s="3" t="str">
        <f>IFERROR(__xludf.DUMMYFUNCTION("GOOGLETRANSLATE(A29181,""en"",""pt"")"),"Cesta demasiado pequena")</f>
        <v>Cesta demasiado pequena</v>
      </c>
      <c r="B29181" s="3">
        <v>0</v>
      </c>
    </row>
    <row r="29182" ht="15.75" customHeight="1" spans="1:2">
      <c r="A29182" s="3" t="str">
        <f>IFERROR(__xludf.DUMMYFUNCTION("GOOGLETRANSLATE(A29182,""en"",""pt"")"),"Nenhum")</f>
        <v>Nenhum</v>
      </c>
      <c r="B29182" s="3">
        <v>0</v>
      </c>
    </row>
    <row r="29183" ht="15.75" customHeight="1" spans="1:2">
      <c r="A29183" s="3" t="str">
        <f>IFERROR(__xludf.DUMMYFUNCTION("GOOGLETRANSLATE(A29183,""en"",""pt"")"),"Preço.")</f>
        <v>Preço.</v>
      </c>
      <c r="B29183" s="3">
        <v>0</v>
      </c>
    </row>
    <row r="29184" ht="15.75" customHeight="1" spans="1:2">
      <c r="A29184" s="3" t="str">
        <f>IFERROR(__xludf.DUMMYFUNCTION("GOOGLETRANSLATE(A29184,""en"",""pt"")"),"não permanecer fechada quando dobrado - tende a abrir pop espontaneamente.")</f>
        <v>não permanecer fechada quando dobrado - tende a abrir pop espontaneamente.</v>
      </c>
      <c r="B29184" s="3">
        <v>0</v>
      </c>
    </row>
    <row r="29185" ht="15.75" customHeight="1" spans="1:2">
      <c r="A29185" s="3" t="str">
        <f>IFERROR(__xludf.DUMMYFUNCTION("GOOGLETRANSLATE(A29185,""en"",""pt"")"),"tamanho, preço")</f>
        <v>tamanho, preço</v>
      </c>
      <c r="B29185" s="3">
        <v>0</v>
      </c>
    </row>
    <row r="29186" ht="15.75" customHeight="1" spans="1:2">
      <c r="A29186" s="3" t="str">
        <f>IFERROR(__xludf.DUMMYFUNCTION("GOOGLETRANSLATE(A29186,""en"",""pt"")"),"caro, não que espaçoso para piloto de volta")</f>
        <v>caro, não que espaçoso para piloto de volta</v>
      </c>
      <c r="B29186" s="3">
        <v>0</v>
      </c>
    </row>
    <row r="29187" ht="15.75" customHeight="1" spans="1:2">
      <c r="A29187" s="3" t="str">
        <f>IFERROR(__xludf.DUMMYFUNCTION("GOOGLETRANSLATE(A29187,""en"",""pt"")"),"cesta pequena, difícil de manuveur, nem sempre bloquear no lugar")</f>
        <v>cesta pequena, difícil de manuveur, nem sempre bloquear no lugar</v>
      </c>
      <c r="B29187" s="3">
        <v>0</v>
      </c>
    </row>
    <row r="29188" ht="15.75" customHeight="1" spans="1:2">
      <c r="A29188" s="3" t="str">
        <f>IFERROR(__xludf.DUMMYFUNCTION("GOOGLETRANSLATE(A29188,""en"",""pt"")"),"pequena cesta")</f>
        <v>pequena cesta</v>
      </c>
      <c r="B29188" s="3">
        <v>0</v>
      </c>
    </row>
    <row r="29189" ht="15.75" customHeight="1" spans="1:2">
      <c r="A29189" s="3" t="str">
        <f>IFERROR(__xludf.DUMMYFUNCTION("GOOGLETRANSLATE(A29189,""en"",""pt"")"),"peso do carrinho de criança pequena cesta,")</f>
        <v>peso do carrinho de criança pequena cesta,</v>
      </c>
      <c r="B29189" s="3">
        <v>0</v>
      </c>
    </row>
    <row r="29190" ht="15.75" customHeight="1" spans="1:2">
      <c r="A29190" s="3" t="str">
        <f>IFERROR(__xludf.DUMMYFUNCTION("GOOGLETRANSLATE(A29190,""en"",""pt"")"),"banco da frente não reclinar, caro")</f>
        <v>banco da frente não reclinar, caro</v>
      </c>
      <c r="B29190" s="3">
        <v>0</v>
      </c>
    </row>
    <row r="29191" ht="15.75" customHeight="1" spans="1:2">
      <c r="A29191" s="3" t="str">
        <f>IFERROR(__xludf.DUMMYFUNCTION("GOOGLETRANSLATE(A29191,""en"",""pt"")"),"caro, mau serviço ao cliente, não o melhor para gêmeos")</f>
        <v>caro, mau serviço ao cliente, não o melhor para gêmeos</v>
      </c>
      <c r="B29191" s="3">
        <v>0</v>
      </c>
    </row>
    <row r="29192" ht="15.75" customHeight="1" spans="1:2">
      <c r="A29192" s="3" t="str">
        <f>IFERROR(__xludf.DUMMYFUNCTION("GOOGLETRANSLATE(A29192,""en"",""pt"")"),"falta de manobrabilidade, pequena cesta")</f>
        <v>falta de manobrabilidade, pequena cesta</v>
      </c>
      <c r="B29192" s="3">
        <v>0</v>
      </c>
    </row>
    <row r="29193" ht="15.75" customHeight="1" spans="1:2">
      <c r="A29193" s="3" t="str">
        <f>IFERROR(__xludf.DUMMYFUNCTION("GOOGLETRANSLATE(A29193,""en"",""pt"")"),"custo")</f>
        <v>custo</v>
      </c>
      <c r="B29193" s="3">
        <v>0</v>
      </c>
    </row>
    <row r="29194" ht="15.75" customHeight="1" spans="1:2">
      <c r="A29194" s="3" t="str">
        <f>IFERROR(__xludf.DUMMYFUNCTION("GOOGLETRANSLATE(A29194,""en"",""pt"")"),"preço, tamanho da cesta")</f>
        <v>preço, tamanho da cesta</v>
      </c>
      <c r="B29194" s="3">
        <v>0</v>
      </c>
    </row>
    <row r="29195" ht="15.75" customHeight="1" spans="1:2">
      <c r="A29195" s="3" t="str">
        <f>IFERROR(__xludf.DUMMYFUNCTION("GOOGLETRANSLATE(A29195,""en"",""pt"")"),"grande carrinho de criança")</f>
        <v>grande carrinho de criança</v>
      </c>
      <c r="B29195" s="3">
        <v>0</v>
      </c>
    </row>
    <row r="29196" ht="15.75" customHeight="1" spans="1:2">
      <c r="A29196" s="3" t="str">
        <f>IFERROR(__xludf.DUMMYFUNCTION("GOOGLETRANSLATE(A29196,""en"",""pt"")"),"cesta de armazenamento horrivelmente pequena")</f>
        <v>cesta de armazenamento horrivelmente pequena</v>
      </c>
      <c r="B29196" s="3">
        <v>0</v>
      </c>
    </row>
    <row r="29197" ht="15.75" customHeight="1" spans="1:2">
      <c r="A29197" s="3" t="str">
        <f>IFERROR(__xludf.DUMMYFUNCTION("GOOGLETRANSLATE(A29197,""en"",""pt"")"),"Nenhum")</f>
        <v>Nenhum</v>
      </c>
      <c r="B29197" s="3">
        <v>0</v>
      </c>
    </row>
    <row r="29198" ht="15.75" customHeight="1" spans="1:2">
      <c r="A29198" s="3" t="str">
        <f>IFERROR(__xludf.DUMMYFUNCTION("GOOGLETRANSLATE(A29198,""en"",""pt"")"),"Pode ser difícil de transformar, de assento dianteiro não reclinar todo o caminho, assentos elevados tornam difícil para a criança na parte de trás para ver tem que olhar ao redor")</f>
        <v>Pode ser difícil de transformar, de assento dianteiro não reclinar todo o caminho, assentos elevados tornam difícil para a criança na parte de trás para ver tem que olhar ao redor</v>
      </c>
      <c r="B29198" s="3">
        <v>0</v>
      </c>
    </row>
    <row r="29199" ht="15.75" customHeight="1" spans="1:2">
      <c r="A29199" s="3" t="str">
        <f>IFERROR(__xludf.DUMMYFUNCTION("GOOGLETRANSLATE(A29199,""en"",""pt"")"),"espaço de armazenamento reduzido.")</f>
        <v>espaço de armazenamento reduzido.</v>
      </c>
      <c r="B29199" s="3">
        <v>0</v>
      </c>
    </row>
    <row r="29200" ht="15.75" customHeight="1" spans="1:2">
      <c r="A29200" s="3" t="str">
        <f>IFERROR(__xludf.DUMMYFUNCTION("GOOGLETRANSLATE(A29200,""en"",""pt"")"),"Custo (embora vale cada centavo para mim), ... minha mãe nunca * fez * descobrir como dobrá-lo. Não é difícil em geral, mas é um processo de três etapas.")</f>
        <v>Custo (embora vale cada centavo para mim), ... minha mãe nunca * fez * descobrir como dobrá-lo. Não é difícil em geral, mas é um processo de três etapas.</v>
      </c>
      <c r="B29200" s="3">
        <v>0</v>
      </c>
    </row>
    <row r="29201" ht="15.75" customHeight="1" spans="1:2">
      <c r="A29201" s="3" t="str">
        <f>IFERROR(__xludf.DUMMYFUNCTION("GOOGLETRANSLATE(A29201,""en"",""pt"")"),"capuzes continuam caindo.")</f>
        <v>capuzes continuam caindo.</v>
      </c>
      <c r="B29201" s="3">
        <v>0</v>
      </c>
    </row>
    <row r="29202" ht="15.75" customHeight="1" spans="1:2">
      <c r="A29202" s="3" t="str">
        <f>IFERROR(__xludf.DUMMYFUNCTION("GOOGLETRANSLATE(A29202,""en"",""pt"")"),"Um pouco caro, mesmo se você pode encontrá-lo à venda, ridiculamente caro se você não puder")</f>
        <v>Um pouco caro, mesmo se você pode encontrá-lo à venda, ridiculamente caro se você não puder</v>
      </c>
      <c r="B29202" s="3">
        <v>0</v>
      </c>
    </row>
    <row r="29203" ht="15.75" customHeight="1" spans="1:2">
      <c r="A29203" s="3" t="str">
        <f>IFERROR(__xludf.DUMMYFUNCTION("GOOGLETRANSLATE(A29203,""en"",""pt"")"),"pequena cesta")</f>
        <v>pequena cesta</v>
      </c>
      <c r="B29203" s="3">
        <v>0</v>
      </c>
    </row>
    <row r="29204" ht="15.75" customHeight="1" spans="1:2">
      <c r="A29204" s="3" t="str">
        <f>IFERROR(__xludf.DUMMYFUNCTION("GOOGLETRANSLATE(A29204,""en"",""pt"")"),"Cesta é um pouco pequeno")</f>
        <v>Cesta é um pouco pequeno</v>
      </c>
      <c r="B29204" s="3">
        <v>0</v>
      </c>
    </row>
    <row r="29205" ht="15.75" customHeight="1" spans="1:2">
      <c r="A29205" s="3" t="str">
        <f>IFERROR(__xludf.DUMMYFUNCTION("GOOGLETRANSLATE(A29205,""en"",""pt"")"),"Custo inicialmente e substituições de peças, se necessário são um pouco difíceis de usar se você não é um pouco útil com algumas ferramentas.")</f>
        <v>Custo inicialmente e substituições de peças, se necessário são um pouco difíceis de usar se você não é um pouco útil com algumas ferramentas.</v>
      </c>
      <c r="B29205" s="3">
        <v>0</v>
      </c>
    </row>
    <row r="29206" ht="15.75" customHeight="1" spans="1:2">
      <c r="A29206" s="3" t="str">
        <f>IFERROR(__xludf.DUMMYFUNCTION("GOOGLETRANSLATE(A29206,""en"",""pt"")"),"Tamanho")</f>
        <v>Tamanho</v>
      </c>
      <c r="B29206" s="3">
        <v>0</v>
      </c>
    </row>
    <row r="29207" ht="15.75" customHeight="1" spans="1:2">
      <c r="A29207" s="3" t="str">
        <f>IFERROR(__xludf.DUMMYFUNCTION("GOOGLETRANSLATE(A29207,""en"",""pt"")"),"tudo")</f>
        <v>tudo</v>
      </c>
      <c r="B29207" s="3">
        <v>0</v>
      </c>
    </row>
    <row r="29208" ht="15.75" customHeight="1" spans="1:2">
      <c r="A29208" s="3" t="str">
        <f>IFERROR(__xludf.DUMMYFUNCTION("GOOGLETRANSLATE(A29208,""en"",""pt"")"),"preço pode ser alto")</f>
        <v>preço pode ser alto</v>
      </c>
      <c r="B29208" s="3">
        <v>0</v>
      </c>
    </row>
    <row r="29209" ht="15.75" customHeight="1" spans="1:2">
      <c r="A29209" s="3" t="str">
        <f>IFERROR(__xludf.DUMMYFUNCTION("GOOGLETRANSLATE(A29209,""en"",""pt"")"),"cesta de armazenamento pequeno e preço")</f>
        <v>cesta de armazenamento pequeno e preço</v>
      </c>
      <c r="B29209" s="3">
        <v>0</v>
      </c>
    </row>
    <row r="29210" ht="15.75" customHeight="1" spans="1:2">
      <c r="A29210" s="3" t="str">
        <f>IFERROR(__xludf.DUMMYFUNCTION("GOOGLETRANSLATE(A29210,""en"",""pt"")"),"não-duráveis, áspero, desajeitado")</f>
        <v>não-duráveis, áspero, desajeitado</v>
      </c>
      <c r="B29210" s="3">
        <v>0</v>
      </c>
    </row>
    <row r="29211" ht="15.75" customHeight="1" spans="1:2">
      <c r="A29211" s="3" t="str">
        <f>IFERROR(__xludf.DUMMYFUNCTION("GOOGLETRANSLATE(A29211,""en"",""pt"")"),"Muito caro w / quase nenhum espaço de armazenamento.")</f>
        <v>Muito caro w / quase nenhum espaço de armazenamento.</v>
      </c>
      <c r="B29211" s="3">
        <v>0</v>
      </c>
    </row>
    <row r="29212" ht="15.75" customHeight="1" spans="1:2">
      <c r="A29212" s="3" t="str">
        <f>IFERROR(__xludf.DUMMYFUNCTION("GOOGLETRANSLATE(A29212,""en"",""pt"")"),"difícil de empurrar, por sua vez, pequeno assento, pequeno cesto ...")</f>
        <v>difícil de empurrar, por sua vez, pequeno assento, pequeno cesto ...</v>
      </c>
      <c r="B29212" s="3">
        <v>0</v>
      </c>
    </row>
    <row r="29213" ht="15.75" customHeight="1" spans="1:2">
      <c r="A29213" s="3" t="str">
        <f>IFERROR(__xludf.DUMMYFUNCTION("GOOGLETRANSLATE(A29213,""en"",""pt"")"),"caro, cesta itty-bitty")</f>
        <v>caro, cesta itty-bitty</v>
      </c>
      <c r="B29213" s="3">
        <v>0</v>
      </c>
    </row>
    <row r="29214" ht="15.75" customHeight="1" spans="1:2">
      <c r="A29214" s="3" t="str">
        <f>IFERROR(__xludf.DUMMYFUNCTION("GOOGLETRANSLATE(A29214,""en"",""pt"")"),"Desejamos que tivesse uma libertação dobra um lado, não se dobra para o tamanho compacto")</f>
        <v>Desejamos que tivesse uma libertação dobra um lado, não se dobra para o tamanho compacto</v>
      </c>
      <c r="B29214" s="3">
        <v>0</v>
      </c>
    </row>
    <row r="29215" ht="15.75" customHeight="1" spans="1:2">
      <c r="A29215" s="3" t="str">
        <f>IFERROR(__xludf.DUMMYFUNCTION("GOOGLETRANSLATE(A29215,""en"",""pt"")"),"preço")</f>
        <v>preço</v>
      </c>
      <c r="B29215" s="3">
        <v>0</v>
      </c>
    </row>
    <row r="29216" ht="15.75" customHeight="1" spans="1:2">
      <c r="A29216" s="3" t="str">
        <f>IFERROR(__xludf.DUMMYFUNCTION("GOOGLETRANSLATE(A29216,""en"",""pt"")"),"Um pouco pesado")</f>
        <v>Um pouco pesado</v>
      </c>
      <c r="B29216" s="3">
        <v>0</v>
      </c>
    </row>
    <row r="29217" ht="15.75" customHeight="1" spans="1:2">
      <c r="A29217" s="3" t="str">
        <f>IFERROR(__xludf.DUMMYFUNCTION("GOOGLETRANSLATE(A29217,""en"",""pt"")"),"não é bom para viajar, pequena cesta")</f>
        <v>não é bom para viajar, pequena cesta</v>
      </c>
      <c r="B29217" s="3">
        <v>0</v>
      </c>
    </row>
    <row r="29218" ht="15.75" customHeight="1" spans="1:2">
      <c r="A29218" s="3" t="str">
        <f>IFERROR(__xludf.DUMMYFUNCTION("GOOGLETRANSLATE(A29218,""en"",""pt"")"),"volumoso quando dobrado, do tipo pesado")</f>
        <v>volumoso quando dobrado, do tipo pesado</v>
      </c>
      <c r="B29218" s="3">
        <v>0</v>
      </c>
    </row>
    <row r="29219" ht="15.75" customHeight="1" spans="1:2">
      <c r="A29219" s="3" t="str">
        <f>IFERROR(__xludf.DUMMYFUNCTION("GOOGLETRANSLATE(A29219,""en"",""pt"")"),"Cesta pode ser difícil de obter em quando o assento é totalmente reclinada. preço elevado.")</f>
        <v>Cesta pode ser difícil de obter em quando o assento é totalmente reclinada. preço elevado.</v>
      </c>
      <c r="B29219" s="3">
        <v>0</v>
      </c>
    </row>
    <row r="29220" ht="15.75" customHeight="1" spans="1:2">
      <c r="A29220" s="3" t="s">
        <v>161</v>
      </c>
      <c r="B29220" s="3">
        <v>0</v>
      </c>
    </row>
    <row r="29221" ht="15.75" customHeight="1" spans="1:2">
      <c r="A29221" s="3" t="str">
        <f>IFERROR(__xludf.DUMMYFUNCTION("GOOGLETRANSLATE(A29221,""en"",""pt"")"),"Um pouco grande para empurrar através de corredores estreitos")</f>
        <v>Um pouco grande para empurrar através de corredores estreitos</v>
      </c>
      <c r="B29221" s="3">
        <v>0</v>
      </c>
    </row>
    <row r="29222" ht="15.75" customHeight="1" spans="1:2">
      <c r="A29222" s="3" t="str">
        <f>IFERROR(__xludf.DUMMYFUNCTION("GOOGLETRANSLATE(A29222,""en"",""pt"")"),"Difícil chegar a, cesta de armazenamento.")</f>
        <v>Difícil chegar a, cesta de armazenamento.</v>
      </c>
      <c r="B29222" s="3">
        <v>0</v>
      </c>
    </row>
    <row r="29223" ht="15.75" customHeight="1" spans="1:2">
      <c r="A29223" s="3" t="str">
        <f>IFERROR(__xludf.DUMMYFUNCTION("GOOGLETRANSLATE(A29223,""en"",""pt"")"),"17 lbs, alto preço ($ 300), ocupa tronco inteiro em nosso carro de tamanho médio.")</f>
        <v>17 lbs, alto preço ($ 300), ocupa tronco inteiro em nosso carro de tamanho médio.</v>
      </c>
      <c r="B29223" s="3">
        <v>0</v>
      </c>
    </row>
    <row r="29224" ht="15.75" customHeight="1" spans="1:2">
      <c r="A29224" s="3" t="str">
        <f>IFERROR(__xludf.DUMMYFUNCTION("GOOGLETRANSLATE(A29224,""en"",""pt"")"),"Caro.")</f>
        <v>Caro.</v>
      </c>
      <c r="B29224" s="3">
        <v>0</v>
      </c>
    </row>
    <row r="29225" ht="15.75" customHeight="1" spans="1:2">
      <c r="A29225" s="3" t="str">
        <f>IFERROR(__xludf.DUMMYFUNCTION("GOOGLETRANSLATE(A29225,""en"",""pt"")"),"fixadores ficar preso quando fechado, nenhum suporte de copo, cesta difícil de entrar.")</f>
        <v>fixadores ficar preso quando fechado, nenhum suporte de copo, cesta difícil de entrar.</v>
      </c>
      <c r="B29225" s="3">
        <v>0</v>
      </c>
    </row>
    <row r="29226" ht="15.75" customHeight="1" spans="1:2">
      <c r="A29226" s="3" t="str">
        <f>IFERROR(__xludf.DUMMYFUNCTION("GOOGLETRANSLATE(A29226,""en"",""pt"")"),"Este carrinho é um volumoso pouco quando dobrado, e não se deixar assento infantil anexar.")</f>
        <v>Este carrinho é um volumoso pouco quando dobrado, e não se deixar assento infantil anexar.</v>
      </c>
      <c r="B29226" s="3">
        <v>0</v>
      </c>
    </row>
    <row r="29227" ht="15.75" customHeight="1" spans="1:2">
      <c r="A29227" s="3" t="str">
        <f>IFERROR(__xludf.DUMMYFUNCTION("GOOGLETRANSLATE(A29227,""en"",""pt"")"),"Useless no pavimento irregular. Má qualidade.")</f>
        <v>Useless no pavimento irregular. Má qualidade.</v>
      </c>
      <c r="B29227" s="3">
        <v>0</v>
      </c>
    </row>
    <row r="29228" ht="15.75" customHeight="1" spans="1:2">
      <c r="A29228" s="3" t="str">
        <f>IFERROR(__xludf.DUMMYFUNCTION("GOOGLETRANSLATE(A29228,""en"",""pt"")"),"direção")</f>
        <v>direção</v>
      </c>
      <c r="B29228" s="3">
        <v>0</v>
      </c>
    </row>
    <row r="29229" ht="15.75" customHeight="1" spans="1:2">
      <c r="A29229" s="3" t="str">
        <f>IFERROR(__xludf.DUMMYFUNCTION("GOOGLETRANSLATE(A29229,""en"",""pt"")"),"Caro")</f>
        <v>Caro</v>
      </c>
      <c r="B29229" s="3">
        <v>0</v>
      </c>
    </row>
    <row r="29230" ht="15.75" customHeight="1" spans="1:2">
      <c r="A29230" s="3" t="str">
        <f>IFERROR(__xludf.DUMMYFUNCTION("GOOGLETRANSLATE(A29230,""en"",""pt"")"),"N / D")</f>
        <v>N / D</v>
      </c>
      <c r="B29230" s="3">
        <v>0</v>
      </c>
    </row>
    <row r="29231" ht="15.75" customHeight="1" spans="1:2">
      <c r="A29231" s="3" t="str">
        <f>IFERROR(__xludf.DUMMYFUNCTION("GOOGLETRANSLATE(A29231,""en"",""pt"")"),"ocupa a maior parte do seu tronco")</f>
        <v>ocupa a maior parte do seu tronco</v>
      </c>
      <c r="B29231" s="3">
        <v>0</v>
      </c>
    </row>
    <row r="29232" ht="15.75" customHeight="1" spans="1:2">
      <c r="A29232" s="3" t="str">
        <f>IFERROR(__xludf.DUMMYFUNCTION("GOOGLETRANSLATE(A29232,""en"",""pt"")"),"cesta pequena")</f>
        <v>cesta pequena</v>
      </c>
      <c r="B29232" s="3">
        <v>0</v>
      </c>
    </row>
    <row r="29233" ht="15.75" customHeight="1" spans="1:2">
      <c r="A29233" s="3" t="str">
        <f>IFERROR(__xludf.DUMMYFUNCTION("GOOGLETRANSLATE(A29233,""en"",""pt"")"),"ainda não......")</f>
        <v>ainda não......</v>
      </c>
      <c r="B29233" s="3">
        <v>0</v>
      </c>
    </row>
    <row r="29234" ht="15.75" customHeight="1" spans="1:2">
      <c r="A29234" s="3" t="str">
        <f>IFERROR(__xludf.DUMMYFUNCTION("GOOGLETRANSLATE(A29234,""en"",""pt"")"),"É pesado")</f>
        <v>É pesado</v>
      </c>
      <c r="B29234" s="3">
        <v>0</v>
      </c>
    </row>
    <row r="29235" ht="15.75" customHeight="1" spans="1:2">
      <c r="A29235" s="3" t="str">
        <f>IFERROR(__xludf.DUMMYFUNCTION("GOOGLETRANSLATE(A29235,""en"",""pt"")"),"nenhuma política de retorno, não vai durar mais de um filho")</f>
        <v>nenhuma política de retorno, não vai durar mais de um filho</v>
      </c>
      <c r="B29235" s="3">
        <v>0</v>
      </c>
    </row>
    <row r="29236" ht="15.75" customHeight="1" spans="1:2">
      <c r="A29236" s="3" t="str">
        <f>IFERROR(__xludf.DUMMYFUNCTION("GOOGLETRANSLATE(A29236,""en"",""pt"")"),"copa sombra, o acesso cesta quando reclinado")</f>
        <v>copa sombra, o acesso cesta quando reclinado</v>
      </c>
      <c r="B29236" s="3">
        <v>0</v>
      </c>
    </row>
    <row r="29237" ht="15.75" customHeight="1" spans="1:2">
      <c r="A29237" s="3" t="str">
        <f>IFERROR(__xludf.DUMMYFUNCTION("GOOGLETRANSLATE(A29237,""en"",""pt"")"),"Caro")</f>
        <v>Caro</v>
      </c>
      <c r="B29237" s="3">
        <v>0</v>
      </c>
    </row>
    <row r="29238" ht="15.75" customHeight="1" spans="1:2">
      <c r="A29238" s="3" t="str">
        <f>IFERROR(__xludf.DUMMYFUNCTION("GOOGLETRANSLATE(A29238,""en"",""pt"")"),"a cesta é um pouco pequeno")</f>
        <v>a cesta é um pouco pequeno</v>
      </c>
      <c r="B29238" s="3">
        <v>0</v>
      </c>
    </row>
    <row r="29239" ht="15.75" customHeight="1" spans="1:2">
      <c r="A29239" s="3" t="str">
        <f>IFERROR(__xludf.DUMMYFUNCTION("GOOGLETRANSLATE(A29239,""en"",""pt"")"),"Um pouco caro, mas vale a pena")</f>
        <v>Um pouco caro, mas vale a pena</v>
      </c>
      <c r="B29239" s="3">
        <v>0</v>
      </c>
    </row>
    <row r="29240" ht="15.75" customHeight="1" spans="1:2">
      <c r="A29240" s="3" t="str">
        <f>IFERROR(__xludf.DUMMYFUNCTION("GOOGLETRANSLATE(A29240,""en"",""pt"")"),"não bem concebido para pessoas mais altas, o bloqueio trava é difícil, instruções, não é bom em terrenos acidentados, preço")</f>
        <v>não bem concebido para pessoas mais altas, o bloqueio trava é difícil, instruções, não é bom em terrenos acidentados, preço</v>
      </c>
      <c r="B29240" s="3">
        <v>0</v>
      </c>
    </row>
    <row r="29241" ht="15.75" customHeight="1" spans="1:2">
      <c r="A29241" s="3" t="str">
        <f>IFERROR(__xludf.DUMMYFUNCTION("GOOGLETRANSLATE(A29241,""en"",""pt"")"),"Nenhum")</f>
        <v>Nenhum</v>
      </c>
      <c r="B29241" s="3">
        <v>0</v>
      </c>
    </row>
    <row r="29242" ht="15.75" customHeight="1" spans="1:2">
      <c r="A29242" s="3" t="str">
        <f>IFERROR(__xludf.DUMMYFUNCTION("GOOGLETRANSLATE(A29242,""en"",""pt"")"),"wiggly quadro, difícil de virar")</f>
        <v>wiggly quadro, difícil de virar</v>
      </c>
      <c r="B29242" s="3">
        <v>0</v>
      </c>
    </row>
    <row r="29243" ht="15.75" customHeight="1" spans="1:2">
      <c r="A29243" s="3" t="str">
        <f>IFERROR(__xludf.DUMMYFUNCTION("GOOGLETRANSLATE(A29243,""en"",""pt"")"),"Handle poderia ser maior")</f>
        <v>Handle poderia ser maior</v>
      </c>
      <c r="B29243" s="3">
        <v>0</v>
      </c>
    </row>
    <row r="29244" ht="15.75" customHeight="1" spans="1:2">
      <c r="A29244" s="3" t="str">
        <f>IFERROR(__xludf.DUMMYFUNCTION("GOOGLETRANSLATE(A29244,""en"",""pt"")"),"difícil encontrar tecido não-ofensiva, difícil de dobrar")</f>
        <v>difícil encontrar tecido não-ofensiva, difícil de dobrar</v>
      </c>
      <c r="B29244" s="3">
        <v>0</v>
      </c>
    </row>
    <row r="29245" ht="15.75" customHeight="1" spans="1:2">
      <c r="A29245" s="3" t="str">
        <f>IFERROR(__xludf.DUMMYFUNCTION("GOOGLETRANSLATE(A29245,""en"",""pt"")"),"TUDO")</f>
        <v>TUDO</v>
      </c>
      <c r="B29245" s="3">
        <v>0</v>
      </c>
    </row>
    <row r="29246" ht="15.75" customHeight="1" spans="1:2">
      <c r="A29246" s="3" t="str">
        <f>IFERROR(__xludf.DUMMYFUNCTION("GOOGLETRANSLATE(A29246,""en"",""pt"")"),"cesta de armazenamento estranho")</f>
        <v>cesta de armazenamento estranho</v>
      </c>
      <c r="B29246" s="3">
        <v>0</v>
      </c>
    </row>
    <row r="29247" ht="15.75" customHeight="1" spans="1:2">
      <c r="A29247" s="3" t="str">
        <f>IFERROR(__xludf.DUMMYFUNCTION("GOOGLETRANSLATE(A29247,""en"",""pt"")"),"Não é bom para superfícies irregulares")</f>
        <v>Não é bom para superfícies irregulares</v>
      </c>
      <c r="B29247" s="3">
        <v>0</v>
      </c>
    </row>
    <row r="29248" ht="15.75" customHeight="1" spans="1:2">
      <c r="A29248" s="3" t="str">
        <f>IFERROR(__xludf.DUMMYFUNCTION("GOOGLETRANSLATE(A29248,""en"",""pt"")"),"does not protect 100% de sol")</f>
        <v>does not protect 100% de sol</v>
      </c>
      <c r="B29248" s="3">
        <v>0</v>
      </c>
    </row>
    <row r="29249" ht="15.75" customHeight="1" spans="1:2">
      <c r="A29249" s="3" t="str">
        <f>IFERROR(__xludf.DUMMYFUNCTION("GOOGLETRANSLATE(A29249,""en"",""pt"")"),"Pesado, não construído para turbulência .....")</f>
        <v>Pesado, não construído para turbulência .....</v>
      </c>
      <c r="B29249" s="3">
        <v>0</v>
      </c>
    </row>
    <row r="29250" ht="15.75" customHeight="1" spans="1:2">
      <c r="A29250" s="3" t="str">
        <f>IFERROR(__xludf.DUMMYFUNCTION("GOOGLETRANSLATE(A29250,""en"",""pt"")"),"Cesta é muito pequeno e inconveniente")</f>
        <v>Cesta é muito pequeno e inconveniente</v>
      </c>
      <c r="B29250" s="3">
        <v>0</v>
      </c>
    </row>
    <row r="29251" ht="15.75" customHeight="1" spans="1:2">
      <c r="A29251" s="3" t="str">
        <f>IFERROR(__xludf.DUMMYFUNCTION("GOOGLETRANSLATE(A29251,""en"",""pt"")"),"Muito fraco")</f>
        <v>Muito fraco</v>
      </c>
      <c r="B29251" s="3">
        <v>0</v>
      </c>
    </row>
    <row r="29252" ht="15.75" customHeight="1" spans="1:2">
      <c r="A29252" s="3" t="str">
        <f>IFERROR(__xludf.DUMMYFUNCTION("GOOGLETRANSLATE(A29252,""en"",""pt"")"),"Desejo que a inicialização foi um pouco mais versátil como o Milano")</f>
        <v>Desejo que a inicialização foi um pouco mais versátil como o Milano</v>
      </c>
      <c r="B29252" s="3">
        <v>0</v>
      </c>
    </row>
    <row r="29253" ht="15.75" customHeight="1" spans="1:2">
      <c r="A29253" s="3" t="str">
        <f>IFERROR(__xludf.DUMMYFUNCTION("GOOGLETRANSLATE(A29253,""en"",""pt"")"),"Lento para o arranque.")</f>
        <v>Lento para o arranque.</v>
      </c>
      <c r="B29253" s="3">
        <v>0</v>
      </c>
    </row>
    <row r="29254" ht="15.75" customHeight="1" spans="1:2">
      <c r="A29254" s="3" t="str">
        <f>IFERROR(__xludf.DUMMYFUNCTION("GOOGLETRANSLATE(A29254,""en"",""pt"")"),"Nenhum encontrado ainda")</f>
        <v>Nenhum encontrado ainda</v>
      </c>
      <c r="B29254" s="3">
        <v>0</v>
      </c>
    </row>
    <row r="29255" ht="15.75" customHeight="1" spans="1:2">
      <c r="A29255" s="3" t="str">
        <f>IFERROR(__xludf.DUMMYFUNCTION("GOOGLETRANSLATE(A29255,""en"",""pt"")"),"Nem tudo o que intuitiva. Autofocus, às vezes não. Res vídeo.")</f>
        <v>Nem tudo o que intuitiva. Autofocus, às vezes não. Res vídeo.</v>
      </c>
      <c r="B29255" s="3">
        <v>0</v>
      </c>
    </row>
    <row r="29256" ht="15.75" customHeight="1" spans="1:2">
      <c r="A29256" s="3" t="str">
        <f>IFERROR(__xludf.DUMMYFUNCTION("GOOGLETRANSLATE(A29256,""en"",""pt"")"),"Nada, excepto, talvez, preço.")</f>
        <v>Nada, excepto, talvez, preço.</v>
      </c>
      <c r="B29256" s="3">
        <v>0</v>
      </c>
    </row>
    <row r="29257" ht="15.75" customHeight="1" spans="1:2">
      <c r="A29257" s="3" t="str">
        <f>IFERROR(__xludf.DUMMYFUNCTION("GOOGLETRANSLATE(A29257,""en"",""pt"")"),"Nenhum que eu encontrei ainda.")</f>
        <v>Nenhum que eu encontrei ainda.</v>
      </c>
      <c r="B29257" s="3">
        <v>0</v>
      </c>
    </row>
    <row r="29258" ht="15.75" customHeight="1" spans="1:2">
      <c r="A29258" s="3" t="str">
        <f>IFERROR(__xludf.DUMMYFUNCTION("GOOGLETRANSLATE(A29258,""en"",""pt"")"),"Lente de proteção um pouco frágil")</f>
        <v>Lente de proteção um pouco frágil</v>
      </c>
      <c r="B29258" s="3">
        <v>0</v>
      </c>
    </row>
    <row r="29259" ht="15.75" customHeight="1" spans="1:2">
      <c r="A29259" s="3" t="str">
        <f>IFERROR(__xludf.DUMMYFUNCTION("GOOGLETRANSLATE(A29259,""en"",""pt"")"),"Nenhum encontrado ainda.")</f>
        <v>Nenhum encontrado ainda.</v>
      </c>
      <c r="B29259" s="3">
        <v>0</v>
      </c>
    </row>
    <row r="29260" ht="15.75" customHeight="1" spans="1:2">
      <c r="A29260" s="3" t="str">
        <f>IFERROR(__xludf.DUMMYFUNCTION("GOOGLETRANSLATE(A29260,""en"",""pt"")"),"Ele só vem com um cartão de 16 MB SD; apenas armazena 11 imagens na configuração padrão.")</f>
        <v>Ele só vem com um cartão de 16 MB SD; apenas armazena 11 imagens na configuração padrão.</v>
      </c>
      <c r="B29260" s="3">
        <v>0</v>
      </c>
    </row>
    <row r="29261" ht="15.75" customHeight="1" spans="1:2">
      <c r="A29261" s="3" t="str">
        <f>IFERROR(__xludf.DUMMYFUNCTION("GOOGLETRANSLATE(A29261,""en"",""pt"")"),"porta da bateria se sente frágil.")</f>
        <v>porta da bateria se sente frágil.</v>
      </c>
      <c r="B29261" s="3">
        <v>0</v>
      </c>
    </row>
    <row r="29262" ht="15.75" customHeight="1" spans="1:2">
      <c r="A29262" s="3" t="str">
        <f>IFERROR(__xludf.DUMMYFUNCTION("GOOGLETRANSLATE(A29262,""en"",""pt"")"),"interruptor pequeno fácil de activar a função errada")</f>
        <v>interruptor pequeno fácil de activar a função errada</v>
      </c>
      <c r="B29262" s="3">
        <v>0</v>
      </c>
    </row>
    <row r="29263" ht="15.75" customHeight="1" spans="1:2">
      <c r="A29263" s="3" t="str">
        <f>IFERROR(__xludf.DUMMYFUNCTION("GOOGLETRANSLATE(A29263,""en"",""pt"")"),"correia de pulso é muito grande para a câmera. bolsa macia é apertado. NENHUM AINDA")</f>
        <v>correia de pulso é muito grande para a câmera. bolsa macia é apertado. NENHUM AINDA</v>
      </c>
      <c r="B29263" s="3">
        <v>0</v>
      </c>
    </row>
    <row r="29264" ht="15.75" customHeight="1" spans="1:2">
      <c r="A29264" s="3" t="str">
        <f>IFERROR(__xludf.DUMMYFUNCTION("GOOGLETRANSLATE(A29264,""en"",""pt"")"),"on / off' botão pode ser confundido com o botão de disparo do obturador, o compartimento da bateria dobradiça parece frágil")</f>
        <v>on / off' botão pode ser confundido com o botão de disparo do obturador, o compartimento da bateria dobradiça parece frágil</v>
      </c>
      <c r="B29264" s="3">
        <v>0</v>
      </c>
    </row>
    <row r="29265" ht="15.75" customHeight="1" spans="1:2">
      <c r="A29265" s="3" t="str">
        <f>IFERROR(__xludf.DUMMYFUNCTION("GOOGLETRANSLATE(A29265,""en"",""pt"")"),"Caro, as imagens não é tão acentuada como high-end câmera de 3MP, joystick de controle.")</f>
        <v>Caro, as imagens não é tão acentuada como high-end câmera de 3MP, joystick de controle.</v>
      </c>
      <c r="B29265" s="3">
        <v>0</v>
      </c>
    </row>
    <row r="29266" ht="15.75" customHeight="1" spans="1:2">
      <c r="A29266" s="3" t="str">
        <f>IFERROR(__xludf.DUMMYFUNCTION("GOOGLETRANSLATE(A29266,""en"",""pt"")"),"botão caro, poder confundir-se com botão de exposição")</f>
        <v>botão caro, poder confundir-se com botão de exposição</v>
      </c>
      <c r="B29266" s="3">
        <v>0</v>
      </c>
    </row>
    <row r="29267" ht="15.75" customHeight="1" spans="1:2">
      <c r="A29267" s="3" t="str">
        <f>IFERROR(__xludf.DUMMYFUNCTION("GOOGLETRANSLATE(A29267,""en"",""pt"")"),"A vida da bateria")</f>
        <v>A vida da bateria</v>
      </c>
      <c r="B29267" s="3">
        <v>0</v>
      </c>
    </row>
    <row r="29268" ht="15.75" customHeight="1" spans="1:2">
      <c r="A29268" s="3" t="str">
        <f>IFERROR(__xludf.DUMMYFUNCTION("GOOGLETRANSLATE(A29268,""en"",""pt"")"),"nenhum ainda")</f>
        <v>nenhum ainda</v>
      </c>
      <c r="B29268" s="3">
        <v>0</v>
      </c>
    </row>
    <row r="29269" ht="15.75" customHeight="1" spans="1:2">
      <c r="A29269" s="3" t="str">
        <f>IFERROR(__xludf.DUMMYFUNCTION("GOOGLETRANSLATE(A29269,""en"",""pt"")"),"Como a bateria está carregada e localização do obturador e on / off botões")</f>
        <v>Como a bateria está carregada e localização do obturador e on / off botões</v>
      </c>
      <c r="B29269" s="3">
        <v>0</v>
      </c>
    </row>
    <row r="29270" ht="15.75" customHeight="1" spans="1:2">
      <c r="A29270" s="3" t="str">
        <f>IFERROR(__xludf.DUMMYFUNCTION("GOOGLETRANSLATE(A29270,""en"",""pt"")"),"imagens suaves, tiro pobre aos tempos tiro, curta duração da bateria,")</f>
        <v>imagens suaves, tiro pobre aos tempos tiro, curta duração da bateria,</v>
      </c>
      <c r="B29270" s="3">
        <v>0</v>
      </c>
    </row>
    <row r="29271" ht="15.75" customHeight="1" spans="1:2">
      <c r="A29271" s="3" t="str">
        <f>IFERROR(__xludf.DUMMYFUNCTION("GOOGLETRANSLATE(A29271,""en"",""pt"")"),"Intervalo entre fotos; controles inicialmente desajeitados")</f>
        <v>Intervalo entre fotos; controles inicialmente desajeitados</v>
      </c>
      <c r="B29271" s="3">
        <v>0</v>
      </c>
    </row>
    <row r="29272" ht="15.75" customHeight="1" spans="1:2">
      <c r="A29272" s="3" t="str">
        <f>IFERROR(__xludf.DUMMYFUNCTION("GOOGLETRANSLATE(A29272,""en"",""pt"")"),"Pequenos botões levar algum tempo para se acostumar, nenhum caso incluído")</f>
        <v>Pequenos botões levar algum tempo para se acostumar, nenhum caso incluído</v>
      </c>
      <c r="B29272" s="3">
        <v>0</v>
      </c>
    </row>
    <row r="29273" ht="15.75" customHeight="1" spans="1:2">
      <c r="A29273" s="3" t="str">
        <f>IFERROR(__xludf.DUMMYFUNCTION("GOOGLETRANSLATE(A29273,""en"",""pt"")"),"má qualidade bateria e tampa do cartão de memória. Ampliar a imagem de má qualidade")</f>
        <v>má qualidade bateria e tampa do cartão de memória. Ampliar a imagem de má qualidade</v>
      </c>
      <c r="B29273" s="3">
        <v>0</v>
      </c>
    </row>
    <row r="29274" ht="15.75" customHeight="1" spans="1:2">
      <c r="A29274" s="3" t="str">
        <f>IFERROR(__xludf.DUMMYFUNCTION("GOOGLETRANSLATE(A29274,""en"",""pt"")"),"Apenas OK qualidade de imagem - nada que escrever sobre")</f>
        <v>Apenas OK qualidade de imagem - nada que escrever sobre</v>
      </c>
      <c r="B29274" s="3">
        <v>0</v>
      </c>
    </row>
    <row r="29275" ht="15.75" customHeight="1" spans="1:2">
      <c r="A29275" s="3" t="str">
        <f>IFERROR(__xludf.DUMMYFUNCTION("GOOGLETRANSLATE(A29275,""en"",""pt"")"),"Flash de fraca potência. Deve remover a bateria para carregá-lo. problemas de auto-foco ocasional.")</f>
        <v>Flash de fraca potência. Deve remover a bateria para carregá-lo. problemas de auto-foco ocasional.</v>
      </c>
      <c r="B29275" s="3">
        <v>0</v>
      </c>
    </row>
    <row r="29276" ht="15.75" customHeight="1" spans="1:2">
      <c r="A29276" s="3" t="str">
        <f>IFERROR(__xludf.DUMMYFUNCTION("GOOGLETRANSLATE(A29276,""en"",""pt"")"),"Há outras câmeras com melhor desempenho em relação à qualidade de imagem, a vida da bateria, etc.")</f>
        <v>Há outras câmeras com melhor desempenho em relação à qualidade de imagem, a vida da bateria, etc.</v>
      </c>
      <c r="B29276" s="3">
        <v>0</v>
      </c>
    </row>
    <row r="29277" ht="15.75" customHeight="1" spans="1:2">
      <c r="A29277" s="3" t="str">
        <f>IFERROR(__xludf.DUMMYFUNCTION("GOOGLETRANSLATE(A29277,""en"",""pt"")"),"Assunto deve ser absolutamente imóvel. Sem flash.")</f>
        <v>Assunto deve ser absolutamente imóvel. Sem flash.</v>
      </c>
      <c r="B29277" s="3">
        <v>0</v>
      </c>
    </row>
    <row r="29278" ht="15.75" customHeight="1" spans="1:2">
      <c r="A29278" s="3" t="str">
        <f>IFERROR(__xludf.DUMMYFUNCTION("GOOGLETRANSLATE(A29278,""en"",""pt"")"),"qualidade da foto pobres")</f>
        <v>qualidade da foto pobres</v>
      </c>
      <c r="B29278" s="3">
        <v>0</v>
      </c>
    </row>
    <row r="29279" ht="15.75" customHeight="1" spans="1:2">
      <c r="A29279" s="3" t="str">
        <f>IFERROR(__xludf.DUMMYFUNCTION("GOOGLETRANSLATE(A29279,""en"",""pt"")"),"não funcionar, baixa resolução, as imagens difusas, o nome dele.")</f>
        <v>não funcionar, baixa resolução, as imagens difusas, o nome dele.</v>
      </c>
      <c r="B29279" s="3">
        <v>0</v>
      </c>
    </row>
    <row r="29280" ht="15.75" customHeight="1" spans="1:2">
      <c r="A29280" s="3" t="str">
        <f>IFERROR(__xludf.DUMMYFUNCTION("GOOGLETRANSLATE(A29280,""en"",""pt"")"),"Má qualidade de imagem. Sem flash. De abertura baixo. Sem Zoom ... e muito mais.")</f>
        <v>Má qualidade de imagem. Sem flash. De abertura baixo. Sem Zoom ... e muito mais.</v>
      </c>
      <c r="B29280" s="3">
        <v>0</v>
      </c>
    </row>
    <row r="29281" ht="15.75" customHeight="1" spans="1:2">
      <c r="A29281" s="3" t="str">
        <f>IFERROR(__xludf.DUMMYFUNCTION("GOOGLETRANSLATE(A29281,""en"",""pt"")"),"Baixa Resolução - Twain Driver suga para computadores mais lentos")</f>
        <v>Baixa Resolução - Twain Driver suga para computadores mais lentos</v>
      </c>
      <c r="B29281" s="3">
        <v>0</v>
      </c>
    </row>
    <row r="29282" ht="15.75" customHeight="1" spans="1:2">
      <c r="A29282" s="3" t="str">
        <f>IFERROR(__xludf.DUMMYFUNCTION("GOOGLETRANSLATE(A29282,""en"",""pt"")"),"HIDEOUS qualidade de imagem, sem flash, capacidade de memória pequena (18-24 fotos), downloads lentos para computador")</f>
        <v>HIDEOUS qualidade de imagem, sem flash, capacidade de memória pequena (18-24 fotos), downloads lentos para computador</v>
      </c>
      <c r="B29282" s="3">
        <v>0</v>
      </c>
    </row>
    <row r="29283" ht="15.75" customHeight="1" spans="1:2">
      <c r="A29283" s="3" t="str">
        <f>IFERROR(__xludf.DUMMYFUNCTION("GOOGLETRANSLATE(A29283,""en"",""pt"")"),"Muito Má qualidade de imagem. Não compre um!")</f>
        <v>Muito Má qualidade de imagem. Não compre um!</v>
      </c>
      <c r="B29283" s="3">
        <v>0</v>
      </c>
    </row>
    <row r="29284" ht="15.75" customHeight="1" spans="1:2">
      <c r="A29284" s="3" t="str">
        <f>IFERROR(__xludf.DUMMYFUNCTION("GOOGLETRANSLATE(A29284,""en"",""pt"")"),"Só detém 18 exposições, imagens às vezes pode ser granulado, sem flash.")</f>
        <v>Só detém 18 exposições, imagens às vezes pode ser granulado, sem flash.</v>
      </c>
      <c r="B29284" s="3">
        <v>0</v>
      </c>
    </row>
    <row r="29285" ht="15.75" customHeight="1" spans="1:2">
      <c r="A29285" s="3" t="str">
        <f>IFERROR(__xludf.DUMMYFUNCTION("GOOGLETRANSLATE(A29285,""en"",""pt"")"),"Barato")</f>
        <v>Barato</v>
      </c>
      <c r="B29285" s="3">
        <v>0</v>
      </c>
    </row>
    <row r="29286" ht="15.75" customHeight="1" spans="1:2">
      <c r="A29286" s="3" t="str">
        <f>IFERROR(__xludf.DUMMYFUNCTION("GOOGLETRANSLATE(A29286,""en"",""pt"")"),"Eu pago dinheiro para ele!")</f>
        <v>Eu pago dinheiro para ele!</v>
      </c>
      <c r="B29286" s="3">
        <v>0</v>
      </c>
    </row>
    <row r="29287" ht="15.75" customHeight="1" spans="1:2">
      <c r="A29287" s="3" t="str">
        <f>IFERROR(__xludf.DUMMYFUNCTION("GOOGLETRANSLATE(A29287,""en"",""pt"")"),"baixa qualidade de impressão")</f>
        <v>baixa qualidade de impressão</v>
      </c>
      <c r="B29287" s="3">
        <v>0</v>
      </c>
    </row>
    <row r="29288" ht="15.75" customHeight="1" spans="1:2">
      <c r="A29288" s="3" t="str">
        <f>IFERROR(__xludf.DUMMYFUNCTION("GOOGLETRANSLATE(A29288,""en"",""pt"")"),"Eu não consigo ver algum em tudo!")</f>
        <v>Eu não consigo ver algum em tudo!</v>
      </c>
      <c r="B29288" s="3">
        <v>0</v>
      </c>
    </row>
    <row r="29289" ht="15.75" customHeight="1" spans="1:2">
      <c r="A29289" s="3" t="str">
        <f>IFERROR(__xludf.DUMMYFUNCTION("GOOGLETRANSLATE(A29289,""en"",""pt"")"),"Sem flash, iluminação crucial para boas fotos. borrões movimento completamente")</f>
        <v>Sem flash, iluminação crucial para boas fotos. borrões movimento completamente</v>
      </c>
      <c r="B29289" s="3">
        <v>0</v>
      </c>
    </row>
    <row r="29290" ht="15.75" customHeight="1" spans="1:2">
      <c r="A29290" s="3" t="str">
        <f>IFERROR(__xludf.DUMMYFUNCTION("GOOGLETRANSLATE(A29290,""en"",""pt"")"),"Sem flash, pequeno movimento pode arruinar uma foto.")</f>
        <v>Sem flash, pequeno movimento pode arruinar uma foto.</v>
      </c>
      <c r="B29290" s="3">
        <v>0</v>
      </c>
    </row>
    <row r="29291" ht="15.75" customHeight="1" spans="1:2">
      <c r="A29291" s="3" t="str">
        <f>IFERROR(__xludf.DUMMYFUNCTION("GOOGLETRANSLATE(A29291,""en"",""pt"")"),"Não considerar este para imagens para impressão de alta qualidade.")</f>
        <v>Não considerar este para imagens para impressão de alta qualidade.</v>
      </c>
      <c r="B29291" s="3">
        <v>0</v>
      </c>
    </row>
    <row r="29292" ht="15.75" customHeight="1" spans="1:2">
      <c r="A29292" s="3" t="str">
        <f>IFERROR(__xludf.DUMMYFUNCTION("GOOGLETRANSLATE(A29292,""en"",""pt"")"),"operado por bateria, POPs aba de segurança da bateria abrir aleatoriamente. sem flash")</f>
        <v>operado por bateria, POPs aba de segurança da bateria abrir aleatoriamente. sem flash</v>
      </c>
      <c r="B29292" s="3">
        <v>0</v>
      </c>
    </row>
    <row r="29293" ht="15.75" customHeight="1" spans="1:2">
      <c r="A29293" s="3" t="str">
        <f>IFERROR(__xludf.DUMMYFUNCTION("GOOGLETRANSLATE(A29293,""en"",""pt"")"),"Sem flash, memória pequena, e qualidade de imagem variável")</f>
        <v>Sem flash, memória pequena, e qualidade de imagem variável</v>
      </c>
      <c r="B29293" s="3">
        <v>0</v>
      </c>
    </row>
    <row r="29294" ht="15.75" customHeight="1" spans="1:2">
      <c r="A29294" s="3" t="str">
        <f>IFERROR(__xludf.DUMMYFUNCTION("GOOGLETRANSLATE(A29294,""en"",""pt"")"),"Baixa resolução, armazena apenas 15 fotos, come BATERIAS")</f>
        <v>Baixa resolução, armazena apenas 15 fotos, come BATERIAS</v>
      </c>
      <c r="B29294" s="3">
        <v>0</v>
      </c>
    </row>
    <row r="29295" ht="15.75" customHeight="1" spans="1:2">
      <c r="A29295" s="3" t="str">
        <f>IFERROR(__xludf.DUMMYFUNCTION("GOOGLETRANSLATE(A29295,""en"",""pt"")"),"Barato: o)")</f>
        <v>Barato: o)</v>
      </c>
      <c r="B29295" s="3">
        <v>0</v>
      </c>
    </row>
    <row r="29296" ht="15.75" customHeight="1" spans="1:2">
      <c r="A29296" s="3" t="str">
        <f>IFERROR(__xludf.DUMMYFUNCTION("GOOGLETRANSLATE(A29296,""en"",""pt"")"),"clareza, facilidade de uso e baixo valor em dinheiro. Ignorá-lo, se possível.")</f>
        <v>clareza, facilidade de uso e baixo valor em dinheiro. Ignorá-lo, se possível.</v>
      </c>
      <c r="B29296" s="3">
        <v>0</v>
      </c>
    </row>
    <row r="29297" ht="15.75" customHeight="1" spans="1:2">
      <c r="A29297" s="3" t="str">
        <f>IFERROR(__xludf.DUMMYFUNCTION("GOOGLETRANSLATE(A29297,""en"",""pt"")"),"Sem zoom, come baterias.")</f>
        <v>Sem zoom, come baterias.</v>
      </c>
      <c r="B29297" s="3">
        <v>0</v>
      </c>
    </row>
    <row r="29298" ht="15.75" customHeight="1" spans="1:2">
      <c r="A29298" s="3" t="str">
        <f>IFERROR(__xludf.DUMMYFUNCTION("GOOGLETRANSLATE(A29298,""en"",""pt"")"),"Toma realmente péssimos imagens, dreno de bateria rápida,")</f>
        <v>Toma realmente péssimos imagens, dreno de bateria rápida,</v>
      </c>
      <c r="B29298" s="3">
        <v>0</v>
      </c>
    </row>
    <row r="29299" ht="15.75" customHeight="1" spans="1:2">
      <c r="A29299" s="3" t="str">
        <f>IFERROR(__xludf.DUMMYFUNCTION("GOOGLETRANSLATE(A29299,""en"",""pt"")"),"drena as baterias muito rápido")</f>
        <v>drena as baterias muito rápido</v>
      </c>
      <c r="B29299" s="3">
        <v>0</v>
      </c>
    </row>
    <row r="29300" ht="15.75" customHeight="1" spans="1:2">
      <c r="A29300" s="3" t="str">
        <f>IFERROR(__xludf.DUMMYFUNCTION("GOOGLETRANSLATE(A29300,""en"",""pt"")"),"arounds de trabalho necessário para o uso do software. A qualidade da foto é menos do que estelar.")</f>
        <v>arounds de trabalho necessário para o uso do software. A qualidade da foto é menos do que estelar.</v>
      </c>
      <c r="B29300" s="3">
        <v>0</v>
      </c>
    </row>
    <row r="29301" ht="15.75" customHeight="1" spans="1:2">
      <c r="A29301" s="3" t="str">
        <f>IFERROR(__xludf.DUMMYFUNCTION("GOOGLETRANSLATE(A29301,""en"",""pt"")"),"a vida da bateria ruim, não tão boa resolução.")</f>
        <v>a vida da bateria ruim, não tão boa resolução.</v>
      </c>
      <c r="B29301" s="3">
        <v>0</v>
      </c>
    </row>
    <row r="29302" ht="15.75" customHeight="1" spans="1:2">
      <c r="A29302" s="3" t="str">
        <f>IFERROR(__xludf.DUMMYFUNCTION("GOOGLETRANSLATE(A29302,""en"",""pt"")"),"não vai funcionar com o Windows XP")</f>
        <v>não vai funcionar com o Windows XP</v>
      </c>
      <c r="B29302" s="3">
        <v>0</v>
      </c>
    </row>
    <row r="29303" ht="15.75" customHeight="1" spans="1:2">
      <c r="A29303" s="3" t="str">
        <f>IFERROR(__xludf.DUMMYFUNCTION("GOOGLETRANSLATE(A29303,""en"",""pt"")"),"Sem Zoom, apenas detém 15 imagens, não o melhor drenagem resolução, bateria,")</f>
        <v>Sem Zoom, apenas detém 15 imagens, não o melhor drenagem resolução, bateria,</v>
      </c>
      <c r="B29303" s="3">
        <v>0</v>
      </c>
    </row>
    <row r="29304" ht="15.75" customHeight="1" spans="1:2">
      <c r="A29304" s="3" t="str">
        <f>IFERROR(__xludf.DUMMYFUNCTION("GOOGLETRANSLATE(A29304,""en"",""pt"")"),"Muito foco pobres, compressão de JPG, nenhum cartão de dados, má concepção da tampa da bateria")</f>
        <v>Muito foco pobres, compressão de JPG, nenhum cartão de dados, má concepção da tampa da bateria</v>
      </c>
      <c r="B29304" s="3">
        <v>0</v>
      </c>
    </row>
    <row r="29305" ht="15.75" customHeight="1" spans="1:2">
      <c r="A29305" s="3" t="str">
        <f>IFERROR(__xludf.DUMMYFUNCTION("GOOGLETRANSLATE(A29305,""en"",""pt"")"),"Lento de download de série, lente precisava se concentrar re-,")</f>
        <v>Lento de download de série, lente precisava se concentrar re-,</v>
      </c>
      <c r="B29305" s="3">
        <v>0</v>
      </c>
    </row>
    <row r="29306" ht="15.75" customHeight="1" spans="1:2">
      <c r="A29306" s="3" t="str">
        <f>IFERROR(__xludf.DUMMYFUNCTION("GOOGLETRANSLATE(A29306,""en"",""pt"")"),"Não é tão claro de uma imagem como uma câmera mais cara levaria.")</f>
        <v>Não é tão claro de uma imagem como uma câmera mais cara levaria.</v>
      </c>
      <c r="B29306" s="3">
        <v>0</v>
      </c>
    </row>
    <row r="29307" ht="15.75" customHeight="1" spans="1:2">
      <c r="A29307" s="3" t="str">
        <f>IFERROR(__xludf.DUMMYFUNCTION("GOOGLETRANSLATE(A29307,""en"",""pt"")"),"Não onde perto da qualidade de outras câmeras digitais")</f>
        <v>Não onde perto da qualidade de outras câmeras digitais</v>
      </c>
      <c r="B29307" s="3">
        <v>0</v>
      </c>
    </row>
    <row r="29308" ht="15.75" customHeight="1" spans="1:2">
      <c r="A29308" s="3" t="str">
        <f>IFERROR(__xludf.DUMMYFUNCTION("GOOGLETRANSLATE(A29308,""en"",""pt"")"),"0,31 megapixels, nenhum foco macro")</f>
        <v>0,31 megapixels, nenhum foco macro</v>
      </c>
      <c r="B29308" s="3">
        <v>0</v>
      </c>
    </row>
    <row r="29309" ht="15.75" customHeight="1" spans="1:2">
      <c r="A29309" s="3" t="str">
        <f>IFERROR(__xludf.DUMMYFUNCTION("GOOGLETRANSLATE(A29309,""en"",""pt"")"),"Totalmente fotos Losuy em extremo.")</f>
        <v>Totalmente fotos Losuy em extremo.</v>
      </c>
      <c r="B29309" s="3">
        <v>0</v>
      </c>
    </row>
    <row r="29310" ht="15.75" customHeight="1" spans="1:2">
      <c r="A29310" s="3" t="str">
        <f>IFERROR(__xludf.DUMMYFUNCTION("GOOGLETRANSLATE(A29310,""en"",""pt"")"),"tamanho grande, curta duração da bateria.")</f>
        <v>tamanho grande, curta duração da bateria.</v>
      </c>
      <c r="B29310" s="3">
        <v>0</v>
      </c>
    </row>
    <row r="29311" ht="15.75" customHeight="1" spans="1:2">
      <c r="A29311" s="3" t="str">
        <f>IFERROR(__xludf.DUMMYFUNCTION("GOOGLETRANSLATE(A29311,""en"",""pt"")"),"retardar para salvar a imagem, Polaroid")</f>
        <v>retardar para salvar a imagem, Polaroid</v>
      </c>
      <c r="B29311" s="3">
        <v>0</v>
      </c>
    </row>
    <row r="29312" ht="15.75" customHeight="1" spans="1:2">
      <c r="A29312" s="3" t="str">
        <f>IFERROR(__xludf.DUMMYFUNCTION("GOOGLETRANSLATE(A29312,""en"",""pt"")"),"Muito fraca LCD, controle de hard top-to-use, volumoso")</f>
        <v>Muito fraca LCD, controle de hard top-to-use, volumoso</v>
      </c>
      <c r="B29312" s="3">
        <v>0</v>
      </c>
    </row>
    <row r="29313" ht="15.75" customHeight="1" spans="1:2">
      <c r="A29313" s="3" t="str">
        <f>IFERROR(__xludf.DUMMYFUNCTION("GOOGLETRANSLATE(A29313,""en"",""pt"")"),"Buggy, desempenho inconsistente")</f>
        <v>Buggy, desempenho inconsistente</v>
      </c>
      <c r="B29313" s="3">
        <v>0</v>
      </c>
    </row>
    <row r="29314" ht="15.75" customHeight="1" spans="1:2">
      <c r="A29314" s="3" t="str">
        <f>IFERROR(__xludf.DUMMYFUNCTION("GOOGLETRANSLATE(A29314,""en"",""pt"")"),"A vida da bateria")</f>
        <v>A vida da bateria</v>
      </c>
      <c r="B29314" s="3">
        <v>0</v>
      </c>
    </row>
    <row r="29315" ht="15.75" customHeight="1" spans="1:2">
      <c r="A29315" s="3" t="str">
        <f>IFERROR(__xludf.DUMMYFUNCTION("GOOGLETRANSLATE(A29315,""en"",""pt"")"),"Confiabilidade, tamanho grande, mau LCD, lento")</f>
        <v>Confiabilidade, tamanho grande, mau LCD, lento</v>
      </c>
      <c r="B29315" s="3">
        <v>0</v>
      </c>
    </row>
    <row r="29316" ht="15.75" customHeight="1" spans="1:2">
      <c r="A29316" s="3" t="str">
        <f>IFERROR(__xludf.DUMMYFUNCTION("GOOGLETRANSLATE(A29316,""en"",""pt"")"),"mau desempenho flash, resultados inconsistentes, especialmente em condições difíceis de iluminação")</f>
        <v>mau desempenho flash, resultados inconsistentes, especialmente em condições difíceis de iluminação</v>
      </c>
      <c r="B29316" s="3">
        <v>0</v>
      </c>
    </row>
    <row r="29317" ht="15.75" customHeight="1" spans="1:2">
      <c r="A29317" s="3" t="str">
        <f>IFERROR(__xludf.DUMMYFUNCTION("GOOGLETRANSLATE(A29317,""en"",""pt"")"),"Má exibição em tempo frio")</f>
        <v>Má exibição em tempo frio</v>
      </c>
      <c r="B29317" s="3">
        <v>0</v>
      </c>
    </row>
    <row r="29318" ht="15.75" customHeight="1" spans="1:2">
      <c r="A29318" s="3" t="str">
        <f>IFERROR(__xludf.DUMMYFUNCTION("GOOGLETRANSLATE(A29318,""en"",""pt"")"),"Visor grande e medíocre")</f>
        <v>Visor grande e medíocre</v>
      </c>
      <c r="B29318" s="3">
        <v>0</v>
      </c>
    </row>
    <row r="29319" ht="15.75" customHeight="1" spans="1:2">
      <c r="A29319" s="3" t="str">
        <f>IFERROR(__xludf.DUMMYFUNCTION("GOOGLETRANSLATE(A29319,""en"",""pt"")"),"possivelmente, o grande tamanho, o modelo foi disconinued")</f>
        <v>possivelmente, o grande tamanho, o modelo foi disconinued</v>
      </c>
      <c r="B29319" s="3">
        <v>0</v>
      </c>
    </row>
    <row r="29320" ht="15.75" customHeight="1" spans="1:2">
      <c r="A29320" s="3" t="str">
        <f>IFERROR(__xludf.DUMMYFUNCTION("GOOGLETRANSLATE(A29320,""en"",""pt"")"),"Suporte e peças são difíceis.")</f>
        <v>Suporte e peças são difíceis.</v>
      </c>
      <c r="B29320" s="3">
        <v>0</v>
      </c>
    </row>
    <row r="29321" ht="15.75" customHeight="1" spans="1:2">
      <c r="A29321" s="3" t="str">
        <f>IFERROR(__xludf.DUMMYFUNCTION("GOOGLETRANSLATE(A29321,""en"",""pt"")"),"função de exclusão, a qualidade da foto não é grande")</f>
        <v>função de exclusão, a qualidade da foto não é grande</v>
      </c>
      <c r="B29321" s="3">
        <v>0</v>
      </c>
    </row>
    <row r="29322" ht="15.75" customHeight="1" spans="1:2">
      <c r="A29322" s="3" t="str">
        <f>IFERROR(__xludf.DUMMYFUNCTION("GOOGLETRANSLATE(A29322,""en"",""pt"")"),"Drenos baterias rapidamente")</f>
        <v>Drenos baterias rapidamente</v>
      </c>
      <c r="B29322" s="3">
        <v>0</v>
      </c>
    </row>
    <row r="29323" ht="15.75" customHeight="1" spans="1:2">
      <c r="A29323" s="3" t="str">
        <f>IFERROR(__xludf.DUMMYFUNCTION("GOOGLETRANSLATE(A29323,""en"",""pt"")"),"pobres Fotos")</f>
        <v>pobres Fotos</v>
      </c>
      <c r="B29323" s="3">
        <v>0</v>
      </c>
    </row>
    <row r="29324" ht="15.75" customHeight="1" spans="1:2">
      <c r="A29324" s="3" t="str">
        <f>IFERROR(__xludf.DUMMYFUNCTION("GOOGLETRANSLATE(A29324,""en"",""pt"")"),"Baixa resolução")</f>
        <v>Baixa resolução</v>
      </c>
      <c r="B29324" s="3">
        <v>0</v>
      </c>
    </row>
    <row r="29325" ht="15.75" customHeight="1" spans="1:2">
      <c r="A29325" s="3" t="str">
        <f>IFERROR(__xludf.DUMMYFUNCTION("GOOGLETRANSLATE(A29325,""en"",""pt"")"),"memória de imagem 15, resolução de 640x480, pacote básico de software")</f>
        <v>memória de imagem 15, resolução de 640x480, pacote básico de software</v>
      </c>
      <c r="B29325" s="3">
        <v>0</v>
      </c>
    </row>
    <row r="29326" ht="15.75" customHeight="1" spans="1:2">
      <c r="A29326" s="3" t="str">
        <f>IFERROR(__xludf.DUMMYFUNCTION("GOOGLETRANSLATE(A29326,""en"",""pt"")"),"Preço")</f>
        <v>Preço</v>
      </c>
      <c r="B29326" s="3">
        <v>0</v>
      </c>
    </row>
    <row r="29327" ht="15.75" customHeight="1" spans="1:2">
      <c r="A29327" s="3" t="str">
        <f>IFERROR(__xludf.DUMMYFUNCTION("GOOGLETRANSLATE(A29327,""en"",""pt"")"),"Mudar necessário para ser substituído.")</f>
        <v>Mudar necessário para ser substituído.</v>
      </c>
      <c r="B29327" s="3">
        <v>0</v>
      </c>
    </row>
    <row r="29328" ht="15.75" customHeight="1" spans="1:2">
      <c r="A29328" s="3" t="str">
        <f>IFERROR(__xludf.DUMMYFUNCTION("GOOGLETRANSLATE(A29328,""en"",""pt"")"),"Facilidade de uso e uso da bateria")</f>
        <v>Facilidade de uso e uso da bateria</v>
      </c>
      <c r="B29328" s="3">
        <v>0</v>
      </c>
    </row>
    <row r="29329" ht="15.75" customHeight="1" spans="1:2">
      <c r="A29329" s="3" t="str">
        <f>IFERROR(__xludf.DUMMYFUNCTION("GOOGLETRANSLATE(A29329,""en"",""pt"")"),"No manual de instruções para o software-Photomax. Melhor usar como um plug in para a eletricidade como usa até baterias muito rapidamente.")</f>
        <v>No manual de instruções para o software-Photomax. Melhor usar como um plug in para a eletricidade como usa até baterias muito rapidamente.</v>
      </c>
      <c r="B29329" s="3">
        <v>0</v>
      </c>
    </row>
    <row r="29330" ht="15.75" customHeight="1" spans="1:2">
      <c r="A29330" s="3" t="str">
        <f>IFERROR(__xludf.DUMMYFUNCTION("GOOGLETRANSLATE(A29330,""en"",""pt"")"),"Software livreto indisponível e ajuda é muito limitada, não é uma boa escolha para os profissionais, o aprimoramento da foto granulação limitado.")</f>
        <v>Software livreto indisponível e ajuda é muito limitada, não é uma boa escolha para os profissionais, o aprimoramento da foto granulação limitado.</v>
      </c>
      <c r="B29330" s="3">
        <v>0</v>
      </c>
    </row>
    <row r="29331" ht="15.75" customHeight="1" spans="1:2">
      <c r="A29331" s="3" t="str">
        <f>IFERROR(__xludf.DUMMYFUNCTION("GOOGLETRANSLATE(A29331,""en"",""pt"")"),"Poderia'nt encontrar um")</f>
        <v>Poderia'nt encontrar um</v>
      </c>
      <c r="B29331" s="3">
        <v>0</v>
      </c>
    </row>
    <row r="29332" ht="15.75" customHeight="1" spans="1:2">
      <c r="A29332" s="3" t="str">
        <f>IFERROR(__xludf.DUMMYFUNCTION("GOOGLETRANSLATE(A29332,""en"",""pt"")"),"complicado")</f>
        <v>complicado</v>
      </c>
      <c r="B29332" s="3">
        <v>0</v>
      </c>
    </row>
    <row r="29333" ht="15.75" customHeight="1" spans="1:2">
      <c r="A29333" s="3" t="str">
        <f>IFERROR(__xludf.DUMMYFUNCTION("GOOGLETRANSLATE(A29333,""en"",""pt"")"),"resolução, o tempo de carregamento, a vida da bateria")</f>
        <v>resolução, o tempo de carregamento, a vida da bateria</v>
      </c>
      <c r="B29333" s="3">
        <v>0</v>
      </c>
    </row>
    <row r="29334" ht="15.75" customHeight="1" spans="1:2">
      <c r="A29334" s="3" t="str">
        <f>IFERROR(__xludf.DUMMYFUNCTION("GOOGLETRANSLATE(A29334,""en"",""pt"")"),"Não consigo pensar em qualquer")</f>
        <v>Não consigo pensar em qualquer</v>
      </c>
      <c r="B29334" s="3">
        <v>0</v>
      </c>
    </row>
    <row r="29335" ht="15.75" customHeight="1" spans="1:2">
      <c r="A29335" s="3" t="str">
        <f>IFERROR(__xludf.DUMMYFUNCTION("GOOGLETRANSLATE(A29335,""en"",""pt"")"),"Caro")</f>
        <v>Caro</v>
      </c>
      <c r="B29335" s="3">
        <v>0</v>
      </c>
    </row>
    <row r="29336" ht="15.75" customHeight="1" spans="1:2">
      <c r="A29336" s="3" t="str">
        <f>IFERROR(__xludf.DUMMYFUNCTION("GOOGLETRANSLATE(A29336,""en"",""pt"")"),"baterias não duram muito tempo, (mas isso é normal)")</f>
        <v>baterias não duram muito tempo, (mas isso é normal)</v>
      </c>
      <c r="B29336" s="3">
        <v>0</v>
      </c>
    </row>
    <row r="29337" ht="15.75" customHeight="1" spans="1:2">
      <c r="A29337" s="3" t="str">
        <f>IFERROR(__xludf.DUMMYFUNCTION("GOOGLETRANSLATE(A29337,""en"",""pt"")"),"nenhum neste momento")</f>
        <v>nenhum neste momento</v>
      </c>
      <c r="B29337" s="3">
        <v>0</v>
      </c>
    </row>
    <row r="29338" ht="15.75" customHeight="1" spans="1:2">
      <c r="A29338" s="3" t="str">
        <f>IFERROR(__xludf.DUMMYFUNCTION("GOOGLETRANSLATE(A29338,""en"",""pt"")"),"A única coisa ruim que encontramos sobre esta câmera é que é a vida usos bateria rapidamente.")</f>
        <v>A única coisa ruim que encontramos sobre esta câmera é que é a vida usos bateria rapidamente.</v>
      </c>
      <c r="B29338" s="3">
        <v>0</v>
      </c>
    </row>
    <row r="29339" ht="15.75" customHeight="1" spans="1:2">
      <c r="A29339" s="3" t="str">
        <f>IFERROR(__xludf.DUMMYFUNCTION("GOOGLETRANSLATE(A29339,""en"",""pt"")"),"má qualidade de imagem, software queijo")</f>
        <v>má qualidade de imagem, software queijo</v>
      </c>
      <c r="B29339" s="3">
        <v>0</v>
      </c>
    </row>
    <row r="29340" ht="15.75" customHeight="1" spans="1:2">
      <c r="A29340" s="3" t="str">
        <f>IFERROR(__xludf.DUMMYFUNCTION("GOOGLETRANSLATE(A29340,""en"",""pt"")"),"Teve de ser combinados")</f>
        <v>Teve de ser combinados</v>
      </c>
      <c r="B29340" s="3">
        <v>0</v>
      </c>
    </row>
    <row r="29341" ht="15.75" customHeight="1" spans="1:2">
      <c r="A29341" s="3" t="str">
        <f>IFERROR(__xludf.DUMMYFUNCTION("GOOGLETRANSLATE(A29341,""en"",""pt"")"),"flash brilhante, não um monte de memória e uma bateria curta.")</f>
        <v>flash brilhante, não um monte de memória e uma bateria curta.</v>
      </c>
      <c r="B29341" s="3">
        <v>0</v>
      </c>
    </row>
    <row r="29342" ht="15.75" customHeight="1" spans="1:2">
      <c r="A29342" s="3" t="str">
        <f>IFERROR(__xludf.DUMMYFUNCTION("GOOGLETRANSLATE(A29342,""en"",""pt"")"),"Pics não são tão nítidas")</f>
        <v>Pics não são tão nítidas</v>
      </c>
      <c r="B29342" s="3">
        <v>0</v>
      </c>
    </row>
    <row r="29343" ht="15.75" customHeight="1" spans="1:2">
      <c r="A29343" s="3" t="str">
        <f>IFERROR(__xludf.DUMMYFUNCTION("GOOGLETRANSLATE(A29343,""en"",""pt"")"),"Extremamente fotos de má qualidade.")</f>
        <v>Extremamente fotos de má qualidade.</v>
      </c>
      <c r="B29343" s="3">
        <v>0</v>
      </c>
    </row>
    <row r="29344" ht="15.75" customHeight="1" spans="1:2">
      <c r="A29344" s="3" t="str">
        <f>IFERROR(__xludf.DUMMYFUNCTION("GOOGLETRANSLATE(A29344,""en"",""pt"")"),"Barato")</f>
        <v>Barato</v>
      </c>
      <c r="B29344" s="3">
        <v>0</v>
      </c>
    </row>
    <row r="29345" ht="15.75" customHeight="1" spans="1:2">
      <c r="A29345" s="3" t="str">
        <f>IFERROR(__xludf.DUMMYFUNCTION("GOOGLETRANSLATE(A29345,""en"",""pt"")"),"Sem zoom e se você pretende imprimir estes para fora eles vão ser granulado.")</f>
        <v>Sem zoom e se você pretende imprimir estes para fora eles vão ser granulado.</v>
      </c>
      <c r="B29345" s="3">
        <v>0</v>
      </c>
    </row>
    <row r="29346" ht="15.75" customHeight="1" spans="1:2">
      <c r="A29346" s="3" t="str">
        <f>IFERROR(__xludf.DUMMYFUNCTION("GOOGLETRANSLATE(A29346,""en"",""pt"")"),"capacidade de upload limitada com diferentes navegadores.")</f>
        <v>capacidade de upload limitada com diferentes navegadores.</v>
      </c>
      <c r="B29346" s="3">
        <v>0</v>
      </c>
    </row>
    <row r="29347" ht="15.75" customHeight="1" spans="1:2">
      <c r="A29347" s="3" t="str">
        <f>IFERROR(__xludf.DUMMYFUNCTION("GOOGLETRANSLATE(A29347,""en"",""pt"")"),"passa por baterias como louco, porta da bateria é fraca")</f>
        <v>passa por baterias como louco, porta da bateria é fraca</v>
      </c>
      <c r="B29347" s="3">
        <v>0</v>
      </c>
    </row>
    <row r="29348" ht="15.75" customHeight="1" spans="1:2">
      <c r="A29348" s="3" t="str">
        <f>IFERROR(__xludf.DUMMYFUNCTION("GOOGLETRANSLATE(A29348,""en"",""pt"")"),"Não, eu quero dizer isso, câmera inferior realmente barato")</f>
        <v>Não, eu quero dizer isso, câmera inferior realmente barato</v>
      </c>
      <c r="B29348" s="3">
        <v>0</v>
      </c>
    </row>
    <row r="29349" ht="15.75" customHeight="1" spans="1:2">
      <c r="A29349" s="3" t="str">
        <f>IFERROR(__xludf.DUMMYFUNCTION("GOOGLETRANSLATE(A29349,""en"",""pt"")"),"Ele tem algumas opções como zoom.")</f>
        <v>Ele tem algumas opções como zoom.</v>
      </c>
      <c r="B29349" s="3">
        <v>0</v>
      </c>
    </row>
    <row r="29350" ht="15.75" customHeight="1" spans="1:2">
      <c r="A29350" s="3" t="str">
        <f>IFERROR(__xludf.DUMMYFUNCTION("GOOGLETRANSLATE(A29350,""en"",""pt"")"),"Sem zoom, obturador em um lugar estranho.")</f>
        <v>Sem zoom, obturador em um lugar estranho.</v>
      </c>
      <c r="B29350" s="3">
        <v>0</v>
      </c>
    </row>
    <row r="29351" ht="15.75" customHeight="1" spans="1:2">
      <c r="A29351" s="3" t="str">
        <f>IFERROR(__xludf.DUMMYFUNCTION("GOOGLETRANSLATE(A29351,""en"",""pt"")"),"Retardar o aquecimento &amp; amp; entre as imagens.")</f>
        <v>Retardar o aquecimento &amp; amp; entre as imagens.</v>
      </c>
      <c r="B29351" s="3">
        <v>0</v>
      </c>
    </row>
    <row r="29352" ht="15.75" customHeight="1" spans="1:2">
      <c r="A29352" s="3" t="str">
        <f>IFERROR(__xludf.DUMMYFUNCTION("GOOGLETRANSLATE(A29352,""en"",""pt"")"),"Usa uma conexão de porta serial para transferência de fotos em vez de USB mais rápido")</f>
        <v>Usa uma conexão de porta serial para transferência de fotos em vez de USB mais rápido</v>
      </c>
      <c r="B29352" s="3">
        <v>0</v>
      </c>
    </row>
    <row r="29353" ht="15.75" customHeight="1" spans="1:2">
      <c r="A29353" s="3" t="str">
        <f>IFERROR(__xludf.DUMMYFUNCTION("GOOGLETRANSLATE(A29353,""en"",""pt"")"),"tempo de espera entre as imagens, requer baterias")</f>
        <v>tempo de espera entre as imagens, requer baterias</v>
      </c>
      <c r="B29353" s="3">
        <v>0</v>
      </c>
    </row>
    <row r="29354" ht="15.75" customHeight="1" spans="1:2">
      <c r="A29354" s="3" t="str">
        <f>IFERROR(__xludf.DUMMYFUNCTION("GOOGLETRANSLATE(A29354,""en"",""pt"")"),"opções limitadas, porta da bateria frágil, baterias come")</f>
        <v>opções limitadas, porta da bateria frágil, baterias come</v>
      </c>
      <c r="B29354" s="3">
        <v>0</v>
      </c>
    </row>
    <row r="29355" ht="15.75" customHeight="1" spans="1:2">
      <c r="A29355" s="3" t="str">
        <f>IFERROR(__xludf.DUMMYFUNCTION("GOOGLETRANSLATE(A29355,""en"",""pt"")"),"vida útil da bateria terrível. apoio pobres.")</f>
        <v>vida útil da bateria terrível. apoio pobres.</v>
      </c>
      <c r="B29355" s="3">
        <v>0</v>
      </c>
    </row>
    <row r="29356" ht="15.75" customHeight="1" spans="1:2">
      <c r="A29356" s="3" t="str">
        <f>IFERROR(__xludf.DUMMYFUNCTION("GOOGLETRANSLATE(A29356,""en"",""pt"")"),"Sem zoom, não pode obtê-lo a baixar depois de cerca de 6 meses, a tela pic extinta")</f>
        <v>Sem zoom, não pode obtê-lo a baixar depois de cerca de 6 meses, a tela pic extinta</v>
      </c>
      <c r="B29356" s="3">
        <v>0</v>
      </c>
    </row>
    <row r="29357" ht="15.75" customHeight="1" spans="1:2">
      <c r="A29357" s="3" t="str">
        <f>IFERROR(__xludf.DUMMYFUNCTION("GOOGLETRANSLATE(A29357,""en"",""pt"")"),"&amp; Lt; i &amp; gt; Polaroid &amp; lt; / i &amp; gt; não fabrica câmeras digitais.")</f>
        <v>&amp; Lt; i &amp; gt; Polaroid &amp; lt; / i &amp; gt; não fabrica câmeras digitais.</v>
      </c>
      <c r="B29357" s="3">
        <v>0</v>
      </c>
    </row>
    <row r="29358" ht="15.75" customHeight="1" spans="1:2">
      <c r="A29358" s="3" t="str">
        <f>IFERROR(__xludf.DUMMYFUNCTION("GOOGLETRANSLATE(A29358,""en"",""pt"")"),"não w / WindowsNT compatível, leva uma eternidade para aquecer entre instantâneos, baterias come, sem zoom")</f>
        <v>não w / WindowsNT compatível, leva uma eternidade para aquecer entre instantâneos, baterias come, sem zoom</v>
      </c>
      <c r="B29358" s="3">
        <v>0</v>
      </c>
    </row>
    <row r="29359" ht="15.75" customHeight="1" spans="1:2">
      <c r="A29359" s="3" t="str">
        <f>IFERROR(__xludf.DUMMYFUNCTION("GOOGLETRANSLATE(A29359,""en"",""pt"")"),"A vida da bateria, a qualidade da imagem, tamanho, peso, único cartão de 2MB de memória, sem zoom, software, interrompido")</f>
        <v>A vida da bateria, a qualidade da imagem, tamanho, peso, único cartão de 2MB de memória, sem zoom, software, interrompido</v>
      </c>
      <c r="B29359" s="3">
        <v>0</v>
      </c>
    </row>
    <row r="29360" ht="15.75" customHeight="1" spans="1:2">
      <c r="A29360" s="3" t="str">
        <f>IFERROR(__xludf.DUMMYFUNCTION("GOOGLETRANSLATE(A29360,""en"",""pt"")"),"resolução só vai até 640x480, lida apenas com 8mg cartões SmartMedia")</f>
        <v>resolução só vai até 640x480, lida apenas com 8mg cartões SmartMedia</v>
      </c>
      <c r="B29360" s="3">
        <v>0</v>
      </c>
    </row>
    <row r="29361" ht="15.75" customHeight="1" spans="1:2">
      <c r="A29361" s="3" t="str">
        <f>IFERROR(__xludf.DUMMYFUNCTION("GOOGLETRANSLATE(A29361,""en"",""pt"")"),"Usa uma grande quantidade de energia da bateria, não muito durável")</f>
        <v>Usa uma grande quantidade de energia da bateria, não muito durável</v>
      </c>
      <c r="B29361" s="3">
        <v>0</v>
      </c>
    </row>
    <row r="29362" ht="15.75" customHeight="1" spans="1:2">
      <c r="A29362" s="3" t="str">
        <f>IFERROR(__xludf.DUMMYFUNCTION("GOOGLETRANSLATE(A29362,""en"",""pt"")"),"qualidade de imagem pobre exibição")</f>
        <v>qualidade de imagem pobre exibição</v>
      </c>
      <c r="B29362" s="3">
        <v>0</v>
      </c>
    </row>
    <row r="29363" ht="15.75" customHeight="1" spans="1:2">
      <c r="A29363" s="3" t="str">
        <f>IFERROR(__xludf.DUMMYFUNCTION("GOOGLETRANSLATE(A29363,""en"",""pt"")"),"Tudo, exceto para a correia de pulso ...")</f>
        <v>Tudo, exceto para a correia de pulso ...</v>
      </c>
      <c r="B29363" s="3">
        <v>0</v>
      </c>
    </row>
    <row r="29364" ht="15.75" customHeight="1" spans="1:2">
      <c r="A29364" s="3" t="str">
        <f>IFERROR(__xludf.DUMMYFUNCTION("GOOGLETRANSLATE(A29364,""en"",""pt"")"),"Sem zoom. Sem opções criativas.")</f>
        <v>Sem zoom. Sem opções criativas.</v>
      </c>
      <c r="B29364" s="3">
        <v>0</v>
      </c>
    </row>
    <row r="29365" ht="15.75" customHeight="1" spans="1:2">
      <c r="A29365" s="3" t="str">
        <f>IFERROR(__xludf.DUMMYFUNCTION("GOOGLETRANSLATE(A29365,""en"",""pt"")"),"Teria sido bom ter um adaptador de disquete ou conectividade USB.")</f>
        <v>Teria sido bom ter um adaptador de disquete ou conectividade USB.</v>
      </c>
      <c r="B29365" s="3">
        <v>0</v>
      </c>
    </row>
    <row r="29366" ht="15.75" customHeight="1" spans="1:2">
      <c r="A29366" s="3" t="str">
        <f>IFERROR(__xludf.DUMMYFUNCTION("GOOGLETRANSLATE(A29366,""en"",""pt"")"),"poderia ser vendido w / chip de memória alta, mas nada demais")</f>
        <v>poderia ser vendido w / chip de memória alta, mas nada demais</v>
      </c>
      <c r="B29366" s="3">
        <v>0</v>
      </c>
    </row>
    <row r="29367" ht="15.75" customHeight="1" spans="1:2">
      <c r="A29367" s="3" t="str">
        <f>IFERROR(__xludf.DUMMYFUNCTION("GOOGLETRANSLATE(A29367,""en"",""pt"")"),"Ele vai deixar você querendo para uma melhor resolução")</f>
        <v>Ele vai deixar você querendo para uma melhor resolução</v>
      </c>
      <c r="B29367" s="3">
        <v>0</v>
      </c>
    </row>
    <row r="29368" ht="15.75" customHeight="1" spans="1:2">
      <c r="A29368" s="3" t="str">
        <f>IFERROR(__xludf.DUMMYFUNCTION("GOOGLETRANSLATE(A29368,""en"",""pt"")"),"o uso da bateria")</f>
        <v>o uso da bateria</v>
      </c>
      <c r="B29368" s="3">
        <v>0</v>
      </c>
    </row>
    <row r="29369" ht="15.75" customHeight="1" spans="1:2">
      <c r="A29369" s="3" t="str">
        <f>IFERROR(__xludf.DUMMYFUNCTION("GOOGLETRANSLATE(A29369,""en"",""pt"")"),"curta duração da bateria, LED ao ar livre quase inúteis")</f>
        <v>curta duração da bateria, LED ao ar livre quase inúteis</v>
      </c>
      <c r="B29369" s="3">
        <v>0</v>
      </c>
    </row>
    <row r="29370" ht="15.75" customHeight="1" spans="1:2">
      <c r="A29370" s="3" t="str">
        <f>IFERROR(__xludf.DUMMYFUNCTION("GOOGLETRANSLATE(A29370,""en"",""pt"")"),"baterias de escape muito rápido, o tempo para redefinir para o próximo tiro, vai deixar você tirar fotos sem luz suficiente e não dizer-lhe")</f>
        <v>baterias de escape muito rápido, o tempo para redefinir para o próximo tiro, vai deixar você tirar fotos sem luz suficiente e não dizer-lhe</v>
      </c>
      <c r="B29370" s="3">
        <v>0</v>
      </c>
    </row>
    <row r="29371" ht="15.75" customHeight="1" spans="1:2">
      <c r="A29371" s="3" t="str">
        <f>IFERROR(__xludf.DUMMYFUNCTION("GOOGLETRANSLATE(A29371,""en"",""pt"")"),"passa por baterias de forma rápida e cabo elétrico poderia ser maior")</f>
        <v>passa por baterias de forma rápida e cabo elétrico poderia ser maior</v>
      </c>
      <c r="B29371" s="3">
        <v>0</v>
      </c>
    </row>
    <row r="29372" ht="15.75" customHeight="1" spans="1:2">
      <c r="A29372" s="3" t="str">
        <f>IFERROR(__xludf.DUMMYFUNCTION("GOOGLETRANSLATE(A29372,""en"",""pt"")"),"Nenhum")</f>
        <v>Nenhum</v>
      </c>
      <c r="B29372" s="3">
        <v>0</v>
      </c>
    </row>
    <row r="29373" ht="15.75" customHeight="1" spans="1:2">
      <c r="A29373" s="3" t="str">
        <f>IFERROR(__xludf.DUMMYFUNCTION("GOOGLETRANSLATE(A29373,""en"",""pt"")"),"luz verde chato na janela Viewer.")</f>
        <v>luz verde chato na janela Viewer.</v>
      </c>
      <c r="B29373" s="3">
        <v>0</v>
      </c>
    </row>
    <row r="29374" ht="15.75" customHeight="1" spans="1:2">
      <c r="A29374" s="3" t="str">
        <f>IFERROR(__xludf.DUMMYFUNCTION("GOOGLETRANSLATE(A29374,""en"",""pt"")"),"ter problemas com o PC tomada de cabo bom contato")</f>
        <v>ter problemas com o PC tomada de cabo bom contato</v>
      </c>
      <c r="B29374" s="3">
        <v>0</v>
      </c>
    </row>
    <row r="29375" ht="15.75" customHeight="1" spans="1:2">
      <c r="A29375" s="3" t="str">
        <f>IFERROR(__xludf.DUMMYFUNCTION("GOOGLETRANSLATE(A29375,""en"",""pt"")"),"Melhor para fotógrafos digitais primeira vez.")</f>
        <v>Melhor para fotógrafos digitais primeira vez.</v>
      </c>
      <c r="B29375" s="3">
        <v>0</v>
      </c>
    </row>
    <row r="29376" ht="15.75" customHeight="1" spans="1:2">
      <c r="A29376" s="3" t="str">
        <f>IFERROR(__xludf.DUMMYFUNCTION("GOOGLETRANSLATE(A29376,""en"",""pt"")"),"otário bateria, não é muito resistente ao choque.")</f>
        <v>otário bateria, não é muito resistente ao choque.</v>
      </c>
      <c r="B29376" s="3">
        <v>0</v>
      </c>
    </row>
    <row r="29377" ht="15.75" customHeight="1" spans="1:2">
      <c r="A29377" s="3" t="str">
        <f>IFERROR(__xludf.DUMMYFUNCTION("GOOGLETRANSLATE(A29377,""en"",""pt"")"),"nenhuma USB")</f>
        <v>nenhuma USB</v>
      </c>
      <c r="B29377" s="3">
        <v>0</v>
      </c>
    </row>
    <row r="29378" ht="15.75" customHeight="1" spans="1:2">
      <c r="A29378" s="3" t="str">
        <f>IFERROR(__xludf.DUMMYFUNCTION("GOOGLETRANSLATE(A29378,""en"",""pt"")"),"No recurso de zoom")</f>
        <v>No recurso de zoom</v>
      </c>
      <c r="B29378" s="3">
        <v>0</v>
      </c>
    </row>
    <row r="29379" ht="15.75" customHeight="1" spans="1:2">
      <c r="A29379" s="3" t="str">
        <f>IFERROR(__xludf.DUMMYFUNCTION("GOOGLETRANSLATE(A29379,""en"",""pt"")"),"Drenos baterias rapidamente")</f>
        <v>Drenos baterias rapidamente</v>
      </c>
      <c r="B29379" s="3">
        <v>0</v>
      </c>
    </row>
    <row r="29380" ht="15.75" customHeight="1" spans="1:2">
      <c r="A29380" s="3" t="str">
        <f>IFERROR(__xludf.DUMMYFUNCTION("GOOGLETRANSLATE(A29380,""en"",""pt"")"),"nada!")</f>
        <v>nada!</v>
      </c>
      <c r="B29380" s="3">
        <v>0</v>
      </c>
    </row>
    <row r="29381" ht="15.75" customHeight="1" spans="1:2">
      <c r="A29381" s="3" t="str">
        <f>IFERROR(__xludf.DUMMYFUNCTION("GOOGLETRANSLATE(A29381,""en"",""pt"")"),"pobre vida útil da bateria; qualidade de imagem é média")</f>
        <v>pobre vida útil da bateria; qualidade de imagem é média</v>
      </c>
      <c r="B29381" s="3">
        <v>0</v>
      </c>
    </row>
    <row r="29382" ht="15.75" customHeight="1" spans="1:2">
      <c r="A29382" s="3" t="str">
        <f>IFERROR(__xludf.DUMMYFUNCTION("GOOGLETRANSLATE(A29382,""en"",""pt"")"),"12")</f>
        <v>12</v>
      </c>
      <c r="B29382" s="3">
        <v>0</v>
      </c>
    </row>
    <row r="29383" ht="15.75" customHeight="1" spans="1:2">
      <c r="A29383" s="3" t="str">
        <f>IFERROR(__xludf.DUMMYFUNCTION("GOOGLETRANSLATE(A29383,""en"",""pt"")"),"Nenhum")</f>
        <v>Nenhum</v>
      </c>
      <c r="B29383" s="3">
        <v>0</v>
      </c>
    </row>
    <row r="29384" ht="15.75" customHeight="1" spans="1:2">
      <c r="A29384" s="3" t="str">
        <f>IFERROR(__xludf.DUMMYFUNCTION("GOOGLETRANSLATE(A29384,""en"",""pt"")"),"Bad flash")</f>
        <v>Bad flash</v>
      </c>
      <c r="B29384" s="3">
        <v>0</v>
      </c>
    </row>
    <row r="29385" ht="15.75" customHeight="1" spans="1:2">
      <c r="A29385" s="3" t="str">
        <f>IFERROR(__xludf.DUMMYFUNCTION("GOOGLETRANSLATE(A29385,""en"",""pt"")"),"conexão USB necessário")</f>
        <v>conexão USB necessário</v>
      </c>
      <c r="B29385" s="3">
        <v>0</v>
      </c>
    </row>
    <row r="29386" ht="15.75" customHeight="1" spans="1:2">
      <c r="A29386" s="3" t="str">
        <f>IFERROR(__xludf.DUMMYFUNCTION("GOOGLETRANSLATE(A29386,""en"",""pt"")"),"NO ZOOM?")</f>
        <v>NO ZOOM?</v>
      </c>
      <c r="B29386" s="3">
        <v>0</v>
      </c>
    </row>
    <row r="29387" ht="15.75" customHeight="1" spans="1:2">
      <c r="A29387" s="3" t="str">
        <f>IFERROR(__xludf.DUMMYFUNCTION("GOOGLETRANSLATE(A29387,""en"",""pt"")"),"Nenhum")</f>
        <v>Nenhum</v>
      </c>
      <c r="B29387" s="3">
        <v>0</v>
      </c>
    </row>
    <row r="29388" ht="15.75" customHeight="1" spans="1:2">
      <c r="A29388" s="3" t="str">
        <f>IFERROR(__xludf.DUMMYFUNCTION("GOOGLETRANSLATE(A29388,""en"",""pt"")"),"nenhum foco automático, display LCD e controles complicado de usar")</f>
        <v>nenhum foco automático, display LCD e controles complicado de usar</v>
      </c>
      <c r="B29388" s="3">
        <v>0</v>
      </c>
    </row>
    <row r="29389" ht="15.75" customHeight="1" spans="1:2">
      <c r="A29389" s="3" t="str">
        <f>IFERROR(__xludf.DUMMYFUNCTION("GOOGLETRANSLATE(A29389,""en"",""pt"")"),"bateria de vida")</f>
        <v>bateria de vida</v>
      </c>
      <c r="B29389" s="3">
        <v>0</v>
      </c>
    </row>
    <row r="29390" ht="15.75" customHeight="1" spans="1:2">
      <c r="A29390" s="3" t="str">
        <f>IFERROR(__xludf.DUMMYFUNCTION("GOOGLETRANSLATE(A29390,""en"",""pt"")"),"drenos baterias, botão 'obturador' parece errado colocado")</f>
        <v>drenos baterias, botão 'obturador' parece errado colocado</v>
      </c>
      <c r="B29390" s="3">
        <v>0</v>
      </c>
    </row>
    <row r="29391" ht="15.75" customHeight="1" spans="1:2">
      <c r="A29391" s="3" t="str">
        <f>IFERROR(__xludf.DUMMYFUNCTION("GOOGLETRANSLATE(A29391,""en"",""pt"")"),"tempo de download pouco demorado, a substituição da bateria constante ...")</f>
        <v>tempo de download pouco demorado, a substituição da bateria constante ...</v>
      </c>
      <c r="B29391" s="3">
        <v>0</v>
      </c>
    </row>
    <row r="29392" ht="15.75" customHeight="1" spans="1:2">
      <c r="A29392" s="3" t="str">
        <f>IFERROR(__xludf.DUMMYFUNCTION("GOOGLETRANSLATE(A29392,""en"",""pt"")"),"Para total facilidade de uso que você pode querer o adaptador de memória Verbatim opcional.")</f>
        <v>Para total facilidade de uso que você pode querer o adaptador de memória Verbatim opcional.</v>
      </c>
      <c r="B29392" s="3">
        <v>0</v>
      </c>
    </row>
    <row r="29393" ht="15.75" customHeight="1" spans="1:2">
      <c r="A29393" s="3" t="str">
        <f>IFERROR(__xludf.DUMMYFUNCTION("GOOGLETRANSLATE(A29393,""en"",""pt"")"),"quantidade de produto mais barato do que deve ser vendido. Deveria ter sido rotulado 'alpha' ou 'beta', pelo menos")</f>
        <v>quantidade de produto mais barato do que deve ser vendido. Deveria ter sido rotulado 'alpha' ou 'beta', pelo menos</v>
      </c>
      <c r="B29393" s="3">
        <v>0</v>
      </c>
    </row>
    <row r="29394" ht="15.75" customHeight="1" spans="1:2">
      <c r="A29394" s="3" t="str">
        <f>IFERROR(__xludf.DUMMYFUNCTION("GOOGLETRANSLATE(A29394,""en"",""pt"")"),"PROGRAMAS")</f>
        <v>PROGRAMAS</v>
      </c>
      <c r="B29394" s="3">
        <v>0</v>
      </c>
    </row>
    <row r="29395" ht="15.75" customHeight="1" spans="1:2">
      <c r="A29395" s="3" t="str">
        <f>IFERROR(__xludf.DUMMYFUNCTION("GOOGLETRANSLATE(A29395,""en"",""pt"")"),"Precisa de uma atualização de software ... em breve")</f>
        <v>Precisa de uma atualização de software ... em breve</v>
      </c>
      <c r="B29395" s="3">
        <v>0</v>
      </c>
    </row>
    <row r="29396" ht="15.75" customHeight="1" spans="1:2">
      <c r="A29396" s="3" t="str">
        <f>IFERROR(__xludf.DUMMYFUNCTION("GOOGLETRANSLATE(A29396,""en"",""pt"")"),"nenhum no momento")</f>
        <v>nenhum no momento</v>
      </c>
      <c r="B29396" s="3">
        <v>0</v>
      </c>
    </row>
    <row r="29397" ht="15.75" customHeight="1" spans="1:2">
      <c r="A29397" s="3" t="str">
        <f>IFERROR(__xludf.DUMMYFUNCTION("GOOGLETRANSLATE(A29397,""en"",""pt"")"),"nenhum ainda")</f>
        <v>nenhum ainda</v>
      </c>
      <c r="B29397" s="3">
        <v>0</v>
      </c>
    </row>
    <row r="29398" ht="15.75" customHeight="1" spans="1:2">
      <c r="A29398" s="3" t="str">
        <f>IFERROR(__xludf.DUMMYFUNCTION("GOOGLETRANSLATE(A29398,""en"",""pt"")"),"necessidades manuais algumas melhorias.")</f>
        <v>necessidades manuais algumas melhorias.</v>
      </c>
      <c r="B29398" s="3">
        <v>0</v>
      </c>
    </row>
    <row r="29399" ht="15.75" customHeight="1" spans="1:2">
      <c r="A29399" s="3" t="str">
        <f>IFERROR(__xludf.DUMMYFUNCTION("GOOGLETRANSLATE(A29399,""en"",""pt"")"),"come pilhas AA como um louco")</f>
        <v>come pilhas AA como um louco</v>
      </c>
      <c r="B29399" s="3">
        <v>0</v>
      </c>
    </row>
    <row r="29400" ht="15.75" customHeight="1" spans="1:2">
      <c r="A29400" s="3" t="str">
        <f>IFERROR(__xludf.DUMMYFUNCTION("GOOGLETRANSLATE(A29400,""en"",""pt"")"),"Nenhum")</f>
        <v>Nenhum</v>
      </c>
      <c r="B29400" s="3">
        <v>0</v>
      </c>
    </row>
    <row r="29401" ht="15.75" customHeight="1" spans="1:2">
      <c r="A29401" s="3" t="str">
        <f>IFERROR(__xludf.DUMMYFUNCTION("GOOGLETRANSLATE(A29401,""en"",""pt"")"),"a luz verde está em meu olho")</f>
        <v>a luz verde está em meu olho</v>
      </c>
      <c r="B29401" s="3">
        <v>0</v>
      </c>
    </row>
    <row r="29402" ht="15.75" customHeight="1" spans="1:2">
      <c r="A29402" s="3" t="str">
        <f>IFERROR(__xludf.DUMMYFUNCTION("GOOGLETRANSLATE(A29402,""en"",""pt"")"),"drena as baterias, as imagens podem ficar &amp; amp; quot; perdido &amp; amp; quot; no disco rígido usando o software que acompanha")</f>
        <v>drena as baterias, as imagens podem ficar &amp; amp; quot; perdido &amp; amp; quot; no disco rígido usando o software que acompanha</v>
      </c>
      <c r="B29402" s="3">
        <v>0</v>
      </c>
    </row>
    <row r="29403" ht="15.75" customHeight="1" spans="1:2">
      <c r="A29403" s="3" t="str">
        <f>IFERROR(__xludf.DUMMYFUNCTION("GOOGLETRANSLATE(A29403,""en"",""pt"")"),"apenas 2 meg Flash Card, come baterias")</f>
        <v>apenas 2 meg Flash Card, come baterias</v>
      </c>
      <c r="B29403" s="3">
        <v>0</v>
      </c>
    </row>
    <row r="29404" ht="15.75" customHeight="1" spans="1:2">
      <c r="A29404" s="3" t="str">
        <f>IFERROR(__xludf.DUMMYFUNCTION("GOOGLETRANSLATE(A29404,""en"",""pt"")"),"Sem problemas de zoom e de software")</f>
        <v>Sem problemas de zoom e de software</v>
      </c>
      <c r="B29404" s="3">
        <v>0</v>
      </c>
    </row>
    <row r="29405" ht="15.75" customHeight="1" spans="1:2">
      <c r="A29405" s="3" t="str">
        <f>IFERROR(__xludf.DUMMYFUNCTION("GOOGLETRANSLATE(A29405,""en"",""pt"")"),"Difícil de software uso, visor óptico imprecisas")</f>
        <v>Difícil de software uso, visor óptico imprecisas</v>
      </c>
      <c r="B29405" s="3">
        <v>0</v>
      </c>
    </row>
    <row r="29406" ht="15.75" customHeight="1" spans="1:2">
      <c r="A29406" s="3" t="str">
        <f>IFERROR(__xludf.DUMMYFUNCTION("GOOGLETRANSLATE(A29406,""en"",""pt"")"),"a falta de resolução em ampliações")</f>
        <v>a falta de resolução em ampliações</v>
      </c>
      <c r="B29406" s="3">
        <v>0</v>
      </c>
    </row>
    <row r="29407" ht="15.75" customHeight="1" spans="1:2">
      <c r="A29407" s="3" t="str">
        <f>IFERROR(__xludf.DUMMYFUNCTION("GOOGLETRANSLATE(A29407,""en"",""pt"")"),"A vida da bateria")</f>
        <v>A vida da bateria</v>
      </c>
      <c r="B29407" s="3">
        <v>0</v>
      </c>
    </row>
    <row r="29408" ht="15.75" customHeight="1" spans="1:2">
      <c r="A29408" s="3" t="str">
        <f>IFERROR(__xludf.DUMMYFUNCTION("GOOGLETRANSLATE(A29408,""en"",""pt"")"),"cor desbota câmera")</f>
        <v>cor desbota câmera</v>
      </c>
      <c r="B29408" s="3">
        <v>0</v>
      </c>
    </row>
    <row r="29409" ht="15.75" customHeight="1" spans="1:2">
      <c r="A29409" s="3" t="str">
        <f>IFERROR(__xludf.DUMMYFUNCTION("GOOGLETRANSLATE(A29409,""en"",""pt"")"),"apenas 12 fotos quando usando alta qualidade")</f>
        <v>apenas 12 fotos quando usando alta qualidade</v>
      </c>
      <c r="B29409" s="3">
        <v>0</v>
      </c>
    </row>
    <row r="29410" ht="15.75" customHeight="1" spans="1:2">
      <c r="A29410" s="3" t="str">
        <f>IFERROR(__xludf.DUMMYFUNCTION("GOOGLETRANSLATE(A29410,""en"",""pt"")"),"Confiabilidade")</f>
        <v>Confiabilidade</v>
      </c>
      <c r="B29410" s="3">
        <v>0</v>
      </c>
    </row>
    <row r="29411" ht="15.75" customHeight="1" spans="1:2">
      <c r="A29411" s="3" t="str">
        <f>IFERROR(__xludf.DUMMYFUNCTION("GOOGLETRANSLATE(A29411,""en"",""pt"")"),"user bateria constante")</f>
        <v>user bateria constante</v>
      </c>
      <c r="B29411" s="3">
        <v>0</v>
      </c>
    </row>
    <row r="29412" ht="15.75" customHeight="1" spans="1:2">
      <c r="A29412" s="3" t="str">
        <f>IFERROR(__xludf.DUMMYFUNCTION("GOOGLETRANSLATE(A29412,""en"",""pt"")"),"As imagens não tão clara como eu já vi de outras câmeras.")</f>
        <v>As imagens não tão clara como eu já vi de outras câmeras.</v>
      </c>
      <c r="B29412" s="3">
        <v>0</v>
      </c>
    </row>
    <row r="29413" ht="15.75" customHeight="1" spans="1:2">
      <c r="A29413" s="3" t="str">
        <f>IFERROR(__xludf.DUMMYFUNCTION("GOOGLETRANSLATE(A29413,""en"",""pt"")"),"Qualidade da foto")</f>
        <v>Qualidade da foto</v>
      </c>
      <c r="B29413" s="3">
        <v>0</v>
      </c>
    </row>
    <row r="29414" ht="15.75" customHeight="1" spans="1:2">
      <c r="A29414" s="3" t="str">
        <f>IFERROR(__xludf.DUMMYFUNCTION("GOOGLETRANSLATE(A29414,""en"",""pt"")"),"Excelente para o envio de fotos da família para outros membros da família em todo o país. E ele permite que você a fazê-lo em questão de minutos, a partir do momento que você agarre sua imagem para o tempo que você enviar e-mail para fora.")</f>
        <v>Excelente para o envio de fotos da família para outros membros da família em todo o país. E ele permite que você a fazê-lo em questão de minutos, a partir do momento que você agarre sua imagem para o tempo que você enviar e-mail para fora.</v>
      </c>
      <c r="B29414" s="3">
        <v>0</v>
      </c>
    </row>
    <row r="29415" ht="15.75" customHeight="1" spans="1:2">
      <c r="A29415" s="3" t="str">
        <f>IFERROR(__xludf.DUMMYFUNCTION("GOOGLETRANSLATE(A29415,""en"",""pt"")"),"Honestamente não encontrei nenhum")</f>
        <v>Honestamente não encontrei nenhum</v>
      </c>
      <c r="B29415" s="3">
        <v>0</v>
      </c>
    </row>
    <row r="29416" ht="15.75" customHeight="1" spans="1:2">
      <c r="A29416" s="3" t="str">
        <f>IFERROR(__xludf.DUMMYFUNCTION("GOOGLETRANSLATE(A29416,""en"",""pt"")"),"não consegue encontrar qualquer contras")</f>
        <v>não consegue encontrar qualquer contras</v>
      </c>
      <c r="B29416" s="3">
        <v>0</v>
      </c>
    </row>
    <row r="29417" ht="15.75" customHeight="1" spans="1:2">
      <c r="A29417" s="3" t="str">
        <f>IFERROR(__xludf.DUMMYFUNCTION("GOOGLETRANSLATE(A29417,""en"",""pt"")"),"conexão sem Macintosh.")</f>
        <v>conexão sem Macintosh.</v>
      </c>
      <c r="B29417" s="3">
        <v>0</v>
      </c>
    </row>
    <row r="29418" ht="15.75" customHeight="1" spans="1:2">
      <c r="A29418" s="3" t="str">
        <f>IFERROR(__xludf.DUMMYFUNCTION("GOOGLETRANSLATE(A29418,""en"",""pt"")"),"Quando a transferência de fotos a partir do programa Polaroid para outro programa, as imagens acabam com manchas brancas. Eu aprendi a apenas fazer o download diretamente da câmera em cada programa, os resultados são melhores!")</f>
        <v>Quando a transferência de fotos a partir do programa Polaroid para outro programa, as imagens acabam com manchas brancas. Eu aprendi a apenas fazer o download diretamente da câmera em cada programa, os resultados são melhores!</v>
      </c>
      <c r="B29418" s="3">
        <v>0</v>
      </c>
    </row>
    <row r="29419" ht="15.75" customHeight="1" spans="1:2">
      <c r="A29419" s="3" t="str">
        <f>IFERROR(__xludf.DUMMYFUNCTION("GOOGLETRANSLATE(A29419,""en"",""pt"")"),"Problemas com conexão direta ao computador")</f>
        <v>Problemas com conexão direta ao computador</v>
      </c>
      <c r="B29419" s="3">
        <v>0</v>
      </c>
    </row>
    <row r="29420" ht="15.75" customHeight="1" spans="1:2">
      <c r="A29420" s="3" t="str">
        <f>IFERROR(__xludf.DUMMYFUNCTION("GOOGLETRANSLATE(A29420,""en"",""pt"")"),"software So-so, de baixa resolução")</f>
        <v>software So-so, de baixa resolução</v>
      </c>
      <c r="B29420" s="3">
        <v>0</v>
      </c>
    </row>
    <row r="29421" ht="15.75" customHeight="1" spans="1:2">
      <c r="A29421" s="3" t="str">
        <f>IFERROR(__xludf.DUMMYFUNCTION("GOOGLETRANSLATE(A29421,""en"",""pt"")"),"sem zoom")</f>
        <v>sem zoom</v>
      </c>
      <c r="B29421" s="3">
        <v>0</v>
      </c>
    </row>
    <row r="29422" ht="15.75" customHeight="1" spans="1:2">
      <c r="A29422" s="3" t="str">
        <f>IFERROR(__xludf.DUMMYFUNCTION("GOOGLETRANSLATE(A29422,""en"",""pt"")"),"custa mais de reg. Câmera")</f>
        <v>custa mais de reg. Câmera</v>
      </c>
      <c r="B29422" s="3">
        <v>0</v>
      </c>
    </row>
    <row r="29423" ht="15.75" customHeight="1" spans="1:2">
      <c r="A29423" s="3" t="str">
        <f>IFERROR(__xludf.DUMMYFUNCTION("GOOGLETRANSLATE(A29423,""en"",""pt"")"),"luz verde no visor")</f>
        <v>luz verde no visor</v>
      </c>
      <c r="B29423" s="3">
        <v>0</v>
      </c>
    </row>
    <row r="29424" ht="15.75" customHeight="1" spans="1:2">
      <c r="A29424" s="3" t="str">
        <f>IFERROR(__xludf.DUMMYFUNCTION("GOOGLETRANSLATE(A29424,""en"",""pt"")"),"não")</f>
        <v>não</v>
      </c>
      <c r="B29424" s="3">
        <v>0</v>
      </c>
    </row>
    <row r="29425" ht="15.75" customHeight="1" spans="1:2">
      <c r="A29425" s="3" t="str">
        <f>IFERROR(__xludf.DUMMYFUNCTION("GOOGLETRANSLATE(A29425,""en"",""pt"")"),"Sem zoom")</f>
        <v>Sem zoom</v>
      </c>
      <c r="B29425" s="3">
        <v>0</v>
      </c>
    </row>
    <row r="29426" ht="15.75" customHeight="1" spans="1:2">
      <c r="A29426" s="3" t="s">
        <v>162</v>
      </c>
      <c r="B29426" s="3">
        <v>0</v>
      </c>
    </row>
    <row r="29427" ht="15.75" customHeight="1" spans="1:2">
      <c r="A29427" s="3" t="str">
        <f>IFERROR(__xludf.DUMMYFUNCTION("GOOGLETRANSLATE(A29427,""en"",""pt"")"),"vida útil da bateria é curta")</f>
        <v>vida útil da bateria é curta</v>
      </c>
      <c r="B29427" s="3">
        <v>0</v>
      </c>
    </row>
    <row r="29428" ht="15.75" customHeight="1" spans="1:2">
      <c r="A29428" s="3" t="str">
        <f>IFERROR(__xludf.DUMMYFUNCTION("GOOGLETRANSLATE(A29428,""en"",""pt"")"),"Interior não fotos sempre o melhor.")</f>
        <v>Interior não fotos sempre o melhor.</v>
      </c>
      <c r="B29428" s="3">
        <v>0</v>
      </c>
    </row>
    <row r="29429" ht="15.75" customHeight="1" spans="1:2">
      <c r="A29429" s="3" t="str">
        <f>IFERROR(__xludf.DUMMYFUNCTION("GOOGLETRANSLATE(A29429,""en"",""pt"")"),"No recurso de zoom")</f>
        <v>No recurso de zoom</v>
      </c>
      <c r="B29429" s="3">
        <v>0</v>
      </c>
    </row>
    <row r="29430" ht="15.75" customHeight="1" spans="1:2">
      <c r="A29430" s="3" t="str">
        <f>IFERROR(__xludf.DUMMYFUNCTION("GOOGLETRANSLATE(A29430,""en"",""pt"")"),"Sem auto-foco, sem zoom, apenas 3 ajustes de foco, suga baterias.")</f>
        <v>Sem auto-foco, sem zoom, apenas 3 ajustes de foco, suga baterias.</v>
      </c>
      <c r="B29430" s="3">
        <v>0</v>
      </c>
    </row>
    <row r="29431" ht="15.75" customHeight="1" spans="1:2">
      <c r="A29431" s="3" t="str">
        <f>IFERROR(__xludf.DUMMYFUNCTION("GOOGLETRANSLATE(A29431,""en"",""pt"")"),"Teve um tempo difícil em descobrir como usar auto-timer.")</f>
        <v>Teve um tempo difícil em descobrir como usar auto-timer.</v>
      </c>
      <c r="B29431" s="3">
        <v>0</v>
      </c>
    </row>
    <row r="29432" ht="15.75" customHeight="1" spans="1:2">
      <c r="A29432" s="3" t="str">
        <f>IFERROR(__xludf.DUMMYFUNCTION("GOOGLETRANSLATE(A29432,""en"",""pt"")"),"muitos botões confusos")</f>
        <v>muitos botões confusos</v>
      </c>
      <c r="B29432" s="3">
        <v>0</v>
      </c>
    </row>
    <row r="29433" ht="15.75" customHeight="1" spans="1:2">
      <c r="A29433" s="3" t="s">
        <v>163</v>
      </c>
      <c r="B29433" s="3">
        <v>0</v>
      </c>
    </row>
    <row r="29434" ht="15.75" customHeight="1" spans="1:2">
      <c r="A29434" s="3" t="str">
        <f>IFERROR(__xludf.DUMMYFUNCTION("GOOGLETRANSLATE(A29434,""en"",""pt"")"),"software Photomax pode ter problemas")</f>
        <v>software Photomax pode ter problemas</v>
      </c>
      <c r="B29434" s="3">
        <v>0</v>
      </c>
    </row>
    <row r="29435" ht="15.75" customHeight="1" spans="1:2">
      <c r="A29435" s="3" t="str">
        <f>IFERROR(__xludf.DUMMYFUNCTION("GOOGLETRANSLATE(A29435,""en"",""pt"")"),"baterias não duram muito tempo")</f>
        <v>baterias não duram muito tempo</v>
      </c>
      <c r="B29435" s="3">
        <v>0</v>
      </c>
    </row>
    <row r="29436" ht="15.75" customHeight="1" spans="1:2">
      <c r="A29436" s="3" t="str">
        <f>IFERROR(__xludf.DUMMYFUNCTION("GOOGLETRANSLATE(A29436,""en"",""pt"")"),"falta de opções")</f>
        <v>falta de opções</v>
      </c>
      <c r="B29436" s="3">
        <v>0</v>
      </c>
    </row>
    <row r="29437" ht="15.75" customHeight="1" spans="1:2">
      <c r="A29437" s="3" t="str">
        <f>IFERROR(__xludf.DUMMYFUNCTION("GOOGLETRANSLATE(A29437,""en"",""pt"")"),"cartão de memória em vez de armazenamento de disco flexível")</f>
        <v>cartão de memória em vez de armazenamento de disco flexível</v>
      </c>
      <c r="B29437" s="3">
        <v>0</v>
      </c>
    </row>
    <row r="29438" ht="15.75" customHeight="1" spans="1:2">
      <c r="A29438" s="3" t="str">
        <f>IFERROR(__xludf.DUMMYFUNCTION("GOOGLETRANSLATE(A29438,""en"",""pt"")"),"Nenhum encontrado ainda!")</f>
        <v>Nenhum encontrado ainda!</v>
      </c>
      <c r="B29438" s="3">
        <v>0</v>
      </c>
    </row>
    <row r="29439" ht="15.75" customHeight="1" spans="1:2">
      <c r="A29439" s="3" t="str">
        <f>IFERROR(__xludf.DUMMYFUNCTION("GOOGLETRANSLATE(A29439,""en"",""pt"")"),"8MB de memória max, suporte técnico")</f>
        <v>8MB de memória max, suporte técnico</v>
      </c>
      <c r="B29439" s="3">
        <v>0</v>
      </c>
    </row>
    <row r="29440" ht="15.75" customHeight="1" spans="1:2">
      <c r="A29440" s="3" t="str">
        <f>IFERROR(__xludf.DUMMYFUNCTION("GOOGLETRANSLATE(A29440,""en"",""pt"")"),"Nenhum")</f>
        <v>Nenhum</v>
      </c>
      <c r="B29440" s="3">
        <v>0</v>
      </c>
    </row>
    <row r="29441" ht="15.75" customHeight="1" spans="1:2">
      <c r="A29441" s="3" t="str">
        <f>IFERROR(__xludf.DUMMYFUNCTION("GOOGLETRANSLATE(A29441,""en"",""pt"")"),"Nós nunca usa mais o nosso 35 mm.")</f>
        <v>Nós nunca usa mais o nosso 35 mm.</v>
      </c>
      <c r="B29441" s="3">
        <v>0</v>
      </c>
    </row>
    <row r="29442" ht="15.75" customHeight="1" spans="1:2">
      <c r="A29442" s="3" t="str">
        <f>IFERROR(__xludf.DUMMYFUNCTION("GOOGLETRANSLATE(A29442,""en"",""pt"")"),"Nenhum")</f>
        <v>Nenhum</v>
      </c>
      <c r="B29442" s="3">
        <v>0</v>
      </c>
    </row>
    <row r="29443" ht="15.75" customHeight="1" spans="1:2">
      <c r="A29443" s="3" t="str">
        <f>IFERROR(__xludf.DUMMYFUNCTION("GOOGLETRANSLATE(A29443,""en"",""pt"")"),"Passa por baterias, como nada que eu já vi e o software poderia ser um pouco mais amigável.")</f>
        <v>Passa por baterias, como nada que eu já vi e o software poderia ser um pouco mais amigável.</v>
      </c>
      <c r="B29443" s="3">
        <v>0</v>
      </c>
    </row>
    <row r="29444" ht="15.75" customHeight="1" spans="1:2">
      <c r="A29444" s="3" t="str">
        <f>IFERROR(__xludf.DUMMYFUNCTION("GOOGLETRANSLATE(A29444,""en"",""pt"")"),"sem zoom, cartão de memória pequeno")</f>
        <v>sem zoom, cartão de memória pequeno</v>
      </c>
      <c r="B29444" s="3">
        <v>0</v>
      </c>
    </row>
    <row r="29445" ht="15.75" customHeight="1" spans="1:2">
      <c r="A29445" s="3" t="str">
        <f>IFERROR(__xludf.DUMMYFUNCTION("GOOGLETRANSLATE(A29445,""en"",""pt"")"),"baterias come")</f>
        <v>baterias come</v>
      </c>
      <c r="B29445" s="3">
        <v>0</v>
      </c>
    </row>
    <row r="29446" ht="15.75" customHeight="1" spans="1:2">
      <c r="A29446" s="3" t="str">
        <f>IFERROR(__xludf.DUMMYFUNCTION("GOOGLETRANSLATE(A29446,""en"",""pt"")"),"usa pilhas rápido, mas pode ser corrigido usando adaptador de alimentação e cabo de extensão.")</f>
        <v>usa pilhas rápido, mas pode ser corrigido usando adaptador de alimentação e cabo de extensão.</v>
      </c>
      <c r="B29446" s="3">
        <v>0</v>
      </c>
    </row>
    <row r="29447" ht="15.75" customHeight="1" spans="1:2">
      <c r="A29447" s="3" t="str">
        <f>IFERROR(__xludf.DUMMYFUNCTION("GOOGLETRANSLATE(A29447,""en"",""pt"")"),"comedor da bateria, programa hooky")</f>
        <v>comedor da bateria, programa hooky</v>
      </c>
      <c r="B29447" s="3">
        <v>0</v>
      </c>
    </row>
    <row r="29448" ht="15.75" customHeight="1" spans="1:2">
      <c r="A29448" s="3" t="str">
        <f>IFERROR(__xludf.DUMMYFUNCTION("GOOGLETRANSLATE(A29448,""en"",""pt"")"),"impressões dispendiosas, comedor de Bateria")</f>
        <v>impressões dispendiosas, comedor de Bateria</v>
      </c>
      <c r="B29448" s="3">
        <v>0</v>
      </c>
    </row>
    <row r="29449" ht="15.75" customHeight="1" spans="1:2">
      <c r="A29449" s="3" t="str">
        <f>IFERROR(__xludf.DUMMYFUNCTION("GOOGLETRANSLATE(A29449,""en"",""pt"")"),"não é bom para fotos de interior, sem zoom ou lense ajustes")</f>
        <v>não é bom para fotos de interior, sem zoom ou lense ajustes</v>
      </c>
      <c r="B29449" s="3">
        <v>0</v>
      </c>
    </row>
    <row r="29450" ht="15.75" customHeight="1" spans="1:2">
      <c r="A29450" s="3" t="str">
        <f>IFERROR(__xludf.DUMMYFUNCTION("GOOGLETRANSLATE(A29450,""en"",""pt"")"),"pobres fotos dos quartos, fotos mínimos")</f>
        <v>pobres fotos dos quartos, fotos mínimos</v>
      </c>
      <c r="B29450" s="3">
        <v>0</v>
      </c>
    </row>
    <row r="29451" ht="15.75" customHeight="1" spans="1:2">
      <c r="A29451" s="3" t="str">
        <f>IFERROR(__xludf.DUMMYFUNCTION("GOOGLETRANSLATE(A29451,""en"",""pt"")"),"As imagens são, ocasionalmente, de qualidade questionável")</f>
        <v>As imagens são, ocasionalmente, de qualidade questionável</v>
      </c>
      <c r="B29451" s="3">
        <v>0</v>
      </c>
    </row>
    <row r="29452" ht="15.75" customHeight="1" spans="1:2">
      <c r="A29452" s="3" t="str">
        <f>IFERROR(__xludf.DUMMYFUNCTION("GOOGLETRANSLATE(A29452,""en"",""pt"")"),"mata baterias muito rápido")</f>
        <v>mata baterias muito rápido</v>
      </c>
      <c r="B29452" s="3">
        <v>0</v>
      </c>
    </row>
    <row r="29453" ht="15.75" customHeight="1" spans="1:2">
      <c r="A29453" s="3" t="str">
        <f>IFERROR(__xludf.DUMMYFUNCTION("GOOGLETRANSLATE(A29453,""en"",""pt"")"),"reação tardia no botão")</f>
        <v>reação tardia no botão</v>
      </c>
      <c r="B29453" s="3">
        <v>0</v>
      </c>
    </row>
    <row r="29454" ht="15.75" customHeight="1" spans="1:2">
      <c r="A29454" s="3" t="str">
        <f>IFERROR(__xludf.DUMMYFUNCTION("GOOGLETRANSLATE(A29454,""en"",""pt"")"),"Nenhum")</f>
        <v>Nenhum</v>
      </c>
      <c r="B29454" s="3">
        <v>0</v>
      </c>
    </row>
    <row r="29455" ht="15.75" customHeight="1" spans="1:2">
      <c r="A29455" s="3" t="str">
        <f>IFERROR(__xludf.DUMMYFUNCTION("GOOGLETRANSLATE(A29455,""en"",""pt"")"),"Difícil em baterias")</f>
        <v>Difícil em baterias</v>
      </c>
      <c r="B29455" s="3">
        <v>0</v>
      </c>
    </row>
    <row r="29456" ht="15.75" customHeight="1" spans="1:2">
      <c r="A29456" s="3" t="str">
        <f>IFERROR(__xludf.DUMMYFUNCTION("GOOGLETRANSLATE(A29456,""en"",""pt"")"),"Nenhum ainda")</f>
        <v>Nenhum ainda</v>
      </c>
      <c r="B29456" s="3">
        <v>0</v>
      </c>
    </row>
    <row r="29457" ht="15.75" customHeight="1" spans="1:2">
      <c r="A29457" s="3" t="str">
        <f>IFERROR(__xludf.DUMMYFUNCTION("GOOGLETRANSLATE(A29457,""en"",""pt"")"),"Sem zoom.")</f>
        <v>Sem zoom.</v>
      </c>
      <c r="B29457" s="3">
        <v>0</v>
      </c>
    </row>
    <row r="29458" ht="15.75" customHeight="1" spans="1:2">
      <c r="A29458" s="3" t="str">
        <f>IFERROR(__xludf.DUMMYFUNCTION("GOOGLETRANSLATE(A29458,""en"",""pt"")"),"Não o suficiente pixels para usar para impressas as imagens")</f>
        <v>Não o suficiente pixels para usar para impressas as imagens</v>
      </c>
      <c r="B29458" s="3">
        <v>0</v>
      </c>
    </row>
    <row r="29459" ht="15.75" customHeight="1" spans="1:2">
      <c r="A29459" s="3" t="str">
        <f>IFERROR(__xludf.DUMMYFUNCTION("GOOGLETRANSLATE(A29459,""en"",""pt"")"),"Nenhum disco para download no e passa por baterias rápido.")</f>
        <v>Nenhum disco para download no e passa por baterias rápido.</v>
      </c>
      <c r="B29459" s="3">
        <v>0</v>
      </c>
    </row>
    <row r="29460" ht="15.75" customHeight="1" spans="1:2">
      <c r="A29460" s="3" t="str">
        <f>IFERROR(__xludf.DUMMYFUNCTION("GOOGLETRANSLATE(A29460,""en"",""pt"")"),"Não é verdade qualidade fotográfica")</f>
        <v>Não é verdade qualidade fotográfica</v>
      </c>
      <c r="B29460" s="3">
        <v>0</v>
      </c>
    </row>
    <row r="29461" ht="15.75" customHeight="1" spans="1:2">
      <c r="A29461" s="3" t="str">
        <f>IFERROR(__xludf.DUMMYFUNCTION("GOOGLETRANSLATE(A29461,""en"",""pt"")"),"Nenhum")</f>
        <v>Nenhum</v>
      </c>
      <c r="B29461" s="3">
        <v>0</v>
      </c>
    </row>
    <row r="29462" ht="15.75" customHeight="1" spans="1:2">
      <c r="A29462" s="3" t="str">
        <f>IFERROR(__xludf.DUMMYFUNCTION("GOOGLETRANSLATE(A29462,""en"",""pt"")"),"Nenhum")</f>
        <v>Nenhum</v>
      </c>
      <c r="B29462" s="3">
        <v>0</v>
      </c>
    </row>
    <row r="29463" ht="15.75" customHeight="1" spans="1:2">
      <c r="A29463" s="3" t="str">
        <f>IFERROR(__xludf.DUMMYFUNCTION("GOOGLETRANSLATE(A29463,""en"",""pt"")"),"Nenhum")</f>
        <v>Nenhum</v>
      </c>
      <c r="B29463" s="3">
        <v>0</v>
      </c>
    </row>
    <row r="29464" ht="15.75" customHeight="1" spans="1:2">
      <c r="A29464" s="3" t="str">
        <f>IFERROR(__xludf.DUMMYFUNCTION("GOOGLETRANSLATE(A29464,""en"",""pt"")"),"sem flash disk disquete")</f>
        <v>sem flash disk disquete</v>
      </c>
      <c r="B29464" s="3">
        <v>0</v>
      </c>
    </row>
    <row r="29465" ht="15.75" customHeight="1" spans="1:2">
      <c r="A29465" s="3" t="str">
        <f>IFERROR(__xludf.DUMMYFUNCTION("GOOGLETRANSLATE(A29465,""en"",""pt"")"),"Você vai precisar de algo melhor, eventualmente,")</f>
        <v>Você vai precisar de algo melhor, eventualmente,</v>
      </c>
      <c r="B29465" s="3">
        <v>0</v>
      </c>
    </row>
    <row r="29466" ht="15.75" customHeight="1" spans="1:2">
      <c r="A29466" s="3" t="str">
        <f>IFERROR(__xludf.DUMMYFUNCTION("GOOGLETRANSLATE(A29466,""en"",""pt"")"),"Adora comer as baterias.")</f>
        <v>Adora comer as baterias.</v>
      </c>
      <c r="B29466" s="3">
        <v>0</v>
      </c>
    </row>
    <row r="29467" ht="15.75" customHeight="1" spans="1:2">
      <c r="A29467" s="3" t="str">
        <f>IFERROR(__xludf.DUMMYFUNCTION("GOOGLETRANSLATE(A29467,""en"",""pt"")"),"encontrar baterias que duram!")</f>
        <v>encontrar baterias que duram!</v>
      </c>
      <c r="B29467" s="3">
        <v>0</v>
      </c>
    </row>
    <row r="29468" ht="15.75" customHeight="1" spans="1:2">
      <c r="A29468" s="3" t="str">
        <f>IFERROR(__xludf.DUMMYFUNCTION("GOOGLETRANSLATE(A29468,""en"",""pt"")"),"usa 2 pilhas AA, resolução de 640x480, o maior cartão de memória que você pode usar em que é um 8 meg")</f>
        <v>usa 2 pilhas AA, resolução de 640x480, o maior cartão de memória que você pode usar em que é um 8 meg</v>
      </c>
      <c r="B29468" s="3">
        <v>0</v>
      </c>
    </row>
    <row r="29469" ht="15.75" customHeight="1" spans="1:2">
      <c r="A29469" s="3" t="str">
        <f>IFERROR(__xludf.DUMMYFUNCTION("GOOGLETRANSLATE(A29469,""en"",""pt"")"),"armazenamento limitado")</f>
        <v>armazenamento limitado</v>
      </c>
      <c r="B29469" s="3">
        <v>0</v>
      </c>
    </row>
    <row r="29470" ht="15.75" customHeight="1" spans="1:2">
      <c r="A29470" s="3" t="str">
        <f>IFERROR(__xludf.DUMMYFUNCTION("GOOGLETRANSLATE(A29470,""en"",""pt"")"),"Nenhum")</f>
        <v>Nenhum</v>
      </c>
      <c r="B29470" s="3">
        <v>0</v>
      </c>
    </row>
    <row r="29471" ht="15.75" customHeight="1" spans="1:2">
      <c r="A29471" s="3" t="str">
        <f>IFERROR(__xludf.DUMMYFUNCTION("GOOGLETRANSLATE(A29471,""en"",""pt"")"),"Nenhum")</f>
        <v>Nenhum</v>
      </c>
      <c r="B29471" s="3">
        <v>0</v>
      </c>
    </row>
    <row r="29472" ht="15.75" customHeight="1" spans="1:2">
      <c r="A29472" s="3" t="str">
        <f>IFERROR(__xludf.DUMMYFUNCTION("GOOGLETRANSLATE(A29472,""en"",""pt"")"),"Precisa de um manual de instruções melhor, mas remédios isto com suporte on-line")</f>
        <v>Precisa de um manual de instruções melhor, mas remédios isto com suporte on-line</v>
      </c>
      <c r="B29472" s="3">
        <v>0</v>
      </c>
    </row>
    <row r="29473" ht="15.75" customHeight="1" spans="1:2">
      <c r="A29473" s="3" t="str">
        <f>IFERROR(__xludf.DUMMYFUNCTION("GOOGLETRANSLATE(A29473,""en"",""pt"")"),"Impossível ligar a um computador")</f>
        <v>Impossível ligar a um computador</v>
      </c>
      <c r="B29473" s="3">
        <v>0</v>
      </c>
    </row>
    <row r="29474" ht="15.75" customHeight="1" spans="1:2">
      <c r="A29474" s="3" t="str">
        <f>IFERROR(__xludf.DUMMYFUNCTION("GOOGLETRANSLATE(A29474,""en"",""pt"")"),"não megapixel, pode comer baterias, deve redefinir relógio quando mudar as pilhas")</f>
        <v>não megapixel, pode comer baterias, deve redefinir relógio quando mudar as pilhas</v>
      </c>
      <c r="B29474" s="3">
        <v>0</v>
      </c>
    </row>
    <row r="29475" ht="15.75" customHeight="1" spans="1:2">
      <c r="A29475" s="3" t="str">
        <f>IFERROR(__xludf.DUMMYFUNCTION("GOOGLETRANSLATE(A29475,""en"",""pt"")"),"Não é uma Mavica mas para o preço é bom o suficiente")</f>
        <v>Não é uma Mavica mas para o preço é bom o suficiente</v>
      </c>
      <c r="B29475" s="3">
        <v>0</v>
      </c>
    </row>
    <row r="29476" ht="15.75" customHeight="1" spans="1:2">
      <c r="A29476" s="3" t="str">
        <f>IFERROR(__xludf.DUMMYFUNCTION("GOOGLETRANSLATE(A29476,""en"",""pt"")"),"?")</f>
        <v>?</v>
      </c>
      <c r="B29476" s="3">
        <v>0</v>
      </c>
    </row>
    <row r="29477" ht="15.75" customHeight="1" spans="1:2">
      <c r="A29477" s="3" t="str">
        <f>IFERROR(__xludf.DUMMYFUNCTION("GOOGLETRANSLATE(A29477,""en"",""pt"")"),"baixa qualidade com pouca luz")</f>
        <v>baixa qualidade com pouca luz</v>
      </c>
      <c r="B29477" s="3">
        <v>0</v>
      </c>
    </row>
    <row r="29478" ht="15.75" customHeight="1" spans="1:2">
      <c r="A29478" s="3" t="str">
        <f>IFERROR(__xludf.DUMMYFUNCTION("GOOGLETRANSLATE(A29478,""en"",""pt"")"),"O passarinho :)")</f>
        <v>O passarinho :)</v>
      </c>
      <c r="B29478" s="3">
        <v>0</v>
      </c>
    </row>
    <row r="29479" ht="15.75" customHeight="1" spans="1:2">
      <c r="A29479" s="3" t="str">
        <f>IFERROR(__xludf.DUMMYFUNCTION("GOOGLETRANSLATE(A29479,""en"",""pt"")"),"não muito alta qualidade de imagem")</f>
        <v>não muito alta qualidade de imagem</v>
      </c>
      <c r="B29479" s="3">
        <v>0</v>
      </c>
    </row>
    <row r="29480" ht="15.75" customHeight="1" spans="1:2">
      <c r="A29480" s="3" t="str">
        <f>IFERROR(__xludf.DUMMYFUNCTION("GOOGLETRANSLATE(A29480,""en"",""pt"")"),"Aprender a usá-lo")</f>
        <v>Aprender a usá-lo</v>
      </c>
      <c r="B29480" s="3">
        <v>0</v>
      </c>
    </row>
    <row r="29481" ht="15.75" customHeight="1" spans="1:2">
      <c r="A29481" s="3" t="str">
        <f>IFERROR(__xludf.DUMMYFUNCTION("GOOGLETRANSLATE(A29481,""en"",""pt"")"),"a qualidade das imagens quando impressas")</f>
        <v>a qualidade das imagens quando impressas</v>
      </c>
      <c r="B29481" s="3">
        <v>0</v>
      </c>
    </row>
    <row r="29482" ht="15.75" customHeight="1" spans="1:2">
      <c r="A29482" s="3" t="str">
        <f>IFERROR(__xludf.DUMMYFUNCTION("GOOGLETRANSLATE(A29482,""en"",""pt"")"),"cuidado para não ligar enquanto o software está em execução")</f>
        <v>cuidado para não ligar enquanto o software está em execução</v>
      </c>
      <c r="B29482" s="3">
        <v>0</v>
      </c>
    </row>
    <row r="29483" ht="15.75" customHeight="1" spans="1:2">
      <c r="A29483" s="3" t="str">
        <f>IFERROR(__xludf.DUMMYFUNCTION("GOOGLETRANSLATE(A29483,""en"",""pt"")"),"baterias come")</f>
        <v>baterias come</v>
      </c>
      <c r="B29483" s="3">
        <v>0</v>
      </c>
    </row>
    <row r="29484" ht="15.75" customHeight="1" spans="1:2">
      <c r="A29484" s="3" t="str">
        <f>IFERROR(__xludf.DUMMYFUNCTION("GOOGLETRANSLATE(A29484,""en"",""pt"")"),"Pode custar um pouco littl de dinheiro, ou ser difícil de usar em primeiro lugar.")</f>
        <v>Pode custar um pouco littl de dinheiro, ou ser difícil de usar em primeiro lugar.</v>
      </c>
      <c r="B29484" s="3">
        <v>0</v>
      </c>
    </row>
    <row r="29485" ht="15.75" customHeight="1" spans="1:2">
      <c r="A29485" s="3" t="str">
        <f>IFERROR(__xludf.DUMMYFUNCTION("GOOGLETRANSLATE(A29485,""en"",""pt"")"),"Nenhum")</f>
        <v>Nenhum</v>
      </c>
      <c r="B29485" s="3">
        <v>0</v>
      </c>
    </row>
    <row r="29486" ht="15.75" customHeight="1" spans="1:2">
      <c r="A29486" s="3" t="str">
        <f>IFERROR(__xludf.DUMMYFUNCTION("GOOGLETRANSLATE(A29486,""en"",""pt"")"),"Não encontrei nenhum.")</f>
        <v>Não encontrei nenhum.</v>
      </c>
      <c r="B29486" s="3">
        <v>0</v>
      </c>
    </row>
    <row r="29487" ht="15.75" customHeight="1" spans="1:2">
      <c r="A29487" s="3" t="str">
        <f>IFERROR(__xludf.DUMMYFUNCTION("GOOGLETRANSLATE(A29487,""en"",""pt"")"),"vida de bateria fraca, sem uso de disquetes")</f>
        <v>vida de bateria fraca, sem uso de disquetes</v>
      </c>
      <c r="B29487" s="3">
        <v>0</v>
      </c>
    </row>
    <row r="29488" ht="15.75" customHeight="1" spans="1:2">
      <c r="A29488" s="3" t="str">
        <f>IFERROR(__xludf.DUMMYFUNCTION("GOOGLETRANSLATE(A29488,""en"",""pt"")"),"Sem zoom, sem autofocus, adaptador de disquete não funciona com Mac ou Windows NT")</f>
        <v>Sem zoom, sem autofocus, adaptador de disquete não funciona com Mac ou Windows NT</v>
      </c>
      <c r="B29488" s="3">
        <v>0</v>
      </c>
    </row>
    <row r="29489" ht="15.75" customHeight="1" spans="1:2">
      <c r="A29489" s="3" t="str">
        <f>IFERROR(__xludf.DUMMYFUNCTION("GOOGLETRANSLATE(A29489,""en"",""pt"")"),"Não para os analfabetos computador")</f>
        <v>Não para os analfabetos computador</v>
      </c>
      <c r="B29489" s="3">
        <v>0</v>
      </c>
    </row>
    <row r="29490" ht="15.75" customHeight="1" spans="1:2">
      <c r="A29490" s="3" t="str">
        <f>IFERROR(__xludf.DUMMYFUNCTION("GOOGLETRANSLATE(A29490,""en"",""pt"")"),"Um pouco lento no arranque")</f>
        <v>Um pouco lento no arranque</v>
      </c>
      <c r="B29490" s="3">
        <v>0</v>
      </c>
    </row>
    <row r="29491" ht="15.75" customHeight="1" spans="1:2">
      <c r="A29491" s="3" t="str">
        <f>IFERROR(__xludf.DUMMYFUNCTION("GOOGLETRANSLATE(A29491,""en"",""pt"")"),"Pobre Vida útil da bateria")</f>
        <v>Pobre Vida útil da bateria</v>
      </c>
      <c r="B29491" s="3">
        <v>0</v>
      </c>
    </row>
    <row r="29492" ht="15.75" customHeight="1" spans="1:2">
      <c r="A29492" s="3" t="str">
        <f>IFERROR(__xludf.DUMMYFUNCTION("GOOGLETRANSLATE(A29492,""en"",""pt"")"),"Este é provavelmente o melhor para uso doméstico como não há nada que você pode fazer se você encher a quota (12-96 exposições dependendo da qualidade) das fotos ... a menos que você comprar outro cartão de memória.")</f>
        <v>Este é provavelmente o melhor para uso doméstico como não há nada que você pode fazer se você encher a quota (12-96 exposições dependendo da qualidade) das fotos ... a menos que você comprar outro cartão de memória.</v>
      </c>
      <c r="B29492" s="3">
        <v>0</v>
      </c>
    </row>
    <row r="29493" ht="15.75" customHeight="1" spans="1:2">
      <c r="A29493" s="3" t="str">
        <f>IFERROR(__xludf.DUMMYFUNCTION("GOOGLETRANSLATE(A29493,""en"",""pt"")"),"granuladas, imagens escuras baixa qualidade,")</f>
        <v>granuladas, imagens escuras baixa qualidade,</v>
      </c>
      <c r="B29493" s="3">
        <v>0</v>
      </c>
    </row>
    <row r="29494" ht="15.75" customHeight="1" spans="1:2">
      <c r="A29494" s="3" t="str">
        <f>IFERROR(__xludf.DUMMYFUNCTION("GOOGLETRANSLATE(A29494,""en"",""pt"")"),"As imagens podem estar no lado granulada, se você pretende imprimi-los, devido à resolução de pixel ~ pode querer gastar mais para obter a nitidez maxi-pixel de fotos impressas; pode crescer fora de um presente e quer comprar um mais caro; recursos limita"&amp;"dos")</f>
        <v>As imagens podem estar no lado granulada, se você pretende imprimi-los, devido à resolução de pixel ~ pode querer gastar mais para obter a nitidez maxi-pixel de fotos impressas; pode crescer fora de um presente e quer comprar um mais caro; recursos limitados</v>
      </c>
      <c r="B29494" s="3">
        <v>0</v>
      </c>
    </row>
    <row r="29495" ht="15.75" customHeight="1" spans="1:2">
      <c r="A29495" s="3" t="str">
        <f>IFERROR(__xludf.DUMMYFUNCTION("GOOGLETRANSLATE(A29495,""en"",""pt"")"),"Nenhum ainda...")</f>
        <v>Nenhum ainda...</v>
      </c>
      <c r="B29495" s="3">
        <v>0</v>
      </c>
    </row>
    <row r="29496" ht="15.75" customHeight="1" spans="1:2">
      <c r="A29496" s="3" t="str">
        <f>IFERROR(__xludf.DUMMYFUNCTION("GOOGLETRANSLATE(A29496,""en"",""pt"")"),"lembre-se de leve")</f>
        <v>lembre-se de leve</v>
      </c>
      <c r="B29496" s="3">
        <v>0</v>
      </c>
    </row>
    <row r="29497" ht="15.75" customHeight="1" spans="1:2">
      <c r="A29497" s="3" t="str">
        <f>IFERROR(__xludf.DUMMYFUNCTION("GOOGLETRANSLATE(A29497,""en"",""pt"")"),"&amp; Lt; i &amp; gt; Sente &amp; lt; / i &amp; gt; barato, comedor bateria voraz! Precisa de tempo para ""aquecer"". fotos esverdeados em ambientes escuros.")</f>
        <v>&amp; Lt; i &amp; gt; Sente &amp; lt; / i &amp; gt; barato, comedor bateria voraz! Precisa de tempo para "aquecer". fotos esverdeados em ambientes escuros.</v>
      </c>
      <c r="B29497" s="3">
        <v>0</v>
      </c>
    </row>
    <row r="29498" ht="15.75" customHeight="1" spans="1:2">
      <c r="A29498" s="3" t="str">
        <f>IFERROR(__xludf.DUMMYFUNCTION("GOOGLETRANSLATE(A29498,""en"",""pt"")"),"média qualidade da foto (quando foto explodido)")</f>
        <v>média qualidade da foto (quando foto explodido)</v>
      </c>
      <c r="B29498" s="3">
        <v>0</v>
      </c>
    </row>
    <row r="29499" ht="15.75" customHeight="1" spans="1:2">
      <c r="A29499" s="3" t="str">
        <f>IFERROR(__xludf.DUMMYFUNCTION("GOOGLETRANSLATE(A29499,""en"",""pt"")"),"Nenhum")</f>
        <v>Nenhum</v>
      </c>
      <c r="B29499" s="3">
        <v>0</v>
      </c>
    </row>
    <row r="29500" ht="15.75" customHeight="1" spans="1:2">
      <c r="A29500" s="3" t="str">
        <f>IFERROR(__xludf.DUMMYFUNCTION("GOOGLETRANSLATE(A29500,""en"",""pt"")"),"devorador de bateria, não flash sempre suficiente")</f>
        <v>devorador de bateria, não flash sempre suficiente</v>
      </c>
      <c r="B29500" s="3">
        <v>0</v>
      </c>
    </row>
    <row r="29501" ht="15.75" customHeight="1" spans="1:2">
      <c r="A29501" s="3" t="str">
        <f>IFERROR(__xludf.DUMMYFUNCTION("GOOGLETRANSLATE(A29501,""en"",""pt"")"),"Nenhum")</f>
        <v>Nenhum</v>
      </c>
      <c r="B29501" s="3">
        <v>0</v>
      </c>
    </row>
    <row r="29502" ht="15.75" customHeight="1" spans="1:2">
      <c r="A29502" s="3" t="str">
        <f>IFERROR(__xludf.DUMMYFUNCTION("GOOGLETRANSLATE(A29502,""en"",""pt"")"),"só pode levar 12 fotos no modo oi super-qualidade")</f>
        <v>só pode levar 12 fotos no modo oi super-qualidade</v>
      </c>
      <c r="B29502" s="3">
        <v>0</v>
      </c>
    </row>
    <row r="29503" ht="15.75" customHeight="1" spans="1:2">
      <c r="A29503" s="3" t="str">
        <f>IFERROR(__xludf.DUMMYFUNCTION("GOOGLETRANSLATE(A29503,""en"",""pt"")"),"Drenos Baterias / Baixa do Flash")</f>
        <v>Drenos Baterias / Baixa do Flash</v>
      </c>
      <c r="B29503" s="3">
        <v>0</v>
      </c>
    </row>
    <row r="29504" ht="15.75" customHeight="1" spans="1:2">
      <c r="A29504" s="3" t="str">
        <f>IFERROR(__xludf.DUMMYFUNCTION("GOOGLETRANSLATE(A29504,""en"",""pt"")"),"Nenhum")</f>
        <v>Nenhum</v>
      </c>
      <c r="B29504" s="3">
        <v>0</v>
      </c>
    </row>
    <row r="29505" ht="15.75" customHeight="1" spans="1:2">
      <c r="A29505" s="3" t="str">
        <f>IFERROR(__xludf.DUMMYFUNCTION("GOOGLETRANSLATE(A29505,""en"",""pt"")"),"tela LCD drena baterias")</f>
        <v>tela LCD drena baterias</v>
      </c>
      <c r="B29505" s="3">
        <v>0</v>
      </c>
    </row>
    <row r="29506" ht="15.75" customHeight="1" spans="1:2">
      <c r="A29506" s="3" t="str">
        <f>IFERROR(__xludf.DUMMYFUNCTION("GOOGLETRANSLATE(A29506,""en"",""pt"")"),"Problemas simplesmente não valem a pena.")</f>
        <v>Problemas simplesmente não valem a pena.</v>
      </c>
      <c r="B29506" s="3">
        <v>0</v>
      </c>
    </row>
    <row r="29507" ht="15.75" customHeight="1" spans="1:2">
      <c r="A29507" s="3" t="str">
        <f>IFERROR(__xludf.DUMMYFUNCTION("GOOGLETRANSLATE(A29507,""en"",""pt"")"),"lente fixa")</f>
        <v>lente fixa</v>
      </c>
      <c r="B29507" s="3">
        <v>0</v>
      </c>
    </row>
    <row r="29508" ht="15.75" customHeight="1" spans="1:2">
      <c r="A29508" s="3" t="str">
        <f>IFERROR(__xludf.DUMMYFUNCTION("GOOGLETRANSLATE(A29508,""en"",""pt"")"),"come baterias como todas as outras câmeras digitais")</f>
        <v>come baterias como todas as outras câmeras digitais</v>
      </c>
      <c r="B29508" s="3">
        <v>0</v>
      </c>
    </row>
    <row r="29509" ht="15.75" customHeight="1" spans="1:2">
      <c r="A29509" s="3" t="str">
        <f>IFERROR(__xludf.DUMMYFUNCTION("GOOGLETRANSLATE(A29509,""en"",""pt"")"),"fácil de usar")</f>
        <v>fácil de usar</v>
      </c>
      <c r="B29509" s="3">
        <v>0</v>
      </c>
    </row>
    <row r="29510" ht="15.75" customHeight="1" spans="1:2">
      <c r="A29510" s="3" t="str">
        <f>IFERROR(__xludf.DUMMYFUNCTION("GOOGLETRANSLATE(A29510,""en"",""pt"")"),"difícil conseguir Flash perfeito, resolução um pouco obsolite")</f>
        <v>difícil conseguir Flash perfeito, resolução um pouco obsolite</v>
      </c>
      <c r="B29510" s="3">
        <v>0</v>
      </c>
    </row>
    <row r="29511" ht="15.75" customHeight="1" spans="1:2">
      <c r="A29511" s="3" t="str">
        <f>IFERROR(__xludf.DUMMYFUNCTION("GOOGLETRANSLATE(A29511,""en"",""pt"")"),"sem zoom ou recursos extras")</f>
        <v>sem zoom ou recursos extras</v>
      </c>
      <c r="B29511" s="3">
        <v>0</v>
      </c>
    </row>
    <row r="29512" ht="15.75" customHeight="1" spans="1:2">
      <c r="A29512" s="3" t="str">
        <f>IFERROR(__xludf.DUMMYFUNCTION("GOOGLETRANSLATE(A29512,""en"",""pt"")"),"nenhum ajuste para a qualidade")</f>
        <v>nenhum ajuste para a qualidade</v>
      </c>
      <c r="B29512" s="3">
        <v>0</v>
      </c>
    </row>
    <row r="29513" ht="15.75" customHeight="1" spans="1:2">
      <c r="A29513" s="3" t="str">
        <f>IFERROR(__xludf.DUMMYFUNCTION("GOOGLETRANSLATE(A29513,""en"",""pt"")"),"Não a mais alta qualidade que você esperaria.")</f>
        <v>Não a mais alta qualidade que você esperaria.</v>
      </c>
      <c r="B29513" s="3">
        <v>0</v>
      </c>
    </row>
    <row r="29514" ht="15.75" customHeight="1" spans="1:2">
      <c r="A29514" s="3" t="str">
        <f>IFERROR(__xludf.DUMMYFUNCTION("GOOGLETRANSLATE(A29514,""en"",""pt"")"),"não USB")</f>
        <v>não USB</v>
      </c>
      <c r="B29514" s="3">
        <v>0</v>
      </c>
    </row>
    <row r="29515" ht="15.75" customHeight="1" spans="1:2">
      <c r="A29515" s="3" t="str">
        <f>IFERROR(__xludf.DUMMYFUNCTION("GOOGLETRANSLATE(A29515,""en"",""pt"")"),"utiliza baterias rapidamente")</f>
        <v>utiliza baterias rapidamente</v>
      </c>
      <c r="B29515" s="3">
        <v>0</v>
      </c>
    </row>
    <row r="29516" ht="15.75" customHeight="1" spans="1:2">
      <c r="A29516" s="3" t="str">
        <f>IFERROR(__xludf.DUMMYFUNCTION("GOOGLETRANSLATE(A29516,""en"",""pt"")"),"A falta de capacidade de zoom")</f>
        <v>A falta de capacidade de zoom</v>
      </c>
      <c r="B29516" s="3">
        <v>0</v>
      </c>
    </row>
    <row r="29517" ht="15.75" customHeight="1" spans="1:2">
      <c r="A29517" s="3" t="str">
        <f>IFERROR(__xludf.DUMMYFUNCTION("GOOGLETRANSLATE(A29517,""en"",""pt"")"),"Nada........")</f>
        <v>Nada........</v>
      </c>
      <c r="B29517" s="3">
        <v>0</v>
      </c>
    </row>
    <row r="29518" ht="15.75" customHeight="1" spans="1:2">
      <c r="A29518" s="3" t="str">
        <f>IFERROR(__xludf.DUMMYFUNCTION("GOOGLETRANSLATE(A29518,""en"",""pt"")"),"Programas")</f>
        <v>Programas</v>
      </c>
      <c r="B29518" s="3">
        <v>0</v>
      </c>
    </row>
    <row r="29519" ht="15.75" customHeight="1" spans="1:2">
      <c r="A29519" s="3" t="str">
        <f>IFERROR(__xludf.DUMMYFUNCTION("GOOGLETRANSLATE(A29519,""en"",""pt"")"),"drena baterias")</f>
        <v>drena baterias</v>
      </c>
      <c r="B29519" s="3">
        <v>0</v>
      </c>
    </row>
    <row r="29520" ht="15.75" customHeight="1" spans="1:2">
      <c r="A29520" s="3" t="str">
        <f>IFERROR(__xludf.DUMMYFUNCTION("GOOGLETRANSLATE(A29520,""en"",""pt"")"),"usa um monte de baterias")</f>
        <v>usa um monte de baterias</v>
      </c>
      <c r="B29520" s="3">
        <v>0</v>
      </c>
    </row>
    <row r="29521" ht="15.75" customHeight="1" spans="1:2">
      <c r="A29521" s="3" t="str">
        <f>IFERROR(__xludf.DUMMYFUNCTION("GOOGLETRANSLATE(A29521,""en"",""pt"")"),"tem que ligar para o computador para ver fotos")</f>
        <v>tem que ligar para o computador para ver fotos</v>
      </c>
      <c r="B29521" s="3">
        <v>0</v>
      </c>
    </row>
    <row r="29522" ht="15.75" customHeight="1" spans="1:2">
      <c r="A29522" s="3" t="str">
        <f>IFERROR(__xludf.DUMMYFUNCTION("GOOGLETRANSLATE(A29522,""en"",""pt"")"),"Nenhum")</f>
        <v>Nenhum</v>
      </c>
      <c r="B29522" s="3">
        <v>0</v>
      </c>
    </row>
    <row r="29523" ht="15.75" customHeight="1" spans="1:2">
      <c r="A29523" s="3" t="str">
        <f>IFERROR(__xludf.DUMMYFUNCTION("GOOGLETRANSLATE(A29523,""en"",""pt"")"),"Bad Software")</f>
        <v>Bad Software</v>
      </c>
      <c r="B29523" s="3">
        <v>0</v>
      </c>
    </row>
    <row r="29524" ht="15.75" customHeight="1" spans="1:2">
      <c r="A29524" s="3" t="str">
        <f>IFERROR(__xludf.DUMMYFUNCTION("GOOGLETRANSLATE(A29524,""en"",""pt"")"),"sem zoom, de baixa resolução")</f>
        <v>sem zoom, de baixa resolução</v>
      </c>
      <c r="B29524" s="3">
        <v>0</v>
      </c>
    </row>
    <row r="29525" ht="15.75" customHeight="1" spans="1:2">
      <c r="A29525" s="3" t="str">
        <f>IFERROR(__xludf.DUMMYFUNCTION("GOOGLETRANSLATE(A29525,""en"",""pt"")"),"Eu não encontraram ninguém, até agora")</f>
        <v>Eu não encontraram ninguém, até agora</v>
      </c>
      <c r="B29525" s="3">
        <v>0</v>
      </c>
    </row>
    <row r="29526" ht="15.75" customHeight="1" spans="1:2">
      <c r="A29526" s="3" t="str">
        <f>IFERROR(__xludf.DUMMYFUNCTION("GOOGLETRANSLATE(A29526,""en"",""pt"")"),"Max tamanho da imagem = 640 x 480")</f>
        <v>Max tamanho da imagem = 640 x 480</v>
      </c>
      <c r="B29526" s="3">
        <v>0</v>
      </c>
    </row>
    <row r="29527" ht="15.75" customHeight="1" spans="1:2">
      <c r="A29527" s="3" t="str">
        <f>IFERROR(__xludf.DUMMYFUNCTION("GOOGLETRANSLATE(A29527,""en"",""pt"")"),"Battery Drainer extremo, não vai funcionar LCD o tempo todo.")</f>
        <v>Battery Drainer extremo, não vai funcionar LCD o tempo todo.</v>
      </c>
      <c r="B29527" s="3">
        <v>0</v>
      </c>
    </row>
    <row r="29528" ht="15.75" customHeight="1" spans="1:2">
      <c r="A29528" s="3" t="str">
        <f>IFERROR(__xludf.DUMMYFUNCTION("GOOGLETRANSLATE(A29528,""en"",""pt"")"),"não Pictures qualidade super. tela de imagem um pouco lento")</f>
        <v>não Pictures qualidade super. tela de imagem um pouco lento</v>
      </c>
      <c r="B29528" s="3">
        <v>0</v>
      </c>
    </row>
    <row r="29529" ht="15.75" customHeight="1" spans="1:2">
      <c r="A29529" s="3" t="str">
        <f>IFERROR(__xludf.DUMMYFUNCTION("GOOGLETRANSLATE(A29529,""en"",""pt"")"),"Come baterias como ele tem micose câmera, pesado em peso")</f>
        <v>Come baterias como ele tem micose câmera, pesado em peso</v>
      </c>
      <c r="B29529" s="3">
        <v>0</v>
      </c>
    </row>
    <row r="29530" ht="15.75" customHeight="1" spans="1:2">
      <c r="A29530" s="3" t="str">
        <f>IFERROR(__xludf.DUMMYFUNCTION("GOOGLETRANSLATE(A29530,""en"",""pt"")"),"veja o comentário")</f>
        <v>veja o comentário</v>
      </c>
      <c r="B29530" s="3">
        <v>0</v>
      </c>
    </row>
    <row r="29531" ht="15.75" customHeight="1" spans="1:2">
      <c r="A29531" s="3" t="str">
        <f>IFERROR(__xludf.DUMMYFUNCTION("GOOGLETRANSLATE(A29531,""en"",""pt"")"),"má qualidade de imagem; pobre vida útil da bateria; sem zoom")</f>
        <v>má qualidade de imagem; pobre vida útil da bateria; sem zoom</v>
      </c>
      <c r="B29531" s="3">
        <v>0</v>
      </c>
    </row>
    <row r="29532" ht="15.75" customHeight="1" spans="1:2">
      <c r="A29532" s="3" t="str">
        <f>IFERROR(__xludf.DUMMYFUNCTION("GOOGLETRANSLATE(A29532,""en"",""pt"")"),"comedor da bateria, capacidade limitada")</f>
        <v>comedor da bateria, capacidade limitada</v>
      </c>
      <c r="B29532" s="3">
        <v>0</v>
      </c>
    </row>
    <row r="29533" ht="15.75" customHeight="1" spans="1:2">
      <c r="A29533" s="3" t="str">
        <f>IFERROR(__xludf.DUMMYFUNCTION("GOOGLETRANSLATE(A29533,""en"",""pt"")"),"Baixa qualidade de imagem do que as câmeras mais caras")</f>
        <v>Baixa qualidade de imagem do que as câmeras mais caras</v>
      </c>
      <c r="B29533" s="3">
        <v>0</v>
      </c>
    </row>
    <row r="29534" ht="15.75" customHeight="1" spans="1:2">
      <c r="A29534" s="3" t="str">
        <f>IFERROR(__xludf.DUMMYFUNCTION("GOOGLETRANSLATE(A29534,""en"",""pt"")"),"Exige algum esforço para fazer upload de fotos para o disco rígido.")</f>
        <v>Exige algum esforço para fazer upload de fotos para o disco rígido.</v>
      </c>
      <c r="B29534" s="3">
        <v>0</v>
      </c>
    </row>
    <row r="29535" ht="15.75" customHeight="1" spans="1:2">
      <c r="A29535" s="3" t="str">
        <f>IFERROR(__xludf.DUMMYFUNCTION("GOOGLETRANSLATE(A29535,""en"",""pt"")"),"Close-ups ficar um pouco embaçada.")</f>
        <v>Close-ups ficar um pouco embaçada.</v>
      </c>
      <c r="B29535" s="3">
        <v>0</v>
      </c>
    </row>
    <row r="29536" ht="15.75" customHeight="1" spans="1:2">
      <c r="A29536" s="3" t="str">
        <f>IFERROR(__xludf.DUMMYFUNCTION("GOOGLETRANSLATE(A29536,""en"",""pt"")"),"fotos em baixa resolução e usa um monte de baterias")</f>
        <v>fotos em baixa resolução e usa um monte de baterias</v>
      </c>
      <c r="B29536" s="3">
        <v>0</v>
      </c>
    </row>
    <row r="29537" ht="15.75" customHeight="1" spans="1:2">
      <c r="A29537" s="3" t="str">
        <f>IFERROR(__xludf.DUMMYFUNCTION("GOOGLETRANSLATE(A29537,""en"",""pt"")"),"tela LCD destrói baterias. transferência de imagens lenta para o computador por meio de porta serial.")</f>
        <v>tela LCD destrói baterias. transferência de imagens lenta para o computador por meio de porta serial.</v>
      </c>
      <c r="B29537" s="3">
        <v>0</v>
      </c>
    </row>
    <row r="29538" ht="15.75" customHeight="1" spans="1:2">
      <c r="A29538" s="3" t="str">
        <f>IFERROR(__xludf.DUMMYFUNCTION("GOOGLETRANSLATE(A29538,""en"",""pt"")"),"Pobre para close-up")</f>
        <v>Pobre para close-up</v>
      </c>
      <c r="B29538" s="3">
        <v>0</v>
      </c>
    </row>
    <row r="29539" ht="15.75" customHeight="1" spans="1:2">
      <c r="A29539" s="3" t="str">
        <f>IFERROR(__xludf.DUMMYFUNCTION("GOOGLETRANSLATE(A29539,""en"",""pt"")"),"Sem zoom, tempo de carregamento lento, má qualidade de imagem em menos de condições de iluminação natural brilhantes.")</f>
        <v>Sem zoom, tempo de carregamento lento, má qualidade de imagem em menos de condições de iluminação natural brilhantes.</v>
      </c>
      <c r="B29539" s="3">
        <v>0</v>
      </c>
    </row>
    <row r="29540" ht="15.75" customHeight="1" spans="1:2">
      <c r="A29540" s="3" t="str">
        <f>IFERROR(__xludf.DUMMYFUNCTION("GOOGLETRANSLATE(A29540,""en"",""pt"")"),"A vida da bateria")</f>
        <v>A vida da bateria</v>
      </c>
      <c r="B29540" s="3">
        <v>0</v>
      </c>
    </row>
    <row r="29541" ht="15.75" customHeight="1" spans="1:2">
      <c r="A29541" s="3" t="str">
        <f>IFERROR(__xludf.DUMMYFUNCTION("GOOGLETRANSLATE(A29541,""en"",""pt"")"),"Sem zoom características e tela de LCD é difícil de ver na luz brilhante.")</f>
        <v>Sem zoom características e tela de LCD é difícil de ver na luz brilhante.</v>
      </c>
      <c r="B29541" s="3">
        <v>0</v>
      </c>
    </row>
    <row r="29542" ht="15.75" customHeight="1" spans="1:2">
      <c r="A29542" s="3" t="str">
        <f>IFERROR(__xludf.DUMMYFUNCTION("GOOGLETRANSLATE(A29542,""en"",""pt"")"),"Comprar Recarregáveis. Software suga uso Microsoft Picture-lo em vez !!")</f>
        <v>Comprar Recarregáveis. Software suga uso Microsoft Picture-lo em vez !!</v>
      </c>
      <c r="B29542" s="3">
        <v>0</v>
      </c>
    </row>
    <row r="29543" ht="15.75" customHeight="1" spans="1:2">
      <c r="A29543" s="3" t="str">
        <f>IFERROR(__xludf.DUMMYFUNCTION("GOOGLETRANSLATE(A29543,""en"",""pt"")"),"Passa por baterias como uma faca quente através de manteiga. fotos granuladas de objetos distantes.")</f>
        <v>Passa por baterias como uma faca quente através de manteiga. fotos granuladas de objetos distantes.</v>
      </c>
      <c r="B29543" s="3">
        <v>0</v>
      </c>
    </row>
    <row r="29544" ht="15.75" customHeight="1" spans="1:2">
      <c r="A29544" s="3" t="str">
        <f>IFERROR(__xludf.DUMMYFUNCTION("GOOGLETRANSLATE(A29544,""en"",""pt"")"),"perde as configurações do usuário quando desligado.")</f>
        <v>perde as configurações do usuário quando desligado.</v>
      </c>
      <c r="B29544" s="3">
        <v>0</v>
      </c>
    </row>
    <row r="29545" ht="15.75" customHeight="1" spans="1:2">
      <c r="A29545" s="3" t="str">
        <f>IFERROR(__xludf.DUMMYFUNCTION("GOOGLETRANSLATE(A29545,""en"",""pt"")"),"frágil, sem zoom e consome muita bateria.")</f>
        <v>frágil, sem zoom e consome muita bateria.</v>
      </c>
      <c r="B29545" s="3">
        <v>0</v>
      </c>
    </row>
    <row r="29546" ht="15.75" customHeight="1" spans="1:2">
      <c r="A29546" s="3" t="str">
        <f>IFERROR(__xludf.DUMMYFUNCTION("GOOGLETRANSLATE(A29546,""en"",""pt"")"),"Come Baterias (4 de cada vez), Mediocre de qualidade de imagem, volumoso, difícil de segurar")</f>
        <v>Come Baterias (4 de cada vez), Mediocre de qualidade de imagem, volumoso, difícil de segurar</v>
      </c>
      <c r="B29546" s="3">
        <v>0</v>
      </c>
    </row>
    <row r="29547" ht="15.75" customHeight="1" spans="1:2">
      <c r="A29547" s="3" t="str">
        <f>IFERROR(__xludf.DUMMYFUNCTION("GOOGLETRANSLATE(A29547,""en"",""pt"")"),"Sem zoom, sem lentes extras disponíveis")</f>
        <v>Sem zoom, sem lentes extras disponíveis</v>
      </c>
      <c r="B29547" s="3">
        <v>0</v>
      </c>
    </row>
    <row r="29548" ht="15.75" customHeight="1" spans="1:2">
      <c r="A29548" s="3" t="str">
        <f>IFERROR(__xludf.DUMMYFUNCTION("GOOGLETRANSLATE(A29548,""en"",""pt"")"),"A Polaroid PDC 700 é um sapador bateria real. No zoom da lente.")</f>
        <v>A Polaroid PDC 700 é um sapador bateria real. No zoom da lente.</v>
      </c>
      <c r="B29548" s="3">
        <v>0</v>
      </c>
    </row>
    <row r="29549" ht="15.75" customHeight="1" spans="1:2">
      <c r="A29549" s="3" t="str">
        <f>IFERROR(__xludf.DUMMYFUNCTION("GOOGLETRANSLATE(A29549,""en"",""pt"")"),"beberrão de bateria, não salva as configurações, baixar lento")</f>
        <v>beberrão de bateria, não salva as configurações, baixar lento</v>
      </c>
      <c r="B29549" s="3">
        <v>0</v>
      </c>
    </row>
    <row r="29550" ht="15.75" customHeight="1" spans="1:2">
      <c r="A29550" s="3" t="str">
        <f>IFERROR(__xludf.DUMMYFUNCTION("GOOGLETRANSLATE(A29550,""en"",""pt"")"),"Toma 4AA baterias, é maior e pesa mais do que a média. câmera digital")</f>
        <v>Toma 4AA baterias, é maior e pesa mais do que a média. câmera digital</v>
      </c>
      <c r="B29550" s="3">
        <v>0</v>
      </c>
    </row>
    <row r="29551" ht="15.75" customHeight="1" spans="1:2">
      <c r="A29551" s="3" t="str">
        <f>IFERROR(__xludf.DUMMYFUNCTION("GOOGLETRANSLATE(A29551,""en"",""pt"")"),"devorador de bateria")</f>
        <v>devorador de bateria</v>
      </c>
      <c r="B29551" s="3">
        <v>0</v>
      </c>
    </row>
    <row r="29552" ht="15.75" customHeight="1" spans="1:2">
      <c r="A29552" s="3" t="str">
        <f>IFERROR(__xludf.DUMMYFUNCTION("GOOGLETRANSLATE(A29552,""en"",""pt"")"),"sem boas indicações na caixa")</f>
        <v>sem boas indicações na caixa</v>
      </c>
      <c r="B29552" s="3">
        <v>0</v>
      </c>
    </row>
    <row r="29553" ht="15.75" customHeight="1" spans="1:2">
      <c r="A29553" s="3" t="str">
        <f>IFERROR(__xludf.DUMMYFUNCTION("GOOGLETRANSLATE(A29553,""en"",""pt"")"),"instruções não suficientes")</f>
        <v>instruções não suficientes</v>
      </c>
      <c r="B29553" s="3">
        <v>0</v>
      </c>
    </row>
    <row r="29554" ht="15.75" customHeight="1" spans="1:2">
      <c r="A29554" s="3" t="str">
        <f>IFERROR(__xludf.DUMMYFUNCTION("GOOGLETRANSLATE(A29554,""en"",""pt"")"),"baterias atropelar rápido")</f>
        <v>baterias atropelar rápido</v>
      </c>
      <c r="B29554" s="3">
        <v>0</v>
      </c>
    </row>
    <row r="29555" ht="15.75" customHeight="1" spans="1:2">
      <c r="A29555" s="3" t="str">
        <f>IFERROR(__xludf.DUMMYFUNCTION("GOOGLETRANSLATE(A29555,""en"",""pt"")"),"Consome baterias como um satélite em órbita ... tenho certeza.")</f>
        <v>Consome baterias como um satélite em órbita ... tenho certeza.</v>
      </c>
      <c r="B29555" s="3">
        <v>0</v>
      </c>
    </row>
    <row r="29556" ht="15.75" customHeight="1" spans="1:2">
      <c r="A29556" s="3" t="str">
        <f>IFERROR(__xludf.DUMMYFUNCTION("GOOGLETRANSLATE(A29556,""en"",""pt"")"),"Um hawg bateria verdadeira !!!!!!!")</f>
        <v>Um hawg bateria verdadeira !!!!!!!</v>
      </c>
      <c r="B29556" s="3">
        <v>0</v>
      </c>
    </row>
    <row r="29557" ht="15.75" customHeight="1" spans="1:2">
      <c r="A29557" s="3" t="str">
        <f>IFERROR(__xludf.DUMMYFUNCTION("GOOGLETRANSLATE(A29557,""en"",""pt"")"),"Sem zoom, come-se baterias padrão, LCD difícil ver de fora.")</f>
        <v>Sem zoom, come-se baterias padrão, LCD difícil ver de fora.</v>
      </c>
      <c r="B29557" s="3">
        <v>0</v>
      </c>
    </row>
    <row r="29558" ht="15.75" customHeight="1" spans="1:2">
      <c r="A29558" s="3" t="str">
        <f>IFERROR(__xludf.DUMMYFUNCTION("GOOGLETRANSLATE(A29558,""en"",""pt"")"),"curta duração da bateria. Quero dizer muito curto.")</f>
        <v>curta duração da bateria. Quero dizer muito curto.</v>
      </c>
      <c r="B29558" s="3">
        <v>0</v>
      </c>
    </row>
    <row r="29559" ht="15.75" customHeight="1" spans="1:2">
      <c r="A29559" s="3" t="str">
        <f>IFERROR(__xludf.DUMMYFUNCTION("GOOGLETRANSLATE(A29559,""en"",""pt"")"),"Come baterias como você não iria acreditar.")</f>
        <v>Come baterias como você não iria acreditar.</v>
      </c>
      <c r="B29559" s="3">
        <v>0</v>
      </c>
    </row>
    <row r="29560" ht="15.75" customHeight="1" spans="1:2">
      <c r="A29560" s="3" t="str">
        <f>IFERROR(__xludf.DUMMYFUNCTION("GOOGLETRANSLATE(A29560,""en"",""pt"")"),"Baterias, Photomax falhas de software, limitando realces digitais para retocar de fotos")</f>
        <v>Baterias, Photomax falhas de software, limitando realces digitais para retocar de fotos</v>
      </c>
      <c r="B29560" s="3">
        <v>0</v>
      </c>
    </row>
    <row r="29561" ht="15.75" customHeight="1" spans="1:2">
      <c r="A29561" s="3" t="str">
        <f>IFERROR(__xludf.DUMMYFUNCTION("GOOGLETRANSLATE(A29561,""en"",""pt"")"),"qualidade da imagem, tamanho")</f>
        <v>qualidade da imagem, tamanho</v>
      </c>
      <c r="B29561" s="3">
        <v>0</v>
      </c>
    </row>
    <row r="29562" ht="15.75" customHeight="1" spans="1:2">
      <c r="A29562" s="3" t="str">
        <f>IFERROR(__xludf.DUMMYFUNCTION("GOOGLETRANSLATE(A29562,""en"",""pt"")"),"Publicidade enganosa indica compatibilidade com NT; pode ser feito, mas requer algum conhecimento para fazê-lo. A documentação é escassa e difícil de encontrar respostas em profundidade.")</f>
        <v>Publicidade enganosa indica compatibilidade com NT; pode ser feito, mas requer algum conhecimento para fazê-lo. A documentação é escassa e difícil de encontrar respostas em profundidade.</v>
      </c>
      <c r="B29562" s="3">
        <v>0</v>
      </c>
    </row>
    <row r="29563" ht="15.75" customHeight="1" spans="1:2">
      <c r="A29563" s="3" t="str">
        <f>IFERROR(__xludf.DUMMYFUNCTION("GOOGLETRANSLATE(A29563,""en"",""pt"")"),"vida útil da bateria")</f>
        <v>vida útil da bateria</v>
      </c>
      <c r="B29563" s="3">
        <v>0</v>
      </c>
    </row>
    <row r="29564" ht="15.75" customHeight="1" spans="1:2">
      <c r="A29564" s="3" t="str">
        <f>IFERROR(__xludf.DUMMYFUNCTION("GOOGLETRANSLATE(A29564,""en"",""pt"")"),"Hog bateria")</f>
        <v>Hog bateria</v>
      </c>
      <c r="B29564" s="3">
        <v>0</v>
      </c>
    </row>
    <row r="29565" ht="15.75" customHeight="1" spans="1:2">
      <c r="A29565" s="3" t="str">
        <f>IFERROR(__xludf.DUMMYFUNCTION("GOOGLETRANSLATE(A29565,""en"",""pt"")"),"drena rapidamente baterias, fontes de alimentação alternativas limitados")</f>
        <v>drena rapidamente baterias, fontes de alimentação alternativas limitados</v>
      </c>
      <c r="B29565" s="3">
        <v>0</v>
      </c>
    </row>
    <row r="29566" ht="15.75" customHeight="1" spans="1:2">
      <c r="A29566" s="3" t="str">
        <f>IFERROR(__xludf.DUMMYFUNCTION("GOOGLETRANSLATE(A29566,""en"",""pt"")"),"exposições granuladas a menos em &amp; amp; quot; super fino &amp; amp; quot; modo de &amp; amp; quot; 12 tiros disponíveis sem cartão de memória / desce baterias rapidamente quando a tela e flash é utilizado frequentemente")</f>
        <v>exposições granuladas a menos em &amp; amp; quot; super fino &amp; amp; quot; modo de &amp; amp; quot; 12 tiros disponíveis sem cartão de memória / desce baterias rapidamente quando a tela e flash é utilizado frequentemente</v>
      </c>
      <c r="B29566" s="3">
        <v>0</v>
      </c>
    </row>
    <row r="29567" ht="15.75" customHeight="1" spans="1:2">
      <c r="A29567" s="3" t="str">
        <f>IFERROR(__xludf.DUMMYFUNCTION("GOOGLETRANSLATE(A29567,""en"",""pt"")"),"o uso da bateria, sem zoom")</f>
        <v>o uso da bateria, sem zoom</v>
      </c>
      <c r="B29567" s="3">
        <v>0</v>
      </c>
    </row>
    <row r="29568" ht="15.75" customHeight="1" spans="1:2">
      <c r="A29568" s="3" t="str">
        <f>IFERROR(__xludf.DUMMYFUNCTION("GOOGLETRANSLATE(A29568,""en"",""pt"")"),"sem zoom")</f>
        <v>sem zoom</v>
      </c>
      <c r="B29568" s="3">
        <v>0</v>
      </c>
    </row>
    <row r="29569" ht="15.75" customHeight="1" spans="1:2">
      <c r="A29569" s="3" t="str">
        <f>IFERROR(__xludf.DUMMYFUNCTION("GOOGLETRANSLATE(A29569,""en"",""pt"")"),"o uso da bateria")</f>
        <v>o uso da bateria</v>
      </c>
      <c r="B29569" s="3">
        <v>0</v>
      </c>
    </row>
    <row r="29570" ht="15.75" customHeight="1" spans="1:2">
      <c r="A29570" s="3" t="str">
        <f>IFERROR(__xludf.DUMMYFUNCTION("GOOGLETRANSLATE(A29570,""en"",""pt"")"),"Você tem que ter uma boa impressora para obter boas fotos")</f>
        <v>Você tem que ter uma boa impressora para obter boas fotos</v>
      </c>
      <c r="B29570" s="3">
        <v>0</v>
      </c>
    </row>
    <row r="29571" ht="15.75" customHeight="1" spans="1:2">
      <c r="A29571" s="3" t="str">
        <f>IFERROR(__xludf.DUMMYFUNCTION("GOOGLETRANSLATE(A29571,""en"",""pt"")"),"qualidade média - exibição é pobre")</f>
        <v>qualidade média - exibição é pobre</v>
      </c>
      <c r="B29571" s="3">
        <v>0</v>
      </c>
    </row>
    <row r="29572" ht="15.75" customHeight="1" spans="1:2">
      <c r="A29572" s="3" t="str">
        <f>IFERROR(__xludf.DUMMYFUNCTION("GOOGLETRANSLATE(A29572,""en"",""pt"")"),"O caso é pouco apertado no começo, mas vai esticar com o uso.")</f>
        <v>O caso é pouco apertado no começo, mas vai esticar com o uso.</v>
      </c>
      <c r="B29572" s="3">
        <v>0</v>
      </c>
    </row>
    <row r="29573" ht="15.75" customHeight="1" spans="1:2">
      <c r="A29573" s="3" t="str">
        <f>IFERROR(__xludf.DUMMYFUNCTION("GOOGLETRANSLATE(A29573,""en"",""pt"")"),"Sem lente zoom")</f>
        <v>Sem lente zoom</v>
      </c>
      <c r="B29573" s="3">
        <v>0</v>
      </c>
    </row>
    <row r="29574" ht="15.75" customHeight="1" spans="1:2">
      <c r="A29574" s="3" t="str">
        <f>IFERROR(__xludf.DUMMYFUNCTION("GOOGLETRANSLATE(A29574,""en"",""pt"")"),"nenhum no momento")</f>
        <v>nenhum no momento</v>
      </c>
      <c r="B29574" s="3">
        <v>0</v>
      </c>
    </row>
    <row r="29575" ht="15.75" customHeight="1" spans="1:2">
      <c r="A29575" s="3" t="str">
        <f>IFERROR(__xludf.DUMMYFUNCTION("GOOGLETRANSLATE(A29575,""en"",""pt"")"),"Baterias se esgotam rapidamente, upload lento")</f>
        <v>Baterias se esgotam rapidamente, upload lento</v>
      </c>
      <c r="B29575" s="3">
        <v>0</v>
      </c>
    </row>
    <row r="29576" ht="15.75" customHeight="1" spans="1:2">
      <c r="A29576" s="3" t="str">
        <f>IFERROR(__xludf.DUMMYFUNCTION("GOOGLETRANSLATE(A29576,""en"",""pt"")"),"Usa um monte de baterias")</f>
        <v>Usa um monte de baterias</v>
      </c>
      <c r="B29576" s="3">
        <v>0</v>
      </c>
    </row>
    <row r="29577" ht="15.75" customHeight="1" spans="1:2">
      <c r="A29577" s="3" t="str">
        <f>IFERROR(__xludf.DUMMYFUNCTION("GOOGLETRANSLATE(A29577,""en"",""pt"")"),"view finder não vem sempre em")</f>
        <v>view finder não vem sempre em</v>
      </c>
      <c r="B29577" s="3">
        <v>0</v>
      </c>
    </row>
    <row r="29578" ht="15.75" customHeight="1" spans="1:2">
      <c r="A29578" s="3" t="str">
        <f>IFERROR(__xludf.DUMMYFUNCTION("GOOGLETRANSLATE(A29578,""en"",""pt"")"),"não tem zoom lense")</f>
        <v>não tem zoom lense</v>
      </c>
      <c r="B29578" s="3">
        <v>0</v>
      </c>
    </row>
    <row r="29579" ht="15.75" customHeight="1" spans="1:2">
      <c r="A29579" s="3" t="str">
        <f>IFERROR(__xludf.DUMMYFUNCTION("GOOGLETRANSLATE(A29579,""en"",""pt"")"),"As baterias não duram muito tempo")</f>
        <v>As baterias não duram muito tempo</v>
      </c>
      <c r="B29579" s="3">
        <v>0</v>
      </c>
    </row>
    <row r="29580" ht="15.75" customHeight="1" spans="1:2">
      <c r="A29580" s="3" t="str">
        <f>IFERROR(__xludf.DUMMYFUNCTION("GOOGLETRANSLATE(A29580,""en"",""pt"")"),"Come baterias. Sem zoom")</f>
        <v>Come baterias. Sem zoom</v>
      </c>
      <c r="B29580" s="3">
        <v>0</v>
      </c>
    </row>
    <row r="29581" ht="15.75" customHeight="1" spans="1:2">
      <c r="A29581" s="3" t="str">
        <f>IFERROR(__xludf.DUMMYFUNCTION("GOOGLETRANSLATE(A29581,""en"",""pt"")"),"suga o suco da bateria, sem zoom")</f>
        <v>suga o suco da bateria, sem zoom</v>
      </c>
      <c r="B29581" s="3">
        <v>0</v>
      </c>
    </row>
    <row r="29582" ht="15.75" customHeight="1" spans="1:2">
      <c r="A29582" s="3" t="str">
        <f>IFERROR(__xludf.DUMMYFUNCTION("GOOGLETRANSLATE(A29582,""en"",""pt"")"),"ruim para fotos noturnas; LCD difícil ver com brilho luz do dia;")</f>
        <v>ruim para fotos noturnas; LCD difícil ver com brilho luz do dia;</v>
      </c>
      <c r="B29582" s="3">
        <v>0</v>
      </c>
    </row>
    <row r="29583" ht="15.75" customHeight="1" spans="1:2">
      <c r="A29583" s="3" t="str">
        <f>IFERROR(__xludf.DUMMYFUNCTION("GOOGLETRANSLATE(A29583,""en"",""pt"")"),"Forma, tamanho, peso ... nada grave apenas pequenas coisas que leva para se acostumar.")</f>
        <v>Forma, tamanho, peso ... nada grave apenas pequenas coisas que leva para se acostumar.</v>
      </c>
      <c r="B29583" s="3">
        <v>0</v>
      </c>
    </row>
    <row r="29584" ht="15.75" customHeight="1" spans="1:2">
      <c r="A29584" s="3" t="str">
        <f>IFERROR(__xludf.DUMMYFUNCTION("GOOGLETRANSLATE(A29584,""en"",""pt"")"),"baterias come;")</f>
        <v>baterias come;</v>
      </c>
      <c r="B29584" s="3">
        <v>0</v>
      </c>
    </row>
    <row r="29585" ht="15.75" customHeight="1" spans="1:2">
      <c r="A29585" s="3" t="str">
        <f>IFERROR(__xludf.DUMMYFUNCTION("GOOGLETRANSLATE(A29585,""en"",""pt"")"),"Nenhum")</f>
        <v>Nenhum</v>
      </c>
      <c r="B29585" s="3">
        <v>0</v>
      </c>
    </row>
    <row r="29586" ht="15.75" customHeight="1" spans="1:2">
      <c r="A29586" s="3" t="str">
        <f>IFERROR(__xludf.DUMMYFUNCTION("GOOGLETRANSLATE(A29586,""en"",""pt"")"),"Apoio pouco, curta duração da bateria, não há suporte para Win2000")</f>
        <v>Apoio pouco, curta duração da bateria, não há suporte para Win2000</v>
      </c>
      <c r="B29586" s="3">
        <v>0</v>
      </c>
    </row>
    <row r="29587" ht="15.75" customHeight="1" spans="1:2">
      <c r="A29587" s="3" t="str">
        <f>IFERROR(__xludf.DUMMYFUNCTION("GOOGLETRANSLATE(A29587,""en"",""pt"")"),"As baterias não duram tanto tempo quanto gostaria")</f>
        <v>As baterias não duram tanto tempo quanto gostaria</v>
      </c>
      <c r="B29587" s="3">
        <v>0</v>
      </c>
    </row>
    <row r="29588" ht="15.75" customHeight="1" spans="1:2">
      <c r="A29588" s="3" t="str">
        <f>IFERROR(__xludf.DUMMYFUNCTION("GOOGLETRANSLATE(A29588,""en"",""pt"")"),"Sem zoom, a vida curta da bateria")</f>
        <v>Sem zoom, a vida curta da bateria</v>
      </c>
      <c r="B29588" s="3">
        <v>0</v>
      </c>
    </row>
    <row r="29589" ht="15.75" customHeight="1" spans="1:2">
      <c r="A29589" s="3" t="str">
        <f>IFERROR(__xludf.DUMMYFUNCTION("GOOGLETRANSLATE(A29589,""en"",""pt"")"),"ícones do menu intuitivo")</f>
        <v>ícones do menu intuitivo</v>
      </c>
      <c r="B29589" s="3">
        <v>0</v>
      </c>
    </row>
    <row r="29590" ht="15.75" customHeight="1" spans="1:2">
      <c r="A29590" s="3" t="str">
        <f>IFERROR(__xludf.DUMMYFUNCTION("GOOGLETRANSLATE(A29590,""en"",""pt"")"),"câmeras mais recentes têm passado este bye (desculpe Polaroid) :(")</f>
        <v>câmeras mais recentes têm passado este bye (desculpe Polaroid) :(</v>
      </c>
      <c r="B29590" s="3">
        <v>0</v>
      </c>
    </row>
    <row r="29591" ht="15.75" customHeight="1" spans="1:2">
      <c r="A29591" s="3" t="str">
        <f>IFERROR(__xludf.DUMMYFUNCTION("GOOGLETRANSLATE(A29591,""en"",""pt"")"),"vida útil da bateria, a qualidade da imagem")</f>
        <v>vida útil da bateria, a qualidade da imagem</v>
      </c>
      <c r="B29591" s="3">
        <v>0</v>
      </c>
    </row>
    <row r="29592" ht="15.75" customHeight="1" spans="1:2">
      <c r="A29592" s="3" t="str">
        <f>IFERROR(__xludf.DUMMYFUNCTION("GOOGLETRANSLATE(A29592,""en"",""pt"")"),"duração de bateria menor do que id como")</f>
        <v>duração de bateria menor do que id como</v>
      </c>
      <c r="B29592" s="3">
        <v>0</v>
      </c>
    </row>
    <row r="29593" ht="15.75" customHeight="1" spans="1:2">
      <c r="A29593" s="3" t="str">
        <f>IFERROR(__xludf.DUMMYFUNCTION("GOOGLETRANSLATE(A29593,""en"",""pt"")"),"Não é muito bom suporte de vida")</f>
        <v>Não é muito bom suporte de vida</v>
      </c>
      <c r="B29593" s="3">
        <v>0</v>
      </c>
    </row>
    <row r="29594" ht="15.75" customHeight="1" spans="1:2">
      <c r="A29594" s="3" t="str">
        <f>IFERROR(__xludf.DUMMYFUNCTION("GOOGLETRANSLATE(A29594,""en"",""pt"")"),"difícil em baterias, há proprietários reais Manual")</f>
        <v>difícil em baterias, há proprietários reais Manual</v>
      </c>
      <c r="B29594" s="3">
        <v>0</v>
      </c>
    </row>
    <row r="29595" ht="15.75" customHeight="1" spans="1:2">
      <c r="A29595" s="3" t="str">
        <f>IFERROR(__xludf.DUMMYFUNCTION("GOOGLETRANSLATE(A29595,""en"",""pt"")"),"Longa espera entre tirar fotos, mau coloração, leva tempo para baixar as fotos")</f>
        <v>Longa espera entre tirar fotos, mau coloração, leva tempo para baixar as fotos</v>
      </c>
      <c r="B29595" s="3">
        <v>0</v>
      </c>
    </row>
    <row r="29596" ht="15.75" customHeight="1" spans="1:2">
      <c r="A29596" s="3" t="str">
        <f>IFERROR(__xludf.DUMMYFUNCTION("GOOGLETRANSLATE(A29596,""en"",""pt"")"),"a vida da bateria ruim, confundindo controles LCD")</f>
        <v>a vida da bateria ruim, confundindo controles LCD</v>
      </c>
      <c r="B29596" s="3">
        <v>0</v>
      </c>
    </row>
    <row r="29597" ht="15.75" customHeight="1" spans="1:2">
      <c r="A29597" s="3" t="str">
        <f>IFERROR(__xludf.DUMMYFUNCTION("GOOGLETRANSLATE(A29597,""en"",""pt"")"),"a vida da bateria muito ruim")</f>
        <v>a vida da bateria muito ruim</v>
      </c>
      <c r="B29597" s="3">
        <v>0</v>
      </c>
    </row>
    <row r="29598" ht="15.75" customHeight="1" spans="1:2">
      <c r="A29598" s="3" t="str">
        <f>IFERROR(__xludf.DUMMYFUNCTION("GOOGLETRANSLATE(A29598,""en"",""pt"")"),"armazenamento modesto, sem cabo USB incluído, tem que baixar o manual detalhado")</f>
        <v>armazenamento modesto, sem cabo USB incluído, tem que baixar o manual detalhado</v>
      </c>
      <c r="B29598" s="3">
        <v>0</v>
      </c>
    </row>
    <row r="29599" ht="15.75" customHeight="1" spans="1:2">
      <c r="A29599" s="3" t="str">
        <f>IFERROR(__xludf.DUMMYFUNCTION("GOOGLETRANSLATE(A29599,""en"",""pt"")"),"uso da bateria")</f>
        <v>uso da bateria</v>
      </c>
      <c r="B29599" s="3">
        <v>0</v>
      </c>
    </row>
    <row r="29600" ht="15.75" customHeight="1" spans="1:2">
      <c r="A29600" s="3" t="str">
        <f>IFERROR(__xludf.DUMMYFUNCTION("GOOGLETRANSLATE(A29600,""en"",""pt"")"),"vida útil da bateria terrivelmente curta, manual, pequena bolsa de transporte não do proprietário detalhado.")</f>
        <v>vida útil da bateria terrivelmente curta, manual, pequena bolsa de transporte não do proprietário detalhado.</v>
      </c>
      <c r="B29600" s="3">
        <v>0</v>
      </c>
    </row>
    <row r="29601" ht="15.75" customHeight="1" spans="1:2">
      <c r="A29601" s="3" t="str">
        <f>IFERROR(__xludf.DUMMYFUNCTION("GOOGLETRANSLATE(A29601,""en"",""pt"")"),"Ele come baterias rápido")</f>
        <v>Ele come baterias rápido</v>
      </c>
      <c r="B29601" s="3">
        <v>0</v>
      </c>
    </row>
    <row r="29602" ht="15.75" customHeight="1" spans="1:2">
      <c r="A29602" s="3" t="str">
        <f>IFERROR(__xludf.DUMMYFUNCTION("GOOGLETRANSLATE(A29602,""en"",""pt"")"),"come BATERIAS")</f>
        <v>come BATERIAS</v>
      </c>
      <c r="B29602" s="3">
        <v>0</v>
      </c>
    </row>
    <row r="29603" ht="15.75" customHeight="1" spans="1:2">
      <c r="A29603" s="3" t="str">
        <f>IFERROR(__xludf.DUMMYFUNCTION("GOOGLETRANSLATE(A29603,""en"",""pt"")"),"Eles usam UPS para o transporte.")</f>
        <v>Eles usam UPS para o transporte.</v>
      </c>
      <c r="B29603" s="3">
        <v>0</v>
      </c>
    </row>
    <row r="29604" ht="15.75" customHeight="1" spans="1:2">
      <c r="A29604" s="3" t="str">
        <f>IFERROR(__xludf.DUMMYFUNCTION("GOOGLETRANSLATE(A29604,""en"",""pt"")"),"Nós não acabamos de comprar 12 pilhas AA na semana passada ????")</f>
        <v>Nós não acabamos de comprar 12 pilhas AA na semana passada ????</v>
      </c>
      <c r="B29604" s="3">
        <v>0</v>
      </c>
    </row>
    <row r="29605" ht="15.75" customHeight="1" spans="1:2">
      <c r="A29605" s="3" t="str">
        <f>IFERROR(__xludf.DUMMYFUNCTION("GOOGLETRANSLATE(A29605,""en"",""pt"")"),"Baixo res LCD, bateria com fome, Long Bota-se")</f>
        <v>Baixo res LCD, bateria com fome, Long Bota-se</v>
      </c>
      <c r="B29605" s="3">
        <v>0</v>
      </c>
    </row>
    <row r="29606" ht="15.75" customHeight="1" spans="1:2">
      <c r="A29606" s="3" t="str">
        <f>IFERROR(__xludf.DUMMYFUNCTION("GOOGLETRANSLATE(A29606,""en"",""pt"")"),"Não encontrei qualquer coisa que eu não gosto")</f>
        <v>Não encontrei qualquer coisa que eu não gosto</v>
      </c>
      <c r="B29606" s="3">
        <v>0</v>
      </c>
    </row>
    <row r="29607" ht="15.75" customHeight="1" spans="1:2">
      <c r="A29607" s="3" t="str">
        <f>IFERROR(__xludf.DUMMYFUNCTION("GOOGLETRANSLATE(A29607,""en"",""pt"")"),"não tem porta serial, baixar aborrecimento")</f>
        <v>não tem porta serial, baixar aborrecimento</v>
      </c>
      <c r="B29607" s="3">
        <v>0</v>
      </c>
    </row>
    <row r="29608" ht="15.75" customHeight="1" spans="1:2">
      <c r="A29608" s="3" t="str">
        <f>IFERROR(__xludf.DUMMYFUNCTION("GOOGLETRANSLATE(A29608,""en"",""pt"")"),"Sem cópia impressa do manual de instruções fornecido com a câmera.")</f>
        <v>Sem cópia impressa do manual de instruções fornecido com a câmera.</v>
      </c>
      <c r="B29608" s="3">
        <v>0</v>
      </c>
    </row>
    <row r="29609" ht="15.75" customHeight="1" spans="1:2">
      <c r="A29609" s="3" t="str">
        <f>IFERROR(__xludf.DUMMYFUNCTION("GOOGLETRANSLATE(A29609,""en"",""pt"")"),"bateria-vida curta, transferências lentas para PC, não se lembra configurações")</f>
        <v>bateria-vida curta, transferências lentas para PC, não se lembra configurações</v>
      </c>
      <c r="B29609" s="3">
        <v>0</v>
      </c>
    </row>
    <row r="29610" ht="15.75" customHeight="1" spans="1:2">
      <c r="A29610" s="3" t="str">
        <f>IFERROR(__xludf.DUMMYFUNCTION("GOOGLETRANSLATE(A29610,""en"",""pt"")"),"dreno alta bateria")</f>
        <v>dreno alta bateria</v>
      </c>
      <c r="B29610" s="3">
        <v>0</v>
      </c>
    </row>
    <row r="29611" ht="15.75" customHeight="1" spans="1:2">
      <c r="A29611" s="3" t="str">
        <f>IFERROR(__xludf.DUMMYFUNCTION("GOOGLETRANSLATE(A29611,""en"",""pt"")"),"Acessórios necessários para operar bem")</f>
        <v>Acessórios necessários para operar bem</v>
      </c>
      <c r="B29611" s="3">
        <v>0</v>
      </c>
    </row>
    <row r="29612" ht="15.75" customHeight="1" spans="1:2">
      <c r="A29612" s="3" t="str">
        <f>IFERROR(__xludf.DUMMYFUNCTION("GOOGLETRANSLATE(A29612,""en"",""pt"")"),"Sem zoom, áspero em baterias.")</f>
        <v>Sem zoom, áspero em baterias.</v>
      </c>
      <c r="B29612" s="3">
        <v>0</v>
      </c>
    </row>
    <row r="29613" ht="15.75" customHeight="1" spans="1:2">
      <c r="A29613" s="3" t="str">
        <f>IFERROR(__xludf.DUMMYFUNCTION("GOOGLETRANSLATE(A29613,""en"",""pt"")"),"baterias são caros")</f>
        <v>baterias são caros</v>
      </c>
      <c r="B29613" s="3">
        <v>0</v>
      </c>
    </row>
    <row r="29614" ht="15.75" customHeight="1" spans="1:2">
      <c r="A29614" s="3" t="str">
        <f>IFERROR(__xludf.DUMMYFUNCTION("GOOGLETRANSLATE(A29614,""en"",""pt"")"),"Baterias de trabalho para cerca de 5 minutos, sem zoom")</f>
        <v>Baterias de trabalho para cerca de 5 minutos, sem zoom</v>
      </c>
      <c r="B29614" s="3">
        <v>0</v>
      </c>
    </row>
    <row r="29615" ht="15.75" customHeight="1" spans="1:2">
      <c r="A29615" s="3" t="str">
        <f>IFERROR(__xludf.DUMMYFUNCTION("GOOGLETRANSLATE(A29615,""en"",""pt"")"),"curta duração da bateria, sem zoom")</f>
        <v>curta duração da bateria, sem zoom</v>
      </c>
      <c r="B29615" s="3">
        <v>0</v>
      </c>
    </row>
    <row r="29616" ht="15.75" customHeight="1" spans="1:2">
      <c r="A29616" s="3" t="str">
        <f>IFERROR(__xludf.DUMMYFUNCTION("GOOGLETRANSLATE(A29616,""en"",""pt"")"),"programas de fotografias Lousy")</f>
        <v>programas de fotografias Lousy</v>
      </c>
      <c r="B29616" s="3">
        <v>0</v>
      </c>
    </row>
    <row r="29617" ht="15.75" customHeight="1" spans="1:2">
      <c r="A29617" s="3" t="str">
        <f>IFERROR(__xludf.DUMMYFUNCTION("GOOGLETRANSLATE(A29617,""en"",""pt"")"),"baterias come, sem zoom, baixa resolução, carregamentos lentos")</f>
        <v>baterias come, sem zoom, baixa resolução, carregamentos lentos</v>
      </c>
      <c r="B29617" s="3">
        <v>0</v>
      </c>
    </row>
    <row r="29618" ht="15.75" customHeight="1" spans="1:2">
      <c r="A29618" s="3" t="str">
        <f>IFERROR(__xludf.DUMMYFUNCTION("GOOGLETRANSLATE(A29618,""en"",""pt"")"),"Utiliza baterias rápidas, leva um tempo para salvar as fotos.")</f>
        <v>Utiliza baterias rápidas, leva um tempo para salvar as fotos.</v>
      </c>
      <c r="B29618" s="3">
        <v>0</v>
      </c>
    </row>
    <row r="29619" ht="15.75" customHeight="1" spans="1:2">
      <c r="A29619" s="3" t="str">
        <f>IFERROR(__xludf.DUMMYFUNCTION("GOOGLETRANSLATE(A29619,""en"",""pt"")"),"Sem zoom, meu nariz às vezes aperta botão de menu")</f>
        <v>Sem zoom, meu nariz às vezes aperta botão de menu</v>
      </c>
      <c r="B29619" s="3">
        <v>0</v>
      </c>
    </row>
    <row r="29620" ht="15.75" customHeight="1" spans="1:2">
      <c r="A29620" s="3" t="str">
        <f>IFERROR(__xludf.DUMMYFUNCTION("GOOGLETRANSLATE(A29620,""en"",""pt"")"),"Apenas para tão qualidade de imagem na melhor das hipóteses.")</f>
        <v>Apenas para tão qualidade de imagem na melhor das hipóteses.</v>
      </c>
      <c r="B29620" s="3">
        <v>0</v>
      </c>
    </row>
    <row r="29621" ht="15.75" customHeight="1" spans="1:2">
      <c r="A29621" s="3" t="str">
        <f>IFERROR(__xludf.DUMMYFUNCTION("GOOGLETRANSLATE(A29621,""en"",""pt"")"),"Low-Battery Life, e bastante boa Pics. Difícil para ligar com mac")</f>
        <v>Low-Battery Life, e bastante boa Pics. Difícil para ligar com mac</v>
      </c>
      <c r="B29621" s="3">
        <v>0</v>
      </c>
    </row>
    <row r="29622" ht="15.75" customHeight="1" spans="1:2">
      <c r="A29622" s="3" t="str">
        <f>IFERROR(__xludf.DUMMYFUNCTION("GOOGLETRANSLATE(A29622,""en"",""pt"")"),"Quebra quando caiu em telhas cerâmicas")</f>
        <v>Quebra quando caiu em telhas cerâmicas</v>
      </c>
      <c r="B29622" s="3">
        <v>0</v>
      </c>
    </row>
    <row r="29623" ht="15.75" customHeight="1" spans="1:2">
      <c r="A29623" s="3" t="str">
        <f>IFERROR(__xludf.DUMMYFUNCTION("GOOGLETRANSLATE(A29623,""en"",""pt"")"),"Sem zoom, foco fixo, vida de bateria fraca")</f>
        <v>Sem zoom, foco fixo, vida de bateria fraca</v>
      </c>
      <c r="B29623" s="3">
        <v>0</v>
      </c>
    </row>
    <row r="29624" ht="15.75" customHeight="1" spans="1:2">
      <c r="A29624" s="3" t="str">
        <f>IFERROR(__xludf.DUMMYFUNCTION("GOOGLETRANSLATE(A29624,""en"",""pt"")"),"Nem as melhores fotos de qualidade")</f>
        <v>Nem as melhores fotos de qualidade</v>
      </c>
      <c r="B29624" s="3">
        <v>0</v>
      </c>
    </row>
    <row r="29625" ht="15.75" customHeight="1" spans="1:2">
      <c r="A29625" s="3" t="str">
        <f>IFERROR(__xludf.DUMMYFUNCTION("GOOGLETRANSLATE(A29625,""en"",""pt"")"),"Sem Visualizando tela da câmera")</f>
        <v>Sem Visualizando tela da câmera</v>
      </c>
      <c r="B29625" s="3">
        <v>0</v>
      </c>
    </row>
    <row r="29626" ht="15.75" customHeight="1" spans="1:2">
      <c r="A29626" s="3" t="str">
        <f>IFERROR(__xludf.DUMMYFUNCTION("GOOGLETRANSLATE(A29626,""en"",""pt"")"),"Somente 2Mbs mas que funciona para mim talvez não para você.")</f>
        <v>Somente 2Mbs mas que funciona para mim talvez não para você.</v>
      </c>
      <c r="B29626" s="3">
        <v>0</v>
      </c>
    </row>
    <row r="29627" ht="15.75" customHeight="1" spans="1:2">
      <c r="A29627" s="3" t="str">
        <f>IFERROR(__xludf.DUMMYFUNCTION("GOOGLETRANSLATE(A29627,""en"",""pt"")"),"Não suportado no Windows 2000")</f>
        <v>Não suportado no Windows 2000</v>
      </c>
      <c r="B29627" s="3">
        <v>0</v>
      </c>
    </row>
    <row r="29628" ht="15.75" customHeight="1" spans="1:2">
      <c r="A29628" s="3" t="str">
        <f>IFERROR(__xludf.DUMMYFUNCTION("GOOGLETRANSLATE(A29628,""en"",""pt"")"),"Não clique audível quando tirar a foto, as instruções não é fácil de entender")</f>
        <v>Não clique audível quando tirar a foto, as instruções não é fácil de entender</v>
      </c>
      <c r="B29628" s="3">
        <v>0</v>
      </c>
    </row>
    <row r="29629" ht="15.75" customHeight="1" spans="1:2">
      <c r="A29629" s="3" t="str">
        <f>IFERROR(__xludf.DUMMYFUNCTION("GOOGLETRANSLATE(A29629,""en"",""pt"")"),"qualidade das imagens distantes, não LCD visualização da imagem")</f>
        <v>qualidade das imagens distantes, não LCD visualização da imagem</v>
      </c>
      <c r="B29629" s="3">
        <v>0</v>
      </c>
    </row>
    <row r="29630" ht="15.75" customHeight="1" spans="1:2">
      <c r="A29630" s="3" t="str">
        <f>IFERROR(__xludf.DUMMYFUNCTION("GOOGLETRANSLATE(A29630,""en"",""pt"")"),"Ele não tem uma tela de LCD na parte traseira para visualização instantânea")</f>
        <v>Ele não tem uma tela de LCD na parte traseira para visualização instantânea</v>
      </c>
      <c r="B29630" s="3">
        <v>0</v>
      </c>
    </row>
    <row r="29631" ht="15.75" customHeight="1" spans="1:2">
      <c r="A29631" s="3" t="str">
        <f>IFERROR(__xludf.DUMMYFUNCTION("GOOGLETRANSLATE(A29631,""en"",""pt"")"),"características muito básicas")</f>
        <v>características muito básicas</v>
      </c>
      <c r="B29631" s="3">
        <v>0</v>
      </c>
    </row>
    <row r="29632" ht="15.75" customHeight="1" spans="1:2">
      <c r="A29632" s="3" t="str">
        <f>IFERROR(__xludf.DUMMYFUNCTION("GOOGLETRANSLATE(A29632,""en"",""pt"")"),"Não super fotos de qualidade. não para uso profissional.")</f>
        <v>Não super fotos de qualidade. não para uso profissional.</v>
      </c>
      <c r="B29632" s="3">
        <v>0</v>
      </c>
    </row>
    <row r="29633" ht="15.75" customHeight="1" spans="1:2">
      <c r="A29633" s="3" t="str">
        <f>IFERROR(__xludf.DUMMYFUNCTION("GOOGLETRANSLATE(A29633,""en"",""pt"")"),"qualidade razoável, Limited # of Pictures antes do download")</f>
        <v>qualidade razoável, Limited # of Pictures antes do download</v>
      </c>
      <c r="B29633" s="3">
        <v>0</v>
      </c>
    </row>
    <row r="29634" ht="15.75" customHeight="1" spans="1:2">
      <c r="A29634" s="3" t="str">
        <f>IFERROR(__xludf.DUMMYFUNCTION("GOOGLETRANSLATE(A29634,""en"",""pt"")"),"qualidade de imagem, nenhuma configuração do flash de preenchimento")</f>
        <v>qualidade de imagem, nenhuma configuração do flash de preenchimento</v>
      </c>
      <c r="B29634" s="3">
        <v>0</v>
      </c>
    </row>
    <row r="29635" ht="15.75" customHeight="1" spans="1:2">
      <c r="A29635" s="3" t="str">
        <f>IFERROR(__xludf.DUMMYFUNCTION("GOOGLETRANSLATE(A29635,""en"",""pt"")"),"não pode olhar para as fotos até depois de colocá-los em seu computador.")</f>
        <v>não pode olhar para as fotos até depois de colocá-los em seu computador.</v>
      </c>
      <c r="B29635" s="3">
        <v>0</v>
      </c>
    </row>
    <row r="29636" ht="15.75" customHeight="1" spans="1:2">
      <c r="A29636" s="3" t="str">
        <f>IFERROR(__xludf.DUMMYFUNCTION("GOOGLETRANSLATE(A29636,""en"",""pt"")"),"Não tem um cartão de memória para substituir.")</f>
        <v>Não tem um cartão de memória para substituir.</v>
      </c>
      <c r="B29636" s="3">
        <v>0</v>
      </c>
    </row>
    <row r="29637" ht="15.75" customHeight="1" spans="1:2">
      <c r="A29637" s="3" t="str">
        <f>IFERROR(__xludf.DUMMYFUNCTION("GOOGLETRANSLATE(A29637,""en"",""pt"")"),"má qualidade pic, flash está muito clara, as imagens são borradas, muitas vezes")</f>
        <v>má qualidade pic, flash está muito clara, as imagens são borradas, muitas vezes</v>
      </c>
      <c r="B29637" s="3">
        <v>0</v>
      </c>
    </row>
    <row r="29638" ht="15.75" customHeight="1" spans="1:2">
      <c r="A29638" s="3" t="str">
        <f>IFERROR(__xludf.DUMMYFUNCTION("GOOGLETRANSLATE(A29638,""en"",""pt"")"),"Pode borrar, granuladas olhando fotos")</f>
        <v>Pode borrar, granuladas olhando fotos</v>
      </c>
      <c r="B29638" s="3">
        <v>0</v>
      </c>
    </row>
    <row r="29639" ht="15.75" customHeight="1" spans="1:2">
      <c r="A29639" s="3" t="str">
        <f>IFERROR(__xludf.DUMMYFUNCTION("GOOGLETRANSLATE(A29639,""en"",""pt"")"),"capacidade limitada e não LCD para visualização")</f>
        <v>capacidade limitada e não LCD para visualização</v>
      </c>
      <c r="B29639" s="3">
        <v>0</v>
      </c>
    </row>
    <row r="29640" ht="15.75" customHeight="1" spans="1:2">
      <c r="A29640" s="3" t="str">
        <f>IFERROR(__xludf.DUMMYFUNCTION("GOOGLETRANSLATE(A29640,""en"",""pt"")"),"O display 'EV' e instruções demasiado técnico para o que você.")</f>
        <v>O display 'EV' e instruções demasiado técnico para o que você.</v>
      </c>
      <c r="B29640" s="3">
        <v>0</v>
      </c>
    </row>
    <row r="29641" ht="15.75" customHeight="1" spans="1:2">
      <c r="A29641" s="3" t="str">
        <f>IFERROR(__xludf.DUMMYFUNCTION("GOOGLETRANSLATE(A29641,""en"",""pt"")"),"lente fixa, não telespectador lcd")</f>
        <v>lente fixa, não telespectador lcd</v>
      </c>
      <c r="B29641" s="3">
        <v>0</v>
      </c>
    </row>
    <row r="29642" ht="15.75" customHeight="1" spans="1:2">
      <c r="A29642" s="3" t="str">
        <f>IFERROR(__xludf.DUMMYFUNCTION("GOOGLETRANSLATE(A29642,""en"",""pt"")"),"Ele não funciona")</f>
        <v>Ele não funciona</v>
      </c>
      <c r="B29642" s="3">
        <v>0</v>
      </c>
    </row>
    <row r="29643" ht="15.75" customHeight="1" spans="1:2">
      <c r="A29643" s="3" t="str">
        <f>IFERROR(__xludf.DUMMYFUNCTION("GOOGLETRANSLATE(A29643,""en"",""pt"")"),"qualidade de imagem pouco fiáveis")</f>
        <v>qualidade de imagem pouco fiáveis</v>
      </c>
      <c r="B29643" s="3">
        <v>0</v>
      </c>
    </row>
    <row r="29644" ht="15.75" customHeight="1" spans="1:2">
      <c r="A29644" s="3" t="str">
        <f>IFERROR(__xludf.DUMMYFUNCTION("GOOGLETRANSLATE(A29644,""en"",""pt"")"),"não-remoção cartão flash 2MB")</f>
        <v>não-remoção cartão flash 2MB</v>
      </c>
      <c r="B29644" s="3">
        <v>0</v>
      </c>
    </row>
    <row r="29645" ht="15.75" customHeight="1" spans="1:2">
      <c r="A29645" s="3" t="str">
        <f>IFERROR(__xludf.DUMMYFUNCTION("GOOGLETRANSLATE(A29645,""en"",""pt"")"),"Falta-lhe a resolução em qualidade de imagem de algumas outras marcas bem conhecidas.")</f>
        <v>Falta-lhe a resolução em qualidade de imagem de algumas outras marcas bem conhecidas.</v>
      </c>
      <c r="B29645" s="3">
        <v>0</v>
      </c>
    </row>
    <row r="29646" ht="15.75" customHeight="1" spans="1:2">
      <c r="A29646" s="3" t="str">
        <f>IFERROR(__xludf.DUMMYFUNCTION("GOOGLETRANSLATE(A29646,""en"",""pt"")"),"Sem Zoom, Bad qualidade de imagem, não é bom para tirar fotografias de memórias")</f>
        <v>Sem Zoom, Bad qualidade de imagem, não é bom para tirar fotografias de memórias</v>
      </c>
      <c r="B29646" s="3">
        <v>0</v>
      </c>
    </row>
    <row r="29647" ht="15.75" customHeight="1" spans="1:2">
      <c r="A29647" s="3" t="str">
        <f>IFERROR(__xludf.DUMMYFUNCTION("GOOGLETRANSLATE(A29647,""en"",""pt"")"),"No cartão de memória flash removível.")</f>
        <v>No cartão de memória flash removível.</v>
      </c>
      <c r="B29647" s="3">
        <v>0</v>
      </c>
    </row>
    <row r="29648" ht="15.75" customHeight="1" spans="1:2">
      <c r="A29648" s="3" t="s">
        <v>164</v>
      </c>
      <c r="B29648" s="3">
        <v>0</v>
      </c>
    </row>
    <row r="29649" ht="15.75" customHeight="1" spans="1:2">
      <c r="A29649" s="3" t="str">
        <f>IFERROR(__xludf.DUMMYFUNCTION("GOOGLETRANSLATE(A29649,""en"",""pt"")"),"Boas fotos")</f>
        <v>Boas fotos</v>
      </c>
      <c r="B29649" s="3">
        <v>0</v>
      </c>
    </row>
    <row r="29650" ht="15.75" customHeight="1" spans="1:2">
      <c r="A29650" s="3" t="s">
        <v>165</v>
      </c>
      <c r="B29650" s="3">
        <v>0</v>
      </c>
    </row>
    <row r="29651" ht="15.75" customHeight="1" spans="1:2">
      <c r="A29651" s="3" t="str">
        <f>IFERROR(__xludf.DUMMYFUNCTION("GOOGLETRANSLATE(A29651,""en"",""pt"")"),"Nenhum")</f>
        <v>Nenhum</v>
      </c>
      <c r="B29651" s="3">
        <v>0</v>
      </c>
    </row>
    <row r="29652" ht="15.75" customHeight="1" spans="1:2">
      <c r="A29652" s="3" t="str">
        <f>IFERROR(__xludf.DUMMYFUNCTION("GOOGLETRANSLATE(A29652,""en"",""pt"")"),"Come baterias se você usar a tela LCD.")</f>
        <v>Come baterias se você usar a tela LCD.</v>
      </c>
      <c r="B29652" s="3">
        <v>0</v>
      </c>
    </row>
    <row r="29653" ht="15.75" customHeight="1" spans="1:2">
      <c r="A29653" s="3" t="str">
        <f>IFERROR(__xludf.DUMMYFUNCTION("GOOGLETRANSLATE(A29653,""en"",""pt"")"),"curta duração da bateria, a maioria das configurações do usuário não são salvas quando a câmera é desligada")</f>
        <v>curta duração da bateria, a maioria das configurações do usuário não são salvas quando a câmera é desligada</v>
      </c>
      <c r="B29653" s="3">
        <v>0</v>
      </c>
    </row>
    <row r="29654" ht="15.75" customHeight="1" spans="1:2">
      <c r="A29654" s="3" t="str">
        <f>IFERROR(__xludf.DUMMYFUNCTION("GOOGLETRANSLATE(A29654,""en"",""pt"")"),"suite de software, conexão serial vs. USB")</f>
        <v>suite de software, conexão serial vs. USB</v>
      </c>
      <c r="B29654" s="3">
        <v>0</v>
      </c>
    </row>
    <row r="29655" ht="15.75" customHeight="1" spans="1:2">
      <c r="A29655" s="3" t="str">
        <f>IFERROR(__xludf.DUMMYFUNCTION("GOOGLETRANSLATE(A29655,""en"",""pt"")"),"Wow que um off rip")</f>
        <v>Wow que um off rip</v>
      </c>
      <c r="B29655" s="3">
        <v>0</v>
      </c>
    </row>
    <row r="29656" ht="15.75" customHeight="1" spans="1:2">
      <c r="A29656" s="3" t="str">
        <f>IFERROR(__xludf.DUMMYFUNCTION("GOOGLETRANSLATE(A29656,""en"",""pt"")"),"É um pouco caro")</f>
        <v>É um pouco caro</v>
      </c>
      <c r="B29656" s="3">
        <v>0</v>
      </c>
    </row>
    <row r="29657" ht="15.75" customHeight="1" spans="1:2">
      <c r="A29657" s="3" t="str">
        <f>IFERROR(__xludf.DUMMYFUNCTION("GOOGLETRANSLATE(A29657,""en"",""pt"")"),"n / D")</f>
        <v>n / D</v>
      </c>
      <c r="B29657" s="3">
        <v>0</v>
      </c>
    </row>
    <row r="29658" ht="15.75" customHeight="1" spans="1:2">
      <c r="A29658" s="3" t="str">
        <f>IFERROR(__xludf.DUMMYFUNCTION("GOOGLETRANSLATE(A29658,""en"",""pt"")"),"cabo de alimentação vem às vezes soltos")</f>
        <v>cabo de alimentação vem às vezes soltos</v>
      </c>
      <c r="B29658" s="3">
        <v>0</v>
      </c>
    </row>
    <row r="29659" ht="15.75" customHeight="1" spans="1:2">
      <c r="A29659" s="3" t="s">
        <v>166</v>
      </c>
      <c r="B29659" s="3">
        <v>0</v>
      </c>
    </row>
    <row r="29660" ht="15.75" customHeight="1" spans="1:2">
      <c r="A29660" s="3" t="str">
        <f>IFERROR(__xludf.DUMMYFUNCTION("GOOGLETRANSLATE(A29660,""en"",""pt"")"),"Um pouco caro, come baterias ao pequeno-almoço")</f>
        <v>Um pouco caro, come baterias ao pequeno-almoço</v>
      </c>
      <c r="B29660" s="3">
        <v>0</v>
      </c>
    </row>
    <row r="29661" ht="15.75" customHeight="1" spans="1:2">
      <c r="A29661" s="3" t="str">
        <f>IFERROR(__xludf.DUMMYFUNCTION("GOOGLETRANSLATE(A29661,""en"",""pt"")"),"Decepcionante qualidade de imagem, provavelmente devido a um flash inadequada.")</f>
        <v>Decepcionante qualidade de imagem, provavelmente devido a um flash inadequada.</v>
      </c>
      <c r="B29661" s="3">
        <v>0</v>
      </c>
    </row>
    <row r="29662" ht="15.75" customHeight="1" spans="1:2">
      <c r="A29662" s="3" t="str">
        <f>IFERROR(__xludf.DUMMYFUNCTION("GOOGLETRANSLATE(A29662,""en"",""pt"")"),"fotos blury se explodir 12X zoom")</f>
        <v>fotos blury se explodir 12X zoom</v>
      </c>
      <c r="B29662" s="3">
        <v>0</v>
      </c>
    </row>
    <row r="29663" ht="15.75" customHeight="1" spans="1:2">
      <c r="A29663" s="3" t="str">
        <f>IFERROR(__xludf.DUMMYFUNCTION("GOOGLETRANSLATE(A29663,""en"",""pt"")"),"Atormentado com problemas, Pobre qualidade de imagem, a menos de Média Duração da Bateria &amp; amp; # 13; &amp; amp; # 10;")</f>
        <v>Atormentado com problemas, Pobre qualidade de imagem, a menos de Média Duração da Bateria &amp; amp; # 13; &amp; amp; # 10;</v>
      </c>
      <c r="B29663" s="3">
        <v>0</v>
      </c>
    </row>
    <row r="29664" ht="15.75" customHeight="1" spans="1:2">
      <c r="A29664" s="3" t="str">
        <f>IFERROR(__xludf.DUMMYFUNCTION("GOOGLETRANSLATE(A29664,""en"",""pt"")"),"corpo muito largo, pequeno painel LCD.")</f>
        <v>corpo muito largo, pequeno painel LCD.</v>
      </c>
      <c r="B29664" s="3">
        <v>0</v>
      </c>
    </row>
    <row r="29665" ht="15.75" customHeight="1" spans="1:2">
      <c r="A29665" s="3" t="str">
        <f>IFERROR(__xludf.DUMMYFUNCTION("GOOGLETRANSLATE(A29665,""en"",""pt"")"),"fabril 5 mnths de idade e não honrará 1 ano warrenty.")</f>
        <v>fabril 5 mnths de idade e não honrará 1 ano warrenty.</v>
      </c>
      <c r="B29665" s="3">
        <v>0</v>
      </c>
    </row>
    <row r="29666" ht="15.75" customHeight="1" spans="1:2">
      <c r="A29666" s="3" t="str">
        <f>IFERROR(__xludf.DUMMYFUNCTION("GOOGLETRANSLATE(A29666,""en"",""pt"")"),"A qualidade é horrível")</f>
        <v>A qualidade é horrível</v>
      </c>
      <c r="B29666" s="3">
        <v>0</v>
      </c>
    </row>
    <row r="29667" ht="15.75" customHeight="1" spans="1:2">
      <c r="A29667" s="3" t="str">
        <f>IFERROR(__xludf.DUMMYFUNCTION("GOOGLETRANSLATE(A29667,""en"",""pt"")"),"tudo")</f>
        <v>tudo</v>
      </c>
      <c r="B29667" s="3">
        <v>0</v>
      </c>
    </row>
    <row r="29668" ht="15.75" customHeight="1" spans="1:2">
      <c r="A29668" s="3" t="str">
        <f>IFERROR(__xludf.DUMMYFUNCTION("GOOGLETRANSLATE(A29668,""en"",""pt"")"),"má qualidade")</f>
        <v>má qualidade</v>
      </c>
      <c r="B29668" s="3">
        <v>0</v>
      </c>
    </row>
    <row r="29669" ht="15.75" customHeight="1" spans="1:2">
      <c r="A29669" s="3" t="str">
        <f>IFERROR(__xludf.DUMMYFUNCTION("GOOGLETRANSLATE(A29669,""en"",""pt"")"),"todo o resto")</f>
        <v>todo o resto</v>
      </c>
      <c r="B29669" s="3">
        <v>0</v>
      </c>
    </row>
    <row r="29670" ht="15.75" customHeight="1" spans="1:2">
      <c r="A29670" s="3" t="str">
        <f>IFERROR(__xludf.DUMMYFUNCTION("GOOGLETRANSLATE(A29670,""en"",""pt"")"),"atraso de obturador longa., plástico fraco")</f>
        <v>atraso de obturador longa., plástico fraco</v>
      </c>
      <c r="B29670" s="3">
        <v>0</v>
      </c>
    </row>
    <row r="29671" ht="15.75" customHeight="1" spans="1:2">
      <c r="A29671" s="3" t="str">
        <f>IFERROR(__xludf.DUMMYFUNCTION("GOOGLETRANSLATE(A29671,""en"",""pt"")"),"nenhuma memória interna, não impressionado com o software incluído.")</f>
        <v>nenhuma memória interna, não impressionado com o software incluído.</v>
      </c>
      <c r="B29671" s="3">
        <v>0</v>
      </c>
    </row>
    <row r="29672" ht="15.75" customHeight="1" spans="1:2">
      <c r="A29672" s="3" t="str">
        <f>IFERROR(__xludf.DUMMYFUNCTION("GOOGLETRANSLATE(A29672,""en"",""pt"")"),"Não muitas opções")</f>
        <v>Não muitas opções</v>
      </c>
      <c r="B29672" s="3">
        <v>0</v>
      </c>
    </row>
    <row r="29673" ht="15.75" customHeight="1" spans="1:2">
      <c r="A29673" s="3" t="str">
        <f>IFERROR(__xludf.DUMMYFUNCTION("GOOGLETRANSLATE(A29673,""en"",""pt"")"),"Má qualidade")</f>
        <v>Má qualidade</v>
      </c>
      <c r="B29673" s="3">
        <v>0</v>
      </c>
    </row>
    <row r="29674" ht="15.75" customHeight="1" spans="1:2">
      <c r="A29674" s="3" t="str">
        <f>IFERROR(__xludf.DUMMYFUNCTION("GOOGLETRANSLATE(A29674,""en"",""pt"")"),"porta da bateria travas pausa.")</f>
        <v>porta da bateria travas pausa.</v>
      </c>
      <c r="B29674" s="3">
        <v>0</v>
      </c>
    </row>
    <row r="29675" ht="15.75" customHeight="1" spans="1:2">
      <c r="A29675" s="3" t="str">
        <f>IFERROR(__xludf.DUMMYFUNCTION("GOOGLETRANSLATE(A29675,""en"",""pt"")"),"Camera é inaceitável, quebra facilmente -A pesadelo. Empresa horrível para trabalhar.")</f>
        <v>Camera é inaceitável, quebra facilmente -A pesadelo. Empresa horrível para trabalhar.</v>
      </c>
      <c r="B29675" s="3">
        <v>0</v>
      </c>
    </row>
    <row r="29676" ht="15.75" customHeight="1" spans="1:2">
      <c r="A29676" s="3" t="str">
        <f>IFERROR(__xludf.DUMMYFUNCTION("GOOGLETRANSLATE(A29676,""en"",""pt"")"),"JUNK JUNK JUNK JUNK JUNK JUNK JUNK JUNK (é que 15 palavras ??)")</f>
        <v>JUNK JUNK JUNK JUNK JUNK JUNK JUNK JUNK (é que 15 palavras ??)</v>
      </c>
      <c r="B29676" s="3">
        <v>0</v>
      </c>
    </row>
    <row r="29677" ht="15.75" customHeight="1" spans="1:2">
      <c r="A29677" s="3" t="str">
        <f>IFERROR(__xludf.DUMMYFUNCTION("GOOGLETRANSLATE(A29677,""en"",""pt"")"),"Piscar muito brilhante. Má qualidade, as imagens borradas. Download lenta (leva-se a vida da bateria).")</f>
        <v>Piscar muito brilhante. Má qualidade, as imagens borradas. Download lenta (leva-se a vida da bateria).</v>
      </c>
      <c r="B29677" s="3">
        <v>0</v>
      </c>
    </row>
    <row r="29678" ht="15.75" customHeight="1" spans="1:2">
      <c r="A29678" s="3" t="str">
        <f>IFERROR(__xludf.DUMMYFUNCTION("GOOGLETRANSLATE(A29678,""en"",""pt"")"),"Pobre Software, pouca memória, vida de bateria fraca, Camera detectadas apenas em COM1")</f>
        <v>Pobre Software, pouca memória, vida de bateria fraca, Camera detectadas apenas em COM1</v>
      </c>
      <c r="B29678" s="3">
        <v>0</v>
      </c>
    </row>
    <row r="29679" ht="15.75" customHeight="1" spans="1:2">
      <c r="A29679" s="3" t="str">
        <f>IFERROR(__xludf.DUMMYFUNCTION("GOOGLETRANSLATE(A29679,""en"",""pt"")"),"A qualidade é assim-assim, memória limitada")</f>
        <v>A qualidade é assim-assim, memória limitada</v>
      </c>
      <c r="B29679" s="3">
        <v>0</v>
      </c>
    </row>
    <row r="29680" ht="15.75" customHeight="1" spans="1:2">
      <c r="A29680" s="3" t="str">
        <f>IFERROR(__xludf.DUMMYFUNCTION("GOOGLETRANSLATE(A29680,""en"",""pt"")"),"câmera defeituosa barato")</f>
        <v>câmera defeituosa barato</v>
      </c>
      <c r="B29680" s="3">
        <v>0</v>
      </c>
    </row>
    <row r="29681" ht="15.75" customHeight="1" spans="1:2">
      <c r="A29681" s="3" t="str">
        <f>IFERROR(__xludf.DUMMYFUNCTION("GOOGLETRANSLATE(A29681,""en"",""pt"")"),"Come baterias. Memória poderia ser maior.")</f>
        <v>Come baterias. Memória poderia ser maior.</v>
      </c>
      <c r="B29681" s="3">
        <v>0</v>
      </c>
    </row>
    <row r="29682" ht="15.75" customHeight="1" spans="1:2">
      <c r="A29682" s="3" t="str">
        <f>IFERROR(__xludf.DUMMYFUNCTION("GOOGLETRANSLATE(A29682,""en"",""pt"")"),"Flash, Pictures, Software, Drivers")</f>
        <v>Flash, Pictures, Software, Drivers</v>
      </c>
      <c r="B29682" s="3">
        <v>0</v>
      </c>
    </row>
    <row r="29683" ht="15.75" customHeight="1" spans="1:2">
      <c r="A29683" s="3" t="str">
        <f>IFERROR(__xludf.DUMMYFUNCTION("GOOGLETRANSLATE(A29683,""en"",""pt"")"),"a vida da bateria pobres. bateria fora do padrão de memória de baixo da imagem. fotos de baixa qualidade.")</f>
        <v>a vida da bateria pobres. bateria fora do padrão de memória de baixo da imagem. fotos de baixa qualidade.</v>
      </c>
      <c r="B29683" s="3">
        <v>0</v>
      </c>
    </row>
    <row r="29684" ht="15.75" customHeight="1" spans="1:2">
      <c r="A29684" s="3" t="str">
        <f>IFERROR(__xludf.DUMMYFUNCTION("GOOGLETRANSLATE(A29684,""en"",""pt"")"),"Mais barata feita sem acessórios necessários para desfrutar")</f>
        <v>Mais barata feita sem acessórios necessários para desfrutar</v>
      </c>
      <c r="B29684" s="3">
        <v>0</v>
      </c>
    </row>
    <row r="29685" ht="15.75" customHeight="1" spans="1:2">
      <c r="A29685" s="3" t="str">
        <f>IFERROR(__xludf.DUMMYFUNCTION("GOOGLETRANSLATE(A29685,""en"",""pt"")"),"software é lento e demorado")</f>
        <v>software é lento e demorado</v>
      </c>
      <c r="B29685" s="3">
        <v>0</v>
      </c>
    </row>
    <row r="29686" ht="15.75" customHeight="1" spans="1:2">
      <c r="A29686" s="3" t="str">
        <f>IFERROR(__xludf.DUMMYFUNCTION("GOOGLETRANSLATE(A29686,""en"",""pt"")"),"Bad software, problemas com resolução")</f>
        <v>Bad software, problemas com resolução</v>
      </c>
      <c r="B29686" s="3">
        <v>0</v>
      </c>
    </row>
    <row r="29687" ht="15.75" customHeight="1" spans="1:2">
      <c r="A29687" s="3" t="str">
        <f>IFERROR(__xludf.DUMMYFUNCTION("GOOGLETRANSLATE(A29687,""en"",""pt"")"),"Nenhum foco ou flash de controle. adaptador sem AC.")</f>
        <v>Nenhum foco ou flash de controle. adaptador sem AC.</v>
      </c>
      <c r="B29687" s="3">
        <v>0</v>
      </c>
    </row>
    <row r="29688" ht="15.75" customHeight="1" spans="1:2">
      <c r="A29688" s="3" t="str">
        <f>IFERROR(__xludf.DUMMYFUNCTION("GOOGLETRANSLATE(A29688,""en"",""pt"")"),"Carece de muitos recursos")</f>
        <v>Carece de muitos recursos</v>
      </c>
      <c r="B29688" s="3">
        <v>0</v>
      </c>
    </row>
    <row r="29689" ht="15.75" customHeight="1" spans="1:2">
      <c r="A29689" s="3" t="str">
        <f>IFERROR(__xludf.DUMMYFUNCTION("GOOGLETRANSLATE(A29689,""en"",""pt"")"),"bateria não dura muito tempo em tudo")</f>
        <v>bateria não dura muito tempo em tudo</v>
      </c>
      <c r="B29689" s="3">
        <v>0</v>
      </c>
    </row>
    <row r="29690" ht="15.75" customHeight="1" spans="1:2">
      <c r="A29690" s="3" t="str">
        <f>IFERROR(__xludf.DUMMYFUNCTION("GOOGLETRANSLATE(A29690,""en"",""pt"")"),"Não é possível visualizar imagens como você levá-los")</f>
        <v>Não é possível visualizar imagens como você levá-los</v>
      </c>
      <c r="B29690" s="3">
        <v>0</v>
      </c>
    </row>
    <row r="29691" ht="15.75" customHeight="1" spans="1:2">
      <c r="A29691" s="3" t="str">
        <f>IFERROR(__xludf.DUMMYFUNCTION("GOOGLETRANSLATE(A29691,""en"",""pt"")"),"Sem zoom, sem tampa da lente (podem arranhar)")</f>
        <v>Sem zoom, sem tampa da lente (podem arranhar)</v>
      </c>
      <c r="B29691" s="3">
        <v>0</v>
      </c>
    </row>
    <row r="29692" ht="15.75" customHeight="1" spans="1:2">
      <c r="A29692" s="3" t="str">
        <f>IFERROR(__xludf.DUMMYFUNCTION("GOOGLETRANSLATE(A29692,""en"",""pt"")"),"baterias mastiga que são de alta do dólar, baixa qualidade de imagem, sem controle de flash")</f>
        <v>baterias mastiga que são de alta do dólar, baixa qualidade de imagem, sem controle de flash</v>
      </c>
      <c r="B29692" s="3">
        <v>0</v>
      </c>
    </row>
    <row r="29693" ht="15.75" customHeight="1" spans="1:2">
      <c r="A29693" s="3" t="str">
        <f>IFERROR(__xludf.DUMMYFUNCTION("GOOGLETRANSLATE(A29693,""en"",""pt"")"),"baterias come, requer COM1 para transferir imagens de forma limpa, não funciona bem com o Windows NT")</f>
        <v>baterias come, requer COM1 para transferir imagens de forma limpa, não funciona bem com o Windows NT</v>
      </c>
      <c r="B29693" s="3">
        <v>0</v>
      </c>
    </row>
    <row r="29694" ht="15.75" customHeight="1" spans="1:2">
      <c r="A29694" s="3" t="str">
        <f>IFERROR(__xludf.DUMMYFUNCTION("GOOGLETRANSLATE(A29694,""en"",""pt"")"),"Precisa de uma on &amp; amp; amp; switch off para o flash")</f>
        <v>Precisa de uma on &amp; amp; amp; switch off para o flash</v>
      </c>
      <c r="B29694" s="3">
        <v>0</v>
      </c>
    </row>
    <row r="29695" ht="15.75" customHeight="1" spans="1:2">
      <c r="A29695" s="3" t="str">
        <f>IFERROR(__xludf.DUMMYFUNCTION("GOOGLETRANSLATE(A29695,""en"",""pt"")"),"resolução de qualidade moderada")</f>
        <v>resolução de qualidade moderada</v>
      </c>
      <c r="B29695" s="3">
        <v>0</v>
      </c>
    </row>
    <row r="29696" ht="15.75" customHeight="1" spans="1:2">
      <c r="A29696" s="3" t="str">
        <f>IFERROR(__xludf.DUMMYFUNCTION("GOOGLETRANSLATE(A29696,""en"",""pt"")"),"pilhas de qualidade e come pic")</f>
        <v>pilhas de qualidade e come pic</v>
      </c>
      <c r="B29696" s="3">
        <v>0</v>
      </c>
    </row>
    <row r="29697" ht="15.75" customHeight="1" spans="1:2">
      <c r="A29697" s="3" t="str">
        <f>IFERROR(__xludf.DUMMYFUNCTION("GOOGLETRANSLATE(A29697,""en"",""pt"")"),"Não é bom para perto ou trabalho do negócio")</f>
        <v>Não é bom para perto ou trabalho do negócio</v>
      </c>
      <c r="B29697" s="3">
        <v>0</v>
      </c>
    </row>
    <row r="29698" ht="15.75" customHeight="1" spans="1:2">
      <c r="A29698" s="3" t="str">
        <f>IFERROR(__xludf.DUMMYFUNCTION("GOOGLETRANSLATE(A29698,""en"",""pt"")"),"Eu não consigo pensar em nenhum.")</f>
        <v>Eu não consigo pensar em nenhum.</v>
      </c>
      <c r="B29698" s="3">
        <v>0</v>
      </c>
    </row>
    <row r="29699" ht="15.75" customHeight="1" spans="1:2">
      <c r="A29699" s="3" t="str">
        <f>IFERROR(__xludf.DUMMYFUNCTION("GOOGLETRANSLATE(A29699,""en"",""pt"")"),"usa um monte de baterias, memória pequeno")</f>
        <v>usa um monte de baterias, memória pequeno</v>
      </c>
      <c r="B29699" s="3">
        <v>0</v>
      </c>
    </row>
    <row r="29700" ht="15.75" customHeight="1" spans="1:2">
      <c r="A29700" s="3" t="str">
        <f>IFERROR(__xludf.DUMMYFUNCTION("GOOGLETRANSLATE(A29700,""en"",""pt"")"),"Memória baixa")</f>
        <v>Memória baixa</v>
      </c>
      <c r="B29700" s="3">
        <v>0</v>
      </c>
    </row>
    <row r="29701" ht="15.75" customHeight="1" spans="1:2">
      <c r="A29701" s="3" t="str">
        <f>IFERROR(__xludf.DUMMYFUNCTION("GOOGLETRANSLATE(A29701,""en"",""pt"")"),"mais caro do que 35mm barato")</f>
        <v>mais caro do que 35mm barato</v>
      </c>
      <c r="B29701" s="3">
        <v>0</v>
      </c>
    </row>
    <row r="29702" ht="15.75" customHeight="1" spans="1:2">
      <c r="A29702" s="3" t="str">
        <f>IFERROR(__xludf.DUMMYFUNCTION("GOOGLETRANSLATE(A29702,""en"",""pt"")"),"sem zoom")</f>
        <v>sem zoom</v>
      </c>
      <c r="B29702" s="3">
        <v>0</v>
      </c>
    </row>
    <row r="29703" ht="15.75" customHeight="1" spans="1:2">
      <c r="A29703" s="3" t="str">
        <f>IFERROR(__xludf.DUMMYFUNCTION("GOOGLETRANSLATE(A29703,""en"",""pt"")"),"fotos de baixa qualidade, precisa de um software fora para obter bons resultados.")</f>
        <v>fotos de baixa qualidade, precisa de um software fora para obter bons resultados.</v>
      </c>
      <c r="B29703" s="3">
        <v>0</v>
      </c>
    </row>
    <row r="29704" ht="15.75" customHeight="1" spans="1:2">
      <c r="A29704" s="3" t="str">
        <f>IFERROR(__xludf.DUMMYFUNCTION("GOOGLETRANSLATE(A29704,""en"",""pt"")"),"Bad flash, memória pequeno, médio. Qualidade")</f>
        <v>Bad flash, memória pequeno, médio. Qualidade</v>
      </c>
      <c r="B29704" s="3">
        <v>0</v>
      </c>
    </row>
    <row r="29705" ht="15.75" customHeight="1" spans="1:2">
      <c r="A29705" s="3" t="str">
        <f>IFERROR(__xludf.DUMMYFUNCTION("GOOGLETRANSLATE(A29705,""en"",""pt"")"),"Programas")</f>
        <v>Programas</v>
      </c>
      <c r="B29705" s="3">
        <v>0</v>
      </c>
    </row>
    <row r="29706" ht="15.75" customHeight="1" spans="1:2">
      <c r="A29706" s="3" t="str">
        <f>IFERROR(__xludf.DUMMYFUNCTION("GOOGLETRANSLATE(A29706,""en"",""pt"")"),"Falhas de chips")</f>
        <v>Falhas de chips</v>
      </c>
      <c r="B29706" s="3">
        <v>0</v>
      </c>
    </row>
    <row r="29707" ht="15.75" customHeight="1" spans="1:2">
      <c r="A29707" s="3" t="str">
        <f>IFERROR(__xludf.DUMMYFUNCTION("GOOGLETRANSLATE(A29707,""en"",""pt"")"),"terrível para close-ups!")</f>
        <v>terrível para close-ups!</v>
      </c>
      <c r="B29707" s="3">
        <v>0</v>
      </c>
    </row>
    <row r="29708" ht="15.75" customHeight="1" spans="1:2">
      <c r="A29708" s="3" t="str">
        <f>IFERROR(__xludf.DUMMYFUNCTION("GOOGLETRANSLATE(A29708,""en"",""pt"")"),"muito baixos pixels, alto uso da bateria")</f>
        <v>muito baixos pixels, alto uso da bateria</v>
      </c>
      <c r="B29708" s="3">
        <v>0</v>
      </c>
    </row>
    <row r="29709" ht="15.75" customHeight="1" spans="1:2">
      <c r="A29709" s="3" t="str">
        <f>IFERROR(__xludf.DUMMYFUNCTION("GOOGLETRANSLATE(A29709,""en"",""pt"")"),"640x480 é a mais alta resolução e resolução de 320x240 é inútil")</f>
        <v>640x480 é a mais alta resolução e resolução de 320x240 é inútil</v>
      </c>
      <c r="B29709" s="3">
        <v>0</v>
      </c>
    </row>
    <row r="29710" ht="15.75" customHeight="1" spans="1:2">
      <c r="A29710" s="3" t="str">
        <f>IFERROR(__xludf.DUMMYFUNCTION("GOOGLETRANSLATE(A29710,""en"",""pt"")"),"Mas ele usa a bateria!")</f>
        <v>Mas ele usa a bateria!</v>
      </c>
      <c r="B29710" s="3">
        <v>0</v>
      </c>
    </row>
    <row r="29711" ht="15.75" customHeight="1" spans="1:2">
      <c r="A29711" s="3" t="str">
        <f>IFERROR(__xludf.DUMMYFUNCTION("GOOGLETRANSLATE(A29711,""en"",""pt"")"),"vários")</f>
        <v>vários</v>
      </c>
      <c r="B29711" s="3">
        <v>0</v>
      </c>
    </row>
    <row r="29712" ht="15.75" customHeight="1" spans="1:2">
      <c r="A29712" s="3" t="str">
        <f>IFERROR(__xludf.DUMMYFUNCTION("GOOGLETRANSLATE(A29712,""en"",""pt"")"),"Todo o resto")</f>
        <v>Todo o resto</v>
      </c>
      <c r="B29712" s="3">
        <v>0</v>
      </c>
    </row>
    <row r="29713" ht="15.75" customHeight="1" spans="1:2">
      <c r="A29713" s="3" t="str">
        <f>IFERROR(__xludf.DUMMYFUNCTION("GOOGLETRANSLATE(A29713,""en"",""pt"")"),"deve ter melhor software fornecido então")</f>
        <v>deve ter melhor software fornecido então</v>
      </c>
      <c r="B29713" s="3">
        <v>0</v>
      </c>
    </row>
    <row r="29714" ht="15.75" customHeight="1" spans="1:2">
      <c r="A29714" s="3" t="str">
        <f>IFERROR(__xludf.DUMMYFUNCTION("GOOGLETRANSLATE(A29714,""en"",""pt"")"),"Precisa de baterias muito!")</f>
        <v>Precisa de baterias muito!</v>
      </c>
      <c r="B29714" s="3">
        <v>0</v>
      </c>
    </row>
    <row r="29715" ht="15.75" customHeight="1" spans="1:2">
      <c r="A29715" s="3" t="str">
        <f>IFERROR(__xludf.DUMMYFUNCTION("GOOGLETRANSLATE(A29715,""en"",""pt"")"),"Carece de muitos recursos mais recentes")</f>
        <v>Carece de muitos recursos mais recentes</v>
      </c>
      <c r="B29715" s="3">
        <v>0</v>
      </c>
    </row>
    <row r="29716" ht="15.75" customHeight="1" spans="1:2">
      <c r="A29716" s="3" t="str">
        <f>IFERROR(__xludf.DUMMYFUNCTION("GOOGLETRANSLATE(A29716,""en"",""pt"")"),"Tempermental com adaptador AC, exigente sobre as condições de iluminação")</f>
        <v>Tempermental com adaptador AC, exigente sobre as condições de iluminação</v>
      </c>
      <c r="B29716" s="3">
        <v>0</v>
      </c>
    </row>
    <row r="29717" ht="15.75" customHeight="1" spans="1:2">
      <c r="A29717" s="3" t="str">
        <f>IFERROR(__xludf.DUMMYFUNCTION("GOOGLETRANSLATE(A29717,""en"",""pt"")"),"Realmente precisa comprar o adaptador AC.")</f>
        <v>Realmente precisa comprar o adaptador AC.</v>
      </c>
      <c r="B29717" s="3">
        <v>0</v>
      </c>
    </row>
    <row r="29718" ht="15.75" customHeight="1" spans="1:2">
      <c r="A29718" s="3" t="str">
        <f>IFERROR(__xludf.DUMMYFUNCTION("GOOGLETRANSLATE(A29718,""en"",""pt"")"),"Subpar qualidade de imagem mas, novamente, você obtém o que você paga")</f>
        <v>Subpar qualidade de imagem mas, novamente, você obtém o que você paga</v>
      </c>
      <c r="B29718" s="3">
        <v>0</v>
      </c>
    </row>
    <row r="29719" ht="15.75" customHeight="1" spans="1:2">
      <c r="A29719" s="3" t="str">
        <f>IFERROR(__xludf.DUMMYFUNCTION("GOOGLETRANSLATE(A29719,""en"",""pt"")"),"o uso da bateria")</f>
        <v>o uso da bateria</v>
      </c>
      <c r="B29719" s="3">
        <v>0</v>
      </c>
    </row>
    <row r="29720" ht="15.75" customHeight="1" spans="1:2">
      <c r="A29720" s="3" t="str">
        <f>IFERROR(__xludf.DUMMYFUNCTION("GOOGLETRANSLATE(A29720,""en"",""pt"")"),"o consumo da bateria pesada")</f>
        <v>o consumo da bateria pesada</v>
      </c>
      <c r="B29720" s="3">
        <v>0</v>
      </c>
    </row>
    <row r="29721" ht="15.75" customHeight="1" spans="1:2">
      <c r="A29721" s="3" t="str">
        <f>IFERROR(__xludf.DUMMYFUNCTION("GOOGLETRANSLATE(A29721,""en"",""pt"")"),"o consumo da bateria")</f>
        <v>o consumo da bateria</v>
      </c>
      <c r="B29721" s="3">
        <v>0</v>
      </c>
    </row>
    <row r="29722" ht="15.75" customHeight="1" spans="1:2">
      <c r="A29722" s="3" t="str">
        <f>IFERROR(__xludf.DUMMYFUNCTION("GOOGLETRANSLATE(A29722,""en"",""pt"")"),"gostaria que operou mais como um ponto e atirar câmera")</f>
        <v>gostaria que operou mais como um ponto e atirar câmera</v>
      </c>
      <c r="B29722" s="3">
        <v>0</v>
      </c>
    </row>
    <row r="29723" ht="15.75" customHeight="1" spans="1:2">
      <c r="A29723" s="3" t="str">
        <f>IFERROR(__xludf.DUMMYFUNCTION("GOOGLETRANSLATE(A29723,""en"",""pt"")"),"Bad lente ...")</f>
        <v>Bad lente ...</v>
      </c>
      <c r="B29723" s="3">
        <v>0</v>
      </c>
    </row>
    <row r="29724" ht="15.75" customHeight="1" spans="1:2">
      <c r="A29724" s="3" t="str">
        <f>IFERROR(__xludf.DUMMYFUNCTION("GOOGLETRANSLATE(A29724,""en"",""pt"")"),"nenhum que eu encontrei")</f>
        <v>nenhum que eu encontrei</v>
      </c>
      <c r="B29724" s="3">
        <v>0</v>
      </c>
    </row>
    <row r="29725" ht="15.75" customHeight="1" spans="1:2">
      <c r="A29725" s="3" t="str">
        <f>IFERROR(__xludf.DUMMYFUNCTION("GOOGLETRANSLATE(A29725,""en"",""pt"")"),"Pictures poderia ser mais claro.")</f>
        <v>Pictures poderia ser mais claro.</v>
      </c>
      <c r="B29725" s="3">
        <v>0</v>
      </c>
    </row>
    <row r="29726" ht="15.75" customHeight="1" spans="1:2">
      <c r="A29726" s="3" t="str">
        <f>IFERROR(__xludf.DUMMYFUNCTION("GOOGLETRANSLATE(A29726,""en"",""pt"")"),"drena a bateria muito rápido")</f>
        <v>drena a bateria muito rápido</v>
      </c>
      <c r="B29726" s="3">
        <v>0</v>
      </c>
    </row>
    <row r="29727" ht="15.75" customHeight="1" spans="1:2">
      <c r="A29727" s="3" t="str">
        <f>IFERROR(__xludf.DUMMYFUNCTION("GOOGLETRANSLATE(A29727,""en"",""pt"")"),"vida útil da bateria não dura passado algumas horas")</f>
        <v>vida útil da bateria não dura passado algumas horas</v>
      </c>
      <c r="B29727" s="3">
        <v>0</v>
      </c>
    </row>
    <row r="29728" ht="15.75" customHeight="1" spans="1:2">
      <c r="A29728" s="3" t="str">
        <f>IFERROR(__xludf.DUMMYFUNCTION("GOOGLETRANSLATE(A29728,""en"",""pt"")"),"Come baterias vivo, não gosto de abertura superior")</f>
        <v>Come baterias vivo, não gosto de abertura superior</v>
      </c>
      <c r="B29728" s="3">
        <v>0</v>
      </c>
    </row>
    <row r="29729" ht="15.75" customHeight="1" spans="1:2">
      <c r="A29729" s="3" t="str">
        <f>IFERROR(__xludf.DUMMYFUNCTION("GOOGLETRANSLATE(A29729,""en"",""pt"")"),"leva algumas experiências com características")</f>
        <v>leva algumas experiências com características</v>
      </c>
      <c r="B29729" s="3">
        <v>0</v>
      </c>
    </row>
    <row r="29730" ht="15.75" customHeight="1" spans="1:2">
      <c r="A29730" s="3" t="str">
        <f>IFERROR(__xludf.DUMMYFUNCTION("GOOGLETRANSLATE(A29730,""en"",""pt"")"),"curta duração da bateria")</f>
        <v>curta duração da bateria</v>
      </c>
      <c r="B29730" s="3">
        <v>0</v>
      </c>
    </row>
    <row r="29731" ht="15.75" customHeight="1" spans="1:2">
      <c r="A29731" s="3" t="str">
        <f>IFERROR(__xludf.DUMMYFUNCTION("GOOGLETRANSLATE(A29731,""en"",""pt"")"),"-As segundos que leva a partir de quando você pressiona o botão para tirar a foto, ea imagem é realmente levado")</f>
        <v>-As segundos que leva a partir de quando você pressiona o botão para tirar a foto, ea imagem é realmente levado</v>
      </c>
      <c r="B29731" s="3">
        <v>0</v>
      </c>
    </row>
    <row r="29732" ht="15.75" customHeight="1" spans="1:2">
      <c r="A29732" s="3" t="str">
        <f>IFERROR(__xludf.DUMMYFUNCTION("GOOGLETRANSLATE(A29732,""en"",""pt"")"),"vida útil da bateria, mensagens de erro")</f>
        <v>vida útil da bateria, mensagens de erro</v>
      </c>
      <c r="B29732" s="3">
        <v>0</v>
      </c>
    </row>
    <row r="29733" ht="15.75" customHeight="1" spans="1:2">
      <c r="A29733" s="3" t="str">
        <f>IFERROR(__xludf.DUMMYFUNCTION("GOOGLETRANSLATE(A29733,""en"",""pt"")"),"Desejo o preço fosse mais baixo")</f>
        <v>Desejo o preço fosse mais baixo</v>
      </c>
      <c r="B29733" s="3">
        <v>0</v>
      </c>
    </row>
    <row r="29734" ht="15.75" customHeight="1" spans="1:2">
      <c r="A29734" s="3" t="str">
        <f>IFERROR(__xludf.DUMMYFUNCTION("GOOGLETRANSLATE(A29734,""en"",""pt"")"),"não pode controlar f-stop ou velocidade do obturador")</f>
        <v>não pode controlar f-stop ou velocidade do obturador</v>
      </c>
      <c r="B29734" s="3">
        <v>0</v>
      </c>
    </row>
    <row r="29735" ht="15.75" customHeight="1" spans="1:2">
      <c r="A29735" s="3" t="str">
        <f>IFERROR(__xludf.DUMMYFUNCTION("GOOGLETRANSLATE(A29735,""en"",""pt"")"),"não view finder e tempo de vida da bateria.")</f>
        <v>não view finder e tempo de vida da bateria.</v>
      </c>
      <c r="B29735" s="3">
        <v>0</v>
      </c>
    </row>
    <row r="29736" ht="15.75" customHeight="1" spans="1:2">
      <c r="A29736" s="3" t="str">
        <f>IFERROR(__xludf.DUMMYFUNCTION("GOOGLETRANSLATE(A29736,""en"",""pt"")"),"vida curta / Short garantia padrão")</f>
        <v>vida curta / Short garantia padrão</v>
      </c>
      <c r="B29736" s="3">
        <v>0</v>
      </c>
    </row>
    <row r="29737" ht="15.75" customHeight="1" spans="1:2">
      <c r="A29737" s="3" t="str">
        <f>IFERROR(__xludf.DUMMYFUNCTION("GOOGLETRANSLATE(A29737,""en"",""pt"")"),"Há alguns? Algumas pequenas apertos, mas nada para dissuadir alguém de compra.")</f>
        <v>Há alguns? Algumas pequenas apertos, mas nada para dissuadir alguém de compra.</v>
      </c>
      <c r="B29737" s="3">
        <v>0</v>
      </c>
    </row>
    <row r="29738" ht="15.75" customHeight="1" spans="1:2">
      <c r="A29738" s="3" t="str">
        <f>IFERROR(__xludf.DUMMYFUNCTION("GOOGLETRANSLATE(A29738,""en"",""pt"")"),"controle de qualidade questionável. Mal concebido uso de energia.")</f>
        <v>controle de qualidade questionável. Mal concebido uso de energia.</v>
      </c>
      <c r="B29738" s="3">
        <v>0</v>
      </c>
    </row>
    <row r="29739" ht="15.75" customHeight="1" spans="1:2">
      <c r="A29739" s="3" t="str">
        <f>IFERROR(__xludf.DUMMYFUNCTION("GOOGLETRANSLATE(A29739,""en"",""pt"")"),"Precisa de memória extra para Hi Res fotos")</f>
        <v>Precisa de memória extra para Hi Res fotos</v>
      </c>
      <c r="B29739" s="3">
        <v>0</v>
      </c>
    </row>
    <row r="29740" ht="15.75" customHeight="1" spans="1:2">
      <c r="A29740" s="3" t="str">
        <f>IFERROR(__xludf.DUMMYFUNCTION("GOOGLETRANSLATE(A29740,""en"",""pt"")"),"Um pouco sobre o lado de alta")</f>
        <v>Um pouco sobre o lado de alta</v>
      </c>
      <c r="B29740" s="3">
        <v>0</v>
      </c>
    </row>
    <row r="29741" ht="15.75" customHeight="1" spans="1:2">
      <c r="A29741" s="3" t="str">
        <f>IFERROR(__xludf.DUMMYFUNCTION("GOOGLETRANSLATE(A29741,""en"",""pt"")"),"veja o comentário")</f>
        <v>veja o comentário</v>
      </c>
      <c r="B29741" s="3">
        <v>0</v>
      </c>
    </row>
    <row r="29742" ht="15.75" customHeight="1" spans="1:2">
      <c r="A29742" s="3" t="str">
        <f>IFERROR(__xludf.DUMMYFUNCTION("GOOGLETRANSLATE(A29742,""en"",""pt"")"),"Não é tão versátil como e SLR para tiros artísticos")</f>
        <v>Não é tão versátil como e SLR para tiros artísticos</v>
      </c>
      <c r="B29742" s="3">
        <v>0</v>
      </c>
    </row>
    <row r="29743" ht="15.75" customHeight="1" spans="1:2">
      <c r="A29743" s="3" t="str">
        <f>IFERROR(__xludf.DUMMYFUNCTION("GOOGLETRANSLATE(A29743,""en"",""pt"")"),"Cor problemas de renderização (?)")</f>
        <v>Cor problemas de renderização (?)</v>
      </c>
      <c r="B29743" s="3">
        <v>0</v>
      </c>
    </row>
    <row r="29744" ht="15.75" customHeight="1" spans="1:2">
      <c r="A29744" s="3" t="str">
        <f>IFERROR(__xludf.DUMMYFUNCTION("GOOGLETRANSLATE(A29744,""en"",""pt"")"),"diminuir em tirar uma foto")</f>
        <v>diminuir em tirar uma foto</v>
      </c>
      <c r="B29744" s="3">
        <v>0</v>
      </c>
    </row>
    <row r="29745" ht="15.75" customHeight="1" spans="1:2">
      <c r="A29745" s="3" t="str">
        <f>IFERROR(__xludf.DUMMYFUNCTION("GOOGLETRANSLATE(A29745,""en"",""pt"")"),"Come baterias, pode ter dificuldade para se concentrar")</f>
        <v>Come baterias, pode ter dificuldade para se concentrar</v>
      </c>
      <c r="B29745" s="3">
        <v>0</v>
      </c>
    </row>
    <row r="29746" ht="15.75" customHeight="1" spans="1:2">
      <c r="A29746" s="3" t="str">
        <f>IFERROR(__xludf.DUMMYFUNCTION("GOOGLETRANSLATE(A29746,""en"",""pt"")"),"Não para Alkalines.")</f>
        <v>Não para Alkalines.</v>
      </c>
      <c r="B29746" s="3">
        <v>0</v>
      </c>
    </row>
    <row r="29747" ht="15.75" customHeight="1" spans="1:2">
      <c r="A29747" s="3" t="str">
        <f>IFERROR(__xludf.DUMMYFUNCTION("GOOGLETRANSLATE(A29747,""en"",""pt"")"),"Eu sinceramente não sinto que há qualquer!")</f>
        <v>Eu sinceramente não sinto que há qualquer!</v>
      </c>
      <c r="B29747" s="3">
        <v>0</v>
      </c>
    </row>
    <row r="29748" ht="15.75" customHeight="1" spans="1:2">
      <c r="A29748" s="3" t="str">
        <f>IFERROR(__xludf.DUMMYFUNCTION("GOOGLETRANSLATE(A29748,""en"",""pt"")"),"Precisa de uma atualização de ""firmware"" do fabricante antes que irá interagir com o Mac.")</f>
        <v>Precisa de uma atualização de "firmware" do fabricante antes que irá interagir com o Mac.</v>
      </c>
      <c r="B29748" s="3">
        <v>0</v>
      </c>
    </row>
    <row r="29749" ht="15.75" customHeight="1" spans="1:2">
      <c r="A29749" s="3" t="str">
        <f>IFERROR(__xludf.DUMMYFUNCTION("GOOGLETRANSLATE(A29749,""en"",""pt"")"),"Sem foco manual com super macro, vida útil da bateria Horrível usando a tela LCD")</f>
        <v>Sem foco manual com super macro, vida útil da bateria Horrível usando a tela LCD</v>
      </c>
      <c r="B29749" s="3">
        <v>0</v>
      </c>
    </row>
    <row r="29750" ht="15.75" customHeight="1" spans="1:2">
      <c r="A29750" s="3" t="str">
        <f>IFERROR(__xludf.DUMMYFUNCTION("GOOGLETRANSLATE(A29750,""en"",""pt"")"),"Para o preço do produto, nenhum.")</f>
        <v>Para o preço do produto, nenhum.</v>
      </c>
      <c r="B29750" s="3">
        <v>0</v>
      </c>
    </row>
    <row r="29751" ht="15.75" customHeight="1" spans="1:2">
      <c r="A29751" s="3" t="str">
        <f>IFERROR(__xludf.DUMMYFUNCTION("GOOGLETRANSLATE(A29751,""en"",""pt"")"),"fotos macro má qualidade, baterias drenar muito rapidamente")</f>
        <v>fotos macro má qualidade, baterias drenar muito rapidamente</v>
      </c>
      <c r="B29751" s="3">
        <v>0</v>
      </c>
    </row>
    <row r="29752" ht="15.75" customHeight="1" spans="1:2">
      <c r="A29752" s="3" t="str">
        <f>IFERROR(__xludf.DUMMYFUNCTION("GOOGLETRANSLATE(A29752,""en"",""pt"")"),"transmissão lenta da câmera para o PC. vida de baixo batery (uso rechargabes)")</f>
        <v>transmissão lenta da câmera para o PC. vida de baixo batery (uso rechargabes)</v>
      </c>
      <c r="B29752" s="3">
        <v>0</v>
      </c>
    </row>
    <row r="29753" ht="15.75" customHeight="1" spans="1:2">
      <c r="A29753" s="3" t="str">
        <f>IFERROR(__xludf.DUMMYFUNCTION("GOOGLETRANSLATE(A29753,""en"",""pt"")"),"vida útil da bateria, a exposição")</f>
        <v>vida útil da bateria, a exposição</v>
      </c>
      <c r="B29753" s="3">
        <v>0</v>
      </c>
    </row>
    <row r="29754" ht="15.75" customHeight="1" spans="1:2">
      <c r="A29754" s="3" t="str">
        <f>IFERROR(__xludf.DUMMYFUNCTION("GOOGLETRANSLATE(A29754,""en"",""pt"")"),"Nenhum")</f>
        <v>Nenhum</v>
      </c>
      <c r="B29754" s="3">
        <v>0</v>
      </c>
    </row>
    <row r="29755" ht="15.75" customHeight="1" spans="1:2">
      <c r="A29755" s="3" t="str">
        <f>IFERROR(__xludf.DUMMYFUNCTION("GOOGLETRANSLATE(A29755,""en"",""pt"")"),"Imagem Qualidade, Preço")</f>
        <v>Imagem Qualidade, Preço</v>
      </c>
      <c r="B29755" s="3">
        <v>0</v>
      </c>
    </row>
    <row r="29756" ht="15.75" customHeight="1" spans="1:2">
      <c r="A29756" s="3" t="str">
        <f>IFERROR(__xludf.DUMMYFUNCTION("GOOGLETRANSLATE(A29756,""en"",""pt"")"),"Demorou muito tempo para processar entre a imagem")</f>
        <v>Demorou muito tempo para processar entre a imagem</v>
      </c>
      <c r="B29756" s="3">
        <v>0</v>
      </c>
    </row>
    <row r="29757" ht="15.75" customHeight="1" spans="1:2">
      <c r="A29757" s="3" t="str">
        <f>IFERROR(__xludf.DUMMYFUNCTION("GOOGLETRANSLATE(A29757,""en"",""pt"")"),"Sem zoom, sem LCD, não TTL (através da lente)")</f>
        <v>Sem zoom, sem LCD, não TTL (através da lente)</v>
      </c>
      <c r="B29757" s="3">
        <v>0</v>
      </c>
    </row>
    <row r="29758" ht="15.75" customHeight="1" spans="1:2">
      <c r="A29758" s="3" t="str">
        <f>IFERROR(__xludf.DUMMYFUNCTION("GOOGLETRANSLATE(A29758,""en"",""pt"")"),"Má qualidade de imagem. Flash muito forte no curto alcance, em seguida, cai rapidamente.")</f>
        <v>Má qualidade de imagem. Flash muito forte no curto alcance, em seguida, cai rapidamente.</v>
      </c>
      <c r="B29758" s="3">
        <v>0</v>
      </c>
    </row>
    <row r="29759" ht="15.75" customHeight="1" spans="1:2">
      <c r="A29759" s="3" t="str">
        <f>IFERROR(__xludf.DUMMYFUNCTION("GOOGLETRANSLATE(A29759,""en"",""pt"")"),"NO MS-DOS modo de impressão apoio! Sem cabo USB ou paralelo incluído.")</f>
        <v>NO MS-DOS modo de impressão apoio! Sem cabo USB ou paralelo incluído.</v>
      </c>
      <c r="B29759" s="3">
        <v>0</v>
      </c>
    </row>
    <row r="29760" ht="15.75" customHeight="1" spans="1:2">
      <c r="A29760" s="3" t="str">
        <f>IFERROR(__xludf.DUMMYFUNCTION("GOOGLETRANSLATE(A29760,""en"",""pt"")"),"não expansível")</f>
        <v>não expansível</v>
      </c>
      <c r="B29760" s="3">
        <v>0</v>
      </c>
    </row>
    <row r="29761" ht="15.75" customHeight="1" spans="1:2">
      <c r="A29761" s="3" t="str">
        <f>IFERROR(__xludf.DUMMYFUNCTION("GOOGLETRANSLATE(A29761,""en"",""pt"")"),"Nenhuma cor ou foto impressão.")</f>
        <v>Nenhuma cor ou foto impressão.</v>
      </c>
      <c r="B29761" s="3">
        <v>0</v>
      </c>
    </row>
    <row r="29762" ht="15.75" customHeight="1" spans="1:2">
      <c r="A29762" s="3" t="str">
        <f>IFERROR(__xludf.DUMMYFUNCTION("GOOGLETRANSLATE(A29762,""en"",""pt"")"),"Sem cor.")</f>
        <v>Sem cor.</v>
      </c>
      <c r="B29762" s="3">
        <v>0</v>
      </c>
    </row>
    <row r="29763" ht="15.75" customHeight="1" spans="1:2">
      <c r="A29763" s="3" t="str">
        <f>IFERROR(__xludf.DUMMYFUNCTION("GOOGLETRANSLATE(A29763,""en"",""pt"")"),"Nenhum na minha epinion.")</f>
        <v>Nenhum na minha epinion.</v>
      </c>
      <c r="B29763" s="3">
        <v>0</v>
      </c>
    </row>
    <row r="29764" ht="15.75" customHeight="1" spans="1:2">
      <c r="A29764" s="3" t="str">
        <f>IFERROR(__xludf.DUMMYFUNCTION("GOOGLETRANSLATE(A29764,""en"",""pt"")"),"toner integrado eo cartucho de tambor")</f>
        <v>toner integrado eo cartucho de tambor</v>
      </c>
      <c r="B29764" s="3">
        <v>0</v>
      </c>
    </row>
    <row r="29765" ht="15.75" customHeight="1" spans="1:2">
      <c r="A29765" s="3" t="str">
        <f>IFERROR(__xludf.DUMMYFUNCTION("GOOGLETRANSLATE(A29765,""en"",""pt"")"),"nada até agora")</f>
        <v>nada até agora</v>
      </c>
      <c r="B29765" s="3">
        <v>0</v>
      </c>
    </row>
    <row r="29766" ht="15.75" customHeight="1" spans="1:2">
      <c r="A29766" s="3" t="str">
        <f>IFERROR(__xludf.DUMMYFUNCTION("GOOGLETRANSLATE(A29766,""en"",""pt"")"),"qualidade inaceitável para texto colorido, instalação de software de buggy")</f>
        <v>qualidade inaceitável para texto colorido, instalação de software de buggy</v>
      </c>
      <c r="B29766" s="3">
        <v>0</v>
      </c>
    </row>
    <row r="29767" ht="15.75" customHeight="1" spans="1:2">
      <c r="A29767" s="3" t="str">
        <f>IFERROR(__xludf.DUMMYFUNCTION("GOOGLETRANSLATE(A29767,""en"",""pt"")"),"alguns toner descamação se imprimir na parte traseira, não há suporte PostScript")</f>
        <v>alguns toner descamação se imprimir na parte traseira, não há suporte PostScript</v>
      </c>
      <c r="B29767" s="3">
        <v>0</v>
      </c>
    </row>
    <row r="29768" ht="15.75" customHeight="1" spans="1:2">
      <c r="A29768" s="3" t="str">
        <f>IFERROR(__xludf.DUMMYFUNCTION("GOOGLETRANSLATE(A29768,""en"",""pt"")"),"tempo de aquecimento pouco longo na primeira página")</f>
        <v>tempo de aquecimento pouco longo na primeira página</v>
      </c>
      <c r="B29768" s="3">
        <v>0</v>
      </c>
    </row>
    <row r="29769" ht="15.75" customHeight="1" spans="1:2">
      <c r="A29769" s="3" t="str">
        <f>IFERROR(__xludf.DUMMYFUNCTION("GOOGLETRANSLATE(A29769,""en"",""pt"")"),"riscas pretas ocasionais (uma página em 50); caso e conectores são frágeis.")</f>
        <v>riscas pretas ocasionais (uma página em 50); caso e conectores são frágeis.</v>
      </c>
      <c r="B29769" s="3">
        <v>0</v>
      </c>
    </row>
    <row r="29770" ht="15.75" customHeight="1" spans="1:2">
      <c r="A29770" s="3" t="str">
        <f>IFERROR(__xludf.DUMMYFUNCTION("GOOGLETRANSLATE(A29770,""en"",""pt"")"),"30 segundo aquecimento do modo de suspensão")</f>
        <v>30 segundo aquecimento do modo de suspensão</v>
      </c>
      <c r="B29770" s="3">
        <v>0</v>
      </c>
    </row>
    <row r="29771" ht="15.75" customHeight="1" spans="1:2">
      <c r="A29771" s="3" t="str">
        <f>IFERROR(__xludf.DUMMYFUNCTION("GOOGLETRANSLATE(A29771,""en"",""pt"")"),"warmup lento")</f>
        <v>warmup lento</v>
      </c>
      <c r="B29771" s="3">
        <v>0</v>
      </c>
    </row>
    <row r="29772" ht="15.75" customHeight="1" spans="1:2">
      <c r="A29772" s="3" t="str">
        <f>IFERROR(__xludf.DUMMYFUNCTION("GOOGLETRANSLATE(A29772,""en"",""pt"")"),"não é fornecido com cabos de impressora, tem que imprimir o mesmo manual de demonstração botão")</f>
        <v>não é fornecido com cabos de impressora, tem que imprimir o mesmo manual de demonstração botão</v>
      </c>
      <c r="B29772" s="3">
        <v>0</v>
      </c>
    </row>
    <row r="29773" ht="15.75" customHeight="1" spans="1:2">
      <c r="A29773" s="3" t="str">
        <f>IFERROR(__xludf.DUMMYFUNCTION("GOOGLETRANSLATE(A29773,""en"",""pt"")"),"bandeja de papel Vertical provoca papel para deslizamento (update-Este é fixo), Sem outras queixas")</f>
        <v>bandeja de papel Vertical provoca papel para deslizamento (update-Este é fixo), Sem outras queixas</v>
      </c>
      <c r="B29773" s="3">
        <v>0</v>
      </c>
    </row>
    <row r="29774" ht="15.75" customHeight="1" spans="1:2">
      <c r="A29774" s="3" t="str">
        <f>IFERROR(__xludf.DUMMYFUNCTION("GOOGLETRANSLATE(A29774,""en"",""pt"")"),"Não há drivers Jaguar, pode demorar alguns segundos para aquecer, o site de suporte terrível")</f>
        <v>Não há drivers Jaguar, pode demorar alguns segundos para aquecer, o site de suporte terrível</v>
      </c>
      <c r="B29774" s="3">
        <v>0</v>
      </c>
    </row>
    <row r="29775" ht="15.75" customHeight="1" spans="1:2">
      <c r="A29775" s="3" t="str">
        <f>IFERROR(__xludf.DUMMYFUNCTION("GOOGLETRANSLATE(A29775,""en"",""pt"")"),"Duplexação questões. impressão PostScript lento.")</f>
        <v>Duplexação questões. impressão PostScript lento.</v>
      </c>
      <c r="B29775" s="3">
        <v>0</v>
      </c>
    </row>
    <row r="29776" ht="15.75" customHeight="1" spans="1:2">
      <c r="A29776" s="3" t="str">
        <f>IFERROR(__xludf.DUMMYFUNCTION("GOOGLETRANSLATE(A29776,""en"",""pt"")"),"Sem impressão a cores.")</f>
        <v>Sem impressão a cores.</v>
      </c>
      <c r="B29776" s="3">
        <v>0</v>
      </c>
    </row>
    <row r="29777" ht="15.75" customHeight="1" spans="1:2">
      <c r="A29777" s="3" t="str">
        <f>IFERROR(__xludf.DUMMYFUNCTION("GOOGLETRANSLATE(A29777,""en"",""pt"")"),"Não é cor ??? realmente não tenho encontrado um con ainda.")</f>
        <v>Não é cor ??? realmente não tenho encontrado um con ainda.</v>
      </c>
      <c r="B29777" s="3">
        <v>0</v>
      </c>
    </row>
    <row r="29778" ht="15.75" customHeight="1" spans="1:2">
      <c r="A29778" s="3" t="str">
        <f>IFERROR(__xludf.DUMMYFUNCTION("GOOGLETRANSLATE(A29778,""en"",""pt"")"),"impressão frente e verso fica um pouco sujo com toner. memória de 8MB não é expansível.")</f>
        <v>impressão frente e verso fica um pouco sujo com toner. memória de 8MB não é expansível.</v>
      </c>
      <c r="B29778" s="3">
        <v>0</v>
      </c>
    </row>
    <row r="29779" ht="15.75" customHeight="1" spans="1:2">
      <c r="A29779" s="3" t="str">
        <f>IFERROR(__xludf.DUMMYFUNCTION("GOOGLETRANSLATE(A29779,""en"",""pt"")"),"Sem impressão a cores.")</f>
        <v>Sem impressão a cores.</v>
      </c>
      <c r="B29779" s="3">
        <v>0</v>
      </c>
    </row>
    <row r="29780" ht="15.75" customHeight="1" spans="1:2">
      <c r="A29780" s="3" t="str">
        <f>IFERROR(__xludf.DUMMYFUNCTION("GOOGLETRANSLATE(A29780,""en"",""pt"")"),"Já não impresso quaisquer envelopes ainda, Toner no futuro pode ser um problema")</f>
        <v>Já não impresso quaisquer envelopes ainda, Toner no futuro pode ser um problema</v>
      </c>
      <c r="B29780" s="3">
        <v>0</v>
      </c>
    </row>
    <row r="29781" ht="15.75" customHeight="1" spans="1:2">
      <c r="A29781" s="3" t="str">
        <f>IFERROR(__xludf.DUMMYFUNCTION("GOOGLETRANSLATE(A29781,""en"",""pt"")"),"Sem cor")</f>
        <v>Sem cor</v>
      </c>
      <c r="B29781" s="3">
        <v>0</v>
      </c>
    </row>
    <row r="29782" ht="15.75" customHeight="1" spans="1:2">
      <c r="A29782" s="3" t="str">
        <f>IFERROR(__xludf.DUMMYFUNCTION("GOOGLETRANSLATE(A29782,""en"",""pt"")"),"Borken menos de 6 semanas")</f>
        <v>Borken menos de 6 semanas</v>
      </c>
      <c r="B29782" s="3">
        <v>0</v>
      </c>
    </row>
    <row r="29783" ht="15.75" customHeight="1" spans="1:2">
      <c r="A29783" s="3" t="str">
        <f>IFERROR(__xludf.DUMMYFUNCTION("GOOGLETRANSLATE(A29783,""en"",""pt"")"),"ainda não encontrou.")</f>
        <v>ainda não encontrou.</v>
      </c>
      <c r="B29783" s="3">
        <v>0</v>
      </c>
    </row>
    <row r="29784" ht="15.75" customHeight="1" spans="1:2">
      <c r="A29784" s="3" t="str">
        <f>IFERROR(__xludf.DUMMYFUNCTION("GOOGLETRANSLATE(A29784,""en"",""pt"")"),"falta de genuína suporte PCL langauge mas a linguagem da impressora Samsung parece ser bom o suficiente.")</f>
        <v>falta de genuína suporte PCL langauge mas a linguagem da impressora Samsung parece ser bom o suficiente.</v>
      </c>
      <c r="B29784" s="3">
        <v>0</v>
      </c>
    </row>
    <row r="29785" ht="15.75" customHeight="1" spans="1:2">
      <c r="A29785" s="3" t="str">
        <f>IFERROR(__xludf.DUMMYFUNCTION("GOOGLETRANSLATE(A29785,""en"",""pt"")"),"tempo de spool-up lento (não um problema para mim), um pouco barulhento")</f>
        <v>tempo de spool-up lento (não um problema para mim), um pouco barulhento</v>
      </c>
      <c r="B29785" s="3">
        <v>0</v>
      </c>
    </row>
    <row r="29786" ht="15.75" customHeight="1" spans="1:2">
      <c r="A29786" s="3" t="str">
        <f>IFERROR(__xludf.DUMMYFUNCTION("GOOGLETRANSLATE(A29786,""en"",""pt"")"),"Não quase a eficiência tanto impressoras a laser mais caras. Novamente, considere valor global.")</f>
        <v>Não quase a eficiência tanto impressoras a laser mais caras. Novamente, considere valor global.</v>
      </c>
      <c r="B29786" s="3">
        <v>0</v>
      </c>
    </row>
    <row r="29787" ht="15.75" customHeight="1" spans="1:2">
      <c r="A29787" s="3" t="str">
        <f>IFERROR(__xludf.DUMMYFUNCTION("GOOGLETRANSLATE(A29787,""en"",""pt"")"),"alittle lento arranque de tempo e pode ser mais alto do que a média alittle.")</f>
        <v>alittle lento arranque de tempo e pode ser mais alto do que a média alittle.</v>
      </c>
      <c r="B29787" s="3">
        <v>0</v>
      </c>
    </row>
    <row r="29788" ht="15.75" customHeight="1" spans="1:2">
      <c r="A29788" s="3" t="str">
        <f>IFERROR(__xludf.DUMMYFUNCTION("GOOGLETRANSLATE(A29788,""en"",""pt"")"),"Fixa RAM 8MB, 45 Sec Warmup para a primeira página, de atolamentos de papel desarrumado, bandeja de 150 páginas")</f>
        <v>Fixa RAM 8MB, 45 Sec Warmup para a primeira página, de atolamentos de papel desarrumado, bandeja de 150 páginas</v>
      </c>
      <c r="B29788" s="3">
        <v>0</v>
      </c>
    </row>
    <row r="29789" ht="15.75" customHeight="1" spans="1:2">
      <c r="A29789" s="3" t="str">
        <f>IFERROR(__xludf.DUMMYFUNCTION("GOOGLETRANSLATE(A29789,""en"",""pt"")"),"apenas 6 meses, o fusor soprado")</f>
        <v>apenas 6 meses, o fusor soprado</v>
      </c>
      <c r="B29789" s="3">
        <v>0</v>
      </c>
    </row>
    <row r="29790" ht="15.75" customHeight="1" spans="1:2">
      <c r="A29790" s="3" t="str">
        <f>IFERROR(__xludf.DUMMYFUNCTION("GOOGLETRANSLATE(A29790,""en"",""pt"")"),"Os envelopes devem ser ""confortável"" com a trilha para imprimir,")</f>
        <v>Os envelopes devem ser "confortável" com a trilha para imprimir,</v>
      </c>
      <c r="B29790" s="3">
        <v>0</v>
      </c>
    </row>
    <row r="29791" ht="15.75" customHeight="1" spans="1:2">
      <c r="A29791" s="3" t="str">
        <f>IFERROR(__xludf.DUMMYFUNCTION("GOOGLETRANSLATE(A29791,""en"",""pt"")"),"quase tão barulhento como anyother impressora laser")</f>
        <v>quase tão barulhento como anyother impressora laser</v>
      </c>
      <c r="B29791" s="3">
        <v>0</v>
      </c>
    </row>
    <row r="29792" ht="15.75" customHeight="1" spans="1:2">
      <c r="A29792" s="3" t="str">
        <f>IFERROR(__xludf.DUMMYFUNCTION("GOOGLETRANSLATE(A29792,""en"",""pt"")"),"* Botão Reprint poderia ser de risco de segurança * motoristas Imaturo OS X, não em CD * Não atualizável")</f>
        <v>* Botão Reprint poderia ser de risco de segurança * motoristas Imaturo OS X, não em CD * Não atualizável</v>
      </c>
      <c r="B29792" s="3">
        <v>0</v>
      </c>
    </row>
    <row r="29793" ht="15.75" customHeight="1" spans="1:2">
      <c r="A29793" s="3" t="str">
        <f>IFERROR(__xludf.DUMMYFUNCTION("GOOGLETRANSLATE(A29793,""en"",""pt"")"),"Imprimindo envelopes é um pouco complicado e nenhum recurso de impressão frente e verso.")</f>
        <v>Imprimindo envelopes é um pouco complicado e nenhum recurso de impressão frente e verso.</v>
      </c>
      <c r="B29793" s="3">
        <v>0</v>
      </c>
    </row>
    <row r="29794" ht="15.75" customHeight="1" spans="1:2">
      <c r="A29794" s="3" t="str">
        <f>IFERROR(__xludf.DUMMYFUNCTION("GOOGLETRANSLATE(A29794,""en"",""pt"")"),"Se você precisar a opção PostScript, que podem colocar a impressora sobre o lado caro.")</f>
        <v>Se você precisar a opção PostScript, que podem colocar a impressora sobre o lado caro.</v>
      </c>
      <c r="B29794" s="3">
        <v>0</v>
      </c>
    </row>
    <row r="29795" ht="15.75" customHeight="1" spans="1:2">
      <c r="A29795" s="3" t="str">
        <f>IFERROR(__xludf.DUMMYFUNCTION("GOOGLETRANSLATE(A29795,""en"",""pt"")"),"Não é um HP")</f>
        <v>Não é um HP</v>
      </c>
      <c r="B29795" s="3">
        <v>0</v>
      </c>
    </row>
    <row r="29796" ht="15.75" customHeight="1" spans="1:2">
      <c r="A29796" s="3" t="str">
        <f>IFERROR(__xludf.DUMMYFUNCTION("GOOGLETRANSLATE(A29796,""en"",""pt"")"),"Nenhum")</f>
        <v>Nenhum</v>
      </c>
      <c r="B29796" s="3">
        <v>0</v>
      </c>
    </row>
    <row r="29797" ht="15.75" customHeight="1" spans="1:2">
      <c r="A29797" s="3" t="str">
        <f>IFERROR(__xludf.DUMMYFUNCTION("GOOGLETRANSLATE(A29797,""en"",""pt"")"),"não veio com um cabo de impressora.")</f>
        <v>não veio com um cabo de impressora.</v>
      </c>
      <c r="B29797" s="3">
        <v>0</v>
      </c>
    </row>
    <row r="29798" ht="15.75" customHeight="1" spans="1:2">
      <c r="A29798" s="3" t="str">
        <f>IFERROR(__xludf.DUMMYFUNCTION("GOOGLETRANSLATE(A29798,""en"",""pt"")"),"Toma-se uma quantidade razoável de real-estate mesa!")</f>
        <v>Toma-se uma quantidade razoável de real-estate mesa!</v>
      </c>
      <c r="B29798" s="3">
        <v>0</v>
      </c>
    </row>
    <row r="29799" ht="15.75" customHeight="1" spans="1:2">
      <c r="A29799" s="3" t="str">
        <f>IFERROR(__xludf.DUMMYFUNCTION("GOOGLETRANSLATE(A29799,""en"",""pt"")"),"manual de instruções deve ser baixado da web (PDF).")</f>
        <v>manual de instruções deve ser baixado da web (PDF).</v>
      </c>
      <c r="B29799" s="3">
        <v>0</v>
      </c>
    </row>
    <row r="29800" ht="15.75" customHeight="1" spans="1:2">
      <c r="A29800" s="3" t="str">
        <f>IFERROR(__xludf.DUMMYFUNCTION("GOOGLETRANSLATE(A29800,""en"",""pt"")"),"duplex manual, o tamanho")</f>
        <v>duplex manual, o tamanho</v>
      </c>
      <c r="B29800" s="3">
        <v>0</v>
      </c>
    </row>
    <row r="29801" ht="15.75" customHeight="1" spans="1:2">
      <c r="A29801" s="3" t="str">
        <f>IFERROR(__xludf.DUMMYFUNCTION("GOOGLETRANSLATE(A29801,""en"",""pt"")"),"Honestamente, eu gosto de tudo.")</f>
        <v>Honestamente, eu gosto de tudo.</v>
      </c>
      <c r="B29801" s="3">
        <v>0</v>
      </c>
    </row>
    <row r="29802" ht="15.75" customHeight="1" spans="1:2">
      <c r="A29802" s="3" t="str">
        <f>IFERROR(__xludf.DUMMYFUNCTION("GOOGLETRANSLATE(A29802,""en"",""pt"")"),"Encontrar cartuchos de toner")</f>
        <v>Encontrar cartuchos de toner</v>
      </c>
      <c r="B29802" s="3">
        <v>0</v>
      </c>
    </row>
    <row r="29803" ht="15.75" customHeight="1" spans="1:2">
      <c r="A29803" s="3" t="str">
        <f>IFERROR(__xludf.DUMMYFUNCTION("GOOGLETRANSLATE(A29803,""en"",""pt"")"),"toner integrado eo cartucho de tambor")</f>
        <v>toner integrado eo cartucho de tambor</v>
      </c>
      <c r="B29803" s="3">
        <v>0</v>
      </c>
    </row>
    <row r="29804" ht="15.75" customHeight="1" spans="1:2">
      <c r="A29804" s="3" t="str">
        <f>IFERROR(__xludf.DUMMYFUNCTION("GOOGLETRANSLATE(A29804,""en"",""pt"")"),"Não para iMACs")</f>
        <v>Não para iMACs</v>
      </c>
      <c r="B29804" s="3">
        <v>0</v>
      </c>
    </row>
    <row r="29805" ht="15.75" customHeight="1" spans="1:2">
      <c r="A29805" s="3" t="str">
        <f>IFERROR(__xludf.DUMMYFUNCTION("GOOGLETRANSLATE(A29805,""en"",""pt"")"),"Sem suporte USB, tambor de toner inicial não é completa")</f>
        <v>Sem suporte USB, tambor de toner inicial não é completa</v>
      </c>
      <c r="B29805" s="3">
        <v>0</v>
      </c>
    </row>
    <row r="29806" ht="15.75" customHeight="1" spans="1:2">
      <c r="A29806" s="3" t="str">
        <f>IFERROR(__xludf.DUMMYFUNCTION("GOOGLETRANSLATE(A29806,""en"",""pt"")"),"Os cartuchos de toner são caros")</f>
        <v>Os cartuchos de toner são caros</v>
      </c>
      <c r="B29806" s="3">
        <v>0</v>
      </c>
    </row>
    <row r="29807" ht="15.75" customHeight="1" spans="1:2">
      <c r="A29807" s="3" t="str">
        <f>IFERROR(__xludf.DUMMYFUNCTION("GOOGLETRANSLATE(A29807,""en"",""pt"")"),"Um pouco lento, mas por US $ 119 quem se importa?")</f>
        <v>Um pouco lento, mas por US $ 119 quem se importa?</v>
      </c>
      <c r="B29807" s="3">
        <v>0</v>
      </c>
    </row>
    <row r="29808" ht="15.75" customHeight="1" spans="1:2">
      <c r="A29808" s="3" t="str">
        <f>IFERROR(__xludf.DUMMYFUNCTION("GOOGLETRANSLATE(A29808,""en"",""pt"")"),"Sem conexão USB, nenhuma bandeja de papel de saída.")</f>
        <v>Sem conexão USB, nenhuma bandeja de papel de saída.</v>
      </c>
      <c r="B29808" s="3">
        <v>0</v>
      </c>
    </row>
    <row r="29809" ht="15.75" customHeight="1" spans="1:2">
      <c r="A29809" s="3" t="str">
        <f>IFERROR(__xludf.DUMMYFUNCTION("GOOGLETRANSLATE(A29809,""en"",""pt"")"),"apenas a preto e branco, bastante grande")</f>
        <v>apenas a preto e branco, bastante grande</v>
      </c>
      <c r="B29809" s="3">
        <v>0</v>
      </c>
    </row>
    <row r="29810" ht="15.75" customHeight="1" spans="1:2">
      <c r="A29810" s="3" t="str">
        <f>IFERROR(__xludf.DUMMYFUNCTION("GOOGLETRANSLATE(A29810,""en"",""pt"")"),"cartucho de toner baixa capacidade com unidade.")</f>
        <v>cartucho de toner baixa capacidade com unidade.</v>
      </c>
      <c r="B29810" s="3">
        <v>0</v>
      </c>
    </row>
    <row r="29811" ht="15.75" customHeight="1" spans="1:2">
      <c r="A29811" s="3" t="str">
        <f>IFERROR(__xludf.DUMMYFUNCTION("GOOGLETRANSLATE(A29811,""en"",""pt"")"),"Nenhum sinos e apitos.")</f>
        <v>Nenhum sinos e apitos.</v>
      </c>
      <c r="B29811" s="3">
        <v>0</v>
      </c>
    </row>
    <row r="29812" ht="15.75" customHeight="1" spans="1:2">
      <c r="A29812" s="3" t="str">
        <f>IFERROR(__xludf.DUMMYFUNCTION("GOOGLETRANSLATE(A29812,""en"",""pt"")"),"nenhum ainda")</f>
        <v>nenhum ainda</v>
      </c>
      <c r="B29812" s="3">
        <v>0</v>
      </c>
    </row>
    <row r="29813" ht="15.75" customHeight="1" spans="1:2">
      <c r="A29813" s="3" t="str">
        <f>IFERROR(__xludf.DUMMYFUNCTION("GOOGLETRANSLATE(A29813,""en"",""pt"")"),"nenhuma USB")</f>
        <v>nenhuma USB</v>
      </c>
      <c r="B29813" s="3">
        <v>0</v>
      </c>
    </row>
    <row r="29814" ht="15.75" customHeight="1" spans="1:2">
      <c r="A29814" s="3" t="str">
        <f>IFERROR(__xludf.DUMMYFUNCTION("GOOGLETRANSLATE(A29814,""en"",""pt"")"),"dificilmente pode ver fora LCD. Zoom é digital fora, tão inútil. AD / DC adaptador é caro.")</f>
        <v>dificilmente pode ver fora LCD. Zoom é digital fora, tão inútil. AD / DC adaptador é caro.</v>
      </c>
      <c r="B29814" s="3">
        <v>0</v>
      </c>
    </row>
    <row r="29815" ht="15.75" customHeight="1" spans="1:2">
      <c r="A29815" s="3" t="str">
        <f>IFERROR(__xludf.DUMMYFUNCTION("GOOGLETRANSLATE(A29815,""en"",""pt"")"),"marca desconhecida")</f>
        <v>marca desconhecida</v>
      </c>
      <c r="B29815" s="3">
        <v>0</v>
      </c>
    </row>
    <row r="29816" ht="15.75" customHeight="1" spans="1:2">
      <c r="A29816" s="3" t="str">
        <f>IFERROR(__xludf.DUMMYFUNCTION("GOOGLETRANSLATE(A29816,""en"",""pt"")"),"O Suporte SiPix parecem ofender")</f>
        <v>O Suporte SiPix parecem ofender</v>
      </c>
      <c r="B29816" s="3">
        <v>0</v>
      </c>
    </row>
    <row r="29817" ht="15.75" customHeight="1" spans="1:2">
      <c r="A29817" s="3" t="str">
        <f>IFERROR(__xludf.DUMMYFUNCTION("GOOGLETRANSLATE(A29817,""en"",""pt"")"),"processador lento, o software é errático e trava no download, controle de exposição difícil.")</f>
        <v>processador lento, o software é errático e trava no download, controle de exposição difícil.</v>
      </c>
      <c r="B29817" s="3">
        <v>0</v>
      </c>
    </row>
    <row r="29818" ht="15.75" customHeight="1" spans="1:2">
      <c r="A29818" s="3" t="str">
        <f>IFERROR(__xludf.DUMMYFUNCTION("GOOGLETRANSLATE(A29818,""en"",""pt"")"),"Big, beberrão de bateria")</f>
        <v>Big, beberrão de bateria</v>
      </c>
      <c r="B29818" s="3">
        <v>0</v>
      </c>
    </row>
    <row r="29819" ht="15.75" customHeight="1" spans="1:2">
      <c r="A29819" s="3" t="str">
        <f>IFERROR(__xludf.DUMMYFUNCTION("GOOGLETRANSLATE(A29819,""en"",""pt"")"),"curta duração da bateria, propenso a ser acidentalmente ligado, não-Flash imagens são borradas.")</f>
        <v>curta duração da bateria, propenso a ser acidentalmente ligado, não-Flash imagens são borradas.</v>
      </c>
      <c r="B29819" s="3">
        <v>0</v>
      </c>
    </row>
    <row r="29820" ht="15.75" customHeight="1" spans="1:2">
      <c r="A29820" s="3" t="str">
        <f>IFERROR(__xludf.DUMMYFUNCTION("GOOGLETRANSLATE(A29820,""en"",""pt"")"),"dreno de bateria (uso rechargeables), cartão de memória morreu menos de 1ano.")</f>
        <v>dreno de bateria (uso rechargeables), cartão de memória morreu menos de 1ano.</v>
      </c>
      <c r="B29820" s="3">
        <v>0</v>
      </c>
    </row>
    <row r="29821" ht="15.75" customHeight="1" spans="1:2">
      <c r="A29821" s="3" t="str">
        <f>IFERROR(__xludf.DUMMYFUNCTION("GOOGLETRANSLATE(A29821,""en"",""pt"")"),"retardar a piscar recarga, vida útil da bateria, difícil de ver fora LCD, liga-se, por vezes,")</f>
        <v>retardar a piscar recarga, vida útil da bateria, difícil de ver fora LCD, liga-se, por vezes,</v>
      </c>
      <c r="B29821" s="3">
        <v>0</v>
      </c>
    </row>
    <row r="29822" ht="15.75" customHeight="1" spans="1:2">
      <c r="A29822" s="3" t="str">
        <f>IFERROR(__xludf.DUMMYFUNCTION("GOOGLETRANSLATE(A29822,""en"",""pt"")"),"Até o momento, eu fui incapaz de obter o software para o trabalho &amp; amp;. # 13; &amp; amp; # 10;")</f>
        <v>Até o momento, eu fui incapaz de obter o software para o trabalho &amp; amp;. # 13; &amp; amp; # 10;</v>
      </c>
      <c r="B29822" s="3">
        <v>0</v>
      </c>
    </row>
    <row r="29823" ht="15.75" customHeight="1" spans="1:2">
      <c r="A29823" s="3" t="str">
        <f>IFERROR(__xludf.DUMMYFUNCTION("GOOGLETRANSLATE(A29823,""en"",""pt"")"),"a esse preço / tamanho? Você está brincando!")</f>
        <v>a esse preço / tamanho? Você está brincando!</v>
      </c>
      <c r="B29823" s="3">
        <v>0</v>
      </c>
    </row>
    <row r="29824" ht="15.75" customHeight="1" spans="1:2">
      <c r="A29824" s="3" t="str">
        <f>IFERROR(__xludf.DUMMYFUNCTION("GOOGLETRANSLATE(A29824,""en"",""pt"")"),"No Flash, Poor baixa qualidade da luz")</f>
        <v>No Flash, Poor baixa qualidade da luz</v>
      </c>
      <c r="B29824" s="3">
        <v>0</v>
      </c>
    </row>
    <row r="29825" ht="15.75" customHeight="1" spans="1:2">
      <c r="A29825" s="3" t="str">
        <f>IFERROR(__xludf.DUMMYFUNCTION("GOOGLETRANSLATE(A29825,""en"",""pt"")"),"As imagens não são tão grandes com pouca luz")</f>
        <v>As imagens não são tão grandes com pouca luz</v>
      </c>
      <c r="B29825" s="3">
        <v>0</v>
      </c>
    </row>
    <row r="29826" ht="15.75" customHeight="1" spans="1:2">
      <c r="A29826" s="3" t="str">
        <f>IFERROR(__xludf.DUMMYFUNCTION("GOOGLETRANSLATE(A29826,""en"",""pt"")"),"fotos desfocadas, se você não está muito quieto, sem flash, poder perder e fotos sumiram")</f>
        <v>fotos desfocadas, se você não está muito quieto, sem flash, poder perder e fotos sumiram</v>
      </c>
      <c r="B29826" s="3">
        <v>0</v>
      </c>
    </row>
    <row r="29827" ht="15.75" customHeight="1" spans="1:2">
      <c r="A29827" s="3" t="str">
        <f>IFERROR(__xludf.DUMMYFUNCTION("GOOGLETRANSLATE(A29827,""en"",""pt"")"),"Deve ser realizada totalmente ainda, não vai tirar uma foto com pouca luz.")</f>
        <v>Deve ser realizada totalmente ainda, não vai tirar uma foto com pouca luz.</v>
      </c>
      <c r="B29827" s="3">
        <v>0</v>
      </c>
    </row>
    <row r="29828" ht="15.75" customHeight="1" spans="1:2">
      <c r="A29828" s="3" t="str">
        <f>IFERROR(__xludf.DUMMYFUNCTION("GOOGLETRANSLATE(A29828,""en"",""pt"")"),"A qualidade da imagem não é grande")</f>
        <v>A qualidade da imagem não é grande</v>
      </c>
      <c r="B29828" s="3">
        <v>0</v>
      </c>
    </row>
    <row r="29829" ht="15.75" customHeight="1" spans="1:2">
      <c r="A29829" s="3" t="str">
        <f>IFERROR(__xludf.DUMMYFUNCTION("GOOGLETRANSLATE(A29829,""en"",""pt"")"),"fotos desfocadas, morre bateria --- &amp; gt; imagem perdida,")</f>
        <v>fotos desfocadas, morre bateria --- &amp; gt; imagem perdida,</v>
      </c>
      <c r="B29829" s="3">
        <v>0</v>
      </c>
    </row>
    <row r="29830" ht="15.75" customHeight="1" spans="1:2">
      <c r="A29830" s="3" t="str">
        <f>IFERROR(__xludf.DUMMYFUNCTION("GOOGLETRANSLATE(A29830,""en"",""pt"")"),"sem memória, a trepidação da câmera")</f>
        <v>sem memória, a trepidação da câmera</v>
      </c>
      <c r="B29830" s="3">
        <v>0</v>
      </c>
    </row>
    <row r="29831" ht="15.75" customHeight="1" spans="1:2">
      <c r="A29831" s="3" t="str">
        <f>IFERROR(__xludf.DUMMYFUNCTION("GOOGLETRANSLATE(A29831,""en"",""pt"")"),"vida pobre da bateria, qualidade de imagem, software. Lista continua.")</f>
        <v>vida pobre da bateria, qualidade de imagem, software. Lista continua.</v>
      </c>
      <c r="B29831" s="3">
        <v>0</v>
      </c>
    </row>
    <row r="29832" ht="15.75" customHeight="1" spans="1:2">
      <c r="A29832" s="3" t="str">
        <f>IFERROR(__xludf.DUMMYFUNCTION("GOOGLETRANSLATE(A29832,""en"",""pt"")"),"No Flash, utilização limitada no escuro.")</f>
        <v>No Flash, utilização limitada no escuro.</v>
      </c>
      <c r="B29832" s="3">
        <v>0</v>
      </c>
    </row>
    <row r="29833" ht="15.75" customHeight="1" spans="1:2">
      <c r="A29833" s="3" t="str">
        <f>IFERROR(__xludf.DUMMYFUNCTION("GOOGLETRANSLATE(A29833,""en"",""pt"")"),"Flash -Não, -barato Software, -Pobre Construção, -Pobre qualidade de imagem, o trabalho -Doesn't com o meu computador,")</f>
        <v>Flash -Não, -barato Software, -Pobre Construção, -Pobre qualidade de imagem, o trabalho -Doesn't com o meu computador,</v>
      </c>
      <c r="B29833" s="3">
        <v>0</v>
      </c>
    </row>
    <row r="29834" ht="15.75" customHeight="1" spans="1:2">
      <c r="A29834" s="3" t="str">
        <f>IFERROR(__xludf.DUMMYFUNCTION("GOOGLETRANSLATE(A29834,""en"",""pt"")"),"BAD qualidade de imagem, software pobres.")</f>
        <v>BAD qualidade de imagem, software pobres.</v>
      </c>
      <c r="B29834" s="3">
        <v>0</v>
      </c>
    </row>
    <row r="29835" ht="15.75" customHeight="1" spans="1:2">
      <c r="A29835" s="3" t="str">
        <f>IFERROR(__xludf.DUMMYFUNCTION("GOOGLETRANSLATE(A29835,""en"",""pt"")"),"fotos fuzzy e necessidade de cam espera muito ainda.")</f>
        <v>fotos fuzzy e necessidade de cam espera muito ainda.</v>
      </c>
      <c r="B29835" s="3">
        <v>0</v>
      </c>
    </row>
    <row r="29836" ht="15.75" customHeight="1" spans="1:2">
      <c r="A29836" s="3" t="str">
        <f>IFERROR(__xludf.DUMMYFUNCTION("GOOGLETRANSLATE(A29836,""en"",""pt"")"),"barato não importa quando você não pode obter quaisquer imagens fora dele.")</f>
        <v>barato não importa quando você não pode obter quaisquer imagens fora dele.</v>
      </c>
      <c r="B29836" s="3">
        <v>0</v>
      </c>
    </row>
    <row r="29837" ht="15.75" customHeight="1" spans="1:2">
      <c r="A29837" s="3" t="str">
        <f>IFERROR(__xludf.DUMMYFUNCTION("GOOGLETRANSLATE(A29837,""en"",""pt"")"),"por US $ 35? Nenhum")</f>
        <v>por US $ 35? Nenhum</v>
      </c>
      <c r="B29837" s="3">
        <v>0</v>
      </c>
    </row>
    <row r="29838" ht="15.75" customHeight="1" spans="1:2">
      <c r="A29838" s="3" t="str">
        <f>IFERROR(__xludf.DUMMYFUNCTION("GOOGLETRANSLATE(A29838,""en"",""pt"")"),"uso limitado em condições de pouca luz. Sem expansão de memória.")</f>
        <v>uso limitado em condições de pouca luz. Sem expansão de memória.</v>
      </c>
      <c r="B29838" s="3">
        <v>0</v>
      </c>
    </row>
    <row r="29839" ht="15.75" customHeight="1" spans="1:2">
      <c r="A29839" s="3" t="str">
        <f>IFERROR(__xludf.DUMMYFUNCTION("GOOGLETRANSLATE(A29839,""en"",""pt"")"),"No Flash, tela No Picture Preview, imagens são armazenadas na RAM")</f>
        <v>No Flash, tela No Picture Preview, imagens são armazenadas na RAM</v>
      </c>
      <c r="B29839" s="3">
        <v>0</v>
      </c>
    </row>
    <row r="29840" ht="15.75" customHeight="1" spans="1:2">
      <c r="A29840" s="3" t="str">
        <f>IFERROR(__xludf.DUMMYFUNCTION("GOOGLETRANSLATE(A29840,""en"",""pt"")"),"Despeja suas fotos. a vida da bateria pobres.")</f>
        <v>Despeja suas fotos. a vida da bateria pobres.</v>
      </c>
      <c r="B29840" s="3">
        <v>0</v>
      </c>
    </row>
    <row r="29841" ht="15.75" customHeight="1" spans="1:2">
      <c r="A29841" s="3" t="str">
        <f>IFERROR(__xludf.DUMMYFUNCTION("GOOGLETRANSLATE(A29841,""en"",""pt"")"),"Sem flash, aberração lente ligeira sobre as bordas")</f>
        <v>Sem flash, aberração lente ligeira sobre as bordas</v>
      </c>
      <c r="B29841" s="3">
        <v>0</v>
      </c>
    </row>
    <row r="29842" ht="15.75" customHeight="1" spans="1:2">
      <c r="A29842" s="3" t="str">
        <f>IFERROR(__xludf.DUMMYFUNCTION("GOOGLETRANSLATE(A29842,""en"",""pt"")"),"Precisam de mais luz")</f>
        <v>Precisam de mais luz</v>
      </c>
      <c r="B29842" s="3">
        <v>0</v>
      </c>
    </row>
    <row r="29843" ht="15.75" customHeight="1" spans="1:2">
      <c r="A29843" s="3" t="str">
        <f>IFERROR(__xludf.DUMMYFUNCTION("GOOGLETRANSLATE(A29843,""en"",""pt"")"),"ligting perfeito ou nenhuma imagem, trava de software no XP, URL do site errado na embalagem.")</f>
        <v>ligting perfeito ou nenhuma imagem, trava de software no XP, URL do site errado na embalagem.</v>
      </c>
      <c r="B29843" s="3">
        <v>0</v>
      </c>
    </row>
    <row r="29844" ht="15.75" customHeight="1" spans="1:2">
      <c r="A29844" s="3" t="s">
        <v>167</v>
      </c>
      <c r="B29844" s="3">
        <v>0</v>
      </c>
    </row>
    <row r="29845" ht="15.75" customHeight="1" spans="1:2">
      <c r="A29845" s="3" t="str">
        <f>IFERROR(__xludf.DUMMYFUNCTION("GOOGLETRANSLATE(A29845,""en"",""pt"")"),"Piscar relativamente inútil, &amp; amp; # 13; &amp; amp; # 10; lenta de focagem, &amp; amp; # 13; &amp; amp; # 10; 1,5 megapixel ultrapassada.")</f>
        <v>Piscar relativamente inútil, &amp; amp; # 13; &amp; amp; # 10; lenta de focagem, &amp; amp; # 13; &amp; amp; # 10; 1,5 megapixel ultrapassada.</v>
      </c>
      <c r="B29845" s="3">
        <v>0</v>
      </c>
    </row>
    <row r="29846" ht="15.75" customHeight="1" spans="1:2">
      <c r="A29846" s="3" t="str">
        <f>IFERROR(__xludf.DUMMYFUNCTION("GOOGLETRANSLATE(A29846,""en"",""pt"")"),"Desejo mais informações sobre o usuário estava no manual.")</f>
        <v>Desejo mais informações sobre o usuário estava no manual.</v>
      </c>
      <c r="B29846" s="3">
        <v>0</v>
      </c>
    </row>
    <row r="29847" ht="15.75" customHeight="1" spans="1:2">
      <c r="A29847" s="3" t="str">
        <f>IFERROR(__xludf.DUMMYFUNCTION("GOOGLETRANSLATE(A29847,""en"",""pt"")"),"Desejo mais informações sobre o usuário estava no manual.")</f>
        <v>Desejo mais informações sobre o usuário estava no manual.</v>
      </c>
      <c r="B29847" s="3">
        <v>0</v>
      </c>
    </row>
    <row r="29848" ht="15.75" customHeight="1" spans="1:2">
      <c r="A29848" s="3" t="str">
        <f>IFERROR(__xludf.DUMMYFUNCTION("GOOGLETRANSLATE(A29848,""en"",""pt"")"),"Falta de lentes intercambiáveis.")</f>
        <v>Falta de lentes intercambiáveis.</v>
      </c>
      <c r="B29848" s="3">
        <v>0</v>
      </c>
    </row>
    <row r="29849" ht="15.75" customHeight="1" spans="1:2">
      <c r="A29849" s="3" t="str">
        <f>IFERROR(__xludf.DUMMYFUNCTION("GOOGLETRANSLATE(A29849,""en"",""pt"")"),"Preço, volumoso")</f>
        <v>Preço, volumoso</v>
      </c>
      <c r="B29849" s="3">
        <v>0</v>
      </c>
    </row>
    <row r="29850" ht="15.75" customHeight="1" spans="1:2">
      <c r="A29850" s="3" t="str">
        <f>IFERROR(__xludf.DUMMYFUNCTION("GOOGLETRANSLATE(A29850,""en"",""pt"")"),"Leitor de cartão")</f>
        <v>Leitor de cartão</v>
      </c>
      <c r="B29850" s="3">
        <v>0</v>
      </c>
    </row>
    <row r="29851" ht="15.75" customHeight="1" spans="1:2">
      <c r="A29851" s="3" t="str">
        <f>IFERROR(__xludf.DUMMYFUNCTION("GOOGLETRANSLATE(A29851,""en"",""pt"")"),"Auto-foco poderia ser melhor")</f>
        <v>Auto-foco poderia ser melhor</v>
      </c>
      <c r="B29851" s="3">
        <v>0</v>
      </c>
    </row>
    <row r="29852" ht="15.75" customHeight="1" spans="1:2">
      <c r="A29852" s="3" t="str">
        <f>IFERROR(__xludf.DUMMYFUNCTION("GOOGLETRANSLATE(A29852,""en"",""pt"")"),"NÃO a mais alta resolução, mas megapxels são altamente superestimada! Imagem Gear Software")</f>
        <v>NÃO a mais alta resolução, mas megapxels são altamente superestimada! Imagem Gear Software</v>
      </c>
      <c r="B29852" s="3">
        <v>0</v>
      </c>
    </row>
    <row r="29853" ht="15.75" customHeight="1" spans="1:2">
      <c r="A29853" s="3" t="str">
        <f>IFERROR(__xludf.DUMMYFUNCTION("GOOGLETRANSLATE(A29853,""en"",""pt"")"),"Pobre pouca luz focagem. Corpo muito pequeno para mãos maiores. Flimsey sentindo porta da bateria.")</f>
        <v>Pobre pouca luz focagem. Corpo muito pequeno para mãos maiores. Flimsey sentindo porta da bateria.</v>
      </c>
      <c r="B29853" s="3">
        <v>0</v>
      </c>
    </row>
    <row r="29854" ht="15.75" customHeight="1" spans="1:2">
      <c r="A29854" s="3" t="str">
        <f>IFERROR(__xludf.DUMMYFUNCTION("GOOGLETRANSLATE(A29854,""en"",""pt"")"),"caro")</f>
        <v>caro</v>
      </c>
      <c r="B29854" s="3">
        <v>0</v>
      </c>
    </row>
    <row r="29855" ht="15.75" customHeight="1" spans="1:2">
      <c r="A29855" s="3" t="str">
        <f>IFERROR(__xludf.DUMMYFUNCTION("GOOGLETRANSLATE(A29855,""en"",""pt"")"),"No visor, o carregamento da bateria forma pouco agitado, estranho para a realização")</f>
        <v>No visor, o carregamento da bateria forma pouco agitado, estranho para a realização</v>
      </c>
      <c r="B29855" s="3">
        <v>0</v>
      </c>
    </row>
    <row r="29856" ht="15.75" customHeight="1" spans="1:2">
      <c r="A29856" s="3" t="str">
        <f>IFERROR(__xludf.DUMMYFUNCTION("GOOGLETRANSLATE(A29856,""en"",""pt"")"),"Custo")</f>
        <v>Custo</v>
      </c>
      <c r="B29856" s="3">
        <v>0</v>
      </c>
    </row>
    <row r="29857" ht="15.75" customHeight="1" spans="1:2">
      <c r="A29857" s="3" t="str">
        <f>IFERROR(__xludf.DUMMYFUNCTION("GOOGLETRANSLATE(A29857,""en"",""pt"")"),"manuseio preciso ""para se acostumar,"" 8 megabyte memory stick é um ""turn-off""")</f>
        <v>manuseio preciso "para se acostumar," 8 megabyte memory stick é um "turn-off"</v>
      </c>
      <c r="B29857" s="3">
        <v>0</v>
      </c>
    </row>
    <row r="29858" ht="15.75" customHeight="1" spans="1:2">
      <c r="A29858" s="3" t="str">
        <f>IFERROR(__xludf.DUMMYFUNCTION("GOOGLETRANSLATE(A29858,""en"",""pt"")"),"LCD está em um lugar ruim, eu tocá-lo com o polegar a cada momento e, em seguida,")</f>
        <v>LCD está em um lugar ruim, eu tocá-lo com o polegar a cada momento e, em seguida,</v>
      </c>
      <c r="B29858" s="3">
        <v>0</v>
      </c>
    </row>
    <row r="29859" ht="15.75" customHeight="1" spans="1:2">
      <c r="A29859" s="3" t="str">
        <f>IFERROR(__xludf.DUMMYFUNCTION("GOOGLETRANSLATE(A29859,""en"",""pt"")"),"rachaduras na habitação, fora de foco closeups")</f>
        <v>rachaduras na habitação, fora de foco closeups</v>
      </c>
      <c r="B29859" s="3">
        <v>0</v>
      </c>
    </row>
    <row r="29860" ht="15.75" customHeight="1" spans="1:2">
      <c r="A29860" s="3" t="str">
        <f>IFERROR(__xludf.DUMMYFUNCTION("GOOGLETRANSLATE(A29860,""en"",""pt"")"),"tecnologia e mídia todos os proprietários, caro")</f>
        <v>tecnologia e mídia todos os proprietários, caro</v>
      </c>
      <c r="B29860" s="3">
        <v>0</v>
      </c>
    </row>
    <row r="29861" ht="15.75" customHeight="1" spans="1:2">
      <c r="A29861" s="3" t="str">
        <f>IFERROR(__xludf.DUMMYFUNCTION("GOOGLETRANSLATE(A29861,""en"",""pt"")"),"empacotado com 8MB MemoryStick e nenhum caso de transporte!")</f>
        <v>empacotado com 8MB MemoryStick e nenhum caso de transporte!</v>
      </c>
      <c r="B29861" s="3">
        <v>0</v>
      </c>
    </row>
    <row r="29862" ht="15.75" customHeight="1" spans="1:2">
      <c r="A29862" s="3" t="str">
        <f>IFERROR(__xludf.DUMMYFUNCTION("GOOGLETRANSLATE(A29862,""en"",""pt"")"),"foco automático com pouca luz e o flash não é grande quando se utiliza o zoom. Típico com a maioria das câmeras de foco automático.")</f>
        <v>foco automático com pouca luz e o flash não é grande quando se utiliza o zoom. Típico com a maioria das câmeras de foco automático.</v>
      </c>
      <c r="B29862" s="3">
        <v>0</v>
      </c>
    </row>
    <row r="29863" ht="15.75" customHeight="1" spans="1:2">
      <c r="A29863" s="3" t="str">
        <f>IFERROR(__xludf.DUMMYFUNCTION("GOOGLETRANSLATE(A29863,""en"",""pt"")"),"No visor, bateria fraca com nenhuma forma de melhorar, não há memória suficiente incluído, demasiado volumoso.")</f>
        <v>No visor, bateria fraca com nenhuma forma de melhorar, não há memória suficiente incluído, demasiado volumoso.</v>
      </c>
      <c r="B29863" s="3">
        <v>0</v>
      </c>
    </row>
    <row r="29864" ht="15.75" customHeight="1" spans="1:2">
      <c r="A29864" s="3" t="str">
        <f>IFERROR(__xludf.DUMMYFUNCTION("GOOGLETRANSLATE(A29864,""en"",""pt"")"),"Não é o melhor para tiros de disparo novamente para trás. Vem com pouca memória e nenhum caso ..")</f>
        <v>Não é o melhor para tiros de disparo novamente para trás. Vem com pouca memória e nenhum caso ..</v>
      </c>
      <c r="B29864" s="3">
        <v>0</v>
      </c>
    </row>
    <row r="29865" ht="15.75" customHeight="1" spans="1:2">
      <c r="A29865" s="3" t="str">
        <f>IFERROR(__xludf.DUMMYFUNCTION("GOOGLETRANSLATE(A29865,""en"",""pt"")"),"não é um verdadeiro came 3,3 megapixels")</f>
        <v>não é um verdadeiro came 3,3 megapixels</v>
      </c>
      <c r="B29865" s="3">
        <v>0</v>
      </c>
    </row>
    <row r="29866" ht="15.75" customHeight="1" spans="1:2">
      <c r="A29866" s="3" t="str">
        <f>IFERROR(__xludf.DUMMYFUNCTION("GOOGLETRANSLATE(A29866,""en"",""pt"")"),"sem visor e caro extras")</f>
        <v>sem visor e caro extras</v>
      </c>
      <c r="B29866" s="3">
        <v>0</v>
      </c>
    </row>
    <row r="29867" ht="15.75" customHeight="1" spans="1:2">
      <c r="A29867" s="3" t="str">
        <f>IFERROR(__xludf.DUMMYFUNCTION("GOOGLETRANSLATE(A29867,""en"",""pt"")"),"incompatibilidade USB")</f>
        <v>incompatibilidade USB</v>
      </c>
      <c r="B29867" s="3">
        <v>0</v>
      </c>
    </row>
    <row r="29868" ht="15.75" customHeight="1" spans="1:2">
      <c r="A29868" s="3" t="str">
        <f>IFERROR(__xludf.DUMMYFUNCTION("GOOGLETRANSLATE(A29868,""en"",""pt"")"),"vida útil da bateria, o produto caro")</f>
        <v>vida útil da bateria, o produto caro</v>
      </c>
      <c r="B29868" s="3">
        <v>0</v>
      </c>
    </row>
    <row r="29869" ht="15.75" customHeight="1" spans="1:2">
      <c r="A29869" s="3" t="str">
        <f>IFERROR(__xludf.DUMMYFUNCTION("GOOGLETRANSLATE(A29869,""en"",""pt"")"),"flexibilidade modo manual limitada.")</f>
        <v>flexibilidade modo manual limitada.</v>
      </c>
      <c r="B29869" s="3">
        <v>0</v>
      </c>
    </row>
    <row r="29870" ht="15.75" customHeight="1" spans="1:2">
      <c r="A29870" s="3" t="str">
        <f>IFERROR(__xludf.DUMMYFUNCTION("GOOGLETRANSLATE(A29870,""en"",""pt"")"),"Nenhum")</f>
        <v>Nenhum</v>
      </c>
      <c r="B29870" s="3">
        <v>0</v>
      </c>
    </row>
    <row r="29871" ht="15.75" customHeight="1" spans="1:2">
      <c r="A29871" s="3" t="str">
        <f>IFERROR(__xludf.DUMMYFUNCTION("GOOGLETRANSLATE(A29871,""en"",""pt"")"),"Vida útil da bateria, memória fornecido")</f>
        <v>Vida útil da bateria, memória fornecido</v>
      </c>
      <c r="B29871" s="3">
        <v>0</v>
      </c>
    </row>
    <row r="29872" ht="15.75" customHeight="1" spans="1:2">
      <c r="A29872" s="3" t="str">
        <f>IFERROR(__xludf.DUMMYFUNCTION("GOOGLETRANSLATE(A29872,""en"",""pt"")"),"nada")</f>
        <v>nada</v>
      </c>
      <c r="B29872" s="3">
        <v>0</v>
      </c>
    </row>
    <row r="29873" ht="15.75" customHeight="1" spans="1:2">
      <c r="A29873" s="3" t="str">
        <f>IFERROR(__xludf.DUMMYFUNCTION("GOOGLETRANSLATE(A29873,""en"",""pt"")"),"Sem fita de pescoço, memory stick única 8mb")</f>
        <v>Sem fita de pescoço, memory stick única 8mb</v>
      </c>
      <c r="B29873" s="3">
        <v>0</v>
      </c>
    </row>
    <row r="29874" ht="15.75" customHeight="1" spans="1:2">
      <c r="A29874" s="3" t="str">
        <f>IFERROR(__xludf.DUMMYFUNCTION("GOOGLETRANSLATE(A29874,""en"",""pt"")"),"curta duração da bateria, a falta de óptica visor")</f>
        <v>curta duração da bateria, a falta de óptica visor</v>
      </c>
      <c r="B29874" s="3">
        <v>0</v>
      </c>
    </row>
    <row r="29875" ht="15.75" customHeight="1" spans="1:2">
      <c r="A29875" s="3" t="str">
        <f>IFERROR(__xludf.DUMMYFUNCTION("GOOGLETRANSLATE(A29875,""en"",""pt"")"),"Energia da bateria, a falta de compressão Escolha / Novos recursos, e 2.6 Megapixels.")</f>
        <v>Energia da bateria, a falta de compressão Escolha / Novos recursos, e 2.6 Megapixels.</v>
      </c>
      <c r="B29875" s="3">
        <v>0</v>
      </c>
    </row>
    <row r="29876" ht="15.75" customHeight="1" spans="1:2">
      <c r="A29876" s="3" t="str">
        <f>IFERROR(__xludf.DUMMYFUNCTION("GOOGLETRANSLATE(A29876,""en"",""pt"")"),"flash muito brilhante, nenhum caso, vara 8mb incluídos, caro")</f>
        <v>flash muito brilhante, nenhum caso, vara 8mb incluídos, caro</v>
      </c>
      <c r="B29876" s="3">
        <v>0</v>
      </c>
    </row>
    <row r="29877" ht="15.75" customHeight="1" spans="1:2">
      <c r="A29877" s="3" t="str">
        <f>IFERROR(__xludf.DUMMYFUNCTION("GOOGLETRANSLATE(A29877,""en"",""pt"")"),"Caro. A vida da bateria não muito longo.")</f>
        <v>Caro. A vida da bateria não muito longo.</v>
      </c>
      <c r="B29877" s="3">
        <v>0</v>
      </c>
    </row>
    <row r="29878" ht="15.75" customHeight="1" spans="1:2">
      <c r="A29878" s="3" t="str">
        <f>IFERROR(__xludf.DUMMYFUNCTION("GOOGLETRANSLATE(A29878,""en"",""pt"")"),"Às vezes você vai sentir falta de um visor.")</f>
        <v>Às vezes você vai sentir falta de um visor.</v>
      </c>
      <c r="B29878" s="3">
        <v>0</v>
      </c>
    </row>
    <row r="29879" ht="15.75" customHeight="1" spans="1:2">
      <c r="A29879" s="3" t="str">
        <f>IFERROR(__xludf.DUMMYFUNCTION("GOOGLETRANSLATE(A29879,""en"",""pt"")"),"modo de captura de filme Limited.")</f>
        <v>modo de captura de filme Limited.</v>
      </c>
      <c r="B29879" s="3">
        <v>0</v>
      </c>
    </row>
    <row r="29880" ht="15.75" customHeight="1" spans="1:2">
      <c r="A29880" s="3" t="str">
        <f>IFERROR(__xludf.DUMMYFUNCTION("GOOGLETRANSLATE(A29880,""en"",""pt"")"),"difícil ver a tela sob luz solar intensa, alguns que lento em grandes tiros de arquivo")</f>
        <v>difícil ver a tela sob luz solar intensa, alguns que lento em grandes tiros de arquivo</v>
      </c>
      <c r="B29880" s="3">
        <v>0</v>
      </c>
    </row>
    <row r="29881" ht="15.75" customHeight="1" spans="1:2">
      <c r="A29881" s="3" t="str">
        <f>IFERROR(__xludf.DUMMYFUNCTION("GOOGLETRANSLATE(A29881,""en"",""pt"")"),"Proprietary Memory Stick é caro, serial sux cabo, limite de filme de 15 segundos")</f>
        <v>Proprietary Memory Stick é caro, serial sux cabo, limite de filme de 15 segundos</v>
      </c>
      <c r="B29881" s="3">
        <v>0</v>
      </c>
    </row>
    <row r="29882" ht="15.75" customHeight="1" spans="1:2">
      <c r="A29882" s="3" t="str">
        <f>IFERROR(__xludf.DUMMYFUNCTION("GOOGLETRANSLATE(A29882,""en"",""pt"")"),"caso caro, não transportando")</f>
        <v>caso caro, não transportando</v>
      </c>
      <c r="B29882" s="3">
        <v>0</v>
      </c>
    </row>
    <row r="29883" ht="15.75" customHeight="1" spans="1:2">
      <c r="A29883" s="3" t="str">
        <f>IFERROR(__xludf.DUMMYFUNCTION("GOOGLETRANSLATE(A29883,""en"",""pt"")"),"lente pequena, ajustes manuais limitados")</f>
        <v>lente pequena, ajustes manuais limitados</v>
      </c>
      <c r="B29883" s="3">
        <v>0</v>
      </c>
    </row>
    <row r="29884" ht="15.75" customHeight="1" spans="1:2">
      <c r="A29884" s="3" t="str">
        <f>IFERROR(__xludf.DUMMYFUNCTION("GOOGLETRANSLATE(A29884,""en"",""pt"")"),"caros, as funções de menu complicados")</f>
        <v>caros, as funções de menu complicados</v>
      </c>
      <c r="B29884" s="3">
        <v>0</v>
      </c>
    </row>
    <row r="29885" ht="15.75" customHeight="1" spans="1:2">
      <c r="A29885" s="3" t="str">
        <f>IFERROR(__xludf.DUMMYFUNCTION("GOOGLETRANSLATE(A29885,""en"",""pt"")"),"Um pouco semelhante à DSC-F1")</f>
        <v>Um pouco semelhante à DSC-F1</v>
      </c>
      <c r="B29885" s="3">
        <v>0</v>
      </c>
    </row>
    <row r="29886" ht="15.75" customHeight="1" spans="1:2">
      <c r="A29886" s="3" t="str">
        <f>IFERROR(__xludf.DUMMYFUNCTION("GOOGLETRANSLATE(A29886,""en"",""pt"")"),"Sem zoom, necessidade de comprar maior memory stick")</f>
        <v>Sem zoom, necessidade de comprar maior memory stick</v>
      </c>
      <c r="B29886" s="3">
        <v>0</v>
      </c>
    </row>
    <row r="29887" ht="15.75" customHeight="1" spans="1:2">
      <c r="A29887" s="3" t="str">
        <f>IFERROR(__xludf.DUMMYFUNCTION("GOOGLETRANSLATE(A29887,""en"",""pt"")"),"vida curta da bateria")</f>
        <v>vida curta da bateria</v>
      </c>
      <c r="B29887" s="3">
        <v>0</v>
      </c>
    </row>
    <row r="29888" ht="15.75" customHeight="1" spans="1:2">
      <c r="A29888" s="3" t="str">
        <f>IFERROR(__xludf.DUMMYFUNCTION("GOOGLETRANSLATE(A29888,""en"",""pt"")"),"não muito capacidade de zoom, uplink de série")</f>
        <v>não muito capacidade de zoom, uplink de série</v>
      </c>
      <c r="B29888" s="3">
        <v>0</v>
      </c>
    </row>
    <row r="29889" ht="15.75" customHeight="1" spans="1:2">
      <c r="A29889" s="3" t="str">
        <f>IFERROR(__xludf.DUMMYFUNCTION("GOOGLETRANSLATE(A29889,""en"",""pt"")"),"pouca memória, não LCD do painel de controle dedicado, LCD desprotegido, pilhas normais não funcionam (necessidades de iões de lítio)")</f>
        <v>pouca memória, não LCD do painel de controle dedicado, LCD desprotegido, pilhas normais não funcionam (necessidades de iões de lítio)</v>
      </c>
      <c r="B29889" s="3">
        <v>0</v>
      </c>
    </row>
    <row r="29890" ht="15.75" customHeight="1" spans="1:2">
      <c r="A29890" s="3" t="str">
        <f>IFERROR(__xludf.DUMMYFUNCTION("GOOGLETRANSLATE(A29890,""en"",""pt"")"),"nenhuma bolsa de transporte,")</f>
        <v>nenhuma bolsa de transporte,</v>
      </c>
      <c r="B29890" s="3">
        <v>0</v>
      </c>
    </row>
    <row r="29891" ht="15.75" customHeight="1" spans="1:2">
      <c r="A29891" s="3" t="str">
        <f>IFERROR(__xludf.DUMMYFUNCTION("GOOGLETRANSLATE(A29891,""en"",""pt"")"),"você precisa bateries")</f>
        <v>você precisa bateries</v>
      </c>
      <c r="B29891" s="3">
        <v>0</v>
      </c>
    </row>
    <row r="29892" ht="15.75" customHeight="1" spans="1:2">
      <c r="A29892" s="3" t="str">
        <f>IFERROR(__xludf.DUMMYFUNCTION("GOOGLETRANSLATE(A29892,""en"",""pt"")"),"lcd qualidade zoom pobres, memória Proprietary")</f>
        <v>lcd qualidade zoom pobres, memória Proprietary</v>
      </c>
      <c r="B29892" s="3">
        <v>0</v>
      </c>
    </row>
    <row r="29893" ht="15.75" customHeight="1" spans="1:2">
      <c r="A29893" s="3" t="str">
        <f>IFERROR(__xludf.DUMMYFUNCTION("GOOGLETRANSLATE(A29893,""en"",""pt"")"),"memory stick limitada vem w câmera /")</f>
        <v>memory stick limitada vem w câmera /</v>
      </c>
      <c r="B29893" s="3">
        <v>0</v>
      </c>
    </row>
    <row r="29894" ht="15.75" customHeight="1" spans="1:2">
      <c r="A29894" s="3" t="str">
        <f>IFERROR(__xludf.DUMMYFUNCTION("GOOGLETRANSLATE(A29894,""en"",""pt"")"),"capacidade de zoom pequena")</f>
        <v>capacidade de zoom pequena</v>
      </c>
      <c r="B29894" s="3">
        <v>0</v>
      </c>
    </row>
    <row r="29895" ht="15.75" customHeight="1" spans="1:2">
      <c r="A29895" s="3" t="str">
        <f>IFERROR(__xludf.DUMMYFUNCTION("GOOGLETRANSLATE(A29895,""en"",""pt"")"),"A vida da bateria é baixo e memória fornecido não é suficiente.")</f>
        <v>A vida da bateria é baixo e memória fornecido não é suficiente.</v>
      </c>
      <c r="B29895" s="3">
        <v>0</v>
      </c>
    </row>
    <row r="29896" ht="15.75" customHeight="1" spans="1:2">
      <c r="A29896" s="3" t="str">
        <f>IFERROR(__xludf.DUMMYFUNCTION("GOOGLETRANSLATE(A29896,""en"",""pt"")"),"caro")</f>
        <v>caro</v>
      </c>
      <c r="B29896" s="3">
        <v>0</v>
      </c>
    </row>
    <row r="29897" ht="15.75" customHeight="1" spans="1:2">
      <c r="A29897" s="3" t="str">
        <f>IFERROR(__xludf.DUMMYFUNCTION("GOOGLETRANSLATE(A29897,""en"",""pt"")"),"Não construído em zoom")</f>
        <v>Não construído em zoom</v>
      </c>
      <c r="B29897" s="3">
        <v>0</v>
      </c>
    </row>
    <row r="29898" ht="15.75" customHeight="1" spans="1:2">
      <c r="A29898" s="3" t="str">
        <f>IFERROR(__xludf.DUMMYFUNCTION("GOOGLETRANSLATE(A29898,""en"",""pt"")"),"longo arrancar tempo, flash muito brilhante")</f>
        <v>longo arrancar tempo, flash muito brilhante</v>
      </c>
      <c r="B29898" s="3">
        <v>0</v>
      </c>
    </row>
    <row r="29899" ht="15.75" customHeight="1" spans="1:2">
      <c r="A29899" s="3" t="str">
        <f>IFERROR(__xludf.DUMMYFUNCTION("GOOGLETRANSLATE(A29899,""en"",""pt"")"),"não é barato")</f>
        <v>não é barato</v>
      </c>
      <c r="B29899" s="3">
        <v>0</v>
      </c>
    </row>
    <row r="29900" ht="15.75" customHeight="1" spans="1:2">
      <c r="A29900" s="3" t="s">
        <v>168</v>
      </c>
      <c r="B29900" s="3">
        <v>0</v>
      </c>
    </row>
    <row r="29901" ht="15.75" customHeight="1" spans="1:2">
      <c r="A29901" s="3" t="str">
        <f>IFERROR(__xludf.DUMMYFUNCTION("GOOGLETRANSLATE(A29901,""en"",""pt"")"),"memória download de ficar um pouco lento.")</f>
        <v>memória download de ficar um pouco lento.</v>
      </c>
      <c r="B29901" s="3">
        <v>0</v>
      </c>
    </row>
    <row r="29902" ht="15.75" customHeight="1" spans="1:2">
      <c r="A29902" s="3" t="str">
        <f>IFERROR(__xludf.DUMMYFUNCTION("GOOGLETRANSLATE(A29902,""en"",""pt"")"),"Sem suporte USB, sem zoom óptico, nenhum formato não comprimido de arquivo")</f>
        <v>Sem suporte USB, sem zoom óptico, nenhum formato não comprimido de arquivo</v>
      </c>
      <c r="B29902" s="3">
        <v>0</v>
      </c>
    </row>
    <row r="29903" ht="15.75" customHeight="1" spans="1:2">
      <c r="A29903" s="3" t="str">
        <f>IFERROR(__xludf.DUMMYFUNCTION("GOOGLETRANSLATE(A29903,""en"",""pt"")"),"LCD difícil de usar com pouca luz, cabo Serial lento, sem zoom óptico")</f>
        <v>LCD difícil de usar com pouca luz, cabo Serial lento, sem zoom óptico</v>
      </c>
      <c r="B29903" s="3">
        <v>0</v>
      </c>
    </row>
    <row r="29904" ht="15.75" customHeight="1" spans="1:2">
      <c r="A29904" s="3" t="str">
        <f>IFERROR(__xludf.DUMMYFUNCTION("GOOGLETRANSLATE(A29904,""en"",""pt"")"),"A ligação de série é lento. O software especial é embalado.")</f>
        <v>A ligação de série é lento. O software especial é embalado.</v>
      </c>
      <c r="B29904" s="3">
        <v>0</v>
      </c>
    </row>
    <row r="29905" ht="15.75" customHeight="1" spans="1:2">
      <c r="A29905" s="3" t="str">
        <f>IFERROR(__xludf.DUMMYFUNCTION("GOOGLETRANSLATE(A29905,""en"",""pt"")"),"Serial ao invés de conexão USB")</f>
        <v>Serial ao invés de conexão USB</v>
      </c>
      <c r="B29905" s="3">
        <v>0</v>
      </c>
    </row>
    <row r="29906" ht="15.75" customHeight="1" spans="1:2">
      <c r="A29906" s="3" t="str">
        <f>IFERROR(__xludf.DUMMYFUNCTION("GOOGLETRANSLATE(A29906,""en"",""pt"")"),"PictureLite3.2. Serial velocidade de download cabo.")</f>
        <v>PictureLite3.2. Serial velocidade de download cabo.</v>
      </c>
      <c r="B29906" s="3">
        <v>0</v>
      </c>
    </row>
    <row r="29907" ht="15.75" customHeight="1" spans="1:2">
      <c r="A29907" s="3" t="str">
        <f>IFERROR(__xludf.DUMMYFUNCTION("GOOGLETRANSLATE(A29907,""en"",""pt"")"),"Tamanho, visor digital só vem com um cartão de memória de 16MB.")</f>
        <v>Tamanho, visor digital só vem com um cartão de memória de 16MB.</v>
      </c>
      <c r="B29907" s="3">
        <v>0</v>
      </c>
    </row>
    <row r="29908" ht="15.75" customHeight="1" spans="1:2">
      <c r="A29908" s="3" t="str">
        <f>IFERROR(__xludf.DUMMYFUNCTION("GOOGLETRANSLATE(A29908,""en"",""pt"")"),"distorção ruim lente (macros grande angular), o tamanho máximo de Memory Stick apenas 128 MB")</f>
        <v>distorção ruim lente (macros grande angular), o tamanho máximo de Memory Stick apenas 128 MB</v>
      </c>
      <c r="B29908" s="3">
        <v>0</v>
      </c>
    </row>
    <row r="29909" ht="15.75" customHeight="1" spans="1:2">
      <c r="A29909" s="3" t="str">
        <f>IFERROR(__xludf.DUMMYFUNCTION("GOOGLETRANSLATE(A29909,""en"",""pt"")"),"Preço, única vara da memória e síndrome de flash azul")</f>
        <v>Preço, única vara da memória e síndrome de flash azul</v>
      </c>
      <c r="B29909" s="3">
        <v>0</v>
      </c>
    </row>
    <row r="29910" ht="15.75" customHeight="1" spans="1:2">
      <c r="A29910" s="3" t="str">
        <f>IFERROR(__xludf.DUMMYFUNCTION("GOOGLETRANSLATE(A29910,""en"",""pt"")"),"Caro")</f>
        <v>Caro</v>
      </c>
      <c r="B29910" s="3">
        <v>0</v>
      </c>
    </row>
    <row r="29911" ht="15.75" customHeight="1" spans="1:2">
      <c r="A29911" s="3" t="str">
        <f>IFERROR(__xludf.DUMMYFUNCTION("GOOGLETRANSLATE(A29911,""en"",""pt"")"),"Caro")</f>
        <v>Caro</v>
      </c>
      <c r="B29911" s="3">
        <v>0</v>
      </c>
    </row>
    <row r="29912" ht="15.75" customHeight="1" spans="1:2">
      <c r="A29912" s="3" t="str">
        <f>IFERROR(__xludf.DUMMYFUNCTION("GOOGLETRANSLATE(A29912,""en"",""pt"")"),"Preço e custo de memória")</f>
        <v>Preço e custo de memória</v>
      </c>
      <c r="B29912" s="3">
        <v>0</v>
      </c>
    </row>
    <row r="29913" ht="15.75" customHeight="1" spans="1:2">
      <c r="A29913" s="3" t="str">
        <f>IFERROR(__xludf.DUMMYFUNCTION("GOOGLETRANSLATE(A29913,""en"",""pt"")"),"Caro! tempo de captura lento (mas talvez com remédio).")</f>
        <v>Caro! tempo de captura lento (mas talvez com remédio).</v>
      </c>
      <c r="B29913" s="3">
        <v>0</v>
      </c>
    </row>
    <row r="29914" ht="15.75" customHeight="1" spans="1:2">
      <c r="A29914" s="3" t="str">
        <f>IFERROR(__xludf.DUMMYFUNCTION("GOOGLETRANSLATE(A29914,""en"",""pt"")"),"balanço de branco pobre. LCD apaga-se com as configurações manuais.")</f>
        <v>balanço de branco pobre. LCD apaga-se com as configurações manuais.</v>
      </c>
      <c r="B29914" s="3">
        <v>0</v>
      </c>
    </row>
    <row r="29915" ht="15.75" customHeight="1" spans="1:2">
      <c r="A29915" s="3" t="str">
        <f>IFERROR(__xludf.DUMMYFUNCTION("GOOGLETRANSLATE(A29915,""en"",""pt"")"),"Fornecido com 16MB MS. Longo atraso quando redução de olho vermelho ligado")</f>
        <v>Fornecido com 16MB MS. Longo atraso quando redução de olho vermelho ligado</v>
      </c>
      <c r="B29915" s="3">
        <v>0</v>
      </c>
    </row>
    <row r="29916" ht="15.75" customHeight="1" spans="1:2">
      <c r="A29916" s="3" t="str">
        <f>IFERROR(__xludf.DUMMYFUNCTION("GOOGLETRANSLATE(A29916,""en"",""pt"")"),"Usa apenas MemorySticks da Sony para sua memória, só vem w / memória 16megs.")</f>
        <v>Usa apenas MemorySticks da Sony para sua memória, só vem w / memória 16megs.</v>
      </c>
      <c r="B29916" s="3">
        <v>0</v>
      </c>
    </row>
    <row r="29917" ht="15.75" customHeight="1" spans="1:2">
      <c r="A29917" s="3" t="str">
        <f>IFERROR(__xludf.DUMMYFUNCTION("GOOGLETRANSLATE(A29917,""en"",""pt"")"),"Maior cartão de memória é de 128 MB. Não vêm com um caso. Lotes de acessórios.")</f>
        <v>Maior cartão de memória é de 128 MB. Não vêm com um caso. Lotes de acessórios.</v>
      </c>
      <c r="B29917" s="3">
        <v>0</v>
      </c>
    </row>
    <row r="29918" ht="15.75" customHeight="1" spans="1:2">
      <c r="A29918" s="3" t="str">
        <f>IFERROR(__xludf.DUMMYFUNCTION("GOOGLETRANSLATE(A29918,""en"",""pt"")"),"Vem com um muito pequeno cartão de memória.")</f>
        <v>Vem com um muito pequeno cartão de memória.</v>
      </c>
      <c r="B29918" s="3">
        <v>0</v>
      </c>
    </row>
    <row r="29919" ht="15.75" customHeight="1" spans="1:2">
      <c r="A29919" s="3" t="str">
        <f>IFERROR(__xludf.DUMMYFUNCTION("GOOGLETRANSLATE(A29919,""en"",""pt"")"),"Ainda se acostumando a distribuição de peso. Talvez não seja uma câmera para simples férias Photo-compradores.")</f>
        <v>Ainda se acostumando a distribuição de peso. Talvez não seja uma câmera para simples férias Photo-compradores.</v>
      </c>
      <c r="B29919" s="3">
        <v>0</v>
      </c>
    </row>
    <row r="29920" ht="15.75" customHeight="1" spans="1:2">
      <c r="A29920" s="3" t="str">
        <f>IFERROR(__xludf.DUMMYFUNCTION("GOOGLETRANSLATE(A29920,""en"",""pt"")"),"Apenas 16 MB de memória. O que eles estavam pensando?")</f>
        <v>Apenas 16 MB de memória. O que eles estavam pensando?</v>
      </c>
      <c r="B29920" s="3">
        <v>0</v>
      </c>
    </row>
    <row r="29921" ht="15.75" customHeight="1" spans="1:2">
      <c r="A29921" s="3" t="str">
        <f>IFERROR(__xludf.DUMMYFUNCTION("GOOGLETRANSLATE(A29921,""en"",""pt"")"),"Apenas 16MB Memory Stick fornecido")</f>
        <v>Apenas 16MB Memory Stick fornecido</v>
      </c>
      <c r="B29921" s="3">
        <v>0</v>
      </c>
    </row>
    <row r="29922" ht="15.75" customHeight="1" spans="1:2">
      <c r="A29922" s="3" t="str">
        <f>IFERROR(__xludf.DUMMYFUNCTION("GOOGLETRANSLATE(A29922,""en"",""pt"")"),"Horrível serviço de garantia mais pesadelo de interface USB &amp; amp;. # 13; &amp; amp; # 10;")</f>
        <v>Horrível serviço de garantia mais pesadelo de interface USB &amp; amp;. # 13; &amp; amp; # 10;</v>
      </c>
      <c r="B29922" s="3">
        <v>0</v>
      </c>
    </row>
    <row r="29923" ht="15.75" customHeight="1" spans="1:2">
      <c r="A29923" s="3" t="str">
        <f>IFERROR(__xludf.DUMMYFUNCTION("GOOGLETRANSLATE(A29923,""en"",""pt"")"),"EVF, Sony Memory Stick mídia de armazenamento de propriedade e ergonomia &amp; amp;. # 13; &amp; amp; # 10;")</f>
        <v>EVF, Sony Memory Stick mídia de armazenamento de propriedade e ergonomia &amp; amp;. # 13; &amp; amp; # 10;</v>
      </c>
      <c r="B29923" s="3">
        <v>0</v>
      </c>
    </row>
    <row r="29924" ht="15.75" customHeight="1" spans="1:2">
      <c r="A29924" s="3" t="str">
        <f>IFERROR(__xludf.DUMMYFUNCTION("GOOGLETRANSLATE(A29924,""en"",""pt"")"),"Falta de opções de balanço de branco. memória proprietária. Não pocket-capaz.")</f>
        <v>Falta de opções de balanço de branco. memória proprietária. Não pocket-capaz.</v>
      </c>
      <c r="B29924" s="3">
        <v>0</v>
      </c>
    </row>
    <row r="29925" ht="15.75" customHeight="1" spans="1:2">
      <c r="A29925" s="3" t="str">
        <f>IFERROR(__xludf.DUMMYFUNCTION("GOOGLETRANSLATE(A29925,""en"",""pt"")"),"Não é fácil para um amador para uso.")</f>
        <v>Não é fácil para um amador para uso.</v>
      </c>
      <c r="B29925" s="3">
        <v>0</v>
      </c>
    </row>
    <row r="29926" ht="15.75" customHeight="1" spans="1:2">
      <c r="A29926" s="3" t="str">
        <f>IFERROR(__xludf.DUMMYFUNCTION("GOOGLETRANSLATE(A29926,""en"",""pt"")"),"Um pouco caro, volumoso")</f>
        <v>Um pouco caro, volumoso</v>
      </c>
      <c r="B29926" s="3">
        <v>0</v>
      </c>
    </row>
    <row r="29927" ht="15.75" customHeight="1" spans="1:2">
      <c r="A29927" s="3" t="str">
        <f>IFERROR(__xludf.DUMMYFUNCTION("GOOGLETRANSLATE(A29927,""en"",""pt"")"),"memory stick Proprietary")</f>
        <v>memory stick Proprietary</v>
      </c>
      <c r="B29927" s="3">
        <v>0</v>
      </c>
    </row>
    <row r="29928" ht="15.75" customHeight="1" spans="1:2">
      <c r="A29928" s="3" t="str">
        <f>IFERROR(__xludf.DUMMYFUNCTION("GOOGLETRANSLATE(A29928,""en"",""pt"")"),"PRESSA PARA FORA E agarrar esta fora de cada prateleira em AMERICA ,,")</f>
        <v>PRESSA PARA FORA E agarrar esta fora de cada prateleira em AMERICA ,,</v>
      </c>
      <c r="B29928" s="3">
        <v>0</v>
      </c>
    </row>
    <row r="29929" ht="15.75" customHeight="1" spans="1:2">
      <c r="A29929" s="3" t="str">
        <f>IFERROR(__xludf.DUMMYFUNCTION("GOOGLETRANSLATE(A29929,""en"",""pt"")"),"o preço")</f>
        <v>o preço</v>
      </c>
      <c r="B29929" s="3">
        <v>0</v>
      </c>
    </row>
    <row r="29930" ht="15.75" customHeight="1" spans="1:2">
      <c r="A29930" s="3" t="str">
        <f>IFERROR(__xludf.DUMMYFUNCTION("GOOGLETRANSLATE(A29930,""en"",""pt"")"),"Leia o artigo para os contras desta câmara.")</f>
        <v>Leia o artigo para os contras desta câmara.</v>
      </c>
      <c r="B29930" s="3">
        <v>0</v>
      </c>
    </row>
    <row r="29931" ht="15.75" customHeight="1" spans="1:2">
      <c r="A29931" s="3" t="str">
        <f>IFERROR(__xludf.DUMMYFUNCTION("GOOGLETRANSLATE(A29931,""en"",""pt"")"),"Ergonomia não para todos. Eletrônica View Finder. Armazenamento.")</f>
        <v>Ergonomia não para todos. Eletrônica View Finder. Armazenamento.</v>
      </c>
      <c r="B29931" s="3">
        <v>0</v>
      </c>
    </row>
    <row r="29932" ht="15.75" customHeight="1" spans="1:2">
      <c r="A29932" s="3" t="str">
        <f>IFERROR(__xludf.DUMMYFUNCTION("GOOGLETRANSLATE(A29932,""en"",""pt"")"),"forma diferente, $$")</f>
        <v>forma diferente, $$</v>
      </c>
      <c r="B29932" s="3">
        <v>0</v>
      </c>
    </row>
    <row r="29933" ht="15.75" customHeight="1" spans="1:2">
      <c r="A29933" s="3" t="str">
        <f>IFERROR(__xludf.DUMMYFUNCTION("GOOGLETRANSLATE(A29933,""en"",""pt"")"),"Tamanho, Preço")</f>
        <v>Tamanho, Preço</v>
      </c>
      <c r="B29933" s="3">
        <v>0</v>
      </c>
    </row>
    <row r="29934" ht="15.75" customHeight="1" spans="1:2">
      <c r="A29934" s="3" t="str">
        <f>IFERROR(__xludf.DUMMYFUNCTION("GOOGLETRANSLATE(A29934,""en"",""pt"")"),"Sobrecompensado problemas de balanço de branco em certos tipos de iluminação")</f>
        <v>Sobrecompensado problemas de balanço de branco em certos tipos de iluminação</v>
      </c>
      <c r="B29934" s="3">
        <v>0</v>
      </c>
    </row>
    <row r="29935" ht="15.75" customHeight="1" spans="1:2">
      <c r="A29935" s="3" t="str">
        <f>IFERROR(__xludf.DUMMYFUNCTION("GOOGLETRANSLATE(A29935,""en"",""pt"")"),"Não Windows XP amigável, muito caro, muito difícil de usar")</f>
        <v>Não Windows XP amigável, muito caro, muito difícil de usar</v>
      </c>
      <c r="B29935" s="3">
        <v>0</v>
      </c>
    </row>
    <row r="29936" ht="15.75" customHeight="1" spans="1:2">
      <c r="A29936" s="3" t="str">
        <f>IFERROR(__xludf.DUMMYFUNCTION("GOOGLETRANSLATE(A29936,""en"",""pt"")"),"deficiência ergonômico e mudança de cor com grande angular extrema.")</f>
        <v>deficiência ergonômico e mudança de cor com grande angular extrema.</v>
      </c>
      <c r="B29936" s="3">
        <v>0</v>
      </c>
    </row>
    <row r="29937" ht="15.75" customHeight="1" spans="1:2">
      <c r="A29937" s="3" t="str">
        <f>IFERROR(__xludf.DUMMYFUNCTION("GOOGLETRANSLATE(A29937,""en"",""pt"")"),"Sony Proprietary Memória, ocasionalmente Difícil Manual Focus")</f>
        <v>Sony Proprietary Memória, ocasionalmente Difícil Manual Focus</v>
      </c>
      <c r="B29937" s="3">
        <v>0</v>
      </c>
    </row>
    <row r="29938" ht="15.75" customHeight="1" spans="1:2">
      <c r="A29938" s="3" t="str">
        <f>IFERROR(__xludf.DUMMYFUNCTION("GOOGLETRANSLATE(A29938,""en"",""pt"")"),"Mordi grande e pesado para casual tirar fotografias.")</f>
        <v>Mordi grande e pesado para casual tirar fotografias.</v>
      </c>
      <c r="B29938" s="3">
        <v>0</v>
      </c>
    </row>
    <row r="29939" ht="15.75" customHeight="1" spans="1:2">
      <c r="A29939" s="3" t="str">
        <f>IFERROR(__xludf.DUMMYFUNCTION("GOOGLETRANSLATE(A29939,""en"",""pt"")"),"Vem com pequeno cartão de memória (16 MB) e câmera é bastante grande.")</f>
        <v>Vem com pequeno cartão de memória (16 MB) e câmera é bastante grande.</v>
      </c>
      <c r="B29939" s="3">
        <v>0</v>
      </c>
    </row>
    <row r="29940" ht="15.75" customHeight="1" spans="1:2">
      <c r="A29940" s="3" t="str">
        <f>IFERROR(__xludf.DUMMYFUNCTION("GOOGLETRANSLATE(A29940,""en"",""pt"")"),"Prioridade de abertura é limitado, muito proprietária, modo não contínuo e apenas uma zona de foco.")</f>
        <v>Prioridade de abertura é limitado, muito proprietária, modo não contínuo e apenas uma zona de foco.</v>
      </c>
      <c r="B29940" s="3">
        <v>0</v>
      </c>
    </row>
    <row r="29941" ht="15.75" customHeight="1" spans="1:2">
      <c r="A29941" s="3" t="str">
        <f>IFERROR(__xludf.DUMMYFUNCTION("GOOGLETRANSLATE(A29941,""en"",""pt"")"),"16MB memory stick que ele vem com é inútil - 128MB movimento. Odd de manusear.")</f>
        <v>16MB memory stick que ele vem com é inútil - 128MB movimento. Odd de manusear.</v>
      </c>
      <c r="B29941" s="3">
        <v>0</v>
      </c>
    </row>
    <row r="29942" ht="15.75" customHeight="1" spans="1:2">
      <c r="A29942" s="3" t="str">
        <f>IFERROR(__xludf.DUMMYFUNCTION("GOOGLETRANSLATE(A29942,""en"",""pt"")"),"Grandes e volumosos, um pouco estranho para segurar, e bem, um pouco feio.")</f>
        <v>Grandes e volumosos, um pouco estranho para segurar, e bem, um pouco feio.</v>
      </c>
      <c r="B29942" s="3">
        <v>0</v>
      </c>
    </row>
    <row r="29943" ht="15.75" customHeight="1" spans="1:2">
      <c r="A29943" s="3" t="str">
        <f>IFERROR(__xludf.DUMMYFUNCTION("GOOGLETRANSLATE(A29943,""en"",""pt"")"),"forma estranha, controle de qualidade inicial, flash proprietária, ""vermelhos"", balanço de cor flash, memory stick.")</f>
        <v>forma estranha, controle de qualidade inicial, flash proprietária, "vermelhos", balanço de cor flash, memory stick.</v>
      </c>
      <c r="B29943" s="3">
        <v>0</v>
      </c>
    </row>
    <row r="29944" ht="15.75" customHeight="1" spans="1:2">
      <c r="A29944" s="3" t="str">
        <f>IFERROR(__xludf.DUMMYFUNCTION("GOOGLETRANSLATE(A29944,""en"",""pt"")"),"Nenhum encontrado até agora, trabalhando como um sonho")</f>
        <v>Nenhum encontrado até agora, trabalhando como um sonho</v>
      </c>
      <c r="B29944" s="3">
        <v>0</v>
      </c>
    </row>
    <row r="29945" ht="15.75" customHeight="1" spans="1:2">
      <c r="A29945" s="3" t="str">
        <f>IFERROR(__xludf.DUMMYFUNCTION("GOOGLETRANSLATE(A29945,""en"",""pt"")"),"acessórios Sony custar um braço-and-a-perna")</f>
        <v>acessórios Sony custar um braço-and-a-perna</v>
      </c>
      <c r="B29945" s="3">
        <v>0</v>
      </c>
    </row>
    <row r="29946" ht="15.75" customHeight="1" spans="1:2">
      <c r="A29946" s="3" t="str">
        <f>IFERROR(__xludf.DUMMYFUNCTION("GOOGLETRANSLATE(A29946,""en"",""pt"")"),"Custo")</f>
        <v>Custo</v>
      </c>
      <c r="B29946" s="3">
        <v>0</v>
      </c>
    </row>
    <row r="29947" ht="15.75" customHeight="1" spans="1:2">
      <c r="A29947" s="3" t="str">
        <f>IFERROR(__xludf.DUMMYFUNCTION("GOOGLETRANSLATE(A29947,""en"",""pt"")"),"Difícil se adaptar a ambientes com pouca luz.")</f>
        <v>Difícil se adaptar a ambientes com pouca luz.</v>
      </c>
      <c r="B29947" s="3">
        <v>0</v>
      </c>
    </row>
    <row r="29948" ht="15.75" customHeight="1" spans="1:2">
      <c r="A29948" s="3" t="s">
        <v>169</v>
      </c>
      <c r="B29948" s="3">
        <v>0</v>
      </c>
    </row>
    <row r="29949" ht="15.75" customHeight="1" spans="1:2">
      <c r="A29949" s="3" t="str">
        <f>IFERROR(__xludf.DUMMYFUNCTION("GOOGLETRANSLATE(A29949,""en"",""pt"")"),"Podem ser volumosos")</f>
        <v>Podem ser volumosos</v>
      </c>
      <c r="B29949" s="3">
        <v>0</v>
      </c>
    </row>
    <row r="29950" ht="15.75" customHeight="1" spans="1:2">
      <c r="A29950" s="3" t="str">
        <f>IFERROR(__xludf.DUMMYFUNCTION("GOOGLETRANSLATE(A29950,""en"",""pt"")"),"vem com cartão de memória de 16MB")</f>
        <v>vem com cartão de memória de 16MB</v>
      </c>
      <c r="B29950" s="3">
        <v>0</v>
      </c>
    </row>
    <row r="29951" ht="15.75" customHeight="1" spans="1:2">
      <c r="A29951" s="3" t="str">
        <f>IFERROR(__xludf.DUMMYFUNCTION("GOOGLETRANSLATE(A29951,""en"",""pt"")"),"memory stick, durabilidade, temperatura flash muito azul, mesmo após correção")</f>
        <v>memory stick, durabilidade, temperatura flash muito azul, mesmo após correção</v>
      </c>
      <c r="B29951" s="3">
        <v>0</v>
      </c>
    </row>
    <row r="29952" ht="15.75" customHeight="1" spans="1:2">
      <c r="A29952" s="3" t="str">
        <f>IFERROR(__xludf.DUMMYFUNCTION("GOOGLETRANSLATE(A29952,""en"",""pt"")"),"Garantia limitada")</f>
        <v>Garantia limitada</v>
      </c>
      <c r="B29952" s="3">
        <v>0</v>
      </c>
    </row>
    <row r="29953" ht="15.75" customHeight="1" spans="1:2">
      <c r="A29953" s="3" t="str">
        <f>IFERROR(__xludf.DUMMYFUNCTION("GOOGLETRANSLATE(A29953,""en"",""pt"")"),"Tipo de caro, talvez pudesse usar um pouco mais de zoom.")</f>
        <v>Tipo de caro, talvez pudesse usar um pouco mais de zoom.</v>
      </c>
      <c r="B29953" s="3">
        <v>0</v>
      </c>
    </row>
    <row r="29954" ht="15.75" customHeight="1" spans="1:2">
      <c r="A29954" s="3" t="str">
        <f>IFERROR(__xludf.DUMMYFUNCTION("GOOGLETRANSLATE(A29954,""en"",""pt"")"),"Fornecido 16MB Memory Stick uma piada, há varas disponível acima 128MB ainda")</f>
        <v>Fornecido 16MB Memory Stick uma piada, há varas disponível acima 128MB ainda</v>
      </c>
      <c r="B29954" s="3">
        <v>0</v>
      </c>
    </row>
    <row r="29955" ht="15.75" customHeight="1" spans="1:2">
      <c r="A29955" s="3" t="str">
        <f>IFERROR(__xludf.DUMMYFUNCTION("GOOGLETRANSLATE(A29955,""en"",""pt"")"),"É um pouco grande para carregar.")</f>
        <v>É um pouco grande para carregar.</v>
      </c>
      <c r="B29955" s="3">
        <v>0</v>
      </c>
    </row>
    <row r="29956" ht="15.75" customHeight="1" spans="1:2">
      <c r="A29956" s="3" t="str">
        <f>IFERROR(__xludf.DUMMYFUNCTION("GOOGLETRANSLATE(A29956,""en"",""pt"")"),"inábil para segurar, não b / w modo")</f>
        <v>inábil para segurar, não b / w modo</v>
      </c>
      <c r="B29956" s="3">
        <v>0</v>
      </c>
    </row>
    <row r="29957" ht="15.75" customHeight="1" spans="1:2">
      <c r="A29957" s="3" t="str">
        <f>IFERROR(__xludf.DUMMYFUNCTION("GOOGLETRANSLATE(A29957,""en"",""pt"")"),"Nenhum")</f>
        <v>Nenhum</v>
      </c>
      <c r="B29957" s="3">
        <v>0</v>
      </c>
    </row>
    <row r="29958" ht="15.75" customHeight="1" spans="1:2">
      <c r="A29958" s="3" t="str">
        <f>IFERROR(__xludf.DUMMYFUNCTION("GOOGLETRANSLATE(A29958,""en"",""pt"")"),"Flash produz efeito de olhos vermelhos, cartão de memória incluído é inadequada")</f>
        <v>Flash produz efeito de olhos vermelhos, cartão de memória incluído é inadequada</v>
      </c>
      <c r="B29958" s="3">
        <v>0</v>
      </c>
    </row>
    <row r="29959" ht="15.75" customHeight="1" spans="1:2">
      <c r="A29959" s="3" t="str">
        <f>IFERROR(__xludf.DUMMYFUNCTION("GOOGLETRANSLATE(A29959,""en"",""pt"")"),"Memória Proprietary / tamanho de memória pequeno, bateria proprietária,")</f>
        <v>Memória Proprietary / tamanho de memória pequeno, bateria proprietária,</v>
      </c>
      <c r="B29959" s="3">
        <v>0</v>
      </c>
    </row>
    <row r="29960" ht="15.75" customHeight="1" spans="1:2">
      <c r="A29960" s="3" t="str">
        <f>IFERROR(__xludf.DUMMYFUNCTION("GOOGLETRANSLATE(A29960,""en"",""pt"")"),"Um pouco volumoso, vem com um pequeno cartão de memória")</f>
        <v>Um pouco volumoso, vem com um pequeno cartão de memória</v>
      </c>
      <c r="B29960" s="3">
        <v>0</v>
      </c>
    </row>
    <row r="29961" ht="15.75" customHeight="1" spans="1:2">
      <c r="A29961" s="3" t="str">
        <f>IFERROR(__xludf.DUMMYFUNCTION("GOOGLETRANSLATE(A29961,""en"",""pt"")"),"Caro - 32MB Memory Stick - O que há com essa cor corpo de prata")</f>
        <v>Caro - 32MB Memory Stick - O que há com essa cor corpo de prata</v>
      </c>
      <c r="B29961" s="3">
        <v>0</v>
      </c>
    </row>
    <row r="29962" ht="15.75" customHeight="1" spans="1:2">
      <c r="A29962" s="3" t="str">
        <f>IFERROR(__xludf.DUMMYFUNCTION("GOOGLETRANSLATE(A29962,""en"",""pt"")"),"32 Meg ficar pouco caro standard,.")</f>
        <v>32 Meg ficar pouco caro standard,.</v>
      </c>
      <c r="B29962" s="3">
        <v>0</v>
      </c>
    </row>
    <row r="29963" ht="15.75" customHeight="1" spans="1:2">
      <c r="A29963" s="3" t="str">
        <f>IFERROR(__xludf.DUMMYFUNCTION("GOOGLETRANSLATE(A29963,""en"",""pt"")"),"Eu não ligava para o flash pop-up e sua bateria.")</f>
        <v>Eu não ligava para o flash pop-up e sua bateria.</v>
      </c>
      <c r="B29963" s="3">
        <v>0</v>
      </c>
    </row>
    <row r="29964" ht="15.75" customHeight="1" spans="1:2">
      <c r="A29964" s="3" t="str">
        <f>IFERROR(__xludf.DUMMYFUNCTION("GOOGLETRANSLATE(A29964,""en"",""pt"")"),"Volumoso, desequilibrado, óptico 5x e Memory Stick.")</f>
        <v>Volumoso, desequilibrado, óptico 5x e Memory Stick.</v>
      </c>
      <c r="B29964" s="3">
        <v>0</v>
      </c>
    </row>
    <row r="29965" ht="15.75" customHeight="1" spans="1:2">
      <c r="A29965" s="3" t="str">
        <f>IFERROR(__xludf.DUMMYFUNCTION("GOOGLETRANSLATE(A29965,""en"",""pt"")"),"Intimidados por muitos botões? Isso pode ter muitas configurações para você.")</f>
        <v>Intimidados por muitos botões? Isso pode ter muitas configurações para você.</v>
      </c>
      <c r="B29965" s="3">
        <v>0</v>
      </c>
    </row>
    <row r="29966" ht="15.75" customHeight="1" spans="1:2">
      <c r="A29966" s="3" t="str">
        <f>IFERROR(__xludf.DUMMYFUNCTION("GOOGLETRANSLATE(A29966,""en"",""pt"")"),"EVF, Sony Memory Stick mídia de armazenamento proprietário, e ergonomia pobres. ,")</f>
        <v>EVF, Sony Memory Stick mídia de armazenamento proprietário, e ergonomia pobres. ,</v>
      </c>
      <c r="B29966" s="3">
        <v>0</v>
      </c>
    </row>
    <row r="29967" ht="15.75" customHeight="1" spans="1:2">
      <c r="A29967" s="3" t="str">
        <f>IFERROR(__xludf.DUMMYFUNCTION("GOOGLETRANSLATE(A29967,""en"",""pt"")"),"Principalmente tecnologia proprietária da Sony.")</f>
        <v>Principalmente tecnologia proprietária da Sony.</v>
      </c>
      <c r="B29967" s="3">
        <v>0</v>
      </c>
    </row>
    <row r="29968" ht="15.75" customHeight="1" spans="1:2">
      <c r="A29968" s="3" t="str">
        <f>IFERROR(__xludf.DUMMYFUNCTION("GOOGLETRANSLATE(A29968,""en"",""pt"")"),"forma estranha, se você não está acostumado a isso.")</f>
        <v>forma estranha, se você não está acostumado a isso.</v>
      </c>
      <c r="B29968" s="3">
        <v>0</v>
      </c>
    </row>
    <row r="29969" ht="15.75" customHeight="1" spans="1:2">
      <c r="A29969" s="3" t="str">
        <f>IFERROR(__xludf.DUMMYFUNCTION("GOOGLETRANSLATE(A29969,""en"",""pt"")"),"dobradiças das portas são frágeis.")</f>
        <v>dobradiças das portas são frágeis.</v>
      </c>
      <c r="B29969" s="3">
        <v>0</v>
      </c>
    </row>
    <row r="29970" ht="15.75" customHeight="1" spans="1:2">
      <c r="A29970" s="3" t="str">
        <f>IFERROR(__xludf.DUMMYFUNCTION("GOOGLETRANSLATE(A29970,""en"",""pt"")"),"Peso, Garantia Sony")</f>
        <v>Peso, Garantia Sony</v>
      </c>
      <c r="B29970" s="3">
        <v>0</v>
      </c>
    </row>
    <row r="29971" ht="15.75" customHeight="1" spans="1:2">
      <c r="A29971" s="3" t="str">
        <f>IFERROR(__xludf.DUMMYFUNCTION("GOOGLETRANSLATE(A29971,""en"",""pt"")"),"pobre artesanato, extremamente mau serviço")</f>
        <v>pobre artesanato, extremamente mau serviço</v>
      </c>
      <c r="B29971" s="3">
        <v>0</v>
      </c>
    </row>
    <row r="29972" ht="15.75" customHeight="1" spans="1:2">
      <c r="A29972" s="3" t="str">
        <f>IFERROR(__xludf.DUMMYFUNCTION("GOOGLETRANSLATE(A29972,""en"",""pt"")"),"Lento com foco em esportes, Noise Reduction assume o controle afastado")</f>
        <v>Lento com foco em esportes, Noise Reduction assume o controle afastado</v>
      </c>
      <c r="B29972" s="3">
        <v>0</v>
      </c>
    </row>
    <row r="29973" ht="15.75" customHeight="1" spans="1:2">
      <c r="A29973" s="3" t="str">
        <f>IFERROR(__xludf.DUMMYFUNCTION("GOOGLETRANSLATE(A29973,""en"",""pt"")"),"O que há com 32MB de memória fornecido ??")</f>
        <v>O que há com 32MB de memória fornecido ??</v>
      </c>
      <c r="B29973" s="3">
        <v>0</v>
      </c>
    </row>
    <row r="29974" ht="15.75" customHeight="1" spans="1:2">
      <c r="A29974" s="3" t="str">
        <f>IFERROR(__xludf.DUMMYFUNCTION("GOOGLETRANSLATE(A29974,""en"",""pt"")"),"A câmera é volumoso, mas mesmo que é ainda menor do que seus antecessores.")</f>
        <v>A câmera é volumoso, mas mesmo que é ainda menor do que seus antecessores.</v>
      </c>
      <c r="B29974" s="3">
        <v>0</v>
      </c>
    </row>
    <row r="29975" ht="15.75" customHeight="1" spans="1:2">
      <c r="A29975" s="3" t="str">
        <f>IFERROR(__xludf.DUMMYFUNCTION("GOOGLETRANSLATE(A29975,""en"",""pt"")"),"câmera de tamanho grande é um volumoso pouco do que digitals típicas de hoje.")</f>
        <v>câmera de tamanho grande é um volumoso pouco do que digitals típicas de hoje.</v>
      </c>
      <c r="B29975" s="3">
        <v>0</v>
      </c>
    </row>
    <row r="29976" ht="15.75" customHeight="1" spans="1:2">
      <c r="A29976" s="3" t="s">
        <v>170</v>
      </c>
      <c r="B29976" s="3">
        <v>0</v>
      </c>
    </row>
    <row r="29977" ht="15.75" customHeight="1" spans="1:2">
      <c r="A29977" s="3" t="str">
        <f>IFERROR(__xludf.DUMMYFUNCTION("GOOGLETRANSLATE(A29977,""en"",""pt"")"),"custo. memory stick 32mb é uma piada.")</f>
        <v>custo. memory stick 32mb é uma piada.</v>
      </c>
      <c r="B29977" s="3">
        <v>0</v>
      </c>
    </row>
    <row r="29978" ht="15.75" customHeight="1" spans="1:2">
      <c r="A29978" s="3" t="str">
        <f>IFERROR(__xludf.DUMMYFUNCTION("GOOGLETRANSLATE(A29978,""en"",""pt"")"),"Ergonomia, forma, memory stick")</f>
        <v>Ergonomia, forma, memory stick</v>
      </c>
      <c r="B29978" s="3">
        <v>0</v>
      </c>
    </row>
    <row r="29979" ht="15.75" customHeight="1" spans="1:2">
      <c r="A29979" s="3" t="str">
        <f>IFERROR(__xludf.DUMMYFUNCTION("GOOGLETRANSLATE(A29979,""en"",""pt"")"),"Volumosos, pesados, macro complicado, veiwer olho não é ""verdade"".")</f>
        <v>Volumosos, pesados, macro complicado, veiwer olho não é "verdade".</v>
      </c>
      <c r="B29979" s="3">
        <v>0</v>
      </c>
    </row>
    <row r="29980" ht="15.75" customHeight="1" spans="1:2">
      <c r="A29980" s="3" t="str">
        <f>IFERROR(__xludf.DUMMYFUNCTION("GOOGLETRANSLATE(A29980,""en"",""pt"")"),"Skimpy memory stick")</f>
        <v>Skimpy memory stick</v>
      </c>
      <c r="B29980" s="3">
        <v>0</v>
      </c>
    </row>
    <row r="29981" ht="15.75" customHeight="1" spans="1:2">
      <c r="A29981" s="3" t="str">
        <f>IFERROR(__xludf.DUMMYFUNCTION("GOOGLETRANSLATE(A29981,""en"",""pt"")"),"modelos de produção iniciais foram recolhidos. capacidade de cartão de memória.")</f>
        <v>modelos de produção iniciais foram recolhidos. capacidade de cartão de memória.</v>
      </c>
      <c r="B29981" s="3">
        <v>0</v>
      </c>
    </row>
    <row r="29982" ht="15.75" customHeight="1" spans="1:2">
      <c r="A29982" s="3" t="str">
        <f>IFERROR(__xludf.DUMMYFUNCTION("GOOGLETRANSLATE(A29982,""en"",""pt"")"),"preço, forma estranha, sombra de flash em fotos macro")</f>
        <v>preço, forma estranha, sombra de flash em fotos macro</v>
      </c>
      <c r="B29982" s="3">
        <v>0</v>
      </c>
    </row>
    <row r="29983" ht="15.75" customHeight="1" spans="1:2">
      <c r="A29983" s="3" t="str">
        <f>IFERROR(__xludf.DUMMYFUNCTION("GOOGLETRANSLATE(A29983,""en"",""pt"")"),"Nenhum que eu posso pensar.")</f>
        <v>Nenhum que eu posso pensar.</v>
      </c>
      <c r="B29983" s="3">
        <v>0</v>
      </c>
    </row>
    <row r="29984" ht="15.75" customHeight="1" spans="1:2">
      <c r="A29984" s="3" t="str">
        <f>IFERROR(__xludf.DUMMYFUNCTION("GOOGLETRANSLATE(A29984,""en"",""pt"")"),"Body Shape, porta da bateria é um pouco fraco, memory sticks regulares não funcionam")</f>
        <v>Body Shape, porta da bateria é um pouco fraco, memory sticks regulares não funcionam</v>
      </c>
      <c r="B29984" s="3">
        <v>0</v>
      </c>
    </row>
    <row r="29985" ht="15.75" customHeight="1" spans="1:2">
      <c r="A29985" s="3" t="str">
        <f>IFERROR(__xludf.DUMMYFUNCTION("GOOGLETRANSLATE(A29985,""en"",""pt"")"),"Um pouco caro...")</f>
        <v>Um pouco caro...</v>
      </c>
      <c r="B29985" s="3">
        <v>0</v>
      </c>
    </row>
    <row r="29986" ht="15.75" customHeight="1" spans="1:2">
      <c r="A29986" s="3" t="str">
        <f>IFERROR(__xludf.DUMMYFUNCTION("GOOGLETRANSLATE(A29986,""en"",""pt"")"),"Flash pop-up em sua mão.")</f>
        <v>Flash pop-up em sua mão.</v>
      </c>
      <c r="B29986" s="3">
        <v>0</v>
      </c>
    </row>
    <row r="29987" ht="15.75" customHeight="1" spans="1:2">
      <c r="A29987" s="3" t="str">
        <f>IFERROR(__xludf.DUMMYFUNCTION("GOOGLETRANSLATE(A29987,""en"",""pt"")"),"olhos vermelhos é como outras câmaras. Não é diferente do que descartável.")</f>
        <v>olhos vermelhos é como outras câmaras. Não é diferente do que descartável.</v>
      </c>
      <c r="B29987" s="3">
        <v>0</v>
      </c>
    </row>
    <row r="29988" ht="15.75" customHeight="1" spans="1:2">
      <c r="A29988" s="3" t="str">
        <f>IFERROR(__xludf.DUMMYFUNCTION("GOOGLETRANSLATE(A29988,""en"",""pt"")"),"A volumosa pouco e pesado")</f>
        <v>A volumosa pouco e pesado</v>
      </c>
      <c r="B29988" s="3">
        <v>0</v>
      </c>
    </row>
    <row r="29989" ht="15.75" customHeight="1" spans="1:2">
      <c r="A29989" s="3" t="str">
        <f>IFERROR(__xludf.DUMMYFUNCTION("GOOGLETRANSLATE(A29989,""en"",""pt"")"),"velocidade lenta, cara, problema com foco em objetos próximos, necessidade de memória extra")</f>
        <v>velocidade lenta, cara, problema com foco em objetos próximos, necessidade de memória extra</v>
      </c>
      <c r="B29989" s="3">
        <v>0</v>
      </c>
    </row>
    <row r="29990" ht="15.75" customHeight="1" spans="1:2">
      <c r="A29990" s="3" t="s">
        <v>171</v>
      </c>
      <c r="B29990" s="3">
        <v>0</v>
      </c>
    </row>
    <row r="29991" ht="15.75" customHeight="1" spans="1:2">
      <c r="A29991" s="3" t="str">
        <f>IFERROR(__xludf.DUMMYFUNCTION("GOOGLETRANSLATE(A29991,""en"",""pt"")"),"memória apenas o suficiente para 30 - 35 imagens de cada vez")</f>
        <v>memória apenas o suficiente para 30 - 35 imagens de cada vez</v>
      </c>
      <c r="B29991" s="3">
        <v>0</v>
      </c>
    </row>
    <row r="29992" ht="15.75" customHeight="1" spans="1:2">
      <c r="A29992" s="3" t="str">
        <f>IFERROR(__xludf.DUMMYFUNCTION("GOOGLETRANSLATE(A29992,""en"",""pt"")"),"Má qualidade da imagem em condições de pouca luz")</f>
        <v>Má qualidade da imagem em condições de pouca luz</v>
      </c>
      <c r="B29992" s="3">
        <v>0</v>
      </c>
    </row>
    <row r="29993" ht="15.75" customHeight="1" spans="1:2">
      <c r="A29993" s="3" t="str">
        <f>IFERROR(__xludf.DUMMYFUNCTION("GOOGLETRANSLATE(A29993,""en"",""pt"")"),"memória proprietária, bateria proprietária, um pouco difícil de imprensa do obturador, de baixa potência do flash")</f>
        <v>memória proprietária, bateria proprietária, um pouco difícil de imprensa do obturador, de baixa potência do flash</v>
      </c>
      <c r="B29993" s="3">
        <v>0</v>
      </c>
    </row>
    <row r="29994" ht="15.75" customHeight="1" spans="1:2">
      <c r="A29994" s="3" t="str">
        <f>IFERROR(__xludf.DUMMYFUNCTION("GOOGLETRANSLATE(A29994,""en"",""pt"")"),"Difícil conseguir as melhores fotos, fraco (e mal posicionado) Flash.")</f>
        <v>Difícil conseguir as melhores fotos, fraco (e mal posicionado) Flash.</v>
      </c>
      <c r="B29994" s="3">
        <v>0</v>
      </c>
    </row>
    <row r="29995" ht="15.75" customHeight="1" spans="1:2">
      <c r="A29995" s="3" t="str">
        <f>IFERROR(__xludf.DUMMYFUNCTION("GOOGLETRANSLATE(A29995,""en"",""pt"")"),"As câmeras digitais podem ser caros")</f>
        <v>As câmeras digitais podem ser caros</v>
      </c>
      <c r="B29995" s="3">
        <v>0</v>
      </c>
    </row>
    <row r="29996" ht="15.75" customHeight="1" spans="1:2">
      <c r="A29996" s="3" t="str">
        <f>IFERROR(__xludf.DUMMYFUNCTION("GOOGLETRANSLATE(A29996,""en"",""pt"")"),"custo da bateria, confiabilidade")</f>
        <v>custo da bateria, confiabilidade</v>
      </c>
      <c r="B29996" s="3">
        <v>0</v>
      </c>
    </row>
    <row r="29997" ht="15.75" customHeight="1" spans="1:2">
      <c r="A29997" s="3" t="str">
        <f>IFERROR(__xludf.DUMMYFUNCTION("GOOGLETRANSLATE(A29997,""en"",""pt"")"),"Câmera tem falha reportada na vida da bateria. Sony emitiu um aviso de reparação recordação")</f>
        <v>Câmera tem falha reportada na vida da bateria. Sony emitiu um aviso de reparação recordação</v>
      </c>
      <c r="B29997" s="3">
        <v>0</v>
      </c>
    </row>
    <row r="29998" ht="15.75" customHeight="1" spans="1:2">
      <c r="A29998" s="3" t="str">
        <f>IFERROR(__xludf.DUMMYFUNCTION("GOOGLETRANSLATE(A29998,""en"",""pt"")"),"Caro")</f>
        <v>Caro</v>
      </c>
      <c r="B29998" s="3">
        <v>0</v>
      </c>
    </row>
    <row r="29999" ht="15.75" customHeight="1" spans="1:2">
      <c r="A29999" s="3" t="str">
        <f>IFERROR(__xludf.DUMMYFUNCTION("GOOGLETRANSLATE(A29999,""en"",""pt"")"),"Pictures fuzzy, acinzentada, e baixa qualidade. Clicker lento.")</f>
        <v>Pictures fuzzy, acinzentada, e baixa qualidade. Clicker lento.</v>
      </c>
      <c r="B29999" s="3">
        <v>0</v>
      </c>
    </row>
    <row r="30000" ht="15.75" customHeight="1" spans="1:2">
      <c r="A30000" s="3" t="str">
        <f>IFERROR(__xludf.DUMMYFUNCTION("GOOGLETRANSLATE(A30000,""en"",""pt"")"),"Memory Stick Capacidade, Sem Maleta")</f>
        <v>Memory Stick Capacidade, Sem Maleta</v>
      </c>
      <c r="B30000" s="3">
        <v>0</v>
      </c>
    </row>
    <row r="30001" ht="15.75" customHeight="1" spans="1:2">
      <c r="A30001" s="3" t="s">
        <v>172</v>
      </c>
      <c r="B30001" s="3">
        <v>0</v>
      </c>
    </row>
    <row r="30002" ht="15.75" customHeight="1" spans="1:2">
      <c r="A30002" s="3" t="str">
        <f>IFERROR(__xludf.DUMMYFUNCTION("GOOGLETRANSLATE(A30002,""en"",""pt"")"),"8 vara MB de memória é muito pequeno. A duração da bateria é curta.")</f>
        <v>8 vara MB de memória é muito pequeno. A duração da bateria é curta.</v>
      </c>
      <c r="B30002" s="3">
        <v>0</v>
      </c>
    </row>
    <row r="30003" ht="15.75" customHeight="1" spans="1:2">
      <c r="A30003" s="3" t="str">
        <f>IFERROR(__xludf.DUMMYFUNCTION("GOOGLETRANSLATE(A30003,""en"",""pt"")"),"Botão de disparo lento, 8MB Memory Stick muito pequeno, sem tempo de exposição")</f>
        <v>Botão de disparo lento, 8MB Memory Stick muito pequeno, sem tempo de exposição</v>
      </c>
      <c r="B30003" s="3">
        <v>0</v>
      </c>
    </row>
    <row r="30004" ht="15.75" customHeight="1" spans="1:2">
      <c r="A30004" s="3" t="str">
        <f>IFERROR(__xludf.DUMMYFUNCTION("GOOGLETRANSLATE(A30004,""en"",""pt"")"),"Horrível qualidade de imagem, Memory Stick, Poor capacidade macro ...")</f>
        <v>Horrível qualidade de imagem, Memory Stick, Poor capacidade macro ...</v>
      </c>
      <c r="B30004" s="3">
        <v>0</v>
      </c>
    </row>
    <row r="30005" ht="15.75" customHeight="1" spans="1:2">
      <c r="A30005" s="3" t="str">
        <f>IFERROR(__xludf.DUMMYFUNCTION("GOOGLETRANSLATE(A30005,""en"",""pt"")"),"NENHUM. Traz uma lágrima aos meus olhos ...")</f>
        <v>NENHUM. Traz uma lágrima aos meus olhos ...</v>
      </c>
      <c r="B30005" s="3">
        <v>0</v>
      </c>
    </row>
    <row r="30006" ht="15.75" customHeight="1" spans="1:2">
      <c r="A30006" s="3" t="str">
        <f>IFERROR(__xludf.DUMMYFUNCTION("GOOGLETRANSLATE(A30006,""en"",""pt"")"),"vida útil da bateria deixa algo a desejar")</f>
        <v>vida útil da bateria deixa algo a desejar</v>
      </c>
      <c r="B30006" s="3">
        <v>0</v>
      </c>
    </row>
    <row r="30007" ht="15.75" customHeight="1" spans="1:2">
      <c r="A30007" s="3" t="str">
        <f>IFERROR(__xludf.DUMMYFUNCTION("GOOGLETRANSLATE(A30007,""en"",""pt"")"),"8 MB de memória Stick é pequeno")</f>
        <v>8 MB de memória Stick é pequeno</v>
      </c>
      <c r="B30007" s="3">
        <v>0</v>
      </c>
    </row>
    <row r="30008" ht="15.75" customHeight="1" spans="1:2">
      <c r="A30008" s="3" t="str">
        <f>IFERROR(__xludf.DUMMYFUNCTION("GOOGLETRANSLATE(A30008,""en"",""pt"")"),"O consumo de bateria, a falta de memória, imprecisas view finder.")</f>
        <v>O consumo de bateria, a falta de memória, imprecisas view finder.</v>
      </c>
      <c r="B30008" s="3">
        <v>0</v>
      </c>
    </row>
    <row r="30009" ht="15.75" customHeight="1" spans="1:2">
      <c r="A30009" s="3" t="str">
        <f>IFERROR(__xludf.DUMMYFUNCTION("GOOGLETRANSLATE(A30009,""en"",""pt"")"),"Preço. fotos a noite. Bem-vindo à armadilha memory stick sony.")</f>
        <v>Preço. fotos a noite. Bem-vindo à armadilha memory stick sony.</v>
      </c>
      <c r="B30009" s="3">
        <v>0</v>
      </c>
    </row>
    <row r="30010" ht="15.75" customHeight="1" spans="1:2">
      <c r="A30010" s="3" t="str">
        <f>IFERROR(__xludf.DUMMYFUNCTION("GOOGLETRANSLATE(A30010,""en"",""pt"")"),"Proprietary Memory Stick, a vida da bateria.")</f>
        <v>Proprietary Memory Stick, a vida da bateria.</v>
      </c>
      <c r="B30010" s="3">
        <v>0</v>
      </c>
    </row>
    <row r="30011" ht="15.75" customHeight="1" spans="1:2">
      <c r="A30011" s="3" t="str">
        <f>IFERROR(__xludf.DUMMYFUNCTION("GOOGLETRANSLATE(A30011,""en"",""pt"")"),"pobre alcance do flash, os preços memory stick (não mais)")</f>
        <v>pobre alcance do flash, os preços memory stick (não mais)</v>
      </c>
      <c r="B30011" s="3">
        <v>0</v>
      </c>
    </row>
    <row r="30012" ht="15.75" customHeight="1" spans="1:2">
      <c r="A30012" s="3" t="str">
        <f>IFERROR(__xludf.DUMMYFUNCTION("GOOGLETRANSLATE(A30012,""en"",""pt"")"),"Pobre Flash, No caso da câmera")</f>
        <v>Pobre Flash, No caso da câmera</v>
      </c>
      <c r="B30012" s="3">
        <v>0</v>
      </c>
    </row>
    <row r="30013" ht="15.75" customHeight="1" spans="1:2">
      <c r="A30013" s="3" t="str">
        <f>IFERROR(__xludf.DUMMYFUNCTION("GOOGLETRANSLATE(A30013,""en"",""pt"")"),"não fora do carregador de câmera")</f>
        <v>não fora do carregador de câmera</v>
      </c>
      <c r="B30013" s="3">
        <v>0</v>
      </c>
    </row>
    <row r="30014" ht="15.75" customHeight="1" spans="1:2">
      <c r="A30014" s="3" t="str">
        <f>IFERROR(__xludf.DUMMYFUNCTION("GOOGLETRANSLATE(A30014,""en"",""pt"")"),"Falta de aux. piscar, varas de velocidade única da Sony, 1-4 seg espera para encaixar imagem")</f>
        <v>Falta de aux. piscar, varas de velocidade única da Sony, 1-4 seg espera para encaixar imagem</v>
      </c>
      <c r="B30014" s="3">
        <v>0</v>
      </c>
    </row>
    <row r="30015" ht="15.75" customHeight="1" spans="1:2">
      <c r="A30015" s="3" t="str">
        <f>IFERROR(__xludf.DUMMYFUNCTION("GOOGLETRANSLATE(A30015,""en"",""pt"")"),"qualidade de construção leve para o custo")</f>
        <v>qualidade de construção leve para o custo</v>
      </c>
      <c r="B30015" s="3">
        <v>0</v>
      </c>
    </row>
    <row r="30016" ht="15.75" customHeight="1" spans="1:2">
      <c r="A30016" s="3" t="str">
        <f>IFERROR(__xludf.DUMMYFUNCTION("GOOGLETRANSLATE(A30016,""en"",""pt"")"),"Você precisa comprar a memória extra; nenhum caso")</f>
        <v>Você precisa comprar a memória extra; nenhum caso</v>
      </c>
      <c r="B30016" s="3">
        <v>0</v>
      </c>
    </row>
    <row r="30017" ht="15.75" customHeight="1" spans="1:2">
      <c r="A30017" s="3" t="str">
        <f>IFERROR(__xludf.DUMMYFUNCTION("GOOGLETRANSLATE(A30017,""en"",""pt"")"),"Top qualidade = preço superior")</f>
        <v>Top qualidade = preço superior</v>
      </c>
      <c r="B30017" s="3">
        <v>0</v>
      </c>
    </row>
    <row r="30018" ht="15.75" customHeight="1" spans="1:2">
      <c r="A30018" s="3" t="str">
        <f>IFERROR(__xludf.DUMMYFUNCTION("GOOGLETRANSLATE(A30018,""en"",""pt"")"),"8MB memory stick, cartão de memória em geral.")</f>
        <v>8MB memory stick, cartão de memória em geral.</v>
      </c>
      <c r="B30018" s="3">
        <v>0</v>
      </c>
    </row>
    <row r="30019" ht="15.75" customHeight="1" spans="1:2">
      <c r="A30019" s="3" t="str">
        <f>IFERROR(__xludf.DUMMYFUNCTION("GOOGLETRANSLATE(A30019,""en"",""pt"")"),"Preço, Opcional Bag")</f>
        <v>Preço, Opcional Bag</v>
      </c>
      <c r="B30019" s="3">
        <v>0</v>
      </c>
    </row>
    <row r="30020" ht="15.75" customHeight="1" spans="1:2">
      <c r="A30020" s="3" t="str">
        <f>IFERROR(__xludf.DUMMYFUNCTION("GOOGLETRANSLATE(A30020,""en"",""pt"")"),"Pouco caro, muito lento para tirar uma foto")</f>
        <v>Pouco caro, muito lento para tirar uma foto</v>
      </c>
      <c r="B30020" s="3">
        <v>0</v>
      </c>
    </row>
    <row r="30021" ht="15.75" customHeight="1" spans="1:2">
      <c r="A30021" s="3" t="str">
        <f>IFERROR(__xludf.DUMMYFUNCTION("GOOGLETRANSLATE(A30021,""en"",""pt"")"),"Ainda têm de encontrar um.")</f>
        <v>Ainda têm de encontrar um.</v>
      </c>
      <c r="B30021" s="3">
        <v>0</v>
      </c>
    </row>
    <row r="30022" ht="15.75" customHeight="1" spans="1:2">
      <c r="A30022" s="3" t="str">
        <f>IFERROR(__xludf.DUMMYFUNCTION("GOOGLETRANSLATE(A30022,""en"",""pt"")"),"curta duração da bateria, suporte de software, ajuste de luz")</f>
        <v>curta duração da bateria, suporte de software, ajuste de luz</v>
      </c>
      <c r="B30022" s="3">
        <v>0</v>
      </c>
    </row>
    <row r="30023" ht="15.75" customHeight="1" spans="1:2">
      <c r="A30023" s="3" t="str">
        <f>IFERROR(__xludf.DUMMYFUNCTION("GOOGLETRANSLATE(A30023,""en"",""pt"")"),"vara da memória de 8MB, obturador lento / focando, flash fraco")</f>
        <v>vara da memória de 8MB, obturador lento / focando, flash fraco</v>
      </c>
      <c r="B30023" s="3">
        <v>0</v>
      </c>
    </row>
    <row r="30024" ht="15.75" customHeight="1" spans="1:2">
      <c r="A30024" s="3" t="str">
        <f>IFERROR(__xludf.DUMMYFUNCTION("GOOGLETRANSLATE(A30024,""en"",""pt"")"),"curta duração da bateria; USB exigente.")</f>
        <v>curta duração da bateria; USB exigente.</v>
      </c>
      <c r="B30024" s="3">
        <v>0</v>
      </c>
    </row>
    <row r="30025" ht="15.75" customHeight="1" spans="1:2">
      <c r="A30025" s="3" t="str">
        <f>IFERROR(__xludf.DUMMYFUNCTION("GOOGLETRANSLATE(A30025,""en"",""pt"")"),"A vida da bateria, peso, forma desajeitada.")</f>
        <v>A vida da bateria, peso, forma desajeitada.</v>
      </c>
      <c r="B30025" s="3">
        <v>0</v>
      </c>
    </row>
    <row r="30026" ht="15.75" customHeight="1" spans="1:2">
      <c r="A30026" s="3" t="str">
        <f>IFERROR(__xludf.DUMMYFUNCTION("GOOGLETRANSLATE(A30026,""en"",""pt"")"),"Tamanho torna difícil de manusear. LEIA ESTE PARECER antes de comprar!")</f>
        <v>Tamanho torna difícil de manusear. LEIA ESTE PARECER antes de comprar!</v>
      </c>
      <c r="B30026" s="3">
        <v>0</v>
      </c>
    </row>
    <row r="30027" ht="15.75" customHeight="1" spans="1:2">
      <c r="A30027" s="3" t="str">
        <f>IFERROR(__xludf.DUMMYFUNCTION("GOOGLETRANSLATE(A30027,""en"",""pt"")"),"gatilho memory sticks botão NECESSIDADE extra, e bateria extra")</f>
        <v>gatilho memory sticks botão NECESSIDADE extra, e bateria extra</v>
      </c>
      <c r="B30027" s="3">
        <v>0</v>
      </c>
    </row>
    <row r="30028" ht="15.75" customHeight="1" spans="1:2">
      <c r="A30028" s="3" t="str">
        <f>IFERROR(__xludf.DUMMYFUNCTION("GOOGLETRANSLATE(A30028,""en"",""pt"")"),"Preço")</f>
        <v>Preço</v>
      </c>
      <c r="B30028" s="3">
        <v>0</v>
      </c>
    </row>
    <row r="30029" ht="15.75" customHeight="1" spans="1:2">
      <c r="A30029" s="3" t="str">
        <f>IFERROR(__xludf.DUMMYFUNCTION("GOOGLETRANSLATE(A30029,""en"",""pt"")"),"Imagens borradas de baixa luz, fraco LCD, sombreamento")</f>
        <v>Imagens borradas de baixa luz, fraco LCD, sombreamento</v>
      </c>
      <c r="B30029" s="3">
        <v>0</v>
      </c>
    </row>
    <row r="30030" ht="15.75" customHeight="1" spans="1:2">
      <c r="A30030" s="3" t="s">
        <v>173</v>
      </c>
      <c r="B30030" s="3">
        <v>0</v>
      </c>
    </row>
    <row r="30031" ht="15.75" customHeight="1" spans="1:2">
      <c r="A30031" s="3" t="str">
        <f>IFERROR(__xludf.DUMMYFUNCTION("GOOGLETRANSLATE(A30031,""en"",""pt"")"),"memory sticks caro. Caso não incluído.")</f>
        <v>memory sticks caro. Caso não incluído.</v>
      </c>
      <c r="B30031" s="3">
        <v>0</v>
      </c>
    </row>
    <row r="30032" ht="15.75" customHeight="1" spans="1:2">
      <c r="A30032" s="3" t="str">
        <f>IFERROR(__xludf.DUMMYFUNCTION("GOOGLETRANSLATE(A30032,""en"",""pt"")"),"Um pouco caro. Apenas inclui 32MB Memory Stick.")</f>
        <v>Um pouco caro. Apenas inclui 32MB Memory Stick.</v>
      </c>
      <c r="B30032" s="3">
        <v>0</v>
      </c>
    </row>
    <row r="30033" ht="15.75" customHeight="1" spans="1:2">
      <c r="A30033" s="3" t="str">
        <f>IFERROR(__xludf.DUMMYFUNCTION("GOOGLETRANSLATE(A30033,""en"",""pt"")"),"poderia usar um cartão de memória maior, zoom adicional")</f>
        <v>poderia usar um cartão de memória maior, zoom adicional</v>
      </c>
      <c r="B30033" s="3">
        <v>0</v>
      </c>
    </row>
    <row r="30034" ht="15.75" customHeight="1" spans="1:2">
      <c r="A30034" s="3" t="str">
        <f>IFERROR(__xludf.DUMMYFUNCTION("GOOGLETRANSLATE(A30034,""en"",""pt"")"),"zoom 3x, vara pequena memória incluída, o preço")</f>
        <v>zoom 3x, vara pequena memória incluída, o preço</v>
      </c>
      <c r="B30034" s="3">
        <v>0</v>
      </c>
    </row>
    <row r="30035" ht="15.75" customHeight="1" spans="1:2">
      <c r="A30035" s="3" t="str">
        <f>IFERROR(__xludf.DUMMYFUNCTION("GOOGLETRANSLATE(A30035,""en"",""pt"")"),"Não encontrei nenhum ainda")</f>
        <v>Não encontrei nenhum ainda</v>
      </c>
      <c r="B30035" s="3">
        <v>0</v>
      </c>
    </row>
    <row r="30036" ht="15.75" customHeight="1" spans="1:2">
      <c r="A30036" s="3" t="str">
        <f>IFERROR(__xludf.DUMMYFUNCTION("GOOGLETRANSLATE(A30036,""en"",""pt"")"),"tela, modos de cena")</f>
        <v>tela, modos de cena</v>
      </c>
      <c r="B30036" s="3">
        <v>0</v>
      </c>
    </row>
    <row r="30037" ht="15.75" customHeight="1" spans="1:2">
      <c r="A30037" s="3" t="str">
        <f>IFERROR(__xludf.DUMMYFUNCTION("GOOGLETRANSLATE(A30037,""en"",""pt"")"),"O preço")</f>
        <v>O preço</v>
      </c>
      <c r="B30037" s="3">
        <v>0</v>
      </c>
    </row>
    <row r="30038" ht="15.75" customHeight="1" spans="1:2">
      <c r="A30038" s="3" t="str">
        <f>IFERROR(__xludf.DUMMYFUNCTION("GOOGLETRANSLATE(A30038,""en"",""pt"")"),"Nem sempre se pode dizer a qualidade da foto do pequeno lcd")</f>
        <v>Nem sempre se pode dizer a qualidade da foto do pequeno lcd</v>
      </c>
      <c r="B30038" s="3">
        <v>0</v>
      </c>
    </row>
    <row r="30039" ht="15.75" customHeight="1" spans="1:2">
      <c r="A30039" s="3" t="str">
        <f>IFERROR(__xludf.DUMMYFUNCTION("GOOGLETRANSLATE(A30039,""en"",""pt"")"),"problemas de foco e qualidade inconsistente de tiros.")</f>
        <v>problemas de foco e qualidade inconsistente de tiros.</v>
      </c>
      <c r="B30039" s="3">
        <v>0</v>
      </c>
    </row>
    <row r="30040" ht="15.75" customHeight="1" spans="1:2">
      <c r="A30040" s="3" t="str">
        <f>IFERROR(__xludf.DUMMYFUNCTION("GOOGLETRANSLATE(A30040,""en"",""pt"")"),"Memory Stick Pro cartões são caros, P &amp; amp; garantia de L é de apenas 90 dias,")</f>
        <v>Memory Stick Pro cartões são caros, P &amp; amp; garantia de L é de apenas 90 dias,</v>
      </c>
      <c r="B30040" s="3">
        <v>0</v>
      </c>
    </row>
    <row r="30041" ht="15.75" customHeight="1" spans="1:2">
      <c r="A30041" s="3" t="str">
        <f>IFERROR(__xludf.DUMMYFUNCTION("GOOGLETRANSLATE(A30041,""en"",""pt"")"),"O atraso do obturador, a qualidade da imagem (tom de amarelo), a duração da bateria")</f>
        <v>O atraso do obturador, a qualidade da imagem (tom de amarelo), a duração da bateria</v>
      </c>
      <c r="B30041" s="3">
        <v>0</v>
      </c>
    </row>
    <row r="30042" ht="15.75" customHeight="1" spans="1:2">
      <c r="A30042" s="3" t="str">
        <f>IFERROR(__xludf.DUMMYFUNCTION("GOOGLETRANSLATE(A30042,""en"",""pt"")"),"Honestamente, nenhum.")</f>
        <v>Honestamente, nenhum.</v>
      </c>
      <c r="B30042" s="3">
        <v>0</v>
      </c>
    </row>
    <row r="30043" ht="15.75" customHeight="1" spans="1:2">
      <c r="A30043" s="3" t="str">
        <f>IFERROR(__xludf.DUMMYFUNCTION("GOOGLETRANSLATE(A30043,""en"",""pt"")"),"Só vem com 4 MB vara que não é suficiente para alguns recursos.")</f>
        <v>Só vem com 4 MB vara que não é suficiente para alguns recursos.</v>
      </c>
      <c r="B30043" s="3">
        <v>0</v>
      </c>
    </row>
    <row r="30044" ht="15.75" customHeight="1" spans="1:2">
      <c r="A30044" s="3" t="str">
        <f>IFERROR(__xludf.DUMMYFUNCTION("GOOGLETRANSLATE(A30044,""en"",""pt"")"),"Absolutamente precisa de uma bateria recarregável!")</f>
        <v>Absolutamente precisa de uma bateria recarregável!</v>
      </c>
      <c r="B30044" s="3">
        <v>0</v>
      </c>
    </row>
    <row r="30045" ht="15.75" customHeight="1" spans="1:2">
      <c r="A30045" s="3" t="str">
        <f>IFERROR(__xludf.DUMMYFUNCTION("GOOGLETRANSLATE(A30045,""en"",""pt"")"),"Apenas 1,3 MP, única zoom 3x")</f>
        <v>Apenas 1,3 MP, única zoom 3x</v>
      </c>
      <c r="B30045" s="3">
        <v>0</v>
      </c>
    </row>
    <row r="30046" ht="15.75" customHeight="1" spans="1:2">
      <c r="A30046" s="3" t="str">
        <f>IFERROR(__xludf.DUMMYFUNCTION("GOOGLETRANSLATE(A30046,""en"",""pt"")"),"Eats através de pilhas AA")</f>
        <v>Eats através de pilhas AA</v>
      </c>
      <c r="B30046" s="3">
        <v>0</v>
      </c>
    </row>
    <row r="30047" ht="15.75" customHeight="1" spans="1:2">
      <c r="A30047" s="3" t="str">
        <f>IFERROR(__xludf.DUMMYFUNCTION("GOOGLETRANSLATE(A30047,""en"",""pt"")"),"Apenas cartão de memória 4 MB fornecido, bateria recarregável necessário.")</f>
        <v>Apenas cartão de memória 4 MB fornecido, bateria recarregável necessário.</v>
      </c>
      <c r="B30047" s="3">
        <v>0</v>
      </c>
    </row>
    <row r="30048" ht="15.75" customHeight="1" spans="1:2">
      <c r="A30048" s="3" t="str">
        <f>IFERROR(__xludf.DUMMYFUNCTION("GOOGLETRANSLATE(A30048,""en"",""pt"")"),"Qualidade de Imagem, Atendimento ao Cliente.")</f>
        <v>Qualidade de Imagem, Atendimento ao Cliente.</v>
      </c>
      <c r="B30048" s="3">
        <v>0</v>
      </c>
    </row>
    <row r="30049" ht="15.75" customHeight="1" spans="1:2">
      <c r="A30049" s="3" t="str">
        <f>IFERROR(__xludf.DUMMYFUNCTION("GOOGLETRANSLATE(A30049,""en"",""pt"")"),"Queima baterias como o sol ...")</f>
        <v>Queima baterias como o sol ...</v>
      </c>
      <c r="B30049" s="3">
        <v>0</v>
      </c>
    </row>
    <row r="30050" ht="15.75" customHeight="1" spans="1:2">
      <c r="A30050" s="3" t="str">
        <f>IFERROR(__xludf.DUMMYFUNCTION("GOOGLETRANSLATE(A30050,""en"",""pt"")"),"LCD arranhões facilmente, sub-padrão de qualidade de imagem, a vida da bateria")</f>
        <v>LCD arranhões facilmente, sub-padrão de qualidade de imagem, a vida da bateria</v>
      </c>
      <c r="B30050" s="3">
        <v>0</v>
      </c>
    </row>
    <row r="30051" ht="15.75" customHeight="1" spans="1:2">
      <c r="A30051" s="3" t="str">
        <f>IFERROR(__xludf.DUMMYFUNCTION("GOOGLETRANSLATE(A30051,""en"",""pt"")"),"nao muitos. bateria recarregável altamente recomendado.")</f>
        <v>nao muitos. bateria recarregável altamente recomendado.</v>
      </c>
      <c r="B30051" s="3">
        <v>0</v>
      </c>
    </row>
    <row r="30052" ht="15.75" customHeight="1" spans="1:2">
      <c r="A30052" s="3" t="str">
        <f>IFERROR(__xludf.DUMMYFUNCTION("GOOGLETRANSLATE(A30052,""en"",""pt"")"),"desatualizado")</f>
        <v>desatualizado</v>
      </c>
      <c r="B30052" s="3">
        <v>0</v>
      </c>
    </row>
    <row r="30053" ht="15.75" customHeight="1" spans="1:2">
      <c r="A30053" s="3" t="str">
        <f>IFERROR(__xludf.DUMMYFUNCTION("GOOGLETRANSLATE(A30053,""en"",""pt"")"),"Nenhum")</f>
        <v>Nenhum</v>
      </c>
      <c r="B30053" s="3">
        <v>0</v>
      </c>
    </row>
    <row r="30054" ht="15.75" customHeight="1" spans="1:2">
      <c r="A30054" s="3" t="str">
        <f>IFERROR(__xludf.DUMMYFUNCTION("GOOGLETRANSLATE(A30054,""en"",""pt"")"),"Vai chupar um conjunto de pilhas AA seco dentro de 5 min.")</f>
        <v>Vai chupar um conjunto de pilhas AA seco dentro de 5 min.</v>
      </c>
      <c r="B30054" s="3">
        <v>0</v>
      </c>
    </row>
    <row r="30055" ht="15.75" customHeight="1" spans="1:2">
      <c r="A30055" s="3" t="str">
        <f>IFERROR(__xludf.DUMMYFUNCTION("GOOGLETRANSLATE(A30055,""en"",""pt"")"),"Come baterias, sem zoom óptico")</f>
        <v>Come baterias, sem zoom óptico</v>
      </c>
      <c r="B30055" s="3">
        <v>0</v>
      </c>
    </row>
    <row r="30056" ht="15.75" customHeight="1" spans="1:2">
      <c r="A30056" s="3" t="str">
        <f>IFERROR(__xludf.DUMMYFUNCTION("GOOGLETRANSLATE(A30056,""en"",""pt"")"),"Camera é um devorador de bateria (get rechargeables para ele)")</f>
        <v>Camera é um devorador de bateria (get rechargeables para ele)</v>
      </c>
      <c r="B30056" s="3">
        <v>0</v>
      </c>
    </row>
    <row r="30057" ht="15.75" customHeight="1" spans="1:2">
      <c r="A30057" s="3" t="str">
        <f>IFERROR(__xludf.DUMMYFUNCTION("GOOGLETRANSLATE(A30057,""en"",""pt"")"),"não tirar boas imagens claras, baterias come, visor é inútil.")</f>
        <v>não tirar boas imagens claras, baterias come, visor é inútil.</v>
      </c>
      <c r="B30057" s="3">
        <v>0</v>
      </c>
    </row>
    <row r="30058" ht="15.75" customHeight="1" spans="1:2">
      <c r="A30058" s="3" t="str">
        <f>IFERROR(__xludf.DUMMYFUNCTION("GOOGLETRANSLATE(A30058,""en"",""pt"")"),"Usa caro Sony Memory Stick.")</f>
        <v>Usa caro Sony Memory Stick.</v>
      </c>
      <c r="B30058" s="3">
        <v>0</v>
      </c>
    </row>
    <row r="30059" ht="15.75" customHeight="1" spans="1:2">
      <c r="A30059" s="3" t="str">
        <f>IFERROR(__xludf.DUMMYFUNCTION("GOOGLETRANSLATE(A30059,""en"",""pt"")"),"curta duração da bateria, pequeno cartão de memória estoque.")</f>
        <v>curta duração da bateria, pequeno cartão de memória estoque.</v>
      </c>
      <c r="B30059" s="3">
        <v>0</v>
      </c>
    </row>
    <row r="30060" ht="15.75" customHeight="1" spans="1:2">
      <c r="A30060" s="3" t="str">
        <f>IFERROR(__xludf.DUMMYFUNCTION("GOOGLETRANSLATE(A30060,""en"",""pt"")"),"curta da bateria, memória pequeno, filmes têm nenhum som, flash lento recarga")</f>
        <v>curta da bateria, memória pequeno, filmes têm nenhum som, flash lento recarga</v>
      </c>
      <c r="B30060" s="3">
        <v>0</v>
      </c>
    </row>
    <row r="30061" ht="15.75" customHeight="1" spans="1:2">
      <c r="A30061" s="3" t="str">
        <f>IFERROR(__xludf.DUMMYFUNCTION("GOOGLETRANSLATE(A30061,""en"",""pt"")"),"Usa Sony Memory Stick, nenhum som em MPEG Filmes")</f>
        <v>Usa Sony Memory Stick, nenhum som em MPEG Filmes</v>
      </c>
      <c r="B30061" s="3">
        <v>0</v>
      </c>
    </row>
    <row r="30062" ht="15.75" customHeight="1" spans="1:2">
      <c r="A30062" s="3" t="str">
        <f>IFERROR(__xludf.DUMMYFUNCTION("GOOGLETRANSLATE(A30062,""en"",""pt"")"),"a vida da bateria é terrível")</f>
        <v>a vida da bateria é terrível</v>
      </c>
      <c r="B30062" s="3">
        <v>0</v>
      </c>
    </row>
    <row r="30063" ht="15.75" customHeight="1" spans="1:2">
      <c r="A30063" s="3" t="str">
        <f>IFERROR(__xludf.DUMMYFUNCTION("GOOGLETRANSLATE(A30063,""en"",""pt"")"),"Come baterias gosto de doces. Fornecido Memory stick é de apenas 4 MB. Sem massa recarregável incluída.")</f>
        <v>Come baterias gosto de doces. Fornecido Memory stick é de apenas 4 MB. Sem massa recarregável incluída.</v>
      </c>
      <c r="B30063" s="3">
        <v>0</v>
      </c>
    </row>
    <row r="30064" ht="15.75" customHeight="1" spans="1:2">
      <c r="A30064" s="3" t="str">
        <f>IFERROR(__xludf.DUMMYFUNCTION("GOOGLETRANSLATE(A30064,""en"",""pt"")"),"4MB cartão de memória, modo de filme mpeg inútil, sem bateria InfoLITHIUM incluída, taxa de recarga do flash lento")</f>
        <v>4MB cartão de memória, modo de filme mpeg inútil, sem bateria InfoLITHIUM incluída, taxa de recarga do flash lento</v>
      </c>
      <c r="B30064" s="3">
        <v>0</v>
      </c>
    </row>
    <row r="30065" ht="15.75" customHeight="1" spans="1:2">
      <c r="A30065" s="3" t="str">
        <f>IFERROR(__xludf.DUMMYFUNCTION("GOOGLETRANSLATE(A30065,""en"",""pt"")"),"A coisa habitual bateria, além de um pouco difícil de dominar todas as configurações")</f>
        <v>A coisa habitual bateria, além de um pouco difícil de dominar todas as configurações</v>
      </c>
      <c r="B30065" s="3">
        <v>0</v>
      </c>
    </row>
    <row r="30066" ht="15.75" customHeight="1" spans="1:2">
      <c r="A30066" s="3" t="str">
        <f>IFERROR(__xludf.DUMMYFUNCTION("GOOGLETRANSLATE(A30066,""en"",""pt"")"),"Investimento precisava de US $ 200 para obter essa coisa da forma como deve ser.")</f>
        <v>Investimento precisava de US $ 200 para obter essa coisa da forma como deve ser.</v>
      </c>
      <c r="B30066" s="3">
        <v>0</v>
      </c>
    </row>
    <row r="30067" ht="15.75" customHeight="1" spans="1:2">
      <c r="A30067" s="3" t="str">
        <f>IFERROR(__xludf.DUMMYFUNCTION("GOOGLETRANSLATE(A30067,""en"",""pt"")"),"vida alcalina 5min, mpeg exibe apenas metade do pequeno LCD.")</f>
        <v>vida alcalina 5min, mpeg exibe apenas metade do pequeno LCD.</v>
      </c>
      <c r="B30067" s="3">
        <v>0</v>
      </c>
    </row>
    <row r="30068" ht="15.75" customHeight="1" spans="1:2">
      <c r="A30068" s="3" t="str">
        <f>IFERROR(__xludf.DUMMYFUNCTION("GOOGLETRANSLATE(A30068,""en"",""pt"")"),"filme-mode não tem som")</f>
        <v>filme-mode não tem som</v>
      </c>
      <c r="B30068" s="3">
        <v>0</v>
      </c>
    </row>
    <row r="30069" ht="15.75" customHeight="1" spans="1:2">
      <c r="A30069" s="3" t="str">
        <f>IFERROR(__xludf.DUMMYFUNCTION("GOOGLETRANSLATE(A30069,""en"",""pt"")"),"a vida da bateria muito curto")</f>
        <v>a vida da bateria muito curto</v>
      </c>
      <c r="B30069" s="3">
        <v>0</v>
      </c>
    </row>
    <row r="30070" ht="15.75" customHeight="1" spans="1:2">
      <c r="A30070" s="3" t="str">
        <f>IFERROR(__xludf.DUMMYFUNCTION("GOOGLETRANSLATE(A30070,""en"",""pt"")"),"Sem capacidade de web cam, cartão de memória de 8MB")</f>
        <v>Sem capacidade de web cam, cartão de memória de 8MB</v>
      </c>
      <c r="B30070" s="3">
        <v>0</v>
      </c>
    </row>
    <row r="30071" ht="15.75" customHeight="1" spans="1:2">
      <c r="A30071" s="3" t="str">
        <f>IFERROR(__xludf.DUMMYFUNCTION("GOOGLETRANSLATE(A30071,""en"",""pt"")"),"Você precisa de mais de 8 MB de RAM")</f>
        <v>Você precisa de mais de 8 MB de RAM</v>
      </c>
      <c r="B30071" s="3">
        <v>0</v>
      </c>
    </row>
    <row r="30072" ht="15.75" customHeight="1" spans="1:2">
      <c r="A30072" s="3" t="str">
        <f>IFERROR(__xludf.DUMMYFUNCTION("GOOGLETRANSLATE(A30072,""en"",""pt"")"),"recarga de flash lento. Sem zoom óptico.")</f>
        <v>recarga de flash lento. Sem zoom óptico.</v>
      </c>
      <c r="B30072" s="3">
        <v>0</v>
      </c>
    </row>
    <row r="30073" ht="15.75" customHeight="1" spans="1:2">
      <c r="A30073" s="3" t="str">
        <f>IFERROR(__xludf.DUMMYFUNCTION("GOOGLETRANSLATE(A30073,""en"",""pt"")"),"qualidade média de imagem. ,")</f>
        <v>qualidade média de imagem. ,</v>
      </c>
      <c r="B30073" s="3">
        <v>0</v>
      </c>
    </row>
    <row r="30074" ht="15.75" customHeight="1" spans="1:2">
      <c r="A30074" s="3" t="str">
        <f>IFERROR(__xludf.DUMMYFUNCTION("GOOGLETRANSLATE(A30074,""en"",""pt"")"),"Bad zoom, flash lento e sem macro.")</f>
        <v>Bad zoom, flash lento e sem macro.</v>
      </c>
      <c r="B30074" s="3">
        <v>0</v>
      </c>
    </row>
    <row r="30075" ht="15.75" customHeight="1" spans="1:2">
      <c r="A30075" s="3" t="str">
        <f>IFERROR(__xludf.DUMMYFUNCTION("GOOGLETRANSLATE(A30075,""en"",""pt"")"),"longo tempo de carga, a tecla ""enter"" é difícil de usar.")</f>
        <v>longo tempo de carga, a tecla "enter" é difícil de usar.</v>
      </c>
      <c r="B30075" s="3">
        <v>0</v>
      </c>
    </row>
    <row r="30076" ht="15.75" customHeight="1" spans="1:2">
      <c r="A30076" s="3" t="str">
        <f>IFERROR(__xludf.DUMMYFUNCTION("GOOGLETRANSLATE(A30076,""en"",""pt"")"),"Sem zoom óptico, tampas de porta frágil, as necessidades de flash tempo de recarga, opções limitadas")</f>
        <v>Sem zoom óptico, tampas de porta frágil, as necessidades de flash tempo de recarga, opções limitadas</v>
      </c>
      <c r="B30076" s="3">
        <v>0</v>
      </c>
    </row>
    <row r="30077" ht="15.75" customHeight="1" spans="1:2">
      <c r="A30077" s="3" t="str">
        <f>IFERROR(__xludf.DUMMYFUNCTION("GOOGLETRANSLATE(A30077,""en"",""pt"")"),"LCD de plástico, frágeis USB / capa de vídeo, carregador de bateria.")</f>
        <v>LCD de plástico, frágeis USB / capa de vídeo, carregador de bateria.</v>
      </c>
      <c r="B30077" s="3">
        <v>0</v>
      </c>
    </row>
    <row r="30078" ht="15.75" customHeight="1" spans="1:2">
      <c r="A30078" s="3" t="str">
        <f>IFERROR(__xludf.DUMMYFUNCTION("GOOGLETRANSLATE(A30078,""en"",""pt"")"),"Sem zoom óptico, nenhum som em gravação de vídeo, lag flash, cartão de memória 8M com a compra ..")</f>
        <v>Sem zoom óptico, nenhum som em gravação de vídeo, lag flash, cartão de memória 8M com a compra ..</v>
      </c>
      <c r="B30078" s="3">
        <v>0</v>
      </c>
    </row>
    <row r="30079" ht="15.75" customHeight="1" spans="1:2">
      <c r="A30079" s="3" t="str">
        <f>IFERROR(__xludf.DUMMYFUNCTION("GOOGLETRANSLATE(A30079,""en"",""pt"")"),"cartão de memória de 8MB é muito pequeno, nenhum adaptador de rede de som, caso, ou videoconferência")</f>
        <v>cartão de memória de 8MB é muito pequeno, nenhum adaptador de rede de som, caso, ou videoconferência</v>
      </c>
      <c r="B30079" s="3">
        <v>0</v>
      </c>
    </row>
    <row r="30080" ht="15.75" customHeight="1" spans="1:2">
      <c r="A30080" s="3" t="str">
        <f>IFERROR(__xludf.DUMMYFUNCTION("GOOGLETRANSLATE(A30080,""en"",""pt"")"),"Ainda um pouco volumoso ?, Pobre baixa qualidade de imagem de luz, nenhum som quando as filmagens de vídeo em movimento")</f>
        <v>Ainda um pouco volumoso ?, Pobre baixa qualidade de imagem de luz, nenhum som quando as filmagens de vídeo em movimento</v>
      </c>
      <c r="B30080" s="3">
        <v>0</v>
      </c>
    </row>
    <row r="30081" ht="15.75" customHeight="1" spans="1:2">
      <c r="A30081" s="3" t="str">
        <f>IFERROR(__xludf.DUMMYFUNCTION("GOOGLETRANSLATE(A30081,""en"",""pt"")"),"Médio Qualidade Zoom Digital. Não há som na Movie - Mas é isso!")</f>
        <v>Médio Qualidade Zoom Digital. Não há som na Movie - Mas é isso!</v>
      </c>
      <c r="B30081" s="3">
        <v>0</v>
      </c>
    </row>
    <row r="30082" ht="15.75" customHeight="1" spans="1:2">
      <c r="A30082" s="3" t="str">
        <f>IFERROR(__xludf.DUMMYFUNCTION("GOOGLETRANSLATE(A30082,""en"",""pt"")"),"sem zoom óptico")</f>
        <v>sem zoom óptico</v>
      </c>
      <c r="B30082" s="3">
        <v>0</v>
      </c>
    </row>
    <row r="30083" ht="15.75" customHeight="1" spans="1:2">
      <c r="A30083" s="3" t="str">
        <f>IFERROR(__xludf.DUMMYFUNCTION("GOOGLETRANSLATE(A30083,""en"",""pt"")"),"sem zoom óptico, nenhum som com os arquivos MPEG")</f>
        <v>sem zoom óptico, nenhum som com os arquivos MPEG</v>
      </c>
      <c r="B30083" s="3">
        <v>0</v>
      </c>
    </row>
    <row r="30084" ht="15.75" customHeight="1" spans="1:2">
      <c r="A30084" s="3" t="s">
        <v>174</v>
      </c>
      <c r="B30084" s="3">
        <v>0</v>
      </c>
    </row>
    <row r="30085" ht="15.75" customHeight="1" spans="1:2">
      <c r="A30085" s="3" t="str">
        <f>IFERROR(__xludf.DUMMYFUNCTION("GOOGLETRANSLATE(A30085,""en"",""pt"")"),"Sem zoom óptico, difícil de usar tecla ""enter"", o tempo de carga longa, filmes de som com-out")</f>
        <v>Sem zoom óptico, difícil de usar tecla "enter", o tempo de carga longa, filmes de som com-out</v>
      </c>
      <c r="B30085" s="3">
        <v>0</v>
      </c>
    </row>
    <row r="30086" ht="15.75" customHeight="1" spans="1:2">
      <c r="A30086" s="3" t="str">
        <f>IFERROR(__xludf.DUMMYFUNCTION("GOOGLETRANSLATE(A30086,""en"",""pt"")"),"Nenhum ruído para gravar w filme /, precisa de uma luz para filmes tomando.")</f>
        <v>Nenhum ruído para gravar w filme /, precisa de uma luz para filmes tomando.</v>
      </c>
      <c r="B30086" s="3">
        <v>0</v>
      </c>
    </row>
    <row r="30087" ht="15.75" customHeight="1" spans="1:2">
      <c r="A30087" s="3" t="str">
        <f>IFERROR(__xludf.DUMMYFUNCTION("GOOGLETRANSLATE(A30087,""en"",""pt"")"),"Não há áudio no modo de filme, sem zoom óptico, bastante grande, difícil de pressionar o botão ""select""")</f>
        <v>Não há áudio no modo de filme, sem zoom óptico, bastante grande, difícil de pressionar o botão "select"</v>
      </c>
      <c r="B30087" s="3">
        <v>0</v>
      </c>
    </row>
    <row r="30088" ht="15.75" customHeight="1" spans="1:2">
      <c r="A30088" s="3" t="str">
        <f>IFERROR(__xludf.DUMMYFUNCTION("GOOGLETRANSLATE(A30088,""en"",""pt"")"),"Longo tempo de carregamento.")</f>
        <v>Longo tempo de carregamento.</v>
      </c>
      <c r="B30088" s="3">
        <v>0</v>
      </c>
    </row>
    <row r="30089" ht="15.75" customHeight="1" spans="1:2">
      <c r="A30089" s="3" t="str">
        <f>IFERROR(__xludf.DUMMYFUNCTION("GOOGLETRANSLATE(A30089,""en"",""pt"")"),"Sem zoom óptico, MPEG Movie inútil recurso")</f>
        <v>Sem zoom óptico, MPEG Movie inútil recurso</v>
      </c>
      <c r="B30089" s="3">
        <v>0</v>
      </c>
    </row>
    <row r="30090" ht="15.75" customHeight="1" spans="1:2">
      <c r="A30090" s="3" t="str">
        <f>IFERROR(__xludf.DUMMYFUNCTION("GOOGLETRANSLATE(A30090,""en"",""pt"")"),"zoom digital, 8MB memory stick, enter, usb / video out tampa.")</f>
        <v>zoom digital, 8MB memory stick, enter, usb / video out tampa.</v>
      </c>
      <c r="B30090" s="3">
        <v>0</v>
      </c>
    </row>
    <row r="30091" ht="15.75" customHeight="1" spans="1:2">
      <c r="A30091" s="3" t="str">
        <f>IFERROR(__xludf.DUMMYFUNCTION("GOOGLETRANSLATE(A30091,""en"",""pt"")"),"Qualidade da foto")</f>
        <v>Qualidade da foto</v>
      </c>
      <c r="B30091" s="3">
        <v>0</v>
      </c>
    </row>
    <row r="30092" ht="15.75" customHeight="1" spans="1:2">
      <c r="A30092" s="3" t="str">
        <f>IFERROR(__xludf.DUMMYFUNCTION("GOOGLETRANSLATE(A30092,""en"",""pt"")"),"Tinha que comprar cartão de memória adicional")</f>
        <v>Tinha que comprar cartão de memória adicional</v>
      </c>
      <c r="B30092" s="3">
        <v>0</v>
      </c>
    </row>
    <row r="30093" ht="15.75" customHeight="1" spans="1:2">
      <c r="A30093" s="3" t="str">
        <f>IFERROR(__xludf.DUMMYFUNCTION("GOOGLETRANSLATE(A30093,""en"",""pt"")"),"Shutter lag, controles / menus, flash, carregador de bateria ridículo, sem zoom óptico.")</f>
        <v>Shutter lag, controles / menus, flash, carregador de bateria ridículo, sem zoom óptico.</v>
      </c>
      <c r="B30093" s="3">
        <v>0</v>
      </c>
    </row>
    <row r="30094" ht="15.75" customHeight="1" spans="1:2">
      <c r="A30094" s="3" t="str">
        <f>IFERROR(__xludf.DUMMYFUNCTION("GOOGLETRANSLATE(A30094,""en"",""pt"")"),"não óptico, lento para se concentrar em foco automático")</f>
        <v>não óptico, lento para se concentrar em foco automático</v>
      </c>
      <c r="B30094" s="3">
        <v>0</v>
      </c>
    </row>
    <row r="30095" ht="15.75" customHeight="1" spans="1:2">
      <c r="A30095" s="3" t="str">
        <f>IFERROR(__xludf.DUMMYFUNCTION("GOOGLETRANSLATE(A30095,""en"",""pt"")"),"memory stick pode ser caro")</f>
        <v>memory stick pode ser caro</v>
      </c>
      <c r="B30095" s="3">
        <v>0</v>
      </c>
    </row>
    <row r="30096" ht="15.75" customHeight="1" spans="1:2">
      <c r="A30096" s="3" t="str">
        <f>IFERROR(__xludf.DUMMYFUNCTION("GOOGLETRANSLATE(A30096,""en"",""pt"")"),"Flash ainda não é grande.")</f>
        <v>Flash ainda não é grande.</v>
      </c>
      <c r="B30096" s="3">
        <v>0</v>
      </c>
    </row>
    <row r="30097" ht="15.75" customHeight="1" spans="1:2">
      <c r="A30097" s="3" t="str">
        <f>IFERROR(__xludf.DUMMYFUNCTION("GOOGLETRANSLATE(A30097,""en"",""pt"")"),"curta duração da bateria!")</f>
        <v>curta duração da bateria!</v>
      </c>
      <c r="B30097" s="3">
        <v>0</v>
      </c>
    </row>
    <row r="30098" ht="15.75" customHeight="1" spans="1:2">
      <c r="A30098" s="3" t="str">
        <f>IFERROR(__xludf.DUMMYFUNCTION("GOOGLETRANSLATE(A30098,""en"",""pt"")"),"Outros que o preço elevado Eu não consigo pensar em algo bad")</f>
        <v>Outros que o preço elevado Eu não consigo pensar em algo bad</v>
      </c>
      <c r="B30098" s="3">
        <v>0</v>
      </c>
    </row>
    <row r="30099" ht="15.75" customHeight="1" spans="1:2">
      <c r="A30099" s="3" t="str">
        <f>IFERROR(__xludf.DUMMYFUNCTION("GOOGLETRANSLATE(A30099,""en"",""pt"")"),"Autofocus tempo um pouco longo.")</f>
        <v>Autofocus tempo um pouco longo.</v>
      </c>
      <c r="B30099" s="3">
        <v>0</v>
      </c>
    </row>
    <row r="30100" ht="15.75" customHeight="1" spans="1:2">
      <c r="A30100" s="3" t="str">
        <f>IFERROR(__xludf.DUMMYFUNCTION("GOOGLETRANSLATE(A30100,""en"",""pt"")"),"Caro, Só 8MB, mão firme exigido, porco da bateria, não pode encontrar substitutos para acessórios caros")</f>
        <v>Caro, Só 8MB, mão firme exigido, porco da bateria, não pode encontrar substitutos para acessórios caros</v>
      </c>
      <c r="B30100" s="3">
        <v>0</v>
      </c>
    </row>
    <row r="30101" ht="15.75" customHeight="1" spans="1:2">
      <c r="A30101" s="3" t="str">
        <f>IFERROR(__xludf.DUMMYFUNCTION("GOOGLETRANSLATE(A30101,""en"",""pt"")"),"Lento entre os disparos &amp; amp; # 13; &amp; amp; # 10; Ligeiramente lento o tempo de arranque &amp; amp; # 13; &amp; amp; # 10; bettery Média LIFE obter um extra")</f>
        <v>Lento entre os disparos &amp; amp; # 13; &amp; amp; # 10; Ligeiramente lento o tempo de arranque &amp; amp; # 13; &amp; amp; # 10; bettery Média LIFE obter um extra</v>
      </c>
      <c r="B30101" s="3">
        <v>0</v>
      </c>
    </row>
    <row r="30102" ht="15.75" customHeight="1" spans="1:2">
      <c r="A30102" s="3" t="str">
        <f>IFERROR(__xludf.DUMMYFUNCTION("GOOGLETRANSLATE(A30102,""en"",""pt"")"),"Apenas 8Mb Memory Stick fornecido")</f>
        <v>Apenas 8Mb Memory Stick fornecido</v>
      </c>
      <c r="B30102" s="3">
        <v>0</v>
      </c>
    </row>
    <row r="30103" ht="15.75" customHeight="1" spans="1:2">
      <c r="A30103" s="3" t="str">
        <f>IFERROR(__xludf.DUMMYFUNCTION("GOOGLETRANSLATE(A30103,""en"",""pt"")"),"A vida da bateria apenas cerca de 1,5 horas. 8mb cartão mem é apenas sobre inútil.")</f>
        <v>A vida da bateria apenas cerca de 1,5 horas. 8mb cartão mem é apenas sobre inútil.</v>
      </c>
      <c r="B30103" s="3">
        <v>0</v>
      </c>
    </row>
    <row r="30104" ht="15.75" customHeight="1" spans="1:2">
      <c r="A30104" s="3" t="str">
        <f>IFERROR(__xludf.DUMMYFUNCTION("GOOGLETRANSLATE(A30104,""en"",""pt"")"),"luz imagens de baixa")</f>
        <v>luz imagens de baixa</v>
      </c>
      <c r="B30104" s="3">
        <v>0</v>
      </c>
    </row>
    <row r="30105" ht="15.75" customHeight="1" spans="1:2">
      <c r="A30105" s="3" t="str">
        <f>IFERROR(__xludf.DUMMYFUNCTION("GOOGLETRANSLATE(A30105,""en"",""pt"")"),"Nenhum")</f>
        <v>Nenhum</v>
      </c>
      <c r="B30105" s="3">
        <v>0</v>
      </c>
    </row>
    <row r="30106" ht="15.75" customHeight="1" spans="1:2">
      <c r="A30106" s="3" t="str">
        <f>IFERROR(__xludf.DUMMYFUNCTION("GOOGLETRANSLATE(A30106,""en"",""pt"")"),"Apenas 8Mb Memory Stick, cartão de memória pode ser caro, curto a vida da bateria, sem controle remoto")</f>
        <v>Apenas 8Mb Memory Stick, cartão de memória pode ser caro, curto a vida da bateria, sem controle remoto</v>
      </c>
      <c r="B30106" s="3">
        <v>0</v>
      </c>
    </row>
    <row r="30107" ht="15.75" customHeight="1" spans="1:2">
      <c r="A30107" s="3" t="str">
        <f>IFERROR(__xludf.DUMMYFUNCTION("GOOGLETRANSLATE(A30107,""en"",""pt"")"),"fotos de baixa luz, cartões de memória proprietárias")</f>
        <v>fotos de baixa luz, cartões de memória proprietárias</v>
      </c>
      <c r="B30107" s="3">
        <v>0</v>
      </c>
    </row>
    <row r="30108" ht="15.75" customHeight="1" spans="1:2">
      <c r="A30108" s="3" t="str">
        <f>IFERROR(__xludf.DUMMYFUNCTION("GOOGLETRANSLATE(A30108,""en"",""pt"")"),"única 8M cartão de memória, tem que segurar muito ainda quando se utiliza lua tiro luz")</f>
        <v>única 8M cartão de memória, tem que segurar muito ainda quando se utiliza lua tiro luz</v>
      </c>
      <c r="B30108" s="3">
        <v>0</v>
      </c>
    </row>
    <row r="30109" ht="15.75" customHeight="1" spans="1:2">
      <c r="A30109" s="3" t="str">
        <f>IFERROR(__xludf.DUMMYFUNCTION("GOOGLETRANSLATE(A30109,""en"",""pt"")"),"curta duração da bateria")</f>
        <v>curta duração da bateria</v>
      </c>
      <c r="B30109" s="3">
        <v>0</v>
      </c>
    </row>
    <row r="30110" ht="15.75" customHeight="1" spans="1:2">
      <c r="A30110" s="3" t="str">
        <f>IFERROR(__xludf.DUMMYFUNCTION("GOOGLETRANSLATE(A30110,""en"",""pt"")"),"Os vídeos não são claras, se escura e em maior resolução é limitada a 30 segundos.")</f>
        <v>Os vídeos não são claras, se escura e em maior resolução é limitada a 30 segundos.</v>
      </c>
      <c r="B30110" s="3">
        <v>0</v>
      </c>
    </row>
    <row r="30111" ht="15.75" customHeight="1" spans="1:2">
      <c r="A30111" s="3" t="str">
        <f>IFERROR(__xludf.DUMMYFUNCTION("GOOGLETRANSLATE(A30111,""en"",""pt"")"),"A vida da bateria, a duração da bateria, mais memória")</f>
        <v>A vida da bateria, a duração da bateria, mais memória</v>
      </c>
      <c r="B30111" s="3">
        <v>0</v>
      </c>
    </row>
    <row r="30112" ht="15.75" customHeight="1" spans="1:2">
      <c r="A30112" s="3" t="str">
        <f>IFERROR(__xludf.DUMMYFUNCTION("GOOGLETRANSLATE(A30112,""en"",""pt"")"),"Pequeno 4MB Memory Stick, Caro Depois Extras")</f>
        <v>Pequeno 4MB Memory Stick, Caro Depois Extras</v>
      </c>
      <c r="B30112" s="3">
        <v>0</v>
      </c>
    </row>
    <row r="30113" ht="15.75" customHeight="1" spans="1:2">
      <c r="A30113" s="3" t="str">
        <f>IFERROR(__xludf.DUMMYFUNCTION("GOOGLETRANSLATE(A30113,""en"",""pt"")"),"Caro quando acessórios são adicionados.")</f>
        <v>Caro quando acessórios são adicionados.</v>
      </c>
      <c r="B30113" s="3">
        <v>0</v>
      </c>
    </row>
    <row r="30114" ht="15.75" customHeight="1" spans="1:2">
      <c r="A30114" s="3" t="str">
        <f>IFERROR(__xludf.DUMMYFUNCTION("GOOGLETRANSLATE(A30114,""en"",""pt"")"),"InfoLITHIUM bateria / 64 megabyte Memory Stick uma obrigação ... função de Vídeo é inútil.")</f>
        <v>InfoLITHIUM bateria / 64 megabyte Memory Stick uma obrigação ... função de Vídeo é inútil.</v>
      </c>
      <c r="B30114" s="3">
        <v>0</v>
      </c>
    </row>
    <row r="30115" ht="15.75" customHeight="1" spans="1:2">
      <c r="A30115" s="3" t="str">
        <f>IFERROR(__xludf.DUMMYFUNCTION("GOOGLETRANSLATE(A30115,""en"",""pt"")"),"Stamina bateria e memória de 64MB furar um deve !! Começa a ficar caro.")</f>
        <v>Stamina bateria e memória de 64MB furar um deve !! Começa a ficar caro.</v>
      </c>
      <c r="B30115" s="3">
        <v>0</v>
      </c>
    </row>
    <row r="30116" ht="15.75" customHeight="1" spans="1:2">
      <c r="A30116" s="3" t="str">
        <f>IFERROR(__xludf.DUMMYFUNCTION("GOOGLETRANSLATE(A30116,""en"",""pt"")"),"4MB incluído, come baterias como se não houvesse amanhã, caros após acessórios")</f>
        <v>4MB incluído, come baterias como se não houvesse amanhã, caros após acessórios</v>
      </c>
      <c r="B30116" s="3">
        <v>0</v>
      </c>
    </row>
    <row r="30117" ht="15.75" customHeight="1" spans="1:2">
      <c r="A30117" s="3" t="str">
        <f>IFERROR(__xludf.DUMMYFUNCTION("GOOGLETRANSLATE(A30117,""en"",""pt"")"),"tempo de ciclo lento, custo (acessórios), fotografias nocturnas")</f>
        <v>tempo de ciclo lento, custo (acessórios), fotografias nocturnas</v>
      </c>
      <c r="B30117" s="3">
        <v>0</v>
      </c>
    </row>
    <row r="30118" ht="15.75" customHeight="1" spans="1:2">
      <c r="A30118" s="3" t="str">
        <f>IFERROR(__xludf.DUMMYFUNCTION("GOOGLETRANSLATE(A30118,""en"",""pt"")"),"baterias come em uma enorme taxa de &amp; amp; # 13; &amp; amp; # 10; tiro lento da recuperação tiro")</f>
        <v>baterias come em uma enorme taxa de &amp; amp; # 13; &amp; amp; # 10; tiro lento da recuperação tiro</v>
      </c>
      <c r="B30118" s="3">
        <v>0</v>
      </c>
    </row>
    <row r="30119" ht="15.75" customHeight="1" spans="1:2">
      <c r="A30119" s="3" t="str">
        <f>IFERROR(__xludf.DUMMYFUNCTION("GOOGLETRANSLATE(A30119,""en"",""pt"")"),"Anémica cartão de memória de 4 MB e bateria fraca")</f>
        <v>Anémica cartão de memória de 4 MB e bateria fraca</v>
      </c>
      <c r="B30119" s="3">
        <v>0</v>
      </c>
    </row>
    <row r="30120" ht="15.75" customHeight="1" spans="1:2">
      <c r="A30120" s="3" t="str">
        <f>IFERROR(__xludf.DUMMYFUNCTION("GOOGLETRANSLATE(A30120,""en"",""pt"")"),"Mpeg sem som, acanhado 4MB Memory Stick.")</f>
        <v>Mpeg sem som, acanhado 4MB Memory Stick.</v>
      </c>
      <c r="B30120" s="3">
        <v>0</v>
      </c>
    </row>
    <row r="30121" ht="15.75" customHeight="1" spans="1:2">
      <c r="A30121" s="3" t="str">
        <f>IFERROR(__xludf.DUMMYFUNCTION("GOOGLETRANSLATE(A30121,""en"",""pt"")"),"Custo, vida útil da bateria, carregador de bateria")</f>
        <v>Custo, vida útil da bateria, carregador de bateria</v>
      </c>
      <c r="B30121" s="3">
        <v>0</v>
      </c>
    </row>
    <row r="30122" ht="15.75" customHeight="1" spans="1:2">
      <c r="A30122" s="3" t="str">
        <f>IFERROR(__xludf.DUMMYFUNCTION("GOOGLETRANSLATE(A30122,""en"",""pt"")"),"Caro must-have acessórios")</f>
        <v>Caro must-have acessórios</v>
      </c>
      <c r="B30122" s="3">
        <v>0</v>
      </c>
    </row>
    <row r="30123" ht="15.75" customHeight="1" spans="1:2">
      <c r="A30123" s="3" t="str">
        <f>IFERROR(__xludf.DUMMYFUNCTION("GOOGLETRANSLATE(A30123,""en"",""pt"")"),"Flash uso é chato ... atrasa tomada de imagem real.")</f>
        <v>Flash uso é chato ... atrasa tomada de imagem real.</v>
      </c>
      <c r="B30123" s="3">
        <v>0</v>
      </c>
    </row>
    <row r="30124" ht="15.75" customHeight="1" spans="1:2">
      <c r="A30124" s="3" t="str">
        <f>IFERROR(__xludf.DUMMYFUNCTION("GOOGLETRANSLATE(A30124,""en"",""pt"")"),"Vida útil da bateria (ou a morte de bateria, neste caso), No Audio MPEG")</f>
        <v>Vida útil da bateria (ou a morte de bateria, neste caso), No Audio MPEG</v>
      </c>
      <c r="B30124" s="3">
        <v>0</v>
      </c>
    </row>
    <row r="30125" ht="15.75" customHeight="1" spans="1:2">
      <c r="A30125" s="3" t="str">
        <f>IFERROR(__xludf.DUMMYFUNCTION("GOOGLETRANSLATE(A30125,""en"",""pt"")"),"Problemas de bateria")</f>
        <v>Problemas de bateria</v>
      </c>
      <c r="B30125" s="3">
        <v>0</v>
      </c>
    </row>
    <row r="30126" ht="15.75" customHeight="1" spans="1:2">
      <c r="A30126" s="3" t="str">
        <f>IFERROR(__xludf.DUMMYFUNCTION("GOOGLETRANSLATE(A30126,""en"",""pt"")"),"recarga de flash lento; vida de bateria fraca")</f>
        <v>recarga de flash lento; vida de bateria fraca</v>
      </c>
      <c r="B30126" s="3">
        <v>0</v>
      </c>
    </row>
    <row r="30127" ht="15.75" customHeight="1" spans="1:2">
      <c r="A30127" s="3" t="str">
        <f>IFERROR(__xludf.DUMMYFUNCTION("GOOGLETRANSLATE(A30127,""en"",""pt"")"),"Muito curta vida útil da bateria, Só 4mb memory stick incluído no pacote.")</f>
        <v>Muito curta vida útil da bateria, Só 4mb memory stick incluído no pacote.</v>
      </c>
      <c r="B30127" s="3">
        <v>0</v>
      </c>
    </row>
    <row r="30128" ht="15.75" customHeight="1" spans="1:2">
      <c r="A30128" s="3" t="str">
        <f>IFERROR(__xludf.DUMMYFUNCTION("GOOGLETRANSLATE(A30128,""en"",""pt"")"),"Pobre vida da bateria padrão. , Cartão de memória de 4 MB não é suficiente")</f>
        <v>Pobre vida da bateria padrão. , Cartão de memória de 4 MB não é suficiente</v>
      </c>
      <c r="B30128" s="3">
        <v>0</v>
      </c>
    </row>
    <row r="30129" ht="15.75" customHeight="1" spans="1:2">
      <c r="A30129" s="3" t="str">
        <f>IFERROR(__xludf.DUMMYFUNCTION("GOOGLETRANSLATE(A30129,""en"",""pt"")"),"TERRÍVEL BATERIA, POBRE foco macro, foco lento, vídeo de má qualidade,")</f>
        <v>TERRÍVEL BATERIA, POBRE foco macro, foco lento, vídeo de má qualidade,</v>
      </c>
      <c r="B30129" s="3">
        <v>0</v>
      </c>
    </row>
    <row r="30130" ht="15.75" customHeight="1" spans="1:2">
      <c r="A30130" s="3" t="str">
        <f>IFERROR(__xludf.DUMMYFUNCTION("GOOGLETRANSLATE(A30130,""en"",""pt"")"),"vara 4meg é uma piada. Acessórios fazer esta câmera cara.")</f>
        <v>vara 4meg é uma piada. Acessórios fazer esta câmera cara.</v>
      </c>
      <c r="B30130" s="3">
        <v>0</v>
      </c>
    </row>
    <row r="30131" ht="15.75" customHeight="1" spans="1:2">
      <c r="A30131" s="3" t="str">
        <f>IFERROR(__xludf.DUMMYFUNCTION("GOOGLETRANSLATE(A30131,""en"",""pt"")"),"beberrão de bateria, baixo faixa de zoom, flash de baixa potência")</f>
        <v>beberrão de bateria, baixo faixa de zoom, flash de baixa potência</v>
      </c>
      <c r="B30131" s="3">
        <v>0</v>
      </c>
    </row>
    <row r="30132" ht="15.75" customHeight="1" spans="1:2">
      <c r="A30132" s="3" t="str">
        <f>IFERROR(__xludf.DUMMYFUNCTION("GOOGLETRANSLATE(A30132,""en"",""pt"")"),"a vida da bateria pobres, óptico 3x zoom digital de 6x.")</f>
        <v>a vida da bateria pobres, óptico 3x zoom digital de 6x.</v>
      </c>
      <c r="B30132" s="3">
        <v>0</v>
      </c>
    </row>
    <row r="30133" ht="15.75" customHeight="1" spans="1:2">
      <c r="A30133" s="3" t="str">
        <f>IFERROR(__xludf.DUMMYFUNCTION("GOOGLETRANSLATE(A30133,""en"",""pt"")"),"vida útil da bateria Abyssmal. pequena tela LCD, flash leva tempo para carga")</f>
        <v>vida útil da bateria Abyssmal. pequena tela LCD, flash leva tempo para carga</v>
      </c>
      <c r="B30133" s="3">
        <v>0</v>
      </c>
    </row>
    <row r="30134" ht="15.75" customHeight="1" spans="1:2">
      <c r="A30134" s="3" t="str">
        <f>IFERROR(__xludf.DUMMYFUNCTION("GOOGLETRANSLATE(A30134,""en"",""pt"")"),"vida útil da bateria terrível, acessórios caros")</f>
        <v>vida útil da bateria terrível, acessórios caros</v>
      </c>
      <c r="B30134" s="3">
        <v>0</v>
      </c>
    </row>
    <row r="30135" ht="15.75" customHeight="1" spans="1:2">
      <c r="A30135" s="3" t="str">
        <f>IFERROR(__xludf.DUMMYFUNCTION("GOOGLETRANSLATE(A30135,""en"",""pt"")"),"Curta duração da bateria, o tempo de carregamento imagem")</f>
        <v>Curta duração da bateria, o tempo de carregamento imagem</v>
      </c>
      <c r="B30135" s="3">
        <v>0</v>
      </c>
    </row>
    <row r="30136" ht="15.75" customHeight="1" spans="1:2">
      <c r="A30136" s="3" t="str">
        <f>IFERROR(__xludf.DUMMYFUNCTION("GOOGLETRANSLATE(A30136,""en"",""pt"")"),"nenhum som com modo de filme mpeg")</f>
        <v>nenhum som com modo de filme mpeg</v>
      </c>
      <c r="B30136" s="3">
        <v>0</v>
      </c>
    </row>
    <row r="30137" ht="15.75" customHeight="1" spans="1:2">
      <c r="A30137" s="3" t="str">
        <f>IFERROR(__xludf.DUMMYFUNCTION("GOOGLETRANSLATE(A30137,""en"",""pt"")"),"offputting foco automático com pouca luz. funcionalidade de e-mail não parece trabalho")</f>
        <v>offputting foco automático com pouca luz. funcionalidade de e-mail não parece trabalho</v>
      </c>
      <c r="B30137" s="3">
        <v>0</v>
      </c>
    </row>
    <row r="30138" ht="15.75" customHeight="1" spans="1:2">
      <c r="A30138" s="3" t="str">
        <f>IFERROR(__xludf.DUMMYFUNCTION("GOOGLETRANSLATE(A30138,""en"",""pt"")"),"nenhum caso de transporte")</f>
        <v>nenhum caso de transporte</v>
      </c>
      <c r="B30138" s="3">
        <v>0</v>
      </c>
    </row>
    <row r="30139" ht="15.75" customHeight="1" spans="1:2">
      <c r="A30139" s="3" t="str">
        <f>IFERROR(__xludf.DUMMYFUNCTION("GOOGLETRANSLATE(A30139,""en"",""pt"")"),"O software incluído é pobre, nenhum som w / filmes, única 2X óptica")</f>
        <v>O software incluído é pobre, nenhum som w / filmes, única 2X óptica</v>
      </c>
      <c r="B30139" s="3">
        <v>0</v>
      </c>
    </row>
    <row r="30140" ht="15.75" customHeight="1" spans="1:2">
      <c r="A30140" s="3" t="str">
        <f>IFERROR(__xludf.DUMMYFUNCTION("GOOGLETRANSLATE(A30140,""en"",""pt"")"),"A seleção é por vezes um pouco complicado")</f>
        <v>A seleção é por vezes um pouco complicado</v>
      </c>
      <c r="B30140" s="3">
        <v>0</v>
      </c>
    </row>
    <row r="30141" ht="15.75" customHeight="1" spans="1:2">
      <c r="A30141" s="3" t="str">
        <f>IFERROR(__xludf.DUMMYFUNCTION("GOOGLETRANSLATE(A30141,""en"",""pt"")"),"controle tipo joystick irritante às vezes.")</f>
        <v>controle tipo joystick irritante às vezes.</v>
      </c>
      <c r="B30141" s="3">
        <v>0</v>
      </c>
    </row>
    <row r="30142" ht="15.75" customHeight="1" spans="1:2">
      <c r="A30142" s="3" t="str">
        <f>IFERROR(__xludf.DUMMYFUNCTION("GOOGLETRANSLATE(A30142,""en"",""pt"")"),"baixo mpeg luz não é real botão claro, entrar deve ser botão separado.,")</f>
        <v>baixo mpeg luz não é real botão claro, entrar deve ser botão separado.,</v>
      </c>
      <c r="B30142" s="3">
        <v>0</v>
      </c>
    </row>
    <row r="30143" ht="15.75" customHeight="1" spans="1:2">
      <c r="A30143" s="3" t="str">
        <f>IFERROR(__xludf.DUMMYFUNCTION("GOOGLETRANSLATE(A30143,""en"",""pt"")"),"Carece de alguns recursos mais avançados, cartão de memória pequeno incluído, botão de controle de menu complicado de usar")</f>
        <v>Carece de alguns recursos mais avançados, cartão de memória pequeno incluído, botão de controle de menu complicado de usar</v>
      </c>
      <c r="B30143" s="3">
        <v>0</v>
      </c>
    </row>
    <row r="30144" ht="15.75" customHeight="1" spans="1:2">
      <c r="A30144" s="3" t="str">
        <f>IFERROR(__xludf.DUMMYFUNCTION("GOOGLETRANSLATE(A30144,""en"",""pt"")"),"vídeo não é realmente grande, mas tudo bem.")</f>
        <v>vídeo não é realmente grande, mas tudo bem.</v>
      </c>
      <c r="B30144" s="3">
        <v>0</v>
      </c>
    </row>
    <row r="30145" ht="15.75" customHeight="1" spans="1:2">
      <c r="A30145" s="3" t="str">
        <f>IFERROR(__xludf.DUMMYFUNCTION("GOOGLETRANSLATE(A30145,""en"",""pt"")"),"Um pouco estranho para segurar")</f>
        <v>Um pouco estranho para segurar</v>
      </c>
      <c r="B30145" s="3">
        <v>0</v>
      </c>
    </row>
    <row r="30146" ht="15.75" customHeight="1" spans="1:2">
      <c r="A30146" s="3" t="str">
        <f>IFERROR(__xludf.DUMMYFUNCTION("GOOGLETRANSLATE(A30146,""en"",""pt"")"),"recarga lenta do flash, almofada joystick uma dor, por vezes, há tiros de largura ângulo")</f>
        <v>recarga lenta do flash, almofada joystick uma dor, por vezes, há tiros de largura ângulo</v>
      </c>
      <c r="B30146" s="3">
        <v>0</v>
      </c>
    </row>
    <row r="30147" ht="15.75" customHeight="1" spans="1:2">
      <c r="A30147" s="3" t="str">
        <f>IFERROR(__xludf.DUMMYFUNCTION("GOOGLETRANSLATE(A30147,""en"",""pt"")"),"Auto-Focus, No Video Sound")</f>
        <v>Auto-Focus, No Video Sound</v>
      </c>
      <c r="B30147" s="3">
        <v>0</v>
      </c>
    </row>
    <row r="30148" ht="15.75" customHeight="1" spans="1:2">
      <c r="A30148" s="3" t="str">
        <f>IFERROR(__xludf.DUMMYFUNCTION("GOOGLETRANSLATE(A30148,""en"",""pt"")"),"Nenhum")</f>
        <v>Nenhum</v>
      </c>
      <c r="B30148" s="3">
        <v>0</v>
      </c>
    </row>
    <row r="30149" ht="15.75" customHeight="1" spans="1:2">
      <c r="A30149" s="3" t="str">
        <f>IFERROR(__xludf.DUMMYFUNCTION("GOOGLETRANSLATE(A30149,""en"",""pt"")"),"Controles não são tão fáceis de usar especialmente o botão de navegação")</f>
        <v>Controles não são tão fáceis de usar especialmente o botão de navegação</v>
      </c>
      <c r="B30149" s="3">
        <v>0</v>
      </c>
    </row>
    <row r="30150" ht="15.75" customHeight="1" spans="1:2">
      <c r="A30150" s="3" t="str">
        <f>IFERROR(__xludf.DUMMYFUNCTION("GOOGLETRANSLATE(A30150,""en"",""pt"")"),"Tem que comprar o melhor bateria eo cartão de memória")</f>
        <v>Tem que comprar o melhor bateria eo cartão de memória</v>
      </c>
      <c r="B30150" s="3">
        <v>0</v>
      </c>
    </row>
    <row r="30151" ht="15.75" customHeight="1" spans="1:2">
      <c r="A30151" s="3" t="str">
        <f>IFERROR(__xludf.DUMMYFUNCTION("GOOGLETRANSLATE(A30151,""en"",""pt"")"),"memory sticks são caros")</f>
        <v>memory sticks são caros</v>
      </c>
      <c r="B30151" s="3">
        <v>0</v>
      </c>
    </row>
    <row r="30152" ht="15.75" customHeight="1" spans="1:2">
      <c r="A30152" s="3" t="str">
        <f>IFERROR(__xludf.DUMMYFUNCTION("GOOGLETRANSLATE(A30152,""en"",""pt"")"),"Auto Lens Cover, Garantia Limitada, a alta taxa de Trabalho em meses 4-12 de garantia de fábrica")</f>
        <v>Auto Lens Cover, Garantia Limitada, a alta taxa de Trabalho em meses 4-12 de garantia de fábrica</v>
      </c>
      <c r="B30152" s="3">
        <v>0</v>
      </c>
    </row>
    <row r="30153" ht="15.75" customHeight="1" spans="1:2">
      <c r="A30153" s="3" t="str">
        <f>IFERROR(__xludf.DUMMYFUNCTION("GOOGLETRANSLATE(A30153,""en"",""pt"")"),"não confiável microprocessador")</f>
        <v>não confiável microprocessador</v>
      </c>
      <c r="B30153" s="3">
        <v>0</v>
      </c>
    </row>
    <row r="30154" ht="15.75" customHeight="1" spans="1:2">
      <c r="A30154" s="3" t="str">
        <f>IFERROR(__xludf.DUMMYFUNCTION("GOOGLETRANSLATE(A30154,""en"",""pt"")"),"tecla de navegação preciso alguma prática para mestre")</f>
        <v>tecla de navegação preciso alguma prática para mestre</v>
      </c>
      <c r="B30154" s="3">
        <v>0</v>
      </c>
    </row>
    <row r="30155" ht="15.75" customHeight="1" spans="1:2">
      <c r="A30155" s="3" t="str">
        <f>IFERROR(__xludf.DUMMYFUNCTION("GOOGLETRANSLATE(A30155,""en"",""pt"")"),"Óptico é de apenas 2x")</f>
        <v>Óptico é de apenas 2x</v>
      </c>
      <c r="B30155" s="3">
        <v>0</v>
      </c>
    </row>
    <row r="30156" ht="15.75" customHeight="1" spans="1:2">
      <c r="A30156" s="3" t="str">
        <f>IFERROR(__xludf.DUMMYFUNCTION("GOOGLETRANSLATE(A30156,""en"",""pt"")"),"Não funcionou muito longo!")</f>
        <v>Não funcionou muito longo!</v>
      </c>
      <c r="B30156" s="3">
        <v>0</v>
      </c>
    </row>
    <row r="30157" ht="15.75" customHeight="1" spans="1:2">
      <c r="A30157" s="3" t="str">
        <f>IFERROR(__xludf.DUMMYFUNCTION("GOOGLETRANSLATE(A30157,""en"",""pt"")"),"recarga lenta do flash. Problemas com auto-foco.")</f>
        <v>recarga lenta do flash. Problemas com auto-foco.</v>
      </c>
      <c r="B30157" s="3">
        <v>0</v>
      </c>
    </row>
    <row r="30158" ht="15.75" customHeight="1" spans="1:2">
      <c r="A30158" s="3" t="str">
        <f>IFERROR(__xludf.DUMMYFUNCTION("GOOGLETRANSLATE(A30158,""en"",""pt"")"),"É lento tirar as fotos.")</f>
        <v>É lento tirar as fotos.</v>
      </c>
      <c r="B30158" s="3">
        <v>0</v>
      </c>
    </row>
    <row r="30159" ht="15.75" customHeight="1" spans="1:2">
      <c r="A30159" s="3" t="str">
        <f>IFERROR(__xludf.DUMMYFUNCTION("GOOGLETRANSLATE(A30159,""en"",""pt"")"),"nenhum ainda")</f>
        <v>nenhum ainda</v>
      </c>
      <c r="B30159" s="3">
        <v>0</v>
      </c>
    </row>
    <row r="30160" ht="15.75" customHeight="1" spans="1:2">
      <c r="A30160" s="3" t="str">
        <f>IFERROR(__xludf.DUMMYFUNCTION("GOOGLETRANSLATE(A30160,""en"",""pt"")"),"A volumosa bit")</f>
        <v>A volumosa bit</v>
      </c>
      <c r="B30160" s="3">
        <v>0</v>
      </c>
    </row>
    <row r="30161" ht="15.75" customHeight="1" spans="1:2">
      <c r="A30161" s="3" t="str">
        <f>IFERROR(__xludf.DUMMYFUNCTION("GOOGLETRANSLATE(A30161,""en"",""pt"")"),"Nenhuma gravação de som. pacote de software pobres.")</f>
        <v>Nenhuma gravação de som. pacote de software pobres.</v>
      </c>
      <c r="B30161" s="3">
        <v>0</v>
      </c>
    </row>
    <row r="30162" ht="15.75" customHeight="1" spans="1:2">
      <c r="A30162" s="3" t="str">
        <f>IFERROR(__xludf.DUMMYFUNCTION("GOOGLETRANSLATE(A30162,""en"",""pt"")"),"software ImageMaker não é compatível com sistemas operacionais mais antigos, trancados em tecnologia MemoryStick")</f>
        <v>software ImageMaker não é compatível com sistemas operacionais mais antigos, trancados em tecnologia MemoryStick</v>
      </c>
      <c r="B30162" s="3">
        <v>0</v>
      </c>
    </row>
    <row r="30163" ht="15.75" customHeight="1" spans="1:2">
      <c r="A30163" s="3" t="str">
        <f>IFERROR(__xludf.DUMMYFUNCTION("GOOGLETRANSLATE(A30163,""en"",""pt"")"),"leva muito tempo para se concentrar e Sony torna os acessórios caros")</f>
        <v>leva muito tempo para se concentrar e Sony torna os acessórios caros</v>
      </c>
      <c r="B30163" s="3">
        <v>0</v>
      </c>
    </row>
    <row r="30164" ht="15.75" customHeight="1" spans="1:2">
      <c r="A30164" s="3" t="str">
        <f>IFERROR(__xludf.DUMMYFUNCTION("GOOGLETRANSLATE(A30164,""en"",""pt"")"),"Não havia nenhuma.")</f>
        <v>Não havia nenhuma.</v>
      </c>
      <c r="B30164" s="3">
        <v>0</v>
      </c>
    </row>
    <row r="30165" ht="15.75" customHeight="1" spans="1:2">
      <c r="A30165" s="3" t="str">
        <f>IFERROR(__xludf.DUMMYFUNCTION("GOOGLETRANSLATE(A30165,""en"",""pt"")"),"Às vezes atrasa depois de tomar pic e isso pode ser frustrante.")</f>
        <v>Às vezes atrasa depois de tomar pic e isso pode ser frustrante.</v>
      </c>
      <c r="B30165" s="3">
        <v>0</v>
      </c>
    </row>
    <row r="30166" ht="15.75" customHeight="1" spans="1:2">
      <c r="A30166" s="3" t="str">
        <f>IFERROR(__xludf.DUMMYFUNCTION("GOOGLETRANSLATE(A30166,""en"",""pt"")"),"não pode usar o flash durante a gravação de vídeos.")</f>
        <v>não pode usar o flash durante a gravação de vídeos.</v>
      </c>
      <c r="B30166" s="3">
        <v>0</v>
      </c>
    </row>
    <row r="30167" ht="15.75" customHeight="1" spans="1:2">
      <c r="A30167" s="3" t="str">
        <f>IFERROR(__xludf.DUMMYFUNCTION("GOOGLETRANSLATE(A30167,""en"",""pt"")"),"Nenhum")</f>
        <v>Nenhum</v>
      </c>
      <c r="B30167" s="3">
        <v>0</v>
      </c>
    </row>
    <row r="30168" ht="15.75" customHeight="1" spans="1:2">
      <c r="A30168" s="3" t="str">
        <f>IFERROR(__xludf.DUMMYFUNCTION("GOOGLETRANSLATE(A30168,""en"",""pt"")"),"design um pouco volumoso e desconfortável, somente o zoom óptico de 2X, nenhum modo macro")</f>
        <v>design um pouco volumoso e desconfortável, somente o zoom óptico de 2X, nenhum modo macro</v>
      </c>
      <c r="B30168" s="3">
        <v>0</v>
      </c>
    </row>
    <row r="30169" ht="15.75" customHeight="1" spans="1:2">
      <c r="A30169" s="3" t="str">
        <f>IFERROR(__xludf.DUMMYFUNCTION("GOOGLETRANSLATE(A30169,""en"",""pt"")"),"vem com uma vara pequena memória (16 MB), precisa de um zoom mais forte")</f>
        <v>vem com uma vara pequena memória (16 MB), precisa de um zoom mais forte</v>
      </c>
      <c r="B30169" s="3">
        <v>0</v>
      </c>
    </row>
    <row r="30170" ht="15.75" customHeight="1" spans="1:2">
      <c r="A30170" s="3" t="str">
        <f>IFERROR(__xludf.DUMMYFUNCTION("GOOGLETRANSLATE(A30170,""en"",""pt"")"),"desenhar")</f>
        <v>desenhar</v>
      </c>
      <c r="B30170" s="3">
        <v>0</v>
      </c>
    </row>
    <row r="30171" ht="15.75" customHeight="1" spans="1:2">
      <c r="A30171" s="3" t="str">
        <f>IFERROR(__xludf.DUMMYFUNCTION("GOOGLETRANSLATE(A30171,""en"",""pt"")"),"O tempo de carga para as baterias, disco 16mb pequena.")</f>
        <v>O tempo de carga para as baterias, disco 16mb pequena.</v>
      </c>
      <c r="B30171" s="3">
        <v>0</v>
      </c>
    </row>
    <row r="30172" ht="15.75" customHeight="1" spans="1:2">
      <c r="A30172" s="3" t="str">
        <f>IFERROR(__xludf.DUMMYFUNCTION("GOOGLETRANSLATE(A30172,""en"",""pt"")"),"16MB Memory Stick definitivamente não é o suficiente")</f>
        <v>16MB Memory Stick definitivamente não é o suficiente</v>
      </c>
      <c r="B30172" s="3">
        <v>0</v>
      </c>
    </row>
    <row r="30173" ht="15.75" customHeight="1" spans="1:2">
      <c r="A30173" s="3" t="str">
        <f>IFERROR(__xludf.DUMMYFUNCTION("GOOGLETRANSLATE(A30173,""en"",""pt"")"),"16 MB Memory Stick não é suficiente.,, Foto software pacote é uma porcaria.,, No maleta!")</f>
        <v>16 MB Memory Stick não é suficiente.,, Foto software pacote é uma porcaria.,, No maleta!</v>
      </c>
      <c r="B30173" s="3">
        <v>0</v>
      </c>
    </row>
    <row r="30174" ht="15.75" customHeight="1" spans="1:2">
      <c r="A30174" s="3" t="str">
        <f>IFERROR(__xludf.DUMMYFUNCTION("GOOGLETRANSLATE(A30174,""en"",""pt"")"),"Vem com a única vara de memória de 16 MB")</f>
        <v>Vem com a única vara de memória de 16 MB</v>
      </c>
      <c r="B30174" s="3">
        <v>0</v>
      </c>
    </row>
    <row r="30175" ht="15.75" customHeight="1" spans="1:2">
      <c r="A30175" s="3" t="str">
        <f>IFERROR(__xludf.DUMMYFUNCTION("GOOGLETRANSLATE(A30175,""en"",""pt"")"),"Não consigo pensar em nenhum agora")</f>
        <v>Não consigo pensar em nenhum agora</v>
      </c>
      <c r="B30175" s="3">
        <v>0</v>
      </c>
    </row>
    <row r="30176" ht="15.75" customHeight="1" spans="1:2">
      <c r="A30176" s="3" t="str">
        <f>IFERROR(__xludf.DUMMYFUNCTION("GOOGLETRANSLATE(A30176,""en"",""pt"")"),"Eu não vim através de quaisquer aspectos negativos desta câmera ainda")</f>
        <v>Eu não vim através de quaisquer aspectos negativos desta câmera ainda</v>
      </c>
      <c r="B30176" s="3">
        <v>0</v>
      </c>
    </row>
    <row r="30177" ht="15.75" customHeight="1" spans="1:2">
      <c r="A30177" s="3" t="str">
        <f>IFERROR(__xludf.DUMMYFUNCTION("GOOGLETRANSLATE(A30177,""en"",""pt"")"),"As ofertas de software de edição de fotos pouco na maneira de edição.")</f>
        <v>As ofertas de software de edição de fotos pouco na maneira de edição.</v>
      </c>
      <c r="B30177" s="3">
        <v>0</v>
      </c>
    </row>
    <row r="30178" ht="15.75" customHeight="1" spans="1:2">
      <c r="A30178" s="3" t="str">
        <f>IFERROR(__xludf.DUMMYFUNCTION("GOOGLETRANSLATE(A30178,""en"",""pt"")"),"baterias estiverem fracas muito rapidamente. Mas isso pode ser porque eu estou usando-o constantemente")</f>
        <v>baterias estiverem fracas muito rapidamente. Mas isso pode ser porque eu estou usando-o constantemente</v>
      </c>
      <c r="B30178" s="3">
        <v>0</v>
      </c>
    </row>
    <row r="30179" ht="15.75" customHeight="1" spans="1:2">
      <c r="A30179" s="3" t="str">
        <f>IFERROR(__xludf.DUMMYFUNCTION("GOOGLETRANSLATE(A30179,""en"",""pt"")"),"memory stick de 16MB é um pouco pequeno")</f>
        <v>memory stick de 16MB é um pouco pequeno</v>
      </c>
      <c r="B30179" s="3">
        <v>0</v>
      </c>
    </row>
    <row r="30180" ht="15.75" customHeight="1" spans="1:2">
      <c r="A30180" s="3" t="str">
        <f>IFERROR(__xludf.DUMMYFUNCTION("GOOGLETRANSLATE(A30180,""en"",""pt"")"),"verruga display LCD")</f>
        <v>verruga display LCD</v>
      </c>
      <c r="B30180" s="3">
        <v>0</v>
      </c>
    </row>
    <row r="30181" ht="15.75" customHeight="1" spans="1:2">
      <c r="A30181" s="3" t="str">
        <f>IFERROR(__xludf.DUMMYFUNCTION("GOOGLETRANSLATE(A30181,""en"",""pt"")"),"não encontrei um ainda")</f>
        <v>não encontrei um ainda</v>
      </c>
      <c r="B30181" s="3">
        <v>0</v>
      </c>
    </row>
    <row r="30182" ht="15.75" customHeight="1" spans="1:2">
      <c r="A30182" s="3" t="str">
        <f>IFERROR(__xludf.DUMMYFUNCTION("GOOGLETRANSLATE(A30182,""en"",""pt"")"),"compressão MPG um pouco extravagante")</f>
        <v>compressão MPG um pouco extravagante</v>
      </c>
      <c r="B30182" s="3">
        <v>0</v>
      </c>
    </row>
    <row r="30183" ht="15.75" customHeight="1" spans="1:2">
      <c r="A30183" s="3" t="str">
        <f>IFERROR(__xludf.DUMMYFUNCTION("GOOGLETRANSLATE(A30183,""en"",""pt"")"),"O som não recorde")</f>
        <v>O som não recorde</v>
      </c>
      <c r="B30183" s="3">
        <v>0</v>
      </c>
    </row>
    <row r="30184" ht="15.75" customHeight="1" spans="1:2">
      <c r="A30184" s="3" t="str">
        <f>IFERROR(__xludf.DUMMYFUNCTION("GOOGLETRANSLATE(A30184,""en"",""pt"")"),"Nenhum.")</f>
        <v>Nenhum.</v>
      </c>
      <c r="B30184" s="3">
        <v>0</v>
      </c>
    </row>
    <row r="30185" ht="15.75" customHeight="1" spans="1:2">
      <c r="A30185" s="3" t="str">
        <f>IFERROR(__xludf.DUMMYFUNCTION("GOOGLETRANSLATE(A30185,""en"",""pt"")"),"O espaço de armazenamento, tela de LCD, capacidade Sem gravação de som")</f>
        <v>O espaço de armazenamento, tela de LCD, capacidade Sem gravação de som</v>
      </c>
      <c r="B30185" s="3">
        <v>0</v>
      </c>
    </row>
    <row r="30186" ht="15.75" customHeight="1" spans="1:2">
      <c r="A30186" s="3" t="str">
        <f>IFERROR(__xludf.DUMMYFUNCTION("GOOGLETRANSLATE(A30186,""en"",""pt"")"),"Apenas 16 vara Meg, batts levar 13 horas para carregar, nenhum caso ou adaptador AC")</f>
        <v>Apenas 16 vara Meg, batts levar 13 horas para carregar, nenhum caso ou adaptador AC</v>
      </c>
      <c r="B30186" s="3">
        <v>0</v>
      </c>
    </row>
    <row r="30187" ht="15.75" customHeight="1" spans="1:2">
      <c r="A30187" s="3" t="str">
        <f>IFERROR(__xludf.DUMMYFUNCTION("GOOGLETRANSLATE(A30187,""en"",""pt"")"),"vida útil da bateria pode ser às vezes curtas, mas ele só tem 2 pilhas")</f>
        <v>vida útil da bateria pode ser às vezes curtas, mas ele só tem 2 pilhas</v>
      </c>
      <c r="B30187" s="3">
        <v>0</v>
      </c>
    </row>
    <row r="30188" ht="15.75" customHeight="1" spans="1:2">
      <c r="A30188" s="3" t="str">
        <f>IFERROR(__xludf.DUMMYFUNCTION("GOOGLETRANSLATE(A30188,""en"",""pt"")"),"Sem som ao fazer clips de vídeo (mas, novamente, é uma câmera), LCD pequeno")</f>
        <v>Sem som ao fazer clips de vídeo (mas, novamente, é uma câmera), LCD pequeno</v>
      </c>
      <c r="B30188" s="3">
        <v>0</v>
      </c>
    </row>
    <row r="30189" ht="15.75" customHeight="1" spans="1:2">
      <c r="A30189" s="3" t="str">
        <f>IFERROR(__xludf.DUMMYFUNCTION("GOOGLETRANSLATE(A30189,""en"",""pt"")"),"câmera de desligamento automático, estadias LCD on!")</f>
        <v>câmera de desligamento automático, estadias LCD on!</v>
      </c>
      <c r="B30189" s="3">
        <v>0</v>
      </c>
    </row>
    <row r="30190" ht="15.75" customHeight="1" spans="1:2">
      <c r="A30190" s="3" t="str">
        <f>IFERROR(__xludf.DUMMYFUNCTION("GOOGLETRANSLATE(A30190,""en"",""pt"")"),"O Software nesta câmara simplesmente SUGA!")</f>
        <v>O Software nesta câmara simplesmente SUGA!</v>
      </c>
      <c r="B30190" s="3">
        <v>0</v>
      </c>
    </row>
    <row r="30191" ht="15.75" customHeight="1" spans="1:2">
      <c r="A30191" s="3" t="str">
        <f>IFERROR(__xludf.DUMMYFUNCTION("GOOGLETRANSLATE(A30191,""en"",""pt"")"),"instalações de ajuste de imagem limitada, as baterias ter uma idade para carregar e executar rapidamente")</f>
        <v>instalações de ajuste de imagem limitada, as baterias ter uma idade para carregar e executar rapidamente</v>
      </c>
      <c r="B30191" s="3">
        <v>0</v>
      </c>
    </row>
    <row r="30192" ht="15.75" customHeight="1" spans="1:2">
      <c r="A30192" s="3" t="str">
        <f>IFERROR(__xludf.DUMMYFUNCTION("GOOGLETRANSLATE(A30192,""en"",""pt"")"),"Baterias, LCD")</f>
        <v>Baterias, LCD</v>
      </c>
      <c r="B30192" s="3">
        <v>0</v>
      </c>
    </row>
    <row r="30193" ht="15.75" customHeight="1" spans="1:2">
      <c r="A30193" s="3" t="str">
        <f>IFERROR(__xludf.DUMMYFUNCTION("GOOGLETRANSLATE(A30193,""en"",""pt"")"),"não pode ser usado fora da direita da caixa, mas isso não é, obviamente, um grande negócio")</f>
        <v>não pode ser usado fora da direita da caixa, mas isso não é, obviamente, um grande negócio</v>
      </c>
      <c r="B30193" s="3">
        <v>0</v>
      </c>
    </row>
    <row r="30194" ht="15.75" customHeight="1" spans="1:2">
      <c r="A30194" s="3" t="str">
        <f>IFERROR(__xludf.DUMMYFUNCTION("GOOGLETRANSLATE(A30194,""en"",""pt"")"),"Imagem de para e-mail e internet eram muito pobres.")</f>
        <v>Imagem de para e-mail e internet eram muito pobres.</v>
      </c>
      <c r="B30194" s="3">
        <v>0</v>
      </c>
    </row>
    <row r="30195" ht="15.75" customHeight="1" spans="1:2">
      <c r="A30195" s="3" t="str">
        <f>IFERROR(__xludf.DUMMYFUNCTION("GOOGLETRANSLATE(A30195,""en"",""pt"")"),"o brilho da imagem, muitas vezes tem de ser editados., preço.")</f>
        <v>o brilho da imagem, muitas vezes tem de ser editados., preço.</v>
      </c>
      <c r="B30195" s="3">
        <v>0</v>
      </c>
    </row>
    <row r="30196" ht="15.75" customHeight="1" spans="1:2">
      <c r="A30196" s="3" t="str">
        <f>IFERROR(__xludf.DUMMYFUNCTION("GOOGLETRANSLATE(A30196,""en"",""pt"")"),"Fácil de carregar nos botões indesejados, mantendo câmera, filme tempo limitado")</f>
        <v>Fácil de carregar nos botões indesejados, mantendo câmera, filme tempo limitado</v>
      </c>
      <c r="B30196" s="3">
        <v>0</v>
      </c>
    </row>
    <row r="30197" ht="15.75" customHeight="1" spans="1:2">
      <c r="A30197" s="3" t="str">
        <f>IFERROR(__xludf.DUMMYFUNCTION("GOOGLETRANSLATE(A30197,""en"",""pt"")"),"Má qualidade de imagem, não uma unidade stand-alone para transferir imagens para o computador")</f>
        <v>Má qualidade de imagem, não uma unidade stand-alone para transferir imagens para o computador</v>
      </c>
      <c r="B30197" s="3">
        <v>0</v>
      </c>
    </row>
    <row r="30198" ht="15.75" customHeight="1" spans="1:2">
      <c r="A30198" s="3" t="str">
        <f>IFERROR(__xludf.DUMMYFUNCTION("GOOGLETRANSLATE(A30198,""en"",""pt"")"),"Um pouco difícil de descobrir todas as funções.")</f>
        <v>Um pouco difícil de descobrir todas as funções.</v>
      </c>
      <c r="B30198" s="3">
        <v>0</v>
      </c>
    </row>
    <row r="30199" ht="15.75" customHeight="1" spans="1:2">
      <c r="A30199" s="3" t="str">
        <f>IFERROR(__xludf.DUMMYFUNCTION("GOOGLETRANSLATE(A30199,""en"",""pt"")"),"conectores proprietários, muito tempo de carregamento da bateria, botões de controle são difíceis de usar")</f>
        <v>conectores proprietários, muito tempo de carregamento da bateria, botões de controle são difíceis de usar</v>
      </c>
      <c r="B30199" s="3">
        <v>0</v>
      </c>
    </row>
    <row r="30200" ht="15.75" customHeight="1" spans="1:2">
      <c r="A30200" s="3" t="str">
        <f>IFERROR(__xludf.DUMMYFUNCTION("GOOGLETRANSLATE(A30200,""en"",""pt"")"),"Tem que gastar mais dinheiro para obter memória adicional, caso, carregador ceia rápido.")</f>
        <v>Tem que gastar mais dinheiro para obter memória adicional, caso, carregador ceia rápido.</v>
      </c>
      <c r="B30200" s="3">
        <v>0</v>
      </c>
    </row>
    <row r="30201" ht="15.75" customHeight="1" spans="1:2">
      <c r="A30201" s="3" t="str">
        <f>IFERROR(__xludf.DUMMYFUNCTION("GOOGLETRANSLATE(A30201,""en"",""pt"")"),"redução de olhos vermelhos não é muito bom, vem com um pequeno cartão de memória.")</f>
        <v>redução de olhos vermelhos não é muito bom, vem com um pequeno cartão de memória.</v>
      </c>
      <c r="B30201" s="3">
        <v>0</v>
      </c>
    </row>
    <row r="30202" ht="15.75" customHeight="1" spans="1:2">
      <c r="A30202" s="3" t="s">
        <v>175</v>
      </c>
      <c r="B30202" s="3">
        <v>0</v>
      </c>
    </row>
    <row r="30203" ht="15.75" customHeight="1" spans="1:2">
      <c r="A30203" s="3" t="str">
        <f>IFERROR(__xludf.DUMMYFUNCTION("GOOGLETRANSLATE(A30203,""en"",""pt"")"),"memory stick pequeno, ajustes manuais limitados. Não há som na modo de filme.")</f>
        <v>memory stick pequeno, ajustes manuais limitados. Não há som na modo de filme.</v>
      </c>
      <c r="B30203" s="3">
        <v>0</v>
      </c>
    </row>
    <row r="30204" ht="15.75" customHeight="1" spans="1:2">
      <c r="A30204" s="3" t="str">
        <f>IFERROR(__xludf.DUMMYFUNCTION("GOOGLETRANSLATE(A30204,""en"",""pt"")"),"Que ""não toque"" regra quando lente está estendendo ou contraindo.")</f>
        <v>Que "não toque" regra quando lente está estendendo ou contraindo.</v>
      </c>
      <c r="B30204" s="3">
        <v>0</v>
      </c>
    </row>
    <row r="30205" ht="15.75" customHeight="1" spans="1:2">
      <c r="A30205" s="3" t="str">
        <f>IFERROR(__xludf.DUMMYFUNCTION("GOOGLETRANSLATE(A30205,""en"",""pt"")"),"não pode usar fora da caixa, o tempo de atraso do obturador (esp. em flash)")</f>
        <v>não pode usar fora da caixa, o tempo de atraso do obturador (esp. em flash)</v>
      </c>
      <c r="B30205" s="3">
        <v>0</v>
      </c>
    </row>
    <row r="30206" ht="15.75" customHeight="1" spans="1:2">
      <c r="A30206" s="3" t="str">
        <f>IFERROR(__xludf.DUMMYFUNCTION("GOOGLETRANSLATE(A30206,""en"",""pt"")"),"Botão de controle usado em opções de menu leva algum tempo para se acostumar.")</f>
        <v>Botão de controle usado em opções de menu leva algum tempo para se acostumar.</v>
      </c>
      <c r="B30206" s="3">
        <v>0</v>
      </c>
    </row>
    <row r="30207" ht="15.75" customHeight="1" spans="1:2">
      <c r="A30207" s="3" t="str">
        <f>IFERROR(__xludf.DUMMYFUNCTION("GOOGLETRANSLATE(A30207,""en"",""pt"")"),"inicial de memória e carregador inadequada, nenhum som, Pixela ininteligível software.")</f>
        <v>inicial de memória e carregador inadequada, nenhum som, Pixela ininteligível software.</v>
      </c>
      <c r="B30207" s="3">
        <v>0</v>
      </c>
    </row>
    <row r="30208" ht="15.75" customHeight="1" spans="1:2">
      <c r="A30208" s="3" t="str">
        <f>IFERROR(__xludf.DUMMYFUNCTION("GOOGLETRANSLATE(A30208,""en"",""pt"")"),"Leva alguns segundos para ativar o flash. botão de menu um pouco peculiar, por vezes, controlada pelo polegar.")</f>
        <v>Leva alguns segundos para ativar o flash. botão de menu um pouco peculiar, por vezes, controlada pelo polegar.</v>
      </c>
      <c r="B30208" s="3">
        <v>0</v>
      </c>
    </row>
    <row r="30209" ht="15.75" customHeight="1" spans="1:2">
      <c r="A30209" s="3" t="str">
        <f>IFERROR(__xludf.DUMMYFUNCTION("GOOGLETRANSLATE(A30209,""en"",""pt"")"),"cartão de memória maior exigido ... a vida ecrã LCD .little Pobre bateria.")</f>
        <v>cartão de memória maior exigido ... a vida ecrã LCD .little Pobre bateria.</v>
      </c>
      <c r="B30209" s="3">
        <v>0</v>
      </c>
    </row>
    <row r="30210" ht="15.75" customHeight="1" spans="1:2">
      <c r="A30210" s="3" t="str">
        <f>IFERROR(__xludf.DUMMYFUNCTION("GOOGLETRANSLATE(A30210,""en"",""pt"")"),"A vida da bateria é muito curta., bateria leva 8 horas ou mais para carga")</f>
        <v>A vida da bateria é muito curta., bateria leva 8 horas ou mais para carga</v>
      </c>
      <c r="B30210" s="3">
        <v>0</v>
      </c>
    </row>
    <row r="30211" ht="15.75" customHeight="1" spans="1:2">
      <c r="A30211" s="3" t="str">
        <f>IFERROR(__xludf.DUMMYFUNCTION("GOOGLETRANSLATE(A30211,""en"",""pt"")"),"Falta de f-stop e obturador velocidades manual, fotografia Macro não muito bem implementado")</f>
        <v>Falta de f-stop e obturador velocidades manual, fotografia Macro não muito bem implementado</v>
      </c>
      <c r="B30211" s="3">
        <v>0</v>
      </c>
    </row>
    <row r="30212" ht="15.75" customHeight="1" spans="1:2">
      <c r="A30212" s="3" t="str">
        <f>IFERROR(__xludf.DUMMYFUNCTION("GOOGLETRANSLATE(A30212,""en"",""pt"")"),"acessórios Sony pode ser caro")</f>
        <v>acessórios Sony pode ser caro</v>
      </c>
      <c r="B30212" s="3">
        <v>0</v>
      </c>
    </row>
    <row r="30213" ht="15.75" customHeight="1" spans="1:2">
      <c r="A30213" s="3" t="str">
        <f>IFERROR(__xludf.DUMMYFUNCTION("GOOGLETRANSLATE(A30213,""en"",""pt"")"),"Resultados inconsistentes com flash, pequena vara de memória incluída, controles difícil fazer seleções.")</f>
        <v>Resultados inconsistentes com flash, pequena vara de memória incluída, controles difícil fazer seleções.</v>
      </c>
      <c r="B30213" s="3">
        <v>0</v>
      </c>
    </row>
    <row r="30214" ht="15.75" customHeight="1" spans="1:2">
      <c r="A30214" s="3" t="str">
        <f>IFERROR(__xludf.DUMMYFUNCTION("GOOGLETRANSLATE(A30214,""en"",""pt"")"),"Longa duração da bateria tempo de recarga.")</f>
        <v>Longa duração da bateria tempo de recarga.</v>
      </c>
      <c r="B30214" s="3">
        <v>0</v>
      </c>
    </row>
    <row r="30215" ht="15.75" customHeight="1" spans="1:2">
      <c r="A30215" s="3" t="str">
        <f>IFERROR(__xludf.DUMMYFUNCTION("GOOGLETRANSLATE(A30215,""en"",""pt"")"),"a vida da bateria pobres, questões de flash")</f>
        <v>a vida da bateria pobres, questões de flash</v>
      </c>
      <c r="B30215" s="3">
        <v>0</v>
      </c>
    </row>
    <row r="30216" ht="15.75" customHeight="1" spans="1:2">
      <c r="A30216" s="3" t="str">
        <f>IFERROR(__xludf.DUMMYFUNCTION("GOOGLETRANSLATE(A30216,""en"",""pt"")"),"acessórios caros, o modo de vídeo")</f>
        <v>acessórios caros, o modo de vídeo</v>
      </c>
      <c r="B30216" s="3">
        <v>0</v>
      </c>
    </row>
    <row r="30217" ht="15.75" customHeight="1" spans="1:2">
      <c r="A30217" s="3" t="str">
        <f>IFERROR(__xludf.DUMMYFUNCTION("GOOGLETRANSLATE(A30217,""en"",""pt"")"),"preço, tamanho, materiais,")</f>
        <v>preço, tamanho, materiais,</v>
      </c>
      <c r="B30217" s="3">
        <v>0</v>
      </c>
    </row>
    <row r="30218" ht="15.75" customHeight="1" spans="1:2">
      <c r="A30218" s="3" t="str">
        <f>IFERROR(__xludf.DUMMYFUNCTION("GOOGLETRANSLATE(A30218,""en"",""pt"")"),"A vida da bateria")</f>
        <v>A vida da bateria</v>
      </c>
      <c r="B30218" s="3">
        <v>0</v>
      </c>
    </row>
    <row r="30219" ht="15.75" customHeight="1" spans="1:2">
      <c r="A30219" s="3" t="s">
        <v>176</v>
      </c>
      <c r="B30219" s="3">
        <v>0</v>
      </c>
    </row>
    <row r="30220" ht="15.75" customHeight="1" spans="1:2">
      <c r="A30220" s="3" t="str">
        <f>IFERROR(__xludf.DUMMYFUNCTION("GOOGLETRANSLATE(A30220,""en"",""pt"")"),"Não Esportes / configuração de ação., Muito tempo btw tiros quando Usando o Flash., Bad software.")</f>
        <v>Não Esportes / configuração de ação., Muito tempo btw tiros quando Usando o Flash., Bad software.</v>
      </c>
      <c r="B30220" s="3">
        <v>0</v>
      </c>
    </row>
    <row r="30221" ht="15.75" customHeight="1" spans="1:2">
      <c r="A30221" s="3" t="str">
        <f>IFERROR(__xludf.DUMMYFUNCTION("GOOGLETRANSLATE(A30221,""en"",""pt"")"),"Tem que comprar memória extra para tirar o máximo partido das capacidades de resolução.")</f>
        <v>Tem que comprar memória extra para tirar o máximo partido das capacidades de resolução.</v>
      </c>
      <c r="B30221" s="3">
        <v>0</v>
      </c>
    </row>
    <row r="30222" ht="15.75" customHeight="1" spans="1:2">
      <c r="A30222" s="3" t="str">
        <f>IFERROR(__xludf.DUMMYFUNCTION("GOOGLETRANSLATE(A30222,""en"",""pt"")"),"memory stick é caro")</f>
        <v>memory stick é caro</v>
      </c>
      <c r="B30222" s="3">
        <v>0</v>
      </c>
    </row>
    <row r="30223" ht="15.75" customHeight="1" spans="1:2">
      <c r="A30223" s="3" t="str">
        <f>IFERROR(__xludf.DUMMYFUNCTION("GOOGLETRANSLATE(A30223,""en"",""pt"")"),"6 horas para carregar as baterias!")</f>
        <v>6 horas para carregar as baterias!</v>
      </c>
      <c r="B30223" s="3">
        <v>0</v>
      </c>
    </row>
    <row r="30224" ht="15.75" customHeight="1" spans="1:2">
      <c r="A30224" s="3" t="str">
        <f>IFERROR(__xludf.DUMMYFUNCTION("GOOGLETRANSLATE(A30224,""en"",""pt"")"),"Nenhuma correção de dioptria no visor óptico.")</f>
        <v>Nenhuma correção de dioptria no visor óptico.</v>
      </c>
      <c r="B30224" s="3">
        <v>0</v>
      </c>
    </row>
    <row r="30225" ht="15.75" customHeight="1" spans="1:2">
      <c r="A30225" s="3" t="str">
        <f>IFERROR(__xludf.DUMMYFUNCTION("GOOGLETRANSLATE(A30225,""en"",""pt"")"),"Foi difícil aprender a usar todas as grandes funções que ela oferece.")</f>
        <v>Foi difícil aprender a usar todas as grandes funções que ela oferece.</v>
      </c>
      <c r="B30225" s="3">
        <v>0</v>
      </c>
    </row>
    <row r="30226" ht="15.75" customHeight="1" spans="1:2">
      <c r="A30226" s="3" t="str">
        <f>IFERROR(__xludf.DUMMYFUNCTION("GOOGLETRANSLATE(A30226,""en"",""pt"")"),"Arranhões facilmente, sony varas mem são caros, LCD inútil na luz solar brilhante")</f>
        <v>Arranhões facilmente, sony varas mem são caros, LCD inútil na luz solar brilhante</v>
      </c>
      <c r="B30226" s="3">
        <v>0</v>
      </c>
    </row>
    <row r="30227" ht="15.75" customHeight="1" spans="1:2">
      <c r="A30227" s="3" t="str">
        <f>IFERROR(__xludf.DUMMYFUNCTION("GOOGLETRANSLATE(A30227,""en"",""pt"")"),"LCD difícil de ver na luz brilhante; Autofocus leva algum tempo em situações de pouca luz")</f>
        <v>LCD difícil de ver na luz brilhante; Autofocus leva algum tempo em situações de pouca luz</v>
      </c>
      <c r="B30227" s="3">
        <v>0</v>
      </c>
    </row>
    <row r="30228" ht="15.75" customHeight="1" spans="1:2">
      <c r="A30228" s="3" t="str">
        <f>IFERROR(__xludf.DUMMYFUNCTION("GOOGLETRANSLATE(A30228,""en"",""pt"")"),"Imagens borradas com pouca luz")</f>
        <v>Imagens borradas com pouca luz</v>
      </c>
      <c r="B30228" s="3">
        <v>0</v>
      </c>
    </row>
    <row r="30229" ht="15.75" customHeight="1" spans="1:2">
      <c r="A30229" s="3" t="str">
        <f>IFERROR(__xludf.DUMMYFUNCTION("GOOGLETRANSLATE(A30229,""en"",""pt"")"),"como a maioria das câmeras digitais as baterias não duram muito tempo.")</f>
        <v>como a maioria das câmeras digitais as baterias não duram muito tempo.</v>
      </c>
      <c r="B30229" s="3">
        <v>0</v>
      </c>
    </row>
    <row r="30230" ht="15.75" customHeight="1" spans="1:2">
      <c r="A30230" s="3" t="str">
        <f>IFERROR(__xludf.DUMMYFUNCTION("GOOGLETRANSLATE(A30230,""en"",""pt"")"),"Zoom é um pouco barulhento.")</f>
        <v>Zoom é um pouco barulhento.</v>
      </c>
      <c r="B30230" s="3">
        <v>0</v>
      </c>
    </row>
    <row r="30231" ht="15.75" customHeight="1" spans="1:2">
      <c r="A30231" s="3" t="str">
        <f>IFERROR(__xludf.DUMMYFUNCTION("GOOGLETRANSLATE(A30231,""en"",""pt"")"),"O aborrecimento que eu passei para receber o produto final.")</f>
        <v>O aborrecimento que eu passei para receber o produto final.</v>
      </c>
      <c r="B30231" s="3">
        <v>0</v>
      </c>
    </row>
    <row r="30232" ht="15.75" customHeight="1" spans="1:2">
      <c r="A30232" s="3" t="str">
        <f>IFERROR(__xludf.DUMMYFUNCTION("GOOGLETRANSLATE(A30232,""en"",""pt"")"),"difícil em baterias, o tempo de recuperação lento, limitado modo manual.")</f>
        <v>difícil em baterias, o tempo de recuperação lento, limitado modo manual.</v>
      </c>
      <c r="B30232" s="3">
        <v>0</v>
      </c>
    </row>
    <row r="30233" ht="15.75" customHeight="1" spans="1:2">
      <c r="A30233" s="3" t="str">
        <f>IFERROR(__xludf.DUMMYFUNCTION("GOOGLETRANSLATE(A30233,""en"",""pt"")"),"night shot bem não funciona")</f>
        <v>night shot bem não funciona</v>
      </c>
      <c r="B30233" s="3">
        <v>0</v>
      </c>
    </row>
    <row r="30234" ht="15.75" customHeight="1" spans="1:2">
      <c r="A30234" s="3" t="str">
        <f>IFERROR(__xludf.DUMMYFUNCTION("GOOGLETRANSLATE(A30234,""en"",""pt"")"),"Projeto poderia ser melhor, não muitos acessórios opcionais, tais como lentes add-on,")</f>
        <v>Projeto poderia ser melhor, não muitos acessórios opcionais, tais como lentes add-on,</v>
      </c>
      <c r="B30234" s="3">
        <v>0</v>
      </c>
    </row>
    <row r="30235" ht="15.75" customHeight="1" spans="1:2">
      <c r="A30235" s="3" t="str">
        <f>IFERROR(__xludf.DUMMYFUNCTION("GOOGLETRANSLATE(A30235,""en"",""pt"")"),"Ainda falta um bom zoom &amp; amp; # 13; &amp; amp; # 10; O zoom digital ainda é razoavelmente baixa qualidade &amp; amp; # 13; &amp; amp; # 10; flash de Weak")</f>
        <v>Ainda falta um bom zoom &amp; amp; # 13; &amp; amp; # 10; O zoom digital ainda é razoavelmente baixa qualidade &amp; amp; # 13; &amp; amp; # 10; flash de Weak</v>
      </c>
      <c r="B30235" s="3">
        <v>0</v>
      </c>
    </row>
    <row r="30236" ht="15.75" customHeight="1" spans="1:2">
      <c r="A30236" s="3" t="str">
        <f>IFERROR(__xludf.DUMMYFUNCTION("GOOGLETRANSLATE(A30236,""en"",""pt"")"),"Não muito zoom, software de imagem é muito básico")</f>
        <v>Não muito zoom, software de imagem é muito básico</v>
      </c>
      <c r="B30236" s="3">
        <v>0</v>
      </c>
    </row>
    <row r="30237" ht="15.75" customHeight="1" spans="1:2">
      <c r="A30237" s="3" t="str">
        <f>IFERROR(__xludf.DUMMYFUNCTION("GOOGLETRANSLATE(A30237,""en"",""pt"")"),"Usos memory sticks (caro). bateria proprietária. Memória insuficiente, nenhum caso ou bateria sobressalente como padrão.")</f>
        <v>Usos memory sticks (caro). bateria proprietária. Memória insuficiente, nenhum caso ou bateria sobressalente como padrão.</v>
      </c>
      <c r="B30237" s="3">
        <v>0</v>
      </c>
    </row>
    <row r="30238" ht="15.75" customHeight="1" spans="1:2">
      <c r="A30238" s="3" t="str">
        <f>IFERROR(__xludf.DUMMYFUNCTION("GOOGLETRANSLATE(A30238,""en"",""pt"")"),"má qualidade de imagem durante a baixa, bem como muita luz")</f>
        <v>má qualidade de imagem durante a baixa, bem como muita luz</v>
      </c>
      <c r="B30238" s="3">
        <v>0</v>
      </c>
    </row>
    <row r="30239" ht="15.75" customHeight="1" spans="1:2">
      <c r="A30239" s="3" t="str">
        <f>IFERROR(__xludf.DUMMYFUNCTION("GOOGLETRANSLATE(A30239,""en"",""pt"")"),"vida curta da bateria, pequeno cartão de memória incluído, e não o maior lente Sony.")</f>
        <v>vida curta da bateria, pequeno cartão de memória incluído, e não o maior lente Sony.</v>
      </c>
      <c r="B30239" s="3">
        <v>0</v>
      </c>
    </row>
    <row r="30240" ht="15.75" customHeight="1" spans="1:2">
      <c r="A30240" s="3" t="str">
        <f>IFERROR(__xludf.DUMMYFUNCTION("GOOGLETRANSLATE(A30240,""en"",""pt"")"),"não se lembra de configuração do flash")</f>
        <v>não se lembra de configuração do flash</v>
      </c>
      <c r="B30240" s="3">
        <v>0</v>
      </c>
    </row>
    <row r="30241" ht="15.75" customHeight="1" spans="1:2">
      <c r="A30241" s="3" t="str">
        <f>IFERROR(__xludf.DUMMYFUNCTION("GOOGLETRANSLATE(A30241,""en"",""pt"")"),"acessórios Spendy (memória, caso, bateria).")</f>
        <v>acessórios Spendy (memória, caso, bateria).</v>
      </c>
      <c r="B30241" s="3">
        <v>0</v>
      </c>
    </row>
    <row r="30242" ht="15.75" customHeight="1" spans="1:2">
      <c r="A30242" s="3" t="str">
        <f>IFERROR(__xludf.DUMMYFUNCTION("GOOGLETRANSLATE(A30242,""en"",""pt"")"),"zoom pequena")</f>
        <v>zoom pequena</v>
      </c>
      <c r="B30242" s="3">
        <v>0</v>
      </c>
    </row>
    <row r="30243" ht="15.75" customHeight="1" spans="1:2">
      <c r="A30243" s="3" t="str">
        <f>IFERROR(__xludf.DUMMYFUNCTION("GOOGLETRANSLATE(A30243,""en"",""pt"")"),"não manipula ""objeto em movimento"" ainda tiros bem")</f>
        <v>não manipula "objeto em movimento" ainda tiros bem</v>
      </c>
      <c r="B30243" s="3">
        <v>0</v>
      </c>
    </row>
    <row r="30244" ht="15.75" customHeight="1" spans="1:2">
      <c r="A30244" s="3" t="str">
        <f>IFERROR(__xludf.DUMMYFUNCTION("GOOGLETRANSLATE(A30244,""en"",""pt"")"),"leva alguns segundos para tirar a foto")</f>
        <v>leva alguns segundos para tirar a foto</v>
      </c>
      <c r="B30244" s="3">
        <v>0</v>
      </c>
    </row>
    <row r="30245" ht="15.75" customHeight="1" spans="1:2">
      <c r="A30245" s="3" t="str">
        <f>IFERROR(__xludf.DUMMYFUNCTION("GOOGLETRANSLATE(A30245,""en"",""pt"")"),"Alto custo.")</f>
        <v>Alto custo.</v>
      </c>
      <c r="B30245" s="3">
        <v>0</v>
      </c>
    </row>
    <row r="30246" ht="15.75" customHeight="1" spans="1:2">
      <c r="A30246" s="3" t="str">
        <f>IFERROR(__xludf.DUMMYFUNCTION("GOOGLETRANSLATE(A30246,""en"",""pt"")"),"potenciais problemas ao baixar fotos diretamente da câmera para o Mac (OS X).")</f>
        <v>potenciais problemas ao baixar fotos diretamente da câmera para o Mac (OS X).</v>
      </c>
      <c r="B30246" s="3">
        <v>0</v>
      </c>
    </row>
    <row r="30247" ht="15.75" customHeight="1" spans="1:2">
      <c r="A30247" s="3" t="str">
        <f>IFERROR(__xludf.DUMMYFUNCTION("GOOGLETRANSLATE(A30247,""en"",""pt"")"),"ruído em situações de pouca luz, não se lembra de configuração do flash, pobre de garantia e atendimento ao cliente")</f>
        <v>ruído em situações de pouca luz, não se lembra de configuração do flash, pobre de garantia e atendimento ao cliente</v>
      </c>
      <c r="B30247" s="3">
        <v>0</v>
      </c>
    </row>
    <row r="30248" ht="15.75" customHeight="1" spans="1:2">
      <c r="A30248" s="3" t="str">
        <f>IFERROR(__xludf.DUMMYFUNCTION("GOOGLETRANSLATE(A30248,""en"",""pt"")"),"usa pilhas rápido, com pouca luz é crummy")</f>
        <v>usa pilhas rápido, com pouca luz é crummy</v>
      </c>
      <c r="B30248" s="3">
        <v>0</v>
      </c>
    </row>
    <row r="30249" ht="15.75" customHeight="1" spans="1:2">
      <c r="A30249" s="3" t="str">
        <f>IFERROR(__xludf.DUMMYFUNCTION("GOOGLETRANSLATE(A30249,""en"",""pt"")"),"No visor óptico. 4MB memory stick é muito pequeno.")</f>
        <v>No visor óptico. 4MB memory stick é muito pequeno.</v>
      </c>
      <c r="B30249" s="3">
        <v>0</v>
      </c>
    </row>
    <row r="30250" ht="15.75" customHeight="1" spans="1:2">
      <c r="A30250" s="3" t="str">
        <f>IFERROR(__xludf.DUMMYFUNCTION("GOOGLETRANSLATE(A30250,""en"",""pt"")"),"Nenhum")</f>
        <v>Nenhum</v>
      </c>
      <c r="B30250" s="3">
        <v>0</v>
      </c>
    </row>
    <row r="30251" ht="15.75" customHeight="1" spans="1:2">
      <c r="A30251" s="3" t="str">
        <f>IFERROR(__xludf.DUMMYFUNCTION("GOOGLETRANSLATE(A30251,""en"",""pt"")"),"Um pouco pesado para o bolso!")</f>
        <v>Um pouco pesado para o bolso!</v>
      </c>
      <c r="B30251" s="3">
        <v>0</v>
      </c>
    </row>
    <row r="30252" ht="15.75" customHeight="1" spans="1:2">
      <c r="A30252" s="3" t="str">
        <f>IFERROR(__xludf.DUMMYFUNCTION("GOOGLETRANSLATE(A30252,""en"",""pt"")"),"a falta de visor óptico, bateria caro e memory stick")</f>
        <v>a falta de visor óptico, bateria caro e memory stick</v>
      </c>
      <c r="B30252" s="3">
        <v>0</v>
      </c>
    </row>
    <row r="30253" ht="15.75" customHeight="1" spans="1:2">
      <c r="A30253" s="3" t="str">
        <f>IFERROR(__xludf.DUMMYFUNCTION("GOOGLETRANSLATE(A30253,""en"",""pt"")"),"memory stick para, nenhum modo de filme pequeno")</f>
        <v>memory stick para, nenhum modo de filme pequeno</v>
      </c>
      <c r="B30253" s="3">
        <v>0</v>
      </c>
    </row>
    <row r="30254" ht="15.75" customHeight="1" spans="1:2">
      <c r="A30254" s="3" t="str">
        <f>IFERROR(__xludf.DUMMYFUNCTION("GOOGLETRANSLATE(A30254,""en"",""pt"")"),"A câmara não foi feito para ser universal!")</f>
        <v>A câmara não foi feito para ser universal!</v>
      </c>
      <c r="B30254" s="3">
        <v>0</v>
      </c>
    </row>
    <row r="30255" ht="15.75" customHeight="1" spans="1:2">
      <c r="A30255" s="3" t="str">
        <f>IFERROR(__xludf.DUMMYFUNCTION("GOOGLETRANSLATE(A30255,""en"",""pt"")"),"Só vem com um cartão de memória de 4 MB")</f>
        <v>Só vem com um cartão de memória de 4 MB</v>
      </c>
      <c r="B30255" s="3">
        <v>0</v>
      </c>
    </row>
    <row r="30256" ht="15.75" customHeight="1" spans="1:2">
      <c r="A30256" s="3" t="str">
        <f>IFERROR(__xludf.DUMMYFUNCTION("GOOGLETRANSLATE(A30256,""en"",""pt"")"),"zoom Limited, nem visor")</f>
        <v>zoom Limited, nem visor</v>
      </c>
      <c r="B30256" s="3">
        <v>0</v>
      </c>
    </row>
    <row r="30257" ht="15.75" customHeight="1" spans="1:2">
      <c r="A30257" s="3" t="str">
        <f>IFERROR(__xludf.DUMMYFUNCTION("GOOGLETRANSLATE(A30257,""en"",""pt"")"),"fotos sol brilhante, céu preto Lua fotos")</f>
        <v>fotos sol brilhante, céu preto Lua fotos</v>
      </c>
      <c r="B30257" s="3">
        <v>0</v>
      </c>
    </row>
    <row r="30258" ht="15.75" customHeight="1" spans="1:2">
      <c r="A30258" s="3" t="str">
        <f>IFERROR(__xludf.DUMMYFUNCTION("GOOGLETRANSLATE(A30258,""en"",""pt"")"),"exposição interior, Necessidades melhor manual para as configurações opcionais,")</f>
        <v>exposição interior, Necessidades melhor manual para as configurações opcionais,</v>
      </c>
      <c r="B30258" s="3">
        <v>0</v>
      </c>
    </row>
    <row r="30259" ht="15.75" customHeight="1" spans="1:2">
      <c r="A30259" s="3" t="str">
        <f>IFERROR(__xludf.DUMMYFUNCTION("GOOGLETRANSLATE(A30259,""en"",""pt"")"),"sem capacidades de vídeo - o preço diminui rapidamente")</f>
        <v>sem capacidades de vídeo - o preço diminui rapidamente</v>
      </c>
      <c r="B30259" s="3">
        <v>0</v>
      </c>
    </row>
    <row r="30260" ht="15.75" customHeight="1" spans="1:2">
      <c r="A30260" s="3" t="str">
        <f>IFERROR(__xludf.DUMMYFUNCTION("GOOGLETRANSLATE(A30260,""en"",""pt"")"),"Jovem não há nenhum!")</f>
        <v>Jovem não há nenhum!</v>
      </c>
      <c r="B30260" s="3">
        <v>0</v>
      </c>
    </row>
    <row r="30261" ht="15.75" customHeight="1" spans="1:2">
      <c r="A30261" s="3" t="str">
        <f>IFERROR(__xludf.DUMMYFUNCTION("GOOGLETRANSLATE(A30261,""en"",""pt"")"),"memory stick menos conveniente do que floppys, e tem de armazenamento limitado")</f>
        <v>memory stick menos conveniente do que floppys, e tem de armazenamento limitado</v>
      </c>
      <c r="B30261" s="3">
        <v>0</v>
      </c>
    </row>
    <row r="30262" ht="15.75" customHeight="1" spans="1:2">
      <c r="A30262" s="3" t="str">
        <f>IFERROR(__xludf.DUMMYFUNCTION("GOOGLETRANSLATE(A30262,""en"",""pt"")"),"4 MB Memory Stick é inadequada &amp; amp; # 13; &amp; amp; # 10; A falta de visor óptico sob luz solar intensa.")</f>
        <v>4 MB Memory Stick é inadequada &amp; amp; # 13; &amp; amp; # 10; A falta de visor óptico sob luz solar intensa.</v>
      </c>
      <c r="B30262" s="3">
        <v>0</v>
      </c>
    </row>
    <row r="30263" ht="15.75" customHeight="1" spans="1:2">
      <c r="A30263" s="3" t="str">
        <f>IFERROR(__xludf.DUMMYFUNCTION("GOOGLETRANSLATE(A30263,""en"",""pt"")"),"Sem View Finder, Zoom poderia ser melhor, 1 Segunda Operação Delay On Shutter")</f>
        <v>Sem View Finder, Zoom poderia ser melhor, 1 Segunda Operação Delay On Shutter</v>
      </c>
      <c r="B30263" s="3">
        <v>0</v>
      </c>
    </row>
    <row r="30264" ht="15.75" customHeight="1" spans="1:2">
      <c r="A30264" s="3" t="str">
        <f>IFERROR(__xludf.DUMMYFUNCTION("GOOGLETRANSLATE(A30264,""en"",""pt"")"),"Nenhum")</f>
        <v>Nenhum</v>
      </c>
      <c r="B30264" s="3">
        <v>0</v>
      </c>
    </row>
    <row r="30265" ht="15.75" customHeight="1" spans="1:2">
      <c r="A30265" s="3" t="str">
        <f>IFERROR(__xludf.DUMMYFUNCTION("GOOGLETRANSLATE(A30265,""en"",""pt"")"),"cartão de memória eles dão é muito pequeno para começar")</f>
        <v>cartão de memória eles dão é muito pequeno para começar</v>
      </c>
      <c r="B30265" s="3">
        <v>0</v>
      </c>
    </row>
    <row r="30266" ht="15.75" customHeight="1" spans="1:2">
      <c r="A30266" s="3" t="str">
        <f>IFERROR(__xludf.DUMMYFUNCTION("GOOGLETRANSLATE(A30266,""en"",""pt"")"),"será metade do preço em um ano mais provável")</f>
        <v>será metade do preço em um ano mais provável</v>
      </c>
      <c r="B30266" s="3">
        <v>0</v>
      </c>
    </row>
    <row r="30267" ht="15.75" customHeight="1" spans="1:2">
      <c r="A30267" s="3" t="str">
        <f>IFERROR(__xludf.DUMMYFUNCTION("GOOGLETRANSLATE(A30267,""en"",""pt"")"),"A tela LCD não inclinar")</f>
        <v>A tela LCD não inclinar</v>
      </c>
      <c r="B30267" s="3">
        <v>0</v>
      </c>
    </row>
    <row r="30268" ht="15.75" customHeight="1" spans="1:2">
      <c r="A30268" s="3" t="str">
        <f>IFERROR(__xludf.DUMMYFUNCTION("GOOGLETRANSLATE(A30268,""en"",""pt"")"),"Leva um pouco mais de tempo do que o habitual para tirar uma foto e se acostumar a usar a câmera.")</f>
        <v>Leva um pouco mais de tempo do que o habitual para tirar uma foto e se acostumar a usar a câmera.</v>
      </c>
      <c r="B30268" s="3">
        <v>0</v>
      </c>
    </row>
    <row r="30269" ht="15.75" customHeight="1" spans="1:2">
      <c r="A30269" s="3" t="str">
        <f>IFERROR(__xludf.DUMMYFUNCTION("GOOGLETRANSLATE(A30269,""en"",""pt"")"),"tela LCD com pouca luz")</f>
        <v>tela LCD com pouca luz</v>
      </c>
      <c r="B30269" s="3">
        <v>0</v>
      </c>
    </row>
    <row r="30270" ht="15.75" customHeight="1" spans="1:2">
      <c r="A30270" s="3" t="str">
        <f>IFERROR(__xludf.DUMMYFUNCTION("GOOGLETRANSLATE(A30270,""en"",""pt"")"),"Eu gostaria que fosse mais fino.")</f>
        <v>Eu gostaria que fosse mais fino.</v>
      </c>
      <c r="B30270" s="3">
        <v>0</v>
      </c>
    </row>
    <row r="30271" ht="15.75" customHeight="1" spans="1:2">
      <c r="A30271" s="3" t="str">
        <f>IFERROR(__xludf.DUMMYFUNCTION("GOOGLETRANSLATE(A30271,""en"",""pt"")"),"impressão minúsculo no folheto de instruções")</f>
        <v>impressão minúsculo no folheto de instruções</v>
      </c>
      <c r="B30271" s="3">
        <v>0</v>
      </c>
    </row>
    <row r="30272" ht="15.75" customHeight="1" spans="1:2">
      <c r="A30272" s="3" t="str">
        <f>IFERROR(__xludf.DUMMYFUNCTION("GOOGLETRANSLATE(A30272,""en"",""pt"")"),"No visor, vem com apenas um cartão de memória de 4 MB")</f>
        <v>No visor, vem com apenas um cartão de memória de 4 MB</v>
      </c>
      <c r="B30272" s="3">
        <v>0</v>
      </c>
    </row>
    <row r="30273" ht="15.75" customHeight="1" spans="1:2">
      <c r="A30273" s="3" t="str">
        <f>IFERROR(__xludf.DUMMYFUNCTION("GOOGLETRANSLATE(A30273,""en"",""pt"")"),"No visor óptico, má colocação botão")</f>
        <v>No visor óptico, má colocação botão</v>
      </c>
      <c r="B30273" s="3">
        <v>0</v>
      </c>
    </row>
    <row r="30274" ht="15.75" customHeight="1" spans="1:2">
      <c r="A30274" s="3" t="str">
        <f>IFERROR(__xludf.DUMMYFUNCTION("GOOGLETRANSLATE(A30274,""en"",""pt"")"),"Nenhum")</f>
        <v>Nenhum</v>
      </c>
      <c r="B30274" s="3">
        <v>0</v>
      </c>
    </row>
    <row r="30275" ht="15.75" customHeight="1" spans="1:2">
      <c r="A30275" s="3" t="str">
        <f>IFERROR(__xludf.DUMMYFUNCTION("GOOGLETRANSLATE(A30275,""en"",""pt"")"),"apenas 1,3 pixels")</f>
        <v>apenas 1,3 pixels</v>
      </c>
      <c r="B30275" s="3">
        <v>0</v>
      </c>
    </row>
    <row r="30276" ht="15.75" customHeight="1" spans="1:2">
      <c r="A30276" s="3" t="str">
        <f>IFERROR(__xludf.DUMMYFUNCTION("GOOGLETRANSLATE(A30276,""en"",""pt"")"),"O botão do obturador de 1 segundo de atraso, Conexão minúsculo em Câmera")</f>
        <v>O botão do obturador de 1 segundo de atraso, Conexão minúsculo em Câmera</v>
      </c>
      <c r="B30276" s="3">
        <v>0</v>
      </c>
    </row>
    <row r="30277" ht="15.75" customHeight="1" spans="1:2">
      <c r="A30277" s="3" t="str">
        <f>IFERROR(__xludf.DUMMYFUNCTION("GOOGLETRANSLATE(A30277,""en"",""pt"")"),"Tomando uma câmera de US $ 500 comigo me faz uma nervouse pouco ...")</f>
        <v>Tomando uma câmera de US $ 500 comigo me faz uma nervouse pouco ...</v>
      </c>
      <c r="B30277" s="3">
        <v>0</v>
      </c>
    </row>
    <row r="30278" ht="15.75" customHeight="1" spans="1:2">
      <c r="A30278" s="3" t="str">
        <f>IFERROR(__xludf.DUMMYFUNCTION("GOOGLETRANSLATE(A30278,""en"",""pt"")"),"visibilidade LCD na luz do sol brilhante")</f>
        <v>visibilidade LCD na luz do sol brilhante</v>
      </c>
      <c r="B30278" s="3">
        <v>0</v>
      </c>
    </row>
    <row r="30279" ht="15.75" customHeight="1" spans="1:2">
      <c r="A30279" s="3" t="str">
        <f>IFERROR(__xludf.DUMMYFUNCTION("GOOGLETRANSLATE(A30279,""en"",""pt"")"),"apenas 4 meg de chip com câmara; não a mais alta resolução")</f>
        <v>apenas 4 meg de chip com câmara; não a mais alta resolução</v>
      </c>
      <c r="B30279" s="3">
        <v>0</v>
      </c>
    </row>
    <row r="30280" ht="15.75" customHeight="1" spans="1:2">
      <c r="A30280" s="3" t="str">
        <f>IFERROR(__xludf.DUMMYFUNCTION("GOOGLETRANSLATE(A30280,""en"",""pt"")"),"A qualidade da imagem em condições de pouca luz")</f>
        <v>A qualidade da imagem em condições de pouca luz</v>
      </c>
      <c r="B30280" s="3">
        <v>0</v>
      </c>
    </row>
    <row r="30281" ht="15.75" customHeight="1" spans="1:2">
      <c r="A30281" s="3" t="str">
        <f>IFERROR(__xludf.DUMMYFUNCTION("GOOGLETRANSLATE(A30281,""en"",""pt"")"),"resolução, se você está procurando qualidade profissional, custa cartão de memória, flash automático")</f>
        <v>resolução, se você está procurando qualidade profissional, custa cartão de memória, flash automático</v>
      </c>
      <c r="B30281" s="3">
        <v>0</v>
      </c>
    </row>
    <row r="30282" ht="15.75" customHeight="1" spans="1:2">
      <c r="A30282" s="3" t="s">
        <v>177</v>
      </c>
      <c r="B30282" s="3">
        <v>0</v>
      </c>
    </row>
    <row r="30283" ht="15.75" customHeight="1" spans="1:2">
      <c r="A30283" s="3" t="str">
        <f>IFERROR(__xludf.DUMMYFUNCTION("GOOGLETRANSLATE(A30283,""en"",""pt"")"),"Nenhum")</f>
        <v>Nenhum</v>
      </c>
      <c r="B30283" s="3">
        <v>0</v>
      </c>
    </row>
    <row r="30284" ht="15.75" customHeight="1" spans="1:2">
      <c r="A30284" s="3" t="str">
        <f>IFERROR(__xludf.DUMMYFUNCTION("GOOGLETRANSLATE(A30284,""en"",""pt"")")," Pequeno 4MB Memory Stick, Pobre qualidade de imagem, No visor")</f>
        <v> Pequeno 4MB Memory Stick, Pobre qualidade de imagem, No visor</v>
      </c>
      <c r="B30284" s="3">
        <v>0</v>
      </c>
    </row>
    <row r="30285" ht="15.75" customHeight="1" spans="1:2">
      <c r="A30285" s="3" t="str">
        <f>IFERROR(__xludf.DUMMYFUNCTION("GOOGLETRANSLATE(A30285,""en"",""pt"")"),"só pode usar lcd para tirar fotos, nem visor")</f>
        <v>só pode usar lcd para tirar fotos, nem visor</v>
      </c>
      <c r="B30285" s="3">
        <v>0</v>
      </c>
    </row>
    <row r="30286" ht="15.75" customHeight="1" spans="1:2">
      <c r="A30286" s="3" t="str">
        <f>IFERROR(__xludf.DUMMYFUNCTION("GOOGLETRANSLATE(A30286,""en"",""pt"")"),"Pequena fábrica instalada mídia Vara, Perguntando preço elevado")</f>
        <v>Pequena fábrica instalada mídia Vara, Perguntando preço elevado</v>
      </c>
      <c r="B30286" s="3">
        <v>0</v>
      </c>
    </row>
    <row r="30287" ht="15.75" customHeight="1" spans="1:2">
      <c r="A30287" s="3" t="str">
        <f>IFERROR(__xludf.DUMMYFUNCTION("GOOGLETRANSLATE(A30287,""en"",""pt"")"),"apenas uma memory stick 4mb incluído")</f>
        <v>apenas uma memory stick 4mb incluído</v>
      </c>
      <c r="B30287" s="3">
        <v>0</v>
      </c>
    </row>
    <row r="30288" ht="15.75" customHeight="1" spans="1:2">
      <c r="A30288" s="3" t="str">
        <f>IFERROR(__xludf.DUMMYFUNCTION("GOOGLETRANSLATE(A30288,""en"",""pt"")"),"a falta de visor, difícil de tirar fotos de objetos em movimento")</f>
        <v>a falta de visor, difícil de tirar fotos de objetos em movimento</v>
      </c>
      <c r="B30288" s="3">
        <v>0</v>
      </c>
    </row>
    <row r="30289" ht="15.75" customHeight="1" spans="1:2">
      <c r="A30289" s="3" t="str">
        <f>IFERROR(__xludf.DUMMYFUNCTION("GOOGLETRANSLATE(A30289,""en"",""pt"")"),"memory stick (filme digital) incluído com a câmera é de apenas 4 mb, muito pequeno")</f>
        <v>memory stick (filme digital) incluído com a câmera é de apenas 4 mb, muito pequeno</v>
      </c>
      <c r="B30289" s="3">
        <v>0</v>
      </c>
    </row>
    <row r="30290" ht="15.75" customHeight="1" spans="1:2">
      <c r="A30290" s="3" t="str">
        <f>IFERROR(__xludf.DUMMYFUNCTION("GOOGLETRANSLATE(A30290,""en"",""pt"")"),"Não muitos recursos visuais, Need memory sticks maior capacidade para oi-res tiros")</f>
        <v>Não muitos recursos visuais, Need memory sticks maior capacidade para oi-res tiros</v>
      </c>
      <c r="B30290" s="3">
        <v>0</v>
      </c>
    </row>
    <row r="30291" ht="15.75" customHeight="1" spans="1:2">
      <c r="A30291" s="3" t="str">
        <f>IFERROR(__xludf.DUMMYFUNCTION("GOOGLETRANSLATE(A30291,""en"",""pt"")"),"não é o mais alto na resolução da imagem.")</f>
        <v>não é o mais alto na resolução da imagem.</v>
      </c>
      <c r="B30291" s="3">
        <v>0</v>
      </c>
    </row>
    <row r="30292" ht="15.75" customHeight="1" spans="1:2">
      <c r="A30292" s="3" t="str">
        <f>IFERROR(__xludf.DUMMYFUNCTION("GOOGLETRANSLATE(A30292,""en"",""pt"")"),"4MB ficar muito pequena - vai precisar de mais. imagens flash cinza para fora um pouco.")</f>
        <v>4MB ficar muito pequena - vai precisar de mais. imagens flash cinza para fora um pouco.</v>
      </c>
      <c r="B30292" s="3">
        <v>0</v>
      </c>
    </row>
    <row r="30293" ht="15.75" customHeight="1" spans="1:2">
      <c r="A30293" s="3" t="str">
        <f>IFERROR(__xludf.DUMMYFUNCTION("GOOGLETRANSLATE(A30293,""en"",""pt"")"),"Ligeiramente forma estranha, nem visor (para além de LCD), míseros memória de 4MB.")</f>
        <v>Ligeiramente forma estranha, nem visor (para além de LCD), míseros memória de 4MB.</v>
      </c>
      <c r="B30293" s="3">
        <v>0</v>
      </c>
    </row>
    <row r="30294" ht="15.75" customHeight="1" spans="1:2">
      <c r="A30294" s="3" t="str">
        <f>IFERROR(__xludf.DUMMYFUNCTION("GOOGLETRANSLATE(A30294,""en"",""pt"")"),"Memory Stick da Sony não é amplamente utilizado por outros fabricantes")</f>
        <v>Memory Stick da Sony não é amplamente utilizado por outros fabricantes</v>
      </c>
      <c r="B30294" s="3">
        <v>0</v>
      </c>
    </row>
    <row r="30295" ht="15.75" customHeight="1" spans="1:2">
      <c r="A30295" s="3" t="str">
        <f>IFERROR(__xludf.DUMMYFUNCTION("GOOGLETRANSLATE(A30295,""en"",""pt"")"),"Um pouco caro, cartões de memória encher-se rapidamente")</f>
        <v>Um pouco caro, cartões de memória encher-se rapidamente</v>
      </c>
      <c r="B30295" s="3">
        <v>0</v>
      </c>
    </row>
    <row r="30296" ht="15.75" customHeight="1" spans="1:2">
      <c r="A30296" s="3" t="str">
        <f>IFERROR(__xludf.DUMMYFUNCTION("GOOGLETRANSLATE(A30296,""en"",""pt"")"),"caro, muito boa resolução para a pessoa média")</f>
        <v>caro, muito boa resolução para a pessoa média</v>
      </c>
      <c r="B30296" s="3">
        <v>0</v>
      </c>
    </row>
    <row r="30297" ht="15.75" customHeight="1" spans="1:2">
      <c r="A30297" s="3" t="str">
        <f>IFERROR(__xludf.DUMMYFUNCTION("GOOGLETRANSLATE(A30297,""en"",""pt"")"),"não encontrei nenhuma")</f>
        <v>não encontrei nenhuma</v>
      </c>
      <c r="B30297" s="3">
        <v>0</v>
      </c>
    </row>
    <row r="30298" ht="15.75" customHeight="1" spans="1:2">
      <c r="A30298" s="3" t="str">
        <f>IFERROR(__xludf.DUMMYFUNCTION("GOOGLETRANSLATE(A30298,""en"",""pt"")"),"um pouco caro, juntamente com as placas de vídeo.")</f>
        <v>um pouco caro, juntamente com as placas de vídeo.</v>
      </c>
      <c r="B30298" s="3">
        <v>0</v>
      </c>
    </row>
    <row r="30299" ht="15.75" customHeight="1" spans="1:2">
      <c r="A30299" s="3" t="str">
        <f>IFERROR(__xludf.DUMMYFUNCTION("GOOGLETRANSLATE(A30299,""en"",""pt"")"),"4 memory stick mb que vem com ele deve ser maior")</f>
        <v>4 memory stick mb que vem com ele deve ser maior</v>
      </c>
      <c r="B30299" s="3">
        <v>0</v>
      </c>
    </row>
    <row r="30300" ht="15.75" customHeight="1" spans="1:2">
      <c r="A30300" s="3" t="str">
        <f>IFERROR(__xludf.DUMMYFUNCTION("GOOGLETRANSLATE(A30300,""en"",""pt"")"),"adaptador sem AC com este pacote!")</f>
        <v>adaptador sem AC com este pacote!</v>
      </c>
      <c r="B30300" s="3">
        <v>0</v>
      </c>
    </row>
    <row r="30301" ht="15.75" customHeight="1" spans="1:2">
      <c r="A30301" s="3" t="str">
        <f>IFERROR(__xludf.DUMMYFUNCTION("GOOGLETRANSLATE(A30301,""en"",""pt"")"),"Não view finder. Será que a tela móvel resistir ao teste do tempo.")</f>
        <v>Não view finder. Será que a tela móvel resistir ao teste do tempo.</v>
      </c>
      <c r="B30301" s="3">
        <v>0</v>
      </c>
    </row>
    <row r="30302" ht="15.75" customHeight="1" spans="1:2">
      <c r="A30302" s="3" t="str">
        <f>IFERROR(__xludf.DUMMYFUNCTION("GOOGLETRANSLATE(A30302,""en"",""pt"")"),"sem vídeo este é apenas como a DSC-S30, mas US $ 100,00 mais")</f>
        <v>sem vídeo este é apenas como a DSC-S30, mas US $ 100,00 mais</v>
      </c>
      <c r="B30302" s="3">
        <v>0</v>
      </c>
    </row>
    <row r="30303" ht="15.75" customHeight="1" spans="1:2">
      <c r="A30303" s="3" t="str">
        <f>IFERROR(__xludf.DUMMYFUNCTION("GOOGLETRANSLATE(A30303,""en"",""pt"")"),"ecrã LCD não é fácil de limpar")</f>
        <v>ecrã LCD não é fácil de limpar</v>
      </c>
      <c r="B30303" s="3">
        <v>0</v>
      </c>
    </row>
    <row r="30304" ht="15.75" customHeight="1" spans="1:2">
      <c r="A30304" s="3" t="str">
        <f>IFERROR(__xludf.DUMMYFUNCTION("GOOGLETRANSLATE(A30304,""en"",""pt"")"),"Vem com apenas 4 MB Memory Stick, No visor (somente um amplificador 2 &amp;; quot; ecrã LCD)")</f>
        <v>Vem com apenas 4 MB Memory Stick, No visor (somente um amplificador 2 &amp;; quot; ecrã LCD)</v>
      </c>
      <c r="B30304" s="3">
        <v>0</v>
      </c>
    </row>
    <row r="30305" ht="15.75" customHeight="1" spans="1:2">
      <c r="A30305" s="3" t="str">
        <f>IFERROR(__xludf.DUMMYFUNCTION("GOOGLETRANSLATE(A30305,""en"",""pt"")"),"preço / sem flash durante o modo de filme / stick 4mb")</f>
        <v>preço / sem flash durante o modo de filme / stick 4mb</v>
      </c>
      <c r="B30305" s="3">
        <v>0</v>
      </c>
    </row>
    <row r="30306" ht="15.75" customHeight="1" spans="1:2">
      <c r="A30306" s="3" t="str">
        <f>IFERROR(__xludf.DUMMYFUNCTION("GOOGLETRANSLATE(A30306,""en"",""pt"")"),"Pequeno Memory Stick padrão")</f>
        <v>Pequeno Memory Stick padrão</v>
      </c>
      <c r="B30306" s="3">
        <v>0</v>
      </c>
    </row>
    <row r="30307" ht="15.75" customHeight="1" spans="1:2">
      <c r="A30307" s="3" t="str">
        <f>IFERROR(__xludf.DUMMYFUNCTION("GOOGLETRANSLATE(A30307,""en"",""pt"")"),"No visor óptico ...")</f>
        <v>No visor óptico ...</v>
      </c>
      <c r="B30307" s="3">
        <v>0</v>
      </c>
    </row>
    <row r="30308" ht="15.75" customHeight="1" spans="1:2">
      <c r="A30308" s="3" t="str">
        <f>IFERROR(__xludf.DUMMYFUNCTION("GOOGLETRANSLATE(A30308,""en"",""pt"")"),"A qualidade da imagem &amp; amp; # 13; &amp; amp; # 10; velocidade do obturador lenta")</f>
        <v>A qualidade da imagem &amp; amp; # 13; &amp; amp; # 10; velocidade do obturador lenta</v>
      </c>
      <c r="B30308" s="3">
        <v>0</v>
      </c>
    </row>
    <row r="30309" ht="15.75" customHeight="1" spans="1:2">
      <c r="A30309" s="3" t="str">
        <f>IFERROR(__xludf.DUMMYFUNCTION("GOOGLETRANSLATE(A30309,""en"",""pt"")"),"Pobre flash, assunto sempre acabam escuro, caro add ons.")</f>
        <v>Pobre flash, assunto sempre acabam escuro, caro add ons.</v>
      </c>
      <c r="B30309" s="3">
        <v>0</v>
      </c>
    </row>
    <row r="30310" ht="15.75" customHeight="1" spans="1:2">
      <c r="A30310" s="3" t="str">
        <f>IFERROR(__xludf.DUMMYFUNCTION("GOOGLETRANSLATE(A30310,""en"",""pt"")"),"Apenas 4MB de memória &amp; amp; # 13; &amp; amp; # 10; Tela de Lcd Hard to Clean &amp; amp; # 13; &amp; amp; # 10; Obturador Lento Velocidade")</f>
        <v>Apenas 4MB de memória &amp; amp; # 13; &amp; amp; # 10; Tela de Lcd Hard to Clean &amp; amp; # 13; &amp; amp; # 10; Obturador Lento Velocidade</v>
      </c>
      <c r="B30310" s="3">
        <v>0</v>
      </c>
    </row>
    <row r="30311" ht="15.75" customHeight="1" spans="1:2">
      <c r="A30311" s="3" t="str">
        <f>IFERROR(__xludf.DUMMYFUNCTION("GOOGLETRANSLATE(A30311,""en"",""pt"")"),"4 cartão mb muito pequeno.")</f>
        <v>4 cartão mb muito pequeno.</v>
      </c>
      <c r="B30311" s="3">
        <v>0</v>
      </c>
    </row>
    <row r="30312" ht="15.75" customHeight="1" spans="1:2">
      <c r="A30312" s="3" t="str">
        <f>IFERROR(__xludf.DUMMYFUNCTION("GOOGLETRANSLATE(A30312,""en"",""pt"")"),"Caro &amp; amp; # 13; &amp; amp; # 10; pequena quantidade de memória incluído")</f>
        <v>Caro &amp; amp; # 13; &amp; amp; # 10; pequena quantidade de memória incluído</v>
      </c>
      <c r="B30312" s="3">
        <v>0</v>
      </c>
    </row>
    <row r="30313" ht="15.75" customHeight="1" spans="1:2">
      <c r="A30313" s="3" t="str">
        <f>IFERROR(__xludf.DUMMYFUNCTION("GOOGLETRANSLATE(A30313,""en"",""pt"")"),"Eu odeio onde a lente é porque eu sempre colocar o dedo sobre ele!")</f>
        <v>Eu odeio onde a lente é porque eu sempre colocar o dedo sobre ele!</v>
      </c>
      <c r="B30313" s="3">
        <v>0</v>
      </c>
    </row>
    <row r="30314" ht="15.75" customHeight="1" spans="1:2">
      <c r="A30314" s="3" t="str">
        <f>IFERROR(__xludf.DUMMYFUNCTION("GOOGLETRANSLATE(A30314,""en"",""pt"")"),"Grande (não para shirtpocket), a tecnologia Sony Memory Stick ($$$)")</f>
        <v>Grande (não para shirtpocket), a tecnologia Sony Memory Stick ($$$)</v>
      </c>
      <c r="B30314" s="3">
        <v>0</v>
      </c>
    </row>
    <row r="30315" ht="15.75" customHeight="1" spans="1:2">
      <c r="A30315" s="3" t="str">
        <f>IFERROR(__xludf.DUMMYFUNCTION("GOOGLETRANSLATE(A30315,""en"",""pt"")"),"nem visor")</f>
        <v>nem visor</v>
      </c>
      <c r="B30315" s="3">
        <v>0</v>
      </c>
    </row>
    <row r="30316" ht="15.75" customHeight="1" spans="1:2">
      <c r="A30316" s="3" t="str">
        <f>IFERROR(__xludf.DUMMYFUNCTION("GOOGLETRANSLATE(A30316,""en"",""pt"")"),"Muito pesado, não é realmente feito para caber em um piquete, bateria drena rapidamente.")</f>
        <v>Muito pesado, não é realmente feito para caber em um piquete, bateria drena rapidamente.</v>
      </c>
      <c r="B30316" s="3">
        <v>0</v>
      </c>
    </row>
    <row r="30317" ht="15.75" customHeight="1" spans="1:2">
      <c r="A30317" s="3" t="str">
        <f>IFERROR(__xludf.DUMMYFUNCTION("GOOGLETRANSLATE(A30317,""en"",""pt"")"),"Não é compatível com Windows 2000, cartão de memória incluído é muito pequeno")</f>
        <v>Não é compatível com Windows 2000, cartão de memória incluído é muito pequeno</v>
      </c>
      <c r="B30317" s="3">
        <v>0</v>
      </c>
    </row>
    <row r="30318" ht="15.75" customHeight="1" spans="1:2">
      <c r="A30318" s="3" t="str">
        <f>IFERROR(__xludf.DUMMYFUNCTION("GOOGLETRANSLATE(A30318,""en"",""pt"")"),"No visor óptico - mas que é necessário. site da Sony")</f>
        <v>No visor óptico - mas que é necessário. site da Sony</v>
      </c>
      <c r="B30318" s="3">
        <v>0</v>
      </c>
    </row>
    <row r="30319" ht="15.75" customHeight="1" spans="1:2">
      <c r="A30319" s="3" t="str">
        <f>IFERROR(__xludf.DUMMYFUNCTION("GOOGLETRANSLATE(A30319,""en"",""pt"")"),"tempo de ativação do obturador lento, problemas de qualidade accesory")</f>
        <v>tempo de ativação do obturador lento, problemas de qualidade accesory</v>
      </c>
      <c r="B30319" s="3">
        <v>0</v>
      </c>
    </row>
    <row r="30320" ht="15.75" customHeight="1" spans="1:2">
      <c r="A30320" s="3" t="str">
        <f>IFERROR(__xludf.DUMMYFUNCTION("GOOGLETRANSLATE(A30320,""en"",""pt"")"),"1. A resolução não é tão bom quanto as câmeras 3+ mega pixels disponíveis hoje. 2. O preço não é suficiente competitiva")</f>
        <v>1. A resolução não é tão bom quanto as câmeras 3+ mega pixels disponíveis hoje. 2. O preço não é suficiente competitiva</v>
      </c>
      <c r="B30320" s="3">
        <v>0</v>
      </c>
    </row>
    <row r="30321" ht="15.75" customHeight="1" spans="1:2">
      <c r="A30321" s="3" t="str">
        <f>IFERROR(__xludf.DUMMYFUNCTION("GOOGLETRANSLATE(A30321,""en"",""pt"")"),"maior cartão de memória necessária imediatamente")</f>
        <v>maior cartão de memória necessária imediatamente</v>
      </c>
      <c r="B30321" s="3">
        <v>0</v>
      </c>
    </row>
    <row r="30322" ht="15.75" customHeight="1" spans="1:2">
      <c r="A30322" s="3" t="str">
        <f>IFERROR(__xludf.DUMMYFUNCTION("GOOGLETRANSLATE(A30322,""en"",""pt"")"),"Só vem com um memorystick 4MB. No visor Manual")</f>
        <v>Só vem com um memorystick 4MB. No visor Manual</v>
      </c>
      <c r="B30322" s="3">
        <v>0</v>
      </c>
    </row>
    <row r="30323" ht="15.75" customHeight="1" spans="1:2">
      <c r="A30323" s="3" t="str">
        <f>IFERROR(__xludf.DUMMYFUNCTION("GOOGLETRANSLATE(A30323,""en"",""pt"")"),"Caro, zoom fraco")</f>
        <v>Caro, zoom fraco</v>
      </c>
      <c r="B30323" s="3">
        <v>0</v>
      </c>
    </row>
    <row r="30324" ht="15.75" customHeight="1" spans="1:2">
      <c r="A30324" s="3" t="str">
        <f>IFERROR(__xludf.DUMMYFUNCTION("GOOGLETRANSLATE(A30324,""en"",""pt"")"),"nem visor, cartão de memória de 4 MB")</f>
        <v>nem visor, cartão de memória de 4 MB</v>
      </c>
      <c r="B30324" s="3">
        <v>0</v>
      </c>
    </row>
    <row r="30325" ht="15.75" customHeight="1" spans="1:2">
      <c r="A30325" s="3" t="str">
        <f>IFERROR(__xludf.DUMMYFUNCTION("GOOGLETRANSLATE(A30325,""en"",""pt"")"),"só vem com uma vara 4mg")</f>
        <v>só vem com uma vara 4mg</v>
      </c>
      <c r="B30325" s="3">
        <v>0</v>
      </c>
    </row>
    <row r="30326" ht="15.75" customHeight="1" spans="1:2">
      <c r="A30326" s="3" t="str">
        <f>IFERROR(__xludf.DUMMYFUNCTION("GOOGLETRANSLATE(A30326,""en"",""pt"")"),"cartão 4M.")</f>
        <v>cartão 4M.</v>
      </c>
      <c r="B30326" s="3">
        <v>0</v>
      </c>
    </row>
    <row r="30327" ht="15.75" customHeight="1" spans="1:2">
      <c r="A30327" s="3" t="str">
        <f>IFERROR(__xludf.DUMMYFUNCTION("GOOGLETRANSLATE(A30327,""en"",""pt"")"),"Digital Zoom distorce qualidade")</f>
        <v>Digital Zoom distorce qualidade</v>
      </c>
      <c r="B30327" s="3">
        <v>0</v>
      </c>
    </row>
    <row r="30328" ht="15.75" customHeight="1" spans="1:2">
      <c r="A30328" s="3" t="str">
        <f>IFERROR(__xludf.DUMMYFUNCTION("GOOGLETRANSLATE(A30328,""en"",""pt"")"),"Falta de maleta")</f>
        <v>Falta de maleta</v>
      </c>
      <c r="B30328" s="3">
        <v>0</v>
      </c>
    </row>
    <row r="30329" ht="15.75" customHeight="1" spans="1:2">
      <c r="A30329" s="3" t="str">
        <f>IFERROR(__xludf.DUMMYFUNCTION("GOOGLETRANSLATE(A30329,""en"",""pt"")"),"memory stick fornecido deve ser um 16 não mb um 4MB")</f>
        <v>memory stick fornecido deve ser um 16 não mb um 4MB</v>
      </c>
      <c r="B30329" s="3">
        <v>0</v>
      </c>
    </row>
    <row r="30330" ht="15.75" customHeight="1" spans="1:2">
      <c r="A30330" s="3" t="str">
        <f>IFERROR(__xludf.DUMMYFUNCTION("GOOGLETRANSLATE(A30330,""en"",""pt"")"),"preço mais elevado, vêm com muito pequeno memorystick")</f>
        <v>preço mais elevado, vêm com muito pequeno memorystick</v>
      </c>
      <c r="B30330" s="3">
        <v>0</v>
      </c>
    </row>
    <row r="30331" ht="15.75" customHeight="1" spans="1:2">
      <c r="A30331" s="3" t="str">
        <f>IFERROR(__xludf.DUMMYFUNCTION("GOOGLETRANSLATE(A30331,""en"",""pt"")"),"visor não óptico e NO LCD é muito grande no sol")</f>
        <v>visor não óptico e NO LCD é muito grande no sol</v>
      </c>
      <c r="B30331" s="3">
        <v>0</v>
      </c>
    </row>
    <row r="30332" ht="15.75" customHeight="1" spans="1:2">
      <c r="A30332" s="3" t="str">
        <f>IFERROR(__xludf.DUMMYFUNCTION("GOOGLETRANSLATE(A30332,""en"",""pt"")"),"4 Mb memory stick")</f>
        <v>4 Mb memory stick</v>
      </c>
      <c r="B30332" s="3">
        <v>0</v>
      </c>
    </row>
    <row r="30333" ht="15.75" customHeight="1" spans="1:2">
      <c r="A30333" s="3" t="str">
        <f>IFERROR(__xludf.DUMMYFUNCTION("GOOGLETRANSLATE(A30333,""en"",""pt"")"),"Pequeno arranque Memory Stick, nem visor física")</f>
        <v>Pequeno arranque Memory Stick, nem visor física</v>
      </c>
      <c r="B30333" s="3">
        <v>0</v>
      </c>
    </row>
    <row r="30334" ht="15.75" customHeight="1" spans="1:2">
      <c r="A30334" s="3" t="str">
        <f>IFERROR(__xludf.DUMMYFUNCTION("GOOGLETRANSLATE(A30334,""en"",""pt"")"),"tela dificuldade em ver na luz brilhante")</f>
        <v>tela dificuldade em ver na luz brilhante</v>
      </c>
      <c r="B30334" s="3">
        <v>0</v>
      </c>
    </row>
    <row r="30335" ht="15.75" customHeight="1" spans="1:2">
      <c r="A30335" s="3" t="str">
        <f>IFERROR(__xludf.DUMMYFUNCTION("GOOGLETRANSLATE(A30335,""en"",""pt"")"),"Low zoom; atrasar ao tirar fotos; caro")</f>
        <v>Low zoom; atrasar ao tirar fotos; caro</v>
      </c>
      <c r="B30335" s="3">
        <v>0</v>
      </c>
    </row>
    <row r="30336" ht="15.75" customHeight="1" spans="1:2">
      <c r="A30336" s="3" t="str">
        <f>IFERROR(__xludf.DUMMYFUNCTION("GOOGLETRANSLATE(A30336,""en"",""pt"")"),"Caro")</f>
        <v>Caro</v>
      </c>
      <c r="B30336" s="3">
        <v>0</v>
      </c>
    </row>
    <row r="30337" ht="15.75" customHeight="1" spans="1:2">
      <c r="A30337" s="3" t="str">
        <f>IFERROR(__xludf.DUMMYFUNCTION("GOOGLETRANSLATE(A30337,""en"",""pt"")"),"alta de preços, possibilidade de Sony tornando a proprietária memstick")</f>
        <v>alta de preços, possibilidade de Sony tornando a proprietária memstick</v>
      </c>
      <c r="B30337" s="3">
        <v>0</v>
      </c>
    </row>
    <row r="30338" ht="15.75" customHeight="1" spans="1:2">
      <c r="A30338" s="3" t="str">
        <f>IFERROR(__xludf.DUMMYFUNCTION("GOOGLETRANSLATE(A30338,""en"",""pt"")"),"projetar um pouco à moda antiga")</f>
        <v>projetar um pouco à moda antiga</v>
      </c>
      <c r="B30338" s="3">
        <v>0</v>
      </c>
    </row>
    <row r="30339" ht="15.75" customHeight="1" spans="1:2">
      <c r="A30339" s="3" t="str">
        <f>IFERROR(__xludf.DUMMYFUNCTION("GOOGLETRANSLATE(A30339,""en"",""pt"")"),"tipo de caro")</f>
        <v>tipo de caro</v>
      </c>
      <c r="B30339" s="3">
        <v>0</v>
      </c>
    </row>
    <row r="30340" ht="15.75" customHeight="1" spans="1:2">
      <c r="A30340" s="3" t="str">
        <f>IFERROR(__xludf.DUMMYFUNCTION("GOOGLETRANSLATE(A30340,""en"",""pt"")"),"alto custo, não confiável")</f>
        <v>alto custo, não confiável</v>
      </c>
      <c r="B30340" s="3">
        <v>0</v>
      </c>
    </row>
    <row r="30341" ht="15.75" customHeight="1" spans="1:2">
      <c r="A30341" s="3" t="str">
        <f>IFERROR(__xludf.DUMMYFUNCTION("GOOGLETRANSLATE(A30341,""en"",""pt"")"),"Nenhum ainda")</f>
        <v>Nenhum ainda</v>
      </c>
      <c r="B30341" s="3">
        <v>0</v>
      </c>
    </row>
    <row r="30342" ht="15.75" customHeight="1" spans="1:2">
      <c r="A30342" s="3" t="str">
        <f>IFERROR(__xludf.DUMMYFUNCTION("GOOGLETRANSLATE(A30342,""en"",""pt"")"),"pequeno cartão de memória incluído, assim você terá de comprar mais")</f>
        <v>pequeno cartão de memória incluído, assim você terá de comprar mais</v>
      </c>
      <c r="B30342" s="3">
        <v>0</v>
      </c>
    </row>
    <row r="30343" ht="15.75" customHeight="1" spans="1:2">
      <c r="A30343" s="3" t="str">
        <f>IFERROR(__xludf.DUMMYFUNCTION("GOOGLETRANSLATE(A30343,""en"",""pt"")"),"Nenhum")</f>
        <v>Nenhum</v>
      </c>
      <c r="B30343" s="3">
        <v>0</v>
      </c>
    </row>
    <row r="30344" ht="15.75" customHeight="1" spans="1:2">
      <c r="A30344" s="3" t="str">
        <f>IFERROR(__xludf.DUMMYFUNCTION("GOOGLETRANSLATE(A30344,""en"",""pt"")"),"nem visor == inutilizável")</f>
        <v>nem visor == inutilizável</v>
      </c>
      <c r="B30344" s="3">
        <v>0</v>
      </c>
    </row>
    <row r="30345" ht="15.75" customHeight="1" spans="1:2">
      <c r="A30345" s="3" t="str">
        <f>IFERROR(__xludf.DUMMYFUNCTION("GOOGLETRANSLATE(A30345,""en"",""pt"")"),"Programas")</f>
        <v>Programas</v>
      </c>
      <c r="B30345" s="3">
        <v>0</v>
      </c>
    </row>
    <row r="30346" ht="15.75" customHeight="1" spans="1:2">
      <c r="A30346" s="3" t="str">
        <f>IFERROR(__xludf.DUMMYFUNCTION("GOOGLETRANSLATE(A30346,""en"",""pt"")"),"A qualidade da imagem não é tão boa como o meu &amp; amp; # 13; &amp; amp; # 10; do companheiro de quarto Canon Elph S100.")</f>
        <v>A qualidade da imagem não é tão boa como o meu &amp; amp; # 13; &amp; amp; # 10; do companheiro de quarto Canon Elph S100.</v>
      </c>
      <c r="B30346" s="3">
        <v>0</v>
      </c>
    </row>
    <row r="30347" ht="15.75" customHeight="1" spans="1:2">
      <c r="A30347" s="3" t="str">
        <f>IFERROR(__xludf.DUMMYFUNCTION("GOOGLETRANSLATE(A30347,""en"",""pt"")"),"memory stick = Muito pequeno, atualizar immeadiately")</f>
        <v>memory stick = Muito pequeno, atualizar immeadiately</v>
      </c>
      <c r="B30347" s="3">
        <v>0</v>
      </c>
    </row>
    <row r="30348" ht="15.75" customHeight="1" spans="1:2">
      <c r="A30348" s="3" t="str">
        <f>IFERROR(__xludf.DUMMYFUNCTION("GOOGLETRANSLATE(A30348,""en"",""pt"")"),"Desejamos que poderia ter um MPEG mais de 60 segundos.")</f>
        <v>Desejamos que poderia ter um MPEG mais de 60 segundos.</v>
      </c>
      <c r="B30348" s="3">
        <v>0</v>
      </c>
    </row>
    <row r="30349" ht="15.75" customHeight="1" spans="1:2">
      <c r="A30349" s="3" t="str">
        <f>IFERROR(__xludf.DUMMYFUNCTION("GOOGLETRANSLATE(A30349,""en"",""pt"")"),"LCD visor difícil de usar durante o dia. Pequeno Atraso Antes fotografia é tirada.")</f>
        <v>LCD visor difícil de usar durante o dia. Pequeno Atraso Antes fotografia é tirada.</v>
      </c>
      <c r="B30349" s="3">
        <v>0</v>
      </c>
    </row>
    <row r="30350" ht="15.75" customHeight="1" spans="1:2">
      <c r="A30350" s="3" t="str">
        <f>IFERROR(__xludf.DUMMYFUNCTION("GOOGLETRANSLATE(A30350,""en"",""pt"")"),"No Visor Ótico")</f>
        <v>No Visor Ótico</v>
      </c>
      <c r="B30350" s="3">
        <v>0</v>
      </c>
    </row>
    <row r="30351" ht="15.75" customHeight="1" spans="1:2">
      <c r="A30351" s="3" t="str">
        <f>IFERROR(__xludf.DUMMYFUNCTION("GOOGLETRANSLATE(A30351,""en"",""pt"")"),"4 Mb memory stick é muito pequeno")</f>
        <v>4 Mb memory stick é muito pequeno</v>
      </c>
      <c r="B30351" s="3">
        <v>0</v>
      </c>
    </row>
    <row r="30352" ht="15.75" customHeight="1" spans="1:2">
      <c r="A30352" s="3" t="str">
        <f>IFERROR(__xludf.DUMMYFUNCTION("GOOGLETRANSLATE(A30352,""en"",""pt"")"),"No visor, caro")</f>
        <v>No visor, caro</v>
      </c>
      <c r="B30352" s="3">
        <v>0</v>
      </c>
    </row>
    <row r="30353" ht="15.75" customHeight="1" spans="1:2">
      <c r="A30353" s="3" t="str">
        <f>IFERROR(__xludf.DUMMYFUNCTION("GOOGLETRANSLATE(A30353,""en"",""pt"")"),"Não é possível definir temporizador para tirar 60 segundo filme, deve manter pressionado o botão para mais than15seconds.")</f>
        <v>Não é possível definir temporizador para tirar 60 segundo filme, deve manter pressionado o botão para mais than15seconds.</v>
      </c>
      <c r="B30353" s="3">
        <v>0</v>
      </c>
    </row>
    <row r="30354" ht="15.75" customHeight="1" spans="1:2">
      <c r="A30354" s="3" t="str">
        <f>IFERROR(__xludf.DUMMYFUNCTION("GOOGLETRANSLATE(A30354,""en"",""pt"")"),"Não é possível definir temporizador para tirar 60 segundo filme, deve manter pressionado o botão para mais than15seconds.")</f>
        <v>Não é possível definir temporizador para tirar 60 segundo filme, deve manter pressionado o botão para mais than15seconds.</v>
      </c>
      <c r="B30354" s="3">
        <v>0</v>
      </c>
    </row>
    <row r="30355" ht="15.75" customHeight="1" spans="1:2">
      <c r="A30355" s="3" t="str">
        <f>IFERROR(__xludf.DUMMYFUNCTION("GOOGLETRANSLATE(A30355,""en"",""pt"")"),"No visor e Memory Stick.")</f>
        <v>No visor e Memory Stick.</v>
      </c>
      <c r="B30355" s="3">
        <v>0</v>
      </c>
    </row>
    <row r="30356" ht="15.75" customHeight="1" spans="1:2">
      <c r="A30356" s="3" t="str">
        <f>IFERROR(__xludf.DUMMYFUNCTION("GOOGLETRANSLATE(A30356,""en"",""pt"")"),"Alguns podem considerá-lo caro, mas para o que você é muito razoável!")</f>
        <v>Alguns podem considerá-lo caro, mas para o que você é muito razoável!</v>
      </c>
      <c r="B30356" s="3">
        <v>0</v>
      </c>
    </row>
    <row r="30357" ht="15.75" customHeight="1" spans="1:2">
      <c r="A30357" s="3" t="str">
        <f>IFERROR(__xludf.DUMMYFUNCTION("GOOGLETRANSLATE(A30357,""en"",""pt"")"),"Um pouco incrível demais")</f>
        <v>Um pouco incrível demais</v>
      </c>
      <c r="B30357" s="3">
        <v>0</v>
      </c>
    </row>
    <row r="30358" ht="15.75" customHeight="1" spans="1:2">
      <c r="A30358" s="3" t="str">
        <f>IFERROR(__xludf.DUMMYFUNCTION("GOOGLETRANSLATE(A30358,""en"",""pt"")"),"No Visor Ótico, ""glamoroso"" 4 megabyte incluído Memory Stick")</f>
        <v>No Visor Ótico, "glamoroso" 4 megabyte incluído Memory Stick</v>
      </c>
      <c r="B30358" s="3">
        <v>0</v>
      </c>
    </row>
    <row r="30359" ht="15.75" customHeight="1" spans="1:2">
      <c r="A30359" s="3" t="str">
        <f>IFERROR(__xludf.DUMMYFUNCTION("GOOGLETRANSLATE(A30359,""en"",""pt"")"),"4MB memory stick é baixo para uma câmera 2.1Mpixels. No visor faltando.")</f>
        <v>4MB memory stick é baixo para uma câmera 2.1Mpixels. No visor faltando.</v>
      </c>
      <c r="B30359" s="3">
        <v>0</v>
      </c>
    </row>
    <row r="30360" ht="15.75" customHeight="1" spans="1:2">
      <c r="A30360" s="3" t="str">
        <f>IFERROR(__xludf.DUMMYFUNCTION("GOOGLETRANSLATE(A30360,""en"",""pt"")"),"o cartão de memória que vem com ele é muito pequeno")</f>
        <v>o cartão de memória que vem com ele é muito pequeno</v>
      </c>
      <c r="B30360" s="3">
        <v>0</v>
      </c>
    </row>
    <row r="30361" ht="15.75" customHeight="1" spans="1:2">
      <c r="A30361" s="3" t="str">
        <f>IFERROR(__xludf.DUMMYFUNCTION("GOOGLETRANSLATE(A30361,""en"",""pt"")"),"Nenhum")</f>
        <v>Nenhum</v>
      </c>
      <c r="B30361" s="3">
        <v>0</v>
      </c>
    </row>
    <row r="30362" ht="15.75" customHeight="1" spans="1:2">
      <c r="A30362" s="3" t="str">
        <f>IFERROR(__xludf.DUMMYFUNCTION("GOOGLETRANSLATE(A30362,""en"",""pt"")"),"No visor")</f>
        <v>No visor</v>
      </c>
      <c r="B30362" s="3">
        <v>0</v>
      </c>
    </row>
    <row r="30363" ht="15.75" customHeight="1" spans="1:2">
      <c r="A30363" s="3" t="str">
        <f>IFERROR(__xludf.DUMMYFUNCTION("GOOGLETRANSLATE(A30363,""en"",""pt"")"),"filmes MPG única gravar 15 segundos, um pouco caro")</f>
        <v>filmes MPG única gravar 15 segundos, um pouco caro</v>
      </c>
      <c r="B30363" s="3">
        <v>0</v>
      </c>
    </row>
    <row r="30364" ht="15.75" customHeight="1" spans="1:2">
      <c r="A30364" s="3" t="str">
        <f>IFERROR(__xludf.DUMMYFUNCTION("GOOGLETRANSLATE(A30364,""en"",""pt"")"),"Um cartão de memória em vez de um cartão.")</f>
        <v>Um cartão de memória em vez de um cartão.</v>
      </c>
      <c r="B30364" s="3">
        <v>0</v>
      </c>
    </row>
    <row r="30365" ht="15.75" customHeight="1" spans="1:2">
      <c r="A30365" s="3" t="str">
        <f>IFERROR(__xludf.DUMMYFUNCTION("GOOGLETRANSLATE(A30365,""en"",""pt"")"),"No visor óptico.")</f>
        <v>No visor óptico.</v>
      </c>
      <c r="B30365" s="3">
        <v>0</v>
      </c>
    </row>
    <row r="30366" ht="15.75" customHeight="1" spans="1:2">
      <c r="A30366" s="3" t="str">
        <f>IFERROR(__xludf.DUMMYFUNCTION("GOOGLETRANSLATE(A30366,""en"",""pt"")"),"Ele não vem com um caso ou um flash")</f>
        <v>Ele não vem com um caso ou um flash</v>
      </c>
      <c r="B30366" s="3">
        <v>0</v>
      </c>
    </row>
    <row r="30367" ht="15.75" customHeight="1" spans="1:2">
      <c r="A30367" s="3" t="str">
        <f>IFERROR(__xludf.DUMMYFUNCTION("GOOGLETRANSLATE(A30367,""en"",""pt"")"),"memória caro, não o melhor flash, Software.")</f>
        <v>memória caro, não o melhor flash, Software.</v>
      </c>
      <c r="B30367" s="3">
        <v>0</v>
      </c>
    </row>
    <row r="30368" ht="15.75" customHeight="1" spans="1:2">
      <c r="A30368" s="3" t="str">
        <f>IFERROR(__xludf.DUMMYFUNCTION("GOOGLETRANSLATE(A30368,""en"",""pt"")"),"Caro (US $ 700) &amp; amp; # 13; &amp; amp; # 10; não é tão útil se você não possui uma casa PC &amp; amp; # 13; &amp; amp; # 10;")</f>
        <v>Caro (US $ 700) &amp; amp; # 13; &amp; amp; # 10; não é tão útil se você não possui uma casa PC &amp; amp; # 13; &amp; amp; # 10;</v>
      </c>
      <c r="B30368" s="3">
        <v>0</v>
      </c>
    </row>
    <row r="30369" ht="15.75" customHeight="1" spans="1:2">
      <c r="A30369" s="3" t="str">
        <f>IFERROR(__xludf.DUMMYFUNCTION("GOOGLETRANSLATE(A30369,""en"",""pt"")"),"deveria ter comprado mais cedo! não consegue encontrar qualquer contras")</f>
        <v>deveria ter comprado mais cedo! não consegue encontrar qualquer contras</v>
      </c>
      <c r="B30369" s="3">
        <v>0</v>
      </c>
    </row>
    <row r="30370" ht="15.75" customHeight="1" spans="1:2">
      <c r="A30370" s="3" t="str">
        <f>IFERROR(__xludf.DUMMYFUNCTION("GOOGLETRANSLATE(A30370,""en"",""pt"")"),"Forma, preço")</f>
        <v>Forma, preço</v>
      </c>
      <c r="B30370" s="3">
        <v>0</v>
      </c>
    </row>
    <row r="30371" ht="15.75" customHeight="1" spans="1:2">
      <c r="A30371" s="3" t="str">
        <f>IFERROR(__xludf.DUMMYFUNCTION("GOOGLETRANSLATE(A30371,""en"",""pt"")"),"Memória fornecido muito pequeno")</f>
        <v>Memória fornecido muito pequeno</v>
      </c>
      <c r="B30371" s="3">
        <v>0</v>
      </c>
    </row>
    <row r="30372" ht="15.75" customHeight="1" spans="1:2">
      <c r="A30372" s="3" t="str">
        <f>IFERROR(__xludf.DUMMYFUNCTION("GOOGLETRANSLATE(A30372,""en"",""pt"")"),"Precisa de cartão de memória maior")</f>
        <v>Precisa de cartão de memória maior</v>
      </c>
      <c r="B30372" s="3">
        <v>0</v>
      </c>
    </row>
    <row r="30373" ht="15.75" customHeight="1" spans="1:2">
      <c r="A30373" s="3" t="str">
        <f>IFERROR(__xludf.DUMMYFUNCTION("GOOGLETRANSLATE(A30373,""en"",""pt"")"),"Visor não &amp; amp; quot; verdadeiro &amp; amp; quot ;, forte dependência LCD.")</f>
        <v>Visor não &amp; amp; quot; verdadeiro &amp; amp; quot ;, forte dependência LCD.</v>
      </c>
      <c r="B30373" s="3">
        <v>0</v>
      </c>
    </row>
    <row r="30374" ht="15.75" customHeight="1" spans="1:2">
      <c r="A30374" s="3" t="str">
        <f>IFERROR(__xludf.DUMMYFUNCTION("GOOGLETRANSLATE(A30374,""en"",""pt"")"),"atraso do obturador, vara pequena capacidade de memória incluído")</f>
        <v>atraso do obturador, vara pequena capacidade de memória incluído</v>
      </c>
      <c r="B30374" s="3">
        <v>0</v>
      </c>
    </row>
    <row r="30375" ht="15.75" customHeight="1" spans="1:2">
      <c r="A30375" s="3" t="str">
        <f>IFERROR(__xludf.DUMMYFUNCTION("GOOGLETRANSLATE(A30375,""en"",""pt"")"),"como computadores, novas versões saem mais tarde")</f>
        <v>como computadores, novas versões saem mais tarde</v>
      </c>
      <c r="B30375" s="3">
        <v>0</v>
      </c>
    </row>
    <row r="30376" ht="15.75" customHeight="1" spans="1:2">
      <c r="A30376" s="3" t="str">
        <f>IFERROR(__xludf.DUMMYFUNCTION("GOOGLETRANSLATE(A30376,""en"",""pt"")"),"Memória proprietário (se você usar seus cartões de memória com qualquer outra coisa)")</f>
        <v>Memória proprietário (se você usar seus cartões de memória com qualquer outra coisa)</v>
      </c>
      <c r="B30376" s="3">
        <v>0</v>
      </c>
    </row>
    <row r="30377" ht="15.75" customHeight="1" spans="1:2">
      <c r="A30377" s="3" t="str">
        <f>IFERROR(__xludf.DUMMYFUNCTION("GOOGLETRANSLATE(A30377,""en"",""pt"")"),"Tira boas fotos de ratos mortos.")</f>
        <v>Tira boas fotos de ratos mortos.</v>
      </c>
      <c r="B30377" s="3">
        <v>0</v>
      </c>
    </row>
    <row r="30378" ht="15.75" customHeight="1" spans="1:2">
      <c r="A30378" s="3" t="str">
        <f>IFERROR(__xludf.DUMMYFUNCTION("GOOGLETRANSLATE(A30378,""en"",""pt"")"),"Caro, tecnologia proprietária, ajustes manual não o suficiente para os profissionais, um degrau abaixo de qualidade profissional")</f>
        <v>Caro, tecnologia proprietária, ajustes manual não o suficiente para os profissionais, um degrau abaixo de qualidade profissional</v>
      </c>
      <c r="B30378" s="3">
        <v>0</v>
      </c>
    </row>
    <row r="30379" ht="15.75" customHeight="1" spans="1:2">
      <c r="A30379" s="3" t="str">
        <f>IFERROR(__xludf.DUMMYFUNCTION("GOOGLETRANSLATE(A30379,""en"",""pt"")"),"sem carregador de bateria externa")</f>
        <v>sem carregador de bateria externa</v>
      </c>
      <c r="B30379" s="3">
        <v>0</v>
      </c>
    </row>
    <row r="30380" ht="15.75" customHeight="1" spans="1:2">
      <c r="A30380" s="3" t="str">
        <f>IFERROR(__xludf.DUMMYFUNCTION("GOOGLETRANSLATE(A30380,""en"",""pt"")"),"complicado")</f>
        <v>complicado</v>
      </c>
      <c r="B30380" s="3">
        <v>0</v>
      </c>
    </row>
    <row r="30381" ht="15.75" customHeight="1" spans="1:2">
      <c r="A30381" s="3" t="str">
        <f>IFERROR(__xludf.DUMMYFUNCTION("GOOGLETRANSLATE(A30381,""en"",""pt"")"),"As instruções podem não ser claro, às vezes, caso não transportando")</f>
        <v>As instruções podem não ser claro, às vezes, caso não transportando</v>
      </c>
      <c r="B30381" s="3">
        <v>0</v>
      </c>
    </row>
    <row r="30382" ht="15.75" customHeight="1" spans="1:2">
      <c r="A30382" s="3" t="str">
        <f>IFERROR(__xludf.DUMMYFUNCTION("GOOGLETRANSLATE(A30382,""en"",""pt"")"),"Um pouco pesado, a função pronta foto é lento")</f>
        <v>Um pouco pesado, a função pronta foto é lento</v>
      </c>
      <c r="B30382" s="3">
        <v>0</v>
      </c>
    </row>
    <row r="30383" ht="15.75" customHeight="1" spans="1:2">
      <c r="A30383" s="3" t="str">
        <f>IFERROR(__xludf.DUMMYFUNCTION("GOOGLETRANSLATE(A30383,""en"",""pt"")"),"Flash é muito brilhante, LCD papelaria, atraso do obturador.")</f>
        <v>Flash é muito brilhante, LCD papelaria, atraso do obturador.</v>
      </c>
      <c r="B30383" s="3">
        <v>0</v>
      </c>
    </row>
    <row r="30384" ht="15.75" customHeight="1" spans="1:2">
      <c r="A30384" s="3" t="str">
        <f>IFERROR(__xludf.DUMMYFUNCTION("GOOGLETRANSLATE(A30384,""en"",""pt"")"),"tempo de atraso é uma chatice ... há cenas de ação com este.")</f>
        <v>tempo de atraso é uma chatice ... há cenas de ação com este.</v>
      </c>
      <c r="B30384" s="3">
        <v>0</v>
      </c>
    </row>
    <row r="30385" ht="15.75" customHeight="1" spans="1:2">
      <c r="A30385" s="3" t="str">
        <f>IFERROR(__xludf.DUMMYFUNCTION("GOOGLETRANSLATE(A30385,""en"",""pt"")"),"Luz baixa resolução, menu de discar um pouco peludo, memória")</f>
        <v>Luz baixa resolução, menu de discar um pouco peludo, memória</v>
      </c>
      <c r="B30385" s="3">
        <v>0</v>
      </c>
    </row>
    <row r="30386" ht="15.75" customHeight="1" spans="1:2">
      <c r="A30386" s="3" t="str">
        <f>IFERROR(__xludf.DUMMYFUNCTION("GOOGLETRANSLATE(A30386,""en"",""pt"")"),"Um pouco lento para disparar")</f>
        <v>Um pouco lento para disparar</v>
      </c>
      <c r="B30386" s="3">
        <v>0</v>
      </c>
    </row>
    <row r="30387" ht="15.75" customHeight="1" spans="1:2">
      <c r="A30387" s="3" t="str">
        <f>IFERROR(__xludf.DUMMYFUNCTION("GOOGLETRANSLATE(A30387,""en"",""pt"")"),"Zoom é misturado óptica digital /")</f>
        <v>Zoom é misturado óptica digital /</v>
      </c>
      <c r="B30387" s="3">
        <v>0</v>
      </c>
    </row>
    <row r="30388" ht="15.75" customHeight="1" spans="1:2">
      <c r="A30388" s="3" t="str">
        <f>IFERROR(__xludf.DUMMYFUNCTION("GOOGLETRANSLATE(A30388,""en"",""pt"")"),"pequena memória fornecido (8MB)")</f>
        <v>pequena memória fornecido (8MB)</v>
      </c>
      <c r="B30388" s="3">
        <v>0</v>
      </c>
    </row>
    <row r="30389" ht="15.75" customHeight="1" spans="1:2">
      <c r="A30389" s="3" t="str">
        <f>IFERROR(__xludf.DUMMYFUNCTION("GOOGLETRANSLATE(A30389,""en"",""pt"")"),"volumoso e caro")</f>
        <v>volumoso e caro</v>
      </c>
      <c r="B30389" s="3">
        <v>0</v>
      </c>
    </row>
    <row r="30390" ht="15.75" customHeight="1" spans="1:2">
      <c r="A30390" s="3" t="str">
        <f>IFERROR(__xludf.DUMMYFUNCTION("GOOGLETRANSLATE(A30390,""en"",""pt"")"),"Um fio de cabelo caros, mesmo se ele tem um grande estrondo para o fanfarrão")</f>
        <v>Um fio de cabelo caros, mesmo se ele tem um grande estrondo para o fanfarrão</v>
      </c>
      <c r="B30390" s="3">
        <v>0</v>
      </c>
    </row>
    <row r="30391" ht="15.75" customHeight="1" spans="1:2">
      <c r="A30391" s="3" t="str">
        <f>IFERROR(__xludf.DUMMYFUNCTION("GOOGLETRANSLATE(A30391,""en"",""pt"")"),"Não havia nenhuma")</f>
        <v>Não havia nenhuma</v>
      </c>
      <c r="B30391" s="3">
        <v>0</v>
      </c>
    </row>
    <row r="30392" ht="15.75" customHeight="1" spans="1:2">
      <c r="A30392" s="3" t="str">
        <f>IFERROR(__xludf.DUMMYFUNCTION("GOOGLETRANSLATE(A30392,""en"",""pt"")"),"meio volumosos")</f>
        <v>meio volumosos</v>
      </c>
      <c r="B30392" s="3">
        <v>0</v>
      </c>
    </row>
    <row r="30393" ht="15.75" customHeight="1" spans="1:2">
      <c r="A30393" s="3" t="str">
        <f>IFERROR(__xludf.DUMMYFUNCTION("GOOGLETRANSLATE(A30393,""en"",""pt"")"),"volumoso")</f>
        <v>volumoso</v>
      </c>
      <c r="B30393" s="3">
        <v>0</v>
      </c>
    </row>
    <row r="30394" ht="15.75" customHeight="1" spans="1:2">
      <c r="A30394" s="3" t="str">
        <f>IFERROR(__xludf.DUMMYFUNCTION("GOOGLETRANSLATE(A30394,""en"",""pt"")"),"Bateria recarrega diretamente na câmera.")</f>
        <v>Bateria recarrega diretamente na câmera.</v>
      </c>
      <c r="B30394" s="3">
        <v>0</v>
      </c>
    </row>
    <row r="30395" ht="15.75" customHeight="1" spans="1:2">
      <c r="A30395" s="3" t="str">
        <f>IFERROR(__xludf.DUMMYFUNCTION("GOOGLETRANSLATE(A30395,""en"",""pt"")"),"um pouco caro ...")</f>
        <v>um pouco caro ...</v>
      </c>
      <c r="B30395" s="3">
        <v>0</v>
      </c>
    </row>
    <row r="30396" ht="15.75" customHeight="1" spans="1:2">
      <c r="A30396" s="3" t="str">
        <f>IFERROR(__xludf.DUMMYFUNCTION("GOOGLETRANSLATE(A30396,""en"",""pt"")"),"pequeno cartão de memória, precisa de luz anel para assuntos macro")</f>
        <v>pequeno cartão de memória, precisa de luz anel para assuntos macro</v>
      </c>
      <c r="B30396" s="3">
        <v>0</v>
      </c>
    </row>
    <row r="30397" ht="15.75" customHeight="1" spans="1:2">
      <c r="A30397" s="3" t="str">
        <f>IFERROR(__xludf.DUMMYFUNCTION("GOOGLETRANSLATE(A30397,""en"",""pt"")"),"A tecnologia muda")</f>
        <v>A tecnologia muda</v>
      </c>
      <c r="B30397" s="3">
        <v>0</v>
      </c>
    </row>
    <row r="30398" ht="15.75" customHeight="1" spans="1:2">
      <c r="A30398" s="3" t="str">
        <f>IFERROR(__xludf.DUMMYFUNCTION("GOOGLETRANSLATE(A30398,""en"",""pt"")"),"Apenas 8 MB Memory Stick incluído, cabo USB curto.")</f>
        <v>Apenas 8 MB Memory Stick incluído, cabo USB curto.</v>
      </c>
      <c r="B30398" s="3">
        <v>0</v>
      </c>
    </row>
    <row r="30399" ht="15.75" customHeight="1" spans="1:2">
      <c r="A30399" s="3" t="str">
        <f>IFERROR(__xludf.DUMMYFUNCTION("GOOGLETRANSLATE(A30399,""en"",""pt"")"),"Totalmente em flash coxo, picadas de apoio Sony")</f>
        <v>Totalmente em flash coxo, picadas de apoio Sony</v>
      </c>
      <c r="B30399" s="3">
        <v>0</v>
      </c>
    </row>
    <row r="30400" ht="15.75" customHeight="1" spans="1:2">
      <c r="A30400" s="3" t="str">
        <f>IFERROR(__xludf.DUMMYFUNCTION("GOOGLETRANSLATE(A30400,""en"",""pt"")"),"demasiado caro para um brinquedo")</f>
        <v>demasiado caro para um brinquedo</v>
      </c>
      <c r="B30400" s="3">
        <v>0</v>
      </c>
    </row>
    <row r="30401" ht="15.75" customHeight="1" spans="1:2">
      <c r="A30401" s="3" t="str">
        <f>IFERROR(__xludf.DUMMYFUNCTION("GOOGLETRANSLATE(A30401,""en"",""pt"")"),"Um pouco caro, USB não é compatível com Win95, Memory Sticks são caros para extras")</f>
        <v>Um pouco caro, USB não é compatível com Win95, Memory Sticks são caros para extras</v>
      </c>
      <c r="B30401" s="3">
        <v>0</v>
      </c>
    </row>
    <row r="30402" ht="15.75" customHeight="1" spans="1:2">
      <c r="A30402" s="3" t="str">
        <f>IFERROR(__xludf.DUMMYFUNCTION("GOOGLETRANSLATE(A30402,""en"",""pt"")"),"apoio pobres Sony; enquanto o preço é competitivo, ainda é um pouco íngreme")</f>
        <v>apoio pobres Sony; enquanto o preço é competitivo, ainda é um pouco íngreme</v>
      </c>
      <c r="B30402" s="3">
        <v>0</v>
      </c>
    </row>
    <row r="30403" ht="15.75" customHeight="1" spans="1:2">
      <c r="A30403" s="3" t="str">
        <f>IFERROR(__xludf.DUMMYFUNCTION("GOOGLETRANSLATE(A30403,""en"",""pt"")"),"Três chamar costas para esta câmara são: Leva o que é chamado um cartão de memória, ou seja, você precisa carregar as fotos ou precisa de um PC para ver as fotos em tamanho maior. Seu computador precisa ter uma conexão USB e capacidade de utilizar esta câ"&amp;"mara. A vista")</f>
        <v>Três chamar costas para esta câmara são: Leva o que é chamado um cartão de memória, ou seja, você precisa carregar as fotos ou precisa de um PC para ver as fotos em tamanho maior. Seu computador precisa ter uma conexão USB e capacidade de utilizar esta câmara. A vista</v>
      </c>
      <c r="B30403" s="3">
        <v>0</v>
      </c>
    </row>
    <row r="30404" ht="15.75" customHeight="1" spans="1:2">
      <c r="A30404" s="3" t="str">
        <f>IFERROR(__xludf.DUMMYFUNCTION("GOOGLETRANSLATE(A30404,""en"",""pt"")"),"Não Temporizador e menu poderia ser maior")</f>
        <v>Não Temporizador e menu poderia ser maior</v>
      </c>
      <c r="B30404" s="3">
        <v>0</v>
      </c>
    </row>
    <row r="30405" ht="15.75" customHeight="1" spans="1:2">
      <c r="A30405" s="3" t="str">
        <f>IFERROR(__xludf.DUMMYFUNCTION("GOOGLETRANSLATE(A30405,""en"",""pt"")"),"8MB Memory Stick")</f>
        <v>8MB Memory Stick</v>
      </c>
      <c r="B30405" s="3">
        <v>0</v>
      </c>
    </row>
    <row r="30406" ht="15.75" customHeight="1" spans="1:2">
      <c r="A30406" s="3" t="str">
        <f>IFERROR(__xludf.DUMMYFUNCTION("GOOGLETRANSLATE(A30406,""en"",""pt"")"),"Volumoso, memória propritary, lento às vezes")</f>
        <v>Volumoso, memória propritary, lento às vezes</v>
      </c>
      <c r="B30406" s="3">
        <v>0</v>
      </c>
    </row>
    <row r="30407" ht="15.75" customHeight="1" spans="1:2">
      <c r="A30407" s="3" t="str">
        <f>IFERROR(__xludf.DUMMYFUNCTION("GOOGLETRANSLATE(A30407,""en"",""pt"")"),"Um pouco lento quando o processamento")</f>
        <v>Um pouco lento quando o processamento</v>
      </c>
      <c r="B30407" s="3">
        <v>0</v>
      </c>
    </row>
    <row r="30408" ht="15.75" customHeight="1" spans="1:2">
      <c r="A30408" s="3" t="str">
        <f>IFERROR(__xludf.DUMMYFUNCTION("GOOGLETRANSLATE(A30408,""en"",""pt"")"),"filme é pobre")</f>
        <v>filme é pobre</v>
      </c>
      <c r="B30408" s="3">
        <v>0</v>
      </c>
    </row>
    <row r="30409" ht="15.75" customHeight="1" spans="1:2">
      <c r="A30409" s="3" t="str">
        <f>IFERROR(__xludf.DUMMYFUNCTION("GOOGLETRANSLATE(A30409,""en"",""pt"")"),"Não consigo encontrar qualquer")</f>
        <v>Não consigo encontrar qualquer</v>
      </c>
      <c r="B30409" s="3">
        <v>0</v>
      </c>
    </row>
    <row r="30410" ht="15.75" customHeight="1" spans="1:2">
      <c r="A30410" s="3" t="str">
        <f>IFERROR(__xludf.DUMMYFUNCTION("GOOGLETRANSLATE(A30410,""en"",""pt"")"),"tampa da lente separado, tempo de reciclagem lenta, incluído 8MB vara mem é muito pequeno")</f>
        <v>tampa da lente separado, tempo de reciclagem lenta, incluído 8MB vara mem é muito pequeno</v>
      </c>
      <c r="B30410" s="3">
        <v>0</v>
      </c>
    </row>
    <row r="30411" ht="15.75" customHeight="1" spans="1:2">
      <c r="A30411" s="3" t="str">
        <f>IFERROR(__xludf.DUMMYFUNCTION("GOOGLETRANSLATE(A30411,""en"",""pt"")"),"cabo é muito curto.")</f>
        <v>cabo é muito curto.</v>
      </c>
      <c r="B30411" s="3">
        <v>0</v>
      </c>
    </row>
    <row r="30412" ht="15.75" customHeight="1" spans="1:2">
      <c r="A30412" s="3" t="str">
        <f>IFERROR(__xludf.DUMMYFUNCTION("GOOGLETRANSLATE(A30412,""en"",""pt"")"),"Sem sapata. tempo de reciclagem lenta")</f>
        <v>Sem sapata. tempo de reciclagem lenta</v>
      </c>
      <c r="B30412" s="3">
        <v>0</v>
      </c>
    </row>
    <row r="30413" ht="15.75" customHeight="1" spans="1:2">
      <c r="A30413" s="3" t="str">
        <f>IFERROR(__xludf.DUMMYFUNCTION("GOOGLETRANSLATE(A30413,""en"",""pt"")"),"cenas de ação são muito difíceis")</f>
        <v>cenas de ação são muito difíceis</v>
      </c>
      <c r="B30413" s="3">
        <v>0</v>
      </c>
    </row>
    <row r="30414" ht="15.75" customHeight="1" spans="1:2">
      <c r="A30414" s="3" t="str">
        <f>IFERROR(__xludf.DUMMYFUNCTION("GOOGLETRANSLATE(A30414,""en"",""pt"")"),"ligeiramente menor do que uma câmera de 35mm padrão, tampa da lente manual de")</f>
        <v>ligeiramente menor do que uma câmera de 35mm padrão, tampa da lente manual de</v>
      </c>
      <c r="B30414" s="3">
        <v>0</v>
      </c>
    </row>
    <row r="30415" ht="15.75" customHeight="1" spans="1:2">
      <c r="A30415" s="3" t="str">
        <f>IFERROR(__xludf.DUMMYFUNCTION("GOOGLETRANSLATE(A30415,""en"",""pt"")"),"8mb memory stick apenas, sem estojo de transporte, o menu complicado no início, lento para foco")</f>
        <v>8mb memory stick apenas, sem estojo de transporte, o menu complicado no início, lento para foco</v>
      </c>
      <c r="B30415" s="3">
        <v>0</v>
      </c>
    </row>
    <row r="30416" ht="15.75" customHeight="1" spans="1:2">
      <c r="A30416" s="3" t="str">
        <f>IFERROR(__xludf.DUMMYFUNCTION("GOOGLETRANSLATE(A30416,""en"",""pt"")"),"software, o ruído")</f>
        <v>software, o ruído</v>
      </c>
      <c r="B30416" s="3">
        <v>0</v>
      </c>
    </row>
    <row r="30417" ht="15.75" customHeight="1" spans="1:2">
      <c r="A30417" s="3" t="str">
        <f>IFERROR(__xludf.DUMMYFUNCTION("GOOGLETRANSLATE(A30417,""en"",""pt"")"),"tampa da lente separado, obturador lento no modo totalmente automático")</f>
        <v>tampa da lente separado, obturador lento no modo totalmente automático</v>
      </c>
      <c r="B30417" s="3">
        <v>0</v>
      </c>
    </row>
    <row r="30418" ht="15.75" customHeight="1" spans="1:2">
      <c r="A30418" s="3" t="str">
        <f>IFERROR(__xludf.DUMMYFUNCTION("GOOGLETRANSLATE(A30418,""en"",""pt"")"),"site de suporte da Sony é complicada e que carece de uma tela rotativa")</f>
        <v>site de suporte da Sony é complicada e que carece de uma tela rotativa</v>
      </c>
      <c r="B30418" s="3">
        <v>0</v>
      </c>
    </row>
    <row r="30419" ht="15.75" customHeight="1" spans="1:2">
      <c r="A30419" s="3" t="str">
        <f>IFERROR(__xludf.DUMMYFUNCTION("GOOGLETRANSLATE(A30419,""en"",""pt"")"),"""Memory Stick"" - No entanto, SanDisk e Hewlett-Packard mostrar algum respeito por esta tecnologia! (Veja a nota)")</f>
        <v>"Memory Stick" - No entanto, SanDisk e Hewlett-Packard mostrar algum respeito por esta tecnologia! (Veja a nota)</v>
      </c>
      <c r="B30419" s="3">
        <v>0</v>
      </c>
    </row>
    <row r="30420" ht="15.75" customHeight="1" spans="1:2">
      <c r="A30420" s="3" t="str">
        <f>IFERROR(__xludf.DUMMYFUNCTION("GOOGLETRANSLATE(A30420,""en"",""pt"")"),"Não há muito a memória, não é realmente bonita e pequena")</f>
        <v>Não há muito a memória, não é realmente bonita e pequena</v>
      </c>
      <c r="B30420" s="3">
        <v>0</v>
      </c>
    </row>
    <row r="30421" ht="15.75" customHeight="1" spans="1:2">
      <c r="A30421" s="3" t="str">
        <f>IFERROR(__xludf.DUMMYFUNCTION("GOOGLETRANSLATE(A30421,""en"",""pt"")"),"memória base pequena")</f>
        <v>memória base pequena</v>
      </c>
      <c r="B30421" s="3">
        <v>0</v>
      </c>
    </row>
    <row r="30422" ht="15.75" customHeight="1" spans="1:2">
      <c r="A30422" s="3" t="str">
        <f>IFERROR(__xludf.DUMMYFUNCTION("GOOGLETRANSLATE(A30422,""en"",""pt"")"),"Um pouco volumoso, o atraso na pressionando o botão do obturador")</f>
        <v>Um pouco volumoso, o atraso na pressionando o botão do obturador</v>
      </c>
      <c r="B30422" s="3">
        <v>0</v>
      </c>
    </row>
    <row r="30423" ht="15.75" customHeight="1" spans="1:2">
      <c r="A30423" s="3" t="str">
        <f>IFERROR(__xludf.DUMMYFUNCTION("GOOGLETRANSLATE(A30423,""en"",""pt"")"),"Menu também embutida, fazendo escolhas / altera difícil")</f>
        <v>Menu também embutida, fazendo escolhas / altera difícil</v>
      </c>
      <c r="B30423" s="3">
        <v>0</v>
      </c>
    </row>
    <row r="30424" ht="15.75" customHeight="1" spans="1:2">
      <c r="A30424" s="3" t="str">
        <f>IFERROR(__xludf.DUMMYFUNCTION("GOOGLETRANSLATE(A30424,""en"",""pt"")"),"somente a memória muito pequena, memória Use Sony")</f>
        <v>somente a memória muito pequena, memória Use Sony</v>
      </c>
      <c r="B30424" s="3">
        <v>0</v>
      </c>
    </row>
    <row r="30425" ht="15.75" customHeight="1" spans="1:2">
      <c r="A30425" s="3" t="str">
        <f>IFERROR(__xludf.DUMMYFUNCTION("GOOGLETRANSLATE(A30425,""en"",""pt"")"),"8 mb memory stick não cortá-la.")</f>
        <v>8 mb memory stick não cortá-la.</v>
      </c>
      <c r="B30425" s="3">
        <v>0</v>
      </c>
    </row>
    <row r="30426" ht="15.75" customHeight="1" spans="1:2">
      <c r="A30426" s="3" t="str">
        <f>IFERROR(__xludf.DUMMYFUNCTION("GOOGLETRANSLATE(A30426,""en"",""pt"")"),"* Apenas 2 brancos equilíbrio presets &amp; amp; # 13; &amp; amp; # 10; * AF bloquear estranho &amp; amp; # 13; &amp; amp; # 10; * Manual falta de detalhes &amp; amp; # 13; &amp; amp; # 10; * Metering limitado &amp; amp; # 13; &amp; amp; # 10;")</f>
        <v>* Apenas 2 brancos equilíbrio presets &amp; amp; # 13; &amp; amp; # 10; * AF bloquear estranho &amp; amp; # 13; &amp; amp; # 10; * Manual falta de detalhes &amp; amp; # 13; &amp; amp; # 10; * Metering limitado &amp; amp; # 13; &amp; amp; # 10;</v>
      </c>
      <c r="B30426" s="3">
        <v>0</v>
      </c>
    </row>
    <row r="30427" ht="15.75" customHeight="1" spans="1:2">
      <c r="A30427" s="3" t="str">
        <f>IFERROR(__xludf.DUMMYFUNCTION("GOOGLETRANSLATE(A30427,""en"",""pt"")"),"lapso de tempo entre a decisão e tiro real, Zoom")</f>
        <v>lapso de tempo entre a decisão e tiro real, Zoom</v>
      </c>
      <c r="B30427" s="3">
        <v>0</v>
      </c>
    </row>
    <row r="30428" ht="15.75" customHeight="1" spans="1:2">
      <c r="A30428" s="3" t="str">
        <f>IFERROR(__xludf.DUMMYFUNCTION("GOOGLETRANSLATE(A30428,""en"",""pt"")"),"Pacote de software capacidade TWAIN Indisponível ( ""foto de sucção""), garantia de 90 dias")</f>
        <v>Pacote de software capacidade TWAIN Indisponível ( "foto de sucção"), garantia de 90 dias</v>
      </c>
      <c r="B30428" s="3">
        <v>0</v>
      </c>
    </row>
    <row r="30429" ht="15.75" customHeight="1" spans="1:2">
      <c r="A30429" s="3" t="str">
        <f>IFERROR(__xludf.DUMMYFUNCTION("GOOGLETRANSLATE(A30429,""en"",""pt"")"),"Pequeno incluído cartão de memória, pode levar algum tempo para se acostumar.")</f>
        <v>Pequeno incluído cartão de memória, pode levar algum tempo para se acostumar.</v>
      </c>
      <c r="B30429" s="3">
        <v>0</v>
      </c>
    </row>
    <row r="30430" ht="15.75" customHeight="1" spans="1:2">
      <c r="A30430" s="3" t="str">
        <f>IFERROR(__xludf.DUMMYFUNCTION("GOOGLETRANSLATE(A30430,""en"",""pt"")"),"vara pequena memória, 16meg encaixa 7 imagens")</f>
        <v>vara pequena memória, 16meg encaixa 7 imagens</v>
      </c>
      <c r="B30430" s="3">
        <v>0</v>
      </c>
    </row>
    <row r="30431" ht="15.75" customHeight="1" spans="1:2">
      <c r="A30431" s="3" t="str">
        <f>IFERROR(__xludf.DUMMYFUNCTION("GOOGLETRANSLATE(A30431,""en"",""pt"")"),"bateria e armazenamento proprietário; tampa da lente não é muito user-friendly")</f>
        <v>bateria e armazenamento proprietário; tampa da lente não é muito user-friendly</v>
      </c>
      <c r="B30431" s="3">
        <v>0</v>
      </c>
    </row>
    <row r="30432" ht="15.75" customHeight="1" spans="1:2">
      <c r="A30432" s="3" t="str">
        <f>IFERROR(__xludf.DUMMYFUNCTION("GOOGLETRANSLATE(A30432,""en"",""pt"")"),"HQ de vídeo dura apenas 15 segundos, apenas 8 mb vara incluído")</f>
        <v>HQ de vídeo dura apenas 15 segundos, apenas 8 mb vara incluído</v>
      </c>
      <c r="B30432" s="3">
        <v>0</v>
      </c>
    </row>
    <row r="30433" ht="15.75" customHeight="1" spans="1:2">
      <c r="A30433" s="3" t="str">
        <f>IFERROR(__xludf.DUMMYFUNCTION("GOOGLETRANSLATE(A30433,""en"",""pt"")"),"INFORMAÇÕES NO MANUAL DE INSTRUÇÕES pode ser limitado.")</f>
        <v>INFORMAÇÕES NO MANUAL DE INSTRUÇÕES pode ser limitado.</v>
      </c>
      <c r="B30433" s="3">
        <v>0</v>
      </c>
    </row>
    <row r="30434" ht="15.75" customHeight="1" spans="1:2">
      <c r="A30434" s="3" t="str">
        <f>IFERROR(__xludf.DUMMYFUNCTION("GOOGLETRANSLATE(A30434,""en"",""pt"")"),"Nenhum")</f>
        <v>Nenhum</v>
      </c>
      <c r="B30434" s="3">
        <v>0</v>
      </c>
    </row>
    <row r="30435" ht="15.75" customHeight="1" spans="1:2">
      <c r="A30435" s="3" t="str">
        <f>IFERROR(__xludf.DUMMYFUNCTION("GOOGLETRANSLATE(A30435,""en"",""pt"")"),"8 mb cartão fornecido é fraca! :) As características avançadas pode parecer esmagadora.")</f>
        <v>8 mb cartão fornecido é fraca! :) As características avançadas pode parecer esmagadora.</v>
      </c>
      <c r="B30435" s="3">
        <v>0</v>
      </c>
    </row>
    <row r="30436" ht="15.75" customHeight="1" spans="1:2">
      <c r="A30436" s="3" t="str">
        <f>IFERROR(__xludf.DUMMYFUNCTION("GOOGLETRANSLATE(A30436,""en"",""pt"")"),"atraso à exposição")</f>
        <v>atraso à exposição</v>
      </c>
      <c r="B30436" s="3">
        <v>0</v>
      </c>
    </row>
    <row r="30437" ht="15.75" customHeight="1" spans="1:2">
      <c r="A30437" s="3" t="str">
        <f>IFERROR(__xludf.DUMMYFUNCTION("GOOGLETRANSLATE(A30437,""en"",""pt"")"),"Pesado para transportar cerca de .... não é realmente uma câmera de bolso, confuso layout de controle, mesquinho cartão de memória padrão")</f>
        <v>Pesado para transportar cerca de .... não é realmente uma câmera de bolso, confuso layout de controle, mesquinho cartão de memória padrão</v>
      </c>
      <c r="B30437" s="3">
        <v>0</v>
      </c>
    </row>
    <row r="30438" ht="15.75" customHeight="1" spans="1:2">
      <c r="A30438" s="3" t="str">
        <f>IFERROR(__xludf.DUMMYFUNCTION("GOOGLETRANSLATE(A30438,""en"",""pt"")"),"Nenhum")</f>
        <v>Nenhum</v>
      </c>
      <c r="B30438" s="3">
        <v>0</v>
      </c>
    </row>
    <row r="30439" ht="15.75" customHeight="1" spans="1:2">
      <c r="A30439" s="3" t="str">
        <f>IFERROR(__xludf.DUMMYFUNCTION("GOOGLETRANSLATE(A30439,""en"",""pt"")"),"Caro (não pensou além da razão)")</f>
        <v>Caro (não pensou além da razão)</v>
      </c>
      <c r="B30439" s="3">
        <v>0</v>
      </c>
    </row>
    <row r="30440" ht="15.75" customHeight="1" spans="1:2">
      <c r="A30440" s="3" t="str">
        <f>IFERROR(__xludf.DUMMYFUNCTION("GOOGLETRANSLATE(A30440,""en"",""pt"")"),"um pouco volumoso, poderia fazer com um pouco mais de zoom")</f>
        <v>um pouco volumoso, poderia fazer com um pouco mais de zoom</v>
      </c>
      <c r="B30440" s="3">
        <v>0</v>
      </c>
    </row>
    <row r="30441" ht="15.75" customHeight="1" spans="1:2">
      <c r="A30441" s="3" t="str">
        <f>IFERROR(__xludf.DUMMYFUNCTION("GOOGLETRANSLATE(A30441,""en"",""pt"")"),"Um pouco grande / pesado, nenhum filtro de lente protetora, 8MB de memória - não pode segurar imagem TIFF")</f>
        <v>Um pouco grande / pesado, nenhum filtro de lente protetora, 8MB de memória - não pode segurar imagem TIFF</v>
      </c>
      <c r="B30441" s="3">
        <v>0</v>
      </c>
    </row>
    <row r="30442" ht="15.75" customHeight="1" spans="1:2">
      <c r="A30442" s="3" t="str">
        <f>IFERROR(__xludf.DUMMYFUNCTION("GOOGLETRANSLATE(A30442,""en"",""pt"")"),"Vem com cartão de 8MB. Pequeno demais para tanto de uma câmera")</f>
        <v>Vem com cartão de 8MB. Pequeno demais para tanto de uma câmera</v>
      </c>
      <c r="B30442" s="3">
        <v>0</v>
      </c>
    </row>
    <row r="30443" ht="15.75" customHeight="1" spans="1:2">
      <c r="A30443" s="3" t="str">
        <f>IFERROR(__xludf.DUMMYFUNCTION("GOOGLETRANSLATE(A30443,""en"",""pt"")"),"Alguns recursos avançados não são de fácil acesso rapidamente.")</f>
        <v>Alguns recursos avançados não são de fácil acesso rapidamente.</v>
      </c>
      <c r="B30443" s="3">
        <v>0</v>
      </c>
    </row>
    <row r="30444" ht="15.75" customHeight="1" spans="1:2">
      <c r="A30444" s="3" t="str">
        <f>IFERROR(__xludf.DUMMYFUNCTION("GOOGLETRANSLATE(A30444,""en"",""pt"")"),"8mb Memory Stick não é suficiente. Desejo que a LCD foi maior.")</f>
        <v>8mb Memory Stick não é suficiente. Desejo que a LCD foi maior.</v>
      </c>
      <c r="B30444" s="3">
        <v>0</v>
      </c>
    </row>
    <row r="30445" ht="15.75" customHeight="1" spans="1:2">
      <c r="A30445" s="3" t="str">
        <f>IFERROR(__xludf.DUMMYFUNCTION("GOOGLETRANSLATE(A30445,""en"",""pt"")"),"não pode carregar a bateria enquanto camara está em")</f>
        <v>não pode carregar a bateria enquanto camara está em</v>
      </c>
      <c r="B30445" s="3">
        <v>0</v>
      </c>
    </row>
    <row r="30446" ht="15.75" customHeight="1" spans="1:2">
      <c r="A30446" s="3" t="str">
        <f>IFERROR(__xludf.DUMMYFUNCTION("GOOGLETRANSLATE(A30446,""en"",""pt"")"),"pausar quando o foco de reprodução de fotos, carregamento lento")</f>
        <v>pausar quando o foco de reprodução de fotos, carregamento lento</v>
      </c>
      <c r="B30446" s="3">
        <v>0</v>
      </c>
    </row>
    <row r="30447" ht="15.75" customHeight="1" spans="1:2">
      <c r="A30447" s="3" t="str">
        <f>IFERROR(__xludf.DUMMYFUNCTION("GOOGLETRANSLATE(A30447,""en"",""pt"")"),"Eu realmente não tenho nada de ruim a dizer sobre esta câmera. Ele supera a maioria.")</f>
        <v>Eu realmente não tenho nada de ruim a dizer sobre esta câmera. Ele supera a maioria.</v>
      </c>
      <c r="B30447" s="3">
        <v>0</v>
      </c>
    </row>
    <row r="30448" ht="15.75" customHeight="1" spans="1:2">
      <c r="A30448" s="3" t="str">
        <f>IFERROR(__xludf.DUMMYFUNCTION("GOOGLETRANSLATE(A30448,""en"",""pt"")"),"Só vem com memória de 8 MB, painel LCD não gira, os lotes de lag.")</f>
        <v>Só vem com memória de 8 MB, painel LCD não gira, os lotes de lag.</v>
      </c>
      <c r="B30448" s="3">
        <v>0</v>
      </c>
    </row>
    <row r="30449" ht="15.75" customHeight="1" spans="1:2">
      <c r="A30449" s="3" t="str">
        <f>IFERROR(__xludf.DUMMYFUNCTION("GOOGLETRANSLATE(A30449,""en"",""pt"")"),"Muito pouco flash para situações escuras, o cartão de memória de 8MB que vem com câmera.")</f>
        <v>Muito pouco flash para situações escuras, o cartão de memória de 8MB que vem com câmera.</v>
      </c>
      <c r="B30449" s="3">
        <v>0</v>
      </c>
    </row>
    <row r="30450" ht="15.75" customHeight="1" spans="1:2">
      <c r="A30450" s="3" t="str">
        <f>IFERROR(__xludf.DUMMYFUNCTION("GOOGLETRANSLATE(A30450,""en"",""pt"")"),"Mais lenta resposta do obturador que qualquer Camera Film.")</f>
        <v>Mais lenta resposta do obturador que qualquer Camera Film.</v>
      </c>
      <c r="B30450" s="3">
        <v>0</v>
      </c>
    </row>
    <row r="30451" ht="15.75" customHeight="1" spans="1:2">
      <c r="A30451" s="3" t="str">
        <f>IFERROR(__xludf.DUMMYFUNCTION("GOOGLETRANSLATE(A30451,""en"",""pt"")"),"Nenhum")</f>
        <v>Nenhum</v>
      </c>
      <c r="B30451" s="3">
        <v>0</v>
      </c>
    </row>
    <row r="30452" ht="15.75" customHeight="1" spans="1:2">
      <c r="A30452" s="3" t="str">
        <f>IFERROR(__xludf.DUMMYFUNCTION("GOOGLETRANSLATE(A30452,""en"",""pt"")"),"Preço depreciação muito rápido")</f>
        <v>Preço depreciação muito rápido</v>
      </c>
      <c r="B30452" s="3">
        <v>0</v>
      </c>
    </row>
    <row r="30453" ht="15.75" customHeight="1" spans="1:2">
      <c r="A30453" s="3" t="str">
        <f>IFERROR(__xludf.DUMMYFUNCTION("GOOGLETRANSLATE(A30453,""en"",""pt"")"),"um pouco pesado e volumoso em comparação com outros modelos mais finos.")</f>
        <v>um pouco pesado e volumoso em comparação com outros modelos mais finos.</v>
      </c>
      <c r="B30453" s="3">
        <v>0</v>
      </c>
    </row>
    <row r="30454" ht="15.75" customHeight="1" spans="1:2">
      <c r="A30454" s="3" t="str">
        <f>IFERROR(__xludf.DUMMYFUNCTION("GOOGLETRANSLATE(A30454,""en"",""pt"")"),"O zoom óptico é limitado a 3X.")</f>
        <v>O zoom óptico é limitado a 3X.</v>
      </c>
      <c r="B30454" s="3">
        <v>0</v>
      </c>
    </row>
    <row r="30455" ht="15.75" customHeight="1" spans="1:2">
      <c r="A30455" s="3" t="str">
        <f>IFERROR(__xludf.DUMMYFUNCTION("GOOGLETRANSLATE(A30455,""en"",""pt"")"),"faixa de cor superior fraco.")</f>
        <v>faixa de cor superior fraco.</v>
      </c>
      <c r="B30455" s="3">
        <v>0</v>
      </c>
    </row>
    <row r="30456" ht="15.75" customHeight="1" spans="1:2">
      <c r="A30456" s="3" t="str">
        <f>IFERROR(__xludf.DUMMYFUNCTION("GOOGLETRANSLATE(A30456,""en"",""pt"")"),"deve ter tampa da lente quando a câmera está ligada, não é possível adicionar filtros sem adaptador")</f>
        <v>deve ter tampa da lente quando a câmera está ligada, não é possível adicionar filtros sem adaptador</v>
      </c>
      <c r="B30456" s="3">
        <v>0</v>
      </c>
    </row>
    <row r="30457" ht="15.75" customHeight="1" spans="1:2">
      <c r="A30457" s="3" t="str">
        <f>IFERROR(__xludf.DUMMYFUNCTION("GOOGLETRANSLATE(A30457,""en"",""pt"")"),"Atraso entre os disparos, com foco, balanço de branco complicado")</f>
        <v>Atraso entre os disparos, com foco, balanço de branco complicado</v>
      </c>
      <c r="B30457" s="3">
        <v>0</v>
      </c>
    </row>
    <row r="30458" ht="15.75" customHeight="1" spans="1:2">
      <c r="A30458" s="3" t="str">
        <f>IFERROR(__xludf.DUMMYFUNCTION("GOOGLETRANSLATE(A30458,""en"",""pt"")"),"Muito pouca memória padrão, nenhuma bolsa de transporte padrão.")</f>
        <v>Muito pouca memória padrão, nenhuma bolsa de transporte padrão.</v>
      </c>
      <c r="B30458" s="3">
        <v>0</v>
      </c>
    </row>
    <row r="30459" ht="15.75" customHeight="1" spans="1:2">
      <c r="A30459" s="3" t="str">
        <f>IFERROR(__xludf.DUMMYFUNCTION("GOOGLETRANSLATE(A30459,""en"",""pt"")"),"NENHUM.")</f>
        <v>NENHUM.</v>
      </c>
      <c r="B30459" s="3">
        <v>0</v>
      </c>
    </row>
    <row r="30460" ht="15.75" customHeight="1" spans="1:2">
      <c r="A30460" s="3" t="str">
        <f>IFERROR(__xludf.DUMMYFUNCTION("GOOGLETRANSLATE(A30460,""en"",""pt"")"),"a vida da bateria é muito curto! Muito curto!")</f>
        <v>a vida da bateria é muito curto! Muito curto!</v>
      </c>
      <c r="B30460" s="3">
        <v>0</v>
      </c>
    </row>
    <row r="30461" ht="15.75" customHeight="1" spans="1:2">
      <c r="A30461" s="3" t="str">
        <f>IFERROR(__xludf.DUMMYFUNCTION("GOOGLETRANSLATE(A30461,""en"",""pt"")"),"Proprietária de memória Sony, limitado opções de balanço de branco, e proprietária Sony flash externo &amp; amp; # 13; &amp; amp; # 10;")</f>
        <v>Proprietária de memória Sony, limitado opções de balanço de branco, e proprietária Sony flash externo &amp; amp; # 13; &amp; amp; # 10;</v>
      </c>
      <c r="B30461" s="3">
        <v>0</v>
      </c>
    </row>
    <row r="30462" ht="15.75" customHeight="1" spans="1:2">
      <c r="A30462" s="3" t="str">
        <f>IFERROR(__xludf.DUMMYFUNCTION("GOOGLETRANSLATE(A30462,""en"",""pt"")"),"Em sua classe que não tem nenhum.")</f>
        <v>Em sua classe que não tem nenhum.</v>
      </c>
      <c r="B30462" s="3">
        <v>0</v>
      </c>
    </row>
    <row r="30463" ht="15.75" customHeight="1" spans="1:2">
      <c r="A30463" s="3" t="str">
        <f>IFERROR(__xludf.DUMMYFUNCTION("GOOGLETRANSLATE(A30463,""en"",""pt"")"),"A vida da bateria é terrível! cenas de ação não são bons com isso também.")</f>
        <v>A vida da bateria é terrível! cenas de ação não são bons com isso também.</v>
      </c>
      <c r="B30463" s="3">
        <v>0</v>
      </c>
    </row>
    <row r="30464" ht="15.75" customHeight="1" spans="1:2">
      <c r="A30464" s="3" t="str">
        <f>IFERROR(__xludf.DUMMYFUNCTION("GOOGLETRANSLATE(A30464,""en"",""pt"")"),"Sem cobertura para LCD")</f>
        <v>Sem cobertura para LCD</v>
      </c>
      <c r="B30464" s="3">
        <v>0</v>
      </c>
    </row>
    <row r="30465" ht="15.75" customHeight="1" spans="1:2">
      <c r="A30465" s="3" t="str">
        <f>IFERROR(__xludf.DUMMYFUNCTION("GOOGLETRANSLATE(A30465,""en"",""pt"")"),"Não encontrei nenhum ainda")</f>
        <v>Não encontrei nenhum ainda</v>
      </c>
      <c r="B30465" s="3">
        <v>0</v>
      </c>
    </row>
    <row r="30466" ht="15.75" customHeight="1" spans="1:2">
      <c r="A30466" s="3" t="str">
        <f>IFERROR(__xludf.DUMMYFUNCTION("GOOGLETRANSLATE(A30466,""en"",""pt"")"),"O zoom não é tão bom quanto o F707.")</f>
        <v>O zoom não é tão bom quanto o F707.</v>
      </c>
      <c r="B30466" s="3">
        <v>0</v>
      </c>
    </row>
    <row r="30467" ht="15.75" customHeight="1" spans="1:2">
      <c r="A30467" s="3" t="str">
        <f>IFERROR(__xludf.DUMMYFUNCTION("GOOGLETRANSLATE(A30467,""en"",""pt"")"),"sem zoom óptico, nenhum estojo de transporte, software incluído não é o melhor")</f>
        <v>sem zoom óptico, nenhum estojo de transporte, software incluído não é o melhor</v>
      </c>
      <c r="B30467" s="3">
        <v>0</v>
      </c>
    </row>
    <row r="30468" ht="15.75" customHeight="1" spans="1:2">
      <c r="A30468" s="3" t="str">
        <f>IFERROR(__xludf.DUMMYFUNCTION("GOOGLETRANSLATE(A30468,""en"",""pt"")"),"zoom óptico apenas 3x")</f>
        <v>zoom óptico apenas 3x</v>
      </c>
      <c r="B30468" s="3">
        <v>0</v>
      </c>
    </row>
    <row r="30469" ht="15.75" customHeight="1" spans="1:2">
      <c r="A30469" s="3" t="str">
        <f>IFERROR(__xludf.DUMMYFUNCTION("GOOGLETRANSLATE(A30469,""en"",""pt"")"),"muitos lista também ...")</f>
        <v>muitos lista também ...</v>
      </c>
      <c r="B30469" s="3">
        <v>0</v>
      </c>
    </row>
    <row r="30470" ht="15.75" customHeight="1" spans="1:2">
      <c r="A30470" s="3" t="str">
        <f>IFERROR(__xludf.DUMMYFUNCTION("GOOGLETRANSLATE(A30470,""en"",""pt"")"),"Manual de Instruções, difícil de aprender.")</f>
        <v>Manual de Instruções, difícil de aprender.</v>
      </c>
      <c r="B30470" s="3">
        <v>0</v>
      </c>
    </row>
    <row r="30471" ht="15.75" customHeight="1" spans="1:2">
      <c r="A30471" s="3" t="str">
        <f>IFERROR(__xludf.DUMMYFUNCTION("GOOGLETRANSLATE(A30471,""en"",""pt"")"),"configurações de abertura limitado, primeiros sinais de desgaste ao fim de seis semanas")</f>
        <v>configurações de abertura limitado, primeiros sinais de desgaste ao fim de seis semanas</v>
      </c>
      <c r="B30471" s="3">
        <v>0</v>
      </c>
    </row>
    <row r="30472" ht="15.75" customHeight="1" spans="1:2">
      <c r="A30472" s="3" t="str">
        <f>IFERROR(__xludf.DUMMYFUNCTION("GOOGLETRANSLATE(A30472,""en"",""pt"")"),"Nenhum")</f>
        <v>Nenhum</v>
      </c>
      <c r="B30472" s="3">
        <v>0</v>
      </c>
    </row>
    <row r="30473" ht="15.75" customHeight="1" spans="1:2">
      <c r="A30473" s="3" t="str">
        <f>IFERROR(__xludf.DUMMYFUNCTION("GOOGLETRANSLATE(A30473,""en"",""pt"")"),"nada até agora")</f>
        <v>nada até agora</v>
      </c>
      <c r="B30473" s="3">
        <v>0</v>
      </c>
    </row>
    <row r="30474" ht="15.75" customHeight="1" spans="1:2">
      <c r="A30474" s="3" t="str">
        <f>IFERROR(__xludf.DUMMYFUNCTION("GOOGLETRANSLATE(A30474,""en"",""pt"")"),"Nenhum que eu possa encontrar.")</f>
        <v>Nenhum que eu possa encontrar.</v>
      </c>
      <c r="B30474" s="3">
        <v>0</v>
      </c>
    </row>
    <row r="30475" ht="15.75" customHeight="1" spans="1:2">
      <c r="A30475" s="3" t="str">
        <f>IFERROR(__xludf.DUMMYFUNCTION("GOOGLETRANSLATE(A30475,""en"",""pt"")"),"Memory Stick, Cheesy Rubber AC Tampa")</f>
        <v>Memory Stick, Cheesy Rubber AC Tampa</v>
      </c>
      <c r="B30475" s="3">
        <v>0</v>
      </c>
    </row>
    <row r="30476" ht="15.75" customHeight="1" spans="1:2">
      <c r="A30476" s="3" t="str">
        <f>IFERROR(__xludf.DUMMYFUNCTION("GOOGLETRANSLATE(A30476,""en"",""pt"")"),"Memory Stick, Cheesy Rubber AC Tampa")</f>
        <v>Memory Stick, Cheesy Rubber AC Tampa</v>
      </c>
      <c r="B30476" s="3">
        <v>0</v>
      </c>
    </row>
    <row r="30477" ht="15.75" customHeight="1" spans="1:2">
      <c r="A30477" s="3" t="str">
        <f>IFERROR(__xludf.DUMMYFUNCTION("GOOGLETRANSLATE(A30477,""en"",""pt"")"),"pequena roda de controle, controle de qualidade de imagem")</f>
        <v>pequena roda de controle, controle de qualidade de imagem</v>
      </c>
      <c r="B30477" s="3">
        <v>0</v>
      </c>
    </row>
    <row r="30478" ht="15.75" customHeight="1" spans="1:2">
      <c r="A30478" s="3" t="str">
        <f>IFERROR(__xludf.DUMMYFUNCTION("GOOGLETRANSLATE(A30478,""en"",""pt"")"),"6 segundo poder-se. auto-foco terrível com pouca luz. Longo tempo de latência. Distraindo luz de focagem automática.")</f>
        <v>6 segundo poder-se. auto-foco terrível com pouca luz. Longo tempo de latência. Distraindo luz de focagem automática.</v>
      </c>
      <c r="B30478" s="3">
        <v>0</v>
      </c>
    </row>
    <row r="30479" ht="15.75" customHeight="1" spans="1:2">
      <c r="A30479" s="3" t="str">
        <f>IFERROR(__xludf.DUMMYFUNCTION("GOOGLETRANSLATE(A30479,""en"",""pt"")"),"preço")</f>
        <v>preço</v>
      </c>
      <c r="B30479" s="3">
        <v>0</v>
      </c>
    </row>
    <row r="30480" ht="15.75" customHeight="1" spans="1:2">
      <c r="A30480" s="3" t="str">
        <f>IFERROR(__xludf.DUMMYFUNCTION("GOOGLETRANSLATE(A30480,""en"",""pt"")"),"Shutter lag")</f>
        <v>Shutter lag</v>
      </c>
      <c r="B30480" s="3">
        <v>0</v>
      </c>
    </row>
    <row r="30481" ht="15.75" customHeight="1" spans="1:2">
      <c r="A30481" s="3" t="str">
        <f>IFERROR(__xludf.DUMMYFUNCTION("GOOGLETRANSLATE(A30481,""en"",""pt"")"),"Deve antecipar tiros de inicialização / ação, problemas de foco intermitentes, problemas de cabo USB, CCD interpretação luz")</f>
        <v>Deve antecipar tiros de inicialização / ação, problemas de foco intermitentes, problemas de cabo USB, CCD interpretação luz</v>
      </c>
      <c r="B30481" s="3">
        <v>0</v>
      </c>
    </row>
    <row r="30482" ht="15.75" customHeight="1" spans="1:2">
      <c r="A30482" s="3" t="str">
        <f>IFERROR(__xludf.DUMMYFUNCTION("GOOGLETRANSLATE(A30482,""en"",""pt"")"),"curva de aprendizagem dura.")</f>
        <v>curva de aprendizagem dura.</v>
      </c>
      <c r="B30482" s="3">
        <v>0</v>
      </c>
    </row>
    <row r="30483" ht="15.75" customHeight="1" spans="1:2">
      <c r="A30483" s="3" t="str">
        <f>IFERROR(__xludf.DUMMYFUNCTION("GOOGLETRANSLATE(A30483,""en"",""pt"")"),"olhares lente um pouco delicada, baixa auto-foco de luz fraca.")</f>
        <v>olhares lente um pouco delicada, baixa auto-foco de luz fraca.</v>
      </c>
      <c r="B30483" s="3">
        <v>0</v>
      </c>
    </row>
    <row r="30484" ht="15.75" customHeight="1" spans="1:2">
      <c r="A30484" s="3" t="str">
        <f>IFERROR(__xludf.DUMMYFUNCTION("GOOGLETRANSLATE(A30484,""en"",""pt"")"),"Lentos cores Start-up, às vezes saturado ...")</f>
        <v>Lentos cores Start-up, às vezes saturado ...</v>
      </c>
      <c r="B30484" s="3">
        <v>0</v>
      </c>
    </row>
    <row r="30485" ht="15.75" customHeight="1" spans="1:2">
      <c r="A30485" s="3" t="str">
        <f>IFERROR(__xludf.DUMMYFUNCTION("GOOGLETRANSLATE(A30485,""en"",""pt"")"),"Então, muitas grandes características que eu não posso chegar a todos eles!")</f>
        <v>Então, muitas grandes características que eu não posso chegar a todos eles!</v>
      </c>
      <c r="B30485" s="3">
        <v>0</v>
      </c>
    </row>
    <row r="30486" ht="15.75" customHeight="1" spans="1:2">
      <c r="A30486" s="3" t="str">
        <f>IFERROR(__xludf.DUMMYFUNCTION("GOOGLETRANSLATE(A30486,""en"",""pt"")"),"Certifique-se de entender completamente a garantia limitada da Sony.")</f>
        <v>Certifique-se de entender completamente a garantia limitada da Sony.</v>
      </c>
      <c r="B30486" s="3">
        <v>0</v>
      </c>
    </row>
    <row r="30487" ht="15.75" customHeight="1" spans="1:2">
      <c r="A30487" s="3" t="str">
        <f>IFERROR(__xludf.DUMMYFUNCTION("GOOGLETRANSLATE(A30487,""en"",""pt"")"),"É grande e volumoso, a vida da bateria curto para filmes")</f>
        <v>É grande e volumoso, a vida da bateria curto para filmes</v>
      </c>
      <c r="B30487" s="3">
        <v>0</v>
      </c>
    </row>
    <row r="30488" ht="15.75" customHeight="1" spans="1:2">
      <c r="A30488" s="3" t="str">
        <f>IFERROR(__xludf.DUMMYFUNCTION("GOOGLETRANSLATE(A30488,""en"",""pt"")"),"A focagem automática não tão eficaz quanto poderia ser")</f>
        <v>A focagem automática não tão eficaz quanto poderia ser</v>
      </c>
      <c r="B30488" s="3">
        <v>0</v>
      </c>
    </row>
    <row r="30489" ht="15.75" customHeight="1" spans="1:2">
      <c r="A30489" s="3" t="str">
        <f>IFERROR(__xludf.DUMMYFUNCTION("GOOGLETRANSLATE(A30489,""en"",""pt"")"),"Tem um muito delicado &amp; amp; cobertura de plástico barato para a entrada do carregador.")</f>
        <v>Tem um muito delicado &amp; amp; cobertura de plástico barato para a entrada do carregador.</v>
      </c>
      <c r="B30489" s="3">
        <v>0</v>
      </c>
    </row>
    <row r="30490" ht="15.75" customHeight="1" spans="1:2">
      <c r="A30490" s="3" t="str">
        <f>IFERROR(__xludf.DUMMYFUNCTION("GOOGLETRANSLATE(A30490,""en"",""pt"")"),"Deve, pelo menos, ter incluído 32 MB memory stick, sem controle remoto.")</f>
        <v>Deve, pelo menos, ter incluído 32 MB memory stick, sem controle remoto.</v>
      </c>
      <c r="B30490" s="3">
        <v>0</v>
      </c>
    </row>
    <row r="30491" ht="15.75" customHeight="1" spans="1:2">
      <c r="A30491" s="3" t="str">
        <f>IFERROR(__xludf.DUMMYFUNCTION("GOOGLETRANSLATE(A30491,""en"",""pt"")"),"Vem com um cartão de memória de 8MB pequena. Precisa de pelo menos 64MB ou 128MB")</f>
        <v>Vem com um cartão de memória de 8MB pequena. Precisa de pelo menos 64MB ou 128MB</v>
      </c>
      <c r="B30491" s="3">
        <v>0</v>
      </c>
    </row>
    <row r="30492" ht="15.75" customHeight="1" spans="1:2">
      <c r="A30492" s="3" t="str">
        <f>IFERROR(__xludf.DUMMYFUNCTION("GOOGLETRANSLATE(A30492,""en"",""pt"")"),"Menores de controle, em flash e menu deficiências.")</f>
        <v>Menores de controle, em flash e menu deficiências.</v>
      </c>
      <c r="B30492" s="3">
        <v>0</v>
      </c>
    </row>
    <row r="30493" ht="15.75" customHeight="1" spans="1:2">
      <c r="A30493" s="3" t="str">
        <f>IFERROR(__xludf.DUMMYFUNCTION("GOOGLETRANSLATE(A30493,""en"",""pt"")"),"Não é o melhor software; precisa incluir um cartão de memória muito maior!")</f>
        <v>Não é o melhor software; precisa incluir um cartão de memória muito maior!</v>
      </c>
      <c r="B30493" s="3">
        <v>0</v>
      </c>
    </row>
    <row r="30494" ht="15.75" customHeight="1" spans="1:2">
      <c r="A30494" s="3" t="str">
        <f>IFERROR(__xludf.DUMMYFUNCTION("GOOGLETRANSLATE(A30494,""en"",""pt"")"),"Acessórios são na sua maioria de propriedade da Sony de flash, bateria e lente cobre, Velocidade de Obturador")</f>
        <v>Acessórios são na sua maioria de propriedade da Sony de flash, bateria e lente cobre, Velocidade de Obturador</v>
      </c>
      <c r="B30494" s="3">
        <v>0</v>
      </c>
    </row>
    <row r="30495" ht="15.75" customHeight="1" spans="1:2">
      <c r="A30495" s="3" t="str">
        <f>IFERROR(__xludf.DUMMYFUNCTION("GOOGLETRANSLATE(A30495,""en"",""pt"")"),"só pode usar baterias NiMH e carregador fornecidos muito lento. Sem fita de pulso incluído.")</f>
        <v>só pode usar baterias NiMH e carregador fornecidos muito lento. Sem fita de pulso incluído.</v>
      </c>
      <c r="B30495" s="3">
        <v>0</v>
      </c>
    </row>
    <row r="30496" ht="15.75" customHeight="1" spans="1:2">
      <c r="A30496" s="3" t="str">
        <f>IFERROR(__xludf.DUMMYFUNCTION("GOOGLETRANSLATE(A30496,""en"",""pt"")"),"Não tão boa pix, mais meios de memória de inicialização mais lento, autofocus ódios fraca luz")</f>
        <v>Não tão boa pix, mais meios de memória de inicialização mais lento, autofocus ódios fraca luz</v>
      </c>
      <c r="B30496" s="3">
        <v>0</v>
      </c>
    </row>
    <row r="30497" ht="15.75" customHeight="1" spans="1:2">
      <c r="A30497" s="3" t="str">
        <f>IFERROR(__xludf.DUMMYFUNCTION("GOOGLETRANSLATE(A30497,""en"",""pt"")"),"Todas as coisas que seriam esperadas de uma pequena câmera")</f>
        <v>Todas as coisas que seriam esperadas de uma pequena câmera</v>
      </c>
      <c r="B30497" s="3">
        <v>0</v>
      </c>
    </row>
    <row r="30498" ht="15.75" customHeight="1" spans="1:2">
      <c r="A30498" s="3" t="str">
        <f>IFERROR(__xludf.DUMMYFUNCTION("GOOGLETRANSLATE(A30498,""en"",""pt"")"),"Descontinuado (substituído por S20). Treze horas para carregar as baterias.")</f>
        <v>Descontinuado (substituído por S20). Treze horas para carregar as baterias.</v>
      </c>
      <c r="B30498" s="3">
        <v>0</v>
      </c>
    </row>
    <row r="30499" ht="15.75" customHeight="1" spans="1:2">
      <c r="A30499" s="3" t="str">
        <f>IFERROR(__xludf.DUMMYFUNCTION("GOOGLETRANSLATE(A30499,""en"",""pt"")"),"bateria de recarga leva uma eternidade")</f>
        <v>bateria de recarga leva uma eternidade</v>
      </c>
      <c r="B30499" s="3">
        <v>0</v>
      </c>
    </row>
    <row r="30500" ht="15.75" customHeight="1" spans="1:2">
      <c r="A30500" s="3" t="str">
        <f>IFERROR(__xludf.DUMMYFUNCTION("GOOGLETRANSLATE(A30500,""en"",""pt"")"),"sensíveis à luz, sem zoom, sem correia de pulso")</f>
        <v>sensíveis à luz, sem zoom, sem correia de pulso</v>
      </c>
      <c r="B30500" s="3">
        <v>0</v>
      </c>
    </row>
    <row r="30501" ht="15.75" customHeight="1" spans="1:2">
      <c r="A30501" s="3" t="str">
        <f>IFERROR(__xludf.DUMMYFUNCTION("GOOGLETRANSLATE(A30501,""en"",""pt"")"),"balanço de branco automático é facilmente confundido")</f>
        <v>balanço de branco automático é facilmente confundido</v>
      </c>
      <c r="B30501" s="3">
        <v>0</v>
      </c>
    </row>
    <row r="30502" ht="15.75" customHeight="1" spans="1:2">
      <c r="A30502" s="3" t="str">
        <f>IFERROR(__xludf.DUMMYFUNCTION("GOOGLETRANSLATE(A30502,""en"",""pt"")"),"vida útil da bateria, tela de lcd, nem visor")</f>
        <v>vida útil da bateria, tela de lcd, nem visor</v>
      </c>
      <c r="B30502" s="3">
        <v>0</v>
      </c>
    </row>
    <row r="30503" ht="15.75" customHeight="1" spans="1:2">
      <c r="A30503" s="3" t="str">
        <f>IFERROR(__xludf.DUMMYFUNCTION("GOOGLETRANSLATE(A30503,""en"",""pt"")"),"Sem zoom, de recarga da bateria por muito tempo,, Pequeno ecrã, mais caro do que outras câmeras 2MP")</f>
        <v>Sem zoom, de recarga da bateria por muito tempo,, Pequeno ecrã, mais caro do que outras câmeras 2MP</v>
      </c>
      <c r="B30503" s="3">
        <v>0</v>
      </c>
    </row>
    <row r="30504" ht="15.75" customHeight="1" spans="1:2">
      <c r="A30504" s="3" t="str">
        <f>IFERROR(__xludf.DUMMYFUNCTION("GOOGLETRANSLATE(A30504,""en"",""pt"")"),"Sem zoom óptico ou digital, pobres fotos com pouca iluminação, vermelho função inconveniente olho.")</f>
        <v>Sem zoom óptico ou digital, pobres fotos com pouca iluminação, vermelho função inconveniente olho.</v>
      </c>
      <c r="B30504" s="3">
        <v>0</v>
      </c>
    </row>
    <row r="30505" ht="15.75" customHeight="1" spans="1:2">
      <c r="A30505" s="3" t="str">
        <f>IFERROR(__xludf.DUMMYFUNCTION("GOOGLETRANSLATE(A30505,""en"",""pt"")"),"Sem zoom, nenhum som no modo de filme")</f>
        <v>Sem zoom, nenhum som no modo de filme</v>
      </c>
      <c r="B30505" s="3">
        <v>0</v>
      </c>
    </row>
    <row r="30506" ht="15.75" customHeight="1" spans="1:2">
      <c r="A30506" s="3" t="str">
        <f>IFERROR(__xludf.DUMMYFUNCTION("GOOGLETRANSLATE(A30506,""en"",""pt"")"),"Sem zoom, precisa carregador externo para as baterias, sem visor.")</f>
        <v>Sem zoom, precisa carregador externo para as baterias, sem visor.</v>
      </c>
      <c r="B30506" s="3">
        <v>0</v>
      </c>
    </row>
    <row r="30507" ht="15.75" customHeight="1" spans="1:2">
      <c r="A30507" s="3" t="str">
        <f>IFERROR(__xludf.DUMMYFUNCTION("GOOGLETRANSLATE(A30507,""en"",""pt"")"),"so-so qualidade de imagem, sem zoom")</f>
        <v>so-so qualidade de imagem, sem zoom</v>
      </c>
      <c r="B30507" s="3">
        <v>0</v>
      </c>
    </row>
    <row r="30508" ht="15.75" customHeight="1" spans="1:2">
      <c r="A30508" s="3" t="str">
        <f>IFERROR(__xludf.DUMMYFUNCTION("GOOGLETRANSLATE(A30508,""en"",""pt"")"),"qualidade de imagem minúsculos botões, pequeno disco tela para ver, nem visor, aceitável, mas não excepcional")</f>
        <v>qualidade de imagem minúsculos botões, pequeno disco tela para ver, nem visor, aceitável, mas não excepcional</v>
      </c>
      <c r="B30508" s="3">
        <v>0</v>
      </c>
    </row>
    <row r="30509" ht="15.75" customHeight="1" spans="1:2">
      <c r="A30509" s="3" t="str">
        <f>IFERROR(__xludf.DUMMYFUNCTION("GOOGLETRANSLATE(A30509,""en"",""pt"")"),"Nenhuma imagem ajustável configurações de qualidade (compressão de imagem pesada). Sem fita de pulso na caixa.")</f>
        <v>Nenhuma imagem ajustável configurações de qualidade (compressão de imagem pesada). Sem fita de pulso na caixa.</v>
      </c>
      <c r="B30509" s="3">
        <v>0</v>
      </c>
    </row>
    <row r="30510" ht="15.75" customHeight="1" spans="1:2">
      <c r="A30510" s="3" t="str">
        <f>IFERROR(__xludf.DUMMYFUNCTION("GOOGLETRANSLATE(A30510,""en"",""pt"")"),"Lens, vida útil da bateria, LCD minúsculo")</f>
        <v>Lens, vida útil da bateria, LCD minúsculo</v>
      </c>
      <c r="B30510" s="3">
        <v>0</v>
      </c>
    </row>
    <row r="30511" ht="15.75" customHeight="1" spans="1:2">
      <c r="A30511" s="3" t="str">
        <f>IFERROR(__xludf.DUMMYFUNCTION("GOOGLETRANSLATE(A30511,""en"",""pt"")"),"Ele é pequeno")</f>
        <v>Ele é pequeno</v>
      </c>
      <c r="B30511" s="3">
        <v>0</v>
      </c>
    </row>
    <row r="30512" ht="15.75" customHeight="1" spans="1:2">
      <c r="A30512" s="3" t="str">
        <f>IFERROR(__xludf.DUMMYFUNCTION("GOOGLETRANSLATE(A30512,""en"",""pt"")"),"Sem zoom, alcance do flash limitado")</f>
        <v>Sem zoom, alcance do flash limitado</v>
      </c>
      <c r="B30512" s="3">
        <v>0</v>
      </c>
    </row>
    <row r="30513" ht="15.75" customHeight="1" spans="1:2">
      <c r="A30513" s="3" t="str">
        <f>IFERROR(__xludf.DUMMYFUNCTION("GOOGLETRANSLATE(A30513,""en"",""pt"")"),"sem zoom, nenhuma cinta .....")</f>
        <v>sem zoom, nenhuma cinta .....</v>
      </c>
      <c r="B30513" s="3">
        <v>0</v>
      </c>
    </row>
    <row r="30514" ht="15.75" customHeight="1" spans="1:2">
      <c r="A30514" s="3" t="str">
        <f>IFERROR(__xludf.DUMMYFUNCTION("GOOGLETRANSLATE(A30514,""en"",""pt"")"),"Sem zoom.")</f>
        <v>Sem zoom.</v>
      </c>
      <c r="B30514" s="3">
        <v>0</v>
      </c>
    </row>
    <row r="30515" ht="15.75" customHeight="1" spans="1:2">
      <c r="A30515" s="3" t="str">
        <f>IFERROR(__xludf.DUMMYFUNCTION("GOOGLETRANSLATE(A30515,""en"",""pt"")"),"Pode ser pequena demais para as mãos maiores, sem zoom.")</f>
        <v>Pode ser pequena demais para as mãos maiores, sem zoom.</v>
      </c>
      <c r="B30515" s="3">
        <v>0</v>
      </c>
    </row>
    <row r="30516" ht="15.75" customHeight="1" spans="1:2">
      <c r="A30516" s="3" t="str">
        <f>IFERROR(__xludf.DUMMYFUNCTION("GOOGLETRANSLATE(A30516,""en"",""pt"")"),"sem zoom")</f>
        <v>sem zoom</v>
      </c>
      <c r="B30516" s="3">
        <v>0</v>
      </c>
    </row>
    <row r="30517" ht="15.75" customHeight="1" spans="1:2">
      <c r="A30517" s="3" t="str">
        <f>IFERROR(__xludf.DUMMYFUNCTION("GOOGLETRANSLATE(A30517,""en"",""pt"")"),"Sem zoom, menos do que grandes baixa luz capacidades / noite")</f>
        <v>Sem zoom, menos do que grandes baixa luz capacidades / noite</v>
      </c>
      <c r="B30517" s="3">
        <v>0</v>
      </c>
    </row>
    <row r="30518" ht="15.75" customHeight="1" spans="1:2">
      <c r="A30518" s="3" t="str">
        <f>IFERROR(__xludf.DUMMYFUNCTION("GOOGLETRANSLATE(A30518,""en"",""pt"")"),"vídeo pequeno, nem visor, varas sony mem são caros!")</f>
        <v>vídeo pequeno, nem visor, varas sony mem são caros!</v>
      </c>
      <c r="B30518" s="3">
        <v>0</v>
      </c>
    </row>
    <row r="30519" ht="15.75" customHeight="1" spans="1:2">
      <c r="A30519" s="3" t="str">
        <f>IFERROR(__xludf.DUMMYFUNCTION("GOOGLETRANSLATE(A30519,""en"",""pt"")"),"Sem zoom, a falta de correia de pulso, carregador de 13 horas.")</f>
        <v>Sem zoom, a falta de correia de pulso, carregador de 13 horas.</v>
      </c>
      <c r="B30519" s="3">
        <v>0</v>
      </c>
    </row>
    <row r="30520" ht="15.75" customHeight="1" spans="1:2">
      <c r="A30520" s="3" t="str">
        <f>IFERROR(__xludf.DUMMYFUNCTION("GOOGLETRANSLATE(A30520,""en"",""pt"")"),"Sem zoom. Tela é difícil de limpar.")</f>
        <v>Sem zoom. Tela é difícil de limpar.</v>
      </c>
      <c r="B30520" s="3">
        <v>0</v>
      </c>
    </row>
    <row r="30521" ht="15.75" customHeight="1" spans="1:2">
      <c r="A30521" s="3" t="str">
        <f>IFERROR(__xludf.DUMMYFUNCTION("GOOGLETRANSLATE(A30521,""en"",""pt"")"),"sem zoom, provoca muito de olhos vermelhos, preço ,, memory stick empacotado, gravar sons doesnt demasiado pequenas.")</f>
        <v>sem zoom, provoca muito de olhos vermelhos, preço ,, memory stick empacotado, gravar sons doesnt demasiado pequenas.</v>
      </c>
      <c r="B30521" s="3">
        <v>0</v>
      </c>
    </row>
    <row r="30522" ht="15.75" customHeight="1" spans="1:2">
      <c r="A30522" s="3" t="str">
        <f>IFERROR(__xludf.DUMMYFUNCTION("GOOGLETRANSLATE(A30522,""en"",""pt"")"),"cargas de olhos vermelhos, picts marginais com pouca luz")</f>
        <v>cargas de olhos vermelhos, picts marginais com pouca luz</v>
      </c>
      <c r="B30522" s="3">
        <v>0</v>
      </c>
    </row>
    <row r="30523" ht="15.75" customHeight="1" spans="1:2">
      <c r="A30523" s="3" t="str">
        <f>IFERROR(__xludf.DUMMYFUNCTION("GOOGLETRANSLATE(A30523,""en"",""pt"")"),"Bastante caro; ligeiramente mais pesado e mais volumoso do que algumas câmeras digitais compactas.")</f>
        <v>Bastante caro; ligeiramente mais pesado e mais volumoso do que algumas câmeras digitais compactas.</v>
      </c>
      <c r="B30523" s="3">
        <v>0</v>
      </c>
    </row>
    <row r="30524" ht="15.75" customHeight="1" spans="1:2">
      <c r="A30524" s="3" t="str">
        <f>IFERROR(__xludf.DUMMYFUNCTION("GOOGLETRANSLATE(A30524,""en"",""pt"")"),"Akward controlo de zoom. Zoom Barrel não muito sturdy..just obter um plano de serviço.")</f>
        <v>Akward controlo de zoom. Zoom Barrel não muito sturdy..just obter um plano de serviço.</v>
      </c>
      <c r="B30524" s="3">
        <v>0</v>
      </c>
    </row>
    <row r="30525" ht="15.75" customHeight="1" spans="1:2">
      <c r="A30525" s="3" t="str">
        <f>IFERROR(__xludf.DUMMYFUNCTION("GOOGLETRANSLATE(A30525,""en"",""pt"")"),"Nenhum.")</f>
        <v>Nenhum.</v>
      </c>
      <c r="B30525" s="3">
        <v>0</v>
      </c>
    </row>
    <row r="30526" ht="15.75" customHeight="1" spans="1:2">
      <c r="A30526" s="3" t="str">
        <f>IFERROR(__xludf.DUMMYFUNCTION("GOOGLETRANSLATE(A30526,""en"",""pt"")"),"Não consigo encontrar qualquer ainda! Oh talvez, ele requer que você sempre transportar uma bateria sobressalente.")</f>
        <v>Não consigo encontrar qualquer ainda! Oh talvez, ele requer que você sempre transportar uma bateria sobressalente.</v>
      </c>
      <c r="B30526" s="3">
        <v>0</v>
      </c>
    </row>
    <row r="30527" ht="15.75" customHeight="1" spans="1:2">
      <c r="A30527" s="3" t="str">
        <f>IFERROR(__xludf.DUMMYFUNCTION("GOOGLETRANSLATE(A30527,""en"",""pt"")"),"zoom fraco, a vida da bateria padrão limitado")</f>
        <v>zoom fraco, a vida da bateria padrão limitado</v>
      </c>
      <c r="B30527" s="3">
        <v>0</v>
      </c>
    </row>
    <row r="30528" ht="15.75" customHeight="1" spans="1:2">
      <c r="A30528" s="3" t="str">
        <f>IFERROR(__xludf.DUMMYFUNCTION("GOOGLETRANSLATE(A30528,""en"",""pt"")"),"O tamanho pequeno, não como muitos acessórios, preços pro memory stick")</f>
        <v>O tamanho pequeno, não como muitos acessórios, preços pro memory stick</v>
      </c>
      <c r="B30528" s="3">
        <v>0</v>
      </c>
    </row>
    <row r="30529" ht="15.75" customHeight="1" spans="1:2">
      <c r="A30529" s="3" t="str">
        <f>IFERROR(__xludf.DUMMYFUNCTION("GOOGLETRANSLATE(A30529,""en"",""pt"")"),"Vida útil da bateria questionável, Limited Digital Zoom")</f>
        <v>Vida útil da bateria questionável, Limited Digital Zoom</v>
      </c>
      <c r="B30529" s="3">
        <v>0</v>
      </c>
    </row>
    <row r="30530" ht="15.75" customHeight="1" spans="1:2">
      <c r="A30530" s="3" t="str">
        <f>IFERROR(__xludf.DUMMYFUNCTION("GOOGLETRANSLATE(A30530,""en"",""pt"")"),"Sem ampliação no modo e câmera de foco manual bloqueios durante as gravações de arquivo TIFF")</f>
        <v>Sem ampliação no modo e câmera de foco manual bloqueios durante as gravações de arquivo TIFF</v>
      </c>
      <c r="B30530" s="3">
        <v>0</v>
      </c>
    </row>
    <row r="30531" ht="15.75" customHeight="1" spans="1:2">
      <c r="A30531" s="3" t="str">
        <f>IFERROR(__xludf.DUMMYFUNCTION("GOOGLETRANSLATE(A30531,""en"",""pt"")")," lcd fixo, cartão de memória, bateria carregada na câmera, flash ?, lente lento")</f>
        <v> lcd fixo, cartão de memória, bateria carregada na câmera, flash ?, lente lento</v>
      </c>
      <c r="B30531" s="3">
        <v>0</v>
      </c>
    </row>
    <row r="30532" ht="15.75" customHeight="1" spans="1:2">
      <c r="A30532" s="3" t="str">
        <f>IFERROR(__xludf.DUMMYFUNCTION("GOOGLETRANSLATE(A30532,""en"",""pt"")"),"Preço, preços acessórios")</f>
        <v>Preço, preços acessórios</v>
      </c>
      <c r="B30532" s="3">
        <v>0</v>
      </c>
    </row>
    <row r="30533" ht="15.75" customHeight="1" spans="1:2">
      <c r="A30533" s="3" t="str">
        <f>IFERROR(__xludf.DUMMYFUNCTION("GOOGLETRANSLATE(A30533,""en"",""pt"")"),"preços de acessórios")</f>
        <v>preços de acessórios</v>
      </c>
      <c r="B30533" s="3">
        <v>0</v>
      </c>
    </row>
    <row r="30534" ht="15.75" customHeight="1" spans="1:2">
      <c r="A30534" s="3" t="str">
        <f>IFERROR(__xludf.DUMMYFUNCTION("GOOGLETRANSLATE(A30534,""en"",""pt"")"),"Difícil de segurar, tempos de gravação longos para TIFF")</f>
        <v>Difícil de segurar, tempos de gravação longos para TIFF</v>
      </c>
      <c r="B30534" s="3">
        <v>0</v>
      </c>
    </row>
    <row r="30535" ht="15.75" customHeight="1" spans="1:2">
      <c r="A30535" s="3" t="str">
        <f>IFERROR(__xludf.DUMMYFUNCTION("GOOGLETRANSLATE(A30535,""en"",""pt"")"),"O custo do cartucho de papel e de impressão!")</f>
        <v>O custo do cartucho de papel e de impressão!</v>
      </c>
      <c r="B30535" s="3">
        <v>0</v>
      </c>
    </row>
    <row r="30536" ht="15.75" customHeight="1" spans="1:2">
      <c r="A30536" s="3" t="str">
        <f>IFERROR(__xludf.DUMMYFUNCTION("GOOGLETRANSLATE(A30536,""en"",""pt"")"),"Nenhum")</f>
        <v>Nenhum</v>
      </c>
      <c r="B30536" s="3">
        <v>0</v>
      </c>
    </row>
    <row r="30537" ht="15.75" customHeight="1" spans="1:2">
      <c r="A30537" s="3" t="str">
        <f>IFERROR(__xludf.DUMMYFUNCTION("GOOGLETRANSLATE(A30537,""en"",""pt"")"),"preço associado com papel / tinta")</f>
        <v>preço associado com papel / tinta</v>
      </c>
      <c r="B30537" s="3">
        <v>0</v>
      </c>
    </row>
    <row r="30538" ht="15.75" customHeight="1" spans="1:2">
      <c r="A30538" s="3" t="str">
        <f>IFERROR(__xludf.DUMMYFUNCTION("GOOGLETRANSLATE(A30538,""en"",""pt"")"),"documentação ""distorcido"". não pode usar alguns recursos com PC. Encontrar papel fotográfico de substituição em lojas normais.")</f>
        <v>documentação "distorcido". não pode usar alguns recursos com PC. Encontrar papel fotográfico de substituição em lojas normais.</v>
      </c>
      <c r="B30538" s="3">
        <v>0</v>
      </c>
    </row>
    <row r="30539" ht="15.75" customHeight="1" spans="1:2">
      <c r="A30539" s="3" t="str">
        <f>IFERROR(__xludf.DUMMYFUNCTION("GOOGLETRANSLATE(A30539,""en"",""pt"")"),"Nenhum")</f>
        <v>Nenhum</v>
      </c>
      <c r="B30539" s="3">
        <v>0</v>
      </c>
    </row>
    <row r="30540" ht="15.75" customHeight="1" spans="1:2">
      <c r="A30540" s="3" t="str">
        <f>IFERROR(__xludf.DUMMYFUNCTION("GOOGLETRANSLATE(A30540,""en"",""pt"")"),"/ Fita de papel pack pode ser difícil de encontrar localmente mas melhores ofertas online")</f>
        <v>/ Fita de papel pack pode ser difícil de encontrar localmente mas melhores ofertas online</v>
      </c>
      <c r="B30540" s="3">
        <v>0</v>
      </c>
    </row>
    <row r="30541" ht="15.75" customHeight="1" spans="1:2">
      <c r="A30541" s="3" t="str">
        <f>IFERROR(__xludf.DUMMYFUNCTION("GOOGLETRANSLATE(A30541,""en"",""pt"")"),"apegada a Sony para o abastecimento, só imprime 4x6 e 3.5x4 fotos")</f>
        <v>apegada a Sony para o abastecimento, só imprime 4x6 e 3.5x4 fotos</v>
      </c>
      <c r="B30541" s="3">
        <v>0</v>
      </c>
    </row>
    <row r="30542" ht="15.75" customHeight="1" spans="1:2">
      <c r="A30542" s="3" t="str">
        <f>IFERROR(__xludf.DUMMYFUNCTION("GOOGLETRANSLATE(A30542,""en"",""pt"")"),"preço da mídia, limite no tamanho da foto")</f>
        <v>preço da mídia, limite no tamanho da foto</v>
      </c>
      <c r="B30542" s="3">
        <v>0</v>
      </c>
    </row>
    <row r="30543" ht="15.75" customHeight="1" spans="1:2">
      <c r="A30543" s="3" t="str">
        <f>IFERROR(__xludf.DUMMYFUNCTION("GOOGLETRANSLATE(A30543,""en"",""pt"")"),"4 x 6 fotos só, muito caro para imprimir")</f>
        <v>4 x 6 fotos só, muito caro para imprimir</v>
      </c>
      <c r="B30543" s="3">
        <v>0</v>
      </c>
    </row>
    <row r="30544" ht="15.75" customHeight="1" spans="1:2">
      <c r="A30544" s="3" t="str">
        <f>IFERROR(__xludf.DUMMYFUNCTION("GOOGLETRANSLATE(A30544,""en"",""pt"")"),"papel / cartucho de preço combinado, papel tem um apoio ""cartão postal""")</f>
        <v>papel / cartucho de preço combinado, papel tem um apoio "cartão postal"</v>
      </c>
      <c r="B30544" s="3">
        <v>0</v>
      </c>
    </row>
    <row r="30545" ht="15.75" customHeight="1" spans="1:2">
      <c r="A30545" s="3" t="str">
        <f>IFERROR(__xludf.DUMMYFUNCTION("GOOGLETRANSLATE(A30545,""en"",""pt"")"),"Mal projetado, conceito ridículo")</f>
        <v>Mal projetado, conceito ridículo</v>
      </c>
      <c r="B30545" s="3">
        <v>0</v>
      </c>
    </row>
    <row r="30546" ht="15.75" customHeight="1" spans="1:2">
      <c r="A30546" s="3" t="str">
        <f>IFERROR(__xludf.DUMMYFUNCTION("GOOGLETRANSLATE(A30546,""en"",""pt"")"),"Custo ea dificuldade de encontrar o papel de substituição. Max tamanho da imagem é 4x6.")</f>
        <v>Custo ea dificuldade de encontrar o papel de substituição. Max tamanho da imagem é 4x6.</v>
      </c>
      <c r="B30546" s="3">
        <v>0</v>
      </c>
    </row>
    <row r="30547" ht="15.75" customHeight="1" spans="1:2">
      <c r="A30547" s="3" t="str">
        <f>IFERROR(__xludf.DUMMYFUNCTION("GOOGLETRANSLATE(A30547,""en"",""pt"")"),"Nenhum.")</f>
        <v>Nenhum.</v>
      </c>
      <c r="B30547" s="3">
        <v>0</v>
      </c>
    </row>
    <row r="30548" ht="15.75" customHeight="1" spans="1:2">
      <c r="A30548" s="3" t="str">
        <f>IFERROR(__xludf.DUMMYFUNCTION("GOOGLETRANSLATE(A30548,""en"",""pt"")"),"há 8x10 de, um tanto longo prazo caro")</f>
        <v>há 8x10 de, um tanto longo prazo caro</v>
      </c>
      <c r="B30548" s="3">
        <v>0</v>
      </c>
    </row>
    <row r="30549" ht="15.75" customHeight="1" spans="1:2">
      <c r="A30549" s="3" t="str">
        <f>IFERROR(__xludf.DUMMYFUNCTION("GOOGLETRANSLATE(A30549,""en"",""pt"")"),"Papel / fita embalar difícil encontrar localmente, mas muitos disponíveis on-line, imprime até 4x6")</f>
        <v>Papel / fita embalar difícil encontrar localmente, mas muitos disponíveis on-line, imprime até 4x6</v>
      </c>
      <c r="B30549" s="3">
        <v>0</v>
      </c>
    </row>
    <row r="30550" ht="15.75" customHeight="1" spans="1:2">
      <c r="A30550" s="3" t="str">
        <f>IFERROR(__xludf.DUMMYFUNCTION("GOOGLETRANSLATE(A30550,""en"",""pt"")"),"Apenas zoom 3x, tamanho grande.")</f>
        <v>Apenas zoom 3x, tamanho grande.</v>
      </c>
      <c r="B30550" s="3">
        <v>0</v>
      </c>
    </row>
    <row r="30551" ht="15.75" customHeight="1" spans="1:2">
      <c r="A30551" s="3" t="str">
        <f>IFERROR(__xludf.DUMMYFUNCTION("GOOGLETRANSLATE(A30551,""en"",""pt"")"),"Em vez caro, por isso muito para entender, muito delicado")</f>
        <v>Em vez caro, por isso muito para entender, muito delicado</v>
      </c>
      <c r="B30551" s="3">
        <v>0</v>
      </c>
    </row>
    <row r="30552" ht="15.75" customHeight="1" spans="1:2">
      <c r="A30552" s="3" t="str">
        <f>IFERROR(__xludf.DUMMYFUNCTION("GOOGLETRANSLATE(A30552,""en"",""pt"")"),"CD somente - nenhuma mídia removível, difícil de ver ao ar livre LCD, olhos vermelhos")</f>
        <v>CD somente - nenhuma mídia removível, difícil de ver ao ar livre LCD, olhos vermelhos</v>
      </c>
      <c r="B30552" s="3">
        <v>0</v>
      </c>
    </row>
    <row r="30553" ht="15.75" customHeight="1" spans="1:2">
      <c r="A30553" s="3" t="str">
        <f>IFERROR(__xludf.DUMMYFUNCTION("GOOGLETRANSLATE(A30553,""en"",""pt"")"),"Muito caro. limitações físicas causadas por CD")</f>
        <v>Muito caro. limitações físicas causadas por CD</v>
      </c>
      <c r="B30553" s="3">
        <v>0</v>
      </c>
    </row>
    <row r="30554" ht="15.75" customHeight="1" spans="1:2">
      <c r="A30554" s="3" t="str">
        <f>IFERROR(__xludf.DUMMYFUNCTION("GOOGLETRANSLATE(A30554,""en"",""pt"")"),"tempo do disco de acesso bastante longa, tamanho grande para não-SLR")</f>
        <v>tempo do disco de acesso bastante longa, tamanho grande para não-SLR</v>
      </c>
      <c r="B30554" s="3">
        <v>0</v>
      </c>
    </row>
    <row r="30555" ht="15.75" customHeight="1" spans="1:2">
      <c r="A30555" s="3" t="str">
        <f>IFERROR(__xludf.DUMMYFUNCTION("GOOGLETRANSLATE(A30555,""en"",""pt"")"),"Lag entre os disparos é um pouco lento.")</f>
        <v>Lag entre os disparos é um pouco lento.</v>
      </c>
      <c r="B30555" s="3">
        <v>0</v>
      </c>
    </row>
    <row r="30556" ht="15.75" customHeight="1" spans="1:2">
      <c r="A30556" s="3" t="str">
        <f>IFERROR(__xludf.DUMMYFUNCTION("GOOGLETRANSLATE(A30556,""en"",""pt"")"),"localização do microfone, a programação de VGA")</f>
        <v>localização do microfone, a programação de VGA</v>
      </c>
      <c r="B30556" s="3">
        <v>0</v>
      </c>
    </row>
    <row r="30557" ht="15.75" customHeight="1" spans="1:2">
      <c r="A30557" s="3" t="str">
        <f>IFERROR(__xludf.DUMMYFUNCTION("GOOGLETRANSLATE(A30557,""en"",""pt"")"),"Intro tela de flash um pouco longo demais fotos de modo sincero são limitados")</f>
        <v>Intro tela de flash um pouco longo demais fotos de modo sincero são limitados</v>
      </c>
      <c r="B30557" s="3">
        <v>0</v>
      </c>
    </row>
    <row r="30558" ht="15.75" customHeight="1" spans="1:2">
      <c r="A30558" s="3" t="str">
        <f>IFERROR(__xludf.DUMMYFUNCTION("GOOGLETRANSLATE(A30558,""en"",""pt"")"),"Cagado ""sensação"" devido a barato detalhamento, como um brinquedo de plástico realmente. design ergonômico pobres.")</f>
        <v>Cagado "sensação" devido a barato detalhamento, como um brinquedo de plástico realmente. design ergonômico pobres.</v>
      </c>
      <c r="B30558" s="3">
        <v>0</v>
      </c>
    </row>
    <row r="30559" ht="15.75" customHeight="1" spans="1:2">
      <c r="A30559" s="3" t="str">
        <f>IFERROR(__xludf.DUMMYFUNCTION("GOOGLETRANSLATE(A30559,""en"",""pt"")"),"volumosos - grande - caro")</f>
        <v>volumosos - grande - caro</v>
      </c>
      <c r="B30559" s="3">
        <v>0</v>
      </c>
    </row>
    <row r="30560" ht="15.75" customHeight="1" spans="1:2">
      <c r="A30560" s="3" t="str">
        <f>IFERROR(__xludf.DUMMYFUNCTION("GOOGLETRANSLATE(A30560,""en"",""pt"")"),"A conexão USB não funcionam com o Windows Millenium Edition.")</f>
        <v>A conexão USB não funcionam com o Windows Millenium Edition.</v>
      </c>
      <c r="B30560" s="3">
        <v>0</v>
      </c>
    </row>
    <row r="30561" ht="15.75" customHeight="1" spans="1:2">
      <c r="A30561" s="3" t="str">
        <f>IFERROR(__xludf.DUMMYFUNCTION("GOOGLETRANSLATE(A30561,""en"",""pt"")"),"Discos têm restrições de memória e eu tive problemas para se conectar a porta USB para o meu CPU.")</f>
        <v>Discos têm restrições de memória e eu tive problemas para se conectar a porta USB para o meu CPU.</v>
      </c>
      <c r="B30561" s="3">
        <v>0</v>
      </c>
    </row>
    <row r="30562" ht="15.75" customHeight="1" spans="1:2">
      <c r="A30562" s="3" t="str">
        <f>IFERROR(__xludf.DUMMYFUNCTION("GOOGLETRANSLATE(A30562,""en"",""pt"")"),"Preço")</f>
        <v>Preço</v>
      </c>
      <c r="B30562" s="3">
        <v>0</v>
      </c>
    </row>
    <row r="30563" ht="15.75" customHeight="1" spans="1:2">
      <c r="A30563" s="3" t="str">
        <f>IFERROR(__xludf.DUMMYFUNCTION("GOOGLETRANSLATE(A30563,""en"",""pt"")"),"Grande unidade, botão do obturador pela ""sensação""")</f>
        <v>Grande unidade, botão do obturador pela "sensação"</v>
      </c>
      <c r="B30563" s="3">
        <v>0</v>
      </c>
    </row>
    <row r="30564" ht="15.75" customHeight="1" spans="1:2">
      <c r="A30564" s="3" t="str">
        <f>IFERROR(__xludf.DUMMYFUNCTION("GOOGLETRANSLATE(A30564,""en"",""pt"")"),"Não rápido como câmeras de filme regulares, Expensive")</f>
        <v>Não rápido como câmeras de filme regulares, Expensive</v>
      </c>
      <c r="B30564" s="3">
        <v>0</v>
      </c>
    </row>
    <row r="30565" ht="15.75" customHeight="1" spans="1:2">
      <c r="A30565" s="3" t="str">
        <f>IFERROR(__xludf.DUMMYFUNCTION("GOOGLETRANSLATE(A30565,""en"",""pt"")"),"Sem capacidade de Lentes de mudança")</f>
        <v>Sem capacidade de Lentes de mudança</v>
      </c>
      <c r="B30565" s="3">
        <v>0</v>
      </c>
    </row>
    <row r="30566" ht="15.75" customHeight="1" spans="1:2">
      <c r="A30566" s="3" t="str">
        <f>IFERROR(__xludf.DUMMYFUNCTION("GOOGLETRANSLATE(A30566,""en"",""pt"")"),"Câmera ""congela"" enquanto se prepara para se concentrar. (Além disso, não se pode excluir fotos off discos.)")</f>
        <v>Câmera "congela" enquanto se prepara para se concentrar. (Além disso, não se pode excluir fotos off discos.)</v>
      </c>
      <c r="B30566" s="3">
        <v>0</v>
      </c>
    </row>
    <row r="30567" ht="15.75" customHeight="1" spans="1:2">
      <c r="A30567" s="3" t="str">
        <f>IFERROR(__xludf.DUMMYFUNCTION("GOOGLETRANSLATE(A30567,""en"",""pt"")"),"Seqüenciais fotos de ação é um grande problema, gravação de captura é muito lento.")</f>
        <v>Seqüenciais fotos de ação é um grande problema, gravação de captura é muito lento.</v>
      </c>
      <c r="B30567" s="3">
        <v>0</v>
      </c>
    </row>
    <row r="30568" ht="15.75" customHeight="1" spans="1:2">
      <c r="A30568" s="3" t="str">
        <f>IFERROR(__xludf.DUMMYFUNCTION("GOOGLETRANSLATE(A30568,""en"",""pt"")"),"Grande!")</f>
        <v>Grande!</v>
      </c>
      <c r="B30568" s="3">
        <v>0</v>
      </c>
    </row>
    <row r="30569" ht="15.75" customHeight="1" spans="1:2">
      <c r="A30569" s="3" t="str">
        <f>IFERROR(__xludf.DUMMYFUNCTION("GOOGLETRANSLATE(A30569,""en"",""pt"")"),"custo, usando o flash torna mais escura")</f>
        <v>custo, usando o flash torna mais escura</v>
      </c>
      <c r="B30569" s="3">
        <v>0</v>
      </c>
    </row>
    <row r="30570" ht="15.75" customHeight="1" spans="1:2">
      <c r="A30570" s="3" t="str">
        <f>IFERROR(__xludf.DUMMYFUNCTION("GOOGLETRANSLATE(A30570,""en"",""pt"")"),"O CD é final, necessidades CDR-W que são re-gravável")</f>
        <v>O CD é final, necessidades CDR-W que são re-gravável</v>
      </c>
      <c r="B30570" s="3">
        <v>0</v>
      </c>
    </row>
    <row r="30571" ht="15.75" customHeight="1" spans="1:2">
      <c r="A30571" s="3" t="str">
        <f>IFERROR(__xludf.DUMMYFUNCTION("GOOGLETRANSLATE(A30571,""en"",""pt"")"),"1-sec imagem atraso captura, disponibilidade de discos em branco,")</f>
        <v>1-sec imagem atraso captura, disponibilidade de discos em branco,</v>
      </c>
      <c r="B30571" s="3">
        <v>0</v>
      </c>
    </row>
    <row r="30572" ht="15.75" customHeight="1" spans="1:2">
      <c r="A30572" s="3" t="str">
        <f>IFERROR(__xludf.DUMMYFUNCTION("GOOGLETRANSLATE(A30572,""en"",""pt"")"),"A descobri que única fina é que o construído em flash é sotra fracos (necessidades para ser um pouco mais altas poderosa)")</f>
        <v>A descobri que única fina é que o construído em flash é sotra fracos (necessidades para ser um pouco mais altas poderosa)</v>
      </c>
      <c r="B30572" s="3">
        <v>0</v>
      </c>
    </row>
    <row r="30573" ht="15.75" customHeight="1" spans="1:2">
      <c r="A30573" s="3" t="str">
        <f>IFERROR(__xludf.DUMMYFUNCTION("GOOGLETRANSLATE(A30573,""en"",""pt"")"),"""Quadradão"" olhando, volumosos, um pouco mais caro")</f>
        <v>"Quadradão" olhando, volumosos, um pouco mais caro</v>
      </c>
      <c r="B30573" s="3">
        <v>0</v>
      </c>
    </row>
    <row r="30574" ht="15.75" customHeight="1" spans="1:2">
      <c r="A30574" s="3" t="str">
        <f>IFERROR(__xludf.DUMMYFUNCTION("GOOGLETRANSLATE(A30574,""en"",""pt"")"),"Caros, volumosos e pesados, precisa de algum tempo para a volta e tiro, tampão necessidade")</f>
        <v>Caros, volumosos e pesados, precisa de algum tempo para a volta e tiro, tampão necessidade</v>
      </c>
      <c r="B30574" s="3">
        <v>0</v>
      </c>
    </row>
    <row r="30575" ht="15.75" customHeight="1" spans="1:2">
      <c r="A30575" s="3" t="str">
        <f>IFERROR(__xludf.DUMMYFUNCTION("GOOGLETRANSLATE(A30575,""en"",""pt"")"),"qualidade inconsistente, atrasos antes de tirar a foto.")</f>
        <v>qualidade inconsistente, atrasos antes de tirar a foto.</v>
      </c>
      <c r="B30575" s="3">
        <v>0</v>
      </c>
    </row>
    <row r="30576" ht="15.75" customHeight="1" spans="1:2">
      <c r="A30576" s="3" t="str">
        <f>IFERROR(__xludf.DUMMYFUNCTION("GOOGLETRANSLATE(A30576,""en"",""pt"")"),"Preço ($ 1299) (relativo) &amp; amp; # 13; &amp; amp; # 10; Big, pesado")</f>
        <v>Preço ($ 1299) (relativo) &amp; amp; # 13; &amp; amp; # 10; Big, pesado</v>
      </c>
      <c r="B30576" s="3">
        <v>0</v>
      </c>
    </row>
    <row r="30577" ht="15.75" customHeight="1" spans="1:2">
      <c r="A30577" s="3" t="str">
        <f>IFERROR(__xludf.DUMMYFUNCTION("GOOGLETRANSLATE(A30577,""en"",""pt"")"),", Um volumoso pouco caro e pesado.")</f>
        <v>, Um volumoso pouco caro e pesado.</v>
      </c>
      <c r="B30577" s="3">
        <v>0</v>
      </c>
    </row>
    <row r="30578" ht="15.75" customHeight="1" spans="1:2">
      <c r="A30578" s="3" t="str">
        <f>IFERROR(__xludf.DUMMYFUNCTION("GOOGLETRANSLATE(A30578,""en"",""pt"")"),"Caro, pesado, ""Industrial"" Olhe.")</f>
        <v>Caro, pesado, "Industrial" Olhe.</v>
      </c>
      <c r="B30578" s="3">
        <v>0</v>
      </c>
    </row>
    <row r="30579" ht="15.75" customHeight="1" spans="1:2">
      <c r="A30579" s="3" t="str">
        <f>IFERROR(__xludf.DUMMYFUNCTION("GOOGLETRANSLATE(A30579,""en"",""pt"")"),"pesado")</f>
        <v>pesado</v>
      </c>
      <c r="B30579" s="3">
        <v>0</v>
      </c>
    </row>
    <row r="30580" ht="15.75" customHeight="1" spans="1:2">
      <c r="A30580" s="3" t="str">
        <f>IFERROR(__xludf.DUMMYFUNCTION("GOOGLETRANSLATE(A30580,""en"",""pt"")"),"as, falta de ângulo largo")</f>
        <v>as, falta de ângulo largo</v>
      </c>
      <c r="B30580" s="3">
        <v>0</v>
      </c>
    </row>
    <row r="30581" ht="15.75" customHeight="1" spans="1:2">
      <c r="A30581" s="3" t="str">
        <f>IFERROR(__xludf.DUMMYFUNCTION("GOOGLETRANSLATE(A30581,""en"",""pt"")"),"pesado")</f>
        <v>pesado</v>
      </c>
      <c r="B30581" s="3">
        <v>0</v>
      </c>
    </row>
    <row r="30582" ht="15.75" customHeight="1" spans="1:2">
      <c r="A30582" s="3" t="str">
        <f>IFERROR(__xludf.DUMMYFUNCTION("GOOGLETRANSLATE(A30582,""en"",""pt"")"),"Flacky no Win 98 e Drivers para Win 2000")</f>
        <v>Flacky no Win 98 e Drivers para Win 2000</v>
      </c>
      <c r="B30582" s="3">
        <v>0</v>
      </c>
    </row>
    <row r="30583" ht="15.75" customHeight="1" spans="1:2">
      <c r="A30583" s="3" t="str">
        <f>IFERROR(__xludf.DUMMYFUNCTION("GOOGLETRANSLATE(A30583,""en"",""pt"")"),"Obturador congelar dificulta cenas de ação")</f>
        <v>Obturador congelar dificulta cenas de ação</v>
      </c>
      <c r="B30583" s="3">
        <v>0</v>
      </c>
    </row>
    <row r="30584" ht="15.75" customHeight="1" spans="1:2">
      <c r="A30584" s="3" t="str">
        <f>IFERROR(__xludf.DUMMYFUNCTION("GOOGLETRANSLATE(A30584,""en"",""pt"")"),"Flash é inútil, a falta de Mac Suporte")</f>
        <v>Flash é inútil, a falta de Mac Suporte</v>
      </c>
      <c r="B30584" s="3">
        <v>0</v>
      </c>
    </row>
    <row r="30585" ht="15.75" customHeight="1" spans="1:2">
      <c r="A30585" s="3" t="str">
        <f>IFERROR(__xludf.DUMMYFUNCTION("GOOGLETRANSLATE(A30585,""en"",""pt"")"),"resolução não é mais alta disponível, mas ainda grande")</f>
        <v>resolução não é mais alta disponível, mas ainda grande</v>
      </c>
      <c r="B30585" s="3">
        <v>0</v>
      </c>
    </row>
    <row r="30586" ht="15.75" customHeight="1" spans="1:2">
      <c r="A30586" s="3" t="str">
        <f>IFERROR(__xludf.DUMMYFUNCTION("GOOGLETRANSLATE(A30586,""en"",""pt"")"),"grande angular lamentável, manuseamento desajeitado")</f>
        <v>grande angular lamentável, manuseamento desajeitado</v>
      </c>
      <c r="B30586" s="3">
        <v>0</v>
      </c>
    </row>
    <row r="30587" ht="15.75" customHeight="1" spans="1:2">
      <c r="A30587" s="3" t="str">
        <f>IFERROR(__xludf.DUMMYFUNCTION("GOOGLETRANSLATE(A30587,""en"",""pt"")"),"Preço, tamanho um pouco complicado")</f>
        <v>Preço, tamanho um pouco complicado</v>
      </c>
      <c r="B30587" s="3">
        <v>0</v>
      </c>
    </row>
    <row r="30588" ht="15.75" customHeight="1" spans="1:2">
      <c r="A30588" s="3" t="str">
        <f>IFERROR(__xludf.DUMMYFUNCTION("GOOGLETRANSLATE(A30588,""en"",""pt"")"),"Tamanho")</f>
        <v>Tamanho</v>
      </c>
      <c r="B30588" s="3">
        <v>0</v>
      </c>
    </row>
    <row r="30589" ht="15.75" customHeight="1" spans="1:2">
      <c r="A30589" s="3" t="str">
        <f>IFERROR(__xludf.DUMMYFUNCTION("GOOGLETRANSLATE(A30589,""en"",""pt"")"),"ACIMA")</f>
        <v>ACIMA</v>
      </c>
      <c r="B30589" s="3">
        <v>0</v>
      </c>
    </row>
    <row r="30590" ht="15.75" customHeight="1" spans="1:2">
      <c r="A30590" s="3" t="str">
        <f>IFERROR(__xludf.DUMMYFUNCTION("GOOGLETRANSLATE(A30590,""en"",""pt"")"),"algumas funções não são tão bem pensado como deveriam ser")</f>
        <v>algumas funções não são tão bem pensado como deveriam ser</v>
      </c>
      <c r="B30590" s="3">
        <v>0</v>
      </c>
    </row>
    <row r="30591" ht="15.75" customHeight="1" spans="1:2">
      <c r="A30591" s="3" t="str">
        <f>IFERROR(__xludf.DUMMYFUNCTION("GOOGLETRANSLATE(A30591,""en"",""pt"")"),"algumas funções não são tão bem pensado como deveriam ser")</f>
        <v>algumas funções não são tão bem pensado como deveriam ser</v>
      </c>
      <c r="B30591" s="3">
        <v>0</v>
      </c>
    </row>
    <row r="30592" ht="15.75" customHeight="1" spans="1:2">
      <c r="A30592" s="3" t="str">
        <f>IFERROR(__xludf.DUMMYFUNCTION("GOOGLETRANSLATE(A30592,""en"",""pt"")"),"Não tão rápido como câmera de 35mm com base filme. condições de baixa luminosidade apresentam problemas.")</f>
        <v>Não tão rápido como câmera de 35mm com base filme. condições de baixa luminosidade apresentam problemas.</v>
      </c>
      <c r="B30592" s="3">
        <v>0</v>
      </c>
    </row>
    <row r="30593" ht="15.75" customHeight="1" spans="1:2">
      <c r="A30593" s="3" t="str">
        <f>IFERROR(__xludf.DUMMYFUNCTION("GOOGLETRANSLATE(A30593,""en"",""pt"")"),"Preço, tamanho e falta de real valor na estratégia de armazenamento de imagens CD.")</f>
        <v>Preço, tamanho e falta de real valor na estratégia de armazenamento de imagens CD.</v>
      </c>
      <c r="B30593" s="3">
        <v>0</v>
      </c>
    </row>
    <row r="30594" ht="15.75" customHeight="1" spans="1:2">
      <c r="A30594" s="3" t="str">
        <f>IFERROR(__xludf.DUMMYFUNCTION("GOOGLETRANSLATE(A30594,""en"",""pt"")"),"velocidade de gravação lenta, volumosos e pesados.")</f>
        <v>velocidade de gravação lenta, volumosos e pesados.</v>
      </c>
      <c r="B30594" s="3">
        <v>0</v>
      </c>
    </row>
    <row r="30595" ht="15.75" customHeight="1" spans="1:2">
      <c r="A30595" s="3" t="str">
        <f>IFERROR(__xludf.DUMMYFUNCTION("GOOGLETRANSLATE(A30595,""en"",""pt"")"),"Preço, também ter que inicializar todos os CDs e seguida Finalize antes de remover.")</f>
        <v>Preço, também ter que inicializar todos os CDs e seguida Finalize antes de remover.</v>
      </c>
      <c r="B30595" s="3">
        <v>0</v>
      </c>
    </row>
    <row r="30596" ht="15.75" customHeight="1" spans="1:2">
      <c r="A30596" s="3" t="str">
        <f>IFERROR(__xludf.DUMMYFUNCTION("GOOGLETRANSLATE(A30596,""en"",""pt"")"),"Mais caro do que dois itens superiores separados seria.")</f>
        <v>Mais caro do que dois itens superiores separados seria.</v>
      </c>
      <c r="B30596" s="3">
        <v>0</v>
      </c>
    </row>
    <row r="30597" ht="15.75" customHeight="1" spans="1:2">
      <c r="A30597" s="3" t="str">
        <f>IFERROR(__xludf.DUMMYFUNCTION("GOOGLETRANSLATE(A30597,""en"",""pt"")"),"No visor, sem carregador externo incluído")</f>
        <v>No visor, sem carregador externo incluído</v>
      </c>
      <c r="B30597" s="3">
        <v>0</v>
      </c>
    </row>
    <row r="30598" ht="15.75" customHeight="1" spans="1:2">
      <c r="A30598" s="3" t="str">
        <f>IFERROR(__xludf.DUMMYFUNCTION("GOOGLETRANSLATE(A30598,""en"",""pt"")"),"Ligeiramente mais volumoso do que a maioria. Altamente sensível ao movimento durante a inicialização do disco. Caro.")</f>
        <v>Ligeiramente mais volumoso do que a maioria. Altamente sensível ao movimento durante a inicialização do disco. Caro.</v>
      </c>
      <c r="B30598" s="3">
        <v>0</v>
      </c>
    </row>
    <row r="30599" ht="15.75" customHeight="1" spans="1:2">
      <c r="A30599" s="3" t="str">
        <f>IFERROR(__xludf.DUMMYFUNCTION("GOOGLETRANSLATE(A30599,""en"",""pt"")"),"É um pouco grande, não vai caber no seu bolso ou na bolsa.")</f>
        <v>É um pouco grande, não vai caber no seu bolso ou na bolsa.</v>
      </c>
      <c r="B30599" s="3">
        <v>0</v>
      </c>
    </row>
    <row r="30600" ht="15.75" customHeight="1" spans="1:2">
      <c r="A30600" s="3" t="str">
        <f>IFERROR(__xludf.DUMMYFUNCTION("GOOGLETRANSLATE(A30600,""en"",""pt"")"),"ligeiramente volumoso; recursos podem ser esmagadora em primeiro lugar")</f>
        <v>ligeiramente volumoso; recursos podem ser esmagadora em primeiro lugar</v>
      </c>
      <c r="B30600" s="3">
        <v>0</v>
      </c>
    </row>
    <row r="30601" ht="15.75" customHeight="1" spans="1:2">
      <c r="A30601" s="3" t="str">
        <f>IFERROR(__xludf.DUMMYFUNCTION("GOOGLETRANSLATE(A30601,""en"",""pt"")"),"No carregador de bateria externa.")</f>
        <v>No carregador de bateria externa.</v>
      </c>
      <c r="B30601" s="3">
        <v>0</v>
      </c>
    </row>
    <row r="30602" ht="15.75" customHeight="1" spans="1:2">
      <c r="A30602" s="3" t="str">
        <f>IFERROR(__xludf.DUMMYFUNCTION("GOOGLETRANSLATE(A30602,""en"",""pt"")"),"Big e um pouco mais de tamanho!")</f>
        <v>Big e um pouco mais de tamanho!</v>
      </c>
      <c r="B30602" s="3">
        <v>0</v>
      </c>
    </row>
    <row r="30603" ht="15.75" customHeight="1" spans="1:2">
      <c r="A30603" s="3" t="str">
        <f>IFERROR(__xludf.DUMMYFUNCTION("GOOGLETRANSLATE(A30603,""en"",""pt"")"),"formato de CD não é compatível com todas as unidades de CD-ROM")</f>
        <v>formato de CD não é compatível com todas as unidades de CD-ROM</v>
      </c>
      <c r="B30603" s="3">
        <v>0</v>
      </c>
    </row>
    <row r="30604" ht="15.75" customHeight="1" spans="1:2">
      <c r="A30604" s="3" t="str">
        <f>IFERROR(__xludf.DUMMYFUNCTION("GOOGLETRANSLATE(A30604,""en"",""pt"")"),"Preço, pesado, grande, nem visor óptico, apenas 2 MP.")</f>
        <v>Preço, pesado, grande, nem visor óptico, apenas 2 MP.</v>
      </c>
      <c r="B30604" s="3">
        <v>0</v>
      </c>
    </row>
    <row r="30605" ht="15.75" customHeight="1" spans="1:2">
      <c r="A30605" s="3" t="str">
        <f>IFERROR(__xludf.DUMMYFUNCTION("GOOGLETRANSLATE(A30605,""en"",""pt"")"),"Focando é um pouco mais difícil do que com uma câmera normal.")</f>
        <v>Focando é um pouco mais difícil do que com uma câmera normal.</v>
      </c>
      <c r="B30605" s="3">
        <v>0</v>
      </c>
    </row>
    <row r="30606" ht="15.75" customHeight="1" spans="1:2">
      <c r="A30606" s="3" t="str">
        <f>IFERROR(__xludf.DUMMYFUNCTION("GOOGLETRANSLATE(A30606,""en"",""pt"")"),"Camera é volumoso, acessórios caros")</f>
        <v>Camera é volumoso, acessórios caros</v>
      </c>
      <c r="B30606" s="3">
        <v>0</v>
      </c>
    </row>
    <row r="30607" ht="15.75" customHeight="1" spans="1:2">
      <c r="A30607" s="3" t="str">
        <f>IFERROR(__xludf.DUMMYFUNCTION("GOOGLETRANSLATE(A30607,""en"",""pt"")"),"Heavy / volumosos, não view finder, imagens desfocar um pouco com o movimento na ocasião")</f>
        <v>Heavy / volumosos, não view finder, imagens desfocar um pouco com o movimento na ocasião</v>
      </c>
      <c r="B30607" s="3">
        <v>0</v>
      </c>
    </row>
    <row r="30608" ht="15.75" customHeight="1" spans="1:2">
      <c r="A30608" s="3" t="str">
        <f>IFERROR(__xludf.DUMMYFUNCTION("GOOGLETRANSLATE(A30608,""en"",""pt"")"),"baixa resolução em comparação com câmeras mais recentes, volumoso")</f>
        <v>baixa resolução em comparação com câmeras mais recentes, volumoso</v>
      </c>
      <c r="B30608" s="3">
        <v>0</v>
      </c>
    </row>
    <row r="30609" ht="15.75" customHeight="1" spans="1:2">
      <c r="A30609" s="3" t="str">
        <f>IFERROR(__xludf.DUMMYFUNCTION("GOOGLETRANSLATE(A30609,""en"",""pt"")"),"difícil de lidar para mãos grandes e bastante pesado.")</f>
        <v>difícil de lidar para mãos grandes e bastante pesado.</v>
      </c>
      <c r="B30609" s="3">
        <v>0</v>
      </c>
    </row>
    <row r="30610" ht="15.75" customHeight="1" spans="1:2">
      <c r="A30610" s="3" t="str">
        <f>IFERROR(__xludf.DUMMYFUNCTION("GOOGLETRANSLATE(A30610,""en"",""pt"")"),"um pouco volumoso, preço")</f>
        <v>um pouco volumoso, preço</v>
      </c>
      <c r="B30610" s="3">
        <v>0</v>
      </c>
    </row>
    <row r="30611" ht="15.75" customHeight="1" spans="1:2">
      <c r="A30611" s="3" t="str">
        <f>IFERROR(__xludf.DUMMYFUNCTION("GOOGLETRANSLATE(A30611,""en"",""pt"")"),"Extremamente lento durante as gravações de .tiff")</f>
        <v>Extremamente lento durante as gravações de .tiff</v>
      </c>
      <c r="B30611" s="3">
        <v>0</v>
      </c>
    </row>
    <row r="30612" ht="15.75" customHeight="1" spans="1:2">
      <c r="A30612" s="3" t="str">
        <f>IFERROR(__xludf.DUMMYFUNCTION("GOOGLETRANSLATE(A30612,""en"",""pt"")"),"erros perdido disco constantes fotos, a câmera do grande desajeitado, botões mal posicionados, ruim para fotógrafos ativos")</f>
        <v>erros perdido disco constantes fotos, a câmera do grande desajeitado, botões mal posicionados, ruim para fotógrafos ativos</v>
      </c>
      <c r="B30612" s="3">
        <v>0</v>
      </c>
    </row>
    <row r="30613" ht="15.75" customHeight="1" spans="1:2">
      <c r="A30613" s="3" t="str">
        <f>IFERROR(__xludf.DUMMYFUNCTION("GOOGLETRANSLATE(A30613,""en"",""pt"")"),"O vídeo é muito pequeno e não a mesma qualidade que os tiros ainda.")</f>
        <v>O vídeo é muito pequeno e não a mesma qualidade que os tiros ainda.</v>
      </c>
      <c r="B30613" s="3">
        <v>0</v>
      </c>
    </row>
    <row r="30614" ht="15.75" customHeight="1" spans="1:2">
      <c r="A30614" s="3" t="str">
        <f>IFERROR(__xludf.DUMMYFUNCTION("GOOGLETRANSLATE(A30614,""en"",""pt"")"),"Um pouco volumoso")</f>
        <v>Um pouco volumoso</v>
      </c>
      <c r="B30614" s="3">
        <v>0</v>
      </c>
    </row>
    <row r="30615" ht="15.75" customHeight="1" spans="1:2">
      <c r="A30615" s="3" t="str">
        <f>IFERROR(__xludf.DUMMYFUNCTION("GOOGLETRANSLATE(A30615,""en"",""pt"")"),"No visor óptico, baterias são caros e de propriedade.")</f>
        <v>No visor óptico, baterias são caros e de propriedade.</v>
      </c>
      <c r="B30615" s="3">
        <v>0</v>
      </c>
    </row>
    <row r="30616" ht="15.75" customHeight="1" spans="1:2">
      <c r="A30616" s="3" t="str">
        <f>IFERROR(__xludf.DUMMYFUNCTION("GOOGLETRANSLATE(A30616,""en"",""pt"")"),"erros de CD, resultando em fotos perdidas, um pouco volumoso, o tempo de atraso entre as fotos")</f>
        <v>erros de CD, resultando em fotos perdidas, um pouco volumoso, o tempo de atraso entre as fotos</v>
      </c>
      <c r="B30616" s="3">
        <v>0</v>
      </c>
    </row>
    <row r="30617" ht="15.75" customHeight="1" spans="1:2">
      <c r="A30617" s="3" t="str">
        <f>IFERROR(__xludf.DUMMYFUNCTION("GOOGLETRANSLATE(A30617,""en"",""pt"")"),"Não é possível controlar o obturador ou a abertura prioridade")</f>
        <v>Não é possível controlar o obturador ou a abertura prioridade</v>
      </c>
      <c r="B30617" s="3">
        <v>0</v>
      </c>
    </row>
    <row r="30618" ht="15.75" customHeight="1" spans="1:2">
      <c r="A30618" s="3" t="str">
        <f>IFERROR(__xludf.DUMMYFUNCTION("GOOGLETRANSLATE(A30618,""en"",""pt"")"),"Um pouco volumoso")</f>
        <v>Um pouco volumoso</v>
      </c>
      <c r="B30618" s="3">
        <v>0</v>
      </c>
    </row>
    <row r="30619" ht="15.75" customHeight="1" spans="1:2">
      <c r="A30619" s="3" t="str">
        <f>IFERROR(__xludf.DUMMYFUNCTION("GOOGLETRANSLATE(A30619,""en"",""pt"")"),"Exibir mensagem desfavorável quando se usa não-Sony CD.")</f>
        <v>Exibir mensagem desfavorável quando se usa não-Sony CD.</v>
      </c>
      <c r="B30619" s="3">
        <v>0</v>
      </c>
    </row>
    <row r="30620" ht="15.75" customHeight="1" spans="1:2">
      <c r="A30620" s="3" t="str">
        <f>IFERROR(__xludf.DUMMYFUNCTION("GOOGLETRANSLATE(A30620,""en"",""pt"")"),"Para certains muito volumosos ... mais estável para mim.")</f>
        <v>Para certains muito volumosos ... mais estável para mim.</v>
      </c>
      <c r="B30620" s="3">
        <v>0</v>
      </c>
    </row>
    <row r="30621" ht="15.75" customHeight="1" spans="1:2">
      <c r="A30621" s="3" t="str">
        <f>IFERROR(__xludf.DUMMYFUNCTION("GOOGLETRANSLATE(A30621,""en"",""pt"")"),"ligeiramente mais pesado do que o esperado. manual de instruções é prolixo.")</f>
        <v>ligeiramente mais pesado do que o esperado. manual de instruções é prolixo.</v>
      </c>
      <c r="B30621" s="3">
        <v>0</v>
      </c>
    </row>
    <row r="30622" ht="15.75" customHeight="1" spans="1:2">
      <c r="A30622" s="3" t="str">
        <f>IFERROR(__xludf.DUMMYFUNCTION("GOOGLETRANSLATE(A30622,""en"",""pt"")"),"Preço, tamanho, acesso a disco")</f>
        <v>Preço, tamanho, acesso a disco</v>
      </c>
      <c r="B30622" s="3">
        <v>0</v>
      </c>
    </row>
    <row r="30623" ht="15.75" customHeight="1" spans="1:2">
      <c r="A30623" s="3" t="str">
        <f>IFERROR(__xludf.DUMMYFUNCTION("GOOGLETRANSLATE(A30623,""en"",""pt"")"),"Esperar para a gravação do disco. Menos de vídeo estelar. Cuidado com os não-Sony CD-RWs.")</f>
        <v>Esperar para a gravação do disco. Menos de vídeo estelar. Cuidado com os não-Sony CD-RWs.</v>
      </c>
      <c r="B30623" s="3">
        <v>0</v>
      </c>
    </row>
    <row r="30624" ht="15.75" customHeight="1" spans="1:2">
      <c r="A30624" s="3" t="str">
        <f>IFERROR(__xludf.DUMMYFUNCTION("GOOGLETRANSLATE(A30624,""en"",""pt"")"),"Price, um pouco maior do que outras câmaras.")</f>
        <v>Price, um pouco maior do que outras câmaras.</v>
      </c>
      <c r="B30624" s="3">
        <v>0</v>
      </c>
    </row>
    <row r="30625" ht="15.75" customHeight="1" spans="1:2">
      <c r="A30625" s="3" t="str">
        <f>IFERROR(__xludf.DUMMYFUNCTION("GOOGLETRANSLATE(A30625,""en"",""pt"")"),"alto preço, a curva de aprendizagem, o tempo de gravação de disco")</f>
        <v>alto preço, a curva de aprendizagem, o tempo de gravação de disco</v>
      </c>
      <c r="B30625" s="3">
        <v>0</v>
      </c>
    </row>
    <row r="30626" ht="15.75" customHeight="1" spans="1:2">
      <c r="A30626" s="3" t="str">
        <f>IFERROR(__xludf.DUMMYFUNCTION("GOOGLETRANSLATE(A30626,""en"",""pt"")"),"No visor óptico, tempos de inicialização lenta, Imagem lenta / miniatura de exibição")</f>
        <v>No visor óptico, tempos de inicialização lenta, Imagem lenta / miniatura de exibição</v>
      </c>
      <c r="B30626" s="3">
        <v>0</v>
      </c>
    </row>
    <row r="30627" ht="15.75" customHeight="1" spans="1:2">
      <c r="A30627" s="3" t="str">
        <f>IFERROR(__xludf.DUMMYFUNCTION("GOOGLETRANSLATE(A30627,""en"",""pt"")"),"Alto custo, um pouco lento, um pouco volumoso, mas o armazenamento de fotos é A +.")</f>
        <v>Alto custo, um pouco lento, um pouco volumoso, mas o armazenamento de fotos é A +.</v>
      </c>
      <c r="B30627" s="3">
        <v>0</v>
      </c>
    </row>
    <row r="30628" ht="15.75" customHeight="1" spans="1:2">
      <c r="A30628" s="3" t="str">
        <f>IFERROR(__xludf.DUMMYFUNCTION("GOOGLETRANSLATE(A30628,""en"",""pt"")"),"Muitos recursos! Eu só quero tirar uma foto de qualidade!")</f>
        <v>Muitos recursos! Eu só quero tirar uma foto de qualidade!</v>
      </c>
      <c r="B30628" s="3">
        <v>0</v>
      </c>
    </row>
    <row r="30629" ht="15.75" customHeight="1" spans="1:2">
      <c r="A30629" s="3" t="str">
        <f>IFERROR(__xludf.DUMMYFUNCTION("GOOGLETRANSLATE(A30629,""en"",""pt"")"),"Caro")</f>
        <v>Caro</v>
      </c>
      <c r="B30629" s="3">
        <v>0</v>
      </c>
    </row>
    <row r="30630" ht="15.75" customHeight="1" spans="1:2">
      <c r="A30630" s="3" t="str">
        <f>IFERROR(__xludf.DUMMYFUNCTION("GOOGLETRANSLATE(A30630,""en"",""pt"")"),"problemas de garantia, tempo de inicialização lenta, irritante ""disco mavica recomendado"" mensagem, não uma câmera de ação")</f>
        <v>problemas de garantia, tempo de inicialização lenta, irritante "disco mavica recomendado" mensagem, não uma câmera de ação</v>
      </c>
      <c r="B30630" s="3">
        <v>0</v>
      </c>
    </row>
    <row r="30631" ht="15.75" customHeight="1" spans="1:2">
      <c r="A30631" s="3" t="str">
        <f>IFERROR(__xludf.DUMMYFUNCTION("GOOGLETRANSLATE(A30631,""en"",""pt"")"),"Eu tive que comprar um caso grande, porque é uma câmera grande!")</f>
        <v>Eu tive que comprar um caso grande, porque é uma câmera grande!</v>
      </c>
      <c r="B30631" s="3">
        <v>0</v>
      </c>
    </row>
    <row r="30632" ht="15.75" customHeight="1" spans="1:2">
      <c r="A30632" s="3" t="str">
        <f>IFERROR(__xludf.DUMMYFUNCTION("GOOGLETRANSLATE(A30632,""en"",""pt"")"),"vídeo tempo limitado")</f>
        <v>vídeo tempo limitado</v>
      </c>
      <c r="B30632" s="3">
        <v>0</v>
      </c>
    </row>
    <row r="30633" ht="15.75" customHeight="1" spans="1:2">
      <c r="A30633" s="3" t="str">
        <f>IFERROR(__xludf.DUMMYFUNCTION("GOOGLETRANSLATE(A30633,""en"",""pt"")"),"preço de compra íngreme.")</f>
        <v>preço de compra íngreme.</v>
      </c>
      <c r="B30633" s="3">
        <v>0</v>
      </c>
    </row>
    <row r="30634" ht="15.75" customHeight="1" spans="1:2">
      <c r="A30634" s="3" t="str">
        <f>IFERROR(__xludf.DUMMYFUNCTION("GOOGLETRANSLATE(A30634,""en"",""pt"")"),"preço elevado")</f>
        <v>preço elevado</v>
      </c>
      <c r="B30634" s="3">
        <v>0</v>
      </c>
    </row>
    <row r="30635" ht="15.75" customHeight="1" spans="1:2">
      <c r="A30635" s="3" t="str">
        <f>IFERROR(__xludf.DUMMYFUNCTION("GOOGLETRANSLATE(A30635,""en"",""pt"")"),"preço")</f>
        <v>preço</v>
      </c>
      <c r="B30635" s="3">
        <v>0</v>
      </c>
    </row>
    <row r="30636" ht="15.75" customHeight="1" spans="1:2">
      <c r="A30636" s="3" t="str">
        <f>IFERROR(__xludf.DUMMYFUNCTION("GOOGLETRANSLATE(A30636,""en"",""pt"")"),"tempo de gravação lenta, a qualidade do filme não tão grande.")</f>
        <v>tempo de gravação lenta, a qualidade do filme não tão grande.</v>
      </c>
      <c r="B30636" s="3">
        <v>0</v>
      </c>
    </row>
    <row r="30637" ht="15.75" customHeight="1" spans="1:2">
      <c r="A30637" s="3" t="str">
        <f>IFERROR(__xludf.DUMMYFUNCTION("GOOGLETRANSLATE(A30637,""en"",""pt"")"),"preço, peso, tamanho, tempo de resposta")</f>
        <v>preço, peso, tamanho, tempo de resposta</v>
      </c>
      <c r="B30637" s="3">
        <v>0</v>
      </c>
    </row>
    <row r="30638" ht="15.75" customHeight="1" spans="1:2">
      <c r="A30638" s="3" t="str">
        <f>IFERROR(__xludf.DUMMYFUNCTION("GOOGLETRANSLATE(A30638,""en"",""pt"")"),"Um pouco caro, grande e pesado, lento 3-4 segundos entre fotos")</f>
        <v>Um pouco caro, grande e pesado, lento 3-4 segundos entre fotos</v>
      </c>
      <c r="B30638" s="3">
        <v>0</v>
      </c>
    </row>
    <row r="30639" ht="15.75" customHeight="1" spans="1:2">
      <c r="A30639" s="3" t="str">
        <f>IFERROR(__xludf.DUMMYFUNCTION("GOOGLETRANSLATE(A30639,""en"",""pt"")"),"No caso de transporte, e a necessidade de comprar um anexo de lente antes de usar extras.")</f>
        <v>No caso de transporte, e a necessidade de comprar um anexo de lente antes de usar extras.</v>
      </c>
      <c r="B30639" s="3">
        <v>0</v>
      </c>
    </row>
    <row r="30640" ht="15.75" customHeight="1" spans="1:2">
      <c r="A30640" s="3" t="str">
        <f>IFERROR(__xludf.DUMMYFUNCTION("GOOGLETRANSLATE(A30640,""en"",""pt"")"),"interface do Sony ainda é limitante.")</f>
        <v>interface do Sony ainda é limitante.</v>
      </c>
      <c r="B30640" s="3">
        <v>0</v>
      </c>
    </row>
    <row r="30641" ht="15.75" customHeight="1" spans="1:2">
      <c r="A30641" s="3" t="str">
        <f>IFERROR(__xludf.DUMMYFUNCTION("GOOGLETRANSLATE(A30641,""en"",""pt"")"),"Caro - volumosos - a falta de extras")</f>
        <v>Caro - volumosos - a falta de extras</v>
      </c>
      <c r="B30641" s="3">
        <v>0</v>
      </c>
    </row>
    <row r="30642" ht="15.75" customHeight="1" spans="1:2">
      <c r="A30642" s="3" t="str">
        <f>IFERROR(__xludf.DUMMYFUNCTION("GOOGLETRANSLATE(A30642,""en"",""pt"")"),"Um pouco caro; grande; lento?")</f>
        <v>Um pouco caro; grande; lento?</v>
      </c>
      <c r="B30642" s="3">
        <v>0</v>
      </c>
    </row>
    <row r="30643" ht="15.75" customHeight="1" spans="1:2">
      <c r="A30643" s="3" t="str">
        <f>IFERROR(__xludf.DUMMYFUNCTION("GOOGLETRANSLATE(A30643,""en"",""pt"")"),"Longo atraso entre os disparos. Visualizando a tela pode ser difícil de ver na luz brilhante.")</f>
        <v>Longo atraso entre os disparos. Visualizando a tela pode ser difícil de ver na luz brilhante.</v>
      </c>
      <c r="B30643" s="3">
        <v>0</v>
      </c>
    </row>
    <row r="30644" ht="15.75" customHeight="1" spans="1:2">
      <c r="A30644" s="3" t="str">
        <f>IFERROR(__xludf.DUMMYFUNCTION("GOOGLETRANSLATE(A30644,""en"",""pt"")"),"tão grande como qualquer 35 milímetros de lente única câmara reflex mas de peso leve")</f>
        <v>tão grande como qualquer 35 milímetros de lente única câmara reflex mas de peso leve</v>
      </c>
      <c r="B30644" s="3">
        <v>0</v>
      </c>
    </row>
    <row r="30645" ht="15.75" customHeight="1" spans="1:2">
      <c r="A30645" s="3" t="str">
        <f>IFERROR(__xludf.DUMMYFUNCTION("GOOGLETRANSLATE(A30645,""en"",""pt"")"),"NÃO MAC COMPATÍVEL (excepto OSX)")</f>
        <v>NÃO MAC COMPATÍVEL (excepto OSX)</v>
      </c>
      <c r="B30645" s="3">
        <v>0</v>
      </c>
    </row>
    <row r="30646" ht="15.75" customHeight="1" spans="1:2">
      <c r="A30646" s="3" t="str">
        <f>IFERROR(__xludf.DUMMYFUNCTION("GOOGLETRANSLATE(A30646,""en"",""pt"")"),"A correia não parece seguro &amp; amp; apenas 2,5 horas de duração da bateria.")</f>
        <v>A correia não parece seguro &amp; amp; apenas 2,5 horas de duração da bateria.</v>
      </c>
      <c r="B30646" s="3">
        <v>0</v>
      </c>
    </row>
    <row r="30647" ht="15.75" customHeight="1" spans="1:2">
      <c r="A30647" s="3" t="str">
        <f>IFERROR(__xludf.DUMMYFUNCTION("GOOGLETRANSLATE(A30647,""en"",""pt"")"),"Não uma câmera de bolso (1 lbs 7 oz) e caro.")</f>
        <v>Não uma câmera de bolso (1 lbs 7 oz) e caro.</v>
      </c>
      <c r="B30647" s="3">
        <v>0</v>
      </c>
    </row>
    <row r="30648" ht="15.75" customHeight="1" spans="1:2">
      <c r="A30648" s="3" t="str">
        <f>IFERROR(__xludf.DUMMYFUNCTION("GOOGLETRANSLATE(A30648,""en"",""pt"")"),"Maior do que a maioria das câmeras digitais")</f>
        <v>Maior do que a maioria das câmeras digitais</v>
      </c>
      <c r="B30648" s="3">
        <v>0</v>
      </c>
    </row>
    <row r="30649" ht="15.75" customHeight="1" spans="1:2">
      <c r="A30649" s="3" t="str">
        <f>IFERROR(__xludf.DUMMYFUNCTION("GOOGLETRANSLATE(A30649,""en"",""pt"")"),"Lento.")</f>
        <v>Lento.</v>
      </c>
      <c r="B30649" s="3">
        <v>0</v>
      </c>
    </row>
    <row r="30650" ht="15.75" customHeight="1" spans="1:2">
      <c r="A30650" s="3" t="str">
        <f>IFERROR(__xludf.DUMMYFUNCTION("GOOGLETRANSLATE(A30650,""en"",""pt"")"),"No visor. 3 segundo atraso do obturador. , Tamanho de uma SLR.")</f>
        <v>No visor. 3 segundo atraso do obturador. , Tamanho de uma SLR.</v>
      </c>
      <c r="B30650" s="3">
        <v>0</v>
      </c>
    </row>
    <row r="30651" ht="15.75" customHeight="1" spans="1:2">
      <c r="A30651" s="3" t="str">
        <f>IFERROR(__xludf.DUMMYFUNCTION("GOOGLETRANSLATE(A30651,""en"",""pt"")"),"Granel &amp; amp; custo. capacidade de vídeo medíocre")</f>
        <v>Granel &amp; amp; custo. capacidade de vídeo medíocre</v>
      </c>
      <c r="B30651" s="3">
        <v>0</v>
      </c>
    </row>
    <row r="30652" ht="15.75" customHeight="1" spans="1:2">
      <c r="A30652" s="3" t="str">
        <f>IFERROR(__xludf.DUMMYFUNCTION("GOOGLETRANSLATE(A30652,""en"",""pt"")"),"Volumoso para a tomada de ""casual"" fotos")</f>
        <v>Volumoso para a tomada de "casual" fotos</v>
      </c>
      <c r="B30652" s="3">
        <v>0</v>
      </c>
    </row>
    <row r="30653" ht="15.75" customHeight="1" spans="1:2">
      <c r="A30653" s="3" t="str">
        <f>IFERROR(__xludf.DUMMYFUNCTION("GOOGLETRANSLATE(A30653,""en"",""pt"")"),"O atraso de 3 segundos, e que traquinas Sony botão ""enter"".")</f>
        <v>O atraso de 3 segundos, e que traquinas Sony botão "enter".</v>
      </c>
      <c r="B30653" s="3">
        <v>0</v>
      </c>
    </row>
    <row r="30654" ht="15.75" customHeight="1" spans="1:2">
      <c r="A30654" s="3" t="str">
        <f>IFERROR(__xludf.DUMMYFUNCTION("GOOGLETRANSLATE(A30654,""en"",""pt"")"),"Eu só gostaria que tivesse um zoom óptico maior e talvez um visor.")</f>
        <v>Eu só gostaria que tivesse um zoom óptico maior e talvez um visor.</v>
      </c>
      <c r="B30654" s="3">
        <v>0</v>
      </c>
    </row>
    <row r="30655" ht="15.75" customHeight="1" spans="1:2">
      <c r="A30655" s="3" t="str">
        <f>IFERROR(__xludf.DUMMYFUNCTION("GOOGLETRANSLATE(A30655,""en"",""pt"")"),"ligeiramente volumoso")</f>
        <v>ligeiramente volumoso</v>
      </c>
      <c r="B30655" s="3">
        <v>0</v>
      </c>
    </row>
    <row r="30656" ht="15.75" customHeight="1" spans="1:2">
      <c r="A30656" s="3" t="str">
        <f>IFERROR(__xludf.DUMMYFUNCTION("GOOGLETRANSLATE(A30656,""en"",""pt"")"),"Volumosos, um pouco de atraso do obturador, carece de um visor, viewscreen é frágil")</f>
        <v>Volumosos, um pouco de atraso do obturador, carece de um visor, viewscreen é frágil</v>
      </c>
      <c r="B30656" s="3">
        <v>0</v>
      </c>
    </row>
    <row r="30657" ht="15.75" customHeight="1" spans="1:2">
      <c r="A30657" s="3" t="str">
        <f>IFERROR(__xludf.DUMMYFUNCTION("GOOGLETRANSLATE(A30657,""en"",""pt"")"),"volumosos, a resposta lenta do obturador, qualidade questionável")</f>
        <v>volumosos, a resposta lenta do obturador, qualidade questionável</v>
      </c>
      <c r="B30657" s="3">
        <v>0</v>
      </c>
    </row>
    <row r="30658" ht="15.75" customHeight="1" spans="1:2">
      <c r="A30658" s="3" t="str">
        <f>IFERROR(__xludf.DUMMYFUNCTION("GOOGLETRANSLATE(A30658,""en"",""pt"")"),"Usando mini-cd finalizado em computadores ainda é um desafio para usar com outro software")</f>
        <v>Usando mini-cd finalizado em computadores ainda é um desafio para usar com outro software</v>
      </c>
      <c r="B30658" s="3">
        <v>0</v>
      </c>
    </row>
    <row r="30659" ht="15.75" customHeight="1" spans="1:2">
      <c r="A30659" s="3" t="str">
        <f>IFERROR(__xludf.DUMMYFUNCTION("GOOGLETRANSLATE(A30659,""en"",""pt"")"),"Um pouco grande e carece de um visor")</f>
        <v>Um pouco grande e carece de um visor</v>
      </c>
      <c r="B30659" s="3">
        <v>0</v>
      </c>
    </row>
    <row r="30660" ht="15.75" customHeight="1" spans="1:2">
      <c r="A30660" s="3" t="str">
        <f>IFERROR(__xludf.DUMMYFUNCTION("GOOGLETRANSLATE(A30660,""en"",""pt"")"),"preço, tamanho / peso, facilmente ""dewed""")</f>
        <v>preço, tamanho / peso, facilmente "dewed"</v>
      </c>
      <c r="B30660" s="3">
        <v>0</v>
      </c>
    </row>
    <row r="30661" ht="15.75" customHeight="1" spans="1:2">
      <c r="A30661" s="3" t="str">
        <f>IFERROR(__xludf.DUMMYFUNCTION("GOOGLETRANSLATE(A30661,""en"",""pt"")"),"preço (ainda à espera para saber se vale a pena o investimento)")</f>
        <v>preço (ainda à espera para saber se vale a pena o investimento)</v>
      </c>
      <c r="B30661" s="3">
        <v>0</v>
      </c>
    </row>
    <row r="30662" ht="15.75" customHeight="1" spans="1:2">
      <c r="A30662" s="3" t="str">
        <f>IFERROR(__xludf.DUMMYFUNCTION("GOOGLETRANSLATE(A30662,""en"",""pt"")"),"peso")</f>
        <v>peso</v>
      </c>
      <c r="B30662" s="3">
        <v>0</v>
      </c>
    </row>
    <row r="30663" ht="15.75" customHeight="1" spans="1:2">
      <c r="A30663" s="3" t="str">
        <f>IFERROR(__xludf.DUMMYFUNCTION("GOOGLETRANSLATE(A30663,""en"",""pt"")"),"tudo")</f>
        <v>tudo</v>
      </c>
      <c r="B30663" s="3">
        <v>0</v>
      </c>
    </row>
    <row r="30664" ht="15.75" customHeight="1" spans="1:2">
      <c r="A30664" s="3" t="str">
        <f>IFERROR(__xludf.DUMMYFUNCTION("GOOGLETRANSLATE(A30664,""en"",""pt"")"),"Display LCD drena a bateria.")</f>
        <v>Display LCD drena a bateria.</v>
      </c>
      <c r="B30664" s="3">
        <v>0</v>
      </c>
    </row>
    <row r="30665" ht="15.75" customHeight="1" spans="1:2">
      <c r="A30665" s="3" t="str">
        <f>IFERROR(__xludf.DUMMYFUNCTION("GOOGLETRANSLATE(A30665,""en"",""pt"")"),"bateria, com foco")</f>
        <v>bateria, com foco</v>
      </c>
      <c r="B30665" s="3">
        <v>0</v>
      </c>
    </row>
    <row r="30666" ht="15.75" customHeight="1" spans="1:2">
      <c r="A30666" s="3" t="str">
        <f>IFERROR(__xludf.DUMMYFUNCTION("GOOGLETRANSLATE(A30666,""en"",""pt"")"),"Má qualidade, lento, mau flash, curta duração da bateria")</f>
        <v>Má qualidade, lento, mau flash, curta duração da bateria</v>
      </c>
      <c r="B30666" s="3">
        <v>0</v>
      </c>
    </row>
    <row r="30667" ht="15.75" customHeight="1" spans="1:2">
      <c r="A30667" s="3" t="str">
        <f>IFERROR(__xludf.DUMMYFUNCTION("GOOGLETRANSLATE(A30667,""en"",""pt"")"),"Não há nenhum!")</f>
        <v>Não há nenhum!</v>
      </c>
      <c r="B30667" s="3">
        <v>0</v>
      </c>
    </row>
    <row r="30668" ht="15.75" customHeight="1" spans="1:2">
      <c r="A30668" s="3" t="str">
        <f>IFERROR(__xludf.DUMMYFUNCTION("GOOGLETRANSLATE(A30668,""en"",""pt"")"),"A qualidade da imagem poderia ser um pouco melhor")</f>
        <v>A qualidade da imagem poderia ser um pouco melhor</v>
      </c>
      <c r="B30668" s="3">
        <v>0</v>
      </c>
    </row>
    <row r="30669" ht="15.75" customHeight="1" spans="1:2">
      <c r="A30669" s="3" t="str">
        <f>IFERROR(__xludf.DUMMYFUNCTION("GOOGLETRANSLATE(A30669,""en"",""pt"")"),"Nenhum")</f>
        <v>Nenhum</v>
      </c>
      <c r="B30669" s="3">
        <v>0</v>
      </c>
    </row>
    <row r="30670" ht="15.75" customHeight="1" spans="1:2">
      <c r="A30670" s="3" t="str">
        <f>IFERROR(__xludf.DUMMYFUNCTION("GOOGLETRANSLATE(A30670,""en"",""pt"")"),"qualidade da foto")</f>
        <v>qualidade da foto</v>
      </c>
      <c r="B30670" s="3">
        <v>0</v>
      </c>
    </row>
    <row r="30671" ht="15.75" customHeight="1" spans="1:2">
      <c r="A30671" s="3" t="str">
        <f>IFERROR(__xludf.DUMMYFUNCTION("GOOGLETRANSLATE(A30671,""en"",""pt"")"),"fotos internas são difíceis, geralmente por causa da iluminação.")</f>
        <v>fotos internas são difíceis, geralmente por causa da iluminação.</v>
      </c>
      <c r="B30671" s="3">
        <v>0</v>
      </c>
    </row>
    <row r="30672" ht="15.75" customHeight="1" spans="1:2">
      <c r="A30672" s="3" t="str">
        <f>IFERROR(__xludf.DUMMYFUNCTION("GOOGLETRANSLATE(A30672,""en"",""pt"")")," Não é uma ótima câmera para &amp; amp; quot; artística &amp; amp; quot; fotografia (paisagens, retratos)")</f>
        <v> Não é uma ótima câmera para &amp; amp; quot; artística &amp; amp; quot; fotografia (paisagens, retratos)</v>
      </c>
      <c r="B30672" s="3">
        <v>0</v>
      </c>
    </row>
    <row r="30673" ht="15.75" customHeight="1" spans="1:2">
      <c r="A30673" s="3" t="str">
        <f>IFERROR(__xludf.DUMMYFUNCTION("GOOGLETRANSLATE(A30673,""en"",""pt"")"),"Limitando a capacidade de armazenamento flexível.")</f>
        <v>Limitando a capacidade de armazenamento flexível.</v>
      </c>
      <c r="B30673" s="3">
        <v>0</v>
      </c>
    </row>
    <row r="30674" ht="15.75" customHeight="1" spans="1:2">
      <c r="A30674" s="3" t="str">
        <f>IFERROR(__xludf.DUMMYFUNCTION("GOOGLETRANSLATE(A30674,""en"",""pt"")"),"Não para todos os usos")</f>
        <v>Não para todos os usos</v>
      </c>
      <c r="B30674" s="3">
        <v>0</v>
      </c>
    </row>
    <row r="30675" ht="15.75" customHeight="1" spans="1:2">
      <c r="A30675" s="3" t="str">
        <f>IFERROR(__xludf.DUMMYFUNCTION("GOOGLETRANSLATE(A30675,""en"",""pt"")"),"extras vendidos seprately")</f>
        <v>extras vendidos seprately</v>
      </c>
      <c r="B30675" s="3">
        <v>0</v>
      </c>
    </row>
    <row r="30676" ht="15.75" customHeight="1" spans="1:2">
      <c r="A30676" s="3" t="str">
        <f>IFERROR(__xludf.DUMMYFUNCTION("GOOGLETRANSLATE(A30676,""en"",""pt"")"),"qualidade da imagem não 35mm, fotos borradas")</f>
        <v>qualidade da imagem não 35mm, fotos borradas</v>
      </c>
      <c r="B30676" s="3">
        <v>0</v>
      </c>
    </row>
    <row r="30677" ht="15.75" customHeight="1" spans="1:2">
      <c r="A30677" s="3" t="str">
        <f>IFERROR(__xludf.DUMMYFUNCTION("GOOGLETRANSLATE(A30677,""en"",""pt"")"),"sem zoom")</f>
        <v>sem zoom</v>
      </c>
      <c r="B30677" s="3">
        <v>0</v>
      </c>
    </row>
    <row r="30678" ht="15.75" customHeight="1" spans="1:2">
      <c r="A30678" s="3" t="str">
        <f>IFERROR(__xludf.DUMMYFUNCTION("GOOGLETRANSLATE(A30678,""en"",""pt"")"),"volumoso")</f>
        <v>volumoso</v>
      </c>
      <c r="B30678" s="3">
        <v>0</v>
      </c>
    </row>
    <row r="30679" ht="15.75" customHeight="1" spans="1:2">
      <c r="A30679" s="3" t="str">
        <f>IFERROR(__xludf.DUMMYFUNCTION("GOOGLETRANSLATE(A30679,""en"",""pt"")"),"Nenhuma cobertura LCD")</f>
        <v>Nenhuma cobertura LCD</v>
      </c>
      <c r="B30679" s="3">
        <v>0</v>
      </c>
    </row>
    <row r="30680" ht="15.75" customHeight="1" spans="1:2">
      <c r="A30680" s="3" t="str">
        <f>IFERROR(__xludf.DUMMYFUNCTION("GOOGLETRANSLATE(A30680,""en"",""pt"")"),"Um pouco lento")</f>
        <v>Um pouco lento</v>
      </c>
      <c r="B30680" s="3">
        <v>0</v>
      </c>
    </row>
    <row r="30681" ht="15.75" customHeight="1" spans="1:2">
      <c r="A30681" s="3" t="str">
        <f>IFERROR(__xludf.DUMMYFUNCTION("GOOGLETRANSLATE(A30681,""en"",""pt"")"),"Necessidade de assistir uso ao ar livre, ler as instruções")</f>
        <v>Necessidade de assistir uso ao ar livre, ler as instruções</v>
      </c>
      <c r="B30681" s="3">
        <v>0</v>
      </c>
    </row>
    <row r="30682" ht="15.75" customHeight="1" spans="1:2">
      <c r="A30682" s="3" t="str">
        <f>IFERROR(__xludf.DUMMYFUNCTION("GOOGLETRANSLATE(A30682,""en"",""pt"")"),"muito dinheiro")</f>
        <v>muito dinheiro</v>
      </c>
      <c r="B30682" s="3">
        <v>0</v>
      </c>
    </row>
    <row r="30683" ht="15.75" customHeight="1" spans="1:2">
      <c r="A30683" s="3" t="str">
        <f>IFERROR(__xludf.DUMMYFUNCTION("GOOGLETRANSLATE(A30683,""en"",""pt"")"),"Eu não poderia encontrar qualquer")</f>
        <v>Eu não poderia encontrar qualquer</v>
      </c>
      <c r="B30683" s="3">
        <v>0</v>
      </c>
    </row>
    <row r="30684" ht="15.75" customHeight="1" spans="1:2">
      <c r="A30684" s="3" t="str">
        <f>IFERROR(__xludf.DUMMYFUNCTION("GOOGLETRANSLATE(A30684,""en"",""pt"")"),"caro")</f>
        <v>caro</v>
      </c>
      <c r="B30684" s="3">
        <v>0</v>
      </c>
    </row>
    <row r="30685" ht="15.75" customHeight="1" spans="1:2">
      <c r="A30685" s="3" t="str">
        <f>IFERROR(__xludf.DUMMYFUNCTION("GOOGLETRANSLATE(A30685,""en"",""pt"")"),"disquetes não funcionam com iMacs menos que você tenha uma unidade externa")</f>
        <v>disquetes não funcionam com iMacs menos que você tenha uma unidade externa</v>
      </c>
      <c r="B30685" s="3">
        <v>0</v>
      </c>
    </row>
    <row r="30686" ht="15.75" customHeight="1" spans="1:2">
      <c r="A30686" s="3" t="str">
        <f>IFERROR(__xludf.DUMMYFUNCTION("GOOGLETRANSLATE(A30686,""en"",""pt"")"),"não encontrei nenhuma ainda!")</f>
        <v>não encontrei nenhuma ainda!</v>
      </c>
      <c r="B30686" s="3">
        <v>0</v>
      </c>
    </row>
    <row r="30687" ht="15.75" customHeight="1" spans="1:2">
      <c r="A30687" s="3" t="str">
        <f>IFERROR(__xludf.DUMMYFUNCTION("GOOGLETRANSLATE(A30687,""en"",""pt"")"),"pensando?? Não, não consigo pensar em nenhum!")</f>
        <v>pensando?? Não, não consigo pensar em nenhum!</v>
      </c>
      <c r="B30687" s="3">
        <v>0</v>
      </c>
    </row>
    <row r="30688" ht="15.75" customHeight="1" spans="1:2">
      <c r="A30688" s="3" t="str">
        <f>IFERROR(__xludf.DUMMYFUNCTION("GOOGLETRANSLATE(A30688,""en"",""pt"")"),"Qualidade da foto")</f>
        <v>Qualidade da foto</v>
      </c>
      <c r="B30688" s="3">
        <v>0</v>
      </c>
    </row>
    <row r="30689" ht="15.75" customHeight="1" spans="1:2">
      <c r="A30689" s="3" t="str">
        <f>IFERROR(__xludf.DUMMYFUNCTION("GOOGLETRANSLATE(A30689,""en"",""pt"")"),"imagens de um pouco granulado")</f>
        <v>imagens de um pouco granulado</v>
      </c>
      <c r="B30689" s="3">
        <v>0</v>
      </c>
    </row>
    <row r="30690" ht="15.75" customHeight="1" spans="1:2">
      <c r="A30690" s="3" t="str">
        <f>IFERROR(__xludf.DUMMYFUNCTION("GOOGLETRANSLATE(A30690,""en"",""pt"")"),"A qualidade da imagem não é uma alta como a película padrão.")</f>
        <v>A qualidade da imagem não é uma alta como a película padrão.</v>
      </c>
      <c r="B30690" s="3">
        <v>0</v>
      </c>
    </row>
    <row r="30691" ht="15.75" customHeight="1" spans="1:2">
      <c r="A30691" s="3" t="str">
        <f>IFERROR(__xludf.DUMMYFUNCTION("GOOGLETRANSLATE(A30691,""en"",""pt"")"),"Usa disquetes, é volumoso e tem má qualidade de imagem")</f>
        <v>Usa disquetes, é volumoso e tem má qualidade de imagem</v>
      </c>
      <c r="B30691" s="3">
        <v>0</v>
      </c>
    </row>
    <row r="30692" ht="15.75" customHeight="1" spans="1:2">
      <c r="A30692" s="3" t="str">
        <f>IFERROR(__xludf.DUMMYFUNCTION("GOOGLETRANSLATE(A30692,""en"",""pt"")"),"Zoom é uma porcaria, não para o profissional")</f>
        <v>Zoom é uma porcaria, não para o profissional</v>
      </c>
      <c r="B30692" s="3">
        <v>0</v>
      </c>
    </row>
    <row r="30693" ht="15.75" customHeight="1" spans="1:2">
      <c r="A30693" s="3" t="str">
        <f>IFERROR(__xludf.DUMMYFUNCTION("GOOGLETRANSLATE(A30693,""en"",""pt"")"),"Tudo o resto, a má resolução e focagem.")</f>
        <v>Tudo o resto, a má resolução e focagem.</v>
      </c>
      <c r="B30693" s="3">
        <v>0</v>
      </c>
    </row>
    <row r="30694" ht="15.75" customHeight="1" spans="1:2">
      <c r="A30694" s="3" t="str">
        <f>IFERROR(__xludf.DUMMYFUNCTION("GOOGLETRANSLATE(A30694,""en"",""pt"")"),"nenhuma lente zoom é uma obrigação")</f>
        <v>nenhuma lente zoom é uma obrigação</v>
      </c>
      <c r="B30694" s="3">
        <v>0</v>
      </c>
    </row>
    <row r="30695" ht="15.75" customHeight="1" spans="1:2">
      <c r="A30695" s="3" t="str">
        <f>IFERROR(__xludf.DUMMYFUNCTION("GOOGLETRANSLATE(A30695,""en"",""pt"")"),"Bad qualidade de imagem, come-se um monte de bateria")</f>
        <v>Bad qualidade de imagem, come-se um monte de bateria</v>
      </c>
      <c r="B30695" s="3">
        <v>0</v>
      </c>
    </row>
    <row r="30696" ht="15.75" customHeight="1" spans="1:2">
      <c r="A30696" s="3" t="str">
        <f>IFERROR(__xludf.DUMMYFUNCTION("GOOGLETRANSLATE(A30696,""en"",""pt"")"),"Big N volumoso, o Flash é uma loucura brilhante!")</f>
        <v>Big N volumoso, o Flash é uma loucura brilhante!</v>
      </c>
      <c r="B30696" s="3">
        <v>0</v>
      </c>
    </row>
    <row r="30697" ht="15.75" customHeight="1" spans="1:2">
      <c r="A30697" s="3" t="str">
        <f>IFERROR(__xludf.DUMMYFUNCTION("GOOGLETRANSLATE(A30697,""en"",""pt"")"),"não confiável, calor &amp; amp; ray x-sensitive")</f>
        <v>não confiável, calor &amp; amp; ray x-sensitive</v>
      </c>
      <c r="B30697" s="3">
        <v>0</v>
      </c>
    </row>
    <row r="30698" ht="15.75" customHeight="1" spans="1:2">
      <c r="A30698" s="3" t="str">
        <f>IFERROR(__xludf.DUMMYFUNCTION("GOOGLETRANSLATE(A30698,""en"",""pt"")"),"Pesado, lento salvar, baixa qualidade de imagem, erro de imagem, não pode ter vídeo em movimento")</f>
        <v>Pesado, lento salvar, baixa qualidade de imagem, erro de imagem, não pode ter vídeo em movimento</v>
      </c>
      <c r="B30698" s="3">
        <v>0</v>
      </c>
    </row>
    <row r="30699" ht="15.75" customHeight="1" spans="1:2">
      <c r="A30699" s="3" t="str">
        <f>IFERROR(__xludf.DUMMYFUNCTION("GOOGLETRANSLATE(A30699,""en"",""pt"")"),"a vida da bateria pobres. Má qualidade de imagem. Não faz jus aos padrões de qualidade da Sony.")</f>
        <v>a vida da bateria pobres. Má qualidade de imagem. Não faz jus aos padrões de qualidade da Sony.</v>
      </c>
      <c r="B30699" s="3">
        <v>0</v>
      </c>
    </row>
    <row r="30700" ht="15.75" customHeight="1" spans="1:2">
      <c r="A30700" s="3" t="str">
        <f>IFERROR(__xludf.DUMMYFUNCTION("GOOGLETRANSLATE(A30700,""en"",""pt"")"),"bateria")</f>
        <v>bateria</v>
      </c>
      <c r="B30700" s="3">
        <v>0</v>
      </c>
    </row>
    <row r="30701" ht="15.75" customHeight="1" spans="1:2">
      <c r="A30701" s="3" t="str">
        <f>IFERROR(__xludf.DUMMYFUNCTION("GOOGLETRANSLATE(A30701,""en"",""pt"")"),"Nenhum")</f>
        <v>Nenhum</v>
      </c>
      <c r="B30701" s="3">
        <v>0</v>
      </c>
    </row>
    <row r="30702" ht="15.75" customHeight="1" spans="1:2">
      <c r="A30702" s="3" t="str">
        <f>IFERROR(__xludf.DUMMYFUNCTION("GOOGLETRANSLATE(A30702,""en"",""pt"")"),"Preço, Display LCD fica manchada")</f>
        <v>Preço, Display LCD fica manchada</v>
      </c>
      <c r="B30702" s="3">
        <v>0</v>
      </c>
    </row>
    <row r="30703" ht="15.75" customHeight="1" spans="1:2">
      <c r="A30703" s="3" t="str">
        <f>IFERROR(__xludf.DUMMYFUNCTION("GOOGLETRANSLATE(A30703,""en"",""pt"")"),"dominando flash, tela LCD durante as sessões ao ar livre")</f>
        <v>dominando flash, tela LCD durante as sessões ao ar livre</v>
      </c>
      <c r="B30703" s="3">
        <v>0</v>
      </c>
    </row>
    <row r="30704" ht="15.75" customHeight="1" spans="1:2">
      <c r="A30704" s="3" t="str">
        <f>IFERROR(__xludf.DUMMYFUNCTION("GOOGLETRANSLATE(A30704,""en"",""pt"")"),"preço, bastante pesado")</f>
        <v>preço, bastante pesado</v>
      </c>
      <c r="B30704" s="3">
        <v>0</v>
      </c>
    </row>
    <row r="30705" ht="15.75" customHeight="1" spans="1:2">
      <c r="A30705" s="3" t="str">
        <f>IFERROR(__xludf.DUMMYFUNCTION("GOOGLETRANSLATE(A30705,""en"",""pt"")"),"Pode ter a qualidade da foto instável após tempo")</f>
        <v>Pode ter a qualidade da foto instável após tempo</v>
      </c>
      <c r="B30705" s="3">
        <v>0</v>
      </c>
    </row>
    <row r="30706" ht="15.75" customHeight="1" spans="1:2">
      <c r="A30706" s="3" t="str">
        <f>IFERROR(__xludf.DUMMYFUNCTION("GOOGLETRANSLATE(A30706,""en"",""pt"")"),"Sony faz dispositivos de qualidade oferecem maior")</f>
        <v>Sony faz dispositivos de qualidade oferecem maior</v>
      </c>
      <c r="B30706" s="3">
        <v>0</v>
      </c>
    </row>
    <row r="30707" ht="15.75" customHeight="1" spans="1:2">
      <c r="A30707" s="3" t="str">
        <f>IFERROR(__xludf.DUMMYFUNCTION("GOOGLETRANSLATE(A30707,""en"",""pt"")"),"Cuidado com o flash - pode lavar suas fotos")</f>
        <v>Cuidado com o flash - pode lavar suas fotos</v>
      </c>
      <c r="B30707" s="3">
        <v>0</v>
      </c>
    </row>
    <row r="30708" ht="15.75" customHeight="1" spans="1:2">
      <c r="A30708" s="3" t="str">
        <f>IFERROR(__xludf.DUMMYFUNCTION("GOOGLETRANSLATE(A30708,""en"",""pt"")"),"Bright Flash é muito brilhante")</f>
        <v>Bright Flash é muito brilhante</v>
      </c>
      <c r="B30708" s="3">
        <v>0</v>
      </c>
    </row>
    <row r="30709" ht="15.75" customHeight="1" spans="1:2">
      <c r="A30709" s="3" t="str">
        <f>IFERROR(__xludf.DUMMYFUNCTION("GOOGLETRANSLATE(A30709,""en"",""pt"")"),"Esta câmera digital é maior que a média")</f>
        <v>Esta câmera digital é maior que a média</v>
      </c>
      <c r="B30709" s="3">
        <v>0</v>
      </c>
    </row>
    <row r="30710" ht="15.75" customHeight="1" spans="1:2">
      <c r="A30710" s="3" t="str">
        <f>IFERROR(__xludf.DUMMYFUNCTION("GOOGLETRANSLATE(A30710,""en"",""pt"")"),"Flash implacável")</f>
        <v>Flash implacável</v>
      </c>
      <c r="B30710" s="3">
        <v>0</v>
      </c>
    </row>
    <row r="30711" ht="15.75" customHeight="1" spans="1:2">
      <c r="A30711" s="3" t="str">
        <f>IFERROR(__xludf.DUMMYFUNCTION("GOOGLETRANSLATE(A30711,""en"",""pt"")"),"Feira de Qualidade de Imagem (Comparado a 35 mm)")</f>
        <v>Feira de Qualidade de Imagem (Comparado a 35 mm)</v>
      </c>
      <c r="B30711" s="3">
        <v>0</v>
      </c>
    </row>
    <row r="30712" ht="15.75" customHeight="1" spans="1:2">
      <c r="A30712" s="3" t="str">
        <f>IFERROR(__xludf.DUMMYFUNCTION("GOOGLETRANSLATE(A30712,""en"",""pt"")"),"Nem sequer se preocupar com o flash é complicado.")</f>
        <v>Nem sequer se preocupar com o flash é complicado.</v>
      </c>
      <c r="B30712" s="3">
        <v>0</v>
      </c>
    </row>
    <row r="30713" ht="15.75" customHeight="1" spans="1:2">
      <c r="A30713" s="3" t="str">
        <f>IFERROR(__xludf.DUMMYFUNCTION("GOOGLETRANSLATE(A30713,""en"",""pt"")"),"Problemas com fotos tona com frequência, câmera durabilidade é muito ruim")</f>
        <v>Problemas com fotos tona com frequência, câmera durabilidade é muito ruim</v>
      </c>
      <c r="B30713" s="3">
        <v>0</v>
      </c>
    </row>
    <row r="30714" ht="15.75" customHeight="1" spans="1:2">
      <c r="A30714" s="3" t="str">
        <f>IFERROR(__xludf.DUMMYFUNCTION("GOOGLETRANSLATE(A30714,""en"",""pt"")"),"Não resolução suficiente para retratos.")</f>
        <v>Não resolução suficiente para retratos.</v>
      </c>
      <c r="B30714" s="3">
        <v>0</v>
      </c>
    </row>
    <row r="30715" ht="15.75" customHeight="1" spans="1:2">
      <c r="A30715" s="3" t="str">
        <f>IFERROR(__xludf.DUMMYFUNCTION("GOOGLETRANSLATE(A30715,""en"",""pt"")"),"Nenhum")</f>
        <v>Nenhum</v>
      </c>
      <c r="B30715" s="3">
        <v>0</v>
      </c>
    </row>
    <row r="30716" ht="15.75" customHeight="1" spans="1:2">
      <c r="A30716" s="3" t="str">
        <f>IFERROR(__xludf.DUMMYFUNCTION("GOOGLETRANSLATE(A30716,""en"",""pt"")"),"não exatamente barato")</f>
        <v>não exatamente barato</v>
      </c>
      <c r="B30716" s="3">
        <v>0</v>
      </c>
    </row>
    <row r="30717" ht="15.75" customHeight="1" spans="1:2">
      <c r="A30717" s="3" t="str">
        <f>IFERROR(__xludf.DUMMYFUNCTION("GOOGLETRANSLATE(A30717,""en"",""pt"")"),"Algumas pessoas preferem câmeras que usam cartões de memória. Só ainda tira fotos, há clipes de filme.")</f>
        <v>Algumas pessoas preferem câmeras que usam cartões de memória. Só ainda tira fotos, há clipes de filme.</v>
      </c>
      <c r="B30717" s="3">
        <v>0</v>
      </c>
    </row>
    <row r="30718" ht="15.75" customHeight="1" spans="1:2">
      <c r="A30718" s="3" t="str">
        <f>IFERROR(__xludf.DUMMYFUNCTION("GOOGLETRANSLATE(A30718,""en"",""pt"")"),"Um pouco pesado. No modo de filme. No visor.")</f>
        <v>Um pouco pesado. No modo de filme. No visor.</v>
      </c>
      <c r="B30718" s="3">
        <v>0</v>
      </c>
    </row>
    <row r="30719" ht="15.75" customHeight="1" spans="1:2">
      <c r="A30719" s="3" t="str">
        <f>IFERROR(__xludf.DUMMYFUNCTION("GOOGLETRANSLATE(A30719,""en"",""pt"")"),"O PREÇO !, muito volumosos, a vida da bateria ea resolução 640 x 480.")</f>
        <v>O PREÇO !, muito volumosos, a vida da bateria ea resolução 640 x 480.</v>
      </c>
      <c r="B30719" s="3">
        <v>0</v>
      </c>
    </row>
    <row r="30720" ht="15.75" customHeight="1" spans="1:2">
      <c r="A30720" s="3" t="str">
        <f>IFERROR(__xludf.DUMMYFUNCTION("GOOGLETRANSLATE(A30720,""en"",""pt"")"),"Um pouco volumoso &amp; amp; velocidade do obturador bastante lento.")</f>
        <v>Um pouco volumoso &amp; amp; velocidade do obturador bastante lento.</v>
      </c>
      <c r="B30720" s="3">
        <v>0</v>
      </c>
    </row>
    <row r="30721" ht="15.75" customHeight="1" spans="1:2">
      <c r="A30721" s="3" t="str">
        <f>IFERROR(__xludf.DUMMYFUNCTION("GOOGLETRANSLATE(A30721,""en"",""pt"")"),"Adequada resolução, LCD-only Viewfinder")</f>
        <v>Adequada resolução, LCD-only Viewfinder</v>
      </c>
      <c r="B30721" s="3">
        <v>0</v>
      </c>
    </row>
    <row r="30722" ht="15.75" customHeight="1" spans="1:2">
      <c r="A30722" s="3" t="str">
        <f>IFERROR(__xludf.DUMMYFUNCTION("GOOGLETRANSLATE(A30722,""en"",""pt"")"),"vida útil da bateria")</f>
        <v>vida útil da bateria</v>
      </c>
      <c r="B30722" s="3">
        <v>0</v>
      </c>
    </row>
    <row r="30723" ht="15.75" customHeight="1" spans="1:2">
      <c r="A30723" s="3" t="str">
        <f>IFERROR(__xludf.DUMMYFUNCTION("GOOGLETRANSLATE(A30723,""en"",""pt"")"),"tela de LCD um pouco fraco no sol brilhante.")</f>
        <v>tela de LCD um pouco fraco no sol brilhante.</v>
      </c>
      <c r="B30723" s="3">
        <v>0</v>
      </c>
    </row>
    <row r="30724" ht="15.75" customHeight="1" spans="1:2">
      <c r="A30724" s="3" t="str">
        <f>IFERROR(__xludf.DUMMYFUNCTION("GOOGLETRANSLATE(A30724,""en"",""pt"")"),"baixa resolução, que o flash forma-to-brilhante!")</f>
        <v>baixa resolução, que o flash forma-to-brilhante!</v>
      </c>
      <c r="B30724" s="3">
        <v>0</v>
      </c>
    </row>
    <row r="30725" ht="15.75" customHeight="1" spans="1:2">
      <c r="A30725" s="3" t="str">
        <f>IFERROR(__xludf.DUMMYFUNCTION("GOOGLETRANSLATE(A30725,""en"",""pt"")"),"má qualidade durante a noite, curta 10 segundo temporizador")</f>
        <v>má qualidade durante a noite, curta 10 segundo temporizador</v>
      </c>
      <c r="B30725" s="3">
        <v>0</v>
      </c>
    </row>
    <row r="30726" ht="15.75" customHeight="1" spans="1:2">
      <c r="A30726" s="3" t="str">
        <f>IFERROR(__xludf.DUMMYFUNCTION("GOOGLETRANSLATE(A30726,""en"",""pt"")"),"Grande câmera, melhor qualidade de imagem, a cegueira noturna, tempo de ciclo de disco mais rápido")</f>
        <v>Grande câmera, melhor qualidade de imagem, a cegueira noturna, tempo de ciclo de disco mais rápido</v>
      </c>
      <c r="B30726" s="3">
        <v>0</v>
      </c>
    </row>
    <row r="30727" ht="15.75" customHeight="1" spans="1:2">
      <c r="A30727" s="3" t="str">
        <f>IFERROR(__xludf.DUMMYFUNCTION("GOOGLETRANSLATE(A30727,""en"",""pt"")"),"Pesado, zoom quebrado,")</f>
        <v>Pesado, zoom quebrado,</v>
      </c>
      <c r="B30727" s="3">
        <v>0</v>
      </c>
    </row>
    <row r="30728" ht="15.75" customHeight="1" spans="1:2">
      <c r="A30728" s="3" t="str">
        <f>IFERROR(__xludf.DUMMYFUNCTION("GOOGLETRANSLATE(A30728,""en"",""pt"")"),"um ponto simples e atirar câmera")</f>
        <v>um ponto simples e atirar câmera</v>
      </c>
      <c r="B30728" s="3">
        <v>0</v>
      </c>
    </row>
    <row r="30729" ht="15.75" customHeight="1" spans="1:2">
      <c r="A30729" s="3" t="str">
        <f>IFERROR(__xludf.DUMMYFUNCTION("GOOGLETRANSLATE(A30729,""en"",""pt"")"),"difícil de compreender instruções")</f>
        <v>difícil de compreender instruções</v>
      </c>
      <c r="B30729" s="3">
        <v>0</v>
      </c>
    </row>
    <row r="30730" ht="15.75" customHeight="1" spans="1:2">
      <c r="A30730" s="3" t="str">
        <f>IFERROR(__xludf.DUMMYFUNCTION("GOOGLETRANSLATE(A30730,""en"",""pt"")"),"Limitado a resolução de 640x480")</f>
        <v>Limitado a resolução de 640x480</v>
      </c>
      <c r="B30730" s="3">
        <v>0</v>
      </c>
    </row>
    <row r="30731" ht="15.75" customHeight="1" spans="1:2">
      <c r="A30731" s="3" t="str">
        <f>IFERROR(__xludf.DUMMYFUNCTION("GOOGLETRANSLATE(A30731,""en"",""pt"")"),"fotos, por vezes, a escura")</f>
        <v>fotos, por vezes, a escura</v>
      </c>
      <c r="B30731" s="3">
        <v>0</v>
      </c>
    </row>
    <row r="30732" ht="15.75" customHeight="1" spans="1:2">
      <c r="A30732" s="3" t="str">
        <f>IFERROR(__xludf.DUMMYFUNCTION("GOOGLETRANSLATE(A30732,""en"",""pt"")"),"Eu não posso pensar de um")</f>
        <v>Eu não posso pensar de um</v>
      </c>
      <c r="B30732" s="3">
        <v>0</v>
      </c>
    </row>
    <row r="30733" ht="15.75" customHeight="1" spans="1:2">
      <c r="A30733" s="3" t="str">
        <f>IFERROR(__xludf.DUMMYFUNCTION("GOOGLETRANSLATE(A30733,""en"",""pt"")"),"Se você for mais de 2 horas que você vai ser morto na água!")</f>
        <v>Se você for mais de 2 horas que você vai ser morto na água!</v>
      </c>
      <c r="B30733" s="3">
        <v>0</v>
      </c>
    </row>
    <row r="30734" ht="15.75" customHeight="1" spans="1:2">
      <c r="A30734" s="3" t="str">
        <f>IFERROR(__xludf.DUMMYFUNCTION("GOOGLETRANSLATE(A30734,""en"",""pt"")"),"display LCD deve ter cobertura de protecção para quando não estiver em uso")</f>
        <v>display LCD deve ter cobertura de protecção para quando não estiver em uso</v>
      </c>
      <c r="B30734" s="3">
        <v>0</v>
      </c>
    </row>
    <row r="30735" ht="15.75" customHeight="1" spans="1:2">
      <c r="A30735" s="3" t="str">
        <f>IFERROR(__xludf.DUMMYFUNCTION("GOOGLETRANSLATE(A30735,""en"",""pt"")"),"Número de lojas fotos da câmera e da bateria")</f>
        <v>Número de lojas fotos da câmera e da bateria</v>
      </c>
      <c r="B30735" s="3">
        <v>0</v>
      </c>
    </row>
    <row r="30736" ht="15.75" customHeight="1" spans="1:2">
      <c r="A30736" s="3" t="str">
        <f>IFERROR(__xludf.DUMMYFUNCTION("GOOGLETRANSLATE(A30736,""en"",""pt"")"),"Nenhum")</f>
        <v>Nenhum</v>
      </c>
      <c r="B30736" s="3">
        <v>0</v>
      </c>
    </row>
    <row r="30737" ht="15.75" customHeight="1" spans="1:2">
      <c r="A30737" s="3" t="str">
        <f>IFERROR(__xludf.DUMMYFUNCTION("GOOGLETRANSLATE(A30737,""en"",""pt"")"),"Volumoso, não qualidade 35 milímetros")</f>
        <v>Volumoso, não qualidade 35 milímetros</v>
      </c>
      <c r="B30737" s="3">
        <v>0</v>
      </c>
    </row>
    <row r="30738" ht="15.75" customHeight="1" spans="1:2">
      <c r="A30738" s="3" t="str">
        <f>IFERROR(__xludf.DUMMYFUNCTION("GOOGLETRANSLATE(A30738,""en"",""pt"")"),"pobre dpi")</f>
        <v>pobre dpi</v>
      </c>
      <c r="B30738" s="3">
        <v>0</v>
      </c>
    </row>
    <row r="30739" ht="15.75" customHeight="1" spans="1:2">
      <c r="A30739" s="3" t="str">
        <f>IFERROR(__xludf.DUMMYFUNCTION("GOOGLETRANSLATE(A30739,""en"",""pt"")"),"Nenhum")</f>
        <v>Nenhum</v>
      </c>
      <c r="B30739" s="3">
        <v>0</v>
      </c>
    </row>
    <row r="30740" ht="15.75" customHeight="1" spans="1:2">
      <c r="A30740" s="3" t="str">
        <f>IFERROR(__xludf.DUMMYFUNCTION("GOOGLETRANSLATE(A30740,""en"",""pt"")"),"NENHUM")</f>
        <v>NENHUM</v>
      </c>
      <c r="B30740" s="3">
        <v>0</v>
      </c>
    </row>
    <row r="30741" ht="15.75" customHeight="1" spans="1:2">
      <c r="A30741" s="3" t="str">
        <f>IFERROR(__xludf.DUMMYFUNCTION("GOOGLETRANSLATE(A30741,""en"",""pt"")"),"Um pouco mais caro do que alguns outros.")</f>
        <v>Um pouco mais caro do que alguns outros.</v>
      </c>
      <c r="B30741" s="3">
        <v>0</v>
      </c>
    </row>
    <row r="30742" ht="15.75" customHeight="1" spans="1:2">
      <c r="A30742" s="3" t="str">
        <f>IFERROR(__xludf.DUMMYFUNCTION("GOOGLETRANSLATE(A30742,""en"",""pt"")"),"Um pouco caro")</f>
        <v>Um pouco caro</v>
      </c>
      <c r="B30742" s="3">
        <v>0</v>
      </c>
    </row>
    <row r="30743" ht="15.75" customHeight="1" spans="1:2">
      <c r="A30743" s="3" t="str">
        <f>IFERROR(__xludf.DUMMYFUNCTION("GOOGLETRANSLATE(A30743,""en"",""pt"")"),"não vai captar imagens em movimento")</f>
        <v>não vai captar imagens em movimento</v>
      </c>
      <c r="B30743" s="3">
        <v>0</v>
      </c>
    </row>
    <row r="30744" ht="15.75" customHeight="1" spans="1:2">
      <c r="A30744" s="3" t="str">
        <f>IFERROR(__xludf.DUMMYFUNCTION("GOOGLETRANSLATE(A30744,""en"",""pt"")"),"difícil de alterar as configurações de e-mail para fotos regulares")</f>
        <v>difícil de alterar as configurações de e-mail para fotos regulares</v>
      </c>
      <c r="B30744" s="3">
        <v>0</v>
      </c>
    </row>
    <row r="30745" ht="15.75" customHeight="1" spans="1:2">
      <c r="A30745" s="3" t="str">
        <f>IFERROR(__xludf.DUMMYFUNCTION("GOOGLETRANSLATE(A30745,""en"",""pt"")"),"Tamanho")</f>
        <v>Tamanho</v>
      </c>
      <c r="B30745" s="3">
        <v>0</v>
      </c>
    </row>
    <row r="30746" ht="15.75" customHeight="1" spans="1:2">
      <c r="A30746" s="3" t="str">
        <f>IFERROR(__xludf.DUMMYFUNCTION("GOOGLETRANSLATE(A30746,""en"",""pt"")"),"pesado")</f>
        <v>pesado</v>
      </c>
      <c r="B30746" s="3">
        <v>0</v>
      </c>
    </row>
    <row r="30747" ht="15.75" customHeight="1" spans="1:2">
      <c r="A30747" s="3" t="str">
        <f>IFERROR(__xludf.DUMMYFUNCTION("GOOGLETRANSLATE(A30747,""en"",""pt"")"),"Terrível com pouca luz")</f>
        <v>Terrível com pouca luz</v>
      </c>
      <c r="B30747" s="3">
        <v>0</v>
      </c>
    </row>
    <row r="30748" ht="15.75" customHeight="1" spans="1:2">
      <c r="A30748" s="3" t="str">
        <f>IFERROR(__xludf.DUMMYFUNCTION("GOOGLETRANSLATE(A30748,""en"",""pt"")"),"Preço")</f>
        <v>Preço</v>
      </c>
      <c r="B30748" s="3">
        <v>0</v>
      </c>
    </row>
    <row r="30749" ht="15.75" customHeight="1" spans="1:2">
      <c r="A30749" s="3" t="str">
        <f>IFERROR(__xludf.DUMMYFUNCTION("GOOGLETRANSLATE(A30749,""en"",""pt"")"),"eu não posso pensar em qualquer")</f>
        <v>eu não posso pensar em qualquer</v>
      </c>
      <c r="B30749" s="3">
        <v>0</v>
      </c>
    </row>
    <row r="30750" ht="15.75" customHeight="1" spans="1:2">
      <c r="A30750" s="3" t="str">
        <f>IFERROR(__xludf.DUMMYFUNCTION("GOOGLETRANSLATE(A30750,""en"",""pt"")"),"brinquedo caro, não significou para fotografar repetitivo rápido, fede iluminação")</f>
        <v>brinquedo caro, não significou para fotografar repetitivo rápido, fede iluminação</v>
      </c>
      <c r="B30750" s="3">
        <v>0</v>
      </c>
    </row>
    <row r="30751" ht="15.75" customHeight="1" spans="1:2">
      <c r="A30751" s="3" t="str">
        <f>IFERROR(__xludf.DUMMYFUNCTION("GOOGLETRANSLATE(A30751,""en"",""pt"")"),"tipo de disquete afeta a qualidade da imagem")</f>
        <v>tipo de disquete afeta a qualidade da imagem</v>
      </c>
      <c r="B30751" s="3">
        <v>0</v>
      </c>
    </row>
    <row r="30752" ht="15.75" customHeight="1" spans="1:2">
      <c r="A30752" s="3" t="str">
        <f>IFERROR(__xludf.DUMMYFUNCTION("GOOGLETRANSLATE(A30752,""en"",""pt"")"),"dependendo do seu orçamento pode ser caro")</f>
        <v>dependendo do seu orçamento pode ser caro</v>
      </c>
      <c r="B30752" s="3">
        <v>0</v>
      </c>
    </row>
    <row r="30753" ht="15.75" customHeight="1" spans="1:2">
      <c r="A30753" s="3" t="str">
        <f>IFERROR(__xludf.DUMMYFUNCTION("GOOGLETRANSLATE(A30753,""en"",""pt"")"),"pesados ​​e volumosos, um incômodo para transportar cerca de férias secundário ao seu tamanho e peso")</f>
        <v>pesados ​​e volumosos, um incômodo para transportar cerca de férias secundário ao seu tamanho e peso</v>
      </c>
      <c r="B30753" s="3">
        <v>0</v>
      </c>
    </row>
    <row r="30754" ht="15.75" customHeight="1" spans="1:2">
      <c r="A30754" s="3" t="str">
        <f>IFERROR(__xludf.DUMMYFUNCTION("GOOGLETRANSLATE(A30754,""en"",""pt"")"),"É um pouco caro, mas vale a pena")</f>
        <v>É um pouco caro, mas vale a pena</v>
      </c>
      <c r="B30754" s="3">
        <v>0</v>
      </c>
    </row>
    <row r="30755" ht="15.75" customHeight="1" spans="1:2">
      <c r="A30755" s="3" t="str">
        <f>IFERROR(__xludf.DUMMYFUNCTION("GOOGLETRANSLATE(A30755,""en"",""pt"")"),"&amp; Amp; quot; Professionals &amp; amp; quot; pode querer resolução maior")</f>
        <v>&amp; Amp; quot; Professionals &amp; amp; quot; pode querer resolução maior</v>
      </c>
      <c r="B30755" s="3">
        <v>0</v>
      </c>
    </row>
    <row r="30756" ht="15.75" customHeight="1" spans="1:2">
      <c r="A30756" s="3" t="str">
        <f>IFERROR(__xludf.DUMMYFUNCTION("GOOGLETRANSLATE(A30756,""en"",""pt"")"),"Família um pouco chateado.")</f>
        <v>Família um pouco chateado.</v>
      </c>
      <c r="B30756" s="3">
        <v>0</v>
      </c>
    </row>
    <row r="30757" ht="15.75" customHeight="1" spans="1:2">
      <c r="A30757" s="3" t="str">
        <f>IFERROR(__xludf.DUMMYFUNCTION("GOOGLETRANSLATE(A30757,""en"",""pt"")"),"tamanho, escuros tiros da distância interior")</f>
        <v>tamanho, escuros tiros da distância interior</v>
      </c>
      <c r="B30757" s="3">
        <v>0</v>
      </c>
    </row>
    <row r="30758" ht="15.75" customHeight="1" spans="1:2">
      <c r="A30758" s="3" t="str">
        <f>IFERROR(__xludf.DUMMYFUNCTION("GOOGLETRANSLATE(A30758,""en"",""pt"")"),"Um pouco caro")</f>
        <v>Um pouco caro</v>
      </c>
      <c r="B30758" s="3">
        <v>0</v>
      </c>
    </row>
    <row r="30759" ht="15.75" customHeight="1" spans="1:2">
      <c r="A30759" s="3" t="str">
        <f>IFERROR(__xludf.DUMMYFUNCTION("GOOGLETRANSLATE(A30759,""en"",""pt"")"),"necessidades um monte de luz de volta à terra ... não para uso em lugares escurecido")</f>
        <v>necessidades um monte de luz de volta à terra ... não para uso em lugares escurecido</v>
      </c>
      <c r="B30759" s="3">
        <v>0</v>
      </c>
    </row>
    <row r="30760" ht="15.75" customHeight="1" spans="1:2">
      <c r="A30760" s="3" t="str">
        <f>IFERROR(__xludf.DUMMYFUNCTION("GOOGLETRANSLATE(A30760,""en"",""pt"")"),"saco frágil, de baixa qualidade lente grande angular")</f>
        <v>saco frágil, de baixa qualidade lente grande angular</v>
      </c>
      <c r="B30760" s="3">
        <v>0</v>
      </c>
    </row>
    <row r="30761" ht="15.75" customHeight="1" spans="1:2">
      <c r="A30761" s="3" t="str">
        <f>IFERROR(__xludf.DUMMYFUNCTION("GOOGLETRANSLATE(A30761,""en"",""pt"")"),"$$$")</f>
        <v>$$$</v>
      </c>
      <c r="B30761" s="3">
        <v>0</v>
      </c>
    </row>
    <row r="30762" ht="15.75" customHeight="1" spans="1:2">
      <c r="A30762" s="3" t="str">
        <f>IFERROR(__xludf.DUMMYFUNCTION("GOOGLETRANSLATE(A30762,""en"",""pt"")"),"Ela pode exigir alguma poupança para pagar por ele.")</f>
        <v>Ela pode exigir alguma poupança para pagar por ele.</v>
      </c>
      <c r="B30762" s="3">
        <v>0</v>
      </c>
    </row>
    <row r="30763" ht="15.75" customHeight="1" spans="1:2">
      <c r="A30763" s="3" t="str">
        <f>IFERROR(__xludf.DUMMYFUNCTION("GOOGLETRANSLATE(A30763,""en"",""pt"")"),"preço")</f>
        <v>preço</v>
      </c>
      <c r="B30763" s="3">
        <v>0</v>
      </c>
    </row>
    <row r="30764" ht="15.75" customHeight="1" spans="1:2">
      <c r="A30764" s="3" t="str">
        <f>IFERROR(__xludf.DUMMYFUNCTION("GOOGLETRANSLATE(A30764,""en"",""pt"")"),"iMacs deve ter uma unidade de disquete.")</f>
        <v>iMacs deve ter uma unidade de disquete.</v>
      </c>
      <c r="B30764" s="3">
        <v>0</v>
      </c>
    </row>
    <row r="30765" ht="15.75" customHeight="1" spans="1:2">
      <c r="A30765" s="3" t="str">
        <f>IFERROR(__xludf.DUMMYFUNCTION("GOOGLETRANSLATE(A30765,""en"",""pt"")"),"piscar para brilhante para fotos em close-up, fotos são mais brilhantes na tela de exibição pequena que, na realidade")</f>
        <v>piscar para brilhante para fotos em close-up, fotos são mais brilhantes na tela de exibição pequena que, na realidade</v>
      </c>
      <c r="B30765" s="3">
        <v>0</v>
      </c>
    </row>
    <row r="30766" ht="15.75" customHeight="1" spans="1:2">
      <c r="A30766" s="3" t="str">
        <f>IFERROR(__xludf.DUMMYFUNCTION("GOOGLETRANSLATE(A30766,""en"",""pt"")"),"I pouco volumoso, mas você começar a usar isso.")</f>
        <v>I pouco volumoso, mas você começar a usar isso.</v>
      </c>
      <c r="B30766" s="3">
        <v>0</v>
      </c>
    </row>
    <row r="30767" ht="15.75" customHeight="1" spans="1:2">
      <c r="A30767" s="3" t="str">
        <f>IFERROR(__xludf.DUMMYFUNCTION("GOOGLETRANSLATE(A30767,""en"",""pt"")"),"teve a câmera por um cerca de um ano e meio e não posso pensar em qualquer contras")</f>
        <v>teve a câmera por um cerca de um ano e meio e não posso pensar em qualquer contras</v>
      </c>
      <c r="B30767" s="3">
        <v>0</v>
      </c>
    </row>
    <row r="30768" ht="15.75" customHeight="1" spans="1:2">
      <c r="A30768" s="3" t="str">
        <f>IFERROR(__xludf.DUMMYFUNCTION("GOOGLETRANSLATE(A30768,""en"",""pt"")"),"Preço Alto")</f>
        <v>Preço Alto</v>
      </c>
      <c r="B30768" s="3">
        <v>0</v>
      </c>
    </row>
    <row r="30769" ht="15.75" customHeight="1" spans="1:2">
      <c r="A30769" s="3" t="str">
        <f>IFERROR(__xludf.DUMMYFUNCTION("GOOGLETRANSLATE(A30769,""en"",""pt"")"),"o preço é na extremidade superior, mas um bom produto vale a pena no longo prazo")</f>
        <v>o preço é na extremidade superior, mas um bom produto vale a pena no longo prazo</v>
      </c>
      <c r="B30769" s="3">
        <v>0</v>
      </c>
    </row>
    <row r="30770" ht="15.75" customHeight="1" spans="1:2">
      <c r="A30770" s="3" t="str">
        <f>IFERROR(__xludf.DUMMYFUNCTION("GOOGLETRANSLATE(A30770,""en"",""pt"")"),"curta vida útil da bateria, frágil para transportar cerca de")</f>
        <v>curta vida útil da bateria, frágil para transportar cerca de</v>
      </c>
      <c r="B30770" s="3">
        <v>0</v>
      </c>
    </row>
    <row r="30771" ht="15.75" customHeight="1" spans="1:2">
      <c r="A30771" s="3" t="str">
        <f>IFERROR(__xludf.DUMMYFUNCTION("GOOGLETRANSLATE(A30771,""en"",""pt"")"),"duro tela de visualização para ver na luz brilhante")</f>
        <v>duro tela de visualização para ver na luz brilhante</v>
      </c>
      <c r="B30771" s="3">
        <v>0</v>
      </c>
    </row>
    <row r="30772" ht="15.75" customHeight="1" spans="1:2">
      <c r="A30772" s="3" t="str">
        <f>IFERROR(__xludf.DUMMYFUNCTION("GOOGLETRANSLATE(A30772,""en"",""pt"")"),"Grandes ampliações mostrar pixels")</f>
        <v>Grandes ampliações mostrar pixels</v>
      </c>
      <c r="B30772" s="3">
        <v>0</v>
      </c>
    </row>
    <row r="30773" ht="15.75" customHeight="1" spans="1:2">
      <c r="A30773" s="3" t="str">
        <f>IFERROR(__xludf.DUMMYFUNCTION("GOOGLETRANSLATE(A30773,""en"",""pt"")"),"O preço é bastante íngreme, mas vale a pena o preço para mim.")</f>
        <v>O preço é bastante íngreme, mas vale a pena o preço para mim.</v>
      </c>
      <c r="B30773" s="3">
        <v>0</v>
      </c>
    </row>
    <row r="30774" ht="15.75" customHeight="1" spans="1:2">
      <c r="A30774" s="3" t="str">
        <f>IFERROR(__xludf.DUMMYFUNCTION("GOOGLETRANSLATE(A30774,""en"",""pt"")"),"não encontrei nada ainda!")</f>
        <v>não encontrei nada ainda!</v>
      </c>
      <c r="B30774" s="3">
        <v>0</v>
      </c>
    </row>
    <row r="30775" ht="15.75" customHeight="1" spans="1:2">
      <c r="A30775" s="3" t="str">
        <f>IFERROR(__xludf.DUMMYFUNCTION("GOOGLETRANSLATE(A30775,""en"",""pt"")"),"Qualidade das imagens não é muito bom")</f>
        <v>Qualidade das imagens não é muito bom</v>
      </c>
      <c r="B30775" s="3">
        <v>0</v>
      </c>
    </row>
    <row r="30776" ht="15.75" customHeight="1" spans="1:2">
      <c r="A30776" s="3" t="str">
        <f>IFERROR(__xludf.DUMMYFUNCTION("GOOGLETRANSLATE(A30776,""en"",""pt"")"),"Nenhum!")</f>
        <v>Nenhum!</v>
      </c>
      <c r="B30776" s="3">
        <v>0</v>
      </c>
    </row>
    <row r="30777" ht="15.75" customHeight="1" spans="1:2">
      <c r="A30777" s="3" t="str">
        <f>IFERROR(__xludf.DUMMYFUNCTION("GOOGLETRANSLATE(A30777,""en"",""pt"")"),"configurações de vida / Flash bateria")</f>
        <v>configurações de vida / Flash bateria</v>
      </c>
      <c r="B30777" s="3">
        <v>0</v>
      </c>
    </row>
    <row r="30778" ht="15.75" customHeight="1" spans="1:2">
      <c r="A30778" s="3" t="str">
        <f>IFERROR(__xludf.DUMMYFUNCTION("GOOGLETRANSLATE(A30778,""en"",""pt"")"),"Preço")</f>
        <v>Preço</v>
      </c>
      <c r="B30778" s="3">
        <v>0</v>
      </c>
    </row>
    <row r="30779" ht="15.75" customHeight="1" spans="1:2">
      <c r="A30779" s="3" t="str">
        <f>IFERROR(__xludf.DUMMYFUNCTION("GOOGLETRANSLATE(A30779,""en"",""pt"")"),"Talvez um pouco pesado, não muito estável em superfícies planas.")</f>
        <v>Talvez um pouco pesado, não muito estável em superfícies planas.</v>
      </c>
      <c r="B30779" s="3">
        <v>0</v>
      </c>
    </row>
    <row r="30780" ht="15.75" customHeight="1" spans="1:2">
      <c r="A30780" s="3" t="str">
        <f>IFERROR(__xludf.DUMMYFUNCTION("GOOGLETRANSLATE(A30780,""en"",""pt"")"),"não tenho certeza se os problemas que vejo estão relacionados com esta câmera ou não.")</f>
        <v>não tenho certeza se os problemas que vejo estão relacionados com esta câmera ou não.</v>
      </c>
      <c r="B30780" s="3">
        <v>0</v>
      </c>
    </row>
    <row r="30781" ht="15.75" customHeight="1" spans="1:2">
      <c r="A30781" s="3" t="str">
        <f>IFERROR(__xludf.DUMMYFUNCTION("GOOGLETRANSLATE(A30781,""en"",""pt"")"),"LCD pode ser difícil de ver em certas luzes")</f>
        <v>LCD pode ser difícil de ver em certas luzes</v>
      </c>
      <c r="B30781" s="3">
        <v>0</v>
      </c>
    </row>
    <row r="30782" ht="15.75" customHeight="1" spans="1:2">
      <c r="A30782" s="3" t="str">
        <f>IFERROR(__xludf.DUMMYFUNCTION("GOOGLETRANSLATE(A30782,""en"",""pt"")"),"É caro se você não está indo para usá-lo muito.")</f>
        <v>É caro se você não está indo para usá-lo muito.</v>
      </c>
      <c r="B30782" s="3">
        <v>0</v>
      </c>
    </row>
    <row r="30783" ht="15.75" customHeight="1" spans="1:2">
      <c r="A30783" s="3" t="str">
        <f>IFERROR(__xludf.DUMMYFUNCTION("GOOGLETRANSLATE(A30783,""en"",""pt"")"),"filtros sem extras ou lentes para esta câmara")</f>
        <v>filtros sem extras ou lentes para esta câmara</v>
      </c>
      <c r="B30783" s="3">
        <v>0</v>
      </c>
    </row>
    <row r="30784" ht="15.75" customHeight="1" spans="1:2">
      <c r="A30784" s="3" t="str">
        <f>IFERROR(__xludf.DUMMYFUNCTION("GOOGLETRANSLATE(A30784,""en"",""pt"")"),"um pouco maior do que outros")</f>
        <v>um pouco maior do que outros</v>
      </c>
      <c r="B30784" s="3">
        <v>0</v>
      </c>
    </row>
    <row r="30785" ht="15.75" customHeight="1" spans="1:2">
      <c r="A30785" s="3" t="str">
        <f>IFERROR(__xludf.DUMMYFUNCTION("GOOGLETRANSLATE(A30785,""en"",""pt"")"),"Não vem com um estojo de transporte")</f>
        <v>Não vem com um estojo de transporte</v>
      </c>
      <c r="B30785" s="3">
        <v>0</v>
      </c>
    </row>
    <row r="30786" ht="15.75" customHeight="1" spans="1:2">
      <c r="A30786" s="3" t="str">
        <f>IFERROR(__xludf.DUMMYFUNCTION("GOOGLETRANSLATE(A30786,""en"",""pt"")"),"muito caro, mas um preço razoável para a qualidade do produto e produto")</f>
        <v>muito caro, mas um preço razoável para a qualidade do produto e produto</v>
      </c>
      <c r="B30786" s="3">
        <v>0</v>
      </c>
    </row>
    <row r="30787" ht="15.75" customHeight="1" spans="1:2">
      <c r="A30787" s="3" t="str">
        <f>IFERROR(__xludf.DUMMYFUNCTION("GOOGLETRANSLATE(A30787,""en"",""pt"")"),"retardar para gravar")</f>
        <v>retardar para gravar</v>
      </c>
      <c r="B30787" s="3">
        <v>0</v>
      </c>
    </row>
    <row r="30788" ht="15.75" customHeight="1" spans="1:2">
      <c r="A30788" s="3" t="str">
        <f>IFERROR(__xludf.DUMMYFUNCTION("GOOGLETRANSLATE(A30788,""en"",""pt"")"),"Funciona em disquetes")</f>
        <v>Funciona em disquetes</v>
      </c>
      <c r="B30788" s="3">
        <v>0</v>
      </c>
    </row>
    <row r="30789" ht="15.75" customHeight="1" spans="1:2">
      <c r="A30789" s="3" t="str">
        <f>IFERROR(__xludf.DUMMYFUNCTION("GOOGLETRANSLATE(A30789,""en"",""pt"")"),"As imagens não terão acesso em qualquer computador.")</f>
        <v>As imagens não terão acesso em qualquer computador.</v>
      </c>
      <c r="B30789" s="3">
        <v>0</v>
      </c>
    </row>
    <row r="30790" ht="15.75" customHeight="1" spans="1:2">
      <c r="A30790" s="3" t="str">
        <f>IFERROR(__xludf.DUMMYFUNCTION("GOOGLETRANSLATE(A30790,""en"",""pt"")"),"Não tive tempo, para ler, o manual.")</f>
        <v>Não tive tempo, para ler, o manual.</v>
      </c>
      <c r="B30790" s="3">
        <v>0</v>
      </c>
    </row>
    <row r="30791" ht="15.75" customHeight="1" spans="1:2">
      <c r="A30791" s="3" t="str">
        <f>IFERROR(__xludf.DUMMYFUNCTION("GOOGLETRANSLATE(A30791,""en"",""pt"")"),"tamanho volumoso - podem quebrar facilmente?")</f>
        <v>tamanho volumoso - podem quebrar facilmente?</v>
      </c>
      <c r="B30791" s="3">
        <v>0</v>
      </c>
    </row>
    <row r="30792" ht="15.75" customHeight="1" spans="1:2">
      <c r="A30792" s="3" t="str">
        <f>IFERROR(__xludf.DUMMYFUNCTION("GOOGLETRANSLATE(A30792,""en"",""pt"")"),"Nenhum")</f>
        <v>Nenhum</v>
      </c>
      <c r="B30792" s="3">
        <v>0</v>
      </c>
    </row>
    <row r="30793" ht="15.75" customHeight="1" spans="1:2">
      <c r="A30793" s="3" t="str">
        <f>IFERROR(__xludf.DUMMYFUNCTION("GOOGLETRANSLATE(A30793,""en"",""pt"")"),"Poderia ter maior resolução. Baterias caras. Poderia usar melhor lente zoom.")</f>
        <v>Poderia ter maior resolução. Baterias caras. Poderia usar melhor lente zoom.</v>
      </c>
      <c r="B30793" s="3">
        <v>0</v>
      </c>
    </row>
    <row r="30794" ht="15.75" customHeight="1" spans="1:2">
      <c r="A30794" s="3" t="str">
        <f>IFERROR(__xludf.DUMMYFUNCTION("GOOGLETRANSLATE(A30794,""en"",""pt"")"),"maiores e um pouco mais caro, metade das imagens no disco")</f>
        <v>maiores e um pouco mais caro, metade das imagens no disco</v>
      </c>
      <c r="B30794" s="3">
        <v>0</v>
      </c>
    </row>
    <row r="30795" ht="15.75" customHeight="1" spans="1:2">
      <c r="A30795" s="3" t="str">
        <f>IFERROR(__xludf.DUMMYFUNCTION("GOOGLETRANSLATE(A30795,""en"",""pt"")"),"Preço Alto")</f>
        <v>Preço Alto</v>
      </c>
      <c r="B30795" s="3">
        <v>0</v>
      </c>
    </row>
    <row r="30796" ht="15.75" customHeight="1" spans="1:2">
      <c r="A30796" s="3" t="str">
        <f>IFERROR(__xludf.DUMMYFUNCTION("GOOGLETRANSLATE(A30796,""en"",""pt"")"),"baixa resolução, não imprime o maior")</f>
        <v>baixa resolução, não imprime o maior</v>
      </c>
      <c r="B30796" s="3">
        <v>0</v>
      </c>
    </row>
    <row r="30797" ht="15.75" customHeight="1" spans="1:2">
      <c r="A30797" s="3" t="str">
        <f>IFERROR(__xludf.DUMMYFUNCTION("GOOGLETRANSLATE(A30797,""en"",""pt"")"),"Tecnologia ainda é caro, os discos podem ser preenchidos rápido demais, o usuário precisa de um computador para obter todos os benefícios")</f>
        <v>Tecnologia ainda é caro, os discos podem ser preenchidos rápido demais, o usuário precisa de um computador para obter todos os benefícios</v>
      </c>
      <c r="B30797" s="3">
        <v>0</v>
      </c>
    </row>
    <row r="30798" ht="15.75" customHeight="1" spans="1:2">
      <c r="A30798" s="3" t="str">
        <f>IFERROR(__xludf.DUMMYFUNCTION("GOOGLETRANSLATE(A30798,""en"",""pt"")"),"tiro a distância não é surpreendente")</f>
        <v>tiro a distância não é surpreendente</v>
      </c>
      <c r="B30798" s="3">
        <v>0</v>
      </c>
    </row>
    <row r="30799" ht="15.75" customHeight="1" spans="1:2">
      <c r="A30799" s="3" t="str">
        <f>IFERROR(__xludf.DUMMYFUNCTION("GOOGLETRANSLATE(A30799,""en"",""pt"")"),"Às vezes é difícil para imprimir")</f>
        <v>Às vezes é difícil para imprimir</v>
      </c>
      <c r="B30799" s="3">
        <v>0</v>
      </c>
    </row>
    <row r="30800" ht="15.75" customHeight="1" spans="1:2">
      <c r="A30800" s="3" t="str">
        <f>IFERROR(__xludf.DUMMYFUNCTION("GOOGLETRANSLATE(A30800,""en"",""pt"")"),"O que eu pago")</f>
        <v>O que eu pago</v>
      </c>
      <c r="B30800" s="3">
        <v>0</v>
      </c>
    </row>
    <row r="30801" ht="15.75" customHeight="1" spans="1:2">
      <c r="A30801" s="3" t="str">
        <f>IFERROR(__xludf.DUMMYFUNCTION("GOOGLETRANSLATE(A30801,""en"",""pt"")"),"um pouco volumoso")</f>
        <v>um pouco volumoso</v>
      </c>
      <c r="B30801" s="3">
        <v>0</v>
      </c>
    </row>
    <row r="30802" ht="15.75" customHeight="1" spans="1:2">
      <c r="A30802" s="3" t="str">
        <f>IFERROR(__xludf.DUMMYFUNCTION("GOOGLETRANSLATE(A30802,""en"",""pt"")"),"Custo")</f>
        <v>Custo</v>
      </c>
      <c r="B30802" s="3">
        <v>0</v>
      </c>
    </row>
    <row r="30803" ht="15.75" customHeight="1" spans="1:2">
      <c r="A30803" s="3" t="str">
        <f>IFERROR(__xludf.DUMMYFUNCTION("GOOGLETRANSLATE(A30803,""en"",""pt"")"),"de olhos vermelhos, o que provavelmente poderia ser reduzido se eu sabia melhor como tirar fotos")</f>
        <v>de olhos vermelhos, o que provavelmente poderia ser reduzido se eu sabia melhor como tirar fotos</v>
      </c>
      <c r="B30803" s="3">
        <v>0</v>
      </c>
    </row>
    <row r="30804" ht="15.75" customHeight="1" spans="1:2">
      <c r="A30804" s="3" t="str">
        <f>IFERROR(__xludf.DUMMYFUNCTION("GOOGLETRANSLATE(A30804,""en"",""pt"")"),"custo")</f>
        <v>custo</v>
      </c>
      <c r="B30804" s="3">
        <v>0</v>
      </c>
    </row>
    <row r="30805" ht="15.75" customHeight="1" spans="1:2">
      <c r="A30805" s="3" t="str">
        <f>IFERROR(__xludf.DUMMYFUNCTION("GOOGLETRANSLATE(A30805,""en"",""pt"")"),"não muito memória")</f>
        <v>não muito memória</v>
      </c>
      <c r="B30805" s="3">
        <v>0</v>
      </c>
    </row>
    <row r="30806" ht="15.75" customHeight="1" spans="1:2">
      <c r="A30806" s="3" t="str">
        <f>IFERROR(__xludf.DUMMYFUNCTION("GOOGLETRANSLATE(A30806,""en"",""pt"")"),"precisa ter 2 baterias")</f>
        <v>precisa ter 2 baterias</v>
      </c>
      <c r="B30806" s="3">
        <v>0</v>
      </c>
    </row>
    <row r="30807" ht="15.75" customHeight="1" spans="1:2">
      <c r="A30807" s="3" t="str">
        <f>IFERROR(__xludf.DUMMYFUNCTION("GOOGLETRANSLATE(A30807,""en"",""pt"")"),"visor difícil de ver na luz solar.")</f>
        <v>visor difícil de ver na luz solar.</v>
      </c>
      <c r="B30807" s="3">
        <v>0</v>
      </c>
    </row>
    <row r="30808" ht="15.75" customHeight="1" spans="1:2">
      <c r="A30808" s="3" t="str">
        <f>IFERROR(__xludf.DUMMYFUNCTION("GOOGLETRANSLATE(A30808,""en"",""pt"")"),"espaço insuficiente em disco")</f>
        <v>espaço insuficiente em disco</v>
      </c>
      <c r="B30808" s="3">
        <v>0</v>
      </c>
    </row>
    <row r="30809" ht="15.75" customHeight="1" spans="1:2">
      <c r="A30809" s="3" t="str">
        <f>IFERROR(__xludf.DUMMYFUNCTION("GOOGLETRANSLATE(A30809,""en"",""pt"")"),"preço de compra, serviço, escamosa-ness, obsolescência")</f>
        <v>preço de compra, serviço, escamosa-ness, obsolescência</v>
      </c>
      <c r="B30809" s="3">
        <v>0</v>
      </c>
    </row>
    <row r="30810" ht="15.75" customHeight="1" spans="1:2">
      <c r="A30810" s="3" t="str">
        <f>IFERROR(__xludf.DUMMYFUNCTION("GOOGLETRANSLATE(A30810,""en"",""pt"")"),"caro")</f>
        <v>caro</v>
      </c>
      <c r="B30810" s="3">
        <v>0</v>
      </c>
    </row>
    <row r="30811" ht="15.75" customHeight="1" spans="1:2">
      <c r="A30811" s="3" t="str">
        <f>IFERROR(__xludf.DUMMYFUNCTION("GOOGLETRANSLATE(A30811,""en"",""pt"")"),"caro, de baixa resolução pics, volumoso. de flash wash-out")</f>
        <v>caro, de baixa resolução pics, volumoso. de flash wash-out</v>
      </c>
      <c r="B30811" s="3">
        <v>0</v>
      </c>
    </row>
    <row r="30812" ht="15.75" customHeight="1" spans="1:2">
      <c r="A30812" s="3" t="str">
        <f>IFERROR(__xludf.DUMMYFUNCTION("GOOGLETRANSLATE(A30812,""en"",""pt"")"),"Preço, Resolução Pixel")</f>
        <v>Preço, Resolução Pixel</v>
      </c>
      <c r="B30812" s="3">
        <v>0</v>
      </c>
    </row>
    <row r="30813" ht="15.75" customHeight="1" spans="1:2">
      <c r="A30813" s="3" t="str">
        <f>IFERROR(__xludf.DUMMYFUNCTION("GOOGLETRANSLATE(A30813,""en"",""pt"")"),"é meio delicada para uma câmera")</f>
        <v>é meio delicada para uma câmera</v>
      </c>
      <c r="B30813" s="3">
        <v>0</v>
      </c>
    </row>
    <row r="30814" ht="15.75" customHeight="1" spans="1:2">
      <c r="A30814" s="3" t="str">
        <f>IFERROR(__xludf.DUMMYFUNCTION("GOOGLETRANSLATE(A30814,""en"",""pt"")"),"Qualidade média imagem, a falta de recursos, tamanho de armazenamento de disco flexível")</f>
        <v>Qualidade média imagem, a falta de recursos, tamanho de armazenamento de disco flexível</v>
      </c>
      <c r="B30814" s="3">
        <v>0</v>
      </c>
    </row>
    <row r="30815" ht="15.75" customHeight="1" spans="1:2">
      <c r="A30815" s="3" t="str">
        <f>IFERROR(__xludf.DUMMYFUNCTION("GOOGLETRANSLATE(A30815,""en"",""pt"")"),"NONE ... é um SONY digital!")</f>
        <v>NONE ... é um SONY digital!</v>
      </c>
      <c r="B30815" s="3">
        <v>0</v>
      </c>
    </row>
    <row r="30816" ht="15.75" customHeight="1" spans="1:2">
      <c r="A30816" s="3" t="str">
        <f>IFERROR(__xludf.DUMMYFUNCTION("GOOGLETRANSLATE(A30816,""en"",""pt"")"),"alça de ombro era difícil de instalar até que eu li as instruções")</f>
        <v>alça de ombro era difícil de instalar até que eu li as instruções</v>
      </c>
      <c r="B30816" s="3">
        <v>0</v>
      </c>
    </row>
    <row r="30817" ht="15.75" customHeight="1" spans="1:2">
      <c r="A30817" s="3" t="str">
        <f>IFERROR(__xludf.DUMMYFUNCTION("GOOGLETRANSLATE(A30817,""en"",""pt"")"),"A vida da bateria não é o maior")</f>
        <v>A vida da bateria não é o maior</v>
      </c>
      <c r="B30817" s="3">
        <v>0</v>
      </c>
    </row>
    <row r="30818" ht="15.75" customHeight="1" spans="1:2">
      <c r="A30818" s="3" t="str">
        <f>IFERROR(__xludf.DUMMYFUNCTION("GOOGLETRANSLATE(A30818,""en"",""pt"")"),"Resolução não é bom para impressões maiores (8X10 ou maior), preços, limitando a mídia de armazenamento")</f>
        <v>Resolução não é bom para impressões maiores (8X10 ou maior), preços, limitando a mídia de armazenamento</v>
      </c>
      <c r="B30818" s="3">
        <v>0</v>
      </c>
    </row>
    <row r="30819" ht="15.75" customHeight="1" spans="1:2">
      <c r="A30819" s="3" t="str">
        <f>IFERROR(__xludf.DUMMYFUNCTION("GOOGLETRANSLATE(A30819,""en"",""pt"")"),"???")</f>
        <v>???</v>
      </c>
      <c r="B30819" s="3">
        <v>0</v>
      </c>
    </row>
    <row r="30820" ht="15.75" customHeight="1" spans="1:2">
      <c r="A30820" s="3" t="str">
        <f>IFERROR(__xludf.DUMMYFUNCTION("GOOGLETRANSLATE(A30820,""en"",""pt"")"),"tempo de gravação é um pouco lento. resolução mais baixa são distorcidos.")</f>
        <v>tempo de gravação é um pouco lento. resolução mais baixa são distorcidos.</v>
      </c>
      <c r="B30820" s="3">
        <v>0</v>
      </c>
    </row>
    <row r="30821" ht="15.75" customHeight="1" spans="1:2">
      <c r="A30821" s="3" t="str">
        <f>IFERROR(__xludf.DUMMYFUNCTION("GOOGLETRANSLATE(A30821,""en"",""pt"")"),"Poderia ser um melhor preço!")</f>
        <v>Poderia ser um melhor preço!</v>
      </c>
      <c r="B30821" s="3">
        <v>0</v>
      </c>
    </row>
    <row r="30822" ht="15.75" customHeight="1" spans="1:2">
      <c r="A30822" s="3" t="str">
        <f>IFERROR(__xludf.DUMMYFUNCTION("GOOGLETRANSLATE(A30822,""en"",""pt"")"),"Não 35 mm qualidade, preço.")</f>
        <v>Não 35 mm qualidade, preço.</v>
      </c>
      <c r="B30822" s="3">
        <v>0</v>
      </c>
    </row>
    <row r="30823" ht="15.75" customHeight="1" spans="1:2">
      <c r="A30823" s="3" t="str">
        <f>IFERROR(__xludf.DUMMYFUNCTION("GOOGLETRANSLATE(A30823,""en"",""pt"")"),"Nenhum")</f>
        <v>Nenhum</v>
      </c>
      <c r="B30823" s="3">
        <v>0</v>
      </c>
    </row>
    <row r="30824" ht="15.75" customHeight="1" spans="1:2">
      <c r="A30824" s="3" t="str">
        <f>IFERROR(__xludf.DUMMYFUNCTION("GOOGLETRANSLATE(A30824,""en"",""pt"")"),"Tem má qualidade em situações de pouca luz.")</f>
        <v>Tem má qualidade em situações de pouca luz.</v>
      </c>
      <c r="B30824" s="3">
        <v>0</v>
      </c>
    </row>
    <row r="30825" ht="15.75" customHeight="1" spans="1:2">
      <c r="A30825" s="3" t="str">
        <f>IFERROR(__xludf.DUMMYFUNCTION("GOOGLETRANSLATE(A30825,""en"",""pt"")"),"baixa resolução")</f>
        <v>baixa resolução</v>
      </c>
      <c r="B30825" s="3">
        <v>0</v>
      </c>
    </row>
    <row r="30826" ht="15.75" customHeight="1" spans="1:2">
      <c r="A30826" s="3" t="str">
        <f>IFERROR(__xludf.DUMMYFUNCTION("GOOGLETRANSLATE(A30826,""en"",""pt"")"),"Um pouco caro para a direita agora.")</f>
        <v>Um pouco caro para a direita agora.</v>
      </c>
      <c r="B30826" s="3">
        <v>0</v>
      </c>
    </row>
    <row r="30827" ht="15.75" customHeight="1" spans="1:2">
      <c r="A30827" s="3" t="str">
        <f>IFERROR(__xludf.DUMMYFUNCTION("GOOGLETRANSLATE(A30827,""en"",""pt"")"),"Nenhum")</f>
        <v>Nenhum</v>
      </c>
      <c r="B30827" s="3">
        <v>0</v>
      </c>
    </row>
    <row r="30828" ht="15.75" customHeight="1" spans="1:2">
      <c r="A30828" s="3" t="str">
        <f>IFERROR(__xludf.DUMMYFUNCTION("GOOGLETRANSLATE(A30828,""en"",""pt"")"),"qualidade de imagem, o custo")</f>
        <v>qualidade de imagem, o custo</v>
      </c>
      <c r="B30828" s="3">
        <v>0</v>
      </c>
    </row>
    <row r="30829" ht="15.75" customHeight="1" spans="1:2">
      <c r="A30829" s="3" t="str">
        <f>IFERROR(__xludf.DUMMYFUNCTION("GOOGLETRANSLATE(A30829,""en"",""pt"")"),"Precisa de um zoom mais poderoso")</f>
        <v>Precisa de um zoom mais poderoso</v>
      </c>
      <c r="B30829" s="3">
        <v>0</v>
      </c>
    </row>
    <row r="30830" ht="15.75" customHeight="1" spans="1:2">
      <c r="A30830" s="3" t="str">
        <f>IFERROR(__xludf.DUMMYFUNCTION("GOOGLETRANSLATE(A30830,""en"",""pt"")"),"não encontrei nenhum.")</f>
        <v>não encontrei nenhum.</v>
      </c>
      <c r="B30830" s="3">
        <v>0</v>
      </c>
    </row>
    <row r="30831" ht="15.75" customHeight="1" spans="1:2">
      <c r="A30831" s="3" t="str">
        <f>IFERROR(__xludf.DUMMYFUNCTION("GOOGLETRANSLATE(A30831,""en"",""pt"")"),"Custo, problema flash de olhos vermelhos")</f>
        <v>Custo, problema flash de olhos vermelhos</v>
      </c>
      <c r="B30831" s="3">
        <v>0</v>
      </c>
    </row>
    <row r="30832" ht="15.75" customHeight="1" spans="1:2">
      <c r="A30832" s="3" t="str">
        <f>IFERROR(__xludf.DUMMYFUNCTION("GOOGLETRANSLATE(A30832,""en"",""pt"")"),"A vida da bateria")</f>
        <v>A vida da bateria</v>
      </c>
      <c r="B30832" s="3">
        <v>0</v>
      </c>
    </row>
    <row r="30833" ht="15.75" customHeight="1" spans="1:2">
      <c r="A30833" s="3" t="str">
        <f>IFERROR(__xludf.DUMMYFUNCTION("GOOGLETRANSLATE(A30833,""en"",""pt"")"),"As imagens digitais em vez de fotos reais - o suficiente clara &amp; amp; gt ;? Ainda não tenho certeza")</f>
        <v>As imagens digitais em vez de fotos reais - o suficiente clara &amp; amp; gt ;? Ainda não tenho certeza</v>
      </c>
      <c r="B30833" s="3">
        <v>0</v>
      </c>
    </row>
    <row r="30834" ht="15.75" customHeight="1" spans="1:2">
      <c r="A30834" s="3" t="str">
        <f>IFERROR(__xludf.DUMMYFUNCTION("GOOGLETRANSLATE(A30834,""en"",""pt"")"),"curta duração da bateria")</f>
        <v>curta duração da bateria</v>
      </c>
      <c r="B30834" s="3">
        <v>0</v>
      </c>
    </row>
    <row r="30835" ht="15.75" customHeight="1" spans="1:2">
      <c r="A30835" s="3" t="str">
        <f>IFERROR(__xludf.DUMMYFUNCTION("GOOGLETRANSLATE(A30835,""en"",""pt"")"),"Qualidade de imagem")</f>
        <v>Qualidade de imagem</v>
      </c>
      <c r="B30835" s="3">
        <v>0</v>
      </c>
    </row>
    <row r="30836" ht="15.75" customHeight="1" spans="1:2">
      <c r="A30836" s="3" t="str">
        <f>IFERROR(__xludf.DUMMYFUNCTION("GOOGLETRANSLATE(A30836,""en"",""pt"")"),"sem zoom; problemas de uso de energia")</f>
        <v>sem zoom; problemas de uso de energia</v>
      </c>
      <c r="B30836" s="3">
        <v>0</v>
      </c>
    </row>
    <row r="30837" ht="15.75" customHeight="1" spans="1:2">
      <c r="A30837" s="3" t="str">
        <f>IFERROR(__xludf.DUMMYFUNCTION("GOOGLETRANSLATE(A30837,""en"",""pt"")"),"O custo inicial é elevada")</f>
        <v>O custo inicial é elevada</v>
      </c>
      <c r="B30837" s="3">
        <v>0</v>
      </c>
    </row>
    <row r="30838" ht="15.75" customHeight="1" spans="1:2">
      <c r="A30838" s="3" t="str">
        <f>IFERROR(__xludf.DUMMYFUNCTION("GOOGLETRANSLATE(A30838,""en"",""pt"")"),"tamanho volumoso, baixos pixels")</f>
        <v>tamanho volumoso, baixos pixels</v>
      </c>
      <c r="B30838" s="3">
        <v>0</v>
      </c>
    </row>
    <row r="30839" ht="15.75" customHeight="1" spans="1:2">
      <c r="A30839" s="3" t="str">
        <f>IFERROR(__xludf.DUMMYFUNCTION("GOOGLETRANSLATE(A30839,""en"",""pt"")"),"nenhum observou.")</f>
        <v>nenhum observou.</v>
      </c>
      <c r="B30839" s="3">
        <v>0</v>
      </c>
    </row>
    <row r="30840" ht="15.75" customHeight="1" spans="1:2">
      <c r="A30840" s="3" t="str">
        <f>IFERROR(__xludf.DUMMYFUNCTION("GOOGLETRANSLATE(A30840,""en"",""pt"")"),"Nenhum")</f>
        <v>Nenhum</v>
      </c>
      <c r="B30840" s="3">
        <v>0</v>
      </c>
    </row>
    <row r="30841" ht="15.75" customHeight="1" spans="1:2">
      <c r="A30841" s="3" t="str">
        <f>IFERROR(__xludf.DUMMYFUNCTION("GOOGLETRANSLATE(A30841,""en"",""pt"")"),"tamanho, resolução")</f>
        <v>tamanho, resolução</v>
      </c>
      <c r="B30841" s="3">
        <v>0</v>
      </c>
    </row>
    <row r="30842" ht="15.75" customHeight="1" spans="1:2">
      <c r="A30842" s="3" t="str">
        <f>IFERROR(__xludf.DUMMYFUNCTION("GOOGLETRANSLATE(A30842,""en"",""pt"")"),"Não é barato; carga completa dura apenas 2 horas")</f>
        <v>Não é barato; carga completa dura apenas 2 horas</v>
      </c>
      <c r="B30842" s="3">
        <v>0</v>
      </c>
    </row>
    <row r="30843" ht="15.75" customHeight="1" spans="1:2">
      <c r="A30843" s="3" t="str">
        <f>IFERROR(__xludf.DUMMYFUNCTION("GOOGLETRANSLATE(A30843,""en"",""pt"")"),"Produz Imagens escuras Ocasionalmente")</f>
        <v>Produz Imagens escuras Ocasionalmente</v>
      </c>
      <c r="B30843" s="3">
        <v>0</v>
      </c>
    </row>
    <row r="30844" ht="15.75" customHeight="1" spans="1:2">
      <c r="A30844" s="3" t="str">
        <f>IFERROR(__xludf.DUMMYFUNCTION("GOOGLETRANSLATE(A30844,""en"",""pt"")"),"grande, difícil de se concentrar, flash é complicado")</f>
        <v>grande, difícil de se concentrar, flash é complicado</v>
      </c>
      <c r="B30844" s="3">
        <v>0</v>
      </c>
    </row>
    <row r="30845" ht="15.75" customHeight="1" spans="1:2">
      <c r="A30845" s="3" t="str">
        <f>IFERROR(__xludf.DUMMYFUNCTION("GOOGLETRANSLATE(A30845,""en"",""pt"")"),"pic resolução não par, em comparação com 35 mm. imagem")</f>
        <v>pic resolução não par, em comparação com 35 mm. imagem</v>
      </c>
      <c r="B30845" s="3">
        <v>0</v>
      </c>
    </row>
    <row r="30846" ht="15.75" customHeight="1" spans="1:2">
      <c r="A30846" s="3" t="str">
        <f>IFERROR(__xludf.DUMMYFUNCTION("GOOGLETRANSLATE(A30846,""en"",""pt"")"),"?")</f>
        <v>?</v>
      </c>
      <c r="B30846" s="3">
        <v>0</v>
      </c>
    </row>
    <row r="30847" ht="15.75" customHeight="1" spans="1:2">
      <c r="A30847" s="3" t="str">
        <f>IFERROR(__xludf.DUMMYFUNCTION("GOOGLETRANSLATE(A30847,""en"",""pt"")"),"fotos impressas têm baixa dpi - não grande qualidade.")</f>
        <v>fotos impressas têm baixa dpi - não grande qualidade.</v>
      </c>
      <c r="B30847" s="3">
        <v>0</v>
      </c>
    </row>
    <row r="30848" ht="15.75" customHeight="1" spans="1:2">
      <c r="A30848" s="3" t="str">
        <f>IFERROR(__xludf.DUMMYFUNCTION("GOOGLETRANSLATE(A30848,""en"",""pt"")"),"display LCD precisa de uma sombra para a luz solar brilhante. Difícil de ver.")</f>
        <v>display LCD precisa de uma sombra para a luz solar brilhante. Difícil de ver.</v>
      </c>
      <c r="B30848" s="3">
        <v>0</v>
      </c>
    </row>
    <row r="30849" ht="15.75" customHeight="1" spans="1:2">
      <c r="A30849" s="3" t="str">
        <f>IFERROR(__xludf.DUMMYFUNCTION("GOOGLETRANSLATE(A30849,""en"",""pt"")"),"$ Tag 450 preço")</f>
        <v>$ Tag 450 preço</v>
      </c>
      <c r="B30849" s="3">
        <v>0</v>
      </c>
    </row>
    <row r="30850" ht="15.75" customHeight="1" spans="1:2">
      <c r="A30850" s="3" t="str">
        <f>IFERROR(__xludf.DUMMYFUNCTION("GOOGLETRANSLATE(A30850,""en"",""pt"")"),"As baterias são caras, você tem que comprar o adaptador AC por US $ 150 se você quer um")</f>
        <v>As baterias são caras, você tem que comprar o adaptador AC por US $ 150 se você quer um</v>
      </c>
      <c r="B30850" s="3">
        <v>0</v>
      </c>
    </row>
    <row r="30851" ht="15.75" customHeight="1" spans="1:2">
      <c r="A30851" s="3" t="str">
        <f>IFERROR(__xludf.DUMMYFUNCTION("GOOGLETRANSLATE(A30851,""en"",""pt"")"),"Custo da maioria das câmeras digitais tornam impraticável para a maioria dos jovens.")</f>
        <v>Custo da maioria das câmeras digitais tornam impraticável para a maioria dos jovens.</v>
      </c>
      <c r="B30851" s="3">
        <v>0</v>
      </c>
    </row>
    <row r="30852" ht="15.75" customHeight="1" spans="1:2">
      <c r="A30852" s="3" t="str">
        <f>IFERROR(__xludf.DUMMYFUNCTION("GOOGLETRANSLATE(A30852,""en"",""pt"")"),"não pode obter ampliações de qualidade de imagem impressionante e")</f>
        <v>não pode obter ampliações de qualidade de imagem impressionante e</v>
      </c>
      <c r="B30852" s="3">
        <v>0</v>
      </c>
    </row>
    <row r="30853" ht="15.75" customHeight="1" spans="1:2">
      <c r="A30853" s="3" t="str">
        <f>IFERROR(__xludf.DUMMYFUNCTION("GOOGLETRANSLATE(A30853,""en"",""pt"")"),"preço; falta de visor")</f>
        <v>preço; falta de visor</v>
      </c>
      <c r="B30853" s="3">
        <v>0</v>
      </c>
    </row>
    <row r="30854" ht="15.75" customHeight="1" spans="1:2">
      <c r="A30854" s="3" t="str">
        <f>IFERROR(__xludf.DUMMYFUNCTION("GOOGLETRANSLATE(A30854,""en"",""pt"")"),"nenhum foco manual")</f>
        <v>nenhum foco manual</v>
      </c>
      <c r="B30854" s="3">
        <v>0</v>
      </c>
    </row>
    <row r="30855" ht="15.75" customHeight="1" spans="1:2">
      <c r="A30855" s="3" t="str">
        <f>IFERROR(__xludf.DUMMYFUNCTION("GOOGLETRANSLATE(A30855,""en"",""pt"")"),"Caro, não é necessário para todos.")</f>
        <v>Caro, não é necessário para todos.</v>
      </c>
      <c r="B30855" s="3">
        <v>0</v>
      </c>
    </row>
    <row r="30856" ht="15.75" customHeight="1" spans="1:2">
      <c r="A30856" s="3" t="str">
        <f>IFERROR(__xludf.DUMMYFUNCTION("GOOGLETRANSLATE(A30856,""en"",""pt"")"),"Não se encaixa no seu bolso!")</f>
        <v>Não se encaixa no seu bolso!</v>
      </c>
      <c r="B30856" s="3">
        <v>0</v>
      </c>
    </row>
    <row r="30857" ht="15.75" customHeight="1" spans="1:2">
      <c r="A30857" s="3" t="str">
        <f>IFERROR(__xludf.DUMMYFUNCTION("GOOGLETRANSLATE(A30857,""en"",""pt"")"),"demasiado volumoso e pesado")</f>
        <v>demasiado volumoso e pesado</v>
      </c>
      <c r="B30857" s="3">
        <v>0</v>
      </c>
    </row>
    <row r="30858" ht="15.75" customHeight="1" spans="1:2">
      <c r="A30858" s="3" t="str">
        <f>IFERROR(__xludf.DUMMYFUNCTION("GOOGLETRANSLATE(A30858,""en"",""pt"")"),"A qualidade das imagens!")</f>
        <v>A qualidade das imagens!</v>
      </c>
      <c r="B30858" s="3">
        <v>0</v>
      </c>
    </row>
    <row r="30859" ht="15.75" customHeight="1" spans="1:2">
      <c r="A30859" s="3" t="str">
        <f>IFERROR(__xludf.DUMMYFUNCTION("GOOGLETRANSLATE(A30859,""en"",""pt"")"),"Nenhum.")</f>
        <v>Nenhum.</v>
      </c>
      <c r="B30859" s="3">
        <v>0</v>
      </c>
    </row>
    <row r="30860" ht="15.75" customHeight="1" spans="1:2">
      <c r="A30860" s="3" t="str">
        <f>IFERROR(__xludf.DUMMYFUNCTION("GOOGLETRANSLATE(A30860,""en"",""pt"")"),"ruim para qualquer coisa não close-up")</f>
        <v>ruim para qualquer coisa não close-up</v>
      </c>
      <c r="B30860" s="3">
        <v>0</v>
      </c>
    </row>
    <row r="30861" ht="15.75" customHeight="1" spans="1:2">
      <c r="A30861" s="3" t="str">
        <f>IFERROR(__xludf.DUMMYFUNCTION("GOOGLETRANSLATE(A30861,""en"",""pt"")"),"não exatamente foto de qualidade, você tem que lidar com pixels")</f>
        <v>não exatamente foto de qualidade, você tem que lidar com pixels</v>
      </c>
      <c r="B30861" s="3">
        <v>0</v>
      </c>
    </row>
    <row r="30862" ht="15.75" customHeight="1" spans="1:2">
      <c r="A30862" s="3" t="str">
        <f>IFERROR(__xludf.DUMMYFUNCTION("GOOGLETRANSLATE(A30862,""en"",""pt"")"),"nenhuma, como ainda de")</f>
        <v>nenhuma, como ainda de</v>
      </c>
      <c r="B30862" s="3">
        <v>0</v>
      </c>
    </row>
    <row r="30863" ht="15.75" customHeight="1" spans="1:2">
      <c r="A30863" s="3" t="str">
        <f>IFERROR(__xludf.DUMMYFUNCTION("GOOGLETRANSLATE(A30863,""en"",""pt"")"),"Usa um disquete como mídia. Pobre resolução. Preço Alto")</f>
        <v>Usa um disquete como mídia. Pobre resolução. Preço Alto</v>
      </c>
      <c r="B30863" s="3">
        <v>0</v>
      </c>
    </row>
    <row r="30864" ht="15.75" customHeight="1" spans="1:2">
      <c r="A30864" s="3" t="str">
        <f>IFERROR(__xludf.DUMMYFUNCTION("GOOGLETRANSLATE(A30864,""en"",""pt"")"),"Bastante caro para a resolução da imagem.")</f>
        <v>Bastante caro para a resolução da imagem.</v>
      </c>
      <c r="B30864" s="3">
        <v>0</v>
      </c>
    </row>
    <row r="30865" ht="15.75" customHeight="1" spans="1:2">
      <c r="A30865" s="3" t="str">
        <f>IFERROR(__xludf.DUMMYFUNCTION("GOOGLETRANSLATE(A30865,""en"",""pt"")"),"Resolução, preço.")</f>
        <v>Resolução, preço.</v>
      </c>
      <c r="B30865" s="3">
        <v>0</v>
      </c>
    </row>
    <row r="30866" ht="15.75" customHeight="1" spans="1:2">
      <c r="A30866" s="3" t="str">
        <f>IFERROR(__xludf.DUMMYFUNCTION("GOOGLETRANSLATE(A30866,""en"",""pt"")"),"tela de lcd desprotegido, grande em tamanho, baixa capacidade de megapixel eficaz")</f>
        <v>tela de lcd desprotegido, grande em tamanho, baixa capacidade de megapixel eficaz</v>
      </c>
      <c r="B30866" s="3">
        <v>0</v>
      </c>
    </row>
    <row r="30867" ht="15.75" customHeight="1" spans="1:2">
      <c r="A30867" s="3" t="str">
        <f>IFERROR(__xludf.DUMMYFUNCTION("GOOGLETRANSLATE(A30867,""en"",""pt"")"),"curta duração da bateria.")</f>
        <v>curta duração da bateria.</v>
      </c>
      <c r="B30867" s="3">
        <v>0</v>
      </c>
    </row>
    <row r="30868" ht="15.75" customHeight="1" spans="1:2">
      <c r="A30868" s="3" t="str">
        <f>IFERROR(__xludf.DUMMYFUNCTION("GOOGLETRANSLATE(A30868,""en"",""pt"")"),"Piscar muito forte para close-ups extremos")</f>
        <v>Piscar muito forte para close-ups extremos</v>
      </c>
      <c r="B30868" s="3">
        <v>0</v>
      </c>
    </row>
    <row r="30869" ht="15.75" customHeight="1" spans="1:2">
      <c r="A30869" s="3" t="str">
        <f>IFERROR(__xludf.DUMMYFUNCTION("GOOGLETRANSLATE(A30869,""en"",""pt"")"),"A qualidade da imagem, preço")</f>
        <v>A qualidade da imagem, preço</v>
      </c>
      <c r="B30869" s="3">
        <v>0</v>
      </c>
    </row>
    <row r="30870" ht="15.75" customHeight="1" spans="1:2">
      <c r="A30870" s="3" t="str">
        <f>IFERROR(__xludf.DUMMYFUNCTION("GOOGLETRANSLATE(A30870,""en"",""pt"")"),"maior do que algum, utilizar uma vista em localizador quadrado contra um óculo")</f>
        <v>maior do que algum, utilizar uma vista em localizador quadrado contra um óculo</v>
      </c>
      <c r="B30870" s="3">
        <v>0</v>
      </c>
    </row>
    <row r="30871" ht="15.75" customHeight="1" spans="1:2">
      <c r="A30871" s="3" t="str">
        <f>IFERROR(__xludf.DUMMYFUNCTION("GOOGLETRANSLATE(A30871,""en"",""pt"")"),"meio-of-the-line")</f>
        <v>meio-of-the-line</v>
      </c>
      <c r="B30871" s="3">
        <v>0</v>
      </c>
    </row>
    <row r="30872" ht="15.75" customHeight="1" spans="1:2">
      <c r="A30872" s="3" t="str">
        <f>IFERROR(__xludf.DUMMYFUNCTION("GOOGLETRANSLATE(A30872,""en"",""pt"")"),"fotos granuladas")</f>
        <v>fotos granuladas</v>
      </c>
      <c r="B30872" s="3">
        <v>0</v>
      </c>
    </row>
    <row r="30873" ht="15.75" customHeight="1" spans="1:2">
      <c r="A30873" s="3" t="str">
        <f>IFERROR(__xludf.DUMMYFUNCTION("GOOGLETRANSLATE(A30873,""en"",""pt"")"),"Recursos não incluem um modo de filme.")</f>
        <v>Recursos não incluem um modo de filme.</v>
      </c>
      <c r="B30873" s="3">
        <v>0</v>
      </c>
    </row>
    <row r="30874" ht="15.75" customHeight="1" spans="1:2">
      <c r="A30874" s="3" t="str">
        <f>IFERROR(__xludf.DUMMYFUNCTION("GOOGLETRANSLATE(A30874,""en"",""pt"")"),"Fotografar em interiores não são maravilhoso - mover-se de um modelo")</f>
        <v>Fotografar em interiores não são maravilhoso - mover-se de um modelo</v>
      </c>
      <c r="B30874" s="3">
        <v>0</v>
      </c>
    </row>
    <row r="30875" ht="15.75" customHeight="1" spans="1:2">
      <c r="A30875" s="3" t="str">
        <f>IFERROR(__xludf.DUMMYFUNCTION("GOOGLETRANSLATE(A30875,""en"",""pt"")"),"Não vale a pena mencionar")</f>
        <v>Não vale a pena mencionar</v>
      </c>
      <c r="B30875" s="3">
        <v>0</v>
      </c>
    </row>
    <row r="30876" ht="15.75" customHeight="1" spans="1:2">
      <c r="A30876" s="3" t="str">
        <f>IFERROR(__xludf.DUMMYFUNCTION("GOOGLETRANSLATE(A30876,""en"",""pt"")"),"qualidade da foto")</f>
        <v>qualidade da foto</v>
      </c>
      <c r="B30876" s="3">
        <v>0</v>
      </c>
    </row>
    <row r="30877" ht="15.75" customHeight="1" spans="1:2">
      <c r="A30877" s="3" t="str">
        <f>IFERROR(__xludf.DUMMYFUNCTION("GOOGLETRANSLATE(A30877,""en"",""pt"")"),"caro")</f>
        <v>caro</v>
      </c>
      <c r="B30877" s="3">
        <v>0</v>
      </c>
    </row>
    <row r="30878" ht="15.75" customHeight="1" spans="1:2">
      <c r="A30878" s="3" t="str">
        <f>IFERROR(__xludf.DUMMYFUNCTION("GOOGLETRANSLATE(A30878,""en"",""pt"")"),"Nenhum")</f>
        <v>Nenhum</v>
      </c>
      <c r="B30878" s="3">
        <v>0</v>
      </c>
    </row>
    <row r="30879" ht="15.75" customHeight="1" spans="1:2">
      <c r="A30879" s="3" t="str">
        <f>IFERROR(__xludf.DUMMYFUNCTION("GOOGLETRANSLATE(A30879,""en"",""pt"")"),"Maior fator de forma, não através do visor de lente")</f>
        <v>Maior fator de forma, não através do visor de lente</v>
      </c>
      <c r="B30879" s="3">
        <v>0</v>
      </c>
    </row>
    <row r="30880" ht="15.75" customHeight="1" spans="1:2">
      <c r="A30880" s="3" t="str">
        <f>IFERROR(__xludf.DUMMYFUNCTION("GOOGLETRANSLATE(A30880,""en"",""pt"")"),"Custo inicial")</f>
        <v>Custo inicial</v>
      </c>
      <c r="B30880" s="3">
        <v>0</v>
      </c>
    </row>
    <row r="30881" ht="15.75" customHeight="1" spans="1:2">
      <c r="A30881" s="3" t="str">
        <f>IFERROR(__xludf.DUMMYFUNCTION("GOOGLETRANSLATE(A30881,""en"",""pt"")"),"nem sempre a qualidade de retrato (mas perto)")</f>
        <v>nem sempre a qualidade de retrato (mas perto)</v>
      </c>
      <c r="B30881" s="3">
        <v>0</v>
      </c>
    </row>
    <row r="30882" ht="15.75" customHeight="1" spans="1:2">
      <c r="A30882" s="3" t="str">
        <f>IFERROR(__xludf.DUMMYFUNCTION("GOOGLETRANSLATE(A30882,""en"",""pt"")"),"Poderia fazer um pouco melhor na distância")</f>
        <v>Poderia fazer um pouco melhor na distância</v>
      </c>
      <c r="B30882" s="3">
        <v>0</v>
      </c>
    </row>
    <row r="30883" ht="15.75" customHeight="1" spans="1:2">
      <c r="A30883" s="3" t="str">
        <f>IFERROR(__xludf.DUMMYFUNCTION("GOOGLETRANSLATE(A30883,""en"",""pt"")"),"qualidade de imagem medíocre")</f>
        <v>qualidade de imagem medíocre</v>
      </c>
      <c r="B30883" s="3">
        <v>0</v>
      </c>
    </row>
    <row r="30884" ht="15.75" customHeight="1" spans="1:2">
      <c r="A30884" s="3" t="str">
        <f>IFERROR(__xludf.DUMMYFUNCTION("GOOGLETRANSLATE(A30884,""en"",""pt"")"),"Nenhum")</f>
        <v>Nenhum</v>
      </c>
      <c r="B30884" s="3">
        <v>0</v>
      </c>
    </row>
    <row r="30885" ht="15.75" customHeight="1" spans="1:2">
      <c r="A30885" s="3" t="str">
        <f>IFERROR(__xludf.DUMMYFUNCTION("GOOGLETRANSLATE(A30885,""en"",""pt"")"),"difícil encontrar uma bolsa de transporte")</f>
        <v>difícil encontrar uma bolsa de transporte</v>
      </c>
      <c r="B30885" s="3">
        <v>0</v>
      </c>
    </row>
    <row r="30886" ht="15.75" customHeight="1" spans="1:2">
      <c r="A30886" s="3" t="str">
        <f>IFERROR(__xludf.DUMMYFUNCTION("GOOGLETRANSLATE(A30886,""en"",""pt"")"),"ele poderia ter tido um pouco melhor resolução")</f>
        <v>ele poderia ter tido um pouco melhor resolução</v>
      </c>
      <c r="B30886" s="3">
        <v>0</v>
      </c>
    </row>
    <row r="30887" ht="15.75" customHeight="1" spans="1:2">
      <c r="A30887" s="3" t="str">
        <f>IFERROR(__xludf.DUMMYFUNCTION("GOOGLETRANSLATE(A30887,""en"",""pt"")"),"Dimensão, deverá usar LCD para exibição")</f>
        <v>Dimensão, deverá usar LCD para exibição</v>
      </c>
      <c r="B30887" s="3">
        <v>0</v>
      </c>
    </row>
    <row r="30888" ht="15.75" customHeight="1" spans="1:2">
      <c r="A30888" s="3" t="str">
        <f>IFERROR(__xludf.DUMMYFUNCTION("GOOGLETRANSLATE(A30888,""en"",""pt"")"),"Pode sentir-se &amp; amp; quot; amp volumosos e; quot; no início")</f>
        <v>Pode sentir-se &amp; amp; quot; amp volumosos e; quot; no início</v>
      </c>
      <c r="B30888" s="3">
        <v>0</v>
      </c>
    </row>
    <row r="30889" ht="15.75" customHeight="1" spans="1:2">
      <c r="A30889" s="3" t="str">
        <f>IFERROR(__xludf.DUMMYFUNCTION("GOOGLETRANSLATE(A30889,""en"",""pt"")"),"preço justo, mas eu espero que eles vão para baixo alguns")</f>
        <v>preço justo, mas eu espero que eles vão para baixo alguns</v>
      </c>
      <c r="B30889" s="3">
        <v>0</v>
      </c>
    </row>
    <row r="30890" ht="15.75" customHeight="1" spans="1:2">
      <c r="A30890" s="3" t="str">
        <f>IFERROR(__xludf.DUMMYFUNCTION("GOOGLETRANSLATE(A30890,""en"",""pt"")"),"Eu não poderia encontrar qualquer coisa que eu não gosto sobre esta câmera")</f>
        <v>Eu não poderia encontrar qualquer coisa que eu não gosto sobre esta câmera</v>
      </c>
      <c r="B30890" s="3">
        <v>0</v>
      </c>
    </row>
    <row r="30891" ht="15.75" customHeight="1" spans="1:2">
      <c r="A30891" s="3" t="str">
        <f>IFERROR(__xludf.DUMMYFUNCTION("GOOGLETRANSLATE(A30891,""en"",""pt"")"),"Nenhum")</f>
        <v>Nenhum</v>
      </c>
      <c r="B30891" s="3">
        <v>0</v>
      </c>
    </row>
    <row r="30892" ht="15.75" customHeight="1" spans="1:2">
      <c r="A30892" s="3" t="str">
        <f>IFERROR(__xludf.DUMMYFUNCTION("GOOGLETRANSLATE(A30892,""en"",""pt"")"),"Visor um problema na luz solar intensa.")</f>
        <v>Visor um problema na luz solar intensa.</v>
      </c>
      <c r="B30892" s="3">
        <v>0</v>
      </c>
    </row>
    <row r="30893" ht="15.75" customHeight="1" spans="1:2">
      <c r="A30893" s="3" t="str">
        <f>IFERROR(__xludf.DUMMYFUNCTION("GOOGLETRANSLATE(A30893,""en"",""pt"")"),"Nenhum")</f>
        <v>Nenhum</v>
      </c>
      <c r="B30893" s="3">
        <v>0</v>
      </c>
    </row>
    <row r="30894" ht="15.75" customHeight="1" spans="1:2">
      <c r="A30894" s="3" t="str">
        <f>IFERROR(__xludf.DUMMYFUNCTION("GOOGLETRANSLATE(A30894,""en"",""pt"")"),"Eu realmente não vejo qualquer razão para uma con sobre este produto")</f>
        <v>Eu realmente não vejo qualquer razão para uma con sobre este produto</v>
      </c>
      <c r="B30894" s="3">
        <v>0</v>
      </c>
    </row>
    <row r="30895" ht="15.75" customHeight="1" spans="1:2">
      <c r="A30895" s="3" t="str">
        <f>IFERROR(__xludf.DUMMYFUNCTION("GOOGLETRANSLATE(A30895,""en"",""pt"")")," nenhum, tanto quanto eu estou em causa")</f>
        <v> nenhum, tanto quanto eu estou em causa</v>
      </c>
      <c r="B30895" s="3">
        <v>0</v>
      </c>
    </row>
    <row r="30896" ht="15.75" customHeight="1" spans="1:2">
      <c r="A30896" s="3" t="str">
        <f>IFERROR(__xludf.DUMMYFUNCTION("GOOGLETRANSLATE(A30896,""en"",""pt"")"),"Nenhum até agora")</f>
        <v>Nenhum até agora</v>
      </c>
      <c r="B30896" s="3">
        <v>0</v>
      </c>
    </row>
    <row r="30897" ht="15.75" customHeight="1" spans="1:2">
      <c r="A30897" s="3" t="str">
        <f>IFERROR(__xludf.DUMMYFUNCTION("GOOGLETRANSLATE(A30897,""en"",""pt"")"),"Bateria dura apenas 2 horas")</f>
        <v>Bateria dura apenas 2 horas</v>
      </c>
      <c r="B30897" s="3">
        <v>0</v>
      </c>
    </row>
    <row r="30898" ht="15.75" customHeight="1" spans="1:2">
      <c r="A30898" s="3" t="str">
        <f>IFERROR(__xludf.DUMMYFUNCTION("GOOGLETRANSLATE(A30898,""en"",""pt"")"),"um pouco caro")</f>
        <v>um pouco caro</v>
      </c>
      <c r="B30898" s="3">
        <v>0</v>
      </c>
    </row>
    <row r="30899" ht="15.75" customHeight="1" spans="1:2">
      <c r="A30899" s="3" t="str">
        <f>IFERROR(__xludf.DUMMYFUNCTION("GOOGLETRANSLATE(A30899,""en"",""pt"")"),"qualidade de imagem moderada")</f>
        <v>qualidade de imagem moderada</v>
      </c>
      <c r="B30899" s="3">
        <v>0</v>
      </c>
    </row>
    <row r="30900" ht="15.75" customHeight="1" spans="1:2">
      <c r="A30900" s="3" t="str">
        <f>IFERROR(__xludf.DUMMYFUNCTION("GOOGLETRANSLATE(A30900,""en"",""pt"")"),"Não é bom para níveis muito baixos de luz")</f>
        <v>Não é bom para níveis muito baixos de luz</v>
      </c>
      <c r="B30900" s="3">
        <v>0</v>
      </c>
    </row>
    <row r="30901" ht="15.75" customHeight="1" spans="1:2">
      <c r="A30901" s="3" t="str">
        <f>IFERROR(__xludf.DUMMYFUNCTION("GOOGLETRANSLATE(A30901,""en"",""pt"")"),"você ficar viciado em tomar muitas e muitas fotos!")</f>
        <v>você ficar viciado em tomar muitas e muitas fotos!</v>
      </c>
      <c r="B30901" s="3">
        <v>0</v>
      </c>
    </row>
    <row r="30902" ht="15.75" customHeight="1" spans="1:2">
      <c r="A30902" s="3" t="str">
        <f>IFERROR(__xludf.DUMMYFUNCTION("GOOGLETRANSLATE(A30902,""en"",""pt"")"),"não um con com a câmera em si, mas se perguntando como impressas fotos realizar-se ao longo dos anos")</f>
        <v>não um con com a câmera em si, mas se perguntando como impressas fotos realizar-se ao longo dos anos</v>
      </c>
      <c r="B30902" s="3">
        <v>0</v>
      </c>
    </row>
    <row r="30903" ht="15.75" customHeight="1" spans="1:2">
      <c r="A30903" s="3" t="str">
        <f>IFERROR(__xludf.DUMMYFUNCTION("GOOGLETRANSLATE(A30903,""en"",""pt"")"),"Eu não tentei imprimir as fotografias ainda, então eu não tenho certeza da qualidade lá.")</f>
        <v>Eu não tentei imprimir as fotografias ainda, então eu não tenho certeza da qualidade lá.</v>
      </c>
      <c r="B30903" s="3">
        <v>0</v>
      </c>
    </row>
    <row r="30904" ht="15.75" customHeight="1" spans="1:2">
      <c r="A30904" s="3" t="str">
        <f>IFERROR(__xludf.DUMMYFUNCTION("GOOGLETRANSLATE(A30904,""en"",""pt"")"),"caro")</f>
        <v>caro</v>
      </c>
      <c r="B30904" s="3">
        <v>0</v>
      </c>
    </row>
    <row r="30905" ht="15.75" customHeight="1" spans="1:2">
      <c r="A30905" s="3" t="str">
        <f>IFERROR(__xludf.DUMMYFUNCTION("GOOGLETRANSLATE(A30905,""en"",""pt"")"),"Mais velho")</f>
        <v>Mais velho</v>
      </c>
      <c r="B30905" s="3">
        <v>0</v>
      </c>
    </row>
    <row r="30906" ht="15.75" customHeight="1" spans="1:2">
      <c r="A30906" s="3" t="str">
        <f>IFERROR(__xludf.DUMMYFUNCTION("GOOGLETRANSLATE(A30906,""en"",""pt"")"),"Embora um zoom de 10x é destaque, não há opcionais 200 ou 300mm lente que eu estou ciente de.")</f>
        <v>Embora um zoom de 10x é destaque, não há opcionais 200 ou 300mm lente que eu estou ciente de.</v>
      </c>
      <c r="B30906" s="3">
        <v>0</v>
      </c>
    </row>
    <row r="30907" ht="15.75" customHeight="1" spans="1:2">
      <c r="A30907" s="3" t="str">
        <f>IFERROR(__xludf.DUMMYFUNCTION("GOOGLETRANSLATE(A30907,""en"",""pt"")"),"nenhum modo de filme")</f>
        <v>nenhum modo de filme</v>
      </c>
      <c r="B30907" s="3">
        <v>0</v>
      </c>
    </row>
    <row r="30908" ht="15.75" customHeight="1" spans="1:2">
      <c r="A30908" s="3" t="str">
        <f>IFERROR(__xludf.DUMMYFUNCTION("GOOGLETRANSLATE(A30908,""en"",""pt"")"),"Volumoso e grande")</f>
        <v>Volumoso e grande</v>
      </c>
      <c r="B30908" s="3">
        <v>0</v>
      </c>
    </row>
    <row r="30909" ht="15.75" customHeight="1" spans="1:2">
      <c r="A30909" s="3" t="str">
        <f>IFERROR(__xludf.DUMMYFUNCTION("GOOGLETRANSLATE(A30909,""en"",""pt"")"),"Câmera é um pouco volumoso")</f>
        <v>Câmera é um pouco volumoso</v>
      </c>
      <c r="B30909" s="3">
        <v>0</v>
      </c>
    </row>
    <row r="30910" ht="15.75" customHeight="1" spans="1:2">
      <c r="A30910" s="3" t="str">
        <f>IFERROR(__xludf.DUMMYFUNCTION("GOOGLETRANSLATE(A30910,""en"",""pt"")"),"tampa da lente")</f>
        <v>tampa da lente</v>
      </c>
      <c r="B30910" s="3">
        <v>0</v>
      </c>
    </row>
    <row r="30911" ht="15.75" customHeight="1" spans="1:2">
      <c r="A30911" s="3" t="str">
        <f>IFERROR(__xludf.DUMMYFUNCTION("GOOGLETRANSLATE(A30911,""en"",""pt"")"),"Nenhum ainda...")</f>
        <v>Nenhum ainda...</v>
      </c>
      <c r="B30911" s="3">
        <v>0</v>
      </c>
    </row>
    <row r="30912" ht="15.75" customHeight="1" spans="1:2">
      <c r="A30912" s="3" t="str">
        <f>IFERROR(__xludf.DUMMYFUNCTION("GOOGLETRANSLATE(A30912,""en"",""pt"")"),"Um peso grande pouco, mas a luz, mesmo assim")</f>
        <v>Um peso grande pouco, mas a luz, mesmo assim</v>
      </c>
      <c r="B30912" s="3">
        <v>0</v>
      </c>
    </row>
    <row r="30913" ht="15.75" customHeight="1" spans="1:2">
      <c r="A30913" s="3" t="str">
        <f>IFERROR(__xludf.DUMMYFUNCTION("GOOGLETRANSLATE(A30913,""en"",""pt"")"),"não encontrei nenhum.")</f>
        <v>não encontrei nenhum.</v>
      </c>
      <c r="B30913" s="3">
        <v>0</v>
      </c>
    </row>
    <row r="30914" ht="15.75" customHeight="1" spans="1:2">
      <c r="A30914" s="3" t="str">
        <f>IFERROR(__xludf.DUMMYFUNCTION("GOOGLETRANSLATE(A30914,""en"",""pt"")"),"Nenhum que eu encontrei")</f>
        <v>Nenhum que eu encontrei</v>
      </c>
      <c r="B30914" s="3">
        <v>0</v>
      </c>
    </row>
    <row r="30915" ht="15.75" customHeight="1" spans="1:2">
      <c r="A30915" s="3" t="str">
        <f>IFERROR(__xludf.DUMMYFUNCTION("GOOGLETRANSLATE(A30915,""en"",""pt"")"),"não sei de qualquer")</f>
        <v>não sei de qualquer</v>
      </c>
      <c r="B30915" s="3">
        <v>0</v>
      </c>
    </row>
    <row r="30916" ht="15.75" customHeight="1" spans="1:2">
      <c r="A30916" s="3" t="str">
        <f>IFERROR(__xludf.DUMMYFUNCTION("GOOGLETRANSLATE(A30916,""en"",""pt"")"),"Visor, Difícil de segurar ainda")</f>
        <v>Visor, Difícil de segurar ainda</v>
      </c>
      <c r="B30916" s="3">
        <v>0</v>
      </c>
    </row>
    <row r="30917" ht="15.75" customHeight="1" spans="1:2">
      <c r="A30917" s="3" t="str">
        <f>IFERROR(__xludf.DUMMYFUNCTION("GOOGLETRANSLATE(A30917,""en"",""pt"")"),"nenhum ainda")</f>
        <v>nenhum ainda</v>
      </c>
      <c r="B30917" s="3">
        <v>0</v>
      </c>
    </row>
    <row r="30918" ht="15.75" customHeight="1" spans="1:2">
      <c r="A30918" s="3" t="str">
        <f>IFERROR(__xludf.DUMMYFUNCTION("GOOGLETRANSLATE(A30918,""en"",""pt"")"),"difíceis fotos em ambientes internos")</f>
        <v>difíceis fotos em ambientes internos</v>
      </c>
      <c r="B30918" s="3">
        <v>0</v>
      </c>
    </row>
    <row r="30919" ht="15.75" customHeight="1" spans="1:2">
      <c r="A30919" s="3" t="str">
        <f>IFERROR(__xludf.DUMMYFUNCTION("GOOGLETRANSLATE(A30919,""en"",""pt"")"),"Muitos para mencionar")</f>
        <v>Muitos para mencionar</v>
      </c>
      <c r="B30919" s="3">
        <v>0</v>
      </c>
    </row>
    <row r="30920" ht="15.75" customHeight="1" spans="1:2">
      <c r="A30920" s="3" t="str">
        <f>IFERROR(__xludf.DUMMYFUNCTION("GOOGLETRANSLATE(A30920,""en"",""pt"")"),"Visor arranha facilmente")</f>
        <v>Visor arranha facilmente</v>
      </c>
      <c r="B30920" s="3">
        <v>0</v>
      </c>
    </row>
    <row r="30921" ht="15.75" customHeight="1" spans="1:2">
      <c r="A30921" s="3" t="str">
        <f>IFERROR(__xludf.DUMMYFUNCTION("GOOGLETRANSLATE(A30921,""en"",""pt"")"),"um pouco volumoso, gostaria que houvesse uma cobertura para a tela")</f>
        <v>um pouco volumoso, gostaria que houvesse uma cobertura para a tela</v>
      </c>
      <c r="B30921" s="3">
        <v>0</v>
      </c>
    </row>
    <row r="30922" ht="15.75" customHeight="1" spans="1:2">
      <c r="A30922" s="3" t="str">
        <f>IFERROR(__xludf.DUMMYFUNCTION("GOOGLETRANSLATE(A30922,""en"",""pt"")"),"manual de instruções mal escrito")</f>
        <v>manual de instruções mal escrito</v>
      </c>
      <c r="B30922" s="3">
        <v>0</v>
      </c>
    </row>
    <row r="30923" ht="15.75" customHeight="1" spans="1:2">
      <c r="A30923" s="3" t="str">
        <f>IFERROR(__xludf.DUMMYFUNCTION("GOOGLETRANSLATE(A30923,""en"",""pt"")"),"muito fácil")</f>
        <v>muito fácil</v>
      </c>
      <c r="B30923" s="3">
        <v>0</v>
      </c>
    </row>
    <row r="30924" ht="15.75" customHeight="1" spans="1:2">
      <c r="A30924" s="3" t="str">
        <f>IFERROR(__xludf.DUMMYFUNCTION("GOOGLETRANSLATE(A30924,""en"",""pt"")"),"resolução")</f>
        <v>resolução</v>
      </c>
      <c r="B30924" s="3">
        <v>0</v>
      </c>
    </row>
    <row r="30925" ht="15.75" customHeight="1" spans="1:2">
      <c r="A30925" s="3" t="str">
        <f>IFERROR(__xludf.DUMMYFUNCTION("GOOGLETRANSLATE(A30925,""en"",""pt"")"),"Nenhum")</f>
        <v>Nenhum</v>
      </c>
      <c r="B30925" s="3">
        <v>0</v>
      </c>
    </row>
    <row r="30926" ht="15.75" customHeight="1" spans="1:2">
      <c r="A30926" s="3" t="str">
        <f>IFERROR(__xludf.DUMMYFUNCTION("GOOGLETRANSLATE(A30926,""en"",""pt"")"),"Difícil de ver a tela LCD em dias claros; um granulado de bits com pouca luz")</f>
        <v>Difícil de ver a tela LCD em dias claros; um granulado de bits com pouca luz</v>
      </c>
      <c r="B30926" s="3">
        <v>0</v>
      </c>
    </row>
    <row r="30927" ht="15.75" customHeight="1" spans="1:2">
      <c r="A30927" s="3" t="str">
        <f>IFERROR(__xludf.DUMMYFUNCTION("GOOGLETRANSLATE(A30927,""en"",""pt"")"),"Bad qualidade, lenta")</f>
        <v>Bad qualidade, lenta</v>
      </c>
      <c r="B30927" s="3">
        <v>0</v>
      </c>
    </row>
    <row r="30928" ht="15.75" customHeight="1" spans="1:2">
      <c r="A30928" s="3" t="str">
        <f>IFERROR(__xludf.DUMMYFUNCTION("GOOGLETRANSLATE(A30928,""en"",""pt"")"),"a tela se sujar fácil, mas que é sobre ele.")</f>
        <v>a tela se sujar fácil, mas que é sobre ele.</v>
      </c>
      <c r="B30928" s="3">
        <v>0</v>
      </c>
    </row>
    <row r="30929" ht="15.75" customHeight="1" spans="1:2">
      <c r="A30929" s="3" t="str">
        <f>IFERROR(__xludf.DUMMYFUNCTION("GOOGLETRANSLATE(A30929,""en"",""pt"")"),"Para imprimi-lo, você precisa de uma impressora de alta qualidade")</f>
        <v>Para imprimi-lo, você precisa de uma impressora de alta qualidade</v>
      </c>
      <c r="B30929" s="3">
        <v>0</v>
      </c>
    </row>
    <row r="30930" ht="15.75" customHeight="1" spans="1:2">
      <c r="A30930" s="3" t="str">
        <f>IFERROR(__xludf.DUMMYFUNCTION("GOOGLETRANSLATE(A30930,""en"",""pt"")"),"A volumosa pouco e um pouco pesado")</f>
        <v>A volumosa pouco e um pouco pesado</v>
      </c>
      <c r="B30930" s="3">
        <v>0</v>
      </c>
    </row>
    <row r="30931" ht="15.75" customHeight="1" spans="1:2">
      <c r="A30931" s="3" t="str">
        <f>IFERROR(__xludf.DUMMYFUNCTION("GOOGLETRANSLATE(A30931,""en"",""pt"")"),"um pouco caro")</f>
        <v>um pouco caro</v>
      </c>
      <c r="B30931" s="3">
        <v>0</v>
      </c>
    </row>
    <row r="30932" ht="15.75" customHeight="1" spans="1:2">
      <c r="A30932" s="3" t="str">
        <f>IFERROR(__xludf.DUMMYFUNCTION("GOOGLETRANSLATE(A30932,""en"",""pt"")"),"Tem dificuldade em se concentrar em pouca luz")</f>
        <v>Tem dificuldade em se concentrar em pouca luz</v>
      </c>
      <c r="B30932" s="3">
        <v>0</v>
      </c>
    </row>
    <row r="30933" ht="15.75" customHeight="1" spans="1:2">
      <c r="A30933" s="3" t="str">
        <f>IFERROR(__xludf.DUMMYFUNCTION("GOOGLETRANSLATE(A30933,""en"",""pt"")"),"Não vem com uma câmera.")</f>
        <v>Não vem com uma câmera.</v>
      </c>
      <c r="B30933" s="3">
        <v>0</v>
      </c>
    </row>
    <row r="30934" ht="15.75" customHeight="1" spans="1:2">
      <c r="A30934" s="3" t="str">
        <f>IFERROR(__xludf.DUMMYFUNCTION("GOOGLETRANSLATE(A30934,""en"",""pt"")"),"Pobre &amp; amp; quot; print-out &amp; amp; quot; qualidade, mais volumoso do que as câmeras de 35mm")</f>
        <v>Pobre &amp; amp; quot; print-out &amp; amp; quot; qualidade, mais volumoso do que as câmeras de 35mm</v>
      </c>
      <c r="B30934" s="3">
        <v>0</v>
      </c>
    </row>
    <row r="30935" ht="15.75" customHeight="1" spans="1:2">
      <c r="A30935" s="3" t="str">
        <f>IFERROR(__xludf.DUMMYFUNCTION("GOOGLETRANSLATE(A30935,""en"",""pt"")"),"Eu vou deixar você saber quando eu encontrar um!")</f>
        <v>Eu vou deixar você saber quando eu encontrar um!</v>
      </c>
      <c r="B30935" s="3">
        <v>0</v>
      </c>
    </row>
    <row r="30936" ht="15.75" customHeight="1" spans="1:2">
      <c r="A30936" s="3" t="str">
        <f>IFERROR(__xludf.DUMMYFUNCTION("GOOGLETRANSLATE(A30936,""en"",""pt"")"),"Não para fotografia de alta resolução.")</f>
        <v>Não para fotografia de alta resolução.</v>
      </c>
      <c r="B30936" s="3">
        <v>0</v>
      </c>
    </row>
    <row r="30937" ht="15.75" customHeight="1" spans="1:2">
      <c r="A30937" s="3" t="str">
        <f>IFERROR(__xludf.DUMMYFUNCTION("GOOGLETRANSLATE(A30937,""en"",""pt"")"),"Granulado sem dentro de flash")</f>
        <v>Granulado sem dentro de flash</v>
      </c>
      <c r="B30937" s="3">
        <v>0</v>
      </c>
    </row>
    <row r="30938" ht="15.75" customHeight="1" spans="1:2">
      <c r="A30938" s="3" t="str">
        <f>IFERROR(__xludf.DUMMYFUNCTION("GOOGLETRANSLATE(A30938,""en"",""pt"")"),"Imagens estão longe de ser top de linha; forma desajeitado.")</f>
        <v>Imagens estão longe de ser top de linha; forma desajeitado.</v>
      </c>
      <c r="B30938" s="3">
        <v>0</v>
      </c>
    </row>
    <row r="30939" ht="15.75" customHeight="1" spans="1:2">
      <c r="A30939" s="3" t="str">
        <f>IFERROR(__xludf.DUMMYFUNCTION("GOOGLETRANSLATE(A30939,""en"",""pt"")"),"Nenhum")</f>
        <v>Nenhum</v>
      </c>
      <c r="B30939" s="3">
        <v>0</v>
      </c>
    </row>
    <row r="30940" ht="15.75" customHeight="1" spans="1:2">
      <c r="A30940" s="3" t="str">
        <f>IFERROR(__xludf.DUMMYFUNCTION("GOOGLETRANSLATE(A30940,""en"",""pt"")"),"custo")</f>
        <v>custo</v>
      </c>
      <c r="B30940" s="3">
        <v>0</v>
      </c>
    </row>
    <row r="30941" ht="15.75" customHeight="1" spans="1:2">
      <c r="A30941" s="3" t="str">
        <f>IFERROR(__xludf.DUMMYFUNCTION("GOOGLETRANSLATE(A30941,""en"",""pt"")"),"Recarregável Duração da bateria (sugiro comprar outra bateria, para backup)")</f>
        <v>Recarregável Duração da bateria (sugiro comprar outra bateria, para backup)</v>
      </c>
      <c r="B30941" s="3">
        <v>0</v>
      </c>
    </row>
    <row r="30942" ht="15.75" customHeight="1" spans="1:2">
      <c r="A30942" s="3" t="str">
        <f>IFERROR(__xludf.DUMMYFUNCTION("GOOGLETRANSLATE(A30942,""en"",""pt"")"),"pouco caro, pouco difícil de descobrir como attatch fotos")</f>
        <v>pouco caro, pouco difícil de descobrir como attatch fotos</v>
      </c>
      <c r="B30942" s="3">
        <v>0</v>
      </c>
    </row>
    <row r="30943" ht="15.75" customHeight="1" spans="1:2">
      <c r="A30943" s="3" t="str">
        <f>IFERROR(__xludf.DUMMYFUNCTION("GOOGLETRANSLATE(A30943,""en"",""pt"")"),"Apenas um pouco caro!")</f>
        <v>Apenas um pouco caro!</v>
      </c>
      <c r="B30943" s="3">
        <v>0</v>
      </c>
    </row>
    <row r="30944" ht="15.75" customHeight="1" spans="1:2">
      <c r="A30944" s="3" t="s">
        <v>178</v>
      </c>
      <c r="B30944" s="3">
        <v>0</v>
      </c>
    </row>
    <row r="30945" ht="15.75" customHeight="1" spans="1:2">
      <c r="A30945" s="3" t="str">
        <f>IFERROR(__xludf.DUMMYFUNCTION("GOOGLETRANSLATE(A30945,""en"",""pt"")"),"nenhum eu posso pensar")</f>
        <v>nenhum eu posso pensar</v>
      </c>
      <c r="B30945" s="3">
        <v>0</v>
      </c>
    </row>
    <row r="30946" ht="15.75" customHeight="1" spans="1:2">
      <c r="A30946" s="3" t="str">
        <f>IFERROR(__xludf.DUMMYFUNCTION("GOOGLETRANSLATE(A30946,""en"",""pt"")"),"A qualidade da imagem, qualidade da imagem")</f>
        <v>A qualidade da imagem, qualidade da imagem</v>
      </c>
      <c r="B30946" s="3">
        <v>0</v>
      </c>
    </row>
    <row r="30947" ht="15.75" customHeight="1" spans="1:2">
      <c r="A30947" s="3" t="str">
        <f>IFERROR(__xludf.DUMMYFUNCTION("GOOGLETRANSLATE(A30947,""en"",""pt"")"),"Um pouco caro!")</f>
        <v>Um pouco caro!</v>
      </c>
      <c r="B30947" s="3">
        <v>0</v>
      </c>
    </row>
    <row r="30948" ht="15.75" customHeight="1" spans="1:2">
      <c r="A30948" s="3" t="str">
        <f>IFERROR(__xludf.DUMMYFUNCTION("GOOGLETRANSLATE(A30948,""en"",""pt"")"),"Não a melhor definição de qualidade.")</f>
        <v>Não a melhor definição de qualidade.</v>
      </c>
      <c r="B30948" s="3">
        <v>0</v>
      </c>
    </row>
    <row r="30949" ht="15.75" customHeight="1" spans="1:2">
      <c r="A30949" s="3" t="str">
        <f>IFERROR(__xludf.DUMMYFUNCTION("GOOGLETRANSLATE(A30949,""en"",""pt"")"),"Fotos de qualidade não profissional; pesado de armazenamento flexível para alguns")</f>
        <v>Fotos de qualidade não profissional; pesado de armazenamento flexível para alguns</v>
      </c>
      <c r="B30949" s="3">
        <v>0</v>
      </c>
    </row>
    <row r="30950" ht="15.75" customHeight="1" spans="1:2">
      <c r="A30950" s="3" t="str">
        <f>IFERROR(__xludf.DUMMYFUNCTION("GOOGLETRANSLATE(A30950,""en"",""pt"")"),"preço, resolução, unidade de armazenamento")</f>
        <v>preço, resolução, unidade de armazenamento</v>
      </c>
      <c r="B30950" s="3">
        <v>0</v>
      </c>
    </row>
    <row r="30951" ht="15.75" customHeight="1" spans="1:2">
      <c r="A30951" s="3" t="str">
        <f>IFERROR(__xludf.DUMMYFUNCTION("GOOGLETRANSLATE(A30951,""en"",""pt"")"),"Não há contras que eu encontrei!")</f>
        <v>Não há contras que eu encontrei!</v>
      </c>
      <c r="B30951" s="3">
        <v>0</v>
      </c>
    </row>
    <row r="30952" ht="15.75" customHeight="1" spans="1:2">
      <c r="A30952" s="3" t="str">
        <f>IFERROR(__xludf.DUMMYFUNCTION("GOOGLETRANSLATE(A30952,""en"",""pt"")"),"curta duração da bateria ... :(")</f>
        <v>curta duração da bateria ... :(</v>
      </c>
      <c r="B30952" s="3">
        <v>0</v>
      </c>
    </row>
    <row r="30953" ht="15.75" customHeight="1" spans="1:2">
      <c r="A30953" s="3" t="str">
        <f>IFERROR(__xludf.DUMMYFUNCTION("GOOGLETRANSLATE(A30953,""en"",""pt"")"),"Baixa resolução para os padrões atuais.")</f>
        <v>Baixa resolução para os padrões atuais.</v>
      </c>
      <c r="B30953" s="3">
        <v>0</v>
      </c>
    </row>
    <row r="30954" ht="15.75" customHeight="1" spans="1:2">
      <c r="A30954" s="3" t="str">
        <f>IFERROR(__xludf.DUMMYFUNCTION("GOOGLETRANSLATE(A30954,""en"",""pt"")"),"Se imerso em água, ele provavelmente irá causar danos")</f>
        <v>Se imerso em água, ele provavelmente irá causar danos</v>
      </c>
      <c r="B30954" s="3">
        <v>0</v>
      </c>
    </row>
    <row r="30955" ht="15.75" customHeight="1" spans="1:2">
      <c r="A30955" s="3" t="str">
        <f>IFERROR(__xludf.DUMMYFUNCTION("GOOGLETRANSLATE(A30955,""en"",""pt"")"),"Qualidade de impressão")</f>
        <v>Qualidade de impressão</v>
      </c>
      <c r="B30955" s="3">
        <v>0</v>
      </c>
    </row>
    <row r="30956" ht="15.75" customHeight="1" spans="1:2">
      <c r="A30956" s="3" t="str">
        <f>IFERROR(__xludf.DUMMYFUNCTION("GOOGLETRANSLATE(A30956,""en"",""pt"")"),"um pouco volumoso")</f>
        <v>um pouco volumoso</v>
      </c>
      <c r="B30956" s="3">
        <v>0</v>
      </c>
    </row>
    <row r="30957" ht="15.75" customHeight="1" spans="1:2">
      <c r="A30957" s="3" t="str">
        <f>IFERROR(__xludf.DUMMYFUNCTION("GOOGLETRANSLATE(A30957,""en"",""pt"")"),"Deve vir com um estojo de transporte")</f>
        <v>Deve vir com um estojo de transporte</v>
      </c>
      <c r="B30957" s="3">
        <v>0</v>
      </c>
    </row>
    <row r="30958" ht="15.75" customHeight="1" spans="1:2">
      <c r="A30958" s="3" t="str">
        <f>IFERROR(__xludf.DUMMYFUNCTION("GOOGLETRANSLATE(A30958,""en"",""pt"")"),"Nenhum")</f>
        <v>Nenhum</v>
      </c>
      <c r="B30958" s="3">
        <v>0</v>
      </c>
    </row>
    <row r="30959" ht="15.75" customHeight="1" spans="1:2">
      <c r="A30959" s="3" t="str">
        <f>IFERROR(__xludf.DUMMYFUNCTION("GOOGLETRANSLATE(A30959,""en"",""pt"")"),"Não consigo pensar em qualquer")</f>
        <v>Não consigo pensar em qualquer</v>
      </c>
      <c r="B30959" s="3">
        <v>0</v>
      </c>
    </row>
    <row r="30960" ht="15.75" customHeight="1" spans="1:2">
      <c r="A30960" s="3" t="str">
        <f>IFERROR(__xludf.DUMMYFUNCTION("GOOGLETRANSLATE(A30960,""en"",""pt"")"),"baixa resolução faz com que seja uma câmera de uso geral")</f>
        <v>baixa resolução faz com que seja uma câmera de uso geral</v>
      </c>
      <c r="B30960" s="3">
        <v>0</v>
      </c>
    </row>
    <row r="30961" ht="15.75" customHeight="1" spans="1:2">
      <c r="A30961" s="3" t="str">
        <f>IFERROR(__xludf.DUMMYFUNCTION("GOOGLETRANSLATE(A30961,""en"",""pt"")"),"bastante caro, mas vale a pena para a qualidade")</f>
        <v>bastante caro, mas vale a pena para a qualidade</v>
      </c>
      <c r="B30961" s="3">
        <v>0</v>
      </c>
    </row>
    <row r="30962" ht="15.75" customHeight="1" spans="1:2">
      <c r="A30962" s="3" t="str">
        <f>IFERROR(__xludf.DUMMYFUNCTION("GOOGLETRANSLATE(A30962,""en"",""pt"")"),"nenhum .... eu acho que o preço")</f>
        <v>nenhum .... eu acho que o preço</v>
      </c>
      <c r="B30962" s="3">
        <v>0</v>
      </c>
    </row>
    <row r="30963" ht="15.75" customHeight="1" spans="1:2">
      <c r="A30963" s="3" t="str">
        <f>IFERROR(__xludf.DUMMYFUNCTION("GOOGLETRANSLATE(A30963,""en"",""pt"")"),"limitações de armazenamento de mídia, problemas de foco e flash.")</f>
        <v>limitações de armazenamento de mídia, problemas de foco e flash.</v>
      </c>
      <c r="B30963" s="3">
        <v>0</v>
      </c>
    </row>
    <row r="30964" ht="15.75" customHeight="1" spans="1:2">
      <c r="A30964" s="3" t="str">
        <f>IFERROR(__xludf.DUMMYFUNCTION("GOOGLETRANSLATE(A30964,""en"",""pt"")"),"capacidade de imagem limitada em disquete.")</f>
        <v>capacidade de imagem limitada em disquete.</v>
      </c>
      <c r="B30964" s="3">
        <v>0</v>
      </c>
    </row>
    <row r="30965" ht="15.75" customHeight="1" spans="1:2">
      <c r="A30965" s="3" t="str">
        <f>IFERROR(__xludf.DUMMYFUNCTION("GOOGLETRANSLATE(A30965,""en"",""pt"")"),"640-480 resolução")</f>
        <v>640-480 resolução</v>
      </c>
      <c r="B30965" s="3">
        <v>0</v>
      </c>
    </row>
    <row r="30966" ht="15.75" customHeight="1" spans="1:2">
      <c r="A30966" s="3" t="str">
        <f>IFERROR(__xludf.DUMMYFUNCTION("GOOGLETRANSLATE(A30966,""en"",""pt"")"),"Bateria é rápido a correr para baixo ... chegar a um mais duradouro e você estará no paraíso!")</f>
        <v>Bateria é rápido a correr para baixo ... chegar a um mais duradouro e você estará no paraíso!</v>
      </c>
      <c r="B30966" s="3">
        <v>0</v>
      </c>
    </row>
    <row r="30967" ht="15.75" customHeight="1" spans="1:2">
      <c r="A30967" s="3" t="str">
        <f>IFERROR(__xludf.DUMMYFUNCTION("GOOGLETRANSLATE(A30967,""en"",""pt"")"),"Não encontrei nenhum.")</f>
        <v>Não encontrei nenhum.</v>
      </c>
      <c r="B30967" s="3">
        <v>0</v>
      </c>
    </row>
    <row r="30968" ht="15.75" customHeight="1" spans="1:2">
      <c r="A30968" s="3" t="str">
        <f>IFERROR(__xludf.DUMMYFUNCTION("GOOGLETRANSLATE(A30968,""en"",""pt"")"),"cabo sem AC incluído")</f>
        <v>cabo sem AC incluído</v>
      </c>
      <c r="B30968" s="3">
        <v>0</v>
      </c>
    </row>
    <row r="30969" ht="15.75" customHeight="1" spans="1:2">
      <c r="A30969" s="3" t="str">
        <f>IFERROR(__xludf.DUMMYFUNCTION("GOOGLETRANSLATE(A30969,""en"",""pt"")"),"qualidade de imagem quando no papel.")</f>
        <v>qualidade de imagem quando no papel.</v>
      </c>
      <c r="B30969" s="3">
        <v>0</v>
      </c>
    </row>
    <row r="30970" ht="15.75" customHeight="1" spans="1:2">
      <c r="A30970" s="3" t="str">
        <f>IFERROR(__xludf.DUMMYFUNCTION("GOOGLETRANSLATE(A30970,""en"",""pt"")"),"qualidade de imagem pobre")</f>
        <v>qualidade de imagem pobre</v>
      </c>
      <c r="B30970" s="3">
        <v>0</v>
      </c>
    </row>
    <row r="30971" ht="15.75" customHeight="1" spans="1:2">
      <c r="A30971" s="3" t="str">
        <f>IFERROR(__xludf.DUMMYFUNCTION("GOOGLETRANSLATE(A30971,""en"",""pt"")"),"fotos embaçadas, caro para a sua qualidade")</f>
        <v>fotos embaçadas, caro para a sua qualidade</v>
      </c>
      <c r="B30971" s="3">
        <v>0</v>
      </c>
    </row>
    <row r="30972" ht="15.75" customHeight="1" spans="1:2">
      <c r="A30972" s="3" t="str">
        <f>IFERROR(__xludf.DUMMYFUNCTION("GOOGLETRANSLATE(A30972,""en"",""pt"")"),"Às vezes é fora muito brilhante e eu não posso ver a imagem na tela muito bem.")</f>
        <v>Às vezes é fora muito brilhante e eu não posso ver a imagem na tela muito bem.</v>
      </c>
      <c r="B30972" s="3">
        <v>0</v>
      </c>
    </row>
    <row r="30973" ht="15.75" customHeight="1" spans="1:2">
      <c r="A30973" s="3" t="str">
        <f>IFERROR(__xludf.DUMMYFUNCTION("GOOGLETRANSLATE(A30973,""en"",""pt"")"),"Baixa qualidade da imagem")</f>
        <v>Baixa qualidade da imagem</v>
      </c>
      <c r="B30973" s="3">
        <v>0</v>
      </c>
    </row>
    <row r="30974" ht="15.75" customHeight="1" spans="1:2">
      <c r="A30974" s="3" t="str">
        <f>IFERROR(__xludf.DUMMYFUNCTION("GOOGLETRANSLATE(A30974,""en"",""pt"")"),"Baixa resolução para o preço.")</f>
        <v>Baixa resolução para o preço.</v>
      </c>
      <c r="B30974" s="3">
        <v>0</v>
      </c>
    </row>
    <row r="30975" ht="15.75" customHeight="1" spans="1:2">
      <c r="A30975" s="3" t="str">
        <f>IFERROR(__xludf.DUMMYFUNCTION("GOOGLETRANSLATE(A30975,""en"",""pt"")"),"a falta de alta resolução")</f>
        <v>a falta de alta resolução</v>
      </c>
      <c r="B30975" s="3">
        <v>0</v>
      </c>
    </row>
    <row r="30976" ht="15.75" customHeight="1" spans="1:2">
      <c r="A30976" s="3" t="str">
        <f>IFERROR(__xludf.DUMMYFUNCTION("GOOGLETRANSLATE(A30976,""en"",""pt"")"),"qualidade Pictures")</f>
        <v>qualidade Pictures</v>
      </c>
      <c r="B30976" s="3">
        <v>0</v>
      </c>
    </row>
    <row r="30977" ht="15.75" customHeight="1" spans="1:2">
      <c r="A30977" s="3" t="str">
        <f>IFERROR(__xludf.DUMMYFUNCTION("GOOGLETRANSLATE(A30977,""en"",""pt"")"),"modo de filme não é longo o suficiente")</f>
        <v>modo de filme não é longo o suficiente</v>
      </c>
      <c r="B30977" s="3">
        <v>0</v>
      </c>
    </row>
    <row r="30978" ht="15.75" customHeight="1" spans="1:2">
      <c r="A30978" s="3" t="str">
        <f>IFERROR(__xludf.DUMMYFUNCTION("GOOGLETRANSLATE(A30978,""en"",""pt"")"),"menos pixels do que outros modelos, por isso, menos qualidade de imagem quando impressa")</f>
        <v>menos pixels do que outros modelos, por isso, menos qualidade de imagem quando impressa</v>
      </c>
      <c r="B30978" s="3">
        <v>0</v>
      </c>
    </row>
    <row r="30979" ht="15.75" customHeight="1" spans="1:2">
      <c r="A30979" s="3" t="str">
        <f>IFERROR(__xludf.DUMMYFUNCTION("GOOGLETRANSLATE(A30979,""en"",""pt"")"),"má qualidade de imagem, a trepidação da câmera")</f>
        <v>má qualidade de imagem, a trepidação da câmera</v>
      </c>
      <c r="B30979" s="3">
        <v>0</v>
      </c>
    </row>
    <row r="30980" ht="15.75" customHeight="1" spans="1:2">
      <c r="A30980" s="3" t="str">
        <f>IFERROR(__xludf.DUMMYFUNCTION("GOOGLETRANSLATE(A30980,""en"",""pt"")"),"No caso da câmera incluído.")</f>
        <v>No caso da câmera incluído.</v>
      </c>
      <c r="B30980" s="3">
        <v>0</v>
      </c>
    </row>
    <row r="30981" ht="15.75" customHeight="1" spans="1:2">
      <c r="A30981" s="3" t="str">
        <f>IFERROR(__xludf.DUMMYFUNCTION("GOOGLETRANSLATE(A30981,""en"",""pt"")"),"a escuridão da tela de visualização")</f>
        <v>a escuridão da tela de visualização</v>
      </c>
      <c r="B30981" s="3">
        <v>0</v>
      </c>
    </row>
    <row r="30982" ht="15.75" customHeight="1" spans="1:2">
      <c r="A30982" s="3" t="str">
        <f>IFERROR(__xludf.DUMMYFUNCTION("GOOGLETRANSLATE(A30982,""en"",""pt"")"),"não pode fazer filmes curtos")</f>
        <v>não pode fazer filmes curtos</v>
      </c>
      <c r="B30982" s="3">
        <v>0</v>
      </c>
    </row>
    <row r="30983" ht="15.75" customHeight="1" spans="1:2">
      <c r="A30983" s="3" t="str">
        <f>IFERROR(__xludf.DUMMYFUNCTION("GOOGLETRANSLATE(A30983,""en"",""pt"")"),"não muitos")</f>
        <v>não muitos</v>
      </c>
      <c r="B30983" s="3">
        <v>0</v>
      </c>
    </row>
    <row r="30984" ht="15.75" customHeight="1" spans="1:2">
      <c r="A30984" s="3" t="str">
        <f>IFERROR(__xludf.DUMMYFUNCTION("GOOGLETRANSLATE(A30984,""en"",""pt"")"),"Nenhum que eu encontrei")</f>
        <v>Nenhum que eu encontrei</v>
      </c>
      <c r="B30984" s="3">
        <v>0</v>
      </c>
    </row>
    <row r="30985" ht="15.75" customHeight="1" spans="1:2">
      <c r="A30985" s="3" t="str">
        <f>IFERROR(__xludf.DUMMYFUNCTION("GOOGLETRANSLATE(A30985,""en"",""pt"")"),"Ainda não encontrei nenhuma")</f>
        <v>Ainda não encontrei nenhuma</v>
      </c>
      <c r="B30985" s="3">
        <v>0</v>
      </c>
    </row>
    <row r="30986" ht="15.75" customHeight="1" spans="1:2">
      <c r="A30986" s="3" t="str">
        <f>IFERROR(__xludf.DUMMYFUNCTION("GOOGLETRANSLATE(A30986,""en"",""pt"")"),"Nenhum")</f>
        <v>Nenhum</v>
      </c>
      <c r="B30986" s="3">
        <v>0</v>
      </c>
    </row>
    <row r="30987" ht="15.75" customHeight="1" spans="1:2">
      <c r="A30987" s="3" t="str">
        <f>IFERROR(__xludf.DUMMYFUNCTION("GOOGLETRANSLATE(A30987,""en"",""pt"")"),"não é barato")</f>
        <v>não é barato</v>
      </c>
      <c r="B30987" s="3">
        <v>0</v>
      </c>
    </row>
    <row r="30988" ht="15.75" customHeight="1" spans="1:2">
      <c r="A30988" s="3" t="str">
        <f>IFERROR(__xludf.DUMMYFUNCTION("GOOGLETRANSLATE(A30988,""en"",""pt"")"),"dentro de má qualidade ou com pouca luz - Flash não ajuda muito")</f>
        <v>dentro de má qualidade ou com pouca luz - Flash não ajuda muito</v>
      </c>
      <c r="B30988" s="3">
        <v>0</v>
      </c>
    </row>
    <row r="30989" ht="15.75" customHeight="1" spans="1:2">
      <c r="A30989" s="3" t="str">
        <f>IFERROR(__xludf.DUMMYFUNCTION("GOOGLETRANSLATE(A30989,""en"",""pt"")"),"caro, mas vale a pena ...")</f>
        <v>caro, mas vale a pena ...</v>
      </c>
      <c r="B30989" s="3">
        <v>0</v>
      </c>
    </row>
    <row r="30990" ht="15.75" customHeight="1" spans="1:2">
      <c r="A30990" s="3" t="str">
        <f>IFERROR(__xludf.DUMMYFUNCTION("GOOGLETRANSLATE(A30990,""en"",""pt"")"),"Nenhum.")</f>
        <v>Nenhum.</v>
      </c>
      <c r="B30990" s="3">
        <v>0</v>
      </c>
    </row>
    <row r="30991" ht="15.75" customHeight="1" spans="1:2">
      <c r="A30991" s="3" t="str">
        <f>IFERROR(__xludf.DUMMYFUNCTION("GOOGLETRANSLATE(A30991,""en"",""pt"")"),"Pouco volumoso, No Video Clip Opção")</f>
        <v>Pouco volumoso, No Video Clip Opção</v>
      </c>
      <c r="B30991" s="3">
        <v>0</v>
      </c>
    </row>
    <row r="30992" ht="15.75" customHeight="1" spans="1:2">
      <c r="A30992" s="3" t="str">
        <f>IFERROR(__xludf.DUMMYFUNCTION("GOOGLETRANSLATE(A30992,""en"",""pt"")"),"Não vem com um caso.")</f>
        <v>Não vem com um caso.</v>
      </c>
      <c r="B30992" s="3">
        <v>0</v>
      </c>
    </row>
    <row r="30993" ht="15.75" customHeight="1" spans="1:2">
      <c r="A30993" s="3" t="str">
        <f>IFERROR(__xludf.DUMMYFUNCTION("GOOGLETRANSLATE(A30993,""en"",""pt"")"),"só pode salvar 5-7 fotos por disco")</f>
        <v>só pode salvar 5-7 fotos por disco</v>
      </c>
      <c r="B30993" s="3">
        <v>0</v>
      </c>
    </row>
    <row r="30994" ht="15.75" customHeight="1" spans="1:2">
      <c r="A30994" s="3" t="str">
        <f>IFERROR(__xludf.DUMMYFUNCTION("GOOGLETRANSLATE(A30994,""en"",""pt"")"),"Nenhum")</f>
        <v>Nenhum</v>
      </c>
      <c r="B30994" s="3">
        <v>0</v>
      </c>
    </row>
    <row r="30995" ht="15.75" customHeight="1" spans="1:2">
      <c r="A30995" s="3" t="str">
        <f>IFERROR(__xludf.DUMMYFUNCTION("GOOGLETRANSLATE(A30995,""en"",""pt"")"),"exibição de tempo noite não visível no visor da câmera.")</f>
        <v>exibição de tempo noite não visível no visor da câmera.</v>
      </c>
      <c r="B30995" s="3">
        <v>0</v>
      </c>
    </row>
    <row r="30996" ht="15.75" customHeight="1" spans="1:2">
      <c r="A30996" s="3" t="str">
        <f>IFERROR(__xludf.DUMMYFUNCTION("GOOGLETRANSLATE(A30996,""en"",""pt"")"),"há cartões de memória de porta USB ou de flash")</f>
        <v>há cartões de memória de porta USB ou de flash</v>
      </c>
      <c r="B30996" s="3">
        <v>0</v>
      </c>
    </row>
    <row r="30997" ht="15.75" customHeight="1" spans="1:2">
      <c r="A30997" s="3" t="str">
        <f>IFERROR(__xludf.DUMMYFUNCTION("GOOGLETRANSLATE(A30997,""en"",""pt"")"),"View finder difícil de ver sob luz solar intensa.")</f>
        <v>View finder difícil de ver sob luz solar intensa.</v>
      </c>
      <c r="B30997" s="3">
        <v>0</v>
      </c>
    </row>
    <row r="30998" ht="15.75" customHeight="1" spans="1:2">
      <c r="A30998" s="3" t="str">
        <f>IFERROR(__xludf.DUMMYFUNCTION("GOOGLETRANSLATE(A30998,""en"",""pt"")"),"aquard apenas alittle")</f>
        <v>aquard apenas alittle</v>
      </c>
      <c r="B30998" s="3">
        <v>0</v>
      </c>
    </row>
    <row r="30999" ht="15.75" customHeight="1" spans="1:2">
      <c r="A30999" s="3" t="str">
        <f>IFERROR(__xludf.DUMMYFUNCTION("GOOGLETRANSLATE(A30999,""en"",""pt"")"),"poupe seu dinheiro")</f>
        <v>poupe seu dinheiro</v>
      </c>
      <c r="B30999" s="3">
        <v>0</v>
      </c>
    </row>
    <row r="31000" ht="15.75" customHeight="1" spans="1:2">
      <c r="A31000" s="3" t="str">
        <f>IFERROR(__xludf.DUMMYFUNCTION("GOOGLETRANSLATE(A31000,""en"",""pt"")"),"Nenhum")</f>
        <v>Nenhum</v>
      </c>
      <c r="B31000" s="3">
        <v>0</v>
      </c>
    </row>
    <row r="31001" ht="15.75" customHeight="1" spans="1:2">
      <c r="A31001" s="3" t="str">
        <f>IFERROR(__xludf.DUMMYFUNCTION("GOOGLETRANSLATE(A31001,""en"",""pt"")"),"A vida da bateria parece terrível curta")</f>
        <v>A vida da bateria parece terrível curta</v>
      </c>
      <c r="B31001" s="3">
        <v>0</v>
      </c>
    </row>
    <row r="31002" ht="15.75" customHeight="1" spans="1:2">
      <c r="A31002" s="3" t="str">
        <f>IFERROR(__xludf.DUMMYFUNCTION("GOOGLETRANSLATE(A31002,""en"",""pt"")"),"caro")</f>
        <v>caro</v>
      </c>
      <c r="B31002" s="3">
        <v>0</v>
      </c>
    </row>
    <row r="31003" ht="15.75" customHeight="1" spans="1:2">
      <c r="A31003" s="3" t="str">
        <f>IFERROR(__xludf.DUMMYFUNCTION("GOOGLETRANSLATE(A31003,""en"",""pt"")"),"Preço")</f>
        <v>Preço</v>
      </c>
      <c r="B31003" s="3">
        <v>0</v>
      </c>
    </row>
    <row r="31004" ht="15.75" customHeight="1" spans="1:2">
      <c r="A31004" s="3" t="str">
        <f>IFERROR(__xludf.DUMMYFUNCTION("GOOGLETRANSLATE(A31004,""en"",""pt"")"),"Disk Storage, Picture Quality &amp; amp; # 13; &amp; amp; # 10; &amp; amp; # 13; &amp; amp; # 10;")</f>
        <v>Disk Storage, Picture Quality &amp; amp; # 13; &amp; amp; # 10; &amp; amp; # 13; &amp; amp; # 10;</v>
      </c>
      <c r="B31004" s="3">
        <v>0</v>
      </c>
    </row>
    <row r="31005" ht="15.75" customHeight="1" spans="1:2">
      <c r="A31005" s="3" t="str">
        <f>IFERROR(__xludf.DUMMYFUNCTION("GOOGLETRANSLATE(A31005,""en"",""pt"")"),"Granulado com pouca luz.")</f>
        <v>Granulado com pouca luz.</v>
      </c>
      <c r="B31005" s="3">
        <v>0</v>
      </c>
    </row>
    <row r="31006" ht="15.75" customHeight="1" spans="1:2">
      <c r="A31006" s="3" t="str">
        <f>IFERROR(__xludf.DUMMYFUNCTION("GOOGLETRANSLATE(A31006,""en"",""pt"")"),"A qualidade da imagem poderia ser melhor, volumoso")</f>
        <v>A qualidade da imagem poderia ser melhor, volumoso</v>
      </c>
      <c r="B31006" s="3">
        <v>0</v>
      </c>
    </row>
    <row r="31007" ht="15.75" customHeight="1" spans="1:2">
      <c r="A31007" s="3" t="str">
        <f>IFERROR(__xludf.DUMMYFUNCTION("GOOGLETRANSLATE(A31007,""en"",""pt"")"),"As fotografias não muito de alta qualidade. armazenamento de disquete.")</f>
        <v>As fotografias não muito de alta qualidade. armazenamento de disquete.</v>
      </c>
      <c r="B31007" s="3">
        <v>0</v>
      </c>
    </row>
    <row r="31008" ht="15.75" customHeight="1" spans="1:2">
      <c r="A31008" s="3" t="str">
        <f>IFERROR(__xludf.DUMMYFUNCTION("GOOGLETRANSLATE(A31008,""en"",""pt"")"),"Ele pode ficar pesado às vezes. O zoom não é o maior.")</f>
        <v>Ele pode ficar pesado às vezes. O zoom não é o maior.</v>
      </c>
      <c r="B31008" s="3">
        <v>0</v>
      </c>
    </row>
    <row r="31009" ht="15.75" customHeight="1" spans="1:2">
      <c r="A31009" s="3" t="str">
        <f>IFERROR(__xludf.DUMMYFUNCTION("GOOGLETRANSLATE(A31009,""en"",""pt"")"),"um volumoso pouco, mas vale a pena")</f>
        <v>um volumoso pouco, mas vale a pena</v>
      </c>
      <c r="B31009" s="3">
        <v>0</v>
      </c>
    </row>
    <row r="31010" ht="15.75" customHeight="1" spans="1:2">
      <c r="A31010" s="3" t="str">
        <f>IFERROR(__xludf.DUMMYFUNCTION("GOOGLETRANSLATE(A31010,""en"",""pt"")"),"qualidade da imagem, tamanho da câmera.")</f>
        <v>qualidade da imagem, tamanho da câmera.</v>
      </c>
      <c r="B31010" s="3">
        <v>0</v>
      </c>
    </row>
    <row r="31011" ht="15.75" customHeight="1" spans="1:2">
      <c r="A31011" s="3" t="str">
        <f>IFERROR(__xludf.DUMMYFUNCTION("GOOGLETRANSLATE(A31011,""en"",""pt"")"),"Nenhum que eu encontrei, até agora.")</f>
        <v>Nenhum que eu encontrei, até agora.</v>
      </c>
      <c r="B31011" s="3">
        <v>0</v>
      </c>
    </row>
    <row r="31012" ht="15.75" customHeight="1" spans="1:2">
      <c r="A31012" s="3" t="str">
        <f>IFERROR(__xludf.DUMMYFUNCTION("GOOGLETRANSLATE(A31012,""en"",""pt"")"),"não pode pensar em qualquer")</f>
        <v>não pode pensar em qualquer</v>
      </c>
      <c r="B31012" s="3">
        <v>0</v>
      </c>
    </row>
    <row r="31013" ht="15.75" customHeight="1" spans="1:2">
      <c r="A31013" s="3" t="str">
        <f>IFERROR(__xludf.DUMMYFUNCTION("GOOGLETRANSLATE(A31013,""en"",""pt"")"),"modo fino permite apenas cerca de 23 fotos. janela de visualização fica empoeirado facilmente.")</f>
        <v>modo fino permite apenas cerca de 23 fotos. janela de visualização fica empoeirado facilmente.</v>
      </c>
      <c r="B31013" s="3">
        <v>0</v>
      </c>
    </row>
    <row r="31014" ht="15.75" customHeight="1" spans="1:2">
      <c r="A31014" s="3" t="str">
        <f>IFERROR(__xludf.DUMMYFUNCTION("GOOGLETRANSLATE(A31014,""en"",""pt"")"),"Imagem assunto difícil de ver na iluminação baixa.")</f>
        <v>Imagem assunto difícil de ver na iluminação baixa.</v>
      </c>
      <c r="B31014" s="3">
        <v>0</v>
      </c>
    </row>
    <row r="31015" ht="15.75" customHeight="1" spans="1:2">
      <c r="A31015" s="3" t="str">
        <f>IFERROR(__xludf.DUMMYFUNCTION("GOOGLETRANSLATE(A31015,""en"",""pt"")"),"Volumoso, difícil de transportar em torno de")</f>
        <v>Volumoso, difícil de transportar em torno de</v>
      </c>
      <c r="B31015" s="3">
        <v>0</v>
      </c>
    </row>
    <row r="31016" ht="15.75" customHeight="1" spans="1:2">
      <c r="A31016" s="3" t="str">
        <f>IFERROR(__xludf.DUMMYFUNCTION("GOOGLETRANSLATE(A31016,""en"",""pt"")"),"Muito má qualidade de imagem.")</f>
        <v>Muito má qualidade de imagem.</v>
      </c>
      <c r="B31016" s="3">
        <v>0</v>
      </c>
    </row>
    <row r="31017" ht="15.75" customHeight="1" spans="1:2">
      <c r="A31017" s="3" t="str">
        <f>IFERROR(__xludf.DUMMYFUNCTION("GOOGLETRANSLATE(A31017,""en"",""pt"")"),"Pequena janela para visualização de fotos.")</f>
        <v>Pequena janela para visualização de fotos.</v>
      </c>
      <c r="B31017" s="3">
        <v>0</v>
      </c>
    </row>
    <row r="31018" ht="15.75" customHeight="1" spans="1:2">
      <c r="A31018" s="3" t="str">
        <f>IFERROR(__xludf.DUMMYFUNCTION("GOOGLETRANSLATE(A31018,""en"",""pt"")"),"Pictures carecem de clareza, câmera pesado, só a vida da bateria 120m")</f>
        <v>Pictures carecem de clareza, câmera pesado, só a vida da bateria 120m</v>
      </c>
      <c r="B31018" s="3">
        <v>0</v>
      </c>
    </row>
    <row r="31019" ht="15.75" customHeight="1" spans="1:2">
      <c r="A31019" s="3" t="str">
        <f>IFERROR(__xludf.DUMMYFUNCTION("GOOGLETRANSLATE(A31019,""en"",""pt"")"),"Não view finder, nenhuma Red eliminador de olho.")</f>
        <v>Não view finder, nenhuma Red eliminador de olho.</v>
      </c>
      <c r="B31019" s="3">
        <v>0</v>
      </c>
    </row>
    <row r="31020" ht="15.75" customHeight="1" spans="1:2">
      <c r="A31020" s="3" t="str">
        <f>IFERROR(__xludf.DUMMYFUNCTION("GOOGLETRANSLATE(A31020,""en"",""pt"")"),"tela de visualização pequena")</f>
        <v>tela de visualização pequena</v>
      </c>
      <c r="B31020" s="3">
        <v>0</v>
      </c>
    </row>
    <row r="31021" ht="15.75" customHeight="1" spans="1:2">
      <c r="A31021" s="3" t="str">
        <f>IFERROR(__xludf.DUMMYFUNCTION("GOOGLETRANSLATE(A31021,""en"",""pt"")"),"Tamanho, a má qualidade da imagem impressa")</f>
        <v>Tamanho, a má qualidade da imagem impressa</v>
      </c>
      <c r="B31021" s="3">
        <v>0</v>
      </c>
    </row>
    <row r="31022" ht="15.75" customHeight="1" spans="1:2">
      <c r="A31022" s="3" t="str">
        <f>IFERROR(__xludf.DUMMYFUNCTION("GOOGLETRANSLATE(A31022,""en"",""pt"")"),"Low nitidez, as distorções do zoom quando a tela grande, &amp; amp; # 13; &amp; amp; # 10; pesado para uma câmera")</f>
        <v>Low nitidez, as distorções do zoom quando a tela grande, &amp; amp; # 13; &amp; amp; # 10; pesado para uma câmera</v>
      </c>
      <c r="B31022" s="3">
        <v>0</v>
      </c>
    </row>
    <row r="31023" ht="15.75" customHeight="1" spans="1:2">
      <c r="A31023" s="3" t="str">
        <f>IFERROR(__xludf.DUMMYFUNCTION("GOOGLETRANSLATE(A31023,""en"",""pt"")"),"arranhões tela LCD com muita facilidade, 0,8 megapixels")</f>
        <v>arranhões tela LCD com muita facilidade, 0,8 megapixels</v>
      </c>
      <c r="B31023" s="3">
        <v>0</v>
      </c>
    </row>
    <row r="31024" ht="15.75" customHeight="1" spans="1:2">
      <c r="A31024" s="3" t="str">
        <f>IFERROR(__xludf.DUMMYFUNCTION("GOOGLETRANSLATE(A31024,""en"",""pt"")"),"o tamanho mas não é realmente um grande negócio.")</f>
        <v>o tamanho mas não é realmente um grande negócio.</v>
      </c>
      <c r="B31024" s="3">
        <v>0</v>
      </c>
    </row>
    <row r="31025" ht="15.75" customHeight="1" spans="1:2">
      <c r="A31025" s="3" t="str">
        <f>IFERROR(__xludf.DUMMYFUNCTION("GOOGLETRANSLATE(A31025,""en"",""pt"")"),"Preço alto, ruim com condições de baixa iluminação, qualidade de imagem média")</f>
        <v>Preço alto, ruim com condições de baixa iluminação, qualidade de imagem média</v>
      </c>
      <c r="B31025" s="3">
        <v>0</v>
      </c>
    </row>
    <row r="31026" ht="15.75" customHeight="1" spans="1:2">
      <c r="A31026" s="3" t="str">
        <f>IFERROR(__xludf.DUMMYFUNCTION("GOOGLETRANSLATE(A31026,""en"",""pt"")"),"3x zoom, não muito boa à noite, grande, caro.")</f>
        <v>3x zoom, não muito boa à noite, grande, caro.</v>
      </c>
      <c r="B31026" s="3">
        <v>0</v>
      </c>
    </row>
    <row r="31027" ht="15.75" customHeight="1" spans="1:2">
      <c r="A31027" s="3" t="str">
        <f>IFERROR(__xludf.DUMMYFUNCTION("GOOGLETRANSLATE(A31027,""en"",""pt"")"),"Apenas um")</f>
        <v>Apenas um</v>
      </c>
      <c r="B31027" s="3">
        <v>0</v>
      </c>
    </row>
    <row r="31028" ht="15.75" customHeight="1" spans="1:2">
      <c r="A31028" s="3" t="str">
        <f>IFERROR(__xludf.DUMMYFUNCTION("GOOGLETRANSLATE(A31028,""en"",""pt"")"),"NADA QUE EU POSSO ENCONTRAR ATÉ AGORA")</f>
        <v>NADA QUE EU POSSO ENCONTRAR ATÉ AGORA</v>
      </c>
      <c r="B31028" s="3">
        <v>0</v>
      </c>
    </row>
    <row r="31029" ht="15.75" customHeight="1" spans="1:2">
      <c r="A31029" s="3" t="str">
        <f>IFERROR(__xludf.DUMMYFUNCTION("GOOGLETRANSLATE(A31029,""en"",""pt"")"),"Você vai desfrutar da câmera tanto que você vai gastar todo o seu dinheiro em disquetes!")</f>
        <v>Você vai desfrutar da câmera tanto que você vai gastar todo o seu dinheiro em disquetes!</v>
      </c>
      <c r="B31029" s="3">
        <v>0</v>
      </c>
    </row>
    <row r="31030" ht="15.75" customHeight="1" spans="1:2">
      <c r="A31030" s="3" t="str">
        <f>IFERROR(__xludf.DUMMYFUNCTION("GOOGLETRANSLATE(A31030,""en"",""pt"")"),"nem visor, não mais alta resolução, volumoso")</f>
        <v>nem visor, não mais alta resolução, volumoso</v>
      </c>
      <c r="B31030" s="3">
        <v>0</v>
      </c>
    </row>
    <row r="31031" ht="15.75" customHeight="1" spans="1:2">
      <c r="A31031" s="3" t="str">
        <f>IFERROR(__xludf.DUMMYFUNCTION("GOOGLETRANSLATE(A31031,""en"",""pt"")"),"piscar muito brilhante, recomendo algumas camadas de fita mágica sobre ele, caros e volumosos")</f>
        <v>piscar muito brilhante, recomendo algumas camadas de fita mágica sobre ele, caros e volumosos</v>
      </c>
      <c r="B31031" s="3">
        <v>0</v>
      </c>
    </row>
    <row r="31032" ht="15.75" customHeight="1" spans="1:2">
      <c r="A31032" s="3" t="str">
        <f>IFERROR(__xludf.DUMMYFUNCTION("GOOGLETRANSLATE(A31032,""en"",""pt"")"),"Talvez tamanho ....")</f>
        <v>Talvez tamanho ....</v>
      </c>
      <c r="B31032" s="3">
        <v>0</v>
      </c>
    </row>
    <row r="31033" ht="15.75" customHeight="1" spans="1:2">
      <c r="A31033" s="3" t="str">
        <f>IFERROR(__xludf.DUMMYFUNCTION("GOOGLETRANSLATE(A31033,""en"",""pt"")"),"olho vermelho")</f>
        <v>olho vermelho</v>
      </c>
      <c r="B31033" s="3">
        <v>0</v>
      </c>
    </row>
    <row r="31034" ht="15.75" customHeight="1" spans="1:2">
      <c r="A31034" s="3" t="str">
        <f>IFERROR(__xludf.DUMMYFUNCTION("GOOGLETRANSLATE(A31034,""en"",""pt"")"),"Não há qualquer")</f>
        <v>Não há qualquer</v>
      </c>
      <c r="B31034" s="3">
        <v>0</v>
      </c>
    </row>
    <row r="31035" ht="15.75" customHeight="1" spans="1:2">
      <c r="A31035" s="3" t="str">
        <f>IFERROR(__xludf.DUMMYFUNCTION("GOOGLETRANSLATE(A31035,""en"",""pt"")"),"nada de ruim sobre ele")</f>
        <v>nada de ruim sobre ele</v>
      </c>
      <c r="B31035" s="3">
        <v>0</v>
      </c>
    </row>
    <row r="31036" ht="15.75" customHeight="1" spans="1:2">
      <c r="A31036" s="3" t="str">
        <f>IFERROR(__xludf.DUMMYFUNCTION("GOOGLETRANSLATE(A31036,""en"",""pt"")"),"Nenhum")</f>
        <v>Nenhum</v>
      </c>
      <c r="B31036" s="3">
        <v>0</v>
      </c>
    </row>
    <row r="31037" ht="15.75" customHeight="1" spans="1:2">
      <c r="A31037" s="3" t="str">
        <f>IFERROR(__xludf.DUMMYFUNCTION("GOOGLETRANSLATE(A31037,""en"",""pt"")"),"Maior e mais pesado do que alguns digitals.")</f>
        <v>Maior e mais pesado do que alguns digitals.</v>
      </c>
      <c r="B31037" s="3">
        <v>0</v>
      </c>
    </row>
    <row r="31038" ht="15.75" customHeight="1" spans="1:2">
      <c r="A31038" s="3" t="str">
        <f>IFERROR(__xludf.DUMMYFUNCTION("GOOGLETRANSLATE(A31038,""en"",""pt"")"),"Um pouco mais pesado do que eu gostaria, mas não muito pesado")</f>
        <v>Um pouco mais pesado do que eu gostaria, mas não muito pesado</v>
      </c>
      <c r="B31038" s="3">
        <v>0</v>
      </c>
    </row>
    <row r="31039" ht="15.75" customHeight="1" spans="1:2">
      <c r="A31039" s="3" t="str">
        <f>IFERROR(__xludf.DUMMYFUNCTION("GOOGLETRANSLATE(A31039,""en"",""pt"")"),"Preço e velocidade")</f>
        <v>Preço e velocidade</v>
      </c>
      <c r="B31039" s="3">
        <v>0</v>
      </c>
    </row>
    <row r="31040" ht="15.75" customHeight="1" spans="1:2">
      <c r="A31040" s="3" t="str">
        <f>IFERROR(__xludf.DUMMYFUNCTION("GOOGLETRANSLATE(A31040,""en"",""pt"")"),"Good stuff: Marca, grande apoio, discos são fáceis de obter, barato e depois de descobrir o que disco é o que é fácil de transferência para um PC. A gama de qualidade é impressionante, de padrão de Belas fotos há uma série de coisas, também há o abili")</f>
        <v>Good stuff: Marca, grande apoio, discos são fáceis de obter, barato e depois de descobrir o que disco é o que é fácil de transferência para um PC. A gama de qualidade é impressionante, de padrão de Belas fotos há uma série de coisas, também há o abili</v>
      </c>
      <c r="B31040" s="3">
        <v>0</v>
      </c>
    </row>
    <row r="31041" ht="15.75" customHeight="1" spans="1:2">
      <c r="A31041" s="3" t="str">
        <f>IFERROR(__xludf.DUMMYFUNCTION("GOOGLETRANSLATE(A31041,""en"",""pt"")"),"Programação")</f>
        <v>Programação</v>
      </c>
      <c r="B31041" s="3">
        <v>0</v>
      </c>
    </row>
    <row r="31042" ht="15.75" customHeight="1" spans="1:2">
      <c r="A31042" s="3" t="str">
        <f>IFERROR(__xludf.DUMMYFUNCTION("GOOGLETRANSLATE(A31042,""en"",""pt"")"),"ruim em situações de pouca iluminação")</f>
        <v>ruim em situações de pouca iluminação</v>
      </c>
      <c r="B31042" s="3">
        <v>0</v>
      </c>
    </row>
    <row r="31043" ht="15.75" customHeight="1" spans="1:2">
      <c r="A31043" s="3" t="str">
        <f>IFERROR(__xludf.DUMMYFUNCTION("GOOGLETRANSLATE(A31043,""en"",""pt"")"),"modo nenhum MPEG, grande")</f>
        <v>modo nenhum MPEG, grande</v>
      </c>
      <c r="B31043" s="3">
        <v>0</v>
      </c>
    </row>
    <row r="31044" ht="15.75" customHeight="1" spans="1:2">
      <c r="A31044" s="3" t="str">
        <f>IFERROR(__xludf.DUMMYFUNCTION("GOOGLETRANSLATE(A31044,""en"",""pt"")"),"Custo (mas não é ruim para o que você)")</f>
        <v>Custo (mas não é ruim para o que você)</v>
      </c>
      <c r="B31044" s="3">
        <v>0</v>
      </c>
    </row>
    <row r="31045" ht="15.75" customHeight="1" spans="1:2">
      <c r="A31045" s="3" t="str">
        <f>IFERROR(__xludf.DUMMYFUNCTION("GOOGLETRANSLATE(A31045,""en"",""pt"")"),"tempo de bateria curta")</f>
        <v>tempo de bateria curta</v>
      </c>
      <c r="B31045" s="3">
        <v>0</v>
      </c>
    </row>
    <row r="31046" ht="15.75" customHeight="1" spans="1:2">
      <c r="A31046" s="3" t="str">
        <f>IFERROR(__xludf.DUMMYFUNCTION("GOOGLETRANSLATE(A31046,""en"",""pt"")"),"Melhor software está disponível do que o que é fornecido.")</f>
        <v>Melhor software está disponível do que o que é fornecido.</v>
      </c>
      <c r="B31046" s="3">
        <v>0</v>
      </c>
    </row>
    <row r="31047" ht="15.75" customHeight="1" spans="1:2">
      <c r="A31047" s="3" t="str">
        <f>IFERROR(__xludf.DUMMYFUNCTION("GOOGLETRANSLATE(A31047,""en"",""pt"")"),"Luz do dia ou o bem Áreas iluminado apenas")</f>
        <v>Luz do dia ou o bem Áreas iluminado apenas</v>
      </c>
      <c r="B31047" s="3">
        <v>0</v>
      </c>
    </row>
    <row r="31048" ht="15.75" customHeight="1" spans="1:2">
      <c r="A31048" s="3" t="str">
        <f>IFERROR(__xludf.DUMMYFUNCTION("GOOGLETRANSLATE(A31048,""en"",""pt"")"),"Não para a fotografia profissional, um pouco volumoso,")</f>
        <v>Não para a fotografia profissional, um pouco volumoso,</v>
      </c>
      <c r="B31048" s="3">
        <v>0</v>
      </c>
    </row>
    <row r="31049" ht="15.75" customHeight="1" spans="1:2">
      <c r="A31049" s="3" t="str">
        <f>IFERROR(__xludf.DUMMYFUNCTION("GOOGLETRANSLATE(A31049,""en"",""pt"")"),"Um pouco caro")</f>
        <v>Um pouco caro</v>
      </c>
      <c r="B31049" s="3">
        <v>0</v>
      </c>
    </row>
    <row r="31050" ht="15.75" customHeight="1" spans="1:2">
      <c r="A31050" s="3" t="str">
        <f>IFERROR(__xludf.DUMMYFUNCTION("GOOGLETRANSLATE(A31050,""en"",""pt"")"),"Tem características de desperdício, e um zoom inadequada")</f>
        <v>Tem características de desperdício, e um zoom inadequada</v>
      </c>
      <c r="B31050" s="3">
        <v>0</v>
      </c>
    </row>
    <row r="31051" ht="15.75" customHeight="1" spans="1:2">
      <c r="A31051" s="3" t="str">
        <f>IFERROR(__xludf.DUMMYFUNCTION("GOOGLETRANSLATE(A31051,""en"",""pt"")"),"Preço, a saída não digitais")</f>
        <v>Preço, a saída não digitais</v>
      </c>
      <c r="B31051" s="3">
        <v>0</v>
      </c>
    </row>
    <row r="31052" ht="15.75" customHeight="1" spans="1:2">
      <c r="A31052" s="3" t="str">
        <f>IFERROR(__xludf.DUMMYFUNCTION("GOOGLETRANSLATE(A31052,""en"",""pt"")"),"um pouco volumoso, a falta de espectador regular de estilo câmara")</f>
        <v>um pouco volumoso, a falta de espectador regular de estilo câmara</v>
      </c>
      <c r="B31052" s="3">
        <v>0</v>
      </c>
    </row>
    <row r="31053" ht="15.75" customHeight="1" spans="1:2">
      <c r="A31053" s="3" t="str">
        <f>IFERROR(__xludf.DUMMYFUNCTION("GOOGLETRANSLATE(A31053,""en"",""pt"")"),"muito grande")</f>
        <v>muito grande</v>
      </c>
      <c r="B31053" s="3">
        <v>0</v>
      </c>
    </row>
    <row r="31054" ht="15.75" customHeight="1" spans="1:2">
      <c r="A31054" s="3" t="str">
        <f>IFERROR(__xludf.DUMMYFUNCTION("GOOGLETRANSLATE(A31054,""en"",""pt"")"),"não encontrei uma coisa ruim ainda")</f>
        <v>não encontrei uma coisa ruim ainda</v>
      </c>
      <c r="B31054" s="3">
        <v>0</v>
      </c>
    </row>
    <row r="31055" ht="15.75" customHeight="1" spans="1:2">
      <c r="A31055" s="3" t="str">
        <f>IFERROR(__xludf.DUMMYFUNCTION("GOOGLETRANSLATE(A31055,""en"",""pt"")"),"A duração da bateria é curta quando o uso do flash constantemente.")</f>
        <v>A duração da bateria é curta quando o uso do flash constantemente.</v>
      </c>
      <c r="B31055" s="3">
        <v>0</v>
      </c>
    </row>
    <row r="31056" ht="15.75" customHeight="1" spans="1:2">
      <c r="A31056" s="3" t="str">
        <f>IFERROR(__xludf.DUMMYFUNCTION("GOOGLETRANSLATE(A31056,""en"",""pt"")"),"existem algumas características que você realmente tem que ler o manual")</f>
        <v>existem algumas características que você realmente tem que ler o manual</v>
      </c>
      <c r="B31056" s="3">
        <v>0</v>
      </c>
    </row>
    <row r="31057" ht="15.75" customHeight="1" spans="1:2">
      <c r="A31057" s="3" t="str">
        <f>IFERROR(__xludf.DUMMYFUNCTION("GOOGLETRANSLATE(A31057,""en"",""pt"")"),"Um pouco volumoso")</f>
        <v>Um pouco volumoso</v>
      </c>
      <c r="B31057" s="3">
        <v>0</v>
      </c>
    </row>
    <row r="31058" ht="15.75" customHeight="1" spans="1:2">
      <c r="A31058" s="3" t="str">
        <f>IFERROR(__xludf.DUMMYFUNCTION("GOOGLETRANSLATE(A31058,""en"",""pt"")"),"Bateria que vem com ele não é o suficiente para mim")</f>
        <v>Bateria que vem com ele não é o suficiente para mim</v>
      </c>
      <c r="B31058" s="3">
        <v>0</v>
      </c>
    </row>
    <row r="31059" ht="15.75" customHeight="1" spans="1:2">
      <c r="A31059" s="3" t="str">
        <f>IFERROR(__xludf.DUMMYFUNCTION("GOOGLETRANSLATE(A31059,""en"",""pt"")"),"Nenhum")</f>
        <v>Nenhum</v>
      </c>
      <c r="B31059" s="3">
        <v>0</v>
      </c>
    </row>
    <row r="31060" ht="15.75" customHeight="1" spans="1:2">
      <c r="A31060" s="3" t="str">
        <f>IFERROR(__xludf.DUMMYFUNCTION("GOOGLETRANSLATE(A31060,""en"",""pt"")"),"Um movimento pode mudar o foco")</f>
        <v>Um movimento pode mudar o foco</v>
      </c>
      <c r="B31060" s="3">
        <v>0</v>
      </c>
    </row>
    <row r="31061" ht="15.75" customHeight="1" spans="1:2">
      <c r="A31061" s="3" t="str">
        <f>IFERROR(__xludf.DUMMYFUNCTION("GOOGLETRANSLATE(A31061,""en"",""pt"")"),"Um visor separado que teria sido bom.")</f>
        <v>Um visor separado que teria sido bom.</v>
      </c>
      <c r="B31061" s="3">
        <v>0</v>
      </c>
    </row>
    <row r="31062" ht="15.75" customHeight="1" spans="1:2">
      <c r="A31062" s="3" t="str">
        <f>IFERROR(__xludf.DUMMYFUNCTION("GOOGLETRANSLATE(A31062,""en"",""pt"")"),"Volumoso, Nenhum vídeo / saída de áudio, bateria fraca")</f>
        <v>Volumoso, Nenhum vídeo / saída de áudio, bateria fraca</v>
      </c>
      <c r="B31062" s="3">
        <v>0</v>
      </c>
    </row>
    <row r="31063" ht="15.75" customHeight="1" spans="1:2">
      <c r="A31063" s="3" t="str">
        <f>IFERROR(__xludf.DUMMYFUNCTION("GOOGLETRANSLATE(A31063,""en"",""pt"")"),"Não há saída para TV.")</f>
        <v>Não há saída para TV.</v>
      </c>
      <c r="B31063" s="3">
        <v>0</v>
      </c>
    </row>
    <row r="31064" ht="15.75" customHeight="1" spans="1:2">
      <c r="A31064" s="3" t="str">
        <f>IFERROR(__xludf.DUMMYFUNCTION("GOOGLETRANSLATE(A31064,""en"",""pt"")"),"software inadequada")</f>
        <v>software inadequada</v>
      </c>
      <c r="B31064" s="3">
        <v>0</v>
      </c>
    </row>
    <row r="31065" ht="15.75" customHeight="1" spans="1:2">
      <c r="A31065" s="3" t="str">
        <f>IFERROR(__xludf.DUMMYFUNCTION("GOOGLETRANSLATE(A31065,""en"",""pt"")"),"peso")</f>
        <v>peso</v>
      </c>
      <c r="B31065" s="3">
        <v>0</v>
      </c>
    </row>
    <row r="31066" ht="15.75" customHeight="1" spans="1:2">
      <c r="A31066" s="3" t="str">
        <f>IFERROR(__xludf.DUMMYFUNCTION("GOOGLETRANSLATE(A31066,""en"",""pt"")"),"Como o novo 10x zoom um pouco melhor")</f>
        <v>Como o novo 10x zoom um pouco melhor</v>
      </c>
      <c r="B31066" s="3">
        <v>0</v>
      </c>
    </row>
    <row r="31067" ht="15.75" customHeight="1" spans="1:2">
      <c r="A31067" s="3" t="str">
        <f>IFERROR(__xludf.DUMMYFUNCTION("GOOGLETRANSLATE(A31067,""en"",""pt"")"),"Nenhum, esta é a melhor câmera do mercado")</f>
        <v>Nenhum, esta é a melhor câmera do mercado</v>
      </c>
      <c r="B31067" s="3">
        <v>0</v>
      </c>
    </row>
    <row r="31068" ht="15.75" customHeight="1" spans="1:2">
      <c r="A31068" s="3" t="str">
        <f>IFERROR(__xludf.DUMMYFUNCTION("GOOGLETRANSLATE(A31068,""en"",""pt"")"),"zoom poderia ser melhor, vida útil da bateria é limitada")</f>
        <v>zoom poderia ser melhor, vida útil da bateria é limitada</v>
      </c>
      <c r="B31068" s="3">
        <v>0</v>
      </c>
    </row>
    <row r="31069" ht="15.75" customHeight="1" spans="1:2">
      <c r="A31069" s="3" t="str">
        <f>IFERROR(__xludf.DUMMYFUNCTION("GOOGLETRANSLATE(A31069,""en"",""pt"")"),"Nenhum")</f>
        <v>Nenhum</v>
      </c>
      <c r="B31069" s="3">
        <v>0</v>
      </c>
    </row>
    <row r="31070" ht="15.75" customHeight="1" spans="1:2">
      <c r="A31070" s="3" t="str">
        <f>IFERROR(__xludf.DUMMYFUNCTION("GOOGLETRANSLATE(A31070,""en"",""pt"")"),"Apenas um zoom 3X")</f>
        <v>Apenas um zoom 3X</v>
      </c>
      <c r="B31070" s="3">
        <v>0</v>
      </c>
    </row>
    <row r="31071" ht="15.75" customHeight="1" spans="1:2">
      <c r="A31071" s="3" t="str">
        <f>IFERROR(__xludf.DUMMYFUNCTION("GOOGLETRANSLATE(A31071,""en"",""pt"")"),"É um pouco pesado ... peso e preço.")</f>
        <v>É um pouco pesado ... peso e preço.</v>
      </c>
      <c r="B31071" s="3">
        <v>0</v>
      </c>
    </row>
    <row r="31072" ht="15.75" customHeight="1" spans="1:2">
      <c r="A31072" s="3" t="str">
        <f>IFERROR(__xludf.DUMMYFUNCTION("GOOGLETRANSLATE(A31072,""en"",""pt"")"),"Sem lente intercambiável")</f>
        <v>Sem lente intercambiável</v>
      </c>
      <c r="B31072" s="3">
        <v>0</v>
      </c>
    </row>
    <row r="31073" ht="15.75" customHeight="1" spans="1:2">
      <c r="A31073" s="3" t="str">
        <f>IFERROR(__xludf.DUMMYFUNCTION("GOOGLETRANSLATE(A31073,""en"",""pt"")"),"Eats as &amp; amp; quot; bateria recarregável &amp; amp; quot; (A não duplo)")</f>
        <v>Eats as &amp; amp; quot; bateria recarregável &amp; amp; quot; (A não duplo)</v>
      </c>
      <c r="B31073" s="3">
        <v>0</v>
      </c>
    </row>
    <row r="31074" ht="15.75" customHeight="1" spans="1:2">
      <c r="A31074" s="3" t="str">
        <f>IFERROR(__xludf.DUMMYFUNCTION("GOOGLETRANSLATE(A31074,""en"",""pt"")"),"Restrito de armazenamento em um disquete, então você tem que transportar um número com você.")</f>
        <v>Restrito de armazenamento em um disquete, então você tem que transportar um número com você.</v>
      </c>
      <c r="B31074" s="3">
        <v>0</v>
      </c>
    </row>
    <row r="31075" ht="15.75" customHeight="1" spans="1:2">
      <c r="A31075" s="3" t="str">
        <f>IFERROR(__xludf.DUMMYFUNCTION("GOOGLETRANSLATE(A31075,""en"",""pt"")"),"Tamanho, volumoso")</f>
        <v>Tamanho, volumoso</v>
      </c>
      <c r="B31075" s="3">
        <v>0</v>
      </c>
    </row>
    <row r="31076" ht="15.75" customHeight="1" spans="1:2">
      <c r="A31076" s="3" t="str">
        <f>IFERROR(__xludf.DUMMYFUNCTION("GOOGLETRANSLATE(A31076,""en"",""pt"")"),"Gostaria que tivesse um zoom maior.")</f>
        <v>Gostaria que tivesse um zoom maior.</v>
      </c>
      <c r="B31076" s="3">
        <v>0</v>
      </c>
    </row>
    <row r="31077" ht="15.75" customHeight="1" spans="1:2">
      <c r="A31077" s="3" t="str">
        <f>IFERROR(__xludf.DUMMYFUNCTION("GOOGLETRANSLATE(A31077,""en"",""pt"")"),"Não muito grande detalhe, não muito durável.")</f>
        <v>Não muito grande detalhe, não muito durável.</v>
      </c>
      <c r="B31077" s="3">
        <v>0</v>
      </c>
    </row>
    <row r="31078" ht="15.75" customHeight="1" spans="1:2">
      <c r="A31078" s="3" t="str">
        <f>IFERROR(__xludf.DUMMYFUNCTION("GOOGLETRANSLATE(A31078,""en"",""pt"")"),"nenhum que eu já vi")</f>
        <v>nenhum que eu já vi</v>
      </c>
      <c r="B31078" s="3">
        <v>0</v>
      </c>
    </row>
    <row r="31079" ht="15.75" customHeight="1" spans="1:2">
      <c r="A31079" s="3" t="str">
        <f>IFERROR(__xludf.DUMMYFUNCTION("GOOGLETRANSLATE(A31079,""en"",""pt"")"),"curta duração da bateria")</f>
        <v>curta duração da bateria</v>
      </c>
      <c r="B31079" s="3">
        <v>0</v>
      </c>
    </row>
    <row r="31080" ht="15.75" customHeight="1" spans="1:2">
      <c r="A31080" s="3" t="str">
        <f>IFERROR(__xludf.DUMMYFUNCTION("GOOGLETRANSLATE(A31080,""en"",""pt"")"),"Caro. Vida útil da bateria é fraca.")</f>
        <v>Caro. Vida útil da bateria é fraca.</v>
      </c>
      <c r="B31080" s="3">
        <v>0</v>
      </c>
    </row>
    <row r="31081" ht="15.75" customHeight="1" spans="1:2">
      <c r="A31081" s="3" t="str">
        <f>IFERROR(__xludf.DUMMYFUNCTION("GOOGLETRANSLATE(A31081,""en"",""pt"")"),"Bateria a vida não é muito longo")</f>
        <v>Bateria a vida não é muito longo</v>
      </c>
      <c r="B31081" s="3">
        <v>0</v>
      </c>
    </row>
    <row r="31082" ht="15.75" customHeight="1" spans="1:2">
      <c r="A31082" s="3" t="str">
        <f>IFERROR(__xludf.DUMMYFUNCTION("GOOGLETRANSLATE(A31082,""en"",""pt"")"),"Maior que a média")</f>
        <v>Maior que a média</v>
      </c>
      <c r="B31082" s="3">
        <v>0</v>
      </c>
    </row>
    <row r="31083" ht="15.75" customHeight="1" spans="1:2">
      <c r="A31083" s="3" t="str">
        <f>IFERROR(__xludf.DUMMYFUNCTION("GOOGLETRANSLATE(A31083,""en"",""pt"")"),"DISK não uma boa idéia ...")</f>
        <v>DISK não uma boa idéia ...</v>
      </c>
      <c r="B31083" s="3">
        <v>0</v>
      </c>
    </row>
    <row r="31084" ht="15.75" customHeight="1" spans="1:2">
      <c r="A31084" s="3" t="str">
        <f>IFERROR(__xludf.DUMMYFUNCTION("GOOGLETRANSLATE(A31084,""en"",""pt"")"),"Jamming o disquete no trás pode prejudicar a unidade. (Duh!)")</f>
        <v>Jamming o disquete no trás pode prejudicar a unidade. (Duh!)</v>
      </c>
      <c r="B31084" s="3">
        <v>0</v>
      </c>
    </row>
    <row r="31085" ht="15.75" customHeight="1" spans="1:2">
      <c r="A31085" s="3" t="str">
        <f>IFERROR(__xludf.DUMMYFUNCTION("GOOGLETRANSLATE(A31085,""en"",""pt"")"),"Preço relativamente alto, considerando que eu pago mais para esta câmera do que a maioria dos meus computadores, mas vale a pena!")</f>
        <v>Preço relativamente alto, considerando que eu pago mais para esta câmera do que a maioria dos meus computadores, mas vale a pena!</v>
      </c>
      <c r="B31085" s="3">
        <v>0</v>
      </c>
    </row>
    <row r="31086" ht="15.75" customHeight="1" spans="1:2">
      <c r="A31086" s="3" t="str">
        <f>IFERROR(__xludf.DUMMYFUNCTION("GOOGLETRANSLATE(A31086,""en"",""pt"")"),"pode ser caro para alguns indivíduos")</f>
        <v>pode ser caro para alguns indivíduos</v>
      </c>
      <c r="B31086" s="3">
        <v>0</v>
      </c>
    </row>
    <row r="31087" ht="15.75" customHeight="1" spans="1:2">
      <c r="A31087" s="3" t="str">
        <f>IFERROR(__xludf.DUMMYFUNCTION("GOOGLETRANSLATE(A31087,""en"",""pt"")"),"apenas imagens cinco por disquete")</f>
        <v>apenas imagens cinco por disquete</v>
      </c>
      <c r="B31087" s="3">
        <v>0</v>
      </c>
    </row>
    <row r="31088" ht="15.75" customHeight="1" spans="1:2">
      <c r="A31088" s="3" t="str">
        <f>IFERROR(__xludf.DUMMYFUNCTION("GOOGLETRANSLATE(A31088,""en"",""pt"")"),"Realmente precisa segunda bateria.")</f>
        <v>Realmente precisa segunda bateria.</v>
      </c>
      <c r="B31088" s="3">
        <v>0</v>
      </c>
    </row>
    <row r="31089" ht="15.75" customHeight="1" spans="1:2">
      <c r="A31089" s="3" t="str">
        <f>IFERROR(__xludf.DUMMYFUNCTION("GOOGLETRANSLATE(A31089,""en"",""pt"")"),"Dispendioso")</f>
        <v>Dispendioso</v>
      </c>
      <c r="B31089" s="3">
        <v>0</v>
      </c>
    </row>
    <row r="31090" ht="15.75" customHeight="1" spans="1:2">
      <c r="A31090" s="3" t="str">
        <f>IFERROR(__xludf.DUMMYFUNCTION("GOOGLETRANSLATE(A31090,""en"",""pt"")"),"Apenas 1216X932")</f>
        <v>Apenas 1216X932</v>
      </c>
      <c r="B31090" s="3">
        <v>0</v>
      </c>
    </row>
    <row r="31091" ht="15.75" customHeight="1" spans="1:2">
      <c r="A31091" s="3" t="str">
        <f>IFERROR(__xludf.DUMMYFUNCTION("GOOGLETRANSLATE(A31091,""en"",""pt"")"),"memória limitada")</f>
        <v>memória limitada</v>
      </c>
      <c r="B31091" s="3">
        <v>0</v>
      </c>
    </row>
    <row r="31092" ht="15.75" customHeight="1" spans="1:2">
      <c r="A31092" s="3" t="str">
        <f>IFERROR(__xludf.DUMMYFUNCTION("GOOGLETRANSLATE(A31092,""en"",""pt"")"),"Estojo de transporte não incluído")</f>
        <v>Estojo de transporte não incluído</v>
      </c>
      <c r="B31092" s="3">
        <v>0</v>
      </c>
    </row>
    <row r="31093" ht="15.75" customHeight="1" spans="1:2">
      <c r="A31093" s="3" t="str">
        <f>IFERROR(__xludf.DUMMYFUNCTION("GOOGLETRANSLATE(A31093,""en"",""pt"")"),"O armazenamento é limitado pela tecnologia atual")</f>
        <v>O armazenamento é limitado pela tecnologia atual</v>
      </c>
      <c r="B31093" s="3">
        <v>0</v>
      </c>
    </row>
    <row r="31094" ht="15.75" customHeight="1" spans="1:2">
      <c r="A31094" s="3" t="str">
        <f>IFERROR(__xludf.DUMMYFUNCTION("GOOGLETRANSLATE(A31094,""en"",""pt"")"),"Flash e tiro a luz do dia")</f>
        <v>Flash e tiro a luz do dia</v>
      </c>
      <c r="B31094" s="3">
        <v>0</v>
      </c>
    </row>
    <row r="31095" ht="15.75" customHeight="1" spans="1:2">
      <c r="A31095" s="3" t="str">
        <f>IFERROR(__xludf.DUMMYFUNCTION("GOOGLETRANSLATE(A31095,""en"",""pt"")"),"precisa de uma impressora para obter fotografias de imediato")</f>
        <v>precisa de uma impressora para obter fotografias de imediato</v>
      </c>
      <c r="B31095" s="3">
        <v>0</v>
      </c>
    </row>
    <row r="31096" ht="15.75" customHeight="1" spans="1:2">
      <c r="A31096" s="3" t="str">
        <f>IFERROR(__xludf.DUMMYFUNCTION("GOOGLETRANSLATE(A31096,""en"",""pt"")"),"Não o maior Resolução, LIMITED ARMAZENAMENTO")</f>
        <v>Não o maior Resolução, LIMITED ARMAZENAMENTO</v>
      </c>
      <c r="B31096" s="3">
        <v>0</v>
      </c>
    </row>
    <row r="31097" ht="15.75" customHeight="1" spans="1:2">
      <c r="A31097" s="3" t="str">
        <f>IFERROR(__xludf.DUMMYFUNCTION("GOOGLETRANSLATE(A31097,""en"",""pt"")"),"NONE exceto que eu desejo que eu poderia ter proporcionado a diferença para o FD-88, que tem um grande zoom!")</f>
        <v>NONE exceto que eu desejo que eu poderia ter proporcionado a diferença para o FD-88, que tem um grande zoom!</v>
      </c>
      <c r="B31097" s="3">
        <v>0</v>
      </c>
    </row>
    <row r="31098" ht="15.75" customHeight="1" spans="1:2">
      <c r="A31098" s="3" t="str">
        <f>IFERROR(__xludf.DUMMYFUNCTION("GOOGLETRANSLATE(A31098,""en"",""pt"")"),"Ainda um preço bastante elevado.")</f>
        <v>Ainda um preço bastante elevado.</v>
      </c>
      <c r="B31098" s="3">
        <v>0</v>
      </c>
    </row>
    <row r="31099" ht="15.75" customHeight="1" spans="1:2">
      <c r="A31099" s="3" t="str">
        <f>IFERROR(__xludf.DUMMYFUNCTION("GOOGLETRANSLATE(A31099,""en"",""pt"")"),"Um pouco pesado para transportar confortavelmente")</f>
        <v>Um pouco pesado para transportar confortavelmente</v>
      </c>
      <c r="B31099" s="3">
        <v>0</v>
      </c>
    </row>
    <row r="31100" ht="15.75" customHeight="1" spans="1:2">
      <c r="A31100" s="3" t="str">
        <f>IFERROR(__xludf.DUMMYFUNCTION("GOOGLETRANSLATE(A31100,""en"",""pt"")"),"Nenhum")</f>
        <v>Nenhum</v>
      </c>
      <c r="B31100" s="3">
        <v>0</v>
      </c>
    </row>
    <row r="31101" ht="15.75" customHeight="1" spans="1:2">
      <c r="A31101" s="3" t="str">
        <f>IFERROR(__xludf.DUMMYFUNCTION("GOOGLETRANSLATE(A31101,""en"",""pt"")"),"Um pouco pesado ... mas não um enorme con!")</f>
        <v>Um pouco pesado ... mas não um enorme con!</v>
      </c>
      <c r="B31101" s="3">
        <v>0</v>
      </c>
    </row>
    <row r="31102" ht="15.75" customHeight="1" spans="1:2">
      <c r="A31102" s="3" t="s">
        <v>179</v>
      </c>
      <c r="B31102" s="3">
        <v>0</v>
      </c>
    </row>
    <row r="31103" ht="15.75" customHeight="1" spans="1:2">
      <c r="A31103" s="3" t="str">
        <f>IFERROR(__xludf.DUMMYFUNCTION("GOOGLETRANSLATE(A31103,""en"",""pt"")"),"Ele não tem recursos suficientes")</f>
        <v>Ele não tem recursos suficientes</v>
      </c>
      <c r="B31103" s="3">
        <v>0</v>
      </c>
    </row>
    <row r="31104" ht="15.75" customHeight="1" spans="1:2">
      <c r="A31104" s="3" t="str">
        <f>IFERROR(__xludf.DUMMYFUNCTION("GOOGLETRANSLATE(A31104,""en"",""pt"")"),"qualidade do filme pobre mpeg")</f>
        <v>qualidade do filme pobre mpeg</v>
      </c>
      <c r="B31104" s="3">
        <v>0</v>
      </c>
    </row>
    <row r="31105" ht="15.75" customHeight="1" spans="1:2">
      <c r="A31105" s="3" t="str">
        <f>IFERROR(__xludf.DUMMYFUNCTION("GOOGLETRANSLATE(A31105,""en"",""pt"")"),"Não-atualizável, falta de espaço")</f>
        <v>Não-atualizável, falta de espaço</v>
      </c>
      <c r="B31105" s="3">
        <v>0</v>
      </c>
    </row>
    <row r="31106" ht="15.75" customHeight="1" spans="1:2">
      <c r="A31106" s="3" t="str">
        <f>IFERROR(__xludf.DUMMYFUNCTION("GOOGLETRANSLATE(A31106,""en"",""pt"")"),"Fica-lhe querer usá-lo um monte")</f>
        <v>Fica-lhe querer usá-lo um monte</v>
      </c>
      <c r="B31106" s="3">
        <v>0</v>
      </c>
    </row>
    <row r="31107" ht="15.75" customHeight="1" spans="1:2">
      <c r="A31107" s="3" t="str">
        <f>IFERROR(__xludf.DUMMYFUNCTION("GOOGLETRANSLATE(A31107,""en"",""pt"")"),"em 6 meses a um ano, essa coisa vai parecer 35mm faz agora, um maior fluxo de 3,5 &amp; amp; quot; disquetes toda a sua casa!")</f>
        <v>em 6 meses a um ano, essa coisa vai parecer 35mm faz agora, um maior fluxo de 3,5 &amp; amp; quot; disquetes toda a sua casa!</v>
      </c>
      <c r="B31107" s="3">
        <v>0</v>
      </c>
    </row>
    <row r="31108" ht="15.75" customHeight="1" spans="1:2">
      <c r="A31108" s="3" t="str">
        <f>IFERROR(__xludf.DUMMYFUNCTION("GOOGLETRANSLATE(A31108,""en"",""pt"")"),"Nenhum")</f>
        <v>Nenhum</v>
      </c>
      <c r="B31108" s="3">
        <v>0</v>
      </c>
    </row>
    <row r="31109" ht="15.75" customHeight="1" spans="1:2">
      <c r="A31109" s="3" t="str">
        <f>IFERROR(__xludf.DUMMYFUNCTION("GOOGLETRANSLATE(A31109,""en"",""pt"")"),"Custo inicial")</f>
        <v>Custo inicial</v>
      </c>
      <c r="B31109" s="3">
        <v>0</v>
      </c>
    </row>
    <row r="31110" ht="15.75" customHeight="1" spans="1:2">
      <c r="A31110" s="3" t="str">
        <f>IFERROR(__xludf.DUMMYFUNCTION("GOOGLETRANSLATE(A31110,""en"",""pt"")"),"Carregando um monte de discos flexíveis poderiam obter volumosos")</f>
        <v>Carregando um monte de discos flexíveis poderiam obter volumosos</v>
      </c>
      <c r="B31110" s="3">
        <v>0</v>
      </c>
    </row>
    <row r="31111" ht="15.75" customHeight="1" spans="1:2">
      <c r="A31111" s="3" t="str">
        <f>IFERROR(__xludf.DUMMYFUNCTION("GOOGLETRANSLATE(A31111,""en"",""pt"")"),"Você precisa saber um pouco sobre software de manipulação de foto")</f>
        <v>Você precisa saber um pouco sobre software de manipulação de foto</v>
      </c>
      <c r="B31111" s="3">
        <v>0</v>
      </c>
    </row>
    <row r="31112" ht="15.75" customHeight="1" spans="1:2">
      <c r="A31112" s="3" t="str">
        <f>IFERROR(__xludf.DUMMYFUNCTION("GOOGLETRANSLATE(A31112,""en"",""pt"")"),"Requer muitos discos flexíveis para tirar muitas fotos")</f>
        <v>Requer muitos discos flexíveis para tirar muitas fotos</v>
      </c>
      <c r="B31112" s="3">
        <v>0</v>
      </c>
    </row>
    <row r="31113" ht="15.75" customHeight="1" spans="1:2">
      <c r="A31113" s="3" t="str">
        <f>IFERROR(__xludf.DUMMYFUNCTION("GOOGLETRANSLATE(A31113,""en"",""pt"")"),"imagens são hit &amp; amp; falta, não para os profissionais")</f>
        <v>imagens são hit &amp; amp; falta, não para os profissionais</v>
      </c>
      <c r="B31113" s="3">
        <v>0</v>
      </c>
    </row>
    <row r="31114" ht="15.75" customHeight="1" spans="1:2">
      <c r="A31114" s="3" t="str">
        <f>IFERROR(__xludf.DUMMYFUNCTION("GOOGLETRANSLATE(A31114,""en"",""pt"")"),"Nenhum a menos que você não gosta discos.")</f>
        <v>Nenhum a menos que você não gosta discos.</v>
      </c>
      <c r="B31114" s="3">
        <v>0</v>
      </c>
    </row>
    <row r="31115" ht="15.75" customHeight="1" spans="1:2">
      <c r="A31115" s="3" t="str">
        <f>IFERROR(__xludf.DUMMYFUNCTION("GOOGLETRANSLATE(A31115,""en"",""pt"")"),"curta duração da bateria")</f>
        <v>curta duração da bateria</v>
      </c>
      <c r="B31115" s="3">
        <v>0</v>
      </c>
    </row>
    <row r="31116" ht="15.75" customHeight="1" spans="1:2">
      <c r="A31116" s="3" t="str">
        <f>IFERROR(__xludf.DUMMYFUNCTION("GOOGLETRANSLATE(A31116,""en"",""pt"")"),"Tamanho")</f>
        <v>Tamanho</v>
      </c>
      <c r="B31116" s="3">
        <v>0</v>
      </c>
    </row>
    <row r="31117" ht="15.75" customHeight="1" spans="1:2">
      <c r="A31117" s="3" t="str">
        <f>IFERROR(__xludf.DUMMYFUNCTION("GOOGLETRANSLATE(A31117,""en"",""pt"")"),"Nenhum")</f>
        <v>Nenhum</v>
      </c>
      <c r="B31117" s="3">
        <v>0</v>
      </c>
    </row>
    <row r="31118" ht="15.75" customHeight="1" spans="1:2">
      <c r="A31118" s="3" t="str">
        <f>IFERROR(__xludf.DUMMYFUNCTION("GOOGLETRANSLATE(A31118,""en"",""pt"")"),"um pouco grande ...")</f>
        <v>um pouco grande ...</v>
      </c>
      <c r="B31118" s="3">
        <v>0</v>
      </c>
    </row>
    <row r="31119" ht="15.75" customHeight="1" spans="1:2">
      <c r="A31119" s="3" t="str">
        <f>IFERROR(__xludf.DUMMYFUNCTION("GOOGLETRANSLATE(A31119,""en"",""pt"")"),"Nenhum")</f>
        <v>Nenhum</v>
      </c>
      <c r="B31119" s="3">
        <v>0</v>
      </c>
    </row>
    <row r="31120" ht="15.75" customHeight="1" spans="1:2">
      <c r="A31120" s="3" t="str">
        <f>IFERROR(__xludf.DUMMYFUNCTION("GOOGLETRANSLATE(A31120,""en"",""pt"")"),"Imagem desfocada quando você mover ligeiramente")</f>
        <v>Imagem desfocada quando você mover ligeiramente</v>
      </c>
      <c r="B31120" s="3">
        <v>0</v>
      </c>
    </row>
    <row r="31121" ht="15.75" customHeight="1" spans="1:2">
      <c r="A31121" s="3" t="str">
        <f>IFERROR(__xludf.DUMMYFUNCTION("GOOGLETRANSLATE(A31121,""en"",""pt"")"),"a vida da bateria poderia ser maior")</f>
        <v>a vida da bateria poderia ser maior</v>
      </c>
      <c r="B31121" s="3">
        <v>0</v>
      </c>
    </row>
    <row r="31122" ht="15.75" customHeight="1" spans="1:2">
      <c r="A31122" s="3" t="str">
        <f>IFERROR(__xludf.DUMMYFUNCTION("GOOGLETRANSLATE(A31122,""en"",""pt"")"),"capacidade limitada de armazenamento")</f>
        <v>capacidade limitada de armazenamento</v>
      </c>
      <c r="B31122" s="3">
        <v>0</v>
      </c>
    </row>
    <row r="31123" ht="15.75" customHeight="1" spans="1:2">
      <c r="A31123" s="3" t="str">
        <f>IFERROR(__xludf.DUMMYFUNCTION("GOOGLETRANSLATE(A31123,""en"",""pt"")"),"expesive (cerca de 6-700 $), vários segundos são necessários entre cada foto tirada")</f>
        <v>expesive (cerca de 6-700 $), vários segundos são necessários entre cada foto tirada</v>
      </c>
      <c r="B31123" s="3">
        <v>0</v>
      </c>
    </row>
    <row r="31124" ht="15.75" customHeight="1" spans="1:2">
      <c r="A31124" s="3" t="str">
        <f>IFERROR(__xludf.DUMMYFUNCTION("GOOGLETRANSLATE(A31124,""en"",""pt"")"),"Nenhum")</f>
        <v>Nenhum</v>
      </c>
      <c r="B31124" s="3">
        <v>0</v>
      </c>
    </row>
    <row r="31125" ht="15.75" customHeight="1" spans="1:2">
      <c r="A31125" s="3" t="str">
        <f>IFERROR(__xludf.DUMMYFUNCTION("GOOGLETRANSLATE(A31125,""en"",""pt"")"),"Custo")</f>
        <v>Custo</v>
      </c>
      <c r="B31125" s="3">
        <v>0</v>
      </c>
    </row>
    <row r="31126" ht="15.75" customHeight="1" spans="1:2">
      <c r="A31126" s="3" t="str">
        <f>IFERROR(__xludf.DUMMYFUNCTION("GOOGLETRANSLATE(A31126,""en"",""pt"")"),"Ligeiramente pesado, precisa de iluminação")</f>
        <v>Ligeiramente pesado, precisa de iluminação</v>
      </c>
      <c r="B31126" s="3">
        <v>0</v>
      </c>
    </row>
    <row r="31127" ht="15.75" customHeight="1" spans="1:2">
      <c r="A31127" s="3" t="str">
        <f>IFERROR(__xludf.DUMMYFUNCTION("GOOGLETRANSLATE(A31127,""en"",""pt"")"),"12 - 15 imagens por disquete, mas vale a pena!")</f>
        <v>12 - 15 imagens por disquete, mas vale a pena!</v>
      </c>
      <c r="B31127" s="3">
        <v>0</v>
      </c>
    </row>
    <row r="31128" ht="15.75" customHeight="1" spans="1:2">
      <c r="A31128" s="3" t="str">
        <f>IFERROR(__xludf.DUMMYFUNCTION("GOOGLETRANSLATE(A31128,""en"",""pt"")"),"ruim em baixa luminosidade e ação tiros")</f>
        <v>ruim em baixa luminosidade e ação tiros</v>
      </c>
      <c r="B31128" s="3">
        <v>0</v>
      </c>
    </row>
    <row r="31129" ht="15.75" customHeight="1" spans="1:2">
      <c r="A31129" s="3" t="str">
        <f>IFERROR(__xludf.DUMMYFUNCTION("GOOGLETRANSLATE(A31129,""en"",""pt"")"),"Veja acima")</f>
        <v>Veja acima</v>
      </c>
      <c r="B31129" s="3">
        <v>0</v>
      </c>
    </row>
    <row r="31130" ht="15.75" customHeight="1" spans="1:2">
      <c r="A31130" s="3" t="str">
        <f>IFERROR(__xludf.DUMMYFUNCTION("GOOGLETRANSLATE(A31130,""en"",""pt"")"),"Caro, # limitado de fotos a cada disco")</f>
        <v>Caro, # limitado de fotos a cada disco</v>
      </c>
      <c r="B31130" s="3">
        <v>0</v>
      </c>
    </row>
    <row r="31131" ht="15.75" customHeight="1" spans="1:2">
      <c r="A31131" s="3" t="str">
        <f>IFERROR(__xludf.DUMMYFUNCTION("GOOGLETRANSLATE(A31131,""en"",""pt"")"),"Não muito na maneira de equipamento acessório")</f>
        <v>Não muito na maneira de equipamento acessório</v>
      </c>
      <c r="B31131" s="3">
        <v>0</v>
      </c>
    </row>
    <row r="31132" ht="15.75" customHeight="1" spans="1:2">
      <c r="A31132" s="3" t="str">
        <f>IFERROR(__xludf.DUMMYFUNCTION("GOOGLETRANSLATE(A31132,""en"",""pt"")"),"Poderia nos mais espaço de armazenamento.")</f>
        <v>Poderia nos mais espaço de armazenamento.</v>
      </c>
      <c r="B31132" s="3">
        <v>0</v>
      </c>
    </row>
    <row r="31133" ht="15.75" customHeight="1" spans="1:2">
      <c r="A31133" s="3" t="str">
        <f>IFERROR(__xludf.DUMMYFUNCTION("GOOGLETRANSLATE(A31133,""en"",""pt"")"),"difícil controlos mestre")</f>
        <v>difícil controlos mestre</v>
      </c>
      <c r="B31133" s="3">
        <v>0</v>
      </c>
    </row>
    <row r="31134" ht="15.75" customHeight="1" spans="1:2">
      <c r="A31134" s="3" t="str">
        <f>IFERROR(__xludf.DUMMYFUNCTION("GOOGLETRANSLATE(A31134,""en"",""pt"")"),"baixo de armazenamento de imagens por disco")</f>
        <v>baixo de armazenamento de imagens por disco</v>
      </c>
      <c r="B31134" s="3">
        <v>0</v>
      </c>
    </row>
    <row r="31135" ht="15.75" customHeight="1" spans="1:2">
      <c r="A31135" s="3" t="str">
        <f>IFERROR(__xludf.DUMMYFUNCTION("GOOGLETRANSLATE(A31135,""en"",""pt"")"),"custo mais elevado.")</f>
        <v>custo mais elevado.</v>
      </c>
      <c r="B31135" s="3">
        <v>0</v>
      </c>
    </row>
    <row r="31136" ht="15.75" customHeight="1" spans="1:2">
      <c r="A31136" s="3" t="str">
        <f>IFERROR(__xludf.DUMMYFUNCTION("GOOGLETRANSLATE(A31136,""en"",""pt"")"),"tela de imagem que é difícil de vista na luz brilhante")</f>
        <v>tela de imagem que é difícil de vista na luz brilhante</v>
      </c>
      <c r="B31136" s="3">
        <v>0</v>
      </c>
    </row>
    <row r="31137" ht="15.75" customHeight="1" spans="1:2">
      <c r="A31137" s="3" t="str">
        <f>IFERROR(__xludf.DUMMYFUNCTION("GOOGLETRANSLATE(A31137,""en"",""pt"")"),"Qualidade de Imagem e vida da bateria pobres")</f>
        <v>Qualidade de Imagem e vida da bateria pobres</v>
      </c>
      <c r="B31137" s="3">
        <v>0</v>
      </c>
    </row>
    <row r="31138" ht="15.75" customHeight="1" spans="1:2">
      <c r="A31138" s="3" t="str">
        <f>IFERROR(__xludf.DUMMYFUNCTION("GOOGLETRANSLATE(A31138,""en"",""pt"")"),"Preços mais elevados do que outras câmeras com mesmas características")</f>
        <v>Preços mais elevados do que outras câmeras com mesmas características</v>
      </c>
      <c r="B31138" s="3">
        <v>0</v>
      </c>
    </row>
    <row r="31139" ht="15.75" customHeight="1" spans="1:2">
      <c r="A31139" s="3" t="str">
        <f>IFERROR(__xludf.DUMMYFUNCTION("GOOGLETRANSLATE(A31139,""en"",""pt"")"),"nenhum programa para exibir as imagens")</f>
        <v>nenhum programa para exibir as imagens</v>
      </c>
      <c r="B31139" s="3">
        <v>0</v>
      </c>
    </row>
    <row r="31140" ht="15.75" customHeight="1" spans="1:2">
      <c r="A31140" s="3" t="str">
        <f>IFERROR(__xludf.DUMMYFUNCTION("GOOGLETRANSLATE(A31140,""en"",""pt"")"),"A vida da bateria, os instantâneos não repetitivas")</f>
        <v>A vida da bateria, os instantâneos não repetitivas</v>
      </c>
      <c r="B31140" s="3">
        <v>0</v>
      </c>
    </row>
    <row r="31141" ht="15.75" customHeight="1" spans="1:2">
      <c r="A31141" s="3" t="str">
        <f>IFERROR(__xludf.DUMMYFUNCTION("GOOGLETRANSLATE(A31141,""en"",""pt"")"),"Estojo de transporte não incluído")</f>
        <v>Estojo de transporte não incluído</v>
      </c>
      <c r="B31141" s="3">
        <v>0</v>
      </c>
    </row>
    <row r="31142" ht="15.75" customHeight="1" spans="1:2">
      <c r="A31142" s="3" t="str">
        <f>IFERROR(__xludf.DUMMYFUNCTION("GOOGLETRANSLATE(A31142,""en"",""pt"")"),"Nenhum ainda.")</f>
        <v>Nenhum ainda.</v>
      </c>
      <c r="B31142" s="3">
        <v>0</v>
      </c>
    </row>
    <row r="31143" ht="15.75" customHeight="1" spans="1:2">
      <c r="A31143" s="3" t="str">
        <f>IFERROR(__xludf.DUMMYFUNCTION("GOOGLETRANSLATE(A31143,""en"",""pt"")"),"atraso entre as imagens")</f>
        <v>atraso entre as imagens</v>
      </c>
      <c r="B31143" s="3">
        <v>0</v>
      </c>
    </row>
    <row r="31144" ht="15.75" customHeight="1" spans="1:2">
      <c r="A31144" s="3" t="str">
        <f>IFERROR(__xludf.DUMMYFUNCTION("GOOGLETRANSLATE(A31144,""en"",""pt"")"),"não pode pensar em qualquer")</f>
        <v>não pode pensar em qualquer</v>
      </c>
      <c r="B31144" s="3">
        <v>0</v>
      </c>
    </row>
    <row r="31145" ht="15.75" customHeight="1" spans="1:2">
      <c r="A31145" s="3" t="str">
        <f>IFERROR(__xludf.DUMMYFUNCTION("GOOGLETRANSLATE(A31145,""en"",""pt"")"),"Nenhum")</f>
        <v>Nenhum</v>
      </c>
      <c r="B31145" s="3">
        <v>0</v>
      </c>
    </row>
    <row r="31146" ht="15.75" customHeight="1" spans="1:2">
      <c r="A31146" s="3" t="str">
        <f>IFERROR(__xludf.DUMMYFUNCTION("GOOGLETRANSLATE(A31146,""en"",""pt"")"),"A compreensão de como obter melhor resolução, diferença entre a tela e foto real")</f>
        <v>A compreensão de como obter melhor resolução, diferença entre a tela e foto real</v>
      </c>
      <c r="B31146" s="3">
        <v>0</v>
      </c>
    </row>
    <row r="31147" ht="15.75" customHeight="1" spans="1:2">
      <c r="A31147" s="3" t="str">
        <f>IFERROR(__xludf.DUMMYFUNCTION("GOOGLETRANSLATE(A31147,""en"",""pt"")"),"Não posso dizer nada de ruim sobre ele ainda")</f>
        <v>Não posso dizer nada de ruim sobre ele ainda</v>
      </c>
      <c r="B31147" s="3">
        <v>0</v>
      </c>
    </row>
    <row r="31148" ht="15.75" customHeight="1" spans="1:2">
      <c r="A31148" s="3" t="str">
        <f>IFERROR(__xludf.DUMMYFUNCTION("GOOGLETRANSLATE(A31148,""en"",""pt"")"),"um pouco complicado para iniciantes")</f>
        <v>um pouco complicado para iniciantes</v>
      </c>
      <c r="B31148" s="3">
        <v>0</v>
      </c>
    </row>
    <row r="31149" ht="15.75" customHeight="1" spans="1:2">
      <c r="A31149" s="3" t="str">
        <f>IFERROR(__xludf.DUMMYFUNCTION("GOOGLETRANSLATE(A31149,""en"",""pt"")"),"caro")</f>
        <v>caro</v>
      </c>
      <c r="B31149" s="3">
        <v>0</v>
      </c>
    </row>
    <row r="31150" ht="15.75" customHeight="1" spans="1:2">
      <c r="A31150" s="3" t="str">
        <f>IFERROR(__xludf.DUMMYFUNCTION("GOOGLETRANSLATE(A31150,""en"",""pt"")"),"As fotos e filme demorou muito para captura")</f>
        <v>As fotos e filme demorou muito para captura</v>
      </c>
      <c r="B31150" s="3">
        <v>0</v>
      </c>
    </row>
    <row r="31151" ht="15.75" customHeight="1" spans="1:2">
      <c r="A31151" s="3" t="str">
        <f>IFERROR(__xludf.DUMMYFUNCTION("GOOGLETRANSLATE(A31151,""en"",""pt"")"),"desempenho impressão depende de equipamentos")</f>
        <v>desempenho impressão depende de equipamentos</v>
      </c>
      <c r="B31151" s="3">
        <v>0</v>
      </c>
    </row>
    <row r="31152" ht="15.75" customHeight="1" spans="1:2">
      <c r="A31152" s="3" t="str">
        <f>IFERROR(__xludf.DUMMYFUNCTION("GOOGLETRANSLATE(A31152,""en"",""pt"")"),"disquetes não possuem muitas fotos, se eles ficam sujos poderia haver problemas")</f>
        <v>disquetes não possuem muitas fotos, se eles ficam sujos poderia haver problemas</v>
      </c>
      <c r="B31152" s="3">
        <v>0</v>
      </c>
    </row>
    <row r="31153" ht="15.75" customHeight="1" spans="1:2">
      <c r="A31153" s="3" t="str">
        <f>IFERROR(__xludf.DUMMYFUNCTION("GOOGLETRANSLATE(A31153,""en"",""pt"")"),"Nenhum")</f>
        <v>Nenhum</v>
      </c>
      <c r="B31153" s="3">
        <v>0</v>
      </c>
    </row>
    <row r="31154" ht="15.75" customHeight="1" spans="1:2">
      <c r="A31154" s="3" t="str">
        <f>IFERROR(__xludf.DUMMYFUNCTION("GOOGLETRANSLATE(A31154,""en"",""pt"")"),"nenhum eu posso pensar")</f>
        <v>nenhum eu posso pensar</v>
      </c>
      <c r="B31154" s="3">
        <v>0</v>
      </c>
    </row>
    <row r="31155" ht="15.75" customHeight="1" spans="1:2">
      <c r="A31155" s="3" t="str">
        <f>IFERROR(__xludf.DUMMYFUNCTION("GOOGLETRANSLATE(A31155,""en"",""pt"")"),"não é bom para candids rápidos")</f>
        <v>não é bom para candids rápidos</v>
      </c>
      <c r="B31155" s="3">
        <v>0</v>
      </c>
    </row>
    <row r="31156" ht="15.75" customHeight="1" spans="1:2">
      <c r="A31156" s="3" t="str">
        <f>IFERROR(__xludf.DUMMYFUNCTION("GOOGLETRANSLATE(A31156,""en"",""pt"")"),"muito caro para desenvolver fotos")</f>
        <v>muito caro para desenvolver fotos</v>
      </c>
      <c r="B31156" s="3">
        <v>0</v>
      </c>
    </row>
    <row r="31157" ht="15.75" customHeight="1" spans="1:2">
      <c r="A31157" s="3" t="str">
        <f>IFERROR(__xludf.DUMMYFUNCTION("GOOGLETRANSLATE(A31157,""en"",""pt"")"),"Lento, grande")</f>
        <v>Lento, grande</v>
      </c>
      <c r="B31157" s="3">
        <v>0</v>
      </c>
    </row>
    <row r="31158" ht="15.75" customHeight="1" spans="1:2">
      <c r="A31158" s="3" t="str">
        <f>IFERROR(__xludf.DUMMYFUNCTION("GOOGLETRANSLATE(A31158,""en"",""pt"")"),"Caro")</f>
        <v>Caro</v>
      </c>
      <c r="B31158" s="3">
        <v>0</v>
      </c>
    </row>
    <row r="31159" ht="15.75" customHeight="1" spans="1:2">
      <c r="A31159" s="3" t="str">
        <f>IFERROR(__xludf.DUMMYFUNCTION("GOOGLETRANSLATE(A31159,""en"",""pt"")"),"Apenas segurar oito imagens para um disco")</f>
        <v>Apenas segurar oito imagens para um disco</v>
      </c>
      <c r="B31159" s="3">
        <v>0</v>
      </c>
    </row>
    <row r="31160" ht="15.75" customHeight="1" spans="1:2">
      <c r="A31160" s="3" t="s">
        <v>180</v>
      </c>
      <c r="B31160" s="3">
        <v>0</v>
      </c>
    </row>
    <row r="31161" ht="15.75" customHeight="1" spans="1:2">
      <c r="A31161" s="3" t="str">
        <f>IFERROR(__xludf.DUMMYFUNCTION("GOOGLETRANSLATE(A31161,""en"",""pt"")"),"armazenamento é limitado a 1,44 MB")</f>
        <v>armazenamento é limitado a 1,44 MB</v>
      </c>
      <c r="B31161" s="3">
        <v>0</v>
      </c>
    </row>
    <row r="31162" ht="15.75" customHeight="1" spans="1:2">
      <c r="A31162" s="3" t="str">
        <f>IFERROR(__xludf.DUMMYFUNCTION("GOOGLETRANSLATE(A31162,""en"",""pt"")"),"Bateria pode durar um pouco mais")</f>
        <v>Bateria pode durar um pouco mais</v>
      </c>
      <c r="B31162" s="3">
        <v>0</v>
      </c>
    </row>
    <row r="31163" ht="15.75" customHeight="1" spans="1:2">
      <c r="A31163" s="3" t="str">
        <f>IFERROR(__xludf.DUMMYFUNCTION("GOOGLETRANSLATE(A31163,""en"",""pt"")"),"caro, difícil de ver LED no sol")</f>
        <v>caro, difícil de ver LED no sol</v>
      </c>
      <c r="B31163" s="3">
        <v>0</v>
      </c>
    </row>
    <row r="31164" ht="15.75" customHeight="1" spans="1:2">
      <c r="A31164" s="3" t="str">
        <f>IFERROR(__xludf.DUMMYFUNCTION("GOOGLETRANSLATE(A31164,""en"",""pt"")"),"um pouco mais volumoso, em seguida, 35 milímetros!")</f>
        <v>um pouco mais volumoso, em seguida, 35 milímetros!</v>
      </c>
      <c r="B31164" s="3">
        <v>0</v>
      </c>
    </row>
    <row r="31165" ht="15.75" customHeight="1" spans="1:2">
      <c r="A31165" s="3" t="str">
        <f>IFERROR(__xludf.DUMMYFUNCTION("GOOGLETRANSLATE(A31165,""en"",""pt"")"),"volumoso, FRÁGIL")</f>
        <v>volumoso, FRÁGIL</v>
      </c>
      <c r="B31165" s="3">
        <v>0</v>
      </c>
    </row>
    <row r="31166" ht="15.75" customHeight="1" spans="1:2">
      <c r="A31166" s="3" t="str">
        <f>IFERROR(__xludf.DUMMYFUNCTION("GOOGLETRANSLATE(A31166,""en"",""pt"")"),"um pouco grande demais devido ao uso disquette")</f>
        <v>um pouco grande demais devido ao uso disquette</v>
      </c>
      <c r="B31166" s="3">
        <v>0</v>
      </c>
    </row>
    <row r="31167" ht="15.75" customHeight="1" spans="1:2">
      <c r="A31167" s="3" t="str">
        <f>IFERROR(__xludf.DUMMYFUNCTION("GOOGLETRANSLATE(A31167,""en"",""pt"")"),"Sem View Finder, Vida de bateria baixa")</f>
        <v>Sem View Finder, Vida de bateria baixa</v>
      </c>
      <c r="B31167" s="3">
        <v>0</v>
      </c>
    </row>
    <row r="31168" ht="15.75" customHeight="1" spans="1:2">
      <c r="A31168" s="3" t="str">
        <f>IFERROR(__xludf.DUMMYFUNCTION("GOOGLETRANSLATE(A31168,""en"",""pt"")"),"acessórios caros")</f>
        <v>acessórios caros</v>
      </c>
      <c r="B31168" s="3">
        <v>0</v>
      </c>
    </row>
    <row r="31169" ht="15.75" customHeight="1" spans="1:2">
      <c r="A31169" s="3" t="str">
        <f>IFERROR(__xludf.DUMMYFUNCTION("GOOGLETRANSLATE(A31169,""en"",""pt"")"),"caro")</f>
        <v>caro</v>
      </c>
      <c r="B31169" s="3">
        <v>0</v>
      </c>
    </row>
    <row r="31170" ht="15.75" customHeight="1" spans="1:2">
      <c r="A31170" s="3" t="str">
        <f>IFERROR(__xludf.DUMMYFUNCTION("GOOGLETRANSLATE(A31170,""en"",""pt"")"),"custo")</f>
        <v>custo</v>
      </c>
      <c r="B31170" s="3">
        <v>0</v>
      </c>
    </row>
    <row r="31171" ht="15.75" customHeight="1" spans="1:2">
      <c r="A31171" s="3" t="str">
        <f>IFERROR(__xludf.DUMMYFUNCTION("GOOGLETRANSLATE(A31171,""en"",""pt"")"),"mais alto do que as câmeras de cartões flash")</f>
        <v>mais alto do que as câmeras de cartões flash</v>
      </c>
      <c r="B31171" s="3">
        <v>0</v>
      </c>
    </row>
    <row r="31172" ht="15.75" customHeight="1" spans="1:2">
      <c r="A31172" s="3" t="str">
        <f>IFERROR(__xludf.DUMMYFUNCTION("GOOGLETRANSLATE(A31172,""en"",""pt"")")," Um pouco sobre o lado caro, mas vale cada centavo")</f>
        <v> Um pouco sobre o lado caro, mas vale cada centavo</v>
      </c>
      <c r="B31172" s="3">
        <v>0</v>
      </c>
    </row>
    <row r="31173" ht="15.75" customHeight="1" spans="1:2">
      <c r="A31173" s="3" t="str">
        <f>IFERROR(__xludf.DUMMYFUNCTION("GOOGLETRANSLATE(A31173,""en"",""pt"")"),"Talvez Preço, Tamanho")</f>
        <v>Talvez Preço, Tamanho</v>
      </c>
      <c r="B31173" s="3">
        <v>0</v>
      </c>
    </row>
    <row r="31174" ht="15.75" customHeight="1" spans="1:2">
      <c r="A31174" s="3" t="str">
        <f>IFERROR(__xludf.DUMMYFUNCTION("GOOGLETRANSLATE(A31174,""en"",""pt"")"),"Um caro pouco, você paga para o que você")</f>
        <v>Um caro pouco, você paga para o que você</v>
      </c>
      <c r="B31174" s="3">
        <v>0</v>
      </c>
    </row>
    <row r="31175" ht="15.75" customHeight="1" spans="1:2">
      <c r="A31175" s="3" t="str">
        <f>IFERROR(__xludf.DUMMYFUNCTION("GOOGLETRANSLATE(A31175,""en"",""pt"")"),"vida útil da bateria")</f>
        <v>vida útil da bateria</v>
      </c>
      <c r="B31175" s="3">
        <v>0</v>
      </c>
    </row>
    <row r="31176" ht="15.75" customHeight="1" spans="1:2">
      <c r="A31176" s="3" t="str">
        <f>IFERROR(__xludf.DUMMYFUNCTION("GOOGLETRANSLATE(A31176,""en"",""pt"")"),"Caro, mas não em comparação com outros na categoria")</f>
        <v>Caro, mas não em comparação com outros na categoria</v>
      </c>
      <c r="B31176" s="3">
        <v>0</v>
      </c>
    </row>
    <row r="31177" ht="15.75" customHeight="1" spans="1:2">
      <c r="A31177" s="3" t="str">
        <f>IFERROR(__xludf.DUMMYFUNCTION("GOOGLETRANSLATE(A31177,""en"",""pt"")"),"Não vem com caso / disquetes")</f>
        <v>Não vem com caso / disquetes</v>
      </c>
      <c r="B31177" s="3">
        <v>0</v>
      </c>
    </row>
    <row r="31178" ht="15.75" customHeight="1" spans="1:2">
      <c r="A31178" s="3" t="str">
        <f>IFERROR(__xludf.DUMMYFUNCTION("GOOGLETRANSLATE(A31178,""en"",""pt"")"),"Preço. Mas hey, isso é ótimo tecnologia.")</f>
        <v>Preço. Mas hey, isso é ótimo tecnologia.</v>
      </c>
      <c r="B31178" s="3">
        <v>0</v>
      </c>
    </row>
    <row r="31179" ht="15.75" customHeight="1" spans="1:2">
      <c r="A31179" s="3" t="str">
        <f>IFERROR(__xludf.DUMMYFUNCTION("GOOGLETRANSLATE(A31179,""en"",""pt"")"),"Nenhum")</f>
        <v>Nenhum</v>
      </c>
      <c r="B31179" s="3">
        <v>0</v>
      </c>
    </row>
    <row r="31180" ht="15.75" customHeight="1" spans="1:2">
      <c r="A31180" s="3" t="str">
        <f>IFERROR(__xludf.DUMMYFUNCTION("GOOGLETRANSLATE(A31180,""en"",""pt"")"),"nenhum modo de flash olhos vermelhos, apenas a energia da bateria")</f>
        <v>nenhum modo de flash olhos vermelhos, apenas a energia da bateria</v>
      </c>
      <c r="B31180" s="3">
        <v>0</v>
      </c>
    </row>
    <row r="31181" ht="15.75" customHeight="1" spans="1:2">
      <c r="A31181" s="3" t="str">
        <f>IFERROR(__xludf.DUMMYFUNCTION("GOOGLETRANSLATE(A31181,""en"",""pt"")"),"6x Zoom recurso poderia ser maior para o preço.")</f>
        <v>6x Zoom recurso poderia ser maior para o preço.</v>
      </c>
      <c r="B31181" s="3">
        <v>0</v>
      </c>
    </row>
    <row r="31182" ht="15.75" customHeight="1" spans="1:2">
      <c r="A31182" s="3" t="str">
        <f>IFERROR(__xludf.DUMMYFUNCTION("GOOGLETRANSLATE(A31182,""en"",""pt"")"),"Nenhum")</f>
        <v>Nenhum</v>
      </c>
      <c r="B31182" s="3">
        <v>0</v>
      </c>
    </row>
    <row r="31183" ht="15.75" customHeight="1" spans="1:2">
      <c r="A31183" s="3" t="str">
        <f>IFERROR(__xludf.DUMMYFUNCTION("GOOGLETRANSLATE(A31183,""en"",""pt"")"),"volume relativo, não vem em amarelo")</f>
        <v>volume relativo, não vem em amarelo</v>
      </c>
      <c r="B31183" s="3">
        <v>0</v>
      </c>
    </row>
    <row r="31184" ht="15.75" customHeight="1" spans="1:2">
      <c r="A31184" s="3" t="str">
        <f>IFERROR(__xludf.DUMMYFUNCTION("GOOGLETRANSLATE(A31184,""en"",""pt"")"),"maior do que a maioria das outras câmeras - pode ser um pouco volumoso, às vezes.")</f>
        <v>maior do que a maioria das outras câmeras - pode ser um pouco volumoso, às vezes.</v>
      </c>
      <c r="B31184" s="3">
        <v>0</v>
      </c>
    </row>
    <row r="31185" ht="15.75" customHeight="1" spans="1:2">
      <c r="A31185" s="3" t="str">
        <f>IFERROR(__xludf.DUMMYFUNCTION("GOOGLETRANSLATE(A31185,""en"",""pt"")"),"custo")</f>
        <v>custo</v>
      </c>
      <c r="B31185" s="3">
        <v>0</v>
      </c>
    </row>
    <row r="31186" ht="15.75" customHeight="1" spans="1:2">
      <c r="A31186" s="3" t="str">
        <f>IFERROR(__xludf.DUMMYFUNCTION("GOOGLETRANSLATE(A31186,""en"",""pt"")"),"No Viewer, Só LCD")</f>
        <v>No Viewer, Só LCD</v>
      </c>
      <c r="B31186" s="3">
        <v>0</v>
      </c>
    </row>
    <row r="31187" ht="15.75" customHeight="1" spans="1:2">
      <c r="A31187" s="3" t="str">
        <f>IFERROR(__xludf.DUMMYFUNCTION("GOOGLETRANSLATE(A31187,""en"",""pt"")"),"vídeo pobres")</f>
        <v>vídeo pobres</v>
      </c>
      <c r="B31187" s="3">
        <v>0</v>
      </c>
    </row>
    <row r="31188" ht="15.75" customHeight="1" spans="1:2">
      <c r="A31188" s="3" t="str">
        <f>IFERROR(__xludf.DUMMYFUNCTION("GOOGLETRANSLATE(A31188,""en"",""pt"")"),"tamanho da unidade, disquetes ocupar algum espaço")</f>
        <v>tamanho da unidade, disquetes ocupar algum espaço</v>
      </c>
      <c r="B31188" s="3">
        <v>0</v>
      </c>
    </row>
    <row r="31189" ht="15.75" customHeight="1" spans="1:2">
      <c r="A31189" s="3" t="str">
        <f>IFERROR(__xludf.DUMMYFUNCTION("GOOGLETRANSLATE(A31189,""en"",""pt"")"),"Um 1.1 megapixels")</f>
        <v>Um 1.1 megapixels</v>
      </c>
      <c r="B31189" s="3">
        <v>0</v>
      </c>
    </row>
    <row r="31190" ht="15.75" customHeight="1" spans="1:2">
      <c r="A31190" s="3" t="str">
        <f>IFERROR(__xludf.DUMMYFUNCTION("GOOGLETRANSLATE(A31190,""en"",""pt"")"),"caro")</f>
        <v>caro</v>
      </c>
      <c r="B31190" s="3">
        <v>0</v>
      </c>
    </row>
    <row r="31191" ht="15.75" customHeight="1" spans="1:2">
      <c r="A31191" s="3" t="str">
        <f>IFERROR(__xludf.DUMMYFUNCTION("GOOGLETRANSLATE(A31191,""en"",""pt"")"),"Demasiada autofocus, há configurações de exposição")</f>
        <v>Demasiada autofocus, há configurações de exposição</v>
      </c>
      <c r="B31191" s="3">
        <v>0</v>
      </c>
    </row>
    <row r="31192" ht="15.75" customHeight="1" spans="1:2">
      <c r="A31192" s="3" t="str">
        <f>IFERROR(__xludf.DUMMYFUNCTION("GOOGLETRANSLATE(A31192,""en"",""pt"")"),"A bateria não durar terrivelmente longo e é caro!")</f>
        <v>A bateria não durar terrivelmente longo e é caro!</v>
      </c>
      <c r="B31192" s="3">
        <v>0</v>
      </c>
    </row>
    <row r="31193" ht="15.75" customHeight="1" spans="1:2">
      <c r="A31193" s="3" t="str">
        <f>IFERROR(__xludf.DUMMYFUNCTION("GOOGLETRANSLATE(A31193,""en"",""pt"")"),"Nenhum!")</f>
        <v>Nenhum!</v>
      </c>
      <c r="B31193" s="3">
        <v>0</v>
      </c>
    </row>
    <row r="31194" ht="15.75" customHeight="1" spans="1:2">
      <c r="A31194" s="3" t="str">
        <f>IFERROR(__xludf.DUMMYFUNCTION("GOOGLETRANSLATE(A31194,""en"",""pt"")"),"Muitos recursos")</f>
        <v>Muitos recursos</v>
      </c>
      <c r="B31194" s="3">
        <v>0</v>
      </c>
    </row>
    <row r="31195" ht="15.75" customHeight="1" spans="1:2">
      <c r="A31195" s="3" t="str">
        <f>IFERROR(__xludf.DUMMYFUNCTION("GOOGLETRANSLATE(A31195,""en"",""pt"")"),"Odeio o dinheiro que é preciso!")</f>
        <v>Odeio o dinheiro que é preciso!</v>
      </c>
      <c r="B31195" s="3">
        <v>0</v>
      </c>
    </row>
    <row r="31196" ht="15.75" customHeight="1" spans="1:2">
      <c r="A31196" s="3" t="str">
        <f>IFERROR(__xludf.DUMMYFUNCTION("GOOGLETRANSLATE(A31196,""en"",""pt"")"),"Volumoso, leitura de arquivo não confiável")</f>
        <v>Volumoso, leitura de arquivo não confiável</v>
      </c>
      <c r="B31196" s="3">
        <v>0</v>
      </c>
    </row>
    <row r="31197" ht="15.75" customHeight="1" spans="1:2">
      <c r="A31197" s="3" t="str">
        <f>IFERROR(__xludf.DUMMYFUNCTION("GOOGLETRANSLATE(A31197,""en"",""pt"")"),"Mais caros .... mas ninguém mais ofertas do armazenamento de disco flexível que torna este vencedor tal")</f>
        <v>Mais caros .... mas ninguém mais ofertas do armazenamento de disco flexível que torna este vencedor tal</v>
      </c>
      <c r="B31197" s="3">
        <v>0</v>
      </c>
    </row>
    <row r="31198" ht="15.75" customHeight="1" spans="1:2">
      <c r="A31198" s="3" t="str">
        <f>IFERROR(__xludf.DUMMYFUNCTION("GOOGLETRANSLATE(A31198,""en"",""pt"")"),"Flash, mas não muito se preocupar com")</f>
        <v>Flash, mas não muito se preocupar com</v>
      </c>
      <c r="B31198" s="3">
        <v>0</v>
      </c>
    </row>
    <row r="31199" ht="15.75" customHeight="1" spans="1:2">
      <c r="A31199" s="3" t="str">
        <f>IFERROR(__xludf.DUMMYFUNCTION("GOOGLETRANSLATE(A31199,""en"",""pt"")"),"Há câmeras digitais para uso instantâneo que são mais novos e mais avançados, mas ainda custam sábio para o tomador de imagem.")</f>
        <v>Há câmeras digitais para uso instantâneo que são mais novos e mais avançados, mas ainda custam sábio para o tomador de imagem.</v>
      </c>
      <c r="B31199" s="3">
        <v>0</v>
      </c>
    </row>
    <row r="31200" ht="15.75" customHeight="1" spans="1:2">
      <c r="A31200" s="3" t="str">
        <f>IFERROR(__xludf.DUMMYFUNCTION("GOOGLETRANSLATE(A31200,""en"",""pt"")"),"mais volumoso do que outros modelos")</f>
        <v>mais volumoso do que outros modelos</v>
      </c>
      <c r="B31200" s="3">
        <v>0</v>
      </c>
    </row>
    <row r="31201" ht="15.75" customHeight="1" spans="1:2">
      <c r="A31201" s="3" t="str">
        <f>IFERROR(__xludf.DUMMYFUNCTION("GOOGLETRANSLATE(A31201,""en"",""pt"")"),"Ainda retratos geralmente causa a síndrome do olho vermelho")</f>
        <v>Ainda retratos geralmente causa a síndrome do olho vermelho</v>
      </c>
      <c r="B31201" s="3">
        <v>0</v>
      </c>
    </row>
    <row r="31202" ht="15.75" customHeight="1" spans="1:2">
      <c r="A31202" s="3" t="str">
        <f>IFERROR(__xludf.DUMMYFUNCTION("GOOGLETRANSLATE(A31202,""en"",""pt"")"),"floppys não são confiáveis, floppys são grandes.")</f>
        <v>floppys não são confiáveis, floppys são grandes.</v>
      </c>
      <c r="B31202" s="3">
        <v>0</v>
      </c>
    </row>
    <row r="31203" ht="15.75" customHeight="1" spans="1:2">
      <c r="A31203" s="3" t="str">
        <f>IFERROR(__xludf.DUMMYFUNCTION("GOOGLETRANSLATE(A31203,""en"",""pt"")"),"preço poderia ser menor")</f>
        <v>preço poderia ser menor</v>
      </c>
      <c r="B31203" s="3">
        <v>0</v>
      </c>
    </row>
    <row r="31204" ht="15.75" customHeight="1" spans="1:2">
      <c r="A31204" s="3" t="str">
        <f>IFERROR(__xludf.DUMMYFUNCTION("GOOGLETRANSLATE(A31204,""en"",""pt"")"),"Eu gostaria que tivesse um zoom melhor, necessidade de filmes atirar na paisagem")</f>
        <v>Eu gostaria que tivesse um zoom melhor, necessidade de filmes atirar na paisagem</v>
      </c>
      <c r="B31204" s="3">
        <v>0</v>
      </c>
    </row>
    <row r="31205" ht="15.75" customHeight="1" spans="1:2">
      <c r="A31205" s="3" t="str">
        <f>IFERROR(__xludf.DUMMYFUNCTION("GOOGLETRANSLATE(A31205,""en"",""pt"")"),"Tem que comprar uma bateria mais duradoura do que o incluído")</f>
        <v>Tem que comprar uma bateria mais duradoura do que o incluído</v>
      </c>
      <c r="B31205" s="3">
        <v>0</v>
      </c>
    </row>
    <row r="31206" ht="15.75" customHeight="1" spans="1:2">
      <c r="A31206" s="3" t="str">
        <f>IFERROR(__xludf.DUMMYFUNCTION("GOOGLETRANSLATE(A31206,""en"",""pt"")"),"A volumosa pouco, tampa da lente não tem lugar lógico para ir, alça da câmera, nenhum saco da câmera")</f>
        <v>A volumosa pouco, tampa da lente não tem lugar lógico para ir, alça da câmera, nenhum saco da câmera</v>
      </c>
      <c r="B31206" s="3">
        <v>0</v>
      </c>
    </row>
    <row r="31207" ht="15.75" customHeight="1" spans="1:2">
      <c r="A31207" s="3" t="str">
        <f>IFERROR(__xludf.DUMMYFUNCTION("GOOGLETRANSLATE(A31207,""en"",""pt"")"),"Pode querer comprar bateria estendida")</f>
        <v>Pode querer comprar bateria estendida</v>
      </c>
      <c r="B31207" s="3">
        <v>0</v>
      </c>
    </row>
    <row r="31208" ht="15.75" customHeight="1" spans="1:2">
      <c r="A31208" s="3" t="str">
        <f>IFERROR(__xludf.DUMMYFUNCTION("GOOGLETRANSLATE(A31208,""en"",""pt"")"),"2-3 segundos de atraso a partir do momento que você pressiona o botão até que a imagem é realmente estalou")</f>
        <v>2-3 segundos de atraso a partir do momento que você pressiona o botão até que a imagem é realmente estalou</v>
      </c>
      <c r="B31208" s="3">
        <v>0</v>
      </c>
    </row>
    <row r="31209" ht="15.75" customHeight="1" spans="1:2">
      <c r="A31209" s="3" t="str">
        <f>IFERROR(__xludf.DUMMYFUNCTION("GOOGLETRANSLATE(A31209,""en"",""pt"")"),"custo ligeiramente superior - maior corpo")</f>
        <v>custo ligeiramente superior - maior corpo</v>
      </c>
      <c r="B31209" s="3">
        <v>0</v>
      </c>
    </row>
    <row r="31210" ht="15.75" customHeight="1" spans="1:2">
      <c r="A31210" s="3" t="str">
        <f>IFERROR(__xludf.DUMMYFUNCTION("GOOGLETRANSLATE(A31210,""en"",""pt"")"),"adaptador sem AC.")</f>
        <v>adaptador sem AC.</v>
      </c>
      <c r="B31210" s="3">
        <v>0</v>
      </c>
    </row>
    <row r="31211" ht="15.75" customHeight="1" spans="1:2">
      <c r="A31211" s="3" t="str">
        <f>IFERROR(__xludf.DUMMYFUNCTION("GOOGLETRANSLATE(A31211,""en"",""pt"")"),"A vida da bateria")</f>
        <v>A vida da bateria</v>
      </c>
      <c r="B31211" s="3">
        <v>0</v>
      </c>
    </row>
    <row r="31212" ht="15.75" customHeight="1" spans="1:2">
      <c r="A31212" s="3" t="str">
        <f>IFERROR(__xludf.DUMMYFUNCTION("GOOGLETRANSLATE(A31212,""en"",""pt"")"),"Nenhum")</f>
        <v>Nenhum</v>
      </c>
      <c r="B31212" s="3">
        <v>0</v>
      </c>
    </row>
    <row r="31213" ht="15.75" customHeight="1" spans="1:2">
      <c r="A31213" s="3" t="str">
        <f>IFERROR(__xludf.DUMMYFUNCTION("GOOGLETRANSLATE(A31213,""en"",""pt"")"),"Nenhum")</f>
        <v>Nenhum</v>
      </c>
      <c r="B31213" s="3">
        <v>0</v>
      </c>
    </row>
    <row r="31214" ht="15.75" customHeight="1" spans="1:2">
      <c r="A31214" s="3" t="str">
        <f>IFERROR(__xludf.DUMMYFUNCTION("GOOGLETRANSLATE(A31214,""en"",""pt"")"),"armazenamento limitado em disquete, disco para usar em pleno sol")</f>
        <v>armazenamento limitado em disquete, disco para usar em pleno sol</v>
      </c>
      <c r="B31214" s="3">
        <v>0</v>
      </c>
    </row>
    <row r="31215" ht="15.75" customHeight="1" spans="1:2">
      <c r="A31215" s="3" t="str">
        <f>IFERROR(__xludf.DUMMYFUNCTION("GOOGLETRANSLATE(A31215,""en"",""pt"")"),"Para o pixel por pixel de resolução ainda investimento caro")</f>
        <v>Para o pixel por pixel de resolução ainda investimento caro</v>
      </c>
      <c r="B31215" s="3">
        <v>0</v>
      </c>
    </row>
    <row r="31216" ht="15.75" customHeight="1" spans="1:2">
      <c r="A31216" s="3" t="str">
        <f>IFERROR(__xludf.DUMMYFUNCTION("GOOGLETRANSLATE(A31216,""en"",""pt"")"),"caro")</f>
        <v>caro</v>
      </c>
      <c r="B31216" s="3">
        <v>0</v>
      </c>
    </row>
    <row r="31217" ht="15.75" customHeight="1" spans="1:2">
      <c r="A31217" s="3" t="str">
        <f>IFERROR(__xludf.DUMMYFUNCTION("GOOGLETRANSLATE(A31217,""en"",""pt"")"),"nada até agora")</f>
        <v>nada até agora</v>
      </c>
      <c r="B31217" s="3">
        <v>0</v>
      </c>
    </row>
    <row r="31218" ht="15.75" customHeight="1" spans="1:2">
      <c r="A31218" s="3" t="str">
        <f>IFERROR(__xludf.DUMMYFUNCTION("GOOGLETRANSLATE(A31218,""en"",""pt"")"),"de armazenamento pequeno (você usar um monte de discos)")</f>
        <v>de armazenamento pequeno (você usar um monte de discos)</v>
      </c>
      <c r="B31218" s="3">
        <v>0</v>
      </c>
    </row>
    <row r="31219" ht="15.75" customHeight="1" spans="1:2">
      <c r="A31219" s="3" t="str">
        <f>IFERROR(__xludf.DUMMYFUNCTION("GOOGLETRANSLATE(A31219,""en"",""pt"")"),"Obtenha mais Zoom")</f>
        <v>Obtenha mais Zoom</v>
      </c>
      <c r="B31219" s="3">
        <v>0</v>
      </c>
    </row>
    <row r="31220" ht="15.75" customHeight="1" spans="1:2">
      <c r="A31220" s="3" t="str">
        <f>IFERROR(__xludf.DUMMYFUNCTION("GOOGLETRANSLATE(A31220,""en"",""pt"")"),"nenhum filme")</f>
        <v>nenhum filme</v>
      </c>
      <c r="B31220" s="3">
        <v>0</v>
      </c>
    </row>
    <row r="31221" ht="15.75" customHeight="1" spans="1:2">
      <c r="A31221" s="3" t="str">
        <f>IFERROR(__xludf.DUMMYFUNCTION("GOOGLETRANSLATE(A31221,""en"",""pt"")"),"pixels interpolados, usando discos é uma grande dor")</f>
        <v>pixels interpolados, usando discos é uma grande dor</v>
      </c>
      <c r="B31221" s="3">
        <v>0</v>
      </c>
    </row>
    <row r="31222" ht="15.75" customHeight="1" spans="1:2">
      <c r="A31222" s="3" t="str">
        <f>IFERROR(__xludf.DUMMYFUNCTION("GOOGLETRANSLATE(A31222,""en"",""pt"")"),"Todo mundo quer tomá-lo emprestado.")</f>
        <v>Todo mundo quer tomá-lo emprestado.</v>
      </c>
      <c r="B31222" s="3">
        <v>0</v>
      </c>
    </row>
    <row r="31223" ht="15.75" customHeight="1" spans="1:2">
      <c r="A31223" s="3" t="str">
        <f>IFERROR(__xludf.DUMMYFUNCTION("GOOGLETRANSLATE(A31223,""en"",""pt"")"),"Apenas 1,44 MB para armazenamento de imagens.")</f>
        <v>Apenas 1,44 MB para armazenamento de imagens.</v>
      </c>
      <c r="B31223" s="3">
        <v>0</v>
      </c>
    </row>
    <row r="31224" ht="15.75" customHeight="1" spans="1:2">
      <c r="A31224" s="3" t="str">
        <f>IFERROR(__xludf.DUMMYFUNCTION("GOOGLETRANSLATE(A31224,""en"",""pt"")"),"Case, vendido seprately mas ainda é pequena para o tamanho da câmera.")</f>
        <v>Case, vendido seprately mas ainda é pequena para o tamanho da câmera.</v>
      </c>
      <c r="B31224" s="3">
        <v>0</v>
      </c>
    </row>
    <row r="31225" ht="15.75" customHeight="1" spans="1:2">
      <c r="A31225" s="3" t="str">
        <f>IFERROR(__xludf.DUMMYFUNCTION("GOOGLETRANSLATE(A31225,""en"",""pt"")"),"um pouco grandes e volumosos, bem como caro, mas vale a pena")</f>
        <v>um pouco grandes e volumosos, bem como caro, mas vale a pena</v>
      </c>
      <c r="B31225" s="3">
        <v>0</v>
      </c>
    </row>
    <row r="31226" ht="15.75" customHeight="1" spans="1:2">
      <c r="A31226" s="3" t="str">
        <f>IFERROR(__xludf.DUMMYFUNCTION("GOOGLETRANSLATE(A31226,""en"",""pt"")"),"Um pouco volumosos e pesados.")</f>
        <v>Um pouco volumosos e pesados.</v>
      </c>
      <c r="B31226" s="3">
        <v>0</v>
      </c>
    </row>
    <row r="31227" ht="15.75" customHeight="1" spans="1:2">
      <c r="A31227" s="3" t="str">
        <f>IFERROR(__xludf.DUMMYFUNCTION("GOOGLETRANSLATE(A31227,""en"",""pt"")"),"Nenhum")</f>
        <v>Nenhum</v>
      </c>
      <c r="B31227" s="3">
        <v>0</v>
      </c>
    </row>
    <row r="31228" ht="15.75" customHeight="1" spans="1:2">
      <c r="A31228" s="3" t="str">
        <f>IFERROR(__xludf.DUMMYFUNCTION("GOOGLETRANSLATE(A31228,""en"",""pt"")"),"nem visor óptico")</f>
        <v>nem visor óptico</v>
      </c>
      <c r="B31228" s="3">
        <v>0</v>
      </c>
    </row>
    <row r="31229" ht="15.75" customHeight="1" spans="1:2">
      <c r="A31229" s="3" t="str">
        <f>IFERROR(__xludf.DUMMYFUNCTION("GOOGLETRANSLATE(A31229,""en"",""pt"")"),"Não consigo pensar em qualquer")</f>
        <v>Não consigo pensar em qualquer</v>
      </c>
      <c r="B31229" s="3">
        <v>0</v>
      </c>
    </row>
    <row r="31230" ht="15.75" customHeight="1" spans="1:2">
      <c r="A31230" s="3" t="str">
        <f>IFERROR(__xludf.DUMMYFUNCTION("GOOGLETRANSLATE(A31230,""en"",""pt"")"),"O velho FD-81 pode levar 60 segundos de mpegs uninterupted, este só pode fazer 15 segundo.")</f>
        <v>O velho FD-81 pode levar 60 segundos de mpegs uninterupted, este só pode fazer 15 segundo.</v>
      </c>
      <c r="B31230" s="3">
        <v>0</v>
      </c>
    </row>
    <row r="31231" ht="15.75" customHeight="1" spans="1:2">
      <c r="A31231" s="3" t="str">
        <f>IFERROR(__xludf.DUMMYFUNCTION("GOOGLETRANSLATE(A31231,""en"",""pt"")"),"todo mundo vai querer roubar um presente de você.")</f>
        <v>todo mundo vai querer roubar um presente de você.</v>
      </c>
      <c r="B31231" s="3">
        <v>0</v>
      </c>
    </row>
    <row r="31232" ht="15.75" customHeight="1" spans="1:2">
      <c r="A31232" s="3" t="str">
        <f>IFERROR(__xludf.DUMMYFUNCTION("GOOGLETRANSLATE(A31232,""en"",""pt"")"),"Difícil de ver LCD sob luz solar intensa")</f>
        <v>Difícil de ver LCD sob luz solar intensa</v>
      </c>
      <c r="B31232" s="3">
        <v>0</v>
      </c>
    </row>
    <row r="31233" ht="15.75" customHeight="1" spans="1:2">
      <c r="A31233" s="3" t="str">
        <f>IFERROR(__xludf.DUMMYFUNCTION("GOOGLETRANSLATE(A31233,""en"",""pt"")"),"Eu precisava de duas baterias por causa de memória curta. Dois grande trabalho - um é de 90 minutos, os outros 160 minutos.")</f>
        <v>Eu precisava de duas baterias por causa de memória curta. Dois grande trabalho - um é de 90 minutos, os outros 160 minutos.</v>
      </c>
      <c r="B31233" s="3">
        <v>0</v>
      </c>
    </row>
    <row r="31234" ht="15.75" customHeight="1" spans="1:2">
      <c r="A31234" s="3" t="str">
        <f>IFERROR(__xludf.DUMMYFUNCTION("GOOGLETRANSLATE(A31234,""en"",""pt"")"),"Nenhum")</f>
        <v>Nenhum</v>
      </c>
      <c r="B31234" s="3">
        <v>0</v>
      </c>
    </row>
    <row r="31235" ht="15.75" customHeight="1" spans="1:2">
      <c r="A31235" s="3" t="str">
        <f>IFERROR(__xludf.DUMMYFUNCTION("GOOGLETRANSLATE(A31235,""en"",""pt"")"),"Big, Pictures Granulado")</f>
        <v>Big, Pictures Granulado</v>
      </c>
      <c r="B31235" s="3">
        <v>0</v>
      </c>
    </row>
    <row r="31236" ht="15.75" customHeight="1" spans="1:2">
      <c r="A31236" s="3" t="str">
        <f>IFERROR(__xludf.DUMMYFUNCTION("GOOGLETRANSLATE(A31236,""en"",""pt"")"),"Discos preencher rapidamente, difícil de usar na luz solar brilhante")</f>
        <v>Discos preencher rapidamente, difícil de usar na luz solar brilhante</v>
      </c>
      <c r="B31236" s="3">
        <v>0</v>
      </c>
    </row>
    <row r="31237" ht="15.75" customHeight="1" spans="1:2">
      <c r="A31237" s="3" t="str">
        <f>IFERROR(__xludf.DUMMYFUNCTION("GOOGLETRANSLATE(A31237,""en"",""pt"")"),"Caro.")</f>
        <v>Caro.</v>
      </c>
      <c r="B31237" s="3">
        <v>0</v>
      </c>
    </row>
    <row r="31238" ht="15.75" customHeight="1" spans="1:2">
      <c r="A31238" s="3" t="str">
        <f>IFERROR(__xludf.DUMMYFUNCTION("GOOGLETRANSLATE(A31238,""en"",""pt"")"),"baixo zoom óptico")</f>
        <v>baixo zoom óptico</v>
      </c>
      <c r="B31238" s="3">
        <v>0</v>
      </c>
    </row>
    <row r="31239" ht="15.75" customHeight="1" spans="1:2">
      <c r="A31239" s="3" t="str">
        <f>IFERROR(__xludf.DUMMYFUNCTION("GOOGLETRANSLATE(A31239,""en"",""pt"")"),"Caro, Só 1,44 em cada disquete")</f>
        <v>Caro, Só 1,44 em cada disquete</v>
      </c>
      <c r="B31239" s="3">
        <v>0</v>
      </c>
    </row>
    <row r="31240" ht="15.75" customHeight="1" spans="1:2">
      <c r="A31240" s="3" t="str">
        <f>IFERROR(__xludf.DUMMYFUNCTION("GOOGLETRANSLATE(A31240,""en"",""pt"")"),"funções de avanço pode ser complicado, revelação de fotos.")</f>
        <v>funções de avanço pode ser complicado, revelação de fotos.</v>
      </c>
      <c r="B31240" s="3">
        <v>0</v>
      </c>
    </row>
    <row r="31241" ht="15.75" customHeight="1" spans="1:2">
      <c r="A31241" s="3" t="str">
        <f>IFERROR(__xludf.DUMMYFUNCTION("GOOGLETRANSLATE(A31241,""en"",""pt"")"),"Grande e complexa. Floppy só aceita algumas imagens de alta resolução.")</f>
        <v>Grande e complexa. Floppy só aceita algumas imagens de alta resolução.</v>
      </c>
      <c r="B31241" s="3">
        <v>0</v>
      </c>
    </row>
    <row r="31242" ht="15.75" customHeight="1" spans="1:2">
      <c r="A31242" s="3" t="str">
        <f>IFERROR(__xludf.DUMMYFUNCTION("GOOGLETRANSLATE(A31242,""en"",""pt"")"),"Gostaria de uma lente teleobjetiva.")</f>
        <v>Gostaria de uma lente teleobjetiva.</v>
      </c>
      <c r="B31242" s="3">
        <v>0</v>
      </c>
    </row>
    <row r="31243" ht="15.75" customHeight="1" spans="1:2">
      <c r="A31243" s="3" t="str">
        <f>IFERROR(__xludf.DUMMYFUNCTION("GOOGLETRANSLATE(A31243,""en"",""pt"")"),"Só permite 6 fotos de qualidade por disquete, apenas uma única 15 segundo filme.")</f>
        <v>Só permite 6 fotos de qualidade por disquete, apenas uma única 15 segundo filme.</v>
      </c>
      <c r="B31243" s="3">
        <v>0</v>
      </c>
    </row>
    <row r="31244" ht="15.75" customHeight="1" spans="1:2">
      <c r="A31244" s="3" t="str">
        <f>IFERROR(__xludf.DUMMYFUNCTION("GOOGLETRANSLATE(A31244,""en"",""pt"")"),"Esta é fácil, o preço.")</f>
        <v>Esta é fácil, o preço.</v>
      </c>
      <c r="B31244" s="3">
        <v>0</v>
      </c>
    </row>
    <row r="31245" ht="15.75" customHeight="1" spans="1:2">
      <c r="A31245" s="3" t="str">
        <f>IFERROR(__xludf.DUMMYFUNCTION("GOOGLETRANSLATE(A31245,""en"",""pt"")"),"vida útil da bateria limitada.")</f>
        <v>vida útil da bateria limitada.</v>
      </c>
      <c r="B31245" s="3">
        <v>0</v>
      </c>
    </row>
    <row r="31246" ht="15.75" customHeight="1" spans="1:2">
      <c r="A31246" s="3" t="str">
        <f>IFERROR(__xludf.DUMMYFUNCTION("GOOGLETRANSLATE(A31246,""en"",""pt"")"),"No cartão de memória. adaptador de cartão de memória faz com que muito lag em tempos de armazenamento.")</f>
        <v>No cartão de memória. adaptador de cartão de memória faz com que muito lag em tempos de armazenamento.</v>
      </c>
      <c r="B31246" s="3">
        <v>0</v>
      </c>
    </row>
    <row r="31247" ht="15.75" customHeight="1" spans="1:2">
      <c r="A31247" s="3" t="str">
        <f>IFERROR(__xludf.DUMMYFUNCTION("GOOGLETRANSLATE(A31247,""en"",""pt"")"),"Pode excitar desdém de observors mas o que mais pode durar 10 anos? 35MM?")</f>
        <v>Pode excitar desdém de observors mas o que mais pode durar 10 anos? 35MM?</v>
      </c>
      <c r="B31247" s="3">
        <v>0</v>
      </c>
    </row>
    <row r="31248" ht="15.75" customHeight="1" spans="1:2">
      <c r="A31248" s="3" t="str">
        <f>IFERROR(__xludf.DUMMYFUNCTION("GOOGLETRANSLATE(A31248,""en"",""pt"")"),"Precisa de uma boa impressora &amp; amp; amp; os vídeos não Play no Windows")</f>
        <v>Precisa de uma boa impressora &amp; amp; amp; os vídeos não Play no Windows</v>
      </c>
      <c r="B31248" s="3">
        <v>0</v>
      </c>
    </row>
    <row r="31249" ht="15.75" customHeight="1" spans="1:2">
      <c r="A31249" s="3" t="str">
        <f>IFERROR(__xludf.DUMMYFUNCTION("GOOGLETRANSLATE(A31249,""en"",""pt"")"),"Nenhum mesmo")</f>
        <v>Nenhum mesmo</v>
      </c>
      <c r="B31249" s="3">
        <v>0</v>
      </c>
    </row>
    <row r="31250" ht="15.75" customHeight="1" spans="1:2">
      <c r="A31250" s="3" t="str">
        <f>IFERROR(__xludf.DUMMYFUNCTION("GOOGLETRANSLATE(A31250,""en"",""pt"")"),"Não tanto de armazenamento como uma câmera comparável com cartão de memória interna / removível.")</f>
        <v>Não tanto de armazenamento como uma câmera comparável com cartão de memória interna / removível.</v>
      </c>
      <c r="B31250" s="3">
        <v>0</v>
      </c>
    </row>
    <row r="31251" ht="15.75" customHeight="1" spans="1:2">
      <c r="A31251" s="3" t="str">
        <f>IFERROR(__xludf.DUMMYFUNCTION("GOOGLETRANSLATE(A31251,""en"",""pt"")"),"display pode ser difícil de ver na luz solar")</f>
        <v>display pode ser difícil de ver na luz solar</v>
      </c>
      <c r="B31251" s="3">
        <v>0</v>
      </c>
    </row>
    <row r="31252" ht="15.75" customHeight="1" spans="1:2">
      <c r="A31252" s="3" t="str">
        <f>IFERROR(__xludf.DUMMYFUNCTION("GOOGLETRANSLATE(A31252,""en"",""pt"")"),"Zoom / grande angular, obturador atrasado, a vida da bateria")</f>
        <v>Zoom / grande angular, obturador atrasado, a vida da bateria</v>
      </c>
      <c r="B31252" s="3">
        <v>0</v>
      </c>
    </row>
    <row r="31253" ht="15.75" customHeight="1" spans="1:2">
      <c r="A31253" s="3" t="str">
        <f>IFERROR(__xludf.DUMMYFUNCTION("GOOGLETRANSLATE(A31253,""en"",""pt"")"),"Sem 800x600, apenas seis imagens por disco")</f>
        <v>Sem 800x600, apenas seis imagens por disco</v>
      </c>
      <c r="B31253" s="3">
        <v>0</v>
      </c>
    </row>
    <row r="31254" ht="15.75" customHeight="1" spans="1:2">
      <c r="A31254" s="3" t="str">
        <f>IFERROR(__xludf.DUMMYFUNCTION("GOOGLETRANSLATE(A31254,""en"",""pt"")"),"Atraso na captura, sem carregador separado")</f>
        <v>Atraso na captura, sem carregador separado</v>
      </c>
      <c r="B31254" s="3">
        <v>0</v>
      </c>
    </row>
    <row r="31255" ht="15.75" customHeight="1" spans="1:2">
      <c r="A31255" s="3" t="str">
        <f>IFERROR(__xludf.DUMMYFUNCTION("GOOGLETRANSLATE(A31255,""en"",""pt"")"),"Menos guloseimas do que MVC-FD90")</f>
        <v>Menos guloseimas do que MVC-FD90</v>
      </c>
      <c r="B31255" s="3">
        <v>0</v>
      </c>
    </row>
    <row r="31256" ht="15.75" customHeight="1" spans="1:2">
      <c r="A31256" s="3" t="str">
        <f>IFERROR(__xludf.DUMMYFUNCTION("GOOGLETRANSLATE(A31256,""en"",""pt"")"),"tecnologia arriscada")</f>
        <v>tecnologia arriscada</v>
      </c>
      <c r="B31256" s="3">
        <v>0</v>
      </c>
    </row>
    <row r="31257" ht="15.75" customHeight="1" spans="1:2">
      <c r="A31257" s="3" t="str">
        <f>IFERROR(__xludf.DUMMYFUNCTION("GOOGLETRANSLATE(A31257,""en"",""pt"")"),"cores estão distorcidos")</f>
        <v>cores estão distorcidos</v>
      </c>
      <c r="B31257" s="3">
        <v>0</v>
      </c>
    </row>
    <row r="31258" ht="15.75" customHeight="1" spans="1:2">
      <c r="A31258" s="3" t="str">
        <f>IFERROR(__xludf.DUMMYFUNCTION("GOOGLETRANSLATE(A31258,""en"",""pt"")"),"a vida da bateria poderia ser maior")</f>
        <v>a vida da bateria poderia ser maior</v>
      </c>
      <c r="B31258" s="3">
        <v>0</v>
      </c>
    </row>
    <row r="31259" ht="15.75" customHeight="1" spans="1:2">
      <c r="A31259" s="3" t="str">
        <f>IFERROR(__xludf.DUMMYFUNCTION("GOOGLETRANSLATE(A31259,""en"",""pt"")"),"Muito lento pode Shots perder nenhuma ação do obturador")</f>
        <v>Muito lento pode Shots perder nenhuma ação do obturador</v>
      </c>
      <c r="B31259" s="3">
        <v>0</v>
      </c>
    </row>
    <row r="31260" ht="15.75" customHeight="1" spans="1:2">
      <c r="A31260" s="3" t="str">
        <f>IFERROR(__xludf.DUMMYFUNCTION("GOOGLETRANSLATE(A31260,""en"",""pt"")"),"não irá gravar fontes pontuais extremamente fracos que são facilmente visíveis ao olho humano.")</f>
        <v>não irá gravar fontes pontuais extremamente fracos que são facilmente visíveis ao olho humano.</v>
      </c>
      <c r="B31260" s="3">
        <v>0</v>
      </c>
    </row>
    <row r="31261" ht="15.75" customHeight="1" spans="1:2">
      <c r="A31261" s="3" t="str">
        <f>IFERROR(__xludf.DUMMYFUNCTION("GOOGLETRANSLATE(A31261,""en"",""pt"")"),"Um pouco pesado, tampa da lente no caminho o tempo todo")</f>
        <v>Um pouco pesado, tampa da lente no caminho o tempo todo</v>
      </c>
      <c r="B31261" s="3">
        <v>0</v>
      </c>
    </row>
    <row r="31262" ht="15.75" customHeight="1" spans="1:2">
      <c r="A31262" s="3" t="str">
        <f>IFERROR(__xludf.DUMMYFUNCTION("GOOGLETRANSLATE(A31262,""en"",""pt"")"),"tela de LCD fica impressões digitais facilmente, pode ser um pouco caro.")</f>
        <v>tela de LCD fica impressões digitais facilmente, pode ser um pouco caro.</v>
      </c>
      <c r="B31262" s="3">
        <v>0</v>
      </c>
    </row>
    <row r="31263" ht="15.75" customHeight="1" spans="1:2">
      <c r="A31263" s="3" t="str">
        <f>IFERROR(__xludf.DUMMYFUNCTION("GOOGLETRANSLATE(A31263,""en"",""pt"")"),"Caros, grandes e volumosos")</f>
        <v>Caros, grandes e volumosos</v>
      </c>
      <c r="B31263" s="3">
        <v>0</v>
      </c>
    </row>
    <row r="31264" ht="15.75" customHeight="1" spans="1:2">
      <c r="A31264" s="3" t="str">
        <f>IFERROR(__xludf.DUMMYFUNCTION("GOOGLETRANSLATE(A31264,""en"",""pt"")"),"desejo que eu comprei mais cedo")</f>
        <v>desejo que eu comprei mais cedo</v>
      </c>
      <c r="B31264" s="3">
        <v>0</v>
      </c>
    </row>
    <row r="31265" ht="15.75" customHeight="1" spans="1:2">
      <c r="A31265" s="3" t="str">
        <f>IFERROR(__xludf.DUMMYFUNCTION("GOOGLETRANSLATE(A31265,""en"",""pt"")"),"Dosen't tirar fotos de ação, nenhuma lente telefoto disponível.")</f>
        <v>Dosen't tirar fotos de ação, nenhuma lente telefoto disponível.</v>
      </c>
      <c r="B31265" s="3">
        <v>0</v>
      </c>
    </row>
    <row r="31266" ht="15.75" customHeight="1" spans="1:2">
      <c r="A31266" s="3" t="str">
        <f>IFERROR(__xludf.DUMMYFUNCTION("GOOGLETRANSLATE(A31266,""en"",""pt"")"),"Tamanho, tremores em zoom total")</f>
        <v>Tamanho, tremores em zoom total</v>
      </c>
      <c r="B31266" s="3">
        <v>0</v>
      </c>
    </row>
    <row r="31267" ht="15.75" customHeight="1" spans="1:2">
      <c r="A31267" s="3" t="str">
        <f>IFERROR(__xludf.DUMMYFUNCTION("GOOGLETRANSLATE(A31267,""en"",""pt"")"),"Alto preço pode empurrar os consumidores para modelos menos caros.")</f>
        <v>Alto preço pode empurrar os consumidores para modelos menos caros.</v>
      </c>
      <c r="B31267" s="3">
        <v>0</v>
      </c>
    </row>
    <row r="31268" ht="15.75" customHeight="1" spans="1:2">
      <c r="A31268" s="3" t="str">
        <f>IFERROR(__xludf.DUMMYFUNCTION("GOOGLETRANSLATE(A31268,""en"",""pt"")"),"Maior custo VAREJO")</f>
        <v>Maior custo VAREJO</v>
      </c>
      <c r="B31268" s="3">
        <v>0</v>
      </c>
    </row>
    <row r="31269" ht="15.75" customHeight="1" spans="1:2">
      <c r="A31269" s="3" t="str">
        <f>IFERROR(__xludf.DUMMYFUNCTION("GOOGLETRANSLATE(A31269,""en"",""pt"")"),"Difícil de segurar ainda ... Isso só poderia ser eu.")</f>
        <v>Difícil de segurar ainda ... Isso só poderia ser eu.</v>
      </c>
      <c r="B31269" s="3">
        <v>0</v>
      </c>
    </row>
    <row r="31270" ht="15.75" customHeight="1" spans="1:2">
      <c r="A31270" s="3" t="str">
        <f>IFERROR(__xludf.DUMMYFUNCTION("GOOGLETRANSLATE(A31270,""en"",""pt"")"),"um pouco volumoso, o painel LCD é difícil de ver sob luz forte")</f>
        <v>um pouco volumoso, o painel LCD é difícil de ver sob luz forte</v>
      </c>
      <c r="B31270" s="3">
        <v>0</v>
      </c>
    </row>
    <row r="31271" ht="15.75" customHeight="1" spans="1:2">
      <c r="A31271" s="3" t="str">
        <f>IFERROR(__xludf.DUMMYFUNCTION("GOOGLETRANSLATE(A31271,""en"",""pt"")"),"Nenhum")</f>
        <v>Nenhum</v>
      </c>
      <c r="B31271" s="3">
        <v>0</v>
      </c>
    </row>
    <row r="31272" ht="15.75" customHeight="1" spans="1:2">
      <c r="A31272" s="3" t="str">
        <f>IFERROR(__xludf.DUMMYFUNCTION("GOOGLETRANSLATE(A31272,""en"",""pt"")"),"Grande-ish")</f>
        <v>Grande-ish</v>
      </c>
      <c r="B31272" s="3">
        <v>0</v>
      </c>
    </row>
    <row r="31273" ht="15.75" customHeight="1" spans="1:2">
      <c r="A31273" s="3" t="str">
        <f>IFERROR(__xludf.DUMMYFUNCTION("GOOGLETRANSLATE(A31273,""en"",""pt"")"),"A vida da bateria poderia ser maior")</f>
        <v>A vida da bateria poderia ser maior</v>
      </c>
      <c r="B31273" s="3">
        <v>0</v>
      </c>
    </row>
    <row r="31274" ht="15.75" customHeight="1" spans="1:2">
      <c r="A31274" s="3" t="str">
        <f>IFERROR(__xludf.DUMMYFUNCTION("GOOGLETRANSLATE(A31274,""en"",""pt"")"),"má concepção do produto")</f>
        <v>má concepção do produto</v>
      </c>
      <c r="B31274" s="3">
        <v>0</v>
      </c>
    </row>
    <row r="31275" ht="15.75" customHeight="1" spans="1:2">
      <c r="A31275" s="3" t="str">
        <f>IFERROR(__xludf.DUMMYFUNCTION("GOOGLETRANSLATE(A31275,""en"",""pt"")"),"velocidade de armazenamento de imagem (lenta), a velocidade de focagem automática (lento)")</f>
        <v>velocidade de armazenamento de imagem (lenta), a velocidade de focagem automática (lento)</v>
      </c>
      <c r="B31275" s="3">
        <v>0</v>
      </c>
    </row>
    <row r="31276" ht="15.75" customHeight="1" spans="1:2">
      <c r="A31276" s="3" t="str">
        <f>IFERROR(__xludf.DUMMYFUNCTION("GOOGLETRANSLATE(A31276,""en"",""pt"")"),"o visor pode ser difícil de usar em luz solar direta")</f>
        <v>o visor pode ser difícil de usar em luz solar direta</v>
      </c>
      <c r="B31276" s="3">
        <v>0</v>
      </c>
    </row>
    <row r="31277" ht="15.75" customHeight="1" spans="1:2">
      <c r="A31277" s="3" t="str">
        <f>IFERROR(__xludf.DUMMYFUNCTION("GOOGLETRANSLATE(A31277,""en"",""pt"")"),"Floppy Adapter Disk NÃO DISPONÍVEL")</f>
        <v>Floppy Adapter Disk NÃO DISPONÍVEL</v>
      </c>
      <c r="B31277" s="3">
        <v>0</v>
      </c>
    </row>
    <row r="31278" ht="15.75" customHeight="1" spans="1:2">
      <c r="A31278" s="3" t="str">
        <f>IFERROR(__xludf.DUMMYFUNCTION("GOOGLETRANSLATE(A31278,""en"",""pt"")"),"gravação lento em disquete, controle de foco, redução de olhos vermelhos, o custo")</f>
        <v>gravação lento em disquete, controle de foco, redução de olhos vermelhos, o custo</v>
      </c>
      <c r="B31278" s="3">
        <v>0</v>
      </c>
    </row>
    <row r="31279" ht="15.75" customHeight="1" spans="1:2">
      <c r="A31279" s="3" t="str">
        <f>IFERROR(__xludf.DUMMYFUNCTION("GOOGLETRANSLATE(A31279,""en"",""pt"")"),"Caro")</f>
        <v>Caro</v>
      </c>
      <c r="B31279" s="3">
        <v>0</v>
      </c>
    </row>
    <row r="31280" ht="15.75" customHeight="1" spans="1:2">
      <c r="A31280" s="3" t="str">
        <f>IFERROR(__xludf.DUMMYFUNCTION("GOOGLETRANSLATE(A31280,""en"",""pt"")"),"Um atraso no obturador piscar de olhos. Esperando por ele para o arranque.")</f>
        <v>Um atraso no obturador piscar de olhos. Esperando por ele para o arranque.</v>
      </c>
      <c r="B31280" s="3">
        <v>0</v>
      </c>
    </row>
    <row r="31281" ht="15.75" customHeight="1" spans="1:2">
      <c r="A31281" s="3" t="str">
        <f>IFERROR(__xludf.DUMMYFUNCTION("GOOGLETRANSLATE(A31281,""en"",""pt"")"),"O preço!")</f>
        <v>O preço!</v>
      </c>
      <c r="B31281" s="3">
        <v>0</v>
      </c>
    </row>
    <row r="31282" ht="15.75" customHeight="1" spans="1:2">
      <c r="A31282" s="3" t="str">
        <f>IFERROR(__xludf.DUMMYFUNCTION("GOOGLETRANSLATE(A31282,""en"",""pt"")"),"PREÇO!")</f>
        <v>PREÇO!</v>
      </c>
      <c r="B31282" s="3">
        <v>0</v>
      </c>
    </row>
    <row r="31283" ht="15.75" customHeight="1" spans="1:2">
      <c r="A31283" s="3" t="str">
        <f>IFERROR(__xludf.DUMMYFUNCTION("GOOGLETRANSLATE(A31283,""en"",""pt"")"),"Nada")</f>
        <v>Nada</v>
      </c>
      <c r="B31283" s="3">
        <v>0</v>
      </c>
    </row>
    <row r="31284" ht="15.75" customHeight="1" spans="1:2">
      <c r="A31284" s="3" t="str">
        <f>IFERROR(__xludf.DUMMYFUNCTION("GOOGLETRANSLATE(A31284,""en"",""pt"")"),"Não view finder")</f>
        <v>Não view finder</v>
      </c>
      <c r="B31284" s="3">
        <v>0</v>
      </c>
    </row>
    <row r="31285" ht="15.75" customHeight="1" spans="1:2">
      <c r="A31285" s="3" t="str">
        <f>IFERROR(__xludf.DUMMYFUNCTION("GOOGLETRANSLATE(A31285,""en"",""pt"")"),"Um pouco caro, manual é terrível")</f>
        <v>Um pouco caro, manual é terrível</v>
      </c>
      <c r="B31285" s="3">
        <v>0</v>
      </c>
    </row>
    <row r="31286" ht="15.75" customHeight="1" spans="1:2">
      <c r="A31286" s="3" t="str">
        <f>IFERROR(__xludf.DUMMYFUNCTION("GOOGLETRANSLATE(A31286,""en"",""pt"")"),"Resolução / pode ser um pouco caro para o não-pro")</f>
        <v>Resolução / pode ser um pouco caro para o não-pro</v>
      </c>
      <c r="B31286" s="3">
        <v>0</v>
      </c>
    </row>
    <row r="31287" ht="15.75" customHeight="1" spans="1:2">
      <c r="A31287" s="3" t="str">
        <f>IFERROR(__xludf.DUMMYFUNCTION("GOOGLETRANSLATE(A31287,""en"",""pt"")"),"Falta de espaço em disco interno")</f>
        <v>Falta de espaço em disco interno</v>
      </c>
      <c r="B31287" s="3">
        <v>0</v>
      </c>
    </row>
    <row r="31288" ht="15.75" customHeight="1" spans="1:2">
      <c r="A31288" s="3" t="str">
        <f>IFERROR(__xludf.DUMMYFUNCTION("GOOGLETRANSLATE(A31288,""en"",""pt"")"),"No caso de transporte")</f>
        <v>No caso de transporte</v>
      </c>
      <c r="B31288" s="3">
        <v>0</v>
      </c>
    </row>
    <row r="31289" ht="15.75" customHeight="1" spans="1:2">
      <c r="A31289" s="3" t="str">
        <f>IFERROR(__xludf.DUMMYFUNCTION("GOOGLETRANSLATE(A31289,""en"",""pt"")"),"o que salva no disco e que impressões são muito diferentes, preço")</f>
        <v>o que salva no disco e que impressões são muito diferentes, preço</v>
      </c>
      <c r="B31289" s="3">
        <v>0</v>
      </c>
    </row>
    <row r="31290" ht="15.75" customHeight="1" spans="1:2">
      <c r="A31290" s="3" t="str">
        <f>IFERROR(__xludf.DUMMYFUNCTION("GOOGLETRANSLATE(A31290,""en"",""pt"")"),"Acessórios difíceis de encontrar")</f>
        <v>Acessórios difíceis de encontrar</v>
      </c>
      <c r="B31290" s="3">
        <v>0</v>
      </c>
    </row>
    <row r="31291" ht="15.75" customHeight="1" spans="1:2">
      <c r="A31291" s="3" t="str">
        <f>IFERROR(__xludf.DUMMYFUNCTION("GOOGLETRANSLATE(A31291,""en"",""pt"")"),"Tamanho embora não seja realmente um grande con")</f>
        <v>Tamanho embora não seja realmente um grande con</v>
      </c>
      <c r="B31291" s="3">
        <v>0</v>
      </c>
    </row>
    <row r="31292" ht="15.75" customHeight="1" spans="1:2">
      <c r="A31292" s="3" t="str">
        <f>IFERROR(__xludf.DUMMYFUNCTION("GOOGLETRANSLATE(A31292,""en"",""pt"")"),"A vida da bateria só é bom para 75 minutos de filmagem. Uma vez que eu comecei, eu queria continuar!")</f>
        <v>A vida da bateria só é bom para 75 minutos de filmagem. Uma vez que eu comecei, eu queria continuar!</v>
      </c>
      <c r="B31292" s="3">
        <v>0</v>
      </c>
    </row>
    <row r="31293" ht="15.75" customHeight="1" spans="1:2">
      <c r="A31293" s="3" t="str">
        <f>IFERROR(__xludf.DUMMYFUNCTION("GOOGLETRANSLATE(A31293,""en"",""pt"")"),"só pode obter 4-5 imagens por disco")</f>
        <v>só pode obter 4-5 imagens por disco</v>
      </c>
      <c r="B31293" s="3">
        <v>0</v>
      </c>
    </row>
    <row r="31294" ht="15.75" customHeight="1" spans="1:2">
      <c r="A31294" s="3" t="str">
        <f>IFERROR(__xludf.DUMMYFUNCTION("GOOGLETRANSLATE(A31294,""en"",""pt"")"),"disquete não espera que muitas fotos com uma resolução alta")</f>
        <v>disquete não espera que muitas fotos com uma resolução alta</v>
      </c>
      <c r="B31294" s="3">
        <v>0</v>
      </c>
    </row>
    <row r="31295" ht="15.75" customHeight="1" spans="1:2">
      <c r="A31295" s="3" t="str">
        <f>IFERROR(__xludf.DUMMYFUNCTION("GOOGLETRANSLATE(A31295,""en"",""pt"")"),"ênfase em azuis &amp; amp; amp; verduras")</f>
        <v>ênfase em azuis &amp; amp; amp; verduras</v>
      </c>
      <c r="B31295" s="3">
        <v>0</v>
      </c>
    </row>
    <row r="31296" ht="15.75" customHeight="1" spans="1:2">
      <c r="A31296" s="3" t="str">
        <f>IFERROR(__xludf.DUMMYFUNCTION("GOOGLETRANSLATE(A31296,""en"",""pt"")"),"imagem de qualidade média antes de realce")</f>
        <v>imagem de qualidade média antes de realce</v>
      </c>
      <c r="B31296" s="3">
        <v>0</v>
      </c>
    </row>
    <row r="31297" ht="15.75" customHeight="1" spans="1:2">
      <c r="A31297" s="3" t="str">
        <f>IFERROR(__xludf.DUMMYFUNCTION("GOOGLETRANSLATE(A31297,""en"",""pt"")"),"Todo mundo quer tomá-lo emprestado.")</f>
        <v>Todo mundo quer tomá-lo emprestado.</v>
      </c>
      <c r="B31297" s="3">
        <v>0</v>
      </c>
    </row>
    <row r="31298" ht="15.75" customHeight="1" spans="1:2">
      <c r="A31298" s="3" t="str">
        <f>IFERROR(__xludf.DUMMYFUNCTION("GOOGLETRANSLATE(A31298,""en"",""pt"")"),"Caro, com fome de poder")</f>
        <v>Caro, com fome de poder</v>
      </c>
      <c r="B31298" s="3">
        <v>0</v>
      </c>
    </row>
    <row r="31299" ht="15.75" customHeight="1" spans="1:2">
      <c r="A31299" s="3" t="str">
        <f>IFERROR(__xludf.DUMMYFUNCTION("GOOGLETRANSLATE(A31299,""en"",""pt"")"),"capacidade de imagem / storage, nem visor óptico.")</f>
        <v>capacidade de imagem / storage, nem visor óptico.</v>
      </c>
      <c r="B31299" s="3">
        <v>0</v>
      </c>
    </row>
    <row r="31300" ht="15.75" customHeight="1" spans="1:2">
      <c r="A31300" s="3" t="str">
        <f>IFERROR(__xludf.DUMMYFUNCTION("GOOGLETRANSLATE(A31300,""en"",""pt"")"),"nenhum para os meus propósitos")</f>
        <v>nenhum para os meus propósitos</v>
      </c>
      <c r="B31300" s="3">
        <v>0</v>
      </c>
    </row>
    <row r="31301" ht="15.75" customHeight="1" spans="1:2">
      <c r="A31301" s="3" t="str">
        <f>IFERROR(__xludf.DUMMYFUNCTION("GOOGLETRANSLATE(A31301,""en"",""pt"")"),"Sem cobertura de tela na câmera")</f>
        <v>Sem cobertura de tela na câmera</v>
      </c>
      <c r="B31301" s="3">
        <v>0</v>
      </c>
    </row>
    <row r="31302" ht="15.75" customHeight="1" spans="1:2">
      <c r="A31302" s="3" t="str">
        <f>IFERROR(__xludf.DUMMYFUNCTION("GOOGLETRANSLATE(A31302,""en"",""pt"")"),"Despesa")</f>
        <v>Despesa</v>
      </c>
      <c r="B31302" s="3">
        <v>0</v>
      </c>
    </row>
    <row r="31303" ht="15.75" customHeight="1" spans="1:2">
      <c r="A31303" s="3" t="str">
        <f>IFERROR(__xludf.DUMMYFUNCTION("GOOGLETRANSLATE(A31303,""en"",""pt"")"),"o preço (você tem que pagar para uma boa qualidade)")</f>
        <v>o preço (você tem que pagar para uma boa qualidade)</v>
      </c>
      <c r="B31303" s="3">
        <v>0</v>
      </c>
    </row>
    <row r="31304" ht="15.75" customHeight="1" spans="1:2">
      <c r="A31304" s="3" t="str">
        <f>IFERROR(__xludf.DUMMYFUNCTION("GOOGLETRANSLATE(A31304,""en"",""pt"")"),"Nenhum")</f>
        <v>Nenhum</v>
      </c>
      <c r="B31304" s="3">
        <v>0</v>
      </c>
    </row>
    <row r="31305" ht="15.75" customHeight="1" spans="1:2">
      <c r="A31305" s="3" t="str">
        <f>IFERROR(__xludf.DUMMYFUNCTION("GOOGLETRANSLATE(A31305,""en"",""pt"")"),"botões e controles são pequenos e difíceis de ler. slides complicado e função de movimento não é necessário para facilidade de uso.")</f>
        <v>botões e controles são pequenos e difíceis de ler. slides complicado e função de movimento não é necessário para facilidade de uso.</v>
      </c>
      <c r="B31305" s="3">
        <v>0</v>
      </c>
    </row>
    <row r="31306" ht="15.75" customHeight="1" spans="1:2">
      <c r="A31306" s="3" t="str">
        <f>IFERROR(__xludf.DUMMYFUNCTION("GOOGLETRANSLATE(A31306,""en"",""pt"")"),"não um")</f>
        <v>não um</v>
      </c>
      <c r="B31306" s="3">
        <v>0</v>
      </c>
    </row>
    <row r="31307" ht="15.75" customHeight="1" spans="1:2">
      <c r="A31307" s="3" t="str">
        <f>IFERROR(__xludf.DUMMYFUNCTION("GOOGLETRANSLATE(A31307,""en"",""pt"")"),"Não vai demorar Supre finas fotos")</f>
        <v>Não vai demorar Supre finas fotos</v>
      </c>
      <c r="B31307" s="3">
        <v>0</v>
      </c>
    </row>
    <row r="31308" ht="15.75" customHeight="1" spans="1:2">
      <c r="A31308" s="3" t="str">
        <f>IFERROR(__xludf.DUMMYFUNCTION("GOOGLETRANSLATE(A31308,""en"",""pt"")"),"Ainda um pouco caro")</f>
        <v>Ainda um pouco caro</v>
      </c>
      <c r="B31308" s="3">
        <v>0</v>
      </c>
    </row>
    <row r="31309" ht="15.75" customHeight="1" spans="1:2">
      <c r="A31309" s="3" t="str">
        <f>IFERROR(__xludf.DUMMYFUNCTION("GOOGLETRANSLATE(A31309,""en"",""pt"")"),"falta de equilíbrio Branco sobre fotos em ambientes fechados")</f>
        <v>falta de equilíbrio Branco sobre fotos em ambientes fechados</v>
      </c>
      <c r="B31309" s="3">
        <v>0</v>
      </c>
    </row>
    <row r="31310" ht="15.75" customHeight="1" spans="1:2">
      <c r="A31310" s="3" t="str">
        <f>IFERROR(__xludf.DUMMYFUNCTION("GOOGLETRANSLATE(A31310,""en"",""pt"")"),"um pouco grande, mas vale a pena para salvar em disquetes")</f>
        <v>um pouco grande, mas vale a pena para salvar em disquetes</v>
      </c>
      <c r="B31310" s="3">
        <v>0</v>
      </c>
    </row>
    <row r="31311" ht="15.75" customHeight="1" spans="1:2">
      <c r="A31311" s="3" t="str">
        <f>IFERROR(__xludf.DUMMYFUNCTION("GOOGLETRANSLATE(A31311,""en"",""pt"")"),"Não existem CONS !!!!!!!!!!!!! sobre esse produto é fácil de usar e leva imagens de alta qualidade")</f>
        <v>Não existem CONS !!!!!!!!!!!!! sobre esse produto é fácil de usar e leva imagens de alta qualidade</v>
      </c>
      <c r="B31311" s="3">
        <v>0</v>
      </c>
    </row>
    <row r="31312" ht="15.75" customHeight="1" spans="1:2">
      <c r="A31312" s="3" t="str">
        <f>IFERROR(__xludf.DUMMYFUNCTION("GOOGLETRANSLATE(A31312,""en"",""pt"")"),"Tamanho, Preço")</f>
        <v>Tamanho, Preço</v>
      </c>
      <c r="B31312" s="3">
        <v>0</v>
      </c>
    </row>
    <row r="31313" ht="15.75" customHeight="1" spans="1:2">
      <c r="A31313" s="3" t="str">
        <f>IFERROR(__xludf.DUMMYFUNCTION("GOOGLETRANSLATE(A31313,""en"",""pt"")"),"Nenhum")</f>
        <v>Nenhum</v>
      </c>
      <c r="B31313" s="3">
        <v>0</v>
      </c>
    </row>
    <row r="31314" ht="15.75" customHeight="1" spans="1:2">
      <c r="A31314" s="3" t="str">
        <f>IFERROR(__xludf.DUMMYFUNCTION("GOOGLETRANSLATE(A31314,""en"",""pt"")"),"caro, mas vale o dinheiro, problema com olhos vermelhos")</f>
        <v>caro, mas vale o dinheiro, problema com olhos vermelhos</v>
      </c>
      <c r="B31314" s="3">
        <v>0</v>
      </c>
    </row>
    <row r="31315" ht="15.75" customHeight="1" spans="1:2">
      <c r="A31315" s="3" t="str">
        <f>IFERROR(__xludf.DUMMYFUNCTION("GOOGLETRANSLATE(A31315,""en"",""pt"")"),"Apenas 4 imagens por disco em maior res")</f>
        <v>Apenas 4 imagens por disco em maior res</v>
      </c>
      <c r="B31315" s="3">
        <v>0</v>
      </c>
    </row>
    <row r="31316" ht="15.75" customHeight="1" spans="1:2">
      <c r="A31316" s="3" t="str">
        <f>IFERROR(__xludf.DUMMYFUNCTION("GOOGLETRANSLATE(A31316,""en"",""pt"")"),"baixa resolução de tela LCD, o tamanho")</f>
        <v>baixa resolução de tela LCD, o tamanho</v>
      </c>
      <c r="B31316" s="3">
        <v>0</v>
      </c>
    </row>
    <row r="31317" ht="15.75" customHeight="1" spans="1:2">
      <c r="A31317" s="3" t="str">
        <f>IFERROR(__xludf.DUMMYFUNCTION("GOOGLETRANSLATE(A31317,""en"",""pt"")"),"Nenhum")</f>
        <v>Nenhum</v>
      </c>
      <c r="B31317" s="3">
        <v>0</v>
      </c>
    </row>
    <row r="31318" ht="15.75" customHeight="1" spans="1:2">
      <c r="A31318" s="3" t="str">
        <f>IFERROR(__xludf.DUMMYFUNCTION("GOOGLETRANSLATE(A31318,""en"",""pt"")"),"sem vista óptico localizador")</f>
        <v>sem vista óptico localizador</v>
      </c>
      <c r="B31318" s="3">
        <v>0</v>
      </c>
    </row>
    <row r="31319" ht="15.75" customHeight="1" spans="1:2">
      <c r="A31319" s="3" t="str">
        <f>IFERROR(__xludf.DUMMYFUNCTION("GOOGLETRANSLATE(A31319,""en"",""pt"")"),"retardar para gravar dados em discos")</f>
        <v>retardar para gravar dados em discos</v>
      </c>
      <c r="B31319" s="3">
        <v>0</v>
      </c>
    </row>
    <row r="31320" ht="15.75" customHeight="1" spans="1:2">
      <c r="A31320" s="3" t="str">
        <f>IFERROR(__xludf.DUMMYFUNCTION("GOOGLETRANSLATE(A31320,""en"",""pt"")"),"difícil de movimento captura")</f>
        <v>difícil de movimento captura</v>
      </c>
      <c r="B31320" s="3">
        <v>0</v>
      </c>
    </row>
    <row r="31321" ht="15.75" customHeight="1" spans="1:2">
      <c r="A31321" s="3" t="str">
        <f>IFERROR(__xludf.DUMMYFUNCTION("GOOGLETRANSLATE(A31321,""en"",""pt"")"),"nem visor óptico")</f>
        <v>nem visor óptico</v>
      </c>
      <c r="B31321" s="3">
        <v>0</v>
      </c>
    </row>
    <row r="31322" ht="15.75" customHeight="1" spans="1:2">
      <c r="A31322" s="3" t="str">
        <f>IFERROR(__xludf.DUMMYFUNCTION("GOOGLETRANSLATE(A31322,""en"",""pt"")"),"tamanho, peso")</f>
        <v>tamanho, peso</v>
      </c>
      <c r="B31322" s="3">
        <v>0</v>
      </c>
    </row>
    <row r="31323" ht="15.75" customHeight="1" spans="1:2">
      <c r="A31323" s="3" t="str">
        <f>IFERROR(__xludf.DUMMYFUNCTION("GOOGLETRANSLATE(A31323,""en"",""pt"")"),"Precisa de um lote de discos, é um pouco volumoso pouco a espera.")</f>
        <v>Precisa de um lote de discos, é um pouco volumoso pouco a espera.</v>
      </c>
      <c r="B31323" s="3">
        <v>0</v>
      </c>
    </row>
    <row r="31324" ht="15.75" customHeight="1" spans="1:2">
      <c r="A31324" s="3" t="str">
        <f>IFERROR(__xludf.DUMMYFUNCTION("GOOGLETRANSLATE(A31324,""en"",""pt"")"),"Deve ter pelo menos duas baterias totalmente carregadas para obter o máximo proveito dela.")</f>
        <v>Deve ter pelo menos duas baterias totalmente carregadas para obter o máximo proveito dela.</v>
      </c>
      <c r="B31324" s="3">
        <v>0</v>
      </c>
    </row>
    <row r="31325" ht="15.75" customHeight="1" spans="1:2">
      <c r="A31325" s="3" t="str">
        <f>IFERROR(__xludf.DUMMYFUNCTION("GOOGLETRANSLATE(A31325,""en"",""pt"")"),"A qualidade da imagem ainda carece de nitidez")</f>
        <v>A qualidade da imagem ainda carece de nitidez</v>
      </c>
      <c r="B31325" s="3">
        <v>0</v>
      </c>
    </row>
    <row r="31326" ht="15.75" customHeight="1" spans="1:2">
      <c r="A31326" s="3" t="str">
        <f>IFERROR(__xludf.DUMMYFUNCTION("GOOGLETRANSLATE(A31326,""en"",""pt"")"),"velocidade de armazenamento de imagem (lenta), a velocidade de focagem automática (lento)")</f>
        <v>velocidade de armazenamento de imagem (lenta), a velocidade de focagem automática (lento)</v>
      </c>
      <c r="B31326" s="3">
        <v>0</v>
      </c>
    </row>
    <row r="31327" ht="15.75" customHeight="1" spans="1:2">
      <c r="A31327" s="3" t="str">
        <f>IFERROR(__xludf.DUMMYFUNCTION("GOOGLETRANSLATE(A31327,""en"",""pt"")"),"caro")</f>
        <v>caro</v>
      </c>
      <c r="B31327" s="3">
        <v>0</v>
      </c>
    </row>
    <row r="31328" ht="15.75" customHeight="1" spans="1:2">
      <c r="A31328" s="3" t="str">
        <f>IFERROR(__xludf.DUMMYFUNCTION("GOOGLETRANSLATE(A31328,""en"",""pt"")"),"vida velocidade / bateria")</f>
        <v>vida velocidade / bateria</v>
      </c>
      <c r="B31328" s="3">
        <v>0</v>
      </c>
    </row>
    <row r="31329" ht="15.75" customHeight="1" spans="1:2">
      <c r="A31329" s="3" t="str">
        <f>IFERROR(__xludf.DUMMYFUNCTION("GOOGLETRANSLATE(A31329,""en"",""pt"")"),"nenhuma opção memory stick")</f>
        <v>nenhuma opção memory stick</v>
      </c>
      <c r="B31329" s="3">
        <v>0</v>
      </c>
    </row>
    <row r="31330" ht="15.75" customHeight="1" spans="1:2">
      <c r="A31330" s="3" t="str">
        <f>IFERROR(__xludf.DUMMYFUNCTION("GOOGLETRANSLATE(A31330,""en"",""pt"")"),"Caro")</f>
        <v>Caro</v>
      </c>
      <c r="B31330" s="3">
        <v>0</v>
      </c>
    </row>
    <row r="31331" ht="15.75" customHeight="1" spans="1:2">
      <c r="A31331" s="3" t="str">
        <f>IFERROR(__xludf.DUMMYFUNCTION("GOOGLETRANSLATE(A31331,""en"",""pt"")"),"capacidade de registro limitado, volumoso, não fazer impressões HQ em baixa resolução.")</f>
        <v>capacidade de registro limitado, volumoso, não fazer impressões HQ em baixa resolução.</v>
      </c>
      <c r="B31331" s="3">
        <v>0</v>
      </c>
    </row>
    <row r="31332" ht="15.75" customHeight="1" spans="1:2">
      <c r="A31332" s="3" t="str">
        <f>IFERROR(__xludf.DUMMYFUNCTION("GOOGLETRANSLATE(A31332,""en"",""pt"")"),"recurso de vídeo não é útil, custo")</f>
        <v>recurso de vídeo não é útil, custo</v>
      </c>
      <c r="B31332" s="3">
        <v>0</v>
      </c>
    </row>
    <row r="31333" ht="15.75" customHeight="1" spans="1:2">
      <c r="A31333" s="3" t="str">
        <f>IFERROR(__xludf.DUMMYFUNCTION("GOOGLETRANSLATE(A31333,""en"",""pt"")"),"Operações em condições de sol brilhante.")</f>
        <v>Operações em condições de sol brilhante.</v>
      </c>
      <c r="B31333" s="3">
        <v>0</v>
      </c>
    </row>
    <row r="31334" ht="15.75" customHeight="1" spans="1:2">
      <c r="A31334" s="3" t="str">
        <f>IFERROR(__xludf.DUMMYFUNCTION("GOOGLETRANSLATE(A31334,""en"",""pt"")"),"Expensive artigo em relação aos seus melhores usos diários, tem de vídeo e som add-ons tolas")</f>
        <v>Expensive artigo em relação aos seus melhores usos diários, tem de vídeo e som add-ons tolas</v>
      </c>
      <c r="B31334" s="3">
        <v>0</v>
      </c>
    </row>
    <row r="31335" ht="15.75" customHeight="1" spans="1:2">
      <c r="A31335" s="3" t="str">
        <f>IFERROR(__xludf.DUMMYFUNCTION("GOOGLETRANSLATE(A31335,""en"",""pt"")"),"Maior do que outros digitals devido ao armazenamento de disquete.")</f>
        <v>Maior do que outros digitals devido ao armazenamento de disquete.</v>
      </c>
      <c r="B31335" s="3">
        <v>0</v>
      </c>
    </row>
    <row r="31336" ht="15.75" customHeight="1" spans="1:2">
      <c r="A31336" s="3" t="str">
        <f>IFERROR(__xludf.DUMMYFUNCTION("GOOGLETRANSLATE(A31336,""en"",""pt"")"),"bateria fornecida NP-F330. Eu recomendo o NP-F550.")</f>
        <v>bateria fornecida NP-F330. Eu recomendo o NP-F550.</v>
      </c>
      <c r="B31336" s="3">
        <v>0</v>
      </c>
    </row>
    <row r="31337" ht="15.75" customHeight="1" spans="1:2">
      <c r="A31337" s="3" t="str">
        <f>IFERROR(__xludf.DUMMYFUNCTION("GOOGLETRANSLATE(A31337,""en"",""pt"")"),"volumoso")</f>
        <v>volumoso</v>
      </c>
      <c r="B31337" s="3">
        <v>0</v>
      </c>
    </row>
    <row r="31338" ht="15.75" customHeight="1" spans="1:2">
      <c r="A31338" s="3" t="str">
        <f>IFERROR(__xludf.DUMMYFUNCTION("GOOGLETRANSLATE(A31338,""en"",""pt"")"),"Apenas algumas imagens caber em um disco")</f>
        <v>Apenas algumas imagens caber em um disco</v>
      </c>
      <c r="B31338" s="3">
        <v>0</v>
      </c>
    </row>
    <row r="31339" ht="15.75" customHeight="1" spans="1:2">
      <c r="A31339" s="3" t="str">
        <f>IFERROR(__xludf.DUMMYFUNCTION("GOOGLETRANSLATE(A31339,""en"",""pt"")"),"Quase nada")</f>
        <v>Quase nada</v>
      </c>
      <c r="B31339" s="3">
        <v>0</v>
      </c>
    </row>
    <row r="31340" ht="15.75" customHeight="1" spans="1:2">
      <c r="A31340" s="3" t="str">
        <f>IFERROR(__xludf.DUMMYFUNCTION("GOOGLETRANSLATE(A31340,""en"",""pt"")"),"De longo alcance fotos de zoom não são tão claras.")</f>
        <v>De longo alcance fotos de zoom não são tão claras.</v>
      </c>
      <c r="B31340" s="3">
        <v>0</v>
      </c>
    </row>
    <row r="31341" ht="15.75" customHeight="1" spans="1:2">
      <c r="A31341" s="3" t="str">
        <f>IFERROR(__xludf.DUMMYFUNCTION("GOOGLETRANSLATE(A31341,""en"",""pt"")"),"Um pouco de gravação lenta para o disquete (mas hey, é um disquete)")</f>
        <v>Um pouco de gravação lenta para o disquete (mas hey, é um disquete)</v>
      </c>
      <c r="B31341" s="3">
        <v>0</v>
      </c>
    </row>
    <row r="31342" ht="15.75" customHeight="1" spans="1:2">
      <c r="A31342" s="3" t="str">
        <f>IFERROR(__xludf.DUMMYFUNCTION("GOOGLETRANSLATE(A31342,""en"",""pt"")"),"No visor óptico. Sem estabilização de imagem para zoom. cópia fina garantia.")</f>
        <v>No visor óptico. Sem estabilização de imagem para zoom. cópia fina garantia.</v>
      </c>
      <c r="B31342" s="3">
        <v>0</v>
      </c>
    </row>
    <row r="31343" ht="15.75" customHeight="1" spans="1:2">
      <c r="A31343" s="3" t="str">
        <f>IFERROR(__xludf.DUMMYFUNCTION("GOOGLETRANSLATE(A31343,""en"",""pt"")"),"Caro- os modelos a preços mais baixos fazer tão bem.")</f>
        <v>Caro- os modelos a preços mais baixos fazer tão bem.</v>
      </c>
      <c r="B31343" s="3">
        <v>0</v>
      </c>
    </row>
    <row r="31344" ht="15.75" customHeight="1" spans="1:2">
      <c r="A31344" s="3" t="str">
        <f>IFERROR(__xludf.DUMMYFUNCTION("GOOGLETRANSLATE(A31344,""en"",""pt"")"),"Volumoso, LCD difícil de ver na luz brilhante, fotos granuladas em baixa luminosidade, queimaduras de flash")</f>
        <v>Volumoso, LCD difícil de ver na luz brilhante, fotos granuladas em baixa luminosidade, queimaduras de flash</v>
      </c>
      <c r="B31344" s="3">
        <v>0</v>
      </c>
    </row>
    <row r="31345" ht="15.75" customHeight="1" spans="1:2">
      <c r="A31345" s="3" t="str">
        <f>IFERROR(__xludf.DUMMYFUNCTION("GOOGLETRANSLATE(A31345,""en"",""pt"")"),"compacidade disco, tempo foto lag.")</f>
        <v>compacidade disco, tempo foto lag.</v>
      </c>
      <c r="B31345" s="3">
        <v>0</v>
      </c>
    </row>
    <row r="31346" ht="15.75" customHeight="1" spans="1:2">
      <c r="A31346" s="3" t="str">
        <f>IFERROR(__xludf.DUMMYFUNCTION("GOOGLETRANSLATE(A31346,""en"",""pt"")"),"Floppy Drive, Sony, Garantia")</f>
        <v>Floppy Drive, Sony, Garantia</v>
      </c>
      <c r="B31346" s="3">
        <v>0</v>
      </c>
    </row>
    <row r="31347" ht="15.75" customHeight="1" spans="1:2">
      <c r="A31347" s="3" t="str">
        <f>IFERROR(__xludf.DUMMYFUNCTION("GOOGLETRANSLATE(A31347,""en"",""pt"")"),"Volumoso, Bateria Rápido")</f>
        <v>Volumoso, Bateria Rápido</v>
      </c>
      <c r="B31347" s="3">
        <v>0</v>
      </c>
    </row>
    <row r="31348" ht="15.75" customHeight="1" spans="1:2">
      <c r="A31348" s="3" t="str">
        <f>IFERROR(__xludf.DUMMYFUNCTION("GOOGLETRANSLATE(A31348,""en"",""pt"")"),"redução de olhos vermelhos, dia tiros fora, borradas fotos de ação")</f>
        <v>redução de olhos vermelhos, dia tiros fora, borradas fotos de ação</v>
      </c>
      <c r="B31348" s="3">
        <v>0</v>
      </c>
    </row>
    <row r="31349" ht="15.75" customHeight="1" spans="1:2">
      <c r="A31349" s="3" t="str">
        <f>IFERROR(__xludf.DUMMYFUNCTION("GOOGLETRANSLATE(A31349,""en"",""pt"")"),"A vida da bateria poderia ser melhor, custa um pouco mais do que outros")</f>
        <v>A vida da bateria poderia ser melhor, custa um pouco mais do que outros</v>
      </c>
      <c r="B31349" s="3">
        <v>0</v>
      </c>
    </row>
    <row r="31350" ht="15.75" customHeight="1" spans="1:2">
      <c r="A31350" s="3" t="str">
        <f>IFERROR(__xludf.DUMMYFUNCTION("GOOGLETRANSLATE(A31350,""en"",""pt"")"),"Não é bom para objetos em movimento")</f>
        <v>Não é bom para objetos em movimento</v>
      </c>
      <c r="B31350" s="3">
        <v>0</v>
      </c>
    </row>
    <row r="31351" ht="15.75" customHeight="1" spans="1:2">
      <c r="A31351" s="3" t="str">
        <f>IFERROR(__xludf.DUMMYFUNCTION("GOOGLETRANSLATE(A31351,""en"",""pt"")"),"volumoso, a falta de autonomia da bateria, confundindo às vezes, mau local para ângulo de controle de largura / zoom")</f>
        <v>volumoso, a falta de autonomia da bateria, confundindo às vezes, mau local para ângulo de controle de largura / zoom</v>
      </c>
      <c r="B31351" s="3">
        <v>0</v>
      </c>
    </row>
    <row r="31352" ht="15.75" customHeight="1" spans="1:2">
      <c r="A31352" s="3" t="str">
        <f>IFERROR(__xludf.DUMMYFUNCTION("GOOGLETRANSLATE(A31352,""en"",""pt"")"),"Custo inicial da compra")</f>
        <v>Custo inicial da compra</v>
      </c>
      <c r="B31352" s="3">
        <v>0</v>
      </c>
    </row>
    <row r="31353" ht="15.75" customHeight="1" spans="1:2">
      <c r="A31353" s="3" t="str">
        <f>IFERROR(__xludf.DUMMYFUNCTION("GOOGLETRANSLATE(A31353,""en"",""pt"")"),"um pouco grande, tem que comprar duas baterias")</f>
        <v>um pouco grande, tem que comprar duas baterias</v>
      </c>
      <c r="B31353" s="3">
        <v>0</v>
      </c>
    </row>
    <row r="31354" ht="15.75" customHeight="1" spans="1:2">
      <c r="A31354" s="3" t="str">
        <f>IFERROR(__xludf.DUMMYFUNCTION("GOOGLETRANSLATE(A31354,""en"",""pt"")"),"espaço em disco limitado.")</f>
        <v>espaço em disco limitado.</v>
      </c>
      <c r="B31354" s="3">
        <v>0</v>
      </c>
    </row>
    <row r="31355" ht="15.75" customHeight="1" spans="1:2">
      <c r="A31355" s="3" t="str">
        <f>IFERROR(__xludf.DUMMYFUNCTION("GOOGLETRANSLATE(A31355,""en"",""pt"")"),"Quase inútil à noite, má qualidade de imagem")</f>
        <v>Quase inútil à noite, má qualidade de imagem</v>
      </c>
      <c r="B31355" s="3">
        <v>0</v>
      </c>
    </row>
    <row r="31356" ht="15.75" customHeight="1" spans="1:2">
      <c r="A31356" s="3" t="str">
        <f>IFERROR(__xludf.DUMMYFUNCTION("GOOGLETRANSLATE(A31356,""en"",""pt"")"),"US $ 100 mais, tipo de grande em comparação com câmera tradicional")</f>
        <v>US $ 100 mais, tipo de grande em comparação com câmera tradicional</v>
      </c>
      <c r="B31356" s="3">
        <v>0</v>
      </c>
    </row>
    <row r="31357" ht="15.75" customHeight="1" spans="1:2">
      <c r="A31357" s="3" t="str">
        <f>IFERROR(__xludf.DUMMYFUNCTION("GOOGLETRANSLATE(A31357,""en"",""pt"")"),"Sem bateria vive para sempre. memory stick capaz, mas isso é encomendado separadamente, a própria câmera é um pouco volumoso")</f>
        <v>Sem bateria vive para sempre. memory stick capaz, mas isso é encomendado separadamente, a própria câmera é um pouco volumoso</v>
      </c>
      <c r="B31357" s="3">
        <v>0</v>
      </c>
    </row>
    <row r="31358" ht="15.75" customHeight="1" spans="1:2">
      <c r="A31358" s="3" t="str">
        <f>IFERROR(__xludf.DUMMYFUNCTION("GOOGLETRANSLATE(A31358,""en"",""pt"")"),"Volumoso, caro")</f>
        <v>Volumoso, caro</v>
      </c>
      <c r="B31358" s="3">
        <v>0</v>
      </c>
    </row>
    <row r="31359" ht="15.75" customHeight="1" spans="1:2">
      <c r="A31359" s="3" t="str">
        <f>IFERROR(__xludf.DUMMYFUNCTION("GOOGLETRANSLATE(A31359,""en"",""pt"")"),"disquetes enchimento rápido (resolve pau que!)")</f>
        <v>disquetes enchimento rápido (resolve pau que!)</v>
      </c>
      <c r="B31359" s="3">
        <v>0</v>
      </c>
    </row>
    <row r="31360" ht="15.75" customHeight="1" spans="1:2">
      <c r="A31360" s="3" t="str">
        <f>IFERROR(__xludf.DUMMYFUNCTION("GOOGLETRANSLATE(A31360,""en"",""pt"")"),"Pics pegar um monte de memória")</f>
        <v>Pics pegar um monte de memória</v>
      </c>
      <c r="B31360" s="3">
        <v>0</v>
      </c>
    </row>
    <row r="31361" ht="15.75" customHeight="1" spans="1:2">
      <c r="A31361" s="3" t="str">
        <f>IFERROR(__xludf.DUMMYFUNCTION("GOOGLETRANSLATE(A31361,""en"",""pt"")"),"tendo que constantemente re-carga da bateria")</f>
        <v>tendo que constantemente re-carga da bateria</v>
      </c>
      <c r="B31361" s="3">
        <v>0</v>
      </c>
    </row>
    <row r="31362" ht="15.75" customHeight="1" spans="1:2">
      <c r="A31362" s="3" t="str">
        <f>IFERROR(__xludf.DUMMYFUNCTION("GOOGLETRANSLATE(A31362,""en"",""pt"")"),"Nenhum caso. controle de zoom inábil")</f>
        <v>Nenhum caso. controle de zoom inábil</v>
      </c>
      <c r="B31362" s="3">
        <v>0</v>
      </c>
    </row>
    <row r="31363" ht="15.75" customHeight="1" spans="1:2">
      <c r="A31363" s="3" t="str">
        <f>IFERROR(__xludf.DUMMYFUNCTION("GOOGLETRANSLATE(A31363,""en"",""pt"")"),"espaço limitado e velocidade de transferência lenta da mídia")</f>
        <v>espaço limitado e velocidade de transferência lenta da mídia</v>
      </c>
      <c r="B31363" s="3">
        <v>0</v>
      </c>
    </row>
    <row r="31364" ht="15.75" customHeight="1" spans="1:2">
      <c r="A31364" s="3" t="str">
        <f>IFERROR(__xludf.DUMMYFUNCTION("GOOGLETRANSLATE(A31364,""en"",""pt"")"),"Alguns menus são difíceis de navegar")</f>
        <v>Alguns menus são difíceis de navegar</v>
      </c>
      <c r="B31364" s="3">
        <v>0</v>
      </c>
    </row>
    <row r="31365" ht="15.75" customHeight="1" spans="1:2">
      <c r="A31365" s="3" t="str">
        <f>IFERROR(__xludf.DUMMYFUNCTION("GOOGLETRANSLATE(A31365,""en"",""pt"")"),"Volumoso, tempo de atraso tiro, armazenamento de imagem limitada, lavagens visor fora no sol")</f>
        <v>Volumoso, tempo de atraso tiro, armazenamento de imagem limitada, lavagens visor fora no sol</v>
      </c>
      <c r="B31365" s="3">
        <v>0</v>
      </c>
    </row>
    <row r="31366" ht="15.75" customHeight="1" spans="1:2">
      <c r="A31366" s="3" t="str">
        <f>IFERROR(__xludf.DUMMYFUNCTION("GOOGLETRANSLATE(A31366,""en"",""pt"")"),"Um disquete armazena apenas algumas fotos, a opção Memory stick é caro.")</f>
        <v>Um disquete armazena apenas algumas fotos, a opção Memory stick é caro.</v>
      </c>
      <c r="B31366" s="3">
        <v>0</v>
      </c>
    </row>
    <row r="31367" ht="15.75" customHeight="1" spans="1:2">
      <c r="A31367" s="3" t="str">
        <f>IFERROR(__xludf.DUMMYFUNCTION("GOOGLETRANSLATE(A31367,""en"",""pt"")"),"Nenhum. Bem uma bateria extra certeza não faria mal.")</f>
        <v>Nenhum. Bem uma bateria extra certeza não faria mal.</v>
      </c>
      <c r="B31367" s="3">
        <v>0</v>
      </c>
    </row>
    <row r="31368" ht="15.75" customHeight="1" spans="1:2">
      <c r="A31368" s="3" t="str">
        <f>IFERROR(__xludf.DUMMYFUNCTION("GOOGLETRANSLATE(A31368,""en"",""pt"")"),"Quando você apertar o botão e o tempo real que leva a imagem lags.Bulky.")</f>
        <v>Quando você apertar o botão e o tempo real que leva a imagem lags.Bulky.</v>
      </c>
      <c r="B31368" s="3">
        <v>0</v>
      </c>
    </row>
    <row r="31369" ht="15.75" customHeight="1" spans="1:2">
      <c r="A31369" s="3" t="str">
        <f>IFERROR(__xludf.DUMMYFUNCTION("GOOGLETRANSLATE(A31369,""en"",""pt"")"),"tamanho, nenhum caso")</f>
        <v>tamanho, nenhum caso</v>
      </c>
      <c r="B31369" s="3">
        <v>0</v>
      </c>
    </row>
    <row r="31370" ht="15.75" customHeight="1" spans="1:2">
      <c r="A31370" s="3" t="str">
        <f>IFERROR(__xludf.DUMMYFUNCTION("GOOGLETRANSLATE(A31370,""en"",""pt"")"),"Como qualquer outra coisa, é por trás da tecnologia uma vez que você sair da loja.")</f>
        <v>Como qualquer outra coisa, é por trás da tecnologia uma vez que você sair da loja.</v>
      </c>
      <c r="B31370" s="3">
        <v>0</v>
      </c>
    </row>
    <row r="31371" ht="15.75" customHeight="1" spans="1:2">
      <c r="A31371" s="3" t="str">
        <f>IFERROR(__xludf.DUMMYFUNCTION("GOOGLETRANSLATE(A31371,""en"",""pt"")"),"cores nem sempre são perfeitos, o ecrã LCD pode ser enganoso, registra apenas um máximo de 60 segundos de vídeo")</f>
        <v>cores nem sempre são perfeitos, o ecrã LCD pode ser enganoso, registra apenas um máximo de 60 segundos de vídeo</v>
      </c>
      <c r="B31371" s="3">
        <v>0</v>
      </c>
    </row>
    <row r="31372" ht="15.75" customHeight="1" spans="1:2">
      <c r="A31372" s="3" t="str">
        <f>IFERROR(__xludf.DUMMYFUNCTION("GOOGLETRANSLATE(A31372,""en"",""pt"")"),"Tamanho, tamanho, Size - e o Flash")</f>
        <v>Tamanho, tamanho, Size - e o Flash</v>
      </c>
      <c r="B31372" s="3">
        <v>0</v>
      </c>
    </row>
    <row r="31373" ht="15.75" customHeight="1" spans="1:2">
      <c r="A31373" s="3" t="str">
        <f>IFERROR(__xludf.DUMMYFUNCTION("GOOGLETRANSLATE(A31373,""en"",""pt"")"),"Um pouco no lado volumoso.")</f>
        <v>Um pouco no lado volumoso.</v>
      </c>
      <c r="B31373" s="3">
        <v>0</v>
      </c>
    </row>
    <row r="31374" ht="15.75" customHeight="1" spans="1:2">
      <c r="A31374" s="3" t="str">
        <f>IFERROR(__xludf.DUMMYFUNCTION("GOOGLETRANSLATE(A31374,""en"",""pt"")"),"Camera é caro e as imagens menos nítidas do que filme de 35 milímetros")</f>
        <v>Camera é caro e as imagens menos nítidas do que filme de 35 milímetros</v>
      </c>
      <c r="B31374" s="3">
        <v>0</v>
      </c>
    </row>
    <row r="31375" ht="15.75" customHeight="1" spans="1:2">
      <c r="A31375" s="3" t="str">
        <f>IFERROR(__xludf.DUMMYFUNCTION("GOOGLETRANSLATE(A31375,""en"",""pt"")"),"poderia fazer com mais pixals")</f>
        <v>poderia fazer com mais pixals</v>
      </c>
      <c r="B31375" s="3">
        <v>0</v>
      </c>
    </row>
    <row r="31376" ht="15.75" customHeight="1" spans="1:2">
      <c r="A31376" s="3" t="str">
        <f>IFERROR(__xludf.DUMMYFUNCTION("GOOGLETRANSLATE(A31376,""en"",""pt"")"),"Preço, Camera é um tamanho fora do padrão, de modo Camera Bag é difícil de localizar")</f>
        <v>Preço, Camera é um tamanho fora do padrão, de modo Camera Bag é difícil de localizar</v>
      </c>
      <c r="B31376" s="3">
        <v>0</v>
      </c>
    </row>
    <row r="31377" ht="15.75" customHeight="1" spans="1:2">
      <c r="A31377" s="3" t="str">
        <f>IFERROR(__xludf.DUMMYFUNCTION("GOOGLETRANSLATE(A31377,""en"",""pt"")"),"tamanho grande")</f>
        <v>tamanho grande</v>
      </c>
      <c r="B31377" s="3">
        <v>0</v>
      </c>
    </row>
    <row r="31378" ht="15.75" customHeight="1" spans="1:2">
      <c r="A31378" s="3" t="str">
        <f>IFERROR(__xludf.DUMMYFUNCTION("GOOGLETRANSLATE(A31378,""en"",""pt"")"),"O flash não funciona muito bem à distância.")</f>
        <v>O flash não funciona muito bem à distância.</v>
      </c>
      <c r="B31378" s="3">
        <v>0</v>
      </c>
    </row>
    <row r="31379" ht="15.75" customHeight="1" spans="1:2">
      <c r="A31379" s="3" t="str">
        <f>IFERROR(__xludf.DUMMYFUNCTION("GOOGLETRANSLATE(A31379,""en"",""pt"")"),"cerca de 50 $ a bateria")</f>
        <v>cerca de 50 $ a bateria</v>
      </c>
      <c r="B31379" s="3">
        <v>0</v>
      </c>
    </row>
    <row r="31380" ht="15.75" customHeight="1" spans="1:2">
      <c r="A31380" s="3" t="str">
        <f>IFERROR(__xludf.DUMMYFUNCTION("GOOGLETRANSLATE(A31380,""en"",""pt"")"),"um pesado pouco")</f>
        <v>um pesado pouco</v>
      </c>
      <c r="B31380" s="3">
        <v>0</v>
      </c>
    </row>
    <row r="31381" ht="15.75" customHeight="1" spans="1:2">
      <c r="A31381" s="3" t="str">
        <f>IFERROR(__xludf.DUMMYFUNCTION("GOOGLETRANSLATE(A31381,""en"",""pt"")"),"grandes e volumosos")</f>
        <v>grandes e volumosos</v>
      </c>
      <c r="B31381" s="3">
        <v>0</v>
      </c>
    </row>
    <row r="31382" ht="15.75" customHeight="1" spans="1:2">
      <c r="A31382" s="3" t="str">
        <f>IFERROR(__xludf.DUMMYFUNCTION("GOOGLETRANSLATE(A31382,""en"",""pt"")"),"Apenas não o mesmo que filme")</f>
        <v>Apenas não o mesmo que filme</v>
      </c>
      <c r="B31382" s="3">
        <v>0</v>
      </c>
    </row>
    <row r="31383" ht="15.75" customHeight="1" spans="1:2">
      <c r="A31383" s="3" t="str">
        <f>IFERROR(__xludf.DUMMYFUNCTION("GOOGLETRANSLATE(A31383,""en"",""pt"")"),", flash, flash,")</f>
        <v>, flash, flash,</v>
      </c>
      <c r="B31383" s="3">
        <v>0</v>
      </c>
    </row>
    <row r="31384" ht="15.75" customHeight="1" spans="1:2">
      <c r="A31384" s="3" t="str">
        <f>IFERROR(__xludf.DUMMYFUNCTION("GOOGLETRANSLATE(A31384,""en"",""pt"")"),"Peso, Colo tempo entre snaps")</f>
        <v>Peso, Colo tempo entre snaps</v>
      </c>
      <c r="B31384" s="3">
        <v>0</v>
      </c>
    </row>
    <row r="31385" ht="15.75" customHeight="1" spans="1:2">
      <c r="A31385" s="3" t="str">
        <f>IFERROR(__xludf.DUMMYFUNCTION("GOOGLETRANSLATE(A31385,""en"",""pt"")"),"resolução não melhor se você quiser fazer 8x10 de")</f>
        <v>resolução não melhor se você quiser fazer 8x10 de</v>
      </c>
      <c r="B31385" s="3">
        <v>0</v>
      </c>
    </row>
    <row r="31386" ht="15.75" customHeight="1" spans="1:2">
      <c r="A31386" s="3" t="str">
        <f>IFERROR(__xludf.DUMMYFUNCTION("GOOGLETRANSLATE(A31386,""en"",""pt"")"),"A vida da bateria é um pouco curto, se deixada no entre as fotos")</f>
        <v>A vida da bateria é um pouco curto, se deixada no entre as fotos</v>
      </c>
      <c r="B31386" s="3">
        <v>0</v>
      </c>
    </row>
    <row r="31387" ht="15.75" customHeight="1" spans="1:2">
      <c r="A31387" s="3" t="str">
        <f>IFERROR(__xludf.DUMMYFUNCTION("GOOGLETRANSLATE(A31387,""en"",""pt"")"),"o preço")</f>
        <v>o preço</v>
      </c>
      <c r="B31387" s="3">
        <v>0</v>
      </c>
    </row>
    <row r="31388" ht="15.75" customHeight="1" spans="1:2">
      <c r="A31388" s="3" t="str">
        <f>IFERROR(__xludf.DUMMYFUNCTION("GOOGLETRANSLATE(A31388,""en"",""pt"")"),"Caro, volumoso, Short Vida útil da bateria")</f>
        <v>Caro, volumoso, Short Vida útil da bateria</v>
      </c>
      <c r="B31388" s="3">
        <v>0</v>
      </c>
    </row>
    <row r="31389" ht="15.75" customHeight="1" spans="1:2">
      <c r="A31389" s="3" t="str">
        <f>IFERROR(__xludf.DUMMYFUNCTION("GOOGLETRANSLATE(A31389,""en"",""pt"")"),"volumoso")</f>
        <v>volumoso</v>
      </c>
      <c r="B31389" s="3">
        <v>0</v>
      </c>
    </row>
    <row r="31390" ht="15.75" customHeight="1" spans="1:2">
      <c r="A31390" s="3" t="str">
        <f>IFERROR(__xludf.DUMMYFUNCTION("GOOGLETRANSLATE(A31390,""en"",""pt"")"),"Baixa qualidade, lavado para fora cor, caro")</f>
        <v>Baixa qualidade, lavado para fora cor, caro</v>
      </c>
      <c r="B31390" s="3">
        <v>0</v>
      </c>
    </row>
    <row r="31391" ht="15.75" customHeight="1" spans="1:2">
      <c r="A31391" s="3" t="str">
        <f>IFERROR(__xludf.DUMMYFUNCTION("GOOGLETRANSLATE(A31391,""en"",""pt"")"),"Camera é físico grande em comparação com outra câmera digital")</f>
        <v>Camera é físico grande em comparação com outra câmera digital</v>
      </c>
      <c r="B31391" s="3">
        <v>0</v>
      </c>
    </row>
    <row r="31392" ht="15.75" customHeight="1" spans="1:2">
      <c r="A31392" s="3" t="str">
        <f>IFERROR(__xludf.DUMMYFUNCTION("GOOGLETRANSLATE(A31392,""en"",""pt"")"),"Muito grande e pesado para viagens")</f>
        <v>Muito grande e pesado para viagens</v>
      </c>
      <c r="B31392" s="3">
        <v>0</v>
      </c>
    </row>
    <row r="31393" ht="15.75" customHeight="1" spans="1:2">
      <c r="A31393" s="3" t="str">
        <f>IFERROR(__xludf.DUMMYFUNCTION("GOOGLETRANSLATE(A31393,""en"",""pt"")"),"Ligeiro atraso foco automático, tipo de caro.")</f>
        <v>Ligeiro atraso foco automático, tipo de caro.</v>
      </c>
      <c r="B31393" s="3">
        <v>0</v>
      </c>
    </row>
    <row r="31394" ht="15.75" customHeight="1" spans="1:2">
      <c r="A31394" s="3" t="str">
        <f>IFERROR(__xludf.DUMMYFUNCTION("GOOGLETRANSLATE(A31394,""en"",""pt"")"),"Disk tempo de acesso é horrível com adaptador disquete ou memory stick.")</f>
        <v>Disk tempo de acesso é horrível com adaptador disquete ou memory stick.</v>
      </c>
      <c r="B31394" s="3">
        <v>0</v>
      </c>
    </row>
    <row r="31395" ht="15.75" customHeight="1" spans="1:2">
      <c r="A31395" s="3" t="str">
        <f>IFERROR(__xludf.DUMMYFUNCTION("GOOGLETRANSLATE(A31395,""en"",""pt"")"),"Big &amp; amp; Volumoso, Battery Life Curto")</f>
        <v>Big &amp; amp; Volumoso, Battery Life Curto</v>
      </c>
      <c r="B31395" s="3">
        <v>0</v>
      </c>
    </row>
    <row r="31396" ht="15.75" customHeight="1" spans="1:2">
      <c r="A31396" s="3" t="str">
        <f>IFERROR(__xludf.DUMMYFUNCTION("GOOGLETRANSLATE(A31396,""en"",""pt"")"),"baixo uso de luz")</f>
        <v>baixo uso de luz</v>
      </c>
      <c r="B31396" s="3">
        <v>0</v>
      </c>
    </row>
    <row r="31397" ht="15.75" customHeight="1" spans="1:2">
      <c r="A31397" s="3" t="str">
        <f>IFERROR(__xludf.DUMMYFUNCTION("GOOGLETRANSLATE(A31397,""en"",""pt"")"),"Grande fator de forma, não hot-shoe")</f>
        <v>Grande fator de forma, não hot-shoe</v>
      </c>
      <c r="B31397" s="3">
        <v>0</v>
      </c>
    </row>
    <row r="31398" ht="15.75" customHeight="1" spans="1:2">
      <c r="A31398" s="3" t="str">
        <f>IFERROR(__xludf.DUMMYFUNCTION("GOOGLETRANSLATE(A31398,""en"",""pt"")"),"Esteja pronto para transportar floppys.")</f>
        <v>Esteja pronto para transportar floppys.</v>
      </c>
      <c r="B31398" s="3">
        <v>0</v>
      </c>
    </row>
    <row r="31399" ht="15.75" customHeight="1" spans="1:2">
      <c r="A31399" s="3" t="str">
        <f>IFERROR(__xludf.DUMMYFUNCTION("GOOGLETRANSLATE(A31399,""en"",""pt"")"),"Seria bom se ele apoiou os LS-120 do ou o FDHD 200 Sony Padrão")</f>
        <v>Seria bom se ele apoiou os LS-120 do ou o FDHD 200 Sony Padrão</v>
      </c>
      <c r="B31399" s="3">
        <v>0</v>
      </c>
    </row>
    <row r="31400" ht="15.75" customHeight="1" spans="1:2">
      <c r="A31400" s="3" t="str">
        <f>IFERROR(__xludf.DUMMYFUNCTION("GOOGLETRANSLATE(A31400,""en"",""pt"")"),"Nenhum até hoje")</f>
        <v>Nenhum até hoje</v>
      </c>
      <c r="B31400" s="3">
        <v>0</v>
      </c>
    </row>
    <row r="31401" ht="15.75" customHeight="1" spans="1:2">
      <c r="A31401" s="3" t="str">
        <f>IFERROR(__xludf.DUMMYFUNCTION("GOOGLETRANSLATE(A31401,""en"",""pt"")"),"outras câmeras têm resolução melhor e fazer melhor com pouca luz")</f>
        <v>outras câmeras têm resolução melhor e fazer melhor com pouca luz</v>
      </c>
      <c r="B31401" s="3">
        <v>0</v>
      </c>
    </row>
    <row r="31402" ht="15.75" customHeight="1" spans="1:2">
      <c r="A31402" s="3" t="str">
        <f>IFERROR(__xludf.DUMMYFUNCTION("GOOGLETRANSLATE(A31402,""en"",""pt"")"),"Veja acima.")</f>
        <v>Veja acima.</v>
      </c>
      <c r="B31402" s="3">
        <v>0</v>
      </c>
    </row>
    <row r="31403" ht="15.75" customHeight="1" spans="1:2">
      <c r="A31403" s="3" t="str">
        <f>IFERROR(__xludf.DUMMYFUNCTION("GOOGLETRANSLATE(A31403,""en"",""pt"")"),"Volumosos, caros, sofre com pouca luz")</f>
        <v>Volumosos, caros, sofre com pouca luz</v>
      </c>
      <c r="B31403" s="3">
        <v>0</v>
      </c>
    </row>
    <row r="31404" ht="15.75" customHeight="1" spans="1:2">
      <c r="A31404" s="3" t="str">
        <f>IFERROR(__xludf.DUMMYFUNCTION("GOOGLETRANSLATE(A31404,""en"",""pt"")"),"closes difícil se concentrar, a bateria perde carga mesmo com a câmera desligada")</f>
        <v>closes difícil se concentrar, a bateria perde carga mesmo com a câmera desligada</v>
      </c>
      <c r="B31404" s="3">
        <v>0</v>
      </c>
    </row>
    <row r="31405" ht="15.75" customHeight="1" spans="1:2">
      <c r="A31405" s="3" t="str">
        <f>IFERROR(__xludf.DUMMYFUNCTION("GOOGLETRANSLATE(A31405,""en"",""pt"")"),"desempenho tempo pobre noite")</f>
        <v>desempenho tempo pobre noite</v>
      </c>
      <c r="B31405" s="3">
        <v>0</v>
      </c>
    </row>
    <row r="31406" ht="15.75" customHeight="1" spans="1:2">
      <c r="A31406" s="3" t="str">
        <f>IFERROR(__xludf.DUMMYFUNCTION("GOOGLETRANSLATE(A31406,""en"",""pt"")"),"Limitada Flash, nenhuma proteção para a tela de LCD")</f>
        <v>Limitada Flash, nenhuma proteção para a tela de LCD</v>
      </c>
      <c r="B31406" s="3">
        <v>0</v>
      </c>
    </row>
    <row r="31407" ht="15.75" customHeight="1" spans="1:2">
      <c r="A31407" s="3" t="str">
        <f>IFERROR(__xludf.DUMMYFUNCTION("GOOGLETRANSLATE(A31407,""en"",""pt"")"),"Preço, resolução")</f>
        <v>Preço, resolução</v>
      </c>
      <c r="B31407" s="3">
        <v>0</v>
      </c>
    </row>
    <row r="31408" ht="15.75" customHeight="1" spans="1:2">
      <c r="A31408" s="3" t="str">
        <f>IFERROR(__xludf.DUMMYFUNCTION("GOOGLETRANSLATE(A31408,""en"",""pt"")"),"A porta da bateria tem de ficar aberta quando o adaptador AC está em.")</f>
        <v>A porta da bateria tem de ficar aberta quando o adaptador AC está em.</v>
      </c>
      <c r="B31408" s="3">
        <v>0</v>
      </c>
    </row>
    <row r="31409" ht="15.75" customHeight="1" spans="1:2">
      <c r="A31409" s="3" t="str">
        <f>IFERROR(__xludf.DUMMYFUNCTION("GOOGLETRANSLATE(A31409,""en"",""pt"")"),"preço")</f>
        <v>preço</v>
      </c>
      <c r="B31409" s="3">
        <v>0</v>
      </c>
    </row>
    <row r="31410" ht="15.75" customHeight="1" spans="1:2">
      <c r="A31410" s="3" t="str">
        <f>IFERROR(__xludf.DUMMYFUNCTION("GOOGLETRANSLATE(A31410,""en"",""pt"")"),"Preço ($ 950)")</f>
        <v>Preço ($ 950)</v>
      </c>
      <c r="B31410" s="3">
        <v>0</v>
      </c>
    </row>
    <row r="31411" ht="15.75" customHeight="1" spans="1:2">
      <c r="A31411" s="3" t="str">
        <f>IFERROR(__xludf.DUMMYFUNCTION("GOOGLETRANSLATE(A31411,""en"",""pt"")"),"Nenhum")</f>
        <v>Nenhum</v>
      </c>
      <c r="B31411" s="3">
        <v>0</v>
      </c>
    </row>
    <row r="31412" ht="15.75" customHeight="1" spans="1:2">
      <c r="A31412" s="3" t="str">
        <f>IFERROR(__xludf.DUMMYFUNCTION("GOOGLETRANSLATE(A31412,""en"",""pt"")"),"3,5 &amp; amp; quot; Floppy mídia! Não é um negócio repleto de valor")</f>
        <v>3,5 &amp; amp; quot; Floppy mídia! Não é um negócio repleto de valor</v>
      </c>
      <c r="B31412" s="3">
        <v>0</v>
      </c>
    </row>
    <row r="31413" ht="15.75" customHeight="1" spans="1:2">
      <c r="A31413" s="3" t="str">
        <f>IFERROR(__xludf.DUMMYFUNCTION("GOOGLETRANSLATE(A31413,""en"",""pt"")"),"Qualidade da foto")</f>
        <v>Qualidade da foto</v>
      </c>
      <c r="B31413" s="3">
        <v>0</v>
      </c>
    </row>
    <row r="31414" ht="15.75" customHeight="1" spans="1:2">
      <c r="A31414" s="3" t="str">
        <f>IFERROR(__xludf.DUMMYFUNCTION("GOOGLETRANSLATE(A31414,""en"",""pt"")"),"forma ímpar, does not ajuste em qualquer caso")</f>
        <v>forma ímpar, does not ajuste em qualquer caso</v>
      </c>
      <c r="B31414" s="3">
        <v>0</v>
      </c>
    </row>
    <row r="31415" ht="15.75" customHeight="1" spans="1:2">
      <c r="A31415" s="3" t="str">
        <f>IFERROR(__xludf.DUMMYFUNCTION("GOOGLETRANSLATE(A31415,""en"",""pt"")"),"Flash fraco")</f>
        <v>Flash fraco</v>
      </c>
      <c r="B31415" s="3">
        <v>0</v>
      </c>
    </row>
    <row r="31416" ht="15.75" customHeight="1" spans="1:2">
      <c r="A31416" s="3" t="str">
        <f>IFERROR(__xludf.DUMMYFUNCTION("GOOGLETRANSLATE(A31416,""en"",""pt"")"),"Caro, nenhuma conexão sapata para flash")</f>
        <v>Caro, nenhuma conexão sapata para flash</v>
      </c>
      <c r="B31416" s="3">
        <v>0</v>
      </c>
    </row>
    <row r="31417" ht="15.75" customHeight="1" spans="1:2">
      <c r="A31417" s="3" t="str">
        <f>IFERROR(__xludf.DUMMYFUNCTION("GOOGLETRANSLATE(A31417,""en"",""pt"")"),"Preço e peso")</f>
        <v>Preço e peso</v>
      </c>
      <c r="B31417" s="3">
        <v>0</v>
      </c>
    </row>
    <row r="31418" ht="15.75" customHeight="1" spans="1:2">
      <c r="A31418" s="3" t="str">
        <f>IFERROR(__xludf.DUMMYFUNCTION("GOOGLETRANSLATE(A31418,""en"",""pt"")"),"Tamanho / geometria, alternativas de resolução vs.")</f>
        <v>Tamanho / geometria, alternativas de resolução vs.</v>
      </c>
      <c r="B31418" s="3">
        <v>0</v>
      </c>
    </row>
    <row r="31419" ht="15.75" customHeight="1" spans="1:2">
      <c r="A31419" s="3" t="str">
        <f>IFERROR(__xludf.DUMMYFUNCTION("GOOGLETRANSLATE(A31419,""en"",""pt"")"),"pobres de baixa luminosidade fotos")</f>
        <v>pobres de baixa luminosidade fotos</v>
      </c>
      <c r="B31419" s="3">
        <v>0</v>
      </c>
    </row>
    <row r="31420" ht="15.75" customHeight="1" spans="1:2">
      <c r="A31420" s="3" t="str">
        <f>IFERROR(__xludf.DUMMYFUNCTION("GOOGLETRANSLATE(A31420,""en"",""pt"")"),"nenhum eu posso pensar")</f>
        <v>nenhum eu posso pensar</v>
      </c>
      <c r="B31420" s="3">
        <v>0</v>
      </c>
    </row>
    <row r="31421" ht="15.75" customHeight="1" spans="1:2">
      <c r="A31421" s="3" t="str">
        <f>IFERROR(__xludf.DUMMYFUNCTION("GOOGLETRANSLATE(A31421,""en"",""pt"")"),"O tamanho ea lente fixa")</f>
        <v>O tamanho ea lente fixa</v>
      </c>
      <c r="B31421" s="3">
        <v>0</v>
      </c>
    </row>
    <row r="31422" ht="15.75" customHeight="1" spans="1:2">
      <c r="A31422" s="3" t="str">
        <f>IFERROR(__xludf.DUMMYFUNCTION("GOOGLETRANSLATE(A31422,""en"",""pt"")"),"Preço")</f>
        <v>Preço</v>
      </c>
      <c r="B31422" s="3">
        <v>0</v>
      </c>
    </row>
    <row r="31423" ht="15.75" customHeight="1" spans="1:2">
      <c r="A31423" s="3" t="str">
        <f>IFERROR(__xludf.DUMMYFUNCTION("GOOGLETRANSLATE(A31423,""en"",""pt"")"),"Não a mesma resolução como uma foto, mas .... melhor do que uma Polaroid")</f>
        <v>Não a mesma resolução como uma foto, mas .... melhor do que uma Polaroid</v>
      </c>
      <c r="B31423" s="3">
        <v>0</v>
      </c>
    </row>
    <row r="31424" ht="15.75" customHeight="1" spans="1:2">
      <c r="A31424" s="3" t="str">
        <f>IFERROR(__xludf.DUMMYFUNCTION("GOOGLETRANSLATE(A31424,""en"",""pt"")"),"Disquetes meios de mídia partes móveis, preço")</f>
        <v>Disquetes meios de mídia partes móveis, preço</v>
      </c>
      <c r="B31424" s="3">
        <v>0</v>
      </c>
    </row>
    <row r="31425" ht="15.75" customHeight="1" spans="1:2">
      <c r="A31425" s="3" t="str">
        <f>IFERROR(__xludf.DUMMYFUNCTION("GOOGLETRANSLATE(A31425,""en"",""pt"")"),"Capacidade")</f>
        <v>Capacidade</v>
      </c>
      <c r="B31425" s="3">
        <v>0</v>
      </c>
    </row>
    <row r="31426" ht="15.75" customHeight="1" spans="1:2">
      <c r="A31426" s="3" t="str">
        <f>IFERROR(__xludf.DUMMYFUNCTION("GOOGLETRANSLATE(A31426,""en"",""pt"")"),"caros, valor MPEG limitado")</f>
        <v>caros, valor MPEG limitado</v>
      </c>
      <c r="B31426" s="3">
        <v>0</v>
      </c>
    </row>
    <row r="31427" ht="15.75" customHeight="1" spans="1:2">
      <c r="A31427" s="3" t="str">
        <f>IFERROR(__xludf.DUMMYFUNCTION("GOOGLETRANSLATE(A31427,""en"",""pt"")"),"pobre de flash")</f>
        <v>pobre de flash</v>
      </c>
      <c r="B31427" s="3">
        <v>0</v>
      </c>
    </row>
    <row r="31428" ht="15.75" customHeight="1" spans="1:2">
      <c r="A31428" s="3" t="str">
        <f>IFERROR(__xludf.DUMMYFUNCTION("GOOGLETRANSLATE(A31428,""en"",""pt"")"),"Resolução, Custo")</f>
        <v>Resolução, Custo</v>
      </c>
      <c r="B31428" s="3">
        <v>0</v>
      </c>
    </row>
    <row r="31429" ht="15.75" customHeight="1" spans="1:2">
      <c r="A31429" s="3" t="str">
        <f>IFERROR(__xludf.DUMMYFUNCTION("GOOGLETRANSLATE(A31429,""en"",""pt"")"),"Um pouco caro")</f>
        <v>Um pouco caro</v>
      </c>
      <c r="B31429" s="3">
        <v>0</v>
      </c>
    </row>
    <row r="31430" ht="15.75" customHeight="1" spans="1:2">
      <c r="A31430" s="3" t="str">
        <f>IFERROR(__xludf.DUMMYFUNCTION("GOOGLETRANSLATE(A31430,""en"",""pt"")"),"Tamanho")</f>
        <v>Tamanho</v>
      </c>
      <c r="B31430" s="3">
        <v>0</v>
      </c>
    </row>
    <row r="31431" ht="15.75" customHeight="1" spans="1:2">
      <c r="A31431" s="3" t="str">
        <f>IFERROR(__xludf.DUMMYFUNCTION("GOOGLETRANSLATE(A31431,""en"",""pt"")"),"Não consigo encontrar qualquer, é uma ótima câmera")</f>
        <v>Não consigo encontrar qualquer, é uma ótima câmera</v>
      </c>
      <c r="B31431" s="3">
        <v>0</v>
      </c>
    </row>
    <row r="31432" ht="15.75" customHeight="1" spans="1:2">
      <c r="A31432" s="3" t="str">
        <f>IFERROR(__xludf.DUMMYFUNCTION("GOOGLETRANSLATE(A31432,""en"",""pt"")"),"caros, volumosos, um pouco lento")</f>
        <v>caros, volumosos, um pouco lento</v>
      </c>
      <c r="B31432" s="3">
        <v>0</v>
      </c>
    </row>
    <row r="31433" ht="15.75" customHeight="1" spans="1:2">
      <c r="A31433" s="3" t="str">
        <f>IFERROR(__xludf.DUMMYFUNCTION("GOOGLETRANSLATE(A31433,""en"",""pt"")"),"Nenhum")</f>
        <v>Nenhum</v>
      </c>
      <c r="B31433" s="3">
        <v>0</v>
      </c>
    </row>
    <row r="31434" ht="15.75" customHeight="1" spans="1:2">
      <c r="A31434" s="3" t="str">
        <f>IFERROR(__xludf.DUMMYFUNCTION("GOOGLETRANSLATE(A31434,""en"",""pt"")"),"pesado, caro")</f>
        <v>pesado, caro</v>
      </c>
      <c r="B31434" s="3">
        <v>0</v>
      </c>
    </row>
    <row r="31435" ht="15.75" customHeight="1" spans="1:2">
      <c r="A31435" s="3" t="str">
        <f>IFERROR(__xludf.DUMMYFUNCTION("GOOGLETRANSLATE(A31435,""en"",""pt"")"),"Nuffin ...")</f>
        <v>Nuffin ...</v>
      </c>
      <c r="B31435" s="3">
        <v>0</v>
      </c>
    </row>
    <row r="31436" ht="15.75" customHeight="1" spans="1:2">
      <c r="A31436" s="3" t="str">
        <f>IFERROR(__xludf.DUMMYFUNCTION("GOOGLETRANSLATE(A31436,""en"",""pt"")"),"Nenhum ainda")</f>
        <v>Nenhum ainda</v>
      </c>
      <c r="B31436" s="3">
        <v>0</v>
      </c>
    </row>
    <row r="31437" ht="15.75" customHeight="1" spans="1:2">
      <c r="A31437" s="3" t="str">
        <f>IFERROR(__xludf.DUMMYFUNCTION("GOOGLETRANSLATE(A31437,""en"",""pt"")"),"Preço Alto")</f>
        <v>Preço Alto</v>
      </c>
      <c r="B31437" s="3">
        <v>0</v>
      </c>
    </row>
    <row r="31438" ht="15.75" customHeight="1" spans="1:2">
      <c r="A31438" s="3" t="str">
        <f>IFERROR(__xludf.DUMMYFUNCTION("GOOGLETRANSLATE(A31438,""en"",""pt"")"),"fotos dentro de casa-ainda ligeiramente escuras grande")</f>
        <v>fotos dentro de casa-ainda ligeiramente escuras grande</v>
      </c>
      <c r="B31438" s="3">
        <v>0</v>
      </c>
    </row>
    <row r="31439" ht="15.75" customHeight="1" spans="1:2">
      <c r="A31439" s="3" t="str">
        <f>IFERROR(__xludf.DUMMYFUNCTION("GOOGLETRANSLATE(A31439,""en"",""pt"")"),"Sem redução de olhos vermelhos")</f>
        <v>Sem redução de olhos vermelhos</v>
      </c>
      <c r="B31439" s="3">
        <v>0</v>
      </c>
    </row>
    <row r="31440" ht="15.75" customHeight="1" spans="1:2">
      <c r="A31440" s="3" t="str">
        <f>IFERROR(__xludf.DUMMYFUNCTION("GOOGLETRANSLATE(A31440,""en"",""pt"")"),"A qualidade da imagem não é tão boa como a de concorrência")</f>
        <v>A qualidade da imagem não é tão boa como a de concorrência</v>
      </c>
      <c r="B31440" s="3">
        <v>0</v>
      </c>
    </row>
    <row r="31441" ht="15.75" customHeight="1" spans="1:2">
      <c r="A31441" s="3" t="str">
        <f>IFERROR(__xludf.DUMMYFUNCTION("GOOGLETRANSLATE(A31441,""en"",""pt"")"),"deveria ter comprado mais cedo")</f>
        <v>deveria ter comprado mais cedo</v>
      </c>
      <c r="B31441" s="3">
        <v>0</v>
      </c>
    </row>
    <row r="31442" ht="15.75" customHeight="1" spans="1:2">
      <c r="A31442" s="3" t="s">
        <v>181</v>
      </c>
      <c r="B31442" s="3">
        <v>0</v>
      </c>
    </row>
    <row r="31443" ht="15.75" customHeight="1" spans="1:2">
      <c r="A31443" s="3" t="str">
        <f>IFERROR(__xludf.DUMMYFUNCTION("GOOGLETRANSLATE(A31443,""en"",""pt"")"),"Não é ótimo em condições de pouca luz")</f>
        <v>Não é ótimo em condições de pouca luz</v>
      </c>
      <c r="B31443" s="3">
        <v>0</v>
      </c>
    </row>
    <row r="31444" ht="15.75" customHeight="1" spans="1:2">
      <c r="A31444" s="3" t="str">
        <f>IFERROR(__xludf.DUMMYFUNCTION("GOOGLETRANSLATE(A31444,""en"",""pt"")"),"Imagem economizar tempo")</f>
        <v>Imagem economizar tempo</v>
      </c>
      <c r="B31444" s="3">
        <v>0</v>
      </c>
    </row>
    <row r="31445" ht="15.75" customHeight="1" spans="1:2">
      <c r="A31445" s="3" t="str">
        <f>IFERROR(__xludf.DUMMYFUNCTION("GOOGLETRANSLATE(A31445,""en"",""pt"")"),"caro")</f>
        <v>caro</v>
      </c>
      <c r="B31445" s="3">
        <v>0</v>
      </c>
    </row>
    <row r="31446" ht="15.75" customHeight="1" spans="1:2">
      <c r="A31446" s="3" t="str">
        <f>IFERROR(__xludf.DUMMYFUNCTION("GOOGLETRANSLATE(A31446,""en"",""pt"")"),"Low pixals, gravação lenta")</f>
        <v>Low pixals, gravação lenta</v>
      </c>
      <c r="B31446" s="3">
        <v>0</v>
      </c>
    </row>
    <row r="31447" ht="15.75" customHeight="1" spans="1:2">
      <c r="A31447" s="3" t="str">
        <f>IFERROR(__xludf.DUMMYFUNCTION("GOOGLETRANSLATE(A31447,""en"",""pt"")"),"Bastante grande para transportar um longo tempo.")</f>
        <v>Bastante grande para transportar um longo tempo.</v>
      </c>
      <c r="B31447" s="3">
        <v>0</v>
      </c>
    </row>
    <row r="31448" ht="15.75" customHeight="1" spans="1:2">
      <c r="A31448" s="3" t="str">
        <f>IFERROR(__xludf.DUMMYFUNCTION("GOOGLETRANSLATE(A31448,""en"",""pt"")"),"Tamanho")</f>
        <v>Tamanho</v>
      </c>
      <c r="B31448" s="3">
        <v>0</v>
      </c>
    </row>
    <row r="31449" ht="15.75" customHeight="1" spans="1:2">
      <c r="A31449" s="3" t="str">
        <f>IFERROR(__xludf.DUMMYFUNCTION("GOOGLETRANSLATE(A31449,""en"",""pt"")"),"demasiado volumoso, não pode tomar em férias, qualidade e armazenamento limitado")</f>
        <v>demasiado volumoso, não pode tomar em férias, qualidade e armazenamento limitado</v>
      </c>
      <c r="B31449" s="3">
        <v>0</v>
      </c>
    </row>
    <row r="31450" ht="15.75" customHeight="1" spans="1:2">
      <c r="A31450" s="3" t="str">
        <f>IFERROR(__xludf.DUMMYFUNCTION("GOOGLETRANSLATE(A31450,""en"",""pt"")"),"Resolução de imagem")</f>
        <v>Resolução de imagem</v>
      </c>
      <c r="B31450" s="3">
        <v>0</v>
      </c>
    </row>
    <row r="31451" ht="15.75" customHeight="1" spans="1:2">
      <c r="A31451" s="3" t="str">
        <f>IFERROR(__xludf.DUMMYFUNCTION("GOOGLETRANSLATE(A31451,""en"",""pt"")"),"recurso de vídeo é bastante inútil")</f>
        <v>recurso de vídeo é bastante inútil</v>
      </c>
      <c r="B31451" s="3">
        <v>0</v>
      </c>
    </row>
    <row r="31452" ht="15.75" customHeight="1" spans="1:2">
      <c r="A31452" s="3" t="str">
        <f>IFERROR(__xludf.DUMMYFUNCTION("GOOGLETRANSLATE(A31452,""en"",""pt"")"),"volumoso")</f>
        <v>volumoso</v>
      </c>
      <c r="B31452" s="3">
        <v>0</v>
      </c>
    </row>
    <row r="31453" ht="15.75" customHeight="1" spans="1:2">
      <c r="A31453" s="3" t="str">
        <f>IFERROR(__xludf.DUMMYFUNCTION("GOOGLETRANSLATE(A31453,""en"",""pt"")"),"Preço")</f>
        <v>Preço</v>
      </c>
      <c r="B31453" s="3">
        <v>0</v>
      </c>
    </row>
    <row r="31454" ht="15.75" customHeight="1" spans="1:2">
      <c r="A31454" s="3" t="str">
        <f>IFERROR(__xludf.DUMMYFUNCTION("GOOGLETRANSLATE(A31454,""en"",""pt"")"),"grande, piscar fotos não tão grandes")</f>
        <v>grande, piscar fotos não tão grandes</v>
      </c>
      <c r="B31454" s="3">
        <v>0</v>
      </c>
    </row>
    <row r="31455" ht="15.75" customHeight="1" spans="1:2">
      <c r="A31455" s="3" t="str">
        <f>IFERROR(__xludf.DUMMYFUNCTION("GOOGLETRANSLATE(A31455,""en"",""pt"")"),"espaço limitado, volumoso")</f>
        <v>espaço limitado, volumoso</v>
      </c>
      <c r="B31455" s="3">
        <v>0</v>
      </c>
    </row>
    <row r="31456" ht="15.75" customHeight="1" spans="1:2">
      <c r="A31456" s="3" t="str">
        <f>IFERROR(__xludf.DUMMYFUNCTION("GOOGLETRANSLATE(A31456,""en"",""pt"")"),"Caro para um item produzido em massa; Falta de auto-temporizador para MPEGs; Localização do interruptor Zoom")</f>
        <v>Caro para um item produzido em massa; Falta de auto-temporizador para MPEGs; Localização do interruptor Zoom</v>
      </c>
      <c r="B31456" s="3">
        <v>0</v>
      </c>
    </row>
    <row r="31457" ht="15.75" customHeight="1" spans="1:2">
      <c r="A31457" s="3" t="str">
        <f>IFERROR(__xludf.DUMMYFUNCTION("GOOGLETRANSLATE(A31457,""en"",""pt"")"),"Flash fraco, não o melhor em &amp; amp; quot; auto &amp; amp; quot; luz baixa")</f>
        <v>Flash fraco, não o melhor em &amp; amp; quot; auto &amp; amp; quot; luz baixa</v>
      </c>
      <c r="B31457" s="3">
        <v>0</v>
      </c>
    </row>
    <row r="31458" ht="15.75" customHeight="1" spans="1:2">
      <c r="A31458" s="3" t="str">
        <f>IFERROR(__xludf.DUMMYFUNCTION("GOOGLETRANSLATE(A31458,""en"",""pt"")"),"Não para impressões mais de 3x5")</f>
        <v>Não para impressões mais de 3x5</v>
      </c>
      <c r="B31458" s="3">
        <v>0</v>
      </c>
    </row>
    <row r="31459" ht="15.75" customHeight="1" spans="1:2">
      <c r="A31459" s="3" t="str">
        <f>IFERROR(__xludf.DUMMYFUNCTION("GOOGLETRANSLATE(A31459,""en"",""pt"")"),"tamanho é um pouco incómodo")</f>
        <v>tamanho é um pouco incómodo</v>
      </c>
      <c r="B31459" s="3">
        <v>0</v>
      </c>
    </row>
    <row r="31460" ht="15.75" customHeight="1" spans="1:2">
      <c r="A31460" s="3" t="str">
        <f>IFERROR(__xludf.DUMMYFUNCTION("GOOGLETRANSLATE(A31460,""en"",""pt"")"),"-lo caro, mas vale")</f>
        <v>-lo caro, mas vale</v>
      </c>
      <c r="B31460" s="3">
        <v>0</v>
      </c>
    </row>
    <row r="31461" ht="15.75" customHeight="1" spans="1:2">
      <c r="A31461" s="3" t="str">
        <f>IFERROR(__xludf.DUMMYFUNCTION("GOOGLETRANSLATE(A31461,""en"",""pt"")"),"CAMERA é grande, deve comprar ESTOJO [não incluído],")</f>
        <v>CAMERA é grande, deve comprar ESTOJO [não incluído],</v>
      </c>
      <c r="B31461" s="3">
        <v>0</v>
      </c>
    </row>
    <row r="31462" ht="15.75" customHeight="1" spans="1:2">
      <c r="A31462" s="3" t="str">
        <f>IFERROR(__xludf.DUMMYFUNCTION("GOOGLETRANSLATE(A31462,""en"",""pt"")"),"1/60 velocidade do obturador segundo muito rápido para condições de baixa luminosidade.")</f>
        <v>1/60 velocidade do obturador segundo muito rápido para condições de baixa luminosidade.</v>
      </c>
      <c r="B31462" s="3">
        <v>0</v>
      </c>
    </row>
    <row r="31463" ht="15.75" customHeight="1" spans="1:2">
      <c r="A31463" s="3" t="str">
        <f>IFERROR(__xludf.DUMMYFUNCTION("GOOGLETRANSLATE(A31463,""en"",""pt"")"),"O disquete não segurar muito, fotos de baixa luz pode ser granulado (mas muitas vezes solucionáveis)")</f>
        <v>O disquete não segurar muito, fotos de baixa luz pode ser granulado (mas muitas vezes solucionáveis)</v>
      </c>
      <c r="B31463" s="3">
        <v>0</v>
      </c>
    </row>
    <row r="31464" ht="15.75" customHeight="1" spans="1:2">
      <c r="A31464" s="3" t="str">
        <f>IFERROR(__xludf.DUMMYFUNCTION("GOOGLETRANSLATE(A31464,""en"",""pt"")"),"Não sei de nenhum")</f>
        <v>Não sei de nenhum</v>
      </c>
      <c r="B31464" s="3">
        <v>0</v>
      </c>
    </row>
    <row r="31465" ht="15.75" customHeight="1" spans="1:2">
      <c r="A31465" s="3" t="str">
        <f>IFERROR(__xludf.DUMMYFUNCTION("GOOGLETRANSLATE(A31465,""en"",""pt"")"),"Alguns grãos com pouca luz.")</f>
        <v>Alguns grãos com pouca luz.</v>
      </c>
      <c r="B31465" s="3">
        <v>0</v>
      </c>
    </row>
    <row r="31466" ht="15.75" customHeight="1" spans="1:2">
      <c r="A31466" s="3" t="str">
        <f>IFERROR(__xludf.DUMMYFUNCTION("GOOGLETRANSLATE(A31466,""en"",""pt"")"),"Grande. Disquetes pode ser bom ou ruim recurso.")</f>
        <v>Grande. Disquetes pode ser bom ou ruim recurso.</v>
      </c>
      <c r="B31466" s="3">
        <v>0</v>
      </c>
    </row>
    <row r="31467" ht="15.75" customHeight="1" spans="1:2">
      <c r="A31467" s="3" t="str">
        <f>IFERROR(__xludf.DUMMYFUNCTION("GOOGLETRANSLATE(A31467,""en"",""pt"")"),"Não tão boa em baixa luminosidade, podem ser volumosos para mãos pequenas")</f>
        <v>Não tão boa em baixa luminosidade, podem ser volumosos para mãos pequenas</v>
      </c>
      <c r="B31467" s="3">
        <v>0</v>
      </c>
    </row>
    <row r="31468" ht="15.75" customHeight="1" spans="1:2">
      <c r="A31468" s="3" t="str">
        <f>IFERROR(__xludf.DUMMYFUNCTION("GOOGLETRANSLATE(A31468,""en"",""pt"")"),"Um pouco complicado de configurar, mas não é mau.")</f>
        <v>Um pouco complicado de configurar, mas não é mau.</v>
      </c>
      <c r="B31468" s="3">
        <v>0</v>
      </c>
    </row>
    <row r="31469" ht="15.75" customHeight="1" spans="1:2">
      <c r="A31469" s="3" t="str">
        <f>IFERROR(__xludf.DUMMYFUNCTION("GOOGLETRANSLATE(A31469,""en"",""pt"")"),"I encontrar a câmera um pouco volumoso e, portanto, não &amp; amp; quot; calhar &amp; amp; quot; quando longe. Caso contrário, sem queixas.")</f>
        <v>I encontrar a câmera um pouco volumoso e, portanto, não &amp; amp; quot; calhar &amp; amp; quot; quando longe. Caso contrário, sem queixas.</v>
      </c>
      <c r="B31469" s="3">
        <v>0</v>
      </c>
    </row>
    <row r="31470" ht="15.75" customHeight="1" spans="1:2">
      <c r="A31470" s="3" t="str">
        <f>IFERROR(__xludf.DUMMYFUNCTION("GOOGLETRANSLATE(A31470,""en"",""pt"")"),"custos e um volumoso bit")</f>
        <v>custos e um volumoso bit</v>
      </c>
      <c r="B31470" s="3">
        <v>0</v>
      </c>
    </row>
    <row r="31471" ht="15.75" customHeight="1" spans="1:2">
      <c r="A31471" s="3" t="str">
        <f>IFERROR(__xludf.DUMMYFUNCTION("GOOGLETRANSLATE(A31471,""en"",""pt"")"),"Volumoso, reservada principalmente para profissionais em um ambiente de clima controlado, frágil.")</f>
        <v>Volumoso, reservada principalmente para profissionais em um ambiente de clima controlado, frágil.</v>
      </c>
      <c r="B31471" s="3">
        <v>0</v>
      </c>
    </row>
    <row r="31472" ht="15.75" customHeight="1" spans="1:2">
      <c r="A31472" s="3" t="str">
        <f>IFERROR(__xludf.DUMMYFUNCTION("GOOGLETRANSLATE(A31472,""en"",""pt"")"),"grande, de baixa resolução")</f>
        <v>grande, de baixa resolução</v>
      </c>
      <c r="B31472" s="3">
        <v>0</v>
      </c>
    </row>
    <row r="31473" ht="15.75" customHeight="1" spans="1:2">
      <c r="A31473" s="3" t="str">
        <f>IFERROR(__xludf.DUMMYFUNCTION("GOOGLETRANSLATE(A31473,""en"",""pt"")"),"tela LCD vulnerável a arranhões.")</f>
        <v>tela LCD vulnerável a arranhões.</v>
      </c>
      <c r="B31473" s="3">
        <v>0</v>
      </c>
    </row>
    <row r="31474" ht="15.75" customHeight="1" spans="1:2">
      <c r="A31474" s="3" t="str">
        <f>IFERROR(__xludf.DUMMYFUNCTION("GOOGLETRANSLATE(A31474,""en"",""pt"")"),"Ao longo de todos forma poderia ser melhor.")</f>
        <v>Ao longo de todos forma poderia ser melhor.</v>
      </c>
      <c r="B31474" s="3">
        <v>0</v>
      </c>
    </row>
    <row r="31475" ht="15.75" customHeight="1" spans="1:2">
      <c r="A31475" s="3" t="str">
        <f>IFERROR(__xludf.DUMMYFUNCTION("GOOGLETRANSLATE(A31475,""en"",""pt"")"),"Volumoso, não a melhor resolução")</f>
        <v>Volumoso, não a melhor resolução</v>
      </c>
      <c r="B31475" s="3">
        <v>0</v>
      </c>
    </row>
    <row r="31476" ht="15.75" customHeight="1" spans="1:2">
      <c r="A31476" s="3" t="str">
        <f>IFERROR(__xludf.DUMMYFUNCTION("GOOGLETRANSLATE(A31476,""en"",""pt"")"),"Volumosos, Floppys não segurar muito")</f>
        <v>Volumosos, Floppys não segurar muito</v>
      </c>
      <c r="B31476" s="3">
        <v>0</v>
      </c>
    </row>
    <row r="31477" ht="15.75" customHeight="1" spans="1:2">
      <c r="A31477" s="3" t="str">
        <f>IFERROR(__xludf.DUMMYFUNCTION("GOOGLETRANSLATE(A31477,""en"",""pt"")"),"Tipo de caro")</f>
        <v>Tipo de caro</v>
      </c>
      <c r="B31477" s="3">
        <v>0</v>
      </c>
    </row>
    <row r="31478" ht="15.75" customHeight="1" spans="1:2">
      <c r="A31478" s="3" t="str">
        <f>IFERROR(__xludf.DUMMYFUNCTION("GOOGLETRANSLATE(A31478,""en"",""pt"")"),"Volumoso")</f>
        <v>Volumoso</v>
      </c>
      <c r="B31478" s="3">
        <v>0</v>
      </c>
    </row>
    <row r="31479" ht="15.75" customHeight="1" spans="1:2">
      <c r="A31479" s="3" t="str">
        <f>IFERROR(__xludf.DUMMYFUNCTION("GOOGLETRANSLATE(A31479,""en"",""pt"")"),"um pouco volumoso, memory sticks pricy para substituir floppys, só o tempo de carga 90min.")</f>
        <v>um pouco volumoso, memory sticks pricy para substituir floppys, só o tempo de carga 90min.</v>
      </c>
      <c r="B31479" s="3">
        <v>0</v>
      </c>
    </row>
    <row r="31480" ht="15.75" customHeight="1" spans="1:2">
      <c r="A31480" s="3" t="str">
        <f>IFERROR(__xludf.DUMMYFUNCTION("GOOGLETRANSLATE(A31480,""en"",""pt"")"),"unidade de disquete provoca corpo da câmera para ser grande.")</f>
        <v>unidade de disquete provoca corpo da câmera para ser grande.</v>
      </c>
      <c r="B31480" s="3">
        <v>0</v>
      </c>
    </row>
    <row r="31481" ht="15.75" customHeight="1" spans="1:2">
      <c r="A31481" s="3" t="str">
        <f>IFERROR(__xludf.DUMMYFUNCTION("GOOGLETRANSLATE(A31481,""en"",""pt"")"),"qualidade de impressão obsoleta")</f>
        <v>qualidade de impressão obsoleta</v>
      </c>
      <c r="B31481" s="3">
        <v>0</v>
      </c>
    </row>
    <row r="31482" ht="15.75" customHeight="1" spans="1:2">
      <c r="A31482" s="3" t="str">
        <f>IFERROR(__xludf.DUMMYFUNCTION("GOOGLETRANSLATE(A31482,""en"",""pt"")"),"Um pouco volumosos, alguns acham caro")</f>
        <v>Um pouco volumosos, alguns acham caro</v>
      </c>
      <c r="B31482" s="3">
        <v>0</v>
      </c>
    </row>
    <row r="31483" ht="15.75" customHeight="1" spans="1:2">
      <c r="A31483" s="3" t="str">
        <f>IFERROR(__xludf.DUMMYFUNCTION("GOOGLETRANSLATE(A31483,""en"",""pt"")"),"Preço de memory stick")</f>
        <v>Preço de memory stick</v>
      </c>
      <c r="B31483" s="3">
        <v>0</v>
      </c>
    </row>
    <row r="31484" ht="15.75" customHeight="1" spans="1:2">
      <c r="A31484" s="3" t="str">
        <f>IFERROR(__xludf.DUMMYFUNCTION("GOOGLETRANSLATE(A31484,""en"",""pt"")"),"tipo de caro, come baterias como se não houvesse amanhã")</f>
        <v>tipo de caro, come baterias como se não houvesse amanhã</v>
      </c>
      <c r="B31484" s="3">
        <v>0</v>
      </c>
    </row>
    <row r="31485" ht="15.75" customHeight="1" spans="1:2">
      <c r="A31485" s="3" t="str">
        <f>IFERROR(__xludf.DUMMYFUNCTION("GOOGLETRANSLATE(A31485,""en"",""pt"")"),"As imagens não são tão alta qualidade.")</f>
        <v>As imagens não são tão alta qualidade.</v>
      </c>
      <c r="B31485" s="3">
        <v>0</v>
      </c>
    </row>
    <row r="31486" ht="15.75" customHeight="1" spans="1:2">
      <c r="A31486" s="3" t="str">
        <f>IFERROR(__xludf.DUMMYFUNCTION("GOOGLETRANSLATE(A31486,""en"",""pt"")"),"Meio volumoso. Precisa de maior memory stick. No visor, apenas LED dislay.")</f>
        <v>Meio volumoso. Precisa de maior memory stick. No visor, apenas LED dislay.</v>
      </c>
      <c r="B31486" s="3">
        <v>0</v>
      </c>
    </row>
    <row r="31487" ht="15.75" customHeight="1" spans="1:2">
      <c r="A31487" s="3" t="str">
        <f>IFERROR(__xludf.DUMMYFUNCTION("GOOGLETRANSLATE(A31487,""en"",""pt"")"),"Volumosos, preço")</f>
        <v>Volumosos, preço</v>
      </c>
      <c r="B31487" s="3">
        <v>0</v>
      </c>
    </row>
    <row r="31488" ht="15.75" customHeight="1" spans="1:2">
      <c r="A31488" s="3" t="str">
        <f>IFERROR(__xludf.DUMMYFUNCTION("GOOGLETRANSLATE(A31488,""en"",""pt"")"),"disquete, caro")</f>
        <v>disquete, caro</v>
      </c>
      <c r="B31488" s="3">
        <v>0</v>
      </c>
    </row>
    <row r="31489" ht="15.75" customHeight="1" spans="1:2">
      <c r="A31489" s="3" t="str">
        <f>IFERROR(__xludf.DUMMYFUNCTION("GOOGLETRANSLATE(A31489,""en"",""pt"")"),"precisa do cartão de memória, discos somente prender algumas fotos")</f>
        <v>precisa do cartão de memória, discos somente prender algumas fotos</v>
      </c>
      <c r="B31489" s="3">
        <v>0</v>
      </c>
    </row>
    <row r="31490" ht="15.75" customHeight="1" spans="1:2">
      <c r="A31490" s="3" t="str">
        <f>IFERROR(__xludf.DUMMYFUNCTION("GOOGLETRANSLATE(A31490,""en"",""pt"")"),"Pesado, câmera volumosos, lento tirar fotos")</f>
        <v>Pesado, câmera volumosos, lento tirar fotos</v>
      </c>
      <c r="B31490" s="3">
        <v>0</v>
      </c>
    </row>
    <row r="31491" ht="15.75" customHeight="1" spans="1:2">
      <c r="A31491" s="3" t="str">
        <f>IFERROR(__xludf.DUMMYFUNCTION("GOOGLETRANSLATE(A31491,""en"",""pt"")"),"A volumosa bit. Alta compressão de imagens faz com que alguma perda de qualidade.")</f>
        <v>A volumosa bit. Alta compressão de imagens faz com que alguma perda de qualidade.</v>
      </c>
      <c r="B31491" s="3">
        <v>0</v>
      </c>
    </row>
    <row r="31492" ht="15.75" customHeight="1" spans="1:2">
      <c r="A31492" s="3" t="str">
        <f>IFERROR(__xludf.DUMMYFUNCTION("GOOGLETRANSLATE(A31492,""en"",""pt"")"),"armazenamento de disco flexível, bastante grande, curta duração da bateria")</f>
        <v>armazenamento de disco flexível, bastante grande, curta duração da bateria</v>
      </c>
      <c r="B31492" s="3">
        <v>0</v>
      </c>
    </row>
    <row r="31493" ht="15.75" customHeight="1" spans="1:2">
      <c r="A31493" s="3" t="str">
        <f>IFERROR(__xludf.DUMMYFUNCTION("GOOGLETRANSLATE(A31493,""en"",""pt"")"),"Caro - Tamanho Grande")</f>
        <v>Caro - Tamanho Grande</v>
      </c>
      <c r="B31493" s="3">
        <v>0</v>
      </c>
    </row>
    <row r="31494" ht="15.75" customHeight="1" spans="1:2">
      <c r="A31494" s="3" t="str">
        <f>IFERROR(__xludf.DUMMYFUNCTION("GOOGLETRANSLATE(A31494,""en"",""pt"")"),"Congelar imagem desativa a fotografia de ação")</f>
        <v>Congelar imagem desativa a fotografia de ação</v>
      </c>
      <c r="B31494" s="3">
        <v>0</v>
      </c>
    </row>
    <row r="31495" ht="15.75" customHeight="1" spans="1:2">
      <c r="A31495" s="3" t="str">
        <f>IFERROR(__xludf.DUMMYFUNCTION("GOOGLETRANSLATE(A31495,""en"",""pt"")"),"Nenhum")</f>
        <v>Nenhum</v>
      </c>
      <c r="B31495" s="3">
        <v>0</v>
      </c>
    </row>
    <row r="31496" ht="15.75" customHeight="1" spans="1:2">
      <c r="A31496" s="3" t="str">
        <f>IFERROR(__xludf.DUMMYFUNCTION("GOOGLETRANSLATE(A31496,""en"",""pt"")"),"armazenamento disquete só pode lidar com algumas fotos / disco no modo Hi-res.")</f>
        <v>armazenamento disquete só pode lidar com algumas fotos / disco no modo Hi-res.</v>
      </c>
      <c r="B31496" s="3">
        <v>0</v>
      </c>
    </row>
    <row r="31497" ht="15.75" customHeight="1" spans="1:2">
      <c r="A31497" s="3" t="str">
        <f>IFERROR(__xludf.DUMMYFUNCTION("GOOGLETRANSLATE(A31497,""en"",""pt"")"),"Nenhum")</f>
        <v>Nenhum</v>
      </c>
      <c r="B31497" s="3">
        <v>0</v>
      </c>
    </row>
    <row r="31498" ht="15.75" customHeight="1" spans="1:2">
      <c r="A31498" s="3" t="str">
        <f>IFERROR(__xludf.DUMMYFUNCTION("GOOGLETRANSLATE(A31498,""en"",""pt"")"),"tempo de atraso do sistema entre botão de empurrar e tirar a fotografia")</f>
        <v>tempo de atraso do sistema entre botão de empurrar e tirar a fotografia</v>
      </c>
      <c r="B31498" s="3">
        <v>0</v>
      </c>
    </row>
    <row r="31499" ht="15.75" customHeight="1" spans="1:2">
      <c r="A31499" s="3" t="str">
        <f>IFERROR(__xludf.DUMMYFUNCTION("GOOGLETRANSLATE(A31499,""en"",""pt"")"),"Não foi possível encontrar qualquer")</f>
        <v>Não foi possível encontrar qualquer</v>
      </c>
      <c r="B31499" s="3">
        <v>0</v>
      </c>
    </row>
    <row r="31500" ht="15.75" customHeight="1" spans="1:2">
      <c r="A31500" s="3" t="str">
        <f>IFERROR(__xludf.DUMMYFUNCTION("GOOGLETRANSLATE(A31500,""en"",""pt"")"),"tempos de espera inaceitáveis, POBRE serviço ao cliente !!!! Recusando-se a ficar ao produto")</f>
        <v>tempos de espera inaceitáveis, POBRE serviço ao cliente !!!! Recusando-se a ficar ao produto</v>
      </c>
      <c r="B31500" s="3">
        <v>0</v>
      </c>
    </row>
    <row r="31501" ht="15.75" customHeight="1" spans="1:2">
      <c r="A31501" s="3" t="str">
        <f>IFERROR(__xludf.DUMMYFUNCTION("GOOGLETRANSLATE(A31501,""en"",""pt"")"),"muito, muito, caro")</f>
        <v>muito, muito, caro</v>
      </c>
      <c r="B31501" s="3">
        <v>0</v>
      </c>
    </row>
    <row r="31502" ht="15.75" customHeight="1" spans="1:2">
      <c r="A31502" s="3" t="str">
        <f>IFERROR(__xludf.DUMMYFUNCTION("GOOGLETRANSLATE(A31502,""en"",""pt"")"),"Muito grande câmera, pesado.")</f>
        <v>Muito grande câmera, pesado.</v>
      </c>
      <c r="B31502" s="3">
        <v>0</v>
      </c>
    </row>
    <row r="31503" ht="15.75" customHeight="1" spans="1:2">
      <c r="A31503" s="3" t="str">
        <f>IFERROR(__xludf.DUMMYFUNCTION("GOOGLETRANSLATE(A31503,""en"",""pt"")"),"Preço, tamanho, nenhum caso incluído")</f>
        <v>Preço, tamanho, nenhum caso incluído</v>
      </c>
      <c r="B31503" s="3">
        <v>0</v>
      </c>
    </row>
    <row r="31504" ht="15.75" customHeight="1" spans="1:2">
      <c r="A31504" s="3" t="str">
        <f>IFERROR(__xludf.DUMMYFUNCTION("GOOGLETRANSLATE(A31504,""en"",""pt"")"),"tipo de volumoso")</f>
        <v>tipo de volumoso</v>
      </c>
      <c r="B31504" s="3">
        <v>0</v>
      </c>
    </row>
    <row r="31505" ht="15.75" customHeight="1" spans="1:2">
      <c r="A31505" s="3" t="str">
        <f>IFERROR(__xludf.DUMMYFUNCTION("GOOGLETRANSLATE(A31505,""en"",""pt"")"),"Demasiada compressão de arquivo, capacidades pobres de captura de movimento")</f>
        <v>Demasiada compressão de arquivo, capacidades pobres de captura de movimento</v>
      </c>
      <c r="B31505" s="3">
        <v>0</v>
      </c>
    </row>
    <row r="31506" ht="15.75" customHeight="1" spans="1:2">
      <c r="A31506" s="3" t="str">
        <f>IFERROR(__xludf.DUMMYFUNCTION("GOOGLETRANSLATE(A31506,""en"",""pt"")"),"Tamanho, velocidade de gravação, deve usar o flash Sony")</f>
        <v>Tamanho, velocidade de gravação, deve usar o flash Sony</v>
      </c>
      <c r="B31506" s="3">
        <v>0</v>
      </c>
    </row>
    <row r="31507" ht="15.75" customHeight="1" spans="1:2">
      <c r="A31507" s="3" t="str">
        <f>IFERROR(__xludf.DUMMYFUNCTION("GOOGLETRANSLATE(A31507,""en"",""pt"")"),"Um pouco caro")</f>
        <v>Um pouco caro</v>
      </c>
      <c r="B31507" s="3">
        <v>0</v>
      </c>
    </row>
    <row r="31508" ht="15.75" customHeight="1" spans="1:2">
      <c r="A31508" s="3" t="str">
        <f>IFERROR(__xludf.DUMMYFUNCTION("GOOGLETRANSLATE(A31508,""en"",""pt"")"),"As baterias fugir muito rápido.")</f>
        <v>As baterias fugir muito rápido.</v>
      </c>
      <c r="B31508" s="3">
        <v>0</v>
      </c>
    </row>
    <row r="31509" ht="15.75" customHeight="1" spans="1:2">
      <c r="A31509" s="3" t="str">
        <f>IFERROR(__xludf.DUMMYFUNCTION("GOOGLETRANSLATE(A31509,""en"",""pt"")"),"No carregador de bateria externa")</f>
        <v>No carregador de bateria externa</v>
      </c>
      <c r="B31509" s="3">
        <v>0</v>
      </c>
    </row>
    <row r="31510" ht="15.75" customHeight="1" spans="1:2">
      <c r="A31510" s="3" t="str">
        <f>IFERROR(__xludf.DUMMYFUNCTION("GOOGLETRANSLATE(A31510,""en"",""pt"")"),"carregador de bateria; colocação da tira de ombro")</f>
        <v>carregador de bateria; colocação da tira de ombro</v>
      </c>
      <c r="B31510" s="3">
        <v>0</v>
      </c>
    </row>
    <row r="31511" ht="15.75" customHeight="1" spans="1:2">
      <c r="A31511" s="3" t="str">
        <f>IFERROR(__xludf.DUMMYFUNCTION("GOOGLETRANSLATE(A31511,""en"",""pt"")"),"Muito Grande, Só Vem w / One Battery")</f>
        <v>Muito Grande, Só Vem w / One Battery</v>
      </c>
      <c r="B31511" s="3">
        <v>0</v>
      </c>
    </row>
    <row r="31512" ht="15.75" customHeight="1" spans="1:2">
      <c r="A31512" s="3" t="str">
        <f>IFERROR(__xludf.DUMMYFUNCTION("GOOGLETRANSLATE(A31512,""en"",""pt"")"),"Tamanho")</f>
        <v>Tamanho</v>
      </c>
      <c r="B31512" s="3">
        <v>0</v>
      </c>
    </row>
    <row r="31513" ht="15.75" customHeight="1" spans="1:2">
      <c r="A31513" s="3" t="str">
        <f>IFERROR(__xludf.DUMMYFUNCTION("GOOGLETRANSLATE(A31513,""en"",""pt"")"),"Inábil para segurar, espaço foto limitada")</f>
        <v>Inábil para segurar, espaço foto limitada</v>
      </c>
      <c r="B31513" s="3">
        <v>0</v>
      </c>
    </row>
    <row r="31514" ht="15.75" customHeight="1" spans="1:2">
      <c r="A31514" s="3" t="str">
        <f>IFERROR(__xludf.DUMMYFUNCTION("GOOGLETRANSLATE(A31514,""en"",""pt"")"),"não pode chegar a muitas fotos em um disquete.")</f>
        <v>não pode chegar a muitas fotos em um disquete.</v>
      </c>
      <c r="B31514" s="3">
        <v>0</v>
      </c>
    </row>
    <row r="31515" ht="15.75" customHeight="1" spans="1:2">
      <c r="A31515" s="3" t="str">
        <f>IFERROR(__xludf.DUMMYFUNCTION("GOOGLETRANSLATE(A31515,""en"",""pt"")"),"O suporte da Sony é Horrível no melhor!")</f>
        <v>O suporte da Sony é Horrível no melhor!</v>
      </c>
      <c r="B31515" s="3">
        <v>0</v>
      </c>
    </row>
    <row r="31516" ht="15.75" customHeight="1" spans="1:2">
      <c r="A31516" s="3" t="str">
        <f>IFERROR(__xludf.DUMMYFUNCTION("GOOGLETRANSLATE(A31516,""en"",""pt"")"),"Hum. Não que muitas Pics!")</f>
        <v>Hum. Não que muitas Pics!</v>
      </c>
      <c r="B31516" s="3">
        <v>0</v>
      </c>
    </row>
    <row r="31517" ht="15.75" customHeight="1" spans="1:2">
      <c r="A31517" s="3" t="str">
        <f>IFERROR(__xludf.DUMMYFUNCTION("GOOGLETRANSLATE(A31517,""en"",""pt"")"),"LENTO! Especialmente com o Memory Stick / adaptador Combo")</f>
        <v>LENTO! Especialmente com o Memory Stick / adaptador Combo</v>
      </c>
      <c r="B31517" s="3">
        <v>0</v>
      </c>
    </row>
    <row r="31518" ht="15.75" customHeight="1" spans="1:2">
      <c r="A31518" s="3" t="str">
        <f>IFERROR(__xludf.DUMMYFUNCTION("GOOGLETRANSLATE(A31518,""en"",""pt"")"),"botão de controlo para fechar muito inferior da tela para a manipulação fácil.")</f>
        <v>botão de controlo para fechar muito inferior da tela para a manipulação fácil.</v>
      </c>
      <c r="B31518" s="3">
        <v>0</v>
      </c>
    </row>
    <row r="31519" ht="15.75" customHeight="1" spans="1:2">
      <c r="A31519" s="3" t="str">
        <f>IFERROR(__xludf.DUMMYFUNCTION("GOOGLETRANSLATE(A31519,""en"",""pt"")"),"velocidade de processamento lento")</f>
        <v>velocidade de processamento lento</v>
      </c>
      <c r="B31519" s="3">
        <v>0</v>
      </c>
    </row>
    <row r="31520" ht="15.75" customHeight="1" spans="1:2">
      <c r="A31520" s="3" t="str">
        <f>IFERROR(__xludf.DUMMYFUNCTION("GOOGLETRANSLATE(A31520,""en"",""pt"")"),"Leva tempo para aprender as funções e como usar a câmera.")</f>
        <v>Leva tempo para aprender as funções e como usar a câmera.</v>
      </c>
      <c r="B31520" s="3">
        <v>0</v>
      </c>
    </row>
    <row r="31521" ht="15.75" customHeight="1" spans="1:2">
      <c r="A31521" s="3" t="str">
        <f>IFERROR(__xludf.DUMMYFUNCTION("GOOGLETRANSLATE(A31521,""en"",""pt"")"),"Leva muito tempo para imprimir processo")</f>
        <v>Leva muito tempo para imprimir processo</v>
      </c>
      <c r="B31521" s="3">
        <v>0</v>
      </c>
    </row>
    <row r="31522" ht="15.75" customHeight="1" spans="1:2">
      <c r="A31522" s="3" t="str">
        <f>IFERROR(__xludf.DUMMYFUNCTION("GOOGLETRANSLATE(A31522,""en"",""pt"")"),"unidade grande, caro ($ 2500)")</f>
        <v>unidade grande, caro ($ 2500)</v>
      </c>
      <c r="B31522" s="3">
        <v>0</v>
      </c>
    </row>
    <row r="31523" ht="15.75" customHeight="1" spans="1:2">
      <c r="A31523" s="3" t="str">
        <f>IFERROR(__xludf.DUMMYFUNCTION("GOOGLETRANSLATE(A31523,""en"",""pt"")"),"unidade de alto preço e toner")</f>
        <v>unidade de alto preço e toner</v>
      </c>
      <c r="B31523" s="3">
        <v>0</v>
      </c>
    </row>
    <row r="31524" ht="15.75" customHeight="1" spans="1:2">
      <c r="A31524" s="3" t="str">
        <f>IFERROR(__xludf.DUMMYFUNCTION("GOOGLETRANSLATE(A31524,""en"",""pt"")"),"Impressora pesa cerca de 100 libras e não é fácil para mover")</f>
        <v>Impressora pesa cerca de 100 libras e não é fácil para mover</v>
      </c>
      <c r="B31524" s="3">
        <v>0</v>
      </c>
    </row>
    <row r="31525" ht="15.75" customHeight="1" spans="1:2">
      <c r="A31525" s="3" t="str">
        <f>IFERROR(__xludf.DUMMYFUNCTION("GOOGLETRANSLATE(A31525,""en"",""pt"")"),"Tempo de aquecimento -, mas a ponta da tecnologia cara fixou esta")</f>
        <v>Tempo de aquecimento -, mas a ponta da tecnologia cara fixou esta</v>
      </c>
      <c r="B31525" s="3">
        <v>0</v>
      </c>
    </row>
    <row r="31526" ht="15.75" customHeight="1" spans="1:2">
      <c r="A31526" s="3" t="str">
        <f>IFERROR(__xludf.DUMMYFUNCTION("GOOGLETRANSLATE(A31526,""en"",""pt"")"),"Suga tinta e serviço Xerox é pobre.")</f>
        <v>Suga tinta e serviço Xerox é pobre.</v>
      </c>
      <c r="B31526" s="3">
        <v>0</v>
      </c>
    </row>
    <row r="31527" ht="15.75" customHeight="1" spans="1:2">
      <c r="A31527" s="3" t="str">
        <f>IFERROR(__xludf.DUMMYFUNCTION("GOOGLETRANSLATE(A31527,""en"",""pt"")"),"impressões ligeiramente granulada.")</f>
        <v>impressões ligeiramente granulada.</v>
      </c>
      <c r="B31527" s="3">
        <v>0</v>
      </c>
    </row>
    <row r="31528" ht="15.75" customHeight="1" spans="1:2">
      <c r="A31528" s="3" t="str">
        <f>IFERROR(__xludf.DUMMYFUNCTION("GOOGLETRANSLATE(A31528,""en"",""pt"")"),"Nenhum")</f>
        <v>Nenhum</v>
      </c>
      <c r="B31528" s="3">
        <v>0</v>
      </c>
    </row>
    <row r="31529" ht="15.75" customHeight="1" spans="1:2">
      <c r="A31529" s="3" t="str">
        <f>IFERROR(__xludf.DUMMYFUNCTION("GOOGLETRANSLATE(A31529,""en"",""pt"")"),"Eu não consigo pensar em qualquer coisa que eu não gosto")</f>
        <v>Eu não consigo pensar em qualquer coisa que eu não gosto</v>
      </c>
      <c r="B31529" s="3">
        <v>0</v>
      </c>
    </row>
    <row r="31530" ht="15.75" customHeight="1" spans="1:2">
      <c r="A31530" s="3" t="str">
        <f>IFERROR(__xludf.DUMMYFUNCTION("GOOGLETRANSLATE(A31530,""en"",""pt"")"),"A tinta sólida podem ser raspados de papel")</f>
        <v>A tinta sólida podem ser raspados de papel</v>
      </c>
      <c r="B31530" s="3">
        <v>0</v>
      </c>
    </row>
    <row r="31531" ht="15.75" customHeight="1" spans="1:2">
      <c r="A31531" s="3" t="str">
        <f>IFERROR(__xludf.DUMMYFUNCTION("GOOGLETRANSLATE(A31531,""en"",""pt"")"),"Eu não consigo pensar em qualquer coisa que eu não gosto")</f>
        <v>Eu não consigo pensar em qualquer coisa que eu não gosto</v>
      </c>
      <c r="B31531" s="3">
        <v>0</v>
      </c>
    </row>
    <row r="31532" ht="15.75" customHeight="1" spans="1:2">
      <c r="A31532" s="3" t="str">
        <f>IFERROR(__xludf.DUMMYFUNCTION("GOOGLETRANSLATE(A31532,""en"",""pt"")"),"Muitos para mencionar")</f>
        <v>Muitos para mencionar</v>
      </c>
      <c r="B31532" s="3">
        <v>0</v>
      </c>
    </row>
    <row r="31533" ht="15.75" customHeight="1" spans="1:2">
      <c r="A31533" s="3" t="str">
        <f>IFERROR(__xludf.DUMMYFUNCTION("GOOGLETRANSLATE(A31533,""en"",""pt"")"),"caro?")</f>
        <v>caro?</v>
      </c>
      <c r="B31533" s="3">
        <v>0</v>
      </c>
    </row>
    <row r="31534" ht="15.75" customHeight="1" spans="1:2">
      <c r="A31534" s="3" t="str">
        <f>IFERROR(__xludf.DUMMYFUNCTION("GOOGLETRANSLATE(A31534,""en"",""pt"")"),"alta unidade de preço e toner")</f>
        <v>alta unidade de preço e toner</v>
      </c>
      <c r="B31534" s="3">
        <v>0</v>
      </c>
    </row>
    <row r="31535" ht="15.75" customHeight="1" spans="1:2">
      <c r="A31535" s="3" t="str">
        <f>IFERROR(__xludf.DUMMYFUNCTION("GOOGLETRANSLATE(A31535,""en"",""pt"")"),"Não tem muitos é por isso que as pessoas geralmente adoram.")</f>
        <v>Não tem muitos é por isso que as pessoas geralmente adoram.</v>
      </c>
      <c r="B31535" s="3">
        <v>0</v>
      </c>
    </row>
    <row r="31536" ht="15.75" customHeight="1" spans="1:2">
      <c r="A31536" s="3" t="str">
        <f>IFERROR(__xludf.DUMMYFUNCTION("GOOGLETRANSLATE(A31536,""en"",""pt"")"),"Barulhento; resíduos de tinta quando a limpeza de jactos.")</f>
        <v>Barulhento; resíduos de tinta quando a limpeza de jactos.</v>
      </c>
      <c r="B31536" s="3">
        <v>0</v>
      </c>
    </row>
    <row r="31537" ht="15.75" customHeight="1" spans="1:2">
      <c r="A31537" s="3" t="str">
        <f>IFERROR(__xludf.DUMMYFUNCTION("GOOGLETRANSLATE(A31537,""en"",""pt"")"),"tinta de cor é caro, mas o custo por página é ok")</f>
        <v>tinta de cor é caro, mas o custo por página é ok</v>
      </c>
      <c r="B31537" s="3">
        <v>0</v>
      </c>
    </row>
    <row r="31538" ht="15.75" customHeight="1" spans="1:2">
      <c r="A31538" s="3" t="str">
        <f>IFERROR(__xludf.DUMMYFUNCTION("GOOGLETRANSLATE(A31538,""en"",""pt"")"),"7MB construído em memória")</f>
        <v>7MB construído em memória</v>
      </c>
      <c r="B31538" s="3">
        <v>0</v>
      </c>
    </row>
    <row r="31539" ht="15.75" customHeight="1" spans="1:2">
      <c r="A31539" s="3" t="str">
        <f>IFERROR(__xludf.DUMMYFUNCTION("GOOGLETRANSLATE(A31539,""en"",""pt"")"),"design barato da tampa da lente e usb / tampa da tomada AC (não estadia no lugar).")</f>
        <v>design barato da tampa da lente e usb / tampa da tomada AC (não estadia no lugar).</v>
      </c>
      <c r="B31539" s="3">
        <v>0</v>
      </c>
    </row>
    <row r="31540" ht="15.75" customHeight="1" spans="1:2">
      <c r="A31540" s="3" t="str">
        <f>IFERROR(__xludf.DUMMYFUNCTION("GOOGLETRANSLATE(A31540,""en"",""pt"")"),"Nenhum")</f>
        <v>Nenhum</v>
      </c>
      <c r="B31540" s="3">
        <v>0</v>
      </c>
    </row>
    <row r="31541" ht="15.75" customHeight="1" spans="1:2">
      <c r="A31541" s="3" t="str">
        <f>IFERROR(__xludf.DUMMYFUNCTION("GOOGLETRANSLATE(A31541,""en"",""pt"")"),"cartão de memória de 8MB")</f>
        <v>cartão de memória de 8MB</v>
      </c>
      <c r="B31541" s="3">
        <v>0</v>
      </c>
    </row>
    <row r="31542" ht="15.75" customHeight="1" spans="1:2">
      <c r="A31542" s="3" t="str">
        <f>IFERROR(__xludf.DUMMYFUNCTION("GOOGLETRANSLATE(A31542,""en"",""pt"")"),"Pobre, Qualidade Horrível")</f>
        <v>Pobre, Qualidade Horrível</v>
      </c>
      <c r="B31542" s="3">
        <v>0</v>
      </c>
    </row>
    <row r="31543" ht="15.75" customHeight="1" spans="1:2">
      <c r="A31543" s="3" t="str">
        <f>IFERROR(__xludf.DUMMYFUNCTION("GOOGLETRANSLATE(A31543,""en"",""pt"")"),"alcance do flash é muito curto.")</f>
        <v>alcance do flash é muito curto.</v>
      </c>
      <c r="B31543" s="3">
        <v>0</v>
      </c>
    </row>
    <row r="31544" ht="15.75" customHeight="1" spans="1:2">
      <c r="A31544" s="3" t="str">
        <f>IFERROR(__xludf.DUMMYFUNCTION("GOOGLETRANSLATE(A31544,""en"",""pt"")"),"curta duração da bateria")</f>
        <v>curta duração da bateria</v>
      </c>
      <c r="B31544" s="3">
        <v>0</v>
      </c>
    </row>
    <row r="31545" ht="15.75" customHeight="1" spans="1:2">
      <c r="A31545" s="3" t="str">
        <f>IFERROR(__xludf.DUMMYFUNCTION("GOOGLETRANSLATE(A31545,""en"",""pt"")"),"requer colocar em um tampão tampa da lente, velocidade do obturador para a tomada de imagem rápido")</f>
        <v>requer colocar em um tampão tampa da lente, velocidade do obturador para a tomada de imagem rápido</v>
      </c>
      <c r="B31545" s="3">
        <v>0</v>
      </c>
    </row>
    <row r="31546" ht="15.75" customHeight="1" spans="1:2">
      <c r="A31546" s="3" t="str">
        <f>IFERROR(__xludf.DUMMYFUNCTION("GOOGLETRANSLATE(A31546,""en"",""pt"")"),"Shutter Lag")</f>
        <v>Shutter Lag</v>
      </c>
      <c r="B31546" s="3">
        <v>0</v>
      </c>
    </row>
    <row r="31547" ht="15.75" customHeight="1" spans="1:2">
      <c r="A31547" s="3" t="str">
        <f>IFERROR(__xludf.DUMMYFUNCTION("GOOGLETRANSLATE(A31547,""en"",""pt"")"),"Come baterias, embalagem pode não ser o melhor.")</f>
        <v>Come baterias, embalagem pode não ser o melhor.</v>
      </c>
      <c r="B31547" s="3">
        <v>0</v>
      </c>
    </row>
    <row r="31548" ht="15.75" customHeight="1" spans="1:2">
      <c r="A31548" s="3" t="str">
        <f>IFERROR(__xludf.DUMMYFUNCTION("GOOGLETRANSLATE(A31548,""en"",""pt"")"),"Bad LCD. escorredor bateria. Desclassificados fotos.")</f>
        <v>Bad LCD. escorredor bateria. Desclassificados fotos.</v>
      </c>
      <c r="B31548" s="3">
        <v>0</v>
      </c>
    </row>
    <row r="31549" ht="15.75" customHeight="1" spans="1:2">
      <c r="A31549" s="3" t="str">
        <f>IFERROR(__xludf.DUMMYFUNCTION("GOOGLETRANSLATE(A31549,""en"",""pt"")"),"curta duração da bateria.")</f>
        <v>curta duração da bateria.</v>
      </c>
      <c r="B31549" s="3">
        <v>0</v>
      </c>
    </row>
    <row r="31550" ht="15.75" customHeight="1" spans="1:2">
      <c r="A31550" s="3" t="str">
        <f>IFERROR(__xludf.DUMMYFUNCTION("GOOGLETRANSLATE(A31550,""en"",""pt"")"),"junky Cheap. Gastar US $ 50 a mais e obter algo muito melhor!")</f>
        <v>junky Cheap. Gastar US $ 50 a mais e obter algo muito melhor!</v>
      </c>
      <c r="B31550" s="3">
        <v>0</v>
      </c>
    </row>
    <row r="31551" ht="15.75" customHeight="1" spans="1:2">
      <c r="A31551" s="3" t="str">
        <f>IFERROR(__xludf.DUMMYFUNCTION("GOOGLETRANSLATE(A31551,""en"",""pt"")"),"Nenhum, para esta faixa de preço")</f>
        <v>Nenhum, para esta faixa de preço</v>
      </c>
      <c r="B31551" s="3">
        <v>0</v>
      </c>
    </row>
    <row r="31552" ht="15.75" customHeight="1" spans="1:2">
      <c r="A31552" s="3" t="str">
        <f>IFERROR(__xludf.DUMMYFUNCTION("GOOGLETRANSLATE(A31552,""en"",""pt"")"),"No back-up de memória")</f>
        <v>No back-up de memória</v>
      </c>
      <c r="B31552" s="3">
        <v>0</v>
      </c>
    </row>
    <row r="31553" ht="15.75" customHeight="1" spans="1:2">
      <c r="A31553" s="3" t="str">
        <f>IFERROR(__xludf.DUMMYFUNCTION("GOOGLETRANSLATE(A31553,""en"",""pt"")"),"NONE desde o upgrade")</f>
        <v>NONE desde o upgrade</v>
      </c>
      <c r="B31553" s="3">
        <v>0</v>
      </c>
    </row>
    <row r="31554" ht="15.75" customHeight="1" spans="1:2">
      <c r="A31554" s="3" t="str">
        <f>IFERROR(__xludf.DUMMYFUNCTION("GOOGLETRANSLATE(A31554,""en"",""pt"")"),"O Wish que tinha uma tampa automática lente retrátil.")</f>
        <v>O Wish que tinha uma tampa automática lente retrátil.</v>
      </c>
      <c r="B31554" s="3">
        <v>0</v>
      </c>
    </row>
    <row r="31555" ht="15.75" customHeight="1" spans="1:2">
      <c r="A31555" s="3" t="str">
        <f>IFERROR(__xludf.DUMMYFUNCTION("GOOGLETRANSLATE(A31555,""en"",""pt"")"),"Come baterias, Bland IMAGENS!")</f>
        <v>Come baterias, Bland IMAGENS!</v>
      </c>
      <c r="B31555" s="3">
        <v>0</v>
      </c>
    </row>
    <row r="31556" ht="15.75" customHeight="1" spans="1:2">
      <c r="A31556" s="3" t="str">
        <f>IFERROR(__xludf.DUMMYFUNCTION("GOOGLETRANSLATE(A31556,""en"",""pt"")"),"Atraso depois tirando fotos, pobres fotos de baixa luz")</f>
        <v>Atraso depois tirando fotos, pobres fotos de baixa luz</v>
      </c>
      <c r="B31556" s="3">
        <v>0</v>
      </c>
    </row>
    <row r="31557" ht="15.75" customHeight="1" spans="1:2">
      <c r="A31557" s="3" t="str">
        <f>IFERROR(__xludf.DUMMYFUNCTION("GOOGLETRANSLATE(A31557,""en"",""pt"")"),"granulado qualidade de imagem, maus tiros interior ou de baixa luz ao ar livre")</f>
        <v>granulado qualidade de imagem, maus tiros interior ou de baixa luz ao ar livre</v>
      </c>
      <c r="B31557" s="3">
        <v>0</v>
      </c>
    </row>
    <row r="31558" ht="15.75" customHeight="1" spans="1:2">
      <c r="A31558" s="3" t="str">
        <f>IFERROR(__xludf.DUMMYFUNCTION("GOOGLETRANSLATE(A31558,""en"",""pt"")"),"O manual pode ser um pouco complicado")</f>
        <v>O manual pode ser um pouco complicado</v>
      </c>
      <c r="B31558" s="3">
        <v>0</v>
      </c>
    </row>
    <row r="31559" ht="15.75" customHeight="1" spans="1:2">
      <c r="A31559" s="3" t="str">
        <f>IFERROR(__xludf.DUMMYFUNCTION("GOOGLETRANSLATE(A31559,""en"",""pt"")"),"Tela LCD Dim. cap Lousy Lens. Difícil de obter uma boa aderência.")</f>
        <v>Tela LCD Dim. cap Lousy Lens. Difícil de obter uma boa aderência.</v>
      </c>
      <c r="B31559" s="3">
        <v>0</v>
      </c>
    </row>
    <row r="31560" ht="15.75" customHeight="1" spans="1:2">
      <c r="A31560" s="3" t="str">
        <f>IFERROR(__xludf.DUMMYFUNCTION("GOOGLETRANSLATE(A31560,""en"",""pt"")"),"Um pouco pequeno. Tem que encontrar uma posição para as suas mãos para agarrá-lo.")</f>
        <v>Um pouco pequeno. Tem que encontrar uma posição para as suas mãos para agarrá-lo.</v>
      </c>
      <c r="B31560" s="3">
        <v>0</v>
      </c>
    </row>
    <row r="31561" ht="15.75" customHeight="1" spans="1:2">
      <c r="A31561" s="3" t="str">
        <f>IFERROR(__xludf.DUMMYFUNCTION("GOOGLETRANSLATE(A31561,""en"",""pt"")"),"Lens deve ter uma cobertura automática.")</f>
        <v>Lens deve ter uma cobertura automática.</v>
      </c>
      <c r="B31561" s="3">
        <v>0</v>
      </c>
    </row>
    <row r="31562" ht="15.75" customHeight="1" spans="1:2">
      <c r="A31562" s="3" t="str">
        <f>IFERROR(__xludf.DUMMYFUNCTION("GOOGLETRANSLATE(A31562,""en"",""pt"")"),"poderia usar o zoom óptico")</f>
        <v>poderia usar o zoom óptico</v>
      </c>
      <c r="B31562" s="3">
        <v>0</v>
      </c>
    </row>
    <row r="31563" ht="15.75" customHeight="1" spans="1:2">
      <c r="A31563" s="3" t="str">
        <f>IFERROR(__xludf.DUMMYFUNCTION("GOOGLETRANSLATE(A31563,""en"",""pt"")"),"Nenhum mesmo!")</f>
        <v>Nenhum mesmo!</v>
      </c>
      <c r="B31563" s="3">
        <v>0</v>
      </c>
    </row>
    <row r="31564" ht="15.75" customHeight="1" spans="1:2">
      <c r="A31564" s="3" t="str">
        <f>IFERROR(__xludf.DUMMYFUNCTION("GOOGLETRANSLATE(A31564,""en"",""pt"")"),"Muito sensative à luz para a qualidade da foto.")</f>
        <v>Muito sensative à luz para a qualidade da foto.</v>
      </c>
      <c r="B31564" s="3">
        <v>0</v>
      </c>
    </row>
    <row r="31565" ht="15.75" customHeight="1" spans="1:2">
      <c r="A31565" s="3" t="str">
        <f>IFERROR(__xludf.DUMMYFUNCTION("GOOGLETRANSLATE(A31565,""en"",""pt"")"),"Sem zoom óptico, baixa vida útil da bateria.")</f>
        <v>Sem zoom óptico, baixa vida útil da bateria.</v>
      </c>
      <c r="B31565" s="3">
        <v>0</v>
      </c>
    </row>
    <row r="31566" ht="15.75" customHeight="1" spans="1:2">
      <c r="A31566" s="3" t="str">
        <f>IFERROR(__xludf.DUMMYFUNCTION("GOOGLETRANSLATE(A31566,""en"",""pt"")"),"Um pedaço total de porcaria.")</f>
        <v>Um pedaço total de porcaria.</v>
      </c>
      <c r="B31566" s="3">
        <v>0</v>
      </c>
    </row>
    <row r="31567" ht="15.75" customHeight="1" spans="1:2">
      <c r="A31567" s="3" t="str">
        <f>IFERROR(__xludf.DUMMYFUNCTION("GOOGLETRANSLATE(A31567,""en"",""pt"")"),"É lixo.")</f>
        <v>É lixo.</v>
      </c>
      <c r="B31567" s="3">
        <v>0</v>
      </c>
    </row>
    <row r="31568" ht="15.75" customHeight="1" spans="1:2">
      <c r="A31568" s="3" t="str">
        <f>IFERROR(__xludf.DUMMYFUNCTION("GOOGLETRANSLATE(A31568,""en"",""pt"")"),"Pobres fotos indoor, close-ups, e flash.")</f>
        <v>Pobres fotos indoor, close-ups, e flash.</v>
      </c>
      <c r="B31568" s="3">
        <v>0</v>
      </c>
    </row>
    <row r="31569" ht="15.75" customHeight="1" spans="1:2">
      <c r="A31569" s="3" t="str">
        <f>IFERROR(__xludf.DUMMYFUNCTION("GOOGLETRANSLATE(A31569,""en"",""pt"")"),"Bateria requer frequente de carregamento você precisa de uma bateria sobressalente. seletor de modo quebrou duas vezes.")</f>
        <v>Bateria requer frequente de carregamento você precisa de uma bateria sobressalente. seletor de modo quebrou duas vezes.</v>
      </c>
      <c r="B31569" s="3">
        <v>0</v>
      </c>
    </row>
    <row r="31570" ht="15.75" customHeight="1" spans="1:2">
      <c r="A31570" s="3" t="str">
        <f>IFERROR(__xludf.DUMMYFUNCTION("GOOGLETRANSLATE(A31570,""en"",""pt"")"),"proprietária e um pouco de bateria fraca, tripé necessário para não-fotos com flash, sem zoom óptico")</f>
        <v>proprietária e um pouco de bateria fraca, tripé necessário para não-fotos com flash, sem zoom óptico</v>
      </c>
      <c r="B31570" s="3">
        <v>0</v>
      </c>
    </row>
    <row r="31571" ht="15.75" customHeight="1" spans="1:2">
      <c r="A31571" s="3" t="str">
        <f>IFERROR(__xludf.DUMMYFUNCTION("GOOGLETRANSLATE(A31571,""en"",""pt"")"),"A câmara só veio com um carregador de 110 volts. Queimou-se o primeiro dia na Inglaterra, embora tivéssemos um conversor. Toshiba ainda não é o transporte do modelo de 220V, e como resultado, eu tive que comprar um carregador multi-voltagem em uma loja de"&amp;" câmeras no Reino Unido. Quando eu voltar")</f>
        <v>A câmara só veio com um carregador de 110 volts. Queimou-se o primeiro dia na Inglaterra, embora tivéssemos um conversor. Toshiba ainda não é o transporte do modelo de 220V, e como resultado, eu tive que comprar um carregador multi-voltagem em uma loja de câmeras no Reino Unido. Quando eu voltar</v>
      </c>
      <c r="B31571" s="3">
        <v>0</v>
      </c>
    </row>
    <row r="31572" ht="15.75" customHeight="1" spans="1:2">
      <c r="A31572" s="3" t="str">
        <f>IFERROR(__xludf.DUMMYFUNCTION("GOOGLETRANSLATE(A31572,""en"",""pt"")"),"usando o flash, preço, qualidade de baixo-res fotos")</f>
        <v>usando o flash, preço, qualidade de baixo-res fotos</v>
      </c>
      <c r="B31572" s="3">
        <v>0</v>
      </c>
    </row>
    <row r="31573" ht="15.75" customHeight="1" spans="1:2">
      <c r="A31573" s="3" t="str">
        <f>IFERROR(__xludf.DUMMYFUNCTION("GOOGLETRANSLATE(A31573,""en"",""pt"")"),"vida de carga da bateria, nenhum caso")</f>
        <v>vida de carga da bateria, nenhum caso</v>
      </c>
      <c r="B31573" s="3">
        <v>0</v>
      </c>
    </row>
    <row r="31574" ht="15.75" customHeight="1" spans="1:2">
      <c r="A31574" s="3" t="str">
        <f>IFERROR(__xludf.DUMMYFUNCTION("GOOGLETRANSLATE(A31574,""en"",""pt"")"),"difícil de obter os dedos em fios, software ruim")</f>
        <v>difícil de obter os dedos em fios, software ruim</v>
      </c>
      <c r="B31574" s="3">
        <v>0</v>
      </c>
    </row>
    <row r="31575" ht="15.75" customHeight="1" spans="1:2">
      <c r="A31575" s="3" t="str">
        <f>IFERROR(__xludf.DUMMYFUNCTION("GOOGLETRANSLATE(A31575,""en"",""pt"")"),"Sem maleta, bateria pode drenar rapidamente")</f>
        <v>Sem maleta, bateria pode drenar rapidamente</v>
      </c>
      <c r="B31575" s="3">
        <v>0</v>
      </c>
    </row>
    <row r="31576" ht="15.75" customHeight="1" spans="1:2">
      <c r="A31576" s="3" t="str">
        <f>IFERROR(__xludf.DUMMYFUNCTION("GOOGLETRANSLATE(A31576,""en"",""pt"")"),"gostaria que tivesse zoom óptico mais ... mas hey foi apenas US $ 399")</f>
        <v>gostaria que tivesse zoom óptico mais ... mas hey foi apenas US $ 399</v>
      </c>
      <c r="B31576" s="3">
        <v>0</v>
      </c>
    </row>
    <row r="31577" ht="15.75" customHeight="1" spans="1:2">
      <c r="A31577" s="3" t="str">
        <f>IFERROR(__xludf.DUMMYFUNCTION("GOOGLETRANSLATE(A31577,""en"",""pt"")"),"vida útil da bateria, única 2x de zoom")</f>
        <v>vida útil da bateria, única 2x de zoom</v>
      </c>
      <c r="B31577" s="3">
        <v>0</v>
      </c>
    </row>
    <row r="31578" ht="15.75" customHeight="1" spans="1:2">
      <c r="A31578" s="3" t="str">
        <f>IFERROR(__xludf.DUMMYFUNCTION("GOOGLETRANSLATE(A31578,""en"",""pt"")"),"Pode ser demais para aqueles que querem uma câmera mais simples")</f>
        <v>Pode ser demais para aqueles que querem uma câmera mais simples</v>
      </c>
      <c r="B31578" s="3">
        <v>0</v>
      </c>
    </row>
    <row r="31579" ht="15.75" customHeight="1" spans="1:2">
      <c r="A31579" s="3" t="str">
        <f>IFERROR(__xludf.DUMMYFUNCTION("GOOGLETRANSLATE(A31579,""en"",""pt"")"),"nenhuma lente zoom")</f>
        <v>nenhuma lente zoom</v>
      </c>
      <c r="B31579" s="3">
        <v>0</v>
      </c>
    </row>
    <row r="31580" ht="15.75" customHeight="1" spans="1:2">
      <c r="A31580" s="3" t="str">
        <f>IFERROR(__xludf.DUMMYFUNCTION("GOOGLETRANSLATE(A31580,""en"",""pt"")"),"Knob breaks off, e reparação excede o custo da nova câmera.")</f>
        <v>Knob breaks off, e reparação excede o custo da nova câmera.</v>
      </c>
      <c r="B31580" s="3">
        <v>0</v>
      </c>
    </row>
    <row r="31581" ht="15.75" customHeight="1" spans="1:2">
      <c r="A31581" s="3" t="str">
        <f>IFERROR(__xludf.DUMMYFUNCTION("GOOGLETRANSLATE(A31581,""en"",""pt"")"),"Eu não encontrei nenhuma.")</f>
        <v>Eu não encontrei nenhuma.</v>
      </c>
      <c r="B31581" s="3">
        <v>0</v>
      </c>
    </row>
    <row r="31582" ht="15.75" customHeight="1" spans="1:2">
      <c r="A31582" s="3" t="str">
        <f>IFERROR(__xludf.DUMMYFUNCTION("GOOGLETRANSLATE(A31582,""en"",""pt"")"),"parece barato")</f>
        <v>parece barato</v>
      </c>
      <c r="B31582" s="3">
        <v>0</v>
      </c>
    </row>
    <row r="31583" ht="15.75" customHeight="1" spans="1:2">
      <c r="A31583" s="3" t="str">
        <f>IFERROR(__xludf.DUMMYFUNCTION("GOOGLETRANSLATE(A31583,""en"",""pt"")"),"conexão USB para câmera, zoom digital")</f>
        <v>conexão USB para câmera, zoom digital</v>
      </c>
      <c r="B31583" s="3">
        <v>0</v>
      </c>
    </row>
    <row r="31584" ht="15.75" customHeight="1" spans="1:2">
      <c r="A31584" s="3" t="str">
        <f>IFERROR(__xludf.DUMMYFUNCTION("GOOGLETRANSLATE(A31584,""en"",""pt"")"),"curta duração da bateria, somente o zoom digital 2x, baterias caras")</f>
        <v>curta duração da bateria, somente o zoom digital 2x, baterias caras</v>
      </c>
      <c r="B31584" s="3">
        <v>0</v>
      </c>
    </row>
    <row r="31585" ht="15.75" customHeight="1" spans="1:2">
      <c r="A31585" s="3" t="str">
        <f>IFERROR(__xludf.DUMMYFUNCTION("GOOGLETRANSLATE(A31585,""en"",""pt"")"),"computador lento = carregamento lento de imagens")</f>
        <v>computador lento = carregamento lento de imagens</v>
      </c>
      <c r="B31585" s="3">
        <v>0</v>
      </c>
    </row>
    <row r="31586" ht="15.75" customHeight="1" spans="1:2">
      <c r="A31586" s="3" t="str">
        <f>IFERROR(__xludf.DUMMYFUNCTION("GOOGLETRANSLATE(A31586,""en"",""pt"")"),"As fotografias com flash um lamacento pouco, precisa de alguma correção")</f>
        <v>As fotografias com flash um lamacento pouco, precisa de alguma correção</v>
      </c>
      <c r="B31586" s="3">
        <v>0</v>
      </c>
    </row>
    <row r="31587" ht="15.75" customHeight="1" spans="1:2">
      <c r="A31587" s="3" t="str">
        <f>IFERROR(__xludf.DUMMYFUNCTION("GOOGLETRANSLATE(A31587,""en"",""pt"")"),"Low Battery Life, Longo Tempo de Carga")</f>
        <v>Low Battery Life, Longo Tempo de Carga</v>
      </c>
      <c r="B31587" s="3">
        <v>0</v>
      </c>
    </row>
    <row r="31588" ht="15.75" customHeight="1" spans="1:2">
      <c r="A31588" s="3" t="str">
        <f>IFERROR(__xludf.DUMMYFUNCTION("GOOGLETRANSLATE(A31588,""en"",""pt"")"),"Sem zoom óptico, não há suporte USB para Windows 95, grande investimento para uma primeira câmara")</f>
        <v>Sem zoom óptico, não há suporte USB para Windows 95, grande investimento para uma primeira câmara</v>
      </c>
      <c r="B31588" s="3">
        <v>0</v>
      </c>
    </row>
    <row r="31589" ht="15.75" customHeight="1" spans="1:2">
      <c r="A31589" s="3" t="str">
        <f>IFERROR(__xludf.DUMMYFUNCTION("GOOGLETRANSLATE(A31589,""en"",""pt"")"),"cor prata recaia às vezes, zoom é meio um desperdício, por vezes,")</f>
        <v>cor prata recaia às vezes, zoom é meio um desperdício, por vezes,</v>
      </c>
      <c r="B31589" s="3">
        <v>0</v>
      </c>
    </row>
    <row r="31590" ht="15.75" customHeight="1" spans="1:2">
      <c r="A31590" s="3" t="str">
        <f>IFERROR(__xludf.DUMMYFUNCTION("GOOGLETRANSLATE(A31590,""en"",""pt"")"),"Disco de Modo é muito provável a cair.")</f>
        <v>Disco de Modo é muito provável a cair.</v>
      </c>
      <c r="B31590" s="3">
        <v>0</v>
      </c>
    </row>
    <row r="31591" ht="15.75" customHeight="1" spans="1:2">
      <c r="A31591" s="3" t="str">
        <f>IFERROR(__xludf.DUMMYFUNCTION("GOOGLETRANSLATE(A31591,""en"",""pt"")"),"a vida da bateria poderia ser maior")</f>
        <v>a vida da bateria poderia ser maior</v>
      </c>
      <c r="B31591" s="3">
        <v>0</v>
      </c>
    </row>
    <row r="31592" ht="15.75" customHeight="1" spans="1:2">
      <c r="A31592" s="3" t="str">
        <f>IFERROR(__xludf.DUMMYFUNCTION("GOOGLETRANSLATE(A31592,""en"",""pt"")"),"Vem apenas uma correia de pulso; uma alça de pescoço seria melhor")</f>
        <v>Vem apenas uma correia de pulso; uma alça de pescoço seria melhor</v>
      </c>
      <c r="B31592" s="3">
        <v>0</v>
      </c>
    </row>
    <row r="31593" ht="15.75" customHeight="1" spans="1:2">
      <c r="A31593" s="3" t="str">
        <f>IFERROR(__xludf.DUMMYFUNCTION("GOOGLETRANSLATE(A31593,""en"",""pt"")"),"A vida da bateria / impressões ligeiramente escuras.")</f>
        <v>A vida da bateria / impressões ligeiramente escuras.</v>
      </c>
      <c r="B31593" s="3">
        <v>0</v>
      </c>
    </row>
    <row r="31594" ht="15.75" customHeight="1" spans="1:2">
      <c r="A31594" s="3" t="str">
        <f>IFERROR(__xludf.DUMMYFUNCTION("GOOGLETRANSLATE(A31594,""en"",""pt"")"),"Falta de zoom mecânica.")</f>
        <v>Falta de zoom mecânica.</v>
      </c>
      <c r="B31594" s="3">
        <v>0</v>
      </c>
    </row>
    <row r="31595" ht="15.75" customHeight="1" spans="1:2">
      <c r="A31595" s="3" t="str">
        <f>IFERROR(__xludf.DUMMYFUNCTION("GOOGLETRANSLATE(A31595,""en"",""pt"")"),"baterias drenar rapidamente com o uso do LCD, apenas o equivalente a uma película de ISO 100 ..")</f>
        <v>baterias drenar rapidamente com o uso do LCD, apenas o equivalente a uma película de ISO 100 ..</v>
      </c>
      <c r="B31595" s="3">
        <v>0</v>
      </c>
    </row>
    <row r="31596" ht="15.75" customHeight="1" spans="1:2">
      <c r="A31596" s="3" t="str">
        <f>IFERROR(__xludf.DUMMYFUNCTION("GOOGLETRANSLATE(A31596,""en"",""pt"")"),"sem flash interna")</f>
        <v>sem flash interna</v>
      </c>
      <c r="B31596" s="3">
        <v>0</v>
      </c>
    </row>
    <row r="31597" ht="15.75" customHeight="1" spans="1:2">
      <c r="A31597" s="3" t="str">
        <f>IFERROR(__xludf.DUMMYFUNCTION("GOOGLETRANSLATE(A31597,""en"",""pt"")"),"Sub-par qualidade de imagem, sem zoom óptico, você pode obter uma câmera melhor para menos")</f>
        <v>Sub-par qualidade de imagem, sem zoom óptico, você pode obter uma câmera melhor para menos</v>
      </c>
      <c r="B31597" s="3">
        <v>0</v>
      </c>
    </row>
    <row r="31598" ht="15.75" customHeight="1" spans="1:2">
      <c r="A31598" s="3" t="str">
        <f>IFERROR(__xludf.DUMMYFUNCTION("GOOGLETRANSLATE(A31598,""en"",""pt"")"),"A vida da bateria, a qualidade da imagem em 800x600, não maleta")</f>
        <v>A vida da bateria, a qualidade da imagem em 800x600, não maleta</v>
      </c>
      <c r="B31598" s="3">
        <v>0</v>
      </c>
    </row>
    <row r="31599" ht="15.75" customHeight="1" spans="1:2">
      <c r="A31599" s="3" t="str">
        <f>IFERROR(__xludf.DUMMYFUNCTION("GOOGLETRANSLATE(A31599,""en"",""pt"")"),"nenhum foco Optical")</f>
        <v>nenhum foco Optical</v>
      </c>
      <c r="B31599" s="3">
        <v>0</v>
      </c>
    </row>
    <row r="31600" ht="15.75" customHeight="1" spans="1:2">
      <c r="A31600" s="3" t="str">
        <f>IFERROR(__xludf.DUMMYFUNCTION("GOOGLETRANSLATE(A31600,""en"",""pt"")"),"vida útil da bateria ligeiramente baixos")</f>
        <v>vida útil da bateria ligeiramente baixos</v>
      </c>
      <c r="B31600" s="3">
        <v>0</v>
      </c>
    </row>
    <row r="31601" ht="15.75" customHeight="1" spans="1:2">
      <c r="A31601" s="3" t="str">
        <f>IFERROR(__xludf.DUMMYFUNCTION("GOOGLETRANSLATE(A31601,""en"",""pt"")"),"de flash fraco, sem zoom óptico")</f>
        <v>de flash fraco, sem zoom óptico</v>
      </c>
      <c r="B31601" s="3">
        <v>0</v>
      </c>
    </row>
    <row r="31602" ht="15.75" customHeight="1" spans="1:2">
      <c r="A31602" s="3" t="str">
        <f>IFERROR(__xludf.DUMMYFUNCTION("GOOGLETRANSLATE(A31602,""en"",""pt"")"),"Bateria Drenagem / w flash, Bad Iluminação = Bad Fotos")</f>
        <v>Bateria Drenagem / w flash, Bad Iluminação = Bad Fotos</v>
      </c>
      <c r="B31602" s="3">
        <v>0</v>
      </c>
    </row>
    <row r="31603" ht="15.75" customHeight="1" spans="1:2">
      <c r="A31603" s="3" t="str">
        <f>IFERROR(__xludf.DUMMYFUNCTION("GOOGLETRANSLATE(A31603,""en"",""pt"")"),"a vida da bateria poderia ser um pouco mais longo.")</f>
        <v>a vida da bateria poderia ser um pouco mais longo.</v>
      </c>
      <c r="B31603" s="3">
        <v>0</v>
      </c>
    </row>
    <row r="31604" ht="15.75" customHeight="1" spans="1:2">
      <c r="A31604" s="3" t="str">
        <f>IFERROR(__xludf.DUMMYFUNCTION("GOOGLETRANSLATE(A31604,""en"",""pt"")"),"curta duração da bateria, forçado a recarregar vezes")</f>
        <v>curta duração da bateria, forçado a recarregar vezes</v>
      </c>
      <c r="B31604" s="3">
        <v>0</v>
      </c>
    </row>
    <row r="31605" ht="15.75" customHeight="1" spans="1:2">
      <c r="A31605" s="3" t="str">
        <f>IFERROR(__xludf.DUMMYFUNCTION("GOOGLETRANSLATE(A31605,""en"",""pt"")"),"curta vida útil da bateria, flash fraco, sem zoom")</f>
        <v>curta vida útil da bateria, flash fraco, sem zoom</v>
      </c>
      <c r="B31605" s="3">
        <v>0</v>
      </c>
    </row>
    <row r="31606" ht="15.75" customHeight="1" spans="1:2">
      <c r="A31606" s="3" t="str">
        <f>IFERROR(__xludf.DUMMYFUNCTION("GOOGLETRANSLATE(A31606,""en"",""pt"")"),"Camera tem sido na loja três vezes no primeiro ano.")</f>
        <v>Camera tem sido na loja três vezes no primeiro ano.</v>
      </c>
      <c r="B31606" s="3">
        <v>0</v>
      </c>
    </row>
    <row r="31607" ht="15.75" customHeight="1" spans="1:2">
      <c r="A31607" s="3" t="str">
        <f>IFERROR(__xludf.DUMMYFUNCTION("GOOGLETRANSLATE(A31607,""en"",""pt"")"),"um pouco lento, difícil de usar com pouca luz.")</f>
        <v>um pouco lento, difícil de usar com pouca luz.</v>
      </c>
      <c r="B31607" s="3">
        <v>0</v>
      </c>
    </row>
    <row r="31608" ht="15.75" customHeight="1" spans="1:2">
      <c r="A31608" s="3" t="str">
        <f>IFERROR(__xludf.DUMMYFUNCTION("GOOGLETRANSLATE(A31608,""en"",""pt"")"),"nada que eu possa pensar, oh wait, tampa da lente")</f>
        <v>nada que eu possa pensar, oh wait, tampa da lente</v>
      </c>
      <c r="B31608" s="3">
        <v>0</v>
      </c>
    </row>
    <row r="31609" ht="15.75" customHeight="1" spans="1:2">
      <c r="A31609" s="3" t="str">
        <f>IFERROR(__xludf.DUMMYFUNCTION("GOOGLETRANSLATE(A31609,""en"",""pt"")"),"tem que pressionar demasiado duro para tirar uma foto, de olhos vermelhos é óbvio, mesmo com a opção de olhos vermelhos em, difícil encontrar acessórios")</f>
        <v>tem que pressionar demasiado duro para tirar uma foto, de olhos vermelhos é óbvio, mesmo com a opção de olhos vermelhos em, difícil encontrar acessórios</v>
      </c>
      <c r="B31609" s="3">
        <v>0</v>
      </c>
    </row>
    <row r="31610" ht="15.75" customHeight="1" spans="1:2">
      <c r="A31610" s="3" t="str">
        <f>IFERROR(__xludf.DUMMYFUNCTION("GOOGLETRANSLATE(A31610,""en"",""pt"")"),"tampa de borracha da bateria, estilingue barato, e uma tampa da lente de plástico estúpido")</f>
        <v>tampa de borracha da bateria, estilingue barato, e uma tampa da lente de plástico estúpido</v>
      </c>
      <c r="B31610" s="3">
        <v>0</v>
      </c>
    </row>
    <row r="31611" ht="15.75" customHeight="1" spans="1:2">
      <c r="A31611" s="3" t="str">
        <f>IFERROR(__xludf.DUMMYFUNCTION("GOOGLETRANSLATE(A31611,""en"",""pt"")"),"foco lento e um pouco barulhento")</f>
        <v>foco lento e um pouco barulhento</v>
      </c>
      <c r="B31611" s="3">
        <v>0</v>
      </c>
    </row>
    <row r="31612" ht="15.75" customHeight="1" spans="1:2">
      <c r="A31612" s="3" t="str">
        <f>IFERROR(__xludf.DUMMYFUNCTION("GOOGLETRANSLATE(A31612,""en"",""pt"")"),"bateria tempo de recarga")</f>
        <v>bateria tempo de recarga</v>
      </c>
      <c r="B31612" s="3">
        <v>0</v>
      </c>
    </row>
    <row r="31613" ht="15.75" customHeight="1" spans="1:2">
      <c r="A31613" s="3" t="str">
        <f>IFERROR(__xludf.DUMMYFUNCTION("GOOGLETRANSLATE(A31613,""en"",""pt"")"),"baixo luz incidindo é pobre")</f>
        <v>baixo luz incidindo é pobre</v>
      </c>
      <c r="B31613" s="3">
        <v>0</v>
      </c>
    </row>
    <row r="31614" ht="15.75" customHeight="1" spans="1:2">
      <c r="A31614" s="3" t="str">
        <f>IFERROR(__xludf.DUMMYFUNCTION("GOOGLETRANSLATE(A31614,""en"",""pt"")"),"nenhum estojo de transporte, a autonomia da bateria.")</f>
        <v>nenhum estojo de transporte, a autonomia da bateria.</v>
      </c>
      <c r="B31614" s="3">
        <v>0</v>
      </c>
    </row>
    <row r="31615" ht="15.75" customHeight="1" spans="1:2">
      <c r="A31615" s="3" t="str">
        <f>IFERROR(__xludf.DUMMYFUNCTION("GOOGLETRANSLATE(A31615,""en"",""pt"")"),"macro capacidade sub par, foto interior subpar")</f>
        <v>macro capacidade sub par, foto interior subpar</v>
      </c>
      <c r="B31615" s="3">
        <v>0</v>
      </c>
    </row>
    <row r="31616" ht="15.75" customHeight="1" spans="1:2">
      <c r="A31616" s="3" t="str">
        <f>IFERROR(__xludf.DUMMYFUNCTION("GOOGLETRANSLATE(A31616,""en"",""pt"")"),"lento para ligar, sem flash automático")</f>
        <v>lento para ligar, sem flash automático</v>
      </c>
      <c r="B31616" s="3">
        <v>0</v>
      </c>
    </row>
    <row r="31617" ht="15.75" customHeight="1" spans="1:2">
      <c r="A31617" s="3" t="str">
        <f>IFERROR(__xludf.DUMMYFUNCTION("GOOGLETRANSLATE(A31617,""en"",""pt"")"),"Um pouco caro, mas vale a pena")</f>
        <v>Um pouco caro, mas vale a pena</v>
      </c>
      <c r="B31617" s="3">
        <v>0</v>
      </c>
    </row>
    <row r="31618" ht="15.75" customHeight="1" spans="1:2">
      <c r="A31618" s="3" t="str">
        <f>IFERROR(__xludf.DUMMYFUNCTION("GOOGLETRANSLATE(A31618,""en"",""pt"")"),"Pode ser muito caro!")</f>
        <v>Pode ser muito caro!</v>
      </c>
      <c r="B31618" s="3">
        <v>0</v>
      </c>
    </row>
    <row r="31619" ht="15.75" customHeight="1" spans="1:2">
      <c r="A31619" s="3" t="str">
        <f>IFERROR(__xludf.DUMMYFUNCTION("GOOGLETRANSLATE(A31619,""en"",""pt"")"),"Liga-se, baixa qualidade de imagem")</f>
        <v>Liga-se, baixa qualidade de imagem</v>
      </c>
      <c r="B31619" s="3">
        <v>0</v>
      </c>
    </row>
    <row r="31620" ht="15.75" customHeight="1" spans="1:2">
      <c r="A31620" s="3" t="str">
        <f>IFERROR(__xludf.DUMMYFUNCTION("GOOGLETRANSLATE(A31620,""en"",""pt"")"),"Não construído em capacidade de flash sincronia, não add extra em lentes ainda")</f>
        <v>Não construído em capacidade de flash sincronia, não add extra em lentes ainda</v>
      </c>
      <c r="B31620" s="3">
        <v>0</v>
      </c>
    </row>
    <row r="31621" ht="15.75" customHeight="1" spans="1:2">
      <c r="A31621" s="3" t="str">
        <f>IFERROR(__xludf.DUMMYFUNCTION("GOOGLETRANSLATE(A31621,""en"",""pt"")"),"quadro de close ups poderia ser melhor, não através de visão da lente")</f>
        <v>quadro de close ups poderia ser melhor, não através de visão da lente</v>
      </c>
      <c r="B31621" s="3">
        <v>0</v>
      </c>
    </row>
    <row r="31622" ht="15.75" customHeight="1" spans="1:2">
      <c r="A31622" s="3" t="str">
        <f>IFERROR(__xludf.DUMMYFUNCTION("GOOGLETRANSLATE(A31622,""en"",""pt"")"),", Não como tamanho de bolso caro como PDR-M4")</f>
        <v>, Não como tamanho de bolso caro como PDR-M4</v>
      </c>
      <c r="B31622" s="3">
        <v>0</v>
      </c>
    </row>
    <row r="31623" ht="15.75" customHeight="1" spans="1:2">
      <c r="A31623" s="3" t="str">
        <f>IFERROR(__xludf.DUMMYFUNCTION("GOOGLETRANSLATE(A31623,""en"",""pt"")"),"um pouco caro")</f>
        <v>um pouco caro</v>
      </c>
      <c r="B31623" s="3">
        <v>0</v>
      </c>
    </row>
    <row r="31624" ht="15.75" customHeight="1" spans="1:2">
      <c r="A31624" s="3" t="str">
        <f>IFERROR(__xludf.DUMMYFUNCTION("GOOGLETRANSLATE(A31624,""en"",""pt"")"),"design elegante, a vida da bateria")</f>
        <v>design elegante, a vida da bateria</v>
      </c>
      <c r="B31624" s="3">
        <v>0</v>
      </c>
    </row>
    <row r="31625" ht="15.75" customHeight="1" spans="1:2">
      <c r="A31625" s="3" t="str">
        <f>IFERROR(__xludf.DUMMYFUNCTION("GOOGLETRANSLATE(A31625,""en"",""pt"")"),"um pouco frágil, não top-of-the-line de resolução, sem lentes intercambiáveis")</f>
        <v>um pouco frágil, não top-of-the-line de resolução, sem lentes intercambiáveis</v>
      </c>
      <c r="B31625" s="3">
        <v>0</v>
      </c>
    </row>
    <row r="31626" ht="15.75" customHeight="1" spans="1:2">
      <c r="A31626" s="3" t="str">
        <f>IFERROR(__xludf.DUMMYFUNCTION("GOOGLETRANSLATE(A31626,""en"",""pt"")"),"sensíveis ao movimento com pouca luz")</f>
        <v>sensíveis ao movimento com pouca luz</v>
      </c>
      <c r="B31626" s="3">
        <v>0</v>
      </c>
    </row>
    <row r="31627" ht="15.75" customHeight="1" spans="1:2">
      <c r="A31627" s="3" t="str">
        <f>IFERROR(__xludf.DUMMYFUNCTION("GOOGLETRANSLATE(A31627,""en"",""pt"")"),"não trabalho")</f>
        <v>não trabalho</v>
      </c>
      <c r="B31627" s="3">
        <v>0</v>
      </c>
    </row>
    <row r="31628" ht="15.75" customHeight="1" spans="1:2">
      <c r="A31628" s="3" t="str">
        <f>IFERROR(__xludf.DUMMYFUNCTION("GOOGLETRANSLATE(A31628,""en"",""pt"")"),"Dificuldade com o foco de luz baixa, tem que parar de se concentrar, &amp; amp; quot; Off &amp; amp; quot; posicionamento")</f>
        <v>Dificuldade com o foco de luz baixa, tem que parar de se concentrar, &amp; amp; quot; Off &amp; amp; quot; posicionamento</v>
      </c>
      <c r="B31628" s="3">
        <v>0</v>
      </c>
    </row>
    <row r="31629" ht="15.75" customHeight="1" spans="1:2">
      <c r="A31629" s="3" t="str">
        <f>IFERROR(__xludf.DUMMYFUNCTION("GOOGLETRANSLATE(A31629,""en"",""pt"")"),"lente, software que está incluído")</f>
        <v>lente, software que está incluído</v>
      </c>
      <c r="B31629" s="3">
        <v>0</v>
      </c>
    </row>
    <row r="31630" ht="15.75" customHeight="1" spans="1:2">
      <c r="A31630" s="3" t="str">
        <f>IFERROR(__xludf.DUMMYFUNCTION("GOOGLETRANSLATE(A31630,""en"",""pt"")"),"Um pouco caro")</f>
        <v>Um pouco caro</v>
      </c>
      <c r="B31630" s="3">
        <v>0</v>
      </c>
    </row>
    <row r="31631" ht="15.75" customHeight="1" spans="1:2">
      <c r="A31631" s="3" t="str">
        <f>IFERROR(__xludf.DUMMYFUNCTION("GOOGLETRANSLATE(A31631,""en"",""pt"")"),"fotos de má qualidade, muito lentas")</f>
        <v>fotos de má qualidade, muito lentas</v>
      </c>
      <c r="B31631" s="3">
        <v>0</v>
      </c>
    </row>
    <row r="31632" ht="15.75" customHeight="1" spans="1:2">
      <c r="A31632" s="3" t="str">
        <f>IFERROR(__xludf.DUMMYFUNCTION("GOOGLETRANSLATE(A31632,""en"",""pt"")"),"sensação barato, tampa da lente CRAPPY")</f>
        <v>sensação barato, tampa da lente CRAPPY</v>
      </c>
      <c r="B31632" s="3">
        <v>0</v>
      </c>
    </row>
    <row r="31633" ht="15.75" customHeight="1" spans="1:2">
      <c r="A31633" s="3" t="str">
        <f>IFERROR(__xludf.DUMMYFUNCTION("GOOGLETRANSLATE(A31633,""en"",""pt"")"),"um volumoso bit")</f>
        <v>um volumoso bit</v>
      </c>
      <c r="B31633" s="3">
        <v>0</v>
      </c>
    </row>
    <row r="31634" ht="15.75" customHeight="1" spans="1:2">
      <c r="A31634" s="3" t="str">
        <f>IFERROR(__xludf.DUMMYFUNCTION("GOOGLETRANSLATE(A31634,""en"",""pt"")"),"gostaria que tivesse mais zoom")</f>
        <v>gostaria que tivesse mais zoom</v>
      </c>
      <c r="B31634" s="3">
        <v>0</v>
      </c>
    </row>
    <row r="31635" ht="15.75" customHeight="1" spans="1:2">
      <c r="A31635" s="3" t="str">
        <f>IFERROR(__xludf.DUMMYFUNCTION("GOOGLETRANSLATE(A31635,""en"",""pt"")"),"Muitos escolha para a qualidade da foto")</f>
        <v>Muitos escolha para a qualidade da foto</v>
      </c>
      <c r="B31635" s="3">
        <v>0</v>
      </c>
    </row>
    <row r="31636" ht="15.75" customHeight="1" spans="1:2">
      <c r="A31636" s="3" t="str">
        <f>IFERROR(__xludf.DUMMYFUNCTION("GOOGLETRANSLATE(A31636,""en"",""pt"")"),"Alguns problemas de iluminação (mas poderia ser erro do usuário!)")</f>
        <v>Alguns problemas de iluminação (mas poderia ser erro do usuário!)</v>
      </c>
      <c r="B31636" s="3">
        <v>0</v>
      </c>
    </row>
    <row r="31637" ht="15.75" customHeight="1" spans="1:2">
      <c r="A31637" s="3" t="str">
        <f>IFERROR(__xludf.DUMMYFUNCTION("GOOGLETRANSLATE(A31637,""en"",""pt"")"),"Come baterias .. mas Olá ... o mesmo acontece com todas as câmeras digitais !!!")</f>
        <v>Come baterias .. mas Olá ... o mesmo acontece com todas as câmeras digitais !!!</v>
      </c>
      <c r="B31637" s="3">
        <v>0</v>
      </c>
    </row>
    <row r="31638" ht="15.75" customHeight="1" spans="1:2">
      <c r="A31638" s="3" t="str">
        <f>IFERROR(__xludf.DUMMYFUNCTION("GOOGLETRANSLATE(A31638,""en"",""pt"")"),"Clumsy porta da bateria")</f>
        <v>Clumsy porta da bateria</v>
      </c>
      <c r="B31638" s="3">
        <v>0</v>
      </c>
    </row>
    <row r="31639" ht="15.75" customHeight="1" spans="1:2">
      <c r="A31639" s="3" t="str">
        <f>IFERROR(__xludf.DUMMYFUNCTION("GOOGLETRANSLATE(A31639,""en"",""pt"")"),"tem que manter a fita na porta da bateria, design pobre")</f>
        <v>tem que manter a fita na porta da bateria, design pobre</v>
      </c>
      <c r="B31639" s="3">
        <v>0</v>
      </c>
    </row>
    <row r="31640" ht="15.75" customHeight="1" spans="1:2">
      <c r="A31640" s="3" t="str">
        <f>IFERROR(__xludf.DUMMYFUNCTION("GOOGLETRANSLATE(A31640,""en"",""pt"")"),"porta da bateria pobres, longa demora para fotos, controles pobres")</f>
        <v>porta da bateria pobres, longa demora para fotos, controles pobres</v>
      </c>
      <c r="B31640" s="3">
        <v>0</v>
      </c>
    </row>
    <row r="31641" ht="15.75" customHeight="1" spans="1:2">
      <c r="A31641" s="3" t="str">
        <f>IFERROR(__xludf.DUMMYFUNCTION("GOOGLETRANSLATE(A31641,""en"",""pt"")"),"Confuso para uso")</f>
        <v>Confuso para uso</v>
      </c>
      <c r="B31641" s="3">
        <v>0</v>
      </c>
    </row>
    <row r="31642" ht="15.75" customHeight="1" spans="1:2">
      <c r="A31642" s="3" t="str">
        <f>IFERROR(__xludf.DUMMYFUNCTION("GOOGLETRANSLATE(A31642,""en"",""pt"")"),"underexposes interiores fotografias com flash. Modo botão problema broke..common!")</f>
        <v>underexposes interiores fotografias com flash. Modo botão problema broke..common!</v>
      </c>
      <c r="B31642" s="3">
        <v>0</v>
      </c>
    </row>
    <row r="31643" ht="15.75" customHeight="1" spans="1:2">
      <c r="A31643" s="3" t="str">
        <f>IFERROR(__xludf.DUMMYFUNCTION("GOOGLETRANSLATE(A31643,""en"",""pt"")"),"Defeito do fabricante em Design, Flash qualidade muito baixa, apenas 2 Megapixels")</f>
        <v>Defeito do fabricante em Design, Flash qualidade muito baixa, apenas 2 Megapixels</v>
      </c>
      <c r="B31643" s="3">
        <v>0</v>
      </c>
    </row>
    <row r="31644" ht="15.75" customHeight="1" spans="1:2">
      <c r="A31644" s="3" t="str">
        <f>IFERROR(__xludf.DUMMYFUNCTION("GOOGLETRANSLATE(A31644,""en"",""pt"")"),"memória original para pequeno")</f>
        <v>memória original para pequeno</v>
      </c>
      <c r="B31644" s="3">
        <v>0</v>
      </c>
    </row>
    <row r="31645" ht="15.75" customHeight="1" spans="1:2">
      <c r="A31645" s="3" t="str">
        <f>IFERROR(__xludf.DUMMYFUNCTION("GOOGLETRANSLATE(A31645,""en"",""pt"")"),"Necessidade de comprar baterias recarregáveis, cartão de memória maior, e adaptador AC.")</f>
        <v>Necessidade de comprar baterias recarregáveis, cartão de memória maior, e adaptador AC.</v>
      </c>
      <c r="B31645" s="3">
        <v>0</v>
      </c>
    </row>
    <row r="31646" ht="15.75" customHeight="1" spans="1:2">
      <c r="A31646" s="3" t="str">
        <f>IFERROR(__xludf.DUMMYFUNCTION("GOOGLETRANSLATE(A31646,""en"",""pt"")"),"A vida da bateria, USB / Smart Media Card")</f>
        <v>A vida da bateria, USB / Smart Media Card</v>
      </c>
      <c r="B31646" s="3">
        <v>0</v>
      </c>
    </row>
    <row r="31647" ht="15.75" customHeight="1" spans="1:2">
      <c r="A31647" s="3" t="str">
        <f>IFERROR(__xludf.DUMMYFUNCTION("GOOGLETRANSLATE(A31647,""en"",""pt"")"),"Vai deixar você saber como o paciente não estiver")</f>
        <v>Vai deixar você saber como o paciente não estiver</v>
      </c>
      <c r="B31647" s="3">
        <v>0</v>
      </c>
    </row>
    <row r="31648" ht="15.75" customHeight="1" spans="1:2">
      <c r="A31648" s="3" t="str">
        <f>IFERROR(__xludf.DUMMYFUNCTION("GOOGLETRANSLATE(A31648,""en"",""pt"")"),"adaptador AC opcional")</f>
        <v>adaptador AC opcional</v>
      </c>
      <c r="B31648" s="3">
        <v>0</v>
      </c>
    </row>
    <row r="31649" ht="15.75" customHeight="1" spans="1:2">
      <c r="A31649" s="3" t="str">
        <f>IFERROR(__xludf.DUMMYFUNCTION("GOOGLETRANSLATE(A31649,""en"",""pt"")"),"má concepção do compartimento da bateria.")</f>
        <v>má concepção do compartimento da bateria.</v>
      </c>
      <c r="B31649" s="3">
        <v>0</v>
      </c>
    </row>
    <row r="31650" ht="15.75" customHeight="1" spans="1:2">
      <c r="A31650" s="3" t="str">
        <f>IFERROR(__xludf.DUMMYFUNCTION("GOOGLETRANSLATE(A31650,""en"",""pt"")"),"consumo muito elevado da bateria")</f>
        <v>consumo muito elevado da bateria</v>
      </c>
      <c r="B31650" s="3">
        <v>0</v>
      </c>
    </row>
    <row r="31651" ht="15.75" customHeight="1" spans="1:2">
      <c r="A31651" s="3" t="str">
        <f>IFERROR(__xludf.DUMMYFUNCTION("GOOGLETRANSLATE(A31651,""en"",""pt"")"),"Come Baterias como lanches")</f>
        <v>Come Baterias como lanches</v>
      </c>
      <c r="B31651" s="3">
        <v>0</v>
      </c>
    </row>
    <row r="31652" ht="15.75" customHeight="1" spans="1:2">
      <c r="A31652" s="3" t="str">
        <f>IFERROR(__xludf.DUMMYFUNCTION("GOOGLETRANSLATE(A31652,""en"",""pt"")"),"Inaceitavelmente baixa vida útil da bateria de batts AA padrão, não inclui adaptador AC.")</f>
        <v>Inaceitavelmente baixa vida útil da bateria de batts AA padrão, não inclui adaptador AC.</v>
      </c>
      <c r="B31652" s="3">
        <v>0</v>
      </c>
    </row>
    <row r="31653" ht="15.75" customHeight="1" spans="1:2">
      <c r="A31653" s="3" t="str">
        <f>IFERROR(__xludf.DUMMYFUNCTION("GOOGLETRANSLATE(A31653,""en"",""pt"")"),"Mau serviço, caro add-ons")</f>
        <v>Mau serviço, caro add-ons</v>
      </c>
      <c r="B31653" s="3">
        <v>0</v>
      </c>
    </row>
    <row r="31654" ht="15.75" customHeight="1" spans="1:2">
      <c r="A31654" s="3" t="str">
        <f>IFERROR(__xludf.DUMMYFUNCTION("GOOGLETRANSLATE(A31654,""en"",""pt"")"),"má concepção e má conectividade através do USB.")</f>
        <v>má concepção e má conectividade através do USB.</v>
      </c>
      <c r="B31654" s="3">
        <v>0</v>
      </c>
    </row>
    <row r="31655" ht="15.75" customHeight="1" spans="1:2">
      <c r="A31655" s="3" t="str">
        <f>IFERROR(__xludf.DUMMYFUNCTION("GOOGLETRANSLATE(A31655,""en"",""pt"")"),"porta da bateria, precisa de maior cartão de memória.")</f>
        <v>porta da bateria, precisa de maior cartão de memória.</v>
      </c>
      <c r="B31655" s="3">
        <v>0</v>
      </c>
    </row>
    <row r="31656" ht="15.75" customHeight="1" spans="1:2">
      <c r="A31656" s="3" t="str">
        <f>IFERROR(__xludf.DUMMYFUNCTION("GOOGLETRANSLATE(A31656,""en"",""pt"")"),"Battery Eater, problemas de USB, sem um adaptador AC, manual em CD")</f>
        <v>Battery Eater, problemas de USB, sem um adaptador AC, manual em CD</v>
      </c>
      <c r="B31656" s="3">
        <v>0</v>
      </c>
    </row>
    <row r="31657" ht="15.75" customHeight="1" spans="1:2">
      <c r="A31657" s="3" t="str">
        <f>IFERROR(__xludf.DUMMYFUNCTION("GOOGLETRANSLATE(A31657,""en"",""pt"")"),"corpo barato")</f>
        <v>corpo barato</v>
      </c>
      <c r="B31657" s="3">
        <v>0</v>
      </c>
    </row>
    <row r="31658" ht="15.75" customHeight="1" spans="1:2">
      <c r="A31658" s="3" t="str">
        <f>IFERROR(__xludf.DUMMYFUNCTION("GOOGLETRANSLATE(A31658,""en"",""pt"")"),"baterias, 4 mb mediacard, conexão USB")</f>
        <v>baterias, 4 mb mediacard, conexão USB</v>
      </c>
      <c r="B31658" s="3">
        <v>0</v>
      </c>
    </row>
    <row r="31659" ht="15.75" customHeight="1" spans="1:2">
      <c r="A31659" s="3" t="str">
        <f>IFERROR(__xludf.DUMMYFUNCTION("GOOGLETRANSLATE(A31659,""en"",""pt"")"),"adaptador sem alimentação incluída - Manual deve ser impresso")</f>
        <v>adaptador sem alimentação incluída - Manual deve ser impresso</v>
      </c>
      <c r="B31659" s="3">
        <v>0</v>
      </c>
    </row>
    <row r="31660" ht="15.75" customHeight="1" spans="1:2">
      <c r="A31660" s="3" t="str">
        <f>IFERROR(__xludf.DUMMYFUNCTION("GOOGLETRANSLATE(A31660,""en"",""pt"")"),"baixo build / qualidade do projeto")</f>
        <v>baixo build / qualidade do projeto</v>
      </c>
      <c r="B31660" s="3">
        <v>0</v>
      </c>
    </row>
    <row r="31661" ht="15.75" customHeight="1" spans="1:2">
      <c r="A31661" s="3" t="str">
        <f>IFERROR(__xludf.DUMMYFUNCTION("GOOGLETRANSLATE(A31661,""en"",""pt"")"),"Não Carregador de Bateria")</f>
        <v>Não Carregador de Bateria</v>
      </c>
      <c r="B31661" s="3">
        <v>0</v>
      </c>
    </row>
    <row r="31662" ht="15.75" customHeight="1" spans="1:2">
      <c r="A31662" s="3" t="str">
        <f>IFERROR(__xludf.DUMMYFUNCTION("GOOGLETRANSLATE(A31662,""en"",""pt"")"),"câmera não confiável e serviço de garantia pobres pela Toshiba.")</f>
        <v>câmera não confiável e serviço de garantia pobres pela Toshiba.</v>
      </c>
      <c r="B31662" s="3">
        <v>0</v>
      </c>
    </row>
    <row r="31663" ht="15.75" customHeight="1" spans="1:2">
      <c r="A31663" s="3" t="str">
        <f>IFERROR(__xludf.DUMMYFUNCTION("GOOGLETRANSLATE(A31663,""en"",""pt"")"),"adaptador sem AC, único cartão de 4MB")</f>
        <v>adaptador sem AC, único cartão de 4MB</v>
      </c>
      <c r="B31663" s="3">
        <v>0</v>
      </c>
    </row>
    <row r="31664" ht="15.75" customHeight="1" spans="1:2">
      <c r="A31664" s="3" t="str">
        <f>IFERROR(__xludf.DUMMYFUNCTION("GOOGLETRANSLATE(A31664,""en"",""pt"")"),"Pobre desempenho de pouca luz, tampa da lente terrível, bateria proprietária.")</f>
        <v>Pobre desempenho de pouca luz, tampa da lente terrível, bateria proprietária.</v>
      </c>
      <c r="B31664" s="3">
        <v>0</v>
      </c>
    </row>
    <row r="31665" ht="15.75" customHeight="1" spans="1:2">
      <c r="A31665" s="3" t="str">
        <f>IFERROR(__xludf.DUMMYFUNCTION("GOOGLETRANSLATE(A31665,""en"",""pt"")"),"Tampa da lente")</f>
        <v>Tampa da lente</v>
      </c>
      <c r="B31665" s="3">
        <v>0</v>
      </c>
    </row>
    <row r="31666" ht="15.75" customHeight="1" spans="1:2">
      <c r="A31666" s="3" t="str">
        <f>IFERROR(__xludf.DUMMYFUNCTION("GOOGLETRANSLATE(A31666,""en"",""pt"")"),"Cap Lens, bateria Expensive")</f>
        <v>Cap Lens, bateria Expensive</v>
      </c>
      <c r="B31666" s="3">
        <v>0</v>
      </c>
    </row>
    <row r="31667" ht="15.75" customHeight="1" spans="1:2">
      <c r="A31667" s="3" t="str">
        <f>IFERROR(__xludf.DUMMYFUNCTION("GOOGLETRANSLATE(A31667,""en"",""pt"")"),"Bateria e tempo de carregamento")</f>
        <v>Bateria e tempo de carregamento</v>
      </c>
      <c r="B31667" s="3">
        <v>0</v>
      </c>
    </row>
    <row r="31668" ht="15.75" customHeight="1" spans="1:2">
      <c r="A31668" s="3" t="str">
        <f>IFERROR(__xludf.DUMMYFUNCTION("GOOGLETRANSLATE(A31668,""en"",""pt"")"),"Não particularmente atraente.")</f>
        <v>Não particularmente atraente.</v>
      </c>
      <c r="B31668" s="3">
        <v>0</v>
      </c>
    </row>
    <row r="31669" ht="15.75" customHeight="1" spans="1:2">
      <c r="A31669" s="3" t="str">
        <f>IFERROR(__xludf.DUMMYFUNCTION("GOOGLETRANSLATE(A31669,""en"",""pt"")"),"sem tampa da lente")</f>
        <v>sem tampa da lente</v>
      </c>
      <c r="B31669" s="3">
        <v>0</v>
      </c>
    </row>
    <row r="31670" ht="15.75" customHeight="1" spans="1:2">
      <c r="A31670" s="3" t="str">
        <f>IFERROR(__xludf.DUMMYFUNCTION("GOOGLETRANSLATE(A31670,""en"",""pt"")"),"interacções de controlo complexos")</f>
        <v>interacções de controlo complexos</v>
      </c>
      <c r="B31670" s="3">
        <v>0</v>
      </c>
    </row>
    <row r="31671" ht="15.75" customHeight="1" spans="1:2">
      <c r="A31671" s="3" t="str">
        <f>IFERROR(__xludf.DUMMYFUNCTION("GOOGLETRANSLATE(A31671,""en"",""pt"")"),"(Minor) não vai baixar USB direto com o Windows 95 - leva 98 ou acima. Pode ouvir o foco automático, auto abertura durante a filmes com baixo ruído de fundo.")</f>
        <v>(Minor) não vai baixar USB direto com o Windows 95 - leva 98 ou acima. Pode ouvir o foco automático, auto abertura durante a filmes com baixo ruído de fundo.</v>
      </c>
      <c r="B31671" s="3">
        <v>0</v>
      </c>
    </row>
    <row r="31672" ht="15.75" customHeight="1" spans="1:2">
      <c r="A31672" s="3" t="str">
        <f>IFERROR(__xludf.DUMMYFUNCTION("GOOGLETRANSLATE(A31672,""en"",""pt"")"),"Prompts pode ser um pouco confuso.")</f>
        <v>Prompts pode ser um pouco confuso.</v>
      </c>
      <c r="B31672" s="3">
        <v>0</v>
      </c>
    </row>
    <row r="31673" ht="15.75" customHeight="1" spans="1:2">
      <c r="A31673" s="3" t="str">
        <f>IFERROR(__xludf.DUMMYFUNCTION("GOOGLETRANSLATE(A31673,""en"",""pt"")"),"vida útil da bateria relativamente curta")</f>
        <v>vida útil da bateria relativamente curta</v>
      </c>
      <c r="B31673" s="3">
        <v>0</v>
      </c>
    </row>
    <row r="31674" ht="15.75" customHeight="1" spans="1:2">
      <c r="A31674" s="3" t="str">
        <f>IFERROR(__xludf.DUMMYFUNCTION("GOOGLETRANSLATE(A31674,""en"",""pt"")"),"baixo nível de ruído durante o vídeo, um pouco volumoso.")</f>
        <v>baixo nível de ruído durante o vídeo, um pouco volumoso.</v>
      </c>
      <c r="B31674" s="3">
        <v>0</v>
      </c>
    </row>
    <row r="31675" ht="15.75" customHeight="1" spans="1:2">
      <c r="A31675" s="3" t="str">
        <f>IFERROR(__xludf.DUMMYFUNCTION("GOOGLETRANSLATE(A31675,""en"",""pt"")"),"Tipo de cara")</f>
        <v>Tipo de cara</v>
      </c>
      <c r="B31675" s="3">
        <v>0</v>
      </c>
    </row>
    <row r="31676" ht="15.75" customHeight="1" spans="1:2">
      <c r="A31676" s="3" t="str">
        <f>IFERROR(__xludf.DUMMYFUNCTION("GOOGLETRANSLATE(A31676,""en"",""pt"")"),"ergonomia pobres, usos smartmedia")</f>
        <v>ergonomia pobres, usos smartmedia</v>
      </c>
      <c r="B31676" s="3">
        <v>0</v>
      </c>
    </row>
    <row r="31677" ht="15.75" customHeight="1" spans="1:2">
      <c r="A31677" s="3" t="str">
        <f>IFERROR(__xludf.DUMMYFUNCTION("GOOGLETRANSLATE(A31677,""en"",""pt"")"),"Nenhum")</f>
        <v>Nenhum</v>
      </c>
      <c r="B31677" s="3">
        <v>0</v>
      </c>
    </row>
    <row r="31678" ht="15.75" customHeight="1" spans="1:2">
      <c r="A31678" s="3" t="str">
        <f>IFERROR(__xludf.DUMMYFUNCTION("GOOGLETRANSLATE(A31678,""en"",""pt"")"),"mancha nariz no monitor LCD")</f>
        <v>mancha nariz no monitor LCD</v>
      </c>
      <c r="B31678" s="3">
        <v>0</v>
      </c>
    </row>
    <row r="31679" ht="15.75" customHeight="1" spans="1:2">
      <c r="A31679" s="3" t="str">
        <f>IFERROR(__xludf.DUMMYFUNCTION("GOOGLETRANSLATE(A31679,""en"",""pt"")"),"autofocus não confiável, ergonomia, menu de recursos manuais, zoom barulhento")</f>
        <v>autofocus não confiável, ergonomia, menu de recursos manuais, zoom barulhento</v>
      </c>
      <c r="B31679" s="3">
        <v>0</v>
      </c>
    </row>
    <row r="31680" ht="15.75" customHeight="1" spans="1:2">
      <c r="A31680" s="3" t="str">
        <f>IFERROR(__xludf.DUMMYFUNCTION("GOOGLETRANSLATE(A31680,""en"",""pt"")"),"Caro, volumoso")</f>
        <v>Caro, volumoso</v>
      </c>
      <c r="B31680" s="3">
        <v>0</v>
      </c>
    </row>
    <row r="31681" ht="15.75" customHeight="1" spans="1:2">
      <c r="A31681" s="3" t="str">
        <f>IFERROR(__xludf.DUMMYFUNCTION("GOOGLETRANSLATE(A31681,""en"",""pt"")"),"Muito pequeno, difícil dizer se responde câmera.")</f>
        <v>Muito pequeno, difícil dizer se responde câmera.</v>
      </c>
      <c r="B31681" s="3">
        <v>0</v>
      </c>
    </row>
    <row r="31682" ht="15.75" customHeight="1" spans="1:2">
      <c r="A31682" s="3" t="str">
        <f>IFERROR(__xludf.DUMMYFUNCTION("GOOGLETRANSLATE(A31682,""en"",""pt"")"),"tampa da lente ... que é sobre ele")</f>
        <v>tampa da lente ... que é sobre ele</v>
      </c>
      <c r="B31682" s="3">
        <v>0</v>
      </c>
    </row>
    <row r="31683" ht="15.75" customHeight="1" spans="1:2">
      <c r="A31683" s="3" t="str">
        <f>IFERROR(__xludf.DUMMYFUNCTION("GOOGLETRANSLATE(A31683,""en"",""pt"")"),"$$$")</f>
        <v>$$$</v>
      </c>
      <c r="B31683" s="3">
        <v>0</v>
      </c>
    </row>
    <row r="31684" ht="15.75" customHeight="1" spans="1:2">
      <c r="A31684" s="3" t="str">
        <f>IFERROR(__xludf.DUMMYFUNCTION("GOOGLETRANSLATE(A31684,""en"",""pt"")"),"Diferentes configurações muitos. Lançai fora por um tempo e você esquece como usá-lo.")</f>
        <v>Diferentes configurações muitos. Lançai fora por um tempo e você esquece como usá-lo.</v>
      </c>
      <c r="B31684" s="3">
        <v>0</v>
      </c>
    </row>
    <row r="31685" ht="15.75" customHeight="1" spans="1:2">
      <c r="A31685" s="3" t="str">
        <f>IFERROR(__xludf.DUMMYFUNCTION("GOOGLETRANSLATE(A31685,""en"",""pt"")"),"um pouco caro, tampa da lente")</f>
        <v>um pouco caro, tampa da lente</v>
      </c>
      <c r="B31685" s="3">
        <v>0</v>
      </c>
    </row>
    <row r="31686" ht="15.75" customHeight="1" spans="1:2">
      <c r="A31686" s="3" t="str">
        <f>IFERROR(__xludf.DUMMYFUNCTION("GOOGLETRANSLATE(A31686,""en"",""pt"")"),"transferência USB não muito rápido. Sem zoom. Apenas 1,3 megapixel.")</f>
        <v>transferência USB não muito rápido. Sem zoom. Apenas 1,3 megapixel.</v>
      </c>
      <c r="B31686" s="3">
        <v>0</v>
      </c>
    </row>
    <row r="31687" ht="15.75" customHeight="1" spans="1:2">
      <c r="A31687" s="3" t="str">
        <f>IFERROR(__xludf.DUMMYFUNCTION("GOOGLETRANSLATE(A31687,""en"",""pt"")"),"Má qualidade. Rapidamente consome baterias. No visualizador de imagens na câmera.")</f>
        <v>Má qualidade. Rapidamente consome baterias. No visualizador de imagens na câmera.</v>
      </c>
      <c r="B31687" s="3">
        <v>0</v>
      </c>
    </row>
    <row r="31688" ht="15.75" customHeight="1" spans="1:2">
      <c r="A31688" s="3" t="str">
        <f>IFERROR(__xludf.DUMMYFUNCTION("GOOGLETRANSLATE(A31688,""en"",""pt"")"),"manchas, sem flash, não é muito durável.")</f>
        <v>manchas, sem flash, não é muito durável.</v>
      </c>
      <c r="B31688" s="3">
        <v>0</v>
      </c>
    </row>
    <row r="31689" ht="15.75" customHeight="1" spans="1:2">
      <c r="A31689" s="3" t="str">
        <f>IFERROR(__xludf.DUMMYFUNCTION("GOOGLETRANSLATE(A31689,""en"",""pt"")"),"frágil, não confiável")</f>
        <v>frágil, não confiável</v>
      </c>
      <c r="B31689" s="3">
        <v>0</v>
      </c>
    </row>
    <row r="31690" ht="15.75" customHeight="1" spans="1:2">
      <c r="A31690" s="3" t="str">
        <f>IFERROR(__xludf.DUMMYFUNCTION("GOOGLETRANSLATE(A31690,""en"",""pt"")"),"Não confiável, falta de controle da qualidade, sem zoom")</f>
        <v>Não confiável, falta de controle da qualidade, sem zoom</v>
      </c>
      <c r="B31690" s="3">
        <v>0</v>
      </c>
    </row>
    <row r="31691" ht="15.75" customHeight="1" spans="1:2">
      <c r="A31691" s="3" t="str">
        <f>IFERROR(__xludf.DUMMYFUNCTION("GOOGLETRANSLATE(A31691,""en"",""pt"")"),"Demora para imagem take")</f>
        <v>Demora para imagem take</v>
      </c>
      <c r="B31691" s="3">
        <v>0</v>
      </c>
    </row>
    <row r="31692" ht="15.75" customHeight="1" spans="1:2">
      <c r="A31692" s="3" t="str">
        <f>IFERROR(__xludf.DUMMYFUNCTION("GOOGLETRANSLATE(A31692,""en"",""pt"")"),"dreno de bateria pesado quando LCD on, use baterias recarregáveis ​​para melhor economia.")</f>
        <v>dreno de bateria pesado quando LCD on, use baterias recarregáveis ​​para melhor economia.</v>
      </c>
      <c r="B31692" s="3">
        <v>0</v>
      </c>
    </row>
    <row r="31693" ht="15.75" customHeight="1" spans="1:2">
      <c r="A31693" s="3" t="str">
        <f>IFERROR(__xludf.DUMMYFUNCTION("GOOGLETRANSLATE(A31693,""en"",""pt"")"),"não muito fácil de configurar se você não tem a configuração necessária")</f>
        <v>não muito fácil de configurar se você não tem a configuração necessária</v>
      </c>
      <c r="B31693" s="3">
        <v>0</v>
      </c>
    </row>
    <row r="31694" ht="15.75" customHeight="1" spans="1:2">
      <c r="A31694" s="3" t="str">
        <f>IFERROR(__xludf.DUMMYFUNCTION("GOOGLETRANSLATE(A31694,""en"",""pt"")"),"qualidade terrível")</f>
        <v>qualidade terrível</v>
      </c>
      <c r="B31694" s="3">
        <v>0</v>
      </c>
    </row>
    <row r="31695" ht="15.75" customHeight="1" spans="1:2">
      <c r="A31695" s="3" t="str">
        <f>IFERROR(__xludf.DUMMYFUNCTION("GOOGLETRANSLATE(A31695,""en"",""pt"")"),"Necessidades Windows 98 em portas USB menos e.")</f>
        <v>Necessidades Windows 98 em portas USB menos e.</v>
      </c>
      <c r="B31695" s="3">
        <v>0</v>
      </c>
    </row>
    <row r="31696" ht="15.75" customHeight="1" spans="1:2">
      <c r="A31696" s="3" t="str">
        <f>IFERROR(__xludf.DUMMYFUNCTION("GOOGLETRANSLATE(A31696,""en"",""pt"")"),"Nenhum")</f>
        <v>Nenhum</v>
      </c>
      <c r="B31696" s="3">
        <v>0</v>
      </c>
    </row>
    <row r="31697" ht="15.75" customHeight="1" spans="1:2">
      <c r="A31697" s="3" t="str">
        <f>IFERROR(__xludf.DUMMYFUNCTION("GOOGLETRANSLATE(A31697,""en"",""pt"")"),"qualidade da foto")</f>
        <v>qualidade da foto</v>
      </c>
      <c r="B31697" s="3">
        <v>0</v>
      </c>
    </row>
    <row r="31698" ht="15.75" customHeight="1" spans="1:2">
      <c r="A31698" s="3" t="str">
        <f>IFERROR(__xludf.DUMMYFUNCTION("GOOGLETRANSLATE(A31698,""en"",""pt"")"),"aparência de produção apressado. Manual de recursos ausentes! &amp; Amp; # 13; &amp; amp; # 10; O controle de qualidade pode estragar excelente produto otherwhise &amp; amp;. # 13; &amp; amp; # 10; alguns extras.")</f>
        <v>aparência de produção apressado. Manual de recursos ausentes! &amp; Amp; # 13; &amp; amp; # 10; O controle de qualidade pode estragar excelente produto otherwhise &amp; amp;. # 13; &amp; amp; # 10; alguns extras.</v>
      </c>
      <c r="B31698" s="3">
        <v>0</v>
      </c>
    </row>
    <row r="31699" ht="15.75" customHeight="1" spans="1:2">
      <c r="A31699" s="3" t="str">
        <f>IFERROR(__xludf.DUMMYFUNCTION("GOOGLETRANSLATE(A31699,""en"",""pt"")"),"aparência de produção apressado. Manual de recursos ausentes! preocupações de controle de qualidade. Alguns extras.")</f>
        <v>aparência de produção apressado. Manual de recursos ausentes! preocupações de controle de qualidade. Alguns extras.</v>
      </c>
      <c r="B31699" s="3">
        <v>0</v>
      </c>
    </row>
    <row r="31700" ht="15.75" customHeight="1" spans="1:2">
      <c r="A31700" s="3" t="str">
        <f>IFERROR(__xludf.DUMMYFUNCTION("GOOGLETRANSLATE(A31700,""en"",""pt"")"),"Extremamente frágil. Eu tinha um DOA já. No Flash, fotos, por vezes desfocadas.")</f>
        <v>Extremamente frágil. Eu tinha um DOA já. No Flash, fotos, por vezes desfocadas.</v>
      </c>
      <c r="B31700" s="3">
        <v>0</v>
      </c>
    </row>
    <row r="31701" ht="15.75" customHeight="1" spans="1:2">
      <c r="A31701" s="3" t="str">
        <f>IFERROR(__xludf.DUMMYFUNCTION("GOOGLETRANSLATE(A31701,""en"",""pt"")"),"Você perde as configurações da câmera quando está desligado.")</f>
        <v>Você perde as configurações da câmera quando está desligado.</v>
      </c>
      <c r="B31701" s="3">
        <v>0</v>
      </c>
    </row>
    <row r="31702" ht="15.75" customHeight="1" spans="1:2">
      <c r="A31702" s="3" t="str">
        <f>IFERROR(__xludf.DUMMYFUNCTION("GOOGLETRANSLATE(A31702,""en"",""pt"")"),"Off visor centro, imagens de baixa qualidade.")</f>
        <v>Off visor centro, imagens de baixa qualidade.</v>
      </c>
      <c r="B31702" s="3">
        <v>0</v>
      </c>
    </row>
    <row r="31703" ht="15.75" customHeight="1" spans="1:2">
      <c r="A31703" s="3" t="str">
        <f>IFERROR(__xludf.DUMMYFUNCTION("GOOGLETRANSLATE(A31703,""en"",""pt"")"),"Modo e botões de seleção são muito pequenas.")</f>
        <v>Modo e botões de seleção são muito pequenas.</v>
      </c>
      <c r="B31703" s="3">
        <v>0</v>
      </c>
    </row>
    <row r="31704" ht="15.75" customHeight="1" spans="1:2">
      <c r="A31704" s="3" t="str">
        <f>IFERROR(__xludf.DUMMYFUNCTION("GOOGLETRANSLATE(A31704,""en"",""pt"")"),"Acompanhando software é muito simples. Tudo que você precisa é o Adobe Photoshop.")</f>
        <v>Acompanhando software é muito simples. Tudo que você precisa é o Adobe Photoshop.</v>
      </c>
      <c r="B31704" s="3">
        <v>0</v>
      </c>
    </row>
    <row r="31705" ht="15.75" customHeight="1" spans="1:2">
      <c r="A31705" s="3" t="str">
        <f>IFERROR(__xludf.DUMMYFUNCTION("GOOGLETRANSLATE(A31705,""en"",""pt"")"),"Borradas fotos com cartão de memória Não")</f>
        <v>Borradas fotos com cartão de memória Não</v>
      </c>
      <c r="B31705" s="3">
        <v>0</v>
      </c>
    </row>
    <row r="31706" ht="15.75" customHeight="1" spans="1:2">
      <c r="A31706" s="3" t="str">
        <f>IFERROR(__xludf.DUMMYFUNCTION("GOOGLETRANSLATE(A31706,""en"",""pt"")"),"Ridículo que um controles de botão único de todos os modos.")</f>
        <v>Ridículo que um controles de botão único de todos os modos.</v>
      </c>
      <c r="B31706" s="3">
        <v>0</v>
      </c>
    </row>
    <row r="31707" ht="15.75" customHeight="1" spans="1:2">
      <c r="A31707" s="3" t="str">
        <f>IFERROR(__xludf.DUMMYFUNCTION("GOOGLETRANSLATE(A31707,""en"",""pt"")"),"comedor da bateria, menu de horrível, mas você obtém o que você paga")</f>
        <v>comedor da bateria, menu de horrível, mas você obtém o que você paga</v>
      </c>
      <c r="B31707" s="3">
        <v>0</v>
      </c>
    </row>
    <row r="31708" ht="15.75" customHeight="1" spans="1:2">
      <c r="A31708" s="3" t="str">
        <f>IFERROR(__xludf.DUMMYFUNCTION("GOOGLETRANSLATE(A31708,""en"",""pt"")"),"sistema de controle deve ter sido projetado por um sub-comitê do Congresso.")</f>
        <v>sistema de controle deve ter sido projetado por um sub-comitê do Congresso.</v>
      </c>
      <c r="B31708" s="3">
        <v>0</v>
      </c>
    </row>
    <row r="31709" ht="15.75" customHeight="1" spans="1:2">
      <c r="A31709" s="3" t="str">
        <f>IFERROR(__xludf.DUMMYFUNCTION("GOOGLETRANSLATE(A31709,""en"",""pt"")"),"Pré-visualização imagem lcd.")</f>
        <v>Pré-visualização imagem lcd.</v>
      </c>
      <c r="B31709" s="3">
        <v>0</v>
      </c>
    </row>
    <row r="31710" ht="15.75" customHeight="1" spans="1:2">
      <c r="A31710" s="3" t="str">
        <f>IFERROR(__xludf.DUMMYFUNCTION("GOOGLETRANSLATE(A31710,""en"",""pt"")"),"Não existem verdadeiras funções ""fantasia"". No display digital para visualização.")</f>
        <v>Não existem verdadeiras funções "fantasia". No display digital para visualização.</v>
      </c>
      <c r="B31710" s="3">
        <v>0</v>
      </c>
    </row>
    <row r="31711" ht="15.75" customHeight="1" spans="1:2">
      <c r="A31711" s="3" t="str">
        <f>IFERROR(__xludf.DUMMYFUNCTION("GOOGLETRANSLATE(A31711,""en"",""pt"")"),"direções muito ruins")</f>
        <v>direções muito ruins</v>
      </c>
      <c r="B31711" s="3">
        <v>0</v>
      </c>
    </row>
    <row r="31712" ht="15.75" customHeight="1" spans="1:2">
      <c r="A31712" s="3" t="str">
        <f>IFERROR(__xludf.DUMMYFUNCTION("GOOGLETRANSLATE(A31712,""en"",""pt"")"),"controles não intuitivos, sem zoom, e tende a mais ou fotos underexpose")</f>
        <v>controles não intuitivos, sem zoom, e tende a mais ou fotos underexpose</v>
      </c>
      <c r="B31712" s="3">
        <v>0</v>
      </c>
    </row>
    <row r="31713" ht="15.75" customHeight="1" spans="1:2">
      <c r="A31713" s="3" t="str">
        <f>IFERROR(__xludf.DUMMYFUNCTION("GOOGLETRANSLATE(A31713,""en"",""pt"")"),"Ligeiramente lento menu de navegação, os tempos em você para rápida.")</f>
        <v>Ligeiramente lento menu de navegação, os tempos em você para rápida.</v>
      </c>
      <c r="B31713" s="3">
        <v>0</v>
      </c>
    </row>
    <row r="31714" ht="15.75" customHeight="1" spans="1:2">
      <c r="A31714" s="3" t="str">
        <f>IFERROR(__xludf.DUMMYFUNCTION("GOOGLETRANSLATE(A31714,""en"",""pt"")"),"fotos de qualidade medíocre, funções são limitadas.")</f>
        <v>fotos de qualidade medíocre, funções são limitadas.</v>
      </c>
      <c r="B31714" s="3">
        <v>0</v>
      </c>
    </row>
    <row r="31715" ht="15.75" customHeight="1" spans="1:2">
      <c r="A31715" s="3" t="str">
        <f>IFERROR(__xludf.DUMMYFUNCTION("GOOGLETRANSLATE(A31715,""en"",""pt"")"),"É necessário um programa de foto secundário (tais como elementos do photoshop 2.0) para obter grandes fotos.")</f>
        <v>É necessário um programa de foto secundário (tais como elementos do photoshop 2.0) para obter grandes fotos.</v>
      </c>
      <c r="B31715" s="3">
        <v>0</v>
      </c>
    </row>
    <row r="31716" ht="15.75" customHeight="1" spans="1:2">
      <c r="A31716" s="3" t="str">
        <f>IFERROR(__xludf.DUMMYFUNCTION("GOOGLETRANSLATE(A31716,""en"",""pt"")"),"Opções não são fáceis de chegar, enorme lag")</f>
        <v>Opções não são fáceis de chegar, enorme lag</v>
      </c>
      <c r="B31716" s="3">
        <v>0</v>
      </c>
    </row>
    <row r="31717" ht="15.75" customHeight="1" spans="1:2">
      <c r="A31717" s="3" t="str">
        <f>IFERROR(__xludf.DUMMYFUNCTION("GOOGLETRANSLATE(A31717,""en"",""pt"")"),"instruções pobres. Configurações difíceis de entender.")</f>
        <v>instruções pobres. Configurações difíceis de entender.</v>
      </c>
      <c r="B31717" s="3">
        <v>0</v>
      </c>
    </row>
    <row r="31718" ht="15.75" customHeight="1" spans="1:2">
      <c r="A31718" s="3" t="str">
        <f>IFERROR(__xludf.DUMMYFUNCTION("GOOGLETRANSLATE(A31718,""en"",""pt"")"),"60 segundos auto-off, padrões de Flash para OFF.")</f>
        <v>60 segundos auto-off, padrões de Flash para OFF.</v>
      </c>
      <c r="B31718" s="3">
        <v>0</v>
      </c>
    </row>
    <row r="31719" ht="15.75" customHeight="1" spans="1:2">
      <c r="A31719" s="3" t="str">
        <f>IFERROR(__xludf.DUMMYFUNCTION("GOOGLETRANSLATE(A31719,""en"",""pt"")"),"Awful com pouca luz, não pronto quando você estiver.")</f>
        <v>Awful com pouca luz, não pronto quando você estiver.</v>
      </c>
      <c r="B31719" s="3">
        <v>0</v>
      </c>
    </row>
    <row r="31720" ht="15.75" customHeight="1" spans="1:2">
      <c r="A31720" s="3" t="str">
        <f>IFERROR(__xludf.DUMMYFUNCTION("GOOGLETRANSLATE(A31720,""en"",""pt"")"),"Difícil de tirar boas fotos")</f>
        <v>Difícil de tirar boas fotos</v>
      </c>
      <c r="B31720" s="3">
        <v>0</v>
      </c>
    </row>
    <row r="31721" ht="15.75" customHeight="1" spans="1:2">
      <c r="A31721" s="3" t="str">
        <f>IFERROR(__xludf.DUMMYFUNCTION("GOOGLETRANSLATE(A31721,""en"",""pt"")"),"granuladas fotos, frustrante .....")</f>
        <v>granuladas fotos, frustrante .....</v>
      </c>
      <c r="B31721" s="3">
        <v>0</v>
      </c>
    </row>
    <row r="31722" ht="15.75" customHeight="1" spans="1:2">
      <c r="A31722" s="3" t="str">
        <f>IFERROR(__xludf.DUMMYFUNCTION("GOOGLETRANSLATE(A31722,""en"",""pt"")"),"Manual não é bom")</f>
        <v>Manual não é bom</v>
      </c>
      <c r="B31722" s="3">
        <v>0</v>
      </c>
    </row>
    <row r="31723" ht="15.75" customHeight="1" spans="1:2">
      <c r="A31723" s="3" t="str">
        <f>IFERROR(__xludf.DUMMYFUNCTION("GOOGLETRANSLATE(A31723,""en"",""pt"")"),"close-ups pobres, sem valor como uma webcam, difíceis de alinhar um bom enquadrado tiro")</f>
        <v>close-ups pobres, sem valor como uma webcam, difíceis de alinhar um bom enquadrado tiro</v>
      </c>
      <c r="B31723" s="3">
        <v>0</v>
      </c>
    </row>
    <row r="31724" ht="15.75" customHeight="1" spans="1:2">
      <c r="A31724" s="3" t="str">
        <f>IFERROR(__xludf.DUMMYFUNCTION("GOOGLETRANSLATE(A31724,""en"",""pt"")"),"Esta Vivitar é o pior qualidade possível")</f>
        <v>Esta Vivitar é o pior qualidade possível</v>
      </c>
      <c r="B31724" s="3">
        <v>0</v>
      </c>
    </row>
    <row r="31725" ht="15.75" customHeight="1" spans="1:2">
      <c r="A31725" s="3" t="str">
        <f>IFERROR(__xludf.DUMMYFUNCTION("GOOGLETRANSLATE(A31725,""en"",""pt"")"),"Má qualidade de imagem, câmera grande e volumoso, dispõe de baterias em um flash")</f>
        <v>Má qualidade de imagem, câmera grande e volumoso, dispõe de baterias em um flash</v>
      </c>
      <c r="B31725" s="3">
        <v>0</v>
      </c>
    </row>
    <row r="31726" ht="15.75" customHeight="1" spans="1:2">
      <c r="A31726" s="3" t="str">
        <f>IFERROR(__xludf.DUMMYFUNCTION("GOOGLETRANSLATE(A31726,""en"",""pt"")"),"mal feita, baterias come, as imagens não são sempre a cor certa")</f>
        <v>mal feita, baterias come, as imagens não são sempre a cor certa</v>
      </c>
      <c r="B31726" s="3">
        <v>0</v>
      </c>
    </row>
    <row r="31727" ht="15.75" customHeight="1" spans="1:2">
      <c r="A31727" s="3" t="str">
        <f>IFERROR(__xludf.DUMMYFUNCTION("GOOGLETRANSLATE(A31727,""en"",""pt"")"),"O filme não avançar")</f>
        <v>O filme não avançar</v>
      </c>
      <c r="B31727" s="3">
        <v>0</v>
      </c>
    </row>
    <row r="31728" ht="15.75" customHeight="1" spans="1:2">
      <c r="A31728" s="3" t="str">
        <f>IFERROR(__xludf.DUMMYFUNCTION("GOOGLETRANSLATE(A31728,""en"",""pt"")"),"Má qualidade imagens, muito bateria de fome")</f>
        <v>Má qualidade imagens, muito bateria de fome</v>
      </c>
      <c r="B31728" s="3">
        <v>0</v>
      </c>
    </row>
    <row r="31729" ht="15.75" customHeight="1" spans="1:2">
      <c r="A31729" s="3" t="str">
        <f>IFERROR(__xludf.DUMMYFUNCTION("GOOGLETRANSLATE(A31729,""en"",""pt"")"),"sem um adaptador / c, baterias come, não dura muito tempo")</f>
        <v>sem um adaptador / c, baterias come, não dura muito tempo</v>
      </c>
      <c r="B31729" s="3">
        <v>0</v>
      </c>
    </row>
    <row r="31730" ht="15.75" customHeight="1" spans="1:2">
      <c r="A31730" s="3" t="str">
        <f>IFERROR(__xludf.DUMMYFUNCTION("GOOGLETRANSLATE(A31730,""en"",""pt"")"),"Feito barata, apoio ao consumidor muito pobre, caro para usar por causa de baterias, não confiável")</f>
        <v>Feito barata, apoio ao consumidor muito pobre, caro para usar por causa de baterias, não confiável</v>
      </c>
      <c r="B31730" s="3">
        <v>0</v>
      </c>
    </row>
    <row r="31731" ht="15.75" customHeight="1" spans="1:2">
      <c r="A31731" s="3" t="str">
        <f>IFERROR(__xludf.DUMMYFUNCTION("GOOGLETRANSLATE(A31731,""en"",""pt"")"),"breaks Depois de dois meses, não duráveis ​​como esperado, acabou por ser um monte de lixo")</f>
        <v>breaks Depois de dois meses, não duráveis ​​como esperado, acabou por ser um monte de lixo</v>
      </c>
      <c r="B31731" s="3">
        <v>0</v>
      </c>
    </row>
    <row r="31732" ht="15.75" customHeight="1" spans="1:2">
      <c r="A31732" s="3" t="str">
        <f>IFERROR(__xludf.DUMMYFUNCTION("GOOGLETRANSLATE(A31732,""en"",""pt"")"),"Qualidade")</f>
        <v>Qualidade</v>
      </c>
      <c r="B31732" s="3">
        <v>0</v>
      </c>
    </row>
    <row r="31733" ht="15.75" customHeight="1" spans="1:2">
      <c r="A31733" s="3" t="str">
        <f>IFERROR(__xludf.DUMMYFUNCTION("GOOGLETRANSLATE(A31733,""en"",""pt"")"),"A vida da bateria, a resolução da imagem, problemas de iluminação, robustez da câmera")</f>
        <v>A vida da bateria, a resolução da imagem, problemas de iluminação, robustez da câmera</v>
      </c>
      <c r="B31733" s="3">
        <v>0</v>
      </c>
    </row>
    <row r="31734" ht="15.75" customHeight="1" spans="1:2">
      <c r="A31734" s="3" t="str">
        <f>IFERROR(__xludf.DUMMYFUNCTION("GOOGLETRANSLATE(A31734,""en"",""pt"")"),"Imagem de pouca qualidade, feito barata, não confiável, dreno de alta da bateria")</f>
        <v>Imagem de pouca qualidade, feito barata, não confiável, dreno de alta da bateria</v>
      </c>
      <c r="B31734" s="3">
        <v>0</v>
      </c>
    </row>
    <row r="31735" ht="15.75" customHeight="1" spans="1:2">
      <c r="A31735" s="3" t="str">
        <f>IFERROR(__xludf.DUMMYFUNCTION("GOOGLETRANSLATE(A31735,""en"",""pt"")"),"Teria sido bom ter um adaptador incluído.")</f>
        <v>Teria sido bom ter um adaptador incluído.</v>
      </c>
      <c r="B31735" s="3">
        <v>0</v>
      </c>
    </row>
    <row r="31736" ht="15.75" customHeight="1" spans="1:2">
      <c r="A31736" s="3" t="str">
        <f>IFERROR(__xludf.DUMMYFUNCTION("GOOGLETRANSLATE(A31736,""en"",""pt"")"),"Um comedor de bateria real!")</f>
        <v>Um comedor de bateria real!</v>
      </c>
      <c r="B31736" s="3">
        <v>0</v>
      </c>
    </row>
    <row r="31737" ht="15.75" customHeight="1" spans="1:2">
      <c r="A31737" s="3" t="str">
        <f>IFERROR(__xludf.DUMMYFUNCTION("GOOGLETRANSLATE(A31737,""en"",""pt"")"),"Sem tampa da lente")</f>
        <v>Sem tampa da lente</v>
      </c>
      <c r="B31737" s="3">
        <v>0</v>
      </c>
    </row>
    <row r="31738" ht="15.75" customHeight="1" spans="1:2">
      <c r="A31738" s="3" t="str">
        <f>IFERROR(__xludf.DUMMYFUNCTION("GOOGLETRANSLATE(A31738,""en"",""pt"")"),"Sem tampa da lente")</f>
        <v>Sem tampa da lente</v>
      </c>
      <c r="B31738" s="3">
        <v>0</v>
      </c>
    </row>
    <row r="31739" ht="15.75" customHeight="1" spans="1:2">
      <c r="A31739" s="3" t="str">
        <f>IFERROR(__xludf.DUMMYFUNCTION("GOOGLETRANSLATE(A31739,""en"",""pt"")"),"Nenhum adaptador AC incluído, todo o ""não enlouquecendo trabalho"" a coisa é um grande con também.")</f>
        <v>Nenhum adaptador AC incluído, todo o "não enlouquecendo trabalho" a coisa é um grande con também.</v>
      </c>
      <c r="B31739" s="3">
        <v>0</v>
      </c>
    </row>
    <row r="31740" ht="15.75" customHeight="1" spans="1:2">
      <c r="A31740" s="3" t="str">
        <f>IFERROR(__xludf.DUMMYFUNCTION("GOOGLETRANSLATE(A31740,""en"",""pt"")"),"Vida útil da bateria, durabilidade, dispositivo teimoso, lento arranque tempo, LCD não é 1.6 !!!")</f>
        <v>Vida útil da bateria, durabilidade, dispositivo teimoso, lento arranque tempo, LCD não é 1.6 !!!</v>
      </c>
      <c r="B31740" s="3">
        <v>0</v>
      </c>
    </row>
    <row r="31741" ht="15.75" customHeight="1" spans="1:2">
      <c r="A31741" s="3" t="str">
        <f>IFERROR(__xludf.DUMMYFUNCTION("GOOGLETRANSLATE(A31741,""en"",""pt"")"),"Um pouco lento para iniciar e entre as imagens, utiliza muita bateria.")</f>
        <v>Um pouco lento para iniciar e entre as imagens, utiliza muita bateria.</v>
      </c>
      <c r="B31741" s="3">
        <v>0</v>
      </c>
    </row>
    <row r="31742" ht="15.75" customHeight="1" spans="1:2">
      <c r="A31742" s="3" t="str">
        <f>IFERROR(__xludf.DUMMYFUNCTION("GOOGLETRANSLATE(A31742,""en"",""pt"")"),"Vida útil da bateria, Durabilidade, Faixa de Foco, No AC Adapter")</f>
        <v>Vida útil da bateria, Durabilidade, Faixa de Foco, No AC Adapter</v>
      </c>
      <c r="B31742" s="3">
        <v>0</v>
      </c>
    </row>
    <row r="31743" ht="15.75" customHeight="1" spans="1:2">
      <c r="A31743" s="3" t="str">
        <f>IFERROR(__xludf.DUMMYFUNCTION("GOOGLETRANSLATE(A31743,""en"",""pt"")"),"Pobre Vida útil da bateria e nenhum adaptador AC incluído")</f>
        <v>Pobre Vida útil da bateria e nenhum adaptador AC incluído</v>
      </c>
      <c r="B31743" s="3">
        <v>0</v>
      </c>
    </row>
    <row r="31744" ht="15.75" customHeight="1" spans="1:2">
      <c r="A31744" s="3" t="str">
        <f>IFERROR(__xludf.DUMMYFUNCTION("GOOGLETRANSLATE(A31744,""en"",""pt"")"),"Não muito bom em close-ups de flores.")</f>
        <v>Não muito bom em close-ups de flores.</v>
      </c>
      <c r="B31744" s="3">
        <v>0</v>
      </c>
    </row>
    <row r="31745" ht="15.75" customHeight="1" spans="1:2">
      <c r="A31745" s="3" t="str">
        <f>IFERROR(__xludf.DUMMYFUNCTION("GOOGLETRANSLATE(A31745,""en"",""pt"")"),"faixa de foco começa em 4 pés, lente desprotegida.")</f>
        <v>faixa de foco começa em 4 pés, lente desprotegida.</v>
      </c>
      <c r="B31745" s="3">
        <v>0</v>
      </c>
    </row>
    <row r="31746" ht="15.75" customHeight="1" spans="1:2">
      <c r="A31746" s="3" t="str">
        <f>IFERROR(__xludf.DUMMYFUNCTION("GOOGLETRANSLATE(A31746,""en"",""pt"")"),"como com outros digitals, a vida da bateria é horrível. Não direções com software")</f>
        <v>como com outros digitals, a vida da bateria é horrível. Não direções com software</v>
      </c>
      <c r="B31746" s="3">
        <v>0</v>
      </c>
    </row>
    <row r="31747" ht="15.75" customHeight="1" spans="1:2">
      <c r="A31747" s="3" t="str">
        <f>IFERROR(__xludf.DUMMYFUNCTION("GOOGLETRANSLATE(A31747,""en"",""pt"")"),"No lado caro.")</f>
        <v>No lado caro.</v>
      </c>
      <c r="B31747" s="3">
        <v>0</v>
      </c>
    </row>
    <row r="31748" ht="15.75" customHeight="1" spans="1:2">
      <c r="A31748" s="3" t="str">
        <f>IFERROR(__xludf.DUMMYFUNCTION("GOOGLETRANSLATE(A31748,""en"",""pt"")"),"a vida da bateria muito, muito curto. não trabalhar com software foto fornecida")</f>
        <v>a vida da bateria muito, muito curto. não trabalhar com software foto fornecida</v>
      </c>
      <c r="B31748" s="3">
        <v>0</v>
      </c>
    </row>
    <row r="31749" ht="15.75" customHeight="1" spans="1:2">
      <c r="A31749" s="3" t="str">
        <f>IFERROR(__xludf.DUMMYFUNCTION("GOOGLETRANSLATE(A31749,""en"",""pt"")"),"faz minha pane no computador")</f>
        <v>faz minha pane no computador</v>
      </c>
      <c r="B31749" s="3">
        <v>0</v>
      </c>
    </row>
    <row r="31750" ht="15.75" customHeight="1" spans="1:2">
      <c r="A31750" s="3" t="str">
        <f>IFERROR(__xludf.DUMMYFUNCTION("GOOGLETRANSLATE(A31750,""en"",""pt"")"),"Documentações pode não ser o mais rigoroso para explicar características.")</f>
        <v>Documentações pode não ser o mais rigoroso para explicar características.</v>
      </c>
      <c r="B31750" s="3">
        <v>0</v>
      </c>
    </row>
    <row r="31751" ht="15.75" customHeight="1" spans="1:2">
      <c r="A31751" s="3" t="str">
        <f>IFERROR(__xludf.DUMMYFUNCTION("GOOGLETRANSLATE(A31751,""en"",""pt"")"),"Não USB Connect, Pobre Zoom Qualidade, Vida de bateria baixa")</f>
        <v>Não USB Connect, Pobre Zoom Qualidade, Vida de bateria baixa</v>
      </c>
      <c r="B31751" s="3">
        <v>0</v>
      </c>
    </row>
    <row r="31752" ht="15.75" customHeight="1" spans="1:2">
      <c r="A31752" s="3" t="str">
        <f>IFERROR(__xludf.DUMMYFUNCTION("GOOGLETRANSLATE(A31752,""en"",""pt"")"),"Erro na folha de especificações online. Sem USB. Sem Win2K / XP. Lento LCD e próxima imagem.")</f>
        <v>Erro na folha de especificações online. Sem USB. Sem Win2K / XP. Lento LCD e próxima imagem.</v>
      </c>
      <c r="B31752" s="3">
        <v>0</v>
      </c>
    </row>
    <row r="31753" ht="15.75" customHeight="1" spans="1:2">
      <c r="A31753" s="3" t="str">
        <f>IFERROR(__xludf.DUMMYFUNCTION("GOOGLETRANSLATE(A31753,""en"",""pt"")"),"vida útil da bateria")</f>
        <v>vida útil da bateria</v>
      </c>
      <c r="B31753" s="3">
        <v>0</v>
      </c>
    </row>
    <row r="31754" ht="15.75" customHeight="1" spans="1:2">
      <c r="A31754" s="3" t="str">
        <f>IFERROR(__xludf.DUMMYFUNCTION("GOOGLETRANSLATE(A31754,""en"",""pt"")"),"nenhum para me")</f>
        <v>nenhum para me</v>
      </c>
      <c r="B31754" s="3">
        <v>0</v>
      </c>
    </row>
    <row r="31755" ht="15.75" customHeight="1" spans="1:2">
      <c r="A31755" s="3" t="str">
        <f>IFERROR(__xludf.DUMMYFUNCTION("GOOGLETRANSLATE(A31755,""en"",""pt"")"),"Zoom provoca imagens distorcidas. Data e Hora ido quando as baterias foram.")</f>
        <v>Zoom provoca imagens distorcidas. Data e Hora ido quando as baterias foram.</v>
      </c>
      <c r="B31755" s="3">
        <v>0</v>
      </c>
    </row>
    <row r="31756" ht="15.75" customHeight="1" spans="1:2">
      <c r="A31756" s="3" t="str">
        <f>IFERROR(__xludf.DUMMYFUNCTION("GOOGLETRANSLATE(A31756,""en"",""pt"")"),"Mina não veio com um cartão de memória")</f>
        <v>Mina não veio com um cartão de memória</v>
      </c>
      <c r="B31756" s="3">
        <v>0</v>
      </c>
    </row>
    <row r="31757" ht="15.75" customHeight="1" spans="1:2">
      <c r="A31757" s="3" t="str">
        <f>IFERROR(__xludf.DUMMYFUNCTION("GOOGLETRANSLATE(A31757,""en"",""pt"")"),"Direções são terríveis")</f>
        <v>Direções são terríveis</v>
      </c>
      <c r="B31757" s="3">
        <v>0</v>
      </c>
    </row>
    <row r="31758" ht="15.75" customHeight="1" spans="1:2">
      <c r="A31758" s="3" t="str">
        <f>IFERROR(__xludf.DUMMYFUNCTION("GOOGLETRANSLATE(A31758,""en"",""pt"")"),"Apenas 2x de zoom, não funciona com o Windows XP.")</f>
        <v>Apenas 2x de zoom, não funciona com o Windows XP.</v>
      </c>
      <c r="B31758" s="3">
        <v>0</v>
      </c>
    </row>
    <row r="31759" ht="15.75" customHeight="1" spans="1:2">
      <c r="A31759" s="3" t="str">
        <f>IFERROR(__xludf.DUMMYFUNCTION("GOOGLETRANSLATE(A31759,""en"",""pt"")"),"construção ligeiros.")</f>
        <v>construção ligeiros.</v>
      </c>
      <c r="B31759" s="3">
        <v>0</v>
      </c>
    </row>
    <row r="31760" ht="15.75" customHeight="1" spans="1:2">
      <c r="A31760" s="3" t="str">
        <f>IFERROR(__xludf.DUMMYFUNCTION("GOOGLETRANSLATE(A31760,""en"",""pt"")"),"Má qualidade durante a noite, mesmo com flash, por vezes, fora de foco, Bad 2X Zoom Digital")</f>
        <v>Má qualidade durante a noite, mesmo com flash, por vezes, fora de foco, Bad 2X Zoom Digital</v>
      </c>
      <c r="B31760" s="3">
        <v>0</v>
      </c>
    </row>
    <row r="31761" ht="15.75" customHeight="1" spans="1:2">
      <c r="A31761" s="3" t="str">
        <f>IFERROR(__xludf.DUMMYFUNCTION("GOOGLETRANSLATE(A31761,""en"",""pt"")"),"Come baterias, sem Zoom / botão de ajuste de grande angular, foco automático lento")</f>
        <v>Come baterias, sem Zoom / botão de ajuste de grande angular, foco automático lento</v>
      </c>
      <c r="B31761" s="3">
        <v>0</v>
      </c>
    </row>
    <row r="31762" ht="15.75" customHeight="1" spans="1:2">
      <c r="A31762" s="3" t="str">
        <f>IFERROR(__xludf.DUMMYFUNCTION("GOOGLETRANSLATE(A31762,""en"",""pt"")"),"Localização do ecrã LCD; baterias, por vezes, jar solto e redefinição de hora / data.")</f>
        <v>Localização do ecrã LCD; baterias, por vezes, jar solto e redefinição de hora / data.</v>
      </c>
      <c r="B31762" s="3">
        <v>0</v>
      </c>
    </row>
    <row r="31763" ht="15.75" customHeight="1" spans="1:2">
      <c r="A31763" s="3" t="str">
        <f>IFERROR(__xludf.DUMMYFUNCTION("GOOGLETRANSLATE(A31763,""en"",""pt"")"),"Nenhum adaptador AC, LCD e USB Kills da bateria")</f>
        <v>Nenhum adaptador AC, LCD e USB Kills da bateria</v>
      </c>
      <c r="B31763" s="3">
        <v>0</v>
      </c>
    </row>
    <row r="31764" ht="15.75" customHeight="1" spans="1:2">
      <c r="A31764" s="3" t="str">
        <f>IFERROR(__xludf.DUMMYFUNCTION("GOOGLETRANSLATE(A31764,""en"",""pt"")"),"Muito Stripped, sem tampa da lente ou filtro, eo LCD é inútil na luz solar.")</f>
        <v>Muito Stripped, sem tampa da lente ou filtro, eo LCD é inútil na luz solar.</v>
      </c>
      <c r="B31764" s="3">
        <v>0</v>
      </c>
    </row>
    <row r="31765" ht="15.75" customHeight="1" spans="1:2">
      <c r="A31765" s="3" t="str">
        <f>IFERROR(__xludf.DUMMYFUNCTION("GOOGLETRANSLATE(A31765,""en"",""pt"")"),"baterias se acostumar-se rapidamente, nada mais vem à mente.")</f>
        <v>baterias se acostumar-se rapidamente, nada mais vem à mente.</v>
      </c>
      <c r="B31765" s="3">
        <v>0</v>
      </c>
    </row>
    <row r="31766" ht="15.75" customHeight="1" spans="1:2">
      <c r="A31766" s="3" t="str">
        <f>IFERROR(__xludf.DUMMYFUNCTION("GOOGLETRANSLATE(A31766,""en"",""pt"")"),"Baterias come !!! foco de luz baixa horrível")</f>
        <v>Baterias come !!! foco de luz baixa horrível</v>
      </c>
      <c r="B31766" s="3">
        <v>0</v>
      </c>
    </row>
    <row r="31767" ht="15.75" customHeight="1" spans="1:2">
      <c r="A31767" s="3" t="str">
        <f>IFERROR(__xludf.DUMMYFUNCTION("GOOGLETRANSLATE(A31767,""en"",""pt"")"),"Desliga-se quando se should'nt. Kills batteries.Etc.")</f>
        <v>Desliga-se quando se should'nt. Kills batteries.Etc.</v>
      </c>
      <c r="B31767" s="3">
        <v>0</v>
      </c>
    </row>
    <row r="31768" ht="15.75" customHeight="1" spans="1:2">
      <c r="A31768" s="3" t="str">
        <f>IFERROR(__xludf.DUMMYFUNCTION("GOOGLETRANSLATE(A31768,""en"",""pt"")"),"BATERIAS come !!! Compre o save cartucho ou ele só tem 10 fotos !!!")</f>
        <v>BATERIAS come !!! Compre o save cartucho ou ele só tem 10 fotos !!!</v>
      </c>
      <c r="B31768" s="3">
        <v>0</v>
      </c>
    </row>
    <row r="31769" ht="15.75" customHeight="1" spans="1:2">
      <c r="A31769" s="3" t="str">
        <f>IFERROR(__xludf.DUMMYFUNCTION("GOOGLETRANSLATE(A31769,""en"",""pt"")"),"Impossível tirar fotos no escuro, mesmo com flash. Baterias morrer rápido.")</f>
        <v>Impossível tirar fotos no escuro, mesmo com flash. Baterias morrer rápido.</v>
      </c>
      <c r="B31769" s="3">
        <v>0</v>
      </c>
    </row>
    <row r="31770" ht="15.75" customHeight="1" spans="1:2">
      <c r="A31770" s="3" t="str">
        <f>IFERROR(__xludf.DUMMYFUNCTION("GOOGLETRANSLATE(A31770,""en"",""pt"")"),"Vai comer baterias em menos de um dia, se você não for cuidadoso.")</f>
        <v>Vai comer baterias em menos de um dia, se você não for cuidadoso.</v>
      </c>
      <c r="B31770" s="3">
        <v>0</v>
      </c>
    </row>
    <row r="31771" ht="15.75" customHeight="1" spans="1:2">
      <c r="A31771" s="3" t="str">
        <f>IFERROR(__xludf.DUMMYFUNCTION("GOOGLETRANSLATE(A31771,""en"",""pt"")"),"baterias come, LCD não estão visíveis no sol, difíceis de tirar uma foto, desliga")</f>
        <v>baterias come, LCD não estão visíveis no sol, difíceis de tirar uma foto, desliga</v>
      </c>
      <c r="B31771" s="3">
        <v>0</v>
      </c>
    </row>
    <row r="31772" ht="15.75" customHeight="1" spans="1:2">
      <c r="A31772" s="3" t="str">
        <f>IFERROR(__xludf.DUMMYFUNCTION("GOOGLETRANSLATE(A31772,""en"",""pt"")"),"Apenas 2x de zoom")</f>
        <v>Apenas 2x de zoom</v>
      </c>
      <c r="B31772" s="3">
        <v>0</v>
      </c>
    </row>
    <row r="31773" ht="15.75" customHeight="1" spans="1:2">
      <c r="A31773" s="3" t="str">
        <f>IFERROR(__xludf.DUMMYFUNCTION("GOOGLETRANSLATE(A31773,""en"",""pt"")"),"vida útil da bateria horrível, desliga-se aleatoriamente e deve re-entrada de data / hora")</f>
        <v>vida útil da bateria horrível, desliga-se aleatoriamente e deve re-entrada de data / hora</v>
      </c>
      <c r="B31773" s="3">
        <v>0</v>
      </c>
    </row>
    <row r="31774" ht="15.75" customHeight="1" spans="1:2">
      <c r="A31774" s="3" t="str">
        <f>IFERROR(__xludf.DUMMYFUNCTION("GOOGLETRANSLATE(A31774,""en"",""pt"")"),"Você vai ter serviço ao cliente NO.")</f>
        <v>Você vai ter serviço ao cliente NO.</v>
      </c>
      <c r="B31774" s="3">
        <v>0</v>
      </c>
    </row>
    <row r="31775" ht="15.75" customHeight="1" spans="1:2">
      <c r="A31775" s="3" t="str">
        <f>IFERROR(__xludf.DUMMYFUNCTION("GOOGLETRANSLATE(A31775,""en"",""pt"")"),"Deve ler o manual de funcionamento, nenhum adaptador AC")</f>
        <v>Deve ler o manual de funcionamento, nenhum adaptador AC</v>
      </c>
      <c r="B31775" s="3">
        <v>0</v>
      </c>
    </row>
    <row r="31776" ht="15.75" customHeight="1" spans="1:2">
      <c r="A31776" s="3" t="str">
        <f>IFERROR(__xludf.DUMMYFUNCTION("GOOGLETRANSLATE(A31776,""en"",""pt"")"),"DURO DE UMA FIND")</f>
        <v>DURO DE UMA FIND</v>
      </c>
      <c r="B31776" s="3">
        <v>0</v>
      </c>
    </row>
    <row r="31777" ht="15.75" customHeight="1" spans="1:2">
      <c r="A31777" s="3" t="str">
        <f>IFERROR(__xludf.DUMMYFUNCTION("GOOGLETRANSLATE(A31777,""en"",""pt"")"),"A qualidade de impressão não é tão boa como uma impressora mais caro")</f>
        <v>A qualidade de impressão não é tão boa como uma impressora mais caro</v>
      </c>
      <c r="B31777" s="3">
        <v>0</v>
      </c>
    </row>
    <row r="31778" ht="15.75" customHeight="1" spans="1:2">
      <c r="A31778" s="3" t="str">
        <f>IFERROR(__xludf.DUMMYFUNCTION("GOOGLETRANSLATE(A31778,""en"",""pt"")"),"Nada funcionou direito")</f>
        <v>Nada funcionou direito</v>
      </c>
      <c r="B31778" s="3">
        <v>0</v>
      </c>
    </row>
    <row r="31779" ht="15.75" customHeight="1" spans="1:2">
      <c r="A31779" s="3" t="str">
        <f>IFERROR(__xludf.DUMMYFUNCTION("GOOGLETRANSLATE(A31779,""en"",""pt"")"),"Barulhento, um pouco difícil de instalar")</f>
        <v>Barulhento, um pouco difícil de instalar</v>
      </c>
      <c r="B31779" s="3">
        <v>0</v>
      </c>
    </row>
    <row r="31780" ht="15.75" customHeight="1" spans="1:2">
      <c r="A31780" s="3" t="str">
        <f>IFERROR(__xludf.DUMMYFUNCTION("GOOGLETRANSLATE(A31780,""en"",""pt"")"),"alimentações de papel a partir do topo")</f>
        <v>alimentações de papel a partir do topo</v>
      </c>
      <c r="B31780" s="3">
        <v>0</v>
      </c>
    </row>
    <row r="31781" ht="15.75" customHeight="1" spans="1:2">
      <c r="A31781" s="3" t="str">
        <f>IFERROR(__xludf.DUMMYFUNCTION("GOOGLETRANSLATE(A31781,""en"",""pt"")"),"qualidade de impressão, bandeja de papel")</f>
        <v>qualidade de impressão, bandeja de papel</v>
      </c>
      <c r="B31781" s="3">
        <v>0</v>
      </c>
    </row>
    <row r="31782" ht="15.75" customHeight="1" spans="1:2">
      <c r="A31782" s="3" t="str">
        <f>IFERROR(__xludf.DUMMYFUNCTION("GOOGLETRANSLATE(A31782,""en"",""pt"")"),"Fraca, irregular, a qualidade de impressão.")</f>
        <v>Fraca, irregular, a qualidade de impressão.</v>
      </c>
      <c r="B31782" s="3">
        <v>0</v>
      </c>
    </row>
    <row r="31783" ht="15.75" customHeight="1" spans="1:2">
      <c r="A31783" s="3" t="str">
        <f>IFERROR(__xludf.DUMMYFUNCTION("GOOGLETRANSLATE(A31783,""en"",""pt"")"),"montagem é difícil")</f>
        <v>montagem é difícil</v>
      </c>
      <c r="B31783" s="3">
        <v>0</v>
      </c>
    </row>
    <row r="31784" ht="15.75" customHeight="1" spans="1:2">
      <c r="A31784" s="3" t="str">
        <f>IFERROR(__xludf.DUMMYFUNCTION("GOOGLETRANSLATE(A31784,""en"",""pt"")"),"Ink fome")</f>
        <v>Ink fome</v>
      </c>
      <c r="B31784" s="3">
        <v>0</v>
      </c>
    </row>
    <row r="31785" ht="15.75" customHeight="1" spans="1:2">
      <c r="A31785" s="3" t="str">
        <f>IFERROR(__xludf.DUMMYFUNCTION("GOOGLETRANSLATE(A31785,""en"",""pt"")"),"Massa. Barulho. Por isso, para Qualidade de Impressão.")</f>
        <v>Massa. Barulho. Por isso, para Qualidade de Impressão.</v>
      </c>
      <c r="B31785" s="3">
        <v>0</v>
      </c>
    </row>
    <row r="31786" ht="15.75" customHeight="1" spans="1:2">
      <c r="A31786" s="3" t="str">
        <f>IFERROR(__xludf.DUMMYFUNCTION("GOOGLETRANSLATE(A31786,""en"",""pt"")"),"não encontrei nenhuma ainda")</f>
        <v>não encontrei nenhuma ainda</v>
      </c>
      <c r="B31786" s="3">
        <v>0</v>
      </c>
    </row>
    <row r="31787" ht="15.75" customHeight="1" spans="1:2">
      <c r="A31787" s="3" t="str">
        <f>IFERROR(__xludf.DUMMYFUNCTION("GOOGLETRANSLATE(A31787,""en"",""pt"")"),"Não consegue encontrar um ainda!")</f>
        <v>Não consegue encontrar um ainda!</v>
      </c>
      <c r="B31787" s="3">
        <v>0</v>
      </c>
    </row>
    <row r="31788" ht="15.75" customHeight="1" spans="1:2">
      <c r="A31788" s="3" t="str">
        <f>IFERROR(__xludf.DUMMYFUNCTION("GOOGLETRANSLATE(A31788,""en"",""pt"")"),"Noisy no arranque e nenhuma porta USB.")</f>
        <v>Noisy no arranque e nenhuma porta USB.</v>
      </c>
      <c r="B31788" s="3">
        <v>0</v>
      </c>
    </row>
    <row r="31789" ht="15.75" customHeight="1" spans="1:2">
      <c r="A31789" s="3" t="str">
        <f>IFERROR(__xludf.DUMMYFUNCTION("GOOGLETRANSLATE(A31789,""en"",""pt"")"),"cartucho de toner caro, não lidar com cartolina, não é bom com gráficos.")</f>
        <v>cartucho de toner caro, não lidar com cartolina, não é bom com gráficos.</v>
      </c>
      <c r="B31789" s="3">
        <v>0</v>
      </c>
    </row>
    <row r="31790" ht="15.75" customHeight="1" spans="1:2">
      <c r="A31790" s="3" t="str">
        <f>IFERROR(__xludf.DUMMYFUNCTION("GOOGLETRANSLATE(A31790,""en"",""pt"")"),"Gráficos, o custo do cartucho de toner de substituição")</f>
        <v>Gráficos, o custo do cartucho de toner de substituição</v>
      </c>
      <c r="B31790" s="3">
        <v>0</v>
      </c>
    </row>
    <row r="31791" ht="15.75" customHeight="1" spans="1:2">
      <c r="A31791" s="3" t="str">
        <f>IFERROR(__xludf.DUMMYFUNCTION("GOOGLETRANSLATE(A31791,""en"",""pt"")"),"cabo de impressora curto")</f>
        <v>cabo de impressora curto</v>
      </c>
      <c r="B31791" s="3">
        <v>0</v>
      </c>
    </row>
    <row r="31792" ht="15.75" customHeight="1" spans="1:2">
      <c r="A31792" s="3" t="str">
        <f>IFERROR(__xludf.DUMMYFUNCTION("GOOGLETRANSLATE(A31792,""en"",""pt"")"),"faz manchas nas páginas")</f>
        <v>faz manchas nas páginas</v>
      </c>
      <c r="B31792" s="3">
        <v>0</v>
      </c>
    </row>
    <row r="31793" ht="15.75" customHeight="1" spans="1:2">
      <c r="A31793" s="3" t="str">
        <f>IFERROR(__xludf.DUMMYFUNCTION("GOOGLETRANSLATE(A31793,""en"",""pt"")"),"um, a poeira pode causar problemas. Sem Problemas reais")</f>
        <v>um, a poeira pode causar problemas. Sem Problemas reais</v>
      </c>
      <c r="B31793" s="3">
        <v>0</v>
      </c>
    </row>
    <row r="31794" ht="15.75" customHeight="1" spans="1:2">
      <c r="A31794" s="3" t="str">
        <f>IFERROR(__xludf.DUMMYFUNCTION("GOOGLETRANSLATE(A31794,""en"",""pt"")"),"qualidade questionável e manchas ocasionais.")</f>
        <v>qualidade questionável e manchas ocasionais.</v>
      </c>
      <c r="B31794" s="3">
        <v>0</v>
      </c>
    </row>
    <row r="31795" ht="15.75" customHeight="1" spans="1:2">
      <c r="A31795" s="3" t="str">
        <f>IFERROR(__xludf.DUMMYFUNCTION("GOOGLETRANSLATE(A31795,""en"",""pt"")"),"Baixa qualidade de impressão; cartuchos caros")</f>
        <v>Baixa qualidade de impressão; cartuchos caros</v>
      </c>
      <c r="B31795" s="3">
        <v>0</v>
      </c>
    </row>
    <row r="31796" ht="15.75" customHeight="1" spans="1:2">
      <c r="A31796" s="3" t="str">
        <f>IFERROR(__xludf.DUMMYFUNCTION("GOOGLETRANSLATE(A31796,""en"",""pt"")"),"suporte Sem Linux")</f>
        <v>suporte Sem Linux</v>
      </c>
      <c r="B31796" s="3">
        <v>0</v>
      </c>
    </row>
    <row r="31797" ht="15.75" customHeight="1" spans="1:2">
      <c r="A31797" s="3" t="str">
        <f>IFERROR(__xludf.DUMMYFUNCTION("GOOGLETRANSLATE(A31797,""en"",""pt"")"),"não lidar com cartolina ou envelopes mais espessas bem")</f>
        <v>não lidar com cartolina ou envelopes mais espessas bem</v>
      </c>
      <c r="B31797" s="3">
        <v>0</v>
      </c>
    </row>
    <row r="31798" ht="15.75" customHeight="1" spans="1:2">
      <c r="A31798" s="3" t="str">
        <f>IFERROR(__xludf.DUMMYFUNCTION("GOOGLETRANSLATE(A31798,""en"",""pt"")"),"despesa toner, poeira")</f>
        <v>despesa toner, poeira</v>
      </c>
      <c r="B31798" s="3">
        <v>0</v>
      </c>
    </row>
    <row r="31799" ht="15.75" customHeight="1" spans="1:2">
      <c r="A31799" s="3" t="str">
        <f>IFERROR(__xludf.DUMMYFUNCTION("GOOGLETRANSLATE(A31799,""en"",""pt"")"),"on / off está em uma má localização, usa memória do seu PC 's")</f>
        <v>on / off está em uma má localização, usa memória do seu PC 's</v>
      </c>
      <c r="B31799" s="3">
        <v>0</v>
      </c>
    </row>
    <row r="31800" ht="15.75" customHeight="1" spans="1:2">
      <c r="A31800" s="3" t="str">
        <f>IFERROR(__xludf.DUMMYFUNCTION("GOOGLETRANSLATE(A31800,""en"",""pt"")"),"manchas")</f>
        <v>manchas</v>
      </c>
      <c r="B31800" s="3">
        <v>0</v>
      </c>
    </row>
    <row r="31801" ht="15.75" customHeight="1" spans="1:2">
      <c r="A31801" s="3" t="str">
        <f>IFERROR(__xludf.DUMMYFUNCTION("GOOGLETRANSLATE(A31801,""en"",""pt"")"),"qualidade gráfica, requisito para muita memória do computador")</f>
        <v>qualidade gráfica, requisito para muita memória do computador</v>
      </c>
      <c r="B31801" s="3">
        <v>0</v>
      </c>
    </row>
    <row r="31802" ht="15.75" customHeight="1" spans="1:2">
      <c r="A31802" s="3" t="str">
        <f>IFERROR(__xludf.DUMMYFUNCTION("GOOGLETRANSLATE(A31802,""en"",""pt"")"),"Tudo. Ele não imprimir corretamente")</f>
        <v>Tudo. Ele não imprimir corretamente</v>
      </c>
      <c r="B31802" s="3">
        <v>0</v>
      </c>
    </row>
    <row r="31803" ht="15.75" customHeight="1" spans="1:2">
      <c r="A31803" s="3" t="str">
        <f>IFERROR(__xludf.DUMMYFUNCTION("GOOGLETRANSLATE(A31803,""en"",""pt"")"),"tinta caro")</f>
        <v>tinta caro</v>
      </c>
      <c r="B31803" s="3">
        <v>0</v>
      </c>
    </row>
    <row r="31804" ht="15.75" customHeight="1" spans="1:2">
      <c r="A31804" s="3" t="str">
        <f>IFERROR(__xludf.DUMMYFUNCTION("GOOGLETRANSLATE(A31804,""en"",""pt"")"),"Tinta não está disponível em todos os lugares.")</f>
        <v>Tinta não está disponível em todos os lugares.</v>
      </c>
      <c r="B31804" s="3">
        <v>0</v>
      </c>
    </row>
    <row r="31805" ht="15.75" customHeight="1" spans="1:2">
      <c r="A31805" s="3" t="str">
        <f>IFERROR(__xludf.DUMMYFUNCTION("GOOGLETRANSLATE(A31805,""en"",""pt"")"),"corte custo fabrico óbvio, acabamento ruim")</f>
        <v>corte custo fabrico óbvio, acabamento ruim</v>
      </c>
      <c r="B31805" s="3">
        <v>0</v>
      </c>
    </row>
    <row r="31806" ht="15.75" customHeight="1" spans="1:2">
      <c r="A31806" s="3" t="str">
        <f>IFERROR(__xludf.DUMMYFUNCTION("GOOGLETRANSLATE(A31806,""en"",""pt"")"),"nenhum encontrado")</f>
        <v>nenhum encontrado</v>
      </c>
      <c r="B31806" s="3">
        <v>0</v>
      </c>
    </row>
    <row r="31807" ht="15.75" customHeight="1" spans="1:2">
      <c r="A31807" s="3" t="str">
        <f>IFERROR(__xludf.DUMMYFUNCTION("GOOGLETRANSLATE(A31807,""en"",""pt"")"),"cartuchos de tinta não é vendido em todas as lojas")</f>
        <v>cartuchos de tinta não é vendido em todas as lojas</v>
      </c>
      <c r="B31807" s="3">
        <v>0</v>
      </c>
    </row>
    <row r="31808" ht="15.75" customHeight="1" spans="1:2">
      <c r="A31808" s="3" t="str">
        <f>IFERROR(__xludf.DUMMYFUNCTION("GOOGLETRANSLATE(A31808,""en"",""pt"")"),"Muitos para listar")</f>
        <v>Muitos para listar</v>
      </c>
      <c r="B31808" s="3">
        <v>0</v>
      </c>
    </row>
    <row r="31809" ht="15.75" customHeight="1" spans="1:2">
      <c r="A31809" s="3" t="str">
        <f>IFERROR(__xludf.DUMMYFUNCTION("GOOGLETRANSLATE(A31809,""en"",""pt"")"),"encravamentos de papel frequentes, má qualidade de cor, tempo de impressão mais lento")</f>
        <v>encravamentos de papel frequentes, má qualidade de cor, tempo de impressão mais lento</v>
      </c>
      <c r="B31809" s="3">
        <v>0</v>
      </c>
    </row>
    <row r="31810" ht="15.75" customHeight="1" spans="1:2">
      <c r="A31810" s="3" t="str">
        <f>IFERROR(__xludf.DUMMYFUNCTION("GOOGLETRANSLATE(A31810,""en"",""pt"")"),"atolamentos de papel")</f>
        <v>atolamentos de papel</v>
      </c>
      <c r="B31810" s="3">
        <v>0</v>
      </c>
    </row>
    <row r="31811" ht="15.75" customHeight="1" spans="1:2">
      <c r="A31811" s="3" t="str">
        <f>IFERROR(__xludf.DUMMYFUNCTION("GOOGLETRANSLATE(A31811,""en"",""pt"")"),"Máquina Low Budget com Principais Problemas da passagem de papel")</f>
        <v>Máquina Low Budget com Principais Problemas da passagem de papel</v>
      </c>
      <c r="B31811" s="3">
        <v>0</v>
      </c>
    </row>
    <row r="31812" ht="15.75" customHeight="1" spans="1:2">
      <c r="A31812" s="3" t="str">
        <f>IFERROR(__xludf.DUMMYFUNCTION("GOOGLETRANSLATE(A31812,""en"",""pt"")"),"Lento")</f>
        <v>Lento</v>
      </c>
      <c r="B31812" s="3">
        <v>0</v>
      </c>
    </row>
    <row r="31813" ht="15.75" customHeight="1" spans="1:2">
      <c r="A31813" s="3" t="str">
        <f>IFERROR(__xludf.DUMMYFUNCTION("GOOGLETRANSLATE(A31813,""en"",""pt"")"),"Muito poucos")</f>
        <v>Muito poucos</v>
      </c>
      <c r="B31813" s="3">
        <v>0</v>
      </c>
    </row>
    <row r="31814" ht="15.75" customHeight="1" spans="1:2">
      <c r="A31814" s="3" t="str">
        <f>IFERROR(__xludf.DUMMYFUNCTION("GOOGLETRANSLATE(A31814,""en"",""pt"")"),"qualidade de cor medíocre")</f>
        <v>qualidade de cor medíocre</v>
      </c>
      <c r="B31814" s="3">
        <v>0</v>
      </c>
    </row>
    <row r="31815" ht="15.75" customHeight="1" spans="1:2">
      <c r="A31815" s="3" t="str">
        <f>IFERROR(__xludf.DUMMYFUNCTION("GOOGLETRANSLATE(A31815,""en"",""pt"")"),"alimentação de papel")</f>
        <v>alimentação de papel</v>
      </c>
      <c r="B31815" s="3">
        <v>0</v>
      </c>
    </row>
    <row r="31816" ht="15.75" customHeight="1" spans="1:2">
      <c r="A31816" s="3" t="str">
        <f>IFERROR(__xludf.DUMMYFUNCTION("GOOGLETRANSLATE(A31816,""en"",""pt"")"),"tudo, mas a qualidade de impressão, mau mau mau")</f>
        <v>tudo, mas a qualidade de impressão, mau mau mau</v>
      </c>
      <c r="B31816" s="3">
        <v>0</v>
      </c>
    </row>
    <row r="31817" ht="15.75" customHeight="1" spans="1:2">
      <c r="A31817" s="3" t="str">
        <f>IFERROR(__xludf.DUMMYFUNCTION("GOOGLETRANSLATE(A31817,""en"",""pt"")"),"de tinta vai-se rapidamente, 'mudo' periférica")</f>
        <v>de tinta vai-se rapidamente, 'mudo' periférica</v>
      </c>
      <c r="B31817" s="3">
        <v>0</v>
      </c>
    </row>
    <row r="31818" ht="15.75" customHeight="1" spans="1:2">
      <c r="A31818" s="3" t="str">
        <f>IFERROR(__xludf.DUMMYFUNCTION("GOOGLETRANSLATE(A31818,""en"",""pt"")"),"os cartuchos de tinta de substituição")</f>
        <v>os cartuchos de tinta de substituição</v>
      </c>
      <c r="B31818" s="3">
        <v>0</v>
      </c>
    </row>
    <row r="31819" ht="15.75" customHeight="1" spans="1:2">
      <c r="A31819" s="3" t="str">
        <f>IFERROR(__xludf.DUMMYFUNCTION("GOOGLETRANSLATE(A31819,""en"",""pt"")"),"Cartuchos caros, RUIM serviço tecnologia da Índia, muito caro, com falha do sensor de papel, Tempo Waste")</f>
        <v>Cartuchos caros, RUIM serviço tecnologia da Índia, muito caro, com falha do sensor de papel, Tempo Waste</v>
      </c>
      <c r="B31819" s="3">
        <v>0</v>
      </c>
    </row>
    <row r="31820" ht="15.75" customHeight="1" spans="1:2">
      <c r="A31820" s="3" t="str">
        <f>IFERROR(__xludf.DUMMYFUNCTION("GOOGLETRANSLATE(A31820,""en"",""pt"")"),"mestre de nenhum")</f>
        <v>mestre de nenhum</v>
      </c>
      <c r="B31820" s="3">
        <v>0</v>
      </c>
    </row>
    <row r="31821" ht="15.75" customHeight="1" spans="1:2">
      <c r="A31821" s="3" t="str">
        <f>IFERROR(__xludf.DUMMYFUNCTION("GOOGLETRANSLATE(A31821,""en"",""pt"")"),"preço dos cartuchos, alimentador quebrado, nenhum serviço localmente, mau serviço ao cliente")</f>
        <v>preço dos cartuchos, alimentador quebrado, nenhum serviço localmente, mau serviço ao cliente</v>
      </c>
      <c r="B31821" s="3">
        <v>0</v>
      </c>
    </row>
    <row r="31822" ht="15.75" customHeight="1" spans="1:2">
      <c r="A31822" s="3" t="str">
        <f>IFERROR(__xludf.DUMMYFUNCTION("GOOGLETRANSLATE(A31822,""en"",""pt"")"),"É um pedaço de lixo")</f>
        <v>É um pedaço de lixo</v>
      </c>
      <c r="B31822" s="3">
        <v>0</v>
      </c>
    </row>
    <row r="31823" ht="15.75" customHeight="1" spans="1:2">
      <c r="A31823" s="3" t="str">
        <f>IFERROR(__xludf.DUMMYFUNCTION("GOOGLETRANSLATE(A31823,""en"",""pt"")"),"não digitalizar imagens bem")</f>
        <v>não digitalizar imagens bem</v>
      </c>
      <c r="B31823" s="3">
        <v>0</v>
      </c>
    </row>
    <row r="31824" ht="15.75" customHeight="1" spans="1:2">
      <c r="A31824" s="3" t="str">
        <f>IFERROR(__xludf.DUMMYFUNCTION("GOOGLETRANSLATE(A31824,""en"",""pt"")"),"O scanner e fax são realmente ruins")</f>
        <v>O scanner e fax são realmente ruins</v>
      </c>
      <c r="B31824" s="3">
        <v>0</v>
      </c>
    </row>
    <row r="31825" ht="15.75" customHeight="1" spans="1:2">
      <c r="A31825" s="3" t="str">
        <f>IFERROR(__xludf.DUMMYFUNCTION("GOOGLETRANSLATE(A31825,""en"",""pt"")"),"Confiabilidade")</f>
        <v>Confiabilidade</v>
      </c>
      <c r="B31825" s="3">
        <v>0</v>
      </c>
    </row>
    <row r="31826" ht="15.75" customHeight="1" spans="1:2">
      <c r="A31826" s="3" t="str">
        <f>IFERROR(__xludf.DUMMYFUNCTION("GOOGLETRANSLATE(A31826,""en"",""pt"")"),"Usa muita tinta.")</f>
        <v>Usa muita tinta.</v>
      </c>
      <c r="B31826" s="3">
        <v>0</v>
      </c>
    </row>
    <row r="31827" ht="15.75" customHeight="1" spans="1:2">
      <c r="A31827" s="3" t="str">
        <f>IFERROR(__xludf.DUMMYFUNCTION("GOOGLETRANSLATE(A31827,""en"",""pt"")"),"problemas com o cartucho de tinta")</f>
        <v>problemas com o cartucho de tinta</v>
      </c>
      <c r="B31827" s="3">
        <v>0</v>
      </c>
    </row>
    <row r="31828" ht="15.75" customHeight="1" spans="1:2">
      <c r="A31828" s="3" t="str">
        <f>IFERROR(__xludf.DUMMYFUNCTION("GOOGLETRANSLATE(A31828,""en"",""pt"")"),"não pode utilizar todas as funções !!")</f>
        <v>não pode utilizar todas as funções !!</v>
      </c>
      <c r="B31828" s="3">
        <v>0</v>
      </c>
    </row>
    <row r="31829" ht="15.75" customHeight="1" spans="1:2">
      <c r="A31829" s="3" t="str">
        <f>IFERROR(__xludf.DUMMYFUNCTION("GOOGLETRANSLATE(A31829,""en"",""pt"")"),"O cartucho de tinta é caro.")</f>
        <v>O cartucho de tinta é caro.</v>
      </c>
      <c r="B31829" s="3">
        <v>0</v>
      </c>
    </row>
    <row r="31830" ht="15.75" customHeight="1" spans="1:2">
      <c r="A31830" s="3" t="str">
        <f>IFERROR(__xludf.DUMMYFUNCTION("GOOGLETRANSLATE(A31830,""en"",""pt"")"),"Pode ser um pouco difícil de configurar.")</f>
        <v>Pode ser um pouco difícil de configurar.</v>
      </c>
      <c r="B31830" s="3">
        <v>0</v>
      </c>
    </row>
    <row r="31831" ht="15.75" customHeight="1" spans="1:2">
      <c r="A31831" s="3" t="str">
        <f>IFERROR(__xludf.DUMMYFUNCTION("GOOGLETRANSLATE(A31831,""en"",""pt"")"),"Preço de cartuchos de tinta")</f>
        <v>Preço de cartuchos de tinta</v>
      </c>
      <c r="B31831" s="3">
        <v>0</v>
      </c>
    </row>
    <row r="31832" ht="15.75" customHeight="1" spans="1:2">
      <c r="A31832" s="3" t="str">
        <f>IFERROR(__xludf.DUMMYFUNCTION("GOOGLETRANSLATE(A31832,""en"",""pt"")"),"os cartuchos de tinta caros")</f>
        <v>os cartuchos de tinta caros</v>
      </c>
      <c r="B31832" s="3">
        <v>0</v>
      </c>
    </row>
    <row r="31833" ht="15.75" customHeight="1" spans="1:2">
      <c r="A31833" s="3" t="str">
        <f>IFERROR(__xludf.DUMMYFUNCTION("GOOGLETRANSLATE(A31833,""en"",""pt"")"),"problemas pequenos, porta USB e problema de energia")</f>
        <v>problemas pequenos, porta USB e problema de energia</v>
      </c>
      <c r="B31833" s="3">
        <v>0</v>
      </c>
    </row>
    <row r="31834" ht="15.75" customHeight="1" spans="1:2">
      <c r="A31834" s="3" t="str">
        <f>IFERROR(__xludf.DUMMYFUNCTION("GOOGLETRANSLATE(A31834,""en"",""pt"")"),"às vezes sai do trabalho de impressão em andamento")</f>
        <v>às vezes sai do trabalho de impressão em andamento</v>
      </c>
      <c r="B31834" s="3">
        <v>0</v>
      </c>
    </row>
    <row r="31835" ht="15.75" customHeight="1" spans="1:2">
      <c r="A31835" s="3" t="str">
        <f>IFERROR(__xludf.DUMMYFUNCTION("GOOGLETRANSLATE(A31835,""en"",""pt"")"),"Vibração, ruído")</f>
        <v>Vibração, ruído</v>
      </c>
      <c r="B31835" s="3">
        <v>0</v>
      </c>
    </row>
    <row r="31836" ht="15.75" customHeight="1" spans="1:2">
      <c r="A31836" s="3" t="str">
        <f>IFERROR(__xludf.DUMMYFUNCTION("GOOGLETRANSLATE(A31836,""en"",""pt"")"),"Digitalização se recusa a trabalhar. Incompatíveis com o Windows XP. software compatibilidade escrito por Xerox inadequada.")</f>
        <v>Digitalização se recusa a trabalhar. Incompatíveis com o Windows XP. software compatibilidade escrito por Xerox inadequada.</v>
      </c>
      <c r="B31836" s="3">
        <v>0</v>
      </c>
    </row>
    <row r="31837" ht="15.75" customHeight="1" spans="1:2">
      <c r="A31837" s="3" t="str">
        <f>IFERROR(__xludf.DUMMYFUNCTION("GOOGLETRANSLATE(A31837,""en"",""pt"")"),"Software é um pesadelo. Muito instável. O suporte técnico é inexistente.")</f>
        <v>Software é um pesadelo. Muito instável. O suporte técnico é inexistente.</v>
      </c>
      <c r="B31837" s="3">
        <v>0</v>
      </c>
    </row>
    <row r="31838" ht="15.75" customHeight="1" spans="1:2">
      <c r="A31838" s="3" t="str">
        <f>IFERROR(__xludf.DUMMYFUNCTION("GOOGLETRANSLATE(A31838,""en"",""pt"")"),"Drivers conflito com Internet, Opção Fax Caiu")</f>
        <v>Drivers conflito com Internet, Opção Fax Caiu</v>
      </c>
      <c r="B31838" s="3">
        <v>0</v>
      </c>
    </row>
    <row r="31839" ht="15.75" customHeight="1" spans="1:2">
      <c r="A31839" s="3" t="str">
        <f>IFERROR(__xludf.DUMMYFUNCTION("GOOGLETRANSLATE(A31839,""en"",""pt"")"),"Tinta acabar rápido em US $ 12,95 um cartucho, precisa de 4 cartuchos de cada vez")</f>
        <v>Tinta acabar rápido em US $ 12,95 um cartucho, precisa de 4 cartuchos de cada vez</v>
      </c>
      <c r="B31839" s="3">
        <v>0</v>
      </c>
    </row>
    <row r="31840" ht="15.75" customHeight="1" spans="1:2">
      <c r="A31840" s="3" t="str">
        <f>IFERROR(__xludf.DUMMYFUNCTION("GOOGLETRANSLATE(A31840,""en"",""pt"")"),"Sem capacidade de fax stand-alone")</f>
        <v>Sem capacidade de fax stand-alone</v>
      </c>
      <c r="B31840" s="3">
        <v>0</v>
      </c>
    </row>
    <row r="31841" ht="15.75" customHeight="1" spans="1:2">
      <c r="A31841" s="3" t="str">
        <f>IFERROR(__xludf.DUMMYFUNCTION("GOOGLETRANSLATE(A31841,""en"",""pt"")"),"Suporte, qualidade, durabilidade")</f>
        <v>Suporte, qualidade, durabilidade</v>
      </c>
      <c r="B31841" s="3">
        <v>0</v>
      </c>
    </row>
    <row r="31842" ht="15.75" customHeight="1" spans="1:2">
      <c r="A31842" s="3" t="str">
        <f>IFERROR(__xludf.DUMMYFUNCTION("GOOGLETRANSLATE(A31842,""en"",""pt"")"),"Suporte, qualidade, confiabilidade")</f>
        <v>Suporte, qualidade, confiabilidade</v>
      </c>
      <c r="B31842" s="3">
        <v>0</v>
      </c>
    </row>
    <row r="31843" ht="15.75" customHeight="1" spans="1:2">
      <c r="A31843" s="3" t="str">
        <f>IFERROR(__xludf.DUMMYFUNCTION("GOOGLETRANSLATE(A31843,""en"",""pt"")"),"Scanner nunca trabalhou, alimentador de documentos atola com freqüência, sempre teve de inicialização dura")</f>
        <v>Scanner nunca trabalhou, alimentador de documentos atola com freqüência, sempre teve de inicialização dura</v>
      </c>
      <c r="B31843" s="3">
        <v>0</v>
      </c>
    </row>
    <row r="31844" ht="15.75" customHeight="1" spans="1:2">
      <c r="A31844" s="3" t="str">
        <f>IFERROR(__xludf.DUMMYFUNCTION("GOOGLETRANSLATE(A31844,""en"",""pt"")"),"É não funcionam muitas vezes.")</f>
        <v>É não funcionam muitas vezes.</v>
      </c>
      <c r="B31844" s="3">
        <v>0</v>
      </c>
    </row>
    <row r="31845" ht="15.75" customHeight="1" spans="1:2">
      <c r="A31845" s="3" t="str">
        <f>IFERROR(__xludf.DUMMYFUNCTION("GOOGLETRANSLATE(A31845,""en"",""pt"")"),"problemas contínuos, não a qualidade do produto que eu esperava !!!")</f>
        <v>problemas contínuos, não a qualidade do produto que eu esperava !!!</v>
      </c>
      <c r="B31845" s="3">
        <v>0</v>
      </c>
    </row>
    <row r="31846" ht="15.75" customHeight="1" spans="1:2">
      <c r="A31846" s="3" t="str">
        <f>IFERROR(__xludf.DUMMYFUNCTION("GOOGLETRANSLATE(A31846,""en"",""pt"")"),"reprodução da foto não é tão nítido como HP")</f>
        <v>reprodução da foto não é tão nítido como HP</v>
      </c>
      <c r="B31846" s="3">
        <v>0</v>
      </c>
    </row>
    <row r="31847" ht="15.75" customHeight="1" spans="1:2">
      <c r="A31847" s="3" t="str">
        <f>IFERROR(__xludf.DUMMYFUNCTION("GOOGLETRANSLATE(A31847,""en"",""pt"")"),"Toner é um pouco caro")</f>
        <v>Toner é um pouco caro</v>
      </c>
      <c r="B31847" s="3">
        <v>0</v>
      </c>
    </row>
    <row r="31848" ht="15.75" customHeight="1" spans="1:2">
      <c r="A31848" s="3" t="str">
        <f>IFERROR(__xludf.DUMMYFUNCTION("GOOGLETRANSLATE(A31848,""en"",""pt"")"),"caro, na realidade")</f>
        <v>caro, na realidade</v>
      </c>
      <c r="B31848" s="3">
        <v>0</v>
      </c>
    </row>
    <row r="31849" ht="15.75" customHeight="1" spans="1:2">
      <c r="A31849" s="3" t="str">
        <f>IFERROR(__xludf.DUMMYFUNCTION("GOOGLETRANSLATE(A31849,""en"",""pt"")"),"não para copiadores de alto volume")</f>
        <v>não para copiadores de alto volume</v>
      </c>
      <c r="B31849" s="3">
        <v>0</v>
      </c>
    </row>
    <row r="31850" ht="15.75" customHeight="1" spans="1:2">
      <c r="A31850" s="3" t="str">
        <f>IFERROR(__xludf.DUMMYFUNCTION("GOOGLETRANSLATE(A31850,""en"",""pt"")"),"O alimentador automático de documentos aprendeu a mastigar papel.")</f>
        <v>O alimentador automático de documentos aprendeu a mastigar papel.</v>
      </c>
      <c r="B31850" s="3">
        <v>0</v>
      </c>
    </row>
    <row r="31851" ht="15.75" customHeight="1" spans="1:2">
      <c r="A31851" s="3" t="str">
        <f>IFERROR(__xludf.DUMMYFUNCTION("GOOGLETRANSLATE(A31851,""en"",""pt"")"),"mensagens de erro glitchy nos momentos em que não deve haver. qualidade Inconsistant.")</f>
        <v>mensagens de erro glitchy nos momentos em que não deve haver. qualidade Inconsistant.</v>
      </c>
      <c r="B31851" s="3">
        <v>0</v>
      </c>
    </row>
    <row r="31852" ht="15.75" customHeight="1" spans="1:2">
      <c r="A31852" s="3" t="str">
        <f>IFERROR(__xludf.DUMMYFUNCTION("GOOGLETRANSLATE(A31852,""en"",""pt"")"),"unidades de toner e tambor parecer caro. toner encontrada em Sam é por US $ 89,00 embora. Um pouco barulhento.")</f>
        <v>unidades de toner e tambor parecer caro. toner encontrada em Sam é por US $ 89,00 embora. Um pouco barulhento.</v>
      </c>
      <c r="B31852" s="3">
        <v>0</v>
      </c>
    </row>
    <row r="31853" ht="15.75" customHeight="1" spans="1:2">
      <c r="A31853" s="3" t="str">
        <f>IFERROR(__xludf.DUMMYFUNCTION("GOOGLETRANSLATE(A31853,""en"",""pt"")"),"Extremamente lento, barulhento e preto e branco sai muito mal com manchas pretas ..")</f>
        <v>Extremamente lento, barulhento e preto e branco sai muito mal com manchas pretas ..</v>
      </c>
      <c r="B31853" s="3">
        <v>0</v>
      </c>
    </row>
    <row r="31854" ht="15.75" customHeight="1" spans="1:2">
      <c r="A31854" s="3" t="str">
        <f>IFERROR(__xludf.DUMMYFUNCTION("GOOGLETRANSLATE(A31854,""en"",""pt"")"),"Bad driver para USB, toner caro.")</f>
        <v>Bad driver para USB, toner caro.</v>
      </c>
      <c r="B31854" s="3">
        <v>0</v>
      </c>
    </row>
    <row r="31855" ht="15.75" customHeight="1" spans="1:2">
      <c r="A31855" s="3" t="str">
        <f>IFERROR(__xludf.DUMMYFUNCTION("GOOGLETRANSLATE(A31855,""en"",""pt"")"),"lento, cartuchos caros, impressão a cores não corresponde cores na tela, software defeituoso")</f>
        <v>lento, cartuchos caros, impressão a cores não corresponde cores na tela, software defeituoso</v>
      </c>
      <c r="B31855" s="3">
        <v>0</v>
      </c>
    </row>
    <row r="31856" ht="15.75" customHeight="1" spans="1:2">
      <c r="A31856" s="3" t="str">
        <f>IFERROR(__xludf.DUMMYFUNCTION("GOOGLETRANSLATE(A31856,""en"",""pt"")"),"Nenhum")</f>
        <v>Nenhum</v>
      </c>
      <c r="B31856" s="3">
        <v>0</v>
      </c>
    </row>
    <row r="31857" ht="15.75" customHeight="1" spans="1:2">
      <c r="A31857" s="3" t="str">
        <f>IFERROR(__xludf.DUMMYFUNCTION("GOOGLETRANSLATE(A31857,""en"",""pt"")"),"cartuchos de tinta difícil encontrar / são caros, a minha parte digitalização é lenta agora")</f>
        <v>cartuchos de tinta difícil encontrar / são caros, a minha parte digitalização é lenta agora</v>
      </c>
      <c r="B31857" s="3">
        <v>0</v>
      </c>
    </row>
    <row r="31858" ht="15.75" customHeight="1" spans="1:2">
      <c r="A31858" s="3" t="str">
        <f>IFERROR(__xludf.DUMMYFUNCTION("GOOGLETRANSLATE(A31858,""en"",""pt"")"),"Muito Caro Ink cartilagem, muito lento")</f>
        <v>Muito Caro Ink cartilagem, muito lento</v>
      </c>
      <c r="B31858" s="3">
        <v>0</v>
      </c>
    </row>
    <row r="31859" ht="15.75" customHeight="1" spans="1:2">
      <c r="A31859" s="3" t="str">
        <f>IFERROR(__xludf.DUMMYFUNCTION("GOOGLETRANSLATE(A31859,""en"",""pt"")"),"LENTO !!!, cartuchos caros")</f>
        <v>LENTO !!!, cartuchos caros</v>
      </c>
      <c r="B31859" s="3">
        <v>0</v>
      </c>
    </row>
    <row r="31860" ht="15.75" customHeight="1" spans="1:2">
      <c r="A31860" s="3" t="str">
        <f>IFERROR(__xludf.DUMMYFUNCTION("GOOGLETRANSLATE(A31860,""en"",""pt"")"),"não o melhor hardware")</f>
        <v>não o melhor hardware</v>
      </c>
      <c r="B31860" s="3">
        <v>0</v>
      </c>
    </row>
    <row r="31861" ht="15.75" customHeight="1" spans="1:2">
      <c r="A31861" s="3" t="str">
        <f>IFERROR(__xludf.DUMMYFUNCTION("GOOGLETRANSLATE(A31861,""en"",""pt"")"),"tinta caro, impressão slowish, configuração complicada.")</f>
        <v>tinta caro, impressão slowish, configuração complicada.</v>
      </c>
      <c r="B31861" s="3">
        <v>0</v>
      </c>
    </row>
    <row r="31862" ht="15.75" customHeight="1" spans="1:2">
      <c r="A31862" s="3" t="str">
        <f>IFERROR(__xludf.DUMMYFUNCTION("GOOGLETRANSLATE(A31862,""en"",""pt"")"),"cartuchos caros")</f>
        <v>cartuchos caros</v>
      </c>
      <c r="B31862" s="3">
        <v>0</v>
      </c>
    </row>
    <row r="31863" ht="15.75" customHeight="1" spans="1:2">
      <c r="A31863" s="3" t="str">
        <f>IFERROR(__xludf.DUMMYFUNCTION("GOOGLETRANSLATE(A31863,""en"",""pt"")"),"Mais lenta taxa de impressão, o custo dos cartuchos de tinta")</f>
        <v>Mais lenta taxa de impressão, o custo dos cartuchos de tinta</v>
      </c>
      <c r="B31863" s="3">
        <v>0</v>
      </c>
    </row>
    <row r="31864" ht="15.75" customHeight="1" spans="1:2">
      <c r="A31864" s="3" t="str">
        <f>IFERROR(__xludf.DUMMYFUNCTION("GOOGLETRANSLATE(A31864,""en"",""pt"")"),"imprimir qualidade só é muito bom quando se utiliza papel de alta qualidade, cartuchos de tinta caros")</f>
        <v>imprimir qualidade só é muito bom quando se utiliza papel de alta qualidade, cartuchos de tinta caros</v>
      </c>
      <c r="B31864" s="3">
        <v>0</v>
      </c>
    </row>
    <row r="31865" ht="15.75" customHeight="1" spans="1:2">
      <c r="A31865" s="3" t="str">
        <f>IFERROR(__xludf.DUMMYFUNCTION("GOOGLETRANSLATE(A31865,""en"",""pt"")"),"Nenhum")</f>
        <v>Nenhum</v>
      </c>
      <c r="B31865" s="3">
        <v>0</v>
      </c>
    </row>
    <row r="31866" ht="15.75" customHeight="1" spans="1:2">
      <c r="A31866" s="3" t="str">
        <f>IFERROR(__xludf.DUMMYFUNCTION("GOOGLETRANSLATE(A31866,""en"",""pt"")"),"Lento, Sem ficar sozinho fax")</f>
        <v>Lento, Sem ficar sozinho fax</v>
      </c>
      <c r="B31866" s="3">
        <v>0</v>
      </c>
    </row>
    <row r="31867" ht="15.75" customHeight="1" spans="1:2">
      <c r="A31867" s="3" t="str">
        <f>IFERROR(__xludf.DUMMYFUNCTION("GOOGLETRANSLATE(A31867,""en"",""pt"")"),"A digitalização é muito lento e não muito boa qualidade")</f>
        <v>A digitalização é muito lento e não muito boa qualidade</v>
      </c>
      <c r="B31867" s="3">
        <v>0</v>
      </c>
    </row>
    <row r="31868" ht="15.75" customHeight="1" spans="1:2">
      <c r="A31868" s="3" t="str">
        <f>IFERROR(__xludf.DUMMYFUNCTION("GOOGLETRANSLATE(A31868,""en"",""pt"")"),"localização bandeja padrão para impressão a cores e cópia")</f>
        <v>localização bandeja padrão para impressão a cores e cópia</v>
      </c>
      <c r="B31868" s="3">
        <v>0</v>
      </c>
    </row>
    <row r="31869" ht="15.75" customHeight="1" spans="1:2">
      <c r="A31869" s="3" t="str">
        <f>IFERROR(__xludf.DUMMYFUNCTION("GOOGLETRANSLATE(A31869,""en"",""pt"")"),"Nada ainda!")</f>
        <v>Nada ainda!</v>
      </c>
      <c r="B31869" s="3">
        <v>0</v>
      </c>
    </row>
    <row r="31870" ht="15.75" customHeight="1" spans="1:2">
      <c r="A31870" s="3" t="str">
        <f>IFERROR(__xludf.DUMMYFUNCTION("GOOGLETRANSLATE(A31870,""en"",""pt"")"),"nenhum que eu encontrei")</f>
        <v>nenhum que eu encontrei</v>
      </c>
      <c r="B31870" s="3">
        <v>0</v>
      </c>
    </row>
    <row r="31871" ht="15.75" customHeight="1" spans="1:2">
      <c r="A31871" s="3" t="str">
        <f>IFERROR(__xludf.DUMMYFUNCTION("GOOGLETRANSLATE(A31871,""en"",""pt"")"),"Não lidar com OS Windows 2000, digitalização mais lento e impressão do que outros produtos, congela WIN 98 sistema op, caros !! Cartuchos de impressão a spendy pouco !!")</f>
        <v>Não lidar com OS Windows 2000, digitalização mais lento e impressão do que outros produtos, congela WIN 98 sistema op, caros !! Cartuchos de impressão a spendy pouco !!</v>
      </c>
      <c r="B31871" s="3">
        <v>0</v>
      </c>
    </row>
    <row r="31872" ht="15.75" customHeight="1" spans="1:2">
      <c r="A31872" s="3" t="str">
        <f>IFERROR(__xludf.DUMMYFUNCTION("GOOGLETRANSLATE(A31872,""en"",""pt"")"),"O padrão é de cor para copiar")</f>
        <v>O padrão é de cor para copiar</v>
      </c>
      <c r="B31872" s="3">
        <v>0</v>
      </c>
    </row>
    <row r="31873" ht="15.75" customHeight="1" spans="1:2">
      <c r="A31873" s="3" t="str">
        <f>IFERROR(__xludf.DUMMYFUNCTION("GOOGLETRANSLATE(A31873,""en"",""pt"")"),"Levou duas horas para instalar corretamente; velocidade lenta (especialmente quando a digitalização)")</f>
        <v>Levou duas horas para instalar corretamente; velocidade lenta (especialmente quando a digitalização)</v>
      </c>
      <c r="B31873" s="3">
        <v>0</v>
      </c>
    </row>
    <row r="31874" ht="15.75" customHeight="1" spans="1:2">
      <c r="A31874" s="3" t="str">
        <f>IFERROR(__xludf.DUMMYFUNCTION("GOOGLETRANSLATE(A31874,""en"",""pt"")"),"Copiadora lento, Tinteiro Costly")</f>
        <v>Copiadora lento, Tinteiro Costly</v>
      </c>
      <c r="B31874" s="3">
        <v>0</v>
      </c>
    </row>
    <row r="31875" ht="15.75" customHeight="1" spans="1:2">
      <c r="A31875" s="3" t="str">
        <f>IFERROR(__xludf.DUMMYFUNCTION("GOOGLETRANSLATE(A31875,""en"",""pt"")"),"Painel de Controle parece intimidante, mas é fácil quando você sabe o que todos os botões fazem.")</f>
        <v>Painel de Controle parece intimidante, mas é fácil quando você sabe o que todos os botões fazem.</v>
      </c>
      <c r="B31875" s="3">
        <v>0</v>
      </c>
    </row>
    <row r="31876" ht="15.75" customHeight="1" spans="1:2">
      <c r="A31876" s="3" t="str">
        <f>IFERROR(__xludf.DUMMYFUNCTION("GOOGLETRANSLATE(A31876,""en"",""pt"")"),"a vida da bateria pobres, chamadas abandonadas, flutua volume sem controle dos usuários")</f>
        <v>a vida da bateria pobres, chamadas abandonadas, flutua volume sem controle dos usuários</v>
      </c>
      <c r="B31876" s="3">
        <v>0</v>
      </c>
    </row>
    <row r="31877" ht="15.75" customHeight="1" spans="1:2">
      <c r="A31877" s="3" t="str">
        <f>IFERROR(__xludf.DUMMYFUNCTION("GOOGLETRANSLATE(A31877,""en"",""pt"")"),"volume da campainha só pode ser modificada entrando no menu; não pode voltar a etiquetar números de telefone")</f>
        <v>volume da campainha só pode ser modificada entrando no menu; não pode voltar a etiquetar números de telefone</v>
      </c>
      <c r="B31877" s="3">
        <v>0</v>
      </c>
    </row>
    <row r="31878" ht="15.75" customHeight="1" spans="1:2">
      <c r="A31878" s="3" t="str">
        <f>IFERROR(__xludf.DUMMYFUNCTION("GOOGLETRANSLATE(A31878,""en"",""pt"")"),"Bateria avaliado por apenas três horas de tempo de conversação")</f>
        <v>Bateria avaliado por apenas três horas de tempo de conversação</v>
      </c>
      <c r="B31878" s="3">
        <v>0</v>
      </c>
    </row>
    <row r="31879" ht="15.75" customHeight="1" spans="1:2">
      <c r="A31879" s="3" t="str">
        <f>IFERROR(__xludf.DUMMYFUNCTION("GOOGLETRANSLATE(A31879,""en"",""pt"")"),"N / D")</f>
        <v>N / D</v>
      </c>
      <c r="B31879" s="3">
        <v>0</v>
      </c>
    </row>
    <row r="31880" ht="15.75" customHeight="1" spans="1:2">
      <c r="A31880" s="3" t="str">
        <f>IFERROR(__xludf.DUMMYFUNCTION("GOOGLETRANSLATE(A31880,""en"",""pt"")"),"Nenhuma câmera, feminino projeto, Recepção Ok")</f>
        <v>Nenhuma câmera, feminino projeto, Recepção Ok</v>
      </c>
      <c r="B31880" s="3">
        <v>0</v>
      </c>
    </row>
    <row r="31881" ht="15.75" customHeight="1" spans="1:2">
      <c r="A31881" s="3" t="str">
        <f>IFERROR(__xludf.DUMMYFUNCTION("GOOGLETRANSLATE(A31881,""en"",""pt"")"),"Nenhuma câmera")</f>
        <v>Nenhuma câmera</v>
      </c>
      <c r="B31881" s="3">
        <v>0</v>
      </c>
    </row>
    <row r="31882" ht="15.75" customHeight="1" spans="1:2">
      <c r="A31882" s="3" t="str">
        <f>IFERROR(__xludf.DUMMYFUNCTION("GOOGLETRANSLATE(A31882,""en"",""pt"")"),"nenhuma câmera do telefone ou os sinos e assobios. Muito básico diferente de tela colorida.")</f>
        <v>nenhuma câmera do telefone ou os sinos e assobios. Muito básico diferente de tela colorida.</v>
      </c>
      <c r="B31882" s="3">
        <v>0</v>
      </c>
    </row>
    <row r="31883" ht="15.75" customHeight="1" spans="1:2">
      <c r="A31883" s="3" t="str">
        <f>IFERROR(__xludf.DUMMYFUNCTION("GOOGLETRANSLATE(A31883,""en"",""pt"")"),"A recepção não é bom.")</f>
        <v>A recepção não é bom.</v>
      </c>
      <c r="B31883" s="3">
        <v>0</v>
      </c>
    </row>
    <row r="31884" ht="15.75" customHeight="1" spans="1:2">
      <c r="A31884" s="3" t="str">
        <f>IFERROR(__xludf.DUMMYFUNCTION("GOOGLETRANSLATE(A31884,""en"",""pt"")"),"1. O congelamento espontânea")</f>
        <v>1. O congelamento espontânea</v>
      </c>
      <c r="B31884" s="3">
        <v>0</v>
      </c>
    </row>
    <row r="31885" ht="15.75" customHeight="1" spans="1:2">
      <c r="A31885" s="3" t="str">
        <f>IFERROR(__xludf.DUMMYFUNCTION("GOOGLETRANSLATE(A31885,""en"",""pt"")"),"Muito pequeno; má recepção de voz, volume da campainha muito baixo e difícil de mudança")</f>
        <v>Muito pequeno; má recepção de voz, volume da campainha muito baixo e difícil de mudança</v>
      </c>
      <c r="B31885" s="3">
        <v>0</v>
      </c>
    </row>
    <row r="31886" ht="15.75" customHeight="1" spans="1:2">
      <c r="A31886" s="3" t="str">
        <f>IFERROR(__xludf.DUMMYFUNCTION("GOOGLETRANSLATE(A31886,""en"",""pt"")"),"não confiáveis, e não os melhores protetores de tela, não muitos recursos")</f>
        <v>não confiáveis, e não os melhores protetores de tela, não muitos recursos</v>
      </c>
      <c r="B31886" s="3">
        <v>0</v>
      </c>
    </row>
    <row r="31887" ht="15.75" customHeight="1" spans="1:2">
      <c r="A31887" s="3" t="str">
        <f>IFERROR(__xludf.DUMMYFUNCTION("GOOGLETRANSLATE(A31887,""en"",""pt"")"),"Bad recepção e muito má qualidade de som")</f>
        <v>Bad recepção e muito má qualidade de som</v>
      </c>
      <c r="B31887" s="3">
        <v>0</v>
      </c>
    </row>
    <row r="31888" ht="15.75" customHeight="1" spans="1:2">
      <c r="A31888" s="3" t="str">
        <f>IFERROR(__xludf.DUMMYFUNCTION("GOOGLETRANSLATE(A31888,""en"",""pt"")"),"qualidade de som horrível e recepção. Lotes de chamadas abandonadas.")</f>
        <v>qualidade de som horrível e recepção. Lotes de chamadas abandonadas.</v>
      </c>
      <c r="B31888" s="3">
        <v>0</v>
      </c>
    </row>
    <row r="31889" ht="15.75" customHeight="1" spans="1:2">
      <c r="A31889" s="3" t="str">
        <f>IFERROR(__xludf.DUMMYFUNCTION("GOOGLETRANSLATE(A31889,""en"",""pt"")"),"Veja acima")</f>
        <v>Veja acima</v>
      </c>
      <c r="B31889" s="3">
        <v>0</v>
      </c>
    </row>
    <row r="31890" ht="15.75" customHeight="1" spans="1:2">
      <c r="A31890" s="3" t="str">
        <f>IFERROR(__xludf.DUMMYFUNCTION("GOOGLETRANSLATE(A31890,""en"",""pt"")"),"Camera tem uma contagem de pixels inferior do que alguns outros, cartão de memória XD sem adição.")</f>
        <v>Camera tem uma contagem de pixels inferior do que alguns outros, cartão de memória XD sem adição.</v>
      </c>
      <c r="B31890" s="3">
        <v>0</v>
      </c>
    </row>
    <row r="31891" ht="15.75" customHeight="1" spans="1:2">
      <c r="A31891" s="3" t="str">
        <f>IFERROR(__xludf.DUMMYFUNCTION("GOOGLETRANSLATE(A31891,""en"",""pt"")"),"Sem MP3 player, sem WiFi, sem memória expansível, câmera, vídeo MPEG4 agitado, tempo de conversação medíocre.")</f>
        <v>Sem MP3 player, sem WiFi, sem memória expansível, câmera, vídeo MPEG4 agitado, tempo de conversação medíocre.</v>
      </c>
      <c r="B31891" s="3">
        <v>0</v>
      </c>
    </row>
    <row r="31892" ht="15.75" customHeight="1" spans="1:2">
      <c r="A31892" s="3" t="str">
        <f>IFERROR(__xludf.DUMMYFUNCTION("GOOGLETRANSLATE(A31892,""en"",""pt"")"),"Câmera, leva tempo para se acostumar, bateria medíocre")</f>
        <v>Câmera, leva tempo para se acostumar, bateria medíocre</v>
      </c>
      <c r="B31892" s="3">
        <v>0</v>
      </c>
    </row>
    <row r="31893" ht="15.75" customHeight="1" spans="1:2">
      <c r="A31893" s="3" t="str">
        <f>IFERROR(__xludf.DUMMYFUNCTION("GOOGLETRANSLATE(A31893,""en"",""pt"")"),"Preço, bastante ampla, precisa criar novas entradas de telefone para discagem por voz")</f>
        <v>Preço, bastante ampla, precisa criar novas entradas de telefone para discagem por voz</v>
      </c>
      <c r="B31893" s="3">
        <v>0</v>
      </c>
    </row>
    <row r="31894" ht="15.75" customHeight="1" spans="1:2">
      <c r="A31894" s="3" t="str">
        <f>IFERROR(__xludf.DUMMYFUNCTION("GOOGLETRANSLATE(A31894,""en"",""pt"")"),"botões laterais, brilhantes amores manchas superficiais telefone, registros de vídeo nada")</f>
        <v>botões laterais, brilhantes amores manchas superficiais telefone, registros de vídeo nada</v>
      </c>
      <c r="B31894" s="3">
        <v>0</v>
      </c>
    </row>
    <row r="31895" ht="15.75" customHeight="1" spans="1:2">
      <c r="A31895" s="3" t="str">
        <f>IFERROR(__xludf.DUMMYFUNCTION("GOOGLETRANSLATE(A31895,""en"",""pt"")"),"chaves ""suor"" na tela, tempo de conversação é 'eh', não mp3 completo de")</f>
        <v>chaves "suor" na tela, tempo de conversação é 'eh', não mp3 completo de</v>
      </c>
      <c r="B31895" s="3">
        <v>0</v>
      </c>
    </row>
    <row r="31896" ht="15.75" customHeight="1" spans="1:2">
      <c r="A31896" s="3" t="str">
        <f>IFERROR(__xludf.DUMMYFUNCTION("GOOGLETRANSLATE(A31896,""en"",""pt"")"),"Certos navegações de menu; Largura")</f>
        <v>Certos navegações de menu; Largura</v>
      </c>
      <c r="B31896" s="3">
        <v>0</v>
      </c>
    </row>
    <row r="31897" ht="15.75" customHeight="1" spans="1:2">
      <c r="A31897" s="3" t="str">
        <f>IFERROR(__xludf.DUMMYFUNCTION("GOOGLETRANSLATE(A31897,""en"",""pt"")"),"Nenhum jogo foram incluídos com o telefone, Nick teve que baixar alguns.")</f>
        <v>Nenhum jogo foram incluídos com o telefone, Nick teve que baixar alguns.</v>
      </c>
      <c r="B31897" s="3">
        <v>0</v>
      </c>
    </row>
    <row r="31898" ht="15.75" customHeight="1" spans="1:2">
      <c r="A31898" s="3" t="str">
        <f>IFERROR(__xludf.DUMMYFUNCTION("GOOGLETRANSLATE(A31898,""en"",""pt"")"),"Sem MP3 ou iTunes, algumas funções básicas são apenas subscrição-manual, sub-par instrução.")</f>
        <v>Sem MP3 ou iTunes, algumas funções básicas são apenas subscrição-manual, sub-par instrução.</v>
      </c>
      <c r="B31898" s="3">
        <v>0</v>
      </c>
    </row>
    <row r="31899" ht="15.75" customHeight="1" spans="1:2">
      <c r="A31899" s="3" t="str">
        <f>IFERROR(__xludf.DUMMYFUNCTION("GOOGLETRANSLATE(A31899,""en"",""pt"")"),"não se sente durável, o volume do auricular não muito alto.")</f>
        <v>não se sente durável, o volume do auricular não muito alto.</v>
      </c>
      <c r="B31899" s="3">
        <v>0</v>
      </c>
    </row>
    <row r="31900" ht="15.75" customHeight="1" spans="1:2">
      <c r="A31900" s="3" t="str">
        <f>IFERROR(__xludf.DUMMYFUNCTION("GOOGLETRANSLATE(A31900,""en"",""pt"")"),"Sem expansão de memória, interface de usuário um pouco lento.")</f>
        <v>Sem expansão de memória, interface de usuário um pouco lento.</v>
      </c>
      <c r="B31900" s="3">
        <v>0</v>
      </c>
    </row>
    <row r="31901" ht="15.75" customHeight="1" spans="1:2">
      <c r="A31901" s="3" t="str">
        <f>IFERROR(__xludf.DUMMYFUNCTION("GOOGLETRANSLATE(A31901,""en"",""pt"")"),"não é necessariamente superior a outros telefones na qualidade da chamada.")</f>
        <v>não é necessariamente superior a outros telefones na qualidade da chamada.</v>
      </c>
      <c r="B31901" s="3">
        <v>0</v>
      </c>
    </row>
    <row r="31902" ht="15.75" customHeight="1" spans="1:2">
      <c r="A31902" s="3" t="str">
        <f>IFERROR(__xludf.DUMMYFUNCTION("GOOGLETRANSLATE(A31902,""en"",""pt"")"),"vida útil da bateria é par, não pode jogar mp3s, não pode adicionar memória")</f>
        <v>vida útil da bateria é par, não pode jogar mp3s, não pode adicionar memória</v>
      </c>
      <c r="B31902" s="3">
        <v>0</v>
      </c>
    </row>
    <row r="31903" ht="15.75" customHeight="1" spans="1:2">
      <c r="A31903" s="3" t="str">
        <f>IFERROR(__xludf.DUMMYFUNCTION("GOOGLETRANSLATE(A31903,""en"",""pt"")"),"Eu realmente não posso pensar em nada de errado")</f>
        <v>Eu realmente não posso pensar em nada de errado</v>
      </c>
      <c r="B31903" s="3">
        <v>0</v>
      </c>
    </row>
    <row r="31904" ht="15.75" customHeight="1" spans="1:2">
      <c r="A31904" s="3" t="str">
        <f>IFERROR(__xludf.DUMMYFUNCTION("GOOGLETRANSLATE(A31904,""en"",""pt"")"),"No sub- $ 100 preços, relativamente nenhum, exceto que eles vão se tornar menos rara")</f>
        <v>No sub- $ 100 preços, relativamente nenhum, exceto que eles vão se tornar menos rara</v>
      </c>
      <c r="B31904" s="3">
        <v>0</v>
      </c>
    </row>
    <row r="31905" ht="15.75" customHeight="1" spans="1:2">
      <c r="A31905" s="3" t="str">
        <f>IFERROR(__xludf.DUMMYFUNCTION("GOOGLETRANSLATE(A31905,""en"",""pt"")"),"mal concebidos difícil aderência e qualidade de som marginal")</f>
        <v>mal concebidos difícil aderência e qualidade de som marginal</v>
      </c>
      <c r="B31905" s="3">
        <v>0</v>
      </c>
    </row>
    <row r="31906" ht="15.75" customHeight="1" spans="1:2">
      <c r="A31906" s="3" t="str">
        <f>IFERROR(__xludf.DUMMYFUNCTION("GOOGLETRANSLATE(A31906,""en"",""pt"")"),"engenharia pobres. Carece de algumas características importantes, outros não funcionam direito.")</f>
        <v>engenharia pobres. Carece de algumas características importantes, outros não funcionam direito.</v>
      </c>
      <c r="B31906" s="3">
        <v>0</v>
      </c>
    </row>
    <row r="31907" ht="15.75" customHeight="1" spans="1:2">
      <c r="A31907" s="3" t="str">
        <f>IFERROR(__xludf.DUMMYFUNCTION("GOOGLETRANSLATE(A31907,""en"",""pt"")"),"Nenhum verdadeiro livro de telefone multi-contacto. Difícil de usar menus contra-intuitivas - resposta OS MUITO LENTO!")</f>
        <v>Nenhum verdadeiro livro de telefone multi-contacto. Difícil de usar menus contra-intuitivas - resposta OS MUITO LENTO!</v>
      </c>
      <c r="B31907" s="3">
        <v>0</v>
      </c>
    </row>
    <row r="31908" ht="15.75" customHeight="1" spans="1:2">
      <c r="A31908" s="3" t="str">
        <f>IFERROR(__xludf.DUMMYFUNCTION("GOOGLETRANSLATE(A31908,""en"",""pt"")"),"Ele recebe demasiada críticas de pessoas")</f>
        <v>Ele recebe demasiada críticas de pessoas</v>
      </c>
      <c r="B31908" s="3">
        <v>0</v>
      </c>
    </row>
    <row r="31909" ht="15.75" customHeight="1" spans="1:2">
      <c r="A31909" s="3" t="str">
        <f>IFERROR(__xludf.DUMMYFUNCTION("GOOGLETRANSLATE(A31909,""en"",""pt"")"),"Sem capacidade de gravação de vídeo")</f>
        <v>Sem capacidade de gravação de vídeo</v>
      </c>
      <c r="B31909" s="3">
        <v>0</v>
      </c>
    </row>
    <row r="31910" ht="15.75" customHeight="1" spans="1:2">
      <c r="A31910" s="3" t="str">
        <f>IFERROR(__xludf.DUMMYFUNCTION("GOOGLETRANSLATE(A31910,""en"",""pt"")"),"inicialização lenta, caixa de bateria de plástico, câmera medíocre, há endereços de rua")</f>
        <v>inicialização lenta, caixa de bateria de plástico, câmera medíocre, há endereços de rua</v>
      </c>
      <c r="B31910" s="3">
        <v>0</v>
      </c>
    </row>
    <row r="31911" ht="15.75" customHeight="1" spans="1:2">
      <c r="A31911" s="3" t="str">
        <f>IFERROR(__xludf.DUMMYFUNCTION("GOOGLETRANSLATE(A31911,""en"",""pt"")"),"Sem MP3 ou GPS")</f>
        <v>Sem MP3 ou GPS</v>
      </c>
      <c r="B31911" s="3">
        <v>0</v>
      </c>
    </row>
    <row r="31912" ht="15.75" customHeight="1" spans="1:2">
      <c r="A31912" s="3" t="str">
        <f>IFERROR(__xludf.DUMMYFUNCTION("GOOGLETRANSLATE(A31912,""en"",""pt"")"),"manchas de impressões digitais, câmera bem, caro com nenhum plano")</f>
        <v>manchas de impressões digitais, câmera bem, caro com nenhum plano</v>
      </c>
      <c r="B31912" s="3">
        <v>0</v>
      </c>
    </row>
    <row r="31913" ht="15.75" customHeight="1" spans="1:2">
      <c r="A31913" s="3" t="str">
        <f>IFERROR(__xludf.DUMMYFUNCTION("GOOGLETRANSLATE(A31913,""en"",""pt"")"),"Vida útil da bateria, Layout, Bluetooth, viva-voz, velocidade.")</f>
        <v>Vida útil da bateria, Layout, Bluetooth, viva-voz, velocidade.</v>
      </c>
      <c r="B31913" s="3">
        <v>0</v>
      </c>
    </row>
    <row r="31914" ht="15.75" customHeight="1" spans="1:2">
      <c r="A31914" s="3" t="str">
        <f>IFERROR(__xludf.DUMMYFUNCTION("GOOGLETRANSLATE(A31914,""en"",""pt"")"),"interface de usuário Motorola requer muitas instruções para concluir uma tarefa.")</f>
        <v>interface de usuário Motorola requer muitas instruções para concluir uma tarefa.</v>
      </c>
      <c r="B31914" s="3">
        <v>0</v>
      </c>
    </row>
    <row r="31915" ht="15.75" customHeight="1" spans="1:2">
      <c r="A31915" s="3" t="str">
        <f>IFERROR(__xludf.DUMMYFUNCTION("GOOGLETRANSLATE(A31915,""en"",""pt"")"),"Curto bateria de vida, não a ponta")</f>
        <v>Curto bateria de vida, não a ponta</v>
      </c>
      <c r="B31915" s="3">
        <v>0</v>
      </c>
    </row>
    <row r="31916" ht="15.75" customHeight="1" spans="1:2">
      <c r="A31916" s="3" t="str">
        <f>IFERROR(__xludf.DUMMYFUNCTION("GOOGLETRANSLATE(A31916,""en"",""pt"")"),"Camera é fraco, fede durabilidade e cuidado se você planeja usar o recurso Bluetooth.")</f>
        <v>Camera é fraco, fede durabilidade e cuidado se você planeja usar o recurso Bluetooth.</v>
      </c>
      <c r="B31916" s="3">
        <v>0</v>
      </c>
    </row>
    <row r="31917" ht="15.75" customHeight="1" spans="1:2">
      <c r="A31917" s="3" t="str">
        <f>IFERROR(__xludf.DUMMYFUNCTION("GOOGLETRANSLATE(A31917,""en"",""pt"")"),"Nenhuma porta fone de ouvido de conexão direta, dim outter exibição")</f>
        <v>Nenhuma porta fone de ouvido de conexão direta, dim outter exibição</v>
      </c>
      <c r="B31917" s="3">
        <v>0</v>
      </c>
    </row>
    <row r="31918" ht="15.75" customHeight="1" spans="1:2">
      <c r="A31918" s="3" t="str">
        <f>IFERROR(__xludf.DUMMYFUNCTION("GOOGLETRANSLATE(A31918,""en"",""pt"")"),"Demasiados problemas de desempenho (ver revisão detalhada).")</f>
        <v>Demasiados problemas de desempenho (ver revisão detalhada).</v>
      </c>
      <c r="B31918" s="3">
        <v>0</v>
      </c>
    </row>
    <row r="31919" ht="15.75" customHeight="1" spans="1:2">
      <c r="A31919" s="3" t="str">
        <f>IFERROR(__xludf.DUMMYFUNCTION("GOOGLETRANSLATE(A31919,""en"",""pt"")"),"Internals frágeis")</f>
        <v>Internals frágeis</v>
      </c>
      <c r="B31919" s="3">
        <v>0</v>
      </c>
    </row>
    <row r="31920" ht="15.75" customHeight="1" spans="1:2">
      <c r="A31920" s="3" t="str">
        <f>IFERROR(__xludf.DUMMYFUNCTION("GOOGLETRANSLATE(A31920,""en"",""pt"")"),"Durabilidade, ergonomia, Plano Teclado e vida útil da bateria.")</f>
        <v>Durabilidade, ergonomia, Plano Teclado e vida útil da bateria.</v>
      </c>
      <c r="B31920" s="3">
        <v>0</v>
      </c>
    </row>
    <row r="31921" ht="15.75" customHeight="1" spans="1:2">
      <c r="A31921" s="3" t="str">
        <f>IFERROR(__xludf.DUMMYFUNCTION("GOOGLETRANSLATE(A31921,""en"",""pt"")"),"funções de agenda telefônica são básicos")</f>
        <v>funções de agenda telefônica são básicos</v>
      </c>
      <c r="B31921" s="3">
        <v>0</v>
      </c>
    </row>
    <row r="31922" ht="15.75" customHeight="1" spans="1:2">
      <c r="A31922" s="3" t="str">
        <f>IFERROR(__xludf.DUMMYFUNCTION("GOOGLETRANSLATE(A31922,""en"",""pt"")"),"nenhum cartão de memória externo, teclas de menu pequenos")</f>
        <v>nenhum cartão de memória externo, teclas de menu pequenos</v>
      </c>
      <c r="B31922" s="3">
        <v>0</v>
      </c>
    </row>
    <row r="31923" ht="15.75" customHeight="1" spans="1:2">
      <c r="A31923" s="3" t="str">
        <f>IFERROR(__xludf.DUMMYFUNCTION("GOOGLETRANSLATE(A31923,""en"",""pt"")"),"Lista telefónica é uma dor.")</f>
        <v>Lista telefónica é uma dor.</v>
      </c>
      <c r="B31923" s="3">
        <v>0</v>
      </c>
    </row>
    <row r="31924" ht="15.75" customHeight="1" spans="1:2">
      <c r="A31924" s="3" t="str">
        <f>IFERROR(__xludf.DUMMYFUNCTION("GOOGLETRANSLATE(A31924,""en"",""pt"")"),"Câmera, Internet muito fácil chegar também por engano")</f>
        <v>Câmera, Internet muito fácil chegar também por engano</v>
      </c>
      <c r="B31924" s="3">
        <v>0</v>
      </c>
    </row>
    <row r="31925" ht="15.75" customHeight="1" spans="1:2">
      <c r="A31925" s="3" t="str">
        <f>IFERROR(__xludf.DUMMYFUNCTION("GOOGLETRANSLATE(A31925,""en"",""pt"")"),"vestígios botão na tela. Os planos de serviço custa muito. 200 dólares.")</f>
        <v>vestígios botão na tela. Os planos de serviço custa muito. 200 dólares.</v>
      </c>
      <c r="B31925" s="3">
        <v>0</v>
      </c>
    </row>
    <row r="31926" ht="15.75" customHeight="1" spans="1:2">
      <c r="A31926" s="3" t="str">
        <f>IFERROR(__xludf.DUMMYFUNCTION("GOOGLETRANSLATE(A31926,""en"",""pt"")"),"Ver abaixo")</f>
        <v>Ver abaixo</v>
      </c>
      <c r="B31926" s="3">
        <v>0</v>
      </c>
    </row>
    <row r="31927" ht="15.75" customHeight="1" spans="1:2">
      <c r="A31927" s="3" t="str">
        <f>IFERROR(__xludf.DUMMYFUNCTION("GOOGLETRANSLATE(A31927,""en"",""pt"")"),"menus antigos e OS. sem memória, sem ir, não mp3 / fm, câmera ruim")</f>
        <v>menus antigos e OS. sem memória, sem ir, não mp3 / fm, câmera ruim</v>
      </c>
      <c r="B31927" s="3">
        <v>0</v>
      </c>
    </row>
    <row r="31928" ht="15.75" customHeight="1" spans="1:2">
      <c r="A31928" s="3" t="str">
        <f>IFERROR(__xludf.DUMMYFUNCTION("GOOGLETRANSLATE(A31928,""en"",""pt"")"),"O reconhecimento de voz não tão bom com o ruído de fundo")</f>
        <v>O reconhecimento de voz não tão bom com o ruído de fundo</v>
      </c>
      <c r="B31928" s="3">
        <v>0</v>
      </c>
    </row>
    <row r="31929" ht="15.75" customHeight="1" spans="1:2">
      <c r="A31929" s="3" t="str">
        <f>IFERROR(__xludf.DUMMYFUNCTION("GOOGLETRANSLATE(A31929,""en"",""pt"")"),"Interface desajeitado, tela externa fraca, nenhuma memória removível.")</f>
        <v>Interface desajeitado, tela externa fraca, nenhuma memória removível.</v>
      </c>
      <c r="B31929" s="3">
        <v>0</v>
      </c>
    </row>
    <row r="31930" ht="15.75" customHeight="1" spans="1:2">
      <c r="A31930" s="3" t="str">
        <f>IFERROR(__xludf.DUMMYFUNCTION("GOOGLETRANSLATE(A31930,""en"",""pt"")"),"apoio lista telefónica, a vida da bateria, suporte SMS, carrinho de BT")</f>
        <v>apoio lista telefónica, a vida da bateria, suporte SMS, carrinho de BT</v>
      </c>
      <c r="B31930" s="3">
        <v>0</v>
      </c>
    </row>
    <row r="31931" ht="15.75" customHeight="1" spans="1:2">
      <c r="A31931" s="3" t="str">
        <f>IFERROR(__xludf.DUMMYFUNCTION("GOOGLETRANSLATE(A31931,""en"",""pt"")"),"Câmera precisa de mais alguns pixels.")</f>
        <v>Câmera precisa de mais alguns pixels.</v>
      </c>
      <c r="B31931" s="3">
        <v>0</v>
      </c>
    </row>
    <row r="31932" ht="15.75" customHeight="1" spans="1:2">
      <c r="A31932" s="3" t="str">
        <f>IFERROR(__xludf.DUMMYFUNCTION("GOOGLETRANSLATE(A31932,""en"",""pt"")"),"Pobres Botões, menu confuso de")</f>
        <v>Pobres Botões, menu confuso de</v>
      </c>
      <c r="B31932" s="3">
        <v>0</v>
      </c>
    </row>
    <row r="31933" ht="15.75" customHeight="1" spans="1:2">
      <c r="A31933" s="3" t="str">
        <f>IFERROR(__xludf.DUMMYFUNCTION("GOOGLETRANSLATE(A31933,""en"",""pt"")"),"Não é inteligente o suficiente para incluir algumas juntas para mantê-lo secar.")</f>
        <v>Não é inteligente o suficiente para incluir algumas juntas para mantê-lo secar.</v>
      </c>
      <c r="B31933" s="3">
        <v>0</v>
      </c>
    </row>
    <row r="31934" ht="15.75" customHeight="1" spans="1:2">
      <c r="A31934" s="3" t="str">
        <f>IFERROR(__xludf.DUMMYFUNCTION("GOOGLETRANSLATE(A31934,""en"",""pt"")"),"A única coisa é que é um pouco caro, mas vale BEM!")</f>
        <v>A única coisa é que é um pouco caro, mas vale BEM!</v>
      </c>
      <c r="B31934" s="3">
        <v>0</v>
      </c>
    </row>
    <row r="31935" ht="15.75" customHeight="1" spans="1:2">
      <c r="A31935" s="3" t="str">
        <f>IFERROR(__xludf.DUMMYFUNCTION("GOOGLETRANSLATE(A31935,""en"",""pt"")"),"Possíveis problemas de software, inconveniência de substituições, muito frágil se cair, acessórios muito mínimas, sux Bluetooth")</f>
        <v>Possíveis problemas de software, inconveniência de substituições, muito frágil se cair, acessórios muito mínimas, sux Bluetooth</v>
      </c>
      <c r="B31935" s="3">
        <v>0</v>
      </c>
    </row>
    <row r="31936" ht="15.75" customHeight="1" spans="1:2">
      <c r="A31936" s="3" t="str">
        <f>IFERROR(__xludf.DUMMYFUNCTION("GOOGLETRANSLATE(A31936,""en"",""pt"")"),"Um drop-in carregador seria bom.")</f>
        <v>Um drop-in carregador seria bom.</v>
      </c>
      <c r="B31936" s="3">
        <v>0</v>
      </c>
    </row>
    <row r="31937" ht="15.75" customHeight="1" spans="1:2">
      <c r="A31937" s="3" t="str">
        <f>IFERROR(__xludf.DUMMYFUNCTION("GOOGLETRANSLATE(A31937,""en"",""pt"")"),"fotos feias, sem vídeo, bateria ruim, estranhamente amarelecimento botões, não pode baixar ou mensagem de texto")</f>
        <v>fotos feias, sem vídeo, bateria ruim, estranhamente amarelecimento botões, não pode baixar ou mensagem de texto</v>
      </c>
      <c r="B31937" s="3">
        <v>0</v>
      </c>
    </row>
    <row r="31938" ht="15.75" customHeight="1" spans="1:2">
      <c r="A31938" s="3" t="str">
        <f>IFERROR(__xludf.DUMMYFUNCTION("GOOGLETRANSLATE(A31938,""en"",""pt"")"),"qualidade de som e qualidade de telefone problemas.")</f>
        <v>qualidade de som e qualidade de telefone problemas.</v>
      </c>
      <c r="B31938" s="3">
        <v>0</v>
      </c>
    </row>
    <row r="31939" ht="15.75" customHeight="1" spans="1:2">
      <c r="A31939" s="3" t="str">
        <f>IFERROR(__xludf.DUMMYFUNCTION("GOOGLETRANSLATE(A31939,""en"",""pt"")"),"arranha com muita facilidade, não há memória suficiente para a capacidade de fotos e mensagens de texto.")</f>
        <v>arranha com muita facilidade, não há memória suficiente para a capacidade de fotos e mensagens de texto.</v>
      </c>
      <c r="B31939" s="3">
        <v>0</v>
      </c>
    </row>
    <row r="31940" ht="15.75" customHeight="1" spans="1:2">
      <c r="A31940" s="3" t="str">
        <f>IFERROR(__xludf.DUMMYFUNCTION("GOOGLETRANSLATE(A31940,""en"",""pt"")"),"Entretidas caindo do meu bolso, pode ficar riscado.")</f>
        <v>Entretidas caindo do meu bolso, pode ficar riscado.</v>
      </c>
      <c r="B31940" s="3">
        <v>0</v>
      </c>
    </row>
    <row r="31941" ht="15.75" customHeight="1" spans="1:2">
      <c r="A31941" s="3" t="str">
        <f>IFERROR(__xludf.DUMMYFUNCTION("GOOGLETRANSLATE(A31941,""en"",""pt"")"),"Hum, ver o resto. Basicamente tudo haha")</f>
        <v>Hum, ver o resto. Basicamente tudo haha</v>
      </c>
      <c r="B31941" s="3">
        <v>0</v>
      </c>
    </row>
    <row r="31942" ht="15.75" customHeight="1" spans="1:2">
      <c r="A31942" s="3" t="str">
        <f>IFERROR(__xludf.DUMMYFUNCTION("GOOGLETRANSLATE(A31942,""en"",""pt"")"),"HAVE para segurar o telefone diretamente sobre a orelha para ouvir bem!")</f>
        <v>HAVE para segurar o telefone diretamente sobre a orelha para ouvir bem!</v>
      </c>
      <c r="B31942" s="3">
        <v>0</v>
      </c>
    </row>
    <row r="31943" ht="15.75" customHeight="1" spans="1:2">
      <c r="A31943" s="3" t="str">
        <f>IFERROR(__xludf.DUMMYFUNCTION("GOOGLETRANSLATE(A31943,""en"",""pt"")"),"Todo o hype sem o desempenho torna esta uma compra horrível.")</f>
        <v>Todo o hype sem o desempenho torna esta uma compra horrível.</v>
      </c>
      <c r="B31943" s="3">
        <v>0</v>
      </c>
    </row>
    <row r="31944" ht="15.75" customHeight="1" spans="1:2">
      <c r="A31944" s="3" t="str">
        <f>IFERROR(__xludf.DUMMYFUNCTION("GOOGLETRANSLATE(A31944,""en"",""pt"")"),"Câmera, botões laterais, no MP3s, vídeos")</f>
        <v>Câmera, botões laterais, no MP3s, vídeos</v>
      </c>
      <c r="B31944" s="3">
        <v>0</v>
      </c>
    </row>
    <row r="31945" ht="15.75" customHeight="1" spans="1:2">
      <c r="A31945" s="3" t="str">
        <f>IFERROR(__xludf.DUMMYFUNCTION("GOOGLETRANSLATE(A31945,""en"",""pt"")"),"Escorregadio, baixo volume, usabilidade pobre / navegação, luz de fundo fraco, Bluetooth otimizado para apenas fones de ouvido Motorola.")</f>
        <v>Escorregadio, baixo volume, usabilidade pobre / navegação, luz de fundo fraco, Bluetooth otimizado para apenas fones de ouvido Motorola.</v>
      </c>
      <c r="B31945" s="3">
        <v>0</v>
      </c>
    </row>
    <row r="31946" ht="15.75" customHeight="1" spans="1:2">
      <c r="A31946" s="3" t="str">
        <f>IFERROR(__xludf.DUMMYFUNCTION("GOOGLETRANSLATE(A31946,""en"",""pt"")"),"O telefone não tem ergonomia e você acaba de caça para os controles.")</f>
        <v>O telefone não tem ergonomia e você acaba de caça para os controles.</v>
      </c>
      <c r="B31946" s="3">
        <v>0</v>
      </c>
    </row>
    <row r="31947" ht="15.75" customHeight="1" spans="1:2">
      <c r="A31947" s="3" t="str">
        <f>IFERROR(__xludf.DUMMYFUNCTION("GOOGLETRANSLATE(A31947,""en"",""pt"")"),"livro de endereços e layout do calendário, a colocação de web-button e câmera de telefone típico.")</f>
        <v>livro de endereços e layout do calendário, a colocação de web-button e câmera de telefone típico.</v>
      </c>
      <c r="B31947" s="3">
        <v>0</v>
      </c>
    </row>
    <row r="31948" ht="15.75" customHeight="1" spans="1:2">
      <c r="A31948" s="3" t="str">
        <f>IFERROR(__xludf.DUMMYFUNCTION("GOOGLETRANSLATE(A31948,""en"",""pt"")"),"Não há forma de sincronização com o PC fora da caixa.")</f>
        <v>Não há forma de sincronização com o PC fora da caixa.</v>
      </c>
      <c r="B31948" s="3">
        <v>0</v>
      </c>
    </row>
    <row r="31949" ht="15.75" customHeight="1" spans="1:2">
      <c r="A31949" s="3" t="str">
        <f>IFERROR(__xludf.DUMMYFUNCTION("GOOGLETRANSLATE(A31949,""en"",""pt"")"),"Conversação, navegação no menu péssimo, características inúteis, o custo")</f>
        <v>Conversação, navegação no menu péssimo, características inúteis, o custo</v>
      </c>
      <c r="B31949" s="3">
        <v>0</v>
      </c>
    </row>
    <row r="31950" ht="15.75" customHeight="1" spans="1:2">
      <c r="A31950" s="3" t="str">
        <f>IFERROR(__xludf.DUMMYFUNCTION("GOOGLETRANSLATE(A31950,""en"",""pt"")"),"firmware; gui; má qualidade da câmera; não EDGE ou apoio UTMS; tamanho pequeno RAM")</f>
        <v>firmware; gui; má qualidade da câmera; não EDGE ou apoio UTMS; tamanho pequeno RAM</v>
      </c>
      <c r="B31950" s="3">
        <v>0</v>
      </c>
    </row>
    <row r="31951" ht="15.75" customHeight="1" spans="1:2">
      <c r="A31951" s="3" t="str">
        <f>IFERROR(__xludf.DUMMYFUNCTION("GOOGLETRANSLATE(A31951,""en"",""pt"")"),"Frágil. Não construído para a vida. telas de LCD morrer. Sem recorrentes alarmes.")</f>
        <v>Frágil. Não construído para a vida. telas de LCD morrer. Sem recorrentes alarmes.</v>
      </c>
      <c r="B31951" s="3">
        <v>0</v>
      </c>
    </row>
    <row r="31952" ht="15.75" customHeight="1" spans="1:2">
      <c r="A31952" s="3" t="str">
        <f>IFERROR(__xludf.DUMMYFUNCTION("GOOGLETRANSLATE(A31952,""en"",""pt"")"),"Processador lento (telefone booting), VGA Camera, Sem expansão de memória, MIC poderia ser mais alto.")</f>
        <v>Processador lento (telefone booting), VGA Camera, Sem expansão de memória, MIC poderia ser mais alto.</v>
      </c>
      <c r="B31952" s="3">
        <v>0</v>
      </c>
    </row>
    <row r="31953" ht="15.75" customHeight="1" spans="1:2">
      <c r="A31953" s="3" t="str">
        <f>IFERROR(__xludf.DUMMYFUNCTION("GOOGLETRANSLATE(A31953,""en"",""pt"")"),"design funcional extremamente pobres. Muito caro, exagerada e produtos de engenharia pobres developmentally desafiado.")</f>
        <v>design funcional extremamente pobres. Muito caro, exagerada e produtos de engenharia pobres developmentally desafiado.</v>
      </c>
      <c r="B31953" s="3">
        <v>0</v>
      </c>
    </row>
    <row r="31954" ht="15.75" customHeight="1" spans="1:2">
      <c r="A31954" s="3" t="str">
        <f>IFERROR(__xludf.DUMMYFUNCTION("GOOGLETRANSLATE(A31954,""en"",""pt"")"),"gerenciamento de contatos pobre, não pode sentir chaves, porta No IR, pobre vida útil da bateria com Bluetooth habilitado")</f>
        <v>gerenciamento de contatos pobre, não pode sentir chaves, porta No IR, pobre vida útil da bateria com Bluetooth habilitado</v>
      </c>
      <c r="B31954" s="3">
        <v>0</v>
      </c>
    </row>
    <row r="31955" ht="15.75" customHeight="1" spans="1:2">
      <c r="A31955" s="3" t="str">
        <f>IFERROR(__xludf.DUMMYFUNCTION("GOOGLETRANSLATE(A31955,""en"",""pt"")"),"câmera de vídeo para apenas fotografias (nem todos os telefones)")</f>
        <v>câmera de vídeo para apenas fotografias (nem todos os telefones)</v>
      </c>
      <c r="B31955" s="3">
        <v>0</v>
      </c>
    </row>
    <row r="31956" ht="15.75" customHeight="1" spans="1:2">
      <c r="A31956" s="3" t="str">
        <f>IFERROR(__xludf.DUMMYFUNCTION("GOOGLETRANSLATE(A31956,""en"",""pt"")"),"Preço, mensagens de texto, e bigodes (revisão ver)")</f>
        <v>Preço, mensagens de texto, e bigodes (revisão ver)</v>
      </c>
      <c r="B31956" s="3">
        <v>0</v>
      </c>
    </row>
    <row r="31957" ht="15.75" customHeight="1" spans="1:2">
      <c r="A31957" s="3" t="str">
        <f>IFERROR(__xludf.DUMMYFUNCTION("GOOGLETRANSLATE(A31957,""en"",""pt"")"),"pequena memória, às vezes de menu lentas")</f>
        <v>pequena memória, às vezes de menu lentas</v>
      </c>
      <c r="B31957" s="3">
        <v>0</v>
      </c>
    </row>
    <row r="31958" ht="15.75" customHeight="1" spans="1:2">
      <c r="A31958" s="3" t="str">
        <f>IFERROR(__xludf.DUMMYFUNCTION("GOOGLETRANSLATE(A31958,""en"",""pt"")"),"tempo de bateria curta, um pouco lento - às vezes")</f>
        <v>tempo de bateria curta, um pouco lento - às vezes</v>
      </c>
      <c r="B31958" s="3">
        <v>0</v>
      </c>
    </row>
    <row r="31959" ht="15.75" customHeight="1" spans="1:2">
      <c r="A31959" s="3" t="str">
        <f>IFERROR(__xludf.DUMMYFUNCTION("GOOGLETRANSLATE(A31959,""en"",""pt"")"),"vídeos agitadas, Interface vezes lento ou congela-se, Camera drena bateria")</f>
        <v>vídeos agitadas, Interface vezes lento ou congela-se, Camera drena bateria</v>
      </c>
      <c r="B31959" s="3">
        <v>0</v>
      </c>
    </row>
    <row r="31960" ht="15.75" customHeight="1" spans="1:2">
      <c r="A31960" s="3" t="str">
        <f>IFERROR(__xludf.DUMMYFUNCTION("GOOGLETRANSLATE(A31960,""en"",""pt"")"),"Leia a análise.")</f>
        <v>Leia a análise.</v>
      </c>
      <c r="B31960" s="3">
        <v>0</v>
      </c>
    </row>
    <row r="31961" ht="15.75" customHeight="1" spans="1:2">
      <c r="A31961" s="3" t="str">
        <f>IFERROR(__xludf.DUMMYFUNCTION("GOOGLETRANSLATE(A31961,""en"",""pt"")"),"Características, Keys, menos amigável ...")</f>
        <v>Características, Keys, menos amigável ...</v>
      </c>
      <c r="B31961" s="3">
        <v>0</v>
      </c>
    </row>
    <row r="31962" ht="15.75" customHeight="1" spans="1:2">
      <c r="A31962" s="3" t="str">
        <f>IFERROR(__xludf.DUMMYFUNCTION("GOOGLETRANSLATE(A31962,""en"",""pt"")"),"Não é simples de operar, teclas numéricas pode ser complicado, fica manchado e sujo com facilidade.")</f>
        <v>Não é simples de operar, teclas numéricas pode ser complicado, fica manchado e sujo com facilidade.</v>
      </c>
      <c r="B31962" s="3">
        <v>0</v>
      </c>
    </row>
    <row r="31963" ht="15.75" customHeight="1" spans="1:2">
      <c r="A31963" s="3" t="str">
        <f>IFERROR(__xludf.DUMMYFUNCTION("GOOGLETRANSLATE(A31963,""en"",""pt"")"),"muito pobre vida útil da bateria: quase não utilizável")</f>
        <v>muito pobre vida útil da bateria: quase não utilizável</v>
      </c>
      <c r="B31963" s="3">
        <v>0</v>
      </c>
    </row>
    <row r="31964" ht="15.75" customHeight="1" spans="1:2">
      <c r="A31964" s="3" t="str">
        <f>IFERROR(__xludf.DUMMYFUNCTION("GOOGLETRANSLATE(A31964,""en"",""pt"")"),"Configuração das funções, não toca o tempo suficiente para mim.")</f>
        <v>Configuração das funções, não toca o tempo suficiente para mim.</v>
      </c>
      <c r="B31964" s="3">
        <v>0</v>
      </c>
    </row>
    <row r="31965" ht="15.75" customHeight="1" spans="1:2">
      <c r="A31965" s="3" t="str">
        <f>IFERROR(__xludf.DUMMYFUNCTION("GOOGLETRANSLATE(A31965,""en"",""pt"")"),"a orientação do menu do telefone melhor do que Motorolas anteriormente, mas ainda baffeling às vezes.")</f>
        <v>a orientação do menu do telefone melhor do que Motorolas anteriormente, mas ainda baffeling às vezes.</v>
      </c>
      <c r="B31965" s="3">
        <v>0</v>
      </c>
    </row>
    <row r="31966" ht="15.75" customHeight="1" spans="1:2">
      <c r="A31966" s="3" t="str">
        <f>IFERROR(__xludf.DUMMYFUNCTION("GOOGLETRANSLATE(A31966,""en"",""pt"")"),"Não pode ouvi-lo tocar, fonte pequena, desajeitada de menu")</f>
        <v>Não pode ouvi-lo tocar, fonte pequena, desajeitada de menu</v>
      </c>
      <c r="B31966" s="3">
        <v>0</v>
      </c>
    </row>
    <row r="31967" ht="15.75" customHeight="1" spans="1:2">
      <c r="A31967" s="3" t="str">
        <f>IFERROR(__xludf.DUMMYFUNCTION("GOOGLETRANSLATE(A31967,""en"",""pt"")"),"não pode ouvir o telefone tocar se for em uma bolsa ou bolso !!! fonte pequena, não exibir o número quando chamado (eu gosto de confirmar Liguei para o número de celular ou de casa), o menu leva muito tempo para navegar, se você armazenar pix com o número"&amp;" de alguém, o visor quando eles chamam é tão pequena que você pode 't vê-lo")</f>
        <v>não pode ouvir o telefone tocar se for em uma bolsa ou bolso !!! fonte pequena, não exibir o número quando chamado (eu gosto de confirmar Liguei para o número de celular ou de casa), o menu leva muito tempo para navegar, se você armazenar pix com o número de alguém, o visor quando eles chamam é tão pequena que você pode 't vê-lo</v>
      </c>
      <c r="B31967" s="3">
        <v>0</v>
      </c>
    </row>
    <row r="31968" ht="15.75" customHeight="1" spans="1:2">
      <c r="A31968" s="3" t="str">
        <f>IFERROR(__xludf.DUMMYFUNCTION("GOOGLETRANSLATE(A31968,""en"",""pt"")"),"garantia horrendo / serviço de reparo")</f>
        <v>garantia horrendo / serviço de reparo</v>
      </c>
      <c r="B31968" s="3">
        <v>0</v>
      </c>
    </row>
    <row r="31969" ht="15.75" customHeight="1" spans="1:2">
      <c r="A31969" s="3" t="str">
        <f>IFERROR(__xludf.DUMMYFUNCTION("GOOGLETRANSLATE(A31969,""en"",""pt"")"),", Design sem solução lento, câmera pobres, pobres fora de visão")</f>
        <v>, Design sem solução lento, câmera pobres, pobres fora de visão</v>
      </c>
      <c r="B31969" s="3">
        <v>0</v>
      </c>
    </row>
    <row r="31970" ht="15.75" customHeight="1" spans="1:2">
      <c r="A31970" s="3" t="str">
        <f>IFERROR(__xludf.DUMMYFUNCTION("GOOGLETRANSLATE(A31970,""en"",""pt"")"),"Botões do lado, Marcação com reconhecimento vocal !!!")</f>
        <v>Botões do lado, Marcação com reconhecimento vocal !!!</v>
      </c>
      <c r="B31970" s="3">
        <v>0</v>
      </c>
    </row>
    <row r="31971" ht="15.75" customHeight="1" spans="1:2">
      <c r="A31971" s="3" t="str">
        <f>IFERROR(__xludf.DUMMYFUNCTION("GOOGLETRANSLATE(A31971,""en"",""pt"")"),"Interface desajeitado. Gestão livro de endereços a dor. questões de volume. zumbido persistente necessário novo telefone.")</f>
        <v>Interface desajeitado. Gestão livro de endereços a dor. questões de volume. zumbido persistente necessário novo telefone.</v>
      </c>
      <c r="B31971" s="3">
        <v>0</v>
      </c>
    </row>
    <row r="31972" ht="15.75" customHeight="1" spans="1:2">
      <c r="A31972" s="3" t="str">
        <f>IFERROR(__xludf.DUMMYFUNCTION("GOOGLETRANSLATE(A31972,""en"",""pt"")"),"apoio Bad cliente; altifalante interno propensas a danos humidade")</f>
        <v>apoio Bad cliente; altifalante interno propensas a danos humidade</v>
      </c>
      <c r="B31972" s="3">
        <v>0</v>
      </c>
    </row>
    <row r="31973" ht="15.75" customHeight="1" spans="1:2">
      <c r="A31973" s="3" t="str">
        <f>IFERROR(__xludf.DUMMYFUNCTION("GOOGLETRANSLATE(A31973,""en"",""pt"")"),"Difícil de ver a tela na luz solar")</f>
        <v>Difícil de ver a tela na luz solar</v>
      </c>
      <c r="B31973" s="3">
        <v>0</v>
      </c>
    </row>
    <row r="31974" ht="15.75" customHeight="1" spans="1:2">
      <c r="A31974" s="3" t="str">
        <f>IFERROR(__xludf.DUMMYFUNCTION("GOOGLETRANSLATE(A31974,""en"",""pt"")"),"Verizon limita a funcionalidade.")</f>
        <v>Verizon limita a funcionalidade.</v>
      </c>
      <c r="B31974" s="3">
        <v>0</v>
      </c>
    </row>
    <row r="31975" ht="15.75" customHeight="1" spans="1:2">
      <c r="A31975" s="3" t="str">
        <f>IFERROR(__xludf.DUMMYFUNCTION("GOOGLETRANSLATE(A31975,""en"",""pt"")"),"Difícil de usar, pobre som.")</f>
        <v>Difícil de usar, pobre som.</v>
      </c>
      <c r="B31975" s="3">
        <v>0</v>
      </c>
    </row>
    <row r="31976" ht="15.75" customHeight="1" spans="1:2">
      <c r="A31976" s="3" t="str">
        <f>IFERROR(__xludf.DUMMYFUNCTION("GOOGLETRANSLATE(A31976,""en"",""pt"")"),"Sua peça um de porcaria")</f>
        <v>Sua peça um de porcaria</v>
      </c>
      <c r="B31976" s="3">
        <v>0</v>
      </c>
    </row>
    <row r="31977" ht="15.75" customHeight="1" spans="1:2">
      <c r="A31977" s="3" t="str">
        <f>IFERROR(__xludf.DUMMYFUNCTION("GOOGLETRANSLATE(A31977,""en"",""pt"")"),"Baixo volume, irritante zumbido, vida batt pobres")</f>
        <v>Baixo volume, irritante zumbido, vida batt pobres</v>
      </c>
      <c r="B31977" s="3">
        <v>0</v>
      </c>
    </row>
    <row r="31978" ht="15.75" customHeight="1" spans="1:2">
      <c r="A31978" s="3" t="str">
        <f>IFERROR(__xludf.DUMMYFUNCTION("GOOGLETRANSLATE(A31978,""en"",""pt"")"),"botões laterais, viva-voz, chamadas de voz.")</f>
        <v>botões laterais, viva-voz, chamadas de voz.</v>
      </c>
      <c r="B31978" s="3">
        <v>0</v>
      </c>
    </row>
    <row r="31979" ht="15.75" customHeight="1" spans="1:2">
      <c r="A31979" s="3" t="str">
        <f>IFERROR(__xludf.DUMMYFUNCTION("GOOGLETRANSLATE(A31979,""en"",""pt"")"),"Se comporta estranhamente, bateria morre rapidamente, preço")</f>
        <v>Se comporta estranhamente, bateria morre rapidamente, preço</v>
      </c>
      <c r="B31979" s="3">
        <v>0</v>
      </c>
    </row>
    <row r="31980" ht="15.75" customHeight="1" spans="1:2">
      <c r="A31980" s="3" t="str">
        <f>IFERROR(__xludf.DUMMYFUNCTION("GOOGLETRANSLATE(A31980,""en"",""pt"")"),"Corta aleatoriamente com chamadas, tela congela.")</f>
        <v>Corta aleatoriamente com chamadas, tela congela.</v>
      </c>
      <c r="B31980" s="3">
        <v>0</v>
      </c>
    </row>
    <row r="31981" ht="15.75" customHeight="1" spans="1:2">
      <c r="A31981" s="3" t="str">
        <f>IFERROR(__xludf.DUMMYFUNCTION("GOOGLETRANSLATE(A31981,""en"",""pt"")"),"a recepção é fraca")</f>
        <v>a recepção é fraca</v>
      </c>
      <c r="B31981" s="3">
        <v>0</v>
      </c>
    </row>
    <row r="31982" ht="15.75" customHeight="1" spans="1:2">
      <c r="A31982" s="3" t="str">
        <f>IFERROR(__xludf.DUMMYFUNCTION("GOOGLETRANSLATE(A31982,""en"",""pt"")"),"design de agenda fraca")</f>
        <v>design de agenda fraca</v>
      </c>
      <c r="B31982" s="3">
        <v>0</v>
      </c>
    </row>
    <row r="31983" ht="15.75" customHeight="1" spans="1:2">
      <c r="A31983" s="3" t="str">
        <f>IFERROR(__xludf.DUMMYFUNCTION("GOOGLETRANSLATE(A31983,""en"",""pt"")"),"não vi nenhum!")</f>
        <v>não vi nenhum!</v>
      </c>
      <c r="B31983" s="3">
        <v>0</v>
      </c>
    </row>
    <row r="31984" ht="15.75" customHeight="1" spans="1:2">
      <c r="A31984" s="3" t="str">
        <f>IFERROR(__xludf.DUMMYFUNCTION("GOOGLETRANSLATE(A31984,""en"",""pt"")"),"Fino, mas de largura. A vida da bateria é média. O preço é tipo de alta. Fica suja facilmente.")</f>
        <v>Fino, mas de largura. A vida da bateria é média. O preço é tipo de alta. Fica suja facilmente.</v>
      </c>
      <c r="B31984" s="3">
        <v>0</v>
      </c>
    </row>
    <row r="31985" ht="15.75" customHeight="1" spans="1:2">
      <c r="A31985" s="3" t="str">
        <f>IFERROR(__xludf.DUMMYFUNCTION("GOOGLETRANSLATE(A31985,""en"",""pt"")"),"Nenhum")</f>
        <v>Nenhum</v>
      </c>
      <c r="B31985" s="3">
        <v>0</v>
      </c>
    </row>
    <row r="31986" ht="15.75" customHeight="1" spans="1:2">
      <c r="A31986" s="3" t="str">
        <f>IFERROR(__xludf.DUMMYFUNCTION("GOOGLETRANSLATE(A31986,""en"",""pt"")"),"Todo mundo tem um!")</f>
        <v>Todo mundo tem um!</v>
      </c>
      <c r="B31986" s="3">
        <v>0</v>
      </c>
    </row>
    <row r="31987" ht="15.75" customHeight="1" spans="1:2">
      <c r="A31987" s="3" t="str">
        <f>IFERROR(__xludf.DUMMYFUNCTION("GOOGLETRANSLATE(A31987,""en"",""pt"")"),"Crashes chamadas com freqüência, trava caiu, sinal fraco, mau serviço ao cliente / Política retorno.")</f>
        <v>Crashes chamadas com freqüência, trava caiu, sinal fraco, mau serviço ao cliente / Política retorno.</v>
      </c>
      <c r="B31987" s="3">
        <v>0</v>
      </c>
    </row>
    <row r="31988" ht="15.75" customHeight="1" spans="1:2">
      <c r="A31988" s="3" t="str">
        <f>IFERROR(__xludf.DUMMYFUNCTION("GOOGLETRANSLATE(A31988,""en"",""pt"")"),"Logo este telefone será conhecido como um Edsel.")</f>
        <v>Logo este telefone será conhecido como um Edsel.</v>
      </c>
      <c r="B31988" s="3">
        <v>0</v>
      </c>
    </row>
    <row r="31989" ht="15.75" customHeight="1" spans="1:2">
      <c r="A31989" s="3" t="str">
        <f>IFERROR(__xludf.DUMMYFUNCTION("GOOGLETRANSLATE(A31989,""en"",""pt"")"),"nenhum realmente")</f>
        <v>nenhum realmente</v>
      </c>
      <c r="B31989" s="3">
        <v>0</v>
      </c>
    </row>
    <row r="31990" ht="15.75" customHeight="1" spans="1:2">
      <c r="A31990" s="3" t="str">
        <f>IFERROR(__xludf.DUMMYFUNCTION("GOOGLETRANSLATE(A31990,""en"",""pt"")"),"O teclado é, por vezes, complicado, o tamanho pode ser um desafio.")</f>
        <v>O teclado é, por vezes, complicado, o tamanho pode ser um desafio.</v>
      </c>
      <c r="B31990" s="3">
        <v>0</v>
      </c>
    </row>
    <row r="31991" ht="15.75" customHeight="1" spans="1:2">
      <c r="A31991" s="3" t="str">
        <f>IFERROR(__xludf.DUMMYFUNCTION("GOOGLETRANSLATE(A31991,""en"",""pt"")"),"Sound, viva-voz, câmera, Phone Book, Falta Data, Software, Features")</f>
        <v>Sound, viva-voz, câmera, Phone Book, Falta Data, Software, Features</v>
      </c>
      <c r="B31991" s="3">
        <v>0</v>
      </c>
    </row>
    <row r="31992" ht="15.75" customHeight="1" spans="1:2">
      <c r="A31992" s="3" t="str">
        <f>IFERROR(__xludf.DUMMYFUNCTION("GOOGLETRANSLATE(A31992,""en"",""pt"")"),"Má recepção, chamadas abandonadas, estático. volume de pobre. Na melhor das hipóteses a vida da bateria justo.")</f>
        <v>Má recepção, chamadas abandonadas, estático. volume de pobre. Na melhor das hipóteses a vida da bateria justo.</v>
      </c>
      <c r="B31992" s="3">
        <v>0</v>
      </c>
    </row>
    <row r="31993" ht="15.75" customHeight="1" spans="1:2">
      <c r="A31993" s="3" t="str">
        <f>IFERROR(__xludf.DUMMYFUNCTION("GOOGLETRANSLATE(A31993,""en"",""pt"")"),"Preferiria cerca de 1/2 polegada mais curta")</f>
        <v>Preferiria cerca de 1/2 polegada mais curta</v>
      </c>
      <c r="B31993" s="3">
        <v>0</v>
      </c>
    </row>
    <row r="31994" ht="15.75" customHeight="1" spans="1:2">
      <c r="A31994" s="3" t="str">
        <f>IFERROR(__xludf.DUMMYFUNCTION("GOOGLETRANSLATE(A31994,""en"",""pt"")"),"A vida da bateria não é suficiente. A câmera é de péssimo gosto.")</f>
        <v>A vida da bateria não é suficiente. A câmera é de péssimo gosto.</v>
      </c>
      <c r="B31994" s="3">
        <v>0</v>
      </c>
    </row>
    <row r="31995" ht="15.75" customHeight="1" spans="1:2">
      <c r="A31995" s="3" t="str">
        <f>IFERROR(__xludf.DUMMYFUNCTION("GOOGLETRANSLATE(A31995,""en"",""pt"")"),"câmera é de apenas 1.3MP, memória interna é de apenas 5.5MB")</f>
        <v>câmera é de apenas 1.3MP, memória interna é de apenas 5.5MB</v>
      </c>
      <c r="B31995" s="3">
        <v>0</v>
      </c>
    </row>
    <row r="31996" ht="15.75" customHeight="1" spans="1:2">
      <c r="A31996" s="3" t="str">
        <f>IFERROR(__xludf.DUMMYFUNCTION("GOOGLETRANSLATE(A31996,""en"",""pt"")"),"Lento, discagem por voz não funciona, praticamente tudo sobre o telefone.")</f>
        <v>Lento, discagem por voz não funciona, praticamente tudo sobre o telefone.</v>
      </c>
      <c r="B31996" s="3">
        <v>0</v>
      </c>
    </row>
    <row r="31997" ht="15.75" customHeight="1" spans="1:2">
      <c r="A31997" s="3" t="str">
        <f>IFERROR(__xludf.DUMMYFUNCTION("GOOGLETRANSLATE(A31997,""en"",""pt"")"),"Corre lento, poderia usar mais memória, e não tem a opção de leitor de MP3")</f>
        <v>Corre lento, poderia usar mais memória, e não tem a opção de leitor de MP3</v>
      </c>
      <c r="B31997" s="3">
        <v>0</v>
      </c>
    </row>
    <row r="31998" ht="15.75" customHeight="1" spans="1:2">
      <c r="A31998" s="3" t="str">
        <f>IFERROR(__xludf.DUMMYFUNCTION("GOOGLETRANSLATE(A31998,""en"",""pt"")"),"sistema de menu Moto velho mesmos ...")</f>
        <v>sistema de menu Moto velho mesmos ...</v>
      </c>
      <c r="B31998" s="3">
        <v>0</v>
      </c>
    </row>
    <row r="31999" ht="15.75" customHeight="1" spans="1:2">
      <c r="A31999" s="3" t="str">
        <f>IFERROR(__xludf.DUMMYFUNCTION("GOOGLETRANSLATE(A31999,""en"",""pt"")"),"""Sinto muito, você poderia repetir isso?"" ""Repita?"" ""O que é que foi isso?"" ""Hã?""")</f>
        <v>"Sinto muito, você poderia repetir isso?" "Repita?" "O que é que foi isso?" "Hã?"</v>
      </c>
      <c r="B31999" s="3">
        <v>0</v>
      </c>
    </row>
    <row r="32000" ht="15.75" customHeight="1" spans="1:2">
      <c r="A32000" s="3" t="str">
        <f>IFERROR(__xludf.DUMMYFUNCTION("GOOGLETRANSLATE(A32000,""en"",""pt"")"),"Todas as minhas chamadas são descartados, desliga sem motivo, tela fica em branco repetidamente")</f>
        <v>Todas as minhas chamadas são descartados, desliga sem motivo, tela fica em branco repetidamente</v>
      </c>
      <c r="B32000" s="3">
        <v>0</v>
      </c>
    </row>
    <row r="32001" ht="15.75" customHeight="1" spans="1:2">
      <c r="A32001" s="3" t="str">
        <f>IFERROR(__xludf.DUMMYFUNCTION("GOOGLETRANSLATE(A32001,""en"",""pt"")"),"Talvez para pequeno e fino para alguns.")</f>
        <v>Talvez para pequeno e fino para alguns.</v>
      </c>
      <c r="B32001" s="3">
        <v>0</v>
      </c>
    </row>
    <row r="32002" ht="15.75" customHeight="1" spans="1:2">
      <c r="A32002" s="3" t="str">
        <f>IFERROR(__xludf.DUMMYFUNCTION("GOOGLETRANSLATE(A32002,""en"",""pt"")"),"Tela fica suja facilmente, má vida útil da bateria")</f>
        <v>Tela fica suja facilmente, má vida útil da bateria</v>
      </c>
      <c r="B32002" s="3">
        <v>0</v>
      </c>
    </row>
    <row r="32003" ht="15.75" customHeight="1" spans="1:2">
      <c r="A32003" s="3" t="str">
        <f>IFERROR(__xludf.DUMMYFUNCTION("GOOGLETRANSLATE(A32003,""en"",""pt"")"),"não é suficiente memória interna")</f>
        <v>não é suficiente memória interna</v>
      </c>
      <c r="B32003" s="3">
        <v>0</v>
      </c>
    </row>
    <row r="32004" ht="15.75" customHeight="1" spans="1:2">
      <c r="A32004" s="3" t="str">
        <f>IFERROR(__xludf.DUMMYFUNCTION("GOOGLETRANSLATE(A32004,""en"",""pt"")"),"Apenas certifique-se de comprá-lo a partir de outro lugar que não Cellular Choice.")</f>
        <v>Apenas certifique-se de comprá-lo a partir de outro lugar que não Cellular Choice.</v>
      </c>
      <c r="B32004" s="3">
        <v>0</v>
      </c>
    </row>
    <row r="32005" ht="15.75" customHeight="1" spans="1:2">
      <c r="A32005" s="3" t="str">
        <f>IFERROR(__xludf.DUMMYFUNCTION("GOOGLETRANSLATE(A32005,""en"",""pt"")"),"leva algum tempo para começar a usar o teclado plana, mas não a longo")</f>
        <v>leva algum tempo para começar a usar o teclado plana, mas não a longo</v>
      </c>
      <c r="B32005" s="3">
        <v>0</v>
      </c>
    </row>
    <row r="32006" ht="15.75" customHeight="1" spans="1:2">
      <c r="A32006" s="3" t="str">
        <f>IFERROR(__xludf.DUMMYFUNCTION("GOOGLETRANSLATE(A32006,""en"",""pt"")"),"Não confiável! Obter a garantia estendida! Problemas do ecrã! Não que user-friendly")</f>
        <v>Não confiável! Obter a garantia estendida! Problemas do ecrã! Não que user-friendly</v>
      </c>
      <c r="B32006" s="3">
        <v>0</v>
      </c>
    </row>
    <row r="32007" ht="15.75" customHeight="1" spans="1:2">
      <c r="A32007" s="3" t="str">
        <f>IFERROR(__xludf.DUMMYFUNCTION("GOOGLETRANSLATE(A32007,""en"",""pt"")"),"Problemas com teclado, rosto, carregador")</f>
        <v>Problemas com teclado, rosto, carregador</v>
      </c>
      <c r="B32007" s="3">
        <v>0</v>
      </c>
    </row>
    <row r="32008" ht="15.75" customHeight="1" spans="1:2">
      <c r="A32008" s="3" t="str">
        <f>IFERROR(__xludf.DUMMYFUNCTION("GOOGLETRANSLATE(A32008,""en"",""pt"")"),"Confuso para descobrir tudo no início, difícil de marcar números sem olhar para o teclado")</f>
        <v>Confuso para descobrir tudo no início, difícil de marcar números sem olhar para o teclado</v>
      </c>
      <c r="B32008" s="3">
        <v>0</v>
      </c>
    </row>
    <row r="32009" ht="15.75" customHeight="1" spans="1:2">
      <c r="A32009" s="3" t="str">
        <f>IFERROR(__xludf.DUMMYFUNCTION("GOOGLETRANSLATE(A32009,""en"",""pt"")"),"o som dos altifalantes péssimo; leva muito tempo para inicializar a partir de fora de posição.")</f>
        <v>o som dos altifalantes péssimo; leva muito tempo para inicializar a partir de fora de posição.</v>
      </c>
      <c r="B32009" s="3">
        <v>0</v>
      </c>
    </row>
    <row r="32010" ht="15.75" customHeight="1" spans="1:2">
      <c r="A32010" s="3" t="str">
        <f>IFERROR(__xludf.DUMMYFUNCTION("GOOGLETRANSLATE(A32010,""en"",""pt"")"),"Quebra facilmente, e às vezes pode ter problemas internos, dependendo do próprio telefone.")</f>
        <v>Quebra facilmente, e às vezes pode ter problemas internos, dependendo do próprio telefone.</v>
      </c>
      <c r="B32010" s="3">
        <v>0</v>
      </c>
    </row>
    <row r="32011" ht="15.75" customHeight="1" spans="1:2">
      <c r="A32011" s="3" t="str">
        <f>IFERROR(__xludf.DUMMYFUNCTION("GOOGLETRANSLATE(A32011,""en"",""pt"")"),"um pouco caro, nenhuma câmera de vídeo")</f>
        <v>um pouco caro, nenhuma câmera de vídeo</v>
      </c>
      <c r="B32011" s="3">
        <v>0</v>
      </c>
    </row>
    <row r="32012" ht="15.75" customHeight="1" spans="1:2">
      <c r="A32012" s="3" t="str">
        <f>IFERROR(__xludf.DUMMYFUNCTION("GOOGLETRANSLATE(A32012,""en"",""pt"")"),"Facilmente riscado, agenda, plataforma de software desatualizado, e nenhuma expansão de mídia para a câmera.")</f>
        <v>Facilmente riscado, agenda, plataforma de software desatualizado, e nenhuma expansão de mídia para a câmera.</v>
      </c>
      <c r="B32012" s="3">
        <v>0</v>
      </c>
    </row>
    <row r="32013" ht="15.75" customHeight="1" spans="1:2">
      <c r="A32013" s="3" t="str">
        <f>IFERROR(__xludf.DUMMYFUNCTION("GOOGLETRANSLATE(A32013,""en"",""pt"")"),"Motorola tem / não Horrível serviço ao cliente")</f>
        <v>Motorola tem / não Horrível serviço ao cliente</v>
      </c>
      <c r="B32013" s="3">
        <v>0</v>
      </c>
    </row>
    <row r="32014" ht="15.75" customHeight="1" spans="1:2">
      <c r="A32014" s="3" t="str">
        <f>IFERROR(__xludf.DUMMYFUNCTION("GOOGLETRANSLATE(A32014,""en"",""pt"")"),"durabilidade questionável.")</f>
        <v>durabilidade questionável.</v>
      </c>
      <c r="B32014" s="3">
        <v>0</v>
      </c>
    </row>
    <row r="32015" ht="15.75" customHeight="1" spans="1:2">
      <c r="A32015" s="3" t="str">
        <f>IFERROR(__xludf.DUMMYFUNCTION("GOOGLETRANSLATE(A32015,""en"",""pt"")"),"Tomando No Video")</f>
        <v>Tomando No Video</v>
      </c>
      <c r="B32015" s="3">
        <v>0</v>
      </c>
    </row>
    <row r="32016" ht="15.75" customHeight="1" spans="1:2">
      <c r="A32016" s="3" t="str">
        <f>IFERROR(__xludf.DUMMYFUNCTION("GOOGLETRANSLATE(A32016,""en"",""pt"")"),"Não muitos recursos, câmera não é tão grande.")</f>
        <v>Não muitos recursos, câmera não é tão grande.</v>
      </c>
      <c r="B32016" s="3">
        <v>0</v>
      </c>
    </row>
    <row r="32017" ht="15.75" customHeight="1" spans="1:2">
      <c r="A32017" s="3" t="str">
        <f>IFERROR(__xludf.DUMMYFUNCTION("GOOGLETRANSLATE(A32017,""en"",""pt"")"),"Vai custar-lhe # 200")</f>
        <v>Vai custar-lhe # 200</v>
      </c>
      <c r="B32017" s="3">
        <v>0</v>
      </c>
    </row>
    <row r="32018" ht="15.75" customHeight="1" spans="1:2">
      <c r="A32018" s="3" t="str">
        <f>IFERROR(__xludf.DUMMYFUNCTION("GOOGLETRANSLATE(A32018,""en"",""pt"")"),"Arranha facilmente (case necessidades")</f>
        <v>Arranha facilmente (case necessidades</v>
      </c>
      <c r="B32018" s="3">
        <v>0</v>
      </c>
    </row>
    <row r="32019" ht="15.75" customHeight="1" spans="1:2">
      <c r="A32019" s="3" t="str">
        <f>IFERROR(__xludf.DUMMYFUNCTION("GOOGLETRANSLATE(A32019,""en"",""pt"")"),"Difícil de uso, carece de recursos, abaixo da bateria média, caro, software SUGA ....")</f>
        <v>Difícil de uso, carece de recursos, abaixo da bateria média, caro, software SUGA ....</v>
      </c>
      <c r="B32019" s="3">
        <v>0</v>
      </c>
    </row>
    <row r="32020" ht="15.75" customHeight="1" spans="1:2">
      <c r="A32020" s="3" t="str">
        <f>IFERROR(__xludf.DUMMYFUNCTION("GOOGLETRANSLATE(A32020,""en"",""pt"")"),"vida útil da bateria, lado botão on / off")</f>
        <v>vida útil da bateria, lado botão on / off</v>
      </c>
      <c r="B32020" s="3">
        <v>0</v>
      </c>
    </row>
    <row r="32021" ht="15.75" customHeight="1" spans="1:2">
      <c r="A32021" s="3" t="str">
        <f>IFERROR(__xludf.DUMMYFUNCTION("GOOGLETRANSLATE(A32021,""en"",""pt"")"),"Aquece, mau menu para a Verizon, o upgrade em abril de 2006.")</f>
        <v>Aquece, mau menu para a Verizon, o upgrade em abril de 2006.</v>
      </c>
      <c r="B32021" s="3">
        <v>0</v>
      </c>
    </row>
    <row r="32022" ht="15.75" customHeight="1" spans="1:2">
      <c r="A32022" s="3" t="str">
        <f>IFERROR(__xludf.DUMMYFUNCTION("GOOGLETRANSLATE(A32022,""en"",""pt"")"),"Bluetooth não funciona com o meu carro, menus, agenda, sincronização computador.")</f>
        <v>Bluetooth não funciona com o meu carro, menus, agenda, sincronização computador.</v>
      </c>
      <c r="B32022" s="3">
        <v>0</v>
      </c>
    </row>
    <row r="32023" ht="15.75" customHeight="1" spans="1:2">
      <c r="A32023" s="3" t="str">
        <f>IFERROR(__xludf.DUMMYFUNCTION("GOOGLETRANSLATE(A32023,""en"",""pt"")"),"A tecnologia espacial e memória !!")</f>
        <v>A tecnologia espacial e memória !!</v>
      </c>
      <c r="B32023" s="3">
        <v>0</v>
      </c>
    </row>
    <row r="32024" ht="15.75" customHeight="1" spans="1:2">
      <c r="A32024" s="3" t="str">
        <f>IFERROR(__xludf.DUMMYFUNCTION("GOOGLETRANSLATE(A32024,""en"",""pt"")"),"Recepção, chamadas abandonadas, Vibrar muito mole, (não pode sentir no bolso)")</f>
        <v>Recepção, chamadas abandonadas, Vibrar muito mole, (não pode sentir no bolso)</v>
      </c>
      <c r="B32024" s="3">
        <v>0</v>
      </c>
    </row>
    <row r="32025" ht="15.75" customHeight="1" spans="1:2">
      <c r="A32025" s="3" t="str">
        <f>IFERROR(__xludf.DUMMYFUNCTION("GOOGLETRANSLATE(A32025,""en"",""pt"")"),"Não posso pensar em nenhum.")</f>
        <v>Não posso pensar em nenhum.</v>
      </c>
      <c r="B32025" s="3">
        <v>0</v>
      </c>
    </row>
    <row r="32026" ht="15.75" customHeight="1" spans="1:2">
      <c r="A32026" s="3" t="str">
        <f>IFERROR(__xludf.DUMMYFUNCTION("GOOGLETRANSLATE(A32026,""en"",""pt"")"),"recepção foi um pouco mais problemático do que meu telefone antigo")</f>
        <v>recepção foi um pouco mais problemático do que meu telefone antigo</v>
      </c>
      <c r="B32026" s="3">
        <v>0</v>
      </c>
    </row>
    <row r="32027" ht="15.75" customHeight="1" spans="1:2">
      <c r="A32027" s="3" t="str">
        <f>IFERROR(__xludf.DUMMYFUNCTION("GOOGLETRANSLATE(A32027,""en"",""pt"")"),"Shows impressões digitais facilmente. O custo é relativamente alto.")</f>
        <v>Shows impressões digitais facilmente. O custo é relativamente alto.</v>
      </c>
      <c r="B32027" s="3">
        <v>0</v>
      </c>
    </row>
    <row r="32028" ht="15.75" customHeight="1" spans="1:2">
      <c r="A32028" s="3" t="str">
        <f>IFERROR(__xludf.DUMMYFUNCTION("GOOGLETRANSLATE(A32028,""en"",""pt"")"),"não pode ouvir pessoa que você está falando, navegador de internet lenta, câmera tira pobres fotos")</f>
        <v>não pode ouvir pessoa que você está falando, navegador de internet lenta, câmera tira pobres fotos</v>
      </c>
      <c r="B32028" s="3">
        <v>0</v>
      </c>
    </row>
    <row r="32029" ht="15.75" customHeight="1" spans="1:2">
      <c r="A32029" s="3" t="str">
        <f>IFERROR(__xludf.DUMMYFUNCTION("GOOGLETRANSLATE(A32029,""en"",""pt"")"),"volume do fone pobre, sente frágil, às vezes, software estoque é inútil")</f>
        <v>volume do fone pobre, sente frágil, às vezes, software estoque é inútil</v>
      </c>
      <c r="B32029" s="3">
        <v>0</v>
      </c>
    </row>
    <row r="32030" ht="15.75" customHeight="1" spans="1:2">
      <c r="A32030" s="3" t="str">
        <f>IFERROR(__xludf.DUMMYFUNCTION("GOOGLETRANSLATE(A32030,""en"",""pt"")"),"um problema de software com som")</f>
        <v>um problema de software com som</v>
      </c>
      <c r="B32030" s="3">
        <v>0</v>
      </c>
    </row>
    <row r="32031" ht="15.75" customHeight="1" spans="1:2">
      <c r="A32031" s="3" t="str">
        <f>IFERROR(__xludf.DUMMYFUNCTION("GOOGLETRANSLATE(A32031,""en"",""pt"")"),"qualidade de som horrível, tela fica manchas")</f>
        <v>qualidade de som horrível, tela fica manchas</v>
      </c>
      <c r="B32031" s="3">
        <v>0</v>
      </c>
    </row>
    <row r="32032" ht="15.75" customHeight="1" spans="1:2">
      <c r="A32032" s="3" t="str">
        <f>IFERROR(__xludf.DUMMYFUNCTION("GOOGLETRANSLATE(A32032,""en"",""pt"")"),"bateria menor de modo mais curta vida útil da bateria graças a telefones maiores.")</f>
        <v>bateria menor de modo mais curta vida útil da bateria graças a telefones maiores.</v>
      </c>
      <c r="B32032" s="3">
        <v>0</v>
      </c>
    </row>
    <row r="32033" ht="15.75" customHeight="1" spans="1:2">
      <c r="A32033" s="3" t="str">
        <f>IFERROR(__xludf.DUMMYFUNCTION("GOOGLETRANSLATE(A32033,""en"",""pt"")"),"recebidas / log de chamadas não atendidas é combinado em uma lista de apenas 6 chamadas")</f>
        <v>recebidas / log de chamadas não atendidas é combinado em uma lista de apenas 6 chamadas</v>
      </c>
      <c r="B32033" s="3">
        <v>0</v>
      </c>
    </row>
    <row r="32034" ht="15.75" customHeight="1" spans="1:2">
      <c r="A32034" s="3" t="str">
        <f>IFERROR(__xludf.DUMMYFUNCTION("GOOGLETRANSLATE(A32034,""en"",""pt"")"),"Recepção Força / sinal, má qualidade de som, endereço coxo software livro")</f>
        <v>Recepção Força / sinal, má qualidade de som, endereço coxo software livro</v>
      </c>
      <c r="B32034" s="3">
        <v>0</v>
      </c>
    </row>
    <row r="32035" ht="15.75" customHeight="1" spans="1:2">
      <c r="A32035" s="3" t="str">
        <f>IFERROR(__xludf.DUMMYFUNCTION("GOOGLETRANSLATE(A32035,""en"",""pt"")"),"Preço")</f>
        <v>Preço</v>
      </c>
      <c r="B32035" s="3">
        <v>0</v>
      </c>
    </row>
    <row r="32036" ht="15.75" customHeight="1" spans="1:2">
      <c r="A32036" s="3" t="str">
        <f>IFERROR(__xludf.DUMMYFUNCTION("GOOGLETRANSLATE(A32036,""en"",""pt"")"),"luz da câmera é uma piada. Amigo é um rato. O que, todas essas coisas e não Bluetooth?")</f>
        <v>luz da câmera é uma piada. Amigo é um rato. O que, todas essas coisas e não Bluetooth?</v>
      </c>
      <c r="B32036" s="3">
        <v>0</v>
      </c>
    </row>
    <row r="32037" ht="15.75" customHeight="1" spans="1:2">
      <c r="A32037" s="3" t="str">
        <f>IFERROR(__xludf.DUMMYFUNCTION("GOOGLETRANSLATE(A32037,""en"",""pt"")"),"Sem Bluetooth (e hey, podemos contornar isso).")</f>
        <v>Sem Bluetooth (e hey, podemos contornar isso).</v>
      </c>
      <c r="B32037" s="3">
        <v>0</v>
      </c>
    </row>
    <row r="32038" ht="15.75" customHeight="1" spans="1:2">
      <c r="A32038" s="3" t="str">
        <f>IFERROR(__xludf.DUMMYFUNCTION("GOOGLETRANSLATE(A32038,""en"",""pt"")"),"botões laterais, nenhuma câmera de 1,2 MP, espaço pobre para toques / aplicações, sem sincronização de dados PC.")</f>
        <v>botões laterais, nenhuma câmera de 1,2 MP, espaço pobre para toques / aplicações, sem sincronização de dados PC.</v>
      </c>
      <c r="B32038" s="3">
        <v>0</v>
      </c>
    </row>
    <row r="32039" ht="15.75" customHeight="1" spans="1:2">
      <c r="A32039" s="3" t="str">
        <f>IFERROR(__xludf.DUMMYFUNCTION("GOOGLETRANSLATE(A32039,""en"",""pt"")"),"viva-voz ruim. Sem Bluetooth.")</f>
        <v>viva-voz ruim. Sem Bluetooth.</v>
      </c>
      <c r="B32039" s="3">
        <v>0</v>
      </c>
    </row>
    <row r="32040" ht="15.75" customHeight="1" spans="1:2">
      <c r="A32040" s="3" t="str">
        <f>IFERROR(__xludf.DUMMYFUNCTION("GOOGLETRANSLATE(A32040,""en"",""pt"")"),"Não Bluetooth ... mas isso não é um priorty ...")</f>
        <v>Não Bluetooth ... mas isso não é um priorty ...</v>
      </c>
      <c r="B32040" s="3">
        <v>0</v>
      </c>
    </row>
    <row r="32041" ht="15.75" customHeight="1" spans="1:2">
      <c r="A32041" s="3" t="str">
        <f>IFERROR(__xludf.DUMMYFUNCTION("GOOGLETRANSLATE(A32041,""en"",""pt"")"),"Para um pouco mais dinheiro que você pode obter mais de telefone na Sanyo 5600!")</f>
        <v>Para um pouco mais dinheiro que você pode obter mais de telefone na Sanyo 5600!</v>
      </c>
      <c r="B32041" s="3">
        <v>0</v>
      </c>
    </row>
    <row r="32042" ht="15.75" customHeight="1" spans="1:2">
      <c r="A32042" s="3" t="str">
        <f>IFERROR(__xludf.DUMMYFUNCTION("GOOGLETRANSLATE(A32042,""en"",""pt"")"),"Não encontrei nenhum.")</f>
        <v>Não encontrei nenhum.</v>
      </c>
      <c r="B32042" s="3">
        <v>0</v>
      </c>
    </row>
    <row r="32043" ht="15.75" customHeight="1" spans="1:2">
      <c r="A32043" s="3" t="s">
        <v>182</v>
      </c>
      <c r="B32043" s="3">
        <v>0</v>
      </c>
    </row>
    <row r="32044" ht="15.75" customHeight="1" spans="1:2">
      <c r="A32044" s="3" t="str">
        <f>IFERROR(__xludf.DUMMYFUNCTION("GOOGLETRANSLATE(A32044,""en"",""pt"")"),"Ocasionalmente não toca nas chamadas recebidas.")</f>
        <v>Ocasionalmente não toca nas chamadas recebidas.</v>
      </c>
      <c r="B32044" s="3">
        <v>0</v>
      </c>
    </row>
    <row r="32045" ht="15.75" customHeight="1" spans="1:2">
      <c r="A32045" s="3" t="str">
        <f>IFERROR(__xludf.DUMMYFUNCTION("GOOGLETRANSLATE(A32045,""en"",""pt"")"),"toques são irritantes. não tem muitos recursos.")</f>
        <v>toques são irritantes. não tem muitos recursos.</v>
      </c>
      <c r="B32045" s="3">
        <v>0</v>
      </c>
    </row>
    <row r="32046" ht="15.75" customHeight="1" spans="1:2">
      <c r="A32046" s="3" t="str">
        <f>IFERROR(__xludf.DUMMYFUNCTION("GOOGLETRANSLATE(A32046,""en"",""pt"")"),"fator simplista (se você estiver em unidades multi-função)")</f>
        <v>fator simplista (se você estiver em unidades multi-função)</v>
      </c>
      <c r="B32046" s="3">
        <v>0</v>
      </c>
    </row>
    <row r="32047" ht="15.75" customHeight="1" spans="1:2">
      <c r="A32047" s="3" t="str">
        <f>IFERROR(__xludf.DUMMYFUNCTION("GOOGLETRANSLATE(A32047,""en"",""pt"")"),"negros de tela para fora, problemas para executar tzones")</f>
        <v>negros de tela para fora, problemas para executar tzones</v>
      </c>
      <c r="B32047" s="3">
        <v>0</v>
      </c>
    </row>
    <row r="32048" ht="15.75" customHeight="1" spans="1:2">
      <c r="A32048" s="3" t="str">
        <f>IFERROR(__xludf.DUMMYFUNCTION("GOOGLETRANSLATE(A32048,""en"",""pt"")"),"arranhões e amassados ​​com muita facilidade, não pode carregar o telefone usando o cabo de dados USB.")</f>
        <v>arranhões e amassados ​​com muita facilidade, não pode carregar o telefone usando o cabo de dados USB.</v>
      </c>
      <c r="B32048" s="3">
        <v>0</v>
      </c>
    </row>
    <row r="32049" ht="15.75" customHeight="1" spans="1:2">
      <c r="A32049" s="3" t="str">
        <f>IFERROR(__xludf.DUMMYFUNCTION("GOOGLETRANSLATE(A32049,""en"",""pt"")"),"Parece um grande barato")</f>
        <v>Parece um grande barato</v>
      </c>
      <c r="B32049" s="3">
        <v>0</v>
      </c>
    </row>
    <row r="32050" ht="15.75" customHeight="1" spans="1:2">
      <c r="A32050" s="3" t="str">
        <f>IFERROR(__xludf.DUMMYFUNCTION("GOOGLETRANSLATE(A32050,""en"",""pt"")"),"tornou-se defeituoso após 10 meses")</f>
        <v>tornou-se defeituoso após 10 meses</v>
      </c>
      <c r="B32050" s="3">
        <v>0</v>
      </c>
    </row>
    <row r="32051" ht="15.75" customHeight="1" spans="1:2">
      <c r="A32051" s="3" t="str">
        <f>IFERROR(__xludf.DUMMYFUNCTION("GOOGLETRANSLATE(A32051,""en"",""pt"")"),"No visor do tempo enquanto conectado.")</f>
        <v>No visor do tempo enquanto conectado.</v>
      </c>
      <c r="B32051" s="3">
        <v>0</v>
      </c>
    </row>
    <row r="32052" ht="15.75" customHeight="1" spans="1:2">
      <c r="A32052" s="3" t="str">
        <f>IFERROR(__xludf.DUMMYFUNCTION("GOOGLETRANSLATE(A32052,""en"",""pt"")"),"Clareza - não.")</f>
        <v>Clareza - não.</v>
      </c>
      <c r="B32052" s="3">
        <v>0</v>
      </c>
    </row>
    <row r="32053" ht="15.75" customHeight="1" spans="1:2">
      <c r="A32053" s="3" t="str">
        <f>IFERROR(__xludf.DUMMYFUNCTION("GOOGLETRANSLATE(A32053,""en"",""pt"")"),"A vida da bateria, preto caso styling plástico barato")</f>
        <v>A vida da bateria, preto caso styling plástico barato</v>
      </c>
      <c r="B32053" s="3">
        <v>0</v>
      </c>
    </row>
    <row r="32054" ht="15.75" customHeight="1" spans="1:2">
      <c r="A32054" s="3" t="str">
        <f>IFERROR(__xludf.DUMMYFUNCTION("GOOGLETRANSLATE(A32054,""en"",""pt"")"),"pá controle um pouco fiddly")</f>
        <v>pá controle um pouco fiddly</v>
      </c>
      <c r="B32054" s="3">
        <v>0</v>
      </c>
    </row>
    <row r="32055" ht="15.75" customHeight="1" spans="1:2">
      <c r="A32055" s="3" t="str">
        <f>IFERROR(__xludf.DUMMYFUNCTION("GOOGLETRANSLATE(A32055,""en"",""pt"")"),"frustrantemente vida curta da bateria, menores limitações de funcionalidade Sonyeric, memória pequeno e câmera, nenhuma aresta")</f>
        <v>frustrantemente vida curta da bateria, menores limitações de funcionalidade Sonyeric, memória pequeno e câmera, nenhuma aresta</v>
      </c>
      <c r="B32055" s="3">
        <v>0</v>
      </c>
    </row>
    <row r="32056" ht="15.75" customHeight="1" spans="1:2">
      <c r="A32056" s="3" t="str">
        <f>IFERROR(__xludf.DUMMYFUNCTION("GOOGLETRANSLATE(A32056,""en"",""pt"")"),"Bluetooth pode ser muito tempramental, a transferência de dados é lenta, magro construído em memória.")</f>
        <v>Bluetooth pode ser muito tempramental, a transferência de dados é lenta, magro construído em memória.</v>
      </c>
      <c r="B32056" s="3">
        <v>0</v>
      </c>
    </row>
    <row r="32057" ht="15.75" customHeight="1" spans="1:2">
      <c r="A32057" s="3" t="str">
        <f>IFERROR(__xludf.DUMMYFUNCTION("GOOGLETRANSLATE(A32057,""en"",""pt"")"),"Joystick, a vida batterly, a memória não expansível / actualizável, e nenhum ringtone sms personalizada.")</f>
        <v>Joystick, a vida batterly, a memória não expansível / actualizável, e nenhum ringtone sms personalizada.</v>
      </c>
      <c r="B32057" s="3">
        <v>0</v>
      </c>
    </row>
    <row r="32058" ht="15.75" customHeight="1" spans="1:2">
      <c r="A32058" s="3" t="str">
        <f>IFERROR(__xludf.DUMMYFUNCTION("GOOGLETRANSLATE(A32058,""en"",""pt"")"),"Teclas são um pouco pequeno, vida útil da bateria não é grande em comparação com um 6310i")</f>
        <v>Teclas são um pouco pequeno, vida útil da bateria não é grande em comparação com um 6310i</v>
      </c>
      <c r="B32058" s="3">
        <v>0</v>
      </c>
    </row>
    <row r="32059" ht="15.75" customHeight="1" spans="1:2">
      <c r="A32059" s="3" t="str">
        <f>IFERROR(__xludf.DUMMYFUNCTION("GOOGLETRANSLATE(A32059,""en"",""pt"")"),"A vida da bateria, design barra de chocolate, estrutura fraca, câmera embaçada, memória limitada, botões físicos, aplicação lenta")</f>
        <v>A vida da bateria, design barra de chocolate, estrutura fraca, câmera embaçada, memória limitada, botões físicos, aplicação lenta</v>
      </c>
      <c r="B32059" s="3">
        <v>0</v>
      </c>
    </row>
    <row r="32060" ht="15.75" customHeight="1" spans="1:2">
      <c r="A32060" s="3" t="str">
        <f>IFERROR(__xludf.DUMMYFUNCTION("GOOGLETRANSLATE(A32060,""en"",""pt"")"),"sub-par de vídeo, toques horríveis, todo um conjunto de características petulantes")</f>
        <v>sub-par de vídeo, toques horríveis, todo um conjunto de características petulantes</v>
      </c>
      <c r="B32060" s="3">
        <v>0</v>
      </c>
    </row>
    <row r="32061" ht="15.75" customHeight="1" spans="1:2">
      <c r="A32061" s="3" t="str">
        <f>IFERROR(__xludf.DUMMYFUNCTION("GOOGLETRANSLATE(A32061,""en"",""pt"")"),"Eu realmente não posso pensar em qualquer, talvez preço ?? No entanto, você recebe o que você paga!")</f>
        <v>Eu realmente não posso pensar em qualquer, talvez preço ?? No entanto, você recebe o que você paga!</v>
      </c>
      <c r="B32061" s="3">
        <v>0</v>
      </c>
    </row>
    <row r="32062" ht="15.75" customHeight="1" spans="1:2">
      <c r="A32062" s="3" t="str">
        <f>IFERROR(__xludf.DUMMYFUNCTION("GOOGLETRANSLATE(A32062,""en"",""pt"")"),"ringtones estranho, principal botão de navegação direcional pode ser complicado.")</f>
        <v>ringtones estranho, principal botão de navegação direcional pode ser complicado.</v>
      </c>
      <c r="B32062" s="3">
        <v>0</v>
      </c>
    </row>
    <row r="32063" ht="15.75" customHeight="1" spans="1:2">
      <c r="A32063" s="3" t="str">
        <f>IFERROR(__xludf.DUMMYFUNCTION("GOOGLETRANSLATE(A32063,""en"",""pt"")"),"2,5 hr falando a vida da bateria, incapaz de redimensionar o texto na tela principal, memória pequena, resolução da câmera")</f>
        <v>2,5 hr falando a vida da bateria, incapaz de redimensionar o texto na tela principal, memória pequena, resolução da câmera</v>
      </c>
      <c r="B32063" s="3">
        <v>0</v>
      </c>
    </row>
    <row r="32064" ht="15.75" customHeight="1" spans="1:2">
      <c r="A32064" s="3" t="str">
        <f>IFERROR(__xludf.DUMMYFUNCTION("GOOGLETRANSLATE(A32064,""en"",""pt"")"),"toques, wallpapers etc.")</f>
        <v>toques, wallpapers etc.</v>
      </c>
      <c r="B32064" s="3">
        <v>0</v>
      </c>
    </row>
    <row r="32065" ht="15.75" customHeight="1" spans="1:2">
      <c r="A32065" s="3" t="str">
        <f>IFERROR(__xludf.DUMMYFUNCTION("GOOGLETRANSLATE(A32065,""en"",""pt"")"),"Poucas opções de fone de ouvido. projeto botão de rolagem precisa de um repensar e TOQUES são os piores.")</f>
        <v>Poucas opções de fone de ouvido. projeto botão de rolagem precisa de um repensar e TOQUES são os piores.</v>
      </c>
      <c r="B32065" s="3">
        <v>0</v>
      </c>
    </row>
    <row r="32066" ht="15.75" customHeight="1" spans="1:2">
      <c r="A32066" s="3" t="str">
        <f>IFERROR(__xludf.DUMMYFUNCTION("GOOGLETRANSLATE(A32066,""en"",""pt"")"),"Este telefone realmente não tem qualquer contras, ele é realmente apenas uma questão de preferência.")</f>
        <v>Este telefone realmente não tem qualquer contras, ele é realmente apenas uma questão de preferência.</v>
      </c>
      <c r="B32066" s="3">
        <v>0</v>
      </c>
    </row>
    <row r="32067" ht="15.75" customHeight="1" spans="1:2">
      <c r="A32067" s="3" t="str">
        <f>IFERROR(__xludf.DUMMYFUNCTION("GOOGLETRANSLATE(A32067,""en"",""pt"")"),"A vida da bateria, styling, 5-way botão de seleção que é difícil de empurrar para baixo")</f>
        <v>A vida da bateria, styling, 5-way botão de seleção que é difícil de empurrar para baixo</v>
      </c>
      <c r="B32067" s="3">
        <v>0</v>
      </c>
    </row>
    <row r="32068" ht="15.75" customHeight="1" spans="1:2">
      <c r="A32068" s="3" t="str">
        <f>IFERROR(__xludf.DUMMYFUNCTION("GOOGLETRANSLATE(A32068,""en"",""pt"")"),"a cor, amortecedores de borracha nos lados se sujar rapidamente, qualidade da câmera é muito baixa.")</f>
        <v>a cor, amortecedores de borracha nos lados se sujar rapidamente, qualidade da câmera é muito baixa.</v>
      </c>
      <c r="B32068" s="3">
        <v>0</v>
      </c>
    </row>
    <row r="32069" ht="15.75" customHeight="1" spans="1:2">
      <c r="A32069" s="3" t="str">
        <f>IFERROR(__xludf.DUMMYFUNCTION("GOOGLETRANSLATE(A32069,""en"",""pt"")"),"O teclado numérico é um pouco mole. Não muito responsivo.")</f>
        <v>O teclado numérico é um pouco mole. Não muito responsivo.</v>
      </c>
      <c r="B32069" s="3">
        <v>0</v>
      </c>
    </row>
    <row r="32070" ht="15.75" customHeight="1" spans="1:2">
      <c r="A32070" s="3" t="str">
        <f>IFERROR(__xludf.DUMMYFUNCTION("GOOGLETRANSLATE(A32070,""en"",""pt"")"),"é apenas uma vergonha que não há rádio incluído !!")</f>
        <v>é apenas uma vergonha que não há rádio incluído !!</v>
      </c>
      <c r="B32070" s="3">
        <v>0</v>
      </c>
    </row>
    <row r="32071" ht="15.75" customHeight="1" spans="1:2">
      <c r="A32071" s="3" t="str">
        <f>IFERROR(__xludf.DUMMYFUNCTION("GOOGLETRANSLATE(A32071,""en"",""pt"")"),"Não tem de armazenamento suficiente para fotos e vídeos.")</f>
        <v>Não tem de armazenamento suficiente para fotos e vídeos.</v>
      </c>
      <c r="B32071" s="3">
        <v>0</v>
      </c>
    </row>
    <row r="32072" ht="15.75" customHeight="1" spans="1:2">
      <c r="A32072" s="3" t="str">
        <f>IFERROR(__xludf.DUMMYFUNCTION("GOOGLETRANSLATE(A32072,""en"",""pt"")"),"não confiável e sem suporte.")</f>
        <v>não confiável e sem suporte.</v>
      </c>
      <c r="B32072" s="3">
        <v>0</v>
      </c>
    </row>
    <row r="32073" ht="15.75" customHeight="1" spans="1:2">
      <c r="A32073" s="3" t="str">
        <f>IFERROR(__xludf.DUMMYFUNCTION("GOOGLETRANSLATE(A32073,""en"",""pt"")"),"Às vezes, a transmissão de mensagens é mais lento do que o habitual ...")</f>
        <v>Às vezes, a transmissão de mensagens é mais lento do que o habitual ...</v>
      </c>
      <c r="B32073" s="3">
        <v>0</v>
      </c>
    </row>
    <row r="32074" ht="15.75" customHeight="1" spans="1:2">
      <c r="A32074" s="3" t="str">
        <f>IFERROR(__xludf.DUMMYFUNCTION("GOOGLETRANSLATE(A32074,""en"",""pt"")"),"necessidades de carregamento da bateria quase diariamente")</f>
        <v>necessidades de carregamento da bateria quase diariamente</v>
      </c>
      <c r="B32074" s="3">
        <v>0</v>
      </c>
    </row>
    <row r="32075" ht="15.75" customHeight="1" spans="1:2">
      <c r="A32075" s="3" t="str">
        <f>IFERROR(__xludf.DUMMYFUNCTION("GOOGLETRANSLATE(A32075,""en"",""pt"")"),"banco de palavras sem T9")</f>
        <v>banco de palavras sem T9</v>
      </c>
      <c r="B32075" s="3">
        <v>0</v>
      </c>
    </row>
    <row r="32076" ht="15.75" customHeight="1" spans="1:2">
      <c r="A32076" s="3" t="str">
        <f>IFERROR(__xludf.DUMMYFUNCTION("GOOGLETRANSLATE(A32076,""en"",""pt"")"),"Caso é facilmente riscado ou lascado; verdadeiros toques de áudio soem distorcidas (polifônico é ok)")</f>
        <v>Caso é facilmente riscado ou lascado; verdadeiros toques de áudio soem distorcidas (polifônico é ok)</v>
      </c>
      <c r="B32076" s="3">
        <v>0</v>
      </c>
    </row>
    <row r="32077" ht="15.75" customHeight="1" spans="1:2">
      <c r="A32077" s="3" t="str">
        <f>IFERROR(__xludf.DUMMYFUNCTION("GOOGLETRANSLATE(A32077,""en"",""pt"")"),"Durabilidade, falta de viva-voz, toques, bateria!")</f>
        <v>Durabilidade, falta de viva-voz, toques, bateria!</v>
      </c>
      <c r="B32077" s="3">
        <v>0</v>
      </c>
    </row>
    <row r="32078" ht="15.75" customHeight="1" spans="1:2">
      <c r="A32078" s="3" t="str">
        <f>IFERROR(__xludf.DUMMYFUNCTION("GOOGLETRANSLATE(A32078,""en"",""pt"")"),"Câmera pode facilmente ligar.")</f>
        <v>Câmera pode facilmente ligar.</v>
      </c>
      <c r="B32078" s="3">
        <v>0</v>
      </c>
    </row>
    <row r="32079" ht="15.75" customHeight="1" spans="1:2">
      <c r="A32079" s="3" t="str">
        <f>IFERROR(__xludf.DUMMYFUNCTION("GOOGLETRANSLATE(A32079,""en"",""pt"")"),"lento, câmera de baixa qualidade, usabilidade ruim")</f>
        <v>lento, câmera de baixa qualidade, usabilidade ruim</v>
      </c>
      <c r="B32079" s="3">
        <v>0</v>
      </c>
    </row>
    <row r="32080" ht="15.75" customHeight="1" spans="1:2">
      <c r="A32080" s="3" t="str">
        <f>IFERROR(__xludf.DUMMYFUNCTION("GOOGLETRANSLATE(A32080,""en"",""pt"")"),"Sem bluetooth, não pc conectar, não adianta estrangeira, apenas a Verizon.")</f>
        <v>Sem bluetooth, não pc conectar, não adianta estrangeira, apenas a Verizon.</v>
      </c>
      <c r="B32080" s="3">
        <v>0</v>
      </c>
    </row>
    <row r="32081" ht="15.75" customHeight="1" spans="1:2">
      <c r="A32081" s="3" t="str">
        <f>IFERROR(__xludf.DUMMYFUNCTION("GOOGLETRANSLATE(A32081,""en"",""pt"")"),"serviço medíocre; vida útil da bateria; memória pequeno; características extravagantes limitados; não sincronização com outros dispositivos eletrônicos")</f>
        <v>serviço medíocre; vida útil da bateria; memória pequeno; características extravagantes limitados; não sincronização com outros dispositivos eletrônicos</v>
      </c>
      <c r="B32081" s="3">
        <v>0</v>
      </c>
    </row>
    <row r="32082" ht="15.75" customHeight="1" spans="1:2">
      <c r="A32082" s="3" t="str">
        <f>IFERROR(__xludf.DUMMYFUNCTION("GOOGLETRANSLATE(A32082,""en"",""pt"")"),"A vida da bateria poderia ser melhor, personalizações Verizon chupar e chamadores pode ser difícil de ouvir.")</f>
        <v>A vida da bateria poderia ser melhor, personalizações Verizon chupar e chamadores pode ser difícil de ouvir.</v>
      </c>
      <c r="B32082" s="3">
        <v>0</v>
      </c>
    </row>
    <row r="32083" ht="15.75" customHeight="1" spans="1:2">
      <c r="A32083" s="3" t="str">
        <f>IFERROR(__xludf.DUMMYFUNCTION("GOOGLETRANSLATE(A32083,""en"",""pt"")"),"memória limitada, sem suporte ringtone mp3")</f>
        <v>memória limitada, sem suporte ringtone mp3</v>
      </c>
      <c r="B32083" s="3">
        <v>0</v>
      </c>
    </row>
    <row r="32084" ht="15.75" customHeight="1" spans="1:2">
      <c r="A32084" s="3" t="str">
        <f>IFERROR(__xludf.DUMMYFUNCTION("GOOGLETRANSLATE(A32084,""en"",""pt"")"),"Câmera pobres, fácil de zero, jack ouvido é difícil de abrir.")</f>
        <v>Câmera pobres, fácil de zero, jack ouvido é difícil de abrir.</v>
      </c>
      <c r="B32084" s="3">
        <v>0</v>
      </c>
    </row>
    <row r="32085" ht="15.75" customHeight="1" spans="1:2">
      <c r="A32085" s="3" t="str">
        <f>IFERROR(__xludf.DUMMYFUNCTION("GOOGLETRANSLATE(A32085,""en"",""pt"")"),"-Video é inútil")</f>
        <v>-Video é inútil</v>
      </c>
      <c r="B32085" s="3">
        <v>0</v>
      </c>
    </row>
    <row r="32086" ht="15.75" customHeight="1" spans="1:2">
      <c r="A32086" s="3" t="str">
        <f>IFERROR(__xludf.DUMMYFUNCTION("GOOGLETRANSLATE(A32086,""en"",""pt"")"),"Falta de alguns recursos, eco e poeira pode entrar em tela externa.")</f>
        <v>Falta de alguns recursos, eco e poeira pode entrar em tela externa.</v>
      </c>
      <c r="B32086" s="3">
        <v>0</v>
      </c>
    </row>
    <row r="32087" ht="15.75" customHeight="1" spans="1:2">
      <c r="A32087" s="3" t="str">
        <f>IFERROR(__xludf.DUMMYFUNCTION("GOOGLETRANSLATE(A32087,""en"",""pt"")"),"Câmera parou bem a trabalhar depois da minha garantia expirou, Não Características nenhuma interface pc")</f>
        <v>Câmera parou bem a trabalhar depois da minha garantia expirou, Não Características nenhuma interface pc</v>
      </c>
      <c r="B32087" s="3">
        <v>0</v>
      </c>
    </row>
    <row r="32088" ht="15.75" customHeight="1" spans="1:2">
      <c r="A32088" s="3" t="str">
        <f>IFERROR(__xludf.DUMMYFUNCTION("GOOGLETRANSLATE(A32088,""en"",""pt"")"),"teclado do telefone pode ficar quente")</f>
        <v>teclado do telefone pode ficar quente</v>
      </c>
      <c r="B32088" s="3">
        <v>0</v>
      </c>
    </row>
    <row r="32089" ht="15.75" customHeight="1" spans="1:2">
      <c r="A32089" s="3" t="str">
        <f>IFERROR(__xludf.DUMMYFUNCTION("GOOGLETRANSLATE(A32089,""en"",""pt"")"),"vida de bateria fraca")</f>
        <v>vida de bateria fraca</v>
      </c>
      <c r="B32089" s="3">
        <v>0</v>
      </c>
    </row>
    <row r="32090" ht="15.75" customHeight="1" spans="1:2">
      <c r="A32090" s="3" t="str">
        <f>IFERROR(__xludf.DUMMYFUNCTION("GOOGLETRANSLATE(A32090,""en"",""pt"")"),"falha de projeto importante na dobradiça aleta")</f>
        <v>falha de projeto importante na dobradiça aleta</v>
      </c>
      <c r="B32090" s="3">
        <v>0</v>
      </c>
    </row>
    <row r="32091" ht="15.75" customHeight="1" spans="1:2">
      <c r="A32091" s="3" t="str">
        <f>IFERROR(__xludf.DUMMYFUNCTION("GOOGLETRANSLATE(A32091,""en"",""pt"")"),"Não tem nada de especial que não seja apenas uma câmera do telefone.")</f>
        <v>Não tem nada de especial que não seja apenas uma câmera do telefone.</v>
      </c>
      <c r="B32091" s="3">
        <v>0</v>
      </c>
    </row>
    <row r="32092" ht="15.75" customHeight="1" spans="1:2">
      <c r="A32092" s="3" t="str">
        <f>IFERROR(__xludf.DUMMYFUNCTION("GOOGLETRANSLATE(A32092,""en"",""pt"")"),"Sem opção de viva-voz, a aplicação PIM rudimentar")</f>
        <v>Sem opção de viva-voz, a aplicação PIM rudimentar</v>
      </c>
      <c r="B32092" s="3">
        <v>0</v>
      </c>
    </row>
    <row r="32093" ht="15.75" customHeight="1" spans="1:2">
      <c r="A32093" s="3" t="str">
        <f>IFERROR(__xludf.DUMMYFUNCTION("GOOGLETRANSLATE(A32093,""en"",""pt"")"),"vida útil da bateria, de queijo gráficos na tela")</f>
        <v>vida útil da bateria, de queijo gráficos na tela</v>
      </c>
      <c r="B32093" s="3">
        <v>0</v>
      </c>
    </row>
    <row r="32094" ht="15.75" customHeight="1" spans="1:2">
      <c r="A32094" s="3" t="str">
        <f>IFERROR(__xludf.DUMMYFUNCTION("GOOGLETRANSLATE(A32094,""en"",""pt"")"),"Nenhuma tela de exibição fora,")</f>
        <v>Nenhuma tela de exibição fora,</v>
      </c>
      <c r="B32094" s="3">
        <v>0</v>
      </c>
    </row>
    <row r="32095" ht="15.75" customHeight="1" spans="1:2">
      <c r="A32095" s="3" t="str">
        <f>IFERROR(__xludf.DUMMYFUNCTION("GOOGLETRANSLATE(A32095,""en"",""pt"")"),"Durou apenas um ano.")</f>
        <v>Durou apenas um ano.</v>
      </c>
      <c r="B32095" s="3">
        <v>0</v>
      </c>
    </row>
    <row r="32096" ht="15.75" customHeight="1" spans="1:2">
      <c r="A32096" s="3" t="str">
        <f>IFERROR(__xludf.DUMMYFUNCTION("GOOGLETRANSLATE(A32096,""en"",""pt"")"),"No viva-voz, sem câmera (mas não é um telefone com câmera!)")</f>
        <v>No viva-voz, sem câmera (mas não é um telefone com câmera!)</v>
      </c>
      <c r="B32096" s="3">
        <v>0</v>
      </c>
    </row>
    <row r="32097" ht="15.75" customHeight="1" spans="1:2">
      <c r="A32097" s="3" t="str">
        <f>IFERROR(__xludf.DUMMYFUNCTION("GOOGLETRANSLATE(A32097,""en"",""pt"")"),"Nada.")</f>
        <v>Nada.</v>
      </c>
      <c r="B32097" s="3">
        <v>0</v>
      </c>
    </row>
    <row r="32098" ht="15.75" customHeight="1" spans="1:2">
      <c r="A32098" s="3" t="str">
        <f>IFERROR(__xludf.DUMMYFUNCTION("GOOGLETRANSLATE(A32098,""en"",""pt"")"),"trava")</f>
        <v>trava</v>
      </c>
      <c r="B32098" s="3">
        <v>0</v>
      </c>
    </row>
    <row r="32099" ht="15.75" customHeight="1" spans="1:2">
      <c r="A32099" s="3" t="str">
        <f>IFERROR(__xludf.DUMMYFUNCTION("GOOGLETRANSLATE(A32099,""en"",""pt"")"),"Telefone fica quente depois de um longo tempo de uso.")</f>
        <v>Telefone fica quente depois de um longo tempo de uso.</v>
      </c>
      <c r="B32099" s="3">
        <v>0</v>
      </c>
    </row>
    <row r="32100" ht="15.75" customHeight="1" spans="1:2">
      <c r="A32100" s="3" t="str">
        <f>IFERROR(__xludf.DUMMYFUNCTION("GOOGLETRANSLATE(A32100,""en"",""pt"")"),"dosen't tem uma função viva-voz, pintar arranhões facilmente, sem câmera, cheasy fundos")</f>
        <v>dosen't tem uma função viva-voz, pintar arranhões facilmente, sem câmera, cheasy fundos</v>
      </c>
      <c r="B32100" s="3">
        <v>0</v>
      </c>
    </row>
    <row r="32101" ht="15.75" customHeight="1" spans="1:2">
      <c r="A32101" s="3" t="str">
        <f>IFERROR(__xludf.DUMMYFUNCTION("GOOGLETRANSLATE(A32101,""en"",""pt"")"),"recebe pele-enxerto quente depois de um tempo. tem como, 3 toques.")</f>
        <v>recebe pele-enxerto quente depois de um tempo. tem como, 3 toques.</v>
      </c>
      <c r="B32101" s="3">
        <v>0</v>
      </c>
    </row>
    <row r="32102" ht="15.75" customHeight="1" spans="1:2">
      <c r="A32102" s="3" t="str">
        <f>IFERROR(__xludf.DUMMYFUNCTION("GOOGLETRANSLATE(A32102,""en"",""pt"")"),"Poderia ser mais fino e mais leve; mídia não removíveis e não ver os anexos.")</f>
        <v>Poderia ser mais fino e mais leve; mídia não removíveis e não ver os anexos.</v>
      </c>
      <c r="B32102" s="3">
        <v>0</v>
      </c>
    </row>
    <row r="32103" ht="15.75" customHeight="1" spans="1:2">
      <c r="A32103" s="3" t="str">
        <f>IFERROR(__xludf.DUMMYFUNCTION("GOOGLETRANSLATE(A32103,""en"",""pt"")"),"muito pouco confiáveis")</f>
        <v>muito pouco confiáveis</v>
      </c>
      <c r="B32103" s="3">
        <v>0</v>
      </c>
    </row>
    <row r="32104" ht="15.75" customHeight="1" spans="1:2">
      <c r="A32104" s="3" t="str">
        <f>IFERROR(__xludf.DUMMYFUNCTION("GOOGLETRANSLATE(A32104,""en"",""pt"")"),"Carregar defeito, interface de contra-intuitivo.")</f>
        <v>Carregar defeito, interface de contra-intuitivo.</v>
      </c>
      <c r="B32104" s="3">
        <v>0</v>
      </c>
    </row>
    <row r="32105" ht="15.75" customHeight="1" spans="1:2">
      <c r="A32105" s="3" t="str">
        <f>IFERROR(__xludf.DUMMYFUNCTION("GOOGLETRANSLATE(A32105,""en"",""pt"")"),"engenharia horrível de UI / OS")</f>
        <v>engenharia horrível de UI / OS</v>
      </c>
      <c r="B32105" s="3">
        <v>0</v>
      </c>
    </row>
    <row r="32106" ht="15.75" customHeight="1" spans="1:2">
      <c r="A32106" s="3" t="str">
        <f>IFERROR(__xludf.DUMMYFUNCTION("GOOGLETRANSLATE(A32106,""en"",""pt"")"),"remoção faceplate difícil, não mp3 player, telefone permanece alto-falante sobre quando o telefone está fechado")</f>
        <v>remoção faceplate difícil, não mp3 player, telefone permanece alto-falante sobre quando o telefone está fechado</v>
      </c>
      <c r="B32106" s="3">
        <v>0</v>
      </c>
    </row>
    <row r="32107" ht="15.75" customHeight="1" spans="1:2">
      <c r="A32107" s="3" t="str">
        <f>IFERROR(__xludf.DUMMYFUNCTION("GOOGLETRANSLATE(A32107,""en"",""pt"")"),"Peças defeituosas.")</f>
        <v>Peças defeituosas.</v>
      </c>
      <c r="B32107" s="3">
        <v>0</v>
      </c>
    </row>
    <row r="32108" ht="15.75" customHeight="1" spans="1:2">
      <c r="A32108" s="3" t="str">
        <f>IFERROR(__xludf.DUMMYFUNCTION("GOOGLETRANSLATE(A32108,""en"",""pt"")"),", Software pobres não confiável")</f>
        <v>, Software pobres não confiável</v>
      </c>
      <c r="B32108" s="3">
        <v>0</v>
      </c>
    </row>
    <row r="32109" ht="15.75" customHeight="1" spans="1:2">
      <c r="A32109" s="3" t="str">
        <f>IFERROR(__xludf.DUMMYFUNCTION("GOOGLETRANSLATE(A32109,""en"",""pt"")"),"O viva-voz não desliga quando você fecha a tampa;")</f>
        <v>O viva-voz não desliga quando você fecha a tampa;</v>
      </c>
      <c r="B32109" s="3">
        <v>0</v>
      </c>
    </row>
    <row r="32110" ht="15.75" customHeight="1" spans="1:2">
      <c r="A32110" s="3" t="str">
        <f>IFERROR(__xludf.DUMMYFUNCTION("GOOGLETRANSLATE(A32110,""en"",""pt"")"),"má recepção, não confiável, mal feita.")</f>
        <v>má recepção, não confiável, mal feita.</v>
      </c>
      <c r="B32110" s="3">
        <v>0</v>
      </c>
    </row>
    <row r="32111" ht="15.75" customHeight="1" spans="1:2">
      <c r="A32111" s="3" t="str">
        <f>IFERROR(__xludf.DUMMYFUNCTION("GOOGLETRANSLATE(A32111,""en"",""pt"")"),"falta de funções, confundindo de interface")</f>
        <v>falta de funções, confundindo de interface</v>
      </c>
      <c r="B32111" s="3">
        <v>0</v>
      </c>
    </row>
    <row r="32112" ht="15.75" customHeight="1" spans="1:2">
      <c r="A32112" s="3" t="str">
        <f>IFERROR(__xludf.DUMMYFUNCTION("GOOGLETRANSLATE(A32112,""en"",""pt"")"),"A vida da bateria")</f>
        <v>A vida da bateria</v>
      </c>
      <c r="B32112" s="3">
        <v>0</v>
      </c>
    </row>
    <row r="32113" ht="15.75" customHeight="1" spans="1:2">
      <c r="A32113" s="3" t="str">
        <f>IFERROR(__xludf.DUMMYFUNCTION("GOOGLETRANSLATE(A32113,""en"",""pt"")"),"Manual terrível, não presilha de cinto")</f>
        <v>Manual terrível, não presilha de cinto</v>
      </c>
      <c r="B32113" s="3">
        <v>0</v>
      </c>
    </row>
    <row r="32114" ht="15.75" customHeight="1" spans="1:2">
      <c r="A32114" s="3" t="str">
        <f>IFERROR(__xludf.DUMMYFUNCTION("GOOGLETRANSLATE(A32114,""en"",""pt"")"),"veja o comentário")</f>
        <v>veja o comentário</v>
      </c>
      <c r="B32114" s="3">
        <v>0</v>
      </c>
    </row>
    <row r="32115" ht="15.75" customHeight="1" spans="1:2">
      <c r="A32115" s="3" t="str">
        <f>IFERROR(__xludf.DUMMYFUNCTION("GOOGLETRANSLATE(A32115,""en"",""pt"")"),"Carregador, carregamento, bateria, frustrante para usar")</f>
        <v>Carregador, carregamento, bateria, frustrante para usar</v>
      </c>
      <c r="B32115" s="3">
        <v>0</v>
      </c>
    </row>
    <row r="32116" ht="15.75" customHeight="1" spans="1:2">
      <c r="A32116" s="3" t="str">
        <f>IFERROR(__xludf.DUMMYFUNCTION("GOOGLETRANSLATE(A32116,""en"",""pt"")"),"Nenhum jogo, muito pequenos toques / papel de parede. o uso da Internet caro.")</f>
        <v>Nenhum jogo, muito pequenos toques / papel de parede. o uso da Internet caro.</v>
      </c>
      <c r="B32116" s="3">
        <v>0</v>
      </c>
    </row>
    <row r="32117" ht="15.75" customHeight="1" spans="1:2">
      <c r="A32117" s="3" t="str">
        <f>IFERROR(__xludf.DUMMYFUNCTION("GOOGLETRANSLATE(A32117,""en"",""pt"")"),"Vida útil da bateria e tela gráfica.")</f>
        <v>Vida útil da bateria e tela gráfica.</v>
      </c>
      <c r="B32117" s="3">
        <v>0</v>
      </c>
    </row>
    <row r="32118" ht="15.75" customHeight="1" spans="1:2">
      <c r="A32118" s="3" t="str">
        <f>IFERROR(__xludf.DUMMYFUNCTION("GOOGLETRANSLATE(A32118,""en"",""pt"")"),"Sem boa ringtones ...")</f>
        <v>Sem boa ringtones ...</v>
      </c>
      <c r="B32118" s="3">
        <v>0</v>
      </c>
    </row>
    <row r="32119" ht="15.75" customHeight="1" spans="1:2">
      <c r="A32119" s="3" t="str">
        <f>IFERROR(__xludf.DUMMYFUNCTION("GOOGLETRANSLATE(A32119,""en"",""pt"")"),"-Weak Vibration")</f>
        <v>-Weak Vibration</v>
      </c>
      <c r="B32119" s="3">
        <v>0</v>
      </c>
    </row>
    <row r="32120" ht="15.75" customHeight="1" spans="1:2">
      <c r="A32120" s="3" t="str">
        <f>IFERROR(__xludf.DUMMYFUNCTION("GOOGLETRANSLATE(A32120,""en"",""pt"")"),"Não é bom para organizar, não bastante intuitivo.")</f>
        <v>Não é bom para organizar, não bastante intuitivo.</v>
      </c>
      <c r="B32120" s="3">
        <v>0</v>
      </c>
    </row>
    <row r="32121" ht="15.75" customHeight="1" spans="1:2">
      <c r="A32121" s="3" t="str">
        <f>IFERROR(__xludf.DUMMYFUNCTION("GOOGLETRANSLATE(A32121,""en"",""pt"")"),"Confiabilidade, durabilidade, vida útil da bateria, construção.")</f>
        <v>Confiabilidade, durabilidade, vida útil da bateria, construção.</v>
      </c>
      <c r="B32121" s="3">
        <v>0</v>
      </c>
    </row>
    <row r="32122" ht="15.75" customHeight="1" spans="1:2">
      <c r="A32122" s="3" t="str">
        <f>IFERROR(__xludf.DUMMYFUNCTION("GOOGLETRANSLATE(A32122,""en"",""pt"")"),"Talvez apenas um pouco grosso, e porque é novo - ainda é caro")</f>
        <v>Talvez apenas um pouco grosso, e porque é novo - ainda é caro</v>
      </c>
      <c r="B32122" s="3">
        <v>0</v>
      </c>
    </row>
    <row r="32123" ht="15.75" customHeight="1" spans="1:2">
      <c r="A32123" s="3" t="str">
        <f>IFERROR(__xludf.DUMMYFUNCTION("GOOGLETRANSLATE(A32123,""en"",""pt"")"),"A nova tecnologia, por vezes, precisa trabalhar as torções")</f>
        <v>A nova tecnologia, por vezes, precisa trabalhar as torções</v>
      </c>
      <c r="B32123" s="3">
        <v>0</v>
      </c>
    </row>
    <row r="32124" ht="15.75" customHeight="1" spans="1:2">
      <c r="A32124" s="3" t="str">
        <f>IFERROR(__xludf.DUMMYFUNCTION("GOOGLETRANSLATE(A32124,""en"",""pt"")"),"Caro, menus ímpares, guia do usuário pobres.")</f>
        <v>Caro, menus ímpares, guia do usuário pobres.</v>
      </c>
      <c r="B32124" s="3">
        <v>0</v>
      </c>
    </row>
    <row r="32125" ht="15.75" customHeight="1" spans="1:2">
      <c r="A32125" s="3" t="str">
        <f>IFERROR(__xludf.DUMMYFUNCTION("GOOGLETRANSLATE(A32125,""en"",""pt"")"),"A vida da bateria, um pouco complicado para o programa")</f>
        <v>A vida da bateria, um pouco complicado para o programa</v>
      </c>
      <c r="B32125" s="3">
        <v>0</v>
      </c>
    </row>
    <row r="32126" ht="15.75" customHeight="1" spans="1:2">
      <c r="A32126" s="3" t="str">
        <f>IFERROR(__xludf.DUMMYFUNCTION("GOOGLETRANSLATE(A32126,""en"",""pt"")"),"Falta de boa agenda, toques limitados incluído. Não alto o suficiente.")</f>
        <v>Falta de boa agenda, toques limitados incluído. Não alto o suficiente.</v>
      </c>
      <c r="B32126" s="3">
        <v>0</v>
      </c>
    </row>
    <row r="32127" ht="15.75" customHeight="1" spans="1:2">
      <c r="A32127" s="3" t="str">
        <f>IFERROR(__xludf.DUMMYFUNCTION("GOOGLETRANSLATE(A32127,""en"",""pt"")"),"Bluetooth é sombrio, a unidade é peculiar, requer a reinicialização regular, falta de usabilidade.")</f>
        <v>Bluetooth é sombrio, a unidade é peculiar, requer a reinicialização regular, falta de usabilidade.</v>
      </c>
      <c r="B32127" s="3">
        <v>0</v>
      </c>
    </row>
    <row r="32128" ht="15.75" customHeight="1" spans="1:2">
      <c r="A32128" s="3" t="str">
        <f>IFERROR(__xludf.DUMMYFUNCTION("GOOGLETRANSLATE(A32128,""en"",""pt"")"),"A vida da bateria")</f>
        <v>A vida da bateria</v>
      </c>
      <c r="B32128" s="3">
        <v>0</v>
      </c>
    </row>
    <row r="32129" ht="15.75" customHeight="1" spans="1:2">
      <c r="A32129" s="3" t="str">
        <f>IFERROR(__xludf.DUMMYFUNCTION("GOOGLETRANSLATE(A32129,""en"",""pt"")"),"STINKS Software!")</f>
        <v>STINKS Software!</v>
      </c>
      <c r="B32129" s="3">
        <v>0</v>
      </c>
    </row>
    <row r="32130" ht="15.75" customHeight="1" spans="1:2">
      <c r="A32130" s="3" t="str">
        <f>IFERROR(__xludf.DUMMYFUNCTION("GOOGLETRANSLATE(A32130,""en"",""pt"")"),"Opções de toque, Picture Integração")</f>
        <v>Opções de toque, Picture Integração</v>
      </c>
      <c r="B32130" s="3">
        <v>0</v>
      </c>
    </row>
    <row r="32131" ht="15.75" customHeight="1" spans="1:2">
      <c r="A32131" s="3" t="str">
        <f>IFERROR(__xludf.DUMMYFUNCTION("GOOGLETRANSLATE(A32131,""en"",""pt"")"),"Vida útil da bateria, Looks, Fone aquece, pesado para uma tampa articulada, Crappiest Manual para um telefone.")</f>
        <v>Vida útil da bateria, Looks, Fone aquece, pesado para uma tampa articulada, Crappiest Manual para um telefone.</v>
      </c>
      <c r="B32131" s="3">
        <v>0</v>
      </c>
    </row>
    <row r="32132" ht="15.75" customHeight="1" spans="1:2">
      <c r="A32132" s="3" t="str">
        <f>IFERROR(__xludf.DUMMYFUNCTION("GOOGLETRANSLATE(A32132,""en"",""pt"")"),"Apenas uma câmera VGA (mas as fotos são boas para ser VGA), Sem memória expansível")</f>
        <v>Apenas uma câmera VGA (mas as fotos são boas para ser VGA), Sem memória expansível</v>
      </c>
      <c r="B32132" s="3">
        <v>0</v>
      </c>
    </row>
    <row r="32133" ht="15.75" customHeight="1" spans="1:2">
      <c r="A32133" s="3" t="str">
        <f>IFERROR(__xludf.DUMMYFUNCTION("GOOGLETRANSLATE(A32133,""en"",""pt"")"),"barulho irritante botão lateral, um pouco volumoso, mau organizador, conversor de moeda, cingular marca irritante")</f>
        <v>barulho irritante botão lateral, um pouco volumoso, mau organizador, conversor de moeda, cingular marca irritante</v>
      </c>
      <c r="B32133" s="3">
        <v>0</v>
      </c>
    </row>
    <row r="32134" ht="15.75" customHeight="1" spans="1:2">
      <c r="A32134" s="3" t="str">
        <f>IFERROR(__xludf.DUMMYFUNCTION("GOOGLETRANSLATE(A32134,""en"",""pt"")"),"No ícone de status, alarme não soa se o telefone estiver desligado.")</f>
        <v>No ícone de status, alarme não soa se o telefone estiver desligado.</v>
      </c>
      <c r="B32134" s="3">
        <v>0</v>
      </c>
    </row>
    <row r="32135" ht="15.75" customHeight="1" spans="1:2">
      <c r="A32135" s="3" t="str">
        <f>IFERROR(__xludf.DUMMYFUNCTION("GOOGLETRANSLATE(A32135,""en"",""pt"")"),"bateria fraca, construção barato, problemas típicos telefone flip.")</f>
        <v>bateria fraca, construção barato, problemas típicos telefone flip.</v>
      </c>
      <c r="B32135" s="3">
        <v>0</v>
      </c>
    </row>
    <row r="32136" ht="15.75" customHeight="1" spans="1:2">
      <c r="A32136" s="3" t="str">
        <f>IFERROR(__xludf.DUMMYFUNCTION("GOOGLETRANSLATE(A32136,""en"",""pt"")"),"Nenhum verdadeiro livro de telefone multi-contacto. Irritantemente sensível, volume lateral / botão de alerta. Calendário alerta questionável.")</f>
        <v>Nenhum verdadeiro livro de telefone multi-contacto. Irritantemente sensível, volume lateral / botão de alerta. Calendário alerta questionável.</v>
      </c>
      <c r="B32136" s="3">
        <v>0</v>
      </c>
    </row>
    <row r="32137" ht="15.75" customHeight="1" spans="1:2">
      <c r="A32137" s="3" t="str">
        <f>IFERROR(__xludf.DUMMYFUNCTION("GOOGLETRANSLATE(A32137,""en"",""pt"")"),"Cai chamadas, navegação pobre, cabos proprietários caros.")</f>
        <v>Cai chamadas, navegação pobre, cabos proprietários caros.</v>
      </c>
      <c r="B32137" s="3">
        <v>0</v>
      </c>
    </row>
    <row r="32138" ht="15.75" customHeight="1" spans="1:2">
      <c r="A32138" s="3" t="str">
        <f>IFERROR(__xludf.DUMMYFUNCTION("GOOGLETRANSLATE(A32138,""en"",""pt"")"),"curta duração da bateria")</f>
        <v>curta duração da bateria</v>
      </c>
      <c r="B32138" s="3">
        <v>0</v>
      </c>
    </row>
    <row r="32139" ht="15.75" customHeight="1" spans="1:2">
      <c r="A32139" s="3" t="str">
        <f>IFERROR(__xludf.DUMMYFUNCTION("GOOGLETRANSLATE(A32139,""en"",""pt"")"),"nenhum programa de bloco de notas; texto é confuso")</f>
        <v>nenhum programa de bloco de notas; texto é confuso</v>
      </c>
      <c r="B32139" s="3">
        <v>0</v>
      </c>
    </row>
    <row r="32140" ht="15.75" customHeight="1" spans="1:2">
      <c r="A32140" s="3" t="str">
        <f>IFERROR(__xludf.DUMMYFUNCTION("GOOGLETRANSLATE(A32140,""en"",""pt"")"),"A vida da bateria. Sinal de força.")</f>
        <v>A vida da bateria. Sinal de força.</v>
      </c>
      <c r="B32140" s="3">
        <v>0</v>
      </c>
    </row>
    <row r="32141" ht="15.75" customHeight="1" spans="1:2">
      <c r="A32141" s="3" t="str">
        <f>IFERROR(__xludf.DUMMYFUNCTION("GOOGLETRANSLATE(A32141,""en"",""pt"")"),"carregador de carro e chamadas de problema.")</f>
        <v>carregador de carro e chamadas de problema.</v>
      </c>
      <c r="B32141" s="3">
        <v>0</v>
      </c>
    </row>
    <row r="32142" ht="15.75" customHeight="1" spans="1:2">
      <c r="A32142" s="3" t="str">
        <f>IFERROR(__xludf.DUMMYFUNCTION("GOOGLETRANSLATE(A32142,""en"",""pt"")"),"A vida da bateria com o uso do bluetooth prolongada.")</f>
        <v>A vida da bateria com o uso do bluetooth prolongada.</v>
      </c>
      <c r="B32142" s="3">
        <v>0</v>
      </c>
    </row>
    <row r="32143" ht="15.75" customHeight="1" spans="1:2">
      <c r="A32143" s="3" t="str">
        <f>IFERROR(__xludf.DUMMYFUNCTION("GOOGLETRANSLATE(A32143,""en"",""pt"")"),"Vibrar e depois tocar começa a tocar muito cedo.")</f>
        <v>Vibrar e depois tocar começa a tocar muito cedo.</v>
      </c>
      <c r="B32143" s="3">
        <v>0</v>
      </c>
    </row>
    <row r="32144" ht="15.75" customHeight="1" spans="1:2">
      <c r="A32144" s="3" t="str">
        <f>IFERROR(__xludf.DUMMYFUNCTION("GOOGLETRANSLATE(A32144,""en"",""pt"")"),"Camera é nebuloso, não é possível visualizar a lista de chamadas não atendidas, a duração da bateria ruim")</f>
        <v>Camera é nebuloso, não é possível visualizar a lista de chamadas não atendidas, a duração da bateria ruim</v>
      </c>
      <c r="B32144" s="3">
        <v>0</v>
      </c>
    </row>
    <row r="32145" ht="15.75" customHeight="1" spans="1:2">
      <c r="A32145" s="3" t="str">
        <f>IFERROR(__xludf.DUMMYFUNCTION("GOOGLETRANSLATE(A32145,""en"",""pt"")"),"cabo de curto-circuito")</f>
        <v>cabo de curto-circuito</v>
      </c>
      <c r="B32145" s="3">
        <v>0</v>
      </c>
    </row>
    <row r="32146" ht="15.75" customHeight="1" spans="1:2">
      <c r="A32146" s="3" t="str">
        <f>IFERROR(__xludf.DUMMYFUNCTION("GOOGLETRANSLATE(A32146,""en"",""pt"")"),"construção barato, ruim antena, difícil de perder")</f>
        <v>construção barato, ruim antena, difícil de perder</v>
      </c>
      <c r="B32146" s="3">
        <v>0</v>
      </c>
    </row>
    <row r="32147" ht="15.75" customHeight="1" spans="1:2">
      <c r="A32147" s="3" t="str">
        <f>IFERROR(__xludf.DUMMYFUNCTION("GOOGLETRANSLATE(A32147,""en"",""pt"")"),"gostaria que houvesse mais memória.")</f>
        <v>gostaria que houvesse mais memória.</v>
      </c>
      <c r="B32147" s="3">
        <v>0</v>
      </c>
    </row>
    <row r="32148" ht="15.75" customHeight="1" spans="1:2">
      <c r="A32148" s="3" t="str">
        <f>IFERROR(__xludf.DUMMYFUNCTION("GOOGLETRANSLATE(A32148,""en"",""pt"")"),"Volumoso, cai chamadas, câmera não é bom")</f>
        <v>Volumoso, cai chamadas, câmera não é bom</v>
      </c>
      <c r="B32148" s="3">
        <v>0</v>
      </c>
    </row>
    <row r="32149" ht="15.75" customHeight="1" spans="1:2">
      <c r="A32149" s="3" t="str">
        <f>IFERROR(__xludf.DUMMYFUNCTION("GOOGLETRANSLATE(A32149,""en"",""pt"")"),"Ringtones, ringtones, ringtones ... eu mencionei a falta de ringtones? Navegação confusa internet.")</f>
        <v>Ringtones, ringtones, ringtones ... eu mencionei a falta de ringtones? Navegação confusa internet.</v>
      </c>
      <c r="B32149" s="3">
        <v>0</v>
      </c>
    </row>
    <row r="32150" ht="15.75" customHeight="1" spans="1:2">
      <c r="A32150" s="3" t="str">
        <f>IFERROR(__xludf.DUMMYFUNCTION("GOOGLETRANSLATE(A32150,""en"",""pt"")"),"vaga Manual")</f>
        <v>vaga Manual</v>
      </c>
      <c r="B32150" s="3">
        <v>0</v>
      </c>
    </row>
    <row r="32151" ht="15.75" customHeight="1" spans="1:2">
      <c r="A32151" s="3" t="str">
        <f>IFERROR(__xludf.DUMMYFUNCTION("GOOGLETRANSLATE(A32151,""en"",""pt"")"),"Volume horrivelmente baixa, voicemail ineficiente")</f>
        <v>Volume horrivelmente baixa, voicemail ineficiente</v>
      </c>
      <c r="B32151" s="3">
        <v>0</v>
      </c>
    </row>
    <row r="32152" ht="15.75" customHeight="1" spans="1:2">
      <c r="A32152" s="3" t="str">
        <f>IFERROR(__xludf.DUMMYFUNCTION("GOOGLETRANSLATE(A32152,""en"",""pt"")"),"reconhecimento de voz, agenda, manual")</f>
        <v>reconhecimento de voz, agenda, manual</v>
      </c>
      <c r="B32152" s="3">
        <v>0</v>
      </c>
    </row>
    <row r="32153" ht="15.75" customHeight="1" spans="1:2">
      <c r="A32153" s="3" t="str">
        <f>IFERROR(__xludf.DUMMYFUNCTION("GOOGLETRANSLATE(A32153,""en"",""pt"")"),"Vida útil da bateria, nenhum clipe de cinto, alguns queda de chamadas e telefone congela uma vez na lua azul.")</f>
        <v>Vida útil da bateria, nenhum clipe de cinto, alguns queda de chamadas e telefone congela uma vez na lua azul.</v>
      </c>
      <c r="B32153" s="3">
        <v>0</v>
      </c>
    </row>
    <row r="32154" ht="15.75" customHeight="1" spans="1:2">
      <c r="A32154" s="3" t="str">
        <f>IFERROR(__xludf.DUMMYFUNCTION("GOOGLETRANSLATE(A32154,""en"",""pt"")"),"recepção fraca, precisa de recarga frequente e bastante aborrecido.")</f>
        <v>recepção fraca, precisa de recarga frequente e bastante aborrecido.</v>
      </c>
      <c r="B32154" s="3">
        <v>0</v>
      </c>
    </row>
    <row r="32155" ht="15.75" customHeight="1" spans="1:2">
      <c r="A32155" s="3" t="str">
        <f>IFERROR(__xludf.DUMMYFUNCTION("GOOGLETRANSLATE(A32155,""en"",""pt"")"),"Speaker é horrível ..")</f>
        <v>Speaker é horrível ..</v>
      </c>
      <c r="B32155" s="3">
        <v>0</v>
      </c>
    </row>
    <row r="32156" ht="15.75" customHeight="1" spans="1:2">
      <c r="A32156" s="3" t="str">
        <f>IFERROR(__xludf.DUMMYFUNCTION("GOOGLETRANSLATE(A32156,""en"",""pt"")"),"carregador age-se")</f>
        <v>carregador age-se</v>
      </c>
      <c r="B32156" s="3">
        <v>0</v>
      </c>
    </row>
    <row r="32157" ht="15.75" customHeight="1" spans="1:2">
      <c r="A32157" s="3" t="str">
        <f>IFERROR(__xludf.DUMMYFUNCTION("GOOGLETRANSLATE(A32157,""en"",""pt"")"),"A vida da bateria, chamadas abandonadas, tempo de carregamento")</f>
        <v>A vida da bateria, chamadas abandonadas, tempo de carregamento</v>
      </c>
      <c r="B32157" s="3">
        <v>0</v>
      </c>
    </row>
    <row r="32158" ht="15.75" customHeight="1" spans="1:2">
      <c r="A32158" s="3" t="str">
        <f>IFERROR(__xludf.DUMMYFUNCTION("GOOGLETRANSLATE(A32158,""en"",""pt"")"),"para numerosas para write.-não o suficiente quarto nesta página.")</f>
        <v>para numerosas para write.-não o suficiente quarto nesta página.</v>
      </c>
      <c r="B32158" s="3">
        <v>0</v>
      </c>
    </row>
    <row r="32159" ht="15.75" customHeight="1" spans="1:2">
      <c r="A32159" s="3" t="str">
        <f>IFERROR(__xludf.DUMMYFUNCTION("GOOGLETRANSLATE(A32159,""en"",""pt"")"),"A localização do botão de gravação de voz facilita a bater acidentalmente.")</f>
        <v>A localização do botão de gravação de voz facilita a bater acidentalmente.</v>
      </c>
      <c r="B32159" s="3">
        <v>0</v>
      </c>
    </row>
    <row r="32160" ht="15.75" customHeight="1" spans="1:2">
      <c r="A32160" s="3" t="str">
        <f>IFERROR(__xludf.DUMMYFUNCTION("GOOGLETRANSLATE(A32160,""en"",""pt"")"),"mensagens indesejadas irritantes, arranhões fáceis")</f>
        <v>mensagens indesejadas irritantes, arranhões fáceis</v>
      </c>
      <c r="B32160" s="3">
        <v>0</v>
      </c>
    </row>
    <row r="32161" ht="15.75" customHeight="1" spans="1:2">
      <c r="A32161" s="3" t="str">
        <f>IFERROR(__xludf.DUMMYFUNCTION("GOOGLETRANSLATE(A32161,""en"",""pt"")"),"Verter aplicativos Java para esta unidade é complicado. tela esvanece na luz solar.")</f>
        <v>Verter aplicativos Java para esta unidade é complicado. tela esvanece na luz solar.</v>
      </c>
      <c r="B32161" s="3">
        <v>0</v>
      </c>
    </row>
    <row r="32162" ht="15.75" customHeight="1" spans="1:2">
      <c r="A32162" s="3" t="str">
        <f>IFERROR(__xludf.DUMMYFUNCTION("GOOGLETRANSLATE(A32162,""en"",""pt"")"),"chamadas abandonadas, recepção, layout de teclado, nenhum botão declínio.")</f>
        <v>chamadas abandonadas, recepção, layout de teclado, nenhum botão declínio.</v>
      </c>
      <c r="B32162" s="3">
        <v>0</v>
      </c>
    </row>
    <row r="32163" ht="15.75" customHeight="1" spans="1:2">
      <c r="A32163" s="3" t="str">
        <f>IFERROR(__xludf.DUMMYFUNCTION("GOOGLETRANSLATE(A32163,""en"",""pt"")"),"vida útil da bateria extremamente pobre, Pobre serviço ao cliente e propaganda enganosa")</f>
        <v>vida útil da bateria extremamente pobre, Pobre serviço ao cliente e propaganda enganosa</v>
      </c>
      <c r="B32163" s="3">
        <v>0</v>
      </c>
    </row>
    <row r="32164" ht="15.75" customHeight="1" spans="1:2">
      <c r="A32164" s="3" t="str">
        <f>IFERROR(__xludf.DUMMYFUNCTION("GOOGLETRANSLATE(A32164,""en"",""pt"")"),"não pode ouvir chamadores depois de apenas sete meses !, pobre vida da bateria, lento")</f>
        <v>não pode ouvir chamadores depois de apenas sete meses !, pobre vida da bateria, lento</v>
      </c>
      <c r="B32164" s="3">
        <v>0</v>
      </c>
    </row>
    <row r="32165" ht="15.75" customHeight="1" spans="1:2">
      <c r="A32165" s="3" t="str">
        <f>IFERROR(__xludf.DUMMYFUNCTION("GOOGLETRANSLATE(A32165,""en"",""pt"")"),"conexão com carregador, layout do menu, câmera.")</f>
        <v>conexão com carregador, layout do menu, câmera.</v>
      </c>
      <c r="B32165" s="3">
        <v>0</v>
      </c>
    </row>
    <row r="32166" ht="15.75" customHeight="1" spans="1:2">
      <c r="A32166" s="3" t="str">
        <f>IFERROR(__xludf.DUMMYFUNCTION("GOOGLETRANSLATE(A32166,""en"",""pt"")"),"Carregar problemas. problemas de saída de áudio.")</f>
        <v>Carregar problemas. problemas de saída de áudio.</v>
      </c>
      <c r="B32166" s="3">
        <v>0</v>
      </c>
    </row>
    <row r="32167" ht="15.75" customHeight="1" spans="1:2">
      <c r="A32167" s="3" t="str">
        <f>IFERROR(__xludf.DUMMYFUNCTION("GOOGLETRANSLATE(A32167,""en"",""pt"")"),"todo o resto")</f>
        <v>todo o resto</v>
      </c>
      <c r="B32167" s="3">
        <v>0</v>
      </c>
    </row>
    <row r="32168" ht="15.75" customHeight="1" spans="1:2">
      <c r="A32168" s="3" t="str">
        <f>IFERROR(__xludf.DUMMYFUNCTION("GOOGLETRANSLATE(A32168,""en"",""pt"")"),"Desligando !!!, vida útil da bateria")</f>
        <v>Desligando !!!, vida útil da bateria</v>
      </c>
      <c r="B32168" s="3">
        <v>0</v>
      </c>
    </row>
    <row r="32169" ht="15.75" customHeight="1" spans="1:2">
      <c r="A32169" s="3" t="str">
        <f>IFERROR(__xludf.DUMMYFUNCTION("GOOGLETRANSLATE(A32169,""en"",""pt"")"),"O telefone só vai mal e precisa ser substituído pelo seu provedor.")</f>
        <v>O telefone só vai mal e precisa ser substituído pelo seu provedor.</v>
      </c>
      <c r="B32169" s="3">
        <v>0</v>
      </c>
    </row>
    <row r="32170" ht="15.75" customHeight="1" spans="1:2">
      <c r="A32170" s="3" t="str">
        <f>IFERROR(__xludf.DUMMYFUNCTION("GOOGLETRANSLATE(A32170,""en"",""pt"")"),"chamadas abandonadas, estático, a vida da bateria é terrível")</f>
        <v>chamadas abandonadas, estático, a vida da bateria é terrível</v>
      </c>
      <c r="B32170" s="3">
        <v>0</v>
      </c>
    </row>
    <row r="32171" ht="15.75" customHeight="1" spans="1:2">
      <c r="A32171" s="3" t="str">
        <f>IFERROR(__xludf.DUMMYFUNCTION("GOOGLETRANSLATE(A32171,""en"",""pt"")"),"Recepção, Camera, Java, IM, Crashes")</f>
        <v>Recepção, Camera, Java, IM, Crashes</v>
      </c>
      <c r="B32171" s="3">
        <v>0</v>
      </c>
    </row>
    <row r="32172" ht="15.75" customHeight="1" spans="1:2">
      <c r="A32172" s="3" t="str">
        <f>IFERROR(__xludf.DUMMYFUNCTION("GOOGLETRANSLATE(A32172,""en"",""pt"")"),"extremamente confiável")</f>
        <v>extremamente confiável</v>
      </c>
      <c r="B32172" s="3">
        <v>0</v>
      </c>
    </row>
    <row r="32173" ht="15.75" customHeight="1" spans="1:2">
      <c r="A32173" s="3" t="str">
        <f>IFERROR(__xludf.DUMMYFUNCTION("GOOGLETRANSLATE(A32173,""en"",""pt"")"),"alto-falante não funciona, o carregamento é frustrante")</f>
        <v>alto-falante não funciona, o carregamento é frustrante</v>
      </c>
      <c r="B32173" s="3">
        <v>0</v>
      </c>
    </row>
    <row r="32174" ht="15.75" customHeight="1" spans="1:2">
      <c r="A32174" s="3" t="str">
        <f>IFERROR(__xludf.DUMMYFUNCTION("GOOGLETRANSLATE(A32174,""en"",""pt"")"),"BATERIA, recepção")</f>
        <v>BATERIA, recepção</v>
      </c>
      <c r="B32174" s="3">
        <v>0</v>
      </c>
    </row>
    <row r="32175" ht="15.75" customHeight="1" spans="1:2">
      <c r="A32175" s="3" t="str">
        <f>IFERROR(__xludf.DUMMYFUNCTION("GOOGLETRANSLATE(A32175,""en"",""pt"")"),"Lotes de problemas técnicos")</f>
        <v>Lotes de problemas técnicos</v>
      </c>
      <c r="B32175" s="3">
        <v>0</v>
      </c>
    </row>
    <row r="32176" ht="15.75" customHeight="1" spans="1:2">
      <c r="A32176" s="3" t="str">
        <f>IFERROR(__xludf.DUMMYFUNCTION("GOOGLETRANSLATE(A32176,""en"",""pt"")"),"camera does not não tirar boas fotos em tudo")</f>
        <v>camera does not não tirar boas fotos em tudo</v>
      </c>
      <c r="B32176" s="3">
        <v>0</v>
      </c>
    </row>
    <row r="32177" ht="15.75" customHeight="1" spans="1:2">
      <c r="A32177" s="3" t="str">
        <f>IFERROR(__xludf.DUMMYFUNCTION("GOOGLETRANSLATE(A32177,""en"",""pt"")"),"Tamanho, sente-se por vezes um pouco frágeis.")</f>
        <v>Tamanho, sente-se por vezes um pouco frágeis.</v>
      </c>
      <c r="B32177" s="3">
        <v>0</v>
      </c>
    </row>
    <row r="32178" ht="15.75" customHeight="1" spans="1:2">
      <c r="A32178" s="3" t="str">
        <f>IFERROR(__xludf.DUMMYFUNCTION("GOOGLETRANSLATE(A32178,""en"",""pt"")"),"Gotas chamadas consistentemente ... terrível recepção ... volume inadequado ...")</f>
        <v>Gotas chamadas consistentemente ... terrível recepção ... volume inadequado ...</v>
      </c>
      <c r="B32178" s="3">
        <v>0</v>
      </c>
    </row>
    <row r="32179" ht="15.75" customHeight="1" spans="1:2">
      <c r="A32179" s="3" t="str">
        <f>IFERROR(__xludf.DUMMYFUNCTION("GOOGLETRANSLATE(A32179,""en"",""pt"")"),"muito alto, sons, a vida da bateria horrível, o manual, facilidade de uso.")</f>
        <v>muito alto, sons, a vida da bateria horrível, o manual, facilidade de uso.</v>
      </c>
      <c r="B32179" s="3">
        <v>0</v>
      </c>
    </row>
    <row r="32180" ht="15.75" customHeight="1" spans="1:2">
      <c r="A32180" s="3" t="str">
        <f>IFERROR(__xludf.DUMMYFUNCTION("GOOGLETRANSLATE(A32180,""en"",""pt"")"),"Tudo. Exceto que é azul.")</f>
        <v>Tudo. Exceto que é azul.</v>
      </c>
      <c r="B32180" s="3">
        <v>0</v>
      </c>
    </row>
    <row r="32181" ht="15.75" customHeight="1" spans="1:2">
      <c r="A32181" s="3" t="str">
        <f>IFERROR(__xludf.DUMMYFUNCTION("GOOGLETRANSLATE(A32181,""en"",""pt"")"),"qualidade de imagem média, colidindo lado do telefone pode causar mudança de ajuste do anel")</f>
        <v>qualidade de imagem média, colidindo lado do telefone pode causar mudança de ajuste do anel</v>
      </c>
      <c r="B32181" s="3">
        <v>0</v>
      </c>
    </row>
    <row r="32182" ht="15.75" customHeight="1" spans="1:2">
      <c r="A32182" s="3" t="str">
        <f>IFERROR(__xludf.DUMMYFUNCTION("GOOGLETRANSLATE(A32182,""en"",""pt"")"),"BAD BAD BAD (eu fiz menção ruim?) Recepção")</f>
        <v>BAD BAD BAD (eu fiz menção ruim?) Recepção</v>
      </c>
      <c r="B32182" s="3">
        <v>0</v>
      </c>
    </row>
    <row r="32183" ht="15.75" customHeight="1" spans="1:2">
      <c r="A32183" s="3" t="str">
        <f>IFERROR(__xludf.DUMMYFUNCTION("GOOGLETRANSLATE(A32183,""en"",""pt"")"),"programação software absolutamente horrível.")</f>
        <v>programação software absolutamente horrível.</v>
      </c>
      <c r="B32183" s="3">
        <v>0</v>
      </c>
    </row>
    <row r="32184" ht="15.75" customHeight="1" spans="1:2">
      <c r="A32184" s="3" t="str">
        <f>IFERROR(__xludf.DUMMYFUNCTION("GOOGLETRANSLATE(A32184,""en"",""pt"")"),"Motorola me enganou, e eu espero que a empresa vai à falência.")</f>
        <v>Motorola me enganou, e eu espero que a empresa vai à falência.</v>
      </c>
      <c r="B32184" s="3">
        <v>0</v>
      </c>
    </row>
    <row r="32185" ht="15.75" customHeight="1" spans="1:2">
      <c r="A32185" s="3" t="str">
        <f>IFERROR(__xludf.DUMMYFUNCTION("GOOGLETRANSLATE(A32185,""en"",""pt"")"),"A duração da bateria diminuiu o tempo um pouco mais.")</f>
        <v>A duração da bateria diminuiu o tempo um pouco mais.</v>
      </c>
      <c r="B32185" s="3">
        <v>0</v>
      </c>
    </row>
    <row r="32186" ht="15.75" customHeight="1" spans="1:2">
      <c r="A32186" s="3" t="str">
        <f>IFERROR(__xludf.DUMMYFUNCTION("GOOGLETRANSLATE(A32186,""en"",""pt"")"),"não pode fechar o telefone quando no viva-voz, feio, plain")</f>
        <v>não pode fechar o telefone quando no viva-voz, feio, plain</v>
      </c>
      <c r="B32186" s="3">
        <v>0</v>
      </c>
    </row>
    <row r="32187" ht="15.75" customHeight="1" spans="1:2">
      <c r="A32187" s="3" t="str">
        <f>IFERROR(__xludf.DUMMYFUNCTION("GOOGLETRANSLATE(A32187,""en"",""pt"")"),"B &amp; W monitor externo, volume rocker mal colocado")</f>
        <v>B &amp; W monitor externo, volume rocker mal colocado</v>
      </c>
      <c r="B32187" s="3">
        <v>0</v>
      </c>
    </row>
    <row r="32188" ht="15.75" customHeight="1" spans="1:2">
      <c r="A32188" s="3" t="str">
        <f>IFERROR(__xludf.DUMMYFUNCTION("GOOGLETRANSLATE(A32188,""en"",""pt"")"),"Volumoso, fora tem tela preto e branco, e flash não é tão grande")</f>
        <v>Volumoso, fora tem tela preto e branco, e flash não é tão grande</v>
      </c>
      <c r="B32188" s="3">
        <v>0</v>
      </c>
    </row>
    <row r="32189" ht="15.75" customHeight="1" spans="1:2">
      <c r="A32189" s="3" t="str">
        <f>IFERROR(__xludf.DUMMYFUNCTION("GOOGLETRANSLATE(A32189,""en"",""pt"")"),"Nenhum.")</f>
        <v>Nenhum.</v>
      </c>
      <c r="B32189" s="3">
        <v>0</v>
      </c>
    </row>
    <row r="32190" ht="15.75" customHeight="1" spans="1:2">
      <c r="A32190" s="3" t="str">
        <f>IFERROR(__xludf.DUMMYFUNCTION("GOOGLETRANSLATE(A32190,""en"",""pt"")"),"Falta de Bluetooth, rápido deminishing vida da bateria enquanto procura por um sinal.")</f>
        <v>Falta de Bluetooth, rápido deminishing vida da bateria enquanto procura por um sinal.</v>
      </c>
      <c r="B32190" s="3">
        <v>0</v>
      </c>
    </row>
    <row r="32191" ht="15.75" customHeight="1" spans="1:2">
      <c r="A32191" s="3" t="str">
        <f>IFERROR(__xludf.DUMMYFUNCTION("GOOGLETRANSLATE(A32191,""en"",""pt"")"),"Camera é fracote, teclas laterais se pressionadas acidentalmente")</f>
        <v>Camera é fracote, teclas laterais se pressionadas acidentalmente</v>
      </c>
      <c r="B32191" s="3">
        <v>0</v>
      </c>
    </row>
    <row r="32192" ht="15.75" customHeight="1" spans="1:2">
      <c r="A32192" s="3" t="str">
        <f>IFERROR(__xludf.DUMMYFUNCTION("GOOGLETRANSLATE(A32192,""en"",""pt"")"),"Volumosos quando você tem uma bateria estendida, apenas detém 60 fotos.")</f>
        <v>Volumosos quando você tem uma bateria estendida, apenas detém 60 fotos.</v>
      </c>
      <c r="B32192" s="3">
        <v>0</v>
      </c>
    </row>
    <row r="32193" ht="15.75" customHeight="1" spans="1:2">
      <c r="A32193" s="3" t="str">
        <f>IFERROR(__xludf.DUMMYFUNCTION("GOOGLETRANSLATE(A32193,""en"",""pt"")"),"TELEFONE desliga! Terrível recepção, maus botões laterais, processador lento.")</f>
        <v>TELEFONE desliga! Terrível recepção, maus botões laterais, processador lento.</v>
      </c>
      <c r="B32193" s="3">
        <v>0</v>
      </c>
    </row>
    <row r="32194" ht="15.75" customHeight="1" spans="1:2">
      <c r="A32194" s="3" t="str">
        <f>IFERROR(__xludf.DUMMYFUNCTION("GOOGLETRANSLATE(A32194,""en"",""pt"")"),"recepção poderia ser melhor, botões laterais, o volume pode ser estranho.")</f>
        <v>recepção poderia ser melhor, botões laterais, o volume pode ser estranho.</v>
      </c>
      <c r="B32194" s="3">
        <v>0</v>
      </c>
    </row>
    <row r="32195" ht="15.75" customHeight="1" spans="1:2">
      <c r="A32195" s="3" t="str">
        <f>IFERROR(__xludf.DUMMYFUNCTION("GOOGLETRANSLATE(A32195,""en"",""pt"")"),"Volumosos, pesados, nenhum Bluetooth")</f>
        <v>Volumosos, pesados, nenhum Bluetooth</v>
      </c>
      <c r="B32195" s="3">
        <v>0</v>
      </c>
    </row>
    <row r="32196" ht="15.75" customHeight="1" spans="1:2">
      <c r="A32196" s="3" t="str">
        <f>IFERROR(__xludf.DUMMYFUNCTION("GOOGLETRANSLATE(A32196,""en"",""pt"")"),"Nenhum jogo, modo de avanço é bastante inútil, botões laterais irritantes, robusto. Viva-voz, flash Pobre")</f>
        <v>Nenhum jogo, modo de avanço é bastante inútil, botões laterais irritantes, robusto. Viva-voz, flash Pobre</v>
      </c>
      <c r="B32196" s="3">
        <v>0</v>
      </c>
    </row>
    <row r="32197" ht="15.75" customHeight="1" spans="1:2">
      <c r="A32197" s="3" t="str">
        <f>IFERROR(__xludf.DUMMYFUNCTION("GOOGLETRANSLATE(A32197,""en"",""pt"")"),"botões laterais são sempre desencadeamento e apitar. Pobre software e menu de navegação pobres.")</f>
        <v>botões laterais são sempre desencadeamento e apitar. Pobre software e menu de navegação pobres.</v>
      </c>
      <c r="B32197" s="3">
        <v>0</v>
      </c>
    </row>
    <row r="32198" ht="15.75" customHeight="1" spans="1:2">
      <c r="A32198" s="3" t="str">
        <f>IFERROR(__xludf.DUMMYFUNCTION("GOOGLETRANSLATE(A32198,""en"",""pt"")"),"O flash da câmera poderia ser melhor ... mas é um telefone, não uma câmera")</f>
        <v>O flash da câmera poderia ser melhor ... mas é um telefone, não uma câmera</v>
      </c>
      <c r="B32198" s="3">
        <v>0</v>
      </c>
    </row>
    <row r="32199" ht="15.75" customHeight="1" spans="1:2">
      <c r="A32199" s="3" t="str">
        <f>IFERROR(__xludf.DUMMYFUNCTION("GOOGLETRANSLATE(A32199,""en"",""pt"")"),"Obtém, má qualidade de som quente, ainda pior qualidade de som alto-falante, botões laterais são empurrados")</f>
        <v>Obtém, má qualidade de som quente, ainda pior qualidade de som alto-falante, botões laterais são empurrados</v>
      </c>
      <c r="B32199" s="3">
        <v>0</v>
      </c>
    </row>
    <row r="32200" ht="15.75" customHeight="1" spans="1:2">
      <c r="A32200" s="3" t="str">
        <f>IFERROR(__xludf.DUMMYFUNCTION("GOOGLETRANSLATE(A32200,""en"",""pt"")"),"artesanato, qualidade")</f>
        <v>artesanato, qualidade</v>
      </c>
      <c r="B32200" s="3">
        <v>0</v>
      </c>
    </row>
    <row r="32201" ht="15.75" customHeight="1" spans="1:2">
      <c r="A32201" s="3" t="str">
        <f>IFERROR(__xludf.DUMMYFUNCTION("GOOGLETRANSLATE(A32201,""en"",""pt"")"),"vida útil da bateria")</f>
        <v>vida útil da bateria</v>
      </c>
      <c r="B32201" s="3">
        <v>0</v>
      </c>
    </row>
    <row r="32202" ht="15.75" customHeight="1" spans="1:2">
      <c r="A32202" s="3" t="str">
        <f>IFERROR(__xludf.DUMMYFUNCTION("GOOGLETRANSLATE(A32202,""en"",""pt"")"),"LIMÃO quando se trata de onde você carregar o telefone causando-lhe a perder tudo !!")</f>
        <v>LIMÃO quando se trata de onde você carregar o telefone causando-lhe a perder tudo !!</v>
      </c>
      <c r="B32202" s="3">
        <v>0</v>
      </c>
    </row>
    <row r="32203" ht="15.75" customHeight="1" spans="1:2">
      <c r="A32203" s="3" t="str">
        <f>IFERROR(__xludf.DUMMYFUNCTION("GOOGLETRANSLATE(A32203,""en"",""pt"")"),"GOTAS CHAMADAS ... soltar chamadas ... recurso PIX de mensagens não funciona depois de um tempo ...")</f>
        <v>GOTAS CHAMADAS ... soltar chamadas ... recurso PIX de mensagens não funciona depois de um tempo ...</v>
      </c>
      <c r="B32203" s="3">
        <v>0</v>
      </c>
    </row>
    <row r="32204" ht="15.75" customHeight="1" spans="1:2">
      <c r="A32204" s="3" t="str">
        <f>IFERROR(__xludf.DUMMYFUNCTION("GOOGLETRANSLATE(A32204,""en"",""pt"")"),"CARREGADOR CLIP cai. EU ODEIO ISSO.")</f>
        <v>CARREGADOR CLIP cai. EU ODEIO ISSO.</v>
      </c>
      <c r="B32204" s="3">
        <v>0</v>
      </c>
    </row>
    <row r="32205" ht="15.75" customHeight="1" spans="1:2">
      <c r="A32205" s="3" t="str">
        <f>IFERROR(__xludf.DUMMYFUNCTION("GOOGLETRANSLATE(A32205,""en"",""pt"")"),"botões laterais, Bad recepção, chamadas abandonadas")</f>
        <v>botões laterais, Bad recepção, chamadas abandonadas</v>
      </c>
      <c r="B32205" s="3">
        <v>0</v>
      </c>
    </row>
    <row r="32206" ht="15.75" customHeight="1" spans="1:2">
      <c r="A32206" s="3" t="str">
        <f>IFERROR(__xludf.DUMMYFUNCTION("GOOGLETRANSLATE(A32206,""en"",""pt"")"),"Eles não têm a opção de bloquear chamadas restritas como motorollas fazer.")</f>
        <v>Eles não têm a opção de bloquear chamadas restritas como motorollas fazer.</v>
      </c>
      <c r="B32206" s="3">
        <v>0</v>
      </c>
    </row>
    <row r="32207" ht="15.75" customHeight="1" spans="1:2">
      <c r="A32207" s="3" t="str">
        <f>IFERROR(__xludf.DUMMYFUNCTION("GOOGLETRANSLATE(A32207,""en"",""pt"")"),"Speaker requer telefone aberto, queda de chamadas, sem auto-retrato na câmera, botões laterais inadvertidamente operar telefone.")</f>
        <v>Speaker requer telefone aberto, queda de chamadas, sem auto-retrato na câmera, botões laterais inadvertidamente operar telefone.</v>
      </c>
      <c r="B32207" s="3">
        <v>0</v>
      </c>
    </row>
    <row r="32208" ht="15.75" customHeight="1" spans="1:2">
      <c r="A32208" s="3" t="str">
        <f>IFERROR(__xludf.DUMMYFUNCTION("GOOGLETRANSLATE(A32208,""en"",""pt"")"),"Muito ligeira imprecisão durante algumas chamadas.")</f>
        <v>Muito ligeira imprecisão durante algumas chamadas.</v>
      </c>
      <c r="B32208" s="3">
        <v>0</v>
      </c>
    </row>
    <row r="32209" ht="15.75" customHeight="1" spans="1:2">
      <c r="A32209" s="3" t="str">
        <f>IFERROR(__xludf.DUMMYFUNCTION("GOOGLETRANSLATE(A32209,""en"",""pt"")"),"estrutura não-intuitivo comando e operação, complicado de condução (mãos livres) Modo de condução, documentação fraco.")</f>
        <v>estrutura não-intuitivo comando e operação, complicado de condução (mãos livres) Modo de condução, documentação fraco.</v>
      </c>
      <c r="B32209" s="3">
        <v>0</v>
      </c>
    </row>
    <row r="32210" ht="15.75" customHeight="1" spans="1:2">
      <c r="A32210" s="3" t="str">
        <f>IFERROR(__xludf.DUMMYFUNCTION("GOOGLETRANSLATE(A32210,""en"",""pt"")"),"Eu ainda estou esperando a minha segunda substituição")</f>
        <v>Eu ainda estou esperando a minha segunda substituição</v>
      </c>
      <c r="B32210" s="3">
        <v>0</v>
      </c>
    </row>
    <row r="32211" ht="15.75" customHeight="1" spans="1:2">
      <c r="A32211" s="3" t="str">
        <f>IFERROR(__xludf.DUMMYFUNCTION("GOOGLETRANSLATE(A32211,""en"",""pt"")"),"Analógico monitor externo, volumoso, espessura, desenho")</f>
        <v>Analógico monitor externo, volumoso, espessura, desenho</v>
      </c>
      <c r="B32211" s="3">
        <v>0</v>
      </c>
    </row>
    <row r="32212" ht="15.75" customHeight="1" spans="1:2">
      <c r="A32212" s="3" t="str">
        <f>IFERROR(__xludf.DUMMYFUNCTION("GOOGLETRANSLATE(A32212,""en"",""pt"")"),"Gotas chamadas. A recepção está horrível. Deve pagar para fazer qualquer coisa sobre este telefone e serviço.")</f>
        <v>Gotas chamadas. A recepção está horrível. Deve pagar para fazer qualquer coisa sobre este telefone e serviço.</v>
      </c>
      <c r="B32212" s="3">
        <v>0</v>
      </c>
    </row>
    <row r="32213" ht="15.75" customHeight="1" spans="1:2">
      <c r="A32213" s="3" t="str">
        <f>IFERROR(__xludf.DUMMYFUNCTION("GOOGLETRANSLATE(A32213,""en"",""pt"")"),"As teclas laterais são um pouco demasiado sensível e é um pouco volumoso.")</f>
        <v>As teclas laterais são um pouco demasiado sensível e é um pouco volumoso.</v>
      </c>
      <c r="B32213" s="3">
        <v>0</v>
      </c>
    </row>
    <row r="32214" ht="15.75" customHeight="1" spans="1:2">
      <c r="A32214" s="3" t="str">
        <f>IFERROR(__xludf.DUMMYFUNCTION("GOOGLETRANSLATE(A32214,""en"",""pt"")"),"""Comando digital"" má localização botão e irritante.")</f>
        <v>"Comando digital" má localização botão e irritante.</v>
      </c>
      <c r="B32214" s="3">
        <v>0</v>
      </c>
    </row>
    <row r="32215" ht="15.75" customHeight="1" spans="1:2">
      <c r="A32215" s="3" t="str">
        <f>IFERROR(__xludf.DUMMYFUNCTION("GOOGLETRANSLATE(A32215,""en"",""pt"")"),"Dropping apresenta inesperadamente e de forma permanente. I cuidar muito bem do meu telefone.")</f>
        <v>Dropping apresenta inesperadamente e de forma permanente. I cuidar muito bem do meu telefone.</v>
      </c>
      <c r="B32215" s="3">
        <v>0</v>
      </c>
    </row>
    <row r="32216" ht="15.75" customHeight="1" spans="1:2">
      <c r="A32216" s="3" t="str">
        <f>IFERROR(__xludf.DUMMYFUNCTION("GOOGLETRANSLATE(A32216,""en"",""pt"")"),"Drops um monte de chamadas, botões laterais podem operar enquanto bolso interno.")</f>
        <v>Drops um monte de chamadas, botões laterais podem operar enquanto bolso interno.</v>
      </c>
      <c r="B32216" s="3">
        <v>0</v>
      </c>
    </row>
    <row r="32217" ht="15.75" customHeight="1" spans="1:2">
      <c r="A32217" s="3" t="str">
        <f>IFERROR(__xludf.DUMMYFUNCTION("GOOGLETRANSLATE(A32217,""en"",""pt"")"),"O volume do fone de ouvido é um pouco baixo, mas eu pode estar indo surdo!")</f>
        <v>O volume do fone de ouvido é um pouco baixo, mas eu pode estar indo surdo!</v>
      </c>
      <c r="B32217" s="3">
        <v>0</v>
      </c>
    </row>
    <row r="32218" ht="15.75" customHeight="1" spans="1:2">
      <c r="A32218" s="3" t="str">
        <f>IFERROR(__xludf.DUMMYFUNCTION("GOOGLETRANSLATE(A32218,""en"",""pt"")"),"botões laterais pressionado, muda para alto-falante, câmera ruim, qualidade, limites de tamanho, etc etc etc")</f>
        <v>botões laterais pressionado, muda para alto-falante, câmera ruim, qualidade, limites de tamanho, etc etc etc</v>
      </c>
      <c r="B32218" s="3">
        <v>0</v>
      </c>
    </row>
    <row r="32219" ht="15.75" customHeight="1" spans="1:2">
      <c r="A32219" s="3" t="str">
        <f>IFERROR(__xludf.DUMMYFUNCTION("GOOGLETRANSLATE(A32219,""en"",""pt"")"),"arranhões facilmente")</f>
        <v>arranhões facilmente</v>
      </c>
      <c r="B32219" s="3">
        <v>0</v>
      </c>
    </row>
    <row r="32220" ht="15.75" customHeight="1" spans="1:2">
      <c r="A32220" s="3" t="str">
        <f>IFERROR(__xludf.DUMMYFUNCTION("GOOGLETRANSLATE(A32220,""en"",""pt"")"),"não consigo encontrar toques pessoais para ele")</f>
        <v>não consigo encontrar toques pessoais para ele</v>
      </c>
      <c r="B32220" s="3">
        <v>0</v>
      </c>
    </row>
    <row r="32221" ht="15.75" customHeight="1" spans="1:2">
      <c r="A32221" s="3" t="str">
        <f>IFERROR(__xludf.DUMMYFUNCTION("GOOGLETRANSLATE(A32221,""en"",""pt"")"),"bateria / orelha peça jack / questões Softwear")</f>
        <v>bateria / orelha peça jack / questões Softwear</v>
      </c>
      <c r="B32221" s="3">
        <v>0</v>
      </c>
    </row>
    <row r="32222" ht="15.75" customHeight="1" spans="1:2">
      <c r="A32222" s="3" t="str">
        <f>IFERROR(__xludf.DUMMYFUNCTION("GOOGLETRANSLATE(A32222,""en"",""pt"")"),"Ligeiramente maior do que outros flip-telefones semelhantes")</f>
        <v>Ligeiramente maior do que outros flip-telefones semelhantes</v>
      </c>
      <c r="B32222" s="3">
        <v>0</v>
      </c>
    </row>
    <row r="32223" ht="15.75" customHeight="1" spans="1:2">
      <c r="A32223" s="3" t="str">
        <f>IFERROR(__xludf.DUMMYFUNCTION("GOOGLETRANSLATE(A32223,""en"",""pt"")"),"Não Bluetooth / infravermelhos sem jogos, bateria fraca")</f>
        <v>Não Bluetooth / infravermelhos sem jogos, bateria fraca</v>
      </c>
      <c r="B32223" s="3">
        <v>0</v>
      </c>
    </row>
    <row r="32224" ht="15.75" customHeight="1" spans="1:2">
      <c r="A32224" s="3" t="str">
        <f>IFERROR(__xludf.DUMMYFUNCTION("GOOGLETRANSLATE(A32224,""en"",""pt"")"),"encargos Verizon por vídeo / foto enviada, tela LCD na parte externa vulnerável a danos. Um pouco caro.")</f>
        <v>encargos Verizon por vídeo / foto enviada, tela LCD na parte externa vulnerável a danos. Um pouco caro.</v>
      </c>
      <c r="B32224" s="3">
        <v>0</v>
      </c>
    </row>
    <row r="32225" ht="15.75" customHeight="1" spans="1:2">
      <c r="A32225" s="3" t="str">
        <f>IFERROR(__xludf.DUMMYFUNCTION("GOOGLETRANSLATE(A32225,""en"",""pt"")"),"Não tem um alto-falante ou tecnologia Bluetooth")</f>
        <v>Não tem um alto-falante ou tecnologia Bluetooth</v>
      </c>
      <c r="B32225" s="3">
        <v>0</v>
      </c>
    </row>
    <row r="32226" ht="15.75" customHeight="1" spans="1:2">
      <c r="A32226" s="3" t="str">
        <f>IFERROR(__xludf.DUMMYFUNCTION("GOOGLETRANSLATE(A32226,""en"",""pt"")"),"Pouco de uma curva de aprendizado, um pouco caro, nenhum anel vibração +")</f>
        <v>Pouco de uma curva de aprendizado, um pouco caro, nenhum anel vibração +</v>
      </c>
      <c r="B32226" s="3">
        <v>0</v>
      </c>
    </row>
    <row r="32227" ht="15.75" customHeight="1" spans="1:2">
      <c r="A32227" s="3" t="str">
        <f>IFERROR(__xludf.DUMMYFUNCTION("GOOGLETRANSLATE(A32227,""en"",""pt"")"),"Teve de substituir uma vez, nada mais. Este telefone é excelente.")</f>
        <v>Teve de substituir uma vez, nada mais. Este telefone é excelente.</v>
      </c>
      <c r="B32227" s="3">
        <v>0</v>
      </c>
    </row>
    <row r="32228" ht="15.75" customHeight="1" spans="1:2">
      <c r="A32228" s="3" t="str">
        <f>IFERROR(__xludf.DUMMYFUNCTION("GOOGLETRANSLATE(A32228,""en"",""pt"")"),"No viva-voz, deve ser compatível com o novo Verizon VCAST")</f>
        <v>No viva-voz, deve ser compatível com o novo Verizon VCAST</v>
      </c>
      <c r="B32228" s="3">
        <v>0</v>
      </c>
    </row>
    <row r="32229" ht="15.75" customHeight="1" spans="1:2">
      <c r="A32229" s="3" t="str">
        <f>IFERROR(__xludf.DUMMYFUNCTION("GOOGLETRANSLATE(A32229,""en"",""pt"")"),"Largando chamadas como um soluço, não pode ver o tempo em lcd fora sem empurrar o botão lateral.")</f>
        <v>Largando chamadas como um soluço, não pode ver o tempo em lcd fora sem empurrar o botão lateral.</v>
      </c>
      <c r="B32229" s="3">
        <v>0</v>
      </c>
    </row>
    <row r="32230" ht="15.75" customHeight="1" spans="1:2">
      <c r="A32230" s="3" t="str">
        <f>IFERROR(__xludf.DUMMYFUNCTION("GOOGLETRANSLATE(A32230,""en"",""pt"")"),"não viva-voz, nenhum anel vibração +, não se lembra do tempo")</f>
        <v>não viva-voz, nenhum anel vibração +, não se lembra do tempo</v>
      </c>
      <c r="B32230" s="3">
        <v>0</v>
      </c>
    </row>
    <row r="32231" ht="15.75" customHeight="1" spans="1:2">
      <c r="A32231" s="3" t="str">
        <f>IFERROR(__xludf.DUMMYFUNCTION("GOOGLETRANSLATE(A32231,""en"",""pt"")"),"Nada.")</f>
        <v>Nada.</v>
      </c>
      <c r="B32231" s="3">
        <v>0</v>
      </c>
    </row>
    <row r="32232" ht="15.75" customHeight="1" spans="1:2">
      <c r="A32232" s="3" t="str">
        <f>IFERROR(__xludf.DUMMYFUNCTION("GOOGLETRANSLATE(A32232,""en"",""pt"")"),"Anéis poderia ser mais alto, nenhum feedback do microfone para fone de ouvido.")</f>
        <v>Anéis poderia ser mais alto, nenhum feedback do microfone para fone de ouvido.</v>
      </c>
      <c r="B32232" s="3">
        <v>0</v>
      </c>
    </row>
    <row r="32233" ht="15.75" customHeight="1" spans="1:2">
      <c r="A32233" s="3" t="str">
        <f>IFERROR(__xludf.DUMMYFUNCTION("GOOGLETRANSLATE(A32233,""en"",""pt"")"),"Localização da lente da câmera, toque baixo quando o telefone estiver aberto, brilho durante o dia")</f>
        <v>Localização da lente da câmera, toque baixo quando o telefone estiver aberto, brilho durante o dia</v>
      </c>
      <c r="B32233" s="3">
        <v>0</v>
      </c>
    </row>
    <row r="32234" ht="15.75" customHeight="1" spans="1:2">
      <c r="A32234" s="3" t="str">
        <f>IFERROR(__xludf.DUMMYFUNCTION("GOOGLETRANSLATE(A32234,""en"",""pt"")"),"Nenhum ainda, embora tenha deixado cair algumas chamadas. Isso é Verizon, não o telefone.")</f>
        <v>Nenhum ainda, embora tenha deixado cair algumas chamadas. Isso é Verizon, não o telefone.</v>
      </c>
      <c r="B32234" s="3">
        <v>0</v>
      </c>
    </row>
    <row r="32235" ht="15.75" customHeight="1" spans="1:2">
      <c r="A32235" s="3" t="str">
        <f>IFERROR(__xludf.DUMMYFUNCTION("GOOGLETRANSLATE(A32235,""en"",""pt"")"),"campainhas campainhas ringtones. não alto o suficiente e seleção de baixa qualidade. menus não são para a frente")</f>
        <v>campainhas campainhas ringtones. não alto o suficiente e seleção de baixa qualidade. menus não são para a frente</v>
      </c>
      <c r="B32235" s="3">
        <v>0</v>
      </c>
    </row>
    <row r="32236" ht="15.75" customHeight="1" spans="1:2">
      <c r="A32236" s="3" t="str">
        <f>IFERROR(__xludf.DUMMYFUNCTION("GOOGLETRANSLATE(A32236,""en"",""pt"")"),"preço de varejo é alto, sem voz, sem jogos.")</f>
        <v>preço de varejo é alto, sem voz, sem jogos.</v>
      </c>
      <c r="B32236" s="3">
        <v>0</v>
      </c>
    </row>
    <row r="32237" ht="15.75" customHeight="1" spans="1:2">
      <c r="A32237" s="3" t="str">
        <f>IFERROR(__xludf.DUMMYFUNCTION("GOOGLETRANSLATE(A32237,""en"",""pt"")"),"No viva-voz")</f>
        <v>No viva-voz</v>
      </c>
      <c r="B32237" s="3">
        <v>0</v>
      </c>
    </row>
    <row r="32238" ht="15.75" customHeight="1" spans="1:2">
      <c r="A32238" s="3" t="str">
        <f>IFERROR(__xludf.DUMMYFUNCTION("GOOGLETRANSLATE(A32238,""en"",""pt"")"),"Pouco grande, arranhões superficiais fácil (obter cobertura de pele de carneiro), a duração da bateria diminui rapidamente ao falar ~ 2h")</f>
        <v>Pouco grande, arranhões superficiais fácil (obter cobertura de pele de carneiro), a duração da bateria diminui rapidamente ao falar ~ 2h</v>
      </c>
      <c r="B32238" s="3">
        <v>0</v>
      </c>
    </row>
    <row r="32239" ht="15.75" customHeight="1" spans="1:2">
      <c r="A32239" s="3" t="str">
        <f>IFERROR(__xludf.DUMMYFUNCTION("GOOGLETRANSLATE(A32239,""en"",""pt"")"),"não possui carga contanto que eu gostaria.")</f>
        <v>não possui carga contanto que eu gostaria.</v>
      </c>
      <c r="B32239" s="3">
        <v>0</v>
      </c>
    </row>
    <row r="32240" ht="15.75" customHeight="1" spans="1:2">
      <c r="A32240" s="3" t="str">
        <f>IFERROR(__xludf.DUMMYFUNCTION("GOOGLETRANSLATE(A32240,""en"",""pt"")"),"Maior que a média de tamanho.")</f>
        <v>Maior que a média de tamanho.</v>
      </c>
      <c r="B32240" s="3">
        <v>0</v>
      </c>
    </row>
    <row r="32241" ht="15.75" customHeight="1" spans="1:2">
      <c r="A32241" s="3" t="str">
        <f>IFERROR(__xludf.DUMMYFUNCTION("GOOGLETRANSLATE(A32241,""en"",""pt"")"),"tela minúscula, terrível qualidade de cor, câmera de baixa qualidade, sem armazenamento de cartão e MAIS")</f>
        <v>tela minúscula, terrível qualidade de cor, câmera de baixa qualidade, sem armazenamento de cartão e MAIS</v>
      </c>
      <c r="B32241" s="3">
        <v>0</v>
      </c>
    </row>
    <row r="32242" ht="15.75" customHeight="1" spans="1:2">
      <c r="A32242" s="3" t="str">
        <f>IFERROR(__xludf.DUMMYFUNCTION("GOOGLETRANSLATE(A32242,""en"",""pt"")"),"Luz de fundo, teclado numérico, agenda")</f>
        <v>Luz de fundo, teclado numérico, agenda</v>
      </c>
      <c r="B32242" s="3">
        <v>0</v>
      </c>
    </row>
    <row r="32243" ht="15.75" customHeight="1" spans="1:2">
      <c r="A32243" s="3" t="str">
        <f>IFERROR(__xludf.DUMMYFUNCTION("GOOGLETRANSLATE(A32243,""en"",""pt"")"),"câmera de qualidade pobre.")</f>
        <v>câmera de qualidade pobre.</v>
      </c>
      <c r="B32243" s="3">
        <v>0</v>
      </c>
    </row>
    <row r="32244" ht="15.75" customHeight="1" spans="1:2">
      <c r="A32244" s="3" t="str">
        <f>IFERROR(__xludf.DUMMYFUNCTION("GOOGLETRANSLATE(A32244,""en"",""pt"")"),"Baixa resolução para câmera e gravador, chaves sensative, baixo volume de viva-voz.")</f>
        <v>Baixa resolução para câmera e gravador, chaves sensative, baixo volume de viva-voz.</v>
      </c>
      <c r="B32244" s="3">
        <v>0</v>
      </c>
    </row>
    <row r="32245" ht="15.75" customHeight="1" spans="1:2">
      <c r="A32245" s="3" t="str">
        <f>IFERROR(__xludf.DUMMYFUNCTION("GOOGLETRANSLATE(A32245,""en"",""pt"")"),"câmera de baixa qualidade, cores terríveis e volume das colunas pobres, não suporta MP3s")</f>
        <v>câmera de baixa qualidade, cores terríveis e volume das colunas pobres, não suporta MP3s</v>
      </c>
      <c r="B32245" s="3">
        <v>0</v>
      </c>
    </row>
    <row r="32246" ht="15.75" customHeight="1" spans="1:2">
      <c r="A32246" s="3" t="str">
        <f>IFERROR(__xludf.DUMMYFUNCTION("GOOGLETRANSLATE(A32246,""en"",""pt"")"),"jogos, conectividade computador.")</f>
        <v>jogos, conectividade computador.</v>
      </c>
      <c r="B32246" s="3">
        <v>0</v>
      </c>
    </row>
    <row r="32247" ht="15.75" customHeight="1" spans="1:2">
      <c r="A32247" s="3" t="str">
        <f>IFERROR(__xludf.DUMMYFUNCTION("GOOGLETRANSLATE(A32247,""en"",""pt"")"),"minúsculo, difícil de ler chaves.")</f>
        <v>minúsculo, difícil de ler chaves.</v>
      </c>
      <c r="B32247" s="3">
        <v>0</v>
      </c>
    </row>
    <row r="32248" ht="15.75" customHeight="1" spans="1:2">
      <c r="A32248" s="3" t="str">
        <f>IFERROR(__xludf.DUMMYFUNCTION("GOOGLETRANSLATE(A32248,""en"",""pt"")"),"Bad qualidade geral; câmera, tons de toque, gráficos são todos maus.")</f>
        <v>Bad qualidade geral; câmera, tons de toque, gráficos são todos maus.</v>
      </c>
      <c r="B32248" s="3">
        <v>0</v>
      </c>
    </row>
    <row r="32249" ht="15.75" customHeight="1" spans="1:2">
      <c r="A32249" s="3" t="str">
        <f>IFERROR(__xludf.DUMMYFUNCTION("GOOGLETRANSLATE(A32249,""en"",""pt"")"),"Caro. Não é possível som associado por contato - apenas os grupos. Não é possível adicionar grupos.")</f>
        <v>Caro. Não é possível som associado por contato - apenas os grupos. Não é possível adicionar grupos.</v>
      </c>
      <c r="B32249" s="3">
        <v>0</v>
      </c>
    </row>
    <row r="32250" ht="15.75" customHeight="1" spans="1:2">
      <c r="A32250" s="3" t="str">
        <f>IFERROR(__xludf.DUMMYFUNCTION("GOOGLETRANSLATE(A32250,""en"",""pt"")"),"Identificador de chamadas no interior em vez do lado de fora.")</f>
        <v>Identificador de chamadas no interior em vez do lado de fora.</v>
      </c>
      <c r="B32250" s="3">
        <v>0</v>
      </c>
    </row>
    <row r="32251" ht="15.75" customHeight="1" spans="1:2">
      <c r="A32251" s="3" t="str">
        <f>IFERROR(__xludf.DUMMYFUNCTION("GOOGLETRANSLATE(A32251,""en"",""pt"")"),"pobre recurso, mau valor, medíocre recepção, não tão grande interface.")</f>
        <v>pobre recurso, mau valor, medíocre recepção, não tão grande interface.</v>
      </c>
      <c r="B32251" s="3">
        <v>0</v>
      </c>
    </row>
    <row r="32252" ht="15.75" customHeight="1" spans="1:2">
      <c r="A32252" s="3" t="str">
        <f>IFERROR(__xludf.DUMMYFUNCTION("GOOGLETRANSLATE(A32252,""en"",""pt"")"),"No recurso, o painel ""Get It Now"" para trás, por vezes, difícil de remover")</f>
        <v>No recurso, o painel "Get It Now" para trás, por vezes, difícil de remover</v>
      </c>
      <c r="B32252" s="3">
        <v>0</v>
      </c>
    </row>
    <row r="32253" ht="15.75" customHeight="1" spans="1:2">
      <c r="A32253" s="3" t="str">
        <f>IFERROR(__xludf.DUMMYFUNCTION("GOOGLETRANSLATE(A32253,""en"",""pt"")"),"No ""Get It Now"" recurso; Sem acesso à internet (assim mais difícil de obter toques, etc)")</f>
        <v>No "Get It Now" recurso; Sem acesso à internet (assim mais difícil de obter toques, etc)</v>
      </c>
      <c r="B32253" s="3">
        <v>0</v>
      </c>
    </row>
    <row r="32254" ht="15.75" customHeight="1" spans="1:2">
      <c r="A32254" s="3" t="str">
        <f>IFERROR(__xludf.DUMMYFUNCTION("GOOGLETRANSLATE(A32254,""en"",""pt"")"),"Não JAVA, sem acesso à Internet, sem jogos")</f>
        <v>Não JAVA, sem acesso à Internet, sem jogos</v>
      </c>
      <c r="B32254" s="3">
        <v>0</v>
      </c>
    </row>
    <row r="32255" ht="15.75" customHeight="1" spans="1:2">
      <c r="A32255" s="3" t="str">
        <f>IFERROR(__xludf.DUMMYFUNCTION("GOOGLETRANSLATE(A32255,""en"",""pt"")"),"Muito caro para o que você. antenas frágil")</f>
        <v>Muito caro para o que você. antenas frágil</v>
      </c>
      <c r="B32255" s="3">
        <v>0</v>
      </c>
    </row>
    <row r="32256" ht="15.75" customHeight="1" spans="1:2">
      <c r="A32256" s="3" t="str">
        <f>IFERROR(__xludf.DUMMYFUNCTION("GOOGLETRANSLATE(A32256,""en"",""pt"")"),"Serviço ao cliente Nextel, on-line de atendimento ao cliente é uma piada.")</f>
        <v>Serviço ao cliente Nextel, on-line de atendimento ao cliente é uma piada.</v>
      </c>
      <c r="B32256" s="3">
        <v>0</v>
      </c>
    </row>
    <row r="32257" ht="15.75" customHeight="1" spans="1:2">
      <c r="A32257" s="3" t="str">
        <f>IFERROR(__xludf.DUMMYFUNCTION("GOOGLETRANSLATE(A32257,""en"",""pt"")"),"apenas preto")</f>
        <v>apenas preto</v>
      </c>
      <c r="B32257" s="3">
        <v>0</v>
      </c>
    </row>
    <row r="32258" ht="15.75" customHeight="1" spans="1:2">
      <c r="A32258" s="3" t="str">
        <f>IFERROR(__xludf.DUMMYFUNCTION("GOOGLETRANSLATE(A32258,""en"",""pt"")"),"Você tem que pressionar a tecla on / off difícil ligar o telefone")</f>
        <v>Você tem que pressionar a tecla on / off difícil ligar o telefone</v>
      </c>
      <c r="B32258" s="3">
        <v>0</v>
      </c>
    </row>
    <row r="32259" ht="15.75" customHeight="1" spans="1:2">
      <c r="A32259" s="3" t="str">
        <f>IFERROR(__xludf.DUMMYFUNCTION("GOOGLETRANSLATE(A32259,""en"",""pt"")"),"Eu tenho que me acostumar com uma nova configuração do botão.")</f>
        <v>Eu tenho que me acostumar com uma nova configuração do botão.</v>
      </c>
      <c r="B32259" s="3">
        <v>0</v>
      </c>
    </row>
    <row r="32260" ht="15.75" customHeight="1" spans="1:2">
      <c r="A32260" s="3" t="str">
        <f>IFERROR(__xludf.DUMMYFUNCTION("GOOGLETRANSLATE(A32260,""en"",""pt"")"),"tipo de ""enorme"" em comparação com os telefones celulares de hoje")</f>
        <v>tipo de "enorme" em comparação com os telefones celulares de hoje</v>
      </c>
      <c r="B32260" s="3">
        <v>0</v>
      </c>
    </row>
    <row r="32261" ht="15.75" customHeight="1" spans="1:2">
      <c r="A32261" s="3" t="str">
        <f>IFERROR(__xludf.DUMMYFUNCTION("GOOGLETRANSLATE(A32261,""en"",""pt"")"),"Não é um telefone flip, não muitos ""sinos e assobios""")</f>
        <v>Não é um telefone flip, não muitos "sinos e assobios"</v>
      </c>
      <c r="B32261" s="3">
        <v>0</v>
      </c>
    </row>
    <row r="32262" ht="15.75" customHeight="1" spans="1:2">
      <c r="A32262" s="3" t="str">
        <f>IFERROR(__xludf.DUMMYFUNCTION("GOOGLETRANSLATE(A32262,""en"",""pt"")"),"manual de podre; horrível built-in ringtones; botão de alimentação rígida")</f>
        <v>manual de podre; horrível built-in ringtones; botão de alimentação rígida</v>
      </c>
      <c r="B32262" s="3">
        <v>0</v>
      </c>
    </row>
    <row r="32263" ht="15.75" customHeight="1" spans="1:2">
      <c r="A32263" s="3" t="str">
        <f>IFERROR(__xludf.DUMMYFUNCTION("GOOGLETRANSLATE(A32263,""en"",""pt"")"),"Alguns extras úteis, quadradão / volumosos, alguns Smart / recursos multimídia")</f>
        <v>Alguns extras úteis, quadradão / volumosos, alguns Smart / recursos multimídia</v>
      </c>
      <c r="B32263" s="3">
        <v>0</v>
      </c>
    </row>
    <row r="32264" ht="15.75" customHeight="1" spans="1:2">
      <c r="A32264" s="3" t="str">
        <f>IFERROR(__xludf.DUMMYFUNCTION("GOOGLETRANSLATE(A32264,""en"",""pt"")"),"usuários de telefone experientes podem achar que é demasiado simplista.")</f>
        <v>usuários de telefone experientes podem achar que é demasiado simplista.</v>
      </c>
      <c r="B32264" s="3">
        <v>0</v>
      </c>
    </row>
    <row r="32265" ht="15.75" customHeight="1" spans="1:2">
      <c r="A32265" s="3" t="str">
        <f>IFERROR(__xludf.DUMMYFUNCTION("GOOGLETRANSLATE(A32265,""en"",""pt"")"),"Não um monte de ""extras"" Se essa é sua xícara de chá. Um pouco grande.")</f>
        <v>Não um monte de "extras" Se essa é sua xícara de chá. Um pouco grande.</v>
      </c>
      <c r="B32265" s="3">
        <v>0</v>
      </c>
    </row>
    <row r="32266" ht="15.75" customHeight="1" spans="1:2">
      <c r="A32266" s="3" t="str">
        <f>IFERROR(__xludf.DUMMYFUNCTION("GOOGLETRANSLATE(A32266,""en"",""pt"")"),"- cabo de dados Proprietary")</f>
        <v>- cabo de dados Proprietary</v>
      </c>
      <c r="B32266" s="3">
        <v>0</v>
      </c>
    </row>
    <row r="32267" ht="15.75" customHeight="1" spans="1:2">
      <c r="A32267" s="3" t="str">
        <f>IFERROR(__xludf.DUMMYFUNCTION("GOOGLETRANSLATE(A32267,""en"",""pt"")"),"ringtones irritantes")</f>
        <v>ringtones irritantes</v>
      </c>
      <c r="B32267" s="3">
        <v>0</v>
      </c>
    </row>
    <row r="32268" ht="15.75" customHeight="1" spans="1:2">
      <c r="A32268" s="3" t="str">
        <f>IFERROR(__xludf.DUMMYFUNCTION("GOOGLETRANSLATE(A32268,""en"",""pt"")"),"Um pouco no lado irritantemente grandes dimensões.")</f>
        <v>Um pouco no lado irritantemente grandes dimensões.</v>
      </c>
      <c r="B32268" s="3">
        <v>0</v>
      </c>
    </row>
    <row r="32269" ht="15.75" customHeight="1" spans="1:2">
      <c r="A32269" s="3" t="str">
        <f>IFERROR(__xludf.DUMMYFUNCTION("GOOGLETRANSLATE(A32269,""en"",""pt"")"),"Botões são difíceis de empurrar, a operação é inicialmente confuso")</f>
        <v>Botões são difíceis de empurrar, a operação é inicialmente confuso</v>
      </c>
      <c r="B32269" s="3">
        <v>0</v>
      </c>
    </row>
    <row r="32270" ht="15.75" customHeight="1" spans="1:2">
      <c r="A32270" s="3" t="str">
        <f>IFERROR(__xludf.DUMMYFUNCTION("GOOGLETRANSLATE(A32270,""en"",""pt"")"),"não muito elegante ou moderno")</f>
        <v>não muito elegante ou moderno</v>
      </c>
      <c r="B32270" s="3">
        <v>0</v>
      </c>
    </row>
    <row r="32271" ht="15.75" customHeight="1" spans="1:2">
      <c r="A32271" s="3" t="str">
        <f>IFERROR(__xludf.DUMMYFUNCTION("GOOGLETRANSLATE(A32271,""en"",""pt"")"),"Manual escrito por geeks e difícil de entender")</f>
        <v>Manual escrito por geeks e difícil de entender</v>
      </c>
      <c r="B32271" s="3">
        <v>0</v>
      </c>
    </row>
    <row r="32272" ht="15.75" customHeight="1" spans="1:2">
      <c r="A32272" s="3" t="str">
        <f>IFERROR(__xludf.DUMMYFUNCTION("GOOGLETRANSLATE(A32272,""en"",""pt"")"),"Para as pessoas à procura de fantasia ou telefones cheios de recursos, esse celular tem (muito) pouco a oferecer.")</f>
        <v>Para as pessoas à procura de fantasia ou telefones cheios de recursos, esse celular tem (muito) pouco a oferecer.</v>
      </c>
      <c r="B32272" s="3">
        <v>0</v>
      </c>
    </row>
    <row r="32273" ht="15.75" customHeight="1" spans="1:2">
      <c r="A32273" s="3" t="str">
        <f>IFERROR(__xludf.DUMMYFUNCTION("GOOGLETRANSLATE(A32273,""en"",""pt"")"),"não um telefone flip, poderia suportar mais de uma batida, tente um motorola?")</f>
        <v>não um telefone flip, poderia suportar mais de uma batida, tente um motorola?</v>
      </c>
      <c r="B32273" s="3">
        <v>0</v>
      </c>
    </row>
    <row r="32274" ht="15.75" customHeight="1" spans="1:2">
      <c r="A32274" s="3" t="str">
        <f>IFERROR(__xludf.DUMMYFUNCTION("GOOGLETRANSLATE(A32274,""en"",""pt"")"),"Tamanho e recepção.")</f>
        <v>Tamanho e recepção.</v>
      </c>
      <c r="B32274" s="3">
        <v>0</v>
      </c>
    </row>
    <row r="32275" ht="15.75" customHeight="1" spans="1:2">
      <c r="A32275" s="3" t="str">
        <f>IFERROR(__xludf.DUMMYFUNCTION("GOOGLETRANSLATE(A32275,""en"",""pt"")"),"tela fica empoeirado e o retorno não podem limpar algumas coisas pouco claras no manual")</f>
        <v>tela fica empoeirado e o retorno não podem limpar algumas coisas pouco claras no manual</v>
      </c>
      <c r="B32275" s="3">
        <v>0</v>
      </c>
    </row>
    <row r="32276" ht="15.75" customHeight="1" spans="1:2">
      <c r="A32276" s="3" t="str">
        <f>IFERROR(__xludf.DUMMYFUNCTION("GOOGLETRANSLATE(A32276,""en"",""pt"")"),"chaves exigente e sente delicada, a falta de software de sincronização.")</f>
        <v>chaves exigente e sente delicada, a falta de software de sincronização.</v>
      </c>
      <c r="B32276" s="3">
        <v>0</v>
      </c>
    </row>
    <row r="32277" ht="15.75" customHeight="1" spans="1:2">
      <c r="A32277" s="3" t="str">
        <f>IFERROR(__xludf.DUMMYFUNCTION("GOOGLETRANSLATE(A32277,""en"",""pt"")"),"não é uma coisa")</f>
        <v>não é uma coisa</v>
      </c>
      <c r="B32277" s="3">
        <v>0</v>
      </c>
    </row>
    <row r="32278" ht="15.75" customHeight="1" spans="1:2">
      <c r="A32278" s="3" t="str">
        <f>IFERROR(__xludf.DUMMYFUNCTION("GOOGLETRANSLATE(A32278,""en"",""pt"")"),"Alguns o sentimento barato, placas de cara mau")</f>
        <v>Alguns o sentimento barato, placas de cara mau</v>
      </c>
      <c r="B32278" s="3">
        <v>0</v>
      </c>
    </row>
    <row r="32279" ht="15.75" customHeight="1" spans="1:2">
      <c r="A32279" s="3" t="str">
        <f>IFERROR(__xludf.DUMMYFUNCTION("GOOGLETRANSLATE(A32279,""en"",""pt"")"),"Se a sua vã e precisa o telefone mais ínfimo que não é para você, então.")</f>
        <v>Se a sua vã e precisa o telefone mais ínfimo que não é para você, então.</v>
      </c>
      <c r="B32279" s="3">
        <v>0</v>
      </c>
    </row>
    <row r="32280" ht="15.75" customHeight="1" spans="1:2">
      <c r="A32280" s="3" t="str">
        <f>IFERROR(__xludf.DUMMYFUNCTION("GOOGLETRANSLATE(A32280,""en"",""pt"")"),"Os olhares tela escura e desbotada.")</f>
        <v>Os olhares tela escura e desbotada.</v>
      </c>
      <c r="B32280" s="3">
        <v>0</v>
      </c>
    </row>
    <row r="32281" ht="15.75" customHeight="1" spans="1:2">
      <c r="A32281" s="3" t="str">
        <f>IFERROR(__xludf.DUMMYFUNCTION("GOOGLETRANSLATE(A32281,""en"",""pt"")"),"nada até agora")</f>
        <v>nada até agora</v>
      </c>
      <c r="B32281" s="3">
        <v>0</v>
      </c>
    </row>
    <row r="32282" ht="15.75" customHeight="1" spans="1:2">
      <c r="A32282" s="3" t="str">
        <f>IFERROR(__xludf.DUMMYFUNCTION("GOOGLETRANSLATE(A32282,""en"",""pt"")"),"Sem Speakerphone")</f>
        <v>Sem Speakerphone</v>
      </c>
      <c r="B32282" s="3">
        <v>0</v>
      </c>
    </row>
    <row r="32283" ht="15.75" customHeight="1" spans="1:2">
      <c r="A32283" s="3" t="str">
        <f>IFERROR(__xludf.DUMMYFUNCTION("GOOGLETRANSLATE(A32283,""en"",""pt"")"),"botões ligeiramente pegajosas.")</f>
        <v>botões ligeiramente pegajosas.</v>
      </c>
      <c r="B32283" s="3">
        <v>0</v>
      </c>
    </row>
    <row r="32284" ht="15.75" customHeight="1" spans="1:2">
      <c r="A32284" s="3" t="str">
        <f>IFERROR(__xludf.DUMMYFUNCTION("GOOGLETRANSLATE(A32284,""en"",""pt"")"),"As chaves são facilmente bumped..wished Eu tive um caso duro para isso.")</f>
        <v>As chaves são facilmente bumped..wished Eu tive um caso duro para isso.</v>
      </c>
      <c r="B32284" s="3">
        <v>0</v>
      </c>
    </row>
    <row r="32285" ht="15.75" customHeight="1" spans="1:2">
      <c r="A32285" s="3" t="str">
        <f>IFERROR(__xludf.DUMMYFUNCTION("GOOGLETRANSLATE(A32285,""en"",""pt"")"),"Botões um pouco piegas")</f>
        <v>Botões um pouco piegas</v>
      </c>
      <c r="B32285" s="3">
        <v>0</v>
      </c>
    </row>
    <row r="32286" ht="15.75" customHeight="1" spans="1:2">
      <c r="A32286" s="3" t="str">
        <f>IFERROR(__xludf.DUMMYFUNCTION("GOOGLETRANSLATE(A32286,""en"",""pt"")"),"Gucky Nokia ringtones.")</f>
        <v>Gucky Nokia ringtones.</v>
      </c>
      <c r="B32286" s="3">
        <v>0</v>
      </c>
    </row>
    <row r="32287" ht="15.75" customHeight="1" spans="1:2">
      <c r="A32287" s="3" t="str">
        <f>IFERROR(__xludf.DUMMYFUNCTION("GOOGLETRANSLATE(A32287,""en"",""pt"")"),"- Nada com telefone")</f>
        <v>- Nada com telefone</v>
      </c>
      <c r="B32287" s="3">
        <v>0</v>
      </c>
    </row>
    <row r="32288" ht="15.75" customHeight="1" spans="1:2">
      <c r="A32288" s="3" t="str">
        <f>IFERROR(__xludf.DUMMYFUNCTION("GOOGLETRANSLATE(A32288,""en"",""pt"")"),"Lousy vida útil da bateria.")</f>
        <v>Lousy vida útil da bateria.</v>
      </c>
      <c r="B32288" s="3">
        <v>0</v>
      </c>
    </row>
    <row r="32289" ht="15.75" customHeight="1" spans="1:2">
      <c r="A32289" s="3" t="str">
        <f>IFERROR(__xludf.DUMMYFUNCTION("GOOGLETRANSLATE(A32289,""en"",""pt"")"),"Muitos para listar aqui....")</f>
        <v>Muitos para listar aqui....</v>
      </c>
      <c r="B32289" s="3">
        <v>0</v>
      </c>
    </row>
    <row r="32290" ht="15.75" customHeight="1" spans="1:2">
      <c r="A32290" s="3" t="str">
        <f>IFERROR(__xludf.DUMMYFUNCTION("GOOGLETRANSLATE(A32290,""en"",""pt"")"),"sensação barato, câmera de baixa qualidade, alto-falante não está claro / alto, antena, complicado voicedial, BatteryLife")</f>
        <v>sensação barato, câmera de baixa qualidade, alto-falante não está claro / alto, antena, complicado voicedial, BatteryLife</v>
      </c>
      <c r="B32290" s="3">
        <v>0</v>
      </c>
    </row>
    <row r="32291" ht="15.75" customHeight="1" spans="1:2">
      <c r="A32291" s="3" t="str">
        <f>IFERROR(__xludf.DUMMYFUNCTION("GOOGLETRANSLATE(A32291,""en"",""pt"")"),"Todo o resto")</f>
        <v>Todo o resto</v>
      </c>
      <c r="B32291" s="3">
        <v>0</v>
      </c>
    </row>
    <row r="32292" ht="15.75" customHeight="1" spans="1:2">
      <c r="A32292" s="3" t="str">
        <f>IFERROR(__xludf.DUMMYFUNCTION("GOOGLETRANSLATE(A32292,""en"",""pt"")"),"tela pequena, abaixo da câmera média, de toque padrão tons um pouco whimpy.")</f>
        <v>tela pequena, abaixo da câmera média, de toque padrão tons um pouco whimpy.</v>
      </c>
      <c r="B32292" s="3">
        <v>0</v>
      </c>
    </row>
    <row r="32293" ht="15.75" customHeight="1" spans="1:2">
      <c r="A32293" s="3" t="str">
        <f>IFERROR(__xludf.DUMMYFUNCTION("GOOGLETRANSLATE(A32293,""en"",""pt"")"),"Tudo o resto, há jogos, não toque este telefone, litterally! (Ler a resenha completa para explicação)")</f>
        <v>Tudo o resto, há jogos, não toque este telefone, litterally! (Ler a resenha completa para explicação)</v>
      </c>
      <c r="B32293" s="3">
        <v>0</v>
      </c>
    </row>
    <row r="32294" ht="15.75" customHeight="1" spans="1:2">
      <c r="A32294" s="3" t="str">
        <f>IFERROR(__xludf.DUMMYFUNCTION("GOOGLETRANSLATE(A32294,""en"",""pt"")"),"plástico teclado ""barato"", tela pequena, diretório de telefone")</f>
        <v>plástico teclado "barato", tela pequena, diretório de telefone</v>
      </c>
      <c r="B32294" s="3">
        <v>0</v>
      </c>
    </row>
    <row r="32295" ht="15.75" customHeight="1" spans="1:2">
      <c r="A32295" s="3" t="str">
        <f>IFERROR(__xludf.DUMMYFUNCTION("GOOGLETRANSLATE(A32295,""en"",""pt"")"),"Um pouco grande, se sente ""barato"", recursos extras não funcionam bem.")</f>
        <v>Um pouco grande, se sente "barato", recursos extras não funcionam bem.</v>
      </c>
      <c r="B32295" s="3">
        <v>0</v>
      </c>
    </row>
    <row r="32296" ht="15.75" customHeight="1" spans="1:2">
      <c r="A32296" s="3" t="str">
        <f>IFERROR(__xludf.DUMMYFUNCTION("GOOGLETRANSLATE(A32296,""en"",""pt"")"),"câmera fraca, a tela poderia ser maior.")</f>
        <v>câmera fraca, a tela poderia ser maior.</v>
      </c>
      <c r="B32296" s="3">
        <v>0</v>
      </c>
    </row>
    <row r="32297" ht="15.75" customHeight="1" spans="1:2">
      <c r="A32297" s="3" t="str">
        <f>IFERROR(__xludf.DUMMYFUNCTION("GOOGLETRANSLATE(A32297,""en"",""pt"")"),"- erros de software inexplicáveis")</f>
        <v>- erros de software inexplicáveis</v>
      </c>
      <c r="B32297" s="3">
        <v>0</v>
      </c>
    </row>
    <row r="32298" ht="15.75" customHeight="1" spans="1:2">
      <c r="A32298" s="3" t="str">
        <f>IFERROR(__xludf.DUMMYFUNCTION("GOOGLETRANSLATE(A32298,""en"",""pt"")"),"Má recepção, facilmente Scrated, wallpapers e toques chupar.")</f>
        <v>Má recepção, facilmente Scrated, wallpapers e toques chupar.</v>
      </c>
      <c r="B32298" s="3">
        <v>0</v>
      </c>
    </row>
    <row r="32299" ht="15.75" customHeight="1" spans="1:2">
      <c r="A32299" s="3" t="str">
        <f>IFERROR(__xludf.DUMMYFUNCTION("GOOGLETRANSLATE(A32299,""en"",""pt"")"),"Camera é inútil. Botões do teclado e dos lados poderia ser melhorado.")</f>
        <v>Camera é inútil. Botões do teclado e dos lados poderia ser melhorado.</v>
      </c>
      <c r="B32299" s="3">
        <v>0</v>
      </c>
    </row>
    <row r="32300" ht="15.75" customHeight="1" spans="1:2">
      <c r="A32300" s="3" t="str">
        <f>IFERROR(__xludf.DUMMYFUNCTION("GOOGLETRANSLATE(A32300,""en"",""pt"")"),"confiabilidade -Pobre")</f>
        <v>confiabilidade -Pobre</v>
      </c>
      <c r="B32300" s="3">
        <v>0</v>
      </c>
    </row>
    <row r="32301" ht="15.75" customHeight="1" spans="1:2">
      <c r="A32301" s="3" t="str">
        <f>IFERROR(__xludf.DUMMYFUNCTION("GOOGLETRANSLATE(A32301,""en"",""pt"")"),"Bateria, controle de volume notificação, tudo o resto")</f>
        <v>Bateria, controle de volume notificação, tudo o resto</v>
      </c>
      <c r="B32301" s="3">
        <v>0</v>
      </c>
    </row>
    <row r="32302" ht="15.75" customHeight="1" spans="1:2">
      <c r="A32302" s="3" t="str">
        <f>IFERROR(__xludf.DUMMYFUNCTION("GOOGLETRANSLATE(A32302,""en"",""pt"")"),"pobre Camera")</f>
        <v>pobre Camera</v>
      </c>
      <c r="B32302" s="3">
        <v>0</v>
      </c>
    </row>
    <row r="32303" ht="15.75" customHeight="1" spans="1:2">
      <c r="A32303" s="3" t="str">
        <f>IFERROR(__xludf.DUMMYFUNCTION("GOOGLETRANSLATE(A32303,""en"",""pt"")"),"Pequenos botões - fáceis de misdial, má resolução da tela")</f>
        <v>Pequenos botões - fáceis de misdial, má resolução da tela</v>
      </c>
      <c r="B32303" s="3">
        <v>0</v>
      </c>
    </row>
    <row r="32304" ht="15.75" customHeight="1" spans="1:2">
      <c r="A32304" s="3" t="str">
        <f>IFERROR(__xludf.DUMMYFUNCTION("GOOGLETRANSLATE(A32304,""en"",""pt"")"),"frágil Durabilidade")</f>
        <v>frágil Durabilidade</v>
      </c>
      <c r="B32304" s="3">
        <v>0</v>
      </c>
    </row>
    <row r="32305" ht="15.75" customHeight="1" spans="1:2">
      <c r="A32305" s="3" t="str">
        <f>IFERROR(__xludf.DUMMYFUNCTION("GOOGLETRANSLATE(A32305,""en"",""pt"")"),"A câmera absolutamente suga")</f>
        <v>A câmera absolutamente suga</v>
      </c>
      <c r="B32305" s="3">
        <v>0</v>
      </c>
    </row>
    <row r="32306" ht="15.75" customHeight="1" spans="1:2">
      <c r="A32306" s="3" t="str">
        <f>IFERROR(__xludf.DUMMYFUNCTION("GOOGLETRANSLATE(A32306,""en"",""pt"")"),"Complicado, 3-way chamada, viva-voz é estática, câmera tira fotos Horrível-fuzzy.")</f>
        <v>Complicado, 3-way chamada, viva-voz é estática, câmera tira fotos Horrível-fuzzy.</v>
      </c>
      <c r="B32306" s="3">
        <v>0</v>
      </c>
    </row>
    <row r="32307" ht="15.75" customHeight="1" spans="1:2">
      <c r="A32307" s="3" t="str">
        <f>IFERROR(__xludf.DUMMYFUNCTION("GOOGLETRANSLATE(A32307,""en"",""pt"")"),"Pior telefone já feito. Lixo, não desperdice seu dinheiro com eles.")</f>
        <v>Pior telefone já feito. Lixo, não desperdice seu dinheiro com eles.</v>
      </c>
      <c r="B32307" s="3">
        <v>0</v>
      </c>
    </row>
    <row r="32308" ht="15.75" customHeight="1" spans="1:2">
      <c r="A32308" s="3" t="str">
        <f>IFERROR(__xludf.DUMMYFUNCTION("GOOGLETRANSLATE(A32308,""en"",""pt"")"),"chamadas abandonadas, baixa autonomia de bateria, usuário hostil.")</f>
        <v>chamadas abandonadas, baixa autonomia de bateria, usuário hostil.</v>
      </c>
      <c r="B32308" s="3">
        <v>0</v>
      </c>
    </row>
    <row r="32309" ht="15.75" customHeight="1" spans="1:2">
      <c r="A32309" s="3" t="str">
        <f>IFERROR(__xludf.DUMMYFUNCTION("GOOGLETRANSLATE(A32309,""en"",""pt"")"),"mic fica suja fácil, câmera as fotos não tão bom.")</f>
        <v>mic fica suja fácil, câmera as fotos não tão bom.</v>
      </c>
      <c r="B32309" s="3">
        <v>0</v>
      </c>
    </row>
    <row r="32310" ht="15.75" customHeight="1" spans="1:2">
      <c r="A32310" s="3" t="str">
        <f>IFERROR(__xludf.DUMMYFUNCTION("GOOGLETRANSLATE(A32310,""en"",""pt"")"),"bateria slim line faz você tem que carregar seu telefone todos os dias!")</f>
        <v>bateria slim line faz você tem que carregar seu telefone todos os dias!</v>
      </c>
      <c r="B32310" s="3">
        <v>0</v>
      </c>
    </row>
    <row r="32311" ht="15.75" customHeight="1" spans="1:2">
      <c r="A32311" s="3" t="str">
        <f>IFERROR(__xludf.DUMMYFUNCTION("GOOGLETRANSLATE(A32311,""en"",""pt"")"),"Apenas esperar um par de meses de uso")</f>
        <v>Apenas esperar um par de meses de uso</v>
      </c>
      <c r="B32311" s="3">
        <v>0</v>
      </c>
    </row>
    <row r="32312" ht="15.75" customHeight="1" spans="1:2">
      <c r="A32312" s="3" t="str">
        <f>IFERROR(__xludf.DUMMYFUNCTION("GOOGLETRANSLATE(A32312,""en"",""pt"")"),"Viva-voz não é uma grande qualidade")</f>
        <v>Viva-voz não é uma grande qualidade</v>
      </c>
      <c r="B32312" s="3">
        <v>0</v>
      </c>
    </row>
    <row r="32313" ht="15.75" customHeight="1" spans="1:2">
      <c r="A32313" s="3" t="str">
        <f>IFERROR(__xludf.DUMMYFUNCTION("GOOGLETRANSLATE(A32313,""en"",""pt"")"),"LCD pequeno, enorme telefone geral, e não de cor.")</f>
        <v>LCD pequeno, enorme telefone geral, e não de cor.</v>
      </c>
      <c r="B32313" s="3">
        <v>0</v>
      </c>
    </row>
    <row r="32314" ht="15.75" customHeight="1" spans="1:2">
      <c r="A32314" s="3" t="str">
        <f>IFERROR(__xludf.DUMMYFUNCTION("GOOGLETRANSLATE(A32314,""en"",""pt"")"),"Sem visor externo")</f>
        <v>Sem visor externo</v>
      </c>
      <c r="B32314" s="3">
        <v>0</v>
      </c>
    </row>
    <row r="32315" ht="15.75" customHeight="1" spans="1:2">
      <c r="A32315" s="3" t="str">
        <f>IFERROR(__xludf.DUMMYFUNCTION("GOOGLETRANSLATE(A32315,""en"",""pt"")"),"tamanho grande em comparação com a maioria das unidades no mercado.")</f>
        <v>tamanho grande em comparação com a maioria das unidades no mercado.</v>
      </c>
      <c r="B32315" s="3">
        <v>0</v>
      </c>
    </row>
    <row r="32316" ht="15.75" customHeight="1" spans="1:2">
      <c r="A32316" s="3" t="str">
        <f>IFERROR(__xludf.DUMMYFUNCTION("GOOGLETRANSLATE(A32316,""en"",""pt"")"),"A vida da bateria")</f>
        <v>A vida da bateria</v>
      </c>
      <c r="B32316" s="3">
        <v>0</v>
      </c>
    </row>
    <row r="32317" ht="15.75" customHeight="1" spans="1:2">
      <c r="A32317" s="3" t="str">
        <f>IFERROR(__xludf.DUMMYFUNCTION("GOOGLETRANSLATE(A32317,""en"",""pt"")"),"Na era dos telefones colorscreen e ringtones para download, este telefone não é rico em recursos.")</f>
        <v>Na era dos telefones colorscreen e ringtones para download, este telefone não é rico em recursos.</v>
      </c>
      <c r="B32317" s="3">
        <v>0</v>
      </c>
    </row>
    <row r="32318" ht="15.75" customHeight="1" spans="1:2">
      <c r="A32318" s="3" t="str">
        <f>IFERROR(__xludf.DUMMYFUNCTION("GOOGLETRANSLATE(A32318,""en"",""pt"")"),"Pobre ilegível / qualidade do som abafado ... em ambos os sentidos devido a Nextels 6-1 rede ... não uma questão de cobertura.")</f>
        <v>Pobre ilegível / qualidade do som abafado ... em ambos os sentidos devido a Nextels 6-1 rede ... não uma questão de cobertura.</v>
      </c>
      <c r="B32318" s="3">
        <v>0</v>
      </c>
    </row>
    <row r="32319" ht="15.75" customHeight="1" spans="1:2">
      <c r="A32319" s="3" t="str">
        <f>IFERROR(__xludf.DUMMYFUNCTION("GOOGLETRANSLATE(A32319,""en"",""pt"")"),"Não um telefone longo prazo.")</f>
        <v>Não um telefone longo prazo.</v>
      </c>
      <c r="B32319" s="3">
        <v>0</v>
      </c>
    </row>
    <row r="32320" ht="15.75" customHeight="1" spans="1:2">
      <c r="A32320" s="3" t="str">
        <f>IFERROR(__xludf.DUMMYFUNCTION("GOOGLETRANSLATE(A32320,""en"",""pt"")"),"não pegar em alguns lugares")</f>
        <v>não pegar em alguns lugares</v>
      </c>
      <c r="B32320" s="3">
        <v>0</v>
      </c>
    </row>
    <row r="32321" ht="15.75" customHeight="1" spans="1:2">
      <c r="A32321" s="3" t="str">
        <f>IFERROR(__xludf.DUMMYFUNCTION("GOOGLETRANSLATE(A32321,""en"",""pt"")"),"/ serviço / capacidades de funcionalidade Up-to-date")</f>
        <v>/ serviço / capacidades de funcionalidade Up-to-date</v>
      </c>
      <c r="B32321" s="3">
        <v>0</v>
      </c>
    </row>
    <row r="32322" ht="15.75" customHeight="1" spans="1:2">
      <c r="A32322" s="3" t="str">
        <f>IFERROR(__xludf.DUMMYFUNCTION("GOOGLETRANSLATE(A32322,""en"",""pt"")"),"estojo de couro não é grande, nem sempre obter a melhor recepção.")</f>
        <v>estojo de couro não é grande, nem sempre obter a melhor recepção.</v>
      </c>
      <c r="B32322" s="3">
        <v>0</v>
      </c>
    </row>
    <row r="32323" ht="15.75" customHeight="1" spans="1:2">
      <c r="A32323" s="3" t="str">
        <f>IFERROR(__xludf.DUMMYFUNCTION("GOOGLETRANSLATE(A32323,""en"",""pt"")"),"Falta de recursos encontrados em outros telefones, diminui a duração da bateria depois de um tempo.")</f>
        <v>Falta de recursos encontrados em outros telefones, diminui a duração da bateria depois de um tempo.</v>
      </c>
      <c r="B32323" s="3">
        <v>0</v>
      </c>
    </row>
    <row r="32324" ht="15.75" customHeight="1" spans="1:2">
      <c r="A32324" s="3" t="str">
        <f>IFERROR(__xludf.DUMMYFUNCTION("GOOGLETRANSLATE(A32324,""en"",""pt"")"),"MUITO curta vida útil da bateria, sem exibição fora")</f>
        <v>MUITO curta vida útil da bateria, sem exibição fora</v>
      </c>
      <c r="B32324" s="3">
        <v>0</v>
      </c>
    </row>
    <row r="32325" ht="15.75" customHeight="1" spans="1:2">
      <c r="A32325" s="3" t="str">
        <f>IFERROR(__xludf.DUMMYFUNCTION("GOOGLETRANSLATE(A32325,""en"",""pt"")"),"você não pode ouvir bem com o pequeno alto-falante")</f>
        <v>você não pode ouvir bem com o pequeno alto-falante</v>
      </c>
      <c r="B32325" s="3">
        <v>0</v>
      </c>
    </row>
    <row r="32326" ht="15.75" customHeight="1" spans="1:2">
      <c r="A32326" s="3" t="str">
        <f>IFERROR(__xludf.DUMMYFUNCTION("GOOGLETRANSLATE(A32326,""en"",""pt"")"),"não confiável!")</f>
        <v>não confiável!</v>
      </c>
      <c r="B32326" s="3">
        <v>0</v>
      </c>
    </row>
    <row r="32327" ht="15.75" customHeight="1" spans="1:2">
      <c r="A32327" s="3" t="str">
        <f>IFERROR(__xludf.DUMMYFUNCTION("GOOGLETRANSLATE(A32327,""en"",""pt"")"),"perdeu o serviço devido à ficha de ser atingido por um lightining.")</f>
        <v>perdeu o serviço devido à ficha de ser atingido por um lightining.</v>
      </c>
      <c r="B32327" s="3">
        <v>0</v>
      </c>
    </row>
    <row r="32328" ht="15.75" customHeight="1" spans="1:2">
      <c r="A32328" s="3" t="str">
        <f>IFERROR(__xludf.DUMMYFUNCTION("GOOGLETRANSLATE(A32328,""en"",""pt"")"),"Tela Non-Color. No ecrã externo.")</f>
        <v>Tela Non-Color. No ecrã externo.</v>
      </c>
      <c r="B32328" s="3">
        <v>0</v>
      </c>
    </row>
    <row r="32329" ht="15.75" customHeight="1" spans="1:2">
      <c r="A32329" s="3" t="str">
        <f>IFERROR(__xludf.DUMMYFUNCTION("GOOGLETRANSLATE(A32329,""en"",""pt"")"),"cores, Chinelo (quebras mais fácil)")</f>
        <v>cores, Chinelo (quebras mais fácil)</v>
      </c>
      <c r="B32329" s="3">
        <v>0</v>
      </c>
    </row>
    <row r="32330" ht="15.75" customHeight="1" spans="1:2">
      <c r="A32330" s="3" t="str">
        <f>IFERROR(__xludf.DUMMYFUNCTION("GOOGLETRANSLATE(A32330,""en"",""pt"")"),"ainda melhor telefone.")</f>
        <v>ainda melhor telefone.</v>
      </c>
      <c r="B32330" s="3">
        <v>0</v>
      </c>
    </row>
    <row r="32331" ht="15.75" customHeight="1" spans="1:2">
      <c r="A32331" s="3" t="str">
        <f>IFERROR(__xludf.DUMMYFUNCTION("GOOGLETRANSLATE(A32331,""en"",""pt"")"),"Ligeiramente mais volumoso do que outros telefones clamshell")</f>
        <v>Ligeiramente mais volumoso do que outros telefones clamshell</v>
      </c>
      <c r="B32331" s="3">
        <v>0</v>
      </c>
    </row>
    <row r="32332" ht="15.75" customHeight="1" spans="1:2">
      <c r="A32332" s="3" t="str">
        <f>IFERROR(__xludf.DUMMYFUNCTION("GOOGLETRANSLATE(A32332,""en"",""pt"")"),"Talvez eles poderiam ter incluído um jogo de vídeo gratuito, pelo menos?")</f>
        <v>Talvez eles poderiam ter incluído um jogo de vídeo gratuito, pelo menos?</v>
      </c>
      <c r="B32332" s="3">
        <v>0</v>
      </c>
    </row>
    <row r="32333" ht="15.75" customHeight="1" spans="1:2">
      <c r="A32333" s="3" t="str">
        <f>IFERROR(__xludf.DUMMYFUNCTION("GOOGLETRANSLATE(A32333,""en"",""pt"")"),"A FA-LA-LA fora exibição disco show de luzes quando o telefone toca para chamadas recebidas. UGH !!!")</f>
        <v>A FA-LA-LA fora exibição disco show de luzes quando o telefone toca para chamadas recebidas. UGH !!!</v>
      </c>
      <c r="B32333" s="3">
        <v>0</v>
      </c>
    </row>
    <row r="32334" ht="15.75" customHeight="1" spans="1:2">
      <c r="A32334" s="3" t="str">
        <f>IFERROR(__xludf.DUMMYFUNCTION("GOOGLETRANSLATE(A32334,""en"",""pt"")"),"design flip grande, sem telefone alto-falante, caixa de couro barato")</f>
        <v>design flip grande, sem telefone alto-falante, caixa de couro barato</v>
      </c>
      <c r="B32334" s="3">
        <v>0</v>
      </c>
    </row>
    <row r="32335" ht="15.75" customHeight="1" spans="1:2">
      <c r="A32335" s="3" t="str">
        <f>IFERROR(__xludf.DUMMYFUNCTION("GOOGLETRANSLATE(A32335,""en"",""pt"")"),"vida útil da bateria na minha área, a cobertura deficiente")</f>
        <v>vida útil da bateria na minha área, a cobertura deficiente</v>
      </c>
      <c r="B32335" s="3">
        <v>0</v>
      </c>
    </row>
    <row r="32336" ht="15.75" customHeight="1" spans="1:2">
      <c r="A32336" s="3" t="str">
        <f>IFERROR(__xludf.DUMMYFUNCTION("GOOGLETRANSLATE(A32336,""en"",""pt"")"),"Antena saia um pouco longe para o meu gosto. No visor quando flip estiver fechado.")</f>
        <v>Antena saia um pouco longe para o meu gosto. No visor quando flip estiver fechado.</v>
      </c>
      <c r="B32336" s="3">
        <v>0</v>
      </c>
    </row>
    <row r="32337" ht="15.75" customHeight="1" spans="1:2">
      <c r="A32337" s="3" t="str">
        <f>IFERROR(__xludf.DUMMYFUNCTION("GOOGLETRANSLATE(A32337,""en"",""pt"")"),"Iluminação do teclado, às vezes adiada quando abertura")</f>
        <v>Iluminação do teclado, às vezes adiada quando abertura</v>
      </c>
      <c r="B32337" s="3">
        <v>0</v>
      </c>
    </row>
    <row r="32338" ht="15.75" customHeight="1" spans="1:2">
      <c r="A32338" s="3" t="str">
        <f>IFERROR(__xludf.DUMMYFUNCTION("GOOGLETRANSLATE(A32338,""en"",""pt"")"),"presilha de cinto tortuosa; bateria em seu último suspiro; sem despertador.")</f>
        <v>presilha de cinto tortuosa; bateria em seu último suspiro; sem despertador.</v>
      </c>
      <c r="B32338" s="3">
        <v>0</v>
      </c>
    </row>
    <row r="32339" ht="15.75" customHeight="1" spans="1:2">
      <c r="A32339" s="3" t="str">
        <f>IFERROR(__xludf.DUMMYFUNCTION("GOOGLETRANSLATE(A32339,""en"",""pt"")"),"Demasiado caro para o que é (i710 telefone, e serviço).")</f>
        <v>Demasiado caro para o que é (i710 telefone, e serviço).</v>
      </c>
      <c r="B32339" s="3">
        <v>0</v>
      </c>
    </row>
    <row r="32340" ht="15.75" customHeight="1" spans="1:2">
      <c r="A32340" s="3" t="str">
        <f>IFERROR(__xludf.DUMMYFUNCTION("GOOGLETRANSLATE(A32340,""en"",""pt"")"),"Muito confiável, o que não fede sobre isso?")</f>
        <v>Muito confiável, o que não fede sobre isso?</v>
      </c>
      <c r="B32340" s="3">
        <v>0</v>
      </c>
    </row>
    <row r="32341" ht="15.75" customHeight="1" spans="1:2">
      <c r="A32341" s="3" t="str">
        <f>IFERROR(__xludf.DUMMYFUNCTION("GOOGLETRANSLATE(A32341,""en"",""pt"")"),"não muito durável")</f>
        <v>não muito durável</v>
      </c>
      <c r="B32341" s="3">
        <v>0</v>
      </c>
    </row>
    <row r="32342" ht="15.75" customHeight="1" spans="1:2">
      <c r="A32342" s="3" t="str">
        <f>IFERROR(__xludf.DUMMYFUNCTION("GOOGLETRANSLATE(A32342,""en"",""pt"")"),"volumoso, caro")</f>
        <v>volumoso, caro</v>
      </c>
      <c r="B32342" s="3">
        <v>0</v>
      </c>
    </row>
    <row r="32343" ht="15.75" customHeight="1" spans="1:2">
      <c r="A32343" s="3" t="str">
        <f>IFERROR(__xludf.DUMMYFUNCTION("GOOGLETRANSLATE(A32343,""en"",""pt"")"),", Não novos faceplates, um grande pouco caro")</f>
        <v>, Não novos faceplates, um grande pouco caro</v>
      </c>
      <c r="B32343" s="3">
        <v>0</v>
      </c>
    </row>
    <row r="32344" ht="15.75" customHeight="1" spans="1:2">
      <c r="A32344" s="3" t="str">
        <f>IFERROR(__xludf.DUMMYFUNCTION("GOOGLETRANSLATE(A32344,""en"",""pt"")"),"Câmera de qualidade, caixa de plástico On Battery")</f>
        <v>Câmera de qualidade, caixa de plástico On Battery</v>
      </c>
      <c r="B32344" s="3">
        <v>0</v>
      </c>
    </row>
    <row r="32345" ht="15.75" customHeight="1" spans="1:2">
      <c r="A32345" s="3" t="str">
        <f>IFERROR(__xludf.DUMMYFUNCTION("GOOGLETRANSLATE(A32345,""en"",""pt"")"),"curta duração da bateria, ObeyMoto peculiar de reconhecimento de voz")</f>
        <v>curta duração da bateria, ObeyMoto peculiar de reconhecimento de voz</v>
      </c>
      <c r="B32345" s="3">
        <v>0</v>
      </c>
    </row>
    <row r="32346" ht="15.75" customHeight="1" spans="1:2">
      <c r="A32346" s="3" t="str">
        <f>IFERROR(__xludf.DUMMYFUNCTION("GOOGLETRANSLATE(A32346,""en"",""pt"")"),"A vida da bateria é decente na melhor das hipóteses. Telefones largura é irritante.")</f>
        <v>A vida da bateria é decente na melhor das hipóteses. Telefones largura é irritante.</v>
      </c>
      <c r="B32346" s="3">
        <v>0</v>
      </c>
    </row>
    <row r="32347" ht="15.75" customHeight="1" spans="1:2">
      <c r="A32347" s="3" t="str">
        <f>IFERROR(__xludf.DUMMYFUNCTION("GOOGLETRANSLATE(A32347,""en"",""pt"")"),"Os botões são um pouco pesado, câmera é de baixa qualidade, e Bluetooth não está totalmente funcional.")</f>
        <v>Os botões são um pouco pesado, câmera é de baixa qualidade, e Bluetooth não está totalmente funcional.</v>
      </c>
      <c r="B32347" s="3">
        <v>0</v>
      </c>
    </row>
    <row r="32348" ht="15.75" customHeight="1" spans="1:2">
      <c r="A32348" s="3" t="str">
        <f>IFERROR(__xludf.DUMMYFUNCTION("GOOGLETRANSLATE(A32348,""en"",""pt"")"),"manual do pobre")</f>
        <v>manual do pobre</v>
      </c>
      <c r="B32348" s="3">
        <v>0</v>
      </c>
    </row>
    <row r="32349" ht="15.75" customHeight="1" spans="1:2">
      <c r="A32349" s="3" t="str">
        <f>IFERROR(__xludf.DUMMYFUNCTION("GOOGLETRANSLATE(A32349,""en"",""pt"")"),"Implementação Bluetooth")</f>
        <v>Implementação Bluetooth</v>
      </c>
      <c r="B32349" s="3">
        <v>0</v>
      </c>
    </row>
    <row r="32350" ht="15.75" customHeight="1" spans="1:2">
      <c r="A32350" s="3" t="str">
        <f>IFERROR(__xludf.DUMMYFUNCTION("GOOGLETRANSLATE(A32350,""en"",""pt"")"),"extras não confiáveis, a vida da bateria, botões laterais.")</f>
        <v>extras não confiáveis, a vida da bateria, botões laterais.</v>
      </c>
      <c r="B32350" s="3">
        <v>0</v>
      </c>
    </row>
    <row r="32351" ht="15.75" customHeight="1" spans="1:2">
      <c r="A32351" s="3" t="str">
        <f>IFERROR(__xludf.DUMMYFUNCTION("GOOGLETRANSLATE(A32351,""en"",""pt"")"),"Custo, bloqueado recursos")</f>
        <v>Custo, bloqueado recursos</v>
      </c>
      <c r="B32351" s="3">
        <v>0</v>
      </c>
    </row>
    <row r="32352" ht="15.75" customHeight="1" spans="1:2">
      <c r="A32352" s="3" t="str">
        <f>IFERROR(__xludf.DUMMYFUNCTION("GOOGLETRANSLATE(A32352,""en"",""pt"")"),"transferência de dados desativado")</f>
        <v>transferência de dados desativado</v>
      </c>
      <c r="B32352" s="3">
        <v>0</v>
      </c>
    </row>
    <row r="32353" ht="15.75" customHeight="1" spans="1:2">
      <c r="A32353" s="3" t="str">
        <f>IFERROR(__xludf.DUMMYFUNCTION("GOOGLETRANSLATE(A32353,""en"",""pt"")"),"menus péssimos, chaves horríveis, muito caro, câmera de baixa qualidade. bips irritantes sem vida útil da bateria")</f>
        <v>menus péssimos, chaves horríveis, muito caro, câmera de baixa qualidade. bips irritantes sem vida útil da bateria</v>
      </c>
      <c r="B32353" s="3">
        <v>0</v>
      </c>
    </row>
    <row r="32354" ht="15.75" customHeight="1" spans="1:2">
      <c r="A32354" s="3" t="str">
        <f>IFERROR(__xludf.DUMMYFUNCTION("GOOGLETRANSLATE(A32354,""en"",""pt"")"),"Desclassificados recepção e software falhas.")</f>
        <v>Desclassificados recepção e software falhas.</v>
      </c>
      <c r="B32354" s="3">
        <v>0</v>
      </c>
    </row>
    <row r="32355" ht="15.75" customHeight="1" spans="1:2">
      <c r="A32355" s="3" t="str">
        <f>IFERROR(__xludf.DUMMYFUNCTION("GOOGLETRANSLATE(A32355,""en"",""pt"")"),"Pobre câmera, modo de vibração fraca, chaves horríveis")</f>
        <v>Pobre câmera, modo de vibração fraca, chaves horríveis</v>
      </c>
      <c r="B32355" s="3">
        <v>0</v>
      </c>
    </row>
    <row r="32356" ht="15.75" customHeight="1" spans="1:2">
      <c r="A32356" s="3" t="str">
        <f>IFERROR(__xludf.DUMMYFUNCTION("GOOGLETRANSLATE(A32356,""en"",""pt"")"),"Qualidade de imagem e vídeo, Bluetooth prejudicada pela Verizon.")</f>
        <v>Qualidade de imagem e vídeo, Bluetooth prejudicada pela Verizon.</v>
      </c>
      <c r="B32356" s="3">
        <v>0</v>
      </c>
    </row>
    <row r="32357" ht="15.75" customHeight="1" spans="1:2">
      <c r="A32357" s="3" t="str">
        <f>IFERROR(__xludf.DUMMYFUNCTION("GOOGLETRANSLATE(A32357,""en"",""pt"")"),"Preço. carregador péssimo mesmo que os 720s. Ringtones.")</f>
        <v>Preço. carregador péssimo mesmo que os 720s. Ringtones.</v>
      </c>
      <c r="B32357" s="3">
        <v>0</v>
      </c>
    </row>
    <row r="32358" ht="15.75" customHeight="1" spans="1:2">
      <c r="A32358" s="3" t="str">
        <f>IFERROR(__xludf.DUMMYFUNCTION("GOOGLETRANSLATE(A32358,""en"",""pt"")"),"Muitos para listar com 15 palavras.")</f>
        <v>Muitos para listar com 15 palavras.</v>
      </c>
      <c r="B32358" s="3">
        <v>0</v>
      </c>
    </row>
    <row r="32359" ht="15.75" customHeight="1" spans="1:2">
      <c r="A32359" s="3" t="str">
        <f>IFERROR(__xludf.DUMMYFUNCTION("GOOGLETRANSLATE(A32359,""en"",""pt"")"),"Nada grave o suficiente para lista aqui.")</f>
        <v>Nada grave o suficiente para lista aqui.</v>
      </c>
      <c r="B32359" s="3">
        <v>0</v>
      </c>
    </row>
    <row r="32360" ht="15.75" customHeight="1" spans="1:2">
      <c r="A32360" s="3" t="str">
        <f>IFERROR(__xludf.DUMMYFUNCTION("GOOGLETRANSLATE(A32360,""en"",""pt"")"),"mp3 ringtones são marginais, orador telefone é finicky sobre a posição do ouvido")</f>
        <v>mp3 ringtones são marginais, orador telefone é finicky sobre a posição do ouvido</v>
      </c>
      <c r="B32360" s="3">
        <v>0</v>
      </c>
    </row>
    <row r="32361" ht="15.75" customHeight="1" spans="1:2">
      <c r="A32361" s="3" t="str">
        <f>IFERROR(__xludf.DUMMYFUNCTION("GOOGLETRANSLATE(A32361,""en"",""pt"")"),"qualidade da câmera, travamentos, corrupção de arquivo, preço")</f>
        <v>qualidade da câmera, travamentos, corrupção de arquivo, preço</v>
      </c>
      <c r="B32361" s="3">
        <v>0</v>
      </c>
    </row>
    <row r="32362" ht="15.75" customHeight="1" spans="1:2">
      <c r="A32362" s="3" t="str">
        <f>IFERROR(__xludf.DUMMYFUNCTION("GOOGLETRANSLATE(A32362,""en"",""pt"")"),"Camera-phone, durabilidade, re-carregamento.")</f>
        <v>Camera-phone, durabilidade, re-carregamento.</v>
      </c>
      <c r="B32362" s="3">
        <v>0</v>
      </c>
    </row>
    <row r="32363" ht="15.75" customHeight="1" spans="1:2">
      <c r="A32363" s="3" t="str">
        <f>IFERROR(__xludf.DUMMYFUNCTION("GOOGLETRANSLATE(A32363,""en"",""pt"")"),"Fotos ruins em tempo de noite, a vida da bateria, slighly sobredimensionada")</f>
        <v>Fotos ruins em tempo de noite, a vida da bateria, slighly sobredimensionada</v>
      </c>
      <c r="B32363" s="3">
        <v>0</v>
      </c>
    </row>
    <row r="32364" ht="15.75" customHeight="1" spans="1:2">
      <c r="A32364" s="3" t="str">
        <f>IFERROR(__xludf.DUMMYFUNCTION("GOOGLETRANSLATE(A32364,""en"",""pt"")"),"Realmente apenas demasiados à lista: O pior software, telefone de baixa qualidade, vida útil da bateria horrível")</f>
        <v>Realmente apenas demasiados à lista: O pior software, telefone de baixa qualidade, vida útil da bateria horrível</v>
      </c>
      <c r="B32364" s="3">
        <v>0</v>
      </c>
    </row>
    <row r="32365" ht="15.75" customHeight="1" spans="1:2">
      <c r="A32365" s="3" t="str">
        <f>IFERROR(__xludf.DUMMYFUNCTION("GOOGLETRANSLATE(A32365,""en"",""pt"")"),"Um pouco maior do que o que a maioria das pessoas seria entrar, mas não é grande coisa.")</f>
        <v>Um pouco maior do que o que a maioria das pessoas seria entrar, mas não é grande coisa.</v>
      </c>
      <c r="B32365" s="3">
        <v>0</v>
      </c>
    </row>
    <row r="32366" ht="15.75" customHeight="1" spans="1:2">
      <c r="A32366" s="3" t="str">
        <f>IFERROR(__xludf.DUMMYFUNCTION("GOOGLETRANSLATE(A32366,""en"",""pt"")"),"CAMERA E QUALIDADE música poderia ser um pouco melhor.")</f>
        <v>CAMERA E QUALIDADE música poderia ser um pouco melhor.</v>
      </c>
      <c r="B32366" s="3">
        <v>0</v>
      </c>
    </row>
    <row r="32367" ht="15.75" customHeight="1" spans="1:2">
      <c r="A32367" s="3" t="str">
        <f>IFERROR(__xludf.DUMMYFUNCTION("GOOGLETRANSLATE(A32367,""en"",""pt"")"),"Carregador -Flimsy")</f>
        <v>Carregador -Flimsy</v>
      </c>
      <c r="B32367" s="3">
        <v>0</v>
      </c>
    </row>
    <row r="32368" ht="15.75" customHeight="1" spans="1:2">
      <c r="A32368" s="3" t="str">
        <f>IFERROR(__xludf.DUMMYFUNCTION("GOOGLETRANSLATE(A32368,""en"",""pt"")"),"À excepção Bluetooth aleijado, há contras!")</f>
        <v>À excepção Bluetooth aleijado, há contras!</v>
      </c>
      <c r="B32368" s="3">
        <v>0</v>
      </c>
    </row>
    <row r="32369" ht="15.75" customHeight="1" spans="1:2">
      <c r="A32369" s="3" t="str">
        <f>IFERROR(__xludf.DUMMYFUNCTION("GOOGLETRANSLATE(A32369,""en"",""pt"")"),"Não realmente totalmente Bluetooth &lt;p&gt; Durabilidade &lt;p&gt;")</f>
        <v>Não realmente totalmente Bluetooth &lt;p&gt; Durabilidade &lt;p&gt;</v>
      </c>
      <c r="B32369" s="3">
        <v>0</v>
      </c>
    </row>
    <row r="32370" ht="15.75" customHeight="1" spans="1:2">
      <c r="A32370" s="3" t="str">
        <f>IFERROR(__xludf.DUMMYFUNCTION("GOOGLETRANSLATE(A32370,""en"",""pt"")"),"Teclado, câmera e recursos chupar. Bluetooth básico. O tamanho é maior do que a maioria dos telefones.")</f>
        <v>Teclado, câmera e recursos chupar. Bluetooth básico. O tamanho é maior do que a maioria dos telefones.</v>
      </c>
      <c r="B32370" s="3">
        <v>0</v>
      </c>
    </row>
    <row r="32371" ht="15.75" customHeight="1" spans="1:2">
      <c r="A32371" s="3" t="str">
        <f>IFERROR(__xludf.DUMMYFUNCTION("GOOGLETRANSLATE(A32371,""en"",""pt"")"),"livro de telefone, câmera no escuro / condições noite")</f>
        <v>livro de telefone, câmera no escuro / condições noite</v>
      </c>
      <c r="B32371" s="3">
        <v>0</v>
      </c>
    </row>
    <row r="32372" ht="15.75" customHeight="1" spans="1:2">
      <c r="A32372" s="3" t="str">
        <f>IFERROR(__xludf.DUMMYFUNCTION("GOOGLETRANSLATE(A32372,""en"",""pt"")"),"scrathes Fácil")</f>
        <v>scrathes Fácil</v>
      </c>
      <c r="B32372" s="3">
        <v>0</v>
      </c>
    </row>
    <row r="32373" ht="15.75" customHeight="1" spans="1:2">
      <c r="A32373" s="3" t="str">
        <f>IFERROR(__xludf.DUMMYFUNCTION("GOOGLETRANSLATE(A32373,""en"",""pt"")"),"versão Verizon é aleijado. gravador de voz não é confiável. PC sync não funciona corretamente")</f>
        <v>versão Verizon é aleijado. gravador de voz não é confiável. PC sync não funciona corretamente</v>
      </c>
      <c r="B32373" s="3">
        <v>0</v>
      </c>
    </row>
    <row r="32374" ht="15.75" customHeight="1" spans="1:2">
      <c r="A32374" s="3" t="str">
        <f>IFERROR(__xludf.DUMMYFUNCTION("GOOGLETRANSLATE(A32374,""en"",""pt"")"),"qualidade de construção horrível e problemas de carregamento")</f>
        <v>qualidade de construção horrível e problemas de carregamento</v>
      </c>
      <c r="B32374" s="3">
        <v>0</v>
      </c>
    </row>
    <row r="32375" ht="15.75" customHeight="1" spans="1:2">
      <c r="A32375" s="3" t="str">
        <f>IFERROR(__xludf.DUMMYFUNCTION("GOOGLETRANSLATE(A32375,""en"",""pt"")"),"Não compra através da Verizon Wireless !!!")</f>
        <v>Não compra através da Verizon Wireless !!!</v>
      </c>
      <c r="B32375" s="3">
        <v>0</v>
      </c>
    </row>
    <row r="32376" ht="15.75" customHeight="1" spans="1:2">
      <c r="A32376" s="3" t="str">
        <f>IFERROR(__xludf.DUMMYFUNCTION("GOOGLETRANSLATE(A32376,""en"",""pt"")"),"direito de exibição do menu no meio do papel de parede, a vida da bateria, peso, informação de contato individual.")</f>
        <v>direito de exibição do menu no meio do papel de parede, a vida da bateria, peso, informação de contato individual.</v>
      </c>
      <c r="B32376" s="3">
        <v>0</v>
      </c>
    </row>
    <row r="32377" ht="15.75" customHeight="1" spans="1:2">
      <c r="A32377" s="3" t="str">
        <f>IFERROR(__xludf.DUMMYFUNCTION("GOOGLETRANSLATE(A32377,""en"",""pt"")"),"Todo o resto.")</f>
        <v>Todo o resto.</v>
      </c>
      <c r="B32377" s="3">
        <v>0</v>
      </c>
    </row>
    <row r="32378" ht="15.75" customHeight="1" spans="1:2">
      <c r="A32378" s="3" t="str">
        <f>IFERROR(__xludf.DUMMYFUNCTION("GOOGLETRANSLATE(A32378,""en"",""pt"")"),"Toques, Imagens, bateria, bateria, bateria ....")</f>
        <v>Toques, Imagens, bateria, bateria, bateria ....</v>
      </c>
      <c r="B32378" s="3">
        <v>0</v>
      </c>
    </row>
    <row r="32379" ht="15.75" customHeight="1" spans="1:2">
      <c r="A32379" s="3" t="str">
        <f>IFERROR(__xludf.DUMMYFUNCTION("GOOGLETRANSLATE(A32379,""en"",""pt"")"),"caso clipe para cinto durou apenas quatro meses, teclado,")</f>
        <v>caso clipe para cinto durou apenas quatro meses, teclado,</v>
      </c>
      <c r="B32379" s="3">
        <v>0</v>
      </c>
    </row>
    <row r="32380" ht="15.75" customHeight="1" spans="1:2">
      <c r="A32380" s="3" t="str">
        <f>IFERROR(__xludf.DUMMYFUNCTION("GOOGLETRANSLATE(A32380,""en"",""pt"")"),"A vida da bateria, Custo")</f>
        <v>A vida da bateria, Custo</v>
      </c>
      <c r="B32380" s="3">
        <v>0</v>
      </c>
    </row>
    <row r="32381" ht="15.75" customHeight="1" spans="1:2">
      <c r="A32381" s="3" t="str">
        <f>IFERROR(__xludf.DUMMYFUNCTION("GOOGLETRANSLATE(A32381,""en"",""pt"")"),"Tela um pouco difícil de vista na luz brilhante")</f>
        <v>Tela um pouco difícil de vista na luz brilhante</v>
      </c>
      <c r="B32381" s="3">
        <v>0</v>
      </c>
    </row>
    <row r="32382" ht="15.75" customHeight="1" spans="1:2">
      <c r="A32382" s="3" t="str">
        <f>IFERROR(__xludf.DUMMYFUNCTION("GOOGLETRANSLATE(A32382,""en"",""pt"")"),"Tela colorida de luz ao ar livre, telefone congela")</f>
        <v>Tela colorida de luz ao ar livre, telefone congela</v>
      </c>
      <c r="B32382" s="3">
        <v>0</v>
      </c>
    </row>
    <row r="32383" ht="15.75" customHeight="1" spans="1:2">
      <c r="A32383" s="3" t="str">
        <f>IFERROR(__xludf.DUMMYFUNCTION("GOOGLETRANSLATE(A32383,""en"",""pt"")"),"Nenhum identificador de chamadas externo (este seria perfeito!)")</f>
        <v>Nenhum identificador de chamadas externo (este seria perfeito!)</v>
      </c>
      <c r="B32383" s="3">
        <v>0</v>
      </c>
    </row>
    <row r="32384" ht="15.75" customHeight="1" spans="1:2">
      <c r="A32384" s="3" t="str">
        <f>IFERROR(__xludf.DUMMYFUNCTION("GOOGLETRANSLATE(A32384,""en"",""pt"")"),"design antigo, nenhuma câmera, não oferecido pela Cingular mais")</f>
        <v>design antigo, nenhuma câmera, não oferecido pela Cingular mais</v>
      </c>
      <c r="B32384" s="3">
        <v>0</v>
      </c>
    </row>
    <row r="32385" ht="15.75" customHeight="1" spans="1:2">
      <c r="A32385" s="3" t="str">
        <f>IFERROR(__xludf.DUMMYFUNCTION("GOOGLETRANSLATE(A32385,""en"",""pt"")"),"Sem visor externo.")</f>
        <v>Sem visor externo.</v>
      </c>
      <c r="B32385" s="3">
        <v>0</v>
      </c>
    </row>
    <row r="32386" ht="15.75" customHeight="1" spans="1:2">
      <c r="A32386" s="3" t="str">
        <f>IFERROR(__xludf.DUMMYFUNCTION("GOOGLETRANSLATE(A32386,""en"",""pt"")"),"Chato --- não muitos recursos, não viva-voz.")</f>
        <v>Chato --- não muitos recursos, não viva-voz.</v>
      </c>
      <c r="B32386" s="3">
        <v>0</v>
      </c>
    </row>
    <row r="32387" ht="15.75" customHeight="1" spans="1:2">
      <c r="A32387" s="3" t="str">
        <f>IFERROR(__xludf.DUMMYFUNCTION("GOOGLETRANSLATE(A32387,""en"",""pt"")"),"Estes telefones simplesmente não são confiáveis.")</f>
        <v>Estes telefones simplesmente não são confiáveis.</v>
      </c>
      <c r="B32387" s="3">
        <v>0</v>
      </c>
    </row>
    <row r="32388" ht="15.75" customHeight="1" spans="1:2">
      <c r="A32388" s="3" t="str">
        <f>IFERROR(__xludf.DUMMYFUNCTION("GOOGLETRANSLATE(A32388,""en"",""pt"")"),"No ecrã externo, toques limitados com telefone original")</f>
        <v>No ecrã externo, toques limitados com telefone original</v>
      </c>
      <c r="B32388" s="3">
        <v>0</v>
      </c>
    </row>
    <row r="32389" ht="15.75" customHeight="1" spans="1:2">
      <c r="A32389" s="3" t="str">
        <f>IFERROR(__xludf.DUMMYFUNCTION("GOOGLETRANSLATE(A32389,""en"",""pt"")"),"nada")</f>
        <v>nada</v>
      </c>
      <c r="B32389" s="3">
        <v>0</v>
      </c>
    </row>
    <row r="32390" ht="15.75" customHeight="1" spans="1:2">
      <c r="A32390" s="3" t="str">
        <f>IFERROR(__xludf.DUMMYFUNCTION("GOOGLETRANSLATE(A32390,""en"",""pt"")"),"funções de organizador e calendário triste e agenda sem brilho.")</f>
        <v>funções de organizador e calendário triste e agenda sem brilho.</v>
      </c>
      <c r="B32390" s="3">
        <v>0</v>
      </c>
    </row>
    <row r="32391" ht="15.75" customHeight="1" spans="1:2">
      <c r="A32391" s="3" t="str">
        <f>IFERROR(__xludf.DUMMYFUNCTION("GOOGLETRANSLATE(A32391,""en"",""pt"")"),"Wap é difícil de navegar, e o volume não pode ir muito alto.")</f>
        <v>Wap é difícil de navegar, e o volume não pode ir muito alto.</v>
      </c>
      <c r="B32391" s="3">
        <v>0</v>
      </c>
    </row>
    <row r="32392" ht="15.75" customHeight="1" spans="1:2">
      <c r="A32392" s="3" t="str">
        <f>IFERROR(__xludf.DUMMYFUNCTION("GOOGLETRANSLATE(A32392,""en"",""pt"")"),"Manual, luz solar, ringtones, vibração")</f>
        <v>Manual, luz solar, ringtones, vibração</v>
      </c>
      <c r="B32392" s="3">
        <v>0</v>
      </c>
    </row>
    <row r="32393" ht="15.75" customHeight="1" spans="1:2">
      <c r="A32393" s="3" t="str">
        <f>IFERROR(__xludf.DUMMYFUNCTION("GOOGLETRANSLATE(A32393,""en"",""pt"")"),"Não há maneira de salvar ringtones baixados para o cartão SIM, há toques normais")</f>
        <v>Não há maneira de salvar ringtones baixados para o cartão SIM, há toques normais</v>
      </c>
      <c r="B32393" s="3">
        <v>0</v>
      </c>
    </row>
    <row r="32394" ht="15.75" customHeight="1" spans="1:2">
      <c r="A32394" s="3" t="str">
        <f>IFERROR(__xludf.DUMMYFUNCTION("GOOGLETRANSLATE(A32394,""en"",""pt"")"),"vida útil da bateria")</f>
        <v>vida útil da bateria</v>
      </c>
      <c r="B32394" s="3">
        <v>0</v>
      </c>
    </row>
    <row r="32395" ht="15.75" customHeight="1" spans="1:2">
      <c r="A32395" s="3" t="str">
        <f>IFERROR(__xludf.DUMMYFUNCTION("GOOGLETRANSLATE(A32395,""en"",""pt"")"),"Toca / Vibra poderia ser mais alto / mais fortes, mossas faceplate facilmente, tampa da porta carregador não está amarrado a telefone.")</f>
        <v>Toca / Vibra poderia ser mais alto / mais fortes, mossas faceplate facilmente, tampa da porta carregador não está amarrado a telefone.</v>
      </c>
      <c r="B32395" s="3">
        <v>0</v>
      </c>
    </row>
    <row r="32396" ht="15.75" customHeight="1" spans="1:2">
      <c r="A32396" s="3" t="str">
        <f>IFERROR(__xludf.DUMMYFUNCTION("GOOGLETRANSLATE(A32396,""en"",""pt"")"),"toques e jogos só são salvos no telefone,")</f>
        <v>toques e jogos só são salvos no telefone,</v>
      </c>
      <c r="B32396" s="3">
        <v>0</v>
      </c>
    </row>
    <row r="32397" ht="15.75" customHeight="1" spans="1:2">
      <c r="A32397" s="3" t="str">
        <f>IFERROR(__xludf.DUMMYFUNCTION("GOOGLETRANSLATE(A32397,""en"",""pt"")"),"telas de LCD só tem uma vida útil seis meses, ringtones são muito esboçado")</f>
        <v>telas de LCD só tem uma vida útil seis meses, ringtones são muito esboçado</v>
      </c>
      <c r="B32397" s="3">
        <v>0</v>
      </c>
    </row>
    <row r="32398" ht="15.75" customHeight="1" spans="1:2">
      <c r="A32398" s="3" t="str">
        <f>IFERROR(__xludf.DUMMYFUNCTION("GOOGLETRANSLATE(A32398,""en"",""pt"")"),"Compras em torno de melhor preço")</f>
        <v>Compras em torno de melhor preço</v>
      </c>
      <c r="B32398" s="3">
        <v>0</v>
      </c>
    </row>
    <row r="32399" ht="15.75" customHeight="1" spans="1:2">
      <c r="A32399" s="3" t="str">
        <f>IFERROR(__xludf.DUMMYFUNCTION("GOOGLETRANSLATE(A32399,""en"",""pt"")"),"Preço, perder a recepção facilmente")</f>
        <v>Preço, perder a recepção facilmente</v>
      </c>
      <c r="B32399" s="3">
        <v>0</v>
      </c>
    </row>
    <row r="32400" ht="15.75" customHeight="1" spans="1:2">
      <c r="A32400" s="3" t="str">
        <f>IFERROR(__xludf.DUMMYFUNCTION("GOOGLETRANSLATE(A32400,""en"",""pt"")"),"pequenas chaves, chaves colocados muito próximos, confiabilidade")</f>
        <v>pequenas chaves, chaves colocados muito próximos, confiabilidade</v>
      </c>
      <c r="B32400" s="3">
        <v>0</v>
      </c>
    </row>
    <row r="32401" ht="15.75" customHeight="1" spans="1:2">
      <c r="A32401" s="3" t="str">
        <f>IFERROR(__xludf.DUMMYFUNCTION("GOOGLETRANSLATE(A32401,""en"",""pt"")"),"não pode ver o visor ao sol")</f>
        <v>não pode ver o visor ao sol</v>
      </c>
      <c r="B32401" s="3">
        <v>0</v>
      </c>
    </row>
    <row r="32402" ht="15.75" customHeight="1" spans="1:2">
      <c r="A32402" s="3" t="str">
        <f>IFERROR(__xludf.DUMMYFUNCTION("GOOGLETRANSLATE(A32402,""en"",""pt"")"),"Não duráveis. recepção horrível.")</f>
        <v>Não duráveis. recepção horrível.</v>
      </c>
      <c r="B32402" s="3">
        <v>0</v>
      </c>
    </row>
    <row r="32403" ht="15.75" customHeight="1" spans="1:2">
      <c r="A32403" s="3" t="str">
        <f>IFERROR(__xludf.DUMMYFUNCTION("GOOGLETRANSLATE(A32403,""en"",""pt"")"),"Sem frescura. Nenhuma câmera, bluetooth, mp3, viva-voz.")</f>
        <v>Sem frescura. Nenhuma câmera, bluetooth, mp3, viva-voz.</v>
      </c>
      <c r="B32403" s="3">
        <v>0</v>
      </c>
    </row>
    <row r="32404" ht="15.75" customHeight="1" spans="1:2">
      <c r="A32404" s="3" t="str">
        <f>IFERROR(__xludf.DUMMYFUNCTION("GOOGLETRANSLATE(A32404,""en"",""pt"")"),"ringtones tranquilos, navegador Wap não confiável")</f>
        <v>ringtones tranquilos, navegador Wap não confiável</v>
      </c>
      <c r="B32404" s="3">
        <v>0</v>
      </c>
    </row>
    <row r="32405" ht="15.75" customHeight="1" spans="1:2">
      <c r="A32405" s="3" t="str">
        <f>IFERROR(__xludf.DUMMYFUNCTION("GOOGLETRANSLATE(A32405,""en"",""pt"")"),"Nenhum")</f>
        <v>Nenhum</v>
      </c>
      <c r="B32405" s="3">
        <v>0</v>
      </c>
    </row>
    <row r="32406" ht="15.75" customHeight="1" spans="1:2">
      <c r="A32406" s="3" t="str">
        <f>IFERROR(__xludf.DUMMYFUNCTION("GOOGLETRANSLATE(A32406,""en"",""pt"")"),"não o suficiente placas de cara intercambiáveis")</f>
        <v>não o suficiente placas de cara intercambiáveis</v>
      </c>
      <c r="B32406" s="3">
        <v>0</v>
      </c>
    </row>
    <row r="32407" ht="15.75" customHeight="1" spans="1:2">
      <c r="A32407" s="3" t="str">
        <f>IFERROR(__xludf.DUMMYFUNCTION("GOOGLETRANSLATE(A32407,""en"",""pt"")"),"Para acomodar sua grande tela, o telefone não é super-slim. O menu poderia ser melhor.")</f>
        <v>Para acomodar sua grande tela, o telefone não é super-slim. O menu poderia ser melhor.</v>
      </c>
      <c r="B32407" s="3">
        <v>0</v>
      </c>
    </row>
    <row r="32408" ht="15.75" customHeight="1" spans="1:2">
      <c r="A32408" s="3" t="s">
        <v>183</v>
      </c>
      <c r="B32408" s="3">
        <v>0</v>
      </c>
    </row>
    <row r="32409" ht="15.75" customHeight="1" spans="1:2">
      <c r="A32409" s="3" t="str">
        <f>IFERROR(__xludf.DUMMYFUNCTION("GOOGLETRANSLATE(A32409,""en"",""pt"")"),"Falta de negócio como Ring Tones")</f>
        <v>Falta de negócio como Ring Tones</v>
      </c>
      <c r="B32409" s="3">
        <v>0</v>
      </c>
    </row>
    <row r="32410" ht="15.75" customHeight="1" spans="1:2">
      <c r="A32410" s="3" t="str">
        <f>IFERROR(__xludf.DUMMYFUNCTION("GOOGLETRANSLATE(A32410,""en"",""pt"")"),"características menores desejo tive")</f>
        <v>características menores desejo tive</v>
      </c>
      <c r="B32410" s="3">
        <v>0</v>
      </c>
    </row>
    <row r="32411" ht="15.75" customHeight="1" spans="1:2">
      <c r="A32411" s="3" t="str">
        <f>IFERROR(__xludf.DUMMYFUNCTION("GOOGLETRANSLATE(A32411,""en"",""pt"")"),"Listados na revisão")</f>
        <v>Listados na revisão</v>
      </c>
      <c r="B32411" s="3">
        <v>0</v>
      </c>
    </row>
    <row r="32412" ht="15.75" customHeight="1" spans="1:2">
      <c r="A32412" s="3" t="str">
        <f>IFERROR(__xludf.DUMMYFUNCTION("GOOGLETRANSLATE(A32412,""en"",""pt"")"),"não viva-voz")</f>
        <v>não viva-voz</v>
      </c>
      <c r="B32412" s="3">
        <v>0</v>
      </c>
    </row>
    <row r="32413" ht="15.75" customHeight="1" spans="1:2">
      <c r="A32413" s="3" t="str">
        <f>IFERROR(__xludf.DUMMYFUNCTION("GOOGLETRANSLATE(A32413,""en"",""pt"")"),"Não é um clam shell - não wow! fator.")</f>
        <v>Não é um clam shell - não wow! fator.</v>
      </c>
      <c r="B32413" s="3">
        <v>0</v>
      </c>
    </row>
    <row r="32414" ht="15.75" customHeight="1" spans="1:2">
      <c r="A32414" s="3" t="str">
        <f>IFERROR(__xludf.DUMMYFUNCTION("GOOGLETRANSLATE(A32414,""en"",""pt"")"),"A vida da bateria pode ser melhor, eu desejo que havia alguns jogos já pré-carregados.")</f>
        <v>A vida da bateria pode ser melhor, eu desejo que havia alguns jogos já pré-carregados.</v>
      </c>
      <c r="B32414" s="3">
        <v>0</v>
      </c>
    </row>
    <row r="32415" ht="15.75" customHeight="1" spans="1:2">
      <c r="A32415" s="3" t="str">
        <f>IFERROR(__xludf.DUMMYFUNCTION("GOOGLETRANSLATE(A32415,""en"",""pt"")"),"Bem, não falta em alguns dos dias modernos recursos que outros telefones têm")</f>
        <v>Bem, não falta em alguns dos dias modernos recursos que outros telefones têm</v>
      </c>
      <c r="B32415" s="3">
        <v>0</v>
      </c>
    </row>
    <row r="32416" ht="15.75" customHeight="1" spans="1:2">
      <c r="A32416" s="3" t="str">
        <f>IFERROR(__xludf.DUMMYFUNCTION("GOOGLETRANSLATE(A32416,""en"",""pt"")"),"Fisicamente maior e mais pesado do que alguns. O software Nokia DKU-5 link de computador tem bugs.")</f>
        <v>Fisicamente maior e mais pesado do que alguns. O software Nokia DKU-5 link de computador tem bugs.</v>
      </c>
      <c r="B32416" s="3">
        <v>0</v>
      </c>
    </row>
    <row r="32417" ht="15.75" customHeight="1" spans="1:2">
      <c r="A32417" s="3" t="str">
        <f>IFERROR(__xludf.DUMMYFUNCTION("GOOGLETRANSLATE(A32417,""en"",""pt"")"),"Backlight sai um pouco rápido demais.")</f>
        <v>Backlight sai um pouco rápido demais.</v>
      </c>
      <c r="B32417" s="3">
        <v>0</v>
      </c>
    </row>
    <row r="32418" ht="15.75" customHeight="1" spans="1:2">
      <c r="A32418" s="3" t="str">
        <f>IFERROR(__xludf.DUMMYFUNCTION("GOOGLETRANSLATE(A32418,""en"",""pt"")"),"Carregador não funciona na Europa, polido parte superior preta fica manchada facilmente, difícil de abrir")</f>
        <v>Carregador não funciona na Europa, polido parte superior preta fica manchada facilmente, difícil de abrir</v>
      </c>
      <c r="B32418" s="3">
        <v>0</v>
      </c>
    </row>
    <row r="32419" ht="15.75" customHeight="1" spans="1:2">
      <c r="A32419" s="3" t="str">
        <f>IFERROR(__xludf.DUMMYFUNCTION("GOOGLETRANSLATE(A32419,""en"",""pt"")"),"Bad recepção / antena interna, navegação difícil de usar, desconfortável para a orelha, difícil de abrir.")</f>
        <v>Bad recepção / antena interna, navegação difícil de usar, desconfortável para a orelha, difícil de abrir.</v>
      </c>
      <c r="B32419" s="3">
        <v>0</v>
      </c>
    </row>
    <row r="32420" ht="15.75" customHeight="1" spans="1:2">
      <c r="A32420" s="3" t="str">
        <f>IFERROR(__xludf.DUMMYFUNCTION("GOOGLETRANSLATE(A32420,""en"",""pt"")"),"é pequena. nenhum cabo USB ou software na caixa. os jogos incluídos são fracos.")</f>
        <v>é pequena. nenhum cabo USB ou software na caixa. os jogos incluídos são fracos.</v>
      </c>
      <c r="B32420" s="3">
        <v>0</v>
      </c>
    </row>
    <row r="32421" ht="15.75" customHeight="1" spans="1:2">
      <c r="A32421" s="3" t="str">
        <f>IFERROR(__xludf.DUMMYFUNCTION("GOOGLETRANSLATE(A32421,""en"",""pt"")"),"fotos de qualidade sub-par,, easy-to-zero acabamento pequena")</f>
        <v>fotos de qualidade sub-par,, easy-to-zero acabamento pequena</v>
      </c>
      <c r="B32421" s="3">
        <v>0</v>
      </c>
    </row>
    <row r="32422" ht="15.75" customHeight="1" spans="1:2">
      <c r="A32422" s="3" t="str">
        <f>IFERROR(__xludf.DUMMYFUNCTION("GOOGLETRANSLATE(A32422,""en"",""pt"")"),"botões pequenos demais")</f>
        <v>botões pequenos demais</v>
      </c>
      <c r="B32422" s="3">
        <v>0</v>
      </c>
    </row>
    <row r="32423" ht="15.75" customHeight="1" spans="1:2">
      <c r="A32423" s="3" t="str">
        <f>IFERROR(__xludf.DUMMYFUNCTION("GOOGLETRANSLATE(A32423,""en"",""pt"")"),"câmera ruim, configurações, tecla de navegação, arranhões e mostra as impressões digitais")</f>
        <v>câmera ruim, configurações, tecla de navegação, arranhões e mostra as impressões digitais</v>
      </c>
      <c r="B32423" s="3">
        <v>0</v>
      </c>
    </row>
    <row r="32424" ht="15.75" customHeight="1" spans="1:2">
      <c r="A32424" s="3" t="str">
        <f>IFERROR(__xludf.DUMMYFUNCTION("GOOGLETRANSLATE(A32424,""en"",""pt"")"),"qualidade de imagem, a vida da bateria, jogos ruins")</f>
        <v>qualidade de imagem, a vida da bateria, jogos ruins</v>
      </c>
      <c r="B32424" s="3">
        <v>0</v>
      </c>
    </row>
    <row r="32425" ht="15.75" customHeight="1" spans="1:2">
      <c r="A32425" s="3" t="str">
        <f>IFERROR(__xludf.DUMMYFUNCTION("GOOGLETRANSLATE(A32425,""en"",""pt"")"),"Seus botões são muito pequenos. qualidade da câmera é muito pobre.")</f>
        <v>Seus botões são muito pequenos. qualidade da câmera é muito pobre.</v>
      </c>
      <c r="B32425" s="3">
        <v>0</v>
      </c>
    </row>
    <row r="32426" ht="15.75" customHeight="1" spans="1:2">
      <c r="A32426" s="3" t="str">
        <f>IFERROR(__xludf.DUMMYFUNCTION("GOOGLETRANSLATE(A32426,""en"",""pt"")"),"Terrível recepção e de volume, tela congela, mudança configurações quando conectado a um carregador")</f>
        <v>Terrível recepção e de volume, tela congela, mudança configurações quando conectado a um carregador</v>
      </c>
      <c r="B32426" s="3">
        <v>0</v>
      </c>
    </row>
    <row r="32427" ht="15.75" customHeight="1" spans="1:2">
      <c r="A32427" s="3" t="str">
        <f>IFERROR(__xludf.DUMMYFUNCTION("GOOGLETRANSLATE(A32427,""en"",""pt"")"),"Stiff tecla ""1"", o que exige vestindo-in. Difícil de abrir.")</f>
        <v>Stiff tecla "1", o que exige vestindo-in. Difícil de abrir.</v>
      </c>
      <c r="B32427" s="3">
        <v>0</v>
      </c>
    </row>
    <row r="32428" ht="15.75" customHeight="1" spans="1:2">
      <c r="A32428" s="3" t="str">
        <f>IFERROR(__xludf.DUMMYFUNCTION("GOOGLETRANSLATE(A32428,""en"",""pt"")"),"A recepção está tudo bem, sem flash automático para câmera, movimentos aleta em torno de um pouco quando fechado.")</f>
        <v>A recepção está tudo bem, sem flash automático para câmera, movimentos aleta em torno de um pouco quando fechado.</v>
      </c>
      <c r="B32428" s="3">
        <v>0</v>
      </c>
    </row>
    <row r="32429" ht="15.75" customHeight="1" spans="1:2">
      <c r="A32429" s="3" t="str">
        <f>IFERROR(__xludf.DUMMYFUNCTION("GOOGLETRANSLATE(A32429,""en"",""pt"")"),"interface de software ainda pode confundir alguns")</f>
        <v>interface de software ainda pode confundir alguns</v>
      </c>
      <c r="B32429" s="3">
        <v>0</v>
      </c>
    </row>
    <row r="32430" ht="15.75" customHeight="1" spans="1:2">
      <c r="A32430" s="3" t="str">
        <f>IFERROR(__xludf.DUMMYFUNCTION("GOOGLETRANSLATE(A32430,""en"",""pt"")"),"Horrível serviço na área de CNY, má qualidade de vídeo, instantâneo ruído quando foto é tirada")</f>
        <v>Horrível serviço na área de CNY, má qualidade de vídeo, instantâneo ruído quando foto é tirada</v>
      </c>
      <c r="B32430" s="3">
        <v>0</v>
      </c>
    </row>
    <row r="32431" ht="15.75" customHeight="1" spans="1:2">
      <c r="A32431" s="3" t="str">
        <f>IFERROR(__xludf.DUMMYFUNCTION("GOOGLETRANSLATE(A32431,""en"",""pt"")"),"Não confiável; Doesnt sincronização calendário / telefone / e-mail com computador")</f>
        <v>Não confiável; Doesnt sincronização calendário / telefone / e-mail com computador</v>
      </c>
      <c r="B32431" s="3">
        <v>0</v>
      </c>
    </row>
    <row r="32432" ht="15.75" customHeight="1" spans="1:2">
      <c r="A32432" s="3" t="str">
        <f>IFERROR(__xludf.DUMMYFUNCTION("GOOGLETRANSLATE(A32432,""en"",""pt"")"),"Muito pouca conectividade de telefone para PC. Difícil de encontrar acessórios. Pequenos botões.")</f>
        <v>Muito pouca conectividade de telefone para PC. Difícil de encontrar acessórios. Pequenos botões.</v>
      </c>
      <c r="B32432" s="3">
        <v>0</v>
      </c>
    </row>
    <row r="32433" ht="15.75" customHeight="1" spans="1:2">
      <c r="A32433" s="3" t="str">
        <f>IFERROR(__xludf.DUMMYFUNCTION("GOOGLETRANSLATE(A32433,""en"",""pt"")"),"Caro, ainda volumosos, má qualidade de imagem, etc.")</f>
        <v>Caro, ainda volumosos, má qualidade de imagem, etc.</v>
      </c>
      <c r="B32433" s="3">
        <v>0</v>
      </c>
    </row>
    <row r="32434" ht="15.75" customHeight="1" spans="1:2">
      <c r="A32434" s="3" t="str">
        <f>IFERROR(__xludf.DUMMYFUNCTION("GOOGLETRANSLATE(A32434,""en"",""pt"")"),"Battery_life_when_using_camera, external_screen_doesnt_relly do_anything, pouco _flip_moves_side_to_side_a_little.")</f>
        <v>Battery_life_when_using_camera, external_screen_doesnt_relly do_anything, pouco _flip_moves_side_to_side_a_little.</v>
      </c>
      <c r="B32434" s="3">
        <v>0</v>
      </c>
    </row>
    <row r="32435" ht="15.75" customHeight="1" spans="1:2">
      <c r="A32435" s="3" t="str">
        <f>IFERROR(__xludf.DUMMYFUNCTION("GOOGLETRANSLATE(A32435,""en"",""pt"")"),"volume de Earpeice um pouco baixo pequenino, tempo de conversação shortish")</f>
        <v>volume de Earpeice um pouco baixo pequenino, tempo de conversação shortish</v>
      </c>
      <c r="B32435" s="3">
        <v>0</v>
      </c>
    </row>
    <row r="32436" ht="15.75" customHeight="1" spans="1:2">
      <c r="A32436" s="3" t="str">
        <f>IFERROR(__xludf.DUMMYFUNCTION("GOOGLETRANSLATE(A32436,""en"",""pt"")"),"volume de chamadas insuficiente em ambientes ruidosos; função de alarme parar de trabalhar.")</f>
        <v>volume de chamadas insuficiente em ambientes ruidosos; função de alarme parar de trabalhar.</v>
      </c>
      <c r="B32436" s="3">
        <v>0</v>
      </c>
    </row>
    <row r="32437" ht="15.75" customHeight="1" spans="1:2">
      <c r="A32437" s="3" t="str">
        <f>IFERROR(__xludf.DUMMYFUNCTION("GOOGLETRANSLATE(A32437,""en"",""pt"")"),"volume não tão alto")</f>
        <v>volume não tão alto</v>
      </c>
      <c r="B32437" s="3">
        <v>0</v>
      </c>
    </row>
    <row r="32438" ht="15.75" customHeight="1" spans="1:2">
      <c r="A32438" s="3" t="str">
        <f>IFERROR(__xludf.DUMMYFUNCTION("GOOGLETRANSLATE(A32438,""en"",""pt"")"),"exibição medíocre, recursos limitados")</f>
        <v>exibição medíocre, recursos limitados</v>
      </c>
      <c r="B32438" s="3">
        <v>0</v>
      </c>
    </row>
    <row r="32439" ht="15.75" customHeight="1" spans="1:2">
      <c r="A32439" s="3" t="str">
        <f>IFERROR(__xludf.DUMMYFUNCTION("GOOGLETRANSLATE(A32439,""en"",""pt"")"),"ficha do auricular plana que sai facilmente, o volume muito baixo para mim")</f>
        <v>ficha do auricular plana que sai facilmente, o volume muito baixo para mim</v>
      </c>
      <c r="B32439" s="3">
        <v>0</v>
      </c>
    </row>
    <row r="32440" ht="15.75" customHeight="1" spans="1:2">
      <c r="A32440" s="3" t="str">
        <f>IFERROR(__xludf.DUMMYFUNCTION("GOOGLETRANSLATE(A32440,""en"",""pt"")"),"Feio ficha do auricular, não é realmente uma atualização")</f>
        <v>Feio ficha do auricular, não é realmente uma atualização</v>
      </c>
      <c r="B32440" s="3">
        <v>0</v>
      </c>
    </row>
    <row r="32441" ht="15.75" customHeight="1" spans="1:2">
      <c r="A32441" s="3" t="str">
        <f>IFERROR(__xludf.DUMMYFUNCTION("GOOGLETRANSLATE(A32441,""en"",""pt"")"),"Não há controles de volume fáceis")</f>
        <v>Não há controles de volume fáceis</v>
      </c>
      <c r="B32441" s="3">
        <v>0</v>
      </c>
    </row>
    <row r="32442" ht="15.75" customHeight="1" spans="1:2">
      <c r="A32442" s="3" t="str">
        <f>IFERROR(__xludf.DUMMYFUNCTION("GOOGLETRANSLATE(A32442,""en"",""pt"")"),"Difícil de mensagem de texto")</f>
        <v>Difícil de mensagem de texto</v>
      </c>
      <c r="B32442" s="3">
        <v>0</v>
      </c>
    </row>
    <row r="32443" ht="15.75" customHeight="1" spans="1:2">
      <c r="A32443" s="3" t="str">
        <f>IFERROR(__xludf.DUMMYFUNCTION("GOOGLETRANSLATE(A32443,""en"",""pt"")"),"Muito pouco - attatchment viva-voz é fraca.")</f>
        <v>Muito pouco - attatchment viva-voz é fraca.</v>
      </c>
      <c r="B32443" s="3">
        <v>0</v>
      </c>
    </row>
    <row r="32444" ht="15.75" customHeight="1" spans="1:2">
      <c r="A32444" s="3" t="str">
        <f>IFERROR(__xludf.DUMMYFUNCTION("GOOGLETRANSLATE(A32444,""en"",""pt"")"),"* Antena")</f>
        <v>* Antena</v>
      </c>
      <c r="B32444" s="3">
        <v>0</v>
      </c>
    </row>
    <row r="32445" ht="15.75" customHeight="1" spans="1:2">
      <c r="A32445" s="3" t="str">
        <f>IFERROR(__xludf.DUMMYFUNCTION("GOOGLETRANSLATE(A32445,""en"",""pt"")"),"recursos não suficientes")</f>
        <v>recursos não suficientes</v>
      </c>
      <c r="B32445" s="3">
        <v>0</v>
      </c>
    </row>
    <row r="32446" ht="15.75" customHeight="1" spans="1:2">
      <c r="A32446" s="3" t="s">
        <v>184</v>
      </c>
      <c r="B32446" s="3">
        <v>0</v>
      </c>
    </row>
    <row r="32447" ht="15.75" customHeight="1" spans="1:2">
      <c r="A32447" s="3" t="str">
        <f>IFERROR(__xludf.DUMMYFUNCTION("GOOGLETRANSLATE(A32447,""en"",""pt"")"),"Os 3120 parece melhor, mas u pode colocar as 3120 placas de cara no seu 3100.")</f>
        <v>Os 3120 parece melhor, mas u pode colocar as 3120 placas de cara no seu 3100.</v>
      </c>
      <c r="B32447" s="3">
        <v>0</v>
      </c>
    </row>
    <row r="32448" ht="15.75" customHeight="1" spans="1:2">
      <c r="A32448" s="3" t="str">
        <f>IFERROR(__xludf.DUMMYFUNCTION("GOOGLETRANSLATE(A32448,""en"",""pt"")"),"Horrível, horrível, terrível recepção")</f>
        <v>Horrível, horrível, terrível recepção</v>
      </c>
      <c r="B32448" s="3">
        <v>0</v>
      </c>
    </row>
    <row r="32449" ht="15.75" customHeight="1" spans="1:2">
      <c r="A32449" s="3" t="str">
        <f>IFERROR(__xludf.DUMMYFUNCTION("GOOGLETRANSLATE(A32449,""en"",""pt"")"),"a vida da bateria parece baixo, pin carregador falhou")</f>
        <v>a vida da bateria parece baixo, pin carregador falhou</v>
      </c>
      <c r="B32449" s="3">
        <v>0</v>
      </c>
    </row>
    <row r="32450" ht="15.75" customHeight="1" spans="1:2">
      <c r="A32450" s="3" t="str">
        <f>IFERROR(__xludf.DUMMYFUNCTION("GOOGLETRANSLATE(A32450,""en"",""pt"")"),"Voice Dial imprecisa, um pouco caro, sem descontos")</f>
        <v>Voice Dial imprecisa, um pouco caro, sem descontos</v>
      </c>
      <c r="B32450" s="3">
        <v>0</v>
      </c>
    </row>
    <row r="32451" ht="15.75" customHeight="1" spans="1:2">
      <c r="A32451" s="3" t="str">
        <f>IFERROR(__xludf.DUMMYFUNCTION("GOOGLETRANSLATE(A32451,""en"",""pt"")"),"Nenhum para mim. Ele funciona muito bem como um telefone.")</f>
        <v>Nenhum para mim. Ele funciona muito bem como um telefone.</v>
      </c>
      <c r="B32451" s="3">
        <v>0</v>
      </c>
    </row>
    <row r="32452" ht="15.75" customHeight="1" spans="1:2">
      <c r="A32452" s="3" t="str">
        <f>IFERROR(__xludf.DUMMYFUNCTION("GOOGLETRANSLATE(A32452,""en"",""pt"")"),"Low Battery Life, Não manter-se bem")</f>
        <v>Low Battery Life, Não manter-se bem</v>
      </c>
      <c r="B32452" s="3">
        <v>0</v>
      </c>
    </row>
    <row r="32453" ht="15.75" customHeight="1" spans="1:2">
      <c r="A32453" s="3" t="str">
        <f>IFERROR(__xludf.DUMMYFUNCTION("GOOGLETRANSLATE(A32453,""en"",""pt"")"),"No User Guide Book incluído (somente PDF). opções do menu do telefone: inconsistente. Facilidade de uso: terrível.")</f>
        <v>No User Guide Book incluído (somente PDF). opções do menu do telefone: inconsistente. Facilidade de uso: terrível.</v>
      </c>
      <c r="B32453" s="3">
        <v>0</v>
      </c>
    </row>
    <row r="32454" ht="15.75" customHeight="1" spans="1:2">
      <c r="A32454" s="3" t="str">
        <f>IFERROR(__xludf.DUMMYFUNCTION("GOOGLETRANSLATE(A32454,""en"",""pt"")"),"Não definições de retroiluminação suficientes, Encargos esporadicamente ou não em todos, sem atenção meticulosa.")</f>
        <v>Não definições de retroiluminação suficientes, Encargos esporadicamente ou não em todos, sem atenção meticulosa.</v>
      </c>
      <c r="B32454" s="3">
        <v>0</v>
      </c>
    </row>
    <row r="32455" ht="15.75" customHeight="1" spans="1:2">
      <c r="A32455" s="3" t="str">
        <f>IFERROR(__xludf.DUMMYFUNCTION("GOOGLETRANSLATE(A32455,""en"",""pt"")"),"fone de ouvido e outras tomadas de não duráveis, requer jaqueta telefone para evitar danos")</f>
        <v>fone de ouvido e outras tomadas de não duráveis, requer jaqueta telefone para evitar danos</v>
      </c>
      <c r="B32455" s="3">
        <v>0</v>
      </c>
    </row>
    <row r="32456" ht="15.75" customHeight="1" spans="1:2">
      <c r="A32456" s="3" t="str">
        <f>IFERROR(__xludf.DUMMYFUNCTION("GOOGLETRANSLATE(A32456,""en"",""pt"")"),"Tinha nada, mas problemas com o carregamento do telefone")</f>
        <v>Tinha nada, mas problemas com o carregamento do telefone</v>
      </c>
      <c r="B32456" s="3">
        <v>0</v>
      </c>
    </row>
    <row r="32457" ht="15.75" customHeight="1" spans="1:2">
      <c r="A32457" s="3" t="str">
        <f>IFERROR(__xludf.DUMMYFUNCTION("GOOGLETRANSLATE(A32457,""en"",""pt"")"),"Você precisa ter cuidado de bater o número correto - mas realmente nada mais!")</f>
        <v>Você precisa ter cuidado de bater o número correto - mas realmente nada mais!</v>
      </c>
      <c r="B32457" s="3">
        <v>0</v>
      </c>
    </row>
    <row r="32458" ht="15.75" customHeight="1" spans="1:2">
      <c r="A32458" s="3" t="str">
        <f>IFERROR(__xludf.DUMMYFUNCTION("GOOGLETRANSLATE(A32458,""en"",""pt"")"),"desenho de telefone, começa lotes ou arranhões rapidamente!")</f>
        <v>desenho de telefone, começa lotes ou arranhões rapidamente!</v>
      </c>
      <c r="B32458" s="3">
        <v>0</v>
      </c>
    </row>
    <row r="32459" ht="15.75" customHeight="1" spans="1:2">
      <c r="A32459" s="3" t="str">
        <f>IFERROR(__xludf.DUMMYFUNCTION("GOOGLETRANSLATE(A32459,""en"",""pt"")"),"Durabilidade, recepção, qualidade de imagem, discagem rápida")</f>
        <v>Durabilidade, recepção, qualidade de imagem, discagem rápida</v>
      </c>
      <c r="B32459" s="3">
        <v>0</v>
      </c>
    </row>
    <row r="32460" ht="15.75" customHeight="1" spans="1:2">
      <c r="A32460" s="3" t="str">
        <f>IFERROR(__xludf.DUMMYFUNCTION("GOOGLETRANSLATE(A32460,""en"",""pt"")"),"Teve que substituir depois de 6 semanas")</f>
        <v>Teve que substituir depois de 6 semanas</v>
      </c>
      <c r="B32460" s="3">
        <v>0</v>
      </c>
    </row>
    <row r="32461" ht="15.75" customHeight="1" spans="1:2">
      <c r="A32461" s="3" t="str">
        <f>IFERROR(__xludf.DUMMYFUNCTION("GOOGLETRANSLATE(A32461,""en"",""pt"")"),"Camera Limited, Menus um pouco mais difícil de usar, navegador de 5 direções pouco estranho, Qualidade de Construção?")</f>
        <v>Camera Limited, Menus um pouco mais difícil de usar, navegador de 5 direções pouco estranho, Qualidade de Construção?</v>
      </c>
      <c r="B32461" s="3">
        <v>0</v>
      </c>
    </row>
    <row r="32462" ht="15.75" customHeight="1" spans="1:2">
      <c r="A32462" s="3" t="str">
        <f>IFERROR(__xludf.DUMMYFUNCTION("GOOGLETRANSLATE(A32462,""en"",""pt"")"),"Photo Quality não é bom, a vida da bateria facilmente drenado")</f>
        <v>Photo Quality não é bom, a vida da bateria facilmente drenado</v>
      </c>
      <c r="B32462" s="3">
        <v>0</v>
      </c>
    </row>
    <row r="32463" ht="15.75" customHeight="1" spans="1:2">
      <c r="A32463" s="3" t="str">
        <f>IFERROR(__xludf.DUMMYFUNCTION("GOOGLETRANSLATE(A32463,""en"",""pt"")"),"alguns podem achar uma autonomia de 2,5 horas limitantes; não analógico de roaming")</f>
        <v>alguns podem achar uma autonomia de 2,5 horas limitantes; não analógico de roaming</v>
      </c>
      <c r="B32463" s="3">
        <v>0</v>
      </c>
    </row>
    <row r="32464" ht="15.75" customHeight="1" spans="1:2">
      <c r="A32464" s="3" t="str">
        <f>IFERROR(__xludf.DUMMYFUNCTION("GOOGLETRANSLATE(A32464,""en"",""pt"")"),"nenhum alto-falante ou flash ou zoom na câmera")</f>
        <v>nenhum alto-falante ou flash ou zoom na câmera</v>
      </c>
      <c r="B32464" s="3">
        <v>0</v>
      </c>
    </row>
    <row r="32465" ht="15.75" customHeight="1" spans="1:2">
      <c r="A32465" s="3" t="str">
        <f>IFERROR(__xludf.DUMMYFUNCTION("GOOGLETRANSLATE(A32465,""en"",""pt"")"),"Durabilidade, vida útil da bateria")</f>
        <v>Durabilidade, vida útil da bateria</v>
      </c>
      <c r="B32465" s="3">
        <v>0</v>
      </c>
    </row>
    <row r="32466" ht="15.75" customHeight="1" spans="1:2">
      <c r="A32466" s="3" t="str">
        <f>IFERROR(__xludf.DUMMYFUNCTION("GOOGLETRANSLATE(A32466,""en"",""pt"")"),"Apertado dobradiça / difíceis de abrir com uma mão, câmera só é bom na luz brilhante")</f>
        <v>Apertado dobradiça / difíceis de abrir com uma mão, câmera só é bom na luz brilhante</v>
      </c>
      <c r="B32466" s="3">
        <v>0</v>
      </c>
    </row>
    <row r="32467" ht="15.75" customHeight="1" spans="1:2">
      <c r="A32467" s="3" t="str">
        <f>IFERROR(__xludf.DUMMYFUNCTION("GOOGLETRANSLATE(A32467,""en"",""pt"")"),"Sem capacidade analógica de roaming limita o alcance do telefone. No indicador externo ""mensagem em espera"".")</f>
        <v>Sem capacidade analógica de roaming limita o alcance do telefone. No indicador externo "mensagem em espera".</v>
      </c>
      <c r="B32467" s="3">
        <v>0</v>
      </c>
    </row>
    <row r="32468" ht="15.75" customHeight="1" spans="1:2">
      <c r="A32468" s="3" t="str">
        <f>IFERROR(__xludf.DUMMYFUNCTION("GOOGLETRANSLATE(A32468,""en"",""pt"")"),"Sinal, por vezes, Display Não Cor Exterior, 20 Pics Tops para câmera")</f>
        <v>Sinal, por vezes, Display Não Cor Exterior, 20 Pics Tops para câmera</v>
      </c>
      <c r="B32468" s="3">
        <v>0</v>
      </c>
    </row>
    <row r="32469" ht="15.75" customHeight="1" spans="1:2">
      <c r="A32469" s="3" t="str">
        <f>IFERROR(__xludf.DUMMYFUNCTION("GOOGLETRANSLATE(A32469,""en"",""pt"")"),"vida útil da bateria, a falta de recursos padrão (grátis)")</f>
        <v>vida útil da bateria, a falta de recursos padrão (grátis)</v>
      </c>
      <c r="B32469" s="3">
        <v>0</v>
      </c>
    </row>
    <row r="32470" ht="15.75" customHeight="1" spans="1:2">
      <c r="A32470" s="3" t="str">
        <f>IFERROR(__xludf.DUMMYFUNCTION("GOOGLETRANSLATE(A32470,""en"",""pt"")"),"nenhum bloqueio para os botões de fora, caso protetor faz para carregamento inconveniente.")</f>
        <v>nenhum bloqueio para os botões de fora, caso protetor faz para carregamento inconveniente.</v>
      </c>
      <c r="B32470" s="3">
        <v>0</v>
      </c>
    </row>
    <row r="32471" ht="15.75" customHeight="1" spans="1:2">
      <c r="A32471" s="3" t="str">
        <f>IFERROR(__xludf.DUMMYFUNCTION("GOOGLETRANSLATE(A32471,""en"",""pt"")"),"controle de má qualidade, de modo único (digital), uma elevada vulnerabilidade à humidade, muito baixa fiabilidade.")</f>
        <v>controle de má qualidade, de modo único (digital), uma elevada vulnerabilidade à humidade, muito baixa fiabilidade.</v>
      </c>
      <c r="B32471" s="3">
        <v>0</v>
      </c>
    </row>
    <row r="32472" ht="15.75" customHeight="1" spans="1:2">
      <c r="A32472" s="3" t="str">
        <f>IFERROR(__xludf.DUMMYFUNCTION("GOOGLETRANSLATE(A32472,""en"",""pt"")"),"muito kiddish, câmera ruim, catálogo de telefones complicado, às vezes cai chamadas após abuso ligeira.")</f>
        <v>muito kiddish, câmera ruim, catálogo de telefones complicado, às vezes cai chamadas após abuso ligeira.</v>
      </c>
      <c r="B32472" s="3">
        <v>0</v>
      </c>
    </row>
    <row r="32473" ht="15.75" customHeight="1" spans="1:2">
      <c r="A32473" s="3" t="str">
        <f>IFERROR(__xludf.DUMMYFUNCTION("GOOGLETRANSLATE(A32473,""en"",""pt"")"),"toques não são tão grandes, difíceis de encontrar números com dedos sem olhar")</f>
        <v>toques não são tão grandes, difíceis de encontrar números com dedos sem olhar</v>
      </c>
      <c r="B32473" s="3">
        <v>0</v>
      </c>
    </row>
    <row r="32474" ht="15.75" customHeight="1" spans="1:2">
      <c r="A32474" s="3" t="str">
        <f>IFERROR(__xludf.DUMMYFUNCTION("GOOGLETRANSLATE(A32474,""en"",""pt"")"),"curta duração da bateria.")</f>
        <v>curta duração da bateria.</v>
      </c>
      <c r="B32474" s="3">
        <v>0</v>
      </c>
    </row>
    <row r="32475" ht="15.75" customHeight="1" spans="1:2">
      <c r="A32475" s="3" t="str">
        <f>IFERROR(__xludf.DUMMYFUNCTION("GOOGLETRANSLATE(A32475,""en"",""pt"")"),"A vida da bateria, memória de imagem, os custos de aplicação")</f>
        <v>A vida da bateria, memória de imagem, os custos de aplicação</v>
      </c>
      <c r="B32475" s="3">
        <v>0</v>
      </c>
    </row>
    <row r="32476" ht="15.75" customHeight="1" spans="1:2">
      <c r="A32476" s="3" t="str">
        <f>IFERROR(__xludf.DUMMYFUNCTION("GOOGLETRANSLATE(A32476,""en"",""pt"")"),"caso couro tem que ser removida para uso carregador de base.")</f>
        <v>caso couro tem que ser removida para uso carregador de base.</v>
      </c>
      <c r="B32476" s="3">
        <v>0</v>
      </c>
    </row>
    <row r="32477" ht="15.75" customHeight="1" spans="1:2">
      <c r="A32477" s="3" t="str">
        <f>IFERROR(__xludf.DUMMYFUNCTION("GOOGLETRANSLATE(A32477,""en"",""pt"")"),"No viva-voz, mas eu nunca iria usá-lo. Sem flash, mas isso é um assassino bateria.")</f>
        <v>No viva-voz, mas eu nunca iria usá-lo. Sem flash, mas isso é um assassino bateria.</v>
      </c>
      <c r="B32477" s="3">
        <v>0</v>
      </c>
    </row>
    <row r="32478" ht="15.75" customHeight="1" spans="1:2">
      <c r="A32478" s="3" t="str">
        <f>IFERROR(__xludf.DUMMYFUNCTION("GOOGLETRANSLATE(A32478,""en"",""pt"")"),"má qualidade de imagem, não há muita diferença em termos de serviço, dinheiro extra para a imagem transferindo")</f>
        <v>má qualidade de imagem, não há muita diferença em termos de serviço, dinheiro extra para a imagem transferindo</v>
      </c>
      <c r="B32478" s="3">
        <v>0</v>
      </c>
    </row>
    <row r="32479" ht="15.75" customHeight="1" spans="1:2">
      <c r="A32479" s="3" t="str">
        <f>IFERROR(__xludf.DUMMYFUNCTION("GOOGLETRANSLATE(A32479,""en"",""pt"")"),"tem algum sério pobre pensamento para fora questões de design.")</f>
        <v>tem algum sério pobre pensamento para fora questões de design.</v>
      </c>
      <c r="B32479" s="3">
        <v>0</v>
      </c>
    </row>
    <row r="32480" ht="15.75" customHeight="1" spans="1:2">
      <c r="A32480" s="3" t="str">
        <f>IFERROR(__xludf.DUMMYFUNCTION("GOOGLETRANSLATE(A32480,""en"",""pt"")"),"Má qualidade, discagem por voz fraca, preços indecorosa de opções pela Verizon, não pode facilmente baixar imagens")</f>
        <v>Má qualidade, discagem por voz fraca, preços indecorosa de opções pela Verizon, não pode facilmente baixar imagens</v>
      </c>
      <c r="B32480" s="3">
        <v>0</v>
      </c>
    </row>
    <row r="32481" ht="15.75" customHeight="1" spans="1:2">
      <c r="A32481" s="3" t="str">
        <f>IFERROR(__xludf.DUMMYFUNCTION("GOOGLETRANSLATE(A32481,""en"",""pt"")"),"A vida da bateria não dura muito tempo")</f>
        <v>A vida da bateria não dura muito tempo</v>
      </c>
      <c r="B32481" s="3">
        <v>0</v>
      </c>
    </row>
    <row r="32482" ht="15.75" customHeight="1" spans="1:2">
      <c r="A32482" s="3" t="str">
        <f>IFERROR(__xludf.DUMMYFUNCTION("GOOGLETRANSLATE(A32482,""en"",""pt"")"),"problemas de qualidade constante.")</f>
        <v>problemas de qualidade constante.</v>
      </c>
      <c r="B32482" s="3">
        <v>0</v>
      </c>
    </row>
    <row r="32483" ht="15.75" customHeight="1" spans="1:2">
      <c r="A32483" s="3" t="str">
        <f>IFERROR(__xludf.DUMMYFUNCTION("GOOGLETRANSLATE(A32483,""en"",""pt"")"),"A vida da bateria depois de vários meses!")</f>
        <v>A vida da bateria depois de vários meses!</v>
      </c>
      <c r="B32483" s="3">
        <v>0</v>
      </c>
    </row>
    <row r="32484" ht="15.75" customHeight="1" spans="1:2">
      <c r="A32484" s="3" t="str">
        <f>IFERROR(__xludf.DUMMYFUNCTION("GOOGLETRANSLATE(A32484,""en"",""pt"")"),"Botões de navegação muito pequeno. Fica um pouco quente após o uso prolongado.")</f>
        <v>Botões de navegação muito pequeno. Fica um pouco quente após o uso prolongado.</v>
      </c>
      <c r="B32484" s="3">
        <v>0</v>
      </c>
    </row>
    <row r="32485" ht="15.75" customHeight="1" spans="1:2">
      <c r="A32485" s="3" t="str">
        <f>IFERROR(__xludf.DUMMYFUNCTION("GOOGLETRANSLATE(A32485,""en"",""pt"")"),"NÃO confiável! Comprar a garantia estendida! A voz realmente computador difícil de entender.")</f>
        <v>NÃO confiável! Comprar a garantia estendida! A voz realmente computador difícil de entender.</v>
      </c>
      <c r="B32485" s="3">
        <v>0</v>
      </c>
    </row>
    <row r="32486" ht="15.75" customHeight="1" spans="1:2">
      <c r="A32486" s="3" t="str">
        <f>IFERROR(__xludf.DUMMYFUNCTION("GOOGLETRANSLATE(A32486,""en"",""pt"")"),"Baixa resolução imagem, sem viva-voz, toques precisa ser mais alto nas alturas")</f>
        <v>Baixa resolução imagem, sem viva-voz, toques precisa ser mais alto nas alturas</v>
      </c>
      <c r="B32486" s="3">
        <v>0</v>
      </c>
    </row>
    <row r="32487" ht="15.75" customHeight="1" spans="1:2">
      <c r="A32487" s="3" t="str">
        <f>IFERROR(__xludf.DUMMYFUNCTION("GOOGLETRANSLATE(A32487,""en"",""pt"")"),"internet móvel poderia ser melhor")</f>
        <v>internet móvel poderia ser melhor</v>
      </c>
      <c r="B32487" s="3">
        <v>0</v>
      </c>
    </row>
    <row r="32488" ht="15.75" customHeight="1" spans="1:2">
      <c r="A32488" s="3" t="str">
        <f>IFERROR(__xludf.DUMMYFUNCTION("GOOGLETRANSLATE(A32488,""en"",""pt"")"),"um pouco demasiado suave e arredondado que é por isso que eu deixei cair meu algumas vezes.")</f>
        <v>um pouco demasiado suave e arredondado que é por isso que eu deixei cair meu algumas vezes.</v>
      </c>
      <c r="B32488" s="3">
        <v>0</v>
      </c>
    </row>
    <row r="32489" ht="15.75" customHeight="1" spans="1:2">
      <c r="A32489" s="3" t="str">
        <f>IFERROR(__xludf.DUMMYFUNCTION("GOOGLETRANSLATE(A32489,""en"",""pt"")"),"É bastante grande, e falta de bluetooth")</f>
        <v>É bastante grande, e falta de bluetooth</v>
      </c>
      <c r="B32489" s="3">
        <v>0</v>
      </c>
    </row>
    <row r="32490" ht="15.75" customHeight="1" spans="1:2">
      <c r="A32490" s="3" t="str">
        <f>IFERROR(__xludf.DUMMYFUNCTION("GOOGLETRANSLATE(A32490,""en"",""pt"")"),"vida útil da bateria, só pode armazenar 20 pics, não o melhor olhando telefone lá fora")</f>
        <v>vida útil da bateria, só pode armazenar 20 pics, não o melhor olhando telefone lá fora</v>
      </c>
      <c r="B32490" s="3">
        <v>0</v>
      </c>
    </row>
    <row r="32491" ht="15.75" customHeight="1" spans="1:2">
      <c r="A32491" s="3" t="str">
        <f>IFERROR(__xludf.DUMMYFUNCTION("GOOGLETRANSLATE(A32491,""en"",""pt"")"),"estranho desligar problemas")</f>
        <v>estranho desligar problemas</v>
      </c>
      <c r="B32491" s="3">
        <v>0</v>
      </c>
    </row>
    <row r="32492" ht="15.75" customHeight="1" spans="1:2">
      <c r="A32492" s="3" t="str">
        <f>IFERROR(__xludf.DUMMYFUNCTION("GOOGLETRANSLATE(A32492,""en"",""pt"")"),"Não boa qualidade telefone.")</f>
        <v>Não boa qualidade telefone.</v>
      </c>
      <c r="B32492" s="3">
        <v>0</v>
      </c>
    </row>
    <row r="32493" ht="15.75" customHeight="1" spans="1:2">
      <c r="A32493" s="3" t="str">
        <f>IFERROR(__xludf.DUMMYFUNCTION("GOOGLETRANSLATE(A32493,""en"",""pt"")"),"Sinal, Conexão, pequenos botões, faça barato, facilmente amassado / arrastado, sem viva-voz")</f>
        <v>Sinal, Conexão, pequenos botões, faça barato, facilmente amassado / arrastado, sem viva-voz</v>
      </c>
      <c r="B32493" s="3">
        <v>0</v>
      </c>
    </row>
    <row r="32494" ht="15.75" customHeight="1" spans="1:2">
      <c r="A32494" s="3" t="str">
        <f>IFERROR(__xludf.DUMMYFUNCTION("GOOGLETRANSLATE(A32494,""en"",""pt"")"),"Eles não vão recordar este telefone para crappiness.")</f>
        <v>Eles não vão recordar este telefone para crappiness.</v>
      </c>
      <c r="B32494" s="3">
        <v>0</v>
      </c>
    </row>
    <row r="32495" ht="15.75" customHeight="1" spans="1:2">
      <c r="A32495" s="3" t="str">
        <f>IFERROR(__xludf.DUMMYFUNCTION("GOOGLETRANSLATE(A32495,""en"",""pt"")"),"mau clip, alerta correio de voz irritante, sem voz, as fotos embaçadas")</f>
        <v>mau clip, alerta correio de voz irritante, sem voz, as fotos embaçadas</v>
      </c>
      <c r="B32495" s="3">
        <v>0</v>
      </c>
    </row>
    <row r="32496" ht="15.75" customHeight="1" spans="1:2">
      <c r="A32496" s="3" t="str">
        <f>IFERROR(__xludf.DUMMYFUNCTION("GOOGLETRANSLATE(A32496,""en"",""pt"")"),"Construído por Lg, realiability / durabilidade")</f>
        <v>Construído por Lg, realiability / durabilidade</v>
      </c>
      <c r="B32496" s="3">
        <v>0</v>
      </c>
    </row>
    <row r="32497" ht="15.75" customHeight="1" spans="1:2">
      <c r="A32497" s="3" t="str">
        <f>IFERROR(__xludf.DUMMYFUNCTION("GOOGLETRANSLATE(A32497,""en"",""pt"")"),"Pequena vida útil da bateria")</f>
        <v>Pequena vida útil da bateria</v>
      </c>
      <c r="B32497" s="3">
        <v>0</v>
      </c>
    </row>
    <row r="32498" ht="15.75" customHeight="1" spans="1:2">
      <c r="A32498" s="3" t="str">
        <f>IFERROR(__xludf.DUMMYFUNCTION("GOOGLETRANSLATE(A32498,""en"",""pt"")"),"poderia usar um telefone alto-falante")</f>
        <v>poderia usar um telefone alto-falante</v>
      </c>
      <c r="B32498" s="3">
        <v>0</v>
      </c>
    </row>
    <row r="32499" ht="15.75" customHeight="1" spans="1:2">
      <c r="A32499" s="3" t="str">
        <f>IFERROR(__xludf.DUMMYFUNCTION("GOOGLETRANSLATE(A32499,""en"",""pt"")"),"Não Bluetooth? que raio é aquilo??")</f>
        <v>Não Bluetooth? que raio é aquilo??</v>
      </c>
      <c r="B32499" s="3">
        <v>0</v>
      </c>
    </row>
    <row r="32500" ht="15.75" customHeight="1" spans="1:2">
      <c r="A32500" s="3" t="str">
        <f>IFERROR(__xludf.DUMMYFUNCTION("GOOGLETRANSLATE(A32500,""en"",""pt"")"),"Apenas um jogo")</f>
        <v>Apenas um jogo</v>
      </c>
      <c r="B32500" s="3">
        <v>0</v>
      </c>
    </row>
    <row r="32501" ht="15.75" customHeight="1" spans="1:2">
      <c r="A32501" s="3" t="str">
        <f>IFERROR(__xludf.DUMMYFUNCTION("GOOGLETRANSLATE(A32501,""en"",""pt"")"),"Preço, possível recepção fraca em GSM1900, memória")</f>
        <v>Preço, possível recepção fraca em GSM1900, memória</v>
      </c>
      <c r="B32501" s="3">
        <v>0</v>
      </c>
    </row>
    <row r="32502" ht="15.75" customHeight="1" spans="1:2">
      <c r="A32502" s="3" t="str">
        <f>IFERROR(__xludf.DUMMYFUNCTION("GOOGLETRANSLATE(A32502,""en"",""pt"")"),"Sem FM Radio ou Bluetooth, caro")</f>
        <v>Sem FM Radio ou Bluetooth, caro</v>
      </c>
      <c r="B32502" s="3">
        <v>0</v>
      </c>
    </row>
    <row r="32503" ht="15.75" customHeight="1" spans="1:2">
      <c r="A32503" s="3" t="str">
        <f>IFERROR(__xludf.DUMMYFUNCTION("GOOGLETRANSLATE(A32503,""en"",""pt"")"),"Sem rádio, sem memo voz, apenas um jogo incluído")</f>
        <v>Sem rádio, sem memo voz, apenas um jogo incluído</v>
      </c>
      <c r="B32503" s="3">
        <v>0</v>
      </c>
    </row>
    <row r="32504" ht="15.75" customHeight="1" spans="1:2">
      <c r="A32504" s="3" t="str">
        <f>IFERROR(__xludf.DUMMYFUNCTION("GOOGLETRANSLATE(A32504,""en"",""pt"")"),"não Bluetooth")</f>
        <v>não Bluetooth</v>
      </c>
      <c r="B32504" s="3">
        <v>0</v>
      </c>
    </row>
    <row r="32505" ht="15.75" customHeight="1" spans="1:2">
      <c r="A32505" s="3" t="str">
        <f>IFERROR(__xludf.DUMMYFUNCTION("GOOGLETRANSLATE(A32505,""en"",""pt"")"),"parece abit frágil")</f>
        <v>parece abit frágil</v>
      </c>
      <c r="B32505" s="3">
        <v>0</v>
      </c>
    </row>
    <row r="32506" ht="15.75" customHeight="1" spans="1:2">
      <c r="A32506" s="3" t="str">
        <f>IFERROR(__xludf.DUMMYFUNCTION("GOOGLETRANSLATE(A32506,""en"",""pt"")"),"Pequenos botões, tela pequena, sem telefone alto-falante, não compatível com Bluetooth.")</f>
        <v>Pequenos botões, tela pequena, sem telefone alto-falante, não compatível com Bluetooth.</v>
      </c>
      <c r="B32506" s="3">
        <v>0</v>
      </c>
    </row>
    <row r="32507" ht="15.75" customHeight="1" spans="1:2">
      <c r="A32507" s="3" t="str">
        <f>IFERROR(__xludf.DUMMYFUNCTION("GOOGLETRANSLATE(A32507,""en"",""pt"")"),"T68i, sem bluetooth, sem sincronização Palm Desktop (ainda)")</f>
        <v>T68i, sem bluetooth, sem sincronização Palm Desktop (ainda)</v>
      </c>
      <c r="B32507" s="3">
        <v>0</v>
      </c>
    </row>
    <row r="32508" ht="15.75" customHeight="1" spans="1:2">
      <c r="A32508" s="3" t="str">
        <f>IFERROR(__xludf.DUMMYFUNCTION("GOOGLETRANSLATE(A32508,""en"",""pt"")"),"Sem alarme recorrente, não que bem apoiado nos EUA (ainda), não bluetooth, não é barato")</f>
        <v>Sem alarme recorrente, não que bem apoiado nos EUA (ainda), não bluetooth, não é barato</v>
      </c>
      <c r="B32508" s="3">
        <v>0</v>
      </c>
    </row>
    <row r="32509" ht="15.75" customHeight="1" spans="1:2">
      <c r="A32509" s="3" t="str">
        <f>IFERROR(__xludf.DUMMYFUNCTION("GOOGLETRANSLATE(A32509,""en"",""pt"")"),"inexpressivo")</f>
        <v>inexpressivo</v>
      </c>
      <c r="B32509" s="3">
        <v>0</v>
      </c>
    </row>
    <row r="32510" ht="15.75" customHeight="1" spans="1:2">
      <c r="A32510" s="3" t="str">
        <f>IFERROR(__xludf.DUMMYFUNCTION("GOOGLETRANSLATE(A32510,""en"",""pt"")"),"Não Bluetooth, sem câmera e curta duração da bateria")</f>
        <v>Não Bluetooth, sem câmera e curta duração da bateria</v>
      </c>
      <c r="B32510" s="3">
        <v>0</v>
      </c>
    </row>
    <row r="32511" ht="15.75" customHeight="1" spans="1:2">
      <c r="A32511" s="3" t="str">
        <f>IFERROR(__xludf.DUMMYFUNCTION("GOOGLETRANSLATE(A32511,""en"",""pt"")"),"não Bluetooth")</f>
        <v>não Bluetooth</v>
      </c>
      <c r="B32511" s="3">
        <v>0</v>
      </c>
    </row>
    <row r="32512" ht="15.75" customHeight="1" spans="1:2">
      <c r="A32512" s="3" t="str">
        <f>IFERROR(__xludf.DUMMYFUNCTION("GOOGLETRANSLATE(A32512,""en"",""pt"")"),"nada")</f>
        <v>nada</v>
      </c>
      <c r="B32512" s="3">
        <v>0</v>
      </c>
    </row>
    <row r="32513" ht="15.75" customHeight="1" spans="1:2">
      <c r="A32513" s="3" t="str">
        <f>IFERROR(__xludf.DUMMYFUNCTION("GOOGLETRANSLATE(A32513,""en"",""pt"")"),"Ele não tem bluetooth e eu preferiria uma melhor qualidade invólucro talvez metal.")</f>
        <v>Ele não tem bluetooth e eu preferiria uma melhor qualidade invólucro talvez metal.</v>
      </c>
      <c r="B32513" s="3">
        <v>0</v>
      </c>
    </row>
    <row r="32514" ht="15.75" customHeight="1" spans="1:2">
      <c r="A32514" s="3" t="str">
        <f>IFERROR(__xludf.DUMMYFUNCTION("GOOGLETRANSLATE(A32514,""en"",""pt"")"),"justo clareza grahic")</f>
        <v>justo clareza grahic</v>
      </c>
      <c r="B32514" s="3">
        <v>0</v>
      </c>
    </row>
    <row r="32515" ht="15.75" customHeight="1" spans="1:2">
      <c r="A32515" s="3" t="str">
        <f>IFERROR(__xludf.DUMMYFUNCTION("GOOGLETRANSLATE(A32515,""en"",""pt"")"),"Nada até agora!")</f>
        <v>Nada até agora!</v>
      </c>
      <c r="B32515" s="3">
        <v>0</v>
      </c>
    </row>
    <row r="32516" ht="15.75" customHeight="1" spans="1:2">
      <c r="A32516" s="3" t="str">
        <f>IFERROR(__xludf.DUMMYFUNCTION("GOOGLETRANSLATE(A32516,""en"",""pt"")"),"Não muito")</f>
        <v>Não muito</v>
      </c>
      <c r="B32516" s="3">
        <v>0</v>
      </c>
    </row>
    <row r="32517" ht="15.75" customHeight="1" spans="1:2">
      <c r="A32517" s="3" t="str">
        <f>IFERROR(__xludf.DUMMYFUNCTION("GOOGLETRANSLATE(A32517,""en"",""pt"")"),"Diminuindo a vida da bateria.")</f>
        <v>Diminuindo a vida da bateria.</v>
      </c>
      <c r="B32517" s="3">
        <v>0</v>
      </c>
    </row>
    <row r="32518" ht="15.75" customHeight="1" spans="1:2">
      <c r="A32518" s="3" t="str">
        <f>IFERROR(__xludf.DUMMYFUNCTION("GOOGLETRANSLATE(A32518,""en"",""pt"")"),"Os botões são difíceis de empurrar individualmente; você pode discar um número errado de forma muito fácil.")</f>
        <v>Os botões são difíceis de empurrar individualmente; você pode discar um número errado de forma muito fácil.</v>
      </c>
      <c r="B32518" s="3">
        <v>0</v>
      </c>
    </row>
    <row r="32519" ht="15.75" customHeight="1" spans="1:2">
      <c r="A32519" s="3" t="str">
        <f>IFERROR(__xludf.DUMMYFUNCTION("GOOGLETRANSLATE(A32519,""en"",""pt"")"),"Carece de boa segurança, nem tudo Características Avaliable em todos os lugares, tela difícil de ver na luz solar")</f>
        <v>Carece de boa segurança, nem tudo Características Avaliable em todos os lugares, tela difícil de ver na luz solar</v>
      </c>
      <c r="B32519" s="3">
        <v>0</v>
      </c>
    </row>
    <row r="32520" ht="15.75" customHeight="1" spans="1:2">
      <c r="A32520" s="3" t="str">
        <f>IFERROR(__xludf.DUMMYFUNCTION("GOOGLETRANSLATE(A32520,""en"",""pt"")"),"Não WAP navegador, viva-voz ou teclas de volume dedicado, botão de energia difícil de uso")</f>
        <v>Não WAP navegador, viva-voz ou teclas de volume dedicado, botão de energia difícil de uso</v>
      </c>
      <c r="B32520" s="3">
        <v>0</v>
      </c>
    </row>
    <row r="32521" ht="15.75" customHeight="1" spans="1:2">
      <c r="A32521" s="3" t="str">
        <f>IFERROR(__xludf.DUMMYFUNCTION("GOOGLETRANSLATE(A32521,""en"",""pt"")"),"Parece que todo mundo tem um, TDMA ??")</f>
        <v>Parece que todo mundo tem um, TDMA ??</v>
      </c>
      <c r="B32521" s="3">
        <v>0</v>
      </c>
    </row>
    <row r="32522" ht="15.75" customHeight="1" spans="1:2">
      <c r="A32522" s="3" t="str">
        <f>IFERROR(__xludf.DUMMYFUNCTION("GOOGLETRANSLATE(A32522,""en"",""pt"")"),"tons não transferíveis e sem Internet")</f>
        <v>tons não transferíveis e sem Internet</v>
      </c>
      <c r="B32522" s="3">
        <v>0</v>
      </c>
    </row>
    <row r="32523" ht="15.75" customHeight="1" spans="1:2">
      <c r="A32523" s="3" t="str">
        <f>IFERROR(__xludf.DUMMYFUNCTION("GOOGLETRANSLATE(A32523,""en"",""pt"")"),"jogos tendem a comer-se a vida da bateria.")</f>
        <v>jogos tendem a comer-se a vida da bateria.</v>
      </c>
      <c r="B32523" s="3">
        <v>0</v>
      </c>
    </row>
    <row r="32524" ht="15.75" customHeight="1" spans="1:2">
      <c r="A32524" s="3" t="str">
        <f>IFERROR(__xludf.DUMMYFUNCTION("GOOGLETRANSLATE(A32524,""en"",""pt"")"),"Não muito.")</f>
        <v>Não muito.</v>
      </c>
      <c r="B32524" s="3">
        <v>0</v>
      </c>
    </row>
    <row r="32525" ht="15.75" customHeight="1" spans="1:2">
      <c r="A32525" s="3" t="str">
        <f>IFERROR(__xludf.DUMMYFUNCTION("GOOGLETRANSLATE(A32525,""en"",""pt"")"),"Nenhuma câmera; papéis de parede e esquemas de cores coxo; marcação por voz por apenas 10 números")</f>
        <v>Nenhuma câmera; papéis de parede e esquemas de cores coxo; marcação por voz por apenas 10 números</v>
      </c>
      <c r="B32525" s="3">
        <v>0</v>
      </c>
    </row>
    <row r="32526" ht="15.75" customHeight="1" spans="1:2">
      <c r="A32526" s="3" t="str">
        <f>IFERROR(__xludf.DUMMYFUNCTION("GOOGLETRANSLATE(A32526,""en"",""pt"")"),"Nada até agora!")</f>
        <v>Nada até agora!</v>
      </c>
      <c r="B32526" s="3">
        <v>0</v>
      </c>
    </row>
    <row r="32527" ht="15.75" customHeight="1" spans="1:2">
      <c r="A32527" s="3" t="str">
        <f>IFERROR(__xludf.DUMMYFUNCTION("GOOGLETRANSLATE(A32527,""en"",""pt"")"),"Difícil de ver a tela sob a luz solar.")</f>
        <v>Difícil de ver a tela sob a luz solar.</v>
      </c>
      <c r="B32527" s="3">
        <v>0</v>
      </c>
    </row>
    <row r="32528" ht="15.75" customHeight="1" spans="1:2">
      <c r="A32528" s="3" t="str">
        <f>IFERROR(__xludf.DUMMYFUNCTION("GOOGLETRANSLATE(A32528,""en"",""pt"")"),"Tem muitos recursos, mas poderia haver mais")</f>
        <v>Tem muitos recursos, mas poderia haver mais</v>
      </c>
      <c r="B32528" s="3">
        <v>0</v>
      </c>
    </row>
    <row r="32529" ht="15.75" customHeight="1" spans="1:2">
      <c r="A32529" s="3" t="str">
        <f>IFERROR(__xludf.DUMMYFUNCTION("GOOGLETRANSLATE(A32529,""en"",""pt"")"),"mensagens de imagem faz telefone não média câmera")</f>
        <v>mensagens de imagem faz telefone não média câmera</v>
      </c>
      <c r="B32529" s="3">
        <v>0</v>
      </c>
    </row>
    <row r="32530" ht="15.75" customHeight="1" spans="1:2">
      <c r="A32530" s="3" t="str">
        <f>IFERROR(__xludf.DUMMYFUNCTION("GOOGLETRANSLATE(A32530,""en"",""pt"")"),"Não Web Ativado")</f>
        <v>Não Web Ativado</v>
      </c>
      <c r="B32530" s="3">
        <v>0</v>
      </c>
    </row>
    <row r="32531" ht="15.75" customHeight="1" spans="1:2">
      <c r="A32531" s="3" t="str">
        <f>IFERROR(__xludf.DUMMYFUNCTION("GOOGLETRANSLATE(A32531,""en"",""pt"")"),"O teclado circular é um pouco ... diferente.")</f>
        <v>O teclado circular é um pouco ... diferente.</v>
      </c>
      <c r="B32531" s="3">
        <v>0</v>
      </c>
    </row>
    <row r="32532" ht="15.75" customHeight="1" spans="1:2">
      <c r="A32532" s="3" t="str">
        <f>IFERROR(__xludf.DUMMYFUNCTION("GOOGLETRANSLATE(A32532,""en"",""pt"")"),"No Web Access, seleção limitada em ringtones e gráficos")</f>
        <v>No Web Access, seleção limitada em ringtones e gráficos</v>
      </c>
      <c r="B32532" s="3">
        <v>0</v>
      </c>
    </row>
    <row r="32533" ht="15.75" customHeight="1" spans="1:2">
      <c r="A32533" s="3" t="str">
        <f>IFERROR(__xludf.DUMMYFUNCTION("GOOGLETRANSLATE(A32533,""en"",""pt"")"),"acessórios são difíceis de encontrar.")</f>
        <v>acessórios são difíceis de encontrar.</v>
      </c>
      <c r="B32533" s="3">
        <v>0</v>
      </c>
    </row>
    <row r="32534" ht="15.75" customHeight="1" spans="1:2">
      <c r="A32534" s="3" t="str">
        <f>IFERROR(__xludf.DUMMYFUNCTION("GOOGLETRANSLATE(A32534,""en"",""pt"")"),"tamanho grande, para baixar incapaz")</f>
        <v>tamanho grande, para baixar incapaz</v>
      </c>
      <c r="B32534" s="3">
        <v>0</v>
      </c>
    </row>
    <row r="32535" ht="15.75" customHeight="1" spans="1:2">
      <c r="A32535" s="3" t="str">
        <f>IFERROR(__xludf.DUMMYFUNCTION("GOOGLETRANSLATE(A32535,""en"",""pt"")"),"vida curta da bateria, design pobre do teclado faz com número errado perfurado")</f>
        <v>vida curta da bateria, design pobre do teclado faz com número errado perfurado</v>
      </c>
      <c r="B32535" s="3">
        <v>0</v>
      </c>
    </row>
    <row r="32536" ht="15.75" customHeight="1" spans="1:2">
      <c r="A32536" s="3" t="str">
        <f>IFERROR(__xludf.DUMMYFUNCTION("GOOGLETRANSLATE(A32536,""en"",""pt"")"),"Difícil de ligar e desligar. Telefone foi devolvido (com defeito encontrado) após 3 meses!")</f>
        <v>Difícil de ligar e desligar. Telefone foi devolvido (com defeito encontrado) após 3 meses!</v>
      </c>
      <c r="B32536" s="3">
        <v>0</v>
      </c>
    </row>
    <row r="32537" ht="15.75" customHeight="1" spans="1:2">
      <c r="A32537" s="3" t="str">
        <f>IFERROR(__xludf.DUMMYFUNCTION("GOOGLETRANSLATE(A32537,""en"",""pt"")"),"Os pixels são ainda grande, e background imagens de torná-lo difícil de ver a escrita.")</f>
        <v>Os pixels são ainda grande, e background imagens de torná-lo difícil de ver a escrita.</v>
      </c>
      <c r="B32537" s="3">
        <v>0</v>
      </c>
    </row>
    <row r="32538" ht="15.75" customHeight="1" spans="1:2">
      <c r="A32538" s="3" t="str">
        <f>IFERROR(__xludf.DUMMYFUNCTION("GOOGLETRANSLATE(A32538,""en"",""pt"")"),"bateria depois de um tempo LONGO")</f>
        <v>bateria depois de um tempo LONGO</v>
      </c>
      <c r="B32538" s="3">
        <v>0</v>
      </c>
    </row>
    <row r="32539" ht="15.75" customHeight="1" spans="1:2">
      <c r="A32539" s="3" t="str">
        <f>IFERROR(__xludf.DUMMYFUNCTION("GOOGLETRANSLATE(A32539,""en"",""pt"")"),"Nenhum")</f>
        <v>Nenhum</v>
      </c>
      <c r="B32539" s="3">
        <v>0</v>
      </c>
    </row>
    <row r="32540" ht="15.75" customHeight="1" spans="1:2">
      <c r="A32540" s="3" t="str">
        <f>IFERROR(__xludf.DUMMYFUNCTION("GOOGLETRANSLATE(A32540,""en"",""pt"")"),"não pode obter papel de parede ou tons, teclado, botões de furar ou difícil de empurrar.")</f>
        <v>não pode obter papel de parede ou tons, teclado, botões de furar ou difícil de empurrar.</v>
      </c>
      <c r="B32540" s="3">
        <v>0</v>
      </c>
    </row>
    <row r="32541" ht="15.75" customHeight="1" spans="1:2">
      <c r="A32541" s="3" t="str">
        <f>IFERROR(__xludf.DUMMYFUNCTION("GOOGLETRANSLATE(A32541,""en"",""pt"")"),"NO durabilidade em tudo.")</f>
        <v>NO durabilidade em tudo.</v>
      </c>
      <c r="B32541" s="3">
        <v>0</v>
      </c>
    </row>
    <row r="32542" ht="15.75" customHeight="1" spans="1:2">
      <c r="A32542" s="3" t="str">
        <f>IFERROR(__xludf.DUMMYFUNCTION("GOOGLETRANSLATE(A32542,""en"",""pt"")"),"erros de firmware, clareza do som, a falta de anéis padrão")</f>
        <v>erros de firmware, clareza do som, a falta de anéis padrão</v>
      </c>
      <c r="B32542" s="3">
        <v>0</v>
      </c>
    </row>
    <row r="32543" ht="15.75" customHeight="1" spans="1:2">
      <c r="A32543" s="3" t="str">
        <f>IFERROR(__xludf.DUMMYFUNCTION("GOOGLETRANSLATE(A32543,""en"",""pt"")"),"Volumoso. Olhando agradável ""doces estilo bar"" telefone, mas não tão legal quanto um telefone flip.")</f>
        <v>Volumoso. Olhando agradável "doces estilo bar" telefone, mas não tão legal quanto um telefone flip.</v>
      </c>
      <c r="B32543" s="3">
        <v>0</v>
      </c>
    </row>
    <row r="32544" ht="15.75" customHeight="1" spans="1:2">
      <c r="A32544" s="3" t="str">
        <f>IFERROR(__xludf.DUMMYFUNCTION("GOOGLETRANSLATE(A32544,""en"",""pt"")"),"Não há características que se destacam")</f>
        <v>Não há características que se destacam</v>
      </c>
      <c r="B32544" s="3">
        <v>0</v>
      </c>
    </row>
    <row r="32545" ht="15.75" customHeight="1" spans="1:2">
      <c r="A32545" s="3" t="str">
        <f>IFERROR(__xludf.DUMMYFUNCTION("GOOGLETRANSLATE(A32545,""en"",""pt"")"),"Bad recepção, má qualidade de som, design ruim no teclado.")</f>
        <v>Bad recepção, má qualidade de som, design ruim no teclado.</v>
      </c>
      <c r="B32545" s="3">
        <v>0</v>
      </c>
    </row>
    <row r="32546" ht="15.75" customHeight="1" spans="1:2">
      <c r="A32546" s="3" t="str">
        <f>IFERROR(__xludf.DUMMYFUNCTION("GOOGLETRANSLATE(A32546,""en"",""pt"")"),"câmera medíocre, difícil de acessar dados no telefone")</f>
        <v>câmera medíocre, difícil de acessar dados no telefone</v>
      </c>
      <c r="B32546" s="3">
        <v>0</v>
      </c>
    </row>
    <row r="32547" ht="15.75" customHeight="1" spans="1:2">
      <c r="A32547" s="3" t="str">
        <f>IFERROR(__xludf.DUMMYFUNCTION("GOOGLETRANSLATE(A32547,""en"",""pt"")"),"Bad som, alto-falante, alguns botões desajeitados. Não para pessoas que usam constantemente.")</f>
        <v>Bad som, alto-falante, alguns botões desajeitados. Não para pessoas que usam constantemente.</v>
      </c>
      <c r="B32547" s="3">
        <v>0</v>
      </c>
    </row>
    <row r="32548" ht="15.75" customHeight="1" spans="1:2">
      <c r="A32548" s="3" t="str">
        <f>IFERROR(__xludf.DUMMYFUNCTION("GOOGLETRANSLATE(A32548,""en"",""pt"")"),"Facilidade de uso, visor do teclado, o calor teclado, menos recursos extras.")</f>
        <v>Facilidade de uso, visor do teclado, o calor teclado, menos recursos extras.</v>
      </c>
      <c r="B32548" s="3">
        <v>0</v>
      </c>
    </row>
    <row r="32549" ht="15.75" customHeight="1" spans="1:2">
      <c r="A32549" s="3" t="str">
        <f>IFERROR(__xludf.DUMMYFUNCTION("GOOGLETRANSLATE(A32549,""en"",""pt"")"),"não é barato se você tem que comprá-lo uma e outra vez")</f>
        <v>não é barato se você tem que comprá-lo uma e outra vez</v>
      </c>
      <c r="B32549" s="3">
        <v>0</v>
      </c>
    </row>
    <row r="32550" ht="15.75" customHeight="1" spans="1:2">
      <c r="A32550" s="3" t="str">
        <f>IFERROR(__xludf.DUMMYFUNCTION("GOOGLETRANSLATE(A32550,""en"",""pt"")"),"Ringer, VOLUME, RECEPÇÃO, vida útil da bateria")</f>
        <v>Ringer, VOLUME, RECEPÇÃO, vida útil da bateria</v>
      </c>
      <c r="B32550" s="3">
        <v>0</v>
      </c>
    </row>
    <row r="32551" ht="15.75" customHeight="1" spans="1:2">
      <c r="A32551" s="3" t="str">
        <f>IFERROR(__xludf.DUMMYFUNCTION("GOOGLETRANSLATE(A32551,""en"",""pt"")"),"Pobre microfone de qualidade, sem jogos, Poor Battery Status Notification")</f>
        <v>Pobre microfone de qualidade, sem jogos, Poor Battery Status Notification</v>
      </c>
      <c r="B32551" s="3">
        <v>0</v>
      </c>
    </row>
    <row r="32552" ht="15.75" customHeight="1" spans="1:2">
      <c r="A32552" s="3" t="str">
        <f>IFERROR(__xludf.DUMMYFUNCTION("GOOGLETRANSLATE(A32552,""en"",""pt"")"),"Ringer não alto o suficiente, câmera uma piada e serviço ao cliente praticamente inexistente.")</f>
        <v>Ringer não alto o suficiente, câmera uma piada e serviço ao cliente praticamente inexistente.</v>
      </c>
      <c r="B32552" s="3">
        <v>0</v>
      </c>
    </row>
    <row r="32553" ht="15.75" customHeight="1" spans="1:2">
      <c r="A32553" s="3" t="str">
        <f>IFERROR(__xludf.DUMMYFUNCTION("GOOGLETRANSLATE(A32553,""en"",""pt"")"),"-Pequeno")</f>
        <v>-Pequeno</v>
      </c>
      <c r="B32553" s="3">
        <v>0</v>
      </c>
    </row>
    <row r="32554" ht="15.75" customHeight="1" spans="1:2">
      <c r="A32554" s="3" t="str">
        <f>IFERROR(__xludf.DUMMYFUNCTION("GOOGLETRANSLATE(A32554,""en"",""pt"")"),"A vida da bateria é atroz, parece ser um telefone muito ""frágil"".")</f>
        <v>A vida da bateria é atroz, parece ser um telefone muito "frágil".</v>
      </c>
      <c r="B32554" s="3">
        <v>0</v>
      </c>
    </row>
    <row r="32555" ht="15.75" customHeight="1" spans="1:2">
      <c r="A32555" s="3" t="str">
        <f>IFERROR(__xludf.DUMMYFUNCTION("GOOGLETRANSLATE(A32555,""en"",""pt"")"),"Não confiável, software de buggy, câmera mal projetado")</f>
        <v>Não confiável, software de buggy, câmera mal projetado</v>
      </c>
      <c r="B32555" s="3">
        <v>0</v>
      </c>
    </row>
    <row r="32556" ht="15.75" customHeight="1" spans="1:2">
      <c r="A32556" s="3" t="str">
        <f>IFERROR(__xludf.DUMMYFUNCTION("GOOGLETRANSLATE(A32556,""en"",""pt"")"),"Sinal Fraco, Smaller exibição Outer (difícil de ver), sem piscar luzes, Bad flash")</f>
        <v>Sinal Fraco, Smaller exibição Outer (difícil de ver), sem piscar luzes, Bad flash</v>
      </c>
      <c r="B32556" s="3">
        <v>0</v>
      </c>
    </row>
    <row r="32557" ht="15.75" customHeight="1" spans="1:2">
      <c r="A32557" s="3" t="str">
        <f>IFERROR(__xludf.DUMMYFUNCTION("GOOGLETRANSLATE(A32557,""en"",""pt"")"),"não cobra bem e drena a bateria rápido!")</f>
        <v>não cobra bem e drena a bateria rápido!</v>
      </c>
      <c r="B32557" s="3">
        <v>0</v>
      </c>
    </row>
    <row r="32558" ht="15.75" customHeight="1" spans="1:2">
      <c r="A32558" s="3" t="str">
        <f>IFERROR(__xludf.DUMMYFUNCTION("GOOGLETRANSLATE(A32558,""en"",""pt"")"),"vida útil da bateria terrível")</f>
        <v>vida útil da bateria terrível</v>
      </c>
      <c r="B32558" s="3">
        <v>0</v>
      </c>
    </row>
    <row r="32559" ht="15.75" customHeight="1" spans="1:2">
      <c r="A32559" s="3" t="str">
        <f>IFERROR(__xludf.DUMMYFUNCTION("GOOGLETRANSLATE(A32559,""en"",""pt"")"),"Tudo o resto, vem com nada ...")</f>
        <v>Tudo o resto, vem com nada ...</v>
      </c>
      <c r="B32559" s="3">
        <v>0</v>
      </c>
    </row>
    <row r="32560" ht="15.75" customHeight="1" spans="1:2">
      <c r="A32560" s="3" t="str">
        <f>IFERROR(__xludf.DUMMYFUNCTION("GOOGLETRANSLATE(A32560,""en"",""pt"")"),"A vida da bateria, fecha telefone fora de forma aleatória, gotas chamadas de forma consistente, o serviço ao cliente é terrível!")</f>
        <v>A vida da bateria, fecha telefone fora de forma aleatória, gotas chamadas de forma consistente, o serviço ao cliente é terrível!</v>
      </c>
      <c r="B32560" s="3">
        <v>0</v>
      </c>
    </row>
    <row r="32561" ht="15.75" customHeight="1" spans="1:2">
      <c r="A32561" s="3" t="str">
        <f>IFERROR(__xludf.DUMMYFUNCTION("GOOGLETRANSLATE(A32561,""en"",""pt"")"),"Mal feito, em geral!")</f>
        <v>Mal feito, em geral!</v>
      </c>
      <c r="B32561" s="3">
        <v>0</v>
      </c>
    </row>
    <row r="32562" ht="15.75" customHeight="1" spans="1:2">
      <c r="A32562" s="3" t="str">
        <f>IFERROR(__xludf.DUMMYFUNCTION("GOOGLETRANSLATE(A32562,""en"",""pt"")"),"Recursos. Memória interna. Confiabilidade. Download de capacidades.")</f>
        <v>Recursos. Memória interna. Confiabilidade. Download de capacidades.</v>
      </c>
      <c r="B32562" s="3">
        <v>0</v>
      </c>
    </row>
    <row r="32563" ht="15.75" customHeight="1" spans="1:2">
      <c r="A32563" s="3" t="str">
        <f>IFERROR(__xludf.DUMMYFUNCTION("GOOGLETRANSLATE(A32563,""en"",""pt"")"),"tempo de bateria limitada")</f>
        <v>tempo de bateria limitada</v>
      </c>
      <c r="B32563" s="3">
        <v>0</v>
      </c>
    </row>
    <row r="32564" ht="15.75" customHeight="1" spans="1:2">
      <c r="A32564" s="3" t="str">
        <f>IFERROR(__xludf.DUMMYFUNCTION("GOOGLETRANSLATE(A32564,""en"",""pt"")"),"Recepção em áreas rurais pode ser esboçado")</f>
        <v>Recepção em áreas rurais pode ser esboçado</v>
      </c>
      <c r="B32564" s="3">
        <v>0</v>
      </c>
    </row>
    <row r="32565" ht="15.75" customHeight="1" spans="1:2">
      <c r="A32565" s="3" t="str">
        <f>IFERROR(__xludf.DUMMYFUNCTION("GOOGLETRANSLATE(A32565,""en"",""pt"")"),"Volume não ficar alto o suficiente")</f>
        <v>Volume não ficar alto o suficiente</v>
      </c>
      <c r="B32565" s="3">
        <v>0</v>
      </c>
    </row>
    <row r="32566" ht="15.75" customHeight="1" spans="1:2">
      <c r="A32566" s="3" t="str">
        <f>IFERROR(__xludf.DUMMYFUNCTION("GOOGLETRANSLATE(A32566,""en"",""pt"")"),"display colorido às vezes é difícil de ver, botão da câmera um pouco para fácil de tocar.")</f>
        <v>display colorido às vezes é difícil de ver, botão da câmera um pouco para fácil de tocar.</v>
      </c>
      <c r="B32566" s="3">
        <v>0</v>
      </c>
    </row>
    <row r="32567" ht="15.75" customHeight="1" spans="1:2">
      <c r="A32567" s="3" t="str">
        <f>IFERROR(__xludf.DUMMYFUNCTION("GOOGLETRANSLATE(A32567,""en"",""pt"")"),"A recepção é horrível.")</f>
        <v>A recepção é horrível.</v>
      </c>
      <c r="B32567" s="3">
        <v>0</v>
      </c>
    </row>
    <row r="32568" ht="15.75" customHeight="1" spans="1:2">
      <c r="A32568" s="3" t="str">
        <f>IFERROR(__xludf.DUMMYFUNCTION("GOOGLETRANSLATE(A32568,""en"",""pt"")"),"O preço!")</f>
        <v>O preço!</v>
      </c>
      <c r="B32568" s="3">
        <v>0</v>
      </c>
    </row>
    <row r="32569" ht="15.75" customHeight="1" spans="1:2">
      <c r="A32569" s="3" t="str">
        <f>IFERROR(__xludf.DUMMYFUNCTION("GOOGLETRANSLATE(A32569,""en"",""pt"")"),"muito caro para comprar para as necessidades de negócios não.")</f>
        <v>muito caro para comprar para as necessidades de negócios não.</v>
      </c>
      <c r="B32569" s="3">
        <v>0</v>
      </c>
    </row>
    <row r="32570" ht="15.75" customHeight="1" spans="1:2">
      <c r="A32570" s="3" t="str">
        <f>IFERROR(__xludf.DUMMYFUNCTION("GOOGLETRANSLATE(A32570,""en"",""pt"")"),"Não tão grande para todos os outros.")</f>
        <v>Não tão grande para todos os outros.</v>
      </c>
      <c r="B32570" s="3">
        <v>0</v>
      </c>
    </row>
    <row r="32571" ht="15.75" customHeight="1" spans="1:2">
      <c r="A32571" s="3" t="str">
        <f>IFERROR(__xludf.DUMMYFUNCTION("GOOGLETRANSLATE(A32571,""en"",""pt"")"),"deveras pequeno Botões")</f>
        <v>deveras pequeno Botões</v>
      </c>
      <c r="B32571" s="3">
        <v>0</v>
      </c>
    </row>
    <row r="32572" ht="15.75" customHeight="1" spans="1:2">
      <c r="A32572" s="3" t="str">
        <f>IFERROR(__xludf.DUMMYFUNCTION("GOOGLETRANSLATE(A32572,""en"",""pt"")"),"Roaming Internacional é caro")</f>
        <v>Roaming Internacional é caro</v>
      </c>
      <c r="B32572" s="3">
        <v>0</v>
      </c>
    </row>
    <row r="32573" ht="15.75" customHeight="1" spans="1:2">
      <c r="A32573" s="3" t="str">
        <f>IFERROR(__xludf.DUMMYFUNCTION("GOOGLETRANSLATE(A32573,""en"",""pt"")"),"durabilidade, conexão LCD esquisito, não WAP, não pode armazenar endereços de e-mail, não um telefone do mundo")</f>
        <v>durabilidade, conexão LCD esquisito, não WAP, não pode armazenar endereços de e-mail, não um telefone do mundo</v>
      </c>
      <c r="B32573" s="3">
        <v>0</v>
      </c>
    </row>
    <row r="32574" ht="15.75" customHeight="1" spans="1:2">
      <c r="A32574" s="3" t="str">
        <f>IFERROR(__xludf.DUMMYFUNCTION("GOOGLETRANSLATE(A32574,""en"",""pt"")"),"tampa da bateria parece um pouco solto")</f>
        <v>tampa da bateria parece um pouco solto</v>
      </c>
      <c r="B32574" s="3">
        <v>0</v>
      </c>
    </row>
    <row r="32575" ht="15.75" customHeight="1" spans="1:2">
      <c r="A32575" s="3" t="str">
        <f>IFERROR(__xludf.DUMMYFUNCTION("GOOGLETRANSLATE(A32575,""en"",""pt"")"),"Relativamente pequeno teclado, luz de fundo é meio estranho, O fato de que eu tenho que dar-lo de volta (boo hoo hoo)")</f>
        <v>Relativamente pequeno teclado, luz de fundo é meio estranho, O fato de que eu tenho que dar-lo de volta (boo hoo hoo)</v>
      </c>
      <c r="B32575" s="3">
        <v>0</v>
      </c>
    </row>
    <row r="32576" ht="15.75" customHeight="1" spans="1:2">
      <c r="A32576" s="3" t="str">
        <f>IFERROR(__xludf.DUMMYFUNCTION("GOOGLETRANSLATE(A32576,""en"",""pt"")"),"Nokia sacrificado durabilidade para o estilo.")</f>
        <v>Nokia sacrificado durabilidade para o estilo.</v>
      </c>
      <c r="B32576" s="3">
        <v>0</v>
      </c>
    </row>
    <row r="32577" ht="15.75" customHeight="1" spans="1:2">
      <c r="A32577" s="3" t="str">
        <f>IFERROR(__xludf.DUMMYFUNCTION("GOOGLETRANSLATE(A32577,""en"",""pt"")"),"Caro, sem capacidade analógico")</f>
        <v>Caro, sem capacidade analógico</v>
      </c>
      <c r="B32577" s="3">
        <v>0</v>
      </c>
    </row>
    <row r="32578" ht="15.75" customHeight="1" spans="1:2">
      <c r="A32578" s="3" t="str">
        <f>IFERROR(__xludf.DUMMYFUNCTION("GOOGLETRANSLATE(A32578,""en"",""pt"")"),"preço, não triband, cobertura de rede GSM")</f>
        <v>preço, não triband, cobertura de rede GSM</v>
      </c>
      <c r="B32578" s="3">
        <v>0</v>
      </c>
    </row>
    <row r="32579" ht="15.75" customHeight="1" spans="1:2">
      <c r="A32579" s="3" t="str">
        <f>IFERROR(__xludf.DUMMYFUNCTION("GOOGLETRANSLATE(A32579,""en"",""pt"")"),"Um pouco pequeno demais. Sente um pouco frágil.")</f>
        <v>Um pouco pequeno demais. Sente um pouco frágil.</v>
      </c>
      <c r="B32579" s="3">
        <v>0</v>
      </c>
    </row>
    <row r="32580" ht="15.75" customHeight="1" spans="1:2">
      <c r="A32580" s="3" t="str">
        <f>IFERROR(__xludf.DUMMYFUNCTION("GOOGLETRANSLATE(A32580,""en"",""pt"")"),"O tamanho pequeno, jiggly tampa da bateria, menos de grande recepção")</f>
        <v>O tamanho pequeno, jiggly tampa da bateria, menos de grande recepção</v>
      </c>
      <c r="B32580" s="3">
        <v>0</v>
      </c>
    </row>
    <row r="32581" ht="15.75" customHeight="1" spans="1:2">
      <c r="A32581" s="3" t="str">
        <f>IFERROR(__xludf.DUMMYFUNCTION("GOOGLETRANSLATE(A32581,""en"",""pt"")"),"Veja o texto abaixo")</f>
        <v>Veja o texto abaixo</v>
      </c>
      <c r="B32581" s="3">
        <v>0</v>
      </c>
    </row>
    <row r="32582" ht="15.75" customHeight="1" spans="1:2">
      <c r="A32582" s="3" t="str">
        <f>IFERROR(__xludf.DUMMYFUNCTION("GOOGLETRANSLATE(A32582,""en"",""pt"")"),"não tri-banda (900/1800/1900); roaming internacional não é barato")</f>
        <v>não tri-banda (900/1800/1900); roaming internacional não é barato</v>
      </c>
      <c r="B32582" s="3">
        <v>0</v>
      </c>
    </row>
    <row r="32583" ht="15.75" customHeight="1" spans="1:2">
      <c r="A32583" s="3" t="str">
        <f>IFERROR(__xludf.DUMMYFUNCTION("GOOGLETRANSLATE(A32583,""en"",""pt"")"),"Necessidades melhor controle de qualidade, os telefones não são todos o mesmo, por vezes, tem falhas de software, e um pouco caro")</f>
        <v>Necessidades melhor controle de qualidade, os telefones não são todos o mesmo, por vezes, tem falhas de software, e um pouco caro</v>
      </c>
      <c r="B32583" s="3">
        <v>0</v>
      </c>
    </row>
    <row r="32584" ht="15.75" customHeight="1" spans="1:2">
      <c r="A32584" s="3" t="str">
        <f>IFERROR(__xludf.DUMMYFUNCTION("GOOGLETRANSLATE(A32584,""en"",""pt"")"),"muito muito muito muito caro")</f>
        <v>muito muito muito muito caro</v>
      </c>
      <c r="B32584" s="3">
        <v>0</v>
      </c>
    </row>
    <row r="32585" ht="15.75" customHeight="1" spans="1:2">
      <c r="A32585" s="3" t="str">
        <f>IFERROR(__xludf.DUMMYFUNCTION("GOOGLETRANSLATE(A32585,""en"",""pt"")"),"realmente compacto, minúsculo teclado de discagem, apenas 8 de voz discando memórias, preço")</f>
        <v>realmente compacto, minúsculo teclado de discagem, apenas 8 de voz discando memórias, preço</v>
      </c>
      <c r="B32585" s="3">
        <v>0</v>
      </c>
    </row>
    <row r="32586" ht="15.75" customHeight="1" spans="1:2">
      <c r="A32586" s="3" t="str">
        <f>IFERROR(__xludf.DUMMYFUNCTION("GOOGLETRANSLATE(A32586,""en"",""pt"")"),"Um pouco frágil. não WAP")</f>
        <v>Um pouco frágil. não WAP</v>
      </c>
      <c r="B32586" s="3">
        <v>0</v>
      </c>
    </row>
    <row r="32587" ht="15.75" customHeight="1" spans="1:2">
      <c r="A32587" s="3" t="str">
        <f>IFERROR(__xludf.DUMMYFUNCTION("GOOGLETRANSLATE(A32587,""en"",""pt"")"),"Frágil e caro para substituir peças")</f>
        <v>Frágil e caro para substituir peças</v>
      </c>
      <c r="B32587" s="3">
        <v>0</v>
      </c>
    </row>
    <row r="32588" ht="15.75" customHeight="1" spans="1:2">
      <c r="A32588" s="3" t="str">
        <f>IFERROR(__xludf.DUMMYFUNCTION("GOOGLETRANSLATE(A32588,""en"",""pt"")"),"pestinha caro")</f>
        <v>pestinha caro</v>
      </c>
      <c r="B32588" s="3">
        <v>0</v>
      </c>
    </row>
    <row r="32589" ht="15.75" customHeight="1" spans="1:2">
      <c r="A32589" s="3" t="str">
        <f>IFERROR(__xludf.DUMMYFUNCTION("GOOGLETRANSLATE(A32589,""en"",""pt"")"),"Apenas desejo que tem WAP ...")</f>
        <v>Apenas desejo que tem WAP ...</v>
      </c>
      <c r="B32589" s="3">
        <v>0</v>
      </c>
    </row>
    <row r="32590" ht="15.75" customHeight="1" spans="1:2">
      <c r="A32590" s="3" t="str">
        <f>IFERROR(__xludf.DUMMYFUNCTION("GOOGLETRANSLATE(A32590,""en"",""pt"")"),"Isso aleta!")</f>
        <v>Isso aleta!</v>
      </c>
      <c r="B32590" s="3">
        <v>0</v>
      </c>
    </row>
    <row r="32591" ht="15.75" customHeight="1" spans="1:2">
      <c r="A32591" s="3" t="str">
        <f>IFERROR(__xludf.DUMMYFUNCTION("GOOGLETRANSLATE(A32591,""en"",""pt"")"),"PREÇO! Necessidade de cuidar bem real dele")</f>
        <v>PREÇO! Necessidade de cuidar bem real dele</v>
      </c>
      <c r="B32591" s="3">
        <v>0</v>
      </c>
    </row>
    <row r="32592" ht="15.75" customHeight="1" spans="1:2">
      <c r="A32592" s="3" t="str">
        <f>IFERROR(__xludf.DUMMYFUNCTION("GOOGLETRANSLATE(A32592,""en"",""pt"")"),"Caro, Telefone recebe rápido aquecimento, botões são muito pequenos, Display com defeito")</f>
        <v>Caro, Telefone recebe rápido aquecimento, botões são muito pequenos, Display com defeito</v>
      </c>
      <c r="B32592" s="3">
        <v>0</v>
      </c>
    </row>
    <row r="32593" ht="15.75" customHeight="1" spans="1:2">
      <c r="A32593" s="3" t="str">
        <f>IFERROR(__xludf.DUMMYFUNCTION("GOOGLETRANSLATE(A32593,""en"",""pt"")"),"cobertura GSM nos EUA não está completa &amp; # 13;. &amp; # 10; Apenas 8 entradas podem ter etiquetas de voz.")</f>
        <v>cobertura GSM nos EUA não está completa &amp; # 13;. &amp; # 10; Apenas 8 entradas podem ter etiquetas de voz.</v>
      </c>
      <c r="B32593" s="3">
        <v>0</v>
      </c>
    </row>
    <row r="32594" ht="15.75" customHeight="1" spans="1:2">
      <c r="A32594" s="3" t="str">
        <f>IFERROR(__xludf.DUMMYFUNCTION("GOOGLETRANSLATE(A32594,""en"",""pt"")"),"$$$ Preço")</f>
        <v>$$$ Preço</v>
      </c>
      <c r="B32594" s="3">
        <v>0</v>
      </c>
    </row>
    <row r="32595" ht="15.75" customHeight="1" spans="1:2">
      <c r="A32595" s="3" t="str">
        <f>IFERROR(__xludf.DUMMYFUNCTION("GOOGLETRANSLATE(A32595,""en"",""pt"")"),"No kit carro, frágil")</f>
        <v>No kit carro, frágil</v>
      </c>
      <c r="B32595" s="3">
        <v>0</v>
      </c>
    </row>
    <row r="32596" ht="15.75" customHeight="1" spans="1:2">
      <c r="A32596" s="3" t="str">
        <f>IFERROR(__xludf.DUMMYFUNCTION("GOOGLETRANSLATE(A32596,""en"",""pt"")"),"Pequenos botões numéricos")</f>
        <v>Pequenos botões numéricos</v>
      </c>
      <c r="B32596" s="3">
        <v>0</v>
      </c>
    </row>
    <row r="32597" ht="15.75" customHeight="1" spans="1:2">
      <c r="A32597" s="3" t="str">
        <f>IFERROR(__xludf.DUMMYFUNCTION("GOOGLETRANSLATE(A32597,""en"",""pt"")"),"pobre som, abaixo funções médios, caro, delicado, sub-par recepção")</f>
        <v>pobre som, abaixo funções médios, caro, delicado, sub-par recepção</v>
      </c>
      <c r="B32597" s="3">
        <v>0</v>
      </c>
    </row>
    <row r="32598" ht="15.75" customHeight="1" spans="1:2">
      <c r="A32598" s="3" t="str">
        <f>IFERROR(__xludf.DUMMYFUNCTION("GOOGLETRANSLATE(A32598,""en"",""pt"")"),"dificuldades técnicas / preço / GSM only / não funciona bem em ambientes fechados")</f>
        <v>dificuldades técnicas / preço / GSM only / não funciona bem em ambientes fechados</v>
      </c>
      <c r="B32598" s="3">
        <v>0</v>
      </c>
    </row>
    <row r="32599" ht="15.75" customHeight="1" spans="1:2">
      <c r="A32599" s="3" t="str">
        <f>IFERROR(__xludf.DUMMYFUNCTION("GOOGLETRANSLATE(A32599,""en"",""pt"")"),"preço, sem acesso à internet")</f>
        <v>preço, sem acesso à internet</v>
      </c>
      <c r="B32599" s="3">
        <v>0</v>
      </c>
    </row>
    <row r="32600" ht="15.75" customHeight="1" spans="1:2">
      <c r="A32600" s="3" t="str">
        <f>IFERROR(__xludf.DUMMYFUNCTION("GOOGLETRANSLATE(A32600,""en"",""pt"")"),"problema de exibição, recursos ausentes de telefones mais recentes")</f>
        <v>problema de exibição, recursos ausentes de telefones mais recentes</v>
      </c>
      <c r="B32600" s="3">
        <v>0</v>
      </c>
    </row>
    <row r="32601" ht="15.75" customHeight="1" spans="1:2">
      <c r="A32601" s="3" t="str">
        <f>IFERROR(__xludf.DUMMYFUNCTION("GOOGLETRANSLATE(A32601,""en"",""pt"")"),"Carece de durabilidade, caro, não tem triband.")</f>
        <v>Carece de durabilidade, caro, não tem triband.</v>
      </c>
      <c r="B32601" s="3">
        <v>0</v>
      </c>
    </row>
    <row r="32602" ht="15.75" customHeight="1" spans="1:2">
      <c r="A32602" s="3" t="str">
        <f>IFERROR(__xludf.DUMMYFUNCTION("GOOGLETRANSLATE(A32602,""en"",""pt"")"),"Caro e intensidade do sinal sobre-alimentado")</f>
        <v>Caro e intensidade do sinal sobre-alimentado</v>
      </c>
      <c r="B32602" s="3">
        <v>0</v>
      </c>
    </row>
    <row r="32603" ht="15.75" customHeight="1" spans="1:2">
      <c r="A32603" s="3" t="str">
        <f>IFERROR(__xludf.DUMMYFUNCTION("GOOGLETRANSLATE(A32603,""en"",""pt"")"),"pequeno teclado de discagem, tipo de caro")</f>
        <v>pequeno teclado de discagem, tipo de caro</v>
      </c>
      <c r="B32603" s="3">
        <v>0</v>
      </c>
    </row>
    <row r="32604" ht="15.75" customHeight="1" spans="1:2">
      <c r="A32604" s="3" t="str">
        <f>IFERROR(__xludf.DUMMYFUNCTION("GOOGLETRANSLATE(A32604,""en"",""pt"")"),"Acessórios difícil de encontrar! tela LCD substituído em novembro de 2001.")</f>
        <v>Acessórios difícil de encontrar! tela LCD substituído em novembro de 2001.</v>
      </c>
      <c r="B32604" s="3">
        <v>0</v>
      </c>
    </row>
    <row r="32605" ht="15.75" customHeight="1" spans="1:2">
      <c r="A32605" s="3" t="str">
        <f>IFERROR(__xludf.DUMMYFUNCTION("GOOGLETRANSLATE(A32605,""en"",""pt"")"),"Não WAP, não TDMA roaming, caro")</f>
        <v>Não WAP, não TDMA roaming, caro</v>
      </c>
      <c r="B32605" s="3">
        <v>0</v>
      </c>
    </row>
    <row r="32606" ht="15.75" customHeight="1" spans="1:2">
      <c r="A32606" s="3" t="str">
        <f>IFERROR(__xludf.DUMMYFUNCTION("GOOGLETRANSLATE(A32606,""en"",""pt"")"),"Não Web habilitado, Bateria complicado para remover, Expensive")</f>
        <v>Não Web habilitado, Bateria complicado para remover, Expensive</v>
      </c>
      <c r="B32606" s="3">
        <v>0</v>
      </c>
    </row>
    <row r="32607" ht="15.75" customHeight="1" spans="1:2">
      <c r="A32607" s="3" t="str">
        <f>IFERROR(__xludf.DUMMYFUNCTION("GOOGLETRANSLATE(A32607,""en"",""pt"")"),"Nenhum")</f>
        <v>Nenhum</v>
      </c>
      <c r="B32607" s="3">
        <v>0</v>
      </c>
    </row>
    <row r="32608" ht="15.75" customHeight="1" spans="1:2">
      <c r="A32608" s="3" t="str">
        <f>IFERROR(__xludf.DUMMYFUNCTION("GOOGLETRANSLATE(A32608,""en"",""pt"")"),"botões, tampa traseira solta")</f>
        <v>botões, tampa traseira solta</v>
      </c>
      <c r="B32608" s="3">
        <v>0</v>
      </c>
    </row>
    <row r="32609" ht="15.75" customHeight="1" spans="1:2">
      <c r="A32609" s="3" t="str">
        <f>IFERROR(__xludf.DUMMYFUNCTION("GOOGLETRANSLATE(A32609,""en"",""pt"")"),"6 contas, uau &amp; # 13;! &amp; # 10; Freios facilmente")</f>
        <v>6 contas, uau &amp; # 13;! &amp; # 10; Freios facilmente</v>
      </c>
      <c r="B32609" s="3">
        <v>0</v>
      </c>
    </row>
    <row r="32610" ht="15.75" customHeight="1" spans="1:2">
      <c r="A32610" s="3" t="str">
        <f>IFERROR(__xludf.DUMMYFUNCTION("GOOGLETRANSLATE(A32610,""en"",""pt"")"),"RECEPÇÃO!")</f>
        <v>RECEPÇÃO!</v>
      </c>
      <c r="B32610" s="3">
        <v>0</v>
      </c>
    </row>
    <row r="32611" ht="15.75" customHeight="1" spans="1:2">
      <c r="A32611" s="3" t="str">
        <f>IFERROR(__xludf.DUMMYFUNCTION("GOOGLETRANSLATE(A32611,""en"",""pt"")"),"Caro, frágil.")</f>
        <v>Caro, frágil.</v>
      </c>
      <c r="B32611" s="3">
        <v>0</v>
      </c>
    </row>
    <row r="32612" ht="15.75" customHeight="1" spans="1:2">
      <c r="A32612" s="3" t="str">
        <f>IFERROR(__xludf.DUMMYFUNCTION("GOOGLETRANSLATE(A32612,""en"",""pt"")"),"Não WAP, preço elevado.")</f>
        <v>Não WAP, preço elevado.</v>
      </c>
      <c r="B32612" s="3">
        <v>0</v>
      </c>
    </row>
    <row r="32613" ht="15.75" customHeight="1" spans="1:2">
      <c r="A32613" s="3" t="str">
        <f>IFERROR(__xludf.DUMMYFUNCTION("GOOGLETRANSLATE(A32613,""en"",""pt"")"),"n / D")</f>
        <v>n / D</v>
      </c>
      <c r="B32613" s="3">
        <v>0</v>
      </c>
    </row>
    <row r="32614" ht="15.75" customHeight="1" spans="1:2">
      <c r="A32614" s="3" t="str">
        <f>IFERROR(__xludf.DUMMYFUNCTION("GOOGLETRANSLATE(A32614,""en"",""pt"")"),"Nenhum!")</f>
        <v>Nenhum!</v>
      </c>
      <c r="B32614" s="3">
        <v>0</v>
      </c>
    </row>
    <row r="32615" ht="15.75" customHeight="1" spans="1:2">
      <c r="A32615" s="3" t="str">
        <f>IFERROR(__xludf.DUMMYFUNCTION("GOOGLETRANSLATE(A32615,""en"",""pt"")"),"Um preço com olhares que podem matar. Pode ser facilmente riscado e amassado.")</f>
        <v>Um preço com olhares que podem matar. Pode ser facilmente riscado e amassado.</v>
      </c>
      <c r="B32615" s="3">
        <v>0</v>
      </c>
    </row>
    <row r="32616" ht="15.75" customHeight="1" spans="1:2">
      <c r="A32616" s="3" t="str">
        <f>IFERROR(__xludf.DUMMYFUNCTION("GOOGLETRANSLATE(A32616,""en"",""pt"")"),"dinheiro")</f>
        <v>dinheiro</v>
      </c>
      <c r="B32616" s="3">
        <v>0</v>
      </c>
    </row>
    <row r="32617" ht="15.75" customHeight="1" spans="1:2">
      <c r="A32617" s="3" t="str">
        <f>IFERROR(__xludf.DUMMYFUNCTION("GOOGLETRANSLATE(A32617,""en"",""pt"")"),"É (ainda) caro ...")</f>
        <v>É (ainda) caro ...</v>
      </c>
      <c r="B32617" s="3">
        <v>0</v>
      </c>
    </row>
    <row r="32618" ht="15.75" customHeight="1" spans="1:2">
      <c r="A32618" s="3" t="str">
        <f>IFERROR(__xludf.DUMMYFUNCTION("GOOGLETRANSLATE(A32618,""en"",""pt"")"),"tampa traseira, teclados")</f>
        <v>tampa traseira, teclados</v>
      </c>
      <c r="B32618" s="3">
        <v>0</v>
      </c>
    </row>
    <row r="32619" ht="15.75" customHeight="1" spans="1:2">
      <c r="A32619" s="3" t="str">
        <f>IFERROR(__xludf.DUMMYFUNCTION("GOOGLETRANSLATE(A32619,""en"",""pt"")"),"Estou no meu 3ª em 1 ano. Cingular é serviço horrível.")</f>
        <v>Estou no meu 3ª em 1 ano. Cingular é serviço horrível.</v>
      </c>
      <c r="B32619" s="3">
        <v>0</v>
      </c>
    </row>
    <row r="32620" ht="15.75" customHeight="1" spans="1:2">
      <c r="A32620" s="3" t="str">
        <f>IFERROR(__xludf.DUMMYFUNCTION("GOOGLETRANSLATE(A32620,""en"",""pt"")"),"n / D")</f>
        <v>n / D</v>
      </c>
      <c r="B32620" s="3">
        <v>0</v>
      </c>
    </row>
    <row r="32621" ht="15.75" customHeight="1" spans="1:2">
      <c r="A32621" s="3" t="str">
        <f>IFERROR(__xludf.DUMMYFUNCTION("GOOGLETRANSLATE(A32621,""en"",""pt"")"),"vida útil da bateria, caro")</f>
        <v>vida útil da bateria, caro</v>
      </c>
      <c r="B32621" s="3">
        <v>0</v>
      </c>
    </row>
    <row r="32622" ht="15.75" customHeight="1" spans="1:2">
      <c r="A32622" s="3" t="str">
        <f>IFERROR(__xludf.DUMMYFUNCTION("GOOGLETRANSLATE(A32622,""en"",""pt"")"),"Serviço ruim")</f>
        <v>Serviço ruim</v>
      </c>
      <c r="B32622" s="3">
        <v>0</v>
      </c>
    </row>
    <row r="32623" ht="15.75" customHeight="1" spans="1:2">
      <c r="A32623" s="3" t="str">
        <f>IFERROR(__xludf.DUMMYFUNCTION("GOOGLETRANSLATE(A32623,""en"",""pt"")"),"antenae iternal não é muito bom")</f>
        <v>antenae iternal não é muito bom</v>
      </c>
      <c r="B32623" s="3">
        <v>0</v>
      </c>
    </row>
    <row r="32624" ht="15.75" customHeight="1" spans="1:2">
      <c r="A32624" s="3" t="str">
        <f>IFERROR(__xludf.DUMMYFUNCTION("GOOGLETRANSLATE(A32624,""en"",""pt"")"),"Fácil de queda")</f>
        <v>Fácil de queda</v>
      </c>
      <c r="B32624" s="3">
        <v>0</v>
      </c>
    </row>
    <row r="32625" ht="15.75" customHeight="1" spans="1:2">
      <c r="A32625" s="3" t="str">
        <f>IFERROR(__xludf.DUMMYFUNCTION("GOOGLETRANSLATE(A32625,""en"",""pt"")"),"Nenhum")</f>
        <v>Nenhum</v>
      </c>
      <c r="B32625" s="3">
        <v>0</v>
      </c>
    </row>
    <row r="32626" ht="15.75" customHeight="1" spans="1:2">
      <c r="A32626" s="3" t="str">
        <f>IFERROR(__xludf.DUMMYFUNCTION("GOOGLETRANSLATE(A32626,""en"",""pt"")"),"nada")</f>
        <v>nada</v>
      </c>
      <c r="B32626" s="3">
        <v>0</v>
      </c>
    </row>
    <row r="32627" ht="15.75" customHeight="1" spans="1:2">
      <c r="A32627" s="3" t="str">
        <f>IFERROR(__xludf.DUMMYFUNCTION("GOOGLETRANSLATE(A32627,""en"",""pt"")"),"Muito caro")</f>
        <v>Muito caro</v>
      </c>
      <c r="B32627" s="3">
        <v>0</v>
      </c>
    </row>
    <row r="32628" ht="15.75" customHeight="1" spans="1:2">
      <c r="A32628" s="3" t="str">
        <f>IFERROR(__xludf.DUMMYFUNCTION("GOOGLETRANSLATE(A32628,""en"",""pt"")"),"Você espera que qualquer coisa a esse preço.")</f>
        <v>Você espera que qualquer coisa a esse preço.</v>
      </c>
      <c r="B32628" s="3">
        <v>0</v>
      </c>
    </row>
    <row r="32629" ht="15.75" customHeight="1" spans="1:2">
      <c r="A32629" s="3" t="str">
        <f>IFERROR(__xludf.DUMMYFUNCTION("GOOGLETRANSLATE(A32629,""en"",""pt"")"),"problemas Screen Display, acabamento frágil / mecanismo de tela / slide")</f>
        <v>problemas Screen Display, acabamento frágil / mecanismo de tela / slide</v>
      </c>
      <c r="B32629" s="3">
        <v>0</v>
      </c>
    </row>
    <row r="32630" ht="15.75" customHeight="1" spans="1:2">
      <c r="A32630" s="3" t="str">
        <f>IFERROR(__xludf.DUMMYFUNCTION("GOOGLETRANSLATE(A32630,""en"",""pt"")"),"Tempo de LCD / durabilidade questionável")</f>
        <v>Tempo de LCD / durabilidade questionável</v>
      </c>
      <c r="B32630" s="3">
        <v>0</v>
      </c>
    </row>
    <row r="32631" ht="15.75" customHeight="1" spans="1:2">
      <c r="A32631" s="3" t="str">
        <f>IFERROR(__xludf.DUMMYFUNCTION("GOOGLETRANSLATE(A32631,""en"",""pt"")"),"Tampa da bateria muito solto, tela treme E desaparece, teve que substituir 4X")</f>
        <v>Tampa da bateria muito solto, tela treme E desaparece, teve que substituir 4X</v>
      </c>
      <c r="B32631" s="3">
        <v>0</v>
      </c>
    </row>
    <row r="32632" ht="15.75" customHeight="1" spans="1:2">
      <c r="A32632" s="3" t="str">
        <f>IFERROR(__xludf.DUMMYFUNCTION("GOOGLETRANSLATE(A32632,""en"",""pt"")"),"Mal feita para um Nokia, a tela falho.")</f>
        <v>Mal feita para um Nokia, a tela falho.</v>
      </c>
      <c r="B32632" s="3">
        <v>0</v>
      </c>
    </row>
    <row r="32633" ht="15.75" customHeight="1" spans="1:2">
      <c r="A32633" s="3" t="str">
        <f>IFERROR(__xludf.DUMMYFUNCTION("GOOGLETRANSLATE(A32633,""en"",""pt"")"),"Nenhum")</f>
        <v>Nenhum</v>
      </c>
      <c r="B32633" s="3">
        <v>0</v>
      </c>
    </row>
    <row r="32634" ht="15.75" customHeight="1" spans="1:2">
      <c r="A32634" s="3" t="str">
        <f>IFERROR(__xludf.DUMMYFUNCTION("GOOGLETRANSLATE(A32634,""en"",""pt"")"),"Caro? Sim, mas vale a pena.")</f>
        <v>Caro? Sim, mas vale a pena.</v>
      </c>
      <c r="B32634" s="3">
        <v>0</v>
      </c>
    </row>
    <row r="32635" ht="15.75" customHeight="1" spans="1:2">
      <c r="A32635" s="3" t="str">
        <f>IFERROR(__xludf.DUMMYFUNCTION("GOOGLETRANSLATE(A32635,""en"",""pt"")"),"caros, pequenos botões, habitação desgasta fácil")</f>
        <v>caros, pequenos botões, habitação desgasta fácil</v>
      </c>
      <c r="B32635" s="3">
        <v>0</v>
      </c>
    </row>
    <row r="32636" ht="15.75" customHeight="1" spans="1:2">
      <c r="A32636" s="3" t="str">
        <f>IFERROR(__xludf.DUMMYFUNCTION("GOOGLETRANSLATE(A32636,""en"",""pt"")"),"Nenhum")</f>
        <v>Nenhum</v>
      </c>
      <c r="B32636" s="3">
        <v>0</v>
      </c>
    </row>
    <row r="32637" ht="15.75" customHeight="1" spans="1:2">
      <c r="A32637" s="3" t="str">
        <f>IFERROR(__xludf.DUMMYFUNCTION("GOOGLETRANSLATE(A32637,""en"",""pt"")"),"não veio com um estojo de transporte.")</f>
        <v>não veio com um estojo de transporte.</v>
      </c>
      <c r="B32637" s="3">
        <v>0</v>
      </c>
    </row>
    <row r="32638" ht="15.75" customHeight="1" spans="1:2">
      <c r="A32638" s="3" t="str">
        <f>IFERROR(__xludf.DUMMYFUNCTION("GOOGLETRANSLATE(A32638,""en"",""pt"")"),"Poderia usar mais opções de ringtones :)")</f>
        <v>Poderia usar mais opções de ringtones :)</v>
      </c>
      <c r="B32638" s="3">
        <v>0</v>
      </c>
    </row>
    <row r="32639" ht="15.75" customHeight="1" spans="1:2">
      <c r="A32639" s="3" t="str">
        <f>IFERROR(__xludf.DUMMYFUNCTION("GOOGLETRANSLATE(A32639,""en"",""pt"")"),"Não há recursos de Internet. Tamanho.")</f>
        <v>Não há recursos de Internet. Tamanho.</v>
      </c>
      <c r="B32639" s="3">
        <v>0</v>
      </c>
    </row>
    <row r="32640" ht="15.75" customHeight="1" spans="1:2">
      <c r="A32640" s="3" t="str">
        <f>IFERROR(__xludf.DUMMYFUNCTION("GOOGLETRANSLATE(A32640,""en"",""pt"")"),"No IR, teclado leva algum tempo para se acostumar")</f>
        <v>No IR, teclado leva algum tempo para se acostumar</v>
      </c>
      <c r="B32640" s="3">
        <v>0</v>
      </c>
    </row>
    <row r="32641" ht="15.75" customHeight="1" spans="1:2">
      <c r="A32641" s="3" t="str">
        <f>IFERROR(__xludf.DUMMYFUNCTION("GOOGLETRANSLATE(A32641,""en"",""pt"")"),"acesso à Internet, e-mail: não tão simples como anunciado")</f>
        <v>acesso à Internet, e-mail: não tão simples como anunciado</v>
      </c>
      <c r="B32641" s="3">
        <v>0</v>
      </c>
    </row>
    <row r="32642" ht="15.75" customHeight="1" spans="1:2">
      <c r="A32642" s="3" t="str">
        <f>IFERROR(__xludf.DUMMYFUNCTION("GOOGLETRANSLATE(A32642,""en"",""pt"")"),"tela colorida é, sem toques polifônicos básicos")</f>
        <v>tela colorida é, sem toques polifônicos básicos</v>
      </c>
      <c r="B32642" s="3">
        <v>0</v>
      </c>
    </row>
    <row r="32643" ht="15.75" customHeight="1" spans="1:2">
      <c r="A32643" s="3" t="str">
        <f>IFERROR(__xludf.DUMMYFUNCTION("GOOGLETRANSLATE(A32643,""en"",""pt"")"),"teclado barato, teclas defeituosas, má configuração")</f>
        <v>teclado barato, teclas defeituosas, má configuração</v>
      </c>
      <c r="B32643" s="3">
        <v>0</v>
      </c>
    </row>
    <row r="32644" ht="15.75" customHeight="1" spans="1:2">
      <c r="A32644" s="3" t="str">
        <f>IFERROR(__xludf.DUMMYFUNCTION("GOOGLETRANSLATE(A32644,""en"",""pt"")"),"capacidade Sem IR; transferências de dados são quase impossíveis.")</f>
        <v>capacidade Sem IR; transferências de dados são quase impossíveis.</v>
      </c>
      <c r="B32644" s="3">
        <v>0</v>
      </c>
    </row>
    <row r="32645" ht="15.75" customHeight="1" spans="1:2">
      <c r="A32645" s="3" t="str">
        <f>IFERROR(__xludf.DUMMYFUNCTION("GOOGLETRANSLATE(A32645,""en"",""pt"")"),"Número pad leva algum tempo para se acostumar, seria bom ter um ringtone padrão.")</f>
        <v>Número pad leva algum tempo para se acostumar, seria bom ter um ringtone padrão.</v>
      </c>
      <c r="B32645" s="3">
        <v>0</v>
      </c>
    </row>
    <row r="32646" ht="15.75" customHeight="1" spans="1:2">
      <c r="A32646" s="3" t="str">
        <f>IFERROR(__xludf.DUMMYFUNCTION("GOOGLETRANSLATE(A32646,""en"",""pt"")"),"tela é um pouco ""blocos""")</f>
        <v>tela é um pouco "blocos"</v>
      </c>
      <c r="B32646" s="3">
        <v>0</v>
      </c>
    </row>
    <row r="32647" ht="15.75" customHeight="1" spans="1:2">
      <c r="A32647" s="3" t="str">
        <f>IFERROR(__xludf.DUMMYFUNCTION("GOOGLETRANSLATE(A32647,""en"",""pt"")"),"menu de carregamento lento, as cores eram muito básico")</f>
        <v>menu de carregamento lento, as cores eram muito básico</v>
      </c>
      <c r="B32647" s="3">
        <v>0</v>
      </c>
    </row>
    <row r="32648" ht="15.75" customHeight="1" spans="1:2">
      <c r="A32648" s="3" t="str">
        <f>IFERROR(__xludf.DUMMYFUNCTION("GOOGLETRANSLATE(A32648,""en"",""pt"")"),"Pequenos aborrecimentos nos recursos do menu e protecção do teclado")</f>
        <v>Pequenos aborrecimentos nos recursos do menu e protecção do teclado</v>
      </c>
      <c r="B32648" s="3">
        <v>0</v>
      </c>
    </row>
    <row r="32649" ht="15.75" customHeight="1" spans="1:2">
      <c r="A32649" s="3" t="str">
        <f>IFERROR(__xludf.DUMMYFUNCTION("GOOGLETRANSLATE(A32649,""en"",""pt"")"),"Nenhum")</f>
        <v>Nenhum</v>
      </c>
      <c r="B32649" s="3">
        <v>0</v>
      </c>
    </row>
    <row r="32650" ht="15.75" customHeight="1" spans="1:2">
      <c r="A32650" s="3" t="str">
        <f>IFERROR(__xludf.DUMMYFUNCTION("GOOGLETRANSLATE(A32650,""en"",""pt"")"),"erro ""Inserir o cartão SIM"", fica chato. Bateria não dura muito no longo prazo.")</f>
        <v>erro "Inserir o cartão SIM", fica chato. Bateria não dura muito no longo prazo.</v>
      </c>
      <c r="B32650" s="3">
        <v>0</v>
      </c>
    </row>
    <row r="32651" ht="15.75" customHeight="1" spans="1:2">
      <c r="A32651" s="3" t="str">
        <f>IFERROR(__xludf.DUMMYFUNCTION("GOOGLETRANSLATE(A32651,""en"",""pt"")"),"Ninguém pode me ouvir quando estou falando com eles sobre este telefone.")</f>
        <v>Ninguém pode me ouvir quando estou falando com eles sobre este telefone.</v>
      </c>
      <c r="B32651" s="3">
        <v>0</v>
      </c>
    </row>
    <row r="32652" ht="15.75" customHeight="1" spans="1:2">
      <c r="A32652" s="3" t="str">
        <f>IFERROR(__xludf.DUMMYFUNCTION("GOOGLETRANSLATE(A32652,""en"",""pt"")"),"Ecoando é terrível! Outra parte, muitas vezes relata que eles não podem me ouvir claramente.")</f>
        <v>Ecoando é terrível! Outra parte, muitas vezes relata que eles não podem me ouvir claramente.</v>
      </c>
      <c r="B32652" s="3">
        <v>0</v>
      </c>
    </row>
    <row r="32653" ht="15.75" customHeight="1" spans="1:2">
      <c r="A32653" s="3" t="str">
        <f>IFERROR(__xludf.DUMMYFUNCTION("GOOGLETRANSLATE(A32653,""en"",""pt"")"),"clareza (você nunca pode usá-lo em uma sala barulhenta), recepção, controle de qualidade, em geral,")</f>
        <v>clareza (você nunca pode usá-lo em uma sala barulhenta), recepção, controle de qualidade, em geral,</v>
      </c>
      <c r="B32653" s="3">
        <v>0</v>
      </c>
    </row>
    <row r="32654" ht="15.75" customHeight="1" spans="1:2">
      <c r="A32654" s="3" t="str">
        <f>IFERROR(__xludf.DUMMYFUNCTION("GOOGLETRANSLATE(A32654,""en"",""pt"")"),"Faz equipamento ruído em torno electrónico (b / c de radiação)")</f>
        <v>Faz equipamento ruído em torno electrónico (b / c de radiação)</v>
      </c>
      <c r="B32654" s="3">
        <v>0</v>
      </c>
    </row>
    <row r="32655" ht="15.75" customHeight="1" spans="1:2">
      <c r="A32655" s="3" t="str">
        <f>IFERROR(__xludf.DUMMYFUNCTION("GOOGLETRANSLATE(A32655,""en"",""pt"")"),"Além da falta de recursos ... nenhum!")</f>
        <v>Além da falta de recursos ... nenhum!</v>
      </c>
      <c r="B32655" s="3">
        <v>0</v>
      </c>
    </row>
    <row r="32656" ht="15.75" customHeight="1" spans="1:2">
      <c r="A32656" s="3" t="str">
        <f>IFERROR(__xludf.DUMMYFUNCTION("GOOGLETRANSLATE(A32656,""en"",""pt"")"),"interface de usuário (opções de menu)")</f>
        <v>interface de usuário (opções de menu)</v>
      </c>
      <c r="B32656" s="3">
        <v>0</v>
      </c>
    </row>
    <row r="32657" ht="15.75" customHeight="1" spans="1:2">
      <c r="A32657" s="3" t="str">
        <f>IFERROR(__xludf.DUMMYFUNCTION("GOOGLETRANSLATE(A32657,""en"",""pt"")"),"Volumoso,")</f>
        <v>Volumoso,</v>
      </c>
      <c r="B32657" s="3">
        <v>0</v>
      </c>
    </row>
    <row r="32658" ht="15.75" customHeight="1" spans="1:2">
      <c r="A32658" s="3" t="str">
        <f>IFERROR(__xludf.DUMMYFUNCTION("GOOGLETRANSLATE(A32658,""en"",""pt"")"),"nenhum que eu tenha notado até agora.")</f>
        <v>nenhum que eu tenha notado até agora.</v>
      </c>
      <c r="B32658" s="3">
        <v>0</v>
      </c>
    </row>
    <row r="32659" ht="15.75" customHeight="1" spans="1:2">
      <c r="A32659" s="3" t="str">
        <f>IFERROR(__xludf.DUMMYFUNCTION("GOOGLETRANSLATE(A32659,""en"",""pt"")"),"Teclado (Poderia ser menos elegante e mais prático)")</f>
        <v>Teclado (Poderia ser menos elegante e mais prático)</v>
      </c>
      <c r="B32659" s="3">
        <v>0</v>
      </c>
    </row>
    <row r="32660" ht="15.75" customHeight="1" spans="1:2">
      <c r="A32660" s="3" t="str">
        <f>IFERROR(__xludf.DUMMYFUNCTION("GOOGLETRANSLATE(A32660,""en"",""pt"")"),"configuração do teclado")</f>
        <v>configuração do teclado</v>
      </c>
      <c r="B32660" s="3">
        <v>0</v>
      </c>
    </row>
    <row r="32661" ht="15.75" customHeight="1" spans="1:2">
      <c r="A32661" s="3" t="str">
        <f>IFERROR(__xludf.DUMMYFUNCTION("GOOGLETRANSLATE(A32661,""en"",""pt"")"),"No gravador de voz, transferência de dados?")</f>
        <v>No gravador de voz, transferência de dados?</v>
      </c>
      <c r="B32661" s="3">
        <v>0</v>
      </c>
    </row>
    <row r="32662" ht="15.75" customHeight="1" spans="1:2">
      <c r="A32662" s="3" t="str">
        <f>IFERROR(__xludf.DUMMYFUNCTION("GOOGLETRANSLATE(A32662,""en"",""pt"")"),"Ecoando, há recursos de Internet")</f>
        <v>Ecoando, há recursos de Internet</v>
      </c>
      <c r="B32662" s="3">
        <v>0</v>
      </c>
    </row>
    <row r="32663" ht="15.75" customHeight="1" spans="1:2">
      <c r="A32663" s="3" t="str">
        <f>IFERROR(__xludf.DUMMYFUNCTION("GOOGLETRANSLATE(A32663,""en"",""pt"")"),"Nenhum.")</f>
        <v>Nenhum.</v>
      </c>
      <c r="B32663" s="3">
        <v>0</v>
      </c>
    </row>
    <row r="32664" ht="15.75" customHeight="1" spans="1:2">
      <c r="A32664" s="3" t="str">
        <f>IFERROR(__xludf.DUMMYFUNCTION("GOOGLETRANSLATE(A32664,""en"",""pt"")"),"Calendário não tem ""visualizar todas as notas do dia"" recurso.")</f>
        <v>Calendário não tem "visualizar todas as notas do dia" recurso.</v>
      </c>
      <c r="B32664" s="3">
        <v>0</v>
      </c>
    </row>
    <row r="32665" ht="15.75" customHeight="1" spans="1:2">
      <c r="A32665" s="3" t="str">
        <f>IFERROR(__xludf.DUMMYFUNCTION("GOOGLETRANSLATE(A32665,""en"",""pt"")"),"ummm vivendo através de água é mais do que suficiente para compensar isso alguns contras")</f>
        <v>ummm vivendo através de água é mais do que suficiente para compensar isso alguns contras</v>
      </c>
      <c r="B32665" s="3">
        <v>0</v>
      </c>
    </row>
    <row r="32666" ht="15.75" customHeight="1" spans="1:2">
      <c r="A32666" s="3" t="str">
        <f>IFERROR(__xludf.DUMMYFUNCTION("GOOGLETRANSLATE(A32666,""en"",""pt"")"),"Nenhum, embora teclado pode ser um pouco trickey para grandes idiviuals dedos.")</f>
        <v>Nenhum, embora teclado pode ser um pouco trickey para grandes idiviuals dedos.</v>
      </c>
      <c r="B32666" s="3">
        <v>0</v>
      </c>
    </row>
    <row r="32667" ht="15.75" customHeight="1" spans="1:2">
      <c r="A32667" s="3" t="str">
        <f>IFERROR(__xludf.DUMMYFUNCTION("GOOGLETRANSLATE(A32667,""en"",""pt"")"),"nenhum conhecido")</f>
        <v>nenhum conhecido</v>
      </c>
      <c r="B32667" s="3">
        <v>0</v>
      </c>
    </row>
    <row r="32668" ht="15.75" customHeight="1" spans="1:2">
      <c r="A32668" s="3" t="str">
        <f>IFERROR(__xludf.DUMMYFUNCTION("GOOGLETRANSLATE(A32668,""en"",""pt"")"),"Pequenos botões.")</f>
        <v>Pequenos botões.</v>
      </c>
      <c r="B32668" s="3">
        <v>0</v>
      </c>
    </row>
    <row r="32669" ht="15.75" customHeight="1" spans="1:2">
      <c r="A32669" s="3" t="str">
        <f>IFERROR(__xludf.DUMMYFUNCTION("GOOGLETRANSLATE(A32669,""en"",""pt"")"),"durabilidade, muito pequeno em tamanho, chave tamanhos de botão almofada, guias de porta")</f>
        <v>durabilidade, muito pequeno em tamanho, chave tamanhos de botão almofada, guias de porta</v>
      </c>
      <c r="B32669" s="3">
        <v>0</v>
      </c>
    </row>
    <row r="32670" ht="15.75" customHeight="1" spans="1:2">
      <c r="A32670" s="3" t="str">
        <f>IFERROR(__xludf.DUMMYFUNCTION("GOOGLETRANSLATE(A32670,""en"",""pt"")"),"Difícil ajustar contrastes de tela, botões pequenos demais.")</f>
        <v>Difícil ajustar contrastes de tela, botões pequenos demais.</v>
      </c>
      <c r="B32670" s="3">
        <v>0</v>
      </c>
    </row>
    <row r="32671" ht="15.75" customHeight="1" spans="1:2">
      <c r="A32671" s="3" t="str">
        <f>IFERROR(__xludf.DUMMYFUNCTION("GOOGLETRANSLATE(A32671,""en"",""pt"")"),"Não salva mensagens escritas à metade; alarme não tem recurso soneca; recurso de cópia Phone-to-SIM ineficiente;")</f>
        <v>Não salva mensagens escritas à metade; alarme não tem recurso soneca; recurso de cópia Phone-to-SIM ineficiente;</v>
      </c>
      <c r="B32671" s="3">
        <v>0</v>
      </c>
    </row>
    <row r="32672" ht="15.75" customHeight="1" spans="1:2">
      <c r="A32672" s="3" t="str">
        <f>IFERROR(__xludf.DUMMYFUNCTION("GOOGLETRANSLATE(A32672,""en"",""pt"")"),"desliza para fora das mãos de vez em quando, não tem todos os recursos mais recentes de telefones nowaday")</f>
        <v>desliza para fora das mãos de vez em quando, não tem todos os recursos mais recentes de telefones nowaday</v>
      </c>
      <c r="B32672" s="3">
        <v>0</v>
      </c>
    </row>
    <row r="32673" ht="15.75" customHeight="1" spans="1:2">
      <c r="A32673" s="3" t="str">
        <f>IFERROR(__xludf.DUMMYFUNCTION("GOOGLETRANSLATE(A32673,""en"",""pt"")"),"Nenhum, realmente.")</f>
        <v>Nenhum, realmente.</v>
      </c>
      <c r="B32673" s="3">
        <v>0</v>
      </c>
    </row>
    <row r="32674" ht="15.75" customHeight="1" spans="1:2">
      <c r="A32674" s="3" t="str">
        <f>IFERROR(__xludf.DUMMYFUNCTION("GOOGLETRANSLATE(A32674,""en"",""pt"")"),"Nenhum")</f>
        <v>Nenhum</v>
      </c>
      <c r="B32674" s="3">
        <v>0</v>
      </c>
    </row>
    <row r="32675" ht="15.75" customHeight="1" spans="1:2">
      <c r="A32675" s="3" t="str">
        <f>IFERROR(__xludf.DUMMYFUNCTION("GOOGLETRANSLATE(A32675,""en"",""pt"")"),"caro se você tem que pagar o preço total; Os problemas de software; chamadas abandonadas um problema contínuo")</f>
        <v>caro se você tem que pagar o preço total; Os problemas de software; chamadas abandonadas um problema contínuo</v>
      </c>
      <c r="B32675" s="3">
        <v>0</v>
      </c>
    </row>
    <row r="32676" ht="15.75" customHeight="1" spans="1:2">
      <c r="A32676" s="3" t="str">
        <f>IFERROR(__xludf.DUMMYFUNCTION("GOOGLETRANSLATE(A32676,""en"",""pt"")"),"botões de controle de tom de lado, má localização.")</f>
        <v>botões de controle de tom de lado, má localização.</v>
      </c>
      <c r="B32676" s="3">
        <v>0</v>
      </c>
    </row>
    <row r="32677" ht="15.75" customHeight="1" spans="1:2">
      <c r="A32677" s="3" t="str">
        <f>IFERROR(__xludf.DUMMYFUNCTION("GOOGLETRANSLATE(A32677,""en"",""pt"")"),"chamadas abandonadas são muuuuito chato !, ruim fone de ouvido, o anel é muito tranquila")</f>
        <v>chamadas abandonadas são muuuuito chato !, ruim fone de ouvido, o anel é muito tranquila</v>
      </c>
      <c r="B32677" s="3">
        <v>0</v>
      </c>
    </row>
    <row r="32678" ht="15.75" customHeight="1" spans="1:2">
      <c r="A32678" s="3" t="str">
        <f>IFERROR(__xludf.DUMMYFUNCTION("GOOGLETRANSLATE(A32678,""en"",""pt"")"),"Fone de ouvido é uma merda!")</f>
        <v>Fone de ouvido é uma merda!</v>
      </c>
      <c r="B32678" s="3">
        <v>0</v>
      </c>
    </row>
    <row r="32679" ht="15.75" customHeight="1" spans="1:2">
      <c r="A32679" s="3" t="str">
        <f>IFERROR(__xludf.DUMMYFUNCTION("GOOGLETRANSLATE(A32679,""en"",""pt"")"),"Menus um pouco confuso, viva-voz não muito alto, arranhões facilmente, problemas de durabilidade")</f>
        <v>Menus um pouco confuso, viva-voz não muito alto, arranhões facilmente, problemas de durabilidade</v>
      </c>
      <c r="B32679" s="3">
        <v>0</v>
      </c>
    </row>
    <row r="32680" ht="15.75" customHeight="1" spans="1:2">
      <c r="A32680" s="3" t="str">
        <f>IFERROR(__xludf.DUMMYFUNCTION("GOOGLETRANSLATE(A32680,""en"",""pt"")"),"DURABILIDADE!")</f>
        <v>DURABILIDADE!</v>
      </c>
      <c r="B32680" s="3">
        <v>0</v>
      </c>
    </row>
    <row r="32681" ht="15.75" customHeight="1" spans="1:2">
      <c r="A32681" s="3" t="str">
        <f>IFERROR(__xludf.DUMMYFUNCTION("GOOGLETRANSLATE(A32681,""en"",""pt"")"),"Se você está recebendo este telefone de graça, as suas expectativas deve ser muito baixa.")</f>
        <v>Se você está recebendo este telefone de graça, as suas expectativas deve ser muito baixa.</v>
      </c>
      <c r="B32681" s="3">
        <v>0</v>
      </c>
    </row>
    <row r="32682" ht="15.75" customHeight="1" spans="1:2">
      <c r="A32682" s="3" t="str">
        <f>IFERROR(__xludf.DUMMYFUNCTION("GOOGLETRANSLATE(A32682,""en"",""pt"")"),"Sem grandes contras.")</f>
        <v>Sem grandes contras.</v>
      </c>
      <c r="B32682" s="3">
        <v>0</v>
      </c>
    </row>
    <row r="32683" ht="15.75" customHeight="1" spans="1:2">
      <c r="A32683" s="3" t="str">
        <f>IFERROR(__xludf.DUMMYFUNCTION("GOOGLETRANSLATE(A32683,""en"",""pt"")"),"nível de volume muito baixo, possível problema com a tocar de forma consistente")</f>
        <v>nível de volume muito baixo, possível problema com a tocar de forma consistente</v>
      </c>
      <c r="B32683" s="3">
        <v>0</v>
      </c>
    </row>
    <row r="32684" ht="15.75" customHeight="1" spans="1:2">
      <c r="A32684" s="3" t="str">
        <f>IFERROR(__xludf.DUMMYFUNCTION("GOOGLETRANSLATE(A32684,""en"",""pt"")"),"Frágil, não mudo ""MUTE"", de má recepção, quebras de tela e desmaia.")</f>
        <v>Frágil, não mudo "MUTE", de má recepção, quebras de tela e desmaia.</v>
      </c>
      <c r="B32684" s="3">
        <v>0</v>
      </c>
    </row>
    <row r="32685" ht="15.75" customHeight="1" spans="1:2">
      <c r="A32685" s="3" t="str">
        <f>IFERROR(__xludf.DUMMYFUNCTION("GOOGLETRANSLATE(A32685,""en"",""pt"")"),"qualidade total falta, palestrante necessidades de telefone de trabalho, programação de discagem por voz está faltando. tela defeituosa")</f>
        <v>qualidade total falta, palestrante necessidades de telefone de trabalho, programação de discagem por voz está faltando. tela defeituosa</v>
      </c>
      <c r="B32685" s="3">
        <v>0</v>
      </c>
    </row>
    <row r="32686" ht="15.75" customHeight="1" spans="1:2">
      <c r="A32686" s="3" t="str">
        <f>IFERROR(__xludf.DUMMYFUNCTION("GOOGLETRANSLATE(A32686,""en"",""pt"")"),"barato, frágil, sem traços característicos, a capacidade de sinal limitado")</f>
        <v>barato, frágil, sem traços característicos, a capacidade de sinal limitado</v>
      </c>
      <c r="B32686" s="3">
        <v>0</v>
      </c>
    </row>
    <row r="32687" ht="15.75" customHeight="1" spans="1:2">
      <c r="A32687" s="3" t="str">
        <f>IFERROR(__xludf.DUMMYFUNCTION("GOOGLETRANSLATE(A32687,""en"",""pt"")"),"Problemas de controle de qualidade")</f>
        <v>Problemas de controle de qualidade</v>
      </c>
      <c r="B32687" s="3">
        <v>0</v>
      </c>
    </row>
    <row r="32688" ht="15.75" customHeight="1" spans="1:2">
      <c r="A32688" s="3" t="str">
        <f>IFERROR(__xludf.DUMMYFUNCTION("GOOGLETRANSLATE(A32688,""en"",""pt"")"),"viva-voz é um pouco fraco, chato você não pode ir diretamente a agenda")</f>
        <v>viva-voz é um pouco fraco, chato você não pode ir diretamente a agenda</v>
      </c>
      <c r="B32688" s="3">
        <v>0</v>
      </c>
    </row>
    <row r="32689" ht="15.75" customHeight="1" spans="1:2">
      <c r="A32689" s="3" t="str">
        <f>IFERROR(__xludf.DUMMYFUNCTION("GOOGLETRANSLATE(A32689,""en"",""pt"")"),"tela pequena, botões de volume desconfortáveis, sem câmera / bluetooth")</f>
        <v>tela pequena, botões de volume desconfortáveis, sem câmera / bluetooth</v>
      </c>
      <c r="B32689" s="3">
        <v>0</v>
      </c>
    </row>
    <row r="32690" ht="15.75" customHeight="1" spans="1:2">
      <c r="A32690" s="3" t="str">
        <f>IFERROR(__xludf.DUMMYFUNCTION("GOOGLETRANSLATE(A32690,""en"",""pt"")"),"Junky, plástico, cai por terra, rompe muito facilmente!")</f>
        <v>Junky, plástico, cai por terra, rompe muito facilmente!</v>
      </c>
      <c r="B32690" s="3">
        <v>0</v>
      </c>
    </row>
    <row r="32691" ht="15.75" customHeight="1" spans="1:2">
      <c r="A32691" s="3" t="str">
        <f>IFERROR(__xludf.DUMMYFUNCTION("GOOGLETRANSLATE(A32691,""en"",""pt"")"),"má qualidade física. Difícil de encontrar acessórios.")</f>
        <v>má qualidade física. Difícil de encontrar acessórios.</v>
      </c>
      <c r="B32691" s="3">
        <v>0</v>
      </c>
    </row>
    <row r="32692" ht="15.75" customHeight="1" spans="1:2">
      <c r="A32692" s="3" t="str">
        <f>IFERROR(__xludf.DUMMYFUNCTION("GOOGLETRANSLATE(A32692,""en"",""pt"")"),"É difícil para se comunicar com um peso de papel")</f>
        <v>É difícil para se comunicar com um peso de papel</v>
      </c>
      <c r="B32692" s="3">
        <v>0</v>
      </c>
    </row>
    <row r="32693" ht="15.75" customHeight="1" spans="1:2">
      <c r="A32693" s="3" t="str">
        <f>IFERROR(__xludf.DUMMYFUNCTION("GOOGLETRANSLATE(A32693,""en"",""pt"")"),"A vida útil da bateria não é quase tão longo como anunciado.")</f>
        <v>A vida útil da bateria não é quase tão longo como anunciado.</v>
      </c>
      <c r="B32693" s="3">
        <v>0</v>
      </c>
    </row>
    <row r="32694" ht="15.75" customHeight="1" spans="1:2">
      <c r="A32694" s="3" t="str">
        <f>IFERROR(__xludf.DUMMYFUNCTION("GOOGLETRANSLATE(A32694,""en"",""pt"")"),"queda de chamadas, má recepção, a tela apaga fora e muito mais")</f>
        <v>queda de chamadas, má recepção, a tela apaga fora e muito mais</v>
      </c>
      <c r="B32694" s="3">
        <v>0</v>
      </c>
    </row>
    <row r="32695" ht="15.75" customHeight="1" spans="1:2">
      <c r="A32695" s="3" t="str">
        <f>IFERROR(__xludf.DUMMYFUNCTION("GOOGLETRANSLATE(A32695,""en"",""pt"")"),"quebra facilmente")</f>
        <v>quebra facilmente</v>
      </c>
      <c r="B32695" s="3">
        <v>0</v>
      </c>
    </row>
    <row r="32696" ht="15.75" customHeight="1" spans="1:2">
      <c r="A32696" s="3" t="str">
        <f>IFERROR(__xludf.DUMMYFUNCTION("GOOGLETRANSLATE(A32696,""en"",""pt"")"),"Como um telefone, é inútil.")</f>
        <v>Como um telefone, é inútil.</v>
      </c>
      <c r="B32696" s="3">
        <v>0</v>
      </c>
    </row>
    <row r="32697" ht="15.75" customHeight="1" spans="1:2">
      <c r="A32697" s="3" t="str">
        <f>IFERROR(__xludf.DUMMYFUNCTION("GOOGLETRANSLATE(A32697,""en"",""pt"")"),"CURTO e refiro-me a vida útil SHORT !!!!!!!!!!!")</f>
        <v>CURTO e refiro-me a vida útil SHORT !!!!!!!!!!!</v>
      </c>
      <c r="B32697" s="3">
        <v>0</v>
      </c>
    </row>
    <row r="32698" ht="15.75" customHeight="1" spans="1:2">
      <c r="A32698" s="3" t="str">
        <f>IFERROR(__xludf.DUMMYFUNCTION("GOOGLETRANSLATE(A32698,""en"",""pt"")"),"curto bateria de vida, breaks aparelho com facilidade, força do sinal horrível, tudo sobre este telefone é uma merda!")</f>
        <v>curto bateria de vida, breaks aparelho com facilidade, força do sinal horrível, tudo sobre este telefone é uma merda!</v>
      </c>
      <c r="B32698" s="3">
        <v>0</v>
      </c>
    </row>
    <row r="32699" ht="15.75" customHeight="1" spans="1:2">
      <c r="A32699" s="3" t="str">
        <f>IFERROR(__xludf.DUMMYFUNCTION("GOOGLETRANSLATE(A32699,""en"",""pt"")"),"TUDO!!!!")</f>
        <v>TUDO!!!!</v>
      </c>
      <c r="B32699" s="3">
        <v>0</v>
      </c>
    </row>
    <row r="32700" ht="15.75" customHeight="1" spans="1:2">
      <c r="A32700" s="3" t="str">
        <f>IFERROR(__xludf.DUMMYFUNCTION("GOOGLETRANSLATE(A32700,""en"",""pt"")"),"Gotas chamadas, mensagens de voz, e recepção é esboçado.")</f>
        <v>Gotas chamadas, mensagens de voz, e recepção é esboçado.</v>
      </c>
      <c r="B32700" s="3">
        <v>0</v>
      </c>
    </row>
    <row r="32701" ht="15.75" customHeight="1" spans="1:2">
      <c r="A32701" s="3" t="str">
        <f>IFERROR(__xludf.DUMMYFUNCTION("GOOGLETRANSLATE(A32701,""en"",""pt"")"),"Poderia ser melhor em pegar um sinal.")</f>
        <v>Poderia ser melhor em pegar um sinal.</v>
      </c>
      <c r="B32701" s="3">
        <v>0</v>
      </c>
    </row>
    <row r="32702" ht="15.75" customHeight="1" spans="1:2">
      <c r="A32702" s="3" t="str">
        <f>IFERROR(__xludf.DUMMYFUNCTION("GOOGLETRANSLATE(A32702,""en"",""pt"")"),"BREAKS WAYYYYYYYYYYYY facilmente RELAÇÃO AO telefones com flip SIMILARES E SUA CARA")</f>
        <v>BREAKS WAYYYYYYYYYYYY facilmente RELAÇÃO AO telefones com flip SIMILARES E SUA CARA</v>
      </c>
      <c r="B32702" s="3">
        <v>0</v>
      </c>
    </row>
    <row r="32703" ht="15.75" customHeight="1" spans="1:2">
      <c r="A32703" s="3" t="str">
        <f>IFERROR(__xludf.DUMMYFUNCTION("GOOGLETRANSLATE(A32703,""en"",""pt"")"),"Internet pode ser lenta, mesmo com o melhor sinal.")</f>
        <v>Internet pode ser lenta, mesmo com o melhor sinal.</v>
      </c>
      <c r="B32703" s="3">
        <v>0</v>
      </c>
    </row>
    <row r="32704" ht="15.75" customHeight="1" spans="1:2">
      <c r="A32704" s="3" t="str">
        <f>IFERROR(__xludf.DUMMYFUNCTION("GOOGLETRANSLATE(A32704,""en"",""pt"")"),"Má qualidade. má vida da bateria. apoio pobres.")</f>
        <v>Má qualidade. má vida da bateria. apoio pobres.</v>
      </c>
      <c r="B32704" s="3">
        <v>0</v>
      </c>
    </row>
    <row r="32705" ht="15.75" customHeight="1" spans="1:2">
      <c r="A32705" s="3" t="str">
        <f>IFERROR(__xludf.DUMMYFUNCTION("GOOGLETRANSLATE(A32705,""en"",""pt"")"),"Má recepção e durabilidade lixo geral.")</f>
        <v>Má recepção e durabilidade lixo geral.</v>
      </c>
      <c r="B32705" s="3">
        <v>0</v>
      </c>
    </row>
    <row r="32706" ht="15.75" customHeight="1" spans="1:2">
      <c r="A32706" s="3" t="str">
        <f>IFERROR(__xludf.DUMMYFUNCTION("GOOGLETRANSLATE(A32706,""en"",""pt"")"),"Não há jogos incluídos, não compatível com Bluetooth.")</f>
        <v>Não há jogos incluídos, não compatível com Bluetooth.</v>
      </c>
      <c r="B32706" s="3">
        <v>0</v>
      </c>
    </row>
    <row r="32707" ht="15.75" customHeight="1" spans="1:2">
      <c r="A32707" s="3" t="str">
        <f>IFERROR(__xludf.DUMMYFUNCTION("GOOGLETRANSLATE(A32707,""en"",""pt"")"),"A vida da bateria é curta! O som é medíocre.")</f>
        <v>A vida da bateria é curta! O som é medíocre.</v>
      </c>
      <c r="B32707" s="3">
        <v>0</v>
      </c>
    </row>
    <row r="32708" ht="15.75" customHeight="1" spans="1:2">
      <c r="A32708" s="3" t="str">
        <f>IFERROR(__xludf.DUMMYFUNCTION("GOOGLETRANSLATE(A32708,""en"",""pt"")"),"Gotas serviço muito")</f>
        <v>Gotas serviço muito</v>
      </c>
      <c r="B32708" s="3">
        <v>0</v>
      </c>
    </row>
    <row r="32709" ht="15.75" customHeight="1" spans="1:2">
      <c r="A32709" s="3" t="str">
        <f>IFERROR(__xludf.DUMMYFUNCTION("GOOGLETRANSLATE(A32709,""en"",""pt"")"),", acessórios caros Unreliable_undependable, sinal fraco, curta duração da bateria, não funciona!")</f>
        <v>, acessórios caros Unreliable_undependable, sinal fraco, curta duração da bateria, não funciona!</v>
      </c>
      <c r="B32709" s="3">
        <v>0</v>
      </c>
    </row>
    <row r="32710" ht="15.75" customHeight="1" spans="1:2">
      <c r="A32710" s="3" t="str">
        <f>IFERROR(__xludf.DUMMYFUNCTION("GOOGLETRANSLATE(A32710,""en"",""pt"")"),"Ugh ... eu gostaria que tivesse mais wallpapers")</f>
        <v>Ugh ... eu gostaria que tivesse mais wallpapers</v>
      </c>
      <c r="B32710" s="3">
        <v>0</v>
      </c>
    </row>
    <row r="32711" ht="15.75" customHeight="1" spans="1:2">
      <c r="A32711" s="3" t="str">
        <f>IFERROR(__xludf.DUMMYFUNCTION("GOOGLETRANSLATE(A32711,""en"",""pt"")"),"cai chamadas, má recepção, campainha não alto o suficiente")</f>
        <v>cai chamadas, má recepção, campainha não alto o suficiente</v>
      </c>
      <c r="B32711" s="3">
        <v>0</v>
      </c>
    </row>
    <row r="32712" ht="15.75" customHeight="1" spans="1:2">
      <c r="A32712" s="3" t="str">
        <f>IFERROR(__xludf.DUMMYFUNCTION("GOOGLETRANSLATE(A32712,""en"",""pt"")"),"Frágil, pobre qualidade da chamada, LCD difícil de ler à luz do dia. Controles não são de fácil utilização.")</f>
        <v>Frágil, pobre qualidade da chamada, LCD difícil de ler à luz do dia. Controles não são de fácil utilização.</v>
      </c>
      <c r="B32712" s="3">
        <v>0</v>
      </c>
    </row>
    <row r="32713" ht="15.75" customHeight="1" spans="1:2">
      <c r="A32713" s="3" t="str">
        <f>IFERROR(__xludf.DUMMYFUNCTION("GOOGLETRANSLATE(A32713,""en"",""pt"")"),"Má recepção, telefone trava e trava.")</f>
        <v>Má recepção, telefone trava e trava.</v>
      </c>
      <c r="B32713" s="3">
        <v>0</v>
      </c>
    </row>
    <row r="32714" ht="15.75" customHeight="1" spans="1:2">
      <c r="A32714" s="3" t="str">
        <f>IFERROR(__xludf.DUMMYFUNCTION("GOOGLETRANSLATE(A32714,""en"",""pt"")"),"É um pedaço de lixo!")</f>
        <v>É um pedaço de lixo!</v>
      </c>
      <c r="B32714" s="3">
        <v>0</v>
      </c>
    </row>
    <row r="32715" ht="15.75" customHeight="1" spans="1:2">
      <c r="A32715" s="3" t="str">
        <f>IFERROR(__xludf.DUMMYFUNCTION("GOOGLETRANSLATE(A32715,""en"",""pt"")"),"ringtones chupar, não alto o suficiente, má recepção")</f>
        <v>ringtones chupar, não alto o suficiente, má recepção</v>
      </c>
      <c r="B32715" s="3">
        <v>0</v>
      </c>
    </row>
    <row r="32716" ht="15.75" customHeight="1" spans="1:2">
      <c r="A32716" s="3" t="str">
        <f>IFERROR(__xludf.DUMMYFUNCTION("GOOGLETRANSLATE(A32716,""en"",""pt"")"),"pode ser pequena demais para alguns")</f>
        <v>pode ser pequena demais para alguns</v>
      </c>
      <c r="B32716" s="3">
        <v>0</v>
      </c>
    </row>
    <row r="32717" ht="15.75" customHeight="1" spans="1:2">
      <c r="A32717" s="3" t="str">
        <f>IFERROR(__xludf.DUMMYFUNCTION("GOOGLETRANSLATE(A32717,""en"",""pt"")"),"Pode ser muito pequeno para você")</f>
        <v>Pode ser muito pequeno para você</v>
      </c>
      <c r="B32717" s="3">
        <v>0</v>
      </c>
    </row>
    <row r="32718" ht="15.75" customHeight="1" spans="1:2">
      <c r="A32718" s="3" t="str">
        <f>IFERROR(__xludf.DUMMYFUNCTION("GOOGLETRANSLATE(A32718,""en"",""pt"")"),"chamadas não atendidas, não resistentes")</f>
        <v>chamadas não atendidas, não resistentes</v>
      </c>
      <c r="B32718" s="3">
        <v>0</v>
      </c>
    </row>
    <row r="32719" ht="15.75" customHeight="1" spans="1:2">
      <c r="A32719" s="3" t="str">
        <f>IFERROR(__xludf.DUMMYFUNCTION("GOOGLETRANSLATE(A32719,""en"",""pt"")"),"tamanho minúsculo, caro")</f>
        <v>tamanho minúsculo, caro</v>
      </c>
      <c r="B32719" s="3">
        <v>0</v>
      </c>
    </row>
    <row r="32720" ht="15.75" customHeight="1" spans="1:2">
      <c r="A32720" s="3" t="str">
        <f>IFERROR(__xludf.DUMMYFUNCTION("GOOGLETRANSLATE(A32720,""en"",""pt"")"),"Fácil de perder.")</f>
        <v>Fácil de perder.</v>
      </c>
      <c r="B32720" s="3">
        <v>0</v>
      </c>
    </row>
    <row r="32721" ht="15.75" customHeight="1" spans="1:2">
      <c r="A32721" s="3" t="str">
        <f>IFERROR(__xludf.DUMMYFUNCTION("GOOGLETRANSLATE(A32721,""en"",""pt"")"),"O que é isso, há algum?")</f>
        <v>O que é isso, há algum?</v>
      </c>
      <c r="B32721" s="3">
        <v>0</v>
      </c>
    </row>
    <row r="32722" ht="15.75" customHeight="1" spans="1:2">
      <c r="A32722" s="3" t="str">
        <f>IFERROR(__xludf.DUMMYFUNCTION("GOOGLETRANSLATE(A32722,""en"",""pt"")"),"mais recursos do que eu realmente preciso")</f>
        <v>mais recursos do que eu realmente preciso</v>
      </c>
      <c r="B32722" s="3">
        <v>0</v>
      </c>
    </row>
    <row r="32723" ht="15.75" customHeight="1" spans="1:2">
      <c r="A32723" s="3" t="str">
        <f>IFERROR(__xludf.DUMMYFUNCTION("GOOGLETRANSLATE(A32723,""en"",""pt"")"),"Má recepção, colocação de porta IR.")</f>
        <v>Má recepção, colocação de porta IR.</v>
      </c>
      <c r="B32723" s="3">
        <v>0</v>
      </c>
    </row>
    <row r="32724" ht="15.75" customHeight="1" spans="1:2">
      <c r="A32724" s="3" t="str">
        <f>IFERROR(__xludf.DUMMYFUNCTION("GOOGLETRANSLATE(A32724,""en"",""pt"")"),"Plástico se sente um pouco frágil")</f>
        <v>Plástico se sente um pouco frágil</v>
      </c>
      <c r="B32724" s="3">
        <v>0</v>
      </c>
    </row>
    <row r="32725" ht="15.75" customHeight="1" spans="1:2">
      <c r="A32725" s="3" t="str">
        <f>IFERROR(__xludf.DUMMYFUNCTION("GOOGLETRANSLATE(A32725,""en"",""pt"")"),"Plasticy, qualidade de som excelente.")</f>
        <v>Plasticy, qualidade de som excelente.</v>
      </c>
      <c r="B32725" s="3">
        <v>0</v>
      </c>
    </row>
    <row r="32726" ht="15.75" customHeight="1" spans="1:2">
      <c r="A32726" s="3" t="str">
        <f>IFERROR(__xludf.DUMMYFUNCTION("GOOGLETRANSLATE(A32726,""en"",""pt"")"),"Medo de perdê-lo")</f>
        <v>Medo de perdê-lo</v>
      </c>
      <c r="B32726" s="3">
        <v>0</v>
      </c>
    </row>
    <row r="32727" ht="15.75" customHeight="1" spans="1:2">
      <c r="A32727" s="3" t="str">
        <f>IFERROR(__xludf.DUMMYFUNCTION("GOOGLETRANSLATE(A32727,""en"",""pt"")"),"Maior do que um cartão de crédito")</f>
        <v>Maior do que um cartão de crédito</v>
      </c>
      <c r="B32727" s="3">
        <v>0</v>
      </c>
    </row>
    <row r="32728" ht="15.75" customHeight="1" spans="1:2">
      <c r="A32728" s="3" t="str">
        <f>IFERROR(__xludf.DUMMYFUNCTION("GOOGLETRANSLATE(A32728,""en"",""pt"")"),"O tamanho pequeno corta tanto difícil ways-- de manusear e discar.")</f>
        <v>O tamanho pequeno corta tanto difícil ways-- de manusear e discar.</v>
      </c>
      <c r="B32728" s="3">
        <v>0</v>
      </c>
    </row>
    <row r="32729" ht="15.75" customHeight="1" spans="1:2">
      <c r="A32729" s="3" t="str">
        <f>IFERROR(__xludf.DUMMYFUNCTION("GOOGLETRANSLATE(A32729,""en"",""pt"")"),"Um pouco caro e nenhum navegador WAP")</f>
        <v>Um pouco caro e nenhum navegador WAP</v>
      </c>
      <c r="B32729" s="3">
        <v>0</v>
      </c>
    </row>
    <row r="32730" ht="15.75" customHeight="1" spans="1:2">
      <c r="A32730" s="3" t="str">
        <f>IFERROR(__xludf.DUMMYFUNCTION("GOOGLETRANSLATE(A32730,""en"",""pt"")"),"não usa padrão de mãos-livres")</f>
        <v>não usa padrão de mãos-livres</v>
      </c>
      <c r="B32730" s="3">
        <v>0</v>
      </c>
    </row>
    <row r="32731" ht="15.75" customHeight="1" spans="1:2">
      <c r="A32731" s="3" t="str">
        <f>IFERROR(__xludf.DUMMYFUNCTION("GOOGLETRANSLATE(A32731,""en"",""pt"")"),"Hmmm ... se perde facilmente")</f>
        <v>Hmmm ... se perde facilmente</v>
      </c>
      <c r="B32731" s="3">
        <v>0</v>
      </c>
    </row>
    <row r="32732" ht="15.75" customHeight="1" spans="1:2">
      <c r="A32732" s="3" t="str">
        <f>IFERROR(__xludf.DUMMYFUNCTION("GOOGLETRANSLATE(A32732,""en"",""pt"")"),"Se eu nunca pensar em um, eu vou deixar você sabe.")</f>
        <v>Se eu nunca pensar em um, eu vou deixar você sabe.</v>
      </c>
      <c r="B32732" s="3">
        <v>0</v>
      </c>
    </row>
    <row r="32733" ht="15.75" customHeight="1" spans="1:2">
      <c r="A32733" s="3" t="str">
        <f>IFERROR(__xludf.DUMMYFUNCTION("GOOGLETRANSLATE(A32733,""en"",""pt"")"),"botões são pequenos demais para imprensa facilmente - tem que usar uma unha.")</f>
        <v>botões são pequenos demais para imprensa facilmente - tem que usar uma unha.</v>
      </c>
      <c r="B32733" s="3">
        <v>0</v>
      </c>
    </row>
    <row r="32734" ht="15.75" customHeight="1" spans="1:2">
      <c r="A32734" s="3" t="str">
        <f>IFERROR(__xludf.DUMMYFUNCTION("GOOGLETRANSLATE(A32734,""en"",""pt"")"),"Baixo volume em lugares barulhentos, pequenos botões")</f>
        <v>Baixo volume em lugares barulhentos, pequenos botões</v>
      </c>
      <c r="B32734" s="3">
        <v>0</v>
      </c>
    </row>
    <row r="32735" ht="15.75" customHeight="1" spans="1:2">
      <c r="A32735" s="3" t="str">
        <f>IFERROR(__xludf.DUMMYFUNCTION("GOOGLETRANSLATE(A32735,""en"",""pt"")"),"devido frágil para tamanho pequeno, curta duração da bateria, fácil de cair, não muito resistente.")</f>
        <v>devido frágil para tamanho pequeno, curta duração da bateria, fácil de cair, não muito resistente.</v>
      </c>
      <c r="B32735" s="3">
        <v>0</v>
      </c>
    </row>
    <row r="32736" ht="15.75" customHeight="1" spans="1:2">
      <c r="A32736" s="3" t="str">
        <f>IFERROR(__xludf.DUMMYFUNCTION("GOOGLETRANSLATE(A32736,""en"",""pt"")"),"Pequeno?????")</f>
        <v>Pequeno?????</v>
      </c>
      <c r="B32736" s="3">
        <v>0</v>
      </c>
    </row>
    <row r="32737" ht="15.75" customHeight="1" spans="1:2">
      <c r="A32737" s="3" t="str">
        <f>IFERROR(__xludf.DUMMYFUNCTION("GOOGLETRANSLATE(A32737,""en"",""pt"")"),"não durável, nenhum navegador web, cingular tem muito ruim cobertura, pequenos botões")</f>
        <v>não durável, nenhum navegador web, cingular tem muito ruim cobertura, pequenos botões</v>
      </c>
      <c r="B32737" s="3">
        <v>0</v>
      </c>
    </row>
    <row r="32738" ht="15.75" customHeight="1" spans="1:2">
      <c r="A32738" s="3" t="str">
        <f>IFERROR(__xludf.DUMMYFUNCTION("GOOGLETRANSLATE(A32738,""en"",""pt"")"),"durabilidade, conexão LCD esquisito, não WAP, não pode armazenar endereços de e-mail, não um telefone do mundo")</f>
        <v>durabilidade, conexão LCD esquisito, não WAP, não pode armazenar endereços de e-mail, não um telefone do mundo</v>
      </c>
      <c r="B32738" s="3">
        <v>0</v>
      </c>
    </row>
    <row r="32739" ht="15.75" customHeight="1" spans="1:2">
      <c r="A32739" s="3" t="str">
        <f>IFERROR(__xludf.DUMMYFUNCTION("GOOGLETRANSLATE(A32739,""en"",""pt"")"),"Não é como olhar fresco como o 8890")</f>
        <v>Não é como olhar fresco como o 8890</v>
      </c>
      <c r="B32739" s="3">
        <v>0</v>
      </c>
    </row>
    <row r="32740" ht="15.75" customHeight="1" spans="1:2">
      <c r="A32740" s="3" t="str">
        <f>IFERROR(__xludf.DUMMYFUNCTION("GOOGLETRANSLATE(A32740,""en"",""pt"")"),"chaves pequenas")</f>
        <v>chaves pequenas</v>
      </c>
      <c r="B32740" s="3">
        <v>0</v>
      </c>
    </row>
    <row r="32741" ht="15.75" customHeight="1" spans="1:2">
      <c r="A32741" s="3" t="str">
        <f>IFERROR(__xludf.DUMMYFUNCTION("GOOGLETRANSLATE(A32741,""en"",""pt"")"),"Não funciona")</f>
        <v>Não funciona</v>
      </c>
      <c r="B32741" s="3">
        <v>0</v>
      </c>
    </row>
    <row r="32742" ht="15.75" customHeight="1" spans="1:2">
      <c r="A32742" s="3" t="str">
        <f>IFERROR(__xludf.DUMMYFUNCTION("GOOGLETRANSLATE(A32742,""en"",""pt"")"),"Ainda um pouco caro. Pode se perder facilmente.")</f>
        <v>Ainda um pouco caro. Pode se perder facilmente.</v>
      </c>
      <c r="B32742" s="3">
        <v>0</v>
      </c>
    </row>
    <row r="32743" ht="15.75" customHeight="1" spans="1:2">
      <c r="A32743" s="3" t="str">
        <f>IFERROR(__xludf.DUMMYFUNCTION("GOOGLETRANSLATE(A32743,""en"",""pt"")"),"Minúsculos botões, número de telefone único por entrada de nome.")</f>
        <v>Minúsculos botões, número de telefone único por entrada de nome.</v>
      </c>
      <c r="B32743" s="3">
        <v>0</v>
      </c>
    </row>
    <row r="32744" ht="15.75" customHeight="1" spans="1:2">
      <c r="A32744" s="3" t="str">
        <f>IFERROR(__xludf.DUMMYFUNCTION("GOOGLETRANSLATE(A32744,""en"",""pt"")"),"pode ser muito pequeno, aftermarket produtos difíceis de encontrar, caro")</f>
        <v>pode ser muito pequeno, aftermarket produtos difíceis de encontrar, caro</v>
      </c>
      <c r="B32744" s="3">
        <v>0</v>
      </c>
    </row>
    <row r="32745" ht="15.75" customHeight="1" spans="1:2">
      <c r="A32745" s="3" t="str">
        <f>IFERROR(__xludf.DUMMYFUNCTION("GOOGLETRANSLATE(A32745,""en"",""pt"")"),"Apenas disponível em GSM (mas, eu realmente gosto GSM)")</f>
        <v>Apenas disponível em GSM (mas, eu realmente gosto GSM)</v>
      </c>
      <c r="B32745" s="3">
        <v>0</v>
      </c>
    </row>
    <row r="32746" ht="15.75" customHeight="1" spans="1:2">
      <c r="A32746" s="3" t="str">
        <f>IFERROR(__xludf.DUMMYFUNCTION("GOOGLETRANSLATE(A32746,""en"",""pt"")"),"não WAP")</f>
        <v>não WAP</v>
      </c>
      <c r="B32746" s="3">
        <v>0</v>
      </c>
    </row>
    <row r="32747" ht="15.75" customHeight="1" spans="1:2">
      <c r="A32747" s="3" t="str">
        <f>IFERROR(__xludf.DUMMYFUNCTION("GOOGLETRANSLATE(A32747,""en"",""pt"")"),"volume está muito baixo (para todos os telefones Nokia)")</f>
        <v>volume está muito baixo (para todos os telefones Nokia)</v>
      </c>
      <c r="B32747" s="3">
        <v>0</v>
      </c>
    </row>
    <row r="32748" ht="15.75" customHeight="1" spans="1:2">
      <c r="A32748" s="3" t="str">
        <f>IFERROR(__xludf.DUMMYFUNCTION("GOOGLETRANSLATE(A32748,""en"",""pt"")"),"Teclado um pequeno bit, chaves não iluminado bem")</f>
        <v>Teclado um pequeno bit, chaves não iluminado bem</v>
      </c>
      <c r="B32748" s="3">
        <v>0</v>
      </c>
    </row>
    <row r="32749" ht="15.75" customHeight="1" spans="1:2">
      <c r="A32749" s="3" t="str">
        <f>IFERROR(__xludf.DUMMYFUNCTION("GOOGLETRANSLATE(A32749,""en"",""pt"")"),"É muito leve e pode ser fácil de danificá-lo.")</f>
        <v>É muito leve e pode ser fácil de danificá-lo.</v>
      </c>
      <c r="B32749" s="3">
        <v>0</v>
      </c>
    </row>
    <row r="32750" ht="15.75" customHeight="1" spans="1:2">
      <c r="A32750" s="3" t="str">
        <f>IFERROR(__xludf.DUMMYFUNCTION("GOOGLETRANSLATE(A32750,""en"",""pt"")"),"Encontrar um fornecedor que carrega o telefone")</f>
        <v>Encontrar um fornecedor que carrega o telefone</v>
      </c>
      <c r="B32750" s="3">
        <v>0</v>
      </c>
    </row>
    <row r="32751" ht="15.75" customHeight="1" spans="1:2">
      <c r="A32751" s="3" t="str">
        <f>IFERROR(__xludf.DUMMYFUNCTION("GOOGLETRANSLATE(A32751,""en"",""pt"")"),"Talvez muito pequena, acessórios Nokia são caros.")</f>
        <v>Talvez muito pequena, acessórios Nokia são caros.</v>
      </c>
      <c r="B32751" s="3">
        <v>0</v>
      </c>
    </row>
    <row r="32752" ht="15.75" customHeight="1" spans="1:2">
      <c r="A32752" s="3" t="str">
        <f>IFERROR(__xludf.DUMMYFUNCTION("GOOGLETRANSLATE(A32752,""en"",""pt"")"),"Nenhum encontrado ainda.")</f>
        <v>Nenhum encontrado ainda.</v>
      </c>
      <c r="B32752" s="3">
        <v>0</v>
      </c>
    </row>
    <row r="32753" ht="15.75" customHeight="1" spans="1:2">
      <c r="A32753" s="3" t="str">
        <f>IFERROR(__xludf.DUMMYFUNCTION("GOOGLETRANSLATE(A32753,""en"",""pt"")"),"teclas numéricas são um pouco pequeno demais")</f>
        <v>teclas numéricas são um pouco pequeno demais</v>
      </c>
      <c r="B32753" s="3">
        <v>0</v>
      </c>
    </row>
    <row r="32754" ht="15.75" customHeight="1" spans="1:2">
      <c r="A32754" s="3" t="str">
        <f>IFERROR(__xludf.DUMMYFUNCTION("GOOGLETRANSLATE(A32754,""en"",""pt"")"),"Pequeno &amp; amp; Leve (não perdê-lo!), Um pouco Frágil")</f>
        <v>Pequeno &amp; amp; Leve (não perdê-lo!), Um pouco Frágil</v>
      </c>
      <c r="B32754" s="3">
        <v>0</v>
      </c>
    </row>
    <row r="32755" ht="15.75" customHeight="1" spans="1:2">
      <c r="A32755" s="3" t="str">
        <f>IFERROR(__xludf.DUMMYFUNCTION("GOOGLETRANSLATE(A32755,""en"",""pt"")"),"Eu não consigo pensar em nenhum para ser honesto")</f>
        <v>Eu não consigo pensar em nenhum para ser honesto</v>
      </c>
      <c r="B32755" s="3">
        <v>0</v>
      </c>
    </row>
    <row r="32756" ht="15.75" customHeight="1" spans="1:2">
      <c r="A32756" s="3" t="str">
        <f>IFERROR(__xludf.DUMMYFUNCTION("GOOGLETRANSLATE(A32756,""en"",""pt"")"),"Muito pequeno, exibir muito pequeno")</f>
        <v>Muito pequeno, exibir muito pequeno</v>
      </c>
      <c r="B32756" s="3">
        <v>0</v>
      </c>
    </row>
    <row r="32757" ht="15.75" customHeight="1" spans="1:2">
      <c r="A32757" s="3" t="str">
        <f>IFERROR(__xludf.DUMMYFUNCTION("GOOGLETRANSLATE(A32757,""en"",""pt"")"),"Difícil de ouvir de fora.")</f>
        <v>Difícil de ouvir de fora.</v>
      </c>
      <c r="B32757" s="3">
        <v>0</v>
      </c>
    </row>
    <row r="32758" ht="15.75" customHeight="1" spans="1:2">
      <c r="A32758" s="3" t="str">
        <f>IFERROR(__xludf.DUMMYFUNCTION("GOOGLETRANSLATE(A32758,""en"",""pt"")"),"caro, banda única")</f>
        <v>caro, banda única</v>
      </c>
      <c r="B32758" s="3">
        <v>0</v>
      </c>
    </row>
    <row r="32759" ht="15.75" customHeight="1" spans="1:2">
      <c r="A32759" s="3" t="str">
        <f>IFERROR(__xludf.DUMMYFUNCTION("GOOGLETRANSLATE(A32759,""en"",""pt"")"),"Antena, pequenos botões")</f>
        <v>Antena, pequenos botões</v>
      </c>
      <c r="B32759" s="3">
        <v>0</v>
      </c>
    </row>
    <row r="32760" ht="15.75" customHeight="1" spans="1:2">
      <c r="A32760" s="3" t="str">
        <f>IFERROR(__xludf.DUMMYFUNCTION("GOOGLETRANSLATE(A32760,""en"",""pt"")"),"Pode ser pequena demais para alguns (não eu), nenhum modo analógico")</f>
        <v>Pode ser pequena demais para alguns (não eu), nenhum modo analógico</v>
      </c>
      <c r="B32760" s="3">
        <v>0</v>
      </c>
    </row>
    <row r="32761" ht="15.75" customHeight="1" spans="1:2">
      <c r="A32761" s="3" t="str">
        <f>IFERROR(__xludf.DUMMYFUNCTION("GOOGLETRANSLATE(A32761,""en"",""pt"")"),"VoiceStream tem cobertura irregular ... não WAP se você estiver em que tipo de coisa")</f>
        <v>VoiceStream tem cobertura irregular ... não WAP se você estiver em que tipo de coisa</v>
      </c>
      <c r="B32761" s="3">
        <v>0</v>
      </c>
    </row>
    <row r="32762" ht="15.75" customHeight="1" spans="1:2">
      <c r="A32762" s="3" t="str">
        <f>IFERROR(__xludf.DUMMYFUNCTION("GOOGLETRANSLATE(A32762,""en"",""pt"")"),"O titular não é prático eles precisam de um novo design.")</f>
        <v>O titular não é prático eles precisam de um novo design.</v>
      </c>
      <c r="B32762" s="3">
        <v>0</v>
      </c>
    </row>
    <row r="32763" ht="15.75" customHeight="1" spans="1:2">
      <c r="A32763" s="3" t="str">
        <f>IFERROR(__xludf.DUMMYFUNCTION("GOOGLETRANSLATE(A32763,""en"",""pt"")"),"RECEPÇÃO!")</f>
        <v>RECEPÇÃO!</v>
      </c>
      <c r="B32763" s="3">
        <v>0</v>
      </c>
    </row>
    <row r="32764" ht="15.75" customHeight="1" spans="1:2">
      <c r="A32764" s="3" t="str">
        <f>IFERROR(__xludf.DUMMYFUNCTION("GOOGLETRANSLATE(A32764,""en"",""pt"")"),"teclado é apertado")</f>
        <v>teclado é apertado</v>
      </c>
      <c r="B32764" s="3">
        <v>0</v>
      </c>
    </row>
    <row r="32765" ht="15.75" customHeight="1" spans="1:2">
      <c r="A32765" s="3" t="str">
        <f>IFERROR(__xludf.DUMMYFUNCTION("GOOGLETRANSLATE(A32765,""en"",""pt"")"),"Flimsily construído e qualidade so-so")</f>
        <v>Flimsily construído e qualidade so-so</v>
      </c>
      <c r="B32765" s="3">
        <v>0</v>
      </c>
    </row>
    <row r="32766" ht="15.75" customHeight="1" spans="1:2">
      <c r="A32766" s="3" t="str">
        <f>IFERROR(__xludf.DUMMYFUNCTION("GOOGLETRANSLATE(A32766,""en"",""pt"")"),"Poderia ser facilmente perdida, é tão pequena")</f>
        <v>Poderia ser facilmente perdida, é tão pequena</v>
      </c>
      <c r="B32766" s="3">
        <v>0</v>
      </c>
    </row>
    <row r="32767" ht="15.75" customHeight="1" spans="1:2">
      <c r="A32767" s="3" t="str">
        <f>IFERROR(__xludf.DUMMYFUNCTION("GOOGLETRANSLATE(A32767,""en"",""pt"")"),"Sem Roaming analógico")</f>
        <v>Sem Roaming analógico</v>
      </c>
      <c r="B32767" s="3">
        <v>0</v>
      </c>
    </row>
    <row r="32768" ht="15.75" customHeight="1" spans="1:2">
      <c r="A32768" s="3" t="str">
        <f>IFERROR(__xludf.DUMMYFUNCTION("GOOGLETRANSLATE(A32768,""en"",""pt"")"),"Recepção ÀS VEZES agitado.")</f>
        <v>Recepção ÀS VEZES agitado.</v>
      </c>
      <c r="B32768" s="3">
        <v>0</v>
      </c>
    </row>
    <row r="32769" ht="15.75" customHeight="1" spans="1:2">
      <c r="A32769" s="3" t="str">
        <f>IFERROR(__xludf.DUMMYFUNCTION("GOOGLETRANSLATE(A32769,""en"",""pt"")"),"Alguns problemas de sinal, alguns portadores")</f>
        <v>Alguns problemas de sinal, alguns portadores</v>
      </c>
      <c r="B32769" s="3">
        <v>0</v>
      </c>
    </row>
    <row r="32770" ht="15.75" customHeight="1" spans="1:2">
      <c r="A32770" s="3" t="str">
        <f>IFERROR(__xludf.DUMMYFUNCTION("GOOGLETRANSLATE(A32770,""en"",""pt"")"),"Leva um pouco de tempo para se acostumar com")</f>
        <v>Leva um pouco de tempo para se acostumar com</v>
      </c>
      <c r="B32770" s="3">
        <v>0</v>
      </c>
    </row>
    <row r="32771" ht="15.75" customHeight="1" spans="1:2">
      <c r="A32771" s="3" t="str">
        <f>IFERROR(__xludf.DUMMYFUNCTION("GOOGLETRANSLATE(A32771,""en"",""pt"")"),"Nenhum")</f>
        <v>Nenhum</v>
      </c>
      <c r="B32771" s="3">
        <v>0</v>
      </c>
    </row>
    <row r="32772" ht="15.75" customHeight="1" spans="1:2">
      <c r="A32772" s="3" t="str">
        <f>IFERROR(__xludf.DUMMYFUNCTION("GOOGLETRANSLATE(A32772,""en"",""pt"")"),"antena interna, o volume do fone inconsistente, parece muito mais frágil do que o 6190")</f>
        <v>antena interna, o volume do fone inconsistente, parece muito mais frágil do que o 6190</v>
      </c>
      <c r="B32772" s="3">
        <v>0</v>
      </c>
    </row>
    <row r="32773" ht="15.75" customHeight="1" spans="1:2">
      <c r="A32773" s="3" t="str">
        <f>IFERROR(__xludf.DUMMYFUNCTION("GOOGLETRANSLATE(A32773,""en"",""pt"")"),"possivelmente muito pequeno ....?")</f>
        <v>possivelmente muito pequeno ....?</v>
      </c>
      <c r="B32773" s="3">
        <v>0</v>
      </c>
    </row>
    <row r="32774" ht="15.75" customHeight="1" spans="1:2">
      <c r="A32774" s="3" t="str">
        <f>IFERROR(__xludf.DUMMYFUNCTION("GOOGLETRANSLATE(A32774,""en"",""pt"")"),"Pequeno, leve, todo mundo tem um, nenhum navegador web, sinal fraco")</f>
        <v>Pequeno, leve, todo mundo tem um, nenhum navegador web, sinal fraco</v>
      </c>
      <c r="B32774" s="3">
        <v>0</v>
      </c>
    </row>
    <row r="32775" ht="15.75" customHeight="1" spans="1:2">
      <c r="A32775" s="3" t="str">
        <f>IFERROR(__xludf.DUMMYFUNCTION("GOOGLETRANSLATE(A32775,""en"",""pt"")"),"nada ainda!")</f>
        <v>nada ainda!</v>
      </c>
      <c r="B32775" s="3">
        <v>0</v>
      </c>
    </row>
    <row r="32776" ht="15.75" customHeight="1" spans="1:2">
      <c r="A32776" s="3" t="str">
        <f>IFERROR(__xludf.DUMMYFUNCTION("GOOGLETRANSLATE(A32776,""en"",""pt"")"),"Wish foi um &amp; quot; &amp; quot; telefone do mundo &amp; quot; &amp; quot;")</f>
        <v>Wish foi um &amp; quot; &amp; quot; telefone do mundo &amp; quot; &amp; quot;</v>
      </c>
      <c r="B32776" s="3">
        <v>0</v>
      </c>
    </row>
    <row r="32777" ht="15.75" customHeight="1" spans="1:2">
      <c r="A32777" s="3" t="str">
        <f>IFERROR(__xludf.DUMMYFUNCTION("GOOGLETRANSLATE(A32777,""en"",""pt"")"),"talvez demasiado pequeno para as mãos de algumas pessoas, não deixe cair este telefone !!")</f>
        <v>talvez demasiado pequeno para as mãos de algumas pessoas, não deixe cair este telefone !!</v>
      </c>
      <c r="B32777" s="3">
        <v>0</v>
      </c>
    </row>
    <row r="32778" ht="15.75" customHeight="1" spans="1:2">
      <c r="A32778" s="3" t="str">
        <f>IFERROR(__xludf.DUMMYFUNCTION("GOOGLETRANSLATE(A32778,""en"",""pt"")"),"Não WAP, por vezes demasiado pequena")</f>
        <v>Não WAP, por vezes demasiado pequena</v>
      </c>
      <c r="B32778" s="3">
        <v>0</v>
      </c>
    </row>
    <row r="32779" ht="15.75" customHeight="1" spans="1:2">
      <c r="A32779" s="3" t="str">
        <f>IFERROR(__xludf.DUMMYFUNCTION("GOOGLETRANSLATE(A32779,""en"",""pt"")"),"Algumas falhas de software e problemas de tela.")</f>
        <v>Algumas falhas de software e problemas de tela.</v>
      </c>
      <c r="B32779" s="3">
        <v>0</v>
      </c>
    </row>
    <row r="32780" ht="15.75" customHeight="1" spans="1:2">
      <c r="A32780" s="3" t="str">
        <f>IFERROR(__xludf.DUMMYFUNCTION("GOOGLETRANSLATE(A32780,""en"",""pt"")"),"Nenhum")</f>
        <v>Nenhum</v>
      </c>
      <c r="B32780" s="3">
        <v>0</v>
      </c>
    </row>
    <row r="32781" ht="15.75" customHeight="1" spans="1:2">
      <c r="A32781" s="3" t="str">
        <f>IFERROR(__xludf.DUMMYFUNCTION("GOOGLETRANSLATE(A32781,""en"",""pt"")"),"dolorosamente não confiável")</f>
        <v>dolorosamente não confiável</v>
      </c>
      <c r="B32781" s="3">
        <v>0</v>
      </c>
    </row>
    <row r="32782" ht="15.75" customHeight="1" spans="1:2">
      <c r="A32782" s="3" t="str">
        <f>IFERROR(__xludf.DUMMYFUNCTION("GOOGLETRANSLATE(A32782,""en"",""pt"")"),"frágil tampa traseira")</f>
        <v>frágil tampa traseira</v>
      </c>
      <c r="B32782" s="3">
        <v>0</v>
      </c>
    </row>
    <row r="32783" ht="15.75" customHeight="1" spans="1:2">
      <c r="A32783" s="3" t="str">
        <f>IFERROR(__xludf.DUMMYFUNCTION("GOOGLETRANSLATE(A32783,""en"",""pt"")"),"NENHUM")</f>
        <v>NENHUM</v>
      </c>
      <c r="B32783" s="3">
        <v>0</v>
      </c>
    </row>
    <row r="32784" ht="15.75" customHeight="1" spans="1:2">
      <c r="A32784" s="3" t="str">
        <f>IFERROR(__xludf.DUMMYFUNCTION("GOOGLETRANSLATE(A32784,""en"",""pt"")"),"pode ser muito pequeno para alguns.")</f>
        <v>pode ser muito pequeno para alguns.</v>
      </c>
      <c r="B32784" s="3">
        <v>0</v>
      </c>
    </row>
    <row r="32785" ht="15.75" customHeight="1" spans="1:2">
      <c r="A32785" s="3" t="str">
        <f>IFERROR(__xludf.DUMMYFUNCTION("GOOGLETRANSLATE(A32785,""en"",""pt"")"),"Eu não consigo pensar em nenhum")</f>
        <v>Eu não consigo pensar em nenhum</v>
      </c>
      <c r="B32785" s="3">
        <v>0</v>
      </c>
    </row>
    <row r="32786" ht="15.75" customHeight="1" spans="1:2">
      <c r="A32786" s="3" t="str">
        <f>IFERROR(__xludf.DUMMYFUNCTION("GOOGLETRANSLATE(A32786,""en"",""pt"")"),"não usa padrão de mãos-livres")</f>
        <v>não usa padrão de mãos-livres</v>
      </c>
      <c r="B32786" s="3">
        <v>0</v>
      </c>
    </row>
    <row r="32787" ht="15.75" customHeight="1" spans="1:2">
      <c r="A32787" s="3" t="str">
        <f>IFERROR(__xludf.DUMMYFUNCTION("GOOGLETRANSLATE(A32787,""en"",""pt"")"),"Preço, olhar barato, não se sente sólida")</f>
        <v>Preço, olhar barato, não se sente sólida</v>
      </c>
      <c r="B32787" s="3">
        <v>0</v>
      </c>
    </row>
    <row r="32788" ht="15.75" customHeight="1" spans="1:2">
      <c r="A32788" s="3" t="str">
        <f>IFERROR(__xludf.DUMMYFUNCTION("GOOGLETRANSLATE(A32788,""en"",""pt"")"),"problemas de LCD, frágil")</f>
        <v>problemas de LCD, frágil</v>
      </c>
      <c r="B32788" s="3">
        <v>0</v>
      </c>
    </row>
    <row r="32789" ht="15.75" customHeight="1" spans="1:2">
      <c r="A32789" s="3" t="str">
        <f>IFERROR(__xludf.DUMMYFUNCTION("GOOGLETRANSLATE(A32789,""en"",""pt"")"),"Tamanho, às vezes conexão como qualquer outro telefone celular")</f>
        <v>Tamanho, às vezes conexão como qualquer outro telefone celular</v>
      </c>
      <c r="B32789" s="3">
        <v>0</v>
      </c>
    </row>
    <row r="32790" ht="15.75" customHeight="1" spans="1:2">
      <c r="A32790" s="3" t="str">
        <f>IFERROR(__xludf.DUMMYFUNCTION("GOOGLETRANSLATE(A32790,""en"",""pt"")"),"O tamanho pequeno, há botões de borracha, pequenos botões.")</f>
        <v>O tamanho pequeno, há botões de borracha, pequenos botões.</v>
      </c>
      <c r="B32790" s="3">
        <v>0</v>
      </c>
    </row>
    <row r="32791" ht="15.75" customHeight="1" spans="1:2">
      <c r="A32791" s="3" t="str">
        <f>IFERROR(__xludf.DUMMYFUNCTION("GOOGLETRANSLATE(A32791,""en"",""pt"")"),"Média de bateria, a qualidade da chamada medíocre, fades")</f>
        <v>Média de bateria, a qualidade da chamada medíocre, fades</v>
      </c>
      <c r="B32791" s="3">
        <v>0</v>
      </c>
    </row>
    <row r="32792" ht="15.75" customHeight="1" spans="1:2">
      <c r="A32792" s="3" t="str">
        <f>IFERROR(__xludf.DUMMYFUNCTION("GOOGLETRANSLATE(A32792,""en"",""pt"")"),"Um pouco pequeno demais para os meus dedos gordos, mas não um grande negócio ...: ~)")</f>
        <v>Um pouco pequeno demais para os meus dedos gordos, mas não um grande negócio ...: ~)</v>
      </c>
      <c r="B32792" s="3">
        <v>0</v>
      </c>
    </row>
    <row r="32793" ht="15.75" customHeight="1" spans="1:2">
      <c r="A32793" s="3" t="str">
        <f>IFERROR(__xludf.DUMMYFUNCTION("GOOGLETRANSLATE(A32793,""en"",""pt"")"),"recepção de sinal pobre, vibração fraca")</f>
        <v>recepção de sinal pobre, vibração fraca</v>
      </c>
      <c r="B32793" s="3">
        <v>0</v>
      </c>
    </row>
    <row r="32794" ht="15.75" customHeight="1" spans="1:2">
      <c r="A32794" s="3" t="str">
        <f>IFERROR(__xludf.DUMMYFUNCTION("GOOGLETRANSLATE(A32794,""en"",""pt"")"),"Size, uma frágil bit")</f>
        <v>Size, uma frágil bit</v>
      </c>
      <c r="B32794" s="3">
        <v>0</v>
      </c>
    </row>
    <row r="32795" ht="15.75" customHeight="1" spans="1:2">
      <c r="A32795" s="3" t="str">
        <f>IFERROR(__xludf.DUMMYFUNCTION("GOOGLETRANSLATE(A32795,""en"",""pt"")"),"Às vezes não reconhece a sua voz")</f>
        <v>Às vezes não reconhece a sua voz</v>
      </c>
      <c r="B32795" s="3">
        <v>0</v>
      </c>
    </row>
    <row r="32796" ht="15.75" customHeight="1" spans="1:2">
      <c r="A32796" s="3" t="str">
        <f>IFERROR(__xludf.DUMMYFUNCTION("GOOGLETRANSLATE(A32796,""en"",""pt"")"),"difícil de segurar, pequenos botões")</f>
        <v>difícil de segurar, pequenos botões</v>
      </c>
      <c r="B32796" s="3">
        <v>0</v>
      </c>
    </row>
    <row r="32797" ht="15.75" customHeight="1" spans="1:2">
      <c r="A32797" s="3" t="str">
        <f>IFERROR(__xludf.DUMMYFUNCTION("GOOGLETRANSLATE(A32797,""en"",""pt"")"),"No web ou a discagem por voz sem fio")</f>
        <v>No web ou a discagem por voz sem fio</v>
      </c>
      <c r="B32797" s="3">
        <v>0</v>
      </c>
    </row>
    <row r="32798" ht="15.75" customHeight="1" spans="1:2">
      <c r="A32798" s="3" t="str">
        <f>IFERROR(__xludf.DUMMYFUNCTION("GOOGLETRANSLATE(A32798,""en"",""pt"")"),"absolutamente nada!")</f>
        <v>absolutamente nada!</v>
      </c>
      <c r="B32798" s="3">
        <v>0</v>
      </c>
    </row>
    <row r="32799" ht="15.75" customHeight="1" spans="1:2">
      <c r="A32799" s="3" t="str">
        <f>IFERROR(__xludf.DUMMYFUNCTION("GOOGLETRANSLATE(A32799,""en"",""pt"")"),"Nem todos os acessórios disponíveis nos EUA ainda!")</f>
        <v>Nem todos os acessórios disponíveis nos EUA ainda!</v>
      </c>
      <c r="B32799" s="3">
        <v>0</v>
      </c>
    </row>
    <row r="32800" ht="15.75" customHeight="1" spans="1:2">
      <c r="A32800" s="3" t="str">
        <f>IFERROR(__xludf.DUMMYFUNCTION("GOOGLETRANSLATE(A32800,""en"",""pt"")"),"O tamanho pequeno é um pouco desconcertante no início.")</f>
        <v>O tamanho pequeno é um pouco desconcertante no início.</v>
      </c>
      <c r="B32800" s="3">
        <v>0</v>
      </c>
    </row>
    <row r="32801" ht="15.75" customHeight="1" spans="1:2">
      <c r="A32801" s="3" t="str">
        <f>IFERROR(__xludf.DUMMYFUNCTION("GOOGLETRANSLATE(A32801,""en"",""pt"")"),"Eu não acho que qualquer")</f>
        <v>Eu não acho que qualquer</v>
      </c>
      <c r="B32801" s="3">
        <v>0</v>
      </c>
    </row>
    <row r="32802" ht="15.75" customHeight="1" spans="1:2">
      <c r="A32802" s="3" t="str">
        <f>IFERROR(__xludf.DUMMYFUNCTION("GOOGLETRANSLATE(A32802,""en"",""pt"")"),"Um pouco de &amp; quot; baratas &amp; quot;")</f>
        <v>Um pouco de &amp; quot; baratas &amp; quot;</v>
      </c>
      <c r="B32802" s="3">
        <v>0</v>
      </c>
    </row>
    <row r="32803" ht="15.75" customHeight="1" spans="1:2">
      <c r="A32803" s="3" t="str">
        <f>IFERROR(__xludf.DUMMYFUNCTION("GOOGLETRANSLATE(A32803,""en"",""pt"")"),"Nenhum")</f>
        <v>Nenhum</v>
      </c>
      <c r="B32803" s="3">
        <v>0</v>
      </c>
    </row>
    <row r="32804" ht="15.75" customHeight="1" spans="1:2">
      <c r="A32804" s="3" t="str">
        <f>IFERROR(__xludf.DUMMYFUNCTION("GOOGLETRANSLATE(A32804,""en"",""pt"")"),"Tem que empurrar botão para ativar a discagem por voz")</f>
        <v>Tem que empurrar botão para ativar a discagem por voz</v>
      </c>
      <c r="B32804" s="3">
        <v>0</v>
      </c>
    </row>
    <row r="32805" ht="15.75" customHeight="1" spans="1:2">
      <c r="A32805" s="3" t="str">
        <f>IFERROR(__xludf.DUMMYFUNCTION("GOOGLETRANSLATE(A32805,""en"",""pt"")"),"Você pode perdê-lo se você não ficar de olho nele!")</f>
        <v>Você pode perdê-lo se você não ficar de olho nele!</v>
      </c>
      <c r="B32805" s="3">
        <v>0</v>
      </c>
    </row>
    <row r="32806" ht="15.75" customHeight="1" spans="1:2">
      <c r="A32806" s="3" t="str">
        <f>IFERROR(__xludf.DUMMYFUNCTION("GOOGLETRANSLATE(A32806,""en"",""pt"")"),"Desconecta muitas vezes")</f>
        <v>Desconecta muitas vezes</v>
      </c>
      <c r="B32806" s="3">
        <v>0</v>
      </c>
    </row>
    <row r="32807" ht="15.75" customHeight="1" spans="1:2">
      <c r="A32807" s="3" t="str">
        <f>IFERROR(__xludf.DUMMYFUNCTION("GOOGLETRANSLATE(A32807,""en"",""pt"")"),"Roma")</f>
        <v>Roma</v>
      </c>
      <c r="B32807" s="3">
        <v>0</v>
      </c>
    </row>
    <row r="32808" ht="15.75" customHeight="1" spans="1:2">
      <c r="A32808" s="3" t="str">
        <f>IFERROR(__xludf.DUMMYFUNCTION("GOOGLETRANSLATE(A32808,""en"",""pt"")"),"não compatível com Bluetooth (se você sabe o que é)")</f>
        <v>não compatível com Bluetooth (se você sabe o que é)</v>
      </c>
      <c r="B32808" s="3">
        <v>0</v>
      </c>
    </row>
    <row r="32809" ht="15.75" customHeight="1" spans="1:2">
      <c r="A32809" s="3" t="str">
        <f>IFERROR(__xludf.DUMMYFUNCTION("GOOGLETRANSLATE(A32809,""en"",""pt"")"),"Nenhum (revisão ver)")</f>
        <v>Nenhum (revisão ver)</v>
      </c>
      <c r="B32809" s="3">
        <v>0</v>
      </c>
    </row>
    <row r="32810" ht="15.75" customHeight="1" spans="1:2">
      <c r="A32810" s="3" t="str">
        <f>IFERROR(__xludf.DUMMYFUNCTION("GOOGLETRANSLATE(A32810,""en"",""pt"")"),"má recepção em certas áreas, telefone congela-se")</f>
        <v>má recepção em certas áreas, telefone congela-se</v>
      </c>
      <c r="B32810" s="3">
        <v>0</v>
      </c>
    </row>
    <row r="32811" ht="15.75" customHeight="1" spans="1:2">
      <c r="A32811" s="3" t="str">
        <f>IFERROR(__xludf.DUMMYFUNCTION("GOOGLETRANSLATE(A32811,""en"",""pt"")"),"botões para pequeno, não pode ajustar o tempo de anel, encaixe em capas muito caro")</f>
        <v>botões para pequeno, não pode ajustar o tempo de anel, encaixe em capas muito caro</v>
      </c>
      <c r="B32811" s="3">
        <v>0</v>
      </c>
    </row>
    <row r="32812" ht="15.75" customHeight="1" spans="1:2">
      <c r="A32812" s="3" t="str">
        <f>IFERROR(__xludf.DUMMYFUNCTION("GOOGLETRANSLATE(A32812,""en"",""pt"")"),"pequenos botões")</f>
        <v>pequenos botões</v>
      </c>
      <c r="B32812" s="3">
        <v>0</v>
      </c>
    </row>
    <row r="32813" ht="15.75" customHeight="1" spans="1:2">
      <c r="A32813" s="3" t="str">
        <f>IFERROR(__xludf.DUMMYFUNCTION("GOOGLETRANSLATE(A32813,""en"",""pt"")"),"Exibição dá para fora após cerca de 8 meses, fácil perder")</f>
        <v>Exibição dá para fora após cerca de 8 meses, fácil perder</v>
      </c>
      <c r="B32813" s="3">
        <v>0</v>
      </c>
    </row>
    <row r="32814" ht="15.75" customHeight="1" spans="1:2">
      <c r="A32814" s="3" t="str">
        <f>IFERROR(__xludf.DUMMYFUNCTION("GOOGLETRANSLATE(A32814,""en"",""pt"")"),"Nenhum")</f>
        <v>Nenhum</v>
      </c>
      <c r="B32814" s="3">
        <v>0</v>
      </c>
    </row>
    <row r="32815" ht="15.75" customHeight="1" spans="1:2">
      <c r="A32815" s="3" t="str">
        <f>IFERROR(__xludf.DUMMYFUNCTION("GOOGLETRANSLATE(A32815,""en"",""pt"")"),"RECEPÇÃO!")</f>
        <v>RECEPÇÃO!</v>
      </c>
      <c r="B32815" s="3">
        <v>0</v>
      </c>
    </row>
    <row r="32816" ht="15.75" customHeight="1" spans="1:2">
      <c r="A32816" s="3" t="str">
        <f>IFERROR(__xludf.DUMMYFUNCTION("GOOGLETRANSLATE(A32816,""en"",""pt"")"),"Nenhum")</f>
        <v>Nenhum</v>
      </c>
      <c r="B32816" s="3">
        <v>0</v>
      </c>
    </row>
    <row r="32817" ht="15.75" customHeight="1" spans="1:2">
      <c r="A32817" s="3" t="str">
        <f>IFERROR(__xludf.DUMMYFUNCTION("GOOGLETRANSLATE(A32817,""en"",""pt"")"),"Os botões são pequenos. Fácil de fazer chamadas indesejadas.")</f>
        <v>Os botões são pequenos. Fácil de fazer chamadas indesejadas.</v>
      </c>
      <c r="B32817" s="3">
        <v>0</v>
      </c>
    </row>
    <row r="32818" ht="15.75" customHeight="1" spans="1:2">
      <c r="A32818" s="3" t="str">
        <f>IFERROR(__xludf.DUMMYFUNCTION("GOOGLETRANSLATE(A32818,""en"",""pt"")"),"pequeno teclado")</f>
        <v>pequeno teclado</v>
      </c>
      <c r="B32818" s="3">
        <v>0</v>
      </c>
    </row>
    <row r="32819" ht="15.75" customHeight="1" spans="1:2">
      <c r="A32819" s="3" t="str">
        <f>IFERROR(__xludf.DUMMYFUNCTION("GOOGLETRANSLATE(A32819,""en"",""pt"")"),"tamanho pequeno, manual pobre do usuário")</f>
        <v>tamanho pequeno, manual pobre do usuário</v>
      </c>
      <c r="B32819" s="3">
        <v>0</v>
      </c>
    </row>
    <row r="32820" ht="15.75" customHeight="1" spans="1:2">
      <c r="A32820" s="3" t="str">
        <f>IFERROR(__xludf.DUMMYFUNCTION("GOOGLETRANSLATE(A32820,""en"",""pt"")"),"Não web habilitado")</f>
        <v>Não web habilitado</v>
      </c>
      <c r="B32820" s="3">
        <v>0</v>
      </c>
    </row>
    <row r="32821" ht="15.75" customHeight="1" spans="1:2">
      <c r="A32821" s="3" t="str">
        <f>IFERROR(__xludf.DUMMYFUNCTION("GOOGLETRANSLATE(A32821,""en"",""pt"")"),"Eu tenho medo de deixá-lo cair ou bater-lo contra qualquer coisa, chaves pequenas")</f>
        <v>Eu tenho medo de deixá-lo cair ou bater-lo contra qualquer coisa, chaves pequenas</v>
      </c>
      <c r="B32821" s="3">
        <v>0</v>
      </c>
    </row>
    <row r="32822" ht="15.75" customHeight="1" spans="1:2">
      <c r="A32822" s="3" t="str">
        <f>IFERROR(__xludf.DUMMYFUNCTION("GOOGLETRANSLATE(A32822,""en"",""pt"")"),"problemas de confiabilidade")</f>
        <v>problemas de confiabilidade</v>
      </c>
      <c r="B32822" s="3">
        <v>0</v>
      </c>
    </row>
    <row r="32823" ht="15.75" customHeight="1" spans="1:2">
      <c r="A32823" s="3" t="str">
        <f>IFERROR(__xludf.DUMMYFUNCTION("GOOGLETRANSLATE(A32823,""en"",""pt"")"),"Você não pode sempre obter um sinal claro")</f>
        <v>Você não pode sempre obter um sinal claro</v>
      </c>
      <c r="B32823" s="3">
        <v>0</v>
      </c>
    </row>
    <row r="32824" ht="15.75" customHeight="1" spans="1:2">
      <c r="A32824" s="3" t="str">
        <f>IFERROR(__xludf.DUMMYFUNCTION("GOOGLETRANSLATE(A32824,""en"",""pt"")"),"se sente mais como um brinquedo")</f>
        <v>se sente mais como um brinquedo</v>
      </c>
      <c r="B32824" s="3">
        <v>0</v>
      </c>
    </row>
    <row r="32825" ht="15.75" customHeight="1" spans="1:2">
      <c r="A32825" s="3" t="str">
        <f>IFERROR(__xludf.DUMMYFUNCTION("GOOGLETRANSLATE(A32825,""en"",""pt"")"),"Sem bateria destacável, pequeno interruptor on / off")</f>
        <v>Sem bateria destacável, pequeno interruptor on / off</v>
      </c>
      <c r="B32825" s="3">
        <v>0</v>
      </c>
    </row>
    <row r="32826" ht="15.75" customHeight="1" spans="1:2">
      <c r="A32826" s="3" t="str">
        <f>IFERROR(__xludf.DUMMYFUNCTION("GOOGLETRANSLATE(A32826,""en"",""pt"")"),"Nenhum")</f>
        <v>Nenhum</v>
      </c>
      <c r="B32826" s="3">
        <v>0</v>
      </c>
    </row>
    <row r="32827" ht="15.75" customHeight="1" spans="1:2">
      <c r="A32827" s="3" t="str">
        <f>IFERROR(__xludf.DUMMYFUNCTION("GOOGLETRANSLATE(A32827,""en"",""pt"")"),"difícil de digitar no e-mail")</f>
        <v>difícil de digitar no e-mail</v>
      </c>
      <c r="B32827" s="3">
        <v>0</v>
      </c>
    </row>
    <row r="32828" ht="15.75" customHeight="1" spans="1:2">
      <c r="A32828" s="3" t="str">
        <f>IFERROR(__xludf.DUMMYFUNCTION("GOOGLETRANSLATE(A32828,""en"",""pt"")"),"O tamanho pequeno torna complicado para discar, programa.")</f>
        <v>O tamanho pequeno torna complicado para discar, programa.</v>
      </c>
      <c r="B32828" s="3">
        <v>0</v>
      </c>
    </row>
    <row r="32829" ht="15.75" customHeight="1" spans="1:2">
      <c r="A32829" s="3" t="str">
        <f>IFERROR(__xludf.DUMMYFUNCTION("GOOGLETRANSLATE(A32829,""en"",""pt"")"),"não se sente tão resistente como alguns telefones com flip")</f>
        <v>não se sente tão resistente como alguns telefones com flip</v>
      </c>
      <c r="B32829" s="3">
        <v>0</v>
      </c>
    </row>
    <row r="32830" ht="15.75" customHeight="1" spans="1:2">
      <c r="A32830" s="3" t="str">
        <f>IFERROR(__xludf.DUMMYFUNCTION("GOOGLETRANSLATE(A32830,""en"",""pt"")"),"Os botões são uma espécie de pequeno.")</f>
        <v>Os botões são uma espécie de pequeno.</v>
      </c>
      <c r="B32830" s="3">
        <v>0</v>
      </c>
    </row>
    <row r="32831" ht="15.75" customHeight="1" spans="1:2">
      <c r="A32831" s="3" t="str">
        <f>IFERROR(__xludf.DUMMYFUNCTION("GOOGLETRANSLATE(A32831,""en"",""pt"")"),"Fácil perder !!!")</f>
        <v>Fácil perder !!!</v>
      </c>
      <c r="B32831" s="3">
        <v>0</v>
      </c>
    </row>
    <row r="32832" ht="15.75" customHeight="1" spans="1:2">
      <c r="A32832" s="3" t="str">
        <f>IFERROR(__xludf.DUMMYFUNCTION("GOOGLETRANSLATE(A32832,""en"",""pt"")"),"vida útil da bateria é horrível, não é bom recurso para o produto defeituoso")</f>
        <v>vida útil da bateria é horrível, não é bom recurso para o produto defeituoso</v>
      </c>
      <c r="B32832" s="3">
        <v>0</v>
      </c>
    </row>
    <row r="32833" ht="15.75" customHeight="1" spans="1:2">
      <c r="A32833" s="3" t="str">
        <f>IFERROR(__xludf.DUMMYFUNCTION("GOOGLETRANSLATE(A32833,""en"",""pt"")"),"A bateria usa após 3 - 4 meses")</f>
        <v>A bateria usa após 3 - 4 meses</v>
      </c>
      <c r="B32833" s="3">
        <v>0</v>
      </c>
    </row>
    <row r="32834" ht="15.75" customHeight="1" spans="1:2">
      <c r="A32834" s="3" t="str">
        <f>IFERROR(__xludf.DUMMYFUNCTION("GOOGLETRANSLATE(A32834,""en"",""pt"")"),"nenhum que eu posso dizer até agora.")</f>
        <v>nenhum que eu posso dizer até agora.</v>
      </c>
      <c r="B32834" s="3">
        <v>0</v>
      </c>
    </row>
    <row r="32835" ht="15.75" customHeight="1" spans="1:2">
      <c r="A32835" s="3" t="str">
        <f>IFERROR(__xludf.DUMMYFUNCTION("GOOGLETRANSLATE(A32835,""en"",""pt"")"),"RECEPÇÃO!")</f>
        <v>RECEPÇÃO!</v>
      </c>
      <c r="B32835" s="3">
        <v>0</v>
      </c>
    </row>
    <row r="32836" ht="15.75" customHeight="1" spans="1:2">
      <c r="A32836" s="3" t="str">
        <f>IFERROR(__xludf.DUMMYFUNCTION("GOOGLETRANSLATE(A32836,""en"",""pt"")"),"rebarba, nenhuma reprodução mp3?")</f>
        <v>rebarba, nenhuma reprodução mp3?</v>
      </c>
      <c r="B32836" s="3">
        <v>0</v>
      </c>
    </row>
    <row r="32837" ht="15.75" customHeight="1" spans="1:2">
      <c r="A32837" s="3" t="str">
        <f>IFERROR(__xludf.DUMMYFUNCTION("GOOGLETRANSLATE(A32837,""en"",""pt"")"),"Você está de brincadeira?")</f>
        <v>Você está de brincadeira?</v>
      </c>
      <c r="B32837" s="3">
        <v>0</v>
      </c>
    </row>
    <row r="32838" ht="15.75" customHeight="1" spans="1:2">
      <c r="A32838" s="3" t="str">
        <f>IFERROR(__xludf.DUMMYFUNCTION("GOOGLETRANSLATE(A32838,""en"",""pt"")"),"facilmente perdido sua pequena assim")</f>
        <v>facilmente perdido sua pequena assim</v>
      </c>
      <c r="B32838" s="3">
        <v>0</v>
      </c>
    </row>
    <row r="32839" ht="15.75" customHeight="1" spans="1:2">
      <c r="A32839" s="3" t="str">
        <f>IFERROR(__xludf.DUMMYFUNCTION("GOOGLETRANSLATE(A32839,""en"",""pt"")"),"você pode perder mais fácil")</f>
        <v>você pode perder mais fácil</v>
      </c>
      <c r="B32839" s="3">
        <v>0</v>
      </c>
    </row>
    <row r="32840" ht="15.75" customHeight="1" spans="1:2">
      <c r="A32840" s="3" t="str">
        <f>IFERROR(__xludf.DUMMYFUNCTION("GOOGLETRANSLATE(A32840,""en"",""pt"")"),"botões pequenos, luz de fundo amarelo, nenhum navegador web, apenas um número em cada nome na lista telefónica")</f>
        <v>botões pequenos, luz de fundo amarelo, nenhum navegador web, apenas um número em cada nome na lista telefónica</v>
      </c>
      <c r="B32840" s="3">
        <v>0</v>
      </c>
    </row>
    <row r="32841" ht="15.75" customHeight="1" spans="1:2">
      <c r="A32841" s="3" t="str">
        <f>IFERROR(__xludf.DUMMYFUNCTION("GOOGLETRANSLATE(A32841,""en"",""pt"")"),"Apenas 3 cores para escolher.")</f>
        <v>Apenas 3 cores para escolher.</v>
      </c>
      <c r="B32841" s="3">
        <v>0</v>
      </c>
    </row>
    <row r="32842" ht="15.75" customHeight="1" spans="1:2">
      <c r="A32842" s="3" t="str">
        <f>IFERROR(__xludf.DUMMYFUNCTION("GOOGLETRANSLATE(A32842,""en"",""pt"")"),"muito pequeno, frágil")</f>
        <v>muito pequeno, frágil</v>
      </c>
      <c r="B32842" s="3">
        <v>0</v>
      </c>
    </row>
    <row r="32843" ht="15.75" customHeight="1" spans="1:2">
      <c r="A32843" s="3" t="str">
        <f>IFERROR(__xludf.DUMMYFUNCTION("GOOGLETRANSLATE(A32843,""en"",""pt"")"),"Constantes desapareceu do LCD")</f>
        <v>Constantes desapareceu do LCD</v>
      </c>
      <c r="B32843" s="3">
        <v>0</v>
      </c>
    </row>
    <row r="32844" ht="15.75" customHeight="1" spans="1:2">
      <c r="A32844" s="3" t="str">
        <f>IFERROR(__xludf.DUMMYFUNCTION("GOOGLETRANSLATE(A32844,""en"",""pt"")"),"Os botões são muito pequenos")</f>
        <v>Os botões são muito pequenos</v>
      </c>
      <c r="B32844" s="3">
        <v>0</v>
      </c>
    </row>
    <row r="32845" ht="15.75" customHeight="1" spans="1:2">
      <c r="A32845" s="3" t="str">
        <f>IFERROR(__xludf.DUMMYFUNCTION("GOOGLETRANSLATE(A32845,""en"",""pt"")"),"sem internet, quebrável, cobra é mais viciante do que fumar.")</f>
        <v>sem internet, quebrável, cobra é mais viciante do que fumar.</v>
      </c>
      <c r="B32845" s="3">
        <v>0</v>
      </c>
    </row>
    <row r="32846" ht="15.75" customHeight="1" spans="1:2">
      <c r="A32846" s="3" t="str">
        <f>IFERROR(__xludf.DUMMYFUNCTION("GOOGLETRANSLATE(A32846,""en"",""pt"")"),"Pequeno demais para alguns.")</f>
        <v>Pequeno demais para alguns.</v>
      </c>
      <c r="B32846" s="3">
        <v>0</v>
      </c>
    </row>
    <row r="32847" ht="15.75" customHeight="1" spans="1:2">
      <c r="A32847" s="3" t="str">
        <f>IFERROR(__xludf.DUMMYFUNCTION("GOOGLETRANSLATE(A32847,""en"",""pt"")"),"Nenhum")</f>
        <v>Nenhum</v>
      </c>
      <c r="B32847" s="3">
        <v>0</v>
      </c>
    </row>
    <row r="32848" ht="15.75" customHeight="1" spans="1:2">
      <c r="A32848" s="3" t="str">
        <f>IFERROR(__xludf.DUMMYFUNCTION("GOOGLETRANSLATE(A32848,""en"",""pt"")"),"preço, não tão duráveis ​​quanto poderia ser")</f>
        <v>preço, não tão duráveis ​​quanto poderia ser</v>
      </c>
      <c r="B32848" s="3">
        <v>0</v>
      </c>
    </row>
    <row r="32849" ht="15.75" customHeight="1" spans="1:2">
      <c r="A32849" s="3" t="str">
        <f>IFERROR(__xludf.DUMMYFUNCTION("GOOGLETRANSLATE(A32849,""en"",""pt"")"),"sensação de plástico, não muito claro")</f>
        <v>sensação de plástico, não muito claro</v>
      </c>
      <c r="B32849" s="3">
        <v>0</v>
      </c>
    </row>
    <row r="32850" ht="15.75" customHeight="1" spans="1:2">
      <c r="A32850" s="3" t="str">
        <f>IFERROR(__xludf.DUMMYFUNCTION("GOOGLETRANSLATE(A32850,""en"",""pt"")"),"Medo de perdê-lo, um pouco caro")</f>
        <v>Medo de perdê-lo, um pouco caro</v>
      </c>
      <c r="B32850" s="3">
        <v>0</v>
      </c>
    </row>
    <row r="32851" ht="15.75" customHeight="1" spans="1:2">
      <c r="A32851" s="3" t="str">
        <f>IFERROR(__xludf.DUMMYFUNCTION("GOOGLETRANSLATE(A32851,""en"",""pt"")"),"Nenhum!!")</f>
        <v>Nenhum!!</v>
      </c>
      <c r="B32851" s="3">
        <v>0</v>
      </c>
    </row>
    <row r="32852" ht="15.75" customHeight="1" spans="1:2">
      <c r="A32852" s="3" t="str">
        <f>IFERROR(__xludf.DUMMYFUNCTION("GOOGLETRANSLATE(A32852,""en"",""pt"")"),"BIG CON: Tela avarias comum com o modelo. Outros Con: Não ""Delete All"" capacidade de mensagem de texto.")</f>
        <v>BIG CON: Tela avarias comum com o modelo. Outros Con: Não "Delete All" capacidade de mensagem de texto.</v>
      </c>
      <c r="B32852" s="3">
        <v>0</v>
      </c>
    </row>
    <row r="32853" ht="15.75" customHeight="1" spans="1:2">
      <c r="A32853" s="3" t="str">
        <f>IFERROR(__xludf.DUMMYFUNCTION("GOOGLETRANSLATE(A32853,""en"",""pt"")"),"Preço, durabilty")</f>
        <v>Preço, durabilty</v>
      </c>
      <c r="B32853" s="3">
        <v>0</v>
      </c>
    </row>
    <row r="32854" ht="15.75" customHeight="1" spans="1:2">
      <c r="A32854" s="3" t="str">
        <f>IFERROR(__xludf.DUMMYFUNCTION("GOOGLETRANSLATE(A32854,""en"",""pt"")"),"coisas que nenhum ruins sobre telefone")</f>
        <v>coisas que nenhum ruins sobre telefone</v>
      </c>
      <c r="B32854" s="3">
        <v>0</v>
      </c>
    </row>
    <row r="32855" ht="15.75" customHeight="1" spans="1:2">
      <c r="A32855" s="3" t="str">
        <f>IFERROR(__xludf.DUMMYFUNCTION("GOOGLETRANSLATE(A32855,""en"",""pt"")"),"Pode ser pequena demais para algumas pessoas, um pouco caro")</f>
        <v>Pode ser pequena demais para algumas pessoas, um pouco caro</v>
      </c>
      <c r="B32855" s="3">
        <v>0</v>
      </c>
    </row>
    <row r="32856" ht="15.75" customHeight="1" spans="1:2">
      <c r="A32856" s="3" t="str">
        <f>IFERROR(__xludf.DUMMYFUNCTION("GOOGLETRANSLATE(A32856,""en"",""pt"")"),"Você tem dedos grandes? Ficar longe.")</f>
        <v>Você tem dedos grandes? Ficar longe.</v>
      </c>
      <c r="B32856" s="3">
        <v>0</v>
      </c>
    </row>
    <row r="32857" ht="15.75" customHeight="1" spans="1:2">
      <c r="A32857" s="3" t="str">
        <f>IFERROR(__xludf.DUMMYFUNCTION("GOOGLETRANSLATE(A32857,""en"",""pt"")"),"Pode ser um pouco ""muito"" pequeno para grandes mãos")</f>
        <v>Pode ser um pouco "muito" pequeno para grandes mãos</v>
      </c>
      <c r="B32857" s="3">
        <v>0</v>
      </c>
    </row>
    <row r="32858" ht="15.75" customHeight="1" spans="1:2">
      <c r="A32858" s="3" t="str">
        <f>IFERROR(__xludf.DUMMYFUNCTION("GOOGLETRANSLATE(A32858,""en"",""pt"")"),"Botões minúsculos, ridículo, fácil perder")</f>
        <v>Botões minúsculos, ridículo, fácil perder</v>
      </c>
      <c r="B32858" s="3">
        <v>0</v>
      </c>
    </row>
    <row r="32859" ht="15.75" customHeight="1" spans="1:2">
      <c r="A32859" s="3" t="str">
        <f>IFERROR(__xludf.DUMMYFUNCTION("GOOGLETRANSLATE(A32859,""en"",""pt"")"),"tamanho, botões expostos")</f>
        <v>tamanho, botões expostos</v>
      </c>
      <c r="B32859" s="3">
        <v>0</v>
      </c>
    </row>
    <row r="32860" ht="15.75" customHeight="1" spans="1:2">
      <c r="A32860" s="3" t="str">
        <f>IFERROR(__xludf.DUMMYFUNCTION("GOOGLETRANSLATE(A32860,""en"",""pt"")"),"tempo total de chamadas")</f>
        <v>tempo total de chamadas</v>
      </c>
      <c r="B32860" s="3">
        <v>0</v>
      </c>
    </row>
    <row r="32861" ht="15.75" customHeight="1" spans="1:2">
      <c r="A32861" s="3" t="str">
        <f>IFERROR(__xludf.DUMMYFUNCTION("GOOGLETRANSLATE(A32861,""en"",""pt"")"),"o cooliest")</f>
        <v>o cooliest</v>
      </c>
      <c r="B32861" s="3">
        <v>0</v>
      </c>
    </row>
    <row r="32862" ht="15.75" customHeight="1" spans="1:2">
      <c r="A32862" s="3" t="str">
        <f>IFERROR(__xludf.DUMMYFUNCTION("GOOGLETRANSLATE(A32862,""en"",""pt"")"),"chamadas não atendidas, os sinais fracos")</f>
        <v>chamadas não atendidas, os sinais fracos</v>
      </c>
      <c r="B32862" s="3">
        <v>0</v>
      </c>
    </row>
    <row r="32863" ht="15.75" customHeight="1" spans="1:2">
      <c r="A32863" s="3" t="str">
        <f>IFERROR(__xludf.DUMMYFUNCTION("GOOGLETRANSLATE(A32863,""en"",""pt"")"),"Tela não é brilhante o suficiente ... para mim de qualquer maneira ... sem acesso à internet ... você realmente precisa que, embora?")</f>
        <v>Tela não é brilhante o suficiente ... para mim de qualquer maneira ... sem acesso à internet ... você realmente precisa que, embora?</v>
      </c>
      <c r="B32863" s="3">
        <v>0</v>
      </c>
    </row>
    <row r="32864" ht="15.75" customHeight="1" spans="1:2">
      <c r="A32864" s="3" t="str">
        <f>IFERROR(__xludf.DUMMYFUNCTION("GOOGLETRANSLATE(A32864,""en"",""pt"")"),"Pode ser muito pequeno")</f>
        <v>Pode ser muito pequeno</v>
      </c>
      <c r="B32864" s="3">
        <v>0</v>
      </c>
    </row>
    <row r="32865" ht="15.75" customHeight="1" spans="1:2">
      <c r="A32865" s="3" t="str">
        <f>IFERROR(__xludf.DUMMYFUNCTION("GOOGLETRANSLATE(A32865,""en"",""pt"")"),"stylus Cheesy, capacidade máxima de memória de 128 MB.")</f>
        <v>stylus Cheesy, capacidade máxima de memória de 128 MB.</v>
      </c>
      <c r="B32865" s="3">
        <v>0</v>
      </c>
    </row>
    <row r="32866" ht="15.75" customHeight="1" spans="1:2">
      <c r="A32866" s="3" t="str">
        <f>IFERROR(__xludf.DUMMYFUNCTION("GOOGLETRANSLATE(A32866,""en"",""pt"")"),"Symbian OS 7.0, Memory Stick Duo, Teclado Sem QWERTY")</f>
        <v>Symbian OS 7.0, Memory Stick Duo, Teclado Sem QWERTY</v>
      </c>
      <c r="B32866" s="3">
        <v>0</v>
      </c>
    </row>
    <row r="32867" ht="15.75" customHeight="1" spans="1:2">
      <c r="A32867" s="3" t="str">
        <f>IFERROR(__xludf.DUMMYFUNCTION("GOOGLETRANSLATE(A32867,""en"",""pt"")"),"software Sync precisa de trabalho, nenhum clipe de cinto, complexo, caro")</f>
        <v>software Sync precisa de trabalho, nenhum clipe de cinto, complexo, caro</v>
      </c>
      <c r="B32867" s="3">
        <v>0</v>
      </c>
    </row>
    <row r="32868" ht="15.75" customHeight="1" spans="1:2">
      <c r="A32868" s="3" t="str">
        <f>IFERROR(__xludf.DUMMYFUNCTION("GOOGLETRANSLATE(A32868,""en"",""pt"")"),"Grande, não T9, Memory Stick Duo é proprietário e caro.")</f>
        <v>Grande, não T9, Memory Stick Duo é proprietário e caro.</v>
      </c>
      <c r="B32868" s="3">
        <v>0</v>
      </c>
    </row>
    <row r="32869" ht="15.75" customHeight="1" spans="1:2">
      <c r="A32869" s="3" t="str">
        <f>IFERROR(__xludf.DUMMYFUNCTION("GOOGLETRANSLATE(A32869,""en"",""pt"")"),"Grande e pesado, o desempenho médio.")</f>
        <v>Grande e pesado, o desempenho médio.</v>
      </c>
      <c r="B32869" s="3">
        <v>0</v>
      </c>
    </row>
    <row r="32870" ht="15.75" customHeight="1" spans="1:2">
      <c r="A32870" s="3" t="str">
        <f>IFERROR(__xludf.DUMMYFUNCTION("GOOGLETRANSLATE(A32870,""en"",""pt"")"),"tamanho, preço, stylus, erros ...")</f>
        <v>tamanho, preço, stylus, erros ...</v>
      </c>
      <c r="B32870" s="3">
        <v>0</v>
      </c>
    </row>
    <row r="32871" ht="15.75" customHeight="1" spans="1:2">
      <c r="A32871" s="3" t="str">
        <f>IFERROR(__xludf.DUMMYFUNCTION("GOOGLETRANSLATE(A32871,""en"",""pt"")"),"Naturalmente maior do telefone média - não compre se você não precisa de um PDA também.")</f>
        <v>Naturalmente maior do telefone média - não compre se você não precisa de um PDA também.</v>
      </c>
      <c r="B32871" s="3">
        <v>0</v>
      </c>
    </row>
    <row r="32872" ht="15.75" customHeight="1" spans="1:2">
      <c r="A32872" s="3" t="str">
        <f>IFERROR(__xludf.DUMMYFUNCTION("GOOGLETRANSLATE(A32872,""en"",""pt"")"),"conectividade medíocre PC / software, escorredor de bateria, estojo de transporte desagradável, CPU underpowered.")</f>
        <v>conectividade medíocre PC / software, escorredor de bateria, estojo de transporte desagradável, CPU underpowered.</v>
      </c>
      <c r="B32872" s="3">
        <v>0</v>
      </c>
    </row>
    <row r="32873" ht="15.75" customHeight="1" spans="1:2">
      <c r="A32873" s="3" t="str">
        <f>IFERROR(__xludf.DUMMYFUNCTION("GOOGLETRANSLATE(A32873,""en"",""pt"")"),"Um pouco espesso. Um pouco estranho como um telefone sem fone de ouvido. Um pouco caro.")</f>
        <v>Um pouco espesso. Um pouco estranho como um telefone sem fone de ouvido. Um pouco caro.</v>
      </c>
      <c r="B32873" s="3">
        <v>0</v>
      </c>
    </row>
    <row r="32874" ht="15.75" customHeight="1" spans="1:2">
      <c r="A32874" s="3" t="str">
        <f>IFERROR(__xludf.DUMMYFUNCTION("GOOGLETRANSLATE(A32874,""en"",""pt"")"),"desempenho irregular Bluetooth com firmware mais recente, biblioteca de software limitado")</f>
        <v>desempenho irregular Bluetooth com firmware mais recente, biblioteca de software limitado</v>
      </c>
      <c r="B32874" s="3">
        <v>0</v>
      </c>
    </row>
    <row r="32875" ht="15.75" customHeight="1" spans="1:2">
      <c r="A32875" s="3" t="str">
        <f>IFERROR(__xludf.DUMMYFUNCTION("GOOGLETRANSLATE(A32875,""en"",""pt"")"),"caro, maior do que o Nokia 7650")</f>
        <v>caro, maior do que o Nokia 7650</v>
      </c>
      <c r="B32875" s="3">
        <v>0</v>
      </c>
    </row>
    <row r="32876" ht="15.75" customHeight="1" spans="1:2">
      <c r="A32876" s="3" t="str">
        <f>IFERROR(__xludf.DUMMYFUNCTION("GOOGLETRANSLATE(A32876,""en"",""pt"")"),"forma estranho, Caro, câmera precisa de trabalho")</f>
        <v>forma estranho, Caro, câmera precisa de trabalho</v>
      </c>
      <c r="B32876" s="3">
        <v>0</v>
      </c>
    </row>
    <row r="32877" ht="15.75" customHeight="1" spans="1:2">
      <c r="A32877" s="3" t="str">
        <f>IFERROR(__xludf.DUMMYFUNCTION("GOOGLETRANSLATE(A32877,""en"",""pt"")"),"grau fotos baixos, menus confusos, caros")</f>
        <v>grau fotos baixos, menus confusos, caros</v>
      </c>
      <c r="B32877" s="3">
        <v>0</v>
      </c>
    </row>
    <row r="32878" ht="15.75" customHeight="1" spans="1:2">
      <c r="A32878" s="3" t="str">
        <f>IFERROR(__xludf.DUMMYFUNCTION("GOOGLETRANSLATE(A32878,""en"",""pt"")"),"Pesada, a qualidade da câmera digital não como esperado")</f>
        <v>Pesada, a qualidade da câmera digital não como esperado</v>
      </c>
      <c r="B32878" s="3">
        <v>0</v>
      </c>
    </row>
    <row r="32879" ht="15.75" customHeight="1" spans="1:2">
      <c r="A32879" s="3" t="str">
        <f>IFERROR(__xludf.DUMMYFUNCTION("GOOGLETRANSLATE(A32879,""en"",""pt"")"),"telefone não está muito facilmente armazenado como um telefone flip seria")</f>
        <v>telefone não está muito facilmente armazenado como um telefone flip seria</v>
      </c>
      <c r="B32879" s="3">
        <v>0</v>
      </c>
    </row>
    <row r="32880" ht="15.75" customHeight="1" spans="1:2">
      <c r="A32880" s="3" t="str">
        <f>IFERROR(__xludf.DUMMYFUNCTION("GOOGLETRANSLATE(A32880,""en"",""pt"")"),"Colocação de botões externos; plataforma de carregamento é estranho")</f>
        <v>Colocação de botões externos; plataforma de carregamento é estranho</v>
      </c>
      <c r="B32880" s="3">
        <v>0</v>
      </c>
    </row>
    <row r="32881" ht="15.75" customHeight="1" spans="1:2">
      <c r="A32881" s="3" t="str">
        <f>IFERROR(__xludf.DUMMYFUNCTION("GOOGLETRANSLATE(A32881,""en"",""pt"")"),"Frente ""espelho"" fica suja, carregador pode ser irritante, nenhum modo analógico")</f>
        <v>Frente "espelho" fica suja, carregador pode ser irritante, nenhum modo analógico</v>
      </c>
      <c r="B32881" s="3">
        <v>0</v>
      </c>
    </row>
    <row r="32882" ht="15.75" customHeight="1" spans="1:2">
      <c r="A32882" s="3" t="str">
        <f>IFERROR(__xludf.DUMMYFUNCTION("GOOGLETRANSLATE(A32882,""en"",""pt"")"),"botão de volume na lateral do telefone pode enviar chamadas para o correio de voz por acidente.")</f>
        <v>botão de volume na lateral do telefone pode enviar chamadas para o correio de voz por acidente.</v>
      </c>
      <c r="B32882" s="3">
        <v>0</v>
      </c>
    </row>
    <row r="32883" ht="15.75" customHeight="1" spans="1:2">
      <c r="A32883" s="3" t="str">
        <f>IFERROR(__xludf.DUMMYFUNCTION("GOOGLETRANSLATE(A32883,""en"",""pt"")"),"botão do microfone muito fácil para ativar.")</f>
        <v>botão do microfone muito fácil para ativar.</v>
      </c>
      <c r="B32883" s="3">
        <v>0</v>
      </c>
    </row>
    <row r="32884" ht="15.75" customHeight="1" spans="1:2">
      <c r="A32884" s="3" t="str">
        <f>IFERROR(__xludf.DUMMYFUNCTION("GOOGLETRANSLATE(A32884,""en"",""pt"")"),"No receptor analógico, telefone básico.")</f>
        <v>No receptor analógico, telefone básico.</v>
      </c>
      <c r="B32884" s="3">
        <v>0</v>
      </c>
    </row>
    <row r="32885" ht="15.75" customHeight="1" spans="1:2">
      <c r="A32885" s="3" t="str">
        <f>IFERROR(__xludf.DUMMYFUNCTION("GOOGLETRANSLATE(A32885,""en"",""pt"")"),"barras de brinquedos!")</f>
        <v>barras de brinquedos!</v>
      </c>
      <c r="B32885" s="3">
        <v>0</v>
      </c>
    </row>
    <row r="32886" ht="15.75" customHeight="1" spans="1:2">
      <c r="A32886" s="3" t="str">
        <f>IFERROR(__xludf.DUMMYFUNCTION("GOOGLETRANSLATE(A32886,""en"",""pt"")"),"Não se conectar ao seu PC sem outra compra de US $ 50.")</f>
        <v>Não se conectar ao seu PC sem outra compra de US $ 50.</v>
      </c>
      <c r="B32886" s="3">
        <v>0</v>
      </c>
    </row>
    <row r="32887" ht="15.75" customHeight="1" spans="1:2">
      <c r="A32887" s="3" t="str">
        <f>IFERROR(__xludf.DUMMYFUNCTION("GOOGLETRANSLATE(A32887,""en"",""pt"")"),"vida curta da bateria, ecrã LCD ilegível à luz forte, pobre proprietário &amp; # 146; s manual.")</f>
        <v>vida curta da bateria, ecrã LCD ilegível à luz forte, pobre proprietário &amp; # 146; s manual.</v>
      </c>
      <c r="B32887" s="3">
        <v>0</v>
      </c>
    </row>
    <row r="32888" ht="15.75" customHeight="1" spans="1:2">
      <c r="A32888" s="3" t="str">
        <f>IFERROR(__xludf.DUMMYFUNCTION("GOOGLETRANSLATE(A32888,""en"",""pt"")"),"Apenas imagem wallpapers disponíveis, nada simples")</f>
        <v>Apenas imagem wallpapers disponíveis, nada simples</v>
      </c>
      <c r="B32888" s="3">
        <v>0</v>
      </c>
    </row>
    <row r="32889" ht="15.75" customHeight="1" spans="1:2">
      <c r="A32889" s="3" t="str">
        <f>IFERROR(__xludf.DUMMYFUNCTION("GOOGLETRANSLATE(A32889,""en"",""pt"")"),"pequena tela externa Unncessarily, botão para interfere voicedial com atendimento de chamadas")</f>
        <v>pequena tela externa Unncessarily, botão para interfere voicedial com atendimento de chamadas</v>
      </c>
      <c r="B32889" s="3">
        <v>0</v>
      </c>
    </row>
    <row r="32890" ht="15.75" customHeight="1" spans="1:2">
      <c r="A32890" s="3" t="str">
        <f>IFERROR(__xludf.DUMMYFUNCTION("GOOGLETRANSLATE(A32890,""en"",""pt"")"),"carregador de estilo cartucho, mau posicionamento do botão de Modo de Condução")</f>
        <v>carregador de estilo cartucho, mau posicionamento do botão de Modo de Condução</v>
      </c>
      <c r="B32890" s="3">
        <v>0</v>
      </c>
    </row>
    <row r="32891" ht="15.75" customHeight="1" spans="1:2">
      <c r="A32891" s="3" t="str">
        <f>IFERROR(__xludf.DUMMYFUNCTION("GOOGLETRANSLATE(A32891,""en"",""pt"")"),"Recepção, contactos e uma tela de bobo ...")</f>
        <v>Recepção, contactos e uma tela de bobo ...</v>
      </c>
      <c r="B32891" s="3">
        <v>0</v>
      </c>
    </row>
    <row r="32892" ht="15.75" customHeight="1" spans="1:2">
      <c r="A32892" s="3" t="str">
        <f>IFERROR(__xludf.DUMMYFUNCTION("GOOGLETRANSLATE(A32892,""en"",""pt"")"),"Bad cust. apoio, falhas de software")</f>
        <v>Bad cust. apoio, falhas de software</v>
      </c>
      <c r="B32892" s="3">
        <v>0</v>
      </c>
    </row>
    <row r="32893" ht="15.75" customHeight="1" spans="1:2">
      <c r="A32893" s="3" t="str">
        <f>IFERROR(__xludf.DUMMYFUNCTION("GOOGLETRANSLATE(A32893,""en"",""pt"")"),"ajuda inadequada para o recurso de comando de voz, bateria fraca, botões laterais mal colocados")</f>
        <v>ajuda inadequada para o recurso de comando de voz, bateria fraca, botões laterais mal colocados</v>
      </c>
      <c r="B32893" s="3">
        <v>0</v>
      </c>
    </row>
    <row r="32894" ht="15.75" customHeight="1" spans="1:2">
      <c r="A32894" s="3" t="str">
        <f>IFERROR(__xludf.DUMMYFUNCTION("GOOGLETRANSLATE(A32894,""en"",""pt"")"),"Sem vibração única, difícil de abrir, FRÁGIL")</f>
        <v>Sem vibração única, difícil de abrir, FRÁGIL</v>
      </c>
      <c r="B32894" s="3">
        <v>0</v>
      </c>
    </row>
    <row r="32895" ht="15.75" customHeight="1" spans="1:2">
      <c r="A32895" s="3" t="str">
        <f>IFERROR(__xludf.DUMMYFUNCTION("GOOGLETRANSLATE(A32895,""en"",""pt"")"),"terrible recepção, eu tive alguns problemas de bateria")</f>
        <v>terrible recepção, eu tive alguns problemas de bateria</v>
      </c>
      <c r="B32895" s="3">
        <v>0</v>
      </c>
    </row>
    <row r="32896" ht="15.75" customHeight="1" spans="1:2">
      <c r="A32896" s="3" t="str">
        <f>IFERROR(__xludf.DUMMYFUNCTION("GOOGLETRANSLATE(A32896,""en"",""pt"")"),"tela principal é difícil de ler, nenhum papel de parede em branco")</f>
        <v>tela principal é difícil de ler, nenhum papel de parede em branco</v>
      </c>
      <c r="B32896" s="3">
        <v>0</v>
      </c>
    </row>
    <row r="32897" ht="15.75" customHeight="1" spans="1:2">
      <c r="A32897" s="3" t="str">
        <f>IFERROR(__xludf.DUMMYFUNCTION("GOOGLETRANSLATE(A32897,""en"",""pt"")"),"Queda de chamadas, má qualidade da chamada. Comandos de voz precisa de ajuda!")</f>
        <v>Queda de chamadas, má qualidade da chamada. Comandos de voz precisa de ajuda!</v>
      </c>
      <c r="B32897" s="3">
        <v>0</v>
      </c>
    </row>
    <row r="32898" ht="15.75" customHeight="1" spans="1:2">
      <c r="A32898" s="3" t="str">
        <f>IFERROR(__xludf.DUMMYFUNCTION("GOOGLETRANSLATE(A32898,""en"",""pt"")"),"Ele parar de trabalhar depois de três dias e nenhuma substituição possível.")</f>
        <v>Ele parar de trabalhar depois de três dias e nenhuma substituição possível.</v>
      </c>
      <c r="B32898" s="3">
        <v>0</v>
      </c>
    </row>
    <row r="32899" ht="15.75" customHeight="1" spans="1:2">
      <c r="A32899" s="3" t="str">
        <f>IFERROR(__xludf.DUMMYFUNCTION("GOOGLETRANSLATE(A32899,""en"",""pt"")"),"Confiabilidade (software Aparentemente defeituoso bloqueia o telefone de forma intermitente)")</f>
        <v>Confiabilidade (software Aparentemente defeituoso bloqueia o telefone de forma intermitente)</v>
      </c>
      <c r="B32899" s="3">
        <v>0</v>
      </c>
    </row>
    <row r="32900" ht="15.75" customHeight="1" spans="1:2">
      <c r="A32900" s="3" t="str">
        <f>IFERROR(__xludf.DUMMYFUNCTION("GOOGLETRANSLATE(A32900,""en"",""pt"")"),"abafado soar às vezes")</f>
        <v>abafado soar às vezes</v>
      </c>
      <c r="B32900" s="3">
        <v>0</v>
      </c>
    </row>
    <row r="32901" ht="15.75" customHeight="1" spans="1:2">
      <c r="A32901" s="3" t="str">
        <f>IFERROR(__xludf.DUMMYFUNCTION("GOOGLETRANSLATE(A32901,""en"",""pt"")"),"recursos limitados e não VCAST compatível")</f>
        <v>recursos limitados e não VCAST compatível</v>
      </c>
      <c r="B32901" s="3">
        <v>0</v>
      </c>
    </row>
    <row r="32902" ht="15.75" customHeight="1" spans="1:2">
      <c r="A32902" s="3" t="str">
        <f>IFERROR(__xludf.DUMMYFUNCTION("GOOGLETRANSLATE(A32902,""en"",""pt"")"),"vida útil da bateria, olha feio, volumoso")</f>
        <v>vida útil da bateria, olha feio, volumoso</v>
      </c>
      <c r="B32902" s="3">
        <v>0</v>
      </c>
    </row>
    <row r="32903" ht="15.75" customHeight="1" spans="1:2">
      <c r="A32903" s="3" t="str">
        <f>IFERROR(__xludf.DUMMYFUNCTION("GOOGLETRANSLATE(A32903,""en"",""pt"")"),"Má recepção quando dentro.")</f>
        <v>Má recepção quando dentro.</v>
      </c>
      <c r="B32903" s="3">
        <v>0</v>
      </c>
    </row>
    <row r="32904" ht="15.75" customHeight="1" spans="1:2">
      <c r="A32904" s="3" t="str">
        <f>IFERROR(__xludf.DUMMYFUNCTION("GOOGLETRANSLATE(A32904,""en"",""pt"")"),"curta vida útil da bateria, não vem com jogos, talk não pode e carga da bateria")</f>
        <v>curta vida útil da bateria, não vem com jogos, talk não pode e carga da bateria</v>
      </c>
      <c r="B32904" s="3">
        <v>0</v>
      </c>
    </row>
    <row r="32905" ht="15.75" customHeight="1" spans="1:2">
      <c r="A32905" s="3" t="str">
        <f>IFERROR(__xludf.DUMMYFUNCTION("GOOGLETRANSLATE(A32905,""en"",""pt"")"),"chamadas abandonadas, nenhum serviço com bares cheios de serviço, e tela de curto-circuito!")</f>
        <v>chamadas abandonadas, nenhum serviço com bares cheios de serviço, e tela de curto-circuito!</v>
      </c>
      <c r="B32905" s="3">
        <v>0</v>
      </c>
    </row>
    <row r="32906" ht="15.75" customHeight="1" spans="1:2">
      <c r="A32906" s="3" t="str">
        <f>IFERROR(__xludf.DUMMYFUNCTION("GOOGLETRANSLATE(A32906,""en"",""pt"")"),"Tem que pagar para os jogos")</f>
        <v>Tem que pagar para os jogos</v>
      </c>
      <c r="B32906" s="3">
        <v>0</v>
      </c>
    </row>
    <row r="32907" ht="15.75" customHeight="1" spans="1:2">
      <c r="A32907" s="3" t="str">
        <f>IFERROR(__xludf.DUMMYFUNCTION("GOOGLETRANSLATE(A32907,""en"",""pt"")"),"nenhuma câmera, tipo de plástico chinsy")</f>
        <v>nenhuma câmera, tipo de plástico chinsy</v>
      </c>
      <c r="B32907" s="3">
        <v>0</v>
      </c>
    </row>
    <row r="32908" ht="15.75" customHeight="1" spans="1:2">
      <c r="A32908" s="3" t="str">
        <f>IFERROR(__xludf.DUMMYFUNCTION("GOOGLETRANSLATE(A32908,""en"",""pt"")"),"Nenhum.")</f>
        <v>Nenhum.</v>
      </c>
      <c r="B32908" s="3">
        <v>0</v>
      </c>
    </row>
    <row r="32909" ht="15.75" customHeight="1" spans="1:2">
      <c r="A32909" s="3" t="str">
        <f>IFERROR(__xludf.DUMMYFUNCTION("GOOGLETRANSLATE(A32909,""en"",""pt"")"),"Não há contras para pensar.")</f>
        <v>Não há contras para pensar.</v>
      </c>
      <c r="B32909" s="3">
        <v>0</v>
      </c>
    </row>
    <row r="32910" ht="15.75" customHeight="1" spans="1:2">
      <c r="A32910" s="3" t="str">
        <f>IFERROR(__xludf.DUMMYFUNCTION("GOOGLETRANSLATE(A32910,""en"",""pt"")"),"Um toque hábil é necessário para atender o telefone, apenas para perder o chamador.")</f>
        <v>Um toque hábil é necessário para atender o telefone, apenas para perder o chamador.</v>
      </c>
      <c r="B32910" s="3">
        <v>0</v>
      </c>
    </row>
    <row r="32911" ht="15.75" customHeight="1" spans="1:2">
      <c r="A32911" s="3" t="str">
        <f>IFERROR(__xludf.DUMMYFUNCTION("GOOGLETRANSLATE(A32911,""en"",""pt"")"),"Sem opção vibrar-anel, não para usuários mão esquerda, o volume / voz teclas de discagem no caminho")</f>
        <v>Sem opção vibrar-anel, não para usuários mão esquerda, o volume / voz teclas de discagem no caminho</v>
      </c>
      <c r="B32911" s="3">
        <v>0</v>
      </c>
    </row>
    <row r="32912" ht="15.75" customHeight="1" spans="1:2">
      <c r="A32912" s="3" t="str">
        <f>IFERROR(__xludf.DUMMYFUNCTION("GOOGLETRANSLATE(A32912,""en"",""pt"")"),"todo o resto.")</f>
        <v>todo o resto.</v>
      </c>
      <c r="B32912" s="3">
        <v>0</v>
      </c>
    </row>
    <row r="32913" ht="15.75" customHeight="1" spans="1:2">
      <c r="A32913" s="3" t="str">
        <f>IFERROR(__xludf.DUMMYFUNCTION("GOOGLETRANSLATE(A32913,""en"",""pt"")"),"Nenhum")</f>
        <v>Nenhum</v>
      </c>
      <c r="B32913" s="3">
        <v>0</v>
      </c>
    </row>
    <row r="32914" ht="15.75" customHeight="1" spans="1:2">
      <c r="A32914" s="3" t="str">
        <f>IFERROR(__xludf.DUMMYFUNCTION("GOOGLETRANSLATE(A32914,""en"",""pt"")"),"Tamanho")</f>
        <v>Tamanho</v>
      </c>
      <c r="B32914" s="3">
        <v>0</v>
      </c>
    </row>
    <row r="32915" ht="15.75" customHeight="1" spans="1:2">
      <c r="A32915" s="3" t="str">
        <f>IFERROR(__xludf.DUMMYFUNCTION("GOOGLETRANSLATE(A32915,""en"",""pt"")"),"Estética, Projeto")</f>
        <v>Estética, Projeto</v>
      </c>
      <c r="B32915" s="3">
        <v>0</v>
      </c>
    </row>
    <row r="32916" ht="15.75" customHeight="1" spans="1:2">
      <c r="A32916" s="3" t="str">
        <f>IFERROR(__xludf.DUMMYFUNCTION("GOOGLETRANSLATE(A32916,""en"",""pt"")"),"Ele foi descontinuado e eles são difíceis de encontrar.")</f>
        <v>Ele foi descontinuado e eles são difíceis de encontrar.</v>
      </c>
      <c r="B32916" s="3">
        <v>0</v>
      </c>
    </row>
    <row r="32917" ht="15.75" customHeight="1" spans="1:2">
      <c r="A32917" s="3" t="str">
        <f>IFERROR(__xludf.DUMMYFUNCTION("GOOGLETRANSLATE(A32917,""en"",""pt"")"),"Os tons são fracos e não pode ser ouvido facilmente, mesmo que apareceu.")</f>
        <v>Os tons são fracos e não pode ser ouvido facilmente, mesmo que apareceu.</v>
      </c>
      <c r="B32917" s="3">
        <v>0</v>
      </c>
    </row>
    <row r="32918" ht="15.75" customHeight="1" spans="1:2">
      <c r="A32918" s="3" t="str">
        <f>IFERROR(__xludf.DUMMYFUNCTION("GOOGLETRANSLATE(A32918,""en"",""pt"")"),"sensibilidade teclado, mensagens de texto é difícil")</f>
        <v>sensibilidade teclado, mensagens de texto é difícil</v>
      </c>
      <c r="B32918" s="3">
        <v>0</v>
      </c>
    </row>
    <row r="32919" ht="15.75" customHeight="1" spans="1:2">
      <c r="A32919" s="3" t="str">
        <f>IFERROR(__xludf.DUMMYFUNCTION("GOOGLETRANSLATE(A32919,""en"",""pt"")"),"necessidade keygaurd para não marcar, nenhum mensagens de texto ...")</f>
        <v>necessidade keygaurd para não marcar, nenhum mensagens de texto ...</v>
      </c>
      <c r="B32919" s="3">
        <v>0</v>
      </c>
    </row>
    <row r="32920" ht="15.75" customHeight="1" spans="1:2">
      <c r="A32920" s="3" t="str">
        <f>IFERROR(__xludf.DUMMYFUNCTION("GOOGLETRANSLATE(A32920,""en"",""pt"")"),"Não tem a mais longa vida")</f>
        <v>Não tem a mais longa vida</v>
      </c>
      <c r="B32920" s="3">
        <v>0</v>
      </c>
    </row>
    <row r="32921" ht="15.75" customHeight="1" spans="1:2">
      <c r="A32921" s="3" t="str">
        <f>IFERROR(__xludf.DUMMYFUNCTION("GOOGLETRANSLATE(A32921,""en"",""pt"")"),"exibir no lado pequeno, sem cor, navegador um pouco contra-intuitivo")</f>
        <v>exibir no lado pequeno, sem cor, navegador um pouco contra-intuitivo</v>
      </c>
      <c r="B32921" s="3">
        <v>0</v>
      </c>
    </row>
    <row r="32922" ht="15.75" customHeight="1" spans="1:2">
      <c r="A32922" s="3" t="str">
        <f>IFERROR(__xludf.DUMMYFUNCTION("GOOGLETRANSLATE(A32922,""en"",""pt"")"),"Não é possível armazenar cartões telefônicos nele.")</f>
        <v>Não é possível armazenar cartões telefônicos nele.</v>
      </c>
      <c r="B32922" s="3">
        <v>0</v>
      </c>
    </row>
    <row r="32923" ht="15.75" customHeight="1" spans="1:2">
      <c r="A32923" s="3" t="str">
        <f>IFERROR(__xludf.DUMMYFUNCTION("GOOGLETRANSLATE(A32923,""en"",""pt"")"),"não um ecrã a cores, Não Bluetooth")</f>
        <v>não um ecrã a cores, Não Bluetooth</v>
      </c>
      <c r="B32923" s="3">
        <v>0</v>
      </c>
    </row>
    <row r="32924" ht="15.75" customHeight="1" spans="1:2">
      <c r="A32924" s="3" t="str">
        <f>IFERROR(__xludf.DUMMYFUNCTION("GOOGLETRANSLATE(A32924,""en"",""pt"")"),"volume da campainha baixa, fone de ouvido sensível à direção.")</f>
        <v>volume da campainha baixa, fone de ouvido sensível à direção.</v>
      </c>
      <c r="B32924" s="3">
        <v>0</v>
      </c>
    </row>
    <row r="32925" ht="15.75" customHeight="1" spans="1:2">
      <c r="A32925" s="3" t="str">
        <f>IFERROR(__xludf.DUMMYFUNCTION("GOOGLETRANSLATE(A32925,""en"",""pt"")"),"tela colorida não")</f>
        <v>tela colorida não</v>
      </c>
      <c r="B32925" s="3">
        <v>0</v>
      </c>
    </row>
    <row r="32926" ht="15.75" customHeight="1" spans="1:2">
      <c r="A32926" s="3" t="str">
        <f>IFERROR(__xludf.DUMMYFUNCTION("GOOGLETRANSLATE(A32926,""en"",""pt"")"),"nenhuma tela de cor, botão on / off, pode ser um pouco pequeno demais para algumas pessoas")</f>
        <v>nenhuma tela de cor, botão on / off, pode ser um pouco pequeno demais para algumas pessoas</v>
      </c>
      <c r="B32926" s="3">
        <v>0</v>
      </c>
    </row>
    <row r="32927" ht="15.75" customHeight="1" spans="1:2">
      <c r="A32927" s="3" t="str">
        <f>IFERROR(__xludf.DUMMYFUNCTION("GOOGLETRANSLATE(A32927,""en"",""pt"")"),"Problemas de sinal horrível ""peculiaridades""")</f>
        <v>Problemas de sinal horrível "peculiaridades"</v>
      </c>
      <c r="B32927" s="3">
        <v>0</v>
      </c>
    </row>
    <row r="32928" ht="15.75" customHeight="1" spans="1:2">
      <c r="A32928" s="3" t="str">
        <f>IFERROR(__xludf.DUMMYFUNCTION("GOOGLETRANSLATE(A32928,""en"",""pt"")"),"botões pode ser muito pequeno para aqueles com mãos grandes, nenhuma tela de cor, antena?")</f>
        <v>botões pode ser muito pequeno para aqueles com mãos grandes, nenhuma tela de cor, antena?</v>
      </c>
      <c r="B32928" s="3">
        <v>0</v>
      </c>
    </row>
    <row r="32929" ht="15.75" customHeight="1" spans="1:2">
      <c r="A32929" s="3" t="str">
        <f>IFERROR(__xludf.DUMMYFUNCTION("GOOGLETRANSLATE(A32929,""en"",""pt"")"),"pequenos bugs no firmware.")</f>
        <v>pequenos bugs no firmware.</v>
      </c>
      <c r="B32929" s="3">
        <v>0</v>
      </c>
    </row>
    <row r="32930" ht="15.75" customHeight="1" spans="1:2">
      <c r="A32930" s="3" t="str">
        <f>IFERROR(__xludf.DUMMYFUNCTION("GOOGLETRANSLATE(A32930,""en"",""pt"")"),"Difícil de berço no ombro")</f>
        <v>Difícil de berço no ombro</v>
      </c>
      <c r="B32930" s="3">
        <v>0</v>
      </c>
    </row>
    <row r="32931" ht="15.75" customHeight="1" spans="1:2">
      <c r="A32931" s="3" t="str">
        <f>IFERROR(__xludf.DUMMYFUNCTION("GOOGLETRANSLATE(A32931,""en"",""pt"")"),"Tecnologia GSM ainda está jogando catch-up")</f>
        <v>Tecnologia GSM ainda está jogando catch-up</v>
      </c>
      <c r="B32931" s="3">
        <v>0</v>
      </c>
    </row>
    <row r="32932" ht="15.75" customHeight="1" spans="1:2">
      <c r="A32932" s="3" t="str">
        <f>IFERROR(__xludf.DUMMYFUNCTION("GOOGLETRANSLATE(A32932,""en"",""pt"")"),"Não muitas opções faceplate")</f>
        <v>Não muitas opções faceplate</v>
      </c>
      <c r="B32932" s="3">
        <v>0</v>
      </c>
    </row>
    <row r="32933" ht="15.75" customHeight="1" spans="1:2">
      <c r="A32933" s="3" t="str">
        <f>IFERROR(__xludf.DUMMYFUNCTION("GOOGLETRANSLATE(A32933,""en"",""pt"")"),"No ecrã a cores, Não tri-band")</f>
        <v>No ecrã a cores, Não tri-band</v>
      </c>
      <c r="B32933" s="3">
        <v>0</v>
      </c>
    </row>
    <row r="32934" ht="15.75" customHeight="1" spans="1:2">
      <c r="A32934" s="3" t="str">
        <f>IFERROR(__xludf.DUMMYFUNCTION("GOOGLETRANSLATE(A32934,""en"",""pt"")"),"Talk e botão End poderia ser um pouco maior.")</f>
        <v>Talk e botão End poderia ser um pouco maior.</v>
      </c>
      <c r="B32934" s="3">
        <v>0</v>
      </c>
    </row>
    <row r="32935" ht="15.75" customHeight="1" spans="1:2">
      <c r="A32935" s="3" t="str">
        <f>IFERROR(__xludf.DUMMYFUNCTION("GOOGLETRANSLATE(A32935,""en"",""pt"")"),"Não há cores")</f>
        <v>Não há cores</v>
      </c>
      <c r="B32935" s="3">
        <v>0</v>
      </c>
    </row>
    <row r="32936" ht="15.75" customHeight="1" spans="1:2">
      <c r="A32936" s="3" t="str">
        <f>IFERROR(__xludf.DUMMYFUNCTION("GOOGLETRANSLATE(A32936,""en"",""pt"")"),"O tamanho pequeno leva tempo para se acostumar; Sem cor.")</f>
        <v>O tamanho pequeno leva tempo para se acostumar; Sem cor.</v>
      </c>
      <c r="B32936" s="3">
        <v>0</v>
      </c>
    </row>
    <row r="32937" ht="15.75" customHeight="1" spans="1:2">
      <c r="A32937" s="3" t="str">
        <f>IFERROR(__xludf.DUMMYFUNCTION("GOOGLETRANSLATE(A32937,""en"",""pt"")"),"nenhuma tela de cor .. mas hey, este telefone está indo em 2 anos velhos.")</f>
        <v>nenhuma tela de cor .. mas hey, este telefone está indo em 2 anos velhos.</v>
      </c>
      <c r="B32937" s="3">
        <v>0</v>
      </c>
    </row>
    <row r="32938" ht="15.75" customHeight="1" spans="1:2">
      <c r="A32938" s="3" t="str">
        <f>IFERROR(__xludf.DUMMYFUNCTION("GOOGLETRANSLATE(A32938,""en"",""pt"")"),"O tamanho, nenhuma câmera, função de calendário pobres.")</f>
        <v>O tamanho, nenhuma câmera, função de calendário pobres.</v>
      </c>
      <c r="B32938" s="3">
        <v>0</v>
      </c>
    </row>
    <row r="32939" ht="15.75" customHeight="1" spans="1:2">
      <c r="A32939" s="3" t="str">
        <f>IFERROR(__xludf.DUMMYFUNCTION("GOOGLETRANSLATE(A32939,""en"",""pt"")"),"Displays Não pode ser lido à luz do sol.")</f>
        <v>Displays Não pode ser lido à luz do sol.</v>
      </c>
      <c r="B32939" s="3">
        <v>0</v>
      </c>
    </row>
    <row r="32940" ht="15.75" customHeight="1" spans="1:2">
      <c r="A32940" s="3" t="str">
        <f>IFERROR(__xludf.DUMMYFUNCTION("GOOGLETRANSLATE(A32940,""en"",""pt"")"),"Função limitada calendário, alarme limitado, desaparece a vida da bateria com a utilização, calculadora desajeitado, terrible recepção !!!")</f>
        <v>Função limitada calendário, alarme limitado, desaparece a vida da bateria com a utilização, calculadora desajeitado, terrible recepção !!!</v>
      </c>
      <c r="B32940" s="3">
        <v>0</v>
      </c>
    </row>
    <row r="32941" ht="15.75" customHeight="1" spans="1:2">
      <c r="A32941" s="3" t="str">
        <f>IFERROR(__xludf.DUMMYFUNCTION("GOOGLETRANSLATE(A32941,""en"",""pt"")"),"A vida da bateria, modo de alarme, registro de chamadas / história")</f>
        <v>A vida da bateria, modo de alarme, registro de chamadas / história</v>
      </c>
      <c r="B32941" s="3">
        <v>0</v>
      </c>
    </row>
    <row r="32942" ht="15.75" customHeight="1" spans="1:2">
      <c r="A32942" s="3" t="str">
        <f>IFERROR(__xludf.DUMMYFUNCTION("GOOGLETRANSLATE(A32942,""en"",""pt"")"),"Horrível para chamadas de voz - apenas o recurso mais importante!")</f>
        <v>Horrível para chamadas de voz - apenas o recurso mais importante!</v>
      </c>
      <c r="B32942" s="3">
        <v>0</v>
      </c>
    </row>
    <row r="32943" ht="15.75" customHeight="1" spans="1:2">
      <c r="A32943" s="3" t="str">
        <f>IFERROR(__xludf.DUMMYFUNCTION("GOOGLETRANSLATE(A32943,""en"",""pt"")"),"Um pouco menos durável do que o esperado.")</f>
        <v>Um pouco menos durável do que o esperado.</v>
      </c>
      <c r="B32943" s="3">
        <v>0</v>
      </c>
    </row>
    <row r="32944" ht="15.75" customHeight="1" spans="1:2">
      <c r="A32944" s="3" t="str">
        <f>IFERROR(__xludf.DUMMYFUNCTION("GOOGLETRANSLATE(A32944,""en"",""pt"")"),"Caro, mas mais barato feito, parece durável, mas não é, fades de bateria com a utilização, etc. etc. etc.")</f>
        <v>Caro, mas mais barato feito, parece durável, mas não é, fades de bateria com a utilização, etc. etc. etc.</v>
      </c>
      <c r="B32944" s="3">
        <v>0</v>
      </c>
    </row>
    <row r="32945" ht="15.75" customHeight="1" spans="1:2">
      <c r="A32945" s="3" t="str">
        <f>IFERROR(__xludf.DUMMYFUNCTION("GOOGLETRANSLATE(A32945,""en"",""pt"")"),"Má qualidade de áudio, a falta de interface de usuário intuitiva, a qualidade da chamada inconsistentes")</f>
        <v>Má qualidade de áudio, a falta de interface de usuário intuitiva, a qualidade da chamada inconsistentes</v>
      </c>
      <c r="B32945" s="3">
        <v>0</v>
      </c>
    </row>
    <row r="32946" ht="15.75" customHeight="1" spans="1:2">
      <c r="A32946" s="3" t="str">
        <f>IFERROR(__xludf.DUMMYFUNCTION("GOOGLETRANSLATE(A32946,""en"",""pt"")"),"Speakerphone difícil de usar com o ruído de fundo.")</f>
        <v>Speakerphone difícil de usar com o ruído de fundo.</v>
      </c>
      <c r="B32946" s="3">
        <v>0</v>
      </c>
    </row>
    <row r="32947" ht="15.75" customHeight="1" spans="1:2">
      <c r="A32947" s="3" t="str">
        <f>IFERROR(__xludf.DUMMYFUNCTION("GOOGLETRANSLATE(A32947,""en"",""pt"")"),"No viva-voz, teclas pequenas, agenda medíocre")</f>
        <v>No viva-voz, teclas pequenas, agenda medíocre</v>
      </c>
      <c r="B32947" s="3">
        <v>0</v>
      </c>
    </row>
    <row r="32948" ht="15.75" customHeight="1" spans="1:2">
      <c r="A32948" s="3" t="str">
        <f>IFERROR(__xludf.DUMMYFUNCTION("GOOGLETRANSLATE(A32948,""en"",""pt"")"),"Tela difícil de ver sob luz solar intensa, câmera não tão bom como telefones atuais.")</f>
        <v>Tela difícil de ver sob luz solar intensa, câmera não tão bom como telefones atuais.</v>
      </c>
      <c r="B32948" s="3">
        <v>0</v>
      </c>
    </row>
    <row r="32949" ht="15.75" customHeight="1" spans="1:2">
      <c r="A32949" s="3" t="str">
        <f>IFERROR(__xludf.DUMMYFUNCTION("GOOGLETRANSLATE(A32949,""en"",""pt"")"),"Crashes, Não viva-voz, Mediocore Capacidade da Memória, Button Delay")</f>
        <v>Crashes, Não viva-voz, Mediocore Capacidade da Memória, Button Delay</v>
      </c>
      <c r="B32949" s="3">
        <v>0</v>
      </c>
    </row>
    <row r="32950" ht="15.75" customHeight="1" spans="1:2">
      <c r="A32950" s="3" t="str">
        <f>IFERROR(__xludf.DUMMYFUNCTION("GOOGLETRANSLATE(A32950,""en"",""pt"")"),"Crashes, mau documentação, rede Cingular ruim")</f>
        <v>Crashes, mau documentação, rede Cingular ruim</v>
      </c>
      <c r="B32950" s="3">
        <v>0</v>
      </c>
    </row>
    <row r="32951" ht="15.75" customHeight="1" spans="1:2">
      <c r="A32951" s="3" t="str">
        <f>IFERROR(__xludf.DUMMYFUNCTION("GOOGLETRANSLATE(A32951,""en"",""pt"")"),"Exterior olha feio, antena de recepção, a tela é difícil de ver sob luz solar intensa.")</f>
        <v>Exterior olha feio, antena de recepção, a tela é difícil de ver sob luz solar intensa.</v>
      </c>
      <c r="B32951" s="3">
        <v>0</v>
      </c>
    </row>
    <row r="32952" ht="15.75" customHeight="1" spans="1:2">
      <c r="A32952" s="3" t="str">
        <f>IFERROR(__xludf.DUMMYFUNCTION("GOOGLETRANSLATE(A32952,""en"",""pt"")"),"interface de usuário qwerky")</f>
        <v>interface de usuário qwerky</v>
      </c>
      <c r="B32952" s="3">
        <v>0</v>
      </c>
    </row>
    <row r="32953" ht="15.75" customHeight="1" spans="1:2">
      <c r="A32953" s="3" t="str">
        <f>IFERROR(__xludf.DUMMYFUNCTION("GOOGLETRANSLATE(A32953,""en"",""pt"")"),"Preço")</f>
        <v>Preço</v>
      </c>
      <c r="B32953" s="3">
        <v>0</v>
      </c>
    </row>
    <row r="32954" ht="15.75" customHeight="1" spans="1:2">
      <c r="A32954" s="3" t="str">
        <f>IFERROR(__xludf.DUMMYFUNCTION("GOOGLETRANSLATE(A32954,""en"",""pt"")"),"Tela sob a luz do sol, botões podem ser pequeno para alguns")</f>
        <v>Tela sob a luz do sol, botões podem ser pequeno para alguns</v>
      </c>
      <c r="B32954" s="3">
        <v>0</v>
      </c>
    </row>
    <row r="32955" ht="15.75" customHeight="1" spans="1:2">
      <c r="A32955" s="3" t="str">
        <f>IFERROR(__xludf.DUMMYFUNCTION("GOOGLETRANSLATE(A32955,""en"",""pt"")"),"Mis-comercializado como um telefone do mundo. No viva-voz - a falta de anéis simples.")</f>
        <v>Mis-comercializado como um telefone do mundo. No viva-voz - a falta de anéis simples.</v>
      </c>
      <c r="B32955" s="3">
        <v>0</v>
      </c>
    </row>
    <row r="32956" ht="15.75" customHeight="1" spans="1:2">
      <c r="A32956" s="3" t="str">
        <f>IFERROR(__xludf.DUMMYFUNCTION("GOOGLETRANSLATE(A32956,""en"",""pt"")"),"Pode ser difícil de aprender para alguns usuários, fede durabilidade")</f>
        <v>Pode ser difícil de aprender para alguns usuários, fede durabilidade</v>
      </c>
      <c r="B32956" s="3">
        <v>0</v>
      </c>
    </row>
    <row r="32957" ht="15.75" customHeight="1" spans="1:2">
      <c r="A32957" s="3" t="str">
        <f>IFERROR(__xludf.DUMMYFUNCTION("GOOGLETRANSLATE(A32957,""en"",""pt"")"),"câmera Gimmicky (legal, embora) botões não inteiramente confortáveis ​​para quem não é Tiny Tim.")</f>
        <v>câmera Gimmicky (legal, embora) botões não inteiramente confortáveis ​​para quem não é Tiny Tim.</v>
      </c>
      <c r="B32957" s="3">
        <v>0</v>
      </c>
    </row>
    <row r="32958" ht="15.75" customHeight="1" spans="1:2">
      <c r="A32958" s="3" t="str">
        <f>IFERROR(__xludf.DUMMYFUNCTION("GOOGLETRANSLATE(A32958,""en"",""pt"")"),"Não há muito a vida da bateria, a tela requer limpeza constante, Sony-Ericsson ficha do carregador é uma porcaria!")</f>
        <v>Não há muito a vida da bateria, a tela requer limpeza constante, Sony-Ericsson ficha do carregador é uma porcaria!</v>
      </c>
      <c r="B32958" s="3">
        <v>0</v>
      </c>
    </row>
    <row r="32959" ht="15.75" customHeight="1" spans="1:2">
      <c r="A32959" s="3" t="str">
        <f>IFERROR(__xludf.DUMMYFUNCTION("GOOGLETRANSLATE(A32959,""en"",""pt"")"),"Occasionaly congela / NO viva-voz / leva um tempo para recuperar um sinal perdido")</f>
        <v>Occasionaly congela / NO viva-voz / leva um tempo para recuperar um sinal perdido</v>
      </c>
      <c r="B32959" s="3">
        <v>0</v>
      </c>
    </row>
    <row r="32960" ht="15.75" customHeight="1" spans="1:2">
      <c r="A32960" s="3" t="str">
        <f>IFERROR(__xludf.DUMMYFUNCTION("GOOGLETRANSLATE(A32960,""en"",""pt"")"),"Nem sempre user-friendly, alguns problemas com botões não funciona. Lousy recepção !!")</f>
        <v>Nem sempre user-friendly, alguns problemas com botões não funciona. Lousy recepção !!</v>
      </c>
      <c r="B32960" s="3">
        <v>0</v>
      </c>
    </row>
    <row r="32961" ht="15.75" customHeight="1" spans="1:2">
      <c r="A32961" s="3" t="str">
        <f>IFERROR(__xludf.DUMMYFUNCTION("GOOGLETRANSLATE(A32961,""en"",""pt"")"),"No viva-voz, complicada agenda de pesquisa de entrada.")</f>
        <v>No viva-voz, complicada agenda de pesquisa de entrada.</v>
      </c>
      <c r="B32961" s="3">
        <v>0</v>
      </c>
    </row>
    <row r="32962" ht="15.75" customHeight="1" spans="1:2">
      <c r="A32962" s="3" t="str">
        <f>IFERROR(__xludf.DUMMYFUNCTION("GOOGLETRANSLATE(A32962,""en"",""pt"")"),"cobertura irregular GSM em algumas áreas, algumas características são um exagero, necessidades mais alto volume de audição")</f>
        <v>cobertura irregular GSM em algumas áreas, algumas características são um exagero, necessidades mais alto volume de audição</v>
      </c>
      <c r="B32962" s="3">
        <v>0</v>
      </c>
    </row>
    <row r="32963" ht="15.75" customHeight="1" spans="1:2">
      <c r="A32963" s="3" t="str">
        <f>IFERROR(__xludf.DUMMYFUNCTION("GOOGLETRANSLATE(A32963,""en"",""pt"")"),"memória extremamente limitada, pequenos botões, máquina virtual Java lento")</f>
        <v>memória extremamente limitada, pequenos botões, máquina virtual Java lento</v>
      </c>
      <c r="B32963" s="3">
        <v>0</v>
      </c>
    </row>
    <row r="32964" ht="15.75" customHeight="1" spans="1:2">
      <c r="A32964" s="3" t="str">
        <f>IFERROR(__xludf.DUMMYFUNCTION("GOOGLETRANSLATE(A32964,""en"",""pt"")"),"Fato de não useing uma tela TFT, nenhum alto-falante")</f>
        <v>Fato de não useing uma tela TFT, nenhum alto-falante</v>
      </c>
      <c r="B32964" s="3">
        <v>0</v>
      </c>
    </row>
    <row r="32965" ht="15.75" customHeight="1" spans="1:2">
      <c r="A32965" s="3" t="str">
        <f>IFERROR(__xludf.DUMMYFUNCTION("GOOGLETRANSLATE(A32965,""en"",""pt"")"),"Má qualidade de imagem, uma má recepção, problemas mecânicos, a longo prazo")</f>
        <v>Má qualidade de imagem, uma má recepção, problemas mecânicos, a longo prazo</v>
      </c>
      <c r="B32965" s="3">
        <v>0</v>
      </c>
    </row>
    <row r="32966" ht="15.75" customHeight="1" spans="1:2">
      <c r="A32966" s="3" t="str">
        <f>IFERROR(__xludf.DUMMYFUNCTION("GOOGLETRANSLATE(A32966,""en"",""pt"")"),"arranhões facilmente (investir em coberturas de tela), nenhuma opção clipe de cinto viável,")</f>
        <v>arranhões facilmente (investir em coberturas de tela), nenhuma opção clipe de cinto viável,</v>
      </c>
      <c r="B32966" s="3">
        <v>0</v>
      </c>
    </row>
    <row r="32967" ht="15.75" customHeight="1" spans="1:2">
      <c r="A32967" s="3" t="str">
        <f>IFERROR(__xludf.DUMMYFUNCTION("GOOGLETRANSLATE(A32967,""en"",""pt"")"),"Muitos opções e recursos.")</f>
        <v>Muitos opções e recursos.</v>
      </c>
      <c r="B32967" s="3">
        <v>0</v>
      </c>
    </row>
    <row r="32968" ht="15.75" customHeight="1" spans="1:2">
      <c r="A32968" s="3" t="str">
        <f>IFERROR(__xludf.DUMMYFUNCTION("GOOGLETRANSLATE(A32968,""en"",""pt"")"),"vara de controle Jerky, conexões lentas a T-zonas, funções não funciona.")</f>
        <v>vara de controle Jerky, conexões lentas a T-zonas, funções não funciona.</v>
      </c>
      <c r="B32968" s="3">
        <v>0</v>
      </c>
    </row>
    <row r="32969" ht="15.75" customHeight="1" spans="1:2">
      <c r="A32969" s="3" t="str">
        <f>IFERROR(__xludf.DUMMYFUNCTION("GOOGLETRANSLATE(A32969,""en"",""pt"")"),"congela, confundindo às vezes, não funciona plenamente com MACs")</f>
        <v>congela, confundindo às vezes, não funciona plenamente com MACs</v>
      </c>
      <c r="B32969" s="3">
        <v>0</v>
      </c>
    </row>
    <row r="32970" ht="15.75" customHeight="1" spans="1:2">
      <c r="A32970" s="3" t="str">
        <f>IFERROR(__xludf.DUMMYFUNCTION("GOOGLETRANSLATE(A32970,""en"",""pt"")"),"Recepção, não o modelo ""mais recente"", alguns usuários podem encontrar amadurecer interface de assustador")</f>
        <v>Recepção, não o modelo "mais recente", alguns usuários podem encontrar amadurecer interface de assustador</v>
      </c>
      <c r="B32970" s="3">
        <v>0</v>
      </c>
    </row>
    <row r="32971" ht="15.75" customHeight="1" spans="1:2">
      <c r="A32971" s="3" t="str">
        <f>IFERROR(__xludf.DUMMYFUNCTION("GOOGLETRANSLATE(A32971,""en"",""pt"")"),"A tela pode ser difícil em plena luz do dia; Joystick ocasionalmente varas se maltratado excessivamente; Sub-par câmera.")</f>
        <v>A tela pode ser difícil em plena luz do dia; Joystick ocasionalmente varas se maltratado excessivamente; Sub-par câmera.</v>
      </c>
      <c r="B32971" s="3">
        <v>0</v>
      </c>
    </row>
    <row r="32972" ht="15.75" customHeight="1" spans="1:2">
      <c r="A32972" s="3" t="str">
        <f>IFERROR(__xludf.DUMMYFUNCTION("GOOGLETRANSLATE(A32972,""en"",""pt"")"),"volume do toque pobres, difícil de trabalhar com a tela sob o sol")</f>
        <v>volume do toque pobres, difícil de trabalhar com a tela sob o sol</v>
      </c>
      <c r="B32972" s="3">
        <v>0</v>
      </c>
    </row>
    <row r="32973" ht="15.75" customHeight="1" spans="1:2">
      <c r="A32973" s="3" t="str">
        <f>IFERROR(__xludf.DUMMYFUNCTION("GOOGLETRANSLATE(A32973,""en"",""pt"")"),"Speaker poderia ser um mais alto bit pouco durante uma chamada")</f>
        <v>Speaker poderia ser um mais alto bit pouco durante uma chamada</v>
      </c>
      <c r="B32973" s="3">
        <v>0</v>
      </c>
    </row>
    <row r="32974" ht="15.75" customHeight="1" spans="1:2">
      <c r="A32974" s="3" t="str">
        <f>IFERROR(__xludf.DUMMYFUNCTION("GOOGLETRANSLATE(A32974,""en"",""pt"")"),"Recepção do sinal.")</f>
        <v>Recepção do sinal.</v>
      </c>
      <c r="B32974" s="3">
        <v>0</v>
      </c>
    </row>
    <row r="32975" ht="15.75" customHeight="1" spans="1:2">
      <c r="A32975" s="3" t="str">
        <f>IFERROR(__xludf.DUMMYFUNCTION("GOOGLETRANSLATE(A32975,""en"",""pt"")"),"menus lento, mau botões, memória limitada.")</f>
        <v>menus lento, mau botões, memória limitada.</v>
      </c>
      <c r="B32975" s="3">
        <v>0</v>
      </c>
    </row>
    <row r="32976" ht="15.75" customHeight="1" spans="1:2">
      <c r="A32976" s="3" t="str">
        <f>IFERROR(__xludf.DUMMYFUNCTION("GOOGLETRANSLATE(A32976,""en"",""pt"")"),"O caso mancha-propensa infame.")</f>
        <v>O caso mancha-propensa infame.</v>
      </c>
      <c r="B32976" s="3">
        <v>0</v>
      </c>
    </row>
    <row r="32977" ht="15.75" customHeight="1" spans="1:2">
      <c r="A32977" s="3" t="str">
        <f>IFERROR(__xludf.DUMMYFUNCTION("GOOGLETRANSLATE(A32977,""en"",""pt"")"),"Abaixo recepção média, erro de layout de botões de bruços, lento interface do menu desajeitado.")</f>
        <v>Abaixo recepção média, erro de layout de botões de bruços, lento interface do menu desajeitado.</v>
      </c>
      <c r="B32977" s="3">
        <v>0</v>
      </c>
    </row>
    <row r="32978" ht="15.75" customHeight="1" spans="1:2">
      <c r="A32978" s="3" t="str">
        <f>IFERROR(__xludf.DUMMYFUNCTION("GOOGLETRANSLATE(A32978,""en"",""pt"")"),"curta duração da bateria, difícil de ver a tela à luz do dia.")</f>
        <v>curta duração da bateria, difícil de ver a tela à luz do dia.</v>
      </c>
      <c r="B32978" s="3">
        <v>0</v>
      </c>
    </row>
    <row r="32979" ht="15.75" customHeight="1" spans="1:2">
      <c r="A32979" s="3" t="str">
        <f>IFERROR(__xludf.DUMMYFUNCTION("GOOGLETRANSLATE(A32979,""en"",""pt"")"),"interface um pouco desajeitado, muito já sobre ele, ringtone sem muito básico")</f>
        <v>interface um pouco desajeitado, muito já sobre ele, ringtone sem muito básico</v>
      </c>
      <c r="B32979" s="3">
        <v>0</v>
      </c>
    </row>
    <row r="32980" ht="15.75" customHeight="1" spans="1:2">
      <c r="A32980" s="3" t="str">
        <f>IFERROR(__xludf.DUMMYFUNCTION("GOOGLETRANSLATE(A32980,""en"",""pt"")"),"telefone sem Speaker, telefone menos impressionante / livro de endereços")</f>
        <v>telefone sem Speaker, telefone menos impressionante / livro de endereços</v>
      </c>
      <c r="B32980" s="3">
        <v>0</v>
      </c>
    </row>
    <row r="32981" ht="15.75" customHeight="1" spans="1:2">
      <c r="A32981" s="3" t="str">
        <f>IFERROR(__xludf.DUMMYFUNCTION("GOOGLETRANSLATE(A32981,""en"",""pt"")"),"ao ar livre tela inúteis e caso escorregadio.")</f>
        <v>ao ar livre tela inúteis e caso escorregadio.</v>
      </c>
      <c r="B32981" s="3">
        <v>0</v>
      </c>
    </row>
    <row r="32982" ht="15.75" customHeight="1" spans="1:2">
      <c r="A32982" s="3" t="str">
        <f>IFERROR(__xludf.DUMMYFUNCTION("GOOGLETRANSLATE(A32982,""en"",""pt"")"),"toque Volume")</f>
        <v>toque Volume</v>
      </c>
      <c r="B32982" s="3">
        <v>0</v>
      </c>
    </row>
    <row r="32983" ht="15.75" customHeight="1" spans="1:2">
      <c r="A32983" s="3" t="str">
        <f>IFERROR(__xludf.DUMMYFUNCTION("GOOGLETRANSLATE(A32983,""en"",""pt"")"),"Apenas telefone oferecido por operadoras GSM com má recepção / cobertura")</f>
        <v>Apenas telefone oferecido por operadoras GSM com má recepção / cobertura</v>
      </c>
      <c r="B32983" s="3">
        <v>0</v>
      </c>
    </row>
    <row r="32984" ht="15.75" customHeight="1" spans="1:2">
      <c r="A32984" s="3" t="str">
        <f>IFERROR(__xludf.DUMMYFUNCTION("GOOGLETRANSLATE(A32984,""en"",""pt"")"),"Botões são pequenos")</f>
        <v>Botões são pequenos</v>
      </c>
      <c r="B32984" s="3">
        <v>0</v>
      </c>
    </row>
    <row r="32985" ht="15.75" customHeight="1" spans="1:2">
      <c r="A32985" s="3" t="str">
        <f>IFERROR(__xludf.DUMMYFUNCTION("GOOGLETRANSLATE(A32985,""en"",""pt"")"),"Manchas muito facilmente, pouco espaço em armazenamento.")</f>
        <v>Manchas muito facilmente, pouco espaço em armazenamento.</v>
      </c>
      <c r="B32985" s="3">
        <v>0</v>
      </c>
    </row>
    <row r="32986" ht="15.75" customHeight="1" spans="1:2">
      <c r="A32986" s="3" t="str">
        <f>IFERROR(__xludf.DUMMYFUNCTION("GOOGLETRANSLATE(A32986,""en"",""pt"")"),"1 MB de memória, câmera de 320 x 240, pequeno teclado")</f>
        <v>1 MB de memória, câmera de 320 x 240, pequeno teclado</v>
      </c>
      <c r="B32986" s="3">
        <v>0</v>
      </c>
    </row>
    <row r="32987" ht="15.75" customHeight="1" spans="1:2">
      <c r="A32987" s="3" t="str">
        <f>IFERROR(__xludf.DUMMYFUNCTION("GOOGLETRANSLATE(A32987,""en"",""pt"")"),"recepção horrível, problemas de áudio estranho, cara.")</f>
        <v>recepção horrível, problemas de áudio estranho, cara.</v>
      </c>
      <c r="B32987" s="3">
        <v>0</v>
      </c>
    </row>
    <row r="32988" ht="15.75" customHeight="1" spans="1:2">
      <c r="A32988" s="3" t="str">
        <f>IFERROR(__xludf.DUMMYFUNCTION("GOOGLETRANSLATE(A32988,""en"",""pt"")"),"menus difícil de navegar, tela")</f>
        <v>menus difícil de navegar, tela</v>
      </c>
      <c r="B32988" s="3">
        <v>0</v>
      </c>
    </row>
    <row r="32989" ht="15.75" customHeight="1" spans="1:2">
      <c r="A32989" s="3" t="str">
        <f>IFERROR(__xludf.DUMMYFUNCTION("GOOGLETRANSLATE(A32989,""en"",""pt"")"),"não pode ver a tela na luz solar, câmera pobres, maus botões / joystick, desconexões frequentes")</f>
        <v>não pode ver a tela na luz solar, câmera pobres, maus botões / joystick, desconexões frequentes</v>
      </c>
      <c r="B32989" s="3">
        <v>0</v>
      </c>
    </row>
    <row r="32990" ht="15.75" customHeight="1" spans="1:2">
      <c r="A32990" s="3" t="str">
        <f>IFERROR(__xludf.DUMMYFUNCTION("GOOGLETRANSLATE(A32990,""en"",""pt"")"),"Terrível OS fabricados no inferno ou próximo a ela. Sadicamente lento e lento.")</f>
        <v>Terrível OS fabricados no inferno ou próximo a ela. Sadicamente lento e lento.</v>
      </c>
      <c r="B32990" s="3">
        <v>0</v>
      </c>
    </row>
    <row r="32991" ht="15.75" customHeight="1" spans="1:2">
      <c r="A32991" s="3" t="str">
        <f>IFERROR(__xludf.DUMMYFUNCTION("GOOGLETRANSLATE(A32991,""en"",""pt"")"),"Difícil de ouvir, má recepção, difícil de ver a tela sob a luz solar.")</f>
        <v>Difícil de ouvir, má recepção, difícil de ver a tela sob a luz solar.</v>
      </c>
      <c r="B32991" s="3">
        <v>0</v>
      </c>
    </row>
    <row r="32992" ht="15.75" customHeight="1" spans="1:2">
      <c r="A32992" s="3" t="str">
        <f>IFERROR(__xludf.DUMMYFUNCTION("GOOGLETRANSLATE(A32992,""en"",""pt"")"),"Sem Speakerphone")</f>
        <v>Sem Speakerphone</v>
      </c>
      <c r="B32992" s="3">
        <v>0</v>
      </c>
    </row>
    <row r="32993" ht="15.75" customHeight="1" spans="1:2">
      <c r="A32993" s="3" t="str">
        <f>IFERROR(__xludf.DUMMYFUNCTION("GOOGLETRANSLATE(A32993,""en"",""pt"")"),"Tampa da bateria, aparência, aparência, aparência. Caiu fora da árvore feia. Duas vezes.")</f>
        <v>Tampa da bateria, aparência, aparência, aparência. Caiu fora da árvore feia. Duas vezes.</v>
      </c>
      <c r="B32993" s="3">
        <v>0</v>
      </c>
    </row>
    <row r="32994" ht="15.75" customHeight="1" spans="1:2">
      <c r="A32994" s="3" t="str">
        <f>IFERROR(__xludf.DUMMYFUNCTION("GOOGLETRANSLATE(A32994,""en"",""pt"")"),"muitas opções que muitas pessoas não vão realmente usar")</f>
        <v>muitas opções que muitas pessoas não vão realmente usar</v>
      </c>
      <c r="B32994" s="3">
        <v>0</v>
      </c>
    </row>
    <row r="32995" ht="15.75" customHeight="1" spans="1:2">
      <c r="A32995" s="3" t="str">
        <f>IFERROR(__xludf.DUMMYFUNCTION("GOOGLETRANSLATE(A32995,""en"",""pt"")"),"Nenhum livro viva-voz, telefone não pode ser no cartão SIM, impressões digitais mostram, no Enviar botões / finais")</f>
        <v>Nenhum livro viva-voz, telefone não pode ser no cartão SIM, impressões digitais mostram, no Enviar botões / finais</v>
      </c>
      <c r="B32995" s="3">
        <v>0</v>
      </c>
    </row>
    <row r="32996" ht="15.75" customHeight="1" spans="1:2">
      <c r="A32996" s="3" t="str">
        <f>IFERROR(__xludf.DUMMYFUNCTION("GOOGLETRANSLATE(A32996,""en"",""pt"")"),"Pequenos botões, recursos avançados sob muitos menus, tela difícil de ler sob luz solar intensa.")</f>
        <v>Pequenos botões, recursos avançados sob muitos menus, tela difícil de ler sob luz solar intensa.</v>
      </c>
      <c r="B32996" s="3">
        <v>0</v>
      </c>
    </row>
    <row r="32997" ht="15.75" customHeight="1" spans="1:2">
      <c r="A32997" s="3" t="str">
        <f>IFERROR(__xludf.DUMMYFUNCTION("GOOGLETRANSLATE(A32997,""en"",""pt"")"),"Câmera tem utilidade limitada, botões pode ser pequena demais para alguns.")</f>
        <v>Câmera tem utilidade limitada, botões pode ser pequena demais para alguns.</v>
      </c>
      <c r="B32997" s="3">
        <v>0</v>
      </c>
    </row>
    <row r="32998" ht="15.75" customHeight="1" spans="1:2">
      <c r="A32998" s="3" t="str">
        <f>IFERROR(__xludf.DUMMYFUNCTION("GOOGLETRANSLATE(A32998,""en"",""pt"")"),"chaves pequenas")</f>
        <v>chaves pequenas</v>
      </c>
      <c r="B32998" s="3">
        <v>0</v>
      </c>
    </row>
    <row r="32999" ht="15.75" customHeight="1" spans="1:2">
      <c r="A32999" s="3" t="str">
        <f>IFERROR(__xludf.DUMMYFUNCTION("GOOGLETRANSLATE(A32999,""en"",""pt"")"),"toques -LOW !!")</f>
        <v>toques -LOW !!</v>
      </c>
      <c r="B32999" s="3">
        <v>0</v>
      </c>
    </row>
    <row r="33000" ht="15.75" customHeight="1" spans="1:2">
      <c r="A33000" s="3" t="str">
        <f>IFERROR(__xludf.DUMMYFUNCTION("GOOGLETRANSLATE(A33000,""en"",""pt"")"),"sistema de menu pode ser complicado de usar no momento ...")</f>
        <v>sistema de menu pode ser complicado de usar no momento ...</v>
      </c>
      <c r="B33000" s="3">
        <v>0</v>
      </c>
    </row>
    <row r="33001" ht="15.75" customHeight="1" spans="1:2">
      <c r="A33001" s="3" t="str">
        <f>IFERROR(__xludf.DUMMYFUNCTION("GOOGLETRANSLATE(A33001,""en"",""pt"")"),"os sons do anel não é alto o suficiente")</f>
        <v>os sons do anel não é alto o suficiente</v>
      </c>
      <c r="B33001" s="3">
        <v>0</v>
      </c>
    </row>
    <row r="33002" ht="15.75" customHeight="1" spans="1:2">
      <c r="A33002" s="3" t="str">
        <f>IFERROR(__xludf.DUMMYFUNCTION("GOOGLETRANSLATE(A33002,""en"",""pt"")"),"Sem protetor de tela, que eu acho que poderia se bater ao longo do tempo.")</f>
        <v>Sem protetor de tela, que eu acho que poderia se bater ao longo do tempo.</v>
      </c>
      <c r="B33002" s="3">
        <v>0</v>
      </c>
    </row>
    <row r="33003" ht="15.75" customHeight="1" spans="1:2">
      <c r="A33003" s="3" t="str">
        <f>IFERROR(__xludf.DUMMYFUNCTION("GOOGLETRANSLATE(A33003,""en"",""pt"")"),"falha do componente, menus esmagadora, a recepção do sinal.")</f>
        <v>falha do componente, menus esmagadora, a recepção do sinal.</v>
      </c>
      <c r="B33003" s="3">
        <v>0</v>
      </c>
    </row>
    <row r="33004" ht="15.75" customHeight="1" spans="1:2">
      <c r="A33004" s="3" t="str">
        <f>IFERROR(__xludf.DUMMYFUNCTION("GOOGLETRANSLATE(A33004,""en"",""pt"")"),"não viva-voz")</f>
        <v>não viva-voz</v>
      </c>
      <c r="B33004" s="3">
        <v>0</v>
      </c>
    </row>
    <row r="33005" ht="15.75" customHeight="1" spans="1:2">
      <c r="A33005" s="3" t="str">
        <f>IFERROR(__xludf.DUMMYFUNCTION("GOOGLETRANSLATE(A33005,""en"",""pt"")"),"Não é possível reproduzir arquivos .mp3")</f>
        <v>Não é possível reproduzir arquivos .mp3</v>
      </c>
      <c r="B33005" s="3">
        <v>0</v>
      </c>
    </row>
    <row r="33006" ht="15.75" customHeight="1" spans="1:2">
      <c r="A33006" s="3" t="str">
        <f>IFERROR(__xludf.DUMMYFUNCTION("GOOGLETRANSLATE(A33006,""en"",""pt"")"),"A recepção com ATT poderia ser melhor. Mas é bom o suficiente.")</f>
        <v>A recepção com ATT poderia ser melhor. Mas é bom o suficiente.</v>
      </c>
      <c r="B33006" s="3">
        <v>0</v>
      </c>
    </row>
    <row r="33007" ht="15.75" customHeight="1" spans="1:2">
      <c r="A33007" s="3" t="str">
        <f>IFERROR(__xludf.DUMMYFUNCTION("GOOGLETRANSLATE(A33007,""en"",""pt"")"),"Procurar outro lugar para jogos Java, toques polifónicos, ecrã a cores, câmeras, MMS ou organizadores pessoais.")</f>
        <v>Procurar outro lugar para jogos Java, toques polifónicos, ecrã a cores, câmeras, MMS ou organizadores pessoais.</v>
      </c>
      <c r="B33007" s="3">
        <v>0</v>
      </c>
    </row>
    <row r="33008" ht="15.75" customHeight="1" spans="1:2">
      <c r="A33008" s="3" t="str">
        <f>IFERROR(__xludf.DUMMYFUNCTION("GOOGLETRANSLATE(A33008,""en"",""pt"")"),"Preço, cores, PC cabo vendido separadamente,")</f>
        <v>Preço, cores, PC cabo vendido separadamente,</v>
      </c>
      <c r="B33008" s="3">
        <v>0</v>
      </c>
    </row>
    <row r="33009" ht="15.75" customHeight="1" spans="1:2">
      <c r="A33009" s="3" t="str">
        <f>IFERROR(__xludf.DUMMYFUNCTION("GOOGLETRANSLATE(A33009,""en"",""pt"")"),"Tela e teclas pequenas, dependendo do que você está acostumado a")</f>
        <v>Tela e teclas pequenas, dependendo do que você está acostumado a</v>
      </c>
      <c r="B33009" s="3">
        <v>0</v>
      </c>
    </row>
    <row r="33010" ht="15.75" customHeight="1" spans="1:2">
      <c r="A33010" s="3" t="str">
        <f>IFERROR(__xludf.DUMMYFUNCTION("GOOGLETRANSLATE(A33010,""en"",""pt"")"),"Antena é grande. fone de ouvido com fio está conectado na parte inferior do telefone.")</f>
        <v>Antena é grande. fone de ouvido com fio está conectado na parte inferior do telefone.</v>
      </c>
      <c r="B33010" s="3">
        <v>0</v>
      </c>
    </row>
    <row r="33011" ht="15.75" customHeight="1" spans="1:2">
      <c r="A33011" s="3" t="str">
        <f>IFERROR(__xludf.DUMMYFUNCTION("GOOGLETRANSLATE(A33011,""en"",""pt"")"),"A navegação pode levar algum tempo para se acostumar, há botões directos para controle de volume")</f>
        <v>A navegação pode levar algum tempo para se acostumar, há botões directos para controle de volume</v>
      </c>
      <c r="B33011" s="3">
        <v>0</v>
      </c>
    </row>
    <row r="33012" ht="15.75" customHeight="1" spans="1:2">
      <c r="A33012" s="3" t="str">
        <f>IFERROR(__xludf.DUMMYFUNCTION("GOOGLETRANSLATE(A33012,""en"",""pt"")"),"não incluem jogos")</f>
        <v>não incluem jogos</v>
      </c>
      <c r="B33012" s="3">
        <v>0</v>
      </c>
    </row>
    <row r="33013" ht="15.75" customHeight="1" spans="1:2">
      <c r="A33013" s="3" t="str">
        <f>IFERROR(__xludf.DUMMYFUNCTION("GOOGLETRANSLATE(A33013,""en"",""pt"")"),"Nenhum de nós")</f>
        <v>Nenhum de nós</v>
      </c>
      <c r="B33013" s="3">
        <v>0</v>
      </c>
    </row>
    <row r="33014" ht="15.75" customHeight="1" spans="1:2">
      <c r="A33014" s="3" t="str">
        <f>IFERROR(__xludf.DUMMYFUNCTION("GOOGLETRANSLATE(A33014,""en"",""pt"")"),"O tamanho pequeno restringe usabilidade; características Verizon mandatadas reduzir opções.")</f>
        <v>O tamanho pequeno restringe usabilidade; características Verizon mandatadas reduzir opções.</v>
      </c>
      <c r="B33014" s="3">
        <v>0</v>
      </c>
    </row>
    <row r="33015" ht="15.75" customHeight="1" spans="1:2">
      <c r="A33015" s="3" t="str">
        <f>IFERROR(__xludf.DUMMYFUNCTION("GOOGLETRANSLATE(A33015,""en"",""pt"")"),"eco, não posso dizer o tempo, se nenhuma recepção, mal opera no modo analógico")</f>
        <v>eco, não posso dizer o tempo, se nenhuma recepção, mal opera no modo analógico</v>
      </c>
      <c r="B33015" s="3">
        <v>0</v>
      </c>
    </row>
    <row r="33016" ht="15.75" customHeight="1" spans="1:2">
      <c r="A33016" s="3" t="str">
        <f>IFERROR(__xludf.DUMMYFUNCTION("GOOGLETRANSLATE(A33016,""en"",""pt"")"),"A vida da bateria, gama, tamanho da tela")</f>
        <v>A vida da bateria, gama, tamanho da tela</v>
      </c>
      <c r="B33016" s="3">
        <v>0</v>
      </c>
    </row>
    <row r="33017" ht="15.75" customHeight="1" spans="1:2">
      <c r="A33017" s="3" t="str">
        <f>IFERROR(__xludf.DUMMYFUNCTION("GOOGLETRANSLATE(A33017,""en"",""pt"")"),"pobre faixa entre torres, a vida da bateria pobre, pobre qualidade da chamada,")</f>
        <v>pobre faixa entre torres, a vida da bateria pobre, pobre qualidade da chamada,</v>
      </c>
      <c r="B33017" s="3">
        <v>0</v>
      </c>
    </row>
    <row r="33018" ht="15.75" customHeight="1" spans="1:2">
      <c r="A33018" s="3" t="str">
        <f>IFERROR(__xludf.DUMMYFUNCTION("GOOGLETRANSLATE(A33018,""en"",""pt"")"),"menus pobres, ringtones padrão de baixa qualidade, vida útil da bateria.")</f>
        <v>menus pobres, ringtones padrão de baixa qualidade, vida útil da bateria.</v>
      </c>
      <c r="B33018" s="3">
        <v>0</v>
      </c>
    </row>
    <row r="33019" ht="15.75" customHeight="1" spans="1:2">
      <c r="A33019" s="3" t="str">
        <f>IFERROR(__xludf.DUMMYFUNCTION("GOOGLETRANSLATE(A33019,""en"",""pt"")"),"pode ser difícil de ouvir os outros que estão usando certas marcas de célula opostas")</f>
        <v>pode ser difícil de ouvir os outros que estão usando certas marcas de célula opostas</v>
      </c>
      <c r="B33019" s="3">
        <v>0</v>
      </c>
    </row>
    <row r="33020" ht="15.75" customHeight="1" spans="1:2">
      <c r="A33020" s="3" t="str">
        <f>IFERROR(__xludf.DUMMYFUNCTION("GOOGLETRANSLATE(A33020,""en"",""pt"")"),"Não é possível obter toques legal, mensagens de texto ou gráficos frescos")</f>
        <v>Não é possível obter toques legal, mensagens de texto ou gráficos frescos</v>
      </c>
      <c r="B33020" s="3">
        <v>0</v>
      </c>
    </row>
    <row r="33021" ht="15.75" customHeight="1" spans="1:2">
      <c r="A33021" s="3" t="str">
        <f>IFERROR(__xludf.DUMMYFUNCTION("GOOGLETRANSLATE(A33021,""en"",""pt"")"),"Fica quente durante o uso pesado, design configuração campainha pobres.")</f>
        <v>Fica quente durante o uso pesado, design configuração campainha pobres.</v>
      </c>
      <c r="B33021" s="3">
        <v>0</v>
      </c>
    </row>
    <row r="33022" ht="15.75" customHeight="1" spans="1:2">
      <c r="A33022" s="3" t="str">
        <f>IFERROR(__xludf.DUMMYFUNCTION("GOOGLETRANSLATE(A33022,""en"",""pt"")"),"peça de substituição não está disponível para venda.")</f>
        <v>peça de substituição não está disponível para venda.</v>
      </c>
      <c r="B33022" s="3">
        <v>0</v>
      </c>
    </row>
    <row r="33023" ht="15.75" customHeight="1" spans="1:2">
      <c r="A33023" s="3" t="str">
        <f>IFERROR(__xludf.DUMMYFUNCTION("GOOGLETRANSLATE(A33023,""en"",""pt"")"),"Desconfortável para longas conversas, funcionalidade temperamental, tamanhos de chaves difíceis.")</f>
        <v>Desconfortável para longas conversas, funcionalidade temperamental, tamanhos de chaves difíceis.</v>
      </c>
      <c r="B33023" s="3">
        <v>0</v>
      </c>
    </row>
    <row r="33024" ht="15.75" customHeight="1" spans="1:2">
      <c r="A33024" s="3" t="str">
        <f>IFERROR(__xludf.DUMMYFUNCTION("GOOGLETRANSLATE(A33024,""en"",""pt"")"),"Terrível recepção, bugs de software")</f>
        <v>Terrível recepção, bugs de software</v>
      </c>
      <c r="B33024" s="3">
        <v>0</v>
      </c>
    </row>
    <row r="33025" ht="15.75" customHeight="1" spans="1:2">
      <c r="A33025" s="3" t="str">
        <f>IFERROR(__xludf.DUMMYFUNCTION("GOOGLETRANSLATE(A33025,""en"",""pt"")"),"O preço de US $ 179!")</f>
        <v>O preço de US $ 179!</v>
      </c>
      <c r="B33025" s="3">
        <v>0</v>
      </c>
    </row>
    <row r="33026" ht="15.75" customHeight="1" spans="1:2">
      <c r="A33026" s="3" t="str">
        <f>IFERROR(__xludf.DUMMYFUNCTION("GOOGLETRANSLATE(A33026,""en"",""pt"")"),"Tela muito escura durante o modo de sono,")</f>
        <v>Tela muito escura durante o modo de sono,</v>
      </c>
      <c r="B33026" s="3">
        <v>0</v>
      </c>
    </row>
    <row r="33027" ht="15.75" customHeight="1" spans="1:2">
      <c r="A33027" s="3" t="str">
        <f>IFERROR(__xludf.DUMMYFUNCTION("GOOGLETRANSLATE(A33027,""en"",""pt"")"),"Antena é enorme - quase tão longo quanto o telefone quando totalmente estendido.")</f>
        <v>Antena é enorme - quase tão longo quanto o telefone quando totalmente estendido.</v>
      </c>
      <c r="B33027" s="3">
        <v>0</v>
      </c>
    </row>
    <row r="33028" ht="15.75" customHeight="1" spans="1:2">
      <c r="A33028" s="3" t="str">
        <f>IFERROR(__xludf.DUMMYFUNCTION("GOOGLETRANSLATE(A33028,""en"",""pt"")"),"tamanho grande, de plástico tela fraco.")</f>
        <v>tamanho grande, de plástico tela fraco.</v>
      </c>
      <c r="B33028" s="3">
        <v>0</v>
      </c>
    </row>
    <row r="33029" ht="15.75" customHeight="1" spans="1:2">
      <c r="A33029" s="3" t="str">
        <f>IFERROR(__xludf.DUMMYFUNCTION("GOOGLETRANSLATE(A33029,""en"",""pt"")"),"Nada até agora")</f>
        <v>Nada até agora</v>
      </c>
      <c r="B33029" s="3">
        <v>0</v>
      </c>
    </row>
    <row r="33030" ht="15.75" customHeight="1" spans="1:2">
      <c r="A33030" s="3" t="str">
        <f>IFERROR(__xludf.DUMMYFUNCTION("GOOGLETRANSLATE(A33030,""en"",""pt"")"),"Um pouco volumoso")</f>
        <v>Um pouco volumoso</v>
      </c>
      <c r="B33030" s="3">
        <v>0</v>
      </c>
    </row>
    <row r="33031" ht="15.75" customHeight="1" spans="1:2">
      <c r="A33031" s="3" t="str">
        <f>IFERROR(__xludf.DUMMYFUNCTION("GOOGLETRANSLATE(A33031,""en"",""pt"")"),"Fone de ouvido é a única reclamação")</f>
        <v>Fone de ouvido é a única reclamação</v>
      </c>
      <c r="B33031" s="3">
        <v>0</v>
      </c>
    </row>
    <row r="33032" ht="15.75" customHeight="1" spans="1:2">
      <c r="A33032" s="3" t="str">
        <f>IFERROR(__xludf.DUMMYFUNCTION("GOOGLETRANSLATE(A33032,""en"",""pt"")"),"Má recepção, facilmente danificadas, volumosos, pesados")</f>
        <v>Má recepção, facilmente danificadas, volumosos, pesados</v>
      </c>
      <c r="B33032" s="3">
        <v>0</v>
      </c>
    </row>
    <row r="33033" ht="15.75" customHeight="1" spans="1:2">
      <c r="A33033" s="3" t="str">
        <f>IFERROR(__xludf.DUMMYFUNCTION("GOOGLETRANSLATE(A33033,""en"",""pt"")"),"Grande demais para alguns?")</f>
        <v>Grande demais para alguns?</v>
      </c>
      <c r="B33033" s="3">
        <v>0</v>
      </c>
    </row>
    <row r="33034" ht="15.75" customHeight="1" spans="1:2">
      <c r="A33034" s="3" t="str">
        <f>IFERROR(__xludf.DUMMYFUNCTION("GOOGLETRANSLATE(A33034,""en"",""pt"")"),"Lotes de botões, as quebras de bateria sem se cair, web navagation estranho")</f>
        <v>Lotes de botões, as quebras de bateria sem se cair, web navagation estranho</v>
      </c>
      <c r="B33034" s="3">
        <v>0</v>
      </c>
    </row>
    <row r="33035" ht="15.75" customHeight="1" spans="1:2">
      <c r="A33035" s="3" t="str">
        <f>IFERROR(__xludf.DUMMYFUNCTION("GOOGLETRANSLATE(A33035,""en"",""pt"")"),"Um pouco maior do que alguns telefones não-aleta; um pouco mais start-up tempo.")</f>
        <v>Um pouco maior do que alguns telefones não-aleta; um pouco mais start-up tempo.</v>
      </c>
      <c r="B33035" s="3">
        <v>0</v>
      </c>
    </row>
    <row r="33036" ht="15.75" customHeight="1" spans="1:2">
      <c r="A33036" s="3" t="str">
        <f>IFERROR(__xludf.DUMMYFUNCTION("GOOGLETRANSLATE(A33036,""en"",""pt"")"),"cor da tela é limitado, o conteúdo visão está faltando")</f>
        <v>cor da tela é limitado, o conteúdo visão está faltando</v>
      </c>
      <c r="B33036" s="3">
        <v>0</v>
      </c>
    </row>
    <row r="33037" ht="15.75" customHeight="1" spans="1:2">
      <c r="A33037" s="3" t="str">
        <f>IFERROR(__xludf.DUMMYFUNCTION("GOOGLETRANSLATE(A33037,""en"",""pt"")"),"um pouco volumoso, um pouco caro se você obtê-lo-preço total, os downloads não são todos gratuitos")</f>
        <v>um pouco volumoso, um pouco caro se você obtê-lo-preço total, os downloads não são todos gratuitos</v>
      </c>
      <c r="B33037" s="3">
        <v>0</v>
      </c>
    </row>
    <row r="33038" ht="15.75" customHeight="1" spans="1:2">
      <c r="A33038" s="3" t="str">
        <f>IFERROR(__xludf.DUMMYFUNCTION("GOOGLETRANSLATE(A33038,""en"",""pt"")"),"Leva um pouco de tempo para se acostumar - &amp; gt; Mas não todos os telefones?")</f>
        <v>Leva um pouco de tempo para se acostumar - &amp; gt; Mas não todos os telefones?</v>
      </c>
      <c r="B33038" s="3">
        <v>0</v>
      </c>
    </row>
    <row r="33039" ht="15.75" customHeight="1" spans="1:2">
      <c r="A33039" s="3" t="str">
        <f>IFERROR(__xludf.DUMMYFUNCTION("GOOGLETRANSLATE(A33039,""en"",""pt"")"),"Botão on / off, viva-voz mic funciona mal")</f>
        <v>Botão on / off, viva-voz mic funciona mal</v>
      </c>
      <c r="B33039" s="3">
        <v>0</v>
      </c>
    </row>
    <row r="33040" ht="15.75" customHeight="1" spans="1:2">
      <c r="A33040" s="3" t="str">
        <f>IFERROR(__xludf.DUMMYFUNCTION("GOOGLETRANSLATE(A33040,""en"",""pt"")"),"A smidge grande, backlighting botão ligeiramente irregular, menus não tão liso quanto Samsung")</f>
        <v>A smidge grande, backlighting botão ligeiramente irregular, menus não tão liso quanto Samsung</v>
      </c>
      <c r="B33040" s="3">
        <v>0</v>
      </c>
    </row>
    <row r="33041" ht="15.75" customHeight="1" spans="1:2">
      <c r="A33041" s="3" t="str">
        <f>IFERROR(__xludf.DUMMYFUNCTION("GOOGLETRANSLATE(A33041,""en"",""pt"")"),"nenhum ainda")</f>
        <v>nenhum ainda</v>
      </c>
      <c r="B33041" s="3">
        <v>0</v>
      </c>
    </row>
    <row r="33042" ht="15.75" customHeight="1" spans="1:2">
      <c r="A33042" s="3" t="str">
        <f>IFERROR(__xludf.DUMMYFUNCTION("GOOGLETRANSLATE(A33042,""en"",""pt"")"),"bateria cai para fora quando caiu, downloads de custar $$ e expiram")</f>
        <v>bateria cai para fora quando caiu, downloads de custar $$ e expiram</v>
      </c>
      <c r="B33042" s="3">
        <v>0</v>
      </c>
    </row>
    <row r="33043" ht="15.75" customHeight="1" spans="1:2">
      <c r="A33043" s="3" t="str">
        <f>IFERROR(__xludf.DUMMYFUNCTION("GOOGLETRANSLATE(A33043,""en"",""pt"")"),"Colocação de viva-voz e controle de volume botões são difíceis; função viva-voz precisa ser melhorado.")</f>
        <v>Colocação de viva-voz e controle de volume botões são difíceis; função viva-voz precisa ser melhorado.</v>
      </c>
      <c r="B33043" s="3">
        <v>0</v>
      </c>
    </row>
    <row r="33044" ht="15.75" customHeight="1" spans="1:2">
      <c r="A33044" s="3" t="str">
        <f>IFERROR(__xludf.DUMMYFUNCTION("GOOGLETRANSLATE(A33044,""en"",""pt"")"),"volumosos Tamanho")</f>
        <v>volumosos Tamanho</v>
      </c>
      <c r="B33044" s="3">
        <v>0</v>
      </c>
    </row>
    <row r="33045" ht="15.75" customHeight="1" spans="1:2">
      <c r="A33045" s="3" t="str">
        <f>IFERROR(__xludf.DUMMYFUNCTION("GOOGLETRANSLATE(A33045,""en"",""pt"")"),"tempo limitado para downloads e atendimento ao cliente Sprint")</f>
        <v>tempo limitado para downloads e atendimento ao cliente Sprint</v>
      </c>
      <c r="B33045" s="3">
        <v>0</v>
      </c>
    </row>
    <row r="33046" ht="15.75" customHeight="1" spans="1:2">
      <c r="A33046" s="3" t="str">
        <f>IFERROR(__xludf.DUMMYFUNCTION("GOOGLETRANSLATE(A33046,""en"",""pt"")"),"colocação de clipe, botões de comprimento, iluminadas")</f>
        <v>colocação de clipe, botões de comprimento, iluminadas</v>
      </c>
      <c r="B33046" s="3">
        <v>0</v>
      </c>
    </row>
    <row r="33047" ht="15.75" customHeight="1" spans="1:2">
      <c r="A33047" s="3" t="str">
        <f>IFERROR(__xludf.DUMMYFUNCTION("GOOGLETRANSLATE(A33047,""en"",""pt"")"),"Vida útil da bateria ao navegar, volumoso")</f>
        <v>Vida útil da bateria ao navegar, volumoso</v>
      </c>
      <c r="B33047" s="3">
        <v>0</v>
      </c>
    </row>
    <row r="33048" ht="15.75" customHeight="1" spans="1:2">
      <c r="A33048" s="3" t="str">
        <f>IFERROR(__xludf.DUMMYFUNCTION("GOOGLETRANSLATE(A33048,""en"",""pt"")"),"Downloads custar US $ e são licenciados apenas para 90 dias; qualidade de recepção variável")</f>
        <v>Downloads custar US $ e são licenciados apenas para 90 dias; qualidade de recepção variável</v>
      </c>
      <c r="B33048" s="3">
        <v>0</v>
      </c>
    </row>
    <row r="33049" ht="15.75" customHeight="1" spans="1:2">
      <c r="A33049" s="3" t="str">
        <f>IFERROR(__xludf.DUMMYFUNCTION("GOOGLETRANSLATE(A33049,""en"",""pt"")"),"bastante volumoso")</f>
        <v>bastante volumoso</v>
      </c>
      <c r="B33049" s="3">
        <v>0</v>
      </c>
    </row>
    <row r="33050" ht="15.75" customHeight="1" spans="1:2">
      <c r="A33050" s="3" t="str">
        <f>IFERROR(__xludf.DUMMYFUNCTION("GOOGLETRANSLATE(A33050,""en"",""pt"")"),"um lil unwieldly eo teclado do telefone se aquece-se!")</f>
        <v>um lil unwieldly eo teclado do telefone se aquece-se!</v>
      </c>
      <c r="B33050" s="3">
        <v>0</v>
      </c>
    </row>
    <row r="33051" ht="15.75" customHeight="1" spans="1:2">
      <c r="A33051" s="3" t="str">
        <f>IFERROR(__xludf.DUMMYFUNCTION("GOOGLETRANSLATE(A33051,""en"",""pt"")"),"Nenhum")</f>
        <v>Nenhum</v>
      </c>
      <c r="B33051" s="3">
        <v>0</v>
      </c>
    </row>
    <row r="33052" ht="15.75" customHeight="1" spans="1:2">
      <c r="A33052" s="3" t="str">
        <f>IFERROR(__xludf.DUMMYFUNCTION("GOOGLETRANSLATE(A33052,""en"",""pt"")"),"1) Não em torno de telefone mais bonito")</f>
        <v>1) Não em torno de telefone mais bonito</v>
      </c>
      <c r="B33052" s="3">
        <v>0</v>
      </c>
    </row>
    <row r="33053" ht="15.75" customHeight="1" spans="1:2">
      <c r="A33053" s="3" t="str">
        <f>IFERROR(__xludf.DUMMYFUNCTION("GOOGLETRANSLATE(A33053,""en"",""pt"")"),"Tamanho - mas é fácil de se acostumar com")</f>
        <v>Tamanho - mas é fácil de se acostumar com</v>
      </c>
      <c r="B33053" s="3">
        <v>0</v>
      </c>
    </row>
    <row r="33054" ht="15.75" customHeight="1" spans="1:2">
      <c r="A33054" s="3" t="str">
        <f>IFERROR(__xludf.DUMMYFUNCTION("GOOGLETRANSLATE(A33054,""en"",""pt"")"),"Interface horrível")</f>
        <v>Interface horrível</v>
      </c>
      <c r="B33054" s="3">
        <v>0</v>
      </c>
    </row>
    <row r="33055" ht="15.75" customHeight="1" spans="1:2">
      <c r="A33055" s="3" t="str">
        <f>IFERROR(__xludf.DUMMYFUNCTION("GOOGLETRANSLATE(A33055,""en"",""pt"")"),"Sites de Internet limitado! Não é um flip!")</f>
        <v>Sites de Internet limitado! Não é um flip!</v>
      </c>
      <c r="B33055" s="3">
        <v>0</v>
      </c>
    </row>
    <row r="33056" ht="15.75" customHeight="1" spans="1:2">
      <c r="A33056" s="3" t="str">
        <f>IFERROR(__xludf.DUMMYFUNCTION("GOOGLETRANSLATE(A33056,""en"",""pt"")"),"Sprint PCS carregamento para baixar quase qualquer coisa por um tempo limitado")</f>
        <v>Sprint PCS carregamento para baixar quase qualquer coisa por um tempo limitado</v>
      </c>
      <c r="B33056" s="3">
        <v>0</v>
      </c>
    </row>
    <row r="33057" ht="15.75" customHeight="1" spans="1:2">
      <c r="A33057" s="3" t="str">
        <f>IFERROR(__xludf.DUMMYFUNCTION("GOOGLETRANSLATE(A33057,""en"",""pt"")"),"liga e desliga de forma aleatória, ou mina faz de qualquer maneira.")</f>
        <v>liga e desliga de forma aleatória, ou mina faz de qualquer maneira.</v>
      </c>
      <c r="B33057" s="3">
        <v>0</v>
      </c>
    </row>
    <row r="33058" ht="15.75" customHeight="1" spans="1:2">
      <c r="A33058" s="3" t="str">
        <f>IFERROR(__xludf.DUMMYFUNCTION("GOOGLETRANSLATE(A33058,""en"",""pt"")"),"lenta a navegação WAP web no telefone")</f>
        <v>lenta a navegação WAP web no telefone</v>
      </c>
      <c r="B33058" s="3">
        <v>0</v>
      </c>
    </row>
    <row r="33059" ht="15.75" customHeight="1" spans="1:2">
      <c r="A33059" s="3" t="str">
        <f>IFERROR(__xludf.DUMMYFUNCTION("GOOGLETRANSLATE(A33059,""en"",""pt"")"),"Durabilidade, qualidade de som")</f>
        <v>Durabilidade, qualidade de som</v>
      </c>
      <c r="B33059" s="3">
        <v>0</v>
      </c>
    </row>
    <row r="33060" ht="15.75" customHeight="1" spans="1:2">
      <c r="A33060" s="3" t="str">
        <f>IFERROR(__xludf.DUMMYFUNCTION("GOOGLETRANSLATE(A33060,""en"",""pt"")"),"caso de telefone Sprint abre por si só")</f>
        <v>caso de telefone Sprint abre por si só</v>
      </c>
      <c r="B33060" s="3">
        <v>0</v>
      </c>
    </row>
    <row r="33061" ht="15.75" customHeight="1" spans="1:2">
      <c r="A33061" s="3" t="str">
        <f>IFERROR(__xludf.DUMMYFUNCTION("GOOGLETRANSLATE(A33061,""en"",""pt"")"),"Maior do que flip telefone, fone de ouvido")</f>
        <v>Maior do que flip telefone, fone de ouvido</v>
      </c>
      <c r="B33061" s="3">
        <v>0</v>
      </c>
    </row>
    <row r="33062" ht="15.75" customHeight="1" spans="1:2">
      <c r="A33062" s="3" t="str">
        <f>IFERROR(__xludf.DUMMYFUNCTION("GOOGLETRANSLATE(A33062,""en"",""pt"")"),"Não é o mais elegante. Não tem uma câmera embutida.")</f>
        <v>Não é o mais elegante. Não tem uma câmera embutida.</v>
      </c>
      <c r="B33062" s="3">
        <v>0</v>
      </c>
    </row>
    <row r="33063" ht="15.75" customHeight="1" spans="1:2">
      <c r="A33063" s="3" t="str">
        <f>IFERROR(__xludf.DUMMYFUNCTION("GOOGLETRANSLATE(A33063,""en"",""pt"")"),"Nenhuma câmera, serviço de internet é lenta")</f>
        <v>Nenhuma câmera, serviço de internet é lenta</v>
      </c>
      <c r="B33063" s="3">
        <v>0</v>
      </c>
    </row>
    <row r="33064" ht="15.75" customHeight="1" spans="1:2">
      <c r="A33064" s="3" t="str">
        <f>IFERROR(__xludf.DUMMYFUNCTION("GOOGLETRANSLATE(A33064,""en"",""pt"")"),"embota acabamento e arranhões facilmente, bateria saia facilmente")</f>
        <v>embota acabamento e arranhões facilmente, bateria saia facilmente</v>
      </c>
      <c r="B33064" s="3">
        <v>0</v>
      </c>
    </row>
    <row r="33065" ht="15.75" customHeight="1" spans="1:2">
      <c r="A33065" s="3" t="str">
        <f>IFERROR(__xludf.DUMMYFUNCTION("GOOGLETRANSLATE(A33065,""en"",""pt"")"),"alças menos cores do que os telefones com câmera mais recentes mais lentas processador e tela colorida")</f>
        <v>alças menos cores do que os telefones com câmera mais recentes mais lentas processador e tela colorida</v>
      </c>
      <c r="B33065" s="3">
        <v>0</v>
      </c>
    </row>
    <row r="33066" ht="15.75" customHeight="1" spans="1:2">
      <c r="A33066" s="3" t="str">
        <f>IFERROR(__xludf.DUMMYFUNCTION("GOOGLETRANSLATE(A33066,""en"",""pt"")"),"Preço um pouco elevado em US $ 299 ... mas, é o melhor celular que já tive.")</f>
        <v>Preço um pouco elevado em US $ 299 ... mas, é o melhor celular que já tive.</v>
      </c>
      <c r="B33066" s="3">
        <v>0</v>
      </c>
    </row>
    <row r="33067" ht="15.75" customHeight="1" spans="1:2">
      <c r="A33067" s="3" t="str">
        <f>IFERROR(__xludf.DUMMYFUNCTION("GOOGLETRANSLATE(A33067,""en"",""pt"")"),"Tela poderia ser mais brilhante.")</f>
        <v>Tela poderia ser mais brilhante.</v>
      </c>
      <c r="B33067" s="3">
        <v>0</v>
      </c>
    </row>
    <row r="33068" ht="15.75" customHeight="1" spans="1:2">
      <c r="A33068" s="3" t="str">
        <f>IFERROR(__xludf.DUMMYFUNCTION("GOOGLETRANSLATE(A33068,""en"",""pt"")"),"bastante volumoso, chaves fortes, a velocidade de Internet lenta")</f>
        <v>bastante volumoso, chaves fortes, a velocidade de Internet lenta</v>
      </c>
      <c r="B33068" s="3">
        <v>0</v>
      </c>
    </row>
    <row r="33069" ht="15.75" customHeight="1" spans="1:2">
      <c r="A33069" s="3" t="str">
        <f>IFERROR(__xludf.DUMMYFUNCTION("GOOGLETRANSLATE(A33069,""en"",""pt"")"),"Fraco desempenho da bateria, não Bluetooth.")</f>
        <v>Fraco desempenho da bateria, não Bluetooth.</v>
      </c>
      <c r="B33069" s="3">
        <v>0</v>
      </c>
    </row>
    <row r="33070" ht="15.75" customHeight="1" spans="1:2">
      <c r="A33070" s="3" t="str">
        <f>IFERROR(__xludf.DUMMYFUNCTION("GOOGLETRANSLATE(A33070,""en"",""pt"")"),"Grande em comparação com outros telefones de marca, vida útil da bateria, caros.")</f>
        <v>Grande em comparação com outros telefones de marca, vida útil da bateria, caros.</v>
      </c>
      <c r="B33070" s="3">
        <v>0</v>
      </c>
    </row>
    <row r="33071" ht="15.75" customHeight="1" spans="1:2">
      <c r="A33071" s="3" t="str">
        <f>IFERROR(__xludf.DUMMYFUNCTION("GOOGLETRANSLATE(A33071,""en"",""pt"")"),"Congela-se, reinicia e desliga por si só (ou requer uma reinicialização e desligamento)")</f>
        <v>Congela-se, reinicia e desliga por si só (ou requer uma reinicialização e desligamento)</v>
      </c>
      <c r="B33071" s="3">
        <v>0</v>
      </c>
    </row>
    <row r="33072" ht="15.75" customHeight="1" spans="1:2">
      <c r="A33072" s="3" t="str">
        <f>IFERROR(__xludf.DUMMYFUNCTION("GOOGLETRANSLATE(A33072,""en"",""pt"")"),"Não existe a possibilidade de opções de faceplate personalizado e acessórios limitados.")</f>
        <v>Não existe a possibilidade de opções de faceplate personalizado e acessórios limitados.</v>
      </c>
      <c r="B33072" s="3">
        <v>0</v>
      </c>
    </row>
    <row r="33073" ht="15.75" customHeight="1" spans="1:2">
      <c r="A33073" s="3" t="str">
        <f>IFERROR(__xludf.DUMMYFUNCTION("GOOGLETRANSLATE(A33073,""en"",""pt"")"),"No processador de texto integrado, nenhum Bluetooth, carrinho de Nokia O / S")</f>
        <v>No processador de texto integrado, nenhum Bluetooth, carrinho de Nokia O / S</v>
      </c>
      <c r="B33073" s="3">
        <v>0</v>
      </c>
    </row>
    <row r="33074" ht="15.75" customHeight="1" spans="1:2">
      <c r="A33074" s="3" t="str">
        <f>IFERROR(__xludf.DUMMYFUNCTION("GOOGLETRANSLATE(A33074,""en"",""pt"")"),"Não muitos accessaries disponíveis, dependentes de serviços prestados por serviços sem fio, atraente para os ladrões.")</f>
        <v>Não muitos accessaries disponíveis, dependentes de serviços prestados por serviços sem fio, atraente para os ladrões.</v>
      </c>
      <c r="B33074" s="3">
        <v>0</v>
      </c>
    </row>
    <row r="33075" ht="15.75" customHeight="1" spans="1:2">
      <c r="A33075" s="3" t="str">
        <f>IFERROR(__xludf.DUMMYFUNCTION("GOOGLETRANSLATE(A33075,""en"",""pt"")"),"caro")</f>
        <v>caro</v>
      </c>
      <c r="B33075" s="3">
        <v>0</v>
      </c>
    </row>
    <row r="33076" ht="15.75" customHeight="1" spans="1:2">
      <c r="A33076" s="3" t="str">
        <f>IFERROR(__xludf.DUMMYFUNCTION("GOOGLETRANSLATE(A33076,""en"",""pt"")"),"Não para trás compatível com fones de ouvido, tempo de resposta um pouco lento em opções de menu (GSM relacionado)")</f>
        <v>Não para trás compatível com fones de ouvido, tempo de resposta um pouco lento em opções de menu (GSM relacionado)</v>
      </c>
      <c r="B33076" s="3">
        <v>0</v>
      </c>
    </row>
    <row r="33077" ht="15.75" customHeight="1" spans="1:2">
      <c r="A33077" s="3" t="str">
        <f>IFERROR(__xludf.DUMMYFUNCTION("GOOGLETRANSLATE(A33077,""en"",""pt"")"),"Demora um tempo para aprender, ecrã pequeno, operação lenta")</f>
        <v>Demora um tempo para aprender, ecrã pequeno, operação lenta</v>
      </c>
      <c r="B33077" s="3">
        <v>0</v>
      </c>
    </row>
    <row r="33078" ht="15.75" customHeight="1" spans="1:2">
      <c r="A33078" s="3" t="str">
        <f>IFERROR(__xludf.DUMMYFUNCTION("GOOGLETRANSLATE(A33078,""en"",""pt"")"),"Não tem a câmera digital e Bluetooth")</f>
        <v>Não tem a câmera digital e Bluetooth</v>
      </c>
      <c r="B33078" s="3">
        <v>0</v>
      </c>
    </row>
    <row r="33079" ht="15.75" customHeight="1" spans="1:2">
      <c r="A33079" s="3" t="str">
        <f>IFERROR(__xludf.DUMMYFUNCTION("GOOGLETRANSLATE(A33079,""en"",""pt"")"),"A tela pode ser riscado e nenhum caso de carga foi projetado.")</f>
        <v>A tela pode ser riscado e nenhum caso de carga foi projetado.</v>
      </c>
      <c r="B33079" s="3">
        <v>0</v>
      </c>
    </row>
    <row r="33080" ht="15.75" customHeight="1" spans="1:2">
      <c r="A33080" s="3" t="str">
        <f>IFERROR(__xludf.DUMMYFUNCTION("GOOGLETRANSLATE(A33080,""en"",""pt"")"),"sistema de navegação não é grande (poderia ser verdadeiro de todos os telefones, eu não sei)")</f>
        <v>sistema de navegação não é grande (poderia ser verdadeiro de todos os telefones, eu não sei)</v>
      </c>
      <c r="B33080" s="3">
        <v>0</v>
      </c>
    </row>
    <row r="33081" ht="15.75" customHeight="1" spans="1:2">
      <c r="A33081" s="3" t="str">
        <f>IFERROR(__xludf.DUMMYFUNCTION("GOOGLETRANSLATE(A33081,""en"",""pt"")"),"recepção")</f>
        <v>recepção</v>
      </c>
      <c r="B33081" s="3">
        <v>0</v>
      </c>
    </row>
    <row r="33082" ht="15.75" customHeight="1" spans="1:2">
      <c r="A33082" s="3" t="str">
        <f>IFERROR(__xludf.DUMMYFUNCTION("GOOGLETRANSLATE(A33082,""en"",""pt"")"),"soo novos que aplicativos. e os acessórios são raros.")</f>
        <v>soo novos que aplicativos. e os acessórios são raros.</v>
      </c>
      <c r="B33082" s="3">
        <v>0</v>
      </c>
    </row>
    <row r="33083" ht="15.75" customHeight="1" spans="1:2">
      <c r="A33083" s="3" t="str">
        <f>IFERROR(__xludf.DUMMYFUNCTION("GOOGLETRANSLATE(A33083,""en"",""pt"")"),"É um enorme telefone, mas ele tem um teclado desdobrável. Não é possível usar fone de ouvido padrão.")</f>
        <v>É um enorme telefone, mas ele tem um teclado desdobrável. Não é possível usar fone de ouvido padrão.</v>
      </c>
      <c r="B33083" s="3">
        <v>0</v>
      </c>
    </row>
    <row r="33084" ht="15.75" customHeight="1" spans="1:2">
      <c r="A33084" s="3" t="str">
        <f>IFERROR(__xludf.DUMMYFUNCTION("GOOGLETRANSLATE(A33084,""en"",""pt"")"),"Ligeiramente grande, curta duração da bateria para um Nokia, fone de ouvido, localização botão de energia")</f>
        <v>Ligeiramente grande, curta duração da bateria para um Nokia, fone de ouvido, localização botão de energia</v>
      </c>
      <c r="B33084" s="3">
        <v>0</v>
      </c>
    </row>
    <row r="33085" ht="15.75" customHeight="1" spans="1:2">
      <c r="A33085" s="3" t="str">
        <f>IFERROR(__xludf.DUMMYFUNCTION("GOOGLETRANSLATE(A33085,""en"",""pt"")"),"Pouco maior do que o esperado.")</f>
        <v>Pouco maior do que o esperado.</v>
      </c>
      <c r="B33085" s="3">
        <v>0</v>
      </c>
    </row>
    <row r="33086" ht="15.75" customHeight="1" spans="1:2">
      <c r="A33086" s="3" t="str">
        <f>IFERROR(__xludf.DUMMYFUNCTION("GOOGLETRANSLATE(A33086,""en"",""pt"")"),"Mantém quebrar! nível alto-falante baixo, também.")</f>
        <v>Mantém quebrar! nível alto-falante baixo, também.</v>
      </c>
      <c r="B33086" s="3">
        <v>0</v>
      </c>
    </row>
    <row r="33087" ht="15.75" customHeight="1" spans="1:2">
      <c r="A33087" s="3" t="str">
        <f>IFERROR(__xludf.DUMMYFUNCTION("GOOGLETRANSLATE(A33087,""en"",""pt"")"),"tela, capacidades polifônicos, pintura no telefone não é muito aderente, tamanho")</f>
        <v>tela, capacidades polifônicos, pintura no telefone não é muito aderente, tamanho</v>
      </c>
      <c r="B33087" s="3">
        <v>0</v>
      </c>
    </row>
    <row r="33088" ht="15.75" customHeight="1" spans="1:2">
      <c r="A33088" s="3" t="str">
        <f>IFERROR(__xludf.DUMMYFUNCTION("GOOGLETRANSLATE(A33088,""en"",""pt"")"),"média de vida da bateria,")</f>
        <v>média de vida da bateria,</v>
      </c>
      <c r="B33088" s="3">
        <v>0</v>
      </c>
    </row>
    <row r="33089" ht="15.75" customHeight="1" spans="1:2">
      <c r="A33089" s="3" t="str">
        <f>IFERROR(__xludf.DUMMYFUNCTION("GOOGLETRANSLATE(A33089,""en"",""pt"")"),"Sem BORDA")</f>
        <v>Sem BORDA</v>
      </c>
      <c r="B33089" s="3">
        <v>0</v>
      </c>
    </row>
    <row r="33090" ht="15.75" customHeight="1" spans="1:2">
      <c r="A33090" s="3" t="str">
        <f>IFERROR(__xludf.DUMMYFUNCTION("GOOGLETRANSLATE(A33090,""en"",""pt"")"),"A bateria não dura tanto tempo quanto os outros.")</f>
        <v>A bateria não dura tanto tempo quanto os outros.</v>
      </c>
      <c r="B33090" s="3">
        <v>0</v>
      </c>
    </row>
    <row r="33091" ht="15.75" customHeight="1" spans="1:2">
      <c r="A33091" s="3" t="str">
        <f>IFERROR(__xludf.DUMMYFUNCTION("GOOGLETRANSLATE(A33091,""en"",""pt"")"),"tamanho, mas tem um teclado - nenhum realmente.")</f>
        <v>tamanho, mas tem um teclado - nenhum realmente.</v>
      </c>
      <c r="B33091" s="3">
        <v>0</v>
      </c>
    </row>
    <row r="33092" ht="15.75" customHeight="1" spans="1:2">
      <c r="A33092" s="3" t="str">
        <f>IFERROR(__xludf.DUMMYFUNCTION("GOOGLETRANSLATE(A33092,""en"",""pt"")"),"teclado pequeno, integridade estrutural pobre")</f>
        <v>teclado pequeno, integridade estrutural pobre</v>
      </c>
      <c r="B33092" s="3">
        <v>0</v>
      </c>
    </row>
    <row r="33093" ht="15.75" customHeight="1" spans="1:2">
      <c r="A33093" s="3" t="str">
        <f>IFERROR(__xludf.DUMMYFUNCTION("GOOGLETRANSLATE(A33093,""en"",""pt"")"),"Um pouco grande.")</f>
        <v>Um pouco grande.</v>
      </c>
      <c r="B33093" s="3">
        <v>0</v>
      </c>
    </row>
    <row r="33094" ht="15.75" customHeight="1" spans="1:2">
      <c r="A33094" s="3" t="str">
        <f>IFERROR(__xludf.DUMMYFUNCTION("GOOGLETRANSLATE(A33094,""en"",""pt"")"),"não Bluetooth")</f>
        <v>não Bluetooth</v>
      </c>
      <c r="B33094" s="3">
        <v>0</v>
      </c>
    </row>
    <row r="33095" ht="15.75" customHeight="1" spans="1:2">
      <c r="A33095" s="3" t="str">
        <f>IFERROR(__xludf.DUMMYFUNCTION("GOOGLETRANSLATE(A33095,""en"",""pt"")"),"tamanho e aparência do telefone, muitos recursos pode confundir os tipos não-techie")</f>
        <v>tamanho e aparência do telefone, muitos recursos pode confundir os tipos não-techie</v>
      </c>
      <c r="B33095" s="3">
        <v>0</v>
      </c>
    </row>
    <row r="33096" ht="15.75" customHeight="1" spans="1:2">
      <c r="A33096" s="3" t="str">
        <f>IFERROR(__xludf.DUMMYFUNCTION("GOOGLETRANSLATE(A33096,""en"",""pt"")"),"Falta de acessórios disponíveis")</f>
        <v>Falta de acessórios disponíveis</v>
      </c>
      <c r="B33096" s="3">
        <v>0</v>
      </c>
    </row>
    <row r="33097" ht="15.75" customHeight="1" spans="1:2">
      <c r="A33097" s="3" t="str">
        <f>IFERROR(__xludf.DUMMYFUNCTION("GOOGLETRANSLATE(A33097,""en"",""pt"")"),"maior do que a maioria, pesados ​​.... é sobre ele")</f>
        <v>maior do que a maioria, pesados ​​.... é sobre ele</v>
      </c>
      <c r="B33097" s="3">
        <v>0</v>
      </c>
    </row>
    <row r="33098" ht="15.75" customHeight="1" spans="1:2">
      <c r="A33098" s="3" t="str">
        <f>IFERROR(__xludf.DUMMYFUNCTION("GOOGLETRANSLATE(A33098,""en"",""pt"")"),"Buggy OS, pintura exterior é lascar, e-mail é uma dor para começar a trabalhar")</f>
        <v>Buggy OS, pintura exterior é lascar, e-mail é uma dor para começar a trabalhar</v>
      </c>
      <c r="B33098" s="3">
        <v>0</v>
      </c>
    </row>
    <row r="33099" ht="15.75" customHeight="1" spans="1:2">
      <c r="A33099" s="3" t="str">
        <f>IFERROR(__xludf.DUMMYFUNCTION("GOOGLETRANSLATE(A33099,""en"",""pt"")"),"Às vezes, a antena interna pode ser coberto pela sua mão.")</f>
        <v>Às vezes, a antena interna pode ser coberto pela sua mão.</v>
      </c>
      <c r="B33099" s="3">
        <v>0</v>
      </c>
    </row>
    <row r="33100" ht="15.75" customHeight="1" spans="1:2">
      <c r="A33100" s="3" t="str">
        <f>IFERROR(__xludf.DUMMYFUNCTION("GOOGLETRANSLATE(A33100,""en"",""pt"")"),"Nao muitos")</f>
        <v>Nao muitos</v>
      </c>
      <c r="B33100" s="3">
        <v>0</v>
      </c>
    </row>
    <row r="33101" ht="15.75" customHeight="1" spans="1:2">
      <c r="A33101" s="3" t="str">
        <f>IFERROR(__xludf.DUMMYFUNCTION("GOOGLETRANSLATE(A33101,""en"",""pt"")"),"Nenhum")</f>
        <v>Nenhum</v>
      </c>
      <c r="B33101" s="3">
        <v>0</v>
      </c>
    </row>
    <row r="33102" ht="15.75" customHeight="1" spans="1:2">
      <c r="A33102" s="3" t="str">
        <f>IFERROR(__xludf.DUMMYFUNCTION("GOOGLETRANSLATE(A33102,""en"",""pt"")"),"crackedtwice tela em um mês eu possuí-lo, estadias luz onfor 13secs + mudança cant, caro (a Cingular), textingmaybecomeaddictive")</f>
        <v>crackedtwice tela em um mês eu possuí-lo, estadias luz onfor 13secs + mudança cant, caro (a Cingular), textingmaybecomeaddictive</v>
      </c>
      <c r="B33102" s="3">
        <v>0</v>
      </c>
    </row>
    <row r="33103" ht="15.75" customHeight="1" spans="1:2">
      <c r="A33103" s="3" t="str">
        <f>IFERROR(__xludf.DUMMYFUNCTION("GOOGLETRANSLATE(A33103,""en"",""pt"")"),"Frágil, não confiável, O Buggy / S, decepção geral.")</f>
        <v>Frágil, não confiável, O Buggy / S, decepção geral.</v>
      </c>
      <c r="B33103" s="3">
        <v>0</v>
      </c>
    </row>
    <row r="33104" ht="15.75" customHeight="1" spans="1:2">
      <c r="A33104" s="3" t="str">
        <f>IFERROR(__xludf.DUMMYFUNCTION("GOOGLETRANSLATE(A33104,""en"",""pt"")"),"luz de fundo não ficar, não um monte de acessórios")</f>
        <v>luz de fundo não ficar, não um monte de acessórios</v>
      </c>
      <c r="B33104" s="3">
        <v>0</v>
      </c>
    </row>
    <row r="33105" ht="15.75" customHeight="1" spans="1:2">
      <c r="A33105" s="3" t="str">
        <f>IFERROR(__xludf.DUMMYFUNCTION("GOOGLETRANSLATE(A33105,""en"",""pt"")"),"Ocasional Atraso na recebendo mensagens instantâneas, No Camera, ""Large"" para alguns, não GPRS EDGE.")</f>
        <v>Ocasional Atraso na recebendo mensagens instantâneas, No Camera, "Large" para alguns, não GPRS EDGE.</v>
      </c>
      <c r="B33105" s="3">
        <v>0</v>
      </c>
    </row>
    <row r="33106" ht="15.75" customHeight="1" spans="1:2">
      <c r="A33106" s="3" t="str">
        <f>IFERROR(__xludf.DUMMYFUNCTION("GOOGLETRANSLATE(A33106,""en"",""pt"")"),"Buggy OS")</f>
        <v>Buggy OS</v>
      </c>
      <c r="B33106" s="3">
        <v>0</v>
      </c>
    </row>
    <row r="33107" ht="15.75" customHeight="1" spans="1:2">
      <c r="A33107" s="3" t="str">
        <f>IFERROR(__xludf.DUMMYFUNCTION("GOOGLETRANSLATE(A33107,""en"",""pt"")"),"menu de navegação muito complicado, não é suficiente ""ir para"" comandos e de um toque, a qualidade do alto-falante")</f>
        <v>menu de navegação muito complicado, não é suficiente "ir para" comandos e de um toque, a qualidade do alto-falante</v>
      </c>
      <c r="B33107" s="3">
        <v>0</v>
      </c>
    </row>
    <row r="33108" ht="15.75" customHeight="1" spans="1:2">
      <c r="A33108" s="3" t="str">
        <f>IFERROR(__xludf.DUMMYFUNCTION("GOOGLETRANSLATE(A33108,""en"",""pt"")"),"muito")</f>
        <v>muito</v>
      </c>
      <c r="B33108" s="3">
        <v>0</v>
      </c>
    </row>
    <row r="33109" ht="15.75" customHeight="1" spans="1:2">
      <c r="A33109" s="3" t="str">
        <f>IFERROR(__xludf.DUMMYFUNCTION("GOOGLETRANSLATE(A33109,""en"",""pt"")"),"Tela não muito, às vezes trava no meio da chamada")</f>
        <v>Tela não muito, às vezes trava no meio da chamada</v>
      </c>
      <c r="B33109" s="3">
        <v>0</v>
      </c>
    </row>
    <row r="33110" ht="15.75" customHeight="1" spans="1:2">
      <c r="A33110" s="3" t="str">
        <f>IFERROR(__xludf.DUMMYFUNCTION("GOOGLETRANSLATE(A33110,""en"",""pt"")"),"Sem sincronização com o Mac. Não compatível com Bluetooth")</f>
        <v>Sem sincronização com o Mac. Não compatível com Bluetooth</v>
      </c>
      <c r="B33110" s="3">
        <v>0</v>
      </c>
    </row>
    <row r="33111" ht="15.75" customHeight="1" spans="1:2">
      <c r="A33111" s="3" t="str">
        <f>IFERROR(__xludf.DUMMYFUNCTION("GOOGLETRANSLATE(A33111,""en"",""pt"")"),"não pode substituir a placa em seu próprio país ou você garantia vazia; deve pagar Nokia $ 35")</f>
        <v>não pode substituir a placa em seu próprio país ou você garantia vazia; deve pagar Nokia $ 35</v>
      </c>
      <c r="B33111" s="3">
        <v>0</v>
      </c>
    </row>
    <row r="33112" ht="15.75" customHeight="1" spans="1:2">
      <c r="A33112" s="3" t="str">
        <f>IFERROR(__xludf.DUMMYFUNCTION("GOOGLETRANSLATE(A33112,""en"",""pt"")"),"botões de perfil baixo")</f>
        <v>botões de perfil baixo</v>
      </c>
      <c r="B33112" s="3">
        <v>0</v>
      </c>
    </row>
    <row r="33113" ht="15.75" customHeight="1" spans="1:2">
      <c r="A33113" s="3" t="str">
        <f>IFERROR(__xludf.DUMMYFUNCTION("GOOGLETRANSLATE(A33113,""en"",""pt"")"),"Tipo de grande, nenhuma conectividade com a Internet (WAP)")</f>
        <v>Tipo de grande, nenhuma conectividade com a Internet (WAP)</v>
      </c>
      <c r="B33113" s="3">
        <v>0</v>
      </c>
    </row>
    <row r="33114" ht="15.75" customHeight="1" spans="1:2">
      <c r="A33114" s="3" t="str">
        <f>IFERROR(__xludf.DUMMYFUNCTION("GOOGLETRANSLATE(A33114,""en"",""pt"")"),"Sem lock-out, preço")</f>
        <v>Sem lock-out, preço</v>
      </c>
      <c r="B33114" s="3">
        <v>0</v>
      </c>
    </row>
    <row r="33115" ht="15.75" customHeight="1" spans="1:2">
      <c r="A33115" s="3" t="str">
        <f>IFERROR(__xludf.DUMMYFUNCTION("GOOGLETRANSLATE(A33115,""en"",""pt"")"),"Tamanho, alterar o volume")</f>
        <v>Tamanho, alterar o volume</v>
      </c>
      <c r="B33115" s="3">
        <v>0</v>
      </c>
    </row>
    <row r="33116" ht="15.75" customHeight="1" spans="1:2">
      <c r="A33116" s="3" t="str">
        <f>IFERROR(__xludf.DUMMYFUNCTION("GOOGLETRANSLATE(A33116,""en"",""pt"")"),"Nenhuma alegria stick (ao contrário da Sony Ericsson T60)")</f>
        <v>Nenhuma alegria stick (ao contrário da Sony Ericsson T60)</v>
      </c>
      <c r="B33116" s="3">
        <v>0</v>
      </c>
    </row>
    <row r="33117" ht="15.75" customHeight="1" spans="1:2">
      <c r="A33117" s="3" t="str">
        <f>IFERROR(__xludf.DUMMYFUNCTION("GOOGLETRANSLATE(A33117,""en"",""pt"")"),"Um pouco caro, mas os descontos e promoções disponíveis através de operadoras, nenhum clipe de cinto")</f>
        <v>Um pouco caro, mas os descontos e promoções disponíveis através de operadoras, nenhum clipe de cinto</v>
      </c>
      <c r="B33117" s="3">
        <v>0</v>
      </c>
    </row>
    <row r="33118" ht="15.75" customHeight="1" spans="1:2">
      <c r="A33118" s="3" t="str">
        <f>IFERROR(__xludf.DUMMYFUNCTION("GOOGLETRANSLATE(A33118,""en"",""pt"")"),"falta de acessórios")</f>
        <v>falta de acessórios</v>
      </c>
      <c r="B33118" s="3">
        <v>0</v>
      </c>
    </row>
    <row r="33119" ht="15.75" customHeight="1" spans="1:2">
      <c r="A33119" s="3" t="str">
        <f>IFERROR(__xludf.DUMMYFUNCTION("GOOGLETRANSLATE(A33119,""en"",""pt"")"),"display monocromático. (É 1,5 anos .. não posso reclamar muito sobre monocromático)")</f>
        <v>display monocromático. (É 1,5 anos .. não posso reclamar muito sobre monocromático)</v>
      </c>
      <c r="B33119" s="3">
        <v>0</v>
      </c>
    </row>
    <row r="33120" ht="15.75" customHeight="1" spans="1:2">
      <c r="A33120" s="3" t="str">
        <f>IFERROR(__xludf.DUMMYFUNCTION("GOOGLETRANSLATE(A33120,""en"",""pt"")"),"Má recepção, mau clareza")</f>
        <v>Má recepção, mau clareza</v>
      </c>
      <c r="B33120" s="3">
        <v>0</v>
      </c>
    </row>
    <row r="33121" ht="15.75" customHeight="1" spans="1:2">
      <c r="A33121" s="3" t="str">
        <f>IFERROR(__xludf.DUMMYFUNCTION("GOOGLETRANSLATE(A33121,""en"",""pt"")"),"grande")</f>
        <v>grande</v>
      </c>
      <c r="B33121" s="3">
        <v>0</v>
      </c>
    </row>
    <row r="33122" ht="15.75" customHeight="1" spans="1:2">
      <c r="A33122" s="3" t="str">
        <f>IFERROR(__xludf.DUMMYFUNCTION("GOOGLETRANSLATE(A33122,""en"",""pt"")"),"Nenhum")</f>
        <v>Nenhum</v>
      </c>
      <c r="B33122" s="3">
        <v>0</v>
      </c>
    </row>
    <row r="33123" ht="15.75" customHeight="1" spans="1:2">
      <c r="A33123" s="3" t="str">
        <f>IFERROR(__xludf.DUMMYFUNCTION("GOOGLETRANSLATE(A33123,""en"",""pt"")"),"A vida da bateria é ligeiramente mais curto do que o Nokia 6190. Não é um ""SIM"" cartão de telefone.")</f>
        <v>A vida da bateria é ligeiramente mais curto do que o Nokia 6190. Não é um "SIM" cartão de telefone.</v>
      </c>
      <c r="B33123" s="3">
        <v>0</v>
      </c>
    </row>
    <row r="33124" ht="15.75" customHeight="1" spans="1:2">
      <c r="A33124" s="3" t="str">
        <f>IFERROR(__xludf.DUMMYFUNCTION("GOOGLETRANSLATE(A33124,""en"",""pt"")"),"controles de volume no lado são fáceis de imprensa acidentalmente")</f>
        <v>controles de volume no lado são fáceis de imprensa acidentalmente</v>
      </c>
      <c r="B33124" s="3">
        <v>0</v>
      </c>
    </row>
    <row r="33125" ht="15.75" customHeight="1" spans="1:2">
      <c r="A33125" s="3" t="str">
        <f>IFERROR(__xludf.DUMMYFUNCTION("GOOGLETRANSLATE(A33125,""en"",""pt"")"),"No botão Off, irritando tons")</f>
        <v>No botão Off, irritando tons</v>
      </c>
      <c r="B33125" s="3">
        <v>0</v>
      </c>
    </row>
    <row r="33126" ht="15.75" customHeight="1" spans="1:2">
      <c r="A33126" s="3" t="str">
        <f>IFERROR(__xludf.DUMMYFUNCTION("GOOGLETRANSLATE(A33126,""en"",""pt"")"),"Recepção")</f>
        <v>Recepção</v>
      </c>
      <c r="B33126" s="3">
        <v>0</v>
      </c>
    </row>
    <row r="33127" ht="15.75" customHeight="1" spans="1:2">
      <c r="A33127" s="3" t="str">
        <f>IFERROR(__xludf.DUMMYFUNCTION("GOOGLETRANSLATE(A33127,""en"",""pt"")"),"Interruptor on / off nem sempre fácil de usar.")</f>
        <v>Interruptor on / off nem sempre fácil de usar.</v>
      </c>
      <c r="B33127" s="3">
        <v>0</v>
      </c>
    </row>
    <row r="33128" ht="15.75" customHeight="1" spans="1:2">
      <c r="A33128" s="3" t="str">
        <f>IFERROR(__xludf.DUMMYFUNCTION("GOOGLETRANSLATE(A33128,""en"",""pt"")"),"sem placas de cara ainda (exceto genérica que não se encaixam. Não pode obter a web")</f>
        <v>sem placas de cara ainda (exceto genérica que não se encaixam. Não pode obter a web</v>
      </c>
      <c r="B33128" s="3">
        <v>0</v>
      </c>
    </row>
    <row r="33129" ht="15.75" customHeight="1" spans="1:2">
      <c r="A33129" s="3" t="str">
        <f>IFERROR(__xludf.DUMMYFUNCTION("GOOGLETRANSLATE(A33129,""en"",""pt"")"),"preço, botão de energia é uma dor.")</f>
        <v>preço, botão de energia é uma dor.</v>
      </c>
      <c r="B33129" s="3">
        <v>0</v>
      </c>
    </row>
    <row r="33130" ht="15.75" customHeight="1" spans="1:2">
      <c r="A33130" s="3" t="str">
        <f>IFERROR(__xludf.DUMMYFUNCTION("GOOGLETRANSLATE(A33130,""en"",""pt"")"),"Um grande bit")</f>
        <v>Um grande bit</v>
      </c>
      <c r="B33130" s="3">
        <v>0</v>
      </c>
    </row>
    <row r="33131" ht="15.75" customHeight="1" spans="1:2">
      <c r="A33131" s="3" t="str">
        <f>IFERROR(__xludf.DUMMYFUNCTION("GOOGLETRANSLATE(A33131,""en"",""pt"")"),"Os principais problemas de tela")</f>
        <v>Os principais problemas de tela</v>
      </c>
      <c r="B33131" s="3">
        <v>0</v>
      </c>
    </row>
    <row r="33132" ht="15.75" customHeight="1" spans="1:2">
      <c r="A33132" s="3" t="str">
        <f>IFERROR(__xludf.DUMMYFUNCTION("GOOGLETRANSLATE(A33132,""en"",""pt"")"),"No display colorido.")</f>
        <v>No display colorido.</v>
      </c>
      <c r="B33132" s="3">
        <v>0</v>
      </c>
    </row>
    <row r="33133" ht="15.75" customHeight="1" spans="1:2">
      <c r="A33133" s="3" t="str">
        <f>IFERROR(__xludf.DUMMYFUNCTION("GOOGLETRANSLATE(A33133,""en"",""pt"")"),"Não é o mais recente telemóvel ou tecnologia.")</f>
        <v>Não é o mais recente telemóvel ou tecnologia.</v>
      </c>
      <c r="B33133" s="3">
        <v>0</v>
      </c>
    </row>
    <row r="33134" ht="15.75" customHeight="1" spans="1:2">
      <c r="A33134" s="3" t="str">
        <f>IFERROR(__xludf.DUMMYFUNCTION("GOOGLETRANSLATE(A33134,""en"",""pt"")"),"Não muitos toques diferentes, todas as características poderia ser confuso para um usuário de primeira vez")</f>
        <v>Não muitos toques diferentes, todas as características poderia ser confuso para um usuário de primeira vez</v>
      </c>
      <c r="B33134" s="3">
        <v>0</v>
      </c>
    </row>
    <row r="33135" ht="15.75" customHeight="1" spans="1:2">
      <c r="A33135" s="3" t="str">
        <f>IFERROR(__xludf.DUMMYFUNCTION("GOOGLETRANSLATE(A33135,""en"",""pt"")"),"minibrowser")</f>
        <v>minibrowser</v>
      </c>
      <c r="B33135" s="3">
        <v>0</v>
      </c>
    </row>
    <row r="33136" ht="15.75" customHeight="1" spans="1:2">
      <c r="A33136" s="3" t="str">
        <f>IFERROR(__xludf.DUMMYFUNCTION("GOOGLETRANSLATE(A33136,""en"",""pt"")"),"olhares, tons anel-")</f>
        <v>olhares, tons anel-</v>
      </c>
      <c r="B33136" s="3">
        <v>0</v>
      </c>
    </row>
    <row r="33137" ht="15.75" customHeight="1" spans="1:2">
      <c r="A33137" s="3" t="str">
        <f>IFERROR(__xludf.DUMMYFUNCTION("GOOGLETRANSLATE(A33137,""en"",""pt"")"),"Preço")</f>
        <v>Preço</v>
      </c>
      <c r="B33137" s="3">
        <v>0</v>
      </c>
    </row>
    <row r="33138" ht="15.75" customHeight="1" spans="1:2">
      <c r="A33138" s="3" t="str">
        <f>IFERROR(__xludf.DUMMYFUNCTION("GOOGLETRANSLATE(A33138,""en"",""pt"")"),"Não tem Velcro")</f>
        <v>Não tem Velcro</v>
      </c>
      <c r="B33138" s="3">
        <v>0</v>
      </c>
    </row>
    <row r="33139" ht="15.75" customHeight="1" spans="1:2">
      <c r="A33139" s="3" t="str">
        <f>IFERROR(__xludf.DUMMYFUNCTION("GOOGLETRANSLATE(A33139,""en"",""pt"")"),"tamanho, discagem por voz não é o que eu esperava.")</f>
        <v>tamanho, discagem por voz não é o que eu esperava.</v>
      </c>
      <c r="B33139" s="3">
        <v>0</v>
      </c>
    </row>
    <row r="33140" ht="15.75" customHeight="1" spans="1:2">
      <c r="A33140" s="3" t="str">
        <f>IFERROR(__xludf.DUMMYFUNCTION("GOOGLETRANSLATE(A33140,""en"",""pt"")"),"O tamanho pode ser um pouco pequeno demais, por vezes,")</f>
        <v>O tamanho pode ser um pouco pequeno demais, por vezes,</v>
      </c>
      <c r="B33140" s="3">
        <v>0</v>
      </c>
    </row>
    <row r="33141" ht="15.75" customHeight="1" spans="1:2">
      <c r="A33141" s="3" t="str">
        <f>IFERROR(__xludf.DUMMYFUNCTION("GOOGLETRANSLATE(A33141,""en"",""pt"")"),"snafus serviço Sprint")</f>
        <v>snafus serviço Sprint</v>
      </c>
      <c r="B33141" s="3">
        <v>0</v>
      </c>
    </row>
    <row r="33142" ht="15.75" customHeight="1" spans="1:2">
      <c r="A33142" s="3" t="str">
        <f>IFERROR(__xludf.DUMMYFUNCTION("GOOGLETRANSLATE(A33142,""en"",""pt"")"),"Potencial de antena problemas.")</f>
        <v>Potencial de antena problemas.</v>
      </c>
      <c r="B33142" s="3">
        <v>0</v>
      </c>
    </row>
    <row r="33143" ht="15.75" customHeight="1" spans="1:2">
      <c r="A33143" s="3" t="str">
        <f>IFERROR(__xludf.DUMMYFUNCTION("GOOGLETRANSLATE(A33143,""en"",""pt"")"),"Quero ringtones spiffy. :-(")</f>
        <v>Quero ringtones spiffy. :-(</v>
      </c>
      <c r="B33143" s="3">
        <v>0</v>
      </c>
    </row>
    <row r="33144" ht="15.75" customHeight="1" spans="1:2">
      <c r="A33144" s="3" t="str">
        <f>IFERROR(__xludf.DUMMYFUNCTION("GOOGLETRANSLATE(A33144,""en"",""pt"")"),"Tantos recursos que é um pouco confuso")</f>
        <v>Tantos recursos que é um pouco confuso</v>
      </c>
      <c r="B33144" s="3">
        <v>0</v>
      </c>
    </row>
    <row r="33145" ht="15.75" customHeight="1" spans="1:2">
      <c r="A33145" s="3" t="str">
        <f>IFERROR(__xludf.DUMMYFUNCTION("GOOGLETRANSLATE(A33145,""en"",""pt"")"),"Feio, serviço de Sprint, anéis irritantes")</f>
        <v>Feio, serviço de Sprint, anéis irritantes</v>
      </c>
      <c r="B33145" s="3">
        <v>0</v>
      </c>
    </row>
    <row r="33146" ht="15.75" customHeight="1" spans="1:2">
      <c r="A33146" s="3" t="str">
        <f>IFERROR(__xludf.DUMMYFUNCTION("GOOGLETRANSLATE(A33146,""en"",""pt"")"),"Não existem dados sync")</f>
        <v>Não existem dados sync</v>
      </c>
      <c r="B33146" s="3">
        <v>0</v>
      </c>
    </row>
    <row r="33147" ht="15.75" customHeight="1" spans="1:2">
      <c r="A33147" s="3" t="str">
        <f>IFERROR(__xludf.DUMMYFUNCTION("GOOGLETRANSLATE(A33147,""en"",""pt"")"),"Superaquecimento, chamadas frequentemente descartado, a vida da bateria, a falta de log bom tempo de antena.")</f>
        <v>Superaquecimento, chamadas frequentemente descartado, a vida da bateria, a falta de log bom tempo de antena.</v>
      </c>
      <c r="B33147" s="3">
        <v>0</v>
      </c>
    </row>
    <row r="33148" ht="15.75" customHeight="1" spans="1:2">
      <c r="A33148" s="3" t="str">
        <f>IFERROR(__xludf.DUMMYFUNCTION("GOOGLETRANSLATE(A33148,""en"",""pt"")"),"caso celular Body Glove não clipe para cinto muito bem, Jabra fones de plástico se perder facilmente")</f>
        <v>caso celular Body Glove não clipe para cinto muito bem, Jabra fones de plástico se perder facilmente</v>
      </c>
      <c r="B33148" s="3">
        <v>0</v>
      </c>
    </row>
    <row r="33149" ht="15.75" customHeight="1" spans="1:2">
      <c r="A33149" s="3" t="str">
        <f>IFERROR(__xludf.DUMMYFUNCTION("GOOGLETRANSLATE(A33149,""en"",""pt"")"),"Umm ...... ummm ......... não foi mais cedo?")</f>
        <v>Umm ...... ummm ......... não foi mais cedo?</v>
      </c>
      <c r="B33149" s="3">
        <v>0</v>
      </c>
    </row>
    <row r="33150" ht="15.75" customHeight="1" spans="1:2">
      <c r="A33150" s="3" t="str">
        <f>IFERROR(__xludf.DUMMYFUNCTION("GOOGLETRANSLATE(A33150,""en"",""pt"")"),"O sistema de menus é horrível!")</f>
        <v>O sistema de menus é horrível!</v>
      </c>
      <c r="B33150" s="3">
        <v>0</v>
      </c>
    </row>
    <row r="33151" ht="15.75" customHeight="1" spans="1:2">
      <c r="A33151" s="3" t="str">
        <f>IFERROR(__xludf.DUMMYFUNCTION("GOOGLETRANSLATE(A33151,""en"",""pt"")"),"não se sente como ele iria sobreviver a uma queda.")</f>
        <v>não se sente como ele iria sobreviver a uma queda.</v>
      </c>
      <c r="B33151" s="3">
        <v>0</v>
      </c>
    </row>
    <row r="33152" ht="15.75" customHeight="1" spans="1:2">
      <c r="A33152" s="3" t="str">
        <f>IFERROR(__xludf.DUMMYFUNCTION("GOOGLETRANSLATE(A33152,""en"",""pt"")"),"entrada de texto T9 lento")</f>
        <v>entrada de texto T9 lento</v>
      </c>
      <c r="B33152" s="3">
        <v>0</v>
      </c>
    </row>
    <row r="33153" ht="15.75" customHeight="1" spans="1:2">
      <c r="A33153" s="3" t="str">
        <f>IFERROR(__xludf.DUMMYFUNCTION("GOOGLETRANSLATE(A33153,""en"",""pt"")"),"Reação Slow Time, reconhecimento por voz")</f>
        <v>Reação Slow Time, reconhecimento por voz</v>
      </c>
      <c r="B33153" s="3">
        <v>0</v>
      </c>
    </row>
    <row r="33154" ht="15.75" customHeight="1" spans="1:2">
      <c r="A33154" s="3" t="str">
        <f>IFERROR(__xludf.DUMMYFUNCTION("GOOGLETRANSLATE(A33154,""en"",""pt"")"),"tela pode ser ligeiramente pequeno para incondicionais utilizadores Nokia.")</f>
        <v>tela pode ser ligeiramente pequeno para incondicionais utilizadores Nokia.</v>
      </c>
      <c r="B33154" s="3">
        <v>0</v>
      </c>
    </row>
    <row r="33155" ht="15.75" customHeight="1" spans="1:2">
      <c r="A33155" s="3" t="str">
        <f>IFERROR(__xludf.DUMMYFUNCTION("GOOGLETRANSLATE(A33155,""en"",""pt"")"),"Preço (depende de como você comprá-lo embora ...)")</f>
        <v>Preço (depende de como você comprá-lo embora ...)</v>
      </c>
      <c r="B33155" s="3">
        <v>0</v>
      </c>
    </row>
    <row r="33156" ht="15.75" customHeight="1" spans="1:2">
      <c r="A33156" s="3" t="str">
        <f>IFERROR(__xludf.DUMMYFUNCTION("GOOGLETRANSLATE(A33156,""en"",""pt"")"),"PROJETO NOVO NÃO! Difícil de empurrar botões, tempo de reação lenta.")</f>
        <v>PROJETO NOVO NÃO! Difícil de empurrar botões, tempo de reação lenta.</v>
      </c>
      <c r="B33156" s="3">
        <v>0</v>
      </c>
    </row>
    <row r="33157" ht="15.75" customHeight="1" spans="1:2">
      <c r="A33157" s="3" t="str">
        <f>IFERROR(__xludf.DUMMYFUNCTION("GOOGLETRANSLATE(A33157,""en"",""pt"")"),"Nenhum - OK, eles removeram Solitaire, mas é isso!")</f>
        <v>Nenhum - OK, eles removeram Solitaire, mas é isso!</v>
      </c>
      <c r="B33157" s="3">
        <v>0</v>
      </c>
    </row>
    <row r="33158" ht="15.75" customHeight="1" spans="1:2">
      <c r="A33158" s="3" t="str">
        <f>IFERROR(__xludf.DUMMYFUNCTION("GOOGLETRANSLATE(A33158,""en"",""pt"")"),"Um pouco confuso menus ...")</f>
        <v>Um pouco confuso menus ...</v>
      </c>
      <c r="B33158" s="3">
        <v>0</v>
      </c>
    </row>
    <row r="33159" ht="15.75" customHeight="1" spans="1:2">
      <c r="A33159" s="3" t="str">
        <f>IFERROR(__xludf.DUMMYFUNCTION("GOOGLETRANSLATE(A33159,""en"",""pt"")"),"solitare removido :)")</f>
        <v>solitare removido :)</v>
      </c>
      <c r="B33159" s="3">
        <v>0</v>
      </c>
    </row>
    <row r="33160" ht="15.75" customHeight="1" spans="1:2">
      <c r="A33160" s="3" t="str">
        <f>IFERROR(__xludf.DUMMYFUNCTION("GOOGLETRANSLATE(A33160,""en"",""pt"")"),"Absolutamente nenhuma")</f>
        <v>Absolutamente nenhuma</v>
      </c>
      <c r="B33160" s="3">
        <v>0</v>
      </c>
    </row>
    <row r="33161" ht="15.75" customHeight="1" spans="1:2">
      <c r="A33161" s="3" t="str">
        <f>IFERROR(__xludf.DUMMYFUNCTION("GOOGLETRANSLATE(A33161,""en"",""pt"")"),"Um pouco caro")</f>
        <v>Um pouco caro</v>
      </c>
      <c r="B33161" s="3">
        <v>0</v>
      </c>
    </row>
    <row r="33162" ht="15.75" customHeight="1" spans="1:2">
      <c r="A33162" s="3" t="str">
        <f>IFERROR(__xludf.DUMMYFUNCTION("GOOGLETRANSLATE(A33162,""en"",""pt"")"),"preço e disponibilidade local de acessórios")</f>
        <v>preço e disponibilidade local de acessórios</v>
      </c>
      <c r="B33162" s="3">
        <v>0</v>
      </c>
    </row>
    <row r="33163" ht="15.75" customHeight="1" spans="1:2">
      <c r="A33163" s="3" t="str">
        <f>IFERROR(__xludf.DUMMYFUNCTION("GOOGLETRANSLATE(A33163,""en"",""pt"")"),"Problemas com o uso")</f>
        <v>Problemas com o uso</v>
      </c>
      <c r="B33163" s="3">
        <v>0</v>
      </c>
    </row>
    <row r="33164" ht="15.75" customHeight="1" spans="1:2">
      <c r="A33164" s="3" t="str">
        <f>IFERROR(__xludf.DUMMYFUNCTION("GOOGLETRANSLATE(A33164,""en"",""pt"")"),"interface de usuário ainda hostil, visor pequeno.")</f>
        <v>interface de usuário ainda hostil, visor pequeno.</v>
      </c>
      <c r="B33164" s="3">
        <v>0</v>
      </c>
    </row>
    <row r="33165" ht="15.75" customHeight="1" spans="1:2">
      <c r="A33165" s="3" t="str">
        <f>IFERROR(__xludf.DUMMYFUNCTION("GOOGLETRANSLATE(A33165,""en"",""pt"")"),"Atrasos nas acções-chave em ...")</f>
        <v>Atrasos nas acções-chave em ...</v>
      </c>
      <c r="B33165" s="3">
        <v>0</v>
      </c>
    </row>
    <row r="33166" ht="15.75" customHeight="1" spans="1:2">
      <c r="A33166" s="3" t="str">
        <f>IFERROR(__xludf.DUMMYFUNCTION("GOOGLETRANSLATE(A33166,""en"",""pt"")"),"falta de suporte")</f>
        <v>falta de suporte</v>
      </c>
      <c r="B33166" s="3">
        <v>0</v>
      </c>
    </row>
    <row r="33167" ht="15.75" customHeight="1" spans="1:2">
      <c r="A33167" s="3" t="str">
        <f>IFERROR(__xludf.DUMMYFUNCTION("GOOGLETRANSLATE(A33167,""en"",""pt"")"),"sentimento baratos botões. botão de menu complicado de usar. tempo de reacção lento")</f>
        <v>sentimento baratos botões. botão de menu complicado de usar. tempo de reacção lento</v>
      </c>
      <c r="B33167" s="3">
        <v>0</v>
      </c>
    </row>
    <row r="33168" ht="15.75" customHeight="1" spans="1:2">
      <c r="A33168" s="3" t="str">
        <f>IFERROR(__xludf.DUMMYFUNCTION("GOOGLETRANSLATE(A33168,""en"",""pt"")"),"software muito buggy")</f>
        <v>software muito buggy</v>
      </c>
      <c r="B33168" s="3">
        <v>0</v>
      </c>
    </row>
    <row r="33169" ht="15.75" customHeight="1" spans="1:2">
      <c r="A33169" s="3" t="str">
        <f>IFERROR(__xludf.DUMMYFUNCTION("GOOGLETRANSLATE(A33169,""en"",""pt"")"),"Carece de LCD a cores e recurso de câmera.")</f>
        <v>Carece de LCD a cores e recurso de câmera.</v>
      </c>
      <c r="B33169" s="3">
        <v>0</v>
      </c>
    </row>
    <row r="33170" ht="15.75" customHeight="1" spans="1:2">
      <c r="A33170" s="3" t="str">
        <f>IFERROR(__xludf.DUMMYFUNCTION("GOOGLETRANSLATE(A33170,""en"",""pt"")"),"Às vezes demasiado pequenas, as opções podem demorar um pouco para aprender")</f>
        <v>Às vezes demasiado pequenas, as opções podem demorar um pouco para aprender</v>
      </c>
      <c r="B33170" s="3">
        <v>0</v>
      </c>
    </row>
    <row r="33171" ht="15.75" customHeight="1" spans="1:2">
      <c r="A33171" s="3" t="str">
        <f>IFERROR(__xludf.DUMMYFUNCTION("GOOGLETRANSLATE(A33171,""en"",""pt"")"),"O tamanho pequeno pode ser um problema")</f>
        <v>O tamanho pequeno pode ser um problema</v>
      </c>
      <c r="B33171" s="3">
        <v>0</v>
      </c>
    </row>
    <row r="33172" ht="15.75" customHeight="1" spans="1:2">
      <c r="A33172" s="3" t="str">
        <f>IFERROR(__xludf.DUMMYFUNCTION("GOOGLETRANSLATE(A33172,""en"",""pt"")"),"Impossível botão on / off, campainha não alto o suficiente")</f>
        <v>Impossível botão on / off, campainha não alto o suficiente</v>
      </c>
      <c r="B33172" s="3">
        <v>0</v>
      </c>
    </row>
    <row r="33173" ht="15.75" customHeight="1" spans="1:2">
      <c r="A33173" s="3" t="str">
        <f>IFERROR(__xludf.DUMMYFUNCTION("GOOGLETRANSLATE(A33173,""en"",""pt"")"),"você vai perder chamadas, telefone é quase demasiado pequena")</f>
        <v>você vai perder chamadas, telefone é quase demasiado pequena</v>
      </c>
      <c r="B33173" s="3">
        <v>0</v>
      </c>
    </row>
    <row r="33174" ht="15.75" customHeight="1" spans="1:2">
      <c r="A33174" s="3" t="str">
        <f>IFERROR(__xludf.DUMMYFUNCTION("GOOGLETRANSLATE(A33174,""en"",""pt"")"),"qualidade de construção, botões, ergonomia")</f>
        <v>qualidade de construção, botões, ergonomia</v>
      </c>
      <c r="B33174" s="3">
        <v>0</v>
      </c>
    </row>
    <row r="33175" ht="15.75" customHeight="1" spans="1:2">
      <c r="A33175" s="3" t="str">
        <f>IFERROR(__xludf.DUMMYFUNCTION("GOOGLETRANSLATE(A33175,""en"",""pt"")"),"Fracote anel; Tamanho pode ser um problema para aqueles com deficiências visuais ou grandes mãos")</f>
        <v>Fracote anel; Tamanho pode ser um problema para aqueles com deficiências visuais ou grandes mãos</v>
      </c>
      <c r="B33175" s="3">
        <v>0</v>
      </c>
    </row>
    <row r="33176" ht="15.75" customHeight="1" spans="1:2">
      <c r="A33176" s="3" t="str">
        <f>IFERROR(__xludf.DUMMYFUNCTION("GOOGLETRANSLATE(A33176,""en"",""pt"")"),"Eu não sei de qualquer")</f>
        <v>Eu não sei de qualquer</v>
      </c>
      <c r="B33176" s="3">
        <v>0</v>
      </c>
    </row>
    <row r="33177" ht="15.75" customHeight="1" spans="1:2">
      <c r="A33177" s="3" t="str">
        <f>IFERROR(__xludf.DUMMYFUNCTION("GOOGLETRANSLATE(A33177,""en"",""pt"")"),"Assim, pequenas e ligeiros marcas difícil segurar em chamadas de longa")</f>
        <v>Assim, pequenas e ligeiros marcas difícil segurar em chamadas de longa</v>
      </c>
      <c r="B33177" s="3">
        <v>0</v>
      </c>
    </row>
    <row r="33178" ht="15.75" customHeight="1" spans="1:2">
      <c r="A33178" s="3" t="str">
        <f>IFERROR(__xludf.DUMMYFUNCTION("GOOGLETRANSLATE(A33178,""en"",""pt"")"),"mãos-livres proprietal jack")</f>
        <v>mãos-livres proprietal jack</v>
      </c>
      <c r="B33178" s="3">
        <v>0</v>
      </c>
    </row>
    <row r="33179" ht="15.75" customHeight="1" spans="1:2">
      <c r="A33179" s="3" t="str">
        <f>IFERROR(__xludf.DUMMYFUNCTION("GOOGLETRANSLATE(A33179,""en"",""pt"")"),"Signal Strength, teclado pequeno demais para alguns")</f>
        <v>Signal Strength, teclado pequeno demais para alguns</v>
      </c>
      <c r="B33179" s="3">
        <v>0</v>
      </c>
    </row>
    <row r="33180" ht="15.75" customHeight="1" spans="1:2">
      <c r="A33180" s="3" t="str">
        <f>IFERROR(__xludf.DUMMYFUNCTION("GOOGLETRANSLATE(A33180,""en"",""pt"")"),"Recepção fraca, por vezes, sem acesso à internet")</f>
        <v>Recepção fraca, por vezes, sem acesso à internet</v>
      </c>
      <c r="B33180" s="3">
        <v>0</v>
      </c>
    </row>
    <row r="33181" ht="15.75" customHeight="1" spans="1:2">
      <c r="A33181" s="3" t="str">
        <f>IFERROR(__xludf.DUMMYFUNCTION("GOOGLETRANSLATE(A33181,""en"",""pt"")"),"Um deles é melhor do que nenhum")</f>
        <v>Um deles é melhor do que nenhum</v>
      </c>
      <c r="B33181" s="3">
        <v>0</v>
      </c>
    </row>
    <row r="33182" ht="15.75" customHeight="1" spans="1:2">
      <c r="A33182" s="3" t="str">
        <f>IFERROR(__xludf.DUMMYFUNCTION("GOOGLETRANSLATE(A33182,""en"",""pt"")"),"Cor, botão On / Off")</f>
        <v>Cor, botão On / Off</v>
      </c>
      <c r="B33182" s="3">
        <v>0</v>
      </c>
    </row>
    <row r="33183" ht="15.75" customHeight="1" spans="1:2">
      <c r="A33183" s="3" t="str">
        <f>IFERROR(__xludf.DUMMYFUNCTION("GOOGLETRANSLATE(A33183,""en"",""pt"")"),"Não encontrei um ainda")</f>
        <v>Não encontrei um ainda</v>
      </c>
      <c r="B33183" s="3">
        <v>0</v>
      </c>
    </row>
    <row r="33184" ht="15.75" customHeight="1" spans="1:2">
      <c r="A33184" s="3" t="str">
        <f>IFERROR(__xludf.DUMMYFUNCTION("GOOGLETRANSLATE(A33184,""en"",""pt"")"),"com a antena interna de recepção não é tão boa como outros modelos!")</f>
        <v>com a antena interna de recepção não é tão boa como outros modelos!</v>
      </c>
      <c r="B33184" s="3">
        <v>0</v>
      </c>
    </row>
    <row r="33185" ht="15.75" customHeight="1" spans="1:2">
      <c r="A33185" s="3" t="str">
        <f>IFERROR(__xludf.DUMMYFUNCTION("GOOGLETRANSLATE(A33185,""en"",""pt"")"),"Preço")</f>
        <v>Preço</v>
      </c>
      <c r="B33185" s="3">
        <v>0</v>
      </c>
    </row>
    <row r="33186" ht="15.75" customHeight="1" spans="1:2">
      <c r="A33186" s="3" t="str">
        <f>IFERROR(__xludf.DUMMYFUNCTION("GOOGLETRANSLATE(A33186,""en"",""pt"")"),"Caro. Sub-par desempenho da bateria.")</f>
        <v>Caro. Sub-par desempenho da bateria.</v>
      </c>
      <c r="B33186" s="3">
        <v>0</v>
      </c>
    </row>
    <row r="33187" ht="15.75" customHeight="1" spans="1:2">
      <c r="A33187" s="3" t="str">
        <f>IFERROR(__xludf.DUMMYFUNCTION("GOOGLETRANSLATE(A33187,""en"",""pt"")"),"O custo de US $ 400,00 vai virar um monte de gente fora para este telefone.")</f>
        <v>O custo de US $ 400,00 vai virar um monte de gente fora para este telefone.</v>
      </c>
      <c r="B33187" s="3">
        <v>0</v>
      </c>
    </row>
    <row r="33188" ht="15.75" customHeight="1" spans="1:2">
      <c r="A33188" s="3" t="str">
        <f>IFERROR(__xludf.DUMMYFUNCTION("GOOGLETRANSLATE(A33188,""en"",""pt"")"),"Preço, mas descendo steadilty")</f>
        <v>Preço, mas descendo steadilty</v>
      </c>
      <c r="B33188" s="3">
        <v>0</v>
      </c>
    </row>
    <row r="33189" ht="15.75" customHeight="1" spans="1:2">
      <c r="A33189" s="3" t="str">
        <f>IFERROR(__xludf.DUMMYFUNCTION("GOOGLETRANSLATE(A33189,""en"",""pt"")"),"Preço um pouco alto, mas abatimentos torná-lo vale a pena")</f>
        <v>Preço um pouco alto, mas abatimentos torná-lo vale a pena</v>
      </c>
      <c r="B33189" s="3">
        <v>0</v>
      </c>
    </row>
    <row r="33190" ht="15.75" customHeight="1" spans="1:2">
      <c r="A33190" s="3" t="str">
        <f>IFERROR(__xludf.DUMMYFUNCTION("GOOGLETRANSLATE(A33190,""en"",""pt"")"),"caro")</f>
        <v>caro</v>
      </c>
      <c r="B33190" s="3">
        <v>0</v>
      </c>
    </row>
    <row r="33191" ht="15.75" customHeight="1" spans="1:2">
      <c r="A33191" s="3" t="str">
        <f>IFERROR(__xludf.DUMMYFUNCTION("GOOGLETRANSLATE(A33191,""en"",""pt"")"),"Antena é frágil, menus são volumosos")</f>
        <v>Antena é frágil, menus são volumosos</v>
      </c>
      <c r="B33191" s="3">
        <v>0</v>
      </c>
    </row>
    <row r="33192" ht="15.75" customHeight="1" spans="1:2">
      <c r="A33192" s="3" t="str">
        <f>IFERROR(__xludf.DUMMYFUNCTION("GOOGLETRANSLATE(A33192,""en"",""pt"")"),"Nenhum jogo, sem toques personalizados")</f>
        <v>Nenhum jogo, sem toques personalizados</v>
      </c>
      <c r="B33192" s="3">
        <v>0</v>
      </c>
    </row>
    <row r="33193" ht="15.75" customHeight="1" spans="1:2">
      <c r="A33193" s="3" t="str">
        <f>IFERROR(__xludf.DUMMYFUNCTION("GOOGLETRANSLATE(A33193,""en"",""pt"")"),"fator de antena forma, a interface usre, design geral, a vida da bateria.")</f>
        <v>fator de antena forma, a interface usre, design geral, a vida da bateria.</v>
      </c>
      <c r="B33193" s="3">
        <v>0</v>
      </c>
    </row>
    <row r="33194" ht="15.75" customHeight="1" spans="1:2">
      <c r="A33194" s="3" t="str">
        <f>IFERROR(__xludf.DUMMYFUNCTION("GOOGLETRANSLATE(A33194,""en"",""pt"")"),"Preço, peso, difícil de flip aberto, o software não amigável, a durabilidade.")</f>
        <v>Preço, peso, difícil de flip aberto, o software não amigável, a durabilidade.</v>
      </c>
      <c r="B33194" s="3">
        <v>0</v>
      </c>
    </row>
    <row r="33195" ht="15.75" customHeight="1" spans="1:2">
      <c r="A33195" s="3" t="str">
        <f>IFERROR(__xludf.DUMMYFUNCTION("GOOGLETRANSLATE(A33195,""en"",""pt"")"),"caro")</f>
        <v>caro</v>
      </c>
      <c r="B33195" s="3">
        <v>0</v>
      </c>
    </row>
    <row r="33196" ht="15.75" customHeight="1" spans="1:2">
      <c r="A33196" s="3" t="str">
        <f>IFERROR(__xludf.DUMMYFUNCTION("GOOGLETRANSLATE(A33196,""en"",""pt"")"),"ALTO PREÇO, não um Nokia, parte plástica do rosto arranha facilmente. antena curto e grosso.")</f>
        <v>ALTO PREÇO, não um Nokia, parte plástica do rosto arranha facilmente. antena curto e grosso.</v>
      </c>
      <c r="B33196" s="3">
        <v>0</v>
      </c>
    </row>
    <row r="33197" ht="15.75" customHeight="1" spans="1:2">
      <c r="A33197" s="3" t="str">
        <f>IFERROR(__xludf.DUMMYFUNCTION("GOOGLETRANSLATE(A33197,""en"",""pt"")"),"tampa frontal não é substituível.")</f>
        <v>tampa frontal não é substituível.</v>
      </c>
      <c r="B33197" s="3">
        <v>0</v>
      </c>
    </row>
    <row r="33198" ht="15.75" customHeight="1" spans="1:2">
      <c r="A33198" s="3" t="str">
        <f>IFERROR(__xludf.DUMMYFUNCTION("GOOGLETRANSLATE(A33198,""en"",""pt"")"),"Preço. Antena.")</f>
        <v>Preço. Antena.</v>
      </c>
      <c r="B33198" s="3">
        <v>0</v>
      </c>
    </row>
    <row r="33199" ht="15.75" customHeight="1" spans="1:2">
      <c r="A33199" s="3" t="str">
        <f>IFERROR(__xludf.DUMMYFUNCTION("GOOGLETRANSLATE(A33199,""en"",""pt"")"),"exibição pequena, não viva-voz")</f>
        <v>exibição pequena, não viva-voz</v>
      </c>
      <c r="B33199" s="3">
        <v>0</v>
      </c>
    </row>
    <row r="33200" ht="15.75" customHeight="1" spans="1:2">
      <c r="A33200" s="3" t="str">
        <f>IFERROR(__xludf.DUMMYFUNCTION("GOOGLETRANSLATE(A33200,""en"",""pt"")"),"Antena quebra facilmente, alta de preços, um pouco escorregadio para espera, difícil de abrir")</f>
        <v>Antena quebra facilmente, alta de preços, um pouco escorregadio para espera, difícil de abrir</v>
      </c>
      <c r="B33200" s="3">
        <v>0</v>
      </c>
    </row>
    <row r="33201" ht="15.75" customHeight="1" spans="1:2">
      <c r="A33201" s="3" t="str">
        <f>IFERROR(__xludf.DUMMYFUNCTION("GOOGLETRANSLATE(A33201,""en"",""pt"")"),"mossas habitação facilmente, tela difícil de ver, erros de software, não 1xRTT, há aplicativos Java")</f>
        <v>mossas habitação facilmente, tela difícil de ver, erros de software, não 1xRTT, há aplicativos Java</v>
      </c>
      <c r="B33201" s="3">
        <v>0</v>
      </c>
    </row>
    <row r="33202" ht="15.75" customHeight="1" spans="1:2">
      <c r="A33202" s="3" t="str">
        <f>IFERROR(__xludf.DUMMYFUNCTION("GOOGLETRANSLATE(A33202,""en"",""pt"")"),"Antena ainda não resistente, caro, fone de ouvido FM caro (opcional)")</f>
        <v>Antena ainda não resistente, caro, fone de ouvido FM caro (opcional)</v>
      </c>
      <c r="B33202" s="3">
        <v>0</v>
      </c>
    </row>
    <row r="33203" ht="15.75" customHeight="1" spans="1:2">
      <c r="A33203" s="3" t="str">
        <f>IFERROR(__xludf.DUMMYFUNCTION("GOOGLETRANSLATE(A33203,""en"",""pt"")"),"Alto preço, assim-assim a vida da bateria, tela monocromática pequeno, marketing desprezível Motorola")</f>
        <v>Alto preço, assim-assim a vida da bateria, tela monocromática pequeno, marketing desprezível Motorola</v>
      </c>
      <c r="B33203" s="3">
        <v>0</v>
      </c>
    </row>
    <row r="33204" ht="15.75" customHeight="1" spans="1:2">
      <c r="A33204" s="3" t="str">
        <f>IFERROR(__xludf.DUMMYFUNCTION("GOOGLETRANSLATE(A33204,""en"",""pt"")"),"Não consigo pensar em um")</f>
        <v>Não consigo pensar em um</v>
      </c>
      <c r="B33204" s="3">
        <v>0</v>
      </c>
    </row>
    <row r="33205" ht="15.75" customHeight="1" spans="1:2">
      <c r="A33205" s="3" t="s">
        <v>185</v>
      </c>
      <c r="B33205" s="3">
        <v>0</v>
      </c>
    </row>
    <row r="33206" ht="15.75" customHeight="1" spans="1:2">
      <c r="A33206" s="3" t="str">
        <f>IFERROR(__xludf.DUMMYFUNCTION("GOOGLETRANSLATE(A33206,""en"",""pt"")"),"fator de inveja")</f>
        <v>fator de inveja</v>
      </c>
      <c r="B33206" s="3">
        <v>0</v>
      </c>
    </row>
    <row r="33207" ht="15.75" customHeight="1" spans="1:2">
      <c r="A33207" s="3" t="str">
        <f>IFERROR(__xludf.DUMMYFUNCTION("GOOGLETRANSLATE(A33207,""en"",""pt"")"),"Não-zero visor resistente, antena é demasiado grande (fora do lugar), aleta não é resistente.")</f>
        <v>Não-zero visor resistente, antena é demasiado grande (fora do lugar), aleta não é resistente.</v>
      </c>
      <c r="B33207" s="3">
        <v>0</v>
      </c>
    </row>
    <row r="33208" ht="15.75" customHeight="1" spans="1:2">
      <c r="A33208" s="3" t="str">
        <f>IFERROR(__xludf.DUMMYFUNCTION("GOOGLETRANSLATE(A33208,""en"",""pt"")"),"Nenhum ainda (eu vou atualizar se eu encontrar alguma)")</f>
        <v>Nenhum ainda (eu vou atualizar se eu encontrar alguma)</v>
      </c>
      <c r="B33208" s="3">
        <v>0</v>
      </c>
    </row>
    <row r="33209" ht="15.75" customHeight="1" spans="1:2">
      <c r="A33209" s="3" t="str">
        <f>IFERROR(__xludf.DUMMYFUNCTION("GOOGLETRANSLATE(A33209,""en"",""pt"")"),"preço")</f>
        <v>preço</v>
      </c>
      <c r="B33209" s="3">
        <v>0</v>
      </c>
    </row>
    <row r="33210" ht="15.75" customHeight="1" spans="1:2">
      <c r="A33210" s="3" t="str">
        <f>IFERROR(__xludf.DUMMYFUNCTION("GOOGLETRANSLATE(A33210,""en"",""pt"")"),"muito caro, não tem visor holográfico, precisa de duas mãos para responder.")</f>
        <v>muito caro, não tem visor holográfico, precisa de duas mãos para responder.</v>
      </c>
      <c r="B33210" s="3">
        <v>0</v>
      </c>
    </row>
    <row r="33211" ht="15.75" customHeight="1" spans="1:2">
      <c r="A33211" s="3" t="s">
        <v>186</v>
      </c>
      <c r="B33211" s="3">
        <v>0</v>
      </c>
    </row>
    <row r="33212" ht="15.75" customHeight="1" spans="1:2">
      <c r="A33212" s="3" t="str">
        <f>IFERROR(__xludf.DUMMYFUNCTION("GOOGLETRANSLATE(A33212,""en"",""pt"")"),"mais caro do que muitos outros")</f>
        <v>mais caro do que muitos outros</v>
      </c>
      <c r="B33212" s="3">
        <v>0</v>
      </c>
    </row>
    <row r="33213" ht="15.75" customHeight="1" spans="1:2">
      <c r="A33213" s="3" t="str">
        <f>IFERROR(__xludf.DUMMYFUNCTION("GOOGLETRANSLATE(A33213,""en"",""pt"")"),"Custo eo volume em áreas ruidosas.")</f>
        <v>Custo eo volume em áreas ruidosas.</v>
      </c>
      <c r="B33213" s="3">
        <v>0</v>
      </c>
    </row>
    <row r="33214" ht="15.75" customHeight="1" spans="1:2">
      <c r="A33214" s="3" t="str">
        <f>IFERROR(__xludf.DUMMYFUNCTION("GOOGLETRANSLATE(A33214,""en"",""pt"")"),"caso exterior pode danificar muito facilmente!")</f>
        <v>caso exterior pode danificar muito facilmente!</v>
      </c>
      <c r="B33214" s="3">
        <v>0</v>
      </c>
    </row>
    <row r="33215" ht="15.75" customHeight="1" spans="1:2">
      <c r="A33215" s="3" t="str">
        <f>IFERROR(__xludf.DUMMYFUNCTION("GOOGLETRANSLATE(A33215,""en"",""pt"")"),"Dependendo do seu provedor, o preço pode ficar muito íngreme")</f>
        <v>Dependendo do seu provedor, o preço pode ficar muito íngreme</v>
      </c>
      <c r="B33215" s="3">
        <v>0</v>
      </c>
    </row>
    <row r="33216" ht="15.75" customHeight="1" spans="1:2">
      <c r="A33216" s="3" t="str">
        <f>IFERROR(__xludf.DUMMYFUNCTION("GOOGLETRANSLATE(A33216,""en"",""pt"")"),"reconhecimento-Sub par voz, bateria fraca, um pouco caro.")</f>
        <v>reconhecimento-Sub par voz, bateria fraca, um pouco caro.</v>
      </c>
      <c r="B33216" s="3">
        <v>0</v>
      </c>
    </row>
    <row r="33217" ht="15.75" customHeight="1" spans="1:2">
      <c r="A33217" s="3" t="str">
        <f>IFERROR(__xludf.DUMMYFUNCTION("GOOGLETRANSLATE(A33217,""en"",""pt"")"),"Custo bastante elevado; vida útil da bateria é curta;")</f>
        <v>Custo bastante elevado; vida útil da bateria é curta;</v>
      </c>
      <c r="B33217" s="3">
        <v>0</v>
      </c>
    </row>
    <row r="33218" ht="15.75" customHeight="1" spans="1:2">
      <c r="A33218" s="3" t="str">
        <f>IFERROR(__xludf.DUMMYFUNCTION("GOOGLETRANSLATE(A33218,""en"",""pt"")"),"Preço, há toques para download, a vida da bateria")</f>
        <v>Preço, há toques para download, a vida da bateria</v>
      </c>
      <c r="B33218" s="3">
        <v>0</v>
      </c>
    </row>
    <row r="33219" ht="15.75" customHeight="1" spans="1:2">
      <c r="A33219" s="3" t="str">
        <f>IFERROR(__xludf.DUMMYFUNCTION("GOOGLETRANSLATE(A33219,""en"",""pt"")"),"Clipe de Cinto é volumoso e precisa ser usava no.")</f>
        <v>Clipe de Cinto é volumoso e precisa ser usava no.</v>
      </c>
      <c r="B33219" s="3">
        <v>0</v>
      </c>
    </row>
    <row r="33220" ht="15.75" customHeight="1" spans="1:2">
      <c r="A33220" s="3" t="str">
        <f>IFERROR(__xludf.DUMMYFUNCTION("GOOGLETRANSLATE(A33220,""en"",""pt"")"),"Interface de usuário")</f>
        <v>Interface de usuário</v>
      </c>
      <c r="B33220" s="3">
        <v>0</v>
      </c>
    </row>
    <row r="33221" ht="15.75" customHeight="1" spans="1:2">
      <c r="A33221" s="3" t="str">
        <f>IFERROR(__xludf.DUMMYFUNCTION("GOOGLETRANSLATE(A33221,""en"",""pt"")"),"tela pequena, baixa vida útil da bateria (pode ser atualizado), sem jogos, nenhuma mensagem de LED de espera")</f>
        <v>tela pequena, baixa vida útil da bateria (pode ser atualizado), sem jogos, nenhuma mensagem de LED de espera</v>
      </c>
      <c r="B33221" s="3">
        <v>0</v>
      </c>
    </row>
    <row r="33222" ht="15.75" customHeight="1" spans="1:2">
      <c r="A33222" s="3" t="str">
        <f>IFERROR(__xludf.DUMMYFUNCTION("GOOGLETRANSLATE(A33222,""en"",""pt"")"),"telefone flip estilo requer 2 mãos para atender / discagem; vida útil da bateria limitada")</f>
        <v>telefone flip estilo requer 2 mãos para atender / discagem; vida útil da bateria limitada</v>
      </c>
      <c r="B33222" s="3">
        <v>0</v>
      </c>
    </row>
    <row r="33223" ht="15.75" customHeight="1" spans="1:2">
      <c r="A33223" s="3" t="str">
        <f>IFERROR(__xludf.DUMMYFUNCTION("GOOGLETRANSLATE(A33223,""en"",""pt"")"),"Preço, design coldre.")</f>
        <v>Preço, design coldre.</v>
      </c>
      <c r="B33223" s="3">
        <v>0</v>
      </c>
    </row>
    <row r="33224" ht="15.75" customHeight="1" spans="1:2">
      <c r="A33224" s="3" t="str">
        <f>IFERROR(__xludf.DUMMYFUNCTION("GOOGLETRANSLATE(A33224,""en"",""pt"")"),"Caro, display não holográfica, bateria de vida média, leva tempo para se acostumar com o tamanho pequeno.")</f>
        <v>Caro, display não holográfica, bateria de vida média, leva tempo para se acostumar com o tamanho pequeno.</v>
      </c>
      <c r="B33224" s="3">
        <v>0</v>
      </c>
    </row>
    <row r="33225" ht="15.75" customHeight="1" spans="1:2">
      <c r="A33225" s="3" t="str">
        <f>IFERROR(__xludf.DUMMYFUNCTION("GOOGLETRANSLATE(A33225,""en"",""pt"")"),"a vida da bateria padrão, pode ser um exagero fo aqueles que querem apenas um telefone!")</f>
        <v>a vida da bateria padrão, pode ser um exagero fo aqueles que querem apenas um telefone!</v>
      </c>
      <c r="B33225" s="3">
        <v>0</v>
      </c>
    </row>
    <row r="33226" ht="15.75" customHeight="1" spans="1:2">
      <c r="A33226" s="3" t="str">
        <f>IFERROR(__xludf.DUMMYFUNCTION("GOOGLETRANSLATE(A33226,""en"",""pt"")"),"Preço, bateria, acessórios New GUI não muito amigável")</f>
        <v>Preço, bateria, acessórios New GUI não muito amigável</v>
      </c>
      <c r="B33226" s="3">
        <v>0</v>
      </c>
    </row>
    <row r="33227" ht="15.75" customHeight="1" spans="1:2">
      <c r="A33227" s="3" t="str">
        <f>IFERROR(__xludf.DUMMYFUNCTION("GOOGLETRANSLATE(A33227,""en"",""pt"")"),"Bit de curta duração, a qualidade de construção não é grande.")</f>
        <v>Bit de curta duração, a qualidade de construção não é grande.</v>
      </c>
      <c r="B33227" s="3">
        <v>0</v>
      </c>
    </row>
    <row r="33228" ht="15.75" customHeight="1" spans="1:2">
      <c r="A33228" s="3" t="str">
        <f>IFERROR(__xludf.DUMMYFUNCTION("GOOGLETRANSLATE(A33228,""en"",""pt"")"),"design da antena pobres. Pode dar-lhe choques durante o carregamento.")</f>
        <v>design da antena pobres. Pode dar-lhe choques durante o carregamento.</v>
      </c>
      <c r="B33228" s="3">
        <v>0</v>
      </c>
    </row>
    <row r="33229" ht="15.75" customHeight="1" spans="1:2">
      <c r="A33229" s="3" t="str">
        <f>IFERROR(__xludf.DUMMYFUNCTION("GOOGLETRANSLATE(A33229,""en"",""pt"")"),"etiqueta de preço, muito do menu, se sentir desconfortável, antena de plástico, tela pequena e botões rígidos confundindo")</f>
        <v>etiqueta de preço, muito do menu, se sentir desconfortável, antena de plástico, tela pequena e botões rígidos confundindo</v>
      </c>
      <c r="B33229" s="3">
        <v>0</v>
      </c>
    </row>
    <row r="33230" ht="15.75" customHeight="1" spans="1:2">
      <c r="A33230" s="3" t="str">
        <f>IFERROR(__xludf.DUMMYFUNCTION("GOOGLETRANSLATE(A33230,""en"",""pt"")"),"recepção !, qualidade de exibição, a vida da bateria")</f>
        <v>recepção !, qualidade de exibição, a vida da bateria</v>
      </c>
      <c r="B33230" s="3">
        <v>0</v>
      </c>
    </row>
    <row r="33231" ht="15.75" customHeight="1" spans="1:2">
      <c r="A33231" s="3" t="str">
        <f>IFERROR(__xludf.DUMMYFUNCTION("GOOGLETRANSLATE(A33231,""en"",""pt"")"),"Nenhum ainda...")</f>
        <v>Nenhum ainda...</v>
      </c>
      <c r="B33231" s="3">
        <v>0</v>
      </c>
    </row>
    <row r="33232" ht="15.75" customHeight="1" spans="1:2">
      <c r="A33232" s="3" t="str">
        <f>IFERROR(__xludf.DUMMYFUNCTION("GOOGLETRANSLATE(A33232,""en"",""pt"")"),"vida útil da bateria assim-assim.")</f>
        <v>vida útil da bateria assim-assim.</v>
      </c>
      <c r="B33232" s="3">
        <v>0</v>
      </c>
    </row>
    <row r="33233" ht="15.75" customHeight="1" spans="1:2">
      <c r="A33233" s="3" t="str">
        <f>IFERROR(__xludf.DUMMYFUNCTION("GOOGLETRANSLATE(A33233,""en"",""pt"")"),"antena, preço")</f>
        <v>antena, preço</v>
      </c>
      <c r="B33233" s="3">
        <v>0</v>
      </c>
    </row>
    <row r="33234" ht="15.75" customHeight="1" spans="1:2">
      <c r="A33234" s="3" t="str">
        <f>IFERROR(__xludf.DUMMYFUNCTION("GOOGLETRANSLATE(A33234,""en"",""pt"")"),"Grande grampo de correia")</f>
        <v>Grande grampo de correia</v>
      </c>
      <c r="B33234" s="3">
        <v>0</v>
      </c>
    </row>
    <row r="33235" ht="15.75" customHeight="1" spans="1:2">
      <c r="A33235" s="3" t="str">
        <f>IFERROR(__xludf.DUMMYFUNCTION("GOOGLETRANSLATE(A33235,""en"",""pt"")"),"Preço, antena frágil.")</f>
        <v>Preço, antena frágil.</v>
      </c>
      <c r="B33235" s="3">
        <v>0</v>
      </c>
    </row>
    <row r="33236" ht="15.75" customHeight="1" spans="1:2">
      <c r="A33236" s="3" t="str">
        <f>IFERROR(__xludf.DUMMYFUNCTION("GOOGLETRANSLATE(A33236,""en"",""pt"")"),"preço de parar o coração se comprado sem serviço")</f>
        <v>preço de parar o coração se comprado sem serviço</v>
      </c>
      <c r="B33236" s="3">
        <v>0</v>
      </c>
    </row>
    <row r="33237" ht="15.75" customHeight="1" spans="1:2">
      <c r="A33237" s="3" t="str">
        <f>IFERROR(__xludf.DUMMYFUNCTION("GOOGLETRANSLATE(A33237,""en"",""pt"")"),"A qualidade do som, nenhum grupo de chamadas, a entrada de texto T9 é incômodo,")</f>
        <v>A qualidade do som, nenhum grupo de chamadas, a entrada de texto T9 é incômodo,</v>
      </c>
      <c r="B33237" s="3">
        <v>0</v>
      </c>
    </row>
    <row r="33238" ht="15.75" customHeight="1" spans="1:2">
      <c r="A33238" s="3" t="str">
        <f>IFERROR(__xludf.DUMMYFUNCTION("GOOGLETRANSLATE(A33238,""en"",""pt"")"),"Antena")</f>
        <v>Antena</v>
      </c>
      <c r="B33238" s="3">
        <v>0</v>
      </c>
    </row>
    <row r="33239" ht="15.75" customHeight="1" spans="1:2">
      <c r="A33239" s="3" t="str">
        <f>IFERROR(__xludf.DUMMYFUNCTION("GOOGLETRANSLATE(A33239,""en"",""pt"")"),"Sem acesso à web, os proprietários fracos guiá")</f>
        <v>Sem acesso à web, os proprietários fracos guiá</v>
      </c>
      <c r="B33239" s="3">
        <v>0</v>
      </c>
    </row>
    <row r="33240" ht="15.75" customHeight="1" spans="1:2">
      <c r="A33240" s="3" t="str">
        <f>IFERROR(__xludf.DUMMYFUNCTION("GOOGLETRANSLATE(A33240,""en"",""pt"")"),"qualidade de som, agenda, luz de fundo, cinto coldre, vida útil da bateria")</f>
        <v>qualidade de som, agenda, luz de fundo, cinto coldre, vida útil da bateria</v>
      </c>
      <c r="B33240" s="3">
        <v>0</v>
      </c>
    </row>
    <row r="33241" ht="15.75" customHeight="1" spans="1:2">
      <c r="A33241" s="3" t="str">
        <f>IFERROR(__xludf.DUMMYFUNCTION("GOOGLETRANSLATE(A33241,""en"",""pt"")"),"Preço, características / custo, cinto, antena, flip-difícil aberto")</f>
        <v>Preço, características / custo, cinto, antena, flip-difícil aberto</v>
      </c>
      <c r="B33241" s="3">
        <v>0</v>
      </c>
    </row>
    <row r="33242" ht="15.75" customHeight="1" spans="1:2">
      <c r="A33242" s="3" t="str">
        <f>IFERROR(__xludf.DUMMYFUNCTION("GOOGLETRANSLATE(A33242,""en"",""pt"")"),"clipe de cinto estranho, curta duração da bateria, caro")</f>
        <v>clipe de cinto estranho, curta duração da bateria, caro</v>
      </c>
      <c r="B33242" s="3">
        <v>0</v>
      </c>
    </row>
    <row r="33243" ht="15.75" customHeight="1" spans="1:2">
      <c r="A33243" s="3" t="str">
        <f>IFERROR(__xludf.DUMMYFUNCTION("GOOGLETRANSLATE(A33243,""en"",""pt"")"),"Inconveniente antena externa, extremamente frágil")</f>
        <v>Inconveniente antena externa, extremamente frágil</v>
      </c>
      <c r="B33243" s="3">
        <v>0</v>
      </c>
    </row>
    <row r="33244" ht="15.75" customHeight="1" spans="1:2">
      <c r="A33244" s="3" t="str">
        <f>IFERROR(__xludf.DUMMYFUNCTION("GOOGLETRANSLATE(A33244,""en"",""pt"")"),"Preço, tem que telefone aberto para respondê-la.")</f>
        <v>Preço, tem que telefone aberto para respondê-la.</v>
      </c>
      <c r="B33244" s="3">
        <v>0</v>
      </c>
    </row>
    <row r="33245" ht="15.75" customHeight="1" spans="1:2">
      <c r="A33245" s="3" t="str">
        <f>IFERROR(__xludf.DUMMYFUNCTION("GOOGLETRANSLATE(A33245,""en"",""pt"")"),"Menu não fornecer o custo de aprendizagem relativamente difícil em comparação com modelos similares. Custo.")</f>
        <v>Menu não fornecer o custo de aprendizagem relativamente difícil em comparação com modelos similares. Custo.</v>
      </c>
      <c r="B33245" s="3">
        <v>0</v>
      </c>
    </row>
    <row r="33246" ht="15.75" customHeight="1" spans="1:2">
      <c r="A33246" s="3" t="str">
        <f>IFERROR(__xludf.DUMMYFUNCTION("GOOGLETRANSLATE(A33246,""en"",""pt"")"),"Tela pode ser mais brilhante, bateria fraca por tempo de conversação")</f>
        <v>Tela pode ser mais brilhante, bateria fraca por tempo de conversação</v>
      </c>
      <c r="B33246" s="3">
        <v>0</v>
      </c>
    </row>
    <row r="33247" ht="15.75" customHeight="1" spans="1:2">
      <c r="A33247" s="3" t="str">
        <f>IFERROR(__xludf.DUMMYFUNCTION("GOOGLETRANSLATE(A33247,""en"",""pt"")"),"Caro a inicial roll-out.")</f>
        <v>Caro a inicial roll-out.</v>
      </c>
      <c r="B33247" s="3">
        <v>0</v>
      </c>
    </row>
    <row r="33248" ht="15.75" customHeight="1" spans="1:2">
      <c r="A33248" s="3" t="str">
        <f>IFERROR(__xludf.DUMMYFUNCTION("GOOGLETRANSLATE(A33248,""en"",""pt"")"),"Caro!!!")</f>
        <v>Caro!!!</v>
      </c>
      <c r="B33248" s="3">
        <v>0</v>
      </c>
    </row>
    <row r="33249" ht="15.75" customHeight="1" spans="1:2">
      <c r="A33249" s="3" t="str">
        <f>IFERROR(__xludf.DUMMYFUNCTION("GOOGLETRANSLATE(A33249,""en"",""pt"")"),"Alto preço, não construído em jogos, a Nokia tem mais recursos")</f>
        <v>Alto preço, não construído em jogos, a Nokia tem mais recursos</v>
      </c>
      <c r="B33249" s="3">
        <v>0</v>
      </c>
    </row>
    <row r="33250" ht="15.75" customHeight="1" spans="1:2">
      <c r="A33250" s="3" t="str">
        <f>IFERROR(__xludf.DUMMYFUNCTION("GOOGLETRANSLATE(A33250,""en"",""pt"")"),"Preço, antena frágil, peso")</f>
        <v>Preço, antena frágil, peso</v>
      </c>
      <c r="B33250" s="3">
        <v>0</v>
      </c>
    </row>
    <row r="33251" ht="15.75" customHeight="1" spans="1:2">
      <c r="A33251" s="3" t="str">
        <f>IFERROR(__xludf.DUMMYFUNCTION("GOOGLETRANSLATE(A33251,""en"",""pt"")"),"custo, orelha bud para kit mãos-livres.")</f>
        <v>custo, orelha bud para kit mãos-livres.</v>
      </c>
      <c r="B33251" s="3">
        <v>0</v>
      </c>
    </row>
    <row r="33252" ht="15.75" customHeight="1" spans="1:2">
      <c r="A33252" s="3" t="str">
        <f>IFERROR(__xludf.DUMMYFUNCTION("GOOGLETRANSLATE(A33252,""en"",""pt"")"),"Interface mal projetado, agenda muito primitiva, muito caro, antena inconveniente inacreditável")</f>
        <v>Interface mal projetado, agenda muito primitiva, muito caro, antena inconveniente inacreditável</v>
      </c>
      <c r="B33252" s="3">
        <v>0</v>
      </c>
    </row>
    <row r="33253" ht="15.75" customHeight="1" spans="1:2">
      <c r="A33253" s="3" t="str">
        <f>IFERROR(__xludf.DUMMYFUNCTION("GOOGLETRANSLATE(A33253,""en"",""pt"")"),"Um pouco pequeno visor, caro")</f>
        <v>Um pouco pequeno visor, caro</v>
      </c>
      <c r="B33253" s="3">
        <v>0</v>
      </c>
    </row>
    <row r="33254" ht="15.75" customHeight="1" spans="1:2">
      <c r="A33254" s="3" t="str">
        <f>IFERROR(__xludf.DUMMYFUNCTION("GOOGLETRANSLATE(A33254,""en"",""pt"")"),"Feira da bateria da vida, difícil para operação com uma mão, Tela Dim, One-Beep Alarme / lembrete, recepção quatro, fraca vibração ....")</f>
        <v>Feira da bateria da vida, difícil para operação com uma mão, Tela Dim, One-Beep Alarme / lembrete, recepção quatro, fraca vibração ....</v>
      </c>
      <c r="B33254" s="3">
        <v>0</v>
      </c>
    </row>
    <row r="33255" ht="15.75" customHeight="1" spans="1:2">
      <c r="A33255" s="3" t="str">
        <f>IFERROR(__xludf.DUMMYFUNCTION("GOOGLETRANSLATE(A33255,""en"",""pt"")"),"pricy")</f>
        <v>pricy</v>
      </c>
      <c r="B33255" s="3">
        <v>0</v>
      </c>
    </row>
    <row r="33256" ht="15.75" customHeight="1" spans="1:2">
      <c r="A33256" s="3" t="str">
        <f>IFERROR(__xludf.DUMMYFUNCTION("GOOGLETRANSLATE(A33256,""en"",""pt"")"),"Preço, qualidade, suporte ao cliente Verizon e nunca chegar a usá-lo!")</f>
        <v>Preço, qualidade, suporte ao cliente Verizon e nunca chegar a usá-lo!</v>
      </c>
      <c r="B33256" s="3">
        <v>0</v>
      </c>
    </row>
    <row r="33257" ht="15.75" customHeight="1" spans="1:2">
      <c r="A33257" s="3" t="str">
        <f>IFERROR(__xludf.DUMMYFUNCTION("GOOGLETRANSLATE(A33257,""en"",""pt"")"),"Horrível Professional Instale Car Kit de Acessórios. Cortes dentro e fora - regularmente")</f>
        <v>Horrível Professional Instale Car Kit de Acessórios. Cortes dentro e fora - regularmente</v>
      </c>
      <c r="B33257" s="3">
        <v>0</v>
      </c>
    </row>
    <row r="33258" ht="15.75" customHeight="1" spans="1:2">
      <c r="A33258" s="3" t="str">
        <f>IFERROR(__xludf.DUMMYFUNCTION("GOOGLETRANSLATE(A33258,""en"",""pt"")"),"Poucas falhas de projeto &amp; # 13; &amp; # 10; Sistema de menu ainda não é tão intuitivo como outros no mercado")</f>
        <v>Poucas falhas de projeto &amp; # 13; &amp; # 10; Sistema de menu ainda não é tão intuitivo como outros no mercado</v>
      </c>
      <c r="B33258" s="3">
        <v>0</v>
      </c>
    </row>
    <row r="33259" ht="15.75" customHeight="1" spans="1:2">
      <c r="A33259" s="3" t="str">
        <f>IFERROR(__xludf.DUMMYFUNCTION("GOOGLETRANSLATE(A33259,""en"",""pt"")"),"Preço, a vida da bateria.")</f>
        <v>Preço, a vida da bateria.</v>
      </c>
      <c r="B33259" s="3">
        <v>0</v>
      </c>
    </row>
    <row r="33260" ht="15.75" customHeight="1" spans="1:2">
      <c r="A33260" s="3" t="str">
        <f>IFERROR(__xludf.DUMMYFUNCTION("GOOGLETRANSLATE(A33260,""en"",""pt"")"),"Coldre, auricular funcionalidade")</f>
        <v>Coldre, auricular funcionalidade</v>
      </c>
      <c r="B33260" s="3">
        <v>0</v>
      </c>
    </row>
    <row r="33261" ht="15.75" customHeight="1" spans="1:2">
      <c r="A33261" s="3" t="str">
        <f>IFERROR(__xludf.DUMMYFUNCTION("GOOGLETRANSLATE(A33261,""en"",""pt"")"),"livro de telefone, um toque de discagem")</f>
        <v>livro de telefone, um toque de discagem</v>
      </c>
      <c r="B33261" s="3">
        <v>0</v>
      </c>
    </row>
    <row r="33262" ht="15.75" customHeight="1" spans="1:2">
      <c r="A33262" s="3" t="str">
        <f>IFERROR(__xludf.DUMMYFUNCTION("GOOGLETRANSLATE(A33262,""en"",""pt"")"),"preço, quer usá-lo o tempo todo!")</f>
        <v>preço, quer usá-lo o tempo todo!</v>
      </c>
      <c r="B33262" s="3">
        <v>0</v>
      </c>
    </row>
    <row r="33263" ht="15.75" customHeight="1" spans="1:2">
      <c r="A33263" s="3" t="str">
        <f>IFERROR(__xludf.DUMMYFUNCTION("GOOGLETRANSLATE(A33263,""en"",""pt"")"),"Preço; exibição não-holográfica")</f>
        <v>Preço; exibição não-holográfica</v>
      </c>
      <c r="B33263" s="3">
        <v>0</v>
      </c>
    </row>
    <row r="33264" ht="15.75" customHeight="1" spans="1:2">
      <c r="A33264" s="3" t="str">
        <f>IFERROR(__xludf.DUMMYFUNCTION("GOOGLETRANSLATE(A33264,""en"",""pt"")"),"Enviar e chaves finais em lados errado, não calculadora, as necessidades de um clipe de cinto")</f>
        <v>Enviar e chaves finais em lados errado, não calculadora, as necessidades de um clipe de cinto</v>
      </c>
      <c r="B33264" s="3">
        <v>0</v>
      </c>
    </row>
    <row r="33265" ht="15.75" customHeight="1" spans="1:2">
      <c r="A33265" s="3" t="str">
        <f>IFERROR(__xludf.DUMMYFUNCTION("GOOGLETRANSLATE(A33265,""en"",""pt"")"),"sem jogos, menus desajeitados")</f>
        <v>sem jogos, menus desajeitados</v>
      </c>
      <c r="B33265" s="3">
        <v>0</v>
      </c>
    </row>
    <row r="33266" ht="15.75" customHeight="1" spans="1:2">
      <c r="A33266" s="3" t="str">
        <f>IFERROR(__xludf.DUMMYFUNCTION("GOOGLETRANSLATE(A33266,""en"",""pt"")"),"Má qualidade de construção, recepção, a vida da bateria, iTap")</f>
        <v>Má qualidade de construção, recepção, a vida da bateria, iTap</v>
      </c>
      <c r="B33266" s="3">
        <v>0</v>
      </c>
    </row>
    <row r="33267" ht="15.75" customHeight="1" spans="1:2">
      <c r="A33267" s="3" t="str">
        <f>IFERROR(__xludf.DUMMYFUNCTION("GOOGLETRANSLATE(A33267,""en"",""pt"")"),"desajeitado para abrir até que você descobrir isso, a vida da bateria, caso abertura")</f>
        <v>desajeitado para abrir até que você descobrir isso, a vida da bateria, caso abertura</v>
      </c>
      <c r="B33267" s="3">
        <v>0</v>
      </c>
    </row>
    <row r="33268" ht="15.75" customHeight="1" spans="1:2">
      <c r="A33268" s="3" t="s">
        <v>187</v>
      </c>
      <c r="B33268" s="3">
        <v>0</v>
      </c>
    </row>
    <row r="33269" ht="15.75" customHeight="1" spans="1:2">
      <c r="A33269" s="3" t="str">
        <f>IFERROR(__xludf.DUMMYFUNCTION("GOOGLETRANSLATE(A33269,""en"",""pt"")"),"curta duração da bateria, a facilidade de substituição da bateria.")</f>
        <v>curta duração da bateria, a facilidade de substituição da bateria.</v>
      </c>
      <c r="B33269" s="3">
        <v>0</v>
      </c>
    </row>
    <row r="33270" ht="15.75" customHeight="1" spans="1:2">
      <c r="A33270" s="3" t="str">
        <f>IFERROR(__xludf.DUMMYFUNCTION("GOOGLETRANSLATE(A33270,""en"",""pt"")"),"Não é possível programar um toque diferenciado para diferentes chamadores")</f>
        <v>Não é possível programar um toque diferenciado para diferentes chamadores</v>
      </c>
      <c r="B33270" s="3">
        <v>0</v>
      </c>
    </row>
    <row r="33271" ht="15.75" customHeight="1" spans="1:2">
      <c r="A33271" s="3" t="str">
        <f>IFERROR(__xludf.DUMMYFUNCTION("GOOGLETRANSLATE(A33271,""en"",""pt"")"),"Seus sofre de guarda-roupa porque você gastou todo o seu $$$ no telefone")</f>
        <v>Seus sofre de guarda-roupa porque você gastou todo o seu $$$ no telefone</v>
      </c>
      <c r="B33271" s="3">
        <v>0</v>
      </c>
    </row>
    <row r="33272" ht="15.75" customHeight="1" spans="1:2">
      <c r="A33272" s="3" t="str">
        <f>IFERROR(__xludf.DUMMYFUNCTION("GOOGLETRANSLATE(A33272,""en"",""pt"")"),"atalho no teclado não está disponível")</f>
        <v>atalho no teclado não está disponível</v>
      </c>
      <c r="B33272" s="3">
        <v>0</v>
      </c>
    </row>
    <row r="33273" ht="15.75" customHeight="1" spans="1:2">
      <c r="A33273" s="3" t="str">
        <f>IFERROR(__xludf.DUMMYFUNCTION("GOOGLETRANSLATE(A33273,""en"",""pt"")"),"Tamanho, difícil de abrir, Volume, Antena")</f>
        <v>Tamanho, difícil de abrir, Volume, Antena</v>
      </c>
      <c r="B33273" s="3">
        <v>0</v>
      </c>
    </row>
    <row r="33274" ht="15.75" customHeight="1" spans="1:2">
      <c r="A33274" s="3" t="str">
        <f>IFERROR(__xludf.DUMMYFUNCTION("GOOGLETRANSLATE(A33274,""en"",""pt"")"),"Talvez um pouco pequeno demais para alguns, pequeno ecrã")</f>
        <v>Talvez um pouco pequeno demais para alguns, pequeno ecrã</v>
      </c>
      <c r="B33274" s="3">
        <v>0</v>
      </c>
    </row>
    <row r="33275" ht="15.75" customHeight="1" spans="1:2">
      <c r="A33275" s="3" t="str">
        <f>IFERROR(__xludf.DUMMYFUNCTION("GOOGLETRANSLATE(A33275,""en"",""pt"")"),"ainda caro")</f>
        <v>ainda caro</v>
      </c>
      <c r="B33275" s="3">
        <v>0</v>
      </c>
    </row>
    <row r="33276" ht="15.75" customHeight="1" spans="1:2">
      <c r="A33276" s="3" t="str">
        <f>IFERROR(__xludf.DUMMYFUNCTION("GOOGLETRANSLATE(A33276,""en"",""pt"")"),"A antena não é durável. Motorola não é fácil lidar com sobre reparos.")</f>
        <v>A antena não é durável. Motorola não é fácil lidar com sobre reparos.</v>
      </c>
      <c r="B33276" s="3">
        <v>0</v>
      </c>
    </row>
    <row r="33277" ht="15.75" customHeight="1" spans="1:2">
      <c r="A33277" s="3" t="str">
        <f>IFERROR(__xludf.DUMMYFUNCTION("GOOGLETRANSLATE(A33277,""en"",""pt"")"),"Nada até agora")</f>
        <v>Nada até agora</v>
      </c>
      <c r="B33277" s="3">
        <v>0</v>
      </c>
    </row>
    <row r="33278" ht="15.75" customHeight="1" spans="1:2">
      <c r="A33278" s="3" t="str">
        <f>IFERROR(__xludf.DUMMYFUNCTION("GOOGLETRANSLATE(A33278,""en"",""pt"")"),"Nenhum")</f>
        <v>Nenhum</v>
      </c>
      <c r="B33278" s="3">
        <v>0</v>
      </c>
    </row>
    <row r="33279" ht="15.75" customHeight="1" spans="1:2">
      <c r="A33279" s="3" t="str">
        <f>IFERROR(__xludf.DUMMYFUNCTION("GOOGLETRANSLATE(A33279,""en"",""pt"")"),"Frágil, Buggy, o mau desempenho")</f>
        <v>Frágil, Buggy, o mau desempenho</v>
      </c>
      <c r="B33279" s="3">
        <v>0</v>
      </c>
    </row>
    <row r="33280" ht="15.75" customHeight="1" spans="1:2">
      <c r="A33280" s="3" t="str">
        <f>IFERROR(__xludf.DUMMYFUNCTION("GOOGLETRANSLATE(A33280,""en"",""pt"")"),"Leia a análise para ver quantas falhas esse celular tem")</f>
        <v>Leia a análise para ver quantas falhas esse celular tem</v>
      </c>
      <c r="B33280" s="3">
        <v>0</v>
      </c>
    </row>
    <row r="33281" ht="15.75" customHeight="1" spans="1:2">
      <c r="A33281" s="3" t="str">
        <f>IFERROR(__xludf.DUMMYFUNCTION("GOOGLETRANSLATE(A33281,""en"",""pt"")"),"tinha alguns problemas x 3")</f>
        <v>tinha alguns problemas x 3</v>
      </c>
      <c r="B33281" s="3">
        <v>0</v>
      </c>
    </row>
    <row r="33282" ht="15.75" customHeight="1" spans="1:2">
      <c r="A33282" s="3" t="str">
        <f>IFERROR(__xludf.DUMMYFUNCTION("GOOGLETRANSLATE(A33282,""en"",""pt"")"),"o preço de US $ 400.")</f>
        <v>o preço de US $ 400.</v>
      </c>
      <c r="B33282" s="3">
        <v>0</v>
      </c>
    </row>
    <row r="33283" ht="15.75" customHeight="1" spans="1:2">
      <c r="A33283" s="3" t="str">
        <f>IFERROR(__xludf.DUMMYFUNCTION("GOOGLETRANSLATE(A33283,""en"",""pt"")"),"Não cozinhe meu café da manhã!")</f>
        <v>Não cozinhe meu café da manhã!</v>
      </c>
      <c r="B33283" s="3">
        <v>0</v>
      </c>
    </row>
    <row r="33284" ht="15.75" customHeight="1" spans="1:2">
      <c r="A33284" s="3" t="str">
        <f>IFERROR(__xludf.DUMMYFUNCTION("GOOGLETRANSLATE(A33284,""en"",""pt"")"),"Dói meu ouvido! Recursos não são fáceis de usar, não intuitiva.")</f>
        <v>Dói meu ouvido! Recursos não são fáceis de usar, não intuitiva.</v>
      </c>
      <c r="B33284" s="3">
        <v>0</v>
      </c>
    </row>
    <row r="33285" ht="15.75" customHeight="1" spans="1:2">
      <c r="A33285" s="3" t="str">
        <f>IFERROR(__xludf.DUMMYFUNCTION("GOOGLETRANSLATE(A33285,""en"",""pt"")"),"antena FRÁGIL, ergonomia pobres, agenda, interface de usuário, vibrar fraco")</f>
        <v>antena FRÁGIL, ergonomia pobres, agenda, interface de usuário, vibrar fraco</v>
      </c>
      <c r="B33285" s="3">
        <v>0</v>
      </c>
    </row>
    <row r="33286" ht="15.75" customHeight="1" spans="1:2">
      <c r="A33286" s="3" t="str">
        <f>IFERROR(__xludf.DUMMYFUNCTION("GOOGLETRANSLATE(A33286,""en"",""pt"")"),"Preço")</f>
        <v>Preço</v>
      </c>
      <c r="B33286" s="3">
        <v>0</v>
      </c>
    </row>
    <row r="33287" ht="15.75" customHeight="1" spans="1:2">
      <c r="A33287" s="3" t="str">
        <f>IFERROR(__xludf.DUMMYFUNCTION("GOOGLETRANSLATE(A33287,""en"",""pt"")"),"fora arranhões, custo (alto)")</f>
        <v>fora arranhões, custo (alto)</v>
      </c>
      <c r="B33287" s="3">
        <v>0</v>
      </c>
    </row>
    <row r="33288" ht="15.75" customHeight="1" spans="1:2">
      <c r="A33288" s="3" t="str">
        <f>IFERROR(__xludf.DUMMYFUNCTION("GOOGLETRANSLATE(A33288,""en"",""pt"")"),"terrible recepção, má bateria, funcionalidade horrível")</f>
        <v>terrible recepção, má bateria, funcionalidade horrível</v>
      </c>
      <c r="B33288" s="3">
        <v>0</v>
      </c>
    </row>
    <row r="33289" ht="15.75" customHeight="1" spans="1:2">
      <c r="A33289" s="3" t="str">
        <f>IFERROR(__xludf.DUMMYFUNCTION("GOOGLETRANSLATE(A33289,""en"",""pt"")"),"vida útil da bateria é terrível, a durabilidade é um grande ?????")</f>
        <v>vida útil da bateria é terrível, a durabilidade é um grande ?????</v>
      </c>
      <c r="B33289" s="3">
        <v>0</v>
      </c>
    </row>
    <row r="33290" ht="15.75" customHeight="1" spans="1:2">
      <c r="A33290" s="3" t="str">
        <f>IFERROR(__xludf.DUMMYFUNCTION("GOOGLETRANSLATE(A33290,""en"",""pt"")"),"A vida da bateria, sux qualidade, sem jogos")</f>
        <v>A vida da bateria, sux qualidade, sem jogos</v>
      </c>
      <c r="B33290" s="3">
        <v>0</v>
      </c>
    </row>
    <row r="33291" ht="15.75" customHeight="1" spans="1:2">
      <c r="A33291" s="3" t="str">
        <f>IFERROR(__xludf.DUMMYFUNCTION("GOOGLETRANSLATE(A33291,""en"",""pt"")"),"Um pouco caro")</f>
        <v>Um pouco caro</v>
      </c>
      <c r="B33291" s="3">
        <v>0</v>
      </c>
    </row>
    <row r="33292" ht="15.75" customHeight="1" spans="1:2">
      <c r="A33292" s="3" t="str">
        <f>IFERROR(__xludf.DUMMYFUNCTION("GOOGLETRANSLATE(A33292,""en"",""pt"")"),"memória de voz é trêmula e a agenda não é o ideal")</f>
        <v>memória de voz é trêmula e a agenda não é o ideal</v>
      </c>
      <c r="B33292" s="3">
        <v>0</v>
      </c>
    </row>
    <row r="33293" ht="15.75" customHeight="1" spans="1:2">
      <c r="A33293" s="3" t="str">
        <f>IFERROR(__xludf.DUMMYFUNCTION("GOOGLETRANSLATE(A33293,""en"",""pt"")"),"ele quebra muitas vezes, a má recepção e vida útil da bateria é curta")</f>
        <v>ele quebra muitas vezes, a má recepção e vida útil da bateria é curta</v>
      </c>
      <c r="B33293" s="3">
        <v>0</v>
      </c>
    </row>
    <row r="33294" ht="15.75" customHeight="1" spans="1:2">
      <c r="A33294" s="3" t="str">
        <f>IFERROR(__xludf.DUMMYFUNCTION("GOOGLETRANSLATE(A33294,""en"",""pt"")"),"Nenhum")</f>
        <v>Nenhum</v>
      </c>
      <c r="B33294" s="3">
        <v>0</v>
      </c>
    </row>
    <row r="33295" ht="15.75" customHeight="1" spans="1:2">
      <c r="A33295" s="3" t="str">
        <f>IFERROR(__xludf.DUMMYFUNCTION("GOOGLETRANSLATE(A33295,""en"",""pt"")"),"difícil entrar / sair do clipe de cinto.")</f>
        <v>difícil entrar / sair do clipe de cinto.</v>
      </c>
      <c r="B33295" s="3">
        <v>0</v>
      </c>
    </row>
    <row r="33296" ht="15.75" customHeight="1" spans="1:2">
      <c r="A33296" s="3" t="str">
        <f>IFERROR(__xludf.DUMMYFUNCTION("GOOGLETRANSLATE(A33296,""en"",""pt"")"),"Eu tive que usar telefones celulares por 10 anos antes de eu chegar este!")</f>
        <v>Eu tive que usar telefones celulares por 10 anos antes de eu chegar este!</v>
      </c>
      <c r="B33296" s="3">
        <v>0</v>
      </c>
    </row>
    <row r="33297" ht="15.75" customHeight="1" spans="1:2">
      <c r="A33297" s="3" t="str">
        <f>IFERROR(__xludf.DUMMYFUNCTION("GOOGLETRANSLATE(A33297,""en"",""pt"")"),"Entre outros, a complexidade e dores de cabeça encontrado através de seletividade de aplicações multi-NAM.")</f>
        <v>Entre outros, a complexidade e dores de cabeça encontrado através de seletividade de aplicações multi-NAM.</v>
      </c>
      <c r="B33297" s="3">
        <v>0</v>
      </c>
    </row>
    <row r="33298" ht="15.75" customHeight="1" spans="1:2">
      <c r="A33298" s="3" t="str">
        <f>IFERROR(__xludf.DUMMYFUNCTION("GOOGLETRANSLATE(A33298,""en"",""pt"")"),"Não é possível obter mensagens de texto de 2 vias para o trabalho ainda. (minha culpa)")</f>
        <v>Não é possível obter mensagens de texto de 2 vias para o trabalho ainda. (minha culpa)</v>
      </c>
      <c r="B33298" s="3">
        <v>0</v>
      </c>
    </row>
    <row r="33299" ht="15.75" customHeight="1" spans="1:2">
      <c r="A33299" s="3" t="str">
        <f>IFERROR(__xludf.DUMMYFUNCTION("GOOGLETRANSLATE(A33299,""en"",""pt"")"),"Não fique com a antena retrátil - obter a curto e grosso!")</f>
        <v>Não fique com a antena retrátil - obter a curto e grosso!</v>
      </c>
      <c r="B33299" s="3">
        <v>0</v>
      </c>
    </row>
    <row r="33300" ht="15.75" customHeight="1" spans="1:2">
      <c r="A33300" s="3" t="str">
        <f>IFERROR(__xludf.DUMMYFUNCTION("GOOGLETRANSLATE(A33300,""en"",""pt"")"),"Vários números exigir várias entires no livro de telefone.")</f>
        <v>Vários números exigir várias entires no livro de telefone.</v>
      </c>
      <c r="B33300" s="3">
        <v>0</v>
      </c>
    </row>
    <row r="33301" ht="15.75" customHeight="1" spans="1:2">
      <c r="A33301" s="3" t="str">
        <f>IFERROR(__xludf.DUMMYFUNCTION("GOOGLETRANSLATE(A33301,""en"",""pt"")"),"Fica arranhada com muita facilidade")</f>
        <v>Fica arranhada com muita facilidade</v>
      </c>
      <c r="B33301" s="3">
        <v>0</v>
      </c>
    </row>
    <row r="33302" ht="15.75" customHeight="1" spans="1:2">
      <c r="A33302" s="3" t="str">
        <f>IFERROR(__xludf.DUMMYFUNCTION("GOOGLETRANSLATE(A33302,""en"",""pt"")"),"não Ringer não ir suficientemente alto.")</f>
        <v>não Ringer não ir suficientemente alto.</v>
      </c>
      <c r="B33302" s="3">
        <v>0</v>
      </c>
    </row>
    <row r="33303" ht="15.75" customHeight="1" spans="1:2">
      <c r="A33303" s="3" t="str">
        <f>IFERROR(__xludf.DUMMYFUNCTION("GOOGLETRANSLATE(A33303,""en"",""pt"")"),"muitos")</f>
        <v>muitos</v>
      </c>
      <c r="B33303" s="3">
        <v>0</v>
      </c>
    </row>
    <row r="33304" ht="15.75" customHeight="1" spans="1:2">
      <c r="A33304" s="3" t="str">
        <f>IFERROR(__xludf.DUMMYFUNCTION("GOOGLETRANSLATE(A33304,""en"",""pt"")"),"Nenhum")</f>
        <v>Nenhum</v>
      </c>
      <c r="B33304" s="3">
        <v>0</v>
      </c>
    </row>
    <row r="33305" ht="15.75" customHeight="1" spans="1:2">
      <c r="A33305" s="3" t="str">
        <f>IFERROR(__xludf.DUMMYFUNCTION("GOOGLETRANSLATE(A33305,""en"",""pt"")"),"Difícil de encontrar em lojas")</f>
        <v>Difícil de encontrar em lojas</v>
      </c>
      <c r="B33305" s="3">
        <v>0</v>
      </c>
    </row>
    <row r="33306" ht="15.75" customHeight="1" spans="1:2">
      <c r="A33306" s="3" t="str">
        <f>IFERROR(__xludf.DUMMYFUNCTION("GOOGLETRANSLATE(A33306,""en"",""pt"")"),"Preço")</f>
        <v>Preço</v>
      </c>
      <c r="B33306" s="3">
        <v>0</v>
      </c>
    </row>
    <row r="33307" ht="15.75" customHeight="1" spans="1:2">
      <c r="A33307" s="3" t="str">
        <f>IFERROR(__xludf.DUMMYFUNCTION("GOOGLETRANSLATE(A33307,""en"",""pt"")"),"Nenhum")</f>
        <v>Nenhum</v>
      </c>
      <c r="B33307" s="3">
        <v>0</v>
      </c>
    </row>
    <row r="33308" ht="15.75" customHeight="1" spans="1:2">
      <c r="A33308" s="3" t="str">
        <f>IFERROR(__xludf.DUMMYFUNCTION("GOOGLETRANSLATE(A33308,""en"",""pt"")"),"alto preço")</f>
        <v>alto preço</v>
      </c>
      <c r="B33308" s="3">
        <v>0</v>
      </c>
    </row>
    <row r="33309" ht="15.75" customHeight="1" spans="1:2">
      <c r="A33309" s="3" t="str">
        <f>IFERROR(__xludf.DUMMYFUNCTION("GOOGLETRANSLATE(A33309,""en"",""pt"")"),"Muito caro, relativamente poucos recursos, interface de difícil.")</f>
        <v>Muito caro, relativamente poucos recursos, interface de difícil.</v>
      </c>
      <c r="B33309" s="3">
        <v>0</v>
      </c>
    </row>
    <row r="33310" ht="15.75" customHeight="1" spans="1:2">
      <c r="A33310" s="3" t="str">
        <f>IFERROR(__xludf.DUMMYFUNCTION("GOOGLETRANSLATE(A33310,""en"",""pt"")"),"Difícil de ouvir, mau desempenho. menus desajeitados")</f>
        <v>Difícil de ouvir, mau desempenho. menus desajeitados</v>
      </c>
      <c r="B33310" s="3">
        <v>0</v>
      </c>
    </row>
    <row r="33311" ht="15.75" customHeight="1" spans="1:2">
      <c r="A33311" s="3" t="str">
        <f>IFERROR(__xludf.DUMMYFUNCTION("GOOGLETRANSLATE(A33311,""en"",""pt"")"),"caro, feito na China, qualidade questionável de materiais")</f>
        <v>caro, feito na China, qualidade questionável de materiais</v>
      </c>
      <c r="B33311" s="3">
        <v>0</v>
      </c>
    </row>
    <row r="33312" ht="15.75" customHeight="1" spans="1:2">
      <c r="A33312" s="3" t="str">
        <f>IFERROR(__xludf.DUMMYFUNCTION("GOOGLETRANSLATE(A33312,""en"",""pt"")"),"durabilidade horrível.")</f>
        <v>durabilidade horrível.</v>
      </c>
      <c r="B33312" s="3">
        <v>0</v>
      </c>
    </row>
    <row r="33313" ht="15.75" customHeight="1" spans="1:2">
      <c r="A33313" s="3" t="str">
        <f>IFERROR(__xludf.DUMMYFUNCTION("GOOGLETRANSLATE(A33313,""en"",""pt"")"),"O biggy é a antena. Quebra tão ofetn motorola foi corrigi-los de graça - o problema é que você tem que enviá-lo e ficar sem o seu telefone celular para 7-10 dias. Isto é  ...")</f>
        <v>O biggy é a antena. Quebra tão ofetn motorola foi corrigi-los de graça - o problema é que você tem que enviá-lo e ficar sem o seu telefone celular para 7-10 dias. Isto é  ...</v>
      </c>
      <c r="B33313" s="3">
        <v>0</v>
      </c>
    </row>
    <row r="33314" ht="15.75" customHeight="1" spans="1:2">
      <c r="A33314" s="3" t="str">
        <f>IFERROR(__xludf.DUMMYFUNCTION("GOOGLETRANSLATE(A33314,""en"",""pt"")"),"antena poderia ser mais forte, curta duração da bateria, não pode baixar anéis personalizados.")</f>
        <v>antena poderia ser mais forte, curta duração da bateria, não pode baixar anéis personalizados.</v>
      </c>
      <c r="B33314" s="3">
        <v>0</v>
      </c>
    </row>
    <row r="33315" ht="15.75" customHeight="1" spans="1:2">
      <c r="A33315" s="3" t="str">
        <f>IFERROR(__xludf.DUMMYFUNCTION("GOOGLETRANSLATE(A33315,""en"",""pt"")"),"Não amigável. Zumbido durante uma chamada.")</f>
        <v>Não amigável. Zumbido durante uma chamada.</v>
      </c>
      <c r="B33315" s="3">
        <v>0</v>
      </c>
    </row>
    <row r="33316" ht="15.75" customHeight="1" spans="1:2">
      <c r="A33316" s="3" t="str">
        <f>IFERROR(__xludf.DUMMYFUNCTION("GOOGLETRANSLATE(A33316,""en"",""pt"")"),"carece de recursos")</f>
        <v>carece de recursos</v>
      </c>
      <c r="B33316" s="3">
        <v>0</v>
      </c>
    </row>
    <row r="33317" ht="15.75" customHeight="1" spans="1:2">
      <c r="A33317" s="3" t="str">
        <f>IFERROR(__xludf.DUMMYFUNCTION("GOOGLETRANSLATE(A33317,""en"",""pt"")"),"Talvez um pouco caro.")</f>
        <v>Talvez um pouco caro.</v>
      </c>
      <c r="B33317" s="3">
        <v>0</v>
      </c>
    </row>
    <row r="33318" ht="15.75" customHeight="1" spans="1:2">
      <c r="A33318" s="3" t="str">
        <f>IFERROR(__xludf.DUMMYFUNCTION("GOOGLETRANSLATE(A33318,""en"",""pt"")"),"ringtones - não suporta ringtones midi, botões laterais podem ser pressionado facilmente quando no bolso.")</f>
        <v>ringtones - não suporta ringtones midi, botões laterais podem ser pressionado facilmente quando no bolso.</v>
      </c>
      <c r="B33318" s="3">
        <v>0</v>
      </c>
    </row>
    <row r="33319" ht="15.75" customHeight="1" spans="1:2">
      <c r="A33319" s="3" t="str">
        <f>IFERROR(__xludf.DUMMYFUNCTION("GOOGLETRANSLATE(A33319,""en"",""pt"")"),"antena de gordura, botões laterais sinal sonoro quando algo bate-los, modo de vibração espástica.")</f>
        <v>antena de gordura, botões laterais sinal sonoro quando algo bate-los, modo de vibração espástica.</v>
      </c>
      <c r="B33319" s="3">
        <v>0</v>
      </c>
    </row>
    <row r="33320" ht="15.75" customHeight="1" spans="1:2">
      <c r="A33320" s="3" t="str">
        <f>IFERROR(__xludf.DUMMYFUNCTION("GOOGLETRANSLATE(A33320,""en"",""pt"")"),"curta duração da bateria para os padrões de hoje")</f>
        <v>curta duração da bateria para os padrões de hoje</v>
      </c>
      <c r="B33320" s="3">
        <v>0</v>
      </c>
    </row>
    <row r="33321" ht="15.75" customHeight="1" spans="1:2">
      <c r="A33321" s="3" t="str">
        <f>IFERROR(__xludf.DUMMYFUNCTION("GOOGLETRANSLATE(A33321,""en"",""pt"")"),"A qualidade do som não é excelente, carece de serviços de dados (eu não me importo)")</f>
        <v>A qualidade do som não é excelente, carece de serviços de dados (eu não me importo)</v>
      </c>
      <c r="B33321" s="3">
        <v>0</v>
      </c>
    </row>
    <row r="33322" ht="15.75" customHeight="1" spans="1:2">
      <c r="A33322" s="3" t="str">
        <f>IFERROR(__xludf.DUMMYFUNCTION("GOOGLETRANSLATE(A33322,""en"",""pt"")"),"Um modelo descontinuado com a Verizon. Tenho o meu no Radio Shack. NLA na Verizon.")</f>
        <v>Um modelo descontinuado com a Verizon. Tenho o meu no Radio Shack. NLA na Verizon.</v>
      </c>
      <c r="B33322" s="3">
        <v>0</v>
      </c>
    </row>
    <row r="33323" ht="15.75" customHeight="1" spans="1:2">
      <c r="A33323" s="3" t="str">
        <f>IFERROR(__xludf.DUMMYFUNCTION("GOOGLETRANSLATE(A33323,""en"",""pt"")"),"recepção horrível, difícil de começar a usar, e não tem quaisquer definições realmente.")</f>
        <v>recepção horrível, difícil de começar a usar, e não tem quaisquer definições realmente.</v>
      </c>
      <c r="B33323" s="3">
        <v>0</v>
      </c>
    </row>
    <row r="33324" ht="15.75" customHeight="1" spans="1:2">
      <c r="A33324" s="3" t="str">
        <f>IFERROR(__xludf.DUMMYFUNCTION("GOOGLETRANSLATE(A33324,""en"",""pt"")"),"Custo")</f>
        <v>Custo</v>
      </c>
      <c r="B33324" s="3">
        <v>0</v>
      </c>
    </row>
    <row r="33325" ht="15.75" customHeight="1" spans="1:2">
      <c r="A33325" s="3" t="str">
        <f>IFERROR(__xludf.DUMMYFUNCTION("GOOGLETRANSLATE(A33325,""en"",""pt"")"),"antena fraco.")</f>
        <v>antena fraco.</v>
      </c>
      <c r="B33325" s="3">
        <v>0</v>
      </c>
    </row>
    <row r="33326" ht="15.75" customHeight="1" spans="1:2">
      <c r="A33326" s="3" t="str">
        <f>IFERROR(__xludf.DUMMYFUNCTION("GOOGLETRANSLATE(A33326,""en"",""pt"")"),"Não é o melhor exibição ao redor, continuar a ter o dicionário re-select em mensagens de texto")</f>
        <v>Não é o melhor exibição ao redor, continuar a ter o dicionário re-select em mensagens de texto</v>
      </c>
      <c r="B33326" s="3">
        <v>0</v>
      </c>
    </row>
    <row r="33327" ht="15.75" customHeight="1" spans="1:2">
      <c r="A33327" s="3" t="str">
        <f>IFERROR(__xludf.DUMMYFUNCTION("GOOGLETRANSLATE(A33327,""en"",""pt"")"),"disposição de botões Odd leva tempo para se acostumar.")</f>
        <v>disposição de botões Odd leva tempo para se acostumar.</v>
      </c>
      <c r="B33327" s="3">
        <v>0</v>
      </c>
    </row>
    <row r="33328" ht="15.75" customHeight="1" spans="1:2">
      <c r="A33328" s="3" t="str">
        <f>IFERROR(__xludf.DUMMYFUNCTION("GOOGLETRANSLATE(A33328,""en"",""pt"")"),"bateria OK, disposição fundamental estranho, sm incl. memória, sem mp3")</f>
        <v>bateria OK, disposição fundamental estranho, sm incl. memória, sem mp3</v>
      </c>
      <c r="B33328" s="3">
        <v>0</v>
      </c>
    </row>
    <row r="33329" ht="15.75" customHeight="1" spans="1:2">
      <c r="A33329" s="3" t="str">
        <f>IFERROR(__xludf.DUMMYFUNCTION("GOOGLETRANSLATE(A33329,""en"",""pt"")"),"Não a qualidade do meu velho Nokia, plástico macio caso danos facilmente, fotos pobres")</f>
        <v>Não a qualidade do meu velho Nokia, plástico macio caso danos facilmente, fotos pobres</v>
      </c>
      <c r="B33329" s="3">
        <v>0</v>
      </c>
    </row>
    <row r="33330" ht="15.75" customHeight="1" spans="1:2">
      <c r="A33330" s="3" t="str">
        <f>IFERROR(__xludf.DUMMYFUNCTION("GOOGLETRANSLATE(A33330,""en"",""pt"")"),"câmera de baixa megapixel, tela borrada, configuração do botão estranho, não como ""sexy"", como telefones mais novos")</f>
        <v>câmera de baixa megapixel, tela borrada, configuração do botão estranho, não como "sexy", como telefones mais novos</v>
      </c>
      <c r="B33330" s="3">
        <v>0</v>
      </c>
    </row>
    <row r="33331" ht="15.75" customHeight="1" spans="1:2">
      <c r="A33331" s="3" t="str">
        <f>IFERROR(__xludf.DUMMYFUNCTION("GOOGLETRANSLATE(A33331,""en"",""pt"")"),"Câmera poderia ser melhor")</f>
        <v>Câmera poderia ser melhor</v>
      </c>
      <c r="B33331" s="3">
        <v>0</v>
      </c>
    </row>
    <row r="33332" ht="15.75" customHeight="1" spans="1:2">
      <c r="A33332" s="3" t="str">
        <f>IFERROR(__xludf.DUMMYFUNCTION("GOOGLETRANSLATE(A33332,""en"",""pt"")"),"O pacote em si, um pouco brega, poderia olhar melhor.")</f>
        <v>O pacote em si, um pouco brega, poderia olhar melhor.</v>
      </c>
      <c r="B33332" s="3">
        <v>0</v>
      </c>
    </row>
    <row r="33333" ht="15.75" customHeight="1" spans="1:2">
      <c r="A33333" s="3" t="str">
        <f>IFERROR(__xludf.DUMMYFUNCTION("GOOGLETRANSLATE(A33333,""en"",""pt"")"),"É um Nokia precisa de mais recursos.")</f>
        <v>É um Nokia precisa de mais recursos.</v>
      </c>
      <c r="B33333" s="3">
        <v>0</v>
      </c>
    </row>
    <row r="33334" ht="15.75" customHeight="1" spans="1:2">
      <c r="A33334" s="3" t="str">
        <f>IFERROR(__xludf.DUMMYFUNCTION("GOOGLETRANSLATE(A33334,""en"",""pt"")"),"botões de hardware para uso")</f>
        <v>botões de hardware para uso</v>
      </c>
      <c r="B33334" s="3">
        <v>0</v>
      </c>
    </row>
    <row r="33335" ht="15.75" customHeight="1" spans="1:2">
      <c r="A33335" s="3" t="str">
        <f>IFERROR(__xludf.DUMMYFUNCTION("GOOGLETRANSLATE(A33335,""en"",""pt"")"),"vida útil da bateria, inserções de telefone (não consigo encontrar qualquer)")</f>
        <v>vida útil da bateria, inserções de telefone (não consigo encontrar qualquer)</v>
      </c>
      <c r="B33335" s="3">
        <v>0</v>
      </c>
    </row>
    <row r="33336" ht="15.75" customHeight="1" spans="1:2">
      <c r="A33336" s="3" t="str">
        <f>IFERROR(__xludf.DUMMYFUNCTION("GOOGLETRANSLATE(A33336,""en"",""pt"")"),"a tampa é difícil de encaixar")</f>
        <v>a tampa é difícil de encaixar</v>
      </c>
      <c r="B33336" s="3">
        <v>0</v>
      </c>
    </row>
    <row r="33337" ht="15.75" customHeight="1" spans="1:2">
      <c r="A33337" s="3" t="str">
        <f>IFERROR(__xludf.DUMMYFUNCTION("GOOGLETRANSLATE(A33337,""en"",""pt"")"),"Nenhum.")</f>
        <v>Nenhum.</v>
      </c>
      <c r="B33337" s="3">
        <v>0</v>
      </c>
    </row>
    <row r="33338" ht="15.75" customHeight="1" spans="1:2">
      <c r="A33338" s="3" t="str">
        <f>IFERROR(__xludf.DUMMYFUNCTION("GOOGLETRANSLATE(A33338,""en"",""pt"")"),"sistema de menu pode ser melhorada")</f>
        <v>sistema de menu pode ser melhorada</v>
      </c>
      <c r="B33338" s="3">
        <v>0</v>
      </c>
    </row>
    <row r="33339" ht="15.75" customHeight="1" spans="1:2">
      <c r="A33339" s="3" t="str">
        <f>IFERROR(__xludf.DUMMYFUNCTION("GOOGLETRANSLATE(A33339,""en"",""pt"")"),"fica quente quando se usa, não construído em clipe de cinto")</f>
        <v>fica quente quando se usa, não construído em clipe de cinto</v>
      </c>
      <c r="B33339" s="3">
        <v>0</v>
      </c>
    </row>
    <row r="33340" ht="15.75" customHeight="1" spans="1:2">
      <c r="A33340" s="3" t="str">
        <f>IFERROR(__xludf.DUMMYFUNCTION("GOOGLETRANSLATE(A33340,""en"",""pt"")"),"Speakerphone inutilizável, sem recursos avançados, fator de forma desconfortável para o uso longo, chaves chicklet.")</f>
        <v>Speakerphone inutilizável, sem recursos avançados, fator de forma desconfortável para o uso longo, chaves chicklet.</v>
      </c>
      <c r="B33340" s="3">
        <v>0</v>
      </c>
    </row>
    <row r="33341" ht="15.75" customHeight="1" spans="1:2">
      <c r="A33341" s="3" t="str">
        <f>IFERROR(__xludf.DUMMYFUNCTION("GOOGLETRANSLATE(A33341,""en"",""pt"")"),"isin't Menu fácil como Nokia de")</f>
        <v>isin't Menu fácil como Nokia de</v>
      </c>
      <c r="B33341" s="3">
        <v>0</v>
      </c>
    </row>
    <row r="33342" ht="15.75" customHeight="1" spans="1:2">
      <c r="A33342" s="3" t="str">
        <f>IFERROR(__xludf.DUMMYFUNCTION("GOOGLETRANSLATE(A33342,""en"",""pt"")"),"Algumas funções do menu são peculiar")</f>
        <v>Algumas funções do menu são peculiar</v>
      </c>
      <c r="B33342" s="3">
        <v>0</v>
      </c>
    </row>
    <row r="33343" ht="15.75" customHeight="1" spans="1:2">
      <c r="A33343" s="3" t="str">
        <f>IFERROR(__xludf.DUMMYFUNCTION("GOOGLETRANSLATE(A33343,""en"",""pt"")"),"Alto-falante, acessórios limitados")</f>
        <v>Alto-falante, acessórios limitados</v>
      </c>
      <c r="B33343" s="3">
        <v>0</v>
      </c>
    </row>
    <row r="33344" ht="15.75" customHeight="1" spans="1:2">
      <c r="A33344" s="3" t="str">
        <f>IFERROR(__xludf.DUMMYFUNCTION("GOOGLETRANSLATE(A33344,""en"",""pt"")"),"fica quente durante o uso, chaves terríveis, há toques extras")</f>
        <v>fica quente durante o uso, chaves terríveis, há toques extras</v>
      </c>
      <c r="B33344" s="3">
        <v>0</v>
      </c>
    </row>
    <row r="33345" ht="15.75" customHeight="1" spans="1:2">
      <c r="A33345" s="3" t="str">
        <f>IFERROR(__xludf.DUMMYFUNCTION("GOOGLETRANSLATE(A33345,""en"",""pt"")"),"talvez as teclas minúsculas, mas não um problema real para mim.")</f>
        <v>talvez as teclas minúsculas, mas não um problema real para mim.</v>
      </c>
      <c r="B33345" s="3">
        <v>0</v>
      </c>
    </row>
    <row r="33346" ht="15.75" customHeight="1" spans="1:2">
      <c r="A33346" s="3" t="str">
        <f>IFERROR(__xludf.DUMMYFUNCTION("GOOGLETRANSLATE(A33346,""en"",""pt"")"),"Absolutamente nada!")</f>
        <v>Absolutamente nada!</v>
      </c>
      <c r="B33346" s="3">
        <v>0</v>
      </c>
    </row>
    <row r="33347" ht="15.75" customHeight="1" spans="1:2">
      <c r="A33347" s="3" t="str">
        <f>IFERROR(__xludf.DUMMYFUNCTION("GOOGLETRANSLATE(A33347,""en"",""pt"")"),"Ringtones, quero toques programáveis! :)")</f>
        <v>Ringtones, quero toques programáveis! :)</v>
      </c>
      <c r="B33347" s="3">
        <v>0</v>
      </c>
    </row>
    <row r="33348" ht="15.75" customHeight="1" spans="1:2">
      <c r="A33348" s="3" t="str">
        <f>IFERROR(__xludf.DUMMYFUNCTION("GOOGLETRANSLATE(A33348,""en"",""pt"")"),"* pequenas, botões físicos")</f>
        <v>* pequenas, botões físicos</v>
      </c>
      <c r="B33348" s="3">
        <v>0</v>
      </c>
    </row>
    <row r="33349" ht="15.75" customHeight="1" spans="1:2">
      <c r="A33349" s="3" t="str">
        <f>IFERROR(__xludf.DUMMYFUNCTION("GOOGLETRANSLATE(A33349,""en"",""pt"")"),"No navegador da Internet, exibir mais definitivamente não é para deficientes visuais.")</f>
        <v>No navegador da Internet, exibir mais definitivamente não é para deficientes visuais.</v>
      </c>
      <c r="B33349" s="3">
        <v>0</v>
      </c>
    </row>
    <row r="33350" ht="15.75" customHeight="1" spans="1:2">
      <c r="A33350" s="3" t="str">
        <f>IFERROR(__xludf.DUMMYFUNCTION("GOOGLETRANSLATE(A33350,""en"",""pt"")"),"Acessórios e peças são difíceis de encontrar.")</f>
        <v>Acessórios e peças são difíceis de encontrar.</v>
      </c>
      <c r="B33350" s="3">
        <v>0</v>
      </c>
    </row>
    <row r="33351" ht="15.75" customHeight="1" spans="1:2">
      <c r="A33351" s="3" t="str">
        <f>IFERROR(__xludf.DUMMYFUNCTION("GOOGLETRANSLATE(A33351,""en"",""pt"")"),"Viva-voz não alto o suficiente para ser usado ao ar livre ou em um carro")</f>
        <v>Viva-voz não alto o suficiente para ser usado ao ar livre ou em um carro</v>
      </c>
      <c r="B33351" s="3">
        <v>0</v>
      </c>
    </row>
    <row r="33352" ht="15.75" customHeight="1" spans="1:2">
      <c r="A33352" s="3" t="str">
        <f>IFERROR(__xludf.DUMMYFUNCTION("GOOGLETRANSLATE(A33352,""en"",""pt"")"),"O viva-voz não transformar-se alto o suficiente e fica ilegível.")</f>
        <v>O viva-voz não transformar-se alto o suficiente e fica ilegível.</v>
      </c>
      <c r="B33352" s="3">
        <v>0</v>
      </c>
    </row>
    <row r="33353" ht="15.75" customHeight="1" spans="1:2">
      <c r="A33353" s="3" t="str">
        <f>IFERROR(__xludf.DUMMYFUNCTION("GOOGLETRANSLATE(A33353,""en"",""pt"")"),"Botões pequenos")</f>
        <v>Botões pequenos</v>
      </c>
      <c r="B33353" s="3">
        <v>0</v>
      </c>
    </row>
    <row r="33354" ht="15.75" customHeight="1" spans="1:2">
      <c r="A33354" s="3" t="str">
        <f>IFERROR(__xludf.DUMMYFUNCTION("GOOGLETRANSLATE(A33354,""en"",""pt"")"),"Não construído em clipe de cinto, não pode usar as mãos livres durante o carregamento do telefone.")</f>
        <v>Não construído em clipe de cinto, não pode usar as mãos livres durante o carregamento do telefone.</v>
      </c>
      <c r="B33354" s="3">
        <v>0</v>
      </c>
    </row>
    <row r="33355" ht="15.75" customHeight="1" spans="1:2">
      <c r="A33355" s="3" t="str">
        <f>IFERROR(__xludf.DUMMYFUNCTION("GOOGLETRANSLATE(A33355,""en"",""pt"")"),"não tão fácil como Motorola para procurar números, viva-voz não alto o suficiente")</f>
        <v>não tão fácil como Motorola para procurar números, viva-voz não alto o suficiente</v>
      </c>
      <c r="B33355" s="3">
        <v>0</v>
      </c>
    </row>
    <row r="33356" ht="15.75" customHeight="1" spans="1:2">
      <c r="A33356" s="3" t="str">
        <f>IFERROR(__xludf.DUMMYFUNCTION("GOOGLETRANSLATE(A33356,""en"",""pt"")"),"muito claro")</f>
        <v>muito claro</v>
      </c>
      <c r="B33356" s="3">
        <v>0</v>
      </c>
    </row>
    <row r="33357" ht="15.75" customHeight="1" spans="1:2">
      <c r="A33357" s="3" t="str">
        <f>IFERROR(__xludf.DUMMYFUNCTION("GOOGLETRANSLATE(A33357,""en"",""pt"")"),"Não web habilitado como eu preciso de qualquer maneira eu tenho um pc")</f>
        <v>Não web habilitado como eu preciso de qualquer maneira eu tenho um pc</v>
      </c>
      <c r="B33357" s="3">
        <v>0</v>
      </c>
    </row>
    <row r="33358" ht="15.75" customHeight="1" spans="1:2">
      <c r="A33358" s="3" t="str">
        <f>IFERROR(__xludf.DUMMYFUNCTION("GOOGLETRANSLATE(A33358,""en"",""pt"")"),"Bateria fica muito quente depois de falar por longos períodos.")</f>
        <v>Bateria fica muito quente depois de falar por longos períodos.</v>
      </c>
      <c r="B33358" s="3">
        <v>0</v>
      </c>
    </row>
    <row r="33359" ht="15.75" customHeight="1" spans="1:2">
      <c r="A33359" s="3" t="str">
        <f>IFERROR(__xludf.DUMMYFUNCTION("GOOGLETRANSLATE(A33359,""en"",""pt"")"),"poderia ser menor, oi-tech para 2001, alguns sinos e assobios")</f>
        <v>poderia ser menor, oi-tech para 2001, alguns sinos e assobios</v>
      </c>
      <c r="B33359" s="3">
        <v>0</v>
      </c>
    </row>
    <row r="33360" ht="15.75" customHeight="1" spans="1:2">
      <c r="A33360" s="3" t="str">
        <f>IFERROR(__xludf.DUMMYFUNCTION("GOOGLETRANSLATE(A33360,""en"",""pt"")"),"Demasiada telefone, você vai navegar na Internet a partir de um telefone?")</f>
        <v>Demasiada telefone, você vai navegar na Internet a partir de um telefone?</v>
      </c>
      <c r="B33360" s="3">
        <v>0</v>
      </c>
    </row>
    <row r="33361" ht="15.75" customHeight="1" spans="1:2">
      <c r="A33361" s="3" t="str">
        <f>IFERROR(__xludf.DUMMYFUNCTION("GOOGLETRANSLATE(A33361,""en"",""pt"")"),"Nenhum")</f>
        <v>Nenhum</v>
      </c>
      <c r="B33361" s="3">
        <v>0</v>
      </c>
    </row>
    <row r="33362" ht="15.75" customHeight="1" spans="1:2">
      <c r="A33362" s="3" t="str">
        <f>IFERROR(__xludf.DUMMYFUNCTION("GOOGLETRANSLATE(A33362,""en"",""pt"")"),"Gobs o' características pode ser um pouco esmagadora na primeira.")</f>
        <v>Gobs o' características pode ser um pouco esmagadora na primeira.</v>
      </c>
      <c r="B33362" s="3">
        <v>0</v>
      </c>
    </row>
    <row r="33363" ht="15.75" customHeight="1" spans="1:2">
      <c r="A33363" s="3" t="str">
        <f>IFERROR(__xludf.DUMMYFUNCTION("GOOGLETRANSLATE(A33363,""en"",""pt"")"),"Para a pessoa média, há muitos recursos que você não vai precisar usar.")</f>
        <v>Para a pessoa média, há muitos recursos que você não vai precisar usar.</v>
      </c>
      <c r="B33363" s="3">
        <v>0</v>
      </c>
    </row>
    <row r="33364" ht="15.75" customHeight="1" spans="1:2">
      <c r="A33364" s="3" t="str">
        <f>IFERROR(__xludf.DUMMYFUNCTION("GOOGLETRANSLATE(A33364,""en"",""pt"")"),"Viva-voz abafada, se previsto, nenhum timer, pode ter mais recursos do que você vai precisar")</f>
        <v>Viva-voz abafada, se previsto, nenhum timer, pode ter mais recursos do que você vai precisar</v>
      </c>
      <c r="B33364" s="3">
        <v>0</v>
      </c>
    </row>
    <row r="33365" ht="15.75" customHeight="1" spans="1:2">
      <c r="A33365" s="3" t="str">
        <f>IFERROR(__xludf.DUMMYFUNCTION("GOOGLETRANSLATE(A33365,""en"",""pt"")"),"Caro, é claro")</f>
        <v>Caro, é claro</v>
      </c>
      <c r="B33365" s="3">
        <v>0</v>
      </c>
    </row>
    <row r="33366" ht="15.75" customHeight="1" spans="1:2">
      <c r="A33366" s="3" t="str">
        <f>IFERROR(__xludf.DUMMYFUNCTION("GOOGLETRANSLATE(A33366,""en"",""pt"")"),"Custo")</f>
        <v>Custo</v>
      </c>
      <c r="B33366" s="3">
        <v>0</v>
      </c>
    </row>
    <row r="33367" ht="15.75" customHeight="1" spans="1:2">
      <c r="A33367" s="3" t="str">
        <f>IFERROR(__xludf.DUMMYFUNCTION("GOOGLETRANSLATE(A33367,""en"",""pt"")"),"do menu são confuso, especialmente se você é um usuário do ex-Nokia.")</f>
        <v>do menu são confuso, especialmente se você é um usuário do ex-Nokia.</v>
      </c>
      <c r="B33367" s="3">
        <v>0</v>
      </c>
    </row>
    <row r="33368" ht="15.75" customHeight="1" spans="1:2">
      <c r="A33368" s="3" t="str">
        <f>IFERROR(__xludf.DUMMYFUNCTION("GOOGLETRANSLATE(A33368,""en"",""pt"")"),"Eu encontrei nenhum. Talvez um toque ligeiramente irritante.")</f>
        <v>Eu encontrei nenhum. Talvez um toque ligeiramente irritante.</v>
      </c>
      <c r="B33368" s="3">
        <v>0</v>
      </c>
    </row>
    <row r="33369" ht="15.75" customHeight="1" spans="1:2">
      <c r="A33369" s="3" t="str">
        <f>IFERROR(__xludf.DUMMYFUNCTION("GOOGLETRANSLATE(A33369,""en"",""pt"")"),"Muito confuso, uma má recepção, muito frágil.")</f>
        <v>Muito confuso, uma má recepção, muito frágil.</v>
      </c>
      <c r="B33369" s="3">
        <v>0</v>
      </c>
    </row>
    <row r="33370" ht="15.75" customHeight="1" spans="1:2">
      <c r="A33370" s="3" t="str">
        <f>IFERROR(__xludf.DUMMYFUNCTION("GOOGLETRANSLATE(A33370,""en"",""pt"")"),"Preço")</f>
        <v>Preço</v>
      </c>
      <c r="B33370" s="3">
        <v>0</v>
      </c>
    </row>
    <row r="33371" ht="15.75" customHeight="1" spans="1:2">
      <c r="A33371" s="3" t="str">
        <f>IFERROR(__xludf.DUMMYFUNCTION("GOOGLETRANSLATE(A33371,""en"",""pt"")"),"custo na extremidade superior de modelos")</f>
        <v>custo na extremidade superior de modelos</v>
      </c>
      <c r="B33371" s="3">
        <v>0</v>
      </c>
    </row>
    <row r="33372" ht="15.75" customHeight="1" spans="1:2">
      <c r="A33372" s="3" t="str">
        <f>IFERROR(__xludf.DUMMYFUNCTION("GOOGLETRANSLATE(A33372,""en"",""pt"")"),"Não é muito pequeno, parece muito com a Nokia, livro pobre instrução")</f>
        <v>Não é muito pequeno, parece muito com a Nokia, livro pobre instrução</v>
      </c>
      <c r="B33372" s="3">
        <v>0</v>
      </c>
    </row>
    <row r="33373" ht="15.75" customHeight="1" spans="1:2">
      <c r="A33373" s="3" t="str">
        <f>IFERROR(__xludf.DUMMYFUNCTION("GOOGLETRANSLATE(A33373,""en"",""pt"")"),"algumas escolhas anel")</f>
        <v>algumas escolhas anel</v>
      </c>
      <c r="B33373" s="3">
        <v>0</v>
      </c>
    </row>
    <row r="33374" ht="15.75" customHeight="1" spans="1:2">
      <c r="A33374" s="3" t="str">
        <f>IFERROR(__xludf.DUMMYFUNCTION("GOOGLETRANSLATE(A33374,""en"",""pt"")"),"Caro, a curva de aprendizado, antena frágil")</f>
        <v>Caro, a curva de aprendizado, antena frágil</v>
      </c>
      <c r="B33374" s="3">
        <v>0</v>
      </c>
    </row>
    <row r="33375" ht="15.75" customHeight="1" spans="1:2">
      <c r="A33375" s="3" t="str">
        <f>IFERROR(__xludf.DUMMYFUNCTION("GOOGLETRANSLATE(A33375,""en"",""pt"")"),"Preço e tamanho")</f>
        <v>Preço e tamanho</v>
      </c>
      <c r="B33375" s="3">
        <v>0</v>
      </c>
    </row>
    <row r="33376" ht="15.75" customHeight="1" spans="1:2">
      <c r="A33376" s="3" t="str">
        <f>IFERROR(__xludf.DUMMYFUNCTION("GOOGLETRANSLATE(A33376,""en"",""pt"")"),"alguma da organização do menu, nenhuma área endereço em contatos,")</f>
        <v>alguma da organização do menu, nenhuma área endereço em contatos,</v>
      </c>
      <c r="B33376" s="3">
        <v>0</v>
      </c>
    </row>
    <row r="33377" ht="15.75" customHeight="1" spans="1:2">
      <c r="A33377" s="3" t="str">
        <f>IFERROR(__xludf.DUMMYFUNCTION("GOOGLETRANSLATE(A33377,""en"",""pt"")"),"pequenos aborrecimentos para viciados em telefone")</f>
        <v>pequenos aborrecimentos para viciados em telefone</v>
      </c>
      <c r="B33377" s="3">
        <v>0</v>
      </c>
    </row>
    <row r="33378" ht="15.75" customHeight="1" spans="1:2">
      <c r="A33378" s="3" t="str">
        <f>IFERROR(__xludf.DUMMYFUNCTION("GOOGLETRANSLATE(A33378,""en"",""pt"")"),"telefone de espessura, especialmente com um estojo de couro diante. comutação entre o modo lento digital e analógico.")</f>
        <v>telefone de espessura, especialmente com um estojo de couro diante. comutação entre o modo lento digital e analógico.</v>
      </c>
      <c r="B33378" s="3">
        <v>0</v>
      </c>
    </row>
    <row r="33379" ht="15.75" customHeight="1" spans="1:2">
      <c r="A33379" s="3" t="str">
        <f>IFERROR(__xludf.DUMMYFUNCTION("GOOGLETRANSLATE(A33379,""en"",""pt"")"),"Não tão fácil de usar")</f>
        <v>Não tão fácil de usar</v>
      </c>
      <c r="B33379" s="3">
        <v>0</v>
      </c>
    </row>
    <row r="33380" ht="15.75" customHeight="1" spans="1:2">
      <c r="A33380" s="3" t="str">
        <f>IFERROR(__xludf.DUMMYFUNCTION("GOOGLETRANSLATE(A33380,""en"",""pt"")"),"Oblongo e forma estranha")</f>
        <v>Oblongo e forma estranha</v>
      </c>
      <c r="B33380" s="3">
        <v>0</v>
      </c>
    </row>
    <row r="33381" ht="15.75" customHeight="1" spans="1:2">
      <c r="A33381" s="3" t="str">
        <f>IFERROR(__xludf.DUMMYFUNCTION("GOOGLETRANSLATE(A33381,""en"",""pt"")"),"Menor Software Glitch, Menu potencialmente confuso")</f>
        <v>Menor Software Glitch, Menu potencialmente confuso</v>
      </c>
      <c r="B33381" s="3">
        <v>0</v>
      </c>
    </row>
    <row r="33382" ht="15.75" customHeight="1" spans="1:2">
      <c r="A33382" s="3" t="str">
        <f>IFERROR(__xludf.DUMMYFUNCTION("GOOGLETRANSLATE(A33382,""en"",""pt"")"),"alguns CDMA eco questões. características enigmático não são tão grandes.")</f>
        <v>alguns CDMA eco questões. características enigmático não são tão grandes.</v>
      </c>
      <c r="B33382" s="3">
        <v>0</v>
      </c>
    </row>
    <row r="33383" ht="15.75" customHeight="1" spans="1:2">
      <c r="A33383" s="3" t="str">
        <f>IFERROR(__xludf.DUMMYFUNCTION("GOOGLETRANSLATE(A33383,""en"",""pt"")"),"preço?")</f>
        <v>preço?</v>
      </c>
      <c r="B33383" s="3">
        <v>0</v>
      </c>
    </row>
    <row r="33384" ht="15.75" customHeight="1" spans="1:2">
      <c r="A33384" s="3" t="str">
        <f>IFERROR(__xludf.DUMMYFUNCTION("GOOGLETRANSLATE(A33384,""en"",""pt"")"),"Às vezes fraca recepção, a qualidade do som é decente, mas não fantástica")</f>
        <v>Às vezes fraca recepção, a qualidade do som é decente, mas não fantástica</v>
      </c>
      <c r="B33384" s="3">
        <v>0</v>
      </c>
    </row>
    <row r="33385" ht="15.75" customHeight="1" spans="1:2">
      <c r="A33385" s="3" t="str">
        <f>IFERROR(__xludf.DUMMYFUNCTION("GOOGLETRANSLATE(A33385,""en"",""pt"")"),"grande tamanho pequeno e nenhum material aftermarket")</f>
        <v>grande tamanho pequeno e nenhum material aftermarket</v>
      </c>
      <c r="B33385" s="3">
        <v>0</v>
      </c>
    </row>
    <row r="33386" ht="15.75" customHeight="1" spans="1:2">
      <c r="A33386" s="3" t="str">
        <f>IFERROR(__xludf.DUMMYFUNCTION("GOOGLETRANSLATE(A33386,""en"",""pt"")"),"Tamanho, tipo desajeitado olhando, Sinal fraco, por vezes,")</f>
        <v>Tamanho, tipo desajeitado olhando, Sinal fraco, por vezes,</v>
      </c>
      <c r="B33386" s="3">
        <v>0</v>
      </c>
    </row>
    <row r="33387" ht="15.75" customHeight="1" spans="1:2">
      <c r="A33387" s="3" t="str">
        <f>IFERROR(__xludf.DUMMYFUNCTION("GOOGLETRANSLATE(A33387,""en"",""pt"")"),"MUITO Força Pobre Signal, Custo")</f>
        <v>MUITO Força Pobre Signal, Custo</v>
      </c>
      <c r="B33387" s="3">
        <v>0</v>
      </c>
    </row>
    <row r="33388" ht="15.75" customHeight="1" spans="1:2">
      <c r="A33388" s="3" t="str">
        <f>IFERROR(__xludf.DUMMYFUNCTION("GOOGLETRANSLATE(A33388,""en"",""pt"")"),"Preço Alto")</f>
        <v>Preço Alto</v>
      </c>
      <c r="B33388" s="3">
        <v>0</v>
      </c>
    </row>
    <row r="33389" ht="15.75" customHeight="1" spans="1:2">
      <c r="A33389" s="3" t="str">
        <f>IFERROR(__xludf.DUMMYFUNCTION("GOOGLETRANSLATE(A33389,""en"",""pt"")"),"não built-in PDA")</f>
        <v>não built-in PDA</v>
      </c>
      <c r="B33389" s="3">
        <v>0</v>
      </c>
    </row>
    <row r="33390" ht="15.75" customHeight="1" spans="1:2">
      <c r="A33390" s="3" t="str">
        <f>IFERROR(__xludf.DUMMYFUNCTION("GOOGLETRANSLATE(A33390,""en"",""pt"")"),"Longo do comprimento, menos de rede adequada")</f>
        <v>Longo do comprimento, menos de rede adequada</v>
      </c>
      <c r="B33390" s="3">
        <v>0</v>
      </c>
    </row>
    <row r="33391" ht="15.75" customHeight="1" spans="1:2">
      <c r="A33391" s="3" t="str">
        <f>IFERROR(__xludf.DUMMYFUNCTION("GOOGLETRANSLATE(A33391,""en"",""pt"")"),"Chorudas, um menu confuso, e NÃO DOWNLOADABLE TOQUES!")</f>
        <v>Chorudas, um menu confuso, e NÃO DOWNLOADABLE TOQUES!</v>
      </c>
      <c r="B33391" s="3">
        <v>0</v>
      </c>
    </row>
    <row r="33392" ht="15.75" customHeight="1" spans="1:2">
      <c r="A33392" s="3" t="str">
        <f>IFERROR(__xludf.DUMMYFUNCTION("GOOGLETRANSLATE(A33392,""en"",""pt"")"),"um pouco caro, a vida da bateria não é tão longa (conversação)")</f>
        <v>um pouco caro, a vida da bateria não é tão longa (conversação)</v>
      </c>
      <c r="B33392" s="3">
        <v>0</v>
      </c>
    </row>
    <row r="33393" ht="15.75" customHeight="1" spans="1:2">
      <c r="A33393" s="3" t="str">
        <f>IFERROR(__xludf.DUMMYFUNCTION("GOOGLETRANSLATE(A33393,""en"",""pt"")"),"rede da Sprint precisa adicionar cobertura digital adicional.")</f>
        <v>rede da Sprint precisa adicionar cobertura digital adicional.</v>
      </c>
      <c r="B33393" s="3">
        <v>0</v>
      </c>
    </row>
    <row r="33394" ht="15.75" customHeight="1" spans="1:2">
      <c r="A33394" s="3" t="str">
        <f>IFERROR(__xludf.DUMMYFUNCTION("GOOGLETRANSLATE(A33394,""en"",""pt"")"),"desgraças viva-voz, bateria descarrega como louco quando no modo analógico")</f>
        <v>desgraças viva-voz, bateria descarrega como louco quando no modo analógico</v>
      </c>
      <c r="B33394" s="3">
        <v>0</v>
      </c>
    </row>
    <row r="33395" ht="15.75" customHeight="1" spans="1:2">
      <c r="A33395" s="3" t="str">
        <f>IFERROR(__xludf.DUMMYFUNCTION("GOOGLETRANSLATE(A33395,""en"",""pt"")"),"qualidade horrível som, terrível viva-voz, muito longo tempos de ciclo de energia, retire a antena")</f>
        <v>qualidade horrível som, terrível viva-voz, muito longo tempos de ciclo de energia, retire a antena</v>
      </c>
      <c r="B33395" s="3">
        <v>0</v>
      </c>
    </row>
    <row r="33396" ht="15.75" customHeight="1" spans="1:2">
      <c r="A33396" s="3" t="str">
        <f>IFERROR(__xludf.DUMMYFUNCTION("GOOGLETRANSLATE(A33396,""en"",""pt"")"),"um pouco maior do que o SCP-4000")</f>
        <v>um pouco maior do que o SCP-4000</v>
      </c>
      <c r="B33396" s="3">
        <v>0</v>
      </c>
    </row>
    <row r="33397" ht="15.75" customHeight="1" spans="1:2">
      <c r="A33397" s="3" t="str">
        <f>IFERROR(__xludf.DUMMYFUNCTION("GOOGLETRANSLATE(A33397,""en"",""pt"")"),"Não inclui suporte de carga, não pode ouvir-se quando se fala.")</f>
        <v>Não inclui suporte de carga, não pode ouvir-se quando se fala.</v>
      </c>
      <c r="B33397" s="3">
        <v>0</v>
      </c>
    </row>
    <row r="33398" ht="15.75" customHeight="1" spans="1:2">
      <c r="A33398" s="3" t="str">
        <f>IFERROR(__xludf.DUMMYFUNCTION("GOOGLETRANSLATE(A33398,""en"",""pt"")"),"um pouco esmagadora para as pessoas que não tiveram um telefone celular antes")</f>
        <v>um pouco esmagadora para as pessoas que não tiveram um telefone celular antes</v>
      </c>
      <c r="B33398" s="3">
        <v>0</v>
      </c>
    </row>
    <row r="33399" ht="15.75" customHeight="1" spans="1:2">
      <c r="A33399" s="3" t="str">
        <f>IFERROR(__xludf.DUMMYFUNCTION("GOOGLETRANSLATE(A33399,""en"",""pt"")"),"um pouco caro, como telefones ir, mas compara com modelos muito de preço mais elevadas.")</f>
        <v>um pouco caro, como telefones ir, mas compara com modelos muito de preço mais elevadas.</v>
      </c>
      <c r="B33399" s="3">
        <v>0</v>
      </c>
    </row>
    <row r="33400" ht="15.75" customHeight="1" spans="1:2">
      <c r="A33400" s="3" t="str">
        <f>IFERROR(__xludf.DUMMYFUNCTION("GOOGLETRANSLATE(A33400,""en"",""pt"")"),"teclado facilmente activada, apesar de que pode ser substituído com um fácil de encontrar KeyGuard que transforma-los fora.")</f>
        <v>teclado facilmente activada, apesar de que pode ser substituído com um fácil de encontrar KeyGuard que transforma-los fora.</v>
      </c>
      <c r="B33400" s="3">
        <v>0</v>
      </c>
    </row>
    <row r="33401" ht="15.75" customHeight="1" spans="1:2">
      <c r="A33401" s="3" t="str">
        <f>IFERROR(__xludf.DUMMYFUNCTION("GOOGLETRANSLATE(A33401,""en"",""pt"")"),"Glitches recurso de voz")</f>
        <v>Glitches recurso de voz</v>
      </c>
      <c r="B33401" s="3">
        <v>0</v>
      </c>
    </row>
    <row r="33402" ht="15.75" customHeight="1" spans="1:2">
      <c r="A33402" s="3" t="str">
        <f>IFERROR(__xludf.DUMMYFUNCTION("GOOGLETRANSLATE(A33402,""en"",""pt"")"),"Deve ser tecnologicamente alfabetizada!")</f>
        <v>Deve ser tecnologicamente alfabetizada!</v>
      </c>
      <c r="B33402" s="3">
        <v>0</v>
      </c>
    </row>
    <row r="33403" ht="15.75" customHeight="1" spans="1:2">
      <c r="A33403" s="3" t="str">
        <f>IFERROR(__xludf.DUMMYFUNCTION("GOOGLETRANSLATE(A33403,""en"",""pt"")"),"Arranhões mostrar em caso de prata, listagem Menu não é lógico.")</f>
        <v>Arranhões mostrar em caso de prata, listagem Menu não é lógico.</v>
      </c>
      <c r="B33403" s="3">
        <v>0</v>
      </c>
    </row>
    <row r="33404" ht="15.75" customHeight="1" spans="1:2">
      <c r="A33404" s="3" t="str">
        <f>IFERROR(__xludf.DUMMYFUNCTION("GOOGLETRANSLATE(A33404,""en"",""pt"")"),"A vida da bateria é menos do que o esperado")</f>
        <v>A vida da bateria é menos do que o esperado</v>
      </c>
      <c r="B33404" s="3">
        <v>0</v>
      </c>
    </row>
    <row r="33405" ht="15.75" customHeight="1" spans="1:2">
      <c r="A33405" s="3" t="str">
        <f>IFERROR(__xludf.DUMMYFUNCTION("GOOGLETRANSLATE(A33405,""en"",""pt"")"),"Má recepção, bateria bastante fraco")</f>
        <v>Má recepção, bateria bastante fraco</v>
      </c>
      <c r="B33405" s="3">
        <v>0</v>
      </c>
    </row>
    <row r="33406" ht="15.75" customHeight="1" spans="1:2">
      <c r="A33406" s="3" t="str">
        <f>IFERROR(__xludf.DUMMYFUNCTION("GOOGLETRANSLATE(A33406,""en"",""pt"")"),"estendendo antena")</f>
        <v>estendendo antena</v>
      </c>
      <c r="B33406" s="3">
        <v>0</v>
      </c>
    </row>
    <row r="33407" ht="15.75" customHeight="1" spans="1:2">
      <c r="A33407" s="3" t="str">
        <f>IFERROR(__xludf.DUMMYFUNCTION("GOOGLETRANSLATE(A33407,""en"",""pt"")"),"Muito para fazer")</f>
        <v>Muito para fazer</v>
      </c>
      <c r="B33407" s="3">
        <v>0</v>
      </c>
    </row>
    <row r="33408" ht="15.75" customHeight="1" spans="1:2">
      <c r="A33408" s="3" t="str">
        <f>IFERROR(__xludf.DUMMYFUNCTION("GOOGLETRANSLATE(A33408,""en"",""pt"")"),"ativação de voz pobre com ruído de fundo. Pode ser demais telefone para alguns.")</f>
        <v>ativação de voz pobre com ruído de fundo. Pode ser demais telefone para alguns.</v>
      </c>
      <c r="B33408" s="3">
        <v>0</v>
      </c>
    </row>
    <row r="33409" ht="15.75" customHeight="1" spans="1:2">
      <c r="A33409" s="3" t="str">
        <f>IFERROR(__xludf.DUMMYFUNCTION("GOOGLETRANSLATE(A33409,""en"",""pt"")"),"se estiver usando por várias horas em uma fila, ele tende a ficar um pouco quente.")</f>
        <v>se estiver usando por várias horas em uma fila, ele tende a ficar um pouco quente.</v>
      </c>
      <c r="B33409" s="3">
        <v>0</v>
      </c>
    </row>
    <row r="33410" ht="15.75" customHeight="1" spans="1:2">
      <c r="A33410" s="3" t="str">
        <f>IFERROR(__xludf.DUMMYFUNCTION("GOOGLETRANSLATE(A33410,""en"",""pt"")"),"Grande e pode ser um pouco volumoso, discagem por voz não é muito grande.")</f>
        <v>Grande e pode ser um pouco volumoso, discagem por voz não é muito grande.</v>
      </c>
      <c r="B33410" s="3">
        <v>0</v>
      </c>
    </row>
    <row r="33411" ht="15.75" customHeight="1" spans="1:2">
      <c r="A33411" s="3" t="str">
        <f>IFERROR(__xludf.DUMMYFUNCTION("GOOGLETRANSLATE(A33411,""en"",""pt"")"),"Não tão compacto quanto um telefone flip.")</f>
        <v>Não tão compacto quanto um telefone flip.</v>
      </c>
      <c r="B33411" s="3">
        <v>0</v>
      </c>
    </row>
    <row r="33412" ht="15.75" customHeight="1" spans="1:2">
      <c r="A33412" s="3" t="str">
        <f>IFERROR(__xludf.DUMMYFUNCTION("GOOGLETRANSLATE(A33412,""en"",""pt"")"),"jogo Crabcatch me lembra da minha esposa.")</f>
        <v>jogo Crabcatch me lembra da minha esposa.</v>
      </c>
      <c r="B33412" s="3">
        <v>0</v>
      </c>
    </row>
    <row r="33413" ht="15.75" customHeight="1" spans="1:2">
      <c r="A33413" s="3" t="str">
        <f>IFERROR(__xludf.DUMMYFUNCTION("GOOGLETRANSLATE(A33413,""en"",""pt"")"),"Sem campainha + modo de vibração.")</f>
        <v>Sem campainha + modo de vibração.</v>
      </c>
      <c r="B33413" s="3">
        <v>0</v>
      </c>
    </row>
    <row r="33414" ht="15.75" customHeight="1" spans="1:2">
      <c r="A33414" s="3" t="str">
        <f>IFERROR(__xludf.DUMMYFUNCTION("GOOGLETRANSLATE(A33414,""en"",""pt"")"),"Hiper-sensível microfone. Ocasionais re-marca requerida.")</f>
        <v>Hiper-sensível microfone. Ocasionais re-marca requerida.</v>
      </c>
      <c r="B33414" s="3">
        <v>0</v>
      </c>
    </row>
    <row r="33415" ht="15.75" customHeight="1" spans="1:2">
      <c r="A33415" s="3" t="str">
        <f>IFERROR(__xludf.DUMMYFUNCTION("GOOGLETRANSLATE(A33415,""en"",""pt"")"),"Tamanho, texto T9")</f>
        <v>Tamanho, texto T9</v>
      </c>
      <c r="B33415" s="3">
        <v>0</v>
      </c>
    </row>
    <row r="33416" ht="15.75" customHeight="1" spans="1:2">
      <c r="A33416" s="3" t="str">
        <f>IFERROR(__xludf.DUMMYFUNCTION("GOOGLETRANSLATE(A33416,""en"",""pt"")"),"Não rádio")</f>
        <v>Não rádio</v>
      </c>
      <c r="B33416" s="3">
        <v>0</v>
      </c>
    </row>
    <row r="33417" ht="15.75" customHeight="1" spans="1:2">
      <c r="A33417" s="3" t="str">
        <f>IFERROR(__xludf.DUMMYFUNCTION("GOOGLETRANSLATE(A33417,""en"",""pt"")"),"Recepção, a vida da bateria, acessórios, CALOR !!!")</f>
        <v>Recepção, a vida da bateria, acessórios, CALOR !!!</v>
      </c>
      <c r="B33417" s="3">
        <v>0</v>
      </c>
    </row>
    <row r="33418" ht="15.75" customHeight="1" spans="1:2">
      <c r="A33418" s="3" t="str">
        <f>IFERROR(__xludf.DUMMYFUNCTION("GOOGLETRANSLATE(A33418,""en"",""pt"")"),"pobre viva-voz e desajeitado")</f>
        <v>pobre viva-voz e desajeitado</v>
      </c>
      <c r="B33418" s="3">
        <v>0</v>
      </c>
    </row>
    <row r="33419" ht="15.75" customHeight="1" spans="1:2">
      <c r="A33419" s="3" t="str">
        <f>IFERROR(__xludf.DUMMYFUNCTION("GOOGLETRANSLATE(A33419,""en"",""pt"")"),"apenas 2: sinal fraco, viva-voz nem sempre funciona corretamente")</f>
        <v>apenas 2: sinal fraco, viva-voz nem sempre funciona corretamente</v>
      </c>
      <c r="B33419" s="3">
        <v>0</v>
      </c>
    </row>
    <row r="33420" ht="15.75" customHeight="1" spans="1:2">
      <c r="A33420" s="3" t="str">
        <f>IFERROR(__xludf.DUMMYFUNCTION("GOOGLETRANSLATE(A33420,""en"",""pt"")"),"cara aberta permite que ele seja esmagado")</f>
        <v>cara aberta permite que ele seja esmagado</v>
      </c>
      <c r="B33420" s="3">
        <v>0</v>
      </c>
    </row>
    <row r="33421" ht="15.75" customHeight="1" spans="1:2">
      <c r="A33421" s="3" t="str">
        <f>IFERROR(__xludf.DUMMYFUNCTION("GOOGLETRANSLATE(A33421,""en"",""pt"")"),"preço")</f>
        <v>preço</v>
      </c>
      <c r="B33421" s="3">
        <v>0</v>
      </c>
    </row>
    <row r="33422" ht="15.75" customHeight="1" spans="1:2">
      <c r="A33422" s="3" t="str">
        <f>IFERROR(__xludf.DUMMYFUNCTION("GOOGLETRANSLATE(A33422,""en"",""pt"")"),"Terríveis ringtones.")</f>
        <v>Terríveis ringtones.</v>
      </c>
      <c r="B33422" s="3">
        <v>0</v>
      </c>
    </row>
    <row r="33423" ht="15.75" customHeight="1" spans="1:2">
      <c r="A33423" s="3" t="str">
        <f>IFERROR(__xludf.DUMMYFUNCTION("GOOGLETRANSLATE(A33423,""en"",""pt"")"),"Projetar um pouco robusto, embora ele não é grande, o seu muito grosso.")</f>
        <v>Projetar um pouco robusto, embora ele não é grande, o seu muito grosso.</v>
      </c>
      <c r="B33423" s="3">
        <v>0</v>
      </c>
    </row>
    <row r="33424" ht="15.75" customHeight="1" spans="1:2">
      <c r="A33424" s="3" t="str">
        <f>IFERROR(__xludf.DUMMYFUNCTION("GOOGLETRANSLATE(A33424,""en"",""pt"")"),"Características tornam complicados de usar.")</f>
        <v>Características tornam complicados de usar.</v>
      </c>
      <c r="B33424" s="3">
        <v>0</v>
      </c>
    </row>
    <row r="33425" ht="15.75" customHeight="1" spans="1:2">
      <c r="A33425" s="3" t="str">
        <f>IFERROR(__xludf.DUMMYFUNCTION("GOOGLETRANSLATE(A33425,""en"",""pt"")"),"Um pouco maior do que outros")</f>
        <v>Um pouco maior do que outros</v>
      </c>
      <c r="B33425" s="3">
        <v>0</v>
      </c>
    </row>
    <row r="33426" ht="15.75" customHeight="1" spans="1:2">
      <c r="A33426" s="3" t="str">
        <f>IFERROR(__xludf.DUMMYFUNCTION("GOOGLETRANSLATE(A33426,""en"",""pt"")"),"Um pouco longa / espessura em tamanho")</f>
        <v>Um pouco longa / espessura em tamanho</v>
      </c>
      <c r="B33426" s="3">
        <v>0</v>
      </c>
    </row>
    <row r="33427" ht="15.75" customHeight="1" spans="1:2">
      <c r="A33427" s="3" t="str">
        <f>IFERROR(__xludf.DUMMYFUNCTION("GOOGLETRANSLATE(A33427,""en"",""pt"")"),"Preço")</f>
        <v>Preço</v>
      </c>
      <c r="B33427" s="3">
        <v>0</v>
      </c>
    </row>
    <row r="33428" ht="15.75" customHeight="1" spans="1:2">
      <c r="A33428" s="3" t="str">
        <f>IFERROR(__xludf.DUMMYFUNCTION("GOOGLETRANSLATE(A33428,""en"",""pt"")"),"demora um pouco mais para ler e entender um pouco da programação, precisa de uma melhor escrita manual, mas você pode obtê-lo")</f>
        <v>demora um pouco mais para ler e entender um pouco da programação, precisa de uma melhor escrita manual, mas você pode obtê-lo</v>
      </c>
      <c r="B33428" s="3">
        <v>0</v>
      </c>
    </row>
    <row r="33429" ht="15.75" customHeight="1" spans="1:2">
      <c r="A33429" s="3" t="str">
        <f>IFERROR(__xludf.DUMMYFUNCTION("GOOGLETRANSLATE(A33429,""en"",""pt"")"),"NENHUM!!!")</f>
        <v>NENHUM!!!</v>
      </c>
      <c r="B33429" s="3">
        <v>0</v>
      </c>
    </row>
    <row r="33430" ht="15.75" customHeight="1" spans="1:2">
      <c r="A33430" s="3" t="str">
        <f>IFERROR(__xludf.DUMMYFUNCTION("GOOGLETRANSLATE(A33430,""en"",""pt"")"),"Nenhuma ferramenta de sincronização ainda")</f>
        <v>Nenhuma ferramenta de sincronização ainda</v>
      </c>
      <c r="B33430" s="3">
        <v>0</v>
      </c>
    </row>
    <row r="33431" ht="15.75" customHeight="1" spans="1:2">
      <c r="A33431" s="3" t="str">
        <f>IFERROR(__xludf.DUMMYFUNCTION("GOOGLETRANSLATE(A33431,""en"",""pt"")"),"só está disponível em placa de cara cromo")</f>
        <v>só está disponível em placa de cara cromo</v>
      </c>
      <c r="B33431" s="3">
        <v>0</v>
      </c>
    </row>
    <row r="33432" ht="15.75" customHeight="1" spans="1:2">
      <c r="A33432" s="3" t="str">
        <f>IFERROR(__xludf.DUMMYFUNCTION("GOOGLETRANSLATE(A33432,""en"",""pt"")"),"Má recepção de sinal !!!")</f>
        <v>Má recepção de sinal !!!</v>
      </c>
      <c r="B33432" s="3">
        <v>0</v>
      </c>
    </row>
    <row r="33433" ht="15.75" customHeight="1" spans="1:2">
      <c r="A33433" s="3" t="str">
        <f>IFERROR(__xludf.DUMMYFUNCTION("GOOGLETRANSLATE(A33433,""en"",""pt"")"),"antena delicada")</f>
        <v>antena delicada</v>
      </c>
      <c r="B33433" s="3">
        <v>0</v>
      </c>
    </row>
    <row r="33434" ht="15.75" customHeight="1" spans="1:2">
      <c r="A33434" s="3" t="str">
        <f>IFERROR(__xludf.DUMMYFUNCTION("GOOGLETRANSLATE(A33434,""en"",""pt"")"),"Caro, não vem com acessórios.")</f>
        <v>Caro, não vem com acessórios.</v>
      </c>
      <c r="B33434" s="3">
        <v>0</v>
      </c>
    </row>
    <row r="33435" ht="15.75" customHeight="1" spans="1:2">
      <c r="A33435" s="3" t="str">
        <f>IFERROR(__xludf.DUMMYFUNCTION("GOOGLETRANSLATE(A33435,""en"",""pt"")"),"forma inconveniente, uso alto-falante muito limitado")</f>
        <v>forma inconveniente, uso alto-falante muito limitado</v>
      </c>
      <c r="B33435" s="3">
        <v>0</v>
      </c>
    </row>
    <row r="33436" ht="15.75" customHeight="1" spans="1:2">
      <c r="A33436" s="3" t="str">
        <f>IFERROR(__xludf.DUMMYFUNCTION("GOOGLETRANSLATE(A33436,""en"",""pt"")"),"Nenhum que eu notei.")</f>
        <v>Nenhum que eu notei.</v>
      </c>
      <c r="B33436" s="3">
        <v>0</v>
      </c>
    </row>
    <row r="33437" ht="15.75" customHeight="1" spans="1:2">
      <c r="A33437" s="3" t="str">
        <f>IFERROR(__xludf.DUMMYFUNCTION("GOOGLETRANSLATE(A33437,""en"",""pt"")"),"Longo, o menu confuso")</f>
        <v>Longo, o menu confuso</v>
      </c>
      <c r="B33437" s="3">
        <v>0</v>
      </c>
    </row>
    <row r="33438" ht="15.75" customHeight="1" spans="1:2">
      <c r="A33438" s="3" t="str">
        <f>IFERROR(__xludf.DUMMYFUNCTION("GOOGLETRANSLATE(A33438,""en"",""pt"")"),"Speakerphone precisa de trabalho para o uso do carro")</f>
        <v>Speakerphone precisa de trabalho para o uso do carro</v>
      </c>
      <c r="B33438" s="3">
        <v>0</v>
      </c>
    </row>
    <row r="33439" ht="15.75" customHeight="1" spans="1:2">
      <c r="A33439" s="3" t="str">
        <f>IFERROR(__xludf.DUMMYFUNCTION("GOOGLETRANSLATE(A33439,""en"",""pt"")"),"Não construído em temporizadores")</f>
        <v>Não construído em temporizadores</v>
      </c>
      <c r="B33439" s="3">
        <v>0</v>
      </c>
    </row>
    <row r="33440" ht="15.75" customHeight="1" spans="1:2">
      <c r="A33440" s="3" t="str">
        <f>IFERROR(__xludf.DUMMYFUNCTION("GOOGLETRANSLATE(A33440,""en"",""pt"")"),"A partir de 2001/02/17 há um problema de chave de criptografia conhecido com navegação na web sem fio.")</f>
        <v>A partir de 2001/02/17 há um problema de chave de criptografia conhecido com navegação na web sem fio.</v>
      </c>
      <c r="B33440" s="3">
        <v>0</v>
      </c>
    </row>
    <row r="33441" ht="15.75" customHeight="1" spans="1:2">
      <c r="A33441" s="3" t="str">
        <f>IFERROR(__xludf.DUMMYFUNCTION("GOOGLETRANSLATE(A33441,""en"",""pt"")"),"Ainda tem que usar o microondas para COOK PIPOCA (até o SCP-5000?)")</f>
        <v>Ainda tem que usar o microondas para COOK PIPOCA (até o SCP-5000?)</v>
      </c>
      <c r="B33441" s="3">
        <v>0</v>
      </c>
    </row>
    <row r="33442" ht="15.75" customHeight="1" spans="1:2">
      <c r="A33442" s="3" t="str">
        <f>IFERROR(__xludf.DUMMYFUNCTION("GOOGLETRANSLATE(A33442,""en"",""pt"")"),"forma Squareish, caro.")</f>
        <v>forma Squareish, caro.</v>
      </c>
      <c r="B33442" s="3">
        <v>0</v>
      </c>
    </row>
    <row r="33443" ht="15.75" customHeight="1" spans="1:2">
      <c r="A33443" s="3" t="str">
        <f>IFERROR(__xludf.DUMMYFUNCTION("GOOGLETRANSLATE(A33443,""en"",""pt"")"),"Antena é um pouco frágil.")</f>
        <v>Antena é um pouco frágil.</v>
      </c>
      <c r="B33443" s="3">
        <v>0</v>
      </c>
    </row>
    <row r="33444" ht="15.75" customHeight="1" spans="1:2">
      <c r="A33444" s="3" t="str">
        <f>IFERROR(__xludf.DUMMYFUNCTION("GOOGLETRANSLATE(A33444,""en"",""pt"")"),"por vezes difícil de ouvir as pessoas, viva-voz tem problemas de vez em quando")</f>
        <v>por vezes difícil de ouvir as pessoas, viva-voz tem problemas de vez em quando</v>
      </c>
      <c r="B33444" s="3">
        <v>0</v>
      </c>
    </row>
    <row r="33445" ht="15.75" customHeight="1" spans="1:2">
      <c r="A33445" s="3" t="s">
        <v>188</v>
      </c>
      <c r="B33445" s="3">
        <v>0</v>
      </c>
    </row>
    <row r="33446" ht="15.75" customHeight="1" spans="1:2">
      <c r="A33446" s="3" t="str">
        <f>IFERROR(__xludf.DUMMYFUNCTION("GOOGLETRANSLATE(A33446,""en"",""pt"")"),"não pode ter vibrar e toque em ao mesmo tempo")</f>
        <v>não pode ter vibrar e toque em ao mesmo tempo</v>
      </c>
      <c r="B33446" s="3">
        <v>0</v>
      </c>
    </row>
    <row r="33447" ht="15.75" customHeight="1" spans="1:2">
      <c r="A33447" s="3" t="str">
        <f>IFERROR(__xludf.DUMMYFUNCTION("GOOGLETRANSLATE(A33447,""en"",""pt"")"),"sem relógio, sem cronómetro")</f>
        <v>sem relógio, sem cronómetro</v>
      </c>
      <c r="B33447" s="3">
        <v>0</v>
      </c>
    </row>
    <row r="33448" ht="15.75" customHeight="1" spans="1:2">
      <c r="A33448" s="3" t="str">
        <f>IFERROR(__xludf.DUMMYFUNCTION("GOOGLETRANSLATE(A33448,""en"",""pt"")"),"Horrível e eu quero dizer a qualidade do som horrível. Você não pode ouvir o partido que você chamou.")</f>
        <v>Horrível e eu quero dizer a qualidade do som horrível. Você não pode ouvir o partido que você chamou.</v>
      </c>
      <c r="B33448" s="3">
        <v>0</v>
      </c>
    </row>
    <row r="33449" ht="15.75" customHeight="1" spans="1:2">
      <c r="A33449" s="3" t="str">
        <f>IFERROR(__xludf.DUMMYFUNCTION("GOOGLETRANSLATE(A33449,""en"",""pt"")"),"antena frágil")</f>
        <v>antena frágil</v>
      </c>
      <c r="B33449" s="3">
        <v>0</v>
      </c>
    </row>
    <row r="33450" ht="15.75" customHeight="1" spans="1:2">
      <c r="A33450" s="3" t="str">
        <f>IFERROR(__xludf.DUMMYFUNCTION("GOOGLETRANSLATE(A33450,""en"",""pt"")"),"não se dobra para cima, um pouco maior do que a concorrência.")</f>
        <v>não se dobra para cima, um pouco maior do que a concorrência.</v>
      </c>
      <c r="B33450" s="3">
        <v>0</v>
      </c>
    </row>
    <row r="33451" ht="15.75" customHeight="1" spans="1:2">
      <c r="A33451" s="3" t="str">
        <f>IFERROR(__xludf.DUMMYFUNCTION("GOOGLETRANSLATE(A33451,""en"",""pt"")"),"A vida da bateria, talvez grande para alguns, o texto é grande e aparência rude")</f>
        <v>A vida da bateria, talvez grande para alguns, o texto é grande e aparência rude</v>
      </c>
      <c r="B33451" s="3">
        <v>0</v>
      </c>
    </row>
    <row r="33452" ht="15.75" customHeight="1" spans="1:2">
      <c r="A33452" s="3" t="str">
        <f>IFERROR(__xludf.DUMMYFUNCTION("GOOGLETRANSLATE(A33452,""en"",""pt"")"),"quadro volumosos e cheesey cor prata")</f>
        <v>quadro volumosos e cheesey cor prata</v>
      </c>
      <c r="B33452" s="3">
        <v>0</v>
      </c>
    </row>
    <row r="33453" ht="15.75" customHeight="1" spans="1:2">
      <c r="A33453" s="3" t="str">
        <f>IFERROR(__xludf.DUMMYFUNCTION("GOOGLETRANSLATE(A33453,""en"",""pt"")"),"telescópica antena")</f>
        <v>telescópica antena</v>
      </c>
      <c r="B33453" s="3">
        <v>0</v>
      </c>
    </row>
    <row r="33454" ht="15.75" customHeight="1" spans="1:2">
      <c r="A33454" s="3" t="str">
        <f>IFERROR(__xludf.DUMMYFUNCTION("GOOGLETRANSLATE(A33454,""en"",""pt"")"),"forma e tamanho do telefone estranho")</f>
        <v>forma e tamanho do telefone estranho</v>
      </c>
      <c r="B33454" s="3">
        <v>0</v>
      </c>
    </row>
    <row r="33455" ht="15.75" customHeight="1" spans="1:2">
      <c r="A33455" s="3" t="str">
        <f>IFERROR(__xludf.DUMMYFUNCTION("GOOGLETRANSLATE(A33455,""en"",""pt"")"),"Não é tão compacta em comparação com telefones com flip, Display pequeno")</f>
        <v>Não é tão compacta em comparação com telefones com flip, Display pequeno</v>
      </c>
      <c r="B33455" s="3">
        <v>0</v>
      </c>
    </row>
    <row r="33456" ht="15.75" customHeight="1" spans="1:2">
      <c r="A33456" s="3" t="str">
        <f>IFERROR(__xludf.DUMMYFUNCTION("GOOGLETRANSLATE(A33456,""en"",""pt"")"),"No registo de chamadas, não pode personalizar os sons")</f>
        <v>No registo de chamadas, não pode personalizar os sons</v>
      </c>
      <c r="B33456" s="3">
        <v>0</v>
      </c>
    </row>
    <row r="33457" ht="15.75" customHeight="1" spans="1:2">
      <c r="A33457" s="3" t="str">
        <f>IFERROR(__xludf.DUMMYFUNCTION("GOOGLETRANSLATE(A33457,""en"",""pt"")"),"Eu vou deixar você saber se eu encontrar um !!")</f>
        <v>Eu vou deixar você saber se eu encontrar um !!</v>
      </c>
      <c r="B33457" s="3">
        <v>0</v>
      </c>
    </row>
    <row r="33458" ht="15.75" customHeight="1" spans="1:2">
      <c r="A33458" s="3" t="str">
        <f>IFERROR(__xludf.DUMMYFUNCTION("GOOGLETRANSLATE(A33458,""en"",""pt"")"),"precisar de mais recursos que o telefone comum tem.")</f>
        <v>precisar de mais recursos que o telefone comum tem.</v>
      </c>
      <c r="B33458" s="3">
        <v>0</v>
      </c>
    </row>
    <row r="33459" ht="15.75" customHeight="1" spans="1:2">
      <c r="A33459" s="3" t="str">
        <f>IFERROR(__xludf.DUMMYFUNCTION("GOOGLETRANSLATE(A33459,""en"",""pt"")"),"Não muitos jogos &amp; # 13; &amp; # 10; função de alarme Não (não tão importante)")</f>
        <v>Não muitos jogos &amp; # 13; &amp; # 10; função de alarme Não (não tão importante)</v>
      </c>
      <c r="B33459" s="3">
        <v>0</v>
      </c>
    </row>
    <row r="33460" ht="15.75" customHeight="1" spans="1:2">
      <c r="A33460" s="3" t="str">
        <f>IFERROR(__xludf.DUMMYFUNCTION("GOOGLETRANSLATE(A33460,""en"",""pt"")"),"web sem fio tem sido confiável da tarde")</f>
        <v>web sem fio tem sido confiável da tarde</v>
      </c>
      <c r="B33460" s="3">
        <v>0</v>
      </c>
    </row>
    <row r="33461" ht="15.75" customHeight="1" spans="1:2">
      <c r="A33461" s="3" t="str">
        <f>IFERROR(__xludf.DUMMYFUNCTION("GOOGLETRANSLATE(A33461,""en"",""pt"")"),"viva-voz ainda não aperfeiçoado.")</f>
        <v>viva-voz ainda não aperfeiçoado.</v>
      </c>
      <c r="B33461" s="3">
        <v>0</v>
      </c>
    </row>
    <row r="33462" ht="15.75" customHeight="1" spans="1:2">
      <c r="A33462" s="3" t="str">
        <f>IFERROR(__xludf.DUMMYFUNCTION("GOOGLETRANSLATE(A33462,""en"",""pt"")"),"Nenhum")</f>
        <v>Nenhum</v>
      </c>
      <c r="B33462" s="3">
        <v>0</v>
      </c>
    </row>
    <row r="33463" ht="15.75" customHeight="1" spans="1:2">
      <c r="A33463" s="3" t="str">
        <f>IFERROR(__xludf.DUMMYFUNCTION("GOOGLETRANSLATE(A33463,""en"",""pt"")"),"antenas leves, não para o tecnicamente desafiado.")</f>
        <v>antenas leves, não para o tecnicamente desafiado.</v>
      </c>
      <c r="B33463" s="3">
        <v>0</v>
      </c>
    </row>
    <row r="33464" ht="15.75" customHeight="1" spans="1:2">
      <c r="A33464" s="3" t="str">
        <f>IFERROR(__xludf.DUMMYFUNCTION("GOOGLETRANSLATE(A33464,""en"",""pt"")"),"Você começa o que você paga ... e você obtém um monte")</f>
        <v>Você começa o que você paga ... e você obtém um monte</v>
      </c>
      <c r="B33464" s="3">
        <v>0</v>
      </c>
    </row>
    <row r="33465" ht="15.75" customHeight="1" spans="1:2">
      <c r="A33465" s="3" t="str">
        <f>IFERROR(__xludf.DUMMYFUNCTION("GOOGLETRANSLATE(A33465,""en"",""pt"")"),"um pouco sobre o lado caro")</f>
        <v>um pouco sobre o lado caro</v>
      </c>
      <c r="B33465" s="3">
        <v>0</v>
      </c>
    </row>
    <row r="33466" ht="15.75" customHeight="1" spans="1:2">
      <c r="A33466" s="3" t="str">
        <f>IFERROR(__xludf.DUMMYFUNCTION("GOOGLETRANSLATE(A33466,""en"",""pt"")"),"Nenhum")</f>
        <v>Nenhum</v>
      </c>
      <c r="B33466" s="3">
        <v>0</v>
      </c>
    </row>
    <row r="33467" ht="15.75" customHeight="1" spans="1:2">
      <c r="A33467" s="3" t="str">
        <f>IFERROR(__xludf.DUMMYFUNCTION("GOOGLETRANSLATE(A33467,""en"",""pt"")"),"Sem temporizador!")</f>
        <v>Sem temporizador!</v>
      </c>
      <c r="B33467" s="3">
        <v>0</v>
      </c>
    </row>
    <row r="33468" ht="15.75" customHeight="1" spans="1:2">
      <c r="A33468" s="3" t="str">
        <f>IFERROR(__xludf.DUMMYFUNCTION("GOOGLETRANSLATE(A33468,""en"",""pt"")"),"voz irritante chamada")</f>
        <v>voz irritante chamada</v>
      </c>
      <c r="B33468" s="3">
        <v>0</v>
      </c>
    </row>
    <row r="33469" ht="15.75" customHeight="1" spans="1:2">
      <c r="A33469" s="3" t="str">
        <f>IFERROR(__xludf.DUMMYFUNCTION("GOOGLETRANSLATE(A33469,""en"",""pt"")"),"Nem sempre reconhecer comando de voz")</f>
        <v>Nem sempre reconhecer comando de voz</v>
      </c>
      <c r="B33469" s="3">
        <v>0</v>
      </c>
    </row>
    <row r="33470" ht="15.75" customHeight="1" spans="1:2">
      <c r="A33470" s="3" t="str">
        <f>IFERROR(__xludf.DUMMYFUNCTION("GOOGLETRANSLATE(A33470,""en"",""pt"")"),"Nenhum")</f>
        <v>Nenhum</v>
      </c>
      <c r="B33470" s="3">
        <v>0</v>
      </c>
    </row>
    <row r="33471" ht="15.75" customHeight="1" spans="1:2">
      <c r="A33471" s="3" t="str">
        <f>IFERROR(__xludf.DUMMYFUNCTION("GOOGLETRANSLATE(A33471,""en"",""pt"")"),"Carece de recursos, degrada exteriores")</f>
        <v>Carece de recursos, degrada exteriores</v>
      </c>
      <c r="B33471" s="3">
        <v>0</v>
      </c>
    </row>
    <row r="33472" ht="15.75" customHeight="1" spans="1:2">
      <c r="A33472" s="3" t="str">
        <f>IFERROR(__xludf.DUMMYFUNCTION("GOOGLETRANSLATE(A33472,""en"",""pt"")"),"adaptador AC Proprietary &amp; # 13; &amp; # 10; Não é possível baixar ringtones &amp; # 13;. &amp; # 10; não sincronia pc para livro de endereços &amp; # 13;. &amp; # 10;")</f>
        <v>adaptador AC Proprietary &amp; # 13; &amp; # 10; Não é possível baixar ringtones &amp; # 13;. &amp; # 10; não sincronia pc para livro de endereços &amp; # 13;. &amp; # 10;</v>
      </c>
      <c r="B33472" s="3">
        <v>0</v>
      </c>
    </row>
    <row r="33473" ht="15.75" customHeight="1" spans="1:2">
      <c r="A33473" s="3" t="str">
        <f>IFERROR(__xludf.DUMMYFUNCTION("GOOGLETRANSLATE(A33473,""en"",""pt"")"),"Alta de preços, telefone barato")</f>
        <v>Alta de preços, telefone barato</v>
      </c>
      <c r="B33473" s="3">
        <v>0</v>
      </c>
    </row>
    <row r="33474" ht="15.75" customHeight="1" spans="1:2">
      <c r="A33474" s="3" t="str">
        <f>IFERROR(__xludf.DUMMYFUNCTION("GOOGLETRANSLATE(A33474,""en"",""pt"")"),"não dura muito tempo; vida útil da bateria instável.")</f>
        <v>não dura muito tempo; vida útil da bateria instável.</v>
      </c>
      <c r="B33474" s="3">
        <v>0</v>
      </c>
    </row>
    <row r="33475" ht="15.75" customHeight="1" spans="1:2">
      <c r="A33475" s="3" t="str">
        <f>IFERROR(__xludf.DUMMYFUNCTION("GOOGLETRANSLATE(A33475,""en"",""pt"")"),"Alta de preços, telefone barato")</f>
        <v>Alta de preços, telefone barato</v>
      </c>
      <c r="B33475" s="3">
        <v>0</v>
      </c>
    </row>
    <row r="33476" ht="15.75" customHeight="1" spans="1:2">
      <c r="A33476" s="3" t="str">
        <f>IFERROR(__xludf.DUMMYFUNCTION("GOOGLETRANSLATE(A33476,""en"",""pt"")"),"Não confiável")</f>
        <v>Não confiável</v>
      </c>
      <c r="B33476" s="3">
        <v>0</v>
      </c>
    </row>
    <row r="33477" ht="15.75" customHeight="1" spans="1:2">
      <c r="A33477" s="3" t="str">
        <f>IFERROR(__xludf.DUMMYFUNCTION("GOOGLETRANSLATE(A33477,""en"",""pt"")"),"Viva-voz não funciona tão bem, nem faz marcação por voz.")</f>
        <v>Viva-voz não funciona tão bem, nem faz marcação por voz.</v>
      </c>
      <c r="B33477" s="3">
        <v>0</v>
      </c>
    </row>
    <row r="33478" ht="15.75" customHeight="1" spans="1:2">
      <c r="A33478" s="3" t="str">
        <f>IFERROR(__xludf.DUMMYFUNCTION("GOOGLETRANSLATE(A33478,""en"",""pt"")"),"Não é gratuito :(")</f>
        <v>Não é gratuito :(</v>
      </c>
      <c r="B33478" s="3">
        <v>0</v>
      </c>
    </row>
    <row r="33479" ht="15.75" customHeight="1" spans="1:2">
      <c r="A33479" s="3" t="str">
        <f>IFERROR(__xludf.DUMMYFUNCTION("GOOGLETRANSLATE(A33479,""en"",""pt"")"),"Forma quer escapar das minhas mãos por algum motivo.")</f>
        <v>Forma quer escapar das minhas mãos por algum motivo.</v>
      </c>
      <c r="B33479" s="3">
        <v>0</v>
      </c>
    </row>
    <row r="33480" ht="15.75" customHeight="1" spans="1:2">
      <c r="A33480" s="3" t="str">
        <f>IFERROR(__xludf.DUMMYFUNCTION("GOOGLETRANSLATE(A33480,""en"",""pt"")"),"O preço é um pouco alto, mas o que vale bem-lo.")</f>
        <v>O preço é um pouco alto, mas o que vale bem-lo.</v>
      </c>
      <c r="B33480" s="3">
        <v>0</v>
      </c>
    </row>
    <row r="33481" ht="15.75" customHeight="1" spans="1:2">
      <c r="A33481" s="3" t="str">
        <f>IFERROR(__xludf.DUMMYFUNCTION("GOOGLETRANSLATE(A33481,""en"",""pt"")"),"estojo de couro é barato")</f>
        <v>estojo de couro é barato</v>
      </c>
      <c r="B33481" s="3">
        <v>0</v>
      </c>
    </row>
    <row r="33482" ht="15.75" customHeight="1" spans="1:2">
      <c r="A33482" s="3" t="str">
        <f>IFERROR(__xludf.DUMMYFUNCTION("GOOGLETRANSLATE(A33482,""en"",""pt"")"),"um poder pouco de fome, bateria drena rapidamente. botão de navegação poderia usar um pouco tweeking.")</f>
        <v>um poder pouco de fome, bateria drena rapidamente. botão de navegação poderia usar um pouco tweeking.</v>
      </c>
      <c r="B33482" s="3">
        <v>0</v>
      </c>
    </row>
    <row r="33483" ht="15.75" customHeight="1" spans="1:2">
      <c r="A33483" s="3" t="str">
        <f>IFERROR(__xludf.DUMMYFUNCTION("GOOGLETRANSLATE(A33483,""en"",""pt"")"),"tamanho, porque no entanto aceitável de alto-falante embutido")</f>
        <v>tamanho, porque no entanto aceitável de alto-falante embutido</v>
      </c>
      <c r="B33483" s="3">
        <v>0</v>
      </c>
    </row>
    <row r="33484" ht="15.75" customHeight="1" spans="1:2">
      <c r="A33484" s="3" t="str">
        <f>IFERROR(__xludf.DUMMYFUNCTION("GOOGLETRANSLATE(A33484,""en"",""pt"")"),"pobre calibração w / sinal de força")</f>
        <v>pobre calibração w / sinal de força</v>
      </c>
      <c r="B33484" s="3">
        <v>0</v>
      </c>
    </row>
    <row r="33485" ht="15.75" customHeight="1" spans="1:2">
      <c r="A33485" s="3" t="str">
        <f>IFERROR(__xludf.DUMMYFUNCTION("GOOGLETRANSLATE(A33485,""en"",""pt"")"),"Custo.")</f>
        <v>Custo.</v>
      </c>
      <c r="B33485" s="3">
        <v>0</v>
      </c>
    </row>
    <row r="33486" ht="15.75" customHeight="1" spans="1:2">
      <c r="A33486" s="3" t="str">
        <f>IFERROR(__xludf.DUMMYFUNCTION("GOOGLETRANSLATE(A33486,""en"",""pt"")"),"nenhum eu posso pensar")</f>
        <v>nenhum eu posso pensar</v>
      </c>
      <c r="B33486" s="3">
        <v>0</v>
      </c>
    </row>
    <row r="33487" ht="15.75" customHeight="1" spans="1:2">
      <c r="A33487" s="3" t="str">
        <f>IFERROR(__xludf.DUMMYFUNCTION("GOOGLETRANSLATE(A33487,""en"",""pt"")"),"Não consigo pensar em um ....")</f>
        <v>Não consigo pensar em um ....</v>
      </c>
      <c r="B33487" s="3">
        <v>0</v>
      </c>
    </row>
    <row r="33488" ht="15.75" customHeight="1" spans="1:2">
      <c r="A33488" s="3" t="str">
        <f>IFERROR(__xludf.DUMMYFUNCTION("GOOGLETRANSLATE(A33488,""en"",""pt"")"),"Nenhum plug 2,5 mm para fone de ouvido de reposição, deve usar Nokia de.")</f>
        <v>Nenhum plug 2,5 mm para fone de ouvido de reposição, deve usar Nokia de.</v>
      </c>
      <c r="B33488" s="3">
        <v>0</v>
      </c>
    </row>
    <row r="33489" ht="15.75" customHeight="1" spans="1:2">
      <c r="A33489" s="3" t="str">
        <f>IFERROR(__xludf.DUMMYFUNCTION("GOOGLETRANSLATE(A33489,""en"",""pt"")"),"Não muito. Um casal nit-picking observações ...")</f>
        <v>Não muito. Um casal nit-picking observações ...</v>
      </c>
      <c r="B33489" s="3">
        <v>0</v>
      </c>
    </row>
    <row r="33490" ht="15.75" customHeight="1" spans="1:2">
      <c r="A33490" s="3" t="str">
        <f>IFERROR(__xludf.DUMMYFUNCTION("GOOGLETRANSLATE(A33490,""en"",""pt"")"),"muito pouco, pega ruído de fundo um pouco, mas pode ser minimizado. (Ver comentário)")</f>
        <v>muito pouco, pega ruído de fundo um pouco, mas pode ser minimizado. (Ver comentário)</v>
      </c>
      <c r="B33490" s="3">
        <v>0</v>
      </c>
    </row>
    <row r="33491" ht="15.75" customHeight="1" spans="1:2">
      <c r="A33491" s="3" t="str">
        <f>IFERROR(__xludf.DUMMYFUNCTION("GOOGLETRANSLATE(A33491,""en"",""pt"")"),"Não é um telefone 'pub'.")</f>
        <v>Não é um telefone 'pub'.</v>
      </c>
      <c r="B33491" s="3">
        <v>0</v>
      </c>
    </row>
    <row r="33492" ht="15.75" customHeight="1" spans="1:2">
      <c r="A33492" s="3" t="str">
        <f>IFERROR(__xludf.DUMMYFUNCTION("GOOGLETRANSLATE(A33492,""en"",""pt"")"),"nada ainda")</f>
        <v>nada ainda</v>
      </c>
      <c r="B33492" s="3">
        <v>0</v>
      </c>
    </row>
    <row r="33493" ht="15.75" customHeight="1" spans="1:2">
      <c r="A33493" s="3" t="str">
        <f>IFERROR(__xludf.DUMMYFUNCTION("GOOGLETRANSLATE(A33493,""en"",""pt"")"),"Nokia comercialização são, possivelmente, empurrando o pacote um pouco longe demais ....")</f>
        <v>Nokia comercialização são, possivelmente, empurrando o pacote um pouco longe demais ....</v>
      </c>
      <c r="B33493" s="3">
        <v>0</v>
      </c>
    </row>
    <row r="33494" ht="15.75" customHeight="1" spans="1:2">
      <c r="A33494" s="3" t="str">
        <f>IFERROR(__xludf.DUMMYFUNCTION("GOOGLETRANSLATE(A33494,""en"",""pt"")"),"campainha silencioso, vibração fraca, há screensavers, não faceplate replacable")</f>
        <v>campainha silencioso, vibração fraca, há screensavers, não faceplate replacable</v>
      </c>
      <c r="B33494" s="3">
        <v>0</v>
      </c>
    </row>
    <row r="33495" ht="15.75" customHeight="1" spans="1:2">
      <c r="A33495" s="3" t="str">
        <f>IFERROR(__xludf.DUMMYFUNCTION("GOOGLETRANSLATE(A33495,""en"",""pt"")"),"Não foi possível encontrar um, a menos que você sentir que pagando menos por mais um con.")</f>
        <v>Não foi possível encontrar um, a menos que você sentir que pagando menos por mais um con.</v>
      </c>
      <c r="B33495" s="3">
        <v>0</v>
      </c>
    </row>
    <row r="33496" ht="15.75" customHeight="1" spans="1:2">
      <c r="A33496" s="3" t="str">
        <f>IFERROR(__xludf.DUMMYFUNCTION("GOOGLETRANSLATE(A33496,""en"",""pt"")"),"suporte Bluetooth proprietário.")</f>
        <v>suporte Bluetooth proprietário.</v>
      </c>
      <c r="B33496" s="3">
        <v>0</v>
      </c>
    </row>
    <row r="33497" ht="15.75" customHeight="1" spans="1:2">
      <c r="A33497" s="3" t="str">
        <f>IFERROR(__xludf.DUMMYFUNCTION("GOOGLETRANSLATE(A33497,""en"",""pt"")"),"No ecrã a cores, ligeiramente maior do que a maioria dos telefones agora")</f>
        <v>No ecrã a cores, ligeiramente maior do que a maioria dos telefones agora</v>
      </c>
      <c r="B33497" s="3">
        <v>0</v>
      </c>
    </row>
    <row r="33498" ht="15.75" customHeight="1" spans="1:2">
      <c r="A33498" s="3" t="str">
        <f>IFERROR(__xludf.DUMMYFUNCTION("GOOGLETRANSLATE(A33498,""en"",""pt"")"),"Mais fraca captação de sinal do que os telefones 6xxx anteriores. Tranquila no kit carro.")</f>
        <v>Mais fraca captação de sinal do que os telefones 6xxx anteriores. Tranquila no kit carro.</v>
      </c>
      <c r="B33498" s="3">
        <v>0</v>
      </c>
    </row>
    <row r="33499" ht="15.75" customHeight="1" spans="1:2">
      <c r="A33499" s="3" t="str">
        <f>IFERROR(__xludf.DUMMYFUNCTION("GOOGLETRANSLATE(A33499,""en"",""pt"")"),"falta de antena")</f>
        <v>falta de antena</v>
      </c>
      <c r="B33499" s="3">
        <v>0</v>
      </c>
    </row>
    <row r="33500" ht="15.75" customHeight="1" spans="1:2">
      <c r="A33500" s="3" t="str">
        <f>IFERROR(__xludf.DUMMYFUNCTION("GOOGLETRANSLATE(A33500,""en"",""pt"")"),"datado")</f>
        <v>datado</v>
      </c>
      <c r="B33500" s="3">
        <v>0</v>
      </c>
    </row>
    <row r="33501" ht="15.75" customHeight="1" spans="1:2">
      <c r="A33501" s="3" t="str">
        <f>IFERROR(__xludf.DUMMYFUNCTION("GOOGLETRANSLATE(A33501,""en"",""pt"")"),"Monochrome tela, tijolo, não MMS / e-mail")</f>
        <v>Monochrome tela, tijolo, não MMS / e-mail</v>
      </c>
      <c r="B33501" s="3">
        <v>0</v>
      </c>
    </row>
    <row r="33502" ht="15.75" customHeight="1" spans="1:2">
      <c r="A33502" s="3" t="str">
        <f>IFERROR(__xludf.DUMMYFUNCTION("GOOGLETRANSLATE(A33502,""en"",""pt"")"),"No ecrã a cores, Big.")</f>
        <v>No ecrã a cores, Big.</v>
      </c>
      <c r="B33502" s="3">
        <v>0</v>
      </c>
    </row>
    <row r="33503" ht="15.75" customHeight="1" spans="1:2">
      <c r="A33503" s="3" t="str">
        <f>IFERROR(__xludf.DUMMYFUNCTION("GOOGLETRANSLATE(A33503,""en"",""pt"")"),"software, alto-falante, a qualidade da produção total.")</f>
        <v>software, alto-falante, a qualidade da produção total.</v>
      </c>
      <c r="B33503" s="3">
        <v>0</v>
      </c>
    </row>
    <row r="33504" ht="15.75" customHeight="1" spans="1:2">
      <c r="A33504" s="3" t="str">
        <f>IFERROR(__xludf.DUMMYFUNCTION("GOOGLETRANSLATE(A33504,""en"",""pt"")"),"No anel padrão, qualidade de imagem um pouco carente, caro.")</f>
        <v>No anel padrão, qualidade de imagem um pouco carente, caro.</v>
      </c>
      <c r="B33504" s="3">
        <v>0</v>
      </c>
    </row>
    <row r="33505" ht="15.75" customHeight="1" spans="1:2">
      <c r="A33505" s="3" t="s">
        <v>189</v>
      </c>
      <c r="B33505" s="3">
        <v>0</v>
      </c>
    </row>
    <row r="33506" ht="15.75" customHeight="1" spans="1:2">
      <c r="A33506" s="3" t="str">
        <f>IFERROR(__xludf.DUMMYFUNCTION("GOOGLETRANSLATE(A33506,""en"",""pt"")"),"não Bluetooth")</f>
        <v>não Bluetooth</v>
      </c>
      <c r="B33506" s="3">
        <v>0</v>
      </c>
    </row>
    <row r="33507" ht="15.75" customHeight="1" spans="1:2">
      <c r="A33507" s="3" t="str">
        <f>IFERROR(__xludf.DUMMYFUNCTION("GOOGLETRANSLATE(A33507,""en"",""pt"")"),"Não é possível definir anéis de volume progressivo, nenhuma imagem identificador de chamadas, sem discagem ativada por voz.")</f>
        <v>Não é possível definir anéis de volume progressivo, nenhuma imagem identificador de chamadas, sem discagem ativada por voz.</v>
      </c>
      <c r="B33507" s="3">
        <v>0</v>
      </c>
    </row>
    <row r="33508" ht="15.75" customHeight="1" spans="1:2">
      <c r="A33508" s="3" t="str">
        <f>IFERROR(__xludf.DUMMYFUNCTION("GOOGLETRANSLATE(A33508,""en"",""pt"")"),"SMS irritante, navegador lento, nenhum anel / recurso de vibração, menor clareza câmera")</f>
        <v>SMS irritante, navegador lento, nenhum anel / recurso de vibração, menor clareza câmera</v>
      </c>
      <c r="B33508" s="3">
        <v>0</v>
      </c>
    </row>
    <row r="33509" ht="15.75" customHeight="1" spans="1:2">
      <c r="A33509" s="3" t="str">
        <f>IFERROR(__xludf.DUMMYFUNCTION("GOOGLETRANSLATE(A33509,""en"",""pt"")"),"Não Bluetooth, toques pobres e sem jogos java.")</f>
        <v>Não Bluetooth, toques pobres e sem jogos java.</v>
      </c>
      <c r="B33509" s="3">
        <v>0</v>
      </c>
    </row>
    <row r="33510" ht="15.75" customHeight="1" spans="1:2">
      <c r="A33510" s="3" t="str">
        <f>IFERROR(__xludf.DUMMYFUNCTION("GOOGLETRANSLATE(A33510,""en"",""pt"")"),"Sem campainha padrão, pode imagens de identificação de chamadas não atribuir, vibra enquanto está a ser carregado, sem viva-voz")</f>
        <v>Sem campainha padrão, pode imagens de identificação de chamadas não atribuir, vibra enquanto está a ser carregado, sem viva-voz</v>
      </c>
      <c r="B33510" s="3">
        <v>0</v>
      </c>
    </row>
    <row r="33511" ht="15.75" customHeight="1" spans="1:2">
      <c r="A33511" s="3" t="str">
        <f>IFERROR(__xludf.DUMMYFUNCTION("GOOGLETRANSLATE(A33511,""en"",""pt"")"),"nenhuma voz chamando, não perfis")</f>
        <v>nenhuma voz chamando, não perfis</v>
      </c>
      <c r="B33511" s="3">
        <v>0</v>
      </c>
    </row>
    <row r="33512" ht="15.75" customHeight="1" spans="1:2">
      <c r="A33512" s="3" t="str">
        <f>IFERROR(__xludf.DUMMYFUNCTION("GOOGLETRANSLATE(A33512,""en"",""pt"")"),"fotos têm pequenas pequenas linhas, através deles, e caro.")</f>
        <v>fotos têm pequenas pequenas linhas, através deles, e caro.</v>
      </c>
      <c r="B33512" s="3">
        <v>0</v>
      </c>
    </row>
    <row r="33513" ht="15.75" customHeight="1" spans="1:2">
      <c r="A33513" s="3" t="str">
        <f>IFERROR(__xludf.DUMMYFUNCTION("GOOGLETRANSLATE(A33513,""en"",""pt"")"),"recurso inútil organizador, jogos chatos, personalização aftermarket caro.")</f>
        <v>recurso inútil organizador, jogos chatos, personalização aftermarket caro.</v>
      </c>
      <c r="B33513" s="3">
        <v>0</v>
      </c>
    </row>
    <row r="33514" ht="15.75" customHeight="1" spans="1:2">
      <c r="A33514" s="3" t="str">
        <f>IFERROR(__xludf.DUMMYFUNCTION("GOOGLETRANSLATE(A33514,""en"",""pt"")"),"gráficos parece ridículo, bem como os ringtones e recepção poderia ser melhor")</f>
        <v>gráficos parece ridículo, bem como os ringtones e recepção poderia ser melhor</v>
      </c>
      <c r="B33514" s="3">
        <v>0</v>
      </c>
    </row>
    <row r="33515" ht="15.75" customHeight="1" spans="1:2">
      <c r="A33515" s="3" t="str">
        <f>IFERROR(__xludf.DUMMYFUNCTION("GOOGLETRANSLATE(A33515,""en"",""pt"")"),"Sente frágil, o volume máximo muito baixo, muito caro.")</f>
        <v>Sente frágil, o volume máximo muito baixo, muito caro.</v>
      </c>
      <c r="B33515" s="3">
        <v>0</v>
      </c>
    </row>
    <row r="33516" ht="15.75" customHeight="1" spans="1:2">
      <c r="A33516" s="3" t="str">
        <f>IFERROR(__xludf.DUMMYFUNCTION("GOOGLETRANSLATE(A33516,""en"",""pt"")"),"Relativamente ""velho"", demasiado caro para a sua idade. baixo volume de conversa.")</f>
        <v>Relativamente "velho", demasiado caro para a sua idade. baixo volume de conversa.</v>
      </c>
      <c r="B33516" s="3">
        <v>0</v>
      </c>
    </row>
    <row r="33517" ht="15.75" customHeight="1" spans="1:2">
      <c r="A33517" s="3" t="str">
        <f>IFERROR(__xludf.DUMMYFUNCTION("GOOGLETRANSLATE(A33517,""en"",""pt"")"),"Má qualidade de imagem, Useless porta IR, cabo de dados não avalible nos EUA ainda.")</f>
        <v>Má qualidade de imagem, Useless porta IR, cabo de dados não avalible nos EUA ainda.</v>
      </c>
      <c r="B33517" s="3">
        <v>0</v>
      </c>
    </row>
    <row r="33518" ht="15.75" customHeight="1" spans="1:2">
      <c r="A33518" s="3" t="str">
        <f>IFERROR(__xludf.DUMMYFUNCTION("GOOGLETRANSLATE(A33518,""en"",""pt"")"),"Só o preço.")</f>
        <v>Só o preço.</v>
      </c>
      <c r="B33518" s="3">
        <v>0</v>
      </c>
    </row>
    <row r="33519" ht="15.75" customHeight="1" spans="1:2">
      <c r="A33519" s="3" t="str">
        <f>IFERROR(__xludf.DUMMYFUNCTION("GOOGLETRANSLATE(A33519,""en"",""pt"")"),"opção sem Bluetooth, sem a marcação por voz, fones de ouvido desconfortáveis.")</f>
        <v>opção sem Bluetooth, sem a marcação por voz, fones de ouvido desconfortáveis.</v>
      </c>
      <c r="B33519" s="3">
        <v>0</v>
      </c>
    </row>
    <row r="33520" ht="15.75" customHeight="1" spans="1:2">
      <c r="A33520" s="3" t="str">
        <f>IFERROR(__xludf.DUMMYFUNCTION("GOOGLETRANSLATE(A33520,""en"",""pt"")"),"No dente azul, sem zoom in ou função de flash na câmera.")</f>
        <v>No dente azul, sem zoom in ou função de flash na câmera.</v>
      </c>
      <c r="B33520" s="3">
        <v>0</v>
      </c>
    </row>
    <row r="33521" ht="15.75" customHeight="1" spans="1:2">
      <c r="A33521" s="3" t="str">
        <f>IFERROR(__xludf.DUMMYFUNCTION("GOOGLETRANSLATE(A33521,""en"",""pt"")"),"Bad qualidade da câmera expecially no modo noturno e aplicação sistema operacional móvel não é estável.")</f>
        <v>Bad qualidade da câmera expecially no modo noturno e aplicação sistema operacional móvel não é estável.</v>
      </c>
      <c r="B33521" s="3">
        <v>0</v>
      </c>
    </row>
    <row r="33522" ht="15.75" customHeight="1" spans="1:2">
      <c r="A33522" s="3" t="str">
        <f>IFERROR(__xludf.DUMMYFUNCTION("GOOGLETRANSLATE(A33522,""en"",""pt"")"),"Desliga-se, ocasionalmente,")</f>
        <v>Desliga-se, ocasionalmente,</v>
      </c>
      <c r="B33522" s="3">
        <v>0</v>
      </c>
    </row>
    <row r="33523" ht="15.75" customHeight="1" spans="1:2">
      <c r="A33523" s="3" t="str">
        <f>IFERROR(__xludf.DUMMYFUNCTION("GOOGLETRANSLATE(A33523,""en"",""pt"")"),"memória limitada para números de telefone e mensagens SMS.")</f>
        <v>memória limitada para números de telefone e mensagens SMS.</v>
      </c>
      <c r="B33523" s="3">
        <v>0</v>
      </c>
    </row>
    <row r="33524" ht="15.75" customHeight="1" spans="1:2">
      <c r="A33524" s="3" t="str">
        <f>IFERROR(__xludf.DUMMYFUNCTION("GOOGLETRANSLATE(A33524,""en"",""pt"")"),"Oferece mais do que você pode esperar dele, mas não tudo;)")</f>
        <v>Oferece mais do que você pode esperar dele, mas não tudo;)</v>
      </c>
      <c r="B33524" s="3">
        <v>0</v>
      </c>
    </row>
    <row r="33525" ht="15.75" customHeight="1" spans="1:2">
      <c r="A33525" s="3" t="str">
        <f>IFERROR(__xludf.DUMMYFUNCTION("GOOGLETRANSLATE(A33525,""en"",""pt"")"),"Buggy firmware.")</f>
        <v>Buggy firmware.</v>
      </c>
      <c r="B33525" s="3">
        <v>0</v>
      </c>
    </row>
    <row r="33526" ht="15.75" customHeight="1" spans="1:2">
      <c r="A33526" s="3" t="str">
        <f>IFERROR(__xludf.DUMMYFUNCTION("GOOGLETRANSLATE(A33526,""en"",""pt"")"),"orelha peça não se encaixa no meu ouvido !!")</f>
        <v>orelha peça não se encaixa no meu ouvido !!</v>
      </c>
      <c r="B33526" s="3">
        <v>0</v>
      </c>
    </row>
    <row r="33527" ht="15.75" customHeight="1" spans="1:2">
      <c r="A33527" s="3" t="str">
        <f>IFERROR(__xludf.DUMMYFUNCTION("GOOGLETRANSLATE(A33527,""en"",""pt"")"),"Confundir sistema de menu, display iluminado drena bateria")</f>
        <v>Confundir sistema de menu, display iluminado drena bateria</v>
      </c>
      <c r="B33527" s="3">
        <v>0</v>
      </c>
    </row>
    <row r="33528" ht="15.75" customHeight="1" spans="1:2">
      <c r="A33528" s="3" t="str">
        <f>IFERROR(__xludf.DUMMYFUNCTION("GOOGLETRANSLATE(A33528,""en"",""pt"")"),"As pessoas querem arrancar a placa deslizante.")</f>
        <v>As pessoas querem arrancar a placa deslizante.</v>
      </c>
      <c r="B33528" s="3">
        <v>0</v>
      </c>
    </row>
    <row r="33529" ht="15.75" customHeight="1" spans="1:2">
      <c r="A33529" s="3" t="str">
        <f>IFERROR(__xludf.DUMMYFUNCTION("GOOGLETRANSLATE(A33529,""en"",""pt"")"),"Necessita vibrando bateria para vibrar, o tamanho")</f>
        <v>Necessita vibrando bateria para vibrar, o tamanho</v>
      </c>
      <c r="B33529" s="3">
        <v>0</v>
      </c>
    </row>
    <row r="33530" ht="15.75" customHeight="1" spans="1:2">
      <c r="A33530" s="3" t="str">
        <f>IFERROR(__xludf.DUMMYFUNCTION("GOOGLETRANSLATE(A33530,""en"",""pt"")"),"Ausência built-in vibrocall, preço elevado")</f>
        <v>Ausência built-in vibrocall, preço elevado</v>
      </c>
      <c r="B33530" s="3">
        <v>0</v>
      </c>
    </row>
    <row r="33531" ht="15.75" customHeight="1" spans="1:2">
      <c r="A33531" s="3" t="str">
        <f>IFERROR(__xludf.DUMMYFUNCTION("GOOGLETRANSLATE(A33531,""en"",""pt"")"),"Tampa deslizante, placa de metal aquece-se após uma utilização prolongada, da bateria não vibratório")</f>
        <v>Tampa deslizante, placa de metal aquece-se após uma utilização prolongada, da bateria não vibratório</v>
      </c>
      <c r="B33531" s="3">
        <v>0</v>
      </c>
    </row>
    <row r="33532" ht="15.75" customHeight="1" spans="1:2">
      <c r="A33532" s="3" t="str">
        <f>IFERROR(__xludf.DUMMYFUNCTION("GOOGLETRANSLATE(A33532,""en"",""pt"")"),"Precisa de uma bateria de vibração para o modo de vibração; antena externa")</f>
        <v>Precisa de uma bateria de vibração para o modo de vibração; antena externa</v>
      </c>
      <c r="B33532" s="3">
        <v>0</v>
      </c>
    </row>
    <row r="33533" ht="15.75" customHeight="1" spans="1:2">
      <c r="A33533" s="3" t="str">
        <f>IFERROR(__xludf.DUMMYFUNCTION("GOOGLETRANSLATE(A33533,""en"",""pt"")"),"Não muito sensação 'sólido', mas é claro que isso é picuinhas")</f>
        <v>Não muito sensação 'sólido', mas é claro que isso é picuinhas</v>
      </c>
      <c r="B33533" s="3">
        <v>0</v>
      </c>
    </row>
    <row r="33534" ht="15.75" customHeight="1" spans="1:2">
      <c r="A33534" s="3" t="str">
        <f>IFERROR(__xludf.DUMMYFUNCTION("GOOGLETRANSLATE(A33534,""en"",""pt"")"),"Não é possível personalizar a cobertura; botões de baixo de difícil acesso; fone did't encaixar meu ouvido")</f>
        <v>Não é possível personalizar a cobertura; botões de baixo de difícil acesso; fone did't encaixar meu ouvido</v>
      </c>
      <c r="B33534" s="3">
        <v>0</v>
      </c>
    </row>
    <row r="33535" ht="15.75" customHeight="1" spans="1:2">
      <c r="A33535" s="3" t="str">
        <f>IFERROR(__xludf.DUMMYFUNCTION("GOOGLETRANSLATE(A33535,""en"",""pt"")"),"Tamanho do botão eo atraso entre as telas.")</f>
        <v>Tamanho do botão eo atraso entre as telas.</v>
      </c>
      <c r="B33535" s="3">
        <v>0</v>
      </c>
    </row>
    <row r="33536" ht="15.75" customHeight="1" spans="1:2">
      <c r="A33536" s="3" t="str">
        <f>IFERROR(__xludf.DUMMYFUNCTION("GOOGLETRANSLATE(A33536,""en"",""pt"")"),"recurso de vibração não é padrão, antena")</f>
        <v>recurso de vibração não é padrão, antena</v>
      </c>
      <c r="B33536" s="3">
        <v>0</v>
      </c>
    </row>
    <row r="33537" ht="15.75" customHeight="1" spans="1:2">
      <c r="A33537" s="3" t="str">
        <f>IFERROR(__xludf.DUMMYFUNCTION("GOOGLETRANSLATE(A33537,""en"",""pt"")"),"não pode ouvir anéis em lugares barulhentos; Nenhuma bateria vibrando; um pouco caro")</f>
        <v>não pode ouvir anéis em lugares barulhentos; Nenhuma bateria vibrando; um pouco caro</v>
      </c>
      <c r="B33537" s="3">
        <v>0</v>
      </c>
    </row>
    <row r="33538" ht="15.75" customHeight="1" spans="1:2">
      <c r="A33538" s="3" t="str">
        <f>IFERROR(__xludf.DUMMYFUNCTION("GOOGLETRANSLATE(A33538,""en"",""pt"")"),"Nenhum")</f>
        <v>Nenhum</v>
      </c>
      <c r="B33538" s="3">
        <v>0</v>
      </c>
    </row>
    <row r="33539" ht="15.75" customHeight="1" spans="1:2">
      <c r="A33539" s="3" t="str">
        <f>IFERROR(__xludf.DUMMYFUNCTION("GOOGLETRANSLATE(A33539,""en"",""pt"")"),"Alto preço e uso limitado com o piloto de palma")</f>
        <v>Alto preço e uso limitado com o piloto de palma</v>
      </c>
      <c r="B33539" s="3">
        <v>0</v>
      </c>
    </row>
    <row r="33540" ht="15.75" customHeight="1" spans="1:2">
      <c r="A33540" s="3" t="str">
        <f>IFERROR(__xludf.DUMMYFUNCTION("GOOGLETRANSLATE(A33540,""en"",""pt"")"),"Não muitos prestadores de serviços oferecem este telefone.")</f>
        <v>Não muitos prestadores de serviços oferecem este telefone.</v>
      </c>
      <c r="B33540" s="3">
        <v>0</v>
      </c>
    </row>
    <row r="33541" ht="15.75" customHeight="1" spans="1:2">
      <c r="A33541" s="3" t="str">
        <f>IFERROR(__xludf.DUMMYFUNCTION("GOOGLETRANSLATE(A33541,""en"",""pt"")"),"um pouco grande, mas eu carregá-lo no bolso de qualquer maneira.")</f>
        <v>um pouco grande, mas eu carregá-lo no bolso de qualquer maneira.</v>
      </c>
      <c r="B33541" s="3">
        <v>0</v>
      </c>
    </row>
    <row r="33542" ht="15.75" customHeight="1" spans="1:2">
      <c r="A33542" s="3" t="str">
        <f>IFERROR(__xludf.DUMMYFUNCTION("GOOGLETRANSLATE(A33542,""en"",""pt"")"),"Um pouco frágil e marcar manualmente pode ser um pouco difícil &amp; # 9;. &amp; # 9;")</f>
        <v>Um pouco frágil e marcar manualmente pode ser um pouco difícil &amp; # 9;. &amp; # 9;</v>
      </c>
      <c r="B33542" s="3">
        <v>0</v>
      </c>
    </row>
    <row r="33543" ht="15.75" customHeight="1" spans="1:2">
      <c r="A33543" s="3" t="str">
        <f>IFERROR(__xludf.DUMMYFUNCTION("GOOGLETRANSLATE(A33543,""en"",""pt"")"),"Seus amigos não podem manter pedindo para vê-lo.")</f>
        <v>Seus amigos não podem manter pedindo para vê-lo.</v>
      </c>
      <c r="B33543" s="3">
        <v>0</v>
      </c>
    </row>
    <row r="33544" ht="15.75" customHeight="1" spans="1:2">
      <c r="A33544" s="3" t="str">
        <f>IFERROR(__xludf.DUMMYFUNCTION("GOOGLETRANSLATE(A33544,""en"",""pt"")"),"Perdeu algumas das características do 7110")</f>
        <v>Perdeu algumas das características do 7110</v>
      </c>
      <c r="B33544" s="3">
        <v>0</v>
      </c>
    </row>
    <row r="33545" ht="15.75" customHeight="1" spans="1:2">
      <c r="A33545" s="3" t="str">
        <f>IFERROR(__xludf.DUMMYFUNCTION("GOOGLETRANSLATE(A33545,""en"",""pt"")"),"durabilidade da cobertura deslizante")</f>
        <v>durabilidade da cobertura deslizante</v>
      </c>
      <c r="B33545" s="3">
        <v>0</v>
      </c>
    </row>
    <row r="33546" ht="15.75" customHeight="1" spans="1:2">
      <c r="A33546" s="3" t="str">
        <f>IFERROR(__xludf.DUMMYFUNCTION("GOOGLETRANSLATE(A33546,""en"",""pt"")"),"Ele custa US $ 99,00 .....")</f>
        <v>Ele custa US $ 99,00 .....</v>
      </c>
      <c r="B33546" s="3">
        <v>0</v>
      </c>
    </row>
    <row r="33547" ht="15.75" customHeight="1" spans="1:2">
      <c r="A33547" s="3" t="str">
        <f>IFERROR(__xludf.DUMMYFUNCTION("GOOGLETRANSLATE(A33547,""en"",""pt"")"),"não construído em vibração da bateria")</f>
        <v>não construído em vibração da bateria</v>
      </c>
      <c r="B33547" s="3">
        <v>0</v>
      </c>
    </row>
    <row r="33548" ht="15.75" customHeight="1" spans="1:2">
      <c r="A33548" s="3" t="str">
        <f>IFERROR(__xludf.DUMMYFUNCTION("GOOGLETRANSLATE(A33548,""en"",""pt"")"),"estática / de roaming quando em área de residência")</f>
        <v>estática / de roaming quando em área de residência</v>
      </c>
      <c r="B33548" s="3">
        <v>0</v>
      </c>
    </row>
    <row r="33549" ht="15.75" customHeight="1" spans="1:2">
      <c r="A33549" s="3" t="str">
        <f>IFERROR(__xludf.DUMMYFUNCTION("GOOGLETRANSLATE(A33549,""en"",""pt"")"),"chamadas dispendiosas")</f>
        <v>chamadas dispendiosas</v>
      </c>
      <c r="B33549" s="3">
        <v>0</v>
      </c>
    </row>
    <row r="33550" ht="15.75" customHeight="1" spans="1:2">
      <c r="A33550" s="3" t="str">
        <f>IFERROR(__xludf.DUMMYFUNCTION("GOOGLETRANSLATE(A33550,""en"",""pt"")"),"Pedaço de lixo !! Desliga-se, por vezes, chamadas de queda, não toca")</f>
        <v>Pedaço de lixo !! Desliga-se, por vezes, chamadas de queda, não toca</v>
      </c>
      <c r="B33550" s="3">
        <v>0</v>
      </c>
    </row>
    <row r="33551" ht="15.75" customHeight="1" spans="1:2">
      <c r="A33551" s="3" t="str">
        <f>IFERROR(__xludf.DUMMYFUNCTION("GOOGLETRANSLATE(A33551,""en"",""pt"")"),"Deslizante teclado Tampa poderia quebrar fácil")</f>
        <v>Deslizante teclado Tampa poderia quebrar fácil</v>
      </c>
      <c r="B33551" s="3">
        <v>0</v>
      </c>
    </row>
    <row r="33552" ht="15.75" customHeight="1" spans="1:2">
      <c r="A33552" s="3" t="str">
        <f>IFERROR(__xludf.DUMMYFUNCTION("GOOGLETRANSLATE(A33552,""en"",""pt"")"),"Ao longo do tempo, como todos os celulares, começa a avaria aqui e ali")</f>
        <v>Ao longo do tempo, como todos os celulares, começa a avaria aqui e ali</v>
      </c>
      <c r="B33552" s="3">
        <v>0</v>
      </c>
    </row>
    <row r="33553" ht="15.75" customHeight="1" spans="1:2">
      <c r="A33553" s="3" t="str">
        <f>IFERROR(__xludf.DUMMYFUNCTION("GOOGLETRANSLATE(A33553,""en"",""pt"")"),"Se você quebrar a tampa deslizante, você perde o microfone.")</f>
        <v>Se você quebrar a tampa deslizante, você perde o microfone.</v>
      </c>
      <c r="B33553" s="3">
        <v>0</v>
      </c>
    </row>
    <row r="33554" ht="15.75" customHeight="1" spans="1:2">
      <c r="A33554" s="3" t="str">
        <f>IFERROR(__xludf.DUMMYFUNCTION("GOOGLETRANSLATE(A33554,""en"",""pt"")"),"Marcação por voz para apenas 20 entradas, preço")</f>
        <v>Marcação por voz para apenas 20 entradas, preço</v>
      </c>
      <c r="B33554" s="3">
        <v>0</v>
      </c>
    </row>
    <row r="33555" ht="15.75" customHeight="1" spans="1:2">
      <c r="A33555" s="3" t="str">
        <f>IFERROR(__xludf.DUMMYFUNCTION("GOOGLETRANSLATE(A33555,""en"",""pt"")"),"No ecrã a cores, vibra tão forte que é audível, menus irritantes, não há suporte GSM")</f>
        <v>No ecrã a cores, vibra tão forte que é audível, menus irritantes, não há suporte GSM</v>
      </c>
      <c r="B33555" s="3">
        <v>0</v>
      </c>
    </row>
    <row r="33556" ht="15.75" customHeight="1" spans="1:2">
      <c r="A33556" s="3" t="str">
        <f>IFERROR(__xludf.DUMMYFUNCTION("GOOGLETRANSLATE(A33556,""en"",""pt"")"),"Preço um pouco alta, mas agora bem dentro da razão, não tem recursos avançados de PDA")</f>
        <v>Preço um pouco alta, mas agora bem dentro da razão, não tem recursos avançados de PDA</v>
      </c>
      <c r="B33556" s="3">
        <v>0</v>
      </c>
    </row>
    <row r="33557" ht="15.75" customHeight="1" spans="1:2">
      <c r="A33557" s="3" t="str">
        <f>IFERROR(__xludf.DUMMYFUNCTION("GOOGLETRANSLATE(A33557,""en"",""pt"")"),"No web ou GSM, nenhum bloqueio de teclado úteis, difícil mudar anéis. Antena pode quebrar!")</f>
        <v>No web ou GSM, nenhum bloqueio de teclado úteis, difícil mudar anéis. Antena pode quebrar!</v>
      </c>
      <c r="B33557" s="3">
        <v>0</v>
      </c>
    </row>
    <row r="33558" ht="15.75" customHeight="1" spans="1:2">
      <c r="A33558" s="3" t="str">
        <f>IFERROR(__xludf.DUMMYFUNCTION("GOOGLETRANSLATE(A33558,""en"",""pt"")"),"Rígidos para adicionar toques, antena bulboso. Não muito de um PDA.")</f>
        <v>Rígidos para adicionar toques, antena bulboso. Não muito de um PDA.</v>
      </c>
      <c r="B33558" s="3">
        <v>0</v>
      </c>
    </row>
    <row r="33559" ht="15.75" customHeight="1" spans="1:2">
      <c r="A33559" s="3" t="str">
        <f>IFERROR(__xludf.DUMMYFUNCTION("GOOGLETRANSLATE(A33559,""en"",""pt"")"),"menus básicos, sem cor, pode ser caro, sem plano de celular.")</f>
        <v>menus básicos, sem cor, pode ser caro, sem plano de celular.</v>
      </c>
      <c r="B33559" s="3">
        <v>0</v>
      </c>
    </row>
    <row r="33560" ht="15.75" customHeight="1" spans="1:2">
      <c r="A33560" s="3" t="str">
        <f>IFERROR(__xludf.DUMMYFUNCTION("GOOGLETRANSLATE(A33560,""en"",""pt"")"),"NENHUM")</f>
        <v>NENHUM</v>
      </c>
      <c r="B33560" s="3">
        <v>0</v>
      </c>
    </row>
    <row r="33561" ht="15.75" customHeight="1" spans="1:2">
      <c r="A33561" s="3" t="str">
        <f>IFERROR(__xludf.DUMMYFUNCTION("GOOGLETRANSLATE(A33561,""en"",""pt"")"),"Bad alarme, anel / recurso de vibração imprevisível, o volume do fone pode ser mais alto")</f>
        <v>Bad alarme, anel / recurso de vibração imprevisível, o volume do fone pode ser mais alto</v>
      </c>
      <c r="B33561" s="3">
        <v>0</v>
      </c>
    </row>
    <row r="33562" ht="15.75" customHeight="1" spans="1:2">
      <c r="A33562" s="3" t="str">
        <f>IFERROR(__xludf.DUMMYFUNCTION("GOOGLETRANSLATE(A33562,""en"",""pt"")"),"Recursos podem não compensar o alto preço")</f>
        <v>Recursos podem não compensar o alto preço</v>
      </c>
      <c r="B33562" s="3">
        <v>0</v>
      </c>
    </row>
    <row r="33563" ht="15.75" customHeight="1" spans="1:2">
      <c r="A33563" s="3" t="str">
        <f>IFERROR(__xludf.DUMMYFUNCTION("GOOGLETRANSLATE(A33563,""en"",""pt"")"),"anel média, vibra e, em seguida, se anéis conjunto em ambos")</f>
        <v>anel média, vibra e, em seguida, se anéis conjunto em ambos</v>
      </c>
      <c r="B33563" s="3">
        <v>0</v>
      </c>
    </row>
    <row r="33564" ht="15.75" customHeight="1" spans="1:2">
      <c r="A33564" s="3" t="str">
        <f>IFERROR(__xludf.DUMMYFUNCTION("GOOGLETRANSLATE(A33564,""en"",""pt"")"),"Stubby Antena, Custo, scratchable Case (relatado)")</f>
        <v>Stubby Antena, Custo, scratchable Case (relatado)</v>
      </c>
      <c r="B33564" s="3">
        <v>0</v>
      </c>
    </row>
    <row r="33565" ht="15.75" customHeight="1" spans="1:2">
      <c r="A33565" s="3" t="str">
        <f>IFERROR(__xludf.DUMMYFUNCTION("GOOGLETRANSLATE(A33565,""en"",""pt"")"),"sem jogos, sem alarme, não para os adolescentes")</f>
        <v>sem jogos, sem alarme, não para os adolescentes</v>
      </c>
      <c r="B33565" s="3">
        <v>0</v>
      </c>
    </row>
    <row r="33566" ht="15.75" customHeight="1" spans="1:2">
      <c r="A33566" s="3" t="str">
        <f>IFERROR(__xludf.DUMMYFUNCTION("GOOGLETRANSLATE(A33566,""en"",""pt"")"),"peculiaridades de serviços, telefone falha provoca a perda de voz para outro lado ...")</f>
        <v>peculiaridades de serviços, telefone falha provoca a perda de voz para outro lado ...</v>
      </c>
      <c r="B33566" s="3">
        <v>0</v>
      </c>
    </row>
    <row r="33567" ht="15.75" customHeight="1" spans="1:2">
      <c r="A33567" s="3" t="str">
        <f>IFERROR(__xludf.DUMMYFUNCTION("GOOGLETRANSLATE(A33567,""en"",""pt"")"),"botões pequeno, de três barras indicador do nível da bateria")</f>
        <v>botões pequeno, de três barras indicador do nível da bateria</v>
      </c>
      <c r="B33567" s="3">
        <v>0</v>
      </c>
    </row>
    <row r="33568" ht="15.75" customHeight="1" spans="1:2">
      <c r="A33568" s="3" t="str">
        <f>IFERROR(__xludf.DUMMYFUNCTION("GOOGLETRANSLATE(A33568,""en"",""pt"")"),"dobradiças soltas, de interface ruim, má antena, desempenho")</f>
        <v>dobradiças soltas, de interface ruim, má antena, desempenho</v>
      </c>
      <c r="B33568" s="3">
        <v>0</v>
      </c>
    </row>
    <row r="33569" ht="15.75" customHeight="1" spans="1:2">
      <c r="A33569" s="3" t="str">
        <f>IFERROR(__xludf.DUMMYFUNCTION("GOOGLETRANSLATE(A33569,""en"",""pt"")"),"má recepção, baixa vida útil da bateria, grande antena volumosos")</f>
        <v>má recepção, baixa vida útil da bateria, grande antena volumosos</v>
      </c>
      <c r="B33569" s="3">
        <v>0</v>
      </c>
    </row>
    <row r="33570" ht="15.75" customHeight="1" spans="1:2">
      <c r="A33570" s="3" t="str">
        <f>IFERROR(__xludf.DUMMYFUNCTION("GOOGLETRANSLATE(A33570,""en"",""pt"")"),"Cingular nunca poderia fazê-lo funcionar de forma confiável para receber")</f>
        <v>Cingular nunca poderia fazê-lo funcionar de forma confiável para receber</v>
      </c>
      <c r="B33570" s="3">
        <v>0</v>
      </c>
    </row>
    <row r="33571" ht="15.75" customHeight="1" spans="1:2">
      <c r="A33571" s="3" t="str">
        <f>IFERROR(__xludf.DUMMYFUNCTION("GOOGLETRANSLATE(A33571,""en"",""pt"")"),"Nada")</f>
        <v>Nada</v>
      </c>
      <c r="B33571" s="3">
        <v>0</v>
      </c>
    </row>
    <row r="33572" ht="15.75" customHeight="1" spans="1:2">
      <c r="A33572" s="3" t="str">
        <f>IFERROR(__xludf.DUMMYFUNCTION("GOOGLETRANSLATE(A33572,""en"",""pt"")"),"Antena não é muito estável.")</f>
        <v>Antena não é muito estável.</v>
      </c>
      <c r="B33572" s="3">
        <v>0</v>
      </c>
    </row>
    <row r="33573" ht="15.75" customHeight="1" spans="1:2">
      <c r="A33573" s="3" t="str">
        <f>IFERROR(__xludf.DUMMYFUNCTION("GOOGLETRANSLATE(A33573,""en"",""pt"")"),"Não é possível baixar ringtones ainda, mas deve ser capaz de em breve")</f>
        <v>Não é possível baixar ringtones ainda, mas deve ser capaz de em breve</v>
      </c>
      <c r="B33573" s="3">
        <v>0</v>
      </c>
    </row>
    <row r="33574" ht="15.75" customHeight="1" spans="1:2">
      <c r="A33574" s="3" t="str">
        <f>IFERROR(__xludf.DUMMYFUNCTION("GOOGLETRANSLATE(A33574,""en"",""pt"")"),"As substituições de garantia não trabalham Gotas chamadas, muitas vezes, os lotes de STATIC")</f>
        <v>As substituições de garantia não trabalham Gotas chamadas, muitas vezes, os lotes de STATIC</v>
      </c>
      <c r="B33574" s="3">
        <v>0</v>
      </c>
    </row>
    <row r="33575" ht="15.75" customHeight="1" spans="1:2">
      <c r="A33575" s="3" t="str">
        <f>IFERROR(__xludf.DUMMYFUNCTION("GOOGLETRANSLATE(A33575,""en"",""pt"")"),"toques, WAP, ecrã LCD")</f>
        <v>toques, WAP, ecrã LCD</v>
      </c>
      <c r="B33575" s="3">
        <v>0</v>
      </c>
    </row>
    <row r="33576" ht="15.75" customHeight="1" spans="1:2">
      <c r="A33576" s="3" t="str">
        <f>IFERROR(__xludf.DUMMYFUNCTION("GOOGLETRANSLATE(A33576,""en"",""pt"")"),"Preço")</f>
        <v>Preço</v>
      </c>
      <c r="B33576" s="3">
        <v>0</v>
      </c>
    </row>
    <row r="33577" ht="15.75" customHeight="1" spans="1:2">
      <c r="A33577" s="3" t="str">
        <f>IFERROR(__xludf.DUMMYFUNCTION("GOOGLETRANSLATE(A33577,""en"",""pt"")"),"Falta de Featuers avançadas")</f>
        <v>Falta de Featuers avançadas</v>
      </c>
      <c r="B33577" s="3">
        <v>0</v>
      </c>
    </row>
    <row r="33578" ht="15.75" customHeight="1" spans="1:2">
      <c r="A33578" s="3" t="str">
        <f>IFERROR(__xludf.DUMMYFUNCTION("GOOGLETRANSLATE(A33578,""en"",""pt"")"),"Antena quebra fácil, recepção ruim")</f>
        <v>Antena quebra fácil, recepção ruim</v>
      </c>
      <c r="B33578" s="3">
        <v>0</v>
      </c>
    </row>
    <row r="33579" ht="15.75" customHeight="1" spans="1:2">
      <c r="A33579" s="3" t="str">
        <f>IFERROR(__xludf.DUMMYFUNCTION("GOOGLETRANSLATE(A33579,""en"",""pt"")"),"Não é possível baixar ringtones.")</f>
        <v>Não é possível baixar ringtones.</v>
      </c>
      <c r="B33579" s="3">
        <v>0</v>
      </c>
    </row>
    <row r="33580" ht="15.75" customHeight="1" spans="1:2">
      <c r="A33580" s="3" t="str">
        <f>IFERROR(__xludf.DUMMYFUNCTION("GOOGLETRANSLATE(A33580,""en"",""pt"")"),"Acho que a V60t um pouco confuso e difícil de usar.")</f>
        <v>Acho que a V60t um pouco confuso e difícil de usar.</v>
      </c>
      <c r="B33580" s="3">
        <v>0</v>
      </c>
    </row>
    <row r="33581" ht="15.75" customHeight="1" spans="1:2">
      <c r="A33581" s="3" t="str">
        <f>IFERROR(__xludf.DUMMYFUNCTION("GOOGLETRANSLATE(A33581,""en"",""pt"")"),"gráficos pobres")</f>
        <v>gráficos pobres</v>
      </c>
      <c r="B33581" s="3">
        <v>0</v>
      </c>
    </row>
    <row r="33582" ht="15.75" customHeight="1" spans="1:2">
      <c r="A33582" s="3" t="str">
        <f>IFERROR(__xludf.DUMMYFUNCTION("GOOGLETRANSLATE(A33582,""en"",""pt"")"),"bateria")</f>
        <v>bateria</v>
      </c>
      <c r="B33582" s="3">
        <v>0</v>
      </c>
    </row>
    <row r="33583" ht="15.75" customHeight="1" spans="1:2">
      <c r="A33583" s="3" t="str">
        <f>IFERROR(__xludf.DUMMYFUNCTION("GOOGLETRANSLATE(A33583,""en"",""pt"")"),"No viva-voz, a acessibilidade internet ou digi-cam, não compatíveis com redes de dados de velocidade w.high")</f>
        <v>No viva-voz, a acessibilidade internet ou digi-cam, não compatíveis com redes de dados de velocidade w.high</v>
      </c>
      <c r="B33583" s="3">
        <v>0</v>
      </c>
    </row>
    <row r="33584" ht="15.75" customHeight="1" spans="1:2">
      <c r="A33584" s="3" t="str">
        <f>IFERROR(__xludf.DUMMYFUNCTION("GOOGLETRANSLATE(A33584,""en"",""pt"")"),"LCD Is Not colorido como alguns outros telefones")</f>
        <v>LCD Is Not colorido como alguns outros telefones</v>
      </c>
      <c r="B33584" s="3">
        <v>0</v>
      </c>
    </row>
    <row r="33585" ht="15.75" customHeight="1" spans="1:2">
      <c r="A33585" s="3" t="str">
        <f>IFERROR(__xludf.DUMMYFUNCTION("GOOGLETRANSLATE(A33585,""en"",""pt"")"),"um pouco pequeno demais, um pouco demasiado luz, sente frágil, antena se projeta para fora demasiado")</f>
        <v>um pouco pequeno demais, um pouco demasiado luz, sente frágil, antena se projeta para fora demasiado</v>
      </c>
      <c r="B33585" s="3">
        <v>0</v>
      </c>
    </row>
    <row r="33586" ht="15.75" customHeight="1" spans="1:2">
      <c r="A33586" s="3" t="str">
        <f>IFERROR(__xludf.DUMMYFUNCTION("GOOGLETRANSLATE(A33586,""en"",""pt"")"),"Etiqueta de preço")</f>
        <v>Etiqueta de preço</v>
      </c>
      <c r="B33586" s="3">
        <v>0</v>
      </c>
    </row>
    <row r="33587" ht="15.75" customHeight="1" spans="1:2">
      <c r="A33587" s="3" t="str">
        <f>IFERROR(__xludf.DUMMYFUNCTION("GOOGLETRANSLATE(A33587,""en"",""pt"")"),"Caro, não muitos ""extra"" recursos.")</f>
        <v>Caro, não muitos "extra" recursos.</v>
      </c>
      <c r="B33587" s="3">
        <v>0</v>
      </c>
    </row>
    <row r="33588" ht="15.75" customHeight="1" spans="1:2">
      <c r="A33588" s="3" t="str">
        <f>IFERROR(__xludf.DUMMYFUNCTION("GOOGLETRANSLATE(A33588,""en"",""pt"")"),"Preço, Banda Única")</f>
        <v>Preço, Banda Única</v>
      </c>
      <c r="B33588" s="3">
        <v>0</v>
      </c>
    </row>
    <row r="33589" ht="15.75" customHeight="1" spans="1:2">
      <c r="A33589" s="3" t="str">
        <f>IFERROR(__xludf.DUMMYFUNCTION("GOOGLETRANSLATE(A33589,""en"",""pt"")"),"Nenhum")</f>
        <v>Nenhum</v>
      </c>
      <c r="B33589" s="3">
        <v>0</v>
      </c>
    </row>
    <row r="33590" ht="15.75" customHeight="1" spans="1:2">
      <c r="A33590" s="3" t="str">
        <f>IFERROR(__xludf.DUMMYFUNCTION("GOOGLETRANSLATE(A33590,""en"",""pt"")"),"Eu ainda não posso conseguir um encontro com ela.")</f>
        <v>Eu ainda não posso conseguir um encontro com ela.</v>
      </c>
      <c r="B33590" s="3">
        <v>0</v>
      </c>
    </row>
    <row r="33591" ht="15.75" customHeight="1" spans="1:2">
      <c r="A33591" s="3" t="str">
        <f>IFERROR(__xludf.DUMMYFUNCTION("GOOGLETRANSLATE(A33591,""en"",""pt"")"),"Caros, características básicas")</f>
        <v>Caros, características básicas</v>
      </c>
      <c r="B33591" s="3">
        <v>0</v>
      </c>
    </row>
    <row r="33592" ht="15.75" customHeight="1" spans="1:2">
      <c r="A33592" s="3" t="str">
        <f>IFERROR(__xludf.DUMMYFUNCTION("GOOGLETRANSLATE(A33592,""en"",""pt"")"),"vida útil da bateria assim-assim")</f>
        <v>vida útil da bateria assim-assim</v>
      </c>
      <c r="B33592" s="3">
        <v>0</v>
      </c>
    </row>
    <row r="33593" ht="15.75" customHeight="1" spans="1:2">
      <c r="A33593" s="3" t="str">
        <f>IFERROR(__xludf.DUMMYFUNCTION("GOOGLETRANSLATE(A33593,""en"",""pt"")"),"Antenas sobressai, olhando bobo e quebrável. Ridiculamente caro!")</f>
        <v>Antenas sobressai, olhando bobo e quebrável. Ridiculamente caro!</v>
      </c>
      <c r="B33593" s="3">
        <v>0</v>
      </c>
    </row>
    <row r="33594" ht="15.75" customHeight="1" spans="1:2">
      <c r="A33594" s="3" t="str">
        <f>IFERROR(__xludf.DUMMYFUNCTION("GOOGLETRANSLATE(A33594,""en"",""pt"")"),"Fácil perder")</f>
        <v>Fácil perder</v>
      </c>
      <c r="B33594" s="3">
        <v>0</v>
      </c>
    </row>
    <row r="33595" ht="15.75" customHeight="1" spans="1:2">
      <c r="A33595" s="3" t="str">
        <f>IFERROR(__xludf.DUMMYFUNCTION("GOOGLETRANSLATE(A33595,""en"",""pt"")"),"Má recepção. antena frágil. Nenhum jogo. Caro para nada.")</f>
        <v>Má recepção. antena frágil. Nenhum jogo. Caro para nada.</v>
      </c>
      <c r="B33595" s="3">
        <v>0</v>
      </c>
    </row>
    <row r="33596" ht="15.75" customHeight="1" spans="1:2">
      <c r="A33596" s="3" t="str">
        <f>IFERROR(__xludf.DUMMYFUNCTION("GOOGLETRANSLATE(A33596,""en"",""pt"")"),"Frágil, Antena, curto a vida da bateria")</f>
        <v>Frágil, Antena, curto a vida da bateria</v>
      </c>
      <c r="B33596" s="3">
        <v>0</v>
      </c>
    </row>
    <row r="33597" ht="15.75" customHeight="1" spans="1:2">
      <c r="A33597" s="3" t="str">
        <f>IFERROR(__xludf.DUMMYFUNCTION("GOOGLETRANSLATE(A33597,""en"",""pt"")"),"Too expenseive")</f>
        <v>Too expenseive</v>
      </c>
      <c r="B33597" s="3">
        <v>0</v>
      </c>
    </row>
    <row r="33598" ht="15.75" customHeight="1" spans="1:2">
      <c r="A33598" s="3" t="str">
        <f>IFERROR(__xludf.DUMMYFUNCTION("GOOGLETRANSLATE(A33598,""en"",""pt"")"),"Um pouco caro")</f>
        <v>Um pouco caro</v>
      </c>
      <c r="B33598" s="3">
        <v>0</v>
      </c>
    </row>
    <row r="33599" ht="15.75" customHeight="1" spans="1:2">
      <c r="A33599" s="3" t="str">
        <f>IFERROR(__xludf.DUMMYFUNCTION("GOOGLETRANSLATE(A33599,""en"",""pt"")"),"custo")</f>
        <v>custo</v>
      </c>
      <c r="B33599" s="3">
        <v>0</v>
      </c>
    </row>
    <row r="33600" ht="15.75" customHeight="1" spans="1:2">
      <c r="A33600" s="3" t="str">
        <f>IFERROR(__xludf.DUMMYFUNCTION("GOOGLETRANSLATE(A33600,""en"",""pt"")"),"toques melhores")</f>
        <v>toques melhores</v>
      </c>
      <c r="B33600" s="3">
        <v>0</v>
      </c>
    </row>
    <row r="33601" ht="15.75" customHeight="1" spans="1:2">
      <c r="A33601" s="3" t="str">
        <f>IFERROR(__xludf.DUMMYFUNCTION("GOOGLETRANSLATE(A33601,""en"",""pt"")"),"Signal nem sempre grande. Não na cor, como muitos telefones mais novos.")</f>
        <v>Signal nem sempre grande. Não na cor, como muitos telefones mais novos.</v>
      </c>
      <c r="B33601" s="3">
        <v>0</v>
      </c>
    </row>
    <row r="33602" ht="15.75" customHeight="1" spans="1:2">
      <c r="A33602" s="3" t="str">
        <f>IFERROR(__xludf.DUMMYFUNCTION("GOOGLETRANSLATE(A33602,""en"",""pt"")"),"Attenna")</f>
        <v>Attenna</v>
      </c>
      <c r="B33602" s="3">
        <v>0</v>
      </c>
    </row>
    <row r="33603" ht="15.75" customHeight="1" spans="1:2">
      <c r="A33603" s="3" t="str">
        <f>IFERROR(__xludf.DUMMYFUNCTION("GOOGLETRANSLATE(A33603,""en"",""pt"")"),"nenhuma tela de cor, não muitos recursos, (mas eu não estou interessado) não fez mais,")</f>
        <v>nenhuma tela de cor, não muitos recursos, (mas eu não estou interessado) não fez mais,</v>
      </c>
      <c r="B33603" s="3">
        <v>0</v>
      </c>
    </row>
    <row r="33604" ht="15.75" customHeight="1" spans="1:2">
      <c r="A33604" s="3" t="str">
        <f>IFERROR(__xludf.DUMMYFUNCTION("GOOGLETRANSLATE(A33604,""en"",""pt"")"),"alto-falante pode ser um pouco alto demais, deve manter microfone um pouco longe")</f>
        <v>alto-falante pode ser um pouco alto demais, deve manter microfone um pouco longe</v>
      </c>
      <c r="B33604" s="3">
        <v>0</v>
      </c>
    </row>
    <row r="33605" ht="15.75" customHeight="1" spans="1:2">
      <c r="A33605" s="3" t="str">
        <f>IFERROR(__xludf.DUMMYFUNCTION("GOOGLETRANSLATE(A33605,""en"",""pt"")"),"Certifique-se de falar com o seu representante de vendas de perto sobre o que você começa por US $ 50.")</f>
        <v>Certifique-se de falar com o seu representante de vendas de perto sobre o que você começa por US $ 50.</v>
      </c>
      <c r="B33605" s="3">
        <v>0</v>
      </c>
    </row>
    <row r="33606" ht="15.75" customHeight="1" spans="1:2">
      <c r="A33606" s="3" t="str">
        <f>IFERROR(__xludf.DUMMYFUNCTION("GOOGLETRANSLATE(A33606,""en"",""pt"")"),"toques são um pouco brega")</f>
        <v>toques são um pouco brega</v>
      </c>
      <c r="B33606" s="3">
        <v>0</v>
      </c>
    </row>
    <row r="33607" ht="15.75" customHeight="1" spans="1:2">
      <c r="A33607" s="3" t="str">
        <f>IFERROR(__xludf.DUMMYFUNCTION("GOOGLETRANSLATE(A33607,""en"",""pt"")"),"No Bluetooth, sem câmera, sem MP3, nenhuma tela externa")</f>
        <v>No Bluetooth, sem câmera, sem MP3, nenhuma tela externa</v>
      </c>
      <c r="B33607" s="3">
        <v>0</v>
      </c>
    </row>
    <row r="33608" ht="15.75" customHeight="1" spans="1:2">
      <c r="A33608" s="3" t="str">
        <f>IFERROR(__xludf.DUMMYFUNCTION("GOOGLETRANSLATE(A33608,""en"",""pt"")"),"Pequeno teclado, Cartão SIM adverte para fora em 13 meses, não funciona na maioria das vezes.")</f>
        <v>Pequeno teclado, Cartão SIM adverte para fora em 13 meses, não funciona na maioria das vezes.</v>
      </c>
      <c r="B33608" s="3">
        <v>0</v>
      </c>
    </row>
    <row r="33609" ht="15.75" customHeight="1" spans="1:2">
      <c r="A33609" s="3" t="str">
        <f>IFERROR(__xludf.DUMMYFUNCTION("GOOGLETRANSLATE(A33609,""en"",""pt"")"),"Muito do que eu considero ""opções básicas"" ausente ou difícil de usar.")</f>
        <v>Muito do que eu considero "opções básicas" ausente ou difícil de usar.</v>
      </c>
      <c r="B33609" s="3">
        <v>0</v>
      </c>
    </row>
    <row r="33610" ht="15.75" customHeight="1" spans="1:2">
      <c r="A33610" s="3" t="str">
        <f>IFERROR(__xludf.DUMMYFUNCTION("GOOGLETRANSLATE(A33610,""en"",""pt"")"),"coisa mãos-livres está abaixo da média, não me diga números vencedores Powerball")</f>
        <v>coisa mãos-livres está abaixo da média, não me diga números vencedores Powerball</v>
      </c>
      <c r="B33610" s="3">
        <v>0</v>
      </c>
    </row>
    <row r="33611" ht="15.75" customHeight="1" spans="1:2">
      <c r="A33611" s="3" t="str">
        <f>IFERROR(__xludf.DUMMYFUNCTION("GOOGLETRANSLATE(A33611,""en"",""pt"")"),"anel / vibração não simultânea, menus ""cute"", dim ecrã à luz do dia, carregador de 'plug' difícil de remover.")</f>
        <v>anel / vibração não simultânea, menus "cute", dim ecrã à luz do dia, carregador de 'plug' difícil de remover.</v>
      </c>
      <c r="B33611" s="3">
        <v>0</v>
      </c>
    </row>
    <row r="33612" ht="15.75" customHeight="1" spans="1:2">
      <c r="A33612" s="3" t="str">
        <f>IFERROR(__xludf.DUMMYFUNCTION("GOOGLETRANSLATE(A33612,""en"",""pt"")"),"Doesn? T tem viva-voz.")</f>
        <v>Doesn? T tem viva-voz.</v>
      </c>
      <c r="B33612" s="3">
        <v>0</v>
      </c>
    </row>
    <row r="33613" ht="15.75" customHeight="1" spans="1:2">
      <c r="A33613" s="3" t="str">
        <f>IFERROR(__xludf.DUMMYFUNCTION("GOOGLETRANSLATE(A33613,""en"",""pt"")"),"A vida da bateria sem fone de ouvido")</f>
        <v>A vida da bateria sem fone de ouvido</v>
      </c>
      <c r="B33613" s="3">
        <v>0</v>
      </c>
    </row>
    <row r="33614" ht="15.75" customHeight="1" spans="1:2">
      <c r="A33614" s="3" t="str">
        <f>IFERROR(__xludf.DUMMYFUNCTION("GOOGLETRANSLATE(A33614,""en"",""pt"")"),"Veja acima")</f>
        <v>Veja acima</v>
      </c>
      <c r="B33614" s="3">
        <v>0</v>
      </c>
    </row>
    <row r="33615" ht="15.75" customHeight="1" spans="1:2">
      <c r="A33615" s="3" t="str">
        <f>IFERROR(__xludf.DUMMYFUNCTION("GOOGLETRANSLATE(A33615,""en"",""pt"")"),"Nenhum identificador de chamadas, fone de ouvido hands-free não funcional e tampa carregador de bateria não é prático.")</f>
        <v>Nenhum identificador de chamadas, fone de ouvido hands-free não funcional e tampa carregador de bateria não é prático.</v>
      </c>
      <c r="B33615" s="3">
        <v>0</v>
      </c>
    </row>
    <row r="33616" ht="15.75" customHeight="1" spans="1:2">
      <c r="A33616" s="3" t="str">
        <f>IFERROR(__xludf.DUMMYFUNCTION("GOOGLETRANSLATE(A33616,""en"",""pt"")"),"Nenhum identificador de chamadas externo, acessórios limitados, tampa da porta carregador fácil de perder.")</f>
        <v>Nenhum identificador de chamadas externo, acessórios limitados, tampa da porta carregador fácil de perder.</v>
      </c>
      <c r="B33616" s="3">
        <v>0</v>
      </c>
    </row>
    <row r="33617" ht="15.75" customHeight="1" spans="1:2">
      <c r="A33617" s="3" t="str">
        <f>IFERROR(__xludf.DUMMYFUNCTION("GOOGLETRANSLATE(A33617,""en"",""pt"")"),"Nenhum identificador de chamadas exterior, o volume de saída para alto")</f>
        <v>Nenhum identificador de chamadas exterior, o volume de saída para alto</v>
      </c>
      <c r="B33617" s="3">
        <v>0</v>
      </c>
    </row>
    <row r="33618" ht="15.75" customHeight="1" spans="1:2">
      <c r="A33618" s="3" t="str">
        <f>IFERROR(__xludf.DUMMYFUNCTION("GOOGLETRANSLATE(A33618,""en"",""pt"")"),"low toque")</f>
        <v>low toque</v>
      </c>
      <c r="B33618" s="3">
        <v>0</v>
      </c>
    </row>
    <row r="33619" ht="15.75" customHeight="1" spans="1:2">
      <c r="A33619" s="3" t="str">
        <f>IFERROR(__xludf.DUMMYFUNCTION("GOOGLETRANSLATE(A33619,""en"",""pt"")"),"seu fresco e bonito para agora até bagunça i-lo.")</f>
        <v>seu fresco e bonito para agora até bagunça i-lo.</v>
      </c>
      <c r="B33619" s="3">
        <v>0</v>
      </c>
    </row>
    <row r="33620" ht="15.75" customHeight="1" spans="1:2">
      <c r="A33620" s="3" t="str">
        <f>IFERROR(__xludf.DUMMYFUNCTION("GOOGLETRANSLATE(A33620,""en"",""pt"")"),"Alto Speakerphone, no ringtones normais, o tom Pasta")</f>
        <v>Alto Speakerphone, no ringtones normais, o tom Pasta</v>
      </c>
      <c r="B33620" s="3">
        <v>0</v>
      </c>
    </row>
    <row r="33621" ht="15.75" customHeight="1" spans="1:2">
      <c r="A33621" s="3" t="str">
        <f>IFERROR(__xludf.DUMMYFUNCTION("GOOGLETRANSLATE(A33621,""en"",""pt"")"),"hum ... não deu certo (pelo menos não muito bem)")</f>
        <v>hum ... não deu certo (pelo menos não muito bem)</v>
      </c>
      <c r="B33621" s="3">
        <v>0</v>
      </c>
    </row>
    <row r="33622" ht="15.75" customHeight="1" spans="1:2">
      <c r="A33622" s="3" t="str">
        <f>IFERROR(__xludf.DUMMYFUNCTION("GOOGLETRANSLATE(A33622,""en"",""pt"")"),"a intensidade do sinal medíocre")</f>
        <v>a intensidade do sinal medíocre</v>
      </c>
      <c r="B33622" s="3">
        <v>0</v>
      </c>
    </row>
    <row r="33623" ht="15.75" customHeight="1" spans="1:2">
      <c r="A33623" s="3" t="str">
        <f>IFERROR(__xludf.DUMMYFUNCTION("GOOGLETRANSLATE(A33623,""en"",""pt"")"),"Que bom é um telefone muito se você quase nunca pode obter um sinal!")</f>
        <v>Que bom é um telefone muito se você quase nunca pode obter um sinal!</v>
      </c>
      <c r="B33623" s="3">
        <v>0</v>
      </c>
    </row>
    <row r="33624" ht="15.75" customHeight="1" spans="1:2">
      <c r="A33624" s="3" t="str">
        <f>IFERROR(__xludf.DUMMYFUNCTION("GOOGLETRANSLATE(A33624,""en"",""pt"")"),"Nenhum identificador de chamadas externo, nenhum alto-falante")</f>
        <v>Nenhum identificador de chamadas externo, nenhum alto-falante</v>
      </c>
      <c r="B33624" s="3">
        <v>0</v>
      </c>
    </row>
    <row r="33625" ht="15.75" customHeight="1" spans="1:2">
      <c r="A33625" s="3" t="str">
        <f>IFERROR(__xludf.DUMMYFUNCTION("GOOGLETRANSLATE(A33625,""en"",""pt"")"),"Carregar anexo porta fácil de perder, clareza poderia ser melhor")</f>
        <v>Carregar anexo porta fácil de perder, clareza poderia ser melhor</v>
      </c>
      <c r="B33625" s="3">
        <v>0</v>
      </c>
    </row>
    <row r="33626" ht="15.75" customHeight="1" spans="1:2">
      <c r="A33626" s="3" t="str">
        <f>IFERROR(__xludf.DUMMYFUNCTION("GOOGLETRANSLATE(A33626,""en"",""pt"")"),"Sem ID chamada externa")</f>
        <v>Sem ID chamada externa</v>
      </c>
      <c r="B33626" s="3">
        <v>0</v>
      </c>
    </row>
    <row r="33627" ht="15.75" customHeight="1" spans="1:2">
      <c r="A33627" s="3" t="str">
        <f>IFERROR(__xludf.DUMMYFUNCTION("GOOGLETRANSLATE(A33627,""en"",""pt"")"),"sem identificador de chamadas externo. tampa do carregador facilmente perdidos.")</f>
        <v>sem identificador de chamadas externo. tampa do carregador facilmente perdidos.</v>
      </c>
      <c r="B33627" s="3">
        <v>0</v>
      </c>
    </row>
    <row r="33628" ht="15.75" customHeight="1" spans="1:2">
      <c r="A33628" s="3" t="str">
        <f>IFERROR(__xludf.DUMMYFUNCTION("GOOGLETRANSLATE(A33628,""en"",""pt"")"),"Recepção, carecem de recursos úteis, localização microfone, estilo de introdução de texto, antena sensível.")</f>
        <v>Recepção, carecem de recursos úteis, localização microfone, estilo de introdução de texto, antena sensível.</v>
      </c>
      <c r="B33628" s="3">
        <v>0</v>
      </c>
    </row>
    <row r="33629" ht="15.75" customHeight="1" spans="1:2">
      <c r="A33629" s="3" t="str">
        <f>IFERROR(__xludf.DUMMYFUNCTION("GOOGLETRANSLATE(A33629,""en"",""pt"")"),"Detalhes da Fotografia Camera não é grande")</f>
        <v>Detalhes da Fotografia Camera não é grande</v>
      </c>
      <c r="B33629" s="3">
        <v>0</v>
      </c>
    </row>
    <row r="33630" ht="15.75" customHeight="1" spans="1:2">
      <c r="A33630" s="3" t="str">
        <f>IFERROR(__xludf.DUMMYFUNCTION("GOOGLETRANSLATE(A33630,""en"",""pt"")"),"Jack de todos os comércios, mestre de ninguém")</f>
        <v>Jack de todos os comércios, mestre de ninguém</v>
      </c>
      <c r="B33630" s="3">
        <v>0</v>
      </c>
    </row>
    <row r="33631" ht="15.75" customHeight="1" spans="1:2">
      <c r="A33631" s="3" t="str">
        <f>IFERROR(__xludf.DUMMYFUNCTION("GOOGLETRANSLATE(A33631,""en"",""pt"")"),"Sem bluetooth. Caro.")</f>
        <v>Sem bluetooth. Caro.</v>
      </c>
      <c r="B33631" s="3">
        <v>0</v>
      </c>
    </row>
    <row r="33632" ht="15.75" customHeight="1" spans="1:2">
      <c r="A33632" s="3" t="str">
        <f>IFERROR(__xludf.DUMMYFUNCTION("GOOGLETRANSLATE(A33632,""en"",""pt"")"),"Rádio, Camera, menus lentos, design Headset, qualidade da configuração")</f>
        <v>Rádio, Camera, menus lentos, design Headset, qualidade da configuração</v>
      </c>
      <c r="B33632" s="3">
        <v>0</v>
      </c>
    </row>
    <row r="33633" ht="15.75" customHeight="1" spans="1:2">
      <c r="A33633" s="3" t="str">
        <f>IFERROR(__xludf.DUMMYFUNCTION("GOOGLETRANSLATE(A33633,""en"",""pt"")"),"Caro, não bluetooth, pintar sobre o revestimento não que durável.")</f>
        <v>Caro, não bluetooth, pintar sobre o revestimento não que durável.</v>
      </c>
      <c r="B33633" s="3">
        <v>0</v>
      </c>
    </row>
    <row r="33634" ht="15.75" customHeight="1" spans="1:2">
      <c r="A33634" s="3" t="str">
        <f>IFERROR(__xludf.DUMMYFUNCTION("GOOGLETRANSLATE(A33634,""en"",""pt"")"),"Chunky pelo padrão de hoje, a má qualidade da câmera, entrada para auscultadores é horrível")</f>
        <v>Chunky pelo padrão de hoje, a má qualidade da câmera, entrada para auscultadores é horrível</v>
      </c>
      <c r="B33634" s="3">
        <v>0</v>
      </c>
    </row>
    <row r="33635" ht="15.75" customHeight="1" spans="1:2">
      <c r="A33635" s="3" t="str">
        <f>IFERROR(__xludf.DUMMYFUNCTION("GOOGLETRANSLATE(A33635,""en"",""pt"")"),"Tela ainda ""fantasmas"" às vezes, botões esquerdo e direito acima me lembram de 7210, Costly.")</f>
        <v>Tela ainda "fantasmas" às vezes, botões esquerdo e direito acima me lembram de 7210, Costly.</v>
      </c>
      <c r="B33635" s="3">
        <v>0</v>
      </c>
    </row>
    <row r="33636" ht="15.75" customHeight="1" spans="1:2">
      <c r="A33636" s="3" t="str">
        <f>IFERROR(__xludf.DUMMYFUNCTION("GOOGLETRANSLATE(A33636,""en"",""pt"")"),"poderia ser menor, há boas coberturas para ele")</f>
        <v>poderia ser menor, há boas coberturas para ele</v>
      </c>
      <c r="B33636" s="3">
        <v>0</v>
      </c>
    </row>
    <row r="33637" ht="15.75" customHeight="1" spans="1:2">
      <c r="A33637" s="3" t="str">
        <f>IFERROR(__xludf.DUMMYFUNCTION("GOOGLETRANSLATE(A33637,""en"",""pt"")"),"um pouco caro para o Joe média se você não vai usar todas as funções")</f>
        <v>um pouco caro para o Joe média se você não vai usar todas as funções</v>
      </c>
      <c r="B33637" s="3">
        <v>0</v>
      </c>
    </row>
    <row r="33638" ht="15.75" customHeight="1" spans="1:2">
      <c r="A33638" s="3" t="str">
        <f>IFERROR(__xludf.DUMMYFUNCTION("GOOGLETRANSLATE(A33638,""en"",""pt"")"),"Não a melhor qualidade de som. Não é possível baixar. Interface WAP hostil.")</f>
        <v>Não a melhor qualidade de som. Não é possível baixar. Interface WAP hostil.</v>
      </c>
      <c r="B33638" s="3">
        <v>0</v>
      </c>
    </row>
    <row r="33639" ht="15.75" customHeight="1" spans="1:2">
      <c r="A33639" s="3" t="str">
        <f>IFERROR(__xludf.DUMMYFUNCTION("GOOGLETRANSLATE(A33639,""en"",""pt"")"),"O caso fica suja com bastante facilidade")</f>
        <v>O caso fica suja com bastante facilidade</v>
      </c>
      <c r="B33639" s="3">
        <v>0</v>
      </c>
    </row>
    <row r="33640" ht="15.75" customHeight="1" spans="1:2">
      <c r="A33640" s="3" t="str">
        <f>IFERROR(__xludf.DUMMYFUNCTION("GOOGLETRANSLATE(A33640,""en"",""pt"")"),"Poeira sob a tela apenas eu exigente eu acho")</f>
        <v>Poeira sob a tela apenas eu exigente eu acho</v>
      </c>
      <c r="B33640" s="3">
        <v>0</v>
      </c>
    </row>
    <row r="33641" ht="15.75" customHeight="1" spans="1:2">
      <c r="A33641" s="3" t="str">
        <f>IFERROR(__xludf.DUMMYFUNCTION("GOOGLETRANSLATE(A33641,""en"",""pt"")"),"backlight laranja não foi tão atraente.")</f>
        <v>backlight laranja não foi tão atraente.</v>
      </c>
      <c r="B33641" s="3">
        <v>0</v>
      </c>
    </row>
    <row r="33642" ht="15.75" customHeight="1" spans="1:2">
      <c r="A33642" s="3" t="str">
        <f>IFERROR(__xludf.DUMMYFUNCTION("GOOGLETRANSLATE(A33642,""en"",""pt"")"),"só pode passar pela AT &amp; amp; T")</f>
        <v>só pode passar pela AT &amp; amp; T</v>
      </c>
      <c r="B33642" s="3">
        <v>0</v>
      </c>
    </row>
    <row r="33643" ht="15.75" customHeight="1" spans="1:2">
      <c r="A33643" s="3" t="str">
        <f>IFERROR(__xludf.DUMMYFUNCTION("GOOGLETRANSLATE(A33643,""en"",""pt"")"),"Às vezes, os fades de exibição e eu tenho que toque nele")</f>
        <v>Às vezes, os fades de exibição e eu tenho que toque nele</v>
      </c>
      <c r="B33643" s="3">
        <v>0</v>
      </c>
    </row>
    <row r="33644" ht="15.75" customHeight="1" spans="1:2">
      <c r="A33644" s="3" t="str">
        <f>IFERROR(__xludf.DUMMYFUNCTION("GOOGLETRANSLATE(A33644,""en"",""pt"")"),"realmente não pode pensar em qualquer.")</f>
        <v>realmente não pode pensar em qualquer.</v>
      </c>
      <c r="B33644" s="3">
        <v>0</v>
      </c>
    </row>
    <row r="33645" ht="15.75" customHeight="1" spans="1:2">
      <c r="A33645" s="3" t="str">
        <f>IFERROR(__xludf.DUMMYFUNCTION("GOOGLETRANSLATE(A33645,""en"",""pt"")"),"Nenhum")</f>
        <v>Nenhum</v>
      </c>
      <c r="B33645" s="3">
        <v>0</v>
      </c>
    </row>
    <row r="33646" ht="15.75" customHeight="1" spans="1:2">
      <c r="A33646" s="3" t="str">
        <f>IFERROR(__xludf.DUMMYFUNCTION("GOOGLETRANSLATE(A33646,""en"",""pt"")"),"o botão de energia é muito pequeno")</f>
        <v>o botão de energia é muito pequeno</v>
      </c>
      <c r="B33646" s="3">
        <v>0</v>
      </c>
    </row>
    <row r="33647" ht="15.75" customHeight="1" spans="1:2">
      <c r="A33647" s="3" t="str">
        <f>IFERROR(__xludf.DUMMYFUNCTION("GOOGLETRANSLATE(A33647,""en"",""pt"")"),"6162 frente aleta é estranho")</f>
        <v>6162 frente aleta é estranho</v>
      </c>
      <c r="B33647" s="3">
        <v>0</v>
      </c>
    </row>
    <row r="33648" ht="15.75" customHeight="1" spans="1:2">
      <c r="A33648" s="3" t="str">
        <f>IFERROR(__xludf.DUMMYFUNCTION("GOOGLETRANSLATE(A33648,""en"",""pt"")"),"um pouco volumoso para os padrões atuais")</f>
        <v>um pouco volumoso para os padrões atuais</v>
      </c>
      <c r="B33648" s="3">
        <v>0</v>
      </c>
    </row>
    <row r="33649" ht="15.75" customHeight="1" spans="1:2">
      <c r="A33649" s="3" t="str">
        <f>IFERROR(__xludf.DUMMYFUNCTION("GOOGLETRANSLATE(A33649,""en"",""pt"")"),"Cobertura em áreas rurais (AT &amp; amp; T), pequeno alto-falante")</f>
        <v>Cobertura em áreas rurais (AT &amp; amp; T), pequeno alto-falante</v>
      </c>
      <c r="B33649" s="3">
        <v>0</v>
      </c>
    </row>
    <row r="33650" ht="15.75" customHeight="1" spans="1:2">
      <c r="A33650" s="3" t="str">
        <f>IFERROR(__xludf.DUMMYFUNCTION("GOOGLETRANSLATE(A33650,""en"",""pt"")"),"Um pouco grande")</f>
        <v>Um pouco grande</v>
      </c>
      <c r="B33650" s="3">
        <v>0</v>
      </c>
    </row>
    <row r="33651" ht="15.75" customHeight="1" spans="1:2">
      <c r="A33651" s="3" t="str">
        <f>IFERROR(__xludf.DUMMYFUNCTION("GOOGLETRANSLATE(A33651,""en"",""pt"")"),"Não consigo pensar em nenhum.")</f>
        <v>Não consigo pensar em nenhum.</v>
      </c>
      <c r="B33651" s="3">
        <v>0</v>
      </c>
    </row>
    <row r="33652" ht="15.75" customHeight="1" spans="1:2">
      <c r="A33652" s="3" t="str">
        <f>IFERROR(__xludf.DUMMYFUNCTION("GOOGLETRANSLATE(A33652,""en"",""pt"")"),"Funciona dentro mal.")</f>
        <v>Funciona dentro mal.</v>
      </c>
      <c r="B33652" s="3">
        <v>0</v>
      </c>
    </row>
    <row r="33653" ht="15.75" customHeight="1" spans="1:2">
      <c r="A33653" s="3" t="str">
        <f>IFERROR(__xludf.DUMMYFUNCTION("GOOGLETRANSLATE(A33653,""en"",""pt"")"),"Não é bom para olhar")</f>
        <v>Não é bom para olhar</v>
      </c>
      <c r="B33653" s="3">
        <v>0</v>
      </c>
    </row>
    <row r="33654" ht="15.75" customHeight="1" spans="1:2">
      <c r="A33654" s="3" t="str">
        <f>IFERROR(__xludf.DUMMYFUNCTION("GOOGLETRANSLATE(A33654,""en"",""pt"")"),"Para os novos usuários terão que praticar para entender as características, grandes caras telefone tempo pode querer ir para o 6190.")</f>
        <v>Para os novos usuários terão que praticar para entender as características, grandes caras telefone tempo pode querer ir para o 6190.</v>
      </c>
      <c r="B33654" s="3">
        <v>0</v>
      </c>
    </row>
    <row r="33655" ht="15.75" customHeight="1" spans="1:2">
      <c r="A33655" s="3" t="str">
        <f>IFERROR(__xludf.DUMMYFUNCTION("GOOGLETRANSLATE(A33655,""en"",""pt"")"),"qualidade de construção questionável")</f>
        <v>qualidade de construção questionável</v>
      </c>
      <c r="B33655" s="3">
        <v>0</v>
      </c>
    </row>
    <row r="33656" ht="15.75" customHeight="1" spans="1:2">
      <c r="A33656" s="3" t="str">
        <f>IFERROR(__xludf.DUMMYFUNCTION("GOOGLETRANSLATE(A33656,""en"",""pt"")"),"Built-in jogos 2 tentadoras 4 recuperando jogo-aholics!")</f>
        <v>Built-in jogos 2 tentadoras 4 recuperando jogo-aholics!</v>
      </c>
      <c r="B33656" s="3">
        <v>0</v>
      </c>
    </row>
    <row r="33657" ht="15.75" customHeight="1" spans="1:2">
      <c r="A33657" s="3" t="str">
        <f>IFERROR(__xludf.DUMMYFUNCTION("GOOGLETRANSLATE(A33657,""en"",""pt"")"),"gsm é caro")</f>
        <v>gsm é caro</v>
      </c>
      <c r="B33657" s="3">
        <v>0</v>
      </c>
    </row>
    <row r="33658" ht="15.75" customHeight="1" spans="1:2">
      <c r="A33658" s="3" t="str">
        <f>IFERROR(__xludf.DUMMYFUNCTION("GOOGLETRANSLATE(A33658,""en"",""pt"")"),"Fone de ouvido aquece")</f>
        <v>Fone de ouvido aquece</v>
      </c>
      <c r="B33658" s="3">
        <v>0</v>
      </c>
    </row>
    <row r="33659" ht="15.75" customHeight="1" spans="1:2">
      <c r="A33659" s="3" t="str">
        <f>IFERROR(__xludf.DUMMYFUNCTION("GOOGLETRANSLATE(A33659,""en"",""pt"")"),"Nenhum")</f>
        <v>Nenhum</v>
      </c>
      <c r="B33659" s="3">
        <v>0</v>
      </c>
    </row>
    <row r="33660" ht="15.75" customHeight="1" spans="1:2">
      <c r="A33660" s="3" t="str">
        <f>IFERROR(__xludf.DUMMYFUNCTION("GOOGLETRANSLATE(A33660,""en"",""pt"")"),"macaco de não são inteligentes o suficiente para usá-lo!")</f>
        <v>macaco de não são inteligentes o suficiente para usá-lo!</v>
      </c>
      <c r="B33660" s="3">
        <v>0</v>
      </c>
    </row>
    <row r="33661" ht="15.75" customHeight="1" spans="1:2">
      <c r="A33661" s="3" t="str">
        <f>IFERROR(__xludf.DUMMYFUNCTION("GOOGLETRANSLATE(A33661,""en"",""pt"")"),"Nenhum")</f>
        <v>Nenhum</v>
      </c>
      <c r="B33661" s="3">
        <v>0</v>
      </c>
    </row>
    <row r="33662" ht="15.75" customHeight="1" spans="1:2">
      <c r="A33662" s="3" t="str">
        <f>IFERROR(__xludf.DUMMYFUNCTION("GOOGLETRANSLATE(A33662,""en"",""pt"")"),"Nenhum que eu descobri que não seja um guia do usuário espessura")</f>
        <v>Nenhum que eu descobri que não seja um guia do usuário espessura</v>
      </c>
      <c r="B33662" s="3">
        <v>0</v>
      </c>
    </row>
    <row r="33663" ht="15.75" customHeight="1" spans="1:2">
      <c r="A33663" s="3" t="str">
        <f>IFERROR(__xludf.DUMMYFUNCTION("GOOGLETRANSLATE(A33663,""en"",""pt"")"),"placas de cara raros, provocar crises de ciúme em outros proprietários de Nokia")</f>
        <v>placas de cara raros, provocar crises de ciúme em outros proprietários de Nokia</v>
      </c>
      <c r="B33663" s="3">
        <v>0</v>
      </c>
    </row>
    <row r="33664" ht="15.75" customHeight="1" spans="1:2">
      <c r="A33664" s="3" t="str">
        <f>IFERROR(__xludf.DUMMYFUNCTION("GOOGLETRANSLATE(A33664,""en"",""pt"")"),"tela Buggy, modelo é longo no dente")</f>
        <v>tela Buggy, modelo é longo no dente</v>
      </c>
      <c r="B33664" s="3">
        <v>0</v>
      </c>
    </row>
    <row r="33665" ht="15.75" customHeight="1" spans="1:2">
      <c r="A33665" s="3" t="str">
        <f>IFERROR(__xludf.DUMMYFUNCTION("GOOGLETRANSLATE(A33665,""en"",""pt"")"),"Parece ficar quente após 20 min de tempo de conversação")</f>
        <v>Parece ficar quente após 20 min de tempo de conversação</v>
      </c>
      <c r="B33665" s="3">
        <v>0</v>
      </c>
    </row>
    <row r="33666" ht="15.75" customHeight="1" spans="1:2">
      <c r="A33666" s="3" t="str">
        <f>IFERROR(__xludf.DUMMYFUNCTION("GOOGLETRANSLATE(A33666,""en"",""pt"")"),"Recepção às vezes.")</f>
        <v>Recepção às vezes.</v>
      </c>
      <c r="B33666" s="3">
        <v>0</v>
      </c>
    </row>
    <row r="33667" ht="15.75" customHeight="1" spans="1:2">
      <c r="A33667" s="3" t="str">
        <f>IFERROR(__xludf.DUMMYFUNCTION("GOOGLETRANSLATE(A33667,""en"",""pt"")"),"Ainda caro em cerca de US $ 170, e não o menor celular")</f>
        <v>Ainda caro em cerca de US $ 170, e não o menor celular</v>
      </c>
      <c r="B33667" s="3">
        <v>0</v>
      </c>
    </row>
    <row r="33668" ht="15.75" customHeight="1" spans="1:2">
      <c r="A33668" s="3" t="str">
        <f>IFERROR(__xludf.DUMMYFUNCTION("GOOGLETRANSLATE(A33668,""en"",""pt"")"),"nenhuma função, elemento de distorção vibratória.")</f>
        <v>nenhuma função, elemento de distorção vibratória.</v>
      </c>
      <c r="B33668" s="3">
        <v>0</v>
      </c>
    </row>
    <row r="33669" ht="15.75" customHeight="1" spans="1:2">
      <c r="A33669" s="3" t="str">
        <f>IFERROR(__xludf.DUMMYFUNCTION("GOOGLETRANSLATE(A33669,""en"",""pt"")"),"força do sinal, por vezes inconsistentes")</f>
        <v>força do sinal, por vezes inconsistentes</v>
      </c>
      <c r="B33669" s="3">
        <v>0</v>
      </c>
    </row>
    <row r="33670" ht="15.75" customHeight="1" spans="1:2">
      <c r="A33670" s="3" t="str">
        <f>IFERROR(__xludf.DUMMYFUNCTION("GOOGLETRANSLATE(A33670,""en"",""pt"")"),"Fácil para marcar acidentalmente números")</f>
        <v>Fácil para marcar acidentalmente números</v>
      </c>
      <c r="B33670" s="3">
        <v>0</v>
      </c>
    </row>
    <row r="33671" ht="15.75" customHeight="1" spans="1:2">
      <c r="A33671" s="3" t="str">
        <f>IFERROR(__xludf.DUMMYFUNCTION("GOOGLETRANSLATE(A33671,""en"",""pt"")"),"Custo relativamente alto em alguns lugares, Locked para um provedor em alguns lugares, nenhum suporte de dados")</f>
        <v>Custo relativamente alto em alguns lugares, Locked para um provedor em alguns lugares, nenhum suporte de dados</v>
      </c>
      <c r="B33671" s="3">
        <v>0</v>
      </c>
    </row>
    <row r="33672" ht="15.75" customHeight="1" spans="1:2">
      <c r="A33672" s="3" t="str">
        <f>IFERROR(__xludf.DUMMYFUNCTION("GOOGLETRANSLATE(A33672,""en"",""pt"")"),"Qualidade do produto (Display)")</f>
        <v>Qualidade do produto (Display)</v>
      </c>
      <c r="B33672" s="3">
        <v>0</v>
      </c>
    </row>
    <row r="33673" ht="15.75" customHeight="1" spans="1:2">
      <c r="A33673" s="3" t="str">
        <f>IFERROR(__xludf.DUMMYFUNCTION("GOOGLETRANSLATE(A33673,""en"",""pt"")"),"alguns acessórios são baratos")</f>
        <v>alguns acessórios são baratos</v>
      </c>
      <c r="B33673" s="3">
        <v>0</v>
      </c>
    </row>
    <row r="33674" ht="15.75" customHeight="1" spans="1:2">
      <c r="A33674" s="3" t="str">
        <f>IFERROR(__xludf.DUMMYFUNCTION("GOOGLETRANSLATE(A33674,""en"",""pt"")"),"precisa de adaptador para fora do trabalho da área GSM")</f>
        <v>precisa de adaptador para fora do trabalho da área GSM</v>
      </c>
      <c r="B33674" s="3">
        <v>0</v>
      </c>
    </row>
    <row r="33675" ht="15.75" customHeight="1" spans="1:2">
      <c r="A33675" s="3" t="str">
        <f>IFERROR(__xludf.DUMMYFUNCTION("GOOGLETRANSLATE(A33675,""en"",""pt"")"),"antenae pode quebrar, não sincronizar o seu livro de endereços com um computador")</f>
        <v>antenae pode quebrar, não sincronizar o seu livro de endereços com um computador</v>
      </c>
      <c r="B33675" s="3">
        <v>0</v>
      </c>
    </row>
    <row r="33676" ht="15.75" customHeight="1" spans="1:2">
      <c r="A33676" s="3" t="str">
        <f>IFERROR(__xludf.DUMMYFUNCTION("GOOGLETRANSLATE(A33676,""en"",""pt"")"),"projeto headset pobres e nenhum alerta de vibração interna no próprio telefone")</f>
        <v>projeto headset pobres e nenhum alerta de vibração interna no próprio telefone</v>
      </c>
      <c r="B33676" s="3">
        <v>0</v>
      </c>
    </row>
    <row r="33677" ht="15.75" customHeight="1" spans="1:2">
      <c r="A33677" s="3" t="str">
        <f>IFERROR(__xludf.DUMMYFUNCTION("GOOGLETRANSLATE(A33677,""en"",""pt"")"),"Nenhum significativa")</f>
        <v>Nenhum significativa</v>
      </c>
      <c r="B33677" s="3">
        <v>0</v>
      </c>
    </row>
    <row r="33678" ht="15.75" customHeight="1" spans="1:2">
      <c r="A33678" s="3" t="str">
        <f>IFERROR(__xludf.DUMMYFUNCTION("GOOGLETRANSLATE(A33678,""en"",""pt"")"),"acessórios caros")</f>
        <v>acessórios caros</v>
      </c>
      <c r="B33678" s="3">
        <v>0</v>
      </c>
    </row>
    <row r="33679" ht="15.75" customHeight="1" spans="1:2">
      <c r="A33679" s="3" t="str">
        <f>IFERROR(__xludf.DUMMYFUNCTION("GOOGLETRANSLATE(A33679,""en"",""pt"")"),"antena frágil, poderia ter uma melhor recepção.")</f>
        <v>antena frágil, poderia ter uma melhor recepção.</v>
      </c>
      <c r="B33679" s="3">
        <v>0</v>
      </c>
    </row>
    <row r="33680" ht="15.75" customHeight="1" spans="1:2">
      <c r="A33680" s="3" t="str">
        <f>IFERROR(__xludf.DUMMYFUNCTION("GOOGLETRANSLATE(A33680,""en"",""pt"")"),"Difícil de usar à noite")</f>
        <v>Difícil de usar à noite</v>
      </c>
      <c r="B33680" s="3">
        <v>0</v>
      </c>
    </row>
    <row r="33681" ht="15.75" customHeight="1" spans="1:2">
      <c r="A33681" s="3" t="str">
        <f>IFERROR(__xludf.DUMMYFUNCTION("GOOGLETRANSLATE(A33681,""en"",""pt"")"),"deve ter cuidado com ele ou ela pode quebrar")</f>
        <v>deve ter cuidado com ele ou ela pode quebrar</v>
      </c>
      <c r="B33681" s="3">
        <v>0</v>
      </c>
    </row>
    <row r="33682" ht="15.75" customHeight="1" spans="1:2">
      <c r="A33682" s="3" t="str">
        <f>IFERROR(__xludf.DUMMYFUNCTION("GOOGLETRANSLATE(A33682,""en"",""pt"")"),"auto discar um problema vezes")</f>
        <v>auto discar um problema vezes</v>
      </c>
      <c r="B33682" s="3">
        <v>0</v>
      </c>
    </row>
    <row r="33683" ht="15.75" customHeight="1" spans="1:2">
      <c r="A33683" s="3" t="str">
        <f>IFERROR(__xludf.DUMMYFUNCTION("GOOGLETRANSLATE(A33683,""en"",""pt"")"),"dependendo da empresa, os preços!")</f>
        <v>dependendo da empresa, os preços!</v>
      </c>
      <c r="B33683" s="3">
        <v>0</v>
      </c>
    </row>
    <row r="33684" ht="15.75" customHeight="1" spans="1:2">
      <c r="A33684" s="3" t="str">
        <f>IFERROR(__xludf.DUMMYFUNCTION("GOOGLETRANSLATE(A33684,""en"",""pt"")"),"Grande demais para um bolso, não built-in vibrar")</f>
        <v>Grande demais para um bolso, não built-in vibrar</v>
      </c>
      <c r="B33684" s="3">
        <v>0</v>
      </c>
    </row>
    <row r="33685" ht="15.75" customHeight="1" spans="1:2">
      <c r="A33685" s="3" t="str">
        <f>IFERROR(__xludf.DUMMYFUNCTION("GOOGLETRANSLATE(A33685,""en"",""pt"")"),"Nenhuma porta IR")</f>
        <v>Nenhuma porta IR</v>
      </c>
      <c r="B33685" s="3">
        <v>0</v>
      </c>
    </row>
    <row r="33686" ht="15.75" customHeight="1" spans="1:2">
      <c r="A33686" s="3" t="str">
        <f>IFERROR(__xludf.DUMMYFUNCTION("GOOGLETRANSLATE(A33686,""en"",""pt"")"),"Campainhas e fone de ouvido pode ficar quieto.")</f>
        <v>Campainhas e fone de ouvido pode ficar quieto.</v>
      </c>
      <c r="B33686" s="3">
        <v>0</v>
      </c>
    </row>
    <row r="33687" ht="15.75" customHeight="1" spans="1:2">
      <c r="A33687" s="3" t="str">
        <f>IFERROR(__xludf.DUMMYFUNCTION("GOOGLETRANSLATE(A33687,""en"",""pt"")"),"Um pouco caro")</f>
        <v>Um pouco caro</v>
      </c>
      <c r="B33687" s="3">
        <v>0</v>
      </c>
    </row>
    <row r="33688" ht="15.75" customHeight="1" spans="1:2">
      <c r="A33688" s="3" t="str">
        <f>IFERROR(__xludf.DUMMYFUNCTION("GOOGLETRANSLATE(A33688,""en"",""pt"")"),"não pode forçá-lo para analógico ou seleccionar o canal")</f>
        <v>não pode forçá-lo para analógico ou seleccionar o canal</v>
      </c>
      <c r="B33688" s="3">
        <v>0</v>
      </c>
    </row>
    <row r="33689" ht="15.75" customHeight="1" spans="1:2">
      <c r="A33689" s="3" t="str">
        <f>IFERROR(__xludf.DUMMYFUNCTION("GOOGLETRANSLATE(A33689,""en"",""pt"")"),"Ocasionalmente Locks Up, Bad Plastic Holster")</f>
        <v>Ocasionalmente Locks Up, Bad Plastic Holster</v>
      </c>
      <c r="B33689" s="3">
        <v>0</v>
      </c>
    </row>
    <row r="33690" ht="15.75" customHeight="1" spans="1:2">
      <c r="A33690" s="3" t="str">
        <f>IFERROR(__xludf.DUMMYFUNCTION("GOOGLETRANSLATE(A33690,""en"",""pt"")"),"precisa de bateria opcional para Vibra-alertas, e não que compacta")</f>
        <v>precisa de bateria opcional para Vibra-alertas, e não que compacta</v>
      </c>
      <c r="B33690" s="3">
        <v>0</v>
      </c>
    </row>
    <row r="33691" ht="15.75" customHeight="1" spans="1:2">
      <c r="A33691" s="3" t="str">
        <f>IFERROR(__xludf.DUMMYFUNCTION("GOOGLETRANSLATE(A33691,""en"",""pt"")"),"Eu chupei a Serpente")</f>
        <v>Eu chupei a Serpente</v>
      </c>
      <c r="B33691" s="3">
        <v>0</v>
      </c>
    </row>
    <row r="33692" ht="15.75" customHeight="1" spans="1:2">
      <c r="A33692" s="3" t="str">
        <f>IFERROR(__xludf.DUMMYFUNCTION("GOOGLETRANSLATE(A33692,""en"",""pt"")"),"Alguns podem pensar que a sua &amp; quot; ultrapassada &amp; quot; por novos telefones.")</f>
        <v>Alguns podem pensar que a sua &amp; quot; ultrapassada &amp; quot; por novos telefones.</v>
      </c>
      <c r="B33692" s="3">
        <v>0</v>
      </c>
    </row>
    <row r="33693" ht="15.75" customHeight="1" spans="1:2">
      <c r="A33693" s="3" t="str">
        <f>IFERROR(__xludf.DUMMYFUNCTION("GOOGLETRANSLATE(A33693,""en"",""pt"")"),"problemas mecânicos com visor e tampa")</f>
        <v>problemas mecânicos com visor e tampa</v>
      </c>
      <c r="B33693" s="3">
        <v>0</v>
      </c>
    </row>
    <row r="33694" ht="15.75" customHeight="1" spans="1:2">
      <c r="A33694" s="3" t="str">
        <f>IFERROR(__xludf.DUMMYFUNCTION("GOOGLETRANSLATE(A33694,""en"",""pt"")"),"Mesmos problemas que todos os telefones celulares têm, mas também um problema de seleção de volume de")</f>
        <v>Mesmos problemas que todos os telefones celulares têm, mas também um problema de seleção de volume de</v>
      </c>
      <c r="B33694" s="3">
        <v>0</v>
      </c>
    </row>
    <row r="33695" ht="15.75" customHeight="1" spans="1:2">
      <c r="A33695" s="3" t="str">
        <f>IFERROR(__xludf.DUMMYFUNCTION("GOOGLETRANSLATE(A33695,""en"",""pt"")"),"Difícil de transformá telefone - muitas opções")</f>
        <v>Difícil de transformá telefone - muitas opções</v>
      </c>
      <c r="B33695" s="3">
        <v>0</v>
      </c>
    </row>
    <row r="33696" ht="15.75" customHeight="1" spans="1:2">
      <c r="A33696" s="3" t="str">
        <f>IFERROR(__xludf.DUMMYFUNCTION("GOOGLETRANSLATE(A33696,""en"",""pt"")"),"Nenhum")</f>
        <v>Nenhum</v>
      </c>
      <c r="B33696" s="3">
        <v>0</v>
      </c>
    </row>
    <row r="33697" ht="15.75" customHeight="1" spans="1:2">
      <c r="A33697" s="3" t="str">
        <f>IFERROR(__xludf.DUMMYFUNCTION("GOOGLETRANSLATE(A33697,""en"",""pt"")"),"Você não pode completar a chamada a maior parte do tempo.")</f>
        <v>Você não pode completar a chamada a maior parte do tempo.</v>
      </c>
      <c r="B33697" s="3">
        <v>0</v>
      </c>
    </row>
    <row r="33698" ht="15.75" customHeight="1" spans="1:2">
      <c r="A33698" s="3" t="str">
        <f>IFERROR(__xludf.DUMMYFUNCTION("GOOGLETRANSLATE(A33698,""en"",""pt"")"),"Fácil perder (!)")</f>
        <v>Fácil perder (!)</v>
      </c>
      <c r="B33698" s="3">
        <v>0</v>
      </c>
    </row>
    <row r="33699" ht="15.75" customHeight="1" spans="1:2">
      <c r="A33699" s="3" t="str">
        <f>IFERROR(__xludf.DUMMYFUNCTION("GOOGLETRANSLATE(A33699,""en"",""pt"")"),"o tamanho, o volume")</f>
        <v>o tamanho, o volume</v>
      </c>
      <c r="B33699" s="3">
        <v>0</v>
      </c>
    </row>
    <row r="33700" ht="15.75" customHeight="1" spans="1:2">
      <c r="A33700" s="3" t="str">
        <f>IFERROR(__xludf.DUMMYFUNCTION("GOOGLETRANSLATE(A33700,""en"",""pt"")"),"No ""Take Me Out ao basebol"".")</f>
        <v>No "Take Me Out ao basebol".</v>
      </c>
      <c r="B33700" s="3">
        <v>0</v>
      </c>
    </row>
    <row r="33701" ht="15.75" customHeight="1" spans="1:2">
      <c r="A33701" s="3" t="str">
        <f>IFERROR(__xludf.DUMMYFUNCTION("GOOGLETRANSLATE(A33701,""en"",""pt"")"),"antena não estender / retrair")</f>
        <v>antena não estender / retrair</v>
      </c>
      <c r="B33701" s="3">
        <v>0</v>
      </c>
    </row>
    <row r="33702" ht="15.75" customHeight="1" spans="1:2">
      <c r="A33702" s="3" t="str">
        <f>IFERROR(__xludf.DUMMYFUNCTION("GOOGLETRANSLATE(A33702,""en"",""pt"")"),"nada")</f>
        <v>nada</v>
      </c>
      <c r="B33702" s="3">
        <v>0</v>
      </c>
    </row>
    <row r="33703" ht="15.75" customHeight="1" spans="1:2">
      <c r="A33703" s="3" t="str">
        <f>IFERROR(__xludf.DUMMYFUNCTION("GOOGLETRANSLATE(A33703,""en"",""pt"")"),"Sem capacidade vibrando com bateria padrão, as opções de toque irritante, caro")</f>
        <v>Sem capacidade vibrando com bateria padrão, as opções de toque irritante, caro</v>
      </c>
      <c r="B33703" s="3">
        <v>0</v>
      </c>
    </row>
    <row r="33704" ht="15.75" customHeight="1" spans="1:2">
      <c r="A33704" s="3" t="str">
        <f>IFERROR(__xludf.DUMMYFUNCTION("GOOGLETRANSLATE(A33704,""en"",""pt"")"),"pequeno, bateria, arranhões")</f>
        <v>pequeno, bateria, arranhões</v>
      </c>
      <c r="B33704" s="3">
        <v>0</v>
      </c>
    </row>
    <row r="33705" ht="15.75" customHeight="1" spans="1:2">
      <c r="A33705" s="3" t="str">
        <f>IFERROR(__xludf.DUMMYFUNCTION("GOOGLETRANSLATE(A33705,""en"",""pt"")"),"potência da antena pobres")</f>
        <v>potência da antena pobres</v>
      </c>
      <c r="B33705" s="3">
        <v>0</v>
      </c>
    </row>
    <row r="33706" ht="15.75" customHeight="1" spans="1:2">
      <c r="A33706" s="3" t="str">
        <f>IFERROR(__xludf.DUMMYFUNCTION("GOOGLETRANSLATE(A33706,""en"",""pt"")"),"Clip de cinto acessório não é confortável")</f>
        <v>Clip de cinto acessório não é confortável</v>
      </c>
      <c r="B33706" s="3">
        <v>0</v>
      </c>
    </row>
    <row r="33707" ht="15.75" customHeight="1" spans="1:2">
      <c r="A33707" s="3" t="str">
        <f>IFERROR(__xludf.DUMMYFUNCTION("GOOGLETRANSLATE(A33707,""en"",""pt"")"),"escondidas custos adicionais; falta características padrão, práticas")</f>
        <v>escondidas custos adicionais; falta características padrão, práticas</v>
      </c>
      <c r="B33707" s="3">
        <v>0</v>
      </c>
    </row>
    <row r="33708" ht="15.75" customHeight="1" spans="1:2">
      <c r="A33708" s="3" t="str">
        <f>IFERROR(__xludf.DUMMYFUNCTION("GOOGLETRANSLATE(A33708,""en"",""pt"")"),"No flip-top, então lembre-se de bloquear suas chaves, ou você pode estar fazendo telefonemas inesperados!")</f>
        <v>No flip-top, então lembre-se de bloquear suas chaves, ou você pode estar fazendo telefonemas inesperados!</v>
      </c>
      <c r="B33708" s="3">
        <v>0</v>
      </c>
    </row>
    <row r="33709" ht="15.75" customHeight="1" spans="1:2">
      <c r="A33709" s="3" t="str">
        <f>IFERROR(__xludf.DUMMYFUNCTION("GOOGLETRANSLATE(A33709,""en"",""pt"")"),"exibição foi ruim, mas eles substituídos dentro de dias")</f>
        <v>exibição foi ruim, mas eles substituídos dentro de dias</v>
      </c>
      <c r="B33709" s="3">
        <v>0</v>
      </c>
    </row>
    <row r="33710" ht="15.75" customHeight="1" spans="1:2">
      <c r="A33710" s="3" t="str">
        <f>IFERROR(__xludf.DUMMYFUNCTION("GOOGLETRANSLATE(A33710,""en"",""pt"")"),"Vibrando anel requer bateria especial")</f>
        <v>Vibrando anel requer bateria especial</v>
      </c>
      <c r="B33710" s="3">
        <v>0</v>
      </c>
    </row>
    <row r="33711" ht="15.75" customHeight="1" spans="1:2">
      <c r="A33711" s="3" t="str">
        <f>IFERROR(__xludf.DUMMYFUNCTION("GOOGLETRANSLATE(A33711,""en"",""pt"")"),"nada fora do comum")</f>
        <v>nada fora do comum</v>
      </c>
      <c r="B33711" s="3">
        <v>0</v>
      </c>
    </row>
    <row r="33712" ht="15.75" customHeight="1" spans="1:2">
      <c r="A33712" s="3" t="str">
        <f>IFERROR(__xludf.DUMMYFUNCTION("GOOGLETRANSLATE(A33712,""en"",""pt"")"),"frys cérebro, não é muito bom no interior de paredes espessas.")</f>
        <v>frys cérebro, não é muito bom no interior de paredes espessas.</v>
      </c>
      <c r="B33712" s="3">
        <v>0</v>
      </c>
    </row>
    <row r="33713" ht="15.75" customHeight="1" spans="1:2">
      <c r="A33713" s="3" t="str">
        <f>IFERROR(__xludf.DUMMYFUNCTION("GOOGLETRANSLATE(A33713,""en"",""pt"")"),"Screen &amp; quot; escurecimento &amp; quot ;, tempo e memória data, conexão da bateria")</f>
        <v>Screen &amp; quot; escurecimento &amp; quot ;, tempo e memória data, conexão da bateria</v>
      </c>
      <c r="B33713" s="3">
        <v>0</v>
      </c>
    </row>
    <row r="33714" ht="15.75" customHeight="1" spans="1:2">
      <c r="A33714" s="3" t="str">
        <f>IFERROR(__xludf.DUMMYFUNCTION("GOOGLETRANSLATE(A33714,""en"",""pt"")"),"Intrusivos Antena, pequenos botões,")</f>
        <v>Intrusivos Antena, pequenos botões,</v>
      </c>
      <c r="B33714" s="3">
        <v>0</v>
      </c>
    </row>
    <row r="33715" ht="15.75" customHeight="1" spans="1:2">
      <c r="A33715" s="3" t="str">
        <f>IFERROR(__xludf.DUMMYFUNCTION("GOOGLETRANSLATE(A33715,""en"",""pt"")"),"Tamanho, forma, &amp; amp; VOLUME")</f>
        <v>Tamanho, forma, &amp; amp; VOLUME</v>
      </c>
      <c r="B33715" s="3">
        <v>0</v>
      </c>
    </row>
    <row r="33716" ht="15.75" customHeight="1" spans="1:2">
      <c r="A33716" s="3" t="str">
        <f>IFERROR(__xludf.DUMMYFUNCTION("GOOGLETRANSLATE(A33716,""en"",""pt"")"),"Necessidade de comprar a bateria fina, a fim de tornar seu telefone menos volumoso")</f>
        <v>Necessidade de comprar a bateria fina, a fim de tornar seu telefone menos volumoso</v>
      </c>
      <c r="B33716" s="3">
        <v>0</v>
      </c>
    </row>
    <row r="33717" ht="15.75" customHeight="1" spans="1:2">
      <c r="A33717" s="3" t="str">
        <f>IFERROR(__xludf.DUMMYFUNCTION("GOOGLETRANSLATE(A33717,""en"",""pt"")"),"elevada emissão de radiação")</f>
        <v>elevada emissão de radiação</v>
      </c>
      <c r="B33717" s="3">
        <v>0</v>
      </c>
    </row>
    <row r="33718" ht="15.75" customHeight="1" spans="1:2">
      <c r="A33718" s="3" t="str">
        <f>IFERROR(__xludf.DUMMYFUNCTION("GOOGLETRANSLATE(A33718,""en"",""pt"")"),"Nao muitos")</f>
        <v>Nao muitos</v>
      </c>
      <c r="B33718" s="3">
        <v>0</v>
      </c>
    </row>
    <row r="33719" ht="15.75" customHeight="1" spans="1:2">
      <c r="A33719" s="3" t="str">
        <f>IFERROR(__xludf.DUMMYFUNCTION("GOOGLETRANSLATE(A33719,""en"",""pt"")"),"anel macio, necessidade de usar Keyguard")</f>
        <v>anel macio, necessidade de usar Keyguard</v>
      </c>
      <c r="B33719" s="3">
        <v>0</v>
      </c>
    </row>
    <row r="33720" ht="15.75" customHeight="1" spans="1:2">
      <c r="A33720" s="3" t="str">
        <f>IFERROR(__xludf.DUMMYFUNCTION("GOOGLETRANSLATE(A33720,""en"",""pt"")"),"Tem que percorrer todos os nomes no diretório.")</f>
        <v>Tem que percorrer todos os nomes no diretório.</v>
      </c>
      <c r="B33720" s="3">
        <v>0</v>
      </c>
    </row>
    <row r="33721" ht="15.75" customHeight="1" spans="1:2">
      <c r="A33721" s="3" t="str">
        <f>IFERROR(__xludf.DUMMYFUNCTION("GOOGLETRANSLATE(A33721,""en"",""pt"")"),"Não oferecido por todos os planos")</f>
        <v>Não oferecido por todos os planos</v>
      </c>
      <c r="B33721" s="3">
        <v>0</v>
      </c>
    </row>
    <row r="33722" ht="15.75" customHeight="1" spans="1:2">
      <c r="A33722" s="3" t="str">
        <f>IFERROR(__xludf.DUMMYFUNCTION("GOOGLETRANSLATE(A33722,""en"",""pt"")"),"Nenhum alerta vibratório")</f>
        <v>Nenhum alerta vibratório</v>
      </c>
      <c r="B33722" s="3">
        <v>0</v>
      </c>
    </row>
    <row r="33723" ht="15.75" customHeight="1" spans="1:2">
      <c r="A33723" s="3" t="str">
        <f>IFERROR(__xludf.DUMMYFUNCTION("GOOGLETRANSLATE(A33723,""en"",""pt"")"),"Nenhum")</f>
        <v>Nenhum</v>
      </c>
      <c r="B33723" s="3">
        <v>0</v>
      </c>
    </row>
    <row r="33724" ht="15.75" customHeight="1" spans="1:2">
      <c r="A33724" s="3" t="str">
        <f>IFERROR(__xludf.DUMMYFUNCTION("GOOGLETRANSLATE(A33724,""en"",""pt"")"),"falha pequena na tela")</f>
        <v>falha pequena na tela</v>
      </c>
      <c r="B33724" s="3">
        <v>0</v>
      </c>
    </row>
    <row r="33725" ht="15.75" customHeight="1" spans="1:2">
      <c r="A33725" s="3" t="str">
        <f>IFERROR(__xludf.DUMMYFUNCTION("GOOGLETRANSLATE(A33725,""en"",""pt"")"),"pode ser um pouco caro")</f>
        <v>pode ser um pouco caro</v>
      </c>
      <c r="B33725" s="3">
        <v>0</v>
      </c>
    </row>
    <row r="33726" ht="15.75" customHeight="1" spans="1:2">
      <c r="A33726" s="3" t="str">
        <f>IFERROR(__xludf.DUMMYFUNCTION("GOOGLETRANSLATE(A33726,""en"",""pt"")"),"nada")</f>
        <v>nada</v>
      </c>
      <c r="B33726" s="3">
        <v>0</v>
      </c>
    </row>
    <row r="33727" ht="15.75" customHeight="1" spans="1:2">
      <c r="A33727" s="3" t="str">
        <f>IFERROR(__xludf.DUMMYFUNCTION("GOOGLETRANSLATE(A33727,""en"",""pt"")"),"vendo escurece tela às vezes")</f>
        <v>vendo escurece tela às vezes</v>
      </c>
      <c r="B33727" s="3">
        <v>0</v>
      </c>
    </row>
    <row r="33728" ht="15.75" customHeight="1" spans="1:2">
      <c r="A33728" s="3" t="str">
        <f>IFERROR(__xludf.DUMMYFUNCTION("GOOGLETRANSLATE(A33728,""en"",""pt"")"),"EXTREMAMENTE ALTA RADIAÇÃO")</f>
        <v>EXTREMAMENTE ALTA RADIAÇÃO</v>
      </c>
      <c r="B33728" s="3">
        <v>0</v>
      </c>
    </row>
    <row r="33729" ht="15.75" customHeight="1" spans="1:2">
      <c r="A33729" s="3" t="str">
        <f>IFERROR(__xludf.DUMMYFUNCTION("GOOGLETRANSLATE(A33729,""en"",""pt"")"),"Um pouco grande em comparação com muitos novos telefones, e precisa de uma forma de números de telefone de sincronização com um dispositivo externo.")</f>
        <v>Um pouco grande em comparação com muitos novos telefones, e precisa de uma forma de números de telefone de sincronização com um dispositivo externo.</v>
      </c>
      <c r="B33729" s="3">
        <v>0</v>
      </c>
    </row>
    <row r="33730" ht="15.75" customHeight="1" spans="1:2">
      <c r="A33730" s="3" t="str">
        <f>IFERROR(__xludf.DUMMYFUNCTION("GOOGLETRANSLATE(A33730,""en"",""pt"")"),"Carros + telefone celular = possível naufrágio")</f>
        <v>Carros + telefone celular = possível naufrágio</v>
      </c>
      <c r="B33730" s="3">
        <v>0</v>
      </c>
    </row>
    <row r="33731" ht="15.75" customHeight="1" spans="1:2">
      <c r="A33731" s="3" t="str">
        <f>IFERROR(__xludf.DUMMYFUNCTION("GOOGLETRANSLATE(A33731,""en"",""pt"")"),"Nenhum")</f>
        <v>Nenhum</v>
      </c>
      <c r="B33731" s="3">
        <v>0</v>
      </c>
    </row>
    <row r="33732" ht="15.75" customHeight="1" spans="1:2">
      <c r="A33732" s="3" t="str">
        <f>IFERROR(__xludf.DUMMYFUNCTION("GOOGLETRANSLATE(A33732,""en"",""pt"")"),"vida pobre da bateria (níquel metal), antena frágil, e um mau TELA.")</f>
        <v>vida pobre da bateria (níquel metal), antena frágil, e um mau TELA.</v>
      </c>
      <c r="B33732" s="3">
        <v>0</v>
      </c>
    </row>
    <row r="33733" ht="15.75" customHeight="1" spans="1:2">
      <c r="A33733" s="3" t="str">
        <f>IFERROR(__xludf.DUMMYFUNCTION("GOOGLETRANSLATE(A33733,""en"",""pt"")"),"NENHUM")</f>
        <v>NENHUM</v>
      </c>
      <c r="B33733" s="3">
        <v>0</v>
      </c>
    </row>
    <row r="33734" ht="15.75" customHeight="1" spans="1:2">
      <c r="A33734" s="3" t="str">
        <f>IFERROR(__xludf.DUMMYFUNCTION("GOOGLETRANSLATE(A33734,""en"",""pt"")"),"É caro")</f>
        <v>É caro</v>
      </c>
      <c r="B33734" s="3">
        <v>0</v>
      </c>
    </row>
    <row r="33735" ht="15.75" customHeight="1" spans="1:2">
      <c r="A33735" s="3" t="str">
        <f>IFERROR(__xludf.DUMMYFUNCTION("GOOGLETRANSLATE(A33735,""en"",""pt"")"),"Preço")</f>
        <v>Preço</v>
      </c>
      <c r="B33735" s="3">
        <v>0</v>
      </c>
    </row>
    <row r="33736" ht="15.75" customHeight="1" spans="1:2">
      <c r="A33736" s="3" t="str">
        <f>IFERROR(__xludf.DUMMYFUNCTION("GOOGLETRANSLATE(A33736,""en"",""pt"")"),"Maior do que telefones com características comparáveis")</f>
        <v>Maior do que telefones com características comparáveis</v>
      </c>
      <c r="B33736" s="3">
        <v>0</v>
      </c>
    </row>
    <row r="33737" ht="15.75" customHeight="1" spans="1:2">
      <c r="A33737" s="3" t="str">
        <f>IFERROR(__xludf.DUMMYFUNCTION("GOOGLETRANSLATE(A33737,""en"",""pt"")"),"Tem que ouvir o chefe")</f>
        <v>Tem que ouvir o chefe</v>
      </c>
      <c r="B33737" s="3">
        <v>0</v>
      </c>
    </row>
    <row r="33738" ht="15.75" customHeight="1" spans="1:2">
      <c r="A33738" s="3" t="str">
        <f>IFERROR(__xludf.DUMMYFUNCTION("GOOGLETRANSLATE(A33738,""en"",""pt"")"),"nada de errado a menos que você deixá-lo cair.")</f>
        <v>nada de errado a menos que você deixá-lo cair.</v>
      </c>
      <c r="B33738" s="3">
        <v>0</v>
      </c>
    </row>
    <row r="33739" ht="15.75" customHeight="1" spans="1:2">
      <c r="A33739" s="3" t="str">
        <f>IFERROR(__xludf.DUMMYFUNCTION("GOOGLETRANSLATE(A33739,""en"",""pt"")"),"Custo, é grande!")</f>
        <v>Custo, é grande!</v>
      </c>
      <c r="B33739" s="3">
        <v>0</v>
      </c>
    </row>
    <row r="33740" ht="15.75" customHeight="1" spans="1:2">
      <c r="A33740" s="3" t="str">
        <f>IFERROR(__xludf.DUMMYFUNCTION("GOOGLETRANSLATE(A33740,""en"",""pt"")"),"tamanho ligeiramente maior")</f>
        <v>tamanho ligeiramente maior</v>
      </c>
      <c r="B33740" s="3">
        <v>0</v>
      </c>
    </row>
    <row r="33741" ht="15.75" customHeight="1" spans="1:2">
      <c r="A33741" s="3" t="str">
        <f>IFERROR(__xludf.DUMMYFUNCTION("GOOGLETRANSLATE(A33741,""en"",""pt"")"),"Má recepção sem o fone de ouvido")</f>
        <v>Má recepção sem o fone de ouvido</v>
      </c>
      <c r="B33741" s="3">
        <v>0</v>
      </c>
    </row>
    <row r="33742" ht="15.75" customHeight="1" spans="1:2">
      <c r="A33742" s="3" t="str">
        <f>IFERROR(__xludf.DUMMYFUNCTION("GOOGLETRANSLATE(A33742,""en"",""pt"")"),"problema de tela comum causa de exibição recortes")</f>
        <v>problema de tela comum causa de exibição recortes</v>
      </c>
      <c r="B33742" s="3">
        <v>0</v>
      </c>
    </row>
    <row r="33743" ht="15.75" customHeight="1" spans="1:2">
      <c r="A33743" s="3" t="str">
        <f>IFERROR(__xludf.DUMMYFUNCTION("GOOGLETRANSLATE(A33743,""en"",""pt"")"),"Tamanho e peso não irá satisfazer o mais exigente dos consumidores de telefone celular")</f>
        <v>Tamanho e peso não irá satisfazer o mais exigente dos consumidores de telefone celular</v>
      </c>
      <c r="B33743" s="3">
        <v>0</v>
      </c>
    </row>
    <row r="33744" ht="15.75" customHeight="1" spans="1:2">
      <c r="A33744" s="3" t="str">
        <f>IFERROR(__xludf.DUMMYFUNCTION("GOOGLETRANSLATE(A33744,""en"",""pt"")"),"Custou dinheiro para usá-lo :)")</f>
        <v>Custou dinheiro para usá-lo :)</v>
      </c>
      <c r="B33744" s="3">
        <v>0</v>
      </c>
    </row>
    <row r="33745" ht="15.75" customHeight="1" spans="1:2">
      <c r="A33745" s="3" t="str">
        <f>IFERROR(__xludf.DUMMYFUNCTION("GOOGLETRANSLATE(A33745,""en"",""pt"")"),"recepção horrível")</f>
        <v>recepção horrível</v>
      </c>
      <c r="B33745" s="3">
        <v>0</v>
      </c>
    </row>
    <row r="33746" ht="15.75" customHeight="1" spans="1:2">
      <c r="A33746" s="3" t="str">
        <f>IFERROR(__xludf.DUMMYFUNCTION("GOOGLETRANSLATE(A33746,""en"",""pt"")"),"jogos sucky")</f>
        <v>jogos sucky</v>
      </c>
      <c r="B33746" s="3">
        <v>0</v>
      </c>
    </row>
    <row r="33747" ht="15.75" customHeight="1" spans="1:2">
      <c r="A33747" s="3" t="str">
        <f>IFERROR(__xludf.DUMMYFUNCTION("GOOGLETRANSLATE(A33747,""en"",""pt"")"),"volumoso, desempenho peculiar")</f>
        <v>volumoso, desempenho peculiar</v>
      </c>
      <c r="B33747" s="3">
        <v>0</v>
      </c>
    </row>
    <row r="33748" ht="15.75" customHeight="1" spans="1:2">
      <c r="A33748" s="3" t="str">
        <f>IFERROR(__xludf.DUMMYFUNCTION("GOOGLETRANSLATE(A33748,""en"",""pt"")"),"Não é o menor já disponível")</f>
        <v>Não é o menor já disponível</v>
      </c>
      <c r="B33748" s="3">
        <v>0</v>
      </c>
    </row>
    <row r="33749" ht="15.75" customHeight="1" spans="1:2">
      <c r="A33749" s="3" t="str">
        <f>IFERROR(__xludf.DUMMYFUNCTION("GOOGLETRANSLATE(A33749,""en"",""pt"")"),"activação de voz (de chamada, etc.)")</f>
        <v>activação de voz (de chamada, etc.)</v>
      </c>
      <c r="B33749" s="3">
        <v>0</v>
      </c>
    </row>
    <row r="33750" ht="15.75" customHeight="1" spans="1:2">
      <c r="A33750" s="3" t="str">
        <f>IFERROR(__xludf.DUMMYFUNCTION("GOOGLETRANSLATE(A33750,""en"",""pt"")"),"Todos os acessórios têm de ser comprados em separado")</f>
        <v>Todos os acessórios têm de ser comprados em separado</v>
      </c>
      <c r="B33750" s="3">
        <v>0</v>
      </c>
    </row>
    <row r="33751" ht="15.75" customHeight="1" spans="1:2">
      <c r="A33751" s="3" t="str">
        <f>IFERROR(__xludf.DUMMYFUNCTION("GOOGLETRANSLATE(A33751,""en"",""pt"")"),"Nenhum")</f>
        <v>Nenhum</v>
      </c>
      <c r="B33751" s="3">
        <v>0</v>
      </c>
    </row>
    <row r="33752" ht="15.75" customHeight="1" spans="1:2">
      <c r="A33752" s="3" t="str">
        <f>IFERROR(__xludf.DUMMYFUNCTION("GOOGLETRANSLATE(A33752,""en"",""pt"")"),"livro de data pode ser uma trabalheira")</f>
        <v>livro de data pode ser uma trabalheira</v>
      </c>
      <c r="B33752" s="3">
        <v>0</v>
      </c>
    </row>
    <row r="33753" ht="15.75" customHeight="1" spans="1:2">
      <c r="A33753" s="3" t="str">
        <f>IFERROR(__xludf.DUMMYFUNCTION("GOOGLETRANSLATE(A33753,""en"",""pt"")"),"Verifique a bateria para o desempenho &amp; amp; em seguida, comprá-lo")</f>
        <v>Verifique a bateria para o desempenho &amp; amp; em seguida, comprá-lo</v>
      </c>
      <c r="B33753" s="3">
        <v>0</v>
      </c>
    </row>
    <row r="33754" ht="15.75" customHeight="1" spans="1:2">
      <c r="A33754" s="3" t="str">
        <f>IFERROR(__xludf.DUMMYFUNCTION("GOOGLETRANSLATE(A33754,""en"",""pt"")"),"Separe bateria para vibração, não um monte de rostos de cor Nokia")</f>
        <v>Separe bateria para vibração, não um monte de rostos de cor Nokia</v>
      </c>
      <c r="B33754" s="3">
        <v>0</v>
      </c>
    </row>
    <row r="33755" ht="15.75" customHeight="1" spans="1:2">
      <c r="A33755" s="3" t="str">
        <f>IFERROR(__xludf.DUMMYFUNCTION("GOOGLETRANSLATE(A33755,""en"",""pt"")"),"caro")</f>
        <v>caro</v>
      </c>
      <c r="B33755" s="3">
        <v>0</v>
      </c>
    </row>
    <row r="33756" ht="15.75" customHeight="1" spans="1:2">
      <c r="A33756" s="3" t="str">
        <f>IFERROR(__xludf.DUMMYFUNCTION("GOOGLETRANSLATE(A33756,""en"",""pt"")"),"Nenhum para mim")</f>
        <v>Nenhum para mim</v>
      </c>
      <c r="B33756" s="3">
        <v>0</v>
      </c>
    </row>
    <row r="33757" ht="15.75" customHeight="1" spans="1:2">
      <c r="A33757" s="3" t="str">
        <f>IFERROR(__xludf.DUMMYFUNCTION("GOOGLETRANSLATE(A33757,""en"",""pt"")"),"tempo de conversação diminui drasticamente bateria, não vem com carregador de mesa")</f>
        <v>tempo de conversação diminui drasticamente bateria, não vem com carregador de mesa</v>
      </c>
      <c r="B33757" s="3">
        <v>0</v>
      </c>
    </row>
    <row r="33758" ht="15.75" customHeight="1" spans="1:2">
      <c r="A33758" s="3" t="str">
        <f>IFERROR(__xludf.DUMMYFUNCTION("GOOGLETRANSLATE(A33758,""en"",""pt"")"),"Nenhum")</f>
        <v>Nenhum</v>
      </c>
      <c r="B33758" s="3">
        <v>0</v>
      </c>
    </row>
    <row r="33759" ht="15.75" customHeight="1" spans="1:2">
      <c r="A33759" s="3" t="str">
        <f>IFERROR(__xludf.DUMMYFUNCTION("GOOGLETRANSLATE(A33759,""en"",""pt"")"),"Caros, menos capas personalizadas disponíveis para este modelo")</f>
        <v>Caros, menos capas personalizadas disponíveis para este modelo</v>
      </c>
      <c r="B33759" s="3">
        <v>0</v>
      </c>
    </row>
    <row r="33760" ht="15.75" customHeight="1" spans="1:2">
      <c r="A33760" s="3" t="str">
        <f>IFERROR(__xludf.DUMMYFUNCTION("GOOGLETRANSLATE(A33760,""en"",""pt"")"),"Os jogos são ok")</f>
        <v>Os jogos são ok</v>
      </c>
      <c r="B33760" s="3">
        <v>0</v>
      </c>
    </row>
    <row r="33761" ht="15.75" customHeight="1" spans="1:2">
      <c r="A33761" s="3" t="str">
        <f>IFERROR(__xludf.DUMMYFUNCTION("GOOGLETRANSLATE(A33761,""en"",""pt"")"),"Navegação do menu de")</f>
        <v>Navegação do menu de</v>
      </c>
      <c r="B33761" s="3">
        <v>0</v>
      </c>
    </row>
    <row r="33762" ht="15.75" customHeight="1" spans="1:2">
      <c r="A33762" s="3" t="str">
        <f>IFERROR(__xludf.DUMMYFUNCTION("GOOGLETRANSLATE(A33762,""en"",""pt"")"),"Teve de comprar bateria extra para vibrar, novos telefones menores para fora")</f>
        <v>Teve de comprar bateria extra para vibrar, novos telefones menores para fora</v>
      </c>
      <c r="B33762" s="3">
        <v>0</v>
      </c>
    </row>
    <row r="33763" ht="15.75" customHeight="1" spans="1:2">
      <c r="A33763" s="3" t="str">
        <f>IFERROR(__xludf.DUMMYFUNCTION("GOOGLETRANSLATE(A33763,""en"",""pt"")"),"caso exterior liso")</f>
        <v>caso exterior liso</v>
      </c>
      <c r="B33763" s="3">
        <v>0</v>
      </c>
    </row>
    <row r="33764" ht="15.75" customHeight="1" spans="1:2">
      <c r="A33764" s="3" t="str">
        <f>IFERROR(__xludf.DUMMYFUNCTION("GOOGLETRANSLATE(A33764,""en"",""pt"")"),"telas de sair, má recepção")</f>
        <v>telas de sair, má recepção</v>
      </c>
      <c r="B33764" s="3">
        <v>0</v>
      </c>
    </row>
    <row r="33765" ht="15.75" customHeight="1" spans="1:2">
      <c r="A33765" s="3" t="str">
        <f>IFERROR(__xludf.DUMMYFUNCTION("GOOGLETRANSLATE(A33765,""en"",""pt"")"),"Nenhum")</f>
        <v>Nenhum</v>
      </c>
      <c r="B33765" s="3">
        <v>0</v>
      </c>
    </row>
    <row r="33766" ht="15.75" customHeight="1" spans="1:2">
      <c r="A33766" s="3" t="str">
        <f>IFERROR(__xludf.DUMMYFUNCTION("GOOGLETRANSLATE(A33766,""en"",""pt"")"),"nenhum encontrado")</f>
        <v>nenhum encontrado</v>
      </c>
      <c r="B33766" s="3">
        <v>0</v>
      </c>
    </row>
    <row r="33767" ht="15.75" customHeight="1" spans="1:2">
      <c r="A33767" s="3" t="str">
        <f>IFERROR(__xludf.DUMMYFUNCTION("GOOGLETRANSLATE(A33767,""en"",""pt"")"),"LCD de qualidade duvidosa, o retorno médio / política de reparação")</f>
        <v>LCD de qualidade duvidosa, o retorno médio / política de reparação</v>
      </c>
      <c r="B33767" s="3">
        <v>0</v>
      </c>
    </row>
    <row r="33768" ht="15.75" customHeight="1" spans="1:2">
      <c r="A33768" s="3" t="str">
        <f>IFERROR(__xludf.DUMMYFUNCTION("GOOGLETRANSLATE(A33768,""en"",""pt"")"),"suas conexões")</f>
        <v>suas conexões</v>
      </c>
      <c r="B33768" s="3">
        <v>0</v>
      </c>
    </row>
    <row r="33769" ht="15.75" customHeight="1" spans="1:2">
      <c r="A33769" s="3" t="str">
        <f>IFERROR(__xludf.DUMMYFUNCTION("GOOGLETRANSLATE(A33769,""en"",""pt"")"),"exibição ruim que às vezes falha")</f>
        <v>exibição ruim que às vezes falha</v>
      </c>
      <c r="B33769" s="3">
        <v>0</v>
      </c>
    </row>
    <row r="33770" ht="15.75" customHeight="1" spans="1:2">
      <c r="A33770" s="3" t="str">
        <f>IFERROR(__xludf.DUMMYFUNCTION("GOOGLETRANSLATE(A33770,""en"",""pt"")"),"oferta limitada")</f>
        <v>oferta limitada</v>
      </c>
      <c r="B33770" s="3">
        <v>0</v>
      </c>
    </row>
    <row r="33771" ht="15.75" customHeight="1" spans="1:2">
      <c r="A33771" s="3" t="str">
        <f>IFERROR(__xludf.DUMMYFUNCTION("GOOGLETRANSLATE(A33771,""en"",""pt"")"),"um pouco caro.")</f>
        <v>um pouco caro.</v>
      </c>
      <c r="B33771" s="3">
        <v>0</v>
      </c>
    </row>
    <row r="33772" ht="15.75" customHeight="1" spans="1:2">
      <c r="A33772" s="3" t="str">
        <f>IFERROR(__xludf.DUMMYFUNCTION("GOOGLETRANSLATE(A33772,""en"",""pt"")"),"Ainda construir os seus serviços")</f>
        <v>Ainda construir os seus serviços</v>
      </c>
      <c r="B33772" s="3">
        <v>0</v>
      </c>
    </row>
    <row r="33773" ht="15.75" customHeight="1" spans="1:2">
      <c r="A33773" s="3" t="str">
        <f>IFERROR(__xludf.DUMMYFUNCTION("GOOGLETRANSLATE(A33773,""en"",""pt"")"),"Um pouco caro ... mas vale a pena ..")</f>
        <v>Um pouco caro ... mas vale a pena ..</v>
      </c>
      <c r="B33773" s="3">
        <v>0</v>
      </c>
    </row>
    <row r="33774" ht="15.75" customHeight="1" spans="1:2">
      <c r="A33774" s="3" t="str">
        <f>IFERROR(__xludf.DUMMYFUNCTION("GOOGLETRANSLATE(A33774,""en"",""pt"")"),"Preço")</f>
        <v>Preço</v>
      </c>
      <c r="B33774" s="3">
        <v>0</v>
      </c>
    </row>
    <row r="33775" ht="15.75" customHeight="1" spans="1:2">
      <c r="A33775" s="3" t="str">
        <f>IFERROR(__xludf.DUMMYFUNCTION("GOOGLETRANSLATE(A33775,""en"",""pt"")"),"Sem internet")</f>
        <v>Sem internet</v>
      </c>
      <c r="B33775" s="3">
        <v>0</v>
      </c>
    </row>
    <row r="33776" ht="15.75" customHeight="1" spans="1:2">
      <c r="A33776" s="3" t="str">
        <f>IFERROR(__xludf.DUMMYFUNCTION("GOOGLETRANSLATE(A33776,""en"",""pt"")"),"Não encontrei um ainda .. 8-)")</f>
        <v>Não encontrei um ainda .. 8-)</v>
      </c>
      <c r="B33776" s="3">
        <v>0</v>
      </c>
    </row>
    <row r="33777" ht="15.75" customHeight="1" spans="1:2">
      <c r="A33777" s="3" t="str">
        <f>IFERROR(__xludf.DUMMYFUNCTION("GOOGLETRANSLATE(A33777,""en"",""pt"")"),"nenhum para falar de")</f>
        <v>nenhum para falar de</v>
      </c>
      <c r="B33777" s="3">
        <v>0</v>
      </c>
    </row>
    <row r="33778" ht="15.75" customHeight="1" spans="1:2">
      <c r="A33778" s="3" t="str">
        <f>IFERROR(__xludf.DUMMYFUNCTION("GOOGLETRANSLATE(A33778,""en"",""pt"")"),"frequência Screwy, tela arranhada")</f>
        <v>frequência Screwy, tela arranhada</v>
      </c>
      <c r="B33778" s="3">
        <v>0</v>
      </c>
    </row>
    <row r="33779" ht="15.75" customHeight="1" spans="1:2">
      <c r="A33779" s="3" t="str">
        <f>IFERROR(__xludf.DUMMYFUNCTION("GOOGLETRANSLATE(A33779,""en"",""pt"")"),"bateria vibrando deve ser adquirido separadamente")</f>
        <v>bateria vibrando deve ser adquirido separadamente</v>
      </c>
      <c r="B33779" s="3">
        <v>0</v>
      </c>
    </row>
    <row r="33780" ht="15.75" customHeight="1" spans="1:2">
      <c r="A33780" s="3" t="str">
        <f>IFERROR(__xludf.DUMMYFUNCTION("GOOGLETRANSLATE(A33780,""en"",""pt"")"),"funções completar o meu ser complicado")</f>
        <v>funções completar o meu ser complicado</v>
      </c>
      <c r="B33780" s="3">
        <v>0</v>
      </c>
    </row>
    <row r="33781" ht="15.75" customHeight="1" spans="1:2">
      <c r="A33781" s="3" t="str">
        <f>IFERROR(__xludf.DUMMYFUNCTION("GOOGLETRANSLATE(A33781,""en"",""pt"")"),"Tamanho, características inúteis.")</f>
        <v>Tamanho, características inúteis.</v>
      </c>
      <c r="B33781" s="3">
        <v>0</v>
      </c>
    </row>
    <row r="33782" ht="15.75" customHeight="1" spans="1:2">
      <c r="A33782" s="3" t="str">
        <f>IFERROR(__xludf.DUMMYFUNCTION("GOOGLETRANSLATE(A33782,""en"",""pt"")"),"baixa vida útil da bateria, não muito alto")</f>
        <v>baixa vida útil da bateria, não muito alto</v>
      </c>
      <c r="B33782" s="3">
        <v>0</v>
      </c>
    </row>
    <row r="33783" ht="15.75" customHeight="1" spans="1:2">
      <c r="A33783" s="3" t="str">
        <f>IFERROR(__xludf.DUMMYFUNCTION("GOOGLETRANSLATE(A33783,""en"",""pt"")"),"Nenhum")</f>
        <v>Nenhum</v>
      </c>
      <c r="B33783" s="3">
        <v>0</v>
      </c>
    </row>
    <row r="33784" ht="15.75" customHeight="1" spans="1:2">
      <c r="A33784" s="3" t="str">
        <f>IFERROR(__xludf.DUMMYFUNCTION("GOOGLETRANSLATE(A33784,""en"",""pt"")"),"sinais de vida útil da bateria, despesas componente, Levantar")</f>
        <v>sinais de vida útil da bateria, despesas componente, Levantar</v>
      </c>
      <c r="B33784" s="3">
        <v>0</v>
      </c>
    </row>
    <row r="33785" ht="15.75" customHeight="1" spans="1:2">
      <c r="A33785" s="3" t="str">
        <f>IFERROR(__xludf.DUMMYFUNCTION("GOOGLETRANSLATE(A33785,""en"",""pt"")"),"A duração da bateria no modo de falar")</f>
        <v>A duração da bateria no modo de falar</v>
      </c>
      <c r="B33785" s="3">
        <v>0</v>
      </c>
    </row>
    <row r="33786" ht="15.75" customHeight="1" spans="1:2">
      <c r="A33786" s="3" t="str">
        <f>IFERROR(__xludf.DUMMYFUNCTION("GOOGLETRANSLATE(A33786,""en"",""pt"")"),"Incapaz de sincronizar com dispositivos Palm, não funciona bem em navios e barcos, estilo")</f>
        <v>Incapaz de sincronizar com dispositivos Palm, não funciona bem em navios e barcos, estilo</v>
      </c>
      <c r="B33786" s="3">
        <v>0</v>
      </c>
    </row>
    <row r="33787" ht="15.75" customHeight="1" spans="1:2">
      <c r="A33787" s="3" t="str">
        <f>IFERROR(__xludf.DUMMYFUNCTION("GOOGLETRANSLATE(A33787,""en"",""pt"")"),"fácil perder")</f>
        <v>fácil perder</v>
      </c>
      <c r="B33787" s="3">
        <v>0</v>
      </c>
    </row>
    <row r="33788" ht="15.75" customHeight="1" spans="1:2">
      <c r="A33788" s="3" t="str">
        <f>IFERROR(__xludf.DUMMYFUNCTION("GOOGLETRANSLATE(A33788,""en"",""pt"")"),"todos os amigos ma têm o mesmo telefone (individual ???)")</f>
        <v>todos os amigos ma têm o mesmo telefone (individual ???)</v>
      </c>
      <c r="B33788" s="3">
        <v>0</v>
      </c>
    </row>
    <row r="33789" ht="15.75" customHeight="1" spans="1:2">
      <c r="A33789" s="3" t="str">
        <f>IFERROR(__xludf.DUMMYFUNCTION("GOOGLETRANSLATE(A33789,""en"",""pt"")"),"baixa vida útil da bateria, não muito alto")</f>
        <v>baixa vida útil da bateria, não muito alto</v>
      </c>
      <c r="B33789" s="3">
        <v>0</v>
      </c>
    </row>
    <row r="33790" ht="15.75" customHeight="1" spans="1:2">
      <c r="A33790" s="3" t="str">
        <f>IFERROR(__xludf.DUMMYFUNCTION("GOOGLETRANSLATE(A33790,""en"",""pt"")"),"aquece horrivelmente, faceplates quase impossível de mudança, de forma aleatória não toca")</f>
        <v>aquece horrivelmente, faceplates quase impossível de mudança, de forma aleatória não toca</v>
      </c>
      <c r="B33790" s="3">
        <v>0</v>
      </c>
    </row>
    <row r="33791" ht="15.75" customHeight="1" spans="1:2">
      <c r="A33791" s="3" t="str">
        <f>IFERROR(__xludf.DUMMYFUNCTION("GOOGLETRANSLATE(A33791,""en"",""pt"")"),"nenhum ainda")</f>
        <v>nenhum ainda</v>
      </c>
      <c r="B33791" s="3">
        <v>0</v>
      </c>
    </row>
    <row r="33792" ht="15.75" customHeight="1" spans="1:2">
      <c r="A33792" s="3" t="str">
        <f>IFERROR(__xludf.DUMMYFUNCTION("GOOGLETRANSLATE(A33792,""en"",""pt"")"),"atual qualidade de voz digital suga")</f>
        <v>atual qualidade de voz digital suga</v>
      </c>
      <c r="B33792" s="3">
        <v>0</v>
      </c>
    </row>
    <row r="33793" ht="15.75" customHeight="1" spans="1:2">
      <c r="A33793" s="3" t="str">
        <f>IFERROR(__xludf.DUMMYFUNCTION("GOOGLETRANSLATE(A33793,""en"",""pt"")"),"Nenhum")</f>
        <v>Nenhum</v>
      </c>
      <c r="B33793" s="3">
        <v>0</v>
      </c>
    </row>
    <row r="33794" ht="15.75" customHeight="1" spans="1:2">
      <c r="A33794" s="3" t="str">
        <f>IFERROR(__xludf.DUMMYFUNCTION("GOOGLETRANSLATE(A33794,""en"",""pt"")"),"É difícil de ouvir, por vezes, nas lojas, depende do que loja embora.")</f>
        <v>É difícil de ouvir, por vezes, nas lojas, depende do que loja embora.</v>
      </c>
      <c r="B33794" s="3">
        <v>0</v>
      </c>
    </row>
    <row r="33795" ht="15.75" customHeight="1" spans="1:2">
      <c r="A33795" s="3" t="str">
        <f>IFERROR(__xludf.DUMMYFUNCTION("GOOGLETRANSLATE(A33795,""en"",""pt"")"),"Não é possível transferir nomes salvos")</f>
        <v>Não é possível transferir nomes salvos</v>
      </c>
      <c r="B33795" s="3">
        <v>0</v>
      </c>
    </row>
    <row r="33796" ht="15.75" customHeight="1" spans="1:2">
      <c r="A33796" s="3" t="str">
        <f>IFERROR(__xludf.DUMMYFUNCTION("GOOGLETRANSLATE(A33796,""en"",""pt"")"),"mas apenas a sua não grande o suficiente")</f>
        <v>mas apenas a sua não grande o suficiente</v>
      </c>
      <c r="B33796" s="3">
        <v>0</v>
      </c>
    </row>
    <row r="33797" ht="15.75" customHeight="1" spans="1:2">
      <c r="A33797" s="3" t="str">
        <f>IFERROR(__xludf.DUMMYFUNCTION("GOOGLETRANSLATE(A33797,""en"",""pt"")"),"Um pouco maior do que alguns dos telefones a preços competitivos")</f>
        <v>Um pouco maior do que alguns dos telefones a preços competitivos</v>
      </c>
      <c r="B33797" s="3">
        <v>0</v>
      </c>
    </row>
    <row r="33798" ht="15.75" customHeight="1" spans="1:2">
      <c r="A33798" s="3" t="str">
        <f>IFERROR(__xludf.DUMMYFUNCTION("GOOGLETRANSLATE(A33798,""en"",""pt"")"),"pequenos botões")</f>
        <v>pequenos botões</v>
      </c>
      <c r="B33798" s="3">
        <v>0</v>
      </c>
    </row>
    <row r="33799" ht="15.75" customHeight="1" spans="1:2">
      <c r="A33799" s="3" t="str">
        <f>IFERROR(__xludf.DUMMYFUNCTION("GOOGLETRANSLATE(A33799,""en"",""pt"")"),"Tamanho")</f>
        <v>Tamanho</v>
      </c>
      <c r="B33799" s="3">
        <v>0</v>
      </c>
    </row>
    <row r="33800" ht="15.75" customHeight="1" spans="1:2">
      <c r="A33800" s="3" t="str">
        <f>IFERROR(__xludf.DUMMYFUNCTION("GOOGLETRANSLATE(A33800,""en"",""pt"")"),"Durabilidade")</f>
        <v>Durabilidade</v>
      </c>
      <c r="B33800" s="3">
        <v>0</v>
      </c>
    </row>
    <row r="33801" ht="15.75" customHeight="1" spans="1:2">
      <c r="A33801" s="3" t="str">
        <f>IFERROR(__xludf.DUMMYFUNCTION("GOOGLETRANSLATE(A33801,""en"",""pt"")"),"auscultador fixação / microfone")</f>
        <v>auscultador fixação / microfone</v>
      </c>
      <c r="B33801" s="3">
        <v>0</v>
      </c>
    </row>
    <row r="33802" ht="15.75" customHeight="1" spans="1:2">
      <c r="A33802" s="3" t="str">
        <f>IFERROR(__xludf.DUMMYFUNCTION("GOOGLETRANSLATE(A33802,""en"",""pt"")"),"Telefone parece aquecer")</f>
        <v>Telefone parece aquecer</v>
      </c>
      <c r="B33802" s="3">
        <v>0</v>
      </c>
    </row>
    <row r="33803" ht="15.75" customHeight="1" spans="1:2">
      <c r="A33803" s="3" t="str">
        <f>IFERROR(__xludf.DUMMYFUNCTION("GOOGLETRANSLATE(A33803,""en"",""pt"")"),"Nenhum")</f>
        <v>Nenhum</v>
      </c>
      <c r="B33803" s="3">
        <v>0</v>
      </c>
    </row>
    <row r="33804" ht="15.75" customHeight="1" spans="1:2">
      <c r="A33804" s="3" t="str">
        <f>IFERROR(__xludf.DUMMYFUNCTION("GOOGLETRANSLATE(A33804,""en"",""pt"")"),"direções mal escritos para telefone e a maioria dos acessórios")</f>
        <v>direções mal escritos para telefone e a maioria dos acessórios</v>
      </c>
      <c r="B33804" s="3">
        <v>0</v>
      </c>
    </row>
    <row r="33805" ht="15.75" customHeight="1" spans="1:2">
      <c r="A33805" s="3" t="str">
        <f>IFERROR(__xludf.DUMMYFUNCTION("GOOGLETRANSLATE(A33805,""en"",""pt"")"),"breaks antena facilmente")</f>
        <v>breaks antena facilmente</v>
      </c>
      <c r="B33805" s="3">
        <v>0</v>
      </c>
    </row>
    <row r="33806" ht="15.75" customHeight="1" spans="1:2">
      <c r="A33806" s="3" t="str">
        <f>IFERROR(__xludf.DUMMYFUNCTION("GOOGLETRANSLATE(A33806,""en"",""pt"")"),"Não é possível alternar manualmente para analógico")</f>
        <v>Não é possível alternar manualmente para analógico</v>
      </c>
      <c r="B33806" s="3">
        <v>0</v>
      </c>
    </row>
    <row r="33807" ht="15.75" customHeight="1" spans="1:2">
      <c r="A33807" s="3" t="str">
        <f>IFERROR(__xludf.DUMMYFUNCTION("GOOGLETRANSLATE(A33807,""en"",""pt"")"),"voltas luz fora demasiado rápido")</f>
        <v>voltas luz fora demasiado rápido</v>
      </c>
      <c r="B33807" s="3">
        <v>0</v>
      </c>
    </row>
    <row r="33808" ht="15.75" customHeight="1" spans="1:2">
      <c r="A33808" s="3" t="str">
        <f>IFERROR(__xludf.DUMMYFUNCTION("GOOGLETRANSLATE(A33808,""en"",""pt"")"),"demasiado caro")</f>
        <v>demasiado caro</v>
      </c>
      <c r="B33808" s="3">
        <v>0</v>
      </c>
    </row>
    <row r="33809" ht="15.75" customHeight="1" spans="1:2">
      <c r="A33809" s="3" t="str">
        <f>IFERROR(__xludf.DUMMYFUNCTION("GOOGLETRANSLATE(A33809,""en"",""pt"")"),"Os níveis de radiação exceder regulamentos gov't.")</f>
        <v>Os níveis de radiação exceder regulamentos gov't.</v>
      </c>
      <c r="B33809" s="3">
        <v>0</v>
      </c>
    </row>
    <row r="33810" ht="15.75" customHeight="1" spans="1:2">
      <c r="A33810" s="3" t="str">
        <f>IFERROR(__xludf.DUMMYFUNCTION("GOOGLETRANSLATE(A33810,""en"",""pt"")"),"Verifique a bateria para o desempenho &amp; amp; em seguida, comprá-lo")</f>
        <v>Verifique a bateria para o desempenho &amp; amp; em seguida, comprá-lo</v>
      </c>
      <c r="B33810" s="3">
        <v>0</v>
      </c>
    </row>
    <row r="33811" ht="15.75" customHeight="1" spans="1:2">
      <c r="A33811" s="3" t="str">
        <f>IFERROR(__xludf.DUMMYFUNCTION("GOOGLETRANSLATE(A33811,""en"",""pt"")"),"Anel muito mole, volume muito baixo")</f>
        <v>Anel muito mole, volume muito baixo</v>
      </c>
      <c r="B33811" s="3">
        <v>0</v>
      </c>
    </row>
    <row r="33812" ht="15.75" customHeight="1" spans="1:2">
      <c r="A33812" s="3" t="str">
        <f>IFERROR(__xludf.DUMMYFUNCTION("GOOGLETRANSLATE(A33812,""en"",""pt"")"),"muito grandes em tamanho para caber em qualquer bolso")</f>
        <v>muito grandes em tamanho para caber em qualquer bolso</v>
      </c>
      <c r="B33812" s="3">
        <v>0</v>
      </c>
    </row>
    <row r="33813" ht="15.75" customHeight="1" spans="1:2">
      <c r="A33813" s="3" t="str">
        <f>IFERROR(__xludf.DUMMYFUNCTION("GOOGLETRANSLATE(A33813,""en"",""pt"")"),"Incompatibilidade com outros serviços")</f>
        <v>Incompatibilidade com outros serviços</v>
      </c>
      <c r="B33813" s="3">
        <v>0</v>
      </c>
    </row>
    <row r="33814" ht="15.75" customHeight="1" spans="1:2">
      <c r="A33814" s="3" t="str">
        <f>IFERROR(__xludf.DUMMYFUNCTION("GOOGLETRANSLATE(A33814,""en"",""pt"")"),"$$$$$$$")</f>
        <v>$$$$$$$</v>
      </c>
      <c r="B33814" s="3">
        <v>0</v>
      </c>
    </row>
    <row r="33815" ht="15.75" customHeight="1" spans="1:2">
      <c r="A33815" s="3" t="str">
        <f>IFERROR(__xludf.DUMMYFUNCTION("GOOGLETRANSLATE(A33815,""en"",""pt"")"),"um pouco pesado, modelos mais novos e mais leves lá fora, agora")</f>
        <v>um pouco pesado, modelos mais novos e mais leves lá fora, agora</v>
      </c>
      <c r="B33815" s="3">
        <v>0</v>
      </c>
    </row>
    <row r="33816" ht="15.75" customHeight="1" spans="1:2">
      <c r="A33816" s="3" t="str">
        <f>IFERROR(__xludf.DUMMYFUNCTION("GOOGLETRANSLATE(A33816,""en"",""pt"")"),"Nenhum")</f>
        <v>Nenhum</v>
      </c>
      <c r="B33816" s="3">
        <v>0</v>
      </c>
    </row>
    <row r="33817" ht="15.75" customHeight="1" spans="1:2">
      <c r="A33817" s="3" t="str">
        <f>IFERROR(__xludf.DUMMYFUNCTION("GOOGLETRANSLATE(A33817,""en"",""pt"")"),"Nenhum")</f>
        <v>Nenhum</v>
      </c>
      <c r="B33817" s="3">
        <v>0</v>
      </c>
    </row>
    <row r="33818" ht="15.75" customHeight="1" spans="1:2">
      <c r="A33818" s="3" t="str">
        <f>IFERROR(__xludf.DUMMYFUNCTION("GOOGLETRANSLATE(A33818,""en"",""pt"")"),"não tão longa espera como 5120..little mais complexo para uso")</f>
        <v>não tão longa espera como 5120..little mais complexo para uso</v>
      </c>
      <c r="B33818" s="3">
        <v>0</v>
      </c>
    </row>
    <row r="33819" ht="15.75" customHeight="1" spans="1:2">
      <c r="A33819" s="3" t="str">
        <f>IFERROR(__xludf.DUMMYFUNCTION("GOOGLETRANSLATE(A33819,""en"",""pt"")"),"Muito lindo")</f>
        <v>Muito lindo</v>
      </c>
      <c r="B33819" s="3">
        <v>0</v>
      </c>
    </row>
    <row r="33820" ht="15.75" customHeight="1" spans="1:2">
      <c r="A33820" s="3" t="str">
        <f>IFERROR(__xludf.DUMMYFUNCTION("GOOGLETRANSLATE(A33820,""en"",""pt"")"),"Um pouco volumoso")</f>
        <v>Um pouco volumoso</v>
      </c>
      <c r="B33820" s="3">
        <v>0</v>
      </c>
    </row>
    <row r="33821" ht="15.75" customHeight="1" spans="1:2">
      <c r="A33821" s="3" t="str">
        <f>IFERROR(__xludf.DUMMYFUNCTION("GOOGLETRANSLATE(A33821,""en"",""pt"")"),"Nada")</f>
        <v>Nada</v>
      </c>
      <c r="B33821" s="3">
        <v>0</v>
      </c>
    </row>
    <row r="33822" ht="15.75" customHeight="1" spans="1:2">
      <c r="A33822" s="3" t="str">
        <f>IFERROR(__xludf.DUMMYFUNCTION("GOOGLETRANSLATE(A33822,""en"",""pt"")"),"como tudo o mais")</f>
        <v>como tudo o mais</v>
      </c>
      <c r="B33822" s="3">
        <v>0</v>
      </c>
    </row>
    <row r="33823" ht="15.75" customHeight="1" spans="1:2">
      <c r="A33823" s="3" t="str">
        <f>IFERROR(__xludf.DUMMYFUNCTION("GOOGLETRANSLATE(A33823,""en"",""pt"")"),"todo mundo tem um")</f>
        <v>todo mundo tem um</v>
      </c>
      <c r="B33823" s="3">
        <v>0</v>
      </c>
    </row>
    <row r="33824" ht="15.75" customHeight="1" spans="1:2">
      <c r="A33824" s="3" t="str">
        <f>IFERROR(__xludf.DUMMYFUNCTION("GOOGLETRANSLATE(A33824,""en"",""pt"")"),"Nenhuma, excepto que eles não são mais fabricados ou vendidos pela Nokia")</f>
        <v>Nenhuma, excepto que eles não são mais fabricados ou vendidos pela Nokia</v>
      </c>
      <c r="B33824" s="3">
        <v>0</v>
      </c>
    </row>
    <row r="33825" ht="15.75" customHeight="1" spans="1:2">
      <c r="A33825" s="3" t="str">
        <f>IFERROR(__xludf.DUMMYFUNCTION("GOOGLETRANSLATE(A33825,""en"",""pt"")"),"orelha e ick rosto de outras pessoas")</f>
        <v>orelha e ick rosto de outras pessoas</v>
      </c>
      <c r="B33825" s="3">
        <v>0</v>
      </c>
    </row>
    <row r="33826" ht="15.75" customHeight="1" spans="1:2">
      <c r="A33826" s="3" t="str">
        <f>IFERROR(__xludf.DUMMYFUNCTION("GOOGLETRANSLATE(A33826,""en"",""pt"")"),"um pouco caro")</f>
        <v>um pouco caro</v>
      </c>
      <c r="B33826" s="3">
        <v>0</v>
      </c>
    </row>
    <row r="33827" ht="15.75" customHeight="1" spans="1:2">
      <c r="A33827" s="3" t="str">
        <f>IFERROR(__xludf.DUMMYFUNCTION("GOOGLETRANSLATE(A33827,""en"",""pt"")"),"Sem durabilidade, má recepção, não duram mais de um ano.")</f>
        <v>Sem durabilidade, má recepção, não duram mais de um ano.</v>
      </c>
      <c r="B33827" s="3">
        <v>0</v>
      </c>
    </row>
    <row r="33828" ht="15.75" customHeight="1" spans="1:2">
      <c r="A33828" s="3" t="str">
        <f>IFERROR(__xludf.DUMMYFUNCTION("GOOGLETRANSLATE(A33828,""en"",""pt"")"),"Bad o manual, não se encaixa meu ouvido!")</f>
        <v>Bad o manual, não se encaixa meu ouvido!</v>
      </c>
      <c r="B33828" s="3">
        <v>0</v>
      </c>
    </row>
    <row r="33829" ht="15.75" customHeight="1" spans="1:2">
      <c r="A33829" s="3" t="str">
        <f>IFERROR(__xludf.DUMMYFUNCTION("GOOGLETRANSLATE(A33829,""en"",""pt"")"),"Diferente do incluído o manual, nenhuma")</f>
        <v>Diferente do incluído o manual, nenhuma</v>
      </c>
      <c r="B33829" s="3">
        <v>0</v>
      </c>
    </row>
    <row r="33830" ht="15.75" customHeight="1" spans="1:2">
      <c r="A33830" s="3" t="str">
        <f>IFERROR(__xludf.DUMMYFUNCTION("GOOGLETRANSLATE(A33830,""en"",""pt"")"),"Ringer pode ser demasiado alto por vezes")</f>
        <v>Ringer pode ser demasiado alto por vezes</v>
      </c>
      <c r="B33830" s="3">
        <v>0</v>
      </c>
    </row>
    <row r="33831" ht="15.75" customHeight="1" spans="1:2">
      <c r="A33831" s="3" t="str">
        <f>IFERROR(__xludf.DUMMYFUNCTION("GOOGLETRANSLATE(A33831,""en"",""pt"")"),"Ringer pode ser distorcida, a menos que você cortá-lo, prepare-se para pagar Verizon para opções")</f>
        <v>Ringer pode ser distorcida, a menos que você cortá-lo, prepare-se para pagar Verizon para opções</v>
      </c>
      <c r="B33831" s="3">
        <v>0</v>
      </c>
    </row>
    <row r="33832" ht="15.75" customHeight="1" spans="1:2">
      <c r="A33832" s="3" t="str">
        <f>IFERROR(__xludf.DUMMYFUNCTION("GOOGLETRANSLATE(A33832,""en"",""pt"")"),"Qualidade de som.")</f>
        <v>Qualidade de som.</v>
      </c>
      <c r="B33832" s="3">
        <v>0</v>
      </c>
    </row>
    <row r="33833" ht="15.75" customHeight="1" spans="1:2">
      <c r="A33833" s="3" t="str">
        <f>IFERROR(__xludf.DUMMYFUNCTION("GOOGLETRANSLATE(A33833,""en"",""pt"")"),"ringtones, colocação chave")</f>
        <v>ringtones, colocação chave</v>
      </c>
      <c r="B33833" s="3">
        <v>0</v>
      </c>
    </row>
    <row r="33834" ht="15.75" customHeight="1" spans="1:2">
      <c r="A33834" s="3" t="str">
        <f>IFERROR(__xludf.DUMMYFUNCTION("GOOGLETRANSLATE(A33834,""en"",""pt"")"),"Recepção? Talvez.")</f>
        <v>Recepção? Talvez.</v>
      </c>
      <c r="B33834" s="3">
        <v>0</v>
      </c>
    </row>
    <row r="33835" ht="15.75" customHeight="1" spans="1:2">
      <c r="A33835" s="3" t="str">
        <f>IFERROR(__xludf.DUMMYFUNCTION("GOOGLETRANSLATE(A33835,""en"",""pt"")"),"vida útil da bateria indicado é em horas de cão, ringtones coxos, mal aconselhado fora botões")</f>
        <v>vida útil da bateria indicado é em horas de cão, ringtones coxos, mal aconselhado fora botões</v>
      </c>
      <c r="B33835" s="3">
        <v>0</v>
      </c>
    </row>
    <row r="33836" ht="15.75" customHeight="1" spans="1:2">
      <c r="A33836" s="3" t="str">
        <f>IFERROR(__xludf.DUMMYFUNCTION("GOOGLETRANSLATE(A33836,""en"",""pt"")"),"NENHUM JOGO! Guia não é muito completo desajeitado, numérico para trabalhar.")</f>
        <v>NENHUM JOGO! Guia não é muito completo desajeitado, numérico para trabalhar.</v>
      </c>
      <c r="B33836" s="3">
        <v>0</v>
      </c>
    </row>
    <row r="33837" ht="15.75" customHeight="1" spans="1:2">
      <c r="A33837" s="3" t="str">
        <f>IFERROR(__xludf.DUMMYFUNCTION("GOOGLETRANSLATE(A33837,""en"",""pt"")"),"Algumas características do telefone não estão disponíveis")</f>
        <v>Algumas características do telefone não estão disponíveis</v>
      </c>
      <c r="B33837" s="3">
        <v>0</v>
      </c>
    </row>
    <row r="33838" ht="15.75" customHeight="1" spans="1:2">
      <c r="A33838" s="3" t="str">
        <f>IFERROR(__xludf.DUMMYFUNCTION("GOOGLETRANSLATE(A33838,""en"",""pt"")"),"manual do usuário pobre.")</f>
        <v>manual do usuário pobre.</v>
      </c>
      <c r="B33838" s="3">
        <v>0</v>
      </c>
    </row>
    <row r="33839" ht="15.75" customHeight="1" spans="1:2">
      <c r="A33839" s="3" t="str">
        <f>IFERROR(__xludf.DUMMYFUNCTION("GOOGLETRANSLATE(A33839,""en"",""pt"")"),"sentir de botões, a vida da bateria, capacidade de ouvir outra parte.")</f>
        <v>sentir de botões, a vida da bateria, capacidade de ouvir outra parte.</v>
      </c>
      <c r="B33839" s="3">
        <v>0</v>
      </c>
    </row>
    <row r="33840" ht="15.75" customHeight="1" spans="1:2">
      <c r="A33840" s="3" t="str">
        <f>IFERROR(__xludf.DUMMYFUNCTION("GOOGLETRANSLATE(A33840,""en"",""pt"")"),"Bad manual terrível carregador de mesa, a vida da bateria assim-assim, ativação de voz lento, CD não vai funcionar")</f>
        <v>Bad manual terrível carregador de mesa, a vida da bateria assim-assim, ativação de voz lento, CD não vai funcionar</v>
      </c>
      <c r="B33840" s="3">
        <v>0</v>
      </c>
    </row>
    <row r="33841" ht="15.75" customHeight="1" spans="1:2">
      <c r="A33841" s="3" t="str">
        <f>IFERROR(__xludf.DUMMYFUNCTION("GOOGLETRANSLATE(A33841,""en"",""pt"")"),"Posicionamento do volume e do gatilho microfone na parte externa do telefone. Fivela do cinto.")</f>
        <v>Posicionamento do volume e do gatilho microfone na parte externa do telefone. Fivela do cinto.</v>
      </c>
      <c r="B33841" s="3">
        <v>0</v>
      </c>
    </row>
    <row r="33842" ht="15.75" customHeight="1" spans="1:2">
      <c r="A33842" s="3" t="str">
        <f>IFERROR(__xludf.DUMMYFUNCTION("GOOGLETRANSLATE(A33842,""en"",""pt"")"),"papéis de parede incluídos, campainhas incluídas")</f>
        <v>papéis de parede incluídos, campainhas incluídas</v>
      </c>
      <c r="B33842" s="3">
        <v>0</v>
      </c>
    </row>
    <row r="33843" ht="15.75" customHeight="1" spans="1:2">
      <c r="A33843" s="3" t="str">
        <f>IFERROR(__xludf.DUMMYFUNCTION("GOOGLETRANSLATE(A33843,""en"",""pt"")"),"A cura LOL incidente um auto")</f>
        <v>A cura LOL incidente um auto</v>
      </c>
      <c r="B33843" s="3">
        <v>0</v>
      </c>
    </row>
    <row r="33844" ht="15.75" customHeight="1" spans="1:2">
      <c r="A33844" s="3" t="str">
        <f>IFERROR(__xludf.DUMMYFUNCTION("GOOGLETRANSLATE(A33844,""en"",""pt"")"),"Terrível manual, as teclas laterais muito fácil acidentalmente imprensa, volumes de toque limitados")</f>
        <v>Terrível manual, as teclas laterais muito fácil acidentalmente imprensa, volumes de toque limitados</v>
      </c>
      <c r="B33844" s="3">
        <v>0</v>
      </c>
    </row>
    <row r="33845" ht="15.75" customHeight="1" spans="1:2">
      <c r="A33845" s="3" t="str">
        <f>IFERROR(__xludf.DUMMYFUNCTION("GOOGLETRANSLATE(A33845,""en"",""pt"")"),"má qualidade do altifalante, toques hediondos, controlo de volume limitado")</f>
        <v>má qualidade do altifalante, toques hediondos, controlo de volume limitado</v>
      </c>
      <c r="B33845" s="3">
        <v>0</v>
      </c>
    </row>
    <row r="33846" ht="15.75" customHeight="1" spans="1:2">
      <c r="A33846" s="3" t="str">
        <f>IFERROR(__xludf.DUMMYFUNCTION("GOOGLETRANSLATE(A33846,""en"",""pt"")"),"recepção boa bonita, a vida da bateria ok.")</f>
        <v>recepção boa bonita, a vida da bateria ok.</v>
      </c>
      <c r="B33846" s="3">
        <v>0</v>
      </c>
    </row>
    <row r="33847" ht="15.75" customHeight="1" spans="1:2">
      <c r="A33847" s="3" t="str">
        <f>IFERROR(__xludf.DUMMYFUNCTION("GOOGLETRANSLATE(A33847,""en"",""pt"")"),"A qualidade do som é terrível; volume é muito alto mesmo a configuração mais baixa.")</f>
        <v>A qualidade do som é terrível; volume é muito alto mesmo a configuração mais baixa.</v>
      </c>
      <c r="B33847" s="3">
        <v>0</v>
      </c>
    </row>
    <row r="33848" ht="15.75" customHeight="1" spans="1:2">
      <c r="A33848" s="3" t="str">
        <f>IFERROR(__xludf.DUMMYFUNCTION("GOOGLETRANSLATE(A33848,""en"",""pt"")"),"forwarding acidental para a caixa postal (botões laterais)")</f>
        <v>forwarding acidental para a caixa postal (botões laterais)</v>
      </c>
      <c r="B33848" s="3">
        <v>0</v>
      </c>
    </row>
    <row r="33849" ht="15.75" customHeight="1" spans="1:2">
      <c r="A33849" s="3" t="str">
        <f>IFERROR(__xludf.DUMMYFUNCTION("GOOGLETRANSLATE(A33849,""en"",""pt"")"),"Características, qualidade de som, a velocidade do processador, facilidade de uso, a vida da bateria")</f>
        <v>Características, qualidade de som, a velocidade do processador, facilidade de uso, a vida da bateria</v>
      </c>
      <c r="B33849" s="3">
        <v>0</v>
      </c>
    </row>
    <row r="33850" ht="15.75" customHeight="1" spans="1:2">
      <c r="A33850" s="3" t="str">
        <f>IFERROR(__xludf.DUMMYFUNCTION("GOOGLETRANSLATE(A33850,""en"",""pt"")"),"som alto, às vezes muito alto, números e letras no teclado estão borradas com retroiluminação")</f>
        <v>som alto, às vezes muito alto, números e letras no teclado estão borradas com retroiluminação</v>
      </c>
      <c r="B33850" s="3">
        <v>0</v>
      </c>
    </row>
    <row r="33851" ht="15.75" customHeight="1" spans="1:2">
      <c r="A33851" s="3" t="str">
        <f>IFERROR(__xludf.DUMMYFUNCTION("GOOGLETRANSLATE(A33851,""en"",""pt"")"),"software muito pobre")</f>
        <v>software muito pobre</v>
      </c>
      <c r="B33851" s="3">
        <v>0</v>
      </c>
    </row>
    <row r="33852" ht="15.75" customHeight="1" spans="1:2">
      <c r="A33852" s="3" t="str">
        <f>IFERROR(__xludf.DUMMYFUNCTION("GOOGLETRANSLATE(A33852,""en"",""pt"")"),"livro de instruções terrível, wallpapers limitado, toques não é grande")</f>
        <v>livro de instruções terrível, wallpapers limitado, toques não é grande</v>
      </c>
      <c r="B33852" s="3">
        <v>0</v>
      </c>
    </row>
    <row r="33853" ht="15.75" customHeight="1" spans="1:2">
      <c r="A33853" s="3" t="str">
        <f>IFERROR(__xludf.DUMMYFUNCTION("GOOGLETRANSLATE(A33853,""en"",""pt"")"),"ringtones incluídos são verdadeiramente terrível, tela colorida difícil ver fora na luz solar.")</f>
        <v>ringtones incluídos são verdadeiramente terrível, tela colorida difícil ver fora na luz solar.</v>
      </c>
      <c r="B33853" s="3">
        <v>0</v>
      </c>
    </row>
    <row r="33854" ht="15.75" customHeight="1" spans="1:2">
      <c r="A33854" s="3" t="str">
        <f>IFERROR(__xludf.DUMMYFUNCTION("GOOGLETRANSLATE(A33854,""en"",""pt"")"),"No viva-voz, fone de ouvido não estão incluídos no pacote.")</f>
        <v>No viva-voz, fone de ouvido não estão incluídos no pacote.</v>
      </c>
      <c r="B33854" s="3">
        <v>0</v>
      </c>
    </row>
    <row r="33855" ht="15.75" customHeight="1" spans="1:2">
      <c r="A33855" s="3" t="str">
        <f>IFERROR(__xludf.DUMMYFUNCTION("GOOGLETRANSLATE(A33855,""en"",""pt"")"),"o manual, a falta de jogos, papel de parede lame")</f>
        <v>o manual, a falta de jogos, papel de parede lame</v>
      </c>
      <c r="B33855" s="3">
        <v>0</v>
      </c>
    </row>
    <row r="33856" ht="15.75" customHeight="1" spans="1:2">
      <c r="A33856" s="3" t="str">
        <f>IFERROR(__xludf.DUMMYFUNCTION("GOOGLETRANSLATE(A33856,""en"",""pt"")"),"botão de silêncio externo que silêncios telefone, por vezes, menos de campainha opções desejáveis ​​/ vibração.")</f>
        <v>botão de silêncio externo que silêncios telefone, por vezes, menos de campainha opções desejáveis ​​/ vibração.</v>
      </c>
      <c r="B33856" s="3">
        <v>0</v>
      </c>
    </row>
    <row r="33857" ht="15.75" customHeight="1" spans="1:2">
      <c r="A33857" s="3" t="str">
        <f>IFERROR(__xludf.DUMMYFUNCTION("GOOGLETRANSLATE(A33857,""en"",""pt"")"),"??")</f>
        <v>??</v>
      </c>
      <c r="B33857" s="3">
        <v>0</v>
      </c>
    </row>
    <row r="33858" ht="15.75" customHeight="1" spans="1:2">
      <c r="A33858" s="3" t="str">
        <f>IFERROR(__xludf.DUMMYFUNCTION("GOOGLETRANSLATE(A33858,""en"",""pt"")"),"estande do carregador, manual, botões de navegação,")</f>
        <v>estande do carregador, manual, botões de navegação,</v>
      </c>
      <c r="B33858" s="3">
        <v>0</v>
      </c>
    </row>
    <row r="33859" ht="15.75" customHeight="1" spans="1:2">
      <c r="A33859" s="3" t="str">
        <f>IFERROR(__xludf.DUMMYFUNCTION("GOOGLETRANSLATE(A33859,""en"",""pt"")"),"toques obtidos não tão alto como pré-carregada.")</f>
        <v>toques obtidos não tão alto como pré-carregada.</v>
      </c>
      <c r="B33859" s="3">
        <v>0</v>
      </c>
    </row>
    <row r="33860" ht="15.75" customHeight="1" spans="1:2">
      <c r="A33860" s="3" t="str">
        <f>IFERROR(__xludf.DUMMYFUNCTION("GOOGLETRANSLATE(A33860,""en"",""pt"")"),"botões externos, berço de recarga, estrutura do menu")</f>
        <v>botões externos, berço de recarga, estrutura do menu</v>
      </c>
      <c r="B33860" s="3">
        <v>0</v>
      </c>
    </row>
    <row r="33861" ht="15.75" customHeight="1" spans="1:2">
      <c r="A33861" s="3" t="str">
        <f>IFERROR(__xludf.DUMMYFUNCTION("GOOGLETRANSLATE(A33861,""en"",""pt"")"),"Nada realmente até agora, mas toques são tolas")</f>
        <v>Nada realmente até agora, mas toques são tolas</v>
      </c>
      <c r="B33861" s="3">
        <v>0</v>
      </c>
    </row>
    <row r="33862" ht="15.75" customHeight="1" spans="1:2">
      <c r="A33862" s="3" t="str">
        <f>IFERROR(__xludf.DUMMYFUNCTION("GOOGLETRANSLATE(A33862,""en"",""pt"")"),"Padrão de Ringer, Manual de Instruções")</f>
        <v>Padrão de Ringer, Manual de Instruções</v>
      </c>
      <c r="B33862" s="3">
        <v>0</v>
      </c>
    </row>
    <row r="33863" ht="15.75" customHeight="1" spans="1:2">
      <c r="A33863" s="3" t="str">
        <f>IFERROR(__xludf.DUMMYFUNCTION("GOOGLETRANSLATE(A33863,""en"",""pt"")"),"A vida da bateria não se compara ao meu 8390, que iria durar bem mais de uma semana.")</f>
        <v>A vida da bateria não se compara ao meu 8390, que iria durar bem mais de uma semana.</v>
      </c>
      <c r="B33863" s="3">
        <v>0</v>
      </c>
    </row>
    <row r="33864" ht="15.75" customHeight="1" spans="1:2">
      <c r="A33864" s="3" t="str">
        <f>IFERROR(__xludf.DUMMYFUNCTION("GOOGLETRANSLATE(A33864,""en"",""pt"")"),"Apenas um par de pequenas peculiaridades")</f>
        <v>Apenas um par de pequenas peculiaridades</v>
      </c>
      <c r="B33864" s="3">
        <v>0</v>
      </c>
    </row>
    <row r="33865" ht="15.75" customHeight="1" spans="1:2">
      <c r="A33865" s="3" t="str">
        <f>IFERROR(__xludf.DUMMYFUNCTION("GOOGLETRANSLATE(A33865,""en"",""pt"")"),"carregador não confiável")</f>
        <v>carregador não confiável</v>
      </c>
      <c r="B33865" s="3">
        <v>0</v>
      </c>
    </row>
    <row r="33866" ht="15.75" customHeight="1" spans="1:2">
      <c r="A33866" s="3" t="str">
        <f>IFERROR(__xludf.DUMMYFUNCTION("GOOGLETRANSLATE(A33866,""en"",""pt"")"),"Esse botão de comando de voz covarde! E a exposição de cor vida come bateria!")</f>
        <v>Esse botão de comando de voz covarde! E a exposição de cor vida come bateria!</v>
      </c>
      <c r="B33866" s="3">
        <v>0</v>
      </c>
    </row>
    <row r="33867" ht="15.75" customHeight="1" spans="1:2">
      <c r="A33867" s="3" t="str">
        <f>IFERROR(__xludf.DUMMYFUNCTION("GOOGLETRANSLATE(A33867,""en"",""pt"")"),"Nada ainda...")</f>
        <v>Nada ainda...</v>
      </c>
      <c r="B33867" s="3">
        <v>0</v>
      </c>
    </row>
    <row r="33868" ht="15.75" customHeight="1" spans="1:2">
      <c r="A33868" s="3" t="str">
        <f>IFERROR(__xludf.DUMMYFUNCTION("GOOGLETRANSLATE(A33868,""en"",""pt"")"),"a vida da bateria pobres. Telefone pesquisa de nome livro. operação lenta. entrada de texto de um algarismo.")</f>
        <v>a vida da bateria pobres. Telefone pesquisa de nome livro. operação lenta. entrada de texto de um algarismo.</v>
      </c>
      <c r="B33868" s="3">
        <v>0</v>
      </c>
    </row>
    <row r="33869" ht="15.75" customHeight="1" spans="1:2">
      <c r="A33869" s="3" t="str">
        <f>IFERROR(__xludf.DUMMYFUNCTION("GOOGLETRANSLATE(A33869,""en"",""pt"")"),"Anel de volume / qualidade, display dentro, carregador de mesa, azul luzes do teclado, tela pequena interior")</f>
        <v>Anel de volume / qualidade, display dentro, carregador de mesa, azul luzes do teclado, tela pequena interior</v>
      </c>
      <c r="B33869" s="3">
        <v>0</v>
      </c>
    </row>
    <row r="33870" ht="15.75" customHeight="1" spans="1:2">
      <c r="A33870" s="3" t="str">
        <f>IFERROR(__xludf.DUMMYFUNCTION("GOOGLETRANSLATE(A33870,""en"",""pt"")"),"Nenhum até agora.")</f>
        <v>Nenhum até agora.</v>
      </c>
      <c r="B33870" s="3">
        <v>0</v>
      </c>
    </row>
    <row r="33871" ht="15.75" customHeight="1" spans="1:2">
      <c r="A33871" s="3" t="str">
        <f>IFERROR(__xludf.DUMMYFUNCTION("GOOGLETRANSLATE(A33871,""en"",""pt"")"),"Durabilidade")</f>
        <v>Durabilidade</v>
      </c>
      <c r="B33871" s="3">
        <v>0</v>
      </c>
    </row>
    <row r="33872" ht="15.75" customHeight="1" spans="1:2">
      <c r="A33872" s="3" t="str">
        <f>IFERROR(__xludf.DUMMYFUNCTION("GOOGLETRANSLATE(A33872,""en"",""pt"")"),"Muito Pequeno (difícil segurar), más escolhas campainha")</f>
        <v>Muito Pequeno (difícil segurar), más escolhas campainha</v>
      </c>
      <c r="B33872" s="3">
        <v>0</v>
      </c>
    </row>
    <row r="33873" ht="15.75" customHeight="1" spans="1:2">
      <c r="A33873" s="3" t="str">
        <f>IFERROR(__xludf.DUMMYFUNCTION("GOOGLETRANSLATE(A33873,""en"",""pt"")"),"Já não determinado qualquer como ainda")</f>
        <v>Já não determinado qualquer como ainda</v>
      </c>
      <c r="B33873" s="3">
        <v>0</v>
      </c>
    </row>
    <row r="33874" ht="15.75" customHeight="1" spans="1:2">
      <c r="A33874" s="3" t="str">
        <f>IFERROR(__xludf.DUMMYFUNCTION("GOOGLETRANSLATE(A33874,""en"",""pt"")"),"Manual worthless")</f>
        <v>Manual worthless</v>
      </c>
      <c r="B33874" s="3">
        <v>0</v>
      </c>
    </row>
    <row r="33875" ht="15.75" customHeight="1" spans="1:2">
      <c r="A33875" s="3" t="str">
        <f>IFERROR(__xludf.DUMMYFUNCTION("GOOGLETRANSLATE(A33875,""en"",""pt"")"),"Não é uma coisa.")</f>
        <v>Não é uma coisa.</v>
      </c>
      <c r="B33875" s="3">
        <v>0</v>
      </c>
    </row>
    <row r="33876" ht="15.75" customHeight="1" spans="1:2">
      <c r="A33876" s="3" t="str">
        <f>IFERROR(__xludf.DUMMYFUNCTION("GOOGLETRANSLATE(A33876,""en"",""pt"")"),"questões acessórias graves")</f>
        <v>questões acessórias graves</v>
      </c>
      <c r="B33876" s="3">
        <v>0</v>
      </c>
    </row>
    <row r="33877" ht="15.75" customHeight="1" spans="1:2">
      <c r="A33877" s="3" t="str">
        <f>IFERROR(__xludf.DUMMYFUNCTION("GOOGLETRANSLATE(A33877,""en"",""pt"")"),"Não é possível carregar com carregador de mesa com tampa no ... nada ainda.")</f>
        <v>Não é possível carregar com carregador de mesa com tampa no ... nada ainda.</v>
      </c>
      <c r="B33877" s="3">
        <v>0</v>
      </c>
    </row>
    <row r="33878" ht="15.75" customHeight="1" spans="1:2">
      <c r="A33878" s="3" t="str">
        <f>IFERROR(__xludf.DUMMYFUNCTION("GOOGLETRANSLATE(A33878,""en"",""pt"")"),"A unidade base de carregamento não funciona com o caso de couro no telefone.")</f>
        <v>A unidade base de carregamento não funciona com o caso de couro no telefone.</v>
      </c>
      <c r="B33878" s="3">
        <v>0</v>
      </c>
    </row>
    <row r="33879" ht="15.75" customHeight="1" spans="1:2">
      <c r="A33879" s="3" t="str">
        <f>IFERROR(__xludf.DUMMYFUNCTION("GOOGLETRANSLATE(A33879,""en"",""pt"")"),"Um pouco mais pesado do que outros novos telefones. Nenhum jogo já são fornecidos no telefone.")</f>
        <v>Um pouco mais pesado do que outros novos telefones. Nenhum jogo já são fornecidos no telefone.</v>
      </c>
      <c r="B33879" s="3">
        <v>0</v>
      </c>
    </row>
    <row r="33880" ht="15.75" customHeight="1" spans="1:2">
      <c r="A33880" s="3" t="str">
        <f>IFERROR(__xludf.DUMMYFUNCTION("GOOGLETRANSLATE(A33880,""en"",""pt"")"),"A vida da bateria, não carregador de carro aftermarket irá funcionar")</f>
        <v>A vida da bateria, não carregador de carro aftermarket irá funcionar</v>
      </c>
      <c r="B33880" s="3">
        <v>0</v>
      </c>
    </row>
    <row r="33881" ht="15.75" customHeight="1" spans="1:2">
      <c r="A33881" s="3" t="str">
        <f>IFERROR(__xludf.DUMMYFUNCTION("GOOGLETRANSLATE(A33881,""en"",""pt"")"),"A vida da bateria, antena (lame), facilmente riscado, o volume de fone de ouvido demasiado alto")</f>
        <v>A vida da bateria, antena (lame), facilmente riscado, o volume de fone de ouvido demasiado alto</v>
      </c>
      <c r="B33881" s="3">
        <v>0</v>
      </c>
    </row>
    <row r="33882" ht="15.75" customHeight="1" spans="1:2">
      <c r="A33882" s="3" t="str">
        <f>IFERROR(__xludf.DUMMYFUNCTION("GOOGLETRANSLATE(A33882,""en"",""pt"")"),"Não carregar,-se aleatoriamente, ringtones péssimos silêncios, muito grande")</f>
        <v>Não carregar,-se aleatoriamente, ringtones péssimos silêncios, muito grande</v>
      </c>
      <c r="B33882" s="3">
        <v>0</v>
      </c>
    </row>
    <row r="33883" ht="15.75" customHeight="1" spans="1:2">
      <c r="A33883" s="3" t="str">
        <f>IFERROR(__xludf.DUMMYFUNCTION("GOOGLETRANSLATE(A33883,""en"",""pt"")"),"toques irritantes, que são muitas vezes demasiado alto. não pode sentir vibrar no bolso.")</f>
        <v>toques irritantes, que são muitas vezes demasiado alto. não pode sentir vibrar no bolso.</v>
      </c>
      <c r="B33883" s="3">
        <v>0</v>
      </c>
    </row>
    <row r="33884" ht="15.75" customHeight="1" spans="1:2">
      <c r="A33884" s="3" t="str">
        <f>IFERROR(__xludf.DUMMYFUNCTION("GOOGLETRANSLATE(A33884,""en"",""pt"")"),"curta duração da bateria, quase perfeito de interface, mas com lacunas gritantes")</f>
        <v>curta duração da bateria, quase perfeito de interface, mas com lacunas gritantes</v>
      </c>
      <c r="B33884" s="3">
        <v>0</v>
      </c>
    </row>
    <row r="33885" ht="15.75" customHeight="1" spans="1:2">
      <c r="A33885" s="3" t="str">
        <f>IFERROR(__xludf.DUMMYFUNCTION("GOOGLETRANSLATE(A33885,""en"",""pt"")"),"A vida da bateria, e nada mais!")</f>
        <v>A vida da bateria, e nada mais!</v>
      </c>
      <c r="B33885" s="3">
        <v>0</v>
      </c>
    </row>
    <row r="33886" ht="15.75" customHeight="1" spans="1:2">
      <c r="A33886" s="3" t="str">
        <f>IFERROR(__xludf.DUMMYFUNCTION("GOOGLETRANSLATE(A33886,""en"",""pt"")"),"quebra, muda funções misteriosamente")</f>
        <v>quebra, muda funções misteriosamente</v>
      </c>
      <c r="B33886" s="3">
        <v>0</v>
      </c>
    </row>
    <row r="33887" ht="15.75" customHeight="1" spans="1:2">
      <c r="A33887" s="3" t="str">
        <f>IFERROR(__xludf.DUMMYFUNCTION("GOOGLETRANSLATE(A33887,""en"",""pt"")"),"Os tons de campainha. A seleção não é grande, mas você pode baixar sons diferentes.")</f>
        <v>Os tons de campainha. A seleção não é grande, mas você pode baixar sons diferentes.</v>
      </c>
      <c r="B33887" s="3">
        <v>0</v>
      </c>
    </row>
    <row r="33888" ht="15.75" customHeight="1" spans="1:2">
      <c r="A33888" s="3" t="str">
        <f>IFERROR(__xludf.DUMMYFUNCTION("GOOGLETRANSLATE(A33888,""en"",""pt"")"),"não pode atender o telefone enquanto ele está no clipe de cinto ... mesmo com um fone de ouvido.")</f>
        <v>não pode atender o telefone enquanto ele está no clipe de cinto ... mesmo com um fone de ouvido.</v>
      </c>
      <c r="B33888" s="3">
        <v>0</v>
      </c>
    </row>
    <row r="33889" ht="15.75" customHeight="1" spans="1:2">
      <c r="A33889" s="3" t="str">
        <f>IFERROR(__xludf.DUMMYFUNCTION("GOOGLETRANSLATE(A33889,""en"",""pt"")"),"Manual de um pouco estranho.")</f>
        <v>Manual de um pouco estranho.</v>
      </c>
      <c r="B33889" s="3">
        <v>0</v>
      </c>
    </row>
    <row r="33890" ht="15.75" customHeight="1" spans="1:2">
      <c r="A33890" s="3" t="str">
        <f>IFERROR(__xludf.DUMMYFUNCTION("GOOGLETRANSLATE(A33890,""en"",""pt"")"),"problemas com a recepção de confiança.")</f>
        <v>problemas com a recepção de confiança.</v>
      </c>
      <c r="B33890" s="3">
        <v>0</v>
      </c>
    </row>
    <row r="33891" ht="15.75" customHeight="1" spans="1:2">
      <c r="A33891" s="3" t="str">
        <f>IFERROR(__xludf.DUMMYFUNCTION("GOOGLETRANSLATE(A33891,""en"",""pt"")"),"nada até agora")</f>
        <v>nada até agora</v>
      </c>
      <c r="B33891" s="3">
        <v>0</v>
      </c>
    </row>
    <row r="33892" ht="15.75" customHeight="1" spans="1:2">
      <c r="A33892" s="3" t="str">
        <f>IFERROR(__xludf.DUMMYFUNCTION("GOOGLETRANSLATE(A33892,""en"",""pt"")"),"tunes da campainha, a vida da bateria (?)")</f>
        <v>tunes da campainha, a vida da bateria (?)</v>
      </c>
      <c r="B33892" s="3">
        <v>0</v>
      </c>
    </row>
    <row r="33893" ht="15.75" customHeight="1" spans="1:2">
      <c r="A33893" s="3" t="str">
        <f>IFERROR(__xludf.DUMMYFUNCTION("GOOGLETRANSLATE(A33893,""en"",""pt"")"),"obtê-lo agora!")</f>
        <v>obtê-lo agora!</v>
      </c>
      <c r="B33893" s="3">
        <v>0</v>
      </c>
    </row>
    <row r="33894" ht="15.75" customHeight="1" spans="1:2">
      <c r="A33894" s="3" t="str">
        <f>IFERROR(__xludf.DUMMYFUNCTION("GOOGLETRANSLATE(A33894,""en"",""pt"")"),"caso design pobre. Pegara o telefone, muitas vezes termina chamada recebida.")</f>
        <v>caso design pobre. Pegara o telefone, muitas vezes termina chamada recebida.</v>
      </c>
      <c r="B33894" s="3">
        <v>0</v>
      </c>
    </row>
    <row r="33895" ht="15.75" customHeight="1" spans="1:2">
      <c r="A33895" s="3" t="str">
        <f>IFERROR(__xludf.DUMMYFUNCTION("GOOGLETRANSLATE(A33895,""en"",""pt"")"),"O tempo de carregamento, a qualidade do som, opções, coldre")</f>
        <v>O tempo de carregamento, a qualidade do som, opções, coldre</v>
      </c>
      <c r="B33895" s="3">
        <v>0</v>
      </c>
    </row>
    <row r="33896" ht="15.75" customHeight="1" spans="1:2">
      <c r="A33896" s="3" t="str">
        <f>IFERROR(__xludf.DUMMYFUNCTION("GOOGLETRANSLATE(A33896,""en"",""pt"")"),"Qualidade")</f>
        <v>Qualidade</v>
      </c>
      <c r="B33896" s="3">
        <v>0</v>
      </c>
    </row>
    <row r="33897" ht="15.75" customHeight="1" spans="1:2">
      <c r="A33897" s="3" t="str">
        <f>IFERROR(__xludf.DUMMYFUNCTION("GOOGLETRANSLATE(A33897,""en"",""pt"")"),"A vida da bateria muito curto.")</f>
        <v>A vida da bateria muito curto.</v>
      </c>
      <c r="B33897" s="3">
        <v>0</v>
      </c>
    </row>
    <row r="33898" ht="15.75" customHeight="1" spans="1:2">
      <c r="A33898" s="3" t="str">
        <f>IFERROR(__xludf.DUMMYFUNCTION("GOOGLETRANSLATE(A33898,""en"",""pt"")"),"A vida da bateria é muito baixa")</f>
        <v>A vida da bateria é muito baixa</v>
      </c>
      <c r="B33898" s="3">
        <v>0</v>
      </c>
    </row>
    <row r="33899" ht="15.75" customHeight="1" spans="1:2">
      <c r="A33899" s="3" t="str">
        <f>IFERROR(__xludf.DUMMYFUNCTION("GOOGLETRANSLATE(A33899,""en"",""pt"")"),"A vida da bateria é fraca. bateria estendida é necessário se usar para jogos, web. etc.")</f>
        <v>A vida da bateria é fraca. bateria estendida é necessário se usar para jogos, web. etc.</v>
      </c>
      <c r="B33899" s="3">
        <v>0</v>
      </c>
    </row>
    <row r="33900" ht="15.75" customHeight="1" spans="1:2">
      <c r="A33900" s="3" t="str">
        <f>IFERROR(__xludf.DUMMYFUNCTION("GOOGLETRANSLATE(A33900,""en"",""pt"")"),"Sem Speakerphone")</f>
        <v>Sem Speakerphone</v>
      </c>
      <c r="B33900" s="3">
        <v>0</v>
      </c>
    </row>
    <row r="33901" ht="15.75" customHeight="1" spans="1:2">
      <c r="A33901" s="3" t="str">
        <f>IFERROR(__xludf.DUMMYFUNCTION("GOOGLETRANSLATE(A33901,""en"",""pt"")"),"Prateadas flocos exteriores futuristas por apenas olhando para ele o caminho errado.")</f>
        <v>Prateadas flocos exteriores futuristas por apenas olhando para ele o caminho errado.</v>
      </c>
      <c r="B33901" s="3">
        <v>0</v>
      </c>
    </row>
    <row r="33902" ht="15.75" customHeight="1" spans="1:2">
      <c r="A33902" s="3" t="str">
        <f>IFERROR(__xludf.DUMMYFUNCTION("GOOGLETRANSLATE(A33902,""en"",""pt"")"),"Os cortes nos e para fora, não tão grande autonomia da bateria.")</f>
        <v>Os cortes nos e para fora, não tão grande autonomia da bateria.</v>
      </c>
      <c r="B33902" s="3">
        <v>0</v>
      </c>
    </row>
    <row r="33903" ht="15.75" customHeight="1" spans="1:2">
      <c r="A33903" s="3" t="str">
        <f>IFERROR(__xludf.DUMMYFUNCTION("GOOGLETRANSLATE(A33903,""en"",""pt"")"),"Um pouco volumoso, sofá-antena, não vem com os jogos.")</f>
        <v>Um pouco volumoso, sofá-antena, não vem com os jogos.</v>
      </c>
      <c r="B33903" s="3">
        <v>0</v>
      </c>
    </row>
    <row r="33904" ht="15.75" customHeight="1" spans="1:2">
      <c r="A33904" s="3" t="str">
        <f>IFERROR(__xludf.DUMMYFUNCTION("GOOGLETRANSLATE(A33904,""en"",""pt"")"),"Tela inútil na luz solar. menu de navegação pobres. Não é possível remover ocupados imagens de fundo.")</f>
        <v>Tela inútil na luz solar. menu de navegação pobres. Não é possível remover ocupados imagens de fundo.</v>
      </c>
      <c r="B33904" s="3">
        <v>0</v>
      </c>
    </row>
    <row r="33905" ht="15.75" customHeight="1" spans="1:2">
      <c r="A33905" s="3" t="str">
        <f>IFERROR(__xludf.DUMMYFUNCTION("GOOGLETRANSLATE(A33905,""en"",""pt"")"),"capa de celular")</f>
        <v>capa de celular</v>
      </c>
      <c r="B33905" s="3">
        <v>0</v>
      </c>
    </row>
    <row r="33906" ht="15.75" customHeight="1" spans="1:2">
      <c r="A33906" s="3" t="str">
        <f>IFERROR(__xludf.DUMMYFUNCTION("GOOGLETRANSLATE(A33906,""en"",""pt"")"),"A ler o comentário. Máximo de 15 palavras não é suficiente para elaborar.")</f>
        <v>A ler o comentário. Máximo de 15 palavras não é suficiente para elaborar.</v>
      </c>
      <c r="B33906" s="3">
        <v>0</v>
      </c>
    </row>
    <row r="33907" ht="15.75" customHeight="1" spans="1:2">
      <c r="A33907" s="3" t="str">
        <f>IFERROR(__xludf.DUMMYFUNCTION("GOOGLETRANSLATE(A33907,""en"",""pt"")"),"Volume de escuta; vibrar on / off; Telefone Book Search")</f>
        <v>Volume de escuta; vibrar on / off; Telefone Book Search</v>
      </c>
      <c r="B33907" s="3">
        <v>0</v>
      </c>
    </row>
    <row r="33908" ht="15.75" customHeight="1" spans="1:2">
      <c r="A33908" s="3" t="str">
        <f>IFERROR(__xludf.DUMMYFUNCTION("GOOGLETRANSLATE(A33908,""en"",""pt"")"),"leia revisão, não são apenas muitos para listar neste pequeno local.")</f>
        <v>leia revisão, não são apenas muitos para listar neste pequeno local.</v>
      </c>
      <c r="B33908" s="3">
        <v>0</v>
      </c>
    </row>
    <row r="33909" ht="15.75" customHeight="1" spans="1:2">
      <c r="A33909" s="3" t="str">
        <f>IFERROR(__xludf.DUMMYFUNCTION("GOOGLETRANSLATE(A33909,""en"",""pt"")"),"A vida da bateria poderia ser melhor.")</f>
        <v>A vida da bateria poderia ser melhor.</v>
      </c>
      <c r="B33909" s="3">
        <v>0</v>
      </c>
    </row>
    <row r="33910" ht="15.75" customHeight="1" spans="1:2">
      <c r="A33910" s="3" t="str">
        <f>IFERROR(__xludf.DUMMYFUNCTION("GOOGLETRANSLATE(A33910,""en"",""pt"")"),"Funcionalidade, a vida da bateria, Construção, Software, a falta de recursos, Poor Antena, extremamente grossa")</f>
        <v>Funcionalidade, a vida da bateria, Construção, Software, a falta de recursos, Poor Antena, extremamente grossa</v>
      </c>
      <c r="B33910" s="3">
        <v>0</v>
      </c>
    </row>
    <row r="33911" ht="15.75" customHeight="1" spans="1:2">
      <c r="A33911" s="3" t="str">
        <f>IFERROR(__xludf.DUMMYFUNCTION("GOOGLETRANSLATE(A33911,""en"",""pt"")"),"um pouco volumoso")</f>
        <v>um pouco volumoso</v>
      </c>
      <c r="B33911" s="3">
        <v>0</v>
      </c>
    </row>
    <row r="33912" ht="15.75" customHeight="1" spans="1:2">
      <c r="A33912" s="3" t="str">
        <f>IFERROR(__xludf.DUMMYFUNCTION("GOOGLETRANSLATE(A33912,""en"",""pt"")"),"fede campainha, carregador é terrível, a vida da bateria")</f>
        <v>fede campainha, carregador é terrível, a vida da bateria</v>
      </c>
      <c r="B33912" s="3">
        <v>0</v>
      </c>
    </row>
    <row r="33913" ht="15.75" customHeight="1" spans="1:2">
      <c r="A33913" s="3" t="str">
        <f>IFERROR(__xludf.DUMMYFUNCTION("GOOGLETRANSLATE(A33913,""en"",""pt"")"),"Frágil, som pobre, vida de bateria fraca, etc.")</f>
        <v>Frágil, som pobre, vida de bateria fraca, etc.</v>
      </c>
      <c r="B33913" s="3">
        <v>0</v>
      </c>
    </row>
    <row r="33914" ht="15.75" customHeight="1" spans="1:2">
      <c r="A33914" s="3" t="str">
        <f>IFERROR(__xludf.DUMMYFUNCTION("GOOGLETRANSLATE(A33914,""en"",""pt"")"),"Não tem um monte de extras, como um telefone com câmera")</f>
        <v>Não tem um monte de extras, como um telefone com câmera</v>
      </c>
      <c r="B33914" s="3">
        <v>0</v>
      </c>
    </row>
    <row r="33915" ht="15.75" customHeight="1" spans="1:2">
      <c r="A33915" s="3" t="str">
        <f>IFERROR(__xludf.DUMMYFUNCTION("GOOGLETRANSLATE(A33915,""en"",""pt"")"),"aparelho de carga móvel tem que ser fabricantes próprias")</f>
        <v>aparelho de carga móvel tem que ser fabricantes próprias</v>
      </c>
      <c r="B33915" s="3">
        <v>0</v>
      </c>
    </row>
    <row r="33916" ht="15.75" customHeight="1" spans="1:2">
      <c r="A33916" s="3" t="str">
        <f>IFERROR(__xludf.DUMMYFUNCTION("GOOGLETRANSLATE(A33916,""en"",""pt"")"),"Vibrar função / do anel e tela")</f>
        <v>Vibrar função / do anel e tela</v>
      </c>
      <c r="B33916" s="3">
        <v>0</v>
      </c>
    </row>
    <row r="33917" ht="15.75" customHeight="1" spans="1:2">
      <c r="A33917" s="3" t="str">
        <f>IFERROR(__xludf.DUMMYFUNCTION("GOOGLETRANSLATE(A33917,""en"",""pt"")"),"permanece aceso durante o carregamento")</f>
        <v>permanece aceso durante o carregamento</v>
      </c>
      <c r="B33917" s="3">
        <v>0</v>
      </c>
    </row>
    <row r="33918" ht="15.75" customHeight="1" spans="1:2">
      <c r="A33918" s="3" t="str">
        <f>IFERROR(__xludf.DUMMYFUNCTION("GOOGLETRANSLATE(A33918,""en"",""pt"")"),"a marcação por voz, às vezes é um pouco lento, mas ainda assim eu gosto.")</f>
        <v>a marcação por voz, às vezes é um pouco lento, mas ainda assim eu gosto.</v>
      </c>
      <c r="B33918" s="3">
        <v>0</v>
      </c>
    </row>
    <row r="33919" ht="15.75" customHeight="1" spans="1:2">
      <c r="A33919" s="3" t="str">
        <f>IFERROR(__xludf.DUMMYFUNCTION("GOOGLETRANSLATE(A33919,""en"",""pt"")"),"navegador de texto, erro campainha")</f>
        <v>navegador de texto, erro campainha</v>
      </c>
      <c r="B33919" s="3">
        <v>0</v>
      </c>
    </row>
    <row r="33920" ht="15.75" customHeight="1" spans="1:2">
      <c r="A33920" s="3" t="str">
        <f>IFERROR(__xludf.DUMMYFUNCTION("GOOGLETRANSLATE(A33920,""en"",""pt"")"),"Faceplates não são facilmente mutável")</f>
        <v>Faceplates não são facilmente mutável</v>
      </c>
      <c r="B33920" s="3">
        <v>0</v>
      </c>
    </row>
    <row r="33921" ht="15.75" customHeight="1" spans="1:2">
      <c r="A33921" s="3" t="str">
        <f>IFERROR(__xludf.DUMMYFUNCTION("GOOGLETRANSLATE(A33921,""en"",""pt"")"),"falante tende a ter muito agudos e fere meu ouvido")</f>
        <v>falante tende a ter muito agudos e fere meu ouvido</v>
      </c>
      <c r="B33921" s="3">
        <v>0</v>
      </c>
    </row>
    <row r="33922" ht="15.75" customHeight="1" spans="1:2">
      <c r="A33922" s="3" t="str">
        <f>IFERROR(__xludf.DUMMYFUNCTION("GOOGLETRANSLATE(A33922,""en"",""pt"")"),"???")</f>
        <v>???</v>
      </c>
      <c r="B33922" s="3">
        <v>0</v>
      </c>
    </row>
    <row r="33923" ht="15.75" customHeight="1" spans="1:2">
      <c r="A33923" s="3" t="str">
        <f>IFERROR(__xludf.DUMMYFUNCTION("GOOGLETRANSLATE(A33923,""en"",""pt"")"),"manual do usuário")</f>
        <v>manual do usuário</v>
      </c>
      <c r="B33923" s="3">
        <v>0</v>
      </c>
    </row>
    <row r="33924" ht="15.75" customHeight="1" spans="1:2">
      <c r="A33924" s="3" t="str">
        <f>IFERROR(__xludf.DUMMYFUNCTION("GOOGLETRANSLATE(A33924,""en"",""pt"")"),"Não se pode falar sem tomar coldre off. bateria morre facilmente de falar muito.")</f>
        <v>Não se pode falar sem tomar coldre off. bateria morre facilmente de falar muito.</v>
      </c>
      <c r="B33924" s="3">
        <v>0</v>
      </c>
    </row>
    <row r="33925" ht="15.75" customHeight="1" spans="1:2">
      <c r="A33925" s="3" t="str">
        <f>IFERROR(__xludf.DUMMYFUNCTION("GOOGLETRANSLATE(A33925,""en"",""pt"")"),"informações manual e esboçado pobre em algumas configurações")</f>
        <v>informações manual e esboçado pobre em algumas configurações</v>
      </c>
      <c r="B33925" s="3">
        <v>0</v>
      </c>
    </row>
    <row r="33926" ht="15.75" customHeight="1" spans="1:2">
      <c r="A33926" s="3" t="str">
        <f>IFERROR(__xludf.DUMMYFUNCTION("GOOGLETRANSLATE(A33926,""en"",""pt"")"),"Má recepção, confiabilidade, vida útil da bateria, e som.")</f>
        <v>Má recepção, confiabilidade, vida útil da bateria, e som.</v>
      </c>
      <c r="B33926" s="3">
        <v>0</v>
      </c>
    </row>
    <row r="33927" ht="15.75" customHeight="1" spans="1:2">
      <c r="A33927" s="3" t="str">
        <f>IFERROR(__xludf.DUMMYFUNCTION("GOOGLETRANSLATE(A33927,""en"",""pt"")"),"caro, com ou sem um contrato. botão lateral ignora chamadas se pressionado por acidente.")</f>
        <v>caro, com ou sem um contrato. botão lateral ignora chamadas se pressionado por acidente.</v>
      </c>
      <c r="B33927" s="3">
        <v>0</v>
      </c>
    </row>
    <row r="33928" ht="15.75" customHeight="1" spans="1:2">
      <c r="A33928" s="3" t="str">
        <f>IFERROR(__xludf.DUMMYFUNCTION("GOOGLETRANSLATE(A33928,""en"",""pt"")"),"modo de vibração não é forte o suficiente")</f>
        <v>modo de vibração não é forte o suficiente</v>
      </c>
      <c r="B33928" s="3">
        <v>0</v>
      </c>
    </row>
    <row r="33929" ht="15.75" customHeight="1" spans="1:2">
      <c r="A33929" s="3" t="str">
        <f>IFERROR(__xludf.DUMMYFUNCTION("GOOGLETRANSLATE(A33929,""en"",""pt"")"),"Realmente, realmente fraca recepção! não pode falar durante o carregamento.")</f>
        <v>Realmente, realmente fraca recepção! não pode falar durante o carregamento.</v>
      </c>
      <c r="B33929" s="3">
        <v>0</v>
      </c>
    </row>
    <row r="33930" ht="15.75" customHeight="1" spans="1:2">
      <c r="A33930" s="3" t="str">
        <f>IFERROR(__xludf.DUMMYFUNCTION("GOOGLETRANSLATE(A33930,""en"",""pt"")"),"1) apenas 199 entradas da lista telefónica 2) No alto-falante embutido? 3) VX6000 lá fora")</f>
        <v>1) apenas 199 entradas da lista telefónica 2) No alto-falante embutido? 3) VX6000 lá fora</v>
      </c>
      <c r="B33930" s="3">
        <v>0</v>
      </c>
    </row>
    <row r="33931" ht="15.75" customHeight="1" spans="1:2">
      <c r="A33931" s="3" t="str">
        <f>IFERROR(__xludf.DUMMYFUNCTION("GOOGLETRANSLATE(A33931,""en"",""pt"")"),"Bateria vai quebrar facilmente, bateria é de má qualidade")</f>
        <v>Bateria vai quebrar facilmente, bateria é de má qualidade</v>
      </c>
      <c r="B33931" s="3">
        <v>0</v>
      </c>
    </row>
    <row r="33932" ht="15.75" customHeight="1" spans="1:2">
      <c r="A33932" s="3" t="str">
        <f>IFERROR(__xludf.DUMMYFUNCTION("GOOGLETRANSLATE(A33932,""en"",""pt"")"),"necessidades vida da bateria para ser estendida (mas ainda melhor do que muitos telefones concorrentes).")</f>
        <v>necessidades vida da bateria para ser estendida (mas ainda melhor do que muitos telefones concorrentes).</v>
      </c>
      <c r="B33932" s="3">
        <v>0</v>
      </c>
    </row>
    <row r="33933" ht="15.75" customHeight="1" spans="1:2">
      <c r="A33933" s="3" t="str">
        <f>IFERROR(__xludf.DUMMYFUNCTION("GOOGLETRANSLATE(A33933,""en"",""pt"")"),"Não toques simples; não pode virar papel de parede off; vida útil da bateria nem perto do que eles dizem.")</f>
        <v>Não toques simples; não pode virar papel de parede off; vida útil da bateria nem perto do que eles dizem.</v>
      </c>
      <c r="B33933" s="3">
        <v>0</v>
      </c>
    </row>
    <row r="33934" ht="15.75" customHeight="1" spans="1:2">
      <c r="A33934" s="3" t="str">
        <f>IFERROR(__xludf.DUMMYFUNCTION("GOOGLETRANSLATE(A33934,""en"",""pt"")"),"No alto-falante (não muitos flips tê-lo), menus ícone ilógicas, má manual.")</f>
        <v>No alto-falante (não muitos flips tê-lo), menus ícone ilógicas, má manual.</v>
      </c>
      <c r="B33934" s="3">
        <v>0</v>
      </c>
    </row>
    <row r="33935" ht="15.75" customHeight="1" spans="1:2">
      <c r="A33935" s="3" t="str">
        <f>IFERROR(__xludf.DUMMYFUNCTION("GOOGLETRANSLATE(A33935,""en"",""pt"")"),"mau coldre, software")</f>
        <v>mau coldre, software</v>
      </c>
      <c r="B33935" s="3">
        <v>0</v>
      </c>
    </row>
    <row r="33936" ht="15.75" customHeight="1" spans="1:2">
      <c r="A33936" s="3" t="str">
        <f>IFERROR(__xludf.DUMMYFUNCTION("GOOGLETRANSLATE(A33936,""en"",""pt"")"),"Quebra-se ocasionalmente.")</f>
        <v>Quebra-se ocasionalmente.</v>
      </c>
      <c r="B33936" s="3">
        <v>0</v>
      </c>
    </row>
    <row r="33937" ht="15.75" customHeight="1" spans="1:2">
      <c r="A33937" s="3" t="str">
        <f>IFERROR(__xludf.DUMMYFUNCTION("GOOGLETRANSLATE(A33937,""en"",""pt"")"),"Eu não gosto do botão Navi")</f>
        <v>Eu não gosto do botão Navi</v>
      </c>
      <c r="B33937" s="3">
        <v>0</v>
      </c>
    </row>
    <row r="33938" ht="15.75" customHeight="1" spans="1:2">
      <c r="A33938" s="3" t="str">
        <f>IFERROR(__xludf.DUMMYFUNCTION("GOOGLETRANSLATE(A33938,""en"",""pt"")"),"Um pouco frágil. Recepção é questionável.")</f>
        <v>Um pouco frágil. Recepção é questionável.</v>
      </c>
      <c r="B33938" s="3">
        <v>0</v>
      </c>
    </row>
    <row r="33939" ht="15.75" customHeight="1" spans="1:2">
      <c r="A33939" s="3" t="str">
        <f>IFERROR(__xludf.DUMMYFUNCTION("GOOGLETRANSLATE(A33939,""en"",""pt"")"),"não pode se conectar à internet. Eu nem sequer precisa dele para fazer isso, porém.")</f>
        <v>não pode se conectar à internet. Eu nem sequer precisa dele para fazer isso, porém.</v>
      </c>
      <c r="B33939" s="3">
        <v>0</v>
      </c>
    </row>
    <row r="33940" ht="15.75" customHeight="1" spans="1:2">
      <c r="A33940" s="3" t="str">
        <f>IFERROR(__xludf.DUMMYFUNCTION("GOOGLETRANSLATE(A33940,""en"",""pt"")"),"Tem uma função de vibração medíocre. Discussão tempo de vida da bateria poderia ser melhor.")</f>
        <v>Tem uma função de vibração medíocre. Discussão tempo de vida da bateria poderia ser melhor.</v>
      </c>
      <c r="B33940" s="3">
        <v>0</v>
      </c>
    </row>
    <row r="33941" ht="15.75" customHeight="1" spans="1:2">
      <c r="A33941" s="3" t="str">
        <f>IFERROR(__xludf.DUMMYFUNCTION("GOOGLETRANSLATE(A33941,""en"",""pt"")"),"Nenhum que eu tenho visto até agora")</f>
        <v>Nenhum que eu tenho visto até agora</v>
      </c>
      <c r="B33941" s="3">
        <v>0</v>
      </c>
    </row>
    <row r="33942" ht="15.75" customHeight="1" spans="1:2">
      <c r="A33942" s="3" t="str">
        <f>IFERROR(__xludf.DUMMYFUNCTION("GOOGLETRANSLATE(A33942,""en"",""pt"")"),"Pode ser muito pequeno para alguns gostos. Ocasional chamada caiu.")</f>
        <v>Pode ser muito pequeno para alguns gostos. Ocasional chamada caiu.</v>
      </c>
      <c r="B33942" s="3">
        <v>0</v>
      </c>
    </row>
    <row r="33943" ht="15.75" customHeight="1" spans="1:2">
      <c r="A33943" s="3" t="str">
        <f>IFERROR(__xludf.DUMMYFUNCTION("GOOGLETRANSLATE(A33943,""en"",""pt"")"),"Nada até agora.")</f>
        <v>Nada até agora.</v>
      </c>
      <c r="B33943" s="3">
        <v>0</v>
      </c>
    </row>
    <row r="33944" ht="15.75" customHeight="1" spans="1:2">
      <c r="A33944" s="3" t="str">
        <f>IFERROR(__xludf.DUMMYFUNCTION("GOOGLETRANSLATE(A33944,""en"",""pt"")"),"Não há recursos de acesso web, não pode receber toques especiais.")</f>
        <v>Não há recursos de acesso web, não pode receber toques especiais.</v>
      </c>
      <c r="B33944" s="3">
        <v>0</v>
      </c>
    </row>
    <row r="33945" ht="15.75" customHeight="1" spans="1:2">
      <c r="A33945" s="3" t="str">
        <f>IFERROR(__xludf.DUMMYFUNCTION("GOOGLETRANSLATE(A33945,""en"",""pt"")"),"Pode soar um pouco como analógico - meio segundo de atraso, às vezes.")</f>
        <v>Pode soar um pouco como analógico - meio segundo de atraso, às vezes.</v>
      </c>
      <c r="B33945" s="3">
        <v>0</v>
      </c>
    </row>
    <row r="33946" ht="15.75" customHeight="1" spans="1:2">
      <c r="A33946" s="3" t="str">
        <f>IFERROR(__xludf.DUMMYFUNCTION("GOOGLETRANSLATE(A33946,""en"",""pt"")"),"sistema operacional erros ', o botão Navi pode confundir os novos usuários, sem acesso à web.")</f>
        <v>sistema operacional erros ', o botão Navi pode confundir os novos usuários, sem acesso à web.</v>
      </c>
      <c r="B33946" s="3">
        <v>0</v>
      </c>
    </row>
    <row r="33947" ht="15.75" customHeight="1" spans="1:2">
      <c r="A33947" s="3" t="str">
        <f>IFERROR(__xludf.DUMMYFUNCTION("GOOGLETRANSLATE(A33947,""en"",""pt"")"),"A vida da bateria é uma piada; qualidade do som era ruim (no início)")</f>
        <v>A vida da bateria é uma piada; qualidade do som era ruim (no início)</v>
      </c>
      <c r="B33947" s="3">
        <v>0</v>
      </c>
    </row>
    <row r="33948" ht="15.75" customHeight="1" spans="1:2">
      <c r="A33948" s="3" t="str">
        <f>IFERROR(__xludf.DUMMYFUNCTION("GOOGLETRANSLATE(A33948,""en"",""pt"")"),"Muito grandes e pesados, medíocre recepção.")</f>
        <v>Muito grandes e pesados, medíocre recepção.</v>
      </c>
      <c r="B33948" s="3">
        <v>0</v>
      </c>
    </row>
    <row r="33949" ht="15.75" customHeight="1" spans="1:2">
      <c r="A33949" s="3" t="str">
        <f>IFERROR(__xludf.DUMMYFUNCTION("GOOGLETRANSLATE(A33949,""en"",""pt"")"),"No modo analógico, No navegador, a vida da bateria.")</f>
        <v>No modo analógico, No navegador, a vida da bateria.</v>
      </c>
      <c r="B33949" s="3">
        <v>0</v>
      </c>
    </row>
    <row r="33950" ht="15.75" customHeight="1" spans="1:2">
      <c r="A33950" s="3" t="str">
        <f>IFERROR(__xludf.DUMMYFUNCTION("GOOGLETRANSLATE(A33950,""en"",""pt"")"),"Talvez um pouco pequeno para algumas pessoas, realmente não pode pensar em outra coisa")</f>
        <v>Talvez um pouco pequeno para algumas pessoas, realmente não pode pensar em outra coisa</v>
      </c>
      <c r="B33950" s="3">
        <v>0</v>
      </c>
    </row>
    <row r="33951" ht="15.75" customHeight="1" spans="1:2">
      <c r="A33951" s="3" t="str">
        <f>IFERROR(__xludf.DUMMYFUNCTION("GOOGLETRANSLATE(A33951,""en"",""pt"")"),"O display, vibrador modo.")</f>
        <v>O display, vibrador modo.</v>
      </c>
      <c r="B33951" s="3">
        <v>0</v>
      </c>
    </row>
    <row r="33952" ht="15.75" customHeight="1" spans="1:2">
      <c r="A33952" s="3" t="str">
        <f>IFERROR(__xludf.DUMMYFUNCTION("GOOGLETRANSLATE(A33952,""en"",""pt"")"),"As teclas são muito difíceis de ler no escuro.")</f>
        <v>As teclas são muito difíceis de ler no escuro.</v>
      </c>
      <c r="B33952" s="3">
        <v>0</v>
      </c>
    </row>
    <row r="33953" ht="15.75" customHeight="1" spans="1:2">
      <c r="A33953" s="3" t="str">
        <f>IFERROR(__xludf.DUMMYFUNCTION("GOOGLETRANSLATE(A33953,""en"",""pt"")"),"Sem acesso à web. :(")</f>
        <v>Sem acesso à web. :(</v>
      </c>
      <c r="B33953" s="3">
        <v>0</v>
      </c>
    </row>
    <row r="33954" ht="15.75" customHeight="1" spans="1:2">
      <c r="A33954" s="3" t="str">
        <f>IFERROR(__xludf.DUMMYFUNCTION("GOOGLETRANSLATE(A33954,""en"",""pt"")"),"ainda um caminho a percorrer na tecnologia de reconhecimento de voz, batt. vida, o volume")</f>
        <v>ainda um caminho a percorrer na tecnologia de reconhecimento de voz, batt. vida, o volume</v>
      </c>
      <c r="B33954" s="3">
        <v>0</v>
      </c>
    </row>
    <row r="33955" ht="15.75" customHeight="1" spans="1:2">
      <c r="A33955" s="3" t="str">
        <f>IFERROR(__xludf.DUMMYFUNCTION("GOOGLETRANSLATE(A33955,""en"",""pt"")"),"Demora muito tempo a arrancar ou fazer uma chamada, a recepção do sinal inexpressivo")</f>
        <v>Demora muito tempo a arrancar ou fazer uma chamada, a recepção do sinal inexpressivo</v>
      </c>
      <c r="B33955" s="3">
        <v>0</v>
      </c>
    </row>
    <row r="33956" ht="15.75" customHeight="1" spans="1:2">
      <c r="A33956" s="3" t="str">
        <f>IFERROR(__xludf.DUMMYFUNCTION("GOOGLETRANSLATE(A33956,""en"",""pt"")"),"facilmente trava, não muito sinal")</f>
        <v>facilmente trava, não muito sinal</v>
      </c>
      <c r="B33956" s="3">
        <v>0</v>
      </c>
    </row>
    <row r="33957" ht="15.75" customHeight="1" spans="1:2">
      <c r="A33957" s="3" t="str">
        <f>IFERROR(__xludf.DUMMYFUNCTION("GOOGLETRANSLATE(A33957,""en"",""pt"")"),"No Back-luz à noite.")</f>
        <v>No Back-luz à noite.</v>
      </c>
      <c r="B33957" s="3">
        <v>0</v>
      </c>
    </row>
    <row r="33958" ht="15.75" customHeight="1" spans="1:2">
      <c r="A33958" s="3" t="str">
        <f>IFERROR(__xludf.DUMMYFUNCTION("GOOGLETRANSLATE(A33958,""en"",""pt"")"),"Chaves descoberto e não há nenhum clipe.")</f>
        <v>Chaves descoberto e não há nenhum clipe.</v>
      </c>
      <c r="B33958" s="3">
        <v>0</v>
      </c>
    </row>
    <row r="33959" ht="15.75" customHeight="1" spans="1:2">
      <c r="A33959" s="3" t="str">
        <f>IFERROR(__xludf.DUMMYFUNCTION("GOOGLETRANSLATE(A33959,""en"",""pt"")"),"Acesso à Internet com excepção Não ... eu não consigo encontrar um !!!")</f>
        <v>Acesso à Internet com excepção Não ... eu não consigo encontrar um !!!</v>
      </c>
      <c r="B33959" s="3">
        <v>0</v>
      </c>
    </row>
    <row r="33960" ht="15.75" customHeight="1" spans="1:2">
      <c r="A33960" s="3" t="str">
        <f>IFERROR(__xludf.DUMMYFUNCTION("GOOGLETRANSLATE(A33960,""en"",""pt"")"),"Grande desvantagem é a falta de conexão com a internet.")</f>
        <v>Grande desvantagem é a falta de conexão com a internet.</v>
      </c>
      <c r="B33960" s="3">
        <v>0</v>
      </c>
    </row>
    <row r="33961" ht="15.75" customHeight="1" spans="1:2">
      <c r="A33961" s="3" t="str">
        <f>IFERROR(__xludf.DUMMYFUNCTION("GOOGLETRANSLATE(A33961,""en"",""pt"")"),"Não é compatível com iStream.")</f>
        <v>Não é compatível com iStream.</v>
      </c>
      <c r="B33961" s="3">
        <v>0</v>
      </c>
    </row>
    <row r="33962" ht="15.75" customHeight="1" spans="1:2">
      <c r="A33962" s="3" t="str">
        <f>IFERROR(__xludf.DUMMYFUNCTION("GOOGLETRANSLATE(A33962,""en"",""pt"")"),"A recepção não muito bom, causado por serviços de telefonia móvel (Fido).")</f>
        <v>A recepção não muito bom, causado por serviços de telefonia móvel (Fido).</v>
      </c>
      <c r="B33962" s="3">
        <v>0</v>
      </c>
    </row>
    <row r="33963" ht="15.75" customHeight="1" spans="1:2">
      <c r="A33963" s="3" t="str">
        <f>IFERROR(__xludf.DUMMYFUNCTION("GOOGLETRANSLATE(A33963,""en"",""pt"")"),"O telefone é pequeno e tem uma curta duração da bateria.")</f>
        <v>O telefone é pequeno e tem uma curta duração da bateria.</v>
      </c>
      <c r="B33963" s="3">
        <v>0</v>
      </c>
    </row>
    <row r="33964" ht="15.75" customHeight="1" spans="1:2">
      <c r="A33964" s="3" t="str">
        <f>IFERROR(__xludf.DUMMYFUNCTION("GOOGLETRANSLATE(A33964,""en"",""pt"")"),"Frágil; a vida da bateria muito curto; arrefecer recursos não compatíveis com o meu serviço sem fio.")</f>
        <v>Frágil; a vida da bateria muito curto; arrefecer recursos não compatíveis com o meu serviço sem fio.</v>
      </c>
      <c r="B33964" s="3">
        <v>0</v>
      </c>
    </row>
    <row r="33965" ht="15.75" customHeight="1" spans="1:2">
      <c r="A33965" s="3" t="str">
        <f>IFERROR(__xludf.DUMMYFUNCTION("GOOGLETRANSLATE(A33965,""en"",""pt"")"),"vida útil da bateria")</f>
        <v>vida útil da bateria</v>
      </c>
      <c r="B33965" s="3">
        <v>0</v>
      </c>
    </row>
    <row r="33966" ht="15.75" customHeight="1" spans="1:2">
      <c r="A33966" s="3" t="str">
        <f>IFERROR(__xludf.DUMMYFUNCTION("GOOGLETRANSLATE(A33966,""en"",""pt"")"),"Caixa de plástico (embora se sente resistente).")</f>
        <v>Caixa de plástico (embora se sente resistente).</v>
      </c>
      <c r="B33966" s="3">
        <v>0</v>
      </c>
    </row>
    <row r="33967" ht="15.75" customHeight="1" spans="1:2">
      <c r="A33967" s="3" t="str">
        <f>IFERROR(__xludf.DUMMYFUNCTION("GOOGLETRANSLATE(A33967,""en"",""pt"")"),"Tamanho e peso. Não usando fone de ouvido padrão.")</f>
        <v>Tamanho e peso. Não usando fone de ouvido padrão.</v>
      </c>
      <c r="B33967" s="3">
        <v>0</v>
      </c>
    </row>
    <row r="33968" ht="15.75" customHeight="1" spans="1:2">
      <c r="A33968" s="3" t="str">
        <f>IFERROR(__xludf.DUMMYFUNCTION("GOOGLETRANSLATE(A33968,""en"",""pt"")"),"maior do que 8260, tipo de pesado.")</f>
        <v>maior do que 8260, tipo de pesado.</v>
      </c>
      <c r="B33968" s="3">
        <v>0</v>
      </c>
    </row>
    <row r="33969" ht="15.75" customHeight="1" spans="1:2">
      <c r="A33969" s="3" t="str">
        <f>IFERROR(__xludf.DUMMYFUNCTION("GOOGLETRANSLATE(A33969,""en"",""pt"")"),"Alternando snap-on tampas podem ser uma dor")</f>
        <v>Alternando snap-on tampas podem ser uma dor</v>
      </c>
      <c r="B33969" s="3">
        <v>0</v>
      </c>
    </row>
    <row r="33970" ht="15.75" customHeight="1" spans="1:2">
      <c r="A33970" s="3" t="str">
        <f>IFERROR(__xludf.DUMMYFUNCTION("GOOGLETRANSLATE(A33970,""en"",""pt"")"),"Não realmente qualquer")</f>
        <v>Não realmente qualquer</v>
      </c>
      <c r="B33970" s="3">
        <v>0</v>
      </c>
    </row>
    <row r="33971" ht="15.75" customHeight="1" spans="1:2">
      <c r="A33971" s="3" t="str">
        <f>IFERROR(__xludf.DUMMYFUNCTION("GOOGLETRANSLATE(A33971,""en"",""pt"")"),"Sinal fraco, frágil e volumosa. Sem acesso à web. 2 horas de tempo de conversa!")</f>
        <v>Sinal fraco, frágil e volumosa. Sem acesso à web. 2 horas de tempo de conversa!</v>
      </c>
      <c r="B33971" s="3">
        <v>0</v>
      </c>
    </row>
    <row r="33972" ht="15.75" customHeight="1" spans="1:2">
      <c r="A33972" s="3" t="str">
        <f>IFERROR(__xludf.DUMMYFUNCTION("GOOGLETRANSLATE(A33972,""en"",""pt"")"),"n / D")</f>
        <v>n / D</v>
      </c>
      <c r="B33972" s="3">
        <v>0</v>
      </c>
    </row>
    <row r="33973" ht="15.75" customHeight="1" spans="1:2">
      <c r="A33973" s="3" t="str">
        <f>IFERROR(__xludf.DUMMYFUNCTION("GOOGLETRANSLATE(A33973,""en"",""pt"")"),"Acesso Sem WAP")</f>
        <v>Acesso Sem WAP</v>
      </c>
      <c r="B33973" s="3">
        <v>0</v>
      </c>
    </row>
    <row r="33974" ht="15.75" customHeight="1" spans="1:2">
      <c r="A33974" s="3" t="str">
        <f>IFERROR(__xludf.DUMMYFUNCTION("GOOGLETRANSLATE(A33974,""en"",""pt"")"),"O tamanho pequeno (fácil de perder e embaraçoso para falar em. Custos de Li-ion massa extra.")</f>
        <v>O tamanho pequeno (fácil de perder e embaraçoso para falar em. Custos de Li-ion massa extra.</v>
      </c>
      <c r="B33974" s="3">
        <v>0</v>
      </c>
    </row>
    <row r="33975" ht="15.75" customHeight="1" spans="1:2">
      <c r="A33975" s="3" t="str">
        <f>IFERROR(__xludf.DUMMYFUNCTION("GOOGLETRANSLATE(A33975,""en"",""pt"")"),"curta vida útil da bateria, recepção apenas ok")</f>
        <v>curta vida útil da bateria, recepção apenas ok</v>
      </c>
      <c r="B33975" s="3">
        <v>0</v>
      </c>
    </row>
    <row r="33976" ht="15.75" customHeight="1" spans="1:2">
      <c r="A33976" s="3" t="str">
        <f>IFERROR(__xludf.DUMMYFUNCTION("GOOGLETRANSLATE(A33976,""en"",""pt"")"),"Pesado para seu tamanho")</f>
        <v>Pesado para seu tamanho</v>
      </c>
      <c r="B33976" s="3">
        <v>0</v>
      </c>
    </row>
    <row r="33977" ht="15.75" customHeight="1" spans="1:2">
      <c r="A33977" s="3" t="str">
        <f>IFERROR(__xludf.DUMMYFUNCTION("GOOGLETRANSLATE(A33977,""en"",""pt"")"),"sem auto-bloqueio, só pode texto da mensagem outros telefones VoiceStream.")</f>
        <v>sem auto-bloqueio, só pode texto da mensagem outros telefones VoiceStream.</v>
      </c>
      <c r="B33977" s="3">
        <v>0</v>
      </c>
    </row>
    <row r="33978" ht="15.75" customHeight="1" spans="1:2">
      <c r="A33978" s="3" t="str">
        <f>IFERROR(__xludf.DUMMYFUNCTION("GOOGLETRANSLATE(A33978,""en"",""pt"")"),"pode ser menor")</f>
        <v>pode ser menor</v>
      </c>
      <c r="B33978" s="3">
        <v>0</v>
      </c>
    </row>
    <row r="33979" ht="15.75" customHeight="1" spans="1:2">
      <c r="A33979" s="3" t="str">
        <f>IFERROR(__xludf.DUMMYFUNCTION("GOOGLETRANSLATE(A33979,""en"",""pt"")"),"Curta vida útil da bateria")</f>
        <v>Curta vida útil da bateria</v>
      </c>
      <c r="B33979" s="3">
        <v>0</v>
      </c>
    </row>
    <row r="33980" ht="15.75" customHeight="1" spans="1:2">
      <c r="A33980" s="3" t="str">
        <f>IFERROR(__xludf.DUMMYFUNCTION("GOOGLETRANSLATE(A33980,""en"",""pt"")"),"Nenhum")</f>
        <v>Nenhum</v>
      </c>
      <c r="B33980" s="3">
        <v>0</v>
      </c>
    </row>
    <row r="33981" ht="15.75" customHeight="1" spans="1:2">
      <c r="A33981" s="3" t="str">
        <f>IFERROR(__xludf.DUMMYFUNCTION("GOOGLETRANSLATE(A33981,""en"",""pt"")"),"Gotas chamadas constantemente, a intensidade do sinal é peculiar")</f>
        <v>Gotas chamadas constantemente, a intensidade do sinal é peculiar</v>
      </c>
      <c r="B33981" s="3">
        <v>0</v>
      </c>
    </row>
    <row r="33982" ht="15.75" customHeight="1" spans="1:2">
      <c r="A33982" s="3" t="str">
        <f>IFERROR(__xludf.DUMMYFUNCTION("GOOGLETRANSLATE(A33982,""en"",""pt"")"),"Bateria; Não WAP; nenhum PC sincronia")</f>
        <v>Bateria; Não WAP; nenhum PC sincronia</v>
      </c>
      <c r="B33982" s="3">
        <v>0</v>
      </c>
    </row>
    <row r="33983" ht="15.75" customHeight="1" spans="1:2">
      <c r="A33983" s="3" t="str">
        <f>IFERROR(__xludf.DUMMYFUNCTION("GOOGLETRANSLATE(A33983,""en"",""pt"")"),"Terceiros tampas do partido são uma porcaria.")</f>
        <v>Terceiros tampas do partido são uma porcaria.</v>
      </c>
      <c r="B33983" s="3">
        <v>0</v>
      </c>
    </row>
    <row r="33984" ht="15.75" customHeight="1" spans="1:2">
      <c r="A33984" s="3" t="str">
        <f>IFERROR(__xludf.DUMMYFUNCTION("GOOGLETRANSLATE(A33984,""en"",""pt"")"),"Todo o resto")</f>
        <v>Todo o resto</v>
      </c>
      <c r="B33984" s="3">
        <v>0</v>
      </c>
    </row>
    <row r="33985" ht="15.75" customHeight="1" spans="1:2">
      <c r="A33985" s="3" t="str">
        <f>IFERROR(__xludf.DUMMYFUNCTION("GOOGLETRANSLATE(A33985,""en"",""pt"")"),"Se você esquecer de ""Keylock"", você estará discando sem saber")</f>
        <v>Se você esquecer de "Keylock", você estará discando sem saber</v>
      </c>
      <c r="B33985" s="3">
        <v>0</v>
      </c>
    </row>
    <row r="33986" ht="15.75" customHeight="1" spans="1:2">
      <c r="A33986" s="3" t="str">
        <f>IFERROR(__xludf.DUMMYFUNCTION("GOOGLETRANSLATE(A33986,""en"",""pt"")"),"Perder a recepção muito facilmente.")</f>
        <v>Perder a recepção muito facilmente.</v>
      </c>
      <c r="B33986" s="3">
        <v>0</v>
      </c>
    </row>
    <row r="33987" ht="15.75" customHeight="1" spans="1:2">
      <c r="A33987" s="3" t="str">
        <f>IFERROR(__xludf.DUMMYFUNCTION("GOOGLETRANSLATE(A33987,""en"",""pt"")"),"congela-se, por vezes,")</f>
        <v>congela-se, por vezes,</v>
      </c>
      <c r="B33987" s="3">
        <v>0</v>
      </c>
    </row>
    <row r="33988" ht="15.75" customHeight="1" spans="1:2">
      <c r="A33988" s="3" t="str">
        <f>IFERROR(__xludf.DUMMYFUNCTION("GOOGLETRANSLATE(A33988,""en"",""pt"")"),"Não que oi-tech ...")</f>
        <v>Não que oi-tech ...</v>
      </c>
      <c r="B33988" s="3">
        <v>0</v>
      </c>
    </row>
    <row r="33989" ht="15.75" customHeight="1" spans="1:2">
      <c r="A33989" s="3" t="str">
        <f>IFERROR(__xludf.DUMMYFUNCTION("GOOGLETRANSLATE(A33989,""en"",""pt"")"),"bateria necessita de carga frequentes")</f>
        <v>bateria necessita de carga frequentes</v>
      </c>
      <c r="B33989" s="3">
        <v>0</v>
      </c>
    </row>
    <row r="33990" ht="15.75" customHeight="1" spans="1:2">
      <c r="A33990" s="3" t="str">
        <f>IFERROR(__xludf.DUMMYFUNCTION("GOOGLETRANSLATE(A33990,""en"",""pt"")"),"Preço (US $ 100), adicional para caso, ativação de voz apresenta não é prático")</f>
        <v>Preço (US $ 100), adicional para caso, ativação de voz apresenta não é prático</v>
      </c>
      <c r="B33990" s="3">
        <v>0</v>
      </c>
    </row>
    <row r="33991" ht="15.75" customHeight="1" spans="1:2">
      <c r="A33991" s="3" t="str">
        <f>IFERROR(__xludf.DUMMYFUNCTION("GOOGLETRANSLATE(A33991,""en"",""pt"")"),"Faz-se não de luz")</f>
        <v>Faz-se não de luz</v>
      </c>
      <c r="B33991" s="3">
        <v>0</v>
      </c>
    </row>
    <row r="33992" ht="15.75" customHeight="1" spans="1:2">
      <c r="A33992" s="3" t="str">
        <f>IFERROR(__xludf.DUMMYFUNCTION("GOOGLETRANSLATE(A33992,""en"",""pt"")"),"vida útil da bateria")</f>
        <v>vida útil da bateria</v>
      </c>
      <c r="B33992" s="3">
        <v>0</v>
      </c>
    </row>
    <row r="33993" ht="15.75" customHeight="1" spans="1:2">
      <c r="A33993" s="3" t="str">
        <f>IFERROR(__xludf.DUMMYFUNCTION("GOOGLETRANSLATE(A33993,""en"",""pt"")"),"Um modelo renovado w / a tampa battrey quebrado &amp; Rogers AT &amp; T cobertura GSM.")</f>
        <v>Um modelo renovado w / a tampa battrey quebrado &amp; Rogers AT &amp; T cobertura GSM.</v>
      </c>
      <c r="B33993" s="3">
        <v>0</v>
      </c>
    </row>
    <row r="33994" ht="15.75" customHeight="1" spans="1:2">
      <c r="A33994" s="3" t="str">
        <f>IFERROR(__xludf.DUMMYFUNCTION("GOOGLETRANSLATE(A33994,""en"",""pt"")"),"acessórios limitados neste momento e sem tampa preta!")</f>
        <v>acessórios limitados neste momento e sem tampa preta!</v>
      </c>
      <c r="B33994" s="3">
        <v>0</v>
      </c>
    </row>
    <row r="33995" ht="15.75" customHeight="1" spans="1:2">
      <c r="A33995" s="3" t="str">
        <f>IFERROR(__xludf.DUMMYFUNCTION("GOOGLETRANSLATE(A33995,""en"",""pt"")"),"ecoando ocasional")</f>
        <v>ecoando ocasional</v>
      </c>
      <c r="B33995" s="3">
        <v>0</v>
      </c>
    </row>
    <row r="33996" ht="15.75" customHeight="1" spans="1:2">
      <c r="A33996" s="3" t="str">
        <f>IFERROR(__xludf.DUMMYFUNCTION("GOOGLETRANSLATE(A33996,""en"",""pt"")"),"deve ter reais botões Discussão / final em vez da ""tecla"", difícil de mudar as pilhas")</f>
        <v>deve ter reais botões Discussão / final em vez da "tecla", difícil de mudar as pilhas</v>
      </c>
      <c r="B33996" s="3">
        <v>0</v>
      </c>
    </row>
    <row r="33997" ht="15.75" customHeight="1" spans="1:2">
      <c r="A33997" s="3" t="str">
        <f>IFERROR(__xludf.DUMMYFUNCTION("GOOGLETRANSLATE(A33997,""en"",""pt"")"),"curta duração da bateria")</f>
        <v>curta duração da bateria</v>
      </c>
      <c r="B33997" s="3">
        <v>0</v>
      </c>
    </row>
    <row r="33998" ht="15.75" customHeight="1" spans="1:2">
      <c r="A33998" s="3" t="str">
        <f>IFERROR(__xludf.DUMMYFUNCTION("GOOGLETRANSLATE(A33998,""en"",""pt"")"),"recepção não confiável, tamanho grande para tal um telefone simples")</f>
        <v>recepção não confiável, tamanho grande para tal um telefone simples</v>
      </c>
      <c r="B33998" s="3">
        <v>0</v>
      </c>
    </row>
    <row r="33999" ht="15.75" customHeight="1" spans="1:2">
      <c r="A33999" s="3" t="str">
        <f>IFERROR(__xludf.DUMMYFUNCTION("GOOGLETRANSLATE(A33999,""en"",""pt"")"),"No ecrã a cores, pequeno tamanho da tela, um pouco pesado pouco e volumosos.")</f>
        <v>No ecrã a cores, pequeno tamanho da tela, um pouco pesado pouco e volumosos.</v>
      </c>
      <c r="B33999" s="3">
        <v>0</v>
      </c>
    </row>
    <row r="34000" ht="15.75" customHeight="1" spans="1:2">
      <c r="A34000" s="3" t="str">
        <f>IFERROR(__xludf.DUMMYFUNCTION("GOOGLETRANSLATE(A34000,""en"",""pt"")"),"Não que confiável")</f>
        <v>Não que confiável</v>
      </c>
      <c r="B34000" s="3">
        <v>0</v>
      </c>
    </row>
    <row r="34001" ht="15.75" customHeight="1" spans="1:2">
      <c r="A34001" s="3" t="str">
        <f>IFERROR(__xludf.DUMMYFUNCTION("GOOGLETRANSLATE(A34001,""en"",""pt"")"),"Sem indicação de chamada atual quanto tempo durou, sem capacidade PC sync.")</f>
        <v>Sem indicação de chamada atual quanto tempo durou, sem capacidade PC sync.</v>
      </c>
      <c r="B34001" s="3">
        <v>0</v>
      </c>
    </row>
    <row r="34002" ht="15.75" customHeight="1" spans="1:2">
      <c r="A34002" s="3" t="str">
        <f>IFERROR(__xludf.DUMMYFUNCTION("GOOGLETRANSLATE(A34002,""en"",""pt"")"),"N / D")</f>
        <v>N / D</v>
      </c>
      <c r="B34002" s="3">
        <v>0</v>
      </c>
    </row>
    <row r="34003" ht="15.75" customHeight="1" spans="1:2">
      <c r="A34003" s="3" t="str">
        <f>IFERROR(__xludf.DUMMYFUNCTION("GOOGLETRANSLATE(A34003,""en"",""pt"")"),"Um pouco caixa e botões frágil, antena interna não pagar em áreas de baixa recepção")</f>
        <v>Um pouco caixa e botões frágil, antena interna não pagar em áreas de baixa recepção</v>
      </c>
      <c r="B34003" s="3">
        <v>0</v>
      </c>
    </row>
    <row r="34004" ht="15.75" customHeight="1" spans="1:2">
      <c r="A34004" s="3" t="str">
        <f>IFERROR(__xludf.DUMMYFUNCTION("GOOGLETRANSLATE(A34004,""en"",""pt"")"),"O telefone não pode editar números de telefone em linha reta de rolagem para baixo na lista telefónica.")</f>
        <v>O telefone não pode editar números de telefone em linha reta de rolagem para baixo na lista telefónica.</v>
      </c>
      <c r="B34004" s="3">
        <v>0</v>
      </c>
    </row>
    <row r="34005" ht="15.75" customHeight="1" spans="1:2">
      <c r="A34005" s="3" t="str">
        <f>IFERROR(__xludf.DUMMYFUNCTION("GOOGLETRANSLATE(A34005,""en"",""pt"")"),"difícil de anéis de download")</f>
        <v>difícil de anéis de download</v>
      </c>
      <c r="B34005" s="3">
        <v>0</v>
      </c>
    </row>
    <row r="34006" ht="15.75" customHeight="1" spans="1:2">
      <c r="A34006" s="3" t="str">
        <f>IFERROR(__xludf.DUMMYFUNCTION("GOOGLETRANSLATE(A34006,""en"",""pt"")"),"Pobre Vida útil da bateria, difícil de mudança faceplate, Alerta alto de vibração!")</f>
        <v>Pobre Vida útil da bateria, difícil de mudança faceplate, Alerta alto de vibração!</v>
      </c>
      <c r="B34006" s="3">
        <v>0</v>
      </c>
    </row>
    <row r="34007" ht="15.75" customHeight="1" spans="1:2">
      <c r="A34007" s="3" t="str">
        <f>IFERROR(__xludf.DUMMYFUNCTION("GOOGLETRANSLATE(A34007,""en"",""pt"")"),"discagem por voz tem problemas, má recepção em edifícios, leva um tempo para iniciar")</f>
        <v>discagem por voz tem problemas, má recepção em edifícios, leva um tempo para iniciar</v>
      </c>
      <c r="B34007" s="3">
        <v>0</v>
      </c>
    </row>
    <row r="34008" ht="15.75" customHeight="1" spans="1:2">
      <c r="A34008" s="3" t="str">
        <f>IFERROR(__xludf.DUMMYFUNCTION("GOOGLETRANSLATE(A34008,""en"",""pt"")"),"Não muito alto, nem sempre tão claro como outros telefones.")</f>
        <v>Não muito alto, nem sempre tão claro como outros telefones.</v>
      </c>
      <c r="B34008" s="3">
        <v>0</v>
      </c>
    </row>
    <row r="34009" ht="15.75" customHeight="1" spans="1:2">
      <c r="A34009" s="3" t="str">
        <f>IFERROR(__xludf.DUMMYFUNCTION("GOOGLETRANSLATE(A34009,""en"",""pt"")"),"Sem IRDA prort, cabo Programa não incluído.")</f>
        <v>Sem IRDA prort, cabo Programa não incluído.</v>
      </c>
      <c r="B34009" s="3">
        <v>0</v>
      </c>
    </row>
    <row r="34010" ht="15.75" customHeight="1" spans="1:2">
      <c r="A34010" s="3" t="str">
        <f>IFERROR(__xludf.DUMMYFUNCTION("GOOGLETRANSLATE(A34010,""en"",""pt"")"),"boa aparência, amplamente conectado e fácil de usar")</f>
        <v>boa aparência, amplamente conectado e fácil de usar</v>
      </c>
      <c r="B34010" s="3">
        <v>0</v>
      </c>
    </row>
    <row r="34011" ht="15.75" customHeight="1" spans="1:2">
      <c r="A34011" s="3" t="str">
        <f>IFERROR(__xludf.DUMMYFUNCTION("GOOGLETRANSLATE(A34011,""en"",""pt"")"),"Sem conectividade de computador, problemas de botão Possíveis, não analógico")</f>
        <v>Sem conectividade de computador, problemas de botão Possíveis, não analógico</v>
      </c>
      <c r="B34011" s="3">
        <v>0</v>
      </c>
    </row>
    <row r="34012" ht="15.75" customHeight="1" spans="1:2">
      <c r="A34012" s="3" t="str">
        <f>IFERROR(__xludf.DUMMYFUNCTION("GOOGLETRANSLATE(A34012,""en"",""pt"")"),"Nenhum")</f>
        <v>Nenhum</v>
      </c>
      <c r="B34012" s="3">
        <v>0</v>
      </c>
    </row>
    <row r="34013" ht="15.75" customHeight="1" spans="1:2">
      <c r="A34013" s="3" t="str">
        <f>IFERROR(__xludf.DUMMYFUNCTION("GOOGLETRANSLATE(A34013,""en"",""pt"")"),"livro de endereços, menus, backlighting")</f>
        <v>livro de endereços, menus, backlighting</v>
      </c>
      <c r="B34013" s="3">
        <v>0</v>
      </c>
    </row>
    <row r="34014" ht="15.75" customHeight="1" spans="1:2">
      <c r="A34014" s="3" t="str">
        <f>IFERROR(__xludf.DUMMYFUNCTION("GOOGLETRANSLATE(A34014,""en"",""pt"")"),"a recepção em edifícios")</f>
        <v>a recepção em edifícios</v>
      </c>
      <c r="B34014" s="3">
        <v>0</v>
      </c>
    </row>
    <row r="34015" ht="15.75" customHeight="1" spans="1:2">
      <c r="A34015" s="3" t="str">
        <f>IFERROR(__xludf.DUMMYFUNCTION("GOOGLETRANSLATE(A34015,""en"",""pt"")"),"rostos caros e que é sobre ele.")</f>
        <v>rostos caros e que é sobre ele.</v>
      </c>
      <c r="B34015" s="3">
        <v>0</v>
      </c>
    </row>
    <row r="34016" ht="15.75" customHeight="1" spans="1:2">
      <c r="A34016" s="3" t="str">
        <f>IFERROR(__xludf.DUMMYFUNCTION("GOOGLETRANSLATE(A34016,""en"",""pt"")"),"A vida da bateria não é tão bom")</f>
        <v>A vida da bateria não é tão bom</v>
      </c>
      <c r="B34016" s="3">
        <v>0</v>
      </c>
    </row>
    <row r="34017" ht="15.75" customHeight="1" spans="1:2">
      <c r="A34017" s="3" t="str">
        <f>IFERROR(__xludf.DUMMYFUNCTION("GOOGLETRANSLATE(A34017,""en"",""pt"")"),"vida útil da bateria no telefone, só pode armazenar 10 pessoas na discagem rápida")</f>
        <v>vida útil da bateria no telefone, só pode armazenar 10 pessoas na discagem rápida</v>
      </c>
      <c r="B34017" s="3">
        <v>0</v>
      </c>
    </row>
    <row r="34018" ht="15.75" customHeight="1" spans="1:2">
      <c r="A34018" s="3" t="str">
        <f>IFERROR(__xludf.DUMMYFUNCTION("GOOGLETRANSLATE(A34018,""en"",""pt"")"),"Nenhum ainda!")</f>
        <v>Nenhum ainda!</v>
      </c>
      <c r="B34018" s="3">
        <v>0</v>
      </c>
    </row>
    <row r="34019" ht="15.75" customHeight="1" spans="1:2">
      <c r="A34019" s="3" t="str">
        <f>IFERROR(__xludf.DUMMYFUNCTION("GOOGLETRANSLATE(A34019,""en"",""pt"")"),"um pouco difícil de ver letras em chaves, é isso! grande problema ehh?")</f>
        <v>um pouco difícil de ver letras em chaves, é isso! grande problema ehh?</v>
      </c>
      <c r="B34019" s="3">
        <v>0</v>
      </c>
    </row>
    <row r="34020" ht="15.75" customHeight="1" spans="1:2">
      <c r="A34020" s="3" t="str">
        <f>IFERROR(__xludf.DUMMYFUNCTION("GOOGLETRANSLATE(A34020,""en"",""pt"")"),"a vida da bateria um pouco curto")</f>
        <v>a vida da bateria um pouco curto</v>
      </c>
      <c r="B34020" s="3">
        <v>0</v>
      </c>
    </row>
    <row r="34021" ht="15.75" customHeight="1" spans="1:2">
      <c r="A34021" s="3" t="str">
        <f>IFERROR(__xludf.DUMMYFUNCTION("GOOGLETRANSLATE(A34021,""en"",""pt"")"),"Nenhum")</f>
        <v>Nenhum</v>
      </c>
      <c r="B34021" s="3">
        <v>0</v>
      </c>
    </row>
    <row r="34022" ht="15.75" customHeight="1" spans="1:2">
      <c r="A34022" s="3" t="str">
        <f>IFERROR(__xludf.DUMMYFUNCTION("GOOGLETRANSLATE(A34022,""en"",""pt"")"),"Não como pequenas como alguns")</f>
        <v>Não como pequenas como alguns</v>
      </c>
      <c r="B34022" s="3">
        <v>0</v>
      </c>
    </row>
    <row r="34023" ht="15.75" customHeight="1" spans="1:2">
      <c r="A34023" s="3" t="str">
        <f>IFERROR(__xludf.DUMMYFUNCTION("GOOGLETRANSLATE(A34023,""en"",""pt"")"),"O problema com o 3390 é, por vezes, não é estática que interrompe a conversa.")</f>
        <v>O problema com o 3390 é, por vezes, não é estática que interrompe a conversa.</v>
      </c>
      <c r="B34023" s="3">
        <v>0</v>
      </c>
    </row>
    <row r="34024" ht="15.75" customHeight="1" spans="1:2">
      <c r="A34024" s="3" t="str">
        <f>IFERROR(__xludf.DUMMYFUNCTION("GOOGLETRANSLATE(A34024,""en"",""pt"")"),"Desejo as placas de cara eram mais baratos, ea duração da bateria melhor.")</f>
        <v>Desejo as placas de cara eram mais baratos, ea duração da bateria melhor.</v>
      </c>
      <c r="B34024" s="3">
        <v>0</v>
      </c>
    </row>
    <row r="34025" ht="15.75" customHeight="1" spans="1:2">
      <c r="A34025" s="3" t="str">
        <f>IFERROR(__xludf.DUMMYFUNCTION("GOOGLETRANSLATE(A34025,""en"",""pt"")"),"Terríveis mãos livres - design do modelo falha")</f>
        <v>Terríveis mãos livres - design do modelo falha</v>
      </c>
      <c r="B34025" s="3">
        <v>0</v>
      </c>
    </row>
    <row r="34026" ht="15.75" customHeight="1" spans="1:2">
      <c r="A34026" s="3" t="str">
        <f>IFERROR(__xludf.DUMMYFUNCTION("GOOGLETRANSLATE(A34026,""en"",""pt"")"),"O 3390 Aren &amp; # 146; t tão elegante ou tão eficientes como o passo-up 8290")</f>
        <v>O 3390 Aren &amp; # 146; t tão elegante ou tão eficientes como o passo-up 8290</v>
      </c>
      <c r="B34026" s="3">
        <v>0</v>
      </c>
    </row>
    <row r="34027" ht="15.75" customHeight="1" spans="1:2">
      <c r="A34027" s="3" t="str">
        <f>IFERROR(__xludf.DUMMYFUNCTION("GOOGLETRANSLATE(A34027,""en"",""pt"")"),"difícil de cobertura mudança")</f>
        <v>difícil de cobertura mudança</v>
      </c>
      <c r="B34027" s="3">
        <v>0</v>
      </c>
    </row>
    <row r="34028" ht="15.75" customHeight="1" spans="1:2">
      <c r="A34028" s="3" t="str">
        <f>IFERROR(__xludf.DUMMYFUNCTION("GOOGLETRANSLATE(A34028,""en"",""pt"")"),"vida útil da bateria, facilidade de uso")</f>
        <v>vida útil da bateria, facilidade de uso</v>
      </c>
      <c r="B34028" s="3">
        <v>0</v>
      </c>
    </row>
    <row r="34029" ht="15.75" customHeight="1" spans="1:2">
      <c r="A34029" s="3" t="str">
        <f>IFERROR(__xludf.DUMMYFUNCTION("GOOGLETRANSLATE(A34029,""en"",""pt"")"),"Quebra facilmente (atente para isso), sem acesso à web")</f>
        <v>Quebra facilmente (atente para isso), sem acesso à web</v>
      </c>
      <c r="B34029" s="3">
        <v>0</v>
      </c>
    </row>
    <row r="34030" ht="15.75" customHeight="1" spans="1:2">
      <c r="A34030" s="3" t="str">
        <f>IFERROR(__xludf.DUMMYFUNCTION("GOOGLETRANSLATE(A34030,""en"",""pt"")"),"menores botões")</f>
        <v>menores botões</v>
      </c>
      <c r="B34030" s="3">
        <v>0</v>
      </c>
    </row>
    <row r="34031" ht="15.75" customHeight="1" spans="1:2">
      <c r="A34031" s="3" t="str">
        <f>IFERROR(__xludf.DUMMYFUNCTION("GOOGLETRANSLATE(A34031,""en"",""pt"")"),"Principalmente o tamanho é um pouco bulky- no entanto muito melhor do que dimensiona o Nokia mais velho.")</f>
        <v>Principalmente o tamanho é um pouco bulky- no entanto muito melhor do que dimensiona o Nokia mais velho.</v>
      </c>
      <c r="B34031" s="3">
        <v>0</v>
      </c>
    </row>
    <row r="34032" ht="15.75" customHeight="1" spans="1:2">
      <c r="A34032" s="3" t="str">
        <f>IFERROR(__xludf.DUMMYFUNCTION("GOOGLETRANSLATE(A34032,""en"",""pt"")"),"Sem Apenas vibrar Mode, Má recepção")</f>
        <v>Sem Apenas vibrar Mode, Má recepção</v>
      </c>
      <c r="B34032" s="3">
        <v>0</v>
      </c>
    </row>
    <row r="34033" ht="15.75" customHeight="1" spans="1:2">
      <c r="A34033" s="3" t="str">
        <f>IFERROR(__xludf.DUMMYFUNCTION("GOOGLETRANSLATE(A34033,""en"",""pt"")"),"Ele não tem uma tela colorida.")</f>
        <v>Ele não tem uma tela colorida.</v>
      </c>
      <c r="B34033" s="3">
        <v>0</v>
      </c>
    </row>
    <row r="34034" ht="15.75" customHeight="1" spans="1:2">
      <c r="A34034" s="3" t="str">
        <f>IFERROR(__xludf.DUMMYFUNCTION("GOOGLETRANSLATE(A34034,""en"",""pt"")"),"algumas opções de cores")</f>
        <v>algumas opções de cores</v>
      </c>
      <c r="B34034" s="3">
        <v>0</v>
      </c>
    </row>
    <row r="34035" ht="15.75" customHeight="1" spans="1:2">
      <c r="A34035" s="3" t="str">
        <f>IFERROR(__xludf.DUMMYFUNCTION("GOOGLETRANSLATE(A34035,""en"",""pt"")"),"A vida da bateria não é bom, não há suporte web wireless, cobertura é difícil de mudar")</f>
        <v>A vida da bateria não é bom, não há suporte web wireless, cobertura é difícil de mudar</v>
      </c>
      <c r="B34035" s="3">
        <v>0</v>
      </c>
    </row>
    <row r="34036" ht="15.75" customHeight="1" spans="1:2">
      <c r="A34036" s="3" t="str">
        <f>IFERROR(__xludf.DUMMYFUNCTION("GOOGLETRANSLATE(A34036,""en"",""pt"")"),"recepção não é muito bom, a vida de bateria fraca")</f>
        <v>recepção não é muito bom, a vida de bateria fraca</v>
      </c>
      <c r="B34036" s="3">
        <v>0</v>
      </c>
    </row>
    <row r="34037" ht="15.75" customHeight="1" spans="1:2">
      <c r="A34037" s="3" t="str">
        <f>IFERROR(__xludf.DUMMYFUNCTION("GOOGLETRANSLATE(A34037,""en"",""pt"")"),"Muito caro, quebrou depois de um ano, não poderia começar email ao trabalho")</f>
        <v>Muito caro, quebrou depois de um ano, não poderia começar email ao trabalho</v>
      </c>
      <c r="B34037" s="3">
        <v>0</v>
      </c>
    </row>
    <row r="34038" ht="15.75" customHeight="1" spans="1:2">
      <c r="A34038" s="3" t="str">
        <f>IFERROR(__xludf.DUMMYFUNCTION("GOOGLETRANSLATE(A34038,""en"",""pt"")"),"Mais pesado e menos bateria maior e que a série 8000")</f>
        <v>Mais pesado e menos bateria maior e que a série 8000</v>
      </c>
      <c r="B34038" s="3">
        <v>0</v>
      </c>
    </row>
    <row r="34039" ht="15.75" customHeight="1" spans="1:2">
      <c r="A34039" s="3" t="str">
        <f>IFERROR(__xludf.DUMMYFUNCTION("GOOGLETRANSLATE(A34039,""en"",""pt"")"),"não muitos recursos, melhor se tivesse mais um par de jogos")</f>
        <v>não muitos recursos, melhor se tivesse mais um par de jogos</v>
      </c>
      <c r="B34039" s="3">
        <v>0</v>
      </c>
    </row>
    <row r="34040" ht="15.75" customHeight="1" spans="1:2">
      <c r="A34040" s="3" t="str">
        <f>IFERROR(__xludf.DUMMYFUNCTION("GOOGLETRANSLATE(A34040,""en"",""pt"")"),"Nenhum")</f>
        <v>Nenhum</v>
      </c>
      <c r="B34040" s="3">
        <v>0</v>
      </c>
    </row>
    <row r="34041" ht="15.75" customHeight="1" spans="1:2">
      <c r="A34041" s="3" t="str">
        <f>IFERROR(__xludf.DUMMYFUNCTION("GOOGLETRANSLATE(A34041,""en"",""pt"")"),"Às vezes os botões ""pau""")</f>
        <v>Às vezes os botões "pau"</v>
      </c>
      <c r="B34041" s="3">
        <v>0</v>
      </c>
    </row>
    <row r="34042" ht="15.75" customHeight="1" spans="1:2">
      <c r="A34042" s="3" t="str">
        <f>IFERROR(__xludf.DUMMYFUNCTION("GOOGLETRANSLATE(A34042,""en"",""pt"")"),"Muitas pessoas têm-los")</f>
        <v>Muitas pessoas têm-los</v>
      </c>
      <c r="B34042" s="3">
        <v>0</v>
      </c>
    </row>
    <row r="34043" ht="15.75" customHeight="1" spans="1:2">
      <c r="A34043" s="3" t="str">
        <f>IFERROR(__xludf.DUMMYFUNCTION("GOOGLETRANSLATE(A34043,""en"",""pt"")"),"Ocasionais ""travamentos"" forças que você remova a bateria de ""reboot"", cobrir difícil de remover.")</f>
        <v>Ocasionais "travamentos" forças que você remova a bateria de "reboot", cobrir difícil de remover.</v>
      </c>
      <c r="B34043" s="3">
        <v>0</v>
      </c>
    </row>
    <row r="34044" ht="15.75" customHeight="1" spans="1:2">
      <c r="A34044" s="3" t="str">
        <f>IFERROR(__xludf.DUMMYFUNCTION("GOOGLETRANSLATE(A34044,""en"",""pt"")"),"Nada, excepto sem internet.")</f>
        <v>Nada, excepto sem internet.</v>
      </c>
      <c r="B34044" s="3">
        <v>0</v>
      </c>
    </row>
    <row r="34045" ht="15.75" customHeight="1" spans="1:2">
      <c r="A34045" s="3" t="str">
        <f>IFERROR(__xludf.DUMMYFUNCTION("GOOGLETRANSLATE(A34045,""en"",""pt"")"),"curta duração da bateria.")</f>
        <v>curta duração da bateria.</v>
      </c>
      <c r="B34045" s="3">
        <v>0</v>
      </c>
    </row>
    <row r="34046" ht="15.75" customHeight="1" spans="1:2">
      <c r="A34046" s="3" t="str">
        <f>IFERROR(__xludf.DUMMYFUNCTION("GOOGLETRANSLATE(A34046,""en"",""pt"")"),"Os botões do teclado, por vezes, não funcionam quando você pressioná-los.")</f>
        <v>Os botões do teclado, por vezes, não funcionam quando você pressioná-los.</v>
      </c>
      <c r="B34046" s="3">
        <v>0</v>
      </c>
    </row>
    <row r="34047" ht="15.75" customHeight="1" spans="1:2">
      <c r="A34047" s="3" t="str">
        <f>IFERROR(__xludf.DUMMYFUNCTION("GOOGLETRANSLATE(A34047,""en"",""pt"")"),"Não consigo pensar em qualquer")</f>
        <v>Não consigo pensar em qualquer</v>
      </c>
      <c r="B34047" s="3">
        <v>0</v>
      </c>
    </row>
    <row r="34048" ht="15.75" customHeight="1" spans="1:2">
      <c r="A34048" s="3" t="str">
        <f>IFERROR(__xludf.DUMMYFUNCTION("GOOGLETRANSLATE(A34048,""en"",""pt"")"),"Não há suporte web, a vida curta da bateria")</f>
        <v>Não há suporte web, a vida curta da bateria</v>
      </c>
      <c r="B34048" s="3">
        <v>0</v>
      </c>
    </row>
    <row r="34049" ht="15.75" customHeight="1" spans="1:2">
      <c r="A34049" s="3" t="str">
        <f>IFERROR(__xludf.DUMMYFUNCTION("GOOGLETRANSLATE(A34049,""en"",""pt"")"),"Não é possível armazenar endereços de e-mail.")</f>
        <v>Não é possível armazenar endereços de e-mail.</v>
      </c>
      <c r="B34049" s="3">
        <v>0</v>
      </c>
    </row>
    <row r="34050" ht="15.75" customHeight="1" spans="1:2">
      <c r="A34050" s="3" t="str">
        <f>IFERROR(__xludf.DUMMYFUNCTION("GOOGLETRANSLATE(A34050,""en"",""pt"")"),"Sem antena que significa chamadas pouco claras")</f>
        <v>Sem antena que significa chamadas pouco claras</v>
      </c>
      <c r="B34050" s="3">
        <v>0</v>
      </c>
    </row>
    <row r="34051" ht="15.75" customHeight="1" spans="1:2">
      <c r="A34051" s="3" t="str">
        <f>IFERROR(__xludf.DUMMYFUNCTION("GOOGLETRANSLATE(A34051,""en"",""pt"")"),"se sente mais barato")</f>
        <v>se sente mais barato</v>
      </c>
      <c r="B34051" s="3">
        <v>0</v>
      </c>
    </row>
    <row r="34052" ht="15.75" customHeight="1" spans="1:2">
      <c r="A34052" s="3" t="str">
        <f>IFERROR(__xludf.DUMMYFUNCTION("GOOGLETRANSLATE(A34052,""en"",""pt"")"),"perdê-lo fácil")</f>
        <v>perdê-lo fácil</v>
      </c>
      <c r="B34052" s="3">
        <v>0</v>
      </c>
    </row>
    <row r="34053" ht="15.75" customHeight="1" spans="1:2">
      <c r="A34053" s="3" t="str">
        <f>IFERROR(__xludf.DUMMYFUNCTION("GOOGLETRANSLATE(A34053,""en"",""pt"")"),"faceplate cai quando caiu")</f>
        <v>faceplate cai quando caiu</v>
      </c>
      <c r="B34053" s="3">
        <v>0</v>
      </c>
    </row>
    <row r="34054" ht="15.75" customHeight="1" spans="1:2">
      <c r="A34054" s="3" t="str">
        <f>IFERROR(__xludf.DUMMYFUNCTION("GOOGLETRANSLATE(A34054,""en"",""pt"")"),"curta duração da bateria, jogos limitados, sem acesso on-line")</f>
        <v>curta duração da bateria, jogos limitados, sem acesso on-line</v>
      </c>
      <c r="B34054" s="3">
        <v>0</v>
      </c>
    </row>
    <row r="34055" ht="15.75" customHeight="1" spans="1:2">
      <c r="A34055" s="3" t="str">
        <f>IFERROR(__xludf.DUMMYFUNCTION("GOOGLETRANSLATE(A34055,""en"",""pt"")"),"Navegar no menu")</f>
        <v>Navegar no menu</v>
      </c>
      <c r="B34055" s="3">
        <v>0</v>
      </c>
    </row>
    <row r="34056" ht="15.75" customHeight="1" spans="1:2">
      <c r="A34056" s="3" t="str">
        <f>IFERROR(__xludf.DUMMYFUNCTION("GOOGLETRANSLATE(A34056,""en"",""pt"")"),"Os botões são muito difícil de empurrar &amp; # 13; &amp; # 10; Difícil de tripas de mudança")</f>
        <v>Os botões são muito difícil de empurrar &amp; # 13; &amp; # 10; Difícil de tripas de mudança</v>
      </c>
      <c r="B34056" s="3">
        <v>0</v>
      </c>
    </row>
    <row r="34057" ht="15.75" customHeight="1" spans="1:2">
      <c r="A34057" s="3" t="str">
        <f>IFERROR(__xludf.DUMMYFUNCTION("GOOGLETRANSLATE(A34057,""en"",""pt"")"),"Nenhum")</f>
        <v>Nenhum</v>
      </c>
      <c r="B34057" s="3">
        <v>0</v>
      </c>
    </row>
    <row r="34058" ht="15.75" customHeight="1" spans="1:2">
      <c r="A34058" s="3" t="str">
        <f>IFERROR(__xludf.DUMMYFUNCTION("GOOGLETRANSLATE(A34058,""en"",""pt"")"),"Baterias, muita manutenção.")</f>
        <v>Baterias, muita manutenção.</v>
      </c>
      <c r="B34058" s="3">
        <v>0</v>
      </c>
    </row>
    <row r="34059" ht="15.75" customHeight="1" spans="1:2">
      <c r="A34059" s="3" t="str">
        <f>IFERROR(__xludf.DUMMYFUNCTION("GOOGLETRANSLATE(A34059,""en"",""pt"")"),"nenhuma antena interna, pobres em sinal vezes")</f>
        <v>nenhuma antena interna, pobres em sinal vezes</v>
      </c>
      <c r="B34059" s="3">
        <v>0</v>
      </c>
    </row>
    <row r="34060" ht="15.75" customHeight="1" spans="1:2">
      <c r="A34060" s="3" t="str">
        <f>IFERROR(__xludf.DUMMYFUNCTION("GOOGLETRANSLATE(A34060,""en"",""pt"")"),"NENHUM !!!!!!!")</f>
        <v>NENHUM !!!!!!!</v>
      </c>
      <c r="B34060" s="3">
        <v>0</v>
      </c>
    </row>
    <row r="34061" ht="15.75" customHeight="1" spans="1:2">
      <c r="A34061" s="3" t="str">
        <f>IFERROR(__xludf.DUMMYFUNCTION("GOOGLETRANSLATE(A34061,""en"",""pt"")"),"Nada. A menos que você quer um celular macio bonito flip.")</f>
        <v>Nada. A menos que você quer um celular macio bonito flip.</v>
      </c>
      <c r="B34061" s="3">
        <v>0</v>
      </c>
    </row>
    <row r="34062" ht="15.75" customHeight="1" spans="1:2">
      <c r="A34062" s="3" t="str">
        <f>IFERROR(__xludf.DUMMYFUNCTION("GOOGLETRANSLATE(A34062,""en"",""pt"")"),"nenhum eu posso pensar")</f>
        <v>nenhum eu posso pensar</v>
      </c>
      <c r="B34062" s="3">
        <v>0</v>
      </c>
    </row>
    <row r="34063" ht="15.75" customHeight="1" spans="1:2">
      <c r="A34063" s="3" t="str">
        <f>IFERROR(__xludf.DUMMYFUNCTION("GOOGLETRANSLATE(A34063,""en"",""pt"")"),"Não tem qualquer.")</f>
        <v>Não tem qualquer.</v>
      </c>
      <c r="B34063" s="3">
        <v>0</v>
      </c>
    </row>
    <row r="34064" ht="15.75" customHeight="1" spans="1:2">
      <c r="A34064" s="3" t="str">
        <f>IFERROR(__xludf.DUMMYFUNCTION("GOOGLETRANSLATE(A34064,""en"",""pt"")"),"BATERIA A vida poderia ser um pouco melhor")</f>
        <v>BATERIA A vida poderia ser um pouco melhor</v>
      </c>
      <c r="B34064" s="3">
        <v>0</v>
      </c>
    </row>
    <row r="34065" ht="15.75" customHeight="1" spans="1:2">
      <c r="A34065" s="3" t="str">
        <f>IFERROR(__xludf.DUMMYFUNCTION("GOOGLETRANSLATE(A34065,""en"",""pt"")"),"oferta rebate")</f>
        <v>oferta rebate</v>
      </c>
      <c r="B34065" s="3">
        <v>0</v>
      </c>
    </row>
    <row r="34066" ht="15.75" customHeight="1" spans="1:2">
      <c r="A34066" s="3" t="str">
        <f>IFERROR(__xludf.DUMMYFUNCTION("GOOGLETRANSLATE(A34066,""en"",""pt"")"),"tela preta e branca")</f>
        <v>tela preta e branca</v>
      </c>
      <c r="B34066" s="3">
        <v>0</v>
      </c>
    </row>
    <row r="34067" ht="15.75" customHeight="1" spans="1:2">
      <c r="A34067" s="3" t="str">
        <f>IFERROR(__xludf.DUMMYFUNCTION("GOOGLETRANSLATE(A34067,""en"",""pt"")"),"algumas semelhanças com o Nokia 5190")</f>
        <v>algumas semelhanças com o Nokia 5190</v>
      </c>
      <c r="B34067" s="3">
        <v>0</v>
      </c>
    </row>
    <row r="34068" ht="15.75" customHeight="1" spans="1:2">
      <c r="A34068" s="3" t="str">
        <f>IFERROR(__xludf.DUMMYFUNCTION("GOOGLETRANSLATE(A34068,""en"",""pt"")"),"Nenhum, é um telefone unexpensive excelente.")</f>
        <v>Nenhum, é um telefone unexpensive excelente.</v>
      </c>
      <c r="B34068" s="3">
        <v>0</v>
      </c>
    </row>
    <row r="34069" ht="15.75" customHeight="1" spans="1:2">
      <c r="A34069" s="3" t="str">
        <f>IFERROR(__xludf.DUMMYFUNCTION("GOOGLETRANSLATE(A34069,""en"",""pt"")"),"avarias de tela, recepção irregular, funções de relógio mal e desaparece.")</f>
        <v>avarias de tela, recepção irregular, funções de relógio mal e desaparece.</v>
      </c>
      <c r="B34069" s="3">
        <v>0</v>
      </c>
    </row>
    <row r="34070" ht="15.75" customHeight="1" spans="1:2">
      <c r="A34070" s="3" t="str">
        <f>IFERROR(__xludf.DUMMYFUNCTION("GOOGLETRANSLATE(A34070,""en"",""pt"")"),"Nenhum")</f>
        <v>Nenhum</v>
      </c>
      <c r="B34070" s="3">
        <v>0</v>
      </c>
    </row>
    <row r="34071" ht="15.75" customHeight="1" spans="1:2">
      <c r="A34071" s="3" t="str">
        <f>IFERROR(__xludf.DUMMYFUNCTION("GOOGLETRANSLATE(A34071,""en"",""pt"")"),"Os 5100 faceplates série não se encaixam no 5165 sem comprar novos teclados.")</f>
        <v>Os 5100 faceplates série não se encaixam no 5165 sem comprar novos teclados.</v>
      </c>
      <c r="B34071" s="3">
        <v>0</v>
      </c>
    </row>
    <row r="34072" ht="15.75" customHeight="1" spans="1:2">
      <c r="A34072" s="3" t="str">
        <f>IFERROR(__xludf.DUMMYFUNCTION("GOOGLETRANSLATE(A34072,""en"",""pt"")"),"É velho.")</f>
        <v>É velho.</v>
      </c>
      <c r="B34072" s="3">
        <v>0</v>
      </c>
    </row>
    <row r="34073" ht="15.75" customHeight="1" spans="1:2">
      <c r="A34073" s="3" t="str">
        <f>IFERROR(__xludf.DUMMYFUNCTION("GOOGLETRANSLATE(A34073,""en"",""pt"")"),"Não é tão fácil de usar como alguns outros telefones, o corte de custos evidentes")</f>
        <v>Não é tão fácil de usar como alguns outros telefones, o corte de custos evidentes</v>
      </c>
      <c r="B34073" s="3">
        <v>0</v>
      </c>
    </row>
    <row r="34074" ht="15.75" customHeight="1" spans="1:2">
      <c r="A34074" s="3" t="str">
        <f>IFERROR(__xludf.DUMMYFUNCTION("GOOGLETRANSLATE(A34074,""en"",""pt"")"),"Números e texto muito pequeno, difícil de ver a tela à luz do dia, botões menores")</f>
        <v>Números e texto muito pequeno, difícil de ver a tela à luz do dia, botões menores</v>
      </c>
      <c r="B34074" s="3">
        <v>0</v>
      </c>
    </row>
    <row r="34075" ht="15.75" customHeight="1" spans="1:2">
      <c r="A34075" s="3" t="str">
        <f>IFERROR(__xludf.DUMMYFUNCTION("GOOGLETRANSLATE(A34075,""en"",""pt"")"),"não é o menor celular lá fora, bateria padrão tem vida curta")</f>
        <v>não é o menor celular lá fora, bateria padrão tem vida curta</v>
      </c>
      <c r="B34075" s="3">
        <v>0</v>
      </c>
    </row>
    <row r="34076" ht="15.75" customHeight="1" spans="1:2">
      <c r="A34076" s="3" t="str">
        <f>IFERROR(__xludf.DUMMYFUNCTION("GOOGLETRANSLATE(A34076,""en"",""pt"")"),"Nossos velhos placas de cara do nosso última Nokia não se encaixam nosso novo.")</f>
        <v>Nossos velhos placas de cara do nosso última Nokia não se encaixam nosso novo.</v>
      </c>
      <c r="B34076" s="3">
        <v>0</v>
      </c>
    </row>
    <row r="34077" ht="15.75" customHeight="1" spans="1:2">
      <c r="A34077" s="3" t="str">
        <f>IFERROR(__xludf.DUMMYFUNCTION("GOOGLETRANSLATE(A34077,""en"",""pt"")"),"Um pouco mais pesado e mais volumoso do que os outros, não há tempo-sincronização ???")</f>
        <v>Um pouco mais pesado e mais volumoso do que os outros, não há tempo-sincronização ???</v>
      </c>
      <c r="B34077" s="3">
        <v>0</v>
      </c>
    </row>
    <row r="34078" ht="15.75" customHeight="1" spans="1:2">
      <c r="A34078" s="3" t="str">
        <f>IFERROR(__xludf.DUMMYFUNCTION("GOOGLETRANSLATE(A34078,""en"",""pt"")"),"Nenhuma no momento")</f>
        <v>Nenhuma no momento</v>
      </c>
      <c r="B34078" s="3">
        <v>0</v>
      </c>
    </row>
    <row r="34079" ht="15.75" customHeight="1" spans="1:2">
      <c r="A34079" s="3" t="str">
        <f>IFERROR(__xludf.DUMMYFUNCTION("GOOGLETRANSLATE(A34079,""en"",""pt"")"),"Nada até agora")</f>
        <v>Nada até agora</v>
      </c>
      <c r="B34079" s="3">
        <v>0</v>
      </c>
    </row>
    <row r="34080" ht="15.75" customHeight="1" spans="1:2">
      <c r="A34080" s="3" t="str">
        <f>IFERROR(__xludf.DUMMYFUNCTION("GOOGLETRANSLATE(A34080,""en"",""pt"")"),"Teclado um pouco pequeno, parece complicado à primeira utilização.")</f>
        <v>Teclado um pouco pequeno, parece complicado à primeira utilização.</v>
      </c>
      <c r="B34080" s="3">
        <v>0</v>
      </c>
    </row>
    <row r="34081" ht="15.75" customHeight="1" spans="1:2">
      <c r="A34081" s="3" t="str">
        <f>IFERROR(__xludf.DUMMYFUNCTION("GOOGLETRANSLATE(A34081,""en"",""pt"")"),"Sem acesso sem fio-web")</f>
        <v>Sem acesso sem fio-web</v>
      </c>
      <c r="B34081" s="3">
        <v>0</v>
      </c>
    </row>
    <row r="34082" ht="15.75" customHeight="1" spans="1:2">
      <c r="A34082" s="3" t="str">
        <f>IFERROR(__xludf.DUMMYFUNCTION("GOOGLETRANSLATE(A34082,""en"",""pt"")"),"Preço de acessórios")</f>
        <v>Preço de acessórios</v>
      </c>
      <c r="B34082" s="3">
        <v>0</v>
      </c>
    </row>
    <row r="34083" ht="15.75" customHeight="1" spans="1:2">
      <c r="A34083" s="3" t="str">
        <f>IFERROR(__xludf.DUMMYFUNCTION("GOOGLETRANSLATE(A34083,""en"",""pt"")"),"Um pouco maior do que alguns telefones celulares mais-recentes, há recursos de Internet")</f>
        <v>Um pouco maior do que alguns telefones celulares mais-recentes, há recursos de Internet</v>
      </c>
      <c r="B34083" s="3">
        <v>0</v>
      </c>
    </row>
    <row r="34084" ht="15.75" customHeight="1" spans="1:2">
      <c r="A34084" s="3" t="str">
        <f>IFERROR(__xludf.DUMMYFUNCTION("GOOGLETRANSLATE(A34084,""en"",""pt"")"),"design de capa de couro e pobres das mãos de fixação ouvido livre")</f>
        <v>design de capa de couro e pobres das mãos de fixação ouvido livre</v>
      </c>
      <c r="B34084" s="3">
        <v>0</v>
      </c>
    </row>
    <row r="34085" ht="15.75" customHeight="1" spans="1:2">
      <c r="A34085" s="3" t="str">
        <f>IFERROR(__xludf.DUMMYFUNCTION("GOOGLETRANSLATE(A34085,""en"",""pt"")"),"Volumosos e um pouco pesado")</f>
        <v>Volumosos e um pouco pesado</v>
      </c>
      <c r="B34085" s="3">
        <v>0</v>
      </c>
    </row>
    <row r="34086" ht="15.75" customHeight="1" spans="1:2">
      <c r="A34086" s="3" t="str">
        <f>IFERROR(__xludf.DUMMYFUNCTION("GOOGLETRANSLATE(A34086,""en"",""pt"")"),"Sem vibração interna e jogos datados")</f>
        <v>Sem vibração interna e jogos datados</v>
      </c>
      <c r="B34086" s="3">
        <v>0</v>
      </c>
    </row>
    <row r="34087" ht="15.75" customHeight="1" spans="1:2">
      <c r="A34087" s="3" t="str">
        <f>IFERROR(__xludf.DUMMYFUNCTION("GOOGLETRANSLATE(A34087,""en"",""pt"")"),"um pouco volumoso em comparação com novos telefones")</f>
        <v>um pouco volumoso em comparação com novos telefones</v>
      </c>
      <c r="B34087" s="3">
        <v>0</v>
      </c>
    </row>
    <row r="34088" ht="15.75" customHeight="1" spans="1:2">
      <c r="A34088" s="3" t="str">
        <f>IFERROR(__xludf.DUMMYFUNCTION("GOOGLETRANSLATE(A34088,""en"",""pt"")"),"Não é um con para todos, mas conectados através de Rogers AT &amp; T")</f>
        <v>Não é um con para todos, mas conectados através de Rogers AT &amp; T</v>
      </c>
      <c r="B34088" s="3">
        <v>0</v>
      </c>
    </row>
    <row r="34089" ht="15.75" customHeight="1" spans="1:2">
      <c r="A34089" s="3" t="str">
        <f>IFERROR(__xludf.DUMMYFUNCTION("GOOGLETRANSLATE(A34089,""en"",""pt"")"),"Carece de algumas opções, meio grande e pesado.")</f>
        <v>Carece de algumas opções, meio grande e pesado.</v>
      </c>
      <c r="B34089" s="3">
        <v>0</v>
      </c>
    </row>
    <row r="34090" ht="15.75" customHeight="1" spans="1:2">
      <c r="A34090" s="3" t="str">
        <f>IFERROR(__xludf.DUMMYFUNCTION("GOOGLETRANSLATE(A34090,""en"",""pt"")"),"bateria 'vibração', mãos-livres conjunto adidos necessidades vibração desajeitadamente")</f>
        <v>bateria 'vibração', mãos-livres conjunto adidos necessidades vibração desajeitadamente</v>
      </c>
      <c r="B34090" s="3">
        <v>0</v>
      </c>
    </row>
    <row r="34091" ht="15.75" customHeight="1" spans="1:2">
      <c r="A34091" s="3" t="str">
        <f>IFERROR(__xludf.DUMMYFUNCTION("GOOGLETRANSLATE(A34091,""en"",""pt"")"),"Há dois problemas comuns com a tela e bateria.")</f>
        <v>Há dois problemas comuns com a tela e bateria.</v>
      </c>
      <c r="B34091" s="3">
        <v>0</v>
      </c>
    </row>
    <row r="34092" ht="15.75" customHeight="1" spans="1:2">
      <c r="A34092" s="3" t="str">
        <f>IFERROR(__xludf.DUMMYFUNCTION("GOOGLETRANSLATE(A34092,""en"",""pt"")"),"Ninguém realmente sabe nada sobre isso.")</f>
        <v>Ninguém realmente sabe nada sobre isso.</v>
      </c>
      <c r="B34092" s="3">
        <v>0</v>
      </c>
    </row>
    <row r="34093" ht="15.75" customHeight="1" spans="1:2">
      <c r="A34093" s="3" t="str">
        <f>IFERROR(__xludf.DUMMYFUNCTION("GOOGLETRANSLATE(A34093,""en"",""pt"")"),"Recepção, características em SLIM, menu, indicador de bateria enganosa")</f>
        <v>Recepção, características em SLIM, menu, indicador de bateria enganosa</v>
      </c>
      <c r="B34093" s="3">
        <v>0</v>
      </c>
    </row>
    <row r="34094" ht="15.75" customHeight="1" spans="1:2">
      <c r="A34094" s="3" t="str">
        <f>IFERROR(__xludf.DUMMYFUNCTION("GOOGLETRANSLATE(A34094,""en"",""pt"")"),"Um pouco grande, vem apenas com NiMH, não Lithium Ion")</f>
        <v>Um pouco grande, vem apenas com NiMH, não Lithium Ion</v>
      </c>
      <c r="B34094" s="3">
        <v>0</v>
      </c>
    </row>
    <row r="34095" ht="15.75" customHeight="1" spans="1:2">
      <c r="A34095" s="3" t="str">
        <f>IFERROR(__xludf.DUMMYFUNCTION("GOOGLETRANSLATE(A34095,""en"",""pt"")"),"Pequenos botões!")</f>
        <v>Pequenos botões!</v>
      </c>
      <c r="B34095" s="3">
        <v>0</v>
      </c>
    </row>
    <row r="34096" ht="15.75" customHeight="1" spans="1:2">
      <c r="A34096" s="3" t="str">
        <f>IFERROR(__xludf.DUMMYFUNCTION("GOOGLETRANSLATE(A34096,""en"",""pt"")"),"Carece de algumas características importantes, Add-ons Adicione-se no preço")</f>
        <v>Carece de algumas características importantes, Add-ons Adicione-se no preço</v>
      </c>
      <c r="B34096" s="3">
        <v>0</v>
      </c>
    </row>
    <row r="34097" ht="15.75" customHeight="1" spans="1:2">
      <c r="A34097" s="3" t="str">
        <f>IFERROR(__xludf.DUMMYFUNCTION("GOOGLETRANSLATE(A34097,""en"",""pt"")"),"chaves pequenas")</f>
        <v>chaves pequenas</v>
      </c>
      <c r="B34097" s="3">
        <v>0</v>
      </c>
    </row>
    <row r="34098" ht="15.75" customHeight="1" spans="1:2">
      <c r="A34098" s="3" t="str">
        <f>IFERROR(__xludf.DUMMYFUNCTION("GOOGLETRANSLATE(A34098,""en"",""pt"")"),"A vida da bateria poderia ser melhor!")</f>
        <v>A vida da bateria poderia ser melhor!</v>
      </c>
      <c r="B34098" s="3">
        <v>0</v>
      </c>
    </row>
    <row r="34099" ht="15.75" customHeight="1" spans="1:2">
      <c r="A34099" s="3" t="str">
        <f>IFERROR(__xludf.DUMMYFUNCTION("GOOGLETRANSLATE(A34099,""en"",""pt"")"),"Recursos limitados")</f>
        <v>Recursos limitados</v>
      </c>
      <c r="B34099" s="3">
        <v>0</v>
      </c>
    </row>
    <row r="34100" ht="15.75" customHeight="1" spans="1:2">
      <c r="A34100" s="3" t="str">
        <f>IFERROR(__xludf.DUMMYFUNCTION("GOOGLETRANSLATE(A34100,""en"",""pt"")"),"Nenhum")</f>
        <v>Nenhum</v>
      </c>
      <c r="B34100" s="3">
        <v>0</v>
      </c>
    </row>
    <row r="34101" ht="15.75" customHeight="1" spans="1:2">
      <c r="A34101" s="3" t="str">
        <f>IFERROR(__xludf.DUMMYFUNCTION("GOOGLETRANSLATE(A34101,""en"",""pt"")"),"Níveis de radiação, menus de comprimento, 100 número de memória.")</f>
        <v>Níveis de radiação, menus de comprimento, 100 número de memória.</v>
      </c>
      <c r="B34101" s="3">
        <v>0</v>
      </c>
    </row>
    <row r="34102" ht="15.75" customHeight="1" spans="1:2">
      <c r="A34102" s="3" t="str">
        <f>IFERROR(__xludf.DUMMYFUNCTION("GOOGLETRANSLATE(A34102,""en"",""pt"")"),"placas de cara para este modelo são difíceis de encontrar.")</f>
        <v>placas de cara para este modelo são difíceis de encontrar.</v>
      </c>
      <c r="B34102" s="3">
        <v>0</v>
      </c>
    </row>
    <row r="34103" ht="15.75" customHeight="1" spans="1:2">
      <c r="A34103" s="3" t="str">
        <f>IFERROR(__xludf.DUMMYFUNCTION("GOOGLETRANSLATE(A34103,""en"",""pt"")"),"Um pouco volumoso para os padrões atuais; livro de telefone pequeno")</f>
        <v>Um pouco volumoso para os padrões atuais; livro de telefone pequeno</v>
      </c>
      <c r="B34103" s="3">
        <v>0</v>
      </c>
    </row>
    <row r="34104" ht="15.75" customHeight="1" spans="1:2">
      <c r="A34104" s="3" t="str">
        <f>IFERROR(__xludf.DUMMYFUNCTION("GOOGLETRANSLATE(A34104,""en"",""pt"")"),"Outros Nokias têm mais recursos, nenhum modo de vibração interna")</f>
        <v>Outros Nokias têm mais recursos, nenhum modo de vibração interna</v>
      </c>
      <c r="B34104" s="3">
        <v>0</v>
      </c>
    </row>
    <row r="34105" ht="15.75" customHeight="1" spans="1:2">
      <c r="A34105" s="3" t="str">
        <f>IFERROR(__xludf.DUMMYFUNCTION("GOOGLETRANSLATE(A34105,""en"",""pt"")"),"Não muito sofisticado")</f>
        <v>Não muito sofisticado</v>
      </c>
      <c r="B34105" s="3">
        <v>0</v>
      </c>
    </row>
    <row r="34106" ht="15.75" customHeight="1" spans="1:2">
      <c r="A34106" s="3" t="str">
        <f>IFERROR(__xludf.DUMMYFUNCTION("GOOGLETRANSLATE(A34106,""en"",""pt"")"),"Bloqueio dos botões é uma obrigação")</f>
        <v>Bloqueio dos botões é uma obrigação</v>
      </c>
      <c r="B34106" s="3">
        <v>0</v>
      </c>
    </row>
    <row r="34107" ht="15.75" customHeight="1" spans="1:2">
      <c r="A34107" s="3" t="str">
        <f>IFERROR(__xludf.DUMMYFUNCTION("GOOGLETRANSLATE(A34107,""en"",""pt"")"),"Vida útil da bateria, um pouco grande demais")</f>
        <v>Vida útil da bateria, um pouco grande demais</v>
      </c>
      <c r="B34107" s="3">
        <v>0</v>
      </c>
    </row>
    <row r="34108" ht="15.75" customHeight="1" spans="1:2">
      <c r="A34108" s="3" t="str">
        <f>IFERROR(__xludf.DUMMYFUNCTION("GOOGLETRANSLATE(A34108,""en"",""pt"")"),"sinal de força não tão bom como telefones posteriores, o sistema de um único botão requer instruções de leitura")</f>
        <v>sinal de força não tão bom como telefones posteriores, o sistema de um único botão requer instruções de leitura</v>
      </c>
      <c r="B34108" s="3">
        <v>0</v>
      </c>
    </row>
    <row r="34109" ht="15.75" customHeight="1" spans="1:2">
      <c r="A34109" s="3" t="str">
        <f>IFERROR(__xludf.DUMMYFUNCTION("GOOGLETRANSLATE(A34109,""en"",""pt"")"),"A volumosa pouco, problemas w / E-mail, o tempo-sync não trabalho, não pode fazer upload de endereços")</f>
        <v>A volumosa pouco, problemas w / E-mail, o tempo-sync não trabalho, não pode fazer upload de endereços</v>
      </c>
      <c r="B34109" s="3">
        <v>0</v>
      </c>
    </row>
    <row r="34110" ht="15.75" customHeight="1" spans="1:2">
      <c r="A34110" s="3" t="str">
        <f>IFERROR(__xludf.DUMMYFUNCTION("GOOGLETRANSLATE(A34110,""en"",""pt"")"),"Muito grande.")</f>
        <v>Muito grande.</v>
      </c>
      <c r="B34110" s="3">
        <v>0</v>
      </c>
    </row>
    <row r="34111" ht="15.75" customHeight="1" spans="1:2">
      <c r="A34111" s="3" t="str">
        <f>IFERROR(__xludf.DUMMYFUNCTION("GOOGLETRANSLATE(A34111,""en"",""pt"")"),"Não consigo pensar em qualquer")</f>
        <v>Não consigo pensar em qualquer</v>
      </c>
      <c r="B34111" s="3">
        <v>0</v>
      </c>
    </row>
    <row r="34112" ht="15.75" customHeight="1" spans="1:2">
      <c r="A34112" s="3" t="str">
        <f>IFERROR(__xludf.DUMMYFUNCTION("GOOGLETRANSLATE(A34112,""en"",""pt"")"),"A qualidade do som é ruim, falta de livro de endereços mais robusto.")</f>
        <v>A qualidade do som é ruim, falta de livro de endereços mais robusto.</v>
      </c>
      <c r="B34112" s="3">
        <v>0</v>
      </c>
    </row>
    <row r="34113" ht="15.75" customHeight="1" spans="1:2">
      <c r="A34113" s="3" t="str">
        <f>IFERROR(__xludf.DUMMYFUNCTION("GOOGLETRANSLATE(A34113,""en"",""pt"")"),"meio pesado.")</f>
        <v>meio pesado.</v>
      </c>
      <c r="B34113" s="3">
        <v>0</v>
      </c>
    </row>
    <row r="34114" ht="15.75" customHeight="1" spans="1:2">
      <c r="A34114" s="3" t="str">
        <f>IFERROR(__xludf.DUMMYFUNCTION("GOOGLETRANSLATE(A34114,""en"",""pt"")"),"a vida da bateria padrão curto,")</f>
        <v>a vida da bateria padrão curto,</v>
      </c>
      <c r="B34114" s="3">
        <v>0</v>
      </c>
    </row>
    <row r="34115" ht="15.75" customHeight="1" spans="1:2">
      <c r="A34115" s="3" t="str">
        <f>IFERROR(__xludf.DUMMYFUNCTION("GOOGLETRANSLATE(A34115,""en"",""pt"")"),"Talvez bateria mais magro ??")</f>
        <v>Talvez bateria mais magro ??</v>
      </c>
      <c r="B34115" s="3">
        <v>0</v>
      </c>
    </row>
    <row r="34116" ht="15.75" customHeight="1" spans="1:2">
      <c r="A34116" s="3" t="str">
        <f>IFERROR(__xludf.DUMMYFUNCTION("GOOGLETRANSLATE(A34116,""en"",""pt"")"),"forma Stout torna difícil falar e ouvir ao mesmo tempo.")</f>
        <v>forma Stout torna difícil falar e ouvir ao mesmo tempo.</v>
      </c>
      <c r="B34116" s="3">
        <v>0</v>
      </c>
    </row>
    <row r="34117" ht="15.75" customHeight="1" spans="1:2">
      <c r="A34117" s="3" t="str">
        <f>IFERROR(__xludf.DUMMYFUNCTION("GOOGLETRANSLATE(A34117,""en"",""pt"")"),"Muito grande,")</f>
        <v>Muito grande,</v>
      </c>
      <c r="B34117" s="3">
        <v>0</v>
      </c>
    </row>
    <row r="34118" ht="15.75" customHeight="1" spans="1:2">
      <c r="A34118" s="3" t="str">
        <f>IFERROR(__xludf.DUMMYFUNCTION("GOOGLETRANSLATE(A34118,""en"",""pt"")"),"Nenhuma informação de roaming, grandes músicas não vão no despertador")</f>
        <v>Nenhuma informação de roaming, grandes músicas não vão no despertador</v>
      </c>
      <c r="B34118" s="3">
        <v>0</v>
      </c>
    </row>
    <row r="34119" ht="15.75" customHeight="1" spans="1:2">
      <c r="A34119" s="3" t="str">
        <f>IFERROR(__xludf.DUMMYFUNCTION("GOOGLETRANSLATE(A34119,""en"",""pt"")"),"Nenhum ainda")</f>
        <v>Nenhum ainda</v>
      </c>
      <c r="B34119" s="3">
        <v>0</v>
      </c>
    </row>
    <row r="34120" ht="15.75" customHeight="1" spans="1:2">
      <c r="A34120" s="3" t="str">
        <f>IFERROR(__xludf.DUMMYFUNCTION("GOOGLETRANSLATE(A34120,""en"",""pt"")"),"recepção, jogos, correio de voz e mensagens de texto difícil de descobrir.")</f>
        <v>recepção, jogos, correio de voz e mensagens de texto difícil de descobrir.</v>
      </c>
      <c r="B34120" s="3">
        <v>0</v>
      </c>
    </row>
    <row r="34121" ht="15.75" customHeight="1" spans="1:2">
      <c r="A34121" s="3" t="str">
        <f>IFERROR(__xludf.DUMMYFUNCTION("GOOGLETRANSLATE(A34121,""en"",""pt"")"),"Sem cabo de dados para ele, assim que começar toques para lhe custa minutos.")</f>
        <v>Sem cabo de dados para ele, assim que começar toques para lhe custa minutos.</v>
      </c>
      <c r="B34121" s="3">
        <v>0</v>
      </c>
    </row>
    <row r="34122" ht="15.75" customHeight="1" spans="1:2">
      <c r="A34122" s="3" t="str">
        <f>IFERROR(__xludf.DUMMYFUNCTION("GOOGLETRANSLATE(A34122,""en"",""pt"")"),"Jogos ... quem precisa deles?!?!?")</f>
        <v>Jogos ... quem precisa deles?!?!?</v>
      </c>
      <c r="B34122" s="3">
        <v>0</v>
      </c>
    </row>
    <row r="34123" ht="15.75" customHeight="1" spans="1:2">
      <c r="A34123" s="3" t="str">
        <f>IFERROR(__xludf.DUMMYFUNCTION("GOOGLETRANSLATE(A34123,""en"",""pt"")"),"Não pequeno o suficiente para mostrar aos amigos. Um pouco volumoso de uma forma moderna.")</f>
        <v>Não pequeno o suficiente para mostrar aos amigos. Um pouco volumoso de uma forma moderna.</v>
      </c>
      <c r="B34123" s="3">
        <v>0</v>
      </c>
    </row>
    <row r="34124" ht="15.75" customHeight="1" spans="1:2">
      <c r="A34124" s="3" t="str">
        <f>IFERROR(__xludf.DUMMYFUNCTION("GOOGLETRANSLATE(A34124,""en"",""pt"")"),"Um pouco difícil de navegar,")</f>
        <v>Um pouco difícil de navegar,</v>
      </c>
      <c r="B34124" s="3">
        <v>0</v>
      </c>
    </row>
    <row r="34125" ht="15.75" customHeight="1" spans="1:2">
      <c r="A34125" s="3" t="str">
        <f>IFERROR(__xludf.DUMMYFUNCTION("GOOGLETRANSLATE(A34125,""en"",""pt"")"),"não muitos recursos")</f>
        <v>não muitos recursos</v>
      </c>
      <c r="B34125" s="3">
        <v>0</v>
      </c>
    </row>
    <row r="34126" ht="15.75" customHeight="1" spans="1:2">
      <c r="A34126" s="3" t="str">
        <f>IFERROR(__xludf.DUMMYFUNCTION("GOOGLETRANSLATE(A34126,""en"",""pt"")"),"telefone para ligação da bateria não segura")</f>
        <v>telefone para ligação da bateria não segura</v>
      </c>
      <c r="B34126" s="3">
        <v>0</v>
      </c>
    </row>
    <row r="34127" ht="15.75" customHeight="1" spans="1:2">
      <c r="A34127" s="3" t="str">
        <f>IFERROR(__xludf.DUMMYFUNCTION("GOOGLETRANSLATE(A34127,""en"",""pt"")"),"Problemas com Carkit recarga ""mãos livres"".")</f>
        <v>Problemas com Carkit recarga "mãos livres".</v>
      </c>
      <c r="B34127" s="3">
        <v>0</v>
      </c>
    </row>
    <row r="34128" ht="15.75" customHeight="1" spans="1:2">
      <c r="A34128" s="3" t="str">
        <f>IFERROR(__xludf.DUMMYFUNCTION("GOOGLETRANSLATE(A34128,""en"",""pt"")"),"Má recepção, um pouco mais pesado do que outros telefones celulares")</f>
        <v>Má recepção, um pouco mais pesado do que outros telefones celulares</v>
      </c>
      <c r="B34128" s="3">
        <v>0</v>
      </c>
    </row>
    <row r="34129" ht="15.75" customHeight="1" spans="1:2">
      <c r="A34129" s="3" t="str">
        <f>IFERROR(__xludf.DUMMYFUNCTION("GOOGLETRANSLATE(A34129,""en"",""pt"")"),"Volumoso, não vibra, má escolha de ringtones.")</f>
        <v>Volumoso, não vibra, má escolha de ringtones.</v>
      </c>
      <c r="B34129" s="3">
        <v>0</v>
      </c>
    </row>
    <row r="34130" ht="15.75" customHeight="1" spans="1:2">
      <c r="A34130" s="3" t="str">
        <f>IFERROR(__xludf.DUMMYFUNCTION("GOOGLETRANSLATE(A34130,""en"",""pt"")"),"recepção é difícil passar por aqui")</f>
        <v>recepção é difícil passar por aqui</v>
      </c>
      <c r="B34130" s="3">
        <v>0</v>
      </c>
    </row>
    <row r="34131" ht="15.75" customHeight="1" spans="1:2">
      <c r="A34131" s="3" t="str">
        <f>IFERROR(__xludf.DUMMYFUNCTION("GOOGLETRANSLATE(A34131,""en"",""pt"")"),"Desejo a bateria durou mais tempo; vida rural não permite a clareza")</f>
        <v>Desejo a bateria durou mais tempo; vida rural não permite a clareza</v>
      </c>
      <c r="B34131" s="3">
        <v>0</v>
      </c>
    </row>
    <row r="34132" ht="15.75" customHeight="1" spans="1:2">
      <c r="A34132" s="3" t="str">
        <f>IFERROR(__xludf.DUMMYFUNCTION("GOOGLETRANSLATE(A34132,""en"",""pt"")"),"A recepção não tão grande &amp; # 13; &amp; # 10; a qualidade de voz, por vezes confuso &amp; # 13; &amp; # 10; não WAP (internet sem fios) &amp; # 13; &amp; # 10; poderia ser menor")</f>
        <v>A recepção não tão grande &amp; # 13; &amp; # 10; a qualidade de voz, por vezes confuso &amp; # 13; &amp; # 10; não WAP (internet sem fios) &amp; # 13; &amp; # 10; poderia ser menor</v>
      </c>
      <c r="B34132" s="3">
        <v>0</v>
      </c>
    </row>
    <row r="34133" ht="15.75" customHeight="1" spans="1:2">
      <c r="A34133" s="3" t="str">
        <f>IFERROR(__xludf.DUMMYFUNCTION("GOOGLETRANSLATE(A34133,""en"",""pt"")"),"há instruções")</f>
        <v>há instruções</v>
      </c>
      <c r="B34133" s="3">
        <v>0</v>
      </c>
    </row>
    <row r="34134" ht="15.75" customHeight="1" spans="1:2">
      <c r="A34134" s="3" t="str">
        <f>IFERROR(__xludf.DUMMYFUNCTION("GOOGLETRANSLATE(A34134,""en"",""pt"")"),"não posso pensar em um.")</f>
        <v>não posso pensar em um.</v>
      </c>
      <c r="B34134" s="3">
        <v>0</v>
      </c>
    </row>
    <row r="34135" ht="15.75" customHeight="1" spans="1:2">
      <c r="A34135" s="3" t="str">
        <f>IFERROR(__xludf.DUMMYFUNCTION("GOOGLETRANSLATE(A34135,""en"",""pt"")"),"ajuste Bad bateria. Auto-desligar nas chamadas recebidas. medidor de bateria inútil.")</f>
        <v>ajuste Bad bateria. Auto-desligar nas chamadas recebidas. medidor de bateria inútil.</v>
      </c>
      <c r="B34135" s="3">
        <v>0</v>
      </c>
    </row>
    <row r="34136" ht="15.75" customHeight="1" spans="1:2">
      <c r="A34136" s="3" t="str">
        <f>IFERROR(__xludf.DUMMYFUNCTION("GOOGLETRANSLATE(A34136,""en"",""pt"")"),"É maior do que os pequenos telefones celulares hoje.")</f>
        <v>É maior do que os pequenos telefones celulares hoje.</v>
      </c>
      <c r="B34136" s="3">
        <v>0</v>
      </c>
    </row>
    <row r="34137" ht="15.75" customHeight="1" spans="1:2">
      <c r="A34137" s="3" t="str">
        <f>IFERROR(__xludf.DUMMYFUNCTION("GOOGLETRANSLATE(A34137,""en"",""pt"")"),"Nenhum")</f>
        <v>Nenhum</v>
      </c>
      <c r="B34137" s="3">
        <v>0</v>
      </c>
    </row>
    <row r="34138" ht="15.75" customHeight="1" spans="1:2">
      <c r="A34138" s="3" t="str">
        <f>IFERROR(__xludf.DUMMYFUNCTION("GOOGLETRANSLATE(A34138,""en"",""pt"")"),"Por favor, não deixá-lo cair! Ele quebra facilmente.")</f>
        <v>Por favor, não deixá-lo cair! Ele quebra facilmente.</v>
      </c>
      <c r="B34138" s="3">
        <v>0</v>
      </c>
    </row>
    <row r="34139" ht="15.75" customHeight="1" spans="1:2">
      <c r="A34139" s="3" t="str">
        <f>IFERROR(__xludf.DUMMYFUNCTION("GOOGLETRANSLATE(A34139,""en"",""pt"")"),"Pequenos botões, como a maioria dos usuários irá dizer-lhe.")</f>
        <v>Pequenos botões, como a maioria dos usuários irá dizer-lhe.</v>
      </c>
      <c r="B34139" s="3">
        <v>0</v>
      </c>
    </row>
    <row r="34140" ht="15.75" customHeight="1" spans="1:2">
      <c r="A34140" s="3" t="str">
        <f>IFERROR(__xludf.DUMMYFUNCTION("GOOGLETRANSLATE(A34140,""en"",""pt"")"),"Necessidade de redefinir o tempo se a bateria for removida, auto TIMESYNC nem sempre precisas, pequenos botões")</f>
        <v>Necessidade de redefinir o tempo se a bateria for removida, auto TIMESYNC nem sempre precisas, pequenos botões</v>
      </c>
      <c r="B34140" s="3">
        <v>0</v>
      </c>
    </row>
    <row r="34141" ht="15.75" customHeight="1" spans="1:2">
      <c r="A34141" s="3" t="str">
        <f>IFERROR(__xludf.DUMMYFUNCTION("GOOGLETRANSLATE(A34141,""en"",""pt"")"),"não para pessoas com dedos maiores")</f>
        <v>não para pessoas com dedos maiores</v>
      </c>
      <c r="B34141" s="3">
        <v>0</v>
      </c>
    </row>
    <row r="34142" ht="15.75" customHeight="1" spans="1:2">
      <c r="A34142" s="3" t="str">
        <f>IFERROR(__xludf.DUMMYFUNCTION("GOOGLETRANSLATE(A34142,""en"",""pt"")"),"não é ativada por voz, talvez um pouco pesado em comparação com os telefones mais recentes")</f>
        <v>não é ativada por voz, talvez um pouco pesado em comparação com os telefones mais recentes</v>
      </c>
      <c r="B34142" s="3">
        <v>0</v>
      </c>
    </row>
    <row r="34143" ht="15.75" customHeight="1" spans="1:2">
      <c r="A34143" s="3" t="str">
        <f>IFERROR(__xludf.DUMMYFUNCTION("GOOGLETRANSLATE(A34143,""en"",""pt"")"),"pequenos botões, nenhum clipe de cinto")</f>
        <v>pequenos botões, nenhum clipe de cinto</v>
      </c>
      <c r="B34143" s="3">
        <v>0</v>
      </c>
    </row>
    <row r="34144" ht="15.75" customHeight="1" spans="1:2">
      <c r="A34144" s="3" t="str">
        <f>IFERROR(__xludf.DUMMYFUNCTION("GOOGLETRANSLATE(A34144,""en"",""pt"")"),"Nenhum que eu encontrei")</f>
        <v>Nenhum que eu encontrei</v>
      </c>
      <c r="B34144" s="3">
        <v>0</v>
      </c>
    </row>
    <row r="34145" ht="15.75" customHeight="1" spans="1:2">
      <c r="A34145" s="3" t="str">
        <f>IFERROR(__xludf.DUMMYFUNCTION("GOOGLETRANSLATE(A34145,""en"",""pt"")"),"Volumoso para um telefone celular mais recente, média durabilidade")</f>
        <v>Volumoso para um telefone celular mais recente, média durabilidade</v>
      </c>
      <c r="B34145" s="3">
        <v>0</v>
      </c>
    </row>
    <row r="34146" ht="15.75" customHeight="1" spans="1:2">
      <c r="A34146" s="3" t="str">
        <f>IFERROR(__xludf.DUMMYFUNCTION("GOOGLETRANSLATE(A34146,""en"",""pt"")"),"recepção")</f>
        <v>recepção</v>
      </c>
      <c r="B34146" s="3">
        <v>0</v>
      </c>
    </row>
    <row r="34147" ht="15.75" customHeight="1" spans="1:2">
      <c r="A34147" s="3" t="str">
        <f>IFERROR(__xludf.DUMMYFUNCTION("GOOGLETRANSLATE(A34147,""en"",""pt"")"),"antena externa, apenas 1 # por nome na agenda, há lembretes, alerta vibratório vendido separadamente")</f>
        <v>antena externa, apenas 1 # por nome na agenda, há lembretes, alerta vibratório vendido separadamente</v>
      </c>
      <c r="B34147" s="3">
        <v>0</v>
      </c>
    </row>
    <row r="34148" ht="15.75" customHeight="1" spans="1:2">
      <c r="A34148" s="3" t="str">
        <f>IFERROR(__xludf.DUMMYFUNCTION("GOOGLETRANSLATE(A34148,""en"",""pt"")"),"Um monte de pessoas têm o mesmo telefone.")</f>
        <v>Um monte de pessoas têm o mesmo telefone.</v>
      </c>
      <c r="B34148" s="3">
        <v>0</v>
      </c>
    </row>
    <row r="34149" ht="15.75" customHeight="1" spans="1:2">
      <c r="A34149" s="3" t="str">
        <f>IFERROR(__xludf.DUMMYFUNCTION("GOOGLETRANSLATE(A34149,""en"",""pt"")"),"Às vezes, os sinos e assobios são muito complicados.")</f>
        <v>Às vezes, os sinos e assobios são muito complicados.</v>
      </c>
      <c r="B34149" s="3">
        <v>0</v>
      </c>
    </row>
    <row r="34150" ht="15.75" customHeight="1" spans="1:2">
      <c r="A34150" s="3" t="str">
        <f>IFERROR(__xludf.DUMMYFUNCTION("GOOGLETRANSLATE(A34150,""en"",""pt"")"),"Nokia Atendimento ao Cliente")</f>
        <v>Nokia Atendimento ao Cliente</v>
      </c>
      <c r="B34150" s="3">
        <v>0</v>
      </c>
    </row>
    <row r="34151" ht="15.75" customHeight="1" spans="1:2">
      <c r="A34151" s="3" t="str">
        <f>IFERROR(__xludf.DUMMYFUNCTION("GOOGLETRANSLATE(A34151,""en"",""pt"")"),"muito grande para mim")</f>
        <v>muito grande para mim</v>
      </c>
      <c r="B34151" s="3">
        <v>0</v>
      </c>
    </row>
    <row r="34152" ht="15.75" customHeight="1" spans="1:2">
      <c r="A34152" s="3" t="str">
        <f>IFERROR(__xludf.DUMMYFUNCTION("GOOGLETRANSLATE(A34152,""en"",""pt"")"),"Nenhum")</f>
        <v>Nenhum</v>
      </c>
      <c r="B34152" s="3">
        <v>0</v>
      </c>
    </row>
    <row r="34153" ht="15.75" customHeight="1" spans="1:2">
      <c r="A34153" s="3" t="str">
        <f>IFERROR(__xludf.DUMMYFUNCTION("GOOGLETRANSLATE(A34153,""en"",""pt"")"),"Eu não tenho qualquer DESCULPE")</f>
        <v>Eu não tenho qualquer DESCULPE</v>
      </c>
      <c r="B34153" s="3">
        <v>0</v>
      </c>
    </row>
    <row r="34154" ht="15.75" customHeight="1" spans="1:2">
      <c r="A34154" s="3" t="str">
        <f>IFERROR(__xludf.DUMMYFUNCTION("GOOGLETRANSLATE(A34154,""en"",""pt"")"),"Botão de energia.")</f>
        <v>Botão de energia.</v>
      </c>
      <c r="B34154" s="3">
        <v>0</v>
      </c>
    </row>
    <row r="34155" ht="15.75" customHeight="1" spans="1:2">
      <c r="A34155" s="3" t="str">
        <f>IFERROR(__xludf.DUMMYFUNCTION("GOOGLETRANSLATE(A34155,""en"",""pt"")"),"Ligeiramente maior do que o tamanho da célula ideal (para mim)")</f>
        <v>Ligeiramente maior do que o tamanho da célula ideal (para mim)</v>
      </c>
      <c r="B34155" s="3">
        <v>0</v>
      </c>
    </row>
    <row r="34156" ht="15.75" customHeight="1" spans="1:2">
      <c r="A34156" s="3" t="str">
        <f>IFERROR(__xludf.DUMMYFUNCTION("GOOGLETRANSLATE(A34156,""en"",""pt"")"),"Nenhum")</f>
        <v>Nenhum</v>
      </c>
      <c r="B34156" s="3">
        <v>0</v>
      </c>
    </row>
    <row r="34157" ht="15.75" customHeight="1" spans="1:2">
      <c r="A34157" s="3" t="str">
        <f>IFERROR(__xludf.DUMMYFUNCTION("GOOGLETRANSLATE(A34157,""en"",""pt"")"),"preço")</f>
        <v>preço</v>
      </c>
      <c r="B34157" s="3">
        <v>0</v>
      </c>
    </row>
    <row r="34158" ht="15.75" customHeight="1" spans="1:2">
      <c r="A34158" s="3" t="str">
        <f>IFERROR(__xludf.DUMMYFUNCTION("GOOGLETRANSLATE(A34158,""en"",""pt"")"),"nenhum (em comparação com 8860)")</f>
        <v>nenhum (em comparação com 8860)</v>
      </c>
      <c r="B34158" s="3">
        <v>0</v>
      </c>
    </row>
    <row r="34159" ht="15.75" customHeight="1" spans="1:2">
      <c r="A34159" s="3" t="str">
        <f>IFERROR(__xludf.DUMMYFUNCTION("GOOGLETRANSLATE(A34159,""en"",""pt"")"),"Tem um arial irritante!")</f>
        <v>Tem um arial irritante!</v>
      </c>
      <c r="B34159" s="3">
        <v>0</v>
      </c>
    </row>
    <row r="34160" ht="15.75" customHeight="1" spans="1:2">
      <c r="A34160" s="3" t="str">
        <f>IFERROR(__xludf.DUMMYFUNCTION("GOOGLETRANSLATE(A34160,""en"",""pt"")"),"1 número por pessoa, volumosos, pesados, curta duração da bateria, ringtones ruins, sem acesso à web")</f>
        <v>1 número por pessoa, volumosos, pesados, curta duração da bateria, ringtones ruins, sem acesso à web</v>
      </c>
      <c r="B34160" s="3">
        <v>0</v>
      </c>
    </row>
    <row r="34161" ht="15.75" customHeight="1" spans="1:2">
      <c r="A34161" s="3" t="str">
        <f>IFERROR(__xludf.DUMMYFUNCTION("GOOGLETRANSLATE(A34161,""en"",""pt"")"),"Nenhum")</f>
        <v>Nenhum</v>
      </c>
      <c r="B34161" s="3">
        <v>0</v>
      </c>
    </row>
    <row r="34162" ht="15.75" customHeight="1" spans="1:2">
      <c r="A34162" s="3" t="str">
        <f>IFERROR(__xludf.DUMMYFUNCTION("GOOGLETRANSLATE(A34162,""en"",""pt"")"),"Bateria tende a afrouxar ao longo do tempo e contato solto.")</f>
        <v>Bateria tende a afrouxar ao longo do tempo e contato solto.</v>
      </c>
      <c r="B34162" s="3">
        <v>0</v>
      </c>
    </row>
    <row r="34163" ht="15.75" customHeight="1" spans="1:2">
      <c r="A34163" s="3" t="str">
        <f>IFERROR(__xludf.DUMMYFUNCTION("GOOGLETRANSLATE(A34163,""en"",""pt"")"),"Todo o telefone é horrível")</f>
        <v>Todo o telefone é horrível</v>
      </c>
      <c r="B34163" s="3">
        <v>0</v>
      </c>
    </row>
    <row r="34164" ht="15.75" customHeight="1" spans="1:2">
      <c r="A34164" s="3" t="str">
        <f>IFERROR(__xludf.DUMMYFUNCTION("GOOGLETRANSLATE(A34164,""en"",""pt"")"),"Um pouco grande")</f>
        <v>Um pouco grande</v>
      </c>
      <c r="B34164" s="3">
        <v>0</v>
      </c>
    </row>
    <row r="34165" ht="15.75" customHeight="1" spans="1:2">
      <c r="A34165" s="3" t="str">
        <f>IFERROR(__xludf.DUMMYFUNCTION("GOOGLETRANSLATE(A34165,""en"",""pt"")"),"Chaves um pouco difícil de imprensa, nenhum web wireless")</f>
        <v>Chaves um pouco difícil de imprensa, nenhum web wireless</v>
      </c>
      <c r="B34165" s="3">
        <v>0</v>
      </c>
    </row>
    <row r="34166" ht="15.75" customHeight="1" spans="1:2">
      <c r="A34166" s="3" t="str">
        <f>IFERROR(__xludf.DUMMYFUNCTION("GOOGLETRANSLATE(A34166,""en"",""pt"")"),"você tem que comprar chaves junto com o painel frontal")</f>
        <v>você tem que comprar chaves junto com o painel frontal</v>
      </c>
      <c r="B34166" s="3">
        <v>0</v>
      </c>
    </row>
    <row r="34167" ht="15.75" customHeight="1" spans="1:2">
      <c r="A34167" s="3" t="str">
        <f>IFERROR(__xludf.DUMMYFUNCTION("GOOGLETRANSLATE(A34167,""en"",""pt"")"),"Um pouco mais pesado do que outros telefones, também, os acessórios podem ser caro, às vezes.")</f>
        <v>Um pouco mais pesado do que outros telefones, também, os acessórios podem ser caro, às vezes.</v>
      </c>
      <c r="B34167" s="3">
        <v>0</v>
      </c>
    </row>
    <row r="34168" ht="15.75" customHeight="1" spans="1:2">
      <c r="A34168" s="3" t="str">
        <f>IFERROR(__xludf.DUMMYFUNCTION("GOOGLETRANSLATE(A34168,""en"",""pt"")"),"Muito maior do que as versões mais recentes no mercado.")</f>
        <v>Muito maior do que as versões mais recentes no mercado.</v>
      </c>
      <c r="B34168" s="3">
        <v>0</v>
      </c>
    </row>
    <row r="34169" ht="15.75" customHeight="1" spans="1:2">
      <c r="A34169" s="3" t="str">
        <f>IFERROR(__xludf.DUMMYFUNCTION("GOOGLETRANSLATE(A34169,""en"",""pt"")"),"Nenhum que eu saiba até agora.")</f>
        <v>Nenhum que eu saiba até agora.</v>
      </c>
      <c r="B34169" s="3">
        <v>0</v>
      </c>
    </row>
    <row r="34170" ht="15.75" customHeight="1" spans="1:2">
      <c r="A34170" s="3" t="str">
        <f>IFERROR(__xludf.DUMMYFUNCTION("GOOGLETRANSLATE(A34170,""en"",""pt"")"),"vida útil da bateria é um pouco curto ...")</f>
        <v>vida útil da bateria é um pouco curto ...</v>
      </c>
      <c r="B34170" s="3">
        <v>0</v>
      </c>
    </row>
    <row r="34171" ht="15.75" customHeight="1" spans="1:2">
      <c r="A34171" s="3" t="str">
        <f>IFERROR(__xludf.DUMMYFUNCTION("GOOGLETRANSLATE(A34171,""en"",""pt"")"),"um pouco pesado para o clipe em que pouca noite de sexta roupa quente!")</f>
        <v>um pouco pesado para o clipe em que pouca noite de sexta roupa quente!</v>
      </c>
      <c r="B34171" s="3">
        <v>0</v>
      </c>
    </row>
    <row r="34172" ht="15.75" customHeight="1" spans="1:2">
      <c r="A34172" s="3" t="str">
        <f>IFERROR(__xludf.DUMMYFUNCTION("GOOGLETRANSLATE(A34172,""en"",""pt"")"),"Má recepção, bateria desliza para fora com muita facilidade, nem sempre toca")</f>
        <v>Má recepção, bateria desliza para fora com muita facilidade, nem sempre toca</v>
      </c>
      <c r="B34172" s="3">
        <v>0</v>
      </c>
    </row>
    <row r="34173" ht="15.75" customHeight="1" spans="1:2">
      <c r="A34173" s="3" t="str">
        <f>IFERROR(__xludf.DUMMYFUNCTION("GOOGLETRANSLATE(A34173,""en"",""pt"")"),", Um volumoso pouco pesado")</f>
        <v>, Um volumoso pouco pesado</v>
      </c>
      <c r="B34173" s="3">
        <v>0</v>
      </c>
    </row>
    <row r="34174" ht="15.75" customHeight="1" spans="1:2">
      <c r="A34174" s="3" t="str">
        <f>IFERROR(__xludf.DUMMYFUNCTION("GOOGLETRANSLATE(A34174,""en"",""pt"")"),"Não muitas opções")</f>
        <v>Não muitas opções</v>
      </c>
      <c r="B34174" s="3">
        <v>0</v>
      </c>
    </row>
    <row r="34175" ht="15.75" customHeight="1" spans="1:2">
      <c r="A34175" s="3" t="str">
        <f>IFERROR(__xludf.DUMMYFUNCTION("GOOGLETRANSLATE(A34175,""en"",""pt"")"),"tons antigos mesmos")</f>
        <v>tons antigos mesmos</v>
      </c>
      <c r="B34175" s="3">
        <v>0</v>
      </c>
    </row>
    <row r="34176" ht="15.75" customHeight="1" spans="1:2">
      <c r="A34176" s="3" t="str">
        <f>IFERROR(__xludf.DUMMYFUNCTION("GOOGLETRANSLATE(A34176,""en"",""pt"")"),"bateria se solte ele vai desligar o seu telefone recepção-Bad, por vezes,")</f>
        <v>bateria se solte ele vai desligar o seu telefone recepção-Bad, por vezes,</v>
      </c>
      <c r="B34176" s="3">
        <v>0</v>
      </c>
    </row>
    <row r="34177" ht="15.75" customHeight="1" spans="1:2">
      <c r="A34177" s="3" t="str">
        <f>IFERROR(__xludf.DUMMYFUNCTION("GOOGLETRANSLATE(A34177,""en"",""pt"")"),"Estática é ocasionalmente um problema")</f>
        <v>Estática é ocasionalmente um problema</v>
      </c>
      <c r="B34177" s="3">
        <v>0</v>
      </c>
    </row>
    <row r="34178" ht="15.75" customHeight="1" spans="1:2">
      <c r="A34178" s="3" t="str">
        <f>IFERROR(__xludf.DUMMYFUNCTION("GOOGLETRANSLATE(A34178,""en"",""pt"")"),"Complicado de entender às vezes por causa do tamanho pequeno.")</f>
        <v>Complicado de entender às vezes por causa do tamanho pequeno.</v>
      </c>
      <c r="B34178" s="3">
        <v>0</v>
      </c>
    </row>
    <row r="34179" ht="15.75" customHeight="1" spans="1:2">
      <c r="A34179" s="3" t="str">
        <f>IFERROR(__xludf.DUMMYFUNCTION("GOOGLETRANSLATE(A34179,""en"",""pt"")"),"menus complicados. Construção poderia ter sido melhor.")</f>
        <v>menus complicados. Construção poderia ter sido melhor.</v>
      </c>
      <c r="B34179" s="3">
        <v>0</v>
      </c>
    </row>
    <row r="34180" ht="15.75" customHeight="1" spans="1:2">
      <c r="A34180" s="3" t="str">
        <f>IFERROR(__xludf.DUMMYFUNCTION("GOOGLETRANSLATE(A34180,""en"",""pt"")"),"Tudo")</f>
        <v>Tudo</v>
      </c>
      <c r="B34180" s="3">
        <v>0</v>
      </c>
    </row>
    <row r="34181" ht="15.75" customHeight="1" spans="1:2">
      <c r="A34181" s="3" t="str">
        <f>IFERROR(__xludf.DUMMYFUNCTION("GOOGLETRANSLATE(A34181,""en"",""pt"")"),"Não muitos recursos.")</f>
        <v>Não muitos recursos.</v>
      </c>
      <c r="B34181" s="3">
        <v>0</v>
      </c>
    </row>
    <row r="34182" ht="15.75" customHeight="1" spans="1:2">
      <c r="A34182" s="3" t="str">
        <f>IFERROR(__xludf.DUMMYFUNCTION("GOOGLETRANSLATE(A34182,""en"",""pt"")"),"Estático")</f>
        <v>Estático</v>
      </c>
      <c r="B34182" s="3">
        <v>0</v>
      </c>
    </row>
    <row r="34183" ht="15.75" customHeight="1" spans="1:2">
      <c r="A34183" s="3" t="str">
        <f>IFERROR(__xludf.DUMMYFUNCTION("GOOGLETRANSLATE(A34183,""en"",""pt"")"),"torres não é suficiente")</f>
        <v>torres não é suficiente</v>
      </c>
      <c r="B34183" s="3">
        <v>0</v>
      </c>
    </row>
    <row r="34184" ht="15.75" customHeight="1" spans="1:2">
      <c r="A34184" s="3" t="str">
        <f>IFERROR(__xludf.DUMMYFUNCTION("GOOGLETRANSLATE(A34184,""en"",""pt"")"),"Muito grande. fone de ouvido destaca muito facilmente. A bateria destaca muito facilmente")</f>
        <v>Muito grande. fone de ouvido destaca muito facilmente. A bateria destaca muito facilmente</v>
      </c>
      <c r="B34184" s="3">
        <v>0</v>
      </c>
    </row>
    <row r="34185" ht="15.75" customHeight="1" spans="1:2">
      <c r="A34185" s="3" t="str">
        <f>IFERROR(__xludf.DUMMYFUNCTION("GOOGLETRANSLATE(A34185,""en"",""pt"")"),"bateria sai facilmente, desliga-se por conta própria")</f>
        <v>bateria sai facilmente, desliga-se por conta própria</v>
      </c>
      <c r="B34185" s="3">
        <v>0</v>
      </c>
    </row>
    <row r="34186" ht="15.75" customHeight="1" spans="1:2">
      <c r="A34186" s="3" t="str">
        <f>IFERROR(__xludf.DUMMYFUNCTION("GOOGLETRANSLATE(A34186,""en"",""pt"")"),"Bateria morre muito rápido, não posso usar placas de cara velha na nova nokia")</f>
        <v>Bateria morre muito rápido, não posso usar placas de cara velha na nova nokia</v>
      </c>
      <c r="B34186" s="3">
        <v>0</v>
      </c>
    </row>
    <row r="34187" ht="15.75" customHeight="1" spans="1:2">
      <c r="A34187" s="3" t="str">
        <f>IFERROR(__xludf.DUMMYFUNCTION("GOOGLETRANSLATE(A34187,""en"",""pt"")"),"bateria fornecida não dura muito tempo sem uma carga.")</f>
        <v>bateria fornecida não dura muito tempo sem uma carga.</v>
      </c>
      <c r="B34187" s="3">
        <v>0</v>
      </c>
    </row>
    <row r="34188" ht="15.75" customHeight="1" spans="1:2">
      <c r="A34188" s="3" t="str">
        <f>IFERROR(__xludf.DUMMYFUNCTION("GOOGLETRANSLATE(A34188,""en"",""pt"")"),"Bateria Limited e técnicos / Manufacturing problemas com o primeiro telefone que recebi")</f>
        <v>Bateria Limited e técnicos / Manufacturing problemas com o primeiro telefone que recebi</v>
      </c>
      <c r="B34188" s="3">
        <v>0</v>
      </c>
    </row>
    <row r="34189" ht="15.75" customHeight="1" spans="1:2">
      <c r="A34189" s="3" t="str">
        <f>IFERROR(__xludf.DUMMYFUNCTION("GOOGLETRANSLATE(A34189,""en"",""pt"")"),"ClubNokia não disponível nos EUA.")</f>
        <v>ClubNokia não disponível nos EUA.</v>
      </c>
      <c r="B34189" s="3">
        <v>0</v>
      </c>
    </row>
    <row r="34190" ht="15.75" customHeight="1" spans="1:2">
      <c r="A34190" s="3" t="str">
        <f>IFERROR(__xludf.DUMMYFUNCTION("GOOGLETRANSLATE(A34190,""en"",""pt"")"),"A recepção foi um grande problema. Sem acesso à internet, sem modo de vibração")</f>
        <v>A recepção foi um grande problema. Sem acesso à internet, sem modo de vibração</v>
      </c>
      <c r="B34190" s="3">
        <v>0</v>
      </c>
    </row>
    <row r="34191" ht="15.75" customHeight="1" spans="1:2">
      <c r="A34191" s="3" t="str">
        <f>IFERROR(__xludf.DUMMYFUNCTION("GOOGLETRANSLATE(A34191,""en"",""pt"")"),"não pode encaixá-lo a um Mac.")</f>
        <v>não pode encaixá-lo a um Mac.</v>
      </c>
      <c r="B34191" s="3">
        <v>0</v>
      </c>
    </row>
    <row r="34192" ht="15.75" customHeight="1" spans="1:2">
      <c r="A34192" s="3" t="str">
        <f>IFERROR(__xludf.DUMMYFUNCTION("GOOGLETRANSLATE(A34192,""en"",""pt"")"),"Eu não gostei de como pesado e grande o telefone é.")</f>
        <v>Eu não gostei de como pesado e grande o telefone é.</v>
      </c>
      <c r="B34192" s="3">
        <v>0</v>
      </c>
    </row>
    <row r="34193" ht="15.75" customHeight="1" spans="1:2">
      <c r="A34193" s="3" t="str">
        <f>IFERROR(__xludf.DUMMYFUNCTION("GOOGLETRANSLATE(A34193,""en"",""pt"")"),"Grande, pesado, tela não é a cores.")</f>
        <v>Grande, pesado, tela não é a cores.</v>
      </c>
      <c r="B34193" s="3">
        <v>0</v>
      </c>
    </row>
    <row r="34194" ht="15.75" customHeight="1" spans="1:2">
      <c r="A34194" s="3" t="str">
        <f>IFERROR(__xludf.DUMMYFUNCTION("GOOGLETRANSLATE(A34194,""en"",""pt"")"),"Sem com.interfaced, B &amp; W tela, nenhum anel viberate, tons textos, boa básico?")</f>
        <v>Sem com.interfaced, B &amp; W tela, nenhum anel viberate, tons textos, boa básico?</v>
      </c>
      <c r="B34194" s="3">
        <v>0</v>
      </c>
    </row>
    <row r="34195" ht="15.75" customHeight="1" spans="1:2">
      <c r="A34195" s="3" t="str">
        <f>IFERROR(__xludf.DUMMYFUNCTION("GOOGLETRANSLATE(A34195,""en"",""pt"")"),"Nenhum que eu saiba")</f>
        <v>Nenhum que eu saiba</v>
      </c>
      <c r="B34195" s="3">
        <v>0</v>
      </c>
    </row>
    <row r="34196" ht="15.75" customHeight="1" spans="1:2">
      <c r="A34196" s="3" t="str">
        <f>IFERROR(__xludf.DUMMYFUNCTION("GOOGLETRANSLATE(A34196,""en"",""pt"")"),"grande")</f>
        <v>grande</v>
      </c>
      <c r="B34196" s="3">
        <v>0</v>
      </c>
    </row>
    <row r="34197" ht="15.75" customHeight="1" spans="1:2">
      <c r="A34197" s="3" t="str">
        <f>IFERROR(__xludf.DUMMYFUNCTION("GOOGLETRANSLATE(A34197,""en"",""pt"")"),"Lotes de chamadas abandonadas e cortes, mas que poderia ter sido apenas Cingular")</f>
        <v>Lotes de chamadas abandonadas e cortes, mas que poderia ter sido apenas Cingular</v>
      </c>
      <c r="B34197" s="3">
        <v>0</v>
      </c>
    </row>
    <row r="34198" ht="15.75" customHeight="1" spans="1:2">
      <c r="A34198" s="3" t="str">
        <f>IFERROR(__xludf.DUMMYFUNCTION("GOOGLETRANSLATE(A34198,""en"",""pt"")"),"Estranhamente grande antena, que fica no caminho")</f>
        <v>Estranhamente grande antena, que fica no caminho</v>
      </c>
      <c r="B34198" s="3">
        <v>0</v>
      </c>
    </row>
    <row r="34199" ht="15.75" customHeight="1" spans="1:2">
      <c r="A34199" s="3" t="str">
        <f>IFERROR(__xludf.DUMMYFUNCTION("GOOGLETRANSLATE(A34199,""en"",""pt"")"),"Não é barato, menos recursos do que os telefones mais baratos")</f>
        <v>Não é barato, menos recursos do que os telefones mais baratos</v>
      </c>
      <c r="B34199" s="3">
        <v>0</v>
      </c>
    </row>
    <row r="34200" ht="15.75" customHeight="1" spans="1:2">
      <c r="A34200" s="3" t="str">
        <f>IFERROR(__xludf.DUMMYFUNCTION("GOOGLETRANSLATE(A34200,""en"",""pt"")"),"É difícil de aprender como fazer as coisas com este telefone, manual mal escrito.")</f>
        <v>É difícil de aprender como fazer as coisas com este telefone, manual mal escrito.</v>
      </c>
      <c r="B34200" s="3">
        <v>0</v>
      </c>
    </row>
    <row r="34201" ht="15.75" customHeight="1" spans="1:2">
      <c r="A34201" s="3" t="str">
        <f>IFERROR(__xludf.DUMMYFUNCTION("GOOGLETRANSLATE(A34201,""en"",""pt"")"),"Manual inadequada.")</f>
        <v>Manual inadequada.</v>
      </c>
      <c r="B34201" s="3">
        <v>0</v>
      </c>
    </row>
    <row r="34202" ht="15.75" customHeight="1" spans="1:2">
      <c r="A34202" s="3" t="str">
        <f>IFERROR(__xludf.DUMMYFUNCTION("GOOGLETRANSLATE(A34202,""en"",""pt"")"),"chamadas abandonadas, difícil de usar por algum")</f>
        <v>chamadas abandonadas, difícil de usar por algum</v>
      </c>
      <c r="B34202" s="3">
        <v>0</v>
      </c>
    </row>
    <row r="34203" ht="15.75" customHeight="1" spans="1:2">
      <c r="A34203" s="3" t="str">
        <f>IFERROR(__xludf.DUMMYFUNCTION("GOOGLETRANSLATE(A34203,""en"",""pt"")"),"agenda não-alfabetizados, mas este telefone tem discagem ativada por voz! Manual poderia ser melhor.")</f>
        <v>agenda não-alfabetizados, mas este telefone tem discagem ativada por voz! Manual poderia ser melhor.</v>
      </c>
      <c r="B34203" s="3">
        <v>0</v>
      </c>
    </row>
    <row r="34204" ht="15.75" customHeight="1" spans="1:2">
      <c r="A34204" s="3" t="str">
        <f>IFERROR(__xludf.DUMMYFUNCTION("GOOGLETRANSLATE(A34204,""en"",""pt"")"),"Certas opções pode parecer limitada para alguns.")</f>
        <v>Certas opções pode parecer limitada para alguns.</v>
      </c>
      <c r="B34204" s="3">
        <v>0</v>
      </c>
    </row>
    <row r="34205" ht="15.75" customHeight="1" spans="1:2">
      <c r="A34205" s="3" t="str">
        <f>IFERROR(__xludf.DUMMYFUNCTION("GOOGLETRANSLATE(A34205,""en"",""pt"")"),"Sem a marcação por voz")</f>
        <v>Sem a marcação por voz</v>
      </c>
      <c r="B34205" s="3">
        <v>0</v>
      </c>
    </row>
    <row r="34206" ht="15.75" customHeight="1" spans="1:2">
      <c r="A34206" s="3" t="str">
        <f>IFERROR(__xludf.DUMMYFUNCTION("GOOGLETRANSLATE(A34206,""en"",""pt"")"),"não pode alfabetizar livro de telefone; Não o manual especialmente útil; entrada de texto T9, por vezes, uma dor")</f>
        <v>não pode alfabetizar livro de telefone; Não o manual especialmente útil; entrada de texto T9, por vezes, uma dor</v>
      </c>
      <c r="B34206" s="3">
        <v>0</v>
      </c>
    </row>
    <row r="34207" ht="15.75" customHeight="1" spans="1:2">
      <c r="A34207" s="3" t="str">
        <f>IFERROR(__xludf.DUMMYFUNCTION("GOOGLETRANSLATE(A34207,""en"",""pt"")"),"bateria VIDA!")</f>
        <v>bateria VIDA!</v>
      </c>
      <c r="B34207" s="3">
        <v>0</v>
      </c>
    </row>
    <row r="34208" ht="15.75" customHeight="1" spans="1:2">
      <c r="A34208" s="3" t="str">
        <f>IFERROR(__xludf.DUMMYFUNCTION("GOOGLETRANSLATE(A34208,""en"",""pt"")"),"A vida da bateria assim-assim, o acesso lista telefónica um pouco pesado")</f>
        <v>A vida da bateria assim-assim, o acesso lista telefónica um pouco pesado</v>
      </c>
      <c r="B34208" s="3">
        <v>0</v>
      </c>
    </row>
    <row r="34209" ht="15.75" customHeight="1" spans="1:2">
      <c r="A34209" s="3" t="str">
        <f>IFERROR(__xludf.DUMMYFUNCTION("GOOGLETRANSLATE(A34209,""en"",""pt"")"),"Ligeiramente interface de desajeitado, não pode abrir facilmente com uma mão.")</f>
        <v>Ligeiramente interface de desajeitado, não pode abrir facilmente com uma mão.</v>
      </c>
      <c r="B34209" s="3">
        <v>0</v>
      </c>
    </row>
    <row r="34210" ht="15.75" customHeight="1" spans="1:2">
      <c r="A34210" s="3" t="str">
        <f>IFERROR(__xludf.DUMMYFUNCTION("GOOGLETRANSLATE(A34210,""en"",""pt"")"),"manual do usuário horrível e suporte do fabricante insulto.")</f>
        <v>manual do usuário horrível e suporte do fabricante insulto.</v>
      </c>
      <c r="B34210" s="3">
        <v>0</v>
      </c>
    </row>
    <row r="34211" ht="15.75" customHeight="1" spans="1:2">
      <c r="A34211" s="3" t="str">
        <f>IFERROR(__xludf.DUMMYFUNCTION("GOOGLETRANSLATE(A34211,""en"",""pt"")"),"Difícil de uma aberta entregou, calendário não é grande memória-wise.")</f>
        <v>Difícil de uma aberta entregou, calendário não é grande memória-wise.</v>
      </c>
      <c r="B34211" s="3">
        <v>0</v>
      </c>
    </row>
    <row r="34212" ht="15.75" customHeight="1" spans="1:2">
      <c r="A34212" s="3" t="str">
        <f>IFERROR(__xludf.DUMMYFUNCTION("GOOGLETRANSLATE(A34212,""en"",""pt"")"),"agenda não-alfabetizados, mas este telefone tem discagem ativada por voz! Manual poderia ser melhor.")</f>
        <v>agenda não-alfabetizados, mas este telefone tem discagem ativada por voz! Manual poderia ser melhor.</v>
      </c>
      <c r="B34212" s="3">
        <v>0</v>
      </c>
    </row>
    <row r="34213" ht="15.75" customHeight="1" spans="1:2">
      <c r="A34213" s="3" t="str">
        <f>IFERROR(__xludf.DUMMYFUNCTION("GOOGLETRANSLATE(A34213,""en"",""pt"")"),"Buggy software e manual, sem GPS ou capacidades de gestão de tempo / custo")</f>
        <v>Buggy software e manual, sem GPS ou capacidades de gestão de tempo / custo</v>
      </c>
      <c r="B34213" s="3">
        <v>0</v>
      </c>
    </row>
    <row r="34214" ht="15.75" customHeight="1" spans="1:2">
      <c r="A34214" s="3" t="str">
        <f>IFERROR(__xludf.DUMMYFUNCTION("GOOGLETRANSLATE(A34214,""en"",""pt"")"),"Menos do que estelar manual, o preço varia muito, colocação de botão pode ser desagradável para os canhotos.")</f>
        <v>Menos do que estelar manual, o preço varia muito, colocação de botão pode ser desagradável para os canhotos.</v>
      </c>
      <c r="B34214" s="3">
        <v>0</v>
      </c>
    </row>
    <row r="34215" ht="15.75" customHeight="1" spans="1:2">
      <c r="A34215" s="3" t="str">
        <f>IFERROR(__xludf.DUMMYFUNCTION("GOOGLETRANSLATE(A34215,""en"",""pt"")"),"Manual do Usuário poderia ser um pouco mais clara e detalhada.")</f>
        <v>Manual do Usuário poderia ser um pouco mais clara e detalhada.</v>
      </c>
      <c r="B34215" s="3">
        <v>0</v>
      </c>
    </row>
    <row r="34216" ht="15.75" customHeight="1" spans="1:2">
      <c r="A34216" s="3" t="str">
        <f>IFERROR(__xludf.DUMMYFUNCTION("GOOGLETRANSLATE(A34216,""en"",""pt"")"),"terrível livro de telefone se você está acostumado a motorola, mau manuais, chamadas abandonadas")</f>
        <v>terrível livro de telefone se você está acostumado a motorola, mau manuais, chamadas abandonadas</v>
      </c>
      <c r="B34216" s="3">
        <v>0</v>
      </c>
    </row>
    <row r="34217" ht="15.75" customHeight="1" spans="1:2">
      <c r="A34217" s="3" t="str">
        <f>IFERROR(__xludf.DUMMYFUNCTION("GOOGLETRANSLATE(A34217,""en"",""pt"")"),"lista telefónica não alfabética, manual não é útil, Menus, por vezes, complicado")</f>
        <v>lista telefónica não alfabética, manual não é útil, Menus, por vezes, complicado</v>
      </c>
      <c r="B34217" s="3">
        <v>0</v>
      </c>
    </row>
    <row r="34218" ht="15.75" customHeight="1" spans="1:2">
      <c r="A34218" s="3" t="str">
        <f>IFERROR(__xludf.DUMMYFUNCTION("GOOGLETRANSLATE(A34218,""en"",""pt"")"),"manual do usuário horrível, menus peculiares.")</f>
        <v>manual do usuário horrível, menus peculiares.</v>
      </c>
      <c r="B34218" s="3">
        <v>0</v>
      </c>
    </row>
    <row r="34219" ht="15.75" customHeight="1" spans="1:2">
      <c r="A34219" s="3" t="str">
        <f>IFERROR(__xludf.DUMMYFUNCTION("GOOGLETRANSLATE(A34219,""en"",""pt"")"),"Absolutamente livro de telefone estúpido, não pode ler a exposição com óculos de sol em.")</f>
        <v>Absolutamente livro de telefone estúpido, não pode ler a exposição com óculos de sol em.</v>
      </c>
      <c r="B34219" s="3">
        <v>0</v>
      </c>
    </row>
    <row r="34220" ht="15.75" customHeight="1" spans="1:2">
      <c r="A34220" s="3" t="str">
        <f>IFERROR(__xludf.DUMMYFUNCTION("GOOGLETRANSLATE(A34220,""en"",""pt"")"),"tamanho, chamadas abandonadas, volume, menus e agenda")</f>
        <v>tamanho, chamadas abandonadas, volume, menus e agenda</v>
      </c>
      <c r="B34220" s="3">
        <v>0</v>
      </c>
    </row>
    <row r="34221" ht="15.75" customHeight="1" spans="1:2">
      <c r="A34221" s="3" t="str">
        <f>IFERROR(__xludf.DUMMYFUNCTION("GOOGLETRANSLATE(A34221,""en"",""pt"")"),"Menu e agenda")</f>
        <v>Menu e agenda</v>
      </c>
      <c r="B34221" s="3">
        <v>0</v>
      </c>
    </row>
    <row r="34222" ht="15.75" customHeight="1" spans="1:2">
      <c r="A34222" s="3" t="str">
        <f>IFERROR(__xludf.DUMMYFUNCTION("GOOGLETRANSLATE(A34222,""en"",""pt"")"),"anel mais alto pode não ser suficientemente alto, attenae tende a me facada no lado")</f>
        <v>anel mais alto pode não ser suficientemente alto, attenae tende a me facada no lado</v>
      </c>
      <c r="B34222" s="3">
        <v>0</v>
      </c>
    </row>
    <row r="34223" ht="15.75" customHeight="1" spans="1:2">
      <c r="A34223" s="3" t="str">
        <f>IFERROR(__xludf.DUMMYFUNCTION("GOOGLETRANSLATE(A34223,""en"",""pt"")"),"janela ID de chamador externo fica arranhada, o telefone é um pouco mais grosso do que StarTac")</f>
        <v>janela ID de chamador externo fica arranhada, o telefone é um pouco mais grosso do que StarTac</v>
      </c>
      <c r="B34223" s="3">
        <v>0</v>
      </c>
    </row>
    <row r="34224" ht="15.75" customHeight="1" spans="1:2">
      <c r="A34224" s="3" t="str">
        <f>IFERROR(__xludf.DUMMYFUNCTION("GOOGLETRANSLATE(A34224,""en"",""pt"")"),"reputação, suporte ao cliente, a vida útil da bateria do Lgi")</f>
        <v>reputação, suporte ao cliente, a vida útil da bateria do Lgi</v>
      </c>
      <c r="B34224" s="3">
        <v>0</v>
      </c>
    </row>
    <row r="34225" ht="15.75" customHeight="1" spans="1:2">
      <c r="A34225" s="3" t="str">
        <f>IFERROR(__xludf.DUMMYFUNCTION("GOOGLETRANSLATE(A34225,""en"",""pt"")"),"Clumsy / Interface inconsistente usuário, a vida da bateria questionável, suporte mfg pobre, recepção um pouco fraco.")</f>
        <v>Clumsy / Interface inconsistente usuário, a vida da bateria questionável, suporte mfg pobre, recepção um pouco fraco.</v>
      </c>
      <c r="B34225" s="3">
        <v>0</v>
      </c>
    </row>
    <row r="34226" ht="15.75" customHeight="1" spans="1:2">
      <c r="A34226" s="3" t="str">
        <f>IFERROR(__xludf.DUMMYFUNCTION("GOOGLETRANSLATE(A34226,""en"",""pt"")"),"manual do usuário, menus tomar para se acostumar.")</f>
        <v>manual do usuário, menus tomar para se acostumar.</v>
      </c>
      <c r="B34226" s="3">
        <v>0</v>
      </c>
    </row>
    <row r="34227" ht="15.75" customHeight="1" spans="1:2">
      <c r="A34227" s="3" t="str">
        <f>IFERROR(__xludf.DUMMYFUNCTION("GOOGLETRANSLATE(A34227,""en"",""pt"")"),"Manual é bom, mas confuso às vezes.")</f>
        <v>Manual é bom, mas confuso às vezes.</v>
      </c>
      <c r="B34227" s="3">
        <v>0</v>
      </c>
    </row>
    <row r="34228" ht="15.75" customHeight="1" spans="1:2">
      <c r="A34228" s="3" t="str">
        <f>IFERROR(__xludf.DUMMYFUNCTION("GOOGLETRANSLATE(A34228,""en"",""pt"")"),"Lista telefônica")</f>
        <v>Lista telefônica</v>
      </c>
      <c r="B34228" s="3">
        <v>0</v>
      </c>
    </row>
    <row r="34229" ht="15.75" customHeight="1" spans="1:2">
      <c r="A34229" s="3" t="str">
        <f>IFERROR(__xludf.DUMMYFUNCTION("GOOGLETRANSLATE(A34229,""en"",""pt"")"),"Nenhum para o usuário ""médio""")</f>
        <v>Nenhum para o usuário "médio"</v>
      </c>
      <c r="B34229" s="3">
        <v>0</v>
      </c>
    </row>
    <row r="34230" ht="15.75" customHeight="1" spans="1:2">
      <c r="A34230" s="3" t="str">
        <f>IFERROR(__xludf.DUMMYFUNCTION("GOOGLETRANSLATE(A34230,""en"",""pt"")"),"Bad manuais, menus peculiares, bateria assim-assim")</f>
        <v>Bad manuais, menus peculiares, bateria assim-assim</v>
      </c>
      <c r="B34230" s="3">
        <v>0</v>
      </c>
    </row>
    <row r="34231" ht="15.75" customHeight="1" spans="1:2">
      <c r="A34231" s="3" t="str">
        <f>IFERROR(__xludf.DUMMYFUNCTION("GOOGLETRANSLATE(A34231,""en"",""pt"")"),"Não tem um recurso de 'ignorar chamada'")</f>
        <v>Não tem um recurso de 'ignorar chamada'</v>
      </c>
      <c r="B34231" s="3">
        <v>0</v>
      </c>
    </row>
    <row r="34232" ht="15.75" customHeight="1" spans="1:2">
      <c r="A34232" s="3" t="str">
        <f>IFERROR(__xludf.DUMMYFUNCTION("GOOGLETRANSLATE(A34232,""en"",""pt"")"),"A vida da bateria após 6 meses, carece de algumas funcionalidades disponíveis hoje")</f>
        <v>A vida da bateria após 6 meses, carece de algumas funcionalidades disponíveis hoje</v>
      </c>
      <c r="B34232" s="3">
        <v>0</v>
      </c>
    </row>
    <row r="34233" ht="15.75" customHeight="1" spans="1:2">
      <c r="A34233" s="3" t="str">
        <f>IFERROR(__xludf.DUMMYFUNCTION("GOOGLETRANSLATE(A34233,""en"",""pt"")"),"grande antena, a vida da bateria")</f>
        <v>grande antena, a vida da bateria</v>
      </c>
      <c r="B34233" s="3">
        <v>0</v>
      </c>
    </row>
    <row r="34234" ht="15.75" customHeight="1" spans="1:2">
      <c r="A34234" s="3" t="str">
        <f>IFERROR(__xludf.DUMMYFUNCTION("GOOGLETRANSLATE(A34234,""en"",""pt"")"),"A agenda é um pouco desajeitado. texto T9 me confunde.")</f>
        <v>A agenda é um pouco desajeitado. texto T9 me confunde.</v>
      </c>
      <c r="B34234" s="3">
        <v>0</v>
      </c>
    </row>
    <row r="34235" ht="15.75" customHeight="1" spans="1:2">
      <c r="A34235" s="3" t="str">
        <f>IFERROR(__xludf.DUMMYFUNCTION("GOOGLETRANSLATE(A34235,""en"",""pt"")"),"Má recepção e inúmeras chamadas abandonadas. Espessura de lhes retirar o seu tamanho total pequeno.")</f>
        <v>Má recepção e inúmeras chamadas abandonadas. Espessura de lhes retirar o seu tamanho total pequeno.</v>
      </c>
      <c r="B34235" s="3">
        <v>0</v>
      </c>
    </row>
    <row r="34236" ht="15.75" customHeight="1" spans="1:2">
      <c r="A34236" s="3" t="str">
        <f>IFERROR(__xludf.DUMMYFUNCTION("GOOGLETRANSLATE(A34236,""en"",""pt"")"),"pobres em puxar em sinais fracos")</f>
        <v>pobres em puxar em sinais fracos</v>
      </c>
      <c r="B34236" s="3">
        <v>0</v>
      </c>
    </row>
    <row r="34237" ht="15.75" customHeight="1" spans="1:2">
      <c r="A34237" s="3" t="str">
        <f>IFERROR(__xludf.DUMMYFUNCTION("GOOGLETRANSLATE(A34237,""en"",""pt"")"),"Má qualidade de som, frágil, botões pequenos demais, a vida da bateria muito curto, caro")</f>
        <v>Má qualidade de som, frágil, botões pequenos demais, a vida da bateria muito curto, caro</v>
      </c>
      <c r="B34237" s="3">
        <v>0</v>
      </c>
    </row>
    <row r="34238" ht="15.75" customHeight="1" spans="1:2">
      <c r="A34238" s="3" t="str">
        <f>IFERROR(__xludf.DUMMYFUNCTION("GOOGLETRANSLATE(A34238,""en"",""pt"")"),"A vida da bateria poderia ser um pouco mais longo.")</f>
        <v>A vida da bateria poderia ser um pouco mais longo.</v>
      </c>
      <c r="B34238" s="3">
        <v>0</v>
      </c>
    </row>
    <row r="34239" ht="15.75" customHeight="1" spans="1:2">
      <c r="A34239" s="3" t="str">
        <f>IFERROR(__xludf.DUMMYFUNCTION("GOOGLETRANSLATE(A34239,""en"",""pt"")"),"Espessura, devido ao design de concha. Menus pode ser complicado.")</f>
        <v>Espessura, devido ao design de concha. Menus pode ser complicado.</v>
      </c>
      <c r="B34239" s="3">
        <v>0</v>
      </c>
    </row>
    <row r="34240" ht="15.75" customHeight="1" spans="1:2">
      <c r="A34240" s="3" t="str">
        <f>IFERROR(__xludf.DUMMYFUNCTION("GOOGLETRANSLATE(A34240,""en"",""pt"")"),"Manual inadequada por algo com tantos recursos")</f>
        <v>Manual inadequada por algo com tantos recursos</v>
      </c>
      <c r="B34240" s="3">
        <v>0</v>
      </c>
    </row>
    <row r="34241" ht="15.75" customHeight="1" spans="1:2">
      <c r="A34241" s="3" t="str">
        <f>IFERROR(__xludf.DUMMYFUNCTION("GOOGLETRANSLATE(A34241,""en"",""pt"")"),"O telefone não liga para tocar apenas quando um carregador está conneected.")</f>
        <v>O telefone não liga para tocar apenas quando um carregador está conneected.</v>
      </c>
      <c r="B34241" s="3">
        <v>0</v>
      </c>
    </row>
    <row r="34242" ht="15.75" customHeight="1" spans="1:2">
      <c r="A34242" s="3" t="str">
        <f>IFERROR(__xludf.DUMMYFUNCTION("GOOGLETRANSLATE(A34242,""en"",""pt"")"),"Não é tão amigável quanto outros telefones que eu usei.")</f>
        <v>Não é tão amigável quanto outros telefones que eu usei.</v>
      </c>
      <c r="B34242" s="3">
        <v>0</v>
      </c>
    </row>
    <row r="34243" ht="15.75" customHeight="1" spans="1:2">
      <c r="A34243" s="3" t="str">
        <f>IFERROR(__xludf.DUMMYFUNCTION("GOOGLETRANSLATE(A34243,""en"",""pt"")"),"interface de usuário Semi-intuitivo; vida útil da bateria está bem; manual do usuário pobre")</f>
        <v>interface de usuário Semi-intuitivo; vida útil da bateria está bem; manual do usuário pobre</v>
      </c>
      <c r="B34243" s="3">
        <v>0</v>
      </c>
    </row>
    <row r="34244" ht="15.75" customHeight="1" spans="1:2">
      <c r="A34244" s="3" t="str">
        <f>IFERROR(__xludf.DUMMYFUNCTION("GOOGLETRANSLATE(A34244,""en"",""pt"")"),"às vezes não toca ou vibrar quando mensagem de texto")</f>
        <v>às vezes não toca ou vibrar quando mensagem de texto</v>
      </c>
      <c r="B34244" s="3">
        <v>0</v>
      </c>
    </row>
    <row r="34245" ht="15.75" customHeight="1" spans="1:2">
      <c r="A34245" s="3" t="str">
        <f>IFERROR(__xludf.DUMMYFUNCTION("GOOGLETRANSLATE(A34245,""en"",""pt"")"),"Muito pequena quando fechado. A agenda é um pouco desajeitado. entrada de texto T9 é doloroso.")</f>
        <v>Muito pequena quando fechado. A agenda é um pouco desajeitado. entrada de texto T9 é doloroso.</v>
      </c>
      <c r="B34245" s="3">
        <v>0</v>
      </c>
    </row>
    <row r="34246" ht="15.75" customHeight="1" spans="1:2">
      <c r="A34246" s="3" t="str">
        <f>IFERROR(__xludf.DUMMYFUNCTION("GOOGLETRANSLATE(A34246,""en"",""pt"")"),"interface do menu, documentação, suporte")</f>
        <v>interface do menu, documentação, suporte</v>
      </c>
      <c r="B34246" s="3">
        <v>0</v>
      </c>
    </row>
    <row r="34247" ht="15.75" customHeight="1" spans="1:2">
      <c r="A34247" s="3" t="str">
        <f>IFERROR(__xludf.DUMMYFUNCTION("GOOGLETRANSLATE(A34247,""en"",""pt"")"),"utilização de recursos, duração da bateria")</f>
        <v>utilização de recursos, duração da bateria</v>
      </c>
      <c r="B34247" s="3">
        <v>0</v>
      </c>
    </row>
    <row r="34248" ht="15.75" customHeight="1" spans="1:2">
      <c r="A34248" s="3" t="str">
        <f>IFERROR(__xludf.DUMMYFUNCTION("GOOGLETRANSLATE(A34248,""en"",""pt"")"),"Livro de endereços")</f>
        <v>Livro de endereços</v>
      </c>
      <c r="B34248" s="3">
        <v>0</v>
      </c>
    </row>
    <row r="34249" ht="15.75" customHeight="1" spans="1:2">
      <c r="A34249" s="3" t="str">
        <f>IFERROR(__xludf.DUMMYFUNCTION("GOOGLETRANSLATE(A34249,""en"",""pt"")"),"Agenda não classificada pelo próprio telefone, manual é um pouco difícil de entender")</f>
        <v>Agenda não classificada pelo próprio telefone, manual é um pouco difícil de entender</v>
      </c>
      <c r="B34249" s="3">
        <v>0</v>
      </c>
    </row>
    <row r="34250" ht="15.75" customHeight="1" spans="1:2">
      <c r="A34250" s="3" t="str">
        <f>IFERROR(__xludf.DUMMYFUNCTION("GOOGLETRANSLATE(A34250,""en"",""pt"")"),"Muito pequeno, é difícil empurrar um botão é tão pequeno")</f>
        <v>Muito pequeno, é difícil empurrar um botão é tão pequeno</v>
      </c>
      <c r="B34250" s="3">
        <v>0</v>
      </c>
    </row>
    <row r="34251" ht="15.75" customHeight="1" spans="1:2">
      <c r="A34251" s="3" t="str">
        <f>IFERROR(__xludf.DUMMYFUNCTION("GOOGLETRANSLATE(A34251,""en"",""pt"")"),"Sem auto-resposta, a menos que usando o kit de carro, sinais sonoros de alerta são relógio como e fácil de perder.")</f>
        <v>Sem auto-resposta, a menos que usando o kit de carro, sinais sonoros de alerta são relógio como e fácil de perder.</v>
      </c>
      <c r="B34251" s="3">
        <v>0</v>
      </c>
    </row>
    <row r="34252" ht="15.75" customHeight="1" spans="1:2">
      <c r="A34252" s="3" t="str">
        <f>IFERROR(__xludf.DUMMYFUNCTION("GOOGLETRANSLATE(A34252,""en"",""pt"")"),"Horrível Phone Book (não em ordem alfabética), Calendar Fraco / Scheduler")</f>
        <v>Horrível Phone Book (não em ordem alfabética), Calendar Fraco / Scheduler</v>
      </c>
      <c r="B34252" s="3">
        <v>0</v>
      </c>
    </row>
    <row r="34253" ht="15.75" customHeight="1" spans="1:2">
      <c r="A34253" s="3" t="str">
        <f>IFERROR(__xludf.DUMMYFUNCTION("GOOGLETRANSLATE(A34253,""en"",""pt"")"),"Lista telefónica, algumas das configurações padrão (explicado no meu comentário)")</f>
        <v>Lista telefónica, algumas das configurações padrão (explicado no meu comentário)</v>
      </c>
      <c r="B34253" s="3">
        <v>0</v>
      </c>
    </row>
    <row r="34254" ht="15.75" customHeight="1" spans="1:2">
      <c r="A34254" s="3" t="str">
        <f>IFERROR(__xludf.DUMMYFUNCTION("GOOGLETRANSLATE(A34254,""en"",""pt"")"),"campainha / vibrador")</f>
        <v>campainha / vibrador</v>
      </c>
      <c r="B34254" s="3">
        <v>0</v>
      </c>
    </row>
    <row r="34255" ht="15.75" customHeight="1" spans="1:2">
      <c r="A34255" s="3" t="str">
        <f>IFERROR(__xludf.DUMMYFUNCTION("GOOGLETRANSLATE(A34255,""en"",""pt"")"),"Manual do proprietário poderia ser mais detalhado.")</f>
        <v>Manual do proprietário poderia ser mais detalhado.</v>
      </c>
      <c r="B34255" s="3">
        <v>0</v>
      </c>
    </row>
    <row r="34256" ht="15.75" customHeight="1" spans="1:2">
      <c r="A34256" s="3" t="str">
        <f>IFERROR(__xludf.DUMMYFUNCTION("GOOGLETRANSLATE(A34256,""en"",""pt"")"),"Nenhum")</f>
        <v>Nenhum</v>
      </c>
      <c r="B34256" s="3">
        <v>0</v>
      </c>
    </row>
    <row r="34257" ht="15.75" customHeight="1" spans="1:2">
      <c r="A34257" s="3" t="str">
        <f>IFERROR(__xludf.DUMMYFUNCTION("GOOGLETRANSLATE(A34257,""en"",""pt"")"),"A vida da bateria")</f>
        <v>A vida da bateria</v>
      </c>
      <c r="B34257" s="3">
        <v>0</v>
      </c>
    </row>
    <row r="34258" ht="15.75" customHeight="1" spans="1:2">
      <c r="A34258" s="3" t="str">
        <f>IFERROR(__xludf.DUMMYFUNCTION("GOOGLETRANSLATE(A34258,""en"",""pt"")"),"não uma ""marca""")</f>
        <v>não uma "marca"</v>
      </c>
      <c r="B34258" s="3">
        <v>0</v>
      </c>
    </row>
    <row r="34259" ht="15.75" customHeight="1" spans="1:2">
      <c r="A34259" s="3" t="str">
        <f>IFERROR(__xludf.DUMMYFUNCTION("GOOGLETRANSLATE(A34259,""en"",""pt"")"),"bateria e livro de telefone")</f>
        <v>bateria e livro de telefone</v>
      </c>
      <c r="B34259" s="3">
        <v>0</v>
      </c>
    </row>
    <row r="34260" ht="15.75" customHeight="1" spans="1:2">
      <c r="A34260" s="3" t="str">
        <f>IFERROR(__xludf.DUMMYFUNCTION("GOOGLETRANSLATE(A34260,""en"",""pt"")"),"Manual pode ser um pouco mais user-friendly")</f>
        <v>Manual pode ser um pouco mais user-friendly</v>
      </c>
      <c r="B34260" s="3">
        <v>0</v>
      </c>
    </row>
    <row r="34261" ht="15.75" customHeight="1" spans="1:2">
      <c r="A34261" s="3" t="str">
        <f>IFERROR(__xludf.DUMMYFUNCTION("GOOGLETRANSLATE(A34261,""en"",""pt"")"),"incapazes de alfabetizar lista telefónica, não user-friendly &amp; # 13; &amp; # 10;")</f>
        <v>incapazes de alfabetizar lista telefónica, não user-friendly &amp; # 13; &amp; # 10;</v>
      </c>
      <c r="B34261" s="3">
        <v>0</v>
      </c>
    </row>
    <row r="34262" ht="15.75" customHeight="1" spans="1:2">
      <c r="A34262" s="3" t="str">
        <f>IFERROR(__xludf.DUMMYFUNCTION("GOOGLETRANSLATE(A34262,""en"",""pt"")"),"livro de telefone não-alfabética; manual pode ser melhor")</f>
        <v>livro de telefone não-alfabética; manual pode ser melhor</v>
      </c>
      <c r="B34262" s="3">
        <v>0</v>
      </c>
    </row>
    <row r="34263" ht="15.75" customHeight="1" spans="1:2">
      <c r="A34263" s="3" t="str">
        <f>IFERROR(__xludf.DUMMYFUNCTION("GOOGLETRANSLATE(A34263,""en"",""pt"")"),"Manual mal escrito / traduzido")</f>
        <v>Manual mal escrito / traduzido</v>
      </c>
      <c r="B34263" s="3">
        <v>0</v>
      </c>
    </row>
    <row r="34264" ht="15.75" customHeight="1" spans="1:2">
      <c r="A34264" s="3" t="str">
        <f>IFERROR(__xludf.DUMMYFUNCTION("GOOGLETRANSLATE(A34264,""en"",""pt"")"),"não posso pensar em nada")</f>
        <v>não posso pensar em nada</v>
      </c>
      <c r="B34264" s="3">
        <v>0</v>
      </c>
    </row>
    <row r="34265" ht="15.75" customHeight="1" spans="1:2">
      <c r="A34265" s="3" t="str">
        <f>IFERROR(__xludf.DUMMYFUNCTION("GOOGLETRANSLATE(A34265,""en"",""pt"")"),"a vida da bateria pobres.")</f>
        <v>a vida da bateria pobres.</v>
      </c>
      <c r="B34265" s="3">
        <v>0</v>
      </c>
    </row>
    <row r="34266" ht="15.75" customHeight="1" spans="1:2">
      <c r="A34266" s="3" t="str">
        <f>IFERROR(__xludf.DUMMYFUNCTION("GOOGLETRANSLATE(A34266,""en"",""pt"")"),"vida útil da bateria é média")</f>
        <v>vida útil da bateria é média</v>
      </c>
      <c r="B34266" s="3">
        <v>0</v>
      </c>
    </row>
    <row r="34267" ht="15.75" customHeight="1" spans="1:2">
      <c r="A34267" s="3" t="str">
        <f>IFERROR(__xludf.DUMMYFUNCTION("GOOGLETRANSLATE(A34267,""en"",""pt"")"),"um pouco volumoso, preço")</f>
        <v>um pouco volumoso, preço</v>
      </c>
      <c r="B34267" s="3">
        <v>0</v>
      </c>
    </row>
    <row r="34268" ht="15.75" customHeight="1" spans="1:2">
      <c r="A34268" s="3" t="str">
        <f>IFERROR(__xludf.DUMMYFUNCTION("GOOGLETRANSLATE(A34268,""en"",""pt"")"),"agenda não alphabetize")</f>
        <v>agenda não alphabetize</v>
      </c>
      <c r="B34268" s="3">
        <v>0</v>
      </c>
    </row>
    <row r="34269" ht="15.75" customHeight="1" spans="1:2">
      <c r="A34269" s="3" t="str">
        <f>IFERROR(__xludf.DUMMYFUNCTION("GOOGLETRANSLATE(A34269,""en"",""pt"")"),"A vida da bateria")</f>
        <v>A vida da bateria</v>
      </c>
      <c r="B34269" s="3">
        <v>0</v>
      </c>
    </row>
    <row r="34270" ht="15.75" customHeight="1" spans="1:2">
      <c r="A34270" s="3" t="str">
        <f>IFERROR(__xludf.DUMMYFUNCTION("GOOGLETRANSLATE(A34270,""en"",""pt"")"),"única banda, poeira")</f>
        <v>única banda, poeira</v>
      </c>
      <c r="B34270" s="3">
        <v>0</v>
      </c>
    </row>
    <row r="34271" ht="15.75" customHeight="1" spans="1:2">
      <c r="A34271" s="3" t="str">
        <f>IFERROR(__xludf.DUMMYFUNCTION("GOOGLETRANSLATE(A34271,""en"",""pt"")"),"Muito curta vida útil da bateria - volume muito limitado no anel, os acessórios são um pesadelo!")</f>
        <v>Muito curta vida útil da bateria - volume muito limitado no anel, os acessórios são um pesadelo!</v>
      </c>
      <c r="B34271" s="3">
        <v>0</v>
      </c>
    </row>
    <row r="34272" ht="15.75" customHeight="1" spans="1:2">
      <c r="A34272" s="3" t="str">
        <f>IFERROR(__xludf.DUMMYFUNCTION("GOOGLETRANSLATE(A34272,""en"",""pt"")"),"o manual não é muito bom")</f>
        <v>o manual não é muito bom</v>
      </c>
      <c r="B34272" s="3">
        <v>0</v>
      </c>
    </row>
    <row r="34273" ht="15.75" customHeight="1" spans="1:2">
      <c r="A34273" s="3" t="str">
        <f>IFERROR(__xludf.DUMMYFUNCTION("GOOGLETRANSLATE(A34273,""en"",""pt"")"),"Muito muito muito difícil e chato de usar.")</f>
        <v>Muito muito muito difícil e chato de usar.</v>
      </c>
      <c r="B34273" s="3">
        <v>0</v>
      </c>
    </row>
    <row r="34274" ht="15.75" customHeight="1" spans="1:2">
      <c r="A34274" s="3" t="str">
        <f>IFERROR(__xludf.DUMMYFUNCTION("GOOGLETRANSLATE(A34274,""en"",""pt"")"),"Terrível manuais, sem sincronia. software, alta radiação, difícil encontrar acessórios, pesado, pequeno livro de telefone.")</f>
        <v>Terrível manuais, sem sincronia. software, alta radiação, difícil encontrar acessórios, pesado, pequeno livro de telefone.</v>
      </c>
      <c r="B34274" s="3">
        <v>0</v>
      </c>
    </row>
    <row r="34275" ht="15.75" customHeight="1" spans="1:2">
      <c r="A34275" s="3" t="str">
        <f>IFERROR(__xludf.DUMMYFUNCTION("GOOGLETRANSLATE(A34275,""en"",""pt"")"),"Instrução pobre Manual")</f>
        <v>Instrução pobre Manual</v>
      </c>
      <c r="B34275" s="3">
        <v>0</v>
      </c>
    </row>
    <row r="34276" ht="15.75" customHeight="1" spans="1:2">
      <c r="A34276" s="3" t="str">
        <f>IFERROR(__xludf.DUMMYFUNCTION("GOOGLETRANSLATE(A34276,""en"",""pt"")"),"Não é bem pager dimensionado (Hey, É tudo que eu conseguia pensar!).")</f>
        <v>Não é bem pager dimensionado (Hey, É tudo que eu conseguia pensar!).</v>
      </c>
      <c r="B34276" s="3">
        <v>0</v>
      </c>
    </row>
    <row r="34277" ht="15.75" customHeight="1" spans="1:2">
      <c r="A34277" s="3" t="str">
        <f>IFERROR(__xludf.DUMMYFUNCTION("GOOGLETRANSLATE(A34277,""en"",""pt"")"),"Sem alfabética classificadas lista de telefones. A vida da bateria parece muito menos do que Startac 7768.")</f>
        <v>Sem alfabética classificadas lista de telefones. A vida da bateria parece muito menos do que Startac 7768.</v>
      </c>
      <c r="B34277" s="3">
        <v>0</v>
      </c>
    </row>
    <row r="34278" ht="15.75" customHeight="1" spans="1:2">
      <c r="A34278" s="3" t="str">
        <f>IFERROR(__xludf.DUMMYFUNCTION("GOOGLETRANSLATE(A34278,""en"",""pt"")"),"estranhamente grande antena.")</f>
        <v>estranhamente grande antena.</v>
      </c>
      <c r="B34278" s="3">
        <v>0</v>
      </c>
    </row>
    <row r="34279" ht="15.75" customHeight="1" spans="1:2">
      <c r="A34279" s="3" t="str">
        <f>IFERROR(__xludf.DUMMYFUNCTION("GOOGLETRANSLATE(A34279,""en"",""pt"")"),"Número de chaves obrigados a imprensa para livro de endereços vista")</f>
        <v>Número de chaves obrigados a imprensa para livro de endereços vista</v>
      </c>
      <c r="B34279" s="3">
        <v>0</v>
      </c>
    </row>
    <row r="34280" ht="15.75" customHeight="1" spans="1:2">
      <c r="A34280" s="3" t="str">
        <f>IFERROR(__xludf.DUMMYFUNCTION("GOOGLETRANSLATE(A34280,""en"",""pt"")"),"Até agora, nenhum contras para mim :)")</f>
        <v>Até agora, nenhum contras para mim :)</v>
      </c>
      <c r="B34280" s="3">
        <v>0</v>
      </c>
    </row>
    <row r="34281" ht="15.75" customHeight="1" spans="1:2">
      <c r="A34281" s="3" t="str">
        <f>IFERROR(__xludf.DUMMYFUNCTION("GOOGLETRANSLATE(A34281,""en"",""pt"")"),"Não é possível usar a metade dos recursos graças à interface From Hell. Antena faz detentores ombro ombros.")</f>
        <v>Não é possível usar a metade dos recursos graças à interface From Hell. Antena faz detentores ombro ombros.</v>
      </c>
      <c r="B34281" s="3">
        <v>0</v>
      </c>
    </row>
    <row r="34282" ht="15.75" customHeight="1" spans="1:2">
      <c r="A34282" s="3" t="str">
        <f>IFERROR(__xludf.DUMMYFUNCTION("GOOGLETRANSLATE(A34282,""en"",""pt"")"),"Nenhum")</f>
        <v>Nenhum</v>
      </c>
      <c r="B34282" s="3">
        <v>0</v>
      </c>
    </row>
    <row r="34283" ht="15.75" customHeight="1" spans="1:2">
      <c r="A34283" s="3" t="str">
        <f>IFERROR(__xludf.DUMMYFUNCTION("GOOGLETRANSLATE(A34283,""en"",""pt"")"),"Grande problema com o FLIP DOBRADIÇAS SEUS quebra facilmente.")</f>
        <v>Grande problema com o FLIP DOBRADIÇAS SEUS quebra facilmente.</v>
      </c>
      <c r="B34283" s="3">
        <v>0</v>
      </c>
    </row>
    <row r="34284" ht="15.75" customHeight="1" spans="1:2">
      <c r="A34284" s="3" t="str">
        <f>IFERROR(__xludf.DUMMYFUNCTION("GOOGLETRANSLATE(A34284,""en"",""pt"")"),"Mais idiota manual do conhecido para a humanidade, livro de endereços difícil, pouco apoio")</f>
        <v>Mais idiota manual do conhecido para a humanidade, livro de endereços difícil, pouco apoio</v>
      </c>
      <c r="B34284" s="3">
        <v>0</v>
      </c>
    </row>
    <row r="34285" ht="15.75" customHeight="1" spans="1:2">
      <c r="A34285" s="3" t="str">
        <f>IFERROR(__xludf.DUMMYFUNCTION("GOOGLETRANSLATE(A34285,""en"",""pt"")"),"Cuidado como você digitar nomes, ele não coloca os nomes em ordem alfabética.")</f>
        <v>Cuidado como você digitar nomes, ele não coloca os nomes em ordem alfabética.</v>
      </c>
      <c r="B34285" s="3">
        <v>0</v>
      </c>
    </row>
    <row r="34286" ht="15.75" customHeight="1" spans="1:2">
      <c r="A34286" s="3" t="str">
        <f>IFERROR(__xludf.DUMMYFUNCTION("GOOGLETRANSLATE(A34286,""en"",""pt"")"),"Bad projeto da dobradiça - com defeito")</f>
        <v>Bad projeto da dobradiça - com defeito</v>
      </c>
      <c r="B34286" s="3">
        <v>0</v>
      </c>
    </row>
    <row r="34287" ht="15.75" customHeight="1" spans="1:2">
      <c r="A34287" s="3" t="str">
        <f>IFERROR(__xludf.DUMMYFUNCTION("GOOGLETRANSLATE(A34287,""en"",""pt"")"),"Sem sinal sonoro quando as teclas são pressionadas para acessar correio de voz, etc ...")</f>
        <v>Sem sinal sonoro quando as teclas são pressionadas para acessar correio de voz, etc ...</v>
      </c>
      <c r="B34287" s="3">
        <v>0</v>
      </c>
    </row>
    <row r="34288" ht="15.75" customHeight="1" spans="1:2">
      <c r="A34288" s="3" t="str">
        <f>IFERROR(__xludf.DUMMYFUNCTION("GOOGLETRANSLATE(A34288,""en"",""pt"")"),"Phone Book, Cumbersome Menus, muito grosso")</f>
        <v>Phone Book, Cumbersome Menus, muito grosso</v>
      </c>
      <c r="B34288" s="3">
        <v>0</v>
      </c>
    </row>
    <row r="34289" ht="15.75" customHeight="1" spans="1:2">
      <c r="A34289" s="3" t="str">
        <f>IFERROR(__xludf.DUMMYFUNCTION("GOOGLETRANSLATE(A34289,""en"",""pt"")"),"manual do usuário, menus não o mais amigável")</f>
        <v>manual do usuário, menus não o mais amigável</v>
      </c>
      <c r="B34289" s="3">
        <v>0</v>
      </c>
    </row>
    <row r="34290" ht="15.75" customHeight="1" spans="1:2">
      <c r="A34290" s="3" t="str">
        <f>IFERROR(__xludf.DUMMYFUNCTION("GOOGLETRANSLATE(A34290,""en"",""pt"")"),"Manual inútil usuário. livro de telefone não é facilmente acessada-hurrah para marcação por voz! Não é possível baixar ringtones. :(")</f>
        <v>Manual inútil usuário. livro de telefone não é facilmente acessada-hurrah para marcação por voz! Não é possível baixar ringtones. :(</v>
      </c>
      <c r="B34290" s="3">
        <v>0</v>
      </c>
    </row>
    <row r="34291" ht="15.75" customHeight="1" spans="1:2">
      <c r="A34291" s="3" t="str">
        <f>IFERROR(__xludf.DUMMYFUNCTION("GOOGLETRANSLATE(A34291,""en"",""pt"")"),"Address Book Lookup é Screwy, Telefone Aquece em analógico, a vida da bateria, toques")</f>
        <v>Address Book Lookup é Screwy, Telefone Aquece em analógico, a vida da bateria, toques</v>
      </c>
      <c r="B34291" s="3">
        <v>0</v>
      </c>
    </row>
    <row r="34292" ht="15.75" customHeight="1" spans="1:2">
      <c r="A34292" s="3" t="str">
        <f>IFERROR(__xludf.DUMMYFUNCTION("GOOGLETRANSLATE(A34292,""en"",""pt"")"),"No Alpha Phone Book, chamadas abandonadas, fraca Bateria / Sinal / Volume. Pobre Alertas / Menues / Manual / No Speakerphone")</f>
        <v>No Alpha Phone Book, chamadas abandonadas, fraca Bateria / Sinal / Volume. Pobre Alertas / Menues / Manual / No Speakerphone</v>
      </c>
      <c r="B34292" s="3">
        <v>0</v>
      </c>
    </row>
    <row r="34293" ht="15.75" customHeight="1" spans="1:2">
      <c r="A34293" s="3" t="str">
        <f>IFERROR(__xludf.DUMMYFUNCTION("GOOGLETRANSLATE(A34293,""en"",""pt"")"),"Muito tempo para ligar / desligar, a apenas 20 números de discagem por voz, a duração da bateria um pouco curto")</f>
        <v>Muito tempo para ligar / desligar, a apenas 20 números de discagem por voz, a duração da bateria um pouco curto</v>
      </c>
      <c r="B34293" s="3">
        <v>0</v>
      </c>
    </row>
    <row r="34294" ht="15.75" customHeight="1" spans="1:2">
      <c r="A34294" s="3" t="str">
        <f>IFERROR(__xludf.DUMMYFUNCTION("GOOGLETRANSLATE(A34294,""en"",""pt"")"),"campainha inaudível, bateria fraca")</f>
        <v>campainha inaudível, bateria fraca</v>
      </c>
      <c r="B34294" s="3">
        <v>0</v>
      </c>
    </row>
    <row r="34295" ht="15.75" customHeight="1" spans="1:2">
      <c r="A34295" s="3" t="str">
        <f>IFERROR(__xludf.DUMMYFUNCTION("GOOGLETRANSLATE(A34295,""en"",""pt"")"),"recepção poderia ser melhor, a qualidade do som não tão bom como nokia")</f>
        <v>recepção poderia ser melhor, a qualidade do som não tão bom como nokia</v>
      </c>
      <c r="B34295" s="3">
        <v>0</v>
      </c>
    </row>
    <row r="34296" ht="15.75" customHeight="1" spans="1:2">
      <c r="A34296" s="3" t="str">
        <f>IFERROR(__xludf.DUMMYFUNCTION("GOOGLETRANSLATE(A34296,""en"",""pt"")"),"livro de telefone não-alphebatized, sem jogos, anéis ruins")</f>
        <v>livro de telefone não-alphebatized, sem jogos, anéis ruins</v>
      </c>
      <c r="B34296" s="3">
        <v>0</v>
      </c>
    </row>
    <row r="34297" ht="15.75" customHeight="1" spans="1:2">
      <c r="A34297" s="3" t="str">
        <f>IFERROR(__xludf.DUMMYFUNCTION("GOOGLETRANSLATE(A34297,""en"",""pt"")"),"MANUAL, BATERIA E HOLSTER tende a ser difícil de tomar telefone fora.")</f>
        <v>MANUAL, BATERIA E HOLSTER tende a ser difícil de tomar telefone fora.</v>
      </c>
      <c r="B34297" s="3">
        <v>0</v>
      </c>
    </row>
    <row r="34298" ht="15.75" customHeight="1" spans="1:2">
      <c r="A34298" s="3" t="str">
        <f>IFERROR(__xludf.DUMMYFUNCTION("GOOGLETRANSLATE(A34298,""en"",""pt"")"),"Não Normal Anéis, desatualizado, sem jogos, Slow Time Boot-up")</f>
        <v>Não Normal Anéis, desatualizado, sem jogos, Slow Time Boot-up</v>
      </c>
      <c r="B34298" s="3">
        <v>0</v>
      </c>
    </row>
    <row r="34299" ht="15.75" customHeight="1" spans="1:2">
      <c r="A34299" s="3" t="str">
        <f>IFERROR(__xludf.DUMMYFUNCTION("GOOGLETRANSLATE(A34299,""en"",""pt"")"),"Interface terrível Web, jogos Não ou calculadora, Sem discagem ativada por voz, nenhum alto-falante")</f>
        <v>Interface terrível Web, jogos Não ou calculadora, Sem discagem ativada por voz, nenhum alto-falante</v>
      </c>
      <c r="B34299" s="3">
        <v>0</v>
      </c>
    </row>
    <row r="34300" ht="15.75" customHeight="1" spans="1:2">
      <c r="A34300" s="3" t="str">
        <f>IFERROR(__xludf.DUMMYFUNCTION("GOOGLETRANSLATE(A34300,""en"",""pt"")"),"placa face frontal arranha facilmente. placa traseira escorregadio.")</f>
        <v>placa face frontal arranha facilmente. placa traseira escorregadio.</v>
      </c>
      <c r="B34300" s="3">
        <v>0</v>
      </c>
    </row>
    <row r="34301" ht="15.75" customHeight="1" spans="1:2">
      <c r="A34301" s="3" t="str">
        <f>IFERROR(__xludf.DUMMYFUNCTION("GOOGLETRANSLATE(A34301,""en"",""pt"")"),"jogos longos carregar vezes, difícil de recuperar um número de telefone")</f>
        <v>jogos longos carregar vezes, difícil de recuperar um número de telefone</v>
      </c>
      <c r="B34301" s="3">
        <v>0</v>
      </c>
    </row>
    <row r="34302" ht="15.75" customHeight="1" spans="1:2">
      <c r="A34302" s="3" t="str">
        <f>IFERROR(__xludf.DUMMYFUNCTION("GOOGLETRANSLATE(A34302,""en"",""pt"")"),"menus e preço ...")</f>
        <v>menus e preço ...</v>
      </c>
      <c r="B34302" s="3">
        <v>0</v>
      </c>
    </row>
    <row r="34303" ht="15.75" customHeight="1" spans="1:2">
      <c r="A34303" s="3" t="str">
        <f>IFERROR(__xludf.DUMMYFUNCTION("GOOGLETRANSLATE(A34303,""en"",""pt"")"),"Muito pequeno?")</f>
        <v>Muito pequeno?</v>
      </c>
      <c r="B34303" s="3">
        <v>0</v>
      </c>
    </row>
    <row r="34304" ht="15.75" customHeight="1" spans="1:2">
      <c r="A34304" s="3" t="str">
        <f>IFERROR(__xludf.DUMMYFUNCTION("GOOGLETRANSLATE(A34304,""en"",""pt"")"),"Pequeno, rangidos de caso em meu ouvido, gotas chamadas, parece que barra de sabão, botões não respondem")</f>
        <v>Pequeno, rangidos de caso em meu ouvido, gotas chamadas, parece que barra de sabão, botões não respondem</v>
      </c>
      <c r="B34304" s="3">
        <v>0</v>
      </c>
    </row>
    <row r="34305" ht="15.75" customHeight="1" spans="1:2">
      <c r="A34305" s="3" t="str">
        <f>IFERROR(__xludf.DUMMYFUNCTION("GOOGLETRANSLATE(A34305,""en"",""pt"")"),"pegada pequena, animação pobre, navegação poderia ser melhor")</f>
        <v>pegada pequena, animação pobre, navegação poderia ser melhor</v>
      </c>
      <c r="B34305" s="3">
        <v>0</v>
      </c>
    </row>
    <row r="34306" ht="15.75" customHeight="1" spans="1:2">
      <c r="A34306" s="3" t="str">
        <f>IFERROR(__xludf.DUMMYFUNCTION("GOOGLETRANSLATE(A34306,""en"",""pt"")"),"teclas numéricas pequenas")</f>
        <v>teclas numéricas pequenas</v>
      </c>
      <c r="B34306" s="3">
        <v>0</v>
      </c>
    </row>
    <row r="34307" ht="15.75" customHeight="1" spans="1:2">
      <c r="A34307" s="3" t="str">
        <f>IFERROR(__xludf.DUMMYFUNCTION("GOOGLETRANSLATE(A34307,""en"",""pt"")"),"Bad recepção, baixo volume de anel.")</f>
        <v>Bad recepção, baixo volume de anel.</v>
      </c>
      <c r="B34307" s="3">
        <v>0</v>
      </c>
    </row>
    <row r="34308" ht="15.75" customHeight="1" spans="1:2">
      <c r="A34308" s="3" t="str">
        <f>IFERROR(__xludf.DUMMYFUNCTION("GOOGLETRANSLATE(A34308,""en"",""pt"")"),"É um telefone Siemens")</f>
        <v>É um telefone Siemens</v>
      </c>
      <c r="B34308" s="3">
        <v>0</v>
      </c>
    </row>
    <row r="34309" ht="15.75" customHeight="1" spans="1:2">
      <c r="A34309" s="3" t="str">
        <f>IFERROR(__xludf.DUMMYFUNCTION("GOOGLETRANSLATE(A34309,""en"",""pt"")"),"pode ser difícil de ouvir no")</f>
        <v>pode ser difícil de ouvir no</v>
      </c>
      <c r="B34309" s="3">
        <v>0</v>
      </c>
    </row>
    <row r="34310" ht="15.75" customHeight="1" spans="1:2">
      <c r="A34310" s="3" t="str">
        <f>IFERROR(__xludf.DUMMYFUNCTION("GOOGLETRANSLATE(A34310,""en"",""pt"")"),"Tela No Color.")</f>
        <v>Tela No Color.</v>
      </c>
      <c r="B34310" s="3">
        <v>0</v>
      </c>
    </row>
    <row r="34311" ht="15.75" customHeight="1" spans="1:2">
      <c r="A34311" s="3" t="str">
        <f>IFERROR(__xludf.DUMMYFUNCTION("GOOGLETRANSLATE(A34311,""en"",""pt"")"),"tempo de carregamento longo, a opção de vibração é duvidoso.")</f>
        <v>tempo de carregamento longo, a opção de vibração é duvidoso.</v>
      </c>
      <c r="B34311" s="3">
        <v>0</v>
      </c>
    </row>
    <row r="34312" ht="15.75" customHeight="1" spans="1:2">
      <c r="A34312" s="3" t="str">
        <f>IFERROR(__xludf.DUMMYFUNCTION("GOOGLETRANSLATE(A34312,""en"",""pt"")"),"Looks Cheapy, difícil de ouvir em ambientes barulhentos")</f>
        <v>Looks Cheapy, difícil de ouvir em ambientes barulhentos</v>
      </c>
      <c r="B34312" s="3">
        <v>0</v>
      </c>
    </row>
    <row r="34313" ht="15.75" customHeight="1" spans="1:2">
      <c r="A34313" s="3" t="str">
        <f>IFERROR(__xludf.DUMMYFUNCTION("GOOGLETRANSLATE(A34313,""en"",""pt"")"),"Nenhum")</f>
        <v>Nenhum</v>
      </c>
      <c r="B34313" s="3">
        <v>0</v>
      </c>
    </row>
    <row r="34314" ht="15.75" customHeight="1" spans="1:2">
      <c r="A34314" s="3" t="str">
        <f>IFERROR(__xludf.DUMMYFUNCTION("GOOGLETRANSLATE(A34314,""en"",""pt"")"),"Speaker fraco, um pouco glitchy, comandos de voz ruim, sem cores? =)")</f>
        <v>Speaker fraco, um pouco glitchy, comandos de voz ruim, sem cores? =)</v>
      </c>
      <c r="B34314" s="3">
        <v>0</v>
      </c>
    </row>
    <row r="34315" ht="15.75" customHeight="1" spans="1:2">
      <c r="A34315" s="3" t="str">
        <f>IFERROR(__xludf.DUMMYFUNCTION("GOOGLETRANSLATE(A34315,""en"",""pt"")"),"Disponível apenas através de uma transportadora, caros, acessórios limitados")</f>
        <v>Disponível apenas através de uma transportadora, caros, acessórios limitados</v>
      </c>
      <c r="B34315" s="3">
        <v>0</v>
      </c>
    </row>
    <row r="34316" ht="15.75" customHeight="1" spans="1:2">
      <c r="A34316" s="3" t="str">
        <f>IFERROR(__xludf.DUMMYFUNCTION("GOOGLETRANSLATE(A34316,""en"",""pt"")"),"curta da bateria, pressione qualquer pressão na tecla de pôr em prática")</f>
        <v>curta da bateria, pressione qualquer pressão na tecla de pôr em prática</v>
      </c>
      <c r="B34316" s="3">
        <v>0</v>
      </c>
    </row>
    <row r="34317" ht="15.75" customHeight="1" spans="1:2">
      <c r="A34317" s="3" t="str">
        <f>IFERROR(__xludf.DUMMYFUNCTION("GOOGLETRANSLATE(A34317,""en"",""pt"")"),"Abaixo média de vida da bateria, falta de acessórios, programas / utilitários, o volume do altifalante não on-board")</f>
        <v>Abaixo média de vida da bateria, falta de acessórios, programas / utilitários, o volume do altifalante não on-board</v>
      </c>
      <c r="B34317" s="3">
        <v>0</v>
      </c>
    </row>
    <row r="34318" ht="15.75" customHeight="1" spans="1:2">
      <c r="A34318" s="3" t="str">
        <f>IFERROR(__xludf.DUMMYFUNCTION("GOOGLETRANSLATE(A34318,""en"",""pt"")"),"pode ser muito pequeno ou luz para aqueles que perdem as coisas facilmente")</f>
        <v>pode ser muito pequeno ou luz para aqueles que perdem as coisas facilmente</v>
      </c>
      <c r="B34318" s="3">
        <v>0</v>
      </c>
    </row>
    <row r="34319" ht="15.75" customHeight="1" spans="1:2">
      <c r="A34319" s="3" t="str">
        <f>IFERROR(__xludf.DUMMYFUNCTION("GOOGLETRANSLATE(A34319,""en"",""pt"")"),"fede viva-voz")</f>
        <v>fede viva-voz</v>
      </c>
      <c r="B34319" s="3">
        <v>0</v>
      </c>
    </row>
    <row r="34320" ht="15.75" customHeight="1" spans="1:2">
      <c r="A34320" s="3" t="str">
        <f>IFERROR(__xludf.DUMMYFUNCTION("GOOGLETRANSLATE(A34320,""en"",""pt"")"),"ativação de voz, teclas pequenas, pobre vida útil da bateria (depois de 24 horas, 5 chamadas está morto).")</f>
        <v>ativação de voz, teclas pequenas, pobre vida útil da bateria (depois de 24 horas, 5 chamadas está morto).</v>
      </c>
      <c r="B34320" s="3">
        <v>0</v>
      </c>
    </row>
    <row r="34321" ht="15.75" customHeight="1" spans="1:2">
      <c r="A34321" s="3" t="str">
        <f>IFERROR(__xludf.DUMMYFUNCTION("GOOGLETRANSLATE(A34321,""en"",""pt"")"),"a vida da bateria muito curto")</f>
        <v>a vida da bateria muito curto</v>
      </c>
      <c r="B34321" s="3">
        <v>0</v>
      </c>
    </row>
    <row r="34322" ht="15.75" customHeight="1" spans="1:2">
      <c r="A34322" s="3" t="str">
        <f>IFERROR(__xludf.DUMMYFUNCTION("GOOGLETRANSLATE(A34322,""en"",""pt"")"),"A vida da bateria, fácil de scratch / chip pequeno / leve.")</f>
        <v>A vida da bateria, fácil de scratch / chip pequeno / leve.</v>
      </c>
      <c r="B34322" s="3">
        <v>0</v>
      </c>
    </row>
    <row r="34323" ht="15.75" customHeight="1" spans="1:2">
      <c r="A34323" s="3" t="str">
        <f>IFERROR(__xludf.DUMMYFUNCTION("GOOGLETRANSLATE(A34323,""en"",""pt"")"),"não tão facilmente navegável como Nokia, um pouco toylike")</f>
        <v>não tão facilmente navegável como Nokia, um pouco toylike</v>
      </c>
      <c r="B34323" s="3">
        <v>0</v>
      </c>
    </row>
    <row r="34324" ht="15.75" customHeight="1" spans="1:2">
      <c r="A34324" s="3" t="str">
        <f>IFERROR(__xludf.DUMMYFUNCTION("GOOGLETRANSLATE(A34324,""en"",""pt"")"),"ver: &amp; # 13; &amp; # 10; http: //www.epinions.com/content_48058371716&amp;#13; &amp; # 10;")</f>
        <v>ver: &amp; # 13; &amp; # 10; http: //www.epinions.com/content_48058371716&amp;#13; &amp; # 10;</v>
      </c>
      <c r="B34324" s="3">
        <v>0</v>
      </c>
    </row>
    <row r="34325" ht="15.75" customHeight="1" spans="1:2">
      <c r="A34325" s="3" t="str">
        <f>IFERROR(__xludf.DUMMYFUNCTION("GOOGLETRANSLATE(A34325,""en"",""pt"")"),"Recepção, arranhões facilmente, comandos de voz são uma piada")</f>
        <v>Recepção, arranhões facilmente, comandos de voz são uma piada</v>
      </c>
      <c r="B34325" s="3">
        <v>0</v>
      </c>
    </row>
    <row r="34326" ht="15.75" customHeight="1" spans="1:2">
      <c r="A34326" s="3" t="str">
        <f>IFERROR(__xludf.DUMMYFUNCTION("GOOGLETRANSLATE(A34326,""en"",""pt"")"),"não muito grande")</f>
        <v>não muito grande</v>
      </c>
      <c r="B34326" s="3">
        <v>0</v>
      </c>
    </row>
    <row r="34327" ht="15.75" customHeight="1" spans="1:2">
      <c r="A34327" s="3" t="str">
        <f>IFERROR(__xludf.DUMMYFUNCTION("GOOGLETRANSLATE(A34327,""en"",""pt"")"),"A vida da bateria. livro de telefone estranho.")</f>
        <v>A vida da bateria. livro de telefone estranho.</v>
      </c>
      <c r="B34327" s="3">
        <v>0</v>
      </c>
    </row>
    <row r="34328" ht="15.75" customHeight="1" spans="1:2">
      <c r="A34328" s="3" t="str">
        <f>IFERROR(__xludf.DUMMYFUNCTION("GOOGLETRANSLATE(A34328,""en"",""pt"")"),"o volume das colunas de baixo, há capacidades web !!!")</f>
        <v>o volume das colunas de baixo, há capacidades web !!!</v>
      </c>
      <c r="B34328" s="3">
        <v>0</v>
      </c>
    </row>
    <row r="34329" ht="15.75" customHeight="1" spans="1:2">
      <c r="A34329" s="3" t="str">
        <f>IFERROR(__xludf.DUMMYFUNCTION("GOOGLETRANSLATE(A34329,""en"",""pt"")"),"altos, escolhas web sem fio")</f>
        <v>altos, escolhas web sem fio</v>
      </c>
      <c r="B34329" s="3">
        <v>0</v>
      </c>
    </row>
    <row r="34330" ht="15.75" customHeight="1" spans="1:2">
      <c r="A34330" s="3" t="str">
        <f>IFERROR(__xludf.DUMMYFUNCTION("GOOGLETRANSLATE(A34330,""en"",""pt"")"),"volume baixo")</f>
        <v>volume baixo</v>
      </c>
      <c r="B34330" s="3">
        <v>0</v>
      </c>
    </row>
    <row r="34331" ht="15.75" customHeight="1" spans="1:2">
      <c r="A34331" s="3" t="str">
        <f>IFERROR(__xludf.DUMMYFUNCTION("GOOGLETRANSLATE(A34331,""en"",""pt"")"),"odeio a pequena antena")</f>
        <v>odeio a pequena antena</v>
      </c>
      <c r="B34331" s="3">
        <v>0</v>
      </c>
    </row>
    <row r="34332" ht="15.75" customHeight="1" spans="1:2">
      <c r="A34332" s="3" t="str">
        <f>IFERROR(__xludf.DUMMYFUNCTION("GOOGLETRANSLATE(A34332,""en"",""pt"")"),"Nenhum")</f>
        <v>Nenhum</v>
      </c>
      <c r="B34332" s="3">
        <v>0</v>
      </c>
    </row>
    <row r="34333" ht="15.75" customHeight="1" spans="1:2">
      <c r="A34333" s="3" t="str">
        <f>IFERROR(__xludf.DUMMYFUNCTION("GOOGLETRANSLATE(A34333,""en"",""pt"")"),"Baixo, Baixo, que eu disse volume baixo em ambos altofalante anel e ouvido.")</f>
        <v>Baixo, Baixo, que eu disse volume baixo em ambos altofalante anel e ouvido.</v>
      </c>
      <c r="B34333" s="3">
        <v>0</v>
      </c>
    </row>
    <row r="34334" ht="15.75" customHeight="1" spans="1:2">
      <c r="A34334" s="3" t="str">
        <f>IFERROR(__xludf.DUMMYFUNCTION("GOOGLETRANSLATE(A34334,""en"",""pt"")"),"só pode comprar acessórios da ATT")</f>
        <v>só pode comprar acessórios da ATT</v>
      </c>
      <c r="B34334" s="3">
        <v>0</v>
      </c>
    </row>
    <row r="34335" ht="15.75" customHeight="1" spans="1:2">
      <c r="A34335" s="3" t="str">
        <f>IFERROR(__xludf.DUMMYFUNCTION("GOOGLETRANSLATE(A34335,""en"",""pt"")"),"não bater o suficiente para a bola, conexões ruins")</f>
        <v>não bater o suficiente para a bola, conexões ruins</v>
      </c>
      <c r="B34335" s="3">
        <v>0</v>
      </c>
    </row>
    <row r="34336" ht="15.75" customHeight="1" spans="1:2">
      <c r="A34336" s="3" t="str">
        <f>IFERROR(__xludf.DUMMYFUNCTION("GOOGLETRANSLATE(A34336,""en"",""pt"")"),"falta de recursos")</f>
        <v>falta de recursos</v>
      </c>
      <c r="B34336" s="3">
        <v>0</v>
      </c>
    </row>
    <row r="34337" ht="15.75" customHeight="1" spans="1:2">
      <c r="A34337" s="3" t="str">
        <f>IFERROR(__xludf.DUMMYFUNCTION("GOOGLETRANSLATE(A34337,""en"",""pt"")"),"Precisa de uma bateria estendida (ver comentário)")</f>
        <v>Precisa de uma bateria estendida (ver comentário)</v>
      </c>
      <c r="B34337" s="3">
        <v>0</v>
      </c>
    </row>
    <row r="34338" ht="15.75" customHeight="1" spans="1:2">
      <c r="A34338" s="3" t="str">
        <f>IFERROR(__xludf.DUMMYFUNCTION("GOOGLETRANSLATE(A34338,""en"",""pt"")"),"transportadora ATT na cidade")</f>
        <v>transportadora ATT na cidade</v>
      </c>
      <c r="B34338" s="3">
        <v>0</v>
      </c>
    </row>
    <row r="34339" ht="15.75" customHeight="1" spans="1:2">
      <c r="A34339" s="3" t="str">
        <f>IFERROR(__xludf.DUMMYFUNCTION("GOOGLETRANSLATE(A34339,""en"",""pt"")"),"seleção ringtone pequena")</f>
        <v>seleção ringtone pequena</v>
      </c>
      <c r="B34339" s="3">
        <v>0</v>
      </c>
    </row>
    <row r="34340" ht="15.75" customHeight="1" spans="1:2">
      <c r="A34340" s="3" t="str">
        <f>IFERROR(__xludf.DUMMYFUNCTION("GOOGLETRANSLATE(A34340,""en"",""pt"")"),"a pior recepção que nunca. lotes de chamadas abandonadas.")</f>
        <v>a pior recepção que nunca. lotes de chamadas abandonadas.</v>
      </c>
      <c r="B34340" s="3">
        <v>0</v>
      </c>
    </row>
    <row r="34341" ht="15.75" customHeight="1" spans="1:2">
      <c r="A34341" s="3" t="str">
        <f>IFERROR(__xludf.DUMMYFUNCTION("GOOGLETRANSLATE(A34341,""en"",""pt"")"),"a vida da bateria mais curta?")</f>
        <v>a vida da bateria mais curta?</v>
      </c>
      <c r="B34341" s="3">
        <v>0</v>
      </c>
    </row>
    <row r="34342" ht="15.75" customHeight="1" spans="1:2">
      <c r="A34342" s="3" t="str">
        <f>IFERROR(__xludf.DUMMYFUNCTION("GOOGLETRANSLATE(A34342,""en"",""pt"")"),"Poderia ser mais alta, nível de radiação de alta, a vida da bateria não é impressionante")</f>
        <v>Poderia ser mais alta, nível de radiação de alta, a vida da bateria não é impressionante</v>
      </c>
      <c r="B34342" s="3">
        <v>0</v>
      </c>
    </row>
    <row r="34343" ht="15.75" customHeight="1" spans="1:2">
      <c r="A34343" s="3" t="str">
        <f>IFERROR(__xludf.DUMMYFUNCTION("GOOGLETRANSLATE(A34343,""en"",""pt"")"),"nenhum jogo")</f>
        <v>nenhum jogo</v>
      </c>
      <c r="B34343" s="3">
        <v>0</v>
      </c>
    </row>
    <row r="34344" ht="15.75" customHeight="1" spans="1:2">
      <c r="A34344" s="3" t="str">
        <f>IFERROR(__xludf.DUMMYFUNCTION("GOOGLETRANSLATE(A34344,""en"",""pt"")"),"sem jogos, sem calculadora, novos toques requer programação complexa, reconhecimento de voz precisa de trabalho")</f>
        <v>sem jogos, sem calculadora, novos toques requer programação complexa, reconhecimento de voz precisa de trabalho</v>
      </c>
      <c r="B34344" s="3">
        <v>0</v>
      </c>
    </row>
    <row r="34345" ht="15.75" customHeight="1" spans="1:2">
      <c r="A34345" s="3" t="str">
        <f>IFERROR(__xludf.DUMMYFUNCTION("GOOGLETRANSLATE(A34345,""en"",""pt"")"),"LISTA DE TELEFONE GRANDE ...")</f>
        <v>LISTA DE TELEFONE GRANDE ...</v>
      </c>
      <c r="B34345" s="3">
        <v>0</v>
      </c>
    </row>
    <row r="34346" ht="15.75" customHeight="1" spans="1:2">
      <c r="A34346" s="3" t="str">
        <f>IFERROR(__xludf.DUMMYFUNCTION("GOOGLETRANSLATE(A34346,""en"",""pt"")"),"botões são pequenos, difíceis de encontrar acessórios, exceto on-line ou da AT &amp; T.")</f>
        <v>botões são pequenos, difíceis de encontrar acessórios, exceto on-line ou da AT &amp; T.</v>
      </c>
      <c r="B34346" s="3">
        <v>0</v>
      </c>
    </row>
    <row r="34347" ht="15.75" customHeight="1" spans="1:2">
      <c r="A34347" s="3" t="str">
        <f>IFERROR(__xludf.DUMMYFUNCTION("GOOGLETRANSLATE(A34347,""en"",""pt"")"),"A vida da bateria, toques ruim, difícil de ouvir com o ruído de fundo.")</f>
        <v>A vida da bateria, toques ruim, difícil de ouvir com o ruído de fundo.</v>
      </c>
      <c r="B34347" s="3">
        <v>0</v>
      </c>
    </row>
    <row r="34348" ht="15.75" customHeight="1" spans="1:2">
      <c r="A34348" s="3" t="str">
        <f>IFERROR(__xludf.DUMMYFUNCTION("GOOGLETRANSLATE(A34348,""en"",""pt"")"),"Muito caro. Fome de poder.")</f>
        <v>Muito caro. Fome de poder.</v>
      </c>
      <c r="B34348" s="3">
        <v>0</v>
      </c>
    </row>
    <row r="34349" ht="15.75" customHeight="1" spans="1:2">
      <c r="A34349" s="3" t="str">
        <f>IFERROR(__xludf.DUMMYFUNCTION("GOOGLETRANSLATE(A34349,""en"",""pt"")"),"Algumas funções do telefone são difíceis &amp; # 150; lista de rolagem em particular. vida de bateria fraca.")</f>
        <v>Algumas funções do telefone são difíceis &amp; # 150; lista de rolagem em particular. vida de bateria fraca.</v>
      </c>
      <c r="B34349" s="3">
        <v>0</v>
      </c>
    </row>
    <row r="34350" ht="15.75" customHeight="1" spans="1:2">
      <c r="A34350" s="3" t="str">
        <f>IFERROR(__xludf.DUMMYFUNCTION("GOOGLETRANSLATE(A34350,""en"",""pt"")"),"A vida da bateria, a tela durante o dia.")</f>
        <v>A vida da bateria, a tela durante o dia.</v>
      </c>
      <c r="B34350" s="3">
        <v>0</v>
      </c>
    </row>
    <row r="34351" ht="15.75" customHeight="1" spans="1:2">
      <c r="A34351" s="3" t="str">
        <f>IFERROR(__xludf.DUMMYFUNCTION("GOOGLETRANSLATE(A34351,""en"",""pt"")"),"Tela poderia usar um pouco de ajuda, integração Palm / Telefone não 100% ainda")</f>
        <v>Tela poderia usar um pouco de ajuda, integração Palm / Telefone não 100% ainda</v>
      </c>
      <c r="B34351" s="3">
        <v>0</v>
      </c>
    </row>
    <row r="34352" ht="15.75" customHeight="1" spans="1:2">
      <c r="A34352" s="3" t="str">
        <f>IFERROR(__xludf.DUMMYFUNCTION("GOOGLETRANSLATE(A34352,""en"",""pt"")"),"É um tijolo, regularmente congela, a tela em dias de sol, conexão serial")</f>
        <v>É um tijolo, regularmente congela, a tela em dias de sol, conexão serial</v>
      </c>
      <c r="B34352" s="3">
        <v>0</v>
      </c>
    </row>
    <row r="34353" ht="15.75" customHeight="1" spans="1:2">
      <c r="A34353" s="3" t="str">
        <f>IFERROR(__xludf.DUMMYFUNCTION("GOOGLETRANSLATE(A34353,""en"",""pt"")"),"Tamanho grande")</f>
        <v>Tamanho grande</v>
      </c>
      <c r="B34353" s="3">
        <v>0</v>
      </c>
    </row>
    <row r="34354" ht="15.75" customHeight="1" spans="1:2">
      <c r="A34354" s="3" t="str">
        <f>IFERROR(__xludf.DUMMYFUNCTION("GOOGLETRANSLATE(A34354,""en"",""pt"")"),"qualidade da tela sob luz solar intensa, Serial cradle sync quente com base.")</f>
        <v>qualidade da tela sob luz solar intensa, Serial cradle sync quente com base.</v>
      </c>
      <c r="B34354" s="3">
        <v>0</v>
      </c>
    </row>
    <row r="34355" ht="15.75" customHeight="1" spans="1:2">
      <c r="A34355" s="3" t="str">
        <f>IFERROR(__xludf.DUMMYFUNCTION("GOOGLETRANSLATE(A34355,""en"",""pt"")"),"CARO; só funciona com o serviço de PCS da Sprint; leva algum tempo para se acostumar.")</f>
        <v>CARO; só funciona com o serviço de PCS da Sprint; leva algum tempo para se acostumar.</v>
      </c>
      <c r="B34355" s="3">
        <v>0</v>
      </c>
    </row>
    <row r="34356" ht="15.75" customHeight="1" spans="1:2">
      <c r="A34356" s="3" t="str">
        <f>IFERROR(__xludf.DUMMYFUNCTION("GOOGLETRANSLATE(A34356,""en"",""pt"")"),"Pode ser inconveniente se você não quiser usar um dispositivo Palm.")</f>
        <v>Pode ser inconveniente se você não quiser usar um dispositivo Palm.</v>
      </c>
      <c r="B34356" s="3">
        <v>0</v>
      </c>
    </row>
    <row r="34357" ht="15.75" customHeight="1" spans="1:2">
      <c r="A34357" s="3" t="str">
        <f>IFERROR(__xludf.DUMMYFUNCTION("GOOGLETRANSLATE(A34357,""en"",""pt"")"),"É de US $ 500, mas é perfeita fusão de telefone e Palm.")</f>
        <v>É de US $ 500, mas é perfeita fusão de telefone e Palm.</v>
      </c>
      <c r="B34357" s="3">
        <v>0</v>
      </c>
    </row>
    <row r="34358" ht="15.75" customHeight="1" spans="1:2">
      <c r="A34358" s="3" t="str">
        <f>IFERROR(__xludf.DUMMYFUNCTION("GOOGLETRANSLATE(A34358,""en"",""pt"")"),"Se você tem dedos grandes, você vai precisar usar a caneta para fazer chamadas telefônicas.")</f>
        <v>Se você tem dedos grandes, você vai precisar usar a caneta para fazer chamadas telefônicas.</v>
      </c>
      <c r="B34358" s="3">
        <v>0</v>
      </c>
    </row>
    <row r="34359" ht="15.75" customHeight="1" spans="1:2">
      <c r="A34359" s="3" t="str">
        <f>IFERROR(__xludf.DUMMYFUNCTION("GOOGLETRANSLATE(A34359,""en"",""pt"")"),"Pode ser um pouco confuso no início")</f>
        <v>Pode ser um pouco confuso no início</v>
      </c>
      <c r="B34359" s="3">
        <v>0</v>
      </c>
    </row>
    <row r="34360" ht="15.75" customHeight="1" spans="1:2">
      <c r="A34360" s="3" t="str">
        <f>IFERROR(__xludf.DUMMYFUNCTION("GOOGLETRANSLATE(A34360,""en"",""pt"")"),"tecnologia antiga. navegador obsoleto e inútil")</f>
        <v>tecnologia antiga. navegador obsoleto e inútil</v>
      </c>
      <c r="B34360" s="3">
        <v>0</v>
      </c>
    </row>
    <row r="34361" ht="15.75" customHeight="1" spans="1:2">
      <c r="A34361" s="3" t="str">
        <f>IFERROR(__xludf.DUMMYFUNCTION("GOOGLETRANSLATE(A34361,""en"",""pt"")"),"Nunca mude as pilhas, Custo, tela colorida poderia ser melhor, difícil de ver à luz do dia")</f>
        <v>Nunca mude as pilhas, Custo, tela colorida poderia ser melhor, difícil de ver à luz do dia</v>
      </c>
      <c r="B34361" s="3">
        <v>0</v>
      </c>
    </row>
    <row r="34362" ht="15.75" customHeight="1" spans="1:2">
      <c r="A34362" s="3" t="str">
        <f>IFERROR(__xludf.DUMMYFUNCTION("GOOGLETRANSLATE(A34362,""en"",""pt"")"),"irá congelar em você; maior do que a maioria dos telefones")</f>
        <v>irá congelar em você; maior do que a maioria dos telefones</v>
      </c>
      <c r="B34362" s="3">
        <v>0</v>
      </c>
    </row>
    <row r="34363" ht="15.75" customHeight="1" spans="1:2">
      <c r="A34363" s="3" t="str">
        <f>IFERROR(__xludf.DUMMYFUNCTION("GOOGLETRANSLATE(A34363,""en"",""pt"")"),"Um pouco grande demais, alguns problemas com aplicativos partido, erros, problemas de caneta 3d")</f>
        <v>Um pouco grande demais, alguns problemas com aplicativos partido, erros, problemas de caneta 3d</v>
      </c>
      <c r="B34363" s="3">
        <v>0</v>
      </c>
    </row>
    <row r="34364" ht="15.75" customHeight="1" spans="1:2">
      <c r="A34364" s="3" t="str">
        <f>IFERROR(__xludf.DUMMYFUNCTION("GOOGLETRANSLATE(A34364,""en"",""pt"")"),"Primeira Geração produto ainda tem falhas principais")</f>
        <v>Primeira Geração produto ainda tem falhas principais</v>
      </c>
      <c r="B34364" s="3">
        <v>0</v>
      </c>
    </row>
    <row r="34365" ht="15.75" customHeight="1" spans="1:2">
      <c r="A34365" s="3" t="str">
        <f>IFERROR(__xludf.DUMMYFUNCTION("GOOGLETRANSLATE(A34365,""en"",""pt"")"),"Acessando números não usando a caneta &amp; # 13; &amp; # 10; leva muito tempo com botões de rolagem")</f>
        <v>Acessando números não usando a caneta &amp; # 13; &amp; # 10; leva muito tempo com botões de rolagem</v>
      </c>
      <c r="B34365" s="3">
        <v>0</v>
      </c>
    </row>
    <row r="34366" ht="15.75" customHeight="1" spans="1:2">
      <c r="A34366" s="3" t="str">
        <f>IFERROR(__xludf.DUMMYFUNCTION("GOOGLETRANSLATE(A34366,""en"",""pt"")"),"escrita Graffiti requer alguma prática, tela escura na luz solar, má captação viva-voz")</f>
        <v>escrita Graffiti requer alguma prática, tela escura na luz solar, má captação viva-voz</v>
      </c>
      <c r="B34366" s="3">
        <v>0</v>
      </c>
    </row>
    <row r="34367" ht="15.75" customHeight="1" spans="1:2">
      <c r="A34367" s="3" t="str">
        <f>IFERROR(__xludf.DUMMYFUNCTION("GOOGLETRANSLATE(A34367,""en"",""pt"")"),"tela pequena, difícil de ver a tela sob luz solar intensa.")</f>
        <v>tela pequena, difícil de ver a tela sob luz solar intensa.</v>
      </c>
      <c r="B34367" s="3">
        <v>0</v>
      </c>
    </row>
    <row r="34368" ht="15.75" customHeight="1" spans="1:2">
      <c r="A34368" s="3" t="str">
        <f>IFERROR(__xludf.DUMMYFUNCTION("GOOGLETRANSLATE(A34368,""en"",""pt"")"),"acabamento prateado / Slick torna fácil escorregar das mãos. Acessórios difíceis de encontrar. 8MB limitação.")</f>
        <v>acabamento prateado / Slick torna fácil escorregar das mãos. Acessórios difíceis de encontrar. 8MB limitação.</v>
      </c>
      <c r="B34368" s="3">
        <v>0</v>
      </c>
    </row>
    <row r="34369" ht="15.75" customHeight="1" spans="1:2">
      <c r="A34369" s="3" t="str">
        <f>IFERROR(__xludf.DUMMYFUNCTION("GOOGLETRANSLATE(A34369,""en"",""pt"")"),"Frágil, carece de slots de expansão, opções de casos inferiores")</f>
        <v>Frágil, carece de slots de expansão, opções de casos inferiores</v>
      </c>
      <c r="B34369" s="3">
        <v>0</v>
      </c>
    </row>
    <row r="34370" ht="15.75" customHeight="1" spans="1:2">
      <c r="A34370" s="3" t="str">
        <f>IFERROR(__xludf.DUMMYFUNCTION("GOOGLETRANSLATE(A34370,""en"",""pt"")"),"É o primeiro de seu tipo oferecido pela Samsung - podem utilizar melhoria")</f>
        <v>É o primeiro de seu tipo oferecido pela Samsung - podem utilizar melhoria</v>
      </c>
      <c r="B34370" s="3">
        <v>0</v>
      </c>
    </row>
    <row r="34371" ht="15.75" customHeight="1" spans="1:2">
      <c r="A34371" s="3" t="str">
        <f>IFERROR(__xludf.DUMMYFUNCTION("GOOGLETRANSLATE(A34371,""en"",""pt"")"),"Sem botões para discar * &amp; # 13; &amp; # 10; Dim na luz solar")</f>
        <v>Sem botões para discar * &amp; # 13; &amp; # 10; Dim na luz solar</v>
      </c>
      <c r="B34371" s="3">
        <v>0</v>
      </c>
    </row>
    <row r="34372" ht="15.75" customHeight="1" spans="1:2">
      <c r="A34372" s="3" t="str">
        <f>IFERROR(__xludf.DUMMYFUNCTION("GOOGLETRANSLATE(A34372,""en"",""pt"")"),"Nenhum")</f>
        <v>Nenhum</v>
      </c>
      <c r="B34372" s="3">
        <v>0</v>
      </c>
    </row>
    <row r="34373" ht="15.75" customHeight="1" spans="1:2">
      <c r="A34373" s="3" t="str">
        <f>IFERROR(__xludf.DUMMYFUNCTION("GOOGLETRANSLATE(A34373,""en"",""pt"")"),"colocação botão ruim, tela sensível ao toque e de chamada não se misturam bem.")</f>
        <v>colocação botão ruim, tela sensível ao toque e de chamada não se misturam bem.</v>
      </c>
      <c r="B34373" s="3">
        <v>0</v>
      </c>
    </row>
    <row r="34374" ht="15.75" customHeight="1" spans="1:2">
      <c r="A34374" s="3" t="str">
        <f>IFERROR(__xludf.DUMMYFUNCTION("GOOGLETRANSLATE(A34374,""en"",""pt"")"),"volume da campainha, clareza orador, preço")</f>
        <v>volume da campainha, clareza orador, preço</v>
      </c>
      <c r="B34374" s="3">
        <v>0</v>
      </c>
    </row>
    <row r="34375" ht="15.75" customHeight="1" spans="1:2">
      <c r="A34375" s="3" t="str">
        <f>IFERROR(__xludf.DUMMYFUNCTION("GOOGLETRANSLATE(A34375,""en"",""pt"")"),"sem sincronização USB ..., sprint não fornece serviços de SMTP para o envio de e-mail.")</f>
        <v>sem sincronização USB ..., sprint não fornece serviços de SMTP para o envio de e-mail.</v>
      </c>
      <c r="B34375" s="3">
        <v>0</v>
      </c>
    </row>
    <row r="34376" ht="15.75" customHeight="1" spans="1:2">
      <c r="A34376" s="3" t="str">
        <f>IFERROR(__xludf.DUMMYFUNCTION("GOOGLETRANSLATE(A34376,""en"",""pt"")"),"Nenhum cabo USB disponível, você tem que ter uma série de conversor USB.")</f>
        <v>Nenhum cabo USB disponível, você tem que ter uma série de conversor USB.</v>
      </c>
      <c r="B34376" s="3">
        <v>0</v>
      </c>
    </row>
    <row r="34377" ht="15.75" customHeight="1" spans="1:2">
      <c r="A34377" s="3" t="str">
        <f>IFERROR(__xludf.DUMMYFUNCTION("GOOGLETRANSLATE(A34377,""en"",""pt"")"),"Difícil de usar uma só mão; Vai dormir (tela), enquanto no viva-voz.")</f>
        <v>Difícil de usar uma só mão; Vai dormir (tela), enquanto no viva-voz.</v>
      </c>
      <c r="B34377" s="3">
        <v>0</v>
      </c>
    </row>
    <row r="34378" ht="15.75" customHeight="1" spans="1:2">
      <c r="A34378" s="3" t="str">
        <f>IFERROR(__xludf.DUMMYFUNCTION("GOOGLETRANSLATE(A34378,""en"",""pt"")"),"nada ainda.")</f>
        <v>nada ainda.</v>
      </c>
      <c r="B34378" s="3">
        <v>0</v>
      </c>
    </row>
    <row r="34379" ht="15.75" customHeight="1" spans="1:2">
      <c r="A34379" s="3" t="str">
        <f>IFERROR(__xludf.DUMMYFUNCTION("GOOGLETRANSLATE(A34379,""en"",""pt"")"),"Poucos. A vida da bateria é boa, mas a taxa diária é necessária.")</f>
        <v>Poucos. A vida da bateria é boa, mas a taxa diária é necessária.</v>
      </c>
      <c r="B34379" s="3">
        <v>0</v>
      </c>
    </row>
    <row r="34380" ht="15.75" customHeight="1" spans="1:2">
      <c r="A34380" s="3" t="str">
        <f>IFERROR(__xludf.DUMMYFUNCTION("GOOGLETRANSLATE(A34380,""en"",""pt"")"),"ligação ao PC somente Serial, design em blocos, por vezes, difícil de lidar, esquecer de usá-lo na luz solar.")</f>
        <v>ligação ao PC somente Serial, design em blocos, por vezes, difícil de lidar, esquecer de usá-lo na luz solar.</v>
      </c>
      <c r="B34380" s="3">
        <v>0</v>
      </c>
    </row>
    <row r="34381" ht="15.75" customHeight="1" spans="1:2">
      <c r="A34381" s="3" t="str">
        <f>IFERROR(__xludf.DUMMYFUNCTION("GOOGLETRANSLATE(A34381,""en"",""pt"")"),"Sobredimensionada como um telefone, difícil de ver exposição no tempo do dia")</f>
        <v>Sobredimensionada como um telefone, difícil de ver exposição no tempo do dia</v>
      </c>
      <c r="B34381" s="3">
        <v>0</v>
      </c>
    </row>
    <row r="34382" ht="15.75" customHeight="1" spans="1:2">
      <c r="A34382" s="3" t="str">
        <f>IFERROR(__xludf.DUMMYFUNCTION("GOOGLETRANSLATE(A34382,""en"",""pt"")"),"volumoso, pobre vida da bateria, a tela não é visível na luz solar")</f>
        <v>volumoso, pobre vida da bateria, a tela não é visível na luz solar</v>
      </c>
      <c r="B34382" s="3">
        <v>0</v>
      </c>
    </row>
    <row r="34383" ht="15.75" customHeight="1" spans="1:2">
      <c r="A34383" s="3" t="str">
        <f>IFERROR(__xludf.DUMMYFUNCTION("GOOGLETRANSLATE(A34383,""en"",""pt"")"),"vida útil da bateria")</f>
        <v>vida útil da bateria</v>
      </c>
      <c r="B34383" s="3">
        <v>0</v>
      </c>
    </row>
    <row r="34384" ht="15.75" customHeight="1" spans="1:2">
      <c r="A34384" s="3" t="str">
        <f>IFERROR(__xludf.DUMMYFUNCTION("GOOGLETRANSLATE(A34384,""en"",""pt"")"),"brilho da tela, há compatibilidade 3G, há toques para download, campainha quieto demais, a vida da bateria fraca")</f>
        <v>brilho da tela, há compatibilidade 3G, há toques para download, campainha quieto demais, a vida da bateria fraca</v>
      </c>
      <c r="B34384" s="3">
        <v>0</v>
      </c>
    </row>
    <row r="34385" ht="15.75" customHeight="1" spans="1:2">
      <c r="A34385" s="3" t="str">
        <f>IFERROR(__xludf.DUMMYFUNCTION("GOOGLETRANSLATE(A34385,""en"",""pt"")"),"Vida útil da bateria, a tela difícil de ver sob luz direta dia.")</f>
        <v>Vida útil da bateria, a tela difícil de ver sob luz direta dia.</v>
      </c>
      <c r="B34385" s="3">
        <v>0</v>
      </c>
    </row>
    <row r="34386" ht="15.75" customHeight="1" spans="1:2">
      <c r="A34386" s="3" t="str">
        <f>IFERROR(__xludf.DUMMYFUNCTION("GOOGLETRANSLATE(A34386,""en"",""pt"")"),"Tamanho, peso, preço, disponibilidade, recepção, as horas de provocação edured dos colegas de trabalho.")</f>
        <v>Tamanho, peso, preço, disponibilidade, recepção, as horas de provocação edured dos colegas de trabalho.</v>
      </c>
      <c r="B34386" s="3">
        <v>0</v>
      </c>
    </row>
    <row r="34387" ht="15.75" customHeight="1" spans="1:2">
      <c r="A34387" s="3" t="str">
        <f>IFERROR(__xludf.DUMMYFUNCTION("GOOGLETRANSLATE(A34387,""en"",""pt"")"),"Proibitivamente caro.")</f>
        <v>Proibitivamente caro.</v>
      </c>
      <c r="B34387" s="3">
        <v>0</v>
      </c>
    </row>
    <row r="34388" ht="15.75" customHeight="1" spans="1:2">
      <c r="A34388" s="3" t="str">
        <f>IFERROR(__xludf.DUMMYFUNCTION("GOOGLETRANSLATE(A34388,""en"",""pt"")"),"Não tem a funcionalidade completa de qualquer um PDA ou um telefone; pesado e grande.")</f>
        <v>Não tem a funcionalidade completa de qualquer um PDA ou um telefone; pesado e grande.</v>
      </c>
      <c r="B34388" s="3">
        <v>0</v>
      </c>
    </row>
    <row r="34389" ht="15.75" customHeight="1" spans="1:2">
      <c r="A34389" s="3" t="str">
        <f>IFERROR(__xludf.DUMMYFUNCTION("GOOGLETRANSLATE(A34389,""en"",""pt"")"),"sistema fechado, não é possível instalar programas depois da Symbian mercado")</f>
        <v>sistema fechado, não é possível instalar programas depois da Symbian mercado</v>
      </c>
      <c r="B34389" s="3">
        <v>0</v>
      </c>
    </row>
    <row r="34390" ht="15.75" customHeight="1" spans="1:2">
      <c r="A34390" s="3" t="str">
        <f>IFERROR(__xludf.DUMMYFUNCTION("GOOGLETRANSLATE(A34390,""en"",""pt"")"),"Talvez muito de tudo")</f>
        <v>Talvez muito de tudo</v>
      </c>
      <c r="B34390" s="3">
        <v>0</v>
      </c>
    </row>
    <row r="34391" ht="15.75" customHeight="1" spans="1:2">
      <c r="A34391" s="3" t="str">
        <f>IFERROR(__xludf.DUMMYFUNCTION("GOOGLETRANSLATE(A34391,""en"",""pt"")"),"Pobre clareza teclado não responde")</f>
        <v>Pobre clareza teclado não responde</v>
      </c>
      <c r="B34391" s="3">
        <v>0</v>
      </c>
    </row>
    <row r="34392" ht="15.75" customHeight="1" spans="1:2">
      <c r="A34392" s="3" t="str">
        <f>IFERROR(__xludf.DUMMYFUNCTION("GOOGLETRANSLATE(A34392,""en"",""pt"")"),"Caro, difícil de desligar, pequenos aborrecimentos telefone")</f>
        <v>Caro, difícil de desligar, pequenos aborrecimentos telefone</v>
      </c>
      <c r="B34392" s="3">
        <v>0</v>
      </c>
    </row>
    <row r="34393" ht="15.75" customHeight="1" spans="1:2">
      <c r="A34393" s="3" t="str">
        <f>IFERROR(__xludf.DUMMYFUNCTION("GOOGLETRANSLATE(A34393,""en"",""pt"")"),"teclado pequeno, requer Bluetooth (sem cabo de dados), a duração da bateria, um pouco grande")</f>
        <v>teclado pequeno, requer Bluetooth (sem cabo de dados), a duração da bateria, um pouco grande</v>
      </c>
      <c r="B34393" s="3">
        <v>0</v>
      </c>
    </row>
    <row r="34394" ht="15.75" customHeight="1" spans="1:2">
      <c r="A34394" s="3" t="str">
        <f>IFERROR(__xludf.DUMMYFUNCTION("GOOGLETRANSLATE(A34394,""en"",""pt"")"),"Pequeno, muito perto botões juntos no teclado. acabamento de plástico escorregadio, segurar firme.")</f>
        <v>Pequeno, muito perto botões juntos no teclado. acabamento de plástico escorregadio, segurar firme.</v>
      </c>
      <c r="B34394" s="3">
        <v>0</v>
      </c>
    </row>
    <row r="34395" ht="15.75" customHeight="1" spans="1:2">
      <c r="A34395" s="3" t="str">
        <f>IFERROR(__xludf.DUMMYFUNCTION("GOOGLETRANSLATE(A34395,""en"",""pt"")"),"Qualidade de vídeo-clips não tão grande como fotos.")</f>
        <v>Qualidade de vídeo-clips não tão grande como fotos.</v>
      </c>
      <c r="B34395" s="3">
        <v>0</v>
      </c>
    </row>
    <row r="34396" ht="15.75" customHeight="1" spans="1:2">
      <c r="A34396" s="3" t="str">
        <f>IFERROR(__xludf.DUMMYFUNCTION("GOOGLETRANSLATE(A34396,""en"",""pt"")"),"qualidade de transmissão não muito grande")</f>
        <v>qualidade de transmissão não muito grande</v>
      </c>
      <c r="B34396" s="3">
        <v>0</v>
      </c>
    </row>
    <row r="34397" ht="15.75" customHeight="1" spans="1:2">
      <c r="A34397" s="3" t="str">
        <f>IFERROR(__xludf.DUMMYFUNCTION("GOOGLETRANSLATE(A34397,""en"",""pt"")"),"NENHUM")</f>
        <v>NENHUM</v>
      </c>
      <c r="B34397" s="3">
        <v>0</v>
      </c>
    </row>
    <row r="34398" ht="15.75" customHeight="1" spans="1:2">
      <c r="A34398" s="3" t="str">
        <f>IFERROR(__xludf.DUMMYFUNCTION("GOOGLETRANSLATE(A34398,""en"",""pt"")"),"Recepção de toque, volume Tone, vida útil da bateria")</f>
        <v>Recepção de toque, volume Tone, vida útil da bateria</v>
      </c>
      <c r="B34398" s="3">
        <v>0</v>
      </c>
    </row>
    <row r="34399" ht="15.75" customHeight="1" spans="1:2">
      <c r="A34399" s="3" t="str">
        <f>IFERROR(__xludf.DUMMYFUNCTION("GOOGLETRANSLATE(A34399,""en"",""pt"")"),"Má recepção.")</f>
        <v>Má recepção.</v>
      </c>
      <c r="B34399" s="3">
        <v>0</v>
      </c>
    </row>
    <row r="34400" ht="15.75" customHeight="1" spans="1:2">
      <c r="A34400" s="3" t="str">
        <f>IFERROR(__xludf.DUMMYFUNCTION("GOOGLETRANSLATE(A34400,""en"",""pt"")"),"Eu nunca vou usar todos os recursos !!!")</f>
        <v>Eu nunca vou usar todos os recursos !!!</v>
      </c>
      <c r="B34400" s="3">
        <v>0</v>
      </c>
    </row>
    <row r="34401" ht="15.75" customHeight="1" spans="1:2">
      <c r="A34401" s="3" t="str">
        <f>IFERROR(__xludf.DUMMYFUNCTION("GOOGLETRANSLATE(A34401,""en"",""pt"")"),"Como eu fazer essa chamada?")</f>
        <v>Como eu fazer essa chamada?</v>
      </c>
      <c r="B34401" s="3">
        <v>0</v>
      </c>
    </row>
    <row r="34402" ht="15.75" customHeight="1" spans="1:2">
      <c r="A34402" s="3" t="str">
        <f>IFERROR(__xludf.DUMMYFUNCTION("GOOGLETRANSLATE(A34402,""en"",""pt"")"),"leads de baixa recepção a queda de chamadas frequentes.")</f>
        <v>leads de baixa recepção a queda de chamadas frequentes.</v>
      </c>
      <c r="B34402" s="3">
        <v>0</v>
      </c>
    </row>
    <row r="34403" ht="15.75" customHeight="1" spans="1:2">
      <c r="A34403" s="3" t="str">
        <f>IFERROR(__xludf.DUMMYFUNCTION("GOOGLETRANSLATE(A34403,""en"",""pt"")"),"Simples olhar, intermitente conexão Indoor")</f>
        <v>Simples olhar, intermitente conexão Indoor</v>
      </c>
      <c r="B34403" s="3">
        <v>0</v>
      </c>
    </row>
    <row r="34404" ht="15.75" customHeight="1" spans="1:2">
      <c r="A34404" s="3" t="str">
        <f>IFERROR(__xludf.DUMMYFUNCTION("GOOGLETRANSLATE(A34404,""en"",""pt"")"),"3ª designer de partido teclados propensas a desgaste")</f>
        <v>3ª designer de partido teclados propensas a desgaste</v>
      </c>
      <c r="B34404" s="3">
        <v>0</v>
      </c>
    </row>
    <row r="34405" ht="15.75" customHeight="1" spans="1:2">
      <c r="A34405" s="3" t="str">
        <f>IFERROR(__xludf.DUMMYFUNCTION("GOOGLETRANSLATE(A34405,""en"",""pt"")"),"Nenhuma indústria conector de fone de ouvido padrão.")</f>
        <v>Nenhuma indústria conector de fone de ouvido padrão.</v>
      </c>
      <c r="B34405" s="3">
        <v>0</v>
      </c>
    </row>
    <row r="34406" ht="15.75" customHeight="1" spans="1:2">
      <c r="A34406" s="3" t="str">
        <f>IFERROR(__xludf.DUMMYFUNCTION("GOOGLETRANSLATE(A34406,""en"",""pt"")"),"Má recepção em edifícios dormitório, Tamanho pode ser menor")</f>
        <v>Má recepção em edifícios dormitório, Tamanho pode ser menor</v>
      </c>
      <c r="B34406" s="3">
        <v>0</v>
      </c>
    </row>
    <row r="34407" ht="15.75" customHeight="1" spans="1:2">
      <c r="A34407" s="3" t="str">
        <f>IFERROR(__xludf.DUMMYFUNCTION("GOOGLETRANSLATE(A34407,""en"",""pt"")"),"não pode desligar LEDs; Alguns fatores podem causar ecoando.")</f>
        <v>não pode desligar LEDs; Alguns fatores podem causar ecoando.</v>
      </c>
      <c r="B34407" s="3">
        <v>0</v>
      </c>
    </row>
    <row r="34408" ht="15.75" customHeight="1" spans="1:2">
      <c r="A34408" s="3" t="str">
        <f>IFERROR(__xludf.DUMMYFUNCTION("GOOGLETRANSLATE(A34408,""en"",""pt"")"),"Pode ser um pouco desconfortável no bolso, difíceis de alcançar controle de volume")</f>
        <v>Pode ser um pouco desconfortável no bolso, difíceis de alcançar controle de volume</v>
      </c>
      <c r="B34408" s="3">
        <v>0</v>
      </c>
    </row>
    <row r="34409" ht="15.75" customHeight="1" spans="1:2">
      <c r="A34409" s="3" t="str">
        <f>IFERROR(__xludf.DUMMYFUNCTION("GOOGLETRANSLATE(A34409,""en"",""pt"")"),"Não um teclado ergonômico, SIM bloqueado no meu caso")</f>
        <v>Não um teclado ergonômico, SIM bloqueado no meu caso</v>
      </c>
      <c r="B34409" s="3">
        <v>0</v>
      </c>
    </row>
    <row r="34410" ht="15.75" customHeight="1" spans="1:2">
      <c r="A34410" s="3" t="str">
        <f>IFERROR(__xludf.DUMMYFUNCTION("GOOGLETRANSLATE(A34410,""en"",""pt"")"),"Poderia ser mais claro, semi-datada")</f>
        <v>Poderia ser mais claro, semi-datada</v>
      </c>
      <c r="B34410" s="3">
        <v>0</v>
      </c>
    </row>
    <row r="34411" ht="15.75" customHeight="1" spans="1:2">
      <c r="A34411" s="3" t="str">
        <f>IFERROR(__xludf.DUMMYFUNCTION("GOOGLETRANSLATE(A34411,""en"",""pt"")"),"toques mudos")</f>
        <v>toques mudos</v>
      </c>
      <c r="B34411" s="3">
        <v>0</v>
      </c>
    </row>
    <row r="34412" ht="15.75" customHeight="1" spans="1:2">
      <c r="A34412" s="3" t="str">
        <f>IFERROR(__xludf.DUMMYFUNCTION("GOOGLETRANSLATE(A34412,""en"",""pt"")"),"problemas de recepção")</f>
        <v>problemas de recepção</v>
      </c>
      <c r="B34412" s="3">
        <v>0</v>
      </c>
    </row>
    <row r="34413" ht="15.75" customHeight="1" spans="1:2">
      <c r="A34413" s="3" t="str">
        <f>IFERROR(__xludf.DUMMYFUNCTION("GOOGLETRANSLATE(A34413,""en"",""pt"")"),"Nenhum para mim.")</f>
        <v>Nenhum para mim.</v>
      </c>
      <c r="B34413" s="3">
        <v>0</v>
      </c>
    </row>
    <row r="34414" ht="15.75" customHeight="1" spans="1:2">
      <c r="A34414" s="3" t="str">
        <f>IFERROR(__xludf.DUMMYFUNCTION("GOOGLETRANSLATE(A34414,""en"",""pt"")"),"é um modelo mais antigo para que ele carece de alguns recursos")</f>
        <v>é um modelo mais antigo para que ele carece de alguns recursos</v>
      </c>
      <c r="B34414" s="3">
        <v>0</v>
      </c>
    </row>
    <row r="34415" ht="15.75" customHeight="1" spans="1:2">
      <c r="A34415" s="3" t="str">
        <f>IFERROR(__xludf.DUMMYFUNCTION("GOOGLETRANSLATE(A34415,""en"",""pt"")"),"Uma vez que tantas pessoas têm este telefone, sempre que você ouvir um anel, você sempre olhar e ver se ele é seu! ;)")</f>
        <v>Uma vez que tantas pessoas têm este telefone, sempre que você ouvir um anel, você sempre olhar e ver se ele é seu! ;)</v>
      </c>
      <c r="B34415" s="3">
        <v>0</v>
      </c>
    </row>
    <row r="34416" ht="15.75" customHeight="1" spans="1:2">
      <c r="A34416" s="3" t="str">
        <f>IFERROR(__xludf.DUMMYFUNCTION("GOOGLETRANSLATE(A34416,""en"",""pt"")"),"maldita coisa não vai encontrar ou manter um sinal!")</f>
        <v>maldita coisa não vai encontrar ou manter um sinal!</v>
      </c>
      <c r="B34416" s="3">
        <v>0</v>
      </c>
    </row>
    <row r="34417" ht="15.75" customHeight="1" spans="1:2">
      <c r="A34417" s="3" t="str">
        <f>IFERROR(__xludf.DUMMYFUNCTION("GOOGLETRANSLATE(A34417,""en"",""pt"")"),"Facilmente marcado acidentalmente.")</f>
        <v>Facilmente marcado acidentalmente.</v>
      </c>
      <c r="B34417" s="3">
        <v>0</v>
      </c>
    </row>
    <row r="34418" ht="15.75" customHeight="1" spans="1:2">
      <c r="A34418" s="3" t="str">
        <f>IFERROR(__xludf.DUMMYFUNCTION("GOOGLETRANSLATE(A34418,""en"",""pt"")"),"Fivela do cinto")</f>
        <v>Fivela do cinto</v>
      </c>
      <c r="B34418" s="3">
        <v>0</v>
      </c>
    </row>
    <row r="34419" ht="15.75" customHeight="1" spans="1:2">
      <c r="A34419" s="3" t="str">
        <f>IFERROR(__xludf.DUMMYFUNCTION("GOOGLETRANSLATE(A34419,""en"",""pt"")"),"um pouco datada, sem acesso à web disponíveis")</f>
        <v>um pouco datada, sem acesso à web disponíveis</v>
      </c>
      <c r="B34419" s="3">
        <v>0</v>
      </c>
    </row>
    <row r="34420" ht="15.75" customHeight="1" spans="1:2">
      <c r="A34420" s="3" t="str">
        <f>IFERROR(__xludf.DUMMYFUNCTION("GOOGLETRANSLATE(A34420,""en"",""pt"")"),"nenhuma vibração capacidade w / o da bateria, bateria fraca")</f>
        <v>nenhuma vibração capacidade w / o da bateria, bateria fraca</v>
      </c>
      <c r="B34420" s="3">
        <v>0</v>
      </c>
    </row>
    <row r="34421" ht="15.75" customHeight="1" spans="1:2">
      <c r="A34421" s="3" t="str">
        <f>IFERROR(__xludf.DUMMYFUNCTION("GOOGLETRANSLATE(A34421,""en"",""pt"")"),"Nenhum")</f>
        <v>Nenhum</v>
      </c>
      <c r="B34421" s="3">
        <v>0</v>
      </c>
    </row>
    <row r="34422" ht="15.75" customHeight="1" spans="1:2">
      <c r="A34422" s="3" t="str">
        <f>IFERROR(__xludf.DUMMYFUNCTION("GOOGLETRANSLATE(A34422,""en"",""pt"")"),"Antena perto da cabeça, alguns problemas com chamadas Qualidade")</f>
        <v>Antena perto da cabeça, alguns problemas com chamadas Qualidade</v>
      </c>
      <c r="B34422" s="3">
        <v>0</v>
      </c>
    </row>
    <row r="34423" ht="15.75" customHeight="1" spans="1:2">
      <c r="A34423" s="3" t="str">
        <f>IFERROR(__xludf.DUMMYFUNCTION("GOOGLETRANSLATE(A34423,""en"",""pt"")"),"Bem, acho que ele não me dar de volta massagens")</f>
        <v>Bem, acho que ele não me dar de volta massagens</v>
      </c>
      <c r="B34423" s="3">
        <v>0</v>
      </c>
    </row>
    <row r="34424" ht="15.75" customHeight="1" spans="1:2">
      <c r="A34424" s="3" t="str">
        <f>IFERROR(__xludf.DUMMYFUNCTION("GOOGLETRANSLATE(A34424,""en"",""pt"")"),"Quando você deixá-lo em casa, você é apenas mais um nerd sem um telefone celular")</f>
        <v>Quando você deixá-lo em casa, você é apenas mais um nerd sem um telefone celular</v>
      </c>
      <c r="B34424" s="3">
        <v>0</v>
      </c>
    </row>
    <row r="34425" ht="15.75" customHeight="1" spans="1:2">
      <c r="A34425" s="3" t="str">
        <f>IFERROR(__xludf.DUMMYFUNCTION("GOOGLETRANSLATE(A34425,""en"",""pt"")"),"Um pouco pesado")</f>
        <v>Um pouco pesado</v>
      </c>
      <c r="B34425" s="3">
        <v>0</v>
      </c>
    </row>
    <row r="34426" ht="15.75" customHeight="1" spans="1:2">
      <c r="A34426" s="3" t="str">
        <f>IFERROR(__xludf.DUMMYFUNCTION("GOOGLETRANSLATE(A34426,""en"",""pt"")"),"bateria solta")</f>
        <v>bateria solta</v>
      </c>
      <c r="B34426" s="3">
        <v>0</v>
      </c>
    </row>
    <row r="34427" ht="15.75" customHeight="1" spans="1:2">
      <c r="A34427" s="3" t="str">
        <f>IFERROR(__xludf.DUMMYFUNCTION("GOOGLETRANSLATE(A34427,""en"",""pt"")"),"Tem espaço para única toque um costume, não discagem ou chamada de conferência ativada por voz")</f>
        <v>Tem espaço para única toque um costume, não discagem ou chamada de conferência ativada por voz</v>
      </c>
      <c r="B34427" s="3">
        <v>0</v>
      </c>
    </row>
    <row r="34428" ht="15.75" customHeight="1" spans="1:2">
      <c r="A34428" s="3" t="str">
        <f>IFERROR(__xludf.DUMMYFUNCTION("GOOGLETRANSLATE(A34428,""en"",""pt"")"),"deve comprar vibrando bateria separadamente por US $ 80")</f>
        <v>deve comprar vibrando bateria separadamente por US $ 80</v>
      </c>
      <c r="B34428" s="3">
        <v>0</v>
      </c>
    </row>
    <row r="34429" ht="15.75" customHeight="1" spans="1:2">
      <c r="A34429" s="3" t="str">
        <f>IFERROR(__xludf.DUMMYFUNCTION("GOOGLETRANSLATE(A34429,""en"",""pt"")"),"agora parece velha tecnologia")</f>
        <v>agora parece velha tecnologia</v>
      </c>
      <c r="B34429" s="3">
        <v>0</v>
      </c>
    </row>
    <row r="34430" ht="15.75" customHeight="1" spans="1:2">
      <c r="A34430" s="3" t="str">
        <f>IFERROR(__xludf.DUMMYFUNCTION("GOOGLETRANSLATE(A34430,""en"",""pt"")"),"A vida da bateria")</f>
        <v>A vida da bateria</v>
      </c>
      <c r="B34430" s="3">
        <v>0</v>
      </c>
    </row>
    <row r="34431" ht="15.75" customHeight="1" spans="1:2">
      <c r="A34431" s="3" t="str">
        <f>IFERROR(__xludf.DUMMYFUNCTION("GOOGLETRANSLATE(A34431,""en"",""pt"")"),"nada até agora")</f>
        <v>nada até agora</v>
      </c>
      <c r="B34431" s="3">
        <v>0</v>
      </c>
    </row>
    <row r="34432" ht="15.75" customHeight="1" spans="1:2">
      <c r="A34432" s="3" t="str">
        <f>IFERROR(__xludf.DUMMYFUNCTION("GOOGLETRANSLATE(A34432,""en"",""pt"")"),"Iluminação tipo de dim em situações de luz escura.")</f>
        <v>Iluminação tipo de dim em situações de luz escura.</v>
      </c>
      <c r="B34432" s="3">
        <v>0</v>
      </c>
    </row>
    <row r="34433" ht="15.75" customHeight="1" spans="1:2">
      <c r="A34433" s="3" t="s">
        <v>190</v>
      </c>
      <c r="B34433" s="3">
        <v>0</v>
      </c>
    </row>
    <row r="34434" ht="15.75" customHeight="1" spans="1:2">
      <c r="A34434" s="3" t="str">
        <f>IFERROR(__xludf.DUMMYFUNCTION("GOOGLETRANSLATE(A34434,""en"",""pt"")"),"A recepção do sinal, Área de Cobertura.")</f>
        <v>A recepção do sinal, Área de Cobertura.</v>
      </c>
      <c r="B34434" s="3">
        <v>0</v>
      </c>
    </row>
    <row r="34435" ht="15.75" customHeight="1" spans="1:2">
      <c r="A34435" s="3" t="str">
        <f>IFERROR(__xludf.DUMMYFUNCTION("GOOGLETRANSLATE(A34435,""en"",""pt"")"),"Maior (do que os telefones de hoje), Peso")</f>
        <v>Maior (do que os telefones de hoje), Peso</v>
      </c>
      <c r="B34435" s="3">
        <v>0</v>
      </c>
    </row>
    <row r="34436" ht="15.75" customHeight="1" spans="1:2">
      <c r="A34436" s="3" t="str">
        <f>IFERROR(__xludf.DUMMYFUNCTION("GOOGLETRANSLATE(A34436,""en"",""pt"")"),"Não consigo pensar em qualquer")</f>
        <v>Não consigo pensar em qualquer</v>
      </c>
      <c r="B34436" s="3">
        <v>0</v>
      </c>
    </row>
    <row r="34437" ht="15.75" customHeight="1" spans="1:2">
      <c r="A34437" s="3" t="str">
        <f>IFERROR(__xludf.DUMMYFUNCTION("GOOGLETRANSLATE(A34437,""en"",""pt"")"),"Eu não tenho um con")</f>
        <v>Eu não tenho um con</v>
      </c>
      <c r="B34437" s="3">
        <v>0</v>
      </c>
    </row>
    <row r="34438" ht="15.75" customHeight="1" spans="1:2">
      <c r="A34438" s="3" t="str">
        <f>IFERROR(__xludf.DUMMYFUNCTION("GOOGLETRANSLATE(A34438,""en"",""pt"")"),"nenhum que eu conheço")</f>
        <v>nenhum que eu conheço</v>
      </c>
      <c r="B34438" s="3">
        <v>0</v>
      </c>
    </row>
    <row r="34439" ht="15.75" customHeight="1" spans="1:2">
      <c r="A34439" s="3" t="str">
        <f>IFERROR(__xludf.DUMMYFUNCTION("GOOGLETRANSLATE(A34439,""en"",""pt"")"),"Ok, então ele só tem 100 números, alguns jogos, e uma dúzia de anéis")</f>
        <v>Ok, então ele só tem 100 números, alguns jogos, e uma dúzia de anéis</v>
      </c>
      <c r="B34439" s="3">
        <v>0</v>
      </c>
    </row>
    <row r="34440" ht="15.75" customHeight="1" spans="1:2">
      <c r="A34440" s="3" t="str">
        <f>IFERROR(__xludf.DUMMYFUNCTION("GOOGLETRANSLATE(A34440,""en"",""pt"")"),"Custos mais do que alguns gostaria de passar")</f>
        <v>Custos mais do que alguns gostaria de passar</v>
      </c>
      <c r="B34440" s="3">
        <v>0</v>
      </c>
    </row>
    <row r="34441" ht="15.75" customHeight="1" spans="1:2">
      <c r="A34441" s="3" t="str">
        <f>IFERROR(__xludf.DUMMYFUNCTION("GOOGLETRANSLATE(A34441,""en"",""pt"")"),"bandeira mudança")</f>
        <v>bandeira mudança</v>
      </c>
      <c r="B34441" s="3">
        <v>0</v>
      </c>
    </row>
    <row r="34442" ht="15.75" customHeight="1" spans="1:2">
      <c r="A34442" s="3" t="str">
        <f>IFERROR(__xludf.DUMMYFUNCTION("GOOGLETRANSLATE(A34442,""en"",""pt"")"),"Uma pequena pouco")</f>
        <v>Uma pequena pouco</v>
      </c>
      <c r="B34442" s="3">
        <v>0</v>
      </c>
    </row>
    <row r="34443" ht="15.75" customHeight="1" spans="1:2">
      <c r="A34443" s="3" t="str">
        <f>IFERROR(__xludf.DUMMYFUNCTION("GOOGLETRANSLATE(A34443,""en"",""pt"")"),"encargos mensais somam")</f>
        <v>encargos mensais somam</v>
      </c>
      <c r="B34443" s="3">
        <v>0</v>
      </c>
    </row>
    <row r="34444" ht="15.75" customHeight="1" spans="1:2">
      <c r="A34444" s="3" t="str">
        <f>IFERROR(__xludf.DUMMYFUNCTION("GOOGLETRANSLATE(A34444,""en"",""pt"")"),"problemas de bateria, mau funcionamento de telefone")</f>
        <v>problemas de bateria, mau funcionamento de telefone</v>
      </c>
      <c r="B34444" s="3">
        <v>0</v>
      </c>
    </row>
    <row r="34445" ht="15.75" customHeight="1" spans="1:2">
      <c r="A34445" s="3" t="str">
        <f>IFERROR(__xludf.DUMMYFUNCTION("GOOGLETRANSLATE(A34445,""en"",""pt"")"),"Gota chama e ele só funciona em determinadas áreas. Não é tanto digital e analógico.")</f>
        <v>Gota chama e ele só funciona em determinadas áreas. Não é tanto digital e analógico.</v>
      </c>
      <c r="B34445" s="3">
        <v>0</v>
      </c>
    </row>
    <row r="34446" ht="15.75" customHeight="1" spans="1:2">
      <c r="A34446" s="3" t="str">
        <f>IFERROR(__xludf.DUMMYFUNCTION("GOOGLETRANSLATE(A34446,""en"",""pt"")"),"navi-chave pode ser confuso ao tentar usar os recursos durante a chamada")</f>
        <v>navi-chave pode ser confuso ao tentar usar os recursos durante a chamada</v>
      </c>
      <c r="B34446" s="3">
        <v>0</v>
      </c>
    </row>
    <row r="34447" ht="15.75" customHeight="1" spans="1:2">
      <c r="A34447" s="3" t="str">
        <f>IFERROR(__xludf.DUMMYFUNCTION("GOOGLETRANSLATE(A34447,""en"",""pt"")"),"nada")</f>
        <v>nada</v>
      </c>
      <c r="B34447" s="3">
        <v>0</v>
      </c>
    </row>
    <row r="34448" ht="15.75" customHeight="1" spans="1:2">
      <c r="A34448" s="3" t="str">
        <f>IFERROR(__xludf.DUMMYFUNCTION("GOOGLETRANSLATE(A34448,""en"",""pt"")"),"opção sem vibração para chamadas")</f>
        <v>opção sem vibração para chamadas</v>
      </c>
      <c r="B34448" s="3">
        <v>0</v>
      </c>
    </row>
    <row r="34449" ht="15.75" customHeight="1" spans="1:2">
      <c r="A34449" s="3" t="str">
        <f>IFERROR(__xludf.DUMMYFUNCTION("GOOGLETRANSLATE(A34449,""en"",""pt"")"),"pega seu entorno mais do que outros telefones")</f>
        <v>pega seu entorno mais do que outros telefones</v>
      </c>
      <c r="B34449" s="3">
        <v>0</v>
      </c>
    </row>
    <row r="34450" ht="15.75" customHeight="1" spans="1:2">
      <c r="A34450" s="3" t="str">
        <f>IFERROR(__xludf.DUMMYFUNCTION("GOOGLETRANSLATE(A34450,""en"",""pt"")"),"meio volumosos")</f>
        <v>meio volumosos</v>
      </c>
      <c r="B34450" s="3">
        <v>0</v>
      </c>
    </row>
    <row r="34451" ht="15.75" customHeight="1" spans="1:2">
      <c r="A34451" s="3" t="str">
        <f>IFERROR(__xludf.DUMMYFUNCTION("GOOGLETRANSLATE(A34451,""en"",""pt"")"),"1. recepção 2. Muitos telefones Nokia mais recentes Às vezes pobres disponíveis")</f>
        <v>1. recepção 2. Muitos telefones Nokia mais recentes Às vezes pobres disponíveis</v>
      </c>
      <c r="B34451" s="3">
        <v>0</v>
      </c>
    </row>
    <row r="34452" ht="15.75" customHeight="1" spans="1:2">
      <c r="A34452" s="3" t="str">
        <f>IFERROR(__xludf.DUMMYFUNCTION("GOOGLETRANSLATE(A34452,""en"",""pt"")"),"Não suporta 3-way chamando com Cingular")</f>
        <v>Não suporta 3-way chamando com Cingular</v>
      </c>
      <c r="B34452" s="3">
        <v>0</v>
      </c>
    </row>
    <row r="34453" ht="15.75" customHeight="1" spans="1:2">
      <c r="A34453" s="3" t="str">
        <f>IFERROR(__xludf.DUMMYFUNCTION("GOOGLETRANSLATE(A34453,""en"",""pt"")"),"Perde energia da bateria bastante rápido.")</f>
        <v>Perde energia da bateria bastante rápido.</v>
      </c>
      <c r="B34453" s="3">
        <v>0</v>
      </c>
    </row>
    <row r="34454" ht="15.75" customHeight="1" spans="1:2">
      <c r="A34454" s="3" t="str">
        <f>IFERROR(__xludf.DUMMYFUNCTION("GOOGLETRANSLATE(A34454,""en"",""pt"")"),"Tipo de pesado")</f>
        <v>Tipo de pesado</v>
      </c>
      <c r="B34454" s="3">
        <v>0</v>
      </c>
    </row>
    <row r="34455" ht="15.75" customHeight="1" spans="1:2">
      <c r="A34455" s="3" t="str">
        <f>IFERROR(__xludf.DUMMYFUNCTION("GOOGLETRANSLATE(A34455,""en"",""pt"")"),"tons baixos / anéis")</f>
        <v>tons baixos / anéis</v>
      </c>
      <c r="B34455" s="3">
        <v>0</v>
      </c>
    </row>
    <row r="34456" ht="15.75" customHeight="1" spans="1:2">
      <c r="A34456" s="3" t="str">
        <f>IFERROR(__xludf.DUMMYFUNCTION("GOOGLETRANSLATE(A34456,""en"",""pt"")"),"Nenhum")</f>
        <v>Nenhum</v>
      </c>
      <c r="B34456" s="3">
        <v>0</v>
      </c>
    </row>
    <row r="34457" ht="15.75" customHeight="1" spans="1:2">
      <c r="A34457" s="3" t="str">
        <f>IFERROR(__xludf.DUMMYFUNCTION("GOOGLETRANSLATE(A34457,""en"",""pt"")"),"SIM aquecimento é lento")</f>
        <v>SIM aquecimento é lento</v>
      </c>
      <c r="B34457" s="3">
        <v>0</v>
      </c>
    </row>
    <row r="34458" ht="15.75" customHeight="1" spans="1:2">
      <c r="A34458" s="3" t="str">
        <f>IFERROR(__xludf.DUMMYFUNCTION("GOOGLETRANSLATE(A34458,""en"",""pt"")"),"um..none")</f>
        <v>um..none</v>
      </c>
      <c r="B34458" s="3">
        <v>0</v>
      </c>
    </row>
    <row r="34459" ht="15.75" customHeight="1" spans="1:2">
      <c r="A34459" s="3" t="str">
        <f>IFERROR(__xludf.DUMMYFUNCTION("GOOGLETRANSLATE(A34459,""en"",""pt"")"),"Tipo de pesado")</f>
        <v>Tipo de pesado</v>
      </c>
      <c r="B34459" s="3">
        <v>0</v>
      </c>
    </row>
    <row r="34460" ht="15.75" customHeight="1" spans="1:2">
      <c r="A34460" s="3" t="str">
        <f>IFERROR(__xludf.DUMMYFUNCTION("GOOGLETRANSLATE(A34460,""en"",""pt"")"),"fica muito quente quando em analógico")</f>
        <v>fica muito quente quando em analógico</v>
      </c>
      <c r="B34460" s="3">
        <v>0</v>
      </c>
    </row>
    <row r="34461" ht="15.75" customHeight="1" spans="1:2">
      <c r="A34461" s="3" t="str">
        <f>IFERROR(__xludf.DUMMYFUNCTION("GOOGLETRANSLATE(A34461,""en"",""pt"")"),"talvez um pouco grosso, mas ainda um pacote em bom estado")</f>
        <v>talvez um pouco grosso, mas ainda um pacote em bom estado</v>
      </c>
      <c r="B34461" s="3">
        <v>0</v>
      </c>
    </row>
    <row r="34462" ht="15.75" customHeight="1" spans="1:2">
      <c r="A34462" s="3" t="str">
        <f>IFERROR(__xludf.DUMMYFUNCTION("GOOGLETRANSLATE(A34462,""en"",""pt"")"),"Tamanho, peso, falta de estilo e classe, insegurança assustador, não é exatamente 'bonito'")</f>
        <v>Tamanho, peso, falta de estilo e classe, insegurança assustador, não é exatamente 'bonito'</v>
      </c>
      <c r="B34462" s="3">
        <v>0</v>
      </c>
    </row>
    <row r="34463" ht="15.75" customHeight="1" spans="1:2">
      <c r="A34463" s="3" t="str">
        <f>IFERROR(__xludf.DUMMYFUNCTION("GOOGLETRANSLATE(A34463,""en"",""pt"")"),"Estático!")</f>
        <v>Estático!</v>
      </c>
      <c r="B34463" s="3">
        <v>0</v>
      </c>
    </row>
    <row r="34464" ht="15.75" customHeight="1" spans="1:2">
      <c r="A34464" s="3" t="str">
        <f>IFERROR(__xludf.DUMMYFUNCTION("GOOGLETRANSLATE(A34464,""en"",""pt"")"),"Nenhum")</f>
        <v>Nenhum</v>
      </c>
      <c r="B34464" s="3">
        <v>0</v>
      </c>
    </row>
    <row r="34465" ht="15.75" customHeight="1" spans="1:2">
      <c r="A34465" s="3" t="str">
        <f>IFERROR(__xludf.DUMMYFUNCTION("GOOGLETRANSLATE(A34465,""en"",""pt"")"),"acaba custando muito para comprar todas as coisas diferentes")</f>
        <v>acaba custando muito para comprar todas as coisas diferentes</v>
      </c>
      <c r="B34465" s="3">
        <v>0</v>
      </c>
    </row>
    <row r="34466" ht="15.75" customHeight="1" spans="1:2">
      <c r="A34466" s="3" t="str">
        <f>IFERROR(__xludf.DUMMYFUNCTION("GOOGLETRANSLATE(A34466,""en"",""pt"")"),"Você não pode sempre ouvir o telefone tocando, e para comprar a bateria vibrando é US $ 100,00.")</f>
        <v>Você não pode sempre ouvir o telefone tocando, e para comprar a bateria vibrando é US $ 100,00.</v>
      </c>
      <c r="B34466" s="3">
        <v>0</v>
      </c>
    </row>
    <row r="34467" ht="15.75" customHeight="1" spans="1:2">
      <c r="A34467" s="3" t="str">
        <f>IFERROR(__xludf.DUMMYFUNCTION("GOOGLETRANSLATE(A34467,""en"",""pt"")"),"Pequeno, nenhuma nova tecnologia apresenta")</f>
        <v>Pequeno, nenhuma nova tecnologia apresenta</v>
      </c>
      <c r="B34467" s="3">
        <v>0</v>
      </c>
    </row>
    <row r="34468" ht="15.75" customHeight="1" spans="1:2">
      <c r="A34468" s="3" t="str">
        <f>IFERROR(__xludf.DUMMYFUNCTION("GOOGLETRANSLATE(A34468,""en"",""pt"")"),"Poderia ser menor")</f>
        <v>Poderia ser menor</v>
      </c>
      <c r="B34468" s="3">
        <v>0</v>
      </c>
    </row>
    <row r="34469" ht="15.75" customHeight="1" spans="1:2">
      <c r="A34469" s="3" t="str">
        <f>IFERROR(__xludf.DUMMYFUNCTION("GOOGLETRANSLATE(A34469,""en"",""pt"")"),"operadora irá determinar a sua felicidade")</f>
        <v>operadora irá determinar a sua felicidade</v>
      </c>
      <c r="B34469" s="3">
        <v>0</v>
      </c>
    </row>
    <row r="34470" ht="15.75" customHeight="1" spans="1:2">
      <c r="A34470" s="3" t="str">
        <f>IFERROR(__xludf.DUMMYFUNCTION("GOOGLETRANSLATE(A34470,""en"",""pt"")"),"Leia a minha opinião")</f>
        <v>Leia a minha opinião</v>
      </c>
      <c r="B34470" s="3">
        <v>0</v>
      </c>
    </row>
    <row r="34471" ht="15.75" customHeight="1" spans="1:2">
      <c r="A34471" s="3" t="str">
        <f>IFERROR(__xludf.DUMMYFUNCTION("GOOGLETRANSLATE(A34471,""en"",""pt"")"),"Não consigo pensar em nenhum.")</f>
        <v>Não consigo pensar em nenhum.</v>
      </c>
      <c r="B34471" s="3">
        <v>0</v>
      </c>
    </row>
    <row r="34472" ht="15.75" customHeight="1" spans="1:2">
      <c r="A34472" s="3" t="str">
        <f>IFERROR(__xludf.DUMMYFUNCTION("GOOGLETRANSLATE(A34472,""en"",""pt"")"),"NENHUM")</f>
        <v>NENHUM</v>
      </c>
      <c r="B34472" s="3">
        <v>0</v>
      </c>
    </row>
    <row r="34473" ht="15.75" customHeight="1" spans="1:2">
      <c r="A34473" s="3" t="str">
        <f>IFERROR(__xludf.DUMMYFUNCTION("GOOGLETRANSLATE(A34473,""en"",""pt"")"),"sinal de força, eu acho que isso tem a ver com os fornecedores")</f>
        <v>sinal de força, eu acho que isso tem a ver com os fornecedores</v>
      </c>
      <c r="B34473" s="3">
        <v>0</v>
      </c>
    </row>
    <row r="34474" ht="15.75" customHeight="1" spans="1:2">
      <c r="A34474" s="3" t="str">
        <f>IFERROR(__xludf.DUMMYFUNCTION("GOOGLETRANSLATE(A34474,""en"",""pt"")"),"modo de vibração")</f>
        <v>modo de vibração</v>
      </c>
      <c r="B34474" s="3">
        <v>0</v>
      </c>
    </row>
    <row r="34475" ht="15.75" customHeight="1" spans="1:2">
      <c r="A34475" s="3" t="str">
        <f>IFERROR(__xludf.DUMMYFUNCTION("GOOGLETRANSLATE(A34475,""en"",""pt"")"),"muitos não para o dinheiro")</f>
        <v>muitos não para o dinheiro</v>
      </c>
      <c r="B34475" s="3">
        <v>0</v>
      </c>
    </row>
    <row r="34476" ht="15.75" customHeight="1" spans="1:2">
      <c r="A34476" s="3" t="str">
        <f>IFERROR(__xludf.DUMMYFUNCTION("GOOGLETRANSLATE(A34476,""en"",""pt"")"),"Tipo de Big")</f>
        <v>Tipo de Big</v>
      </c>
      <c r="B34476" s="3">
        <v>0</v>
      </c>
    </row>
    <row r="34477" ht="15.75" customHeight="1" spans="1:2">
      <c r="A34477" s="3" t="str">
        <f>IFERROR(__xludf.DUMMYFUNCTION("GOOGLETRANSLATE(A34477,""en"",""pt"")"),"tornar datada pela tecnologia mais recente")</f>
        <v>tornar datada pela tecnologia mais recente</v>
      </c>
      <c r="B34477" s="3">
        <v>0</v>
      </c>
    </row>
    <row r="34478" ht="15.75" customHeight="1" spans="1:2">
      <c r="A34478" s="3" t="str">
        <f>IFERROR(__xludf.DUMMYFUNCTION("GOOGLETRANSLATE(A34478,""en"",""pt"")"),"quebra facilmente")</f>
        <v>quebra facilmente</v>
      </c>
      <c r="B34478" s="3">
        <v>0</v>
      </c>
    </row>
    <row r="34479" ht="15.75" customHeight="1" spans="1:2">
      <c r="A34479" s="3" t="str">
        <f>IFERROR(__xludf.DUMMYFUNCTION("GOOGLETRANSLATE(A34479,""en"",""pt"")"),"recepção fraca, No Vibrador Ringing")</f>
        <v>recepção fraca, No Vibrador Ringing</v>
      </c>
      <c r="B34479" s="3">
        <v>0</v>
      </c>
    </row>
    <row r="34480" ht="15.75" customHeight="1" spans="1:2">
      <c r="A34480" s="3" t="str">
        <f>IFERROR(__xludf.DUMMYFUNCTION("GOOGLETRANSLATE(A34480,""en"",""pt"")"),"vida útil da bateria é medíocre")</f>
        <v>vida útil da bateria é medíocre</v>
      </c>
      <c r="B34480" s="3">
        <v>0</v>
      </c>
    </row>
    <row r="34481" ht="15.75" customHeight="1" spans="1:2">
      <c r="A34481" s="3" t="str">
        <f>IFERROR(__xludf.DUMMYFUNCTION("GOOGLETRANSLATE(A34481,""en"",""pt"")"),"Sem opção frente aleta")</f>
        <v>Sem opção frente aleta</v>
      </c>
      <c r="B34481" s="3">
        <v>0</v>
      </c>
    </row>
    <row r="34482" ht="15.75" customHeight="1" spans="1:2">
      <c r="A34482" s="3" t="str">
        <f>IFERROR(__xludf.DUMMYFUNCTION("GOOGLETRANSLATE(A34482,""en"",""pt"")"),"Sinal de força")</f>
        <v>Sinal de força</v>
      </c>
      <c r="B34482" s="3">
        <v>0</v>
      </c>
    </row>
    <row r="34483" ht="15.75" customHeight="1" spans="1:2">
      <c r="A34483" s="3" t="str">
        <f>IFERROR(__xludf.DUMMYFUNCTION("GOOGLETRANSLATE(A34483,""en"",""pt"")"),"bateria padrão é horrível!")</f>
        <v>bateria padrão é horrível!</v>
      </c>
      <c r="B34483" s="3">
        <v>0</v>
      </c>
    </row>
    <row r="34484" ht="15.75" customHeight="1" spans="1:2">
      <c r="A34484" s="3" t="str">
        <f>IFERROR(__xludf.DUMMYFUNCTION("GOOGLETRANSLATE(A34484,""en"",""pt"")"),"Frágil?")</f>
        <v>Frágil?</v>
      </c>
      <c r="B34484" s="3">
        <v>0</v>
      </c>
    </row>
    <row r="34485" ht="15.75" customHeight="1" spans="1:2">
      <c r="A34485" s="3" t="str">
        <f>IFERROR(__xludf.DUMMYFUNCTION("GOOGLETRANSLATE(A34485,""en"",""pt"")"),"Má recepção. Modo de usuário estranho. Desliga-se sem qualquer aviso.")</f>
        <v>Má recepção. Modo de usuário estranho. Desliga-se sem qualquer aviso.</v>
      </c>
      <c r="B34485" s="3">
        <v>0</v>
      </c>
    </row>
    <row r="34486" ht="15.75" customHeight="1" spans="1:2">
      <c r="A34486" s="3" t="str">
        <f>IFERROR(__xludf.DUMMYFUNCTION("GOOGLETRANSLATE(A34486,""en"",""pt"")"),"relativamente má recepção")</f>
        <v>relativamente má recepção</v>
      </c>
      <c r="B34486" s="3">
        <v>0</v>
      </c>
    </row>
    <row r="34487" ht="15.75" customHeight="1" spans="1:2">
      <c r="A34487" s="3" t="str">
        <f>IFERROR(__xludf.DUMMYFUNCTION("GOOGLETRANSLATE(A34487,""en"",""pt"")"),"Bad recepção, curta duração da bateria")</f>
        <v>Bad recepção, curta duração da bateria</v>
      </c>
      <c r="B34487" s="3">
        <v>0</v>
      </c>
    </row>
    <row r="34488" ht="15.75" customHeight="1" spans="1:2">
      <c r="A34488" s="3" t="str">
        <f>IFERROR(__xludf.DUMMYFUNCTION("GOOGLETRANSLATE(A34488,""en"",""pt"")"),"velho agora")</f>
        <v>velho agora</v>
      </c>
      <c r="B34488" s="3">
        <v>0</v>
      </c>
    </row>
    <row r="34489" ht="15.75" customHeight="1" spans="1:2">
      <c r="A34489" s="3" t="str">
        <f>IFERROR(__xludf.DUMMYFUNCTION("GOOGLETRANSLATE(A34489,""en"",""pt"")"),"má recepção")</f>
        <v>má recepção</v>
      </c>
      <c r="B34489" s="3">
        <v>0</v>
      </c>
    </row>
    <row r="34490" ht="15.75" customHeight="1" spans="1:2">
      <c r="A34490" s="3" t="str">
        <f>IFERROR(__xludf.DUMMYFUNCTION("GOOGLETRANSLATE(A34490,""en"",""pt"")"),"Volumoso, layout do menu")</f>
        <v>Volumoso, layout do menu</v>
      </c>
      <c r="B34490" s="3">
        <v>0</v>
      </c>
    </row>
    <row r="34491" ht="15.75" customHeight="1" spans="1:2">
      <c r="A34491" s="3" t="str">
        <f>IFERROR(__xludf.DUMMYFUNCTION("GOOGLETRANSLATE(A34491,""en"",""pt"")"),"Poderia ter sido um pouco mais compacto")</f>
        <v>Poderia ter sido um pouco mais compacto</v>
      </c>
      <c r="B34491" s="3">
        <v>0</v>
      </c>
    </row>
    <row r="34492" ht="15.75" customHeight="1" spans="1:2">
      <c r="A34492" s="3" t="str">
        <f>IFERROR(__xludf.DUMMYFUNCTION("GOOGLETRANSLATE(A34492,""en"",""pt"")"),"Tem que comprar uma bateria vibrando.")</f>
        <v>Tem que comprar uma bateria vibrando.</v>
      </c>
      <c r="B34492" s="3">
        <v>0</v>
      </c>
    </row>
    <row r="34493" ht="15.75" customHeight="1" spans="1:2">
      <c r="A34493" s="3" t="str">
        <f>IFERROR(__xludf.DUMMYFUNCTION("GOOGLETRANSLATE(A34493,""en"",""pt"")"),"Nada")</f>
        <v>Nada</v>
      </c>
      <c r="B34493" s="3">
        <v>0</v>
      </c>
    </row>
    <row r="34494" ht="15.75" customHeight="1" spans="1:2">
      <c r="A34494" s="3" t="str">
        <f>IFERROR(__xludf.DUMMYFUNCTION("GOOGLETRANSLATE(A34494,""en"",""pt"")"),"Sem Perfis, o desempenho de RF, menus lentos.")</f>
        <v>Sem Perfis, o desempenho de RF, menus lentos.</v>
      </c>
      <c r="B34494" s="3">
        <v>0</v>
      </c>
    </row>
    <row r="34495" ht="15.75" customHeight="1" spans="1:2">
      <c r="A34495" s="3" t="str">
        <f>IFERROR(__xludf.DUMMYFUNCTION("GOOGLETRANSLATE(A34495,""en"",""pt"")"),"Menu feio")</f>
        <v>Menu feio</v>
      </c>
      <c r="B34495" s="3">
        <v>0</v>
      </c>
    </row>
    <row r="34496" ht="15.75" customHeight="1" spans="1:2">
      <c r="A34496" s="3" t="str">
        <f>IFERROR(__xludf.DUMMYFUNCTION("GOOGLETRANSLATE(A34496,""en"",""pt"")"),"antena perto da cabeça.")</f>
        <v>antena perto da cabeça.</v>
      </c>
      <c r="B34496" s="3">
        <v>0</v>
      </c>
    </row>
    <row r="34497" ht="15.75" customHeight="1" spans="1:2">
      <c r="A34497" s="3" t="str">
        <f>IFERROR(__xludf.DUMMYFUNCTION("GOOGLETRANSLATE(A34497,""en"",""pt"")"),"Telefone desliga-se constantemente")</f>
        <v>Telefone desliga-se constantemente</v>
      </c>
      <c r="B34497" s="3">
        <v>0</v>
      </c>
    </row>
    <row r="34498" ht="15.75" customHeight="1" spans="1:2">
      <c r="A34498" s="3" t="str">
        <f>IFERROR(__xludf.DUMMYFUNCTION("GOOGLETRANSLATE(A34498,""en"",""pt"")"),"Eu uso fluxo de voz ,,,, mas eles estão ficando melhor")</f>
        <v>Eu uso fluxo de voz ,,,, mas eles estão ficando melhor</v>
      </c>
      <c r="B34498" s="3">
        <v>0</v>
      </c>
    </row>
    <row r="34499" ht="15.75" customHeight="1" spans="1:2">
      <c r="A34499" s="3" t="str">
        <f>IFERROR(__xludf.DUMMYFUNCTION("GOOGLETRANSLATE(A34499,""en"",""pt"")"),"O contras?")</f>
        <v>O contras?</v>
      </c>
      <c r="B34499" s="3">
        <v>0</v>
      </c>
    </row>
    <row r="34500" ht="15.75" customHeight="1" spans="1:2">
      <c r="A34500" s="3" t="str">
        <f>IFERROR(__xludf.DUMMYFUNCTION("GOOGLETRANSLATE(A34500,""en"",""pt"")"),"avarias")</f>
        <v>avarias</v>
      </c>
      <c r="B34500" s="3">
        <v>0</v>
      </c>
    </row>
    <row r="34501" ht="15.75" customHeight="1" spans="1:2">
      <c r="A34501" s="3" t="str">
        <f>IFERROR(__xludf.DUMMYFUNCTION("GOOGLETRANSLATE(A34501,""en"",""pt"")"),"Sprint é mais largo")</f>
        <v>Sprint é mais largo</v>
      </c>
      <c r="B34501" s="3">
        <v>0</v>
      </c>
    </row>
    <row r="34502" ht="15.75" customHeight="1" spans="1:2">
      <c r="A34502" s="3" t="str">
        <f>IFERROR(__xludf.DUMMYFUNCTION("GOOGLETRANSLATE(A34502,""en"",""pt"")"),"Má recepção em alguns lugares.")</f>
        <v>Má recepção em alguns lugares.</v>
      </c>
      <c r="B34502" s="3">
        <v>0</v>
      </c>
    </row>
    <row r="34503" ht="15.75" customHeight="1" spans="1:2">
      <c r="A34503" s="3" t="str">
        <f>IFERROR(__xludf.DUMMYFUNCTION("GOOGLETRANSLATE(A34503,""en"",""pt"")"),"carece de elegância, recepção menos do que adequada")</f>
        <v>carece de elegância, recepção menos do que adequada</v>
      </c>
      <c r="B34503" s="3">
        <v>0</v>
      </c>
    </row>
    <row r="34504" ht="15.75" customHeight="1" spans="1:2">
      <c r="A34504" s="3" t="str">
        <f>IFERROR(__xludf.DUMMYFUNCTION("GOOGLETRANSLATE(A34504,""en"",""pt"")"),"Nenhum")</f>
        <v>Nenhum</v>
      </c>
      <c r="B34504" s="3">
        <v>0</v>
      </c>
    </row>
    <row r="34505" ht="15.75" customHeight="1" spans="1:2">
      <c r="A34505" s="3" t="str">
        <f>IFERROR(__xludf.DUMMYFUNCTION("GOOGLETRANSLATE(A34505,""en"",""pt"")"),"Nenhum")</f>
        <v>Nenhum</v>
      </c>
      <c r="B34505" s="3">
        <v>0</v>
      </c>
    </row>
    <row r="34506" ht="15.75" customHeight="1" spans="1:2">
      <c r="A34506" s="3" t="str">
        <f>IFERROR(__xludf.DUMMYFUNCTION("GOOGLETRANSLATE(A34506,""en"",""pt"")"),"Nenhum!")</f>
        <v>Nenhum!</v>
      </c>
      <c r="B34506" s="3">
        <v>0</v>
      </c>
    </row>
    <row r="34507" ht="15.75" customHeight="1" spans="1:2">
      <c r="A34507" s="3" t="str">
        <f>IFERROR(__xludf.DUMMYFUNCTION("GOOGLETRANSLATE(A34507,""en"",""pt"")"),"não pode lidar com muitas fumbles")</f>
        <v>não pode lidar com muitas fumbles</v>
      </c>
      <c r="B34507" s="3">
        <v>0</v>
      </c>
    </row>
    <row r="34508" ht="15.75" customHeight="1" spans="1:2">
      <c r="A34508" s="3" t="str">
        <f>IFERROR(__xludf.DUMMYFUNCTION("GOOGLETRANSLATE(A34508,""en"",""pt"")"),"Não confortáveis ​​para longas conversas")</f>
        <v>Não confortáveis ​​para longas conversas</v>
      </c>
      <c r="B34508" s="3">
        <v>0</v>
      </c>
    </row>
    <row r="34509" ht="15.75" customHeight="1" spans="1:2">
      <c r="A34509" s="3" t="str">
        <f>IFERROR(__xludf.DUMMYFUNCTION("GOOGLETRANSLATE(A34509,""en"",""pt"")"),"Outros melhores estão disponíveis no mercado.")</f>
        <v>Outros melhores estão disponíveis no mercado.</v>
      </c>
      <c r="B34509" s="3">
        <v>0</v>
      </c>
    </row>
    <row r="34510" ht="15.75" customHeight="1" spans="1:2">
      <c r="A34510" s="3" t="str">
        <f>IFERROR(__xludf.DUMMYFUNCTION("GOOGLETRANSLATE(A34510,""en"",""pt"")"),"Mesmo com uma cobertura, por vezes, botões obter sucesso")</f>
        <v>Mesmo com uma cobertura, por vezes, botões obter sucesso</v>
      </c>
      <c r="B34510" s="3">
        <v>0</v>
      </c>
    </row>
    <row r="34511" ht="15.75" customHeight="1" spans="1:2">
      <c r="A34511" s="3" t="str">
        <f>IFERROR(__xludf.DUMMYFUNCTION("GOOGLETRANSLATE(A34511,""en"",""pt"")"),"todo o resto")</f>
        <v>todo o resto</v>
      </c>
      <c r="B34511" s="3">
        <v>0</v>
      </c>
    </row>
    <row r="34512" ht="15.75" customHeight="1" spans="1:2">
      <c r="A34512" s="3" t="str">
        <f>IFERROR(__xludf.DUMMYFUNCTION("GOOGLETRANSLATE(A34512,""en"",""pt"")"),"Às vezes, sinal fraco, mesmo em estradas interestaduais. . .")</f>
        <v>Às vezes, sinal fraco, mesmo em estradas interestaduais. . .</v>
      </c>
      <c r="B34512" s="3">
        <v>0</v>
      </c>
    </row>
    <row r="34513" ht="15.75" customHeight="1" spans="1:2">
      <c r="A34513" s="3" t="str">
        <f>IFERROR(__xludf.DUMMYFUNCTION("GOOGLETRANSLATE(A34513,""en"",""pt"")"),"duração da bateria não tão grande, não pode armazenar nomes completos se demasiado longo")</f>
        <v>duração da bateria não tão grande, não pode armazenar nomes completos se demasiado longo</v>
      </c>
      <c r="B34513" s="3">
        <v>0</v>
      </c>
    </row>
    <row r="34514" ht="15.75" customHeight="1" spans="1:2">
      <c r="A34514" s="3" t="str">
        <f>IFERROR(__xludf.DUMMYFUNCTION("GOOGLETRANSLATE(A34514,""en"",""pt"")"),"pedaço da orelha")</f>
        <v>pedaço da orelha</v>
      </c>
      <c r="B34514" s="3">
        <v>0</v>
      </c>
    </row>
    <row r="34515" ht="15.75" customHeight="1" spans="1:2">
      <c r="A34515" s="3" t="str">
        <f>IFERROR(__xludf.DUMMYFUNCTION("GOOGLETRANSLATE(A34515,""en"",""pt"")"),"recepção fraca, No Vibrador Ringing")</f>
        <v>recepção fraca, No Vibrador Ringing</v>
      </c>
      <c r="B34515" s="3">
        <v>0</v>
      </c>
    </row>
    <row r="34516" ht="15.75" customHeight="1" spans="1:2">
      <c r="A34516" s="3" t="str">
        <f>IFERROR(__xludf.DUMMYFUNCTION("GOOGLETRANSLATE(A34516,""en"",""pt"")"),"Não há muitos recursos")</f>
        <v>Não há muitos recursos</v>
      </c>
      <c r="B34516" s="3">
        <v>0</v>
      </c>
    </row>
    <row r="34517" ht="15.75" customHeight="1" spans="1:2">
      <c r="A34517" s="3" t="str">
        <f>IFERROR(__xludf.DUMMYFUNCTION("GOOGLETRANSLATE(A34517,""en"",""pt"")"),"Grande e pesado.")</f>
        <v>Grande e pesado.</v>
      </c>
      <c r="B34517" s="3">
        <v>0</v>
      </c>
    </row>
    <row r="34518" ht="15.75" customHeight="1" spans="1:2">
      <c r="A34518" s="3" t="str">
        <f>IFERROR(__xludf.DUMMYFUNCTION("GOOGLETRANSLATE(A34518,""en"",""pt"")"),"Caro a partir de Cingular Wireless, não é a antena um pouco grande ?!")</f>
        <v>Caro a partir de Cingular Wireless, não é a antena um pouco grande ?!</v>
      </c>
      <c r="B34518" s="3">
        <v>0</v>
      </c>
    </row>
    <row r="34519" ht="15.75" customHeight="1" spans="1:2">
      <c r="A34519" s="3" t="str">
        <f>IFERROR(__xludf.DUMMYFUNCTION("GOOGLETRANSLATE(A34519,""en"",""pt"")"),"exibição pequeno, um pouco datado, interface de apenas OK")</f>
        <v>exibição pequeno, um pouco datado, interface de apenas OK</v>
      </c>
      <c r="B34519" s="3">
        <v>0</v>
      </c>
    </row>
    <row r="34520" ht="15.75" customHeight="1" spans="1:2">
      <c r="A34520" s="3" t="str">
        <f>IFERROR(__xludf.DUMMYFUNCTION("GOOGLETRANSLATE(A34520,""en"",""pt"")"),"Antena, Display pode ser um brilhante pouco e mais visível, rigntone adicionando")</f>
        <v>Antena, Display pode ser um brilhante pouco e mais visível, rigntone adicionando</v>
      </c>
      <c r="B34520" s="3">
        <v>0</v>
      </c>
    </row>
    <row r="34521" ht="15.75" customHeight="1" spans="1:2">
      <c r="A34521" s="3" t="str">
        <f>IFERROR(__xludf.DUMMYFUNCTION("GOOGLETRANSLATE(A34521,""en"",""pt"")"),"Antena é vulnerável")</f>
        <v>Antena é vulnerável</v>
      </c>
      <c r="B34521" s="3">
        <v>0</v>
      </c>
    </row>
    <row r="34522" ht="15.75" customHeight="1" spans="1:2">
      <c r="A34522" s="3" t="str">
        <f>IFERROR(__xludf.DUMMYFUNCTION("GOOGLETRANSLATE(A34522,""en"",""pt"")"),"Nenhum")</f>
        <v>Nenhum</v>
      </c>
      <c r="B34522" s="3">
        <v>0</v>
      </c>
    </row>
    <row r="34523" ht="15.75" customHeight="1" spans="1:2">
      <c r="A34523" s="3" t="str">
        <f>IFERROR(__xludf.DUMMYFUNCTION("GOOGLETRANSLATE(A34523,""en"",""pt"")"),"má vida da bateria, menus não-intuitivas, nenhuma pesquisa na agenda telefônica, não soa alto")</f>
        <v>má vida da bateria, menus não-intuitivas, nenhuma pesquisa na agenda telefônica, não soa alto</v>
      </c>
      <c r="B34523" s="3">
        <v>0</v>
      </c>
    </row>
    <row r="34524" ht="15.75" customHeight="1" spans="1:2">
      <c r="A34524" s="3" t="str">
        <f>IFERROR(__xludf.DUMMYFUNCTION("GOOGLETRANSLATE(A34524,""en"",""pt"")"),"jogos Lame !!!! mas facilmente mais parecia")</f>
        <v>jogos Lame !!!! mas facilmente mais parecia</v>
      </c>
      <c r="B34524" s="3">
        <v>0</v>
      </c>
    </row>
    <row r="34525" ht="15.75" customHeight="1" spans="1:2">
      <c r="A34525" s="3" t="str">
        <f>IFERROR(__xludf.DUMMYFUNCTION("GOOGLETRANSLATE(A34525,""en"",""pt"")"),"Sem frescura como cores ou imagens")</f>
        <v>Sem frescura como cores ou imagens</v>
      </c>
      <c r="B34525" s="3">
        <v>0</v>
      </c>
    </row>
    <row r="34526" ht="15.75" customHeight="1" spans="1:2">
      <c r="A34526" s="3" t="str">
        <f>IFERROR(__xludf.DUMMYFUNCTION("GOOGLETRANSLATE(A34526,""en"",""pt"")"),"No Back-luz à noite.")</f>
        <v>No Back-luz à noite.</v>
      </c>
      <c r="B34526" s="3">
        <v>0</v>
      </c>
    </row>
    <row r="34527" ht="15.75" customHeight="1" spans="1:2">
      <c r="A34527" s="3" t="str">
        <f>IFERROR(__xludf.DUMMYFUNCTION("GOOGLETRANSLATE(A34527,""en"",""pt"")"),"Bastante grande antena, Quirky Motorola Series V User Interface e menus.")</f>
        <v>Bastante grande antena, Quirky Motorola Series V User Interface e menus.</v>
      </c>
      <c r="B34527" s="3">
        <v>0</v>
      </c>
    </row>
    <row r="34528" ht="15.75" customHeight="1" spans="1:2">
      <c r="A34528" s="3" t="str">
        <f>IFERROR(__xludf.DUMMYFUNCTION("GOOGLETRANSLATE(A34528,""en"",""pt"")"),"interface de medíocre, carece de novas funcionalidades")</f>
        <v>interface de medíocre, carece de novas funcionalidades</v>
      </c>
      <c r="B34528" s="3">
        <v>0</v>
      </c>
    </row>
    <row r="34529" ht="15.75" customHeight="1" spans="1:2">
      <c r="A34529" s="3" t="str">
        <f>IFERROR(__xludf.DUMMYFUNCTION("GOOGLETRANSLATE(A34529,""en"",""pt"")"),"Não encontrei ainda")</f>
        <v>Não encontrei ainda</v>
      </c>
      <c r="B34529" s="3">
        <v>0</v>
      </c>
    </row>
    <row r="34530" ht="15.75" customHeight="1" spans="1:2">
      <c r="A34530" s="3" t="str">
        <f>IFERROR(__xludf.DUMMYFUNCTION("GOOGLETRANSLATE(A34530,""en"",""pt"")"),"não toques, não há maneira de mudar título / logotipo")</f>
        <v>não toques, não há maneira de mudar título / logotipo</v>
      </c>
      <c r="B34530" s="3">
        <v>0</v>
      </c>
    </row>
    <row r="34531" ht="15.75" customHeight="1" spans="1:2">
      <c r="A34531" s="3" t="str">
        <f>IFERROR(__xludf.DUMMYFUNCTION("GOOGLETRANSLATE(A34531,""en"",""pt"")"),"serviço esboçado em áreas sem duas ou mais barras.")</f>
        <v>serviço esboçado em áreas sem duas ou mais barras.</v>
      </c>
      <c r="B34531" s="3">
        <v>0</v>
      </c>
    </row>
    <row r="34532" ht="15.75" customHeight="1" spans="1:2">
      <c r="A34532" s="3" t="str">
        <f>IFERROR(__xludf.DUMMYFUNCTION("GOOGLETRANSLATE(A34532,""en"",""pt"")"),"No ecrã a cores.")</f>
        <v>No ecrã a cores.</v>
      </c>
      <c r="B34532" s="3">
        <v>0</v>
      </c>
    </row>
    <row r="34533" ht="15.75" customHeight="1" spans="1:2">
      <c r="A34533" s="3" t="str">
        <f>IFERROR(__xludf.DUMMYFUNCTION("GOOGLETRANSLATE(A34533,""en"",""pt"")"),"Números não acendem")</f>
        <v>Números não acendem</v>
      </c>
      <c r="B34533" s="3">
        <v>0</v>
      </c>
    </row>
    <row r="34534" ht="15.75" customHeight="1" spans="1:2">
      <c r="A34534" s="3" t="str">
        <f>IFERROR(__xludf.DUMMYFUNCTION("GOOGLETRANSLATE(A34534,""en"",""pt"")"),"A vida da bateria, pouca personalização, dim em algumas condições, caro.")</f>
        <v>A vida da bateria, pouca personalização, dim em algumas condições, caro.</v>
      </c>
      <c r="B34534" s="3">
        <v>0</v>
      </c>
    </row>
    <row r="34535" ht="15.75" customHeight="1" spans="1:2">
      <c r="A34535" s="3" t="str">
        <f>IFERROR(__xludf.DUMMYFUNCTION("GOOGLETRANSLATE(A34535,""en"",""pt"")"),"Vida útil da bateria, zumbido perto de TV e telefones e longo antena stubby")</f>
        <v>Vida útil da bateria, zumbido perto de TV e telefones e longo antena stubby</v>
      </c>
      <c r="B34535" s="3">
        <v>0</v>
      </c>
    </row>
    <row r="34536" ht="15.75" customHeight="1" spans="1:2">
      <c r="A34536" s="3" t="str">
        <f>IFERROR(__xludf.DUMMYFUNCTION("GOOGLETRANSLATE(A34536,""en"",""pt"")"),"Tela poderia ser mais brilhante, clip coldre poderia ser mais fácil de usar, a vida da bateria")</f>
        <v>Tela poderia ser mais brilhante, clip coldre poderia ser mais fácil de usar, a vida da bateria</v>
      </c>
      <c r="B34536" s="3">
        <v>0</v>
      </c>
    </row>
    <row r="34537" ht="15.75" customHeight="1" spans="1:2">
      <c r="A34537" s="3" t="str">
        <f>IFERROR(__xludf.DUMMYFUNCTION("GOOGLETRANSLATE(A34537,""en"",""pt"")"),"vida útil da bateria horrível, não pode baixar ringtones, não deixe interestadual")</f>
        <v>vida útil da bateria horrível, não pode baixar ringtones, não deixe interestadual</v>
      </c>
      <c r="B34537" s="3">
        <v>0</v>
      </c>
    </row>
    <row r="34538" ht="15.75" customHeight="1" spans="1:2">
      <c r="A34538" s="3" t="str">
        <f>IFERROR(__xludf.DUMMYFUNCTION("GOOGLETRANSLATE(A34538,""en"",""pt"")"),"preço para média Joe como você e eu ... só eu posso pensar")</f>
        <v>preço para média Joe como você e eu ... só eu posso pensar</v>
      </c>
      <c r="B34538" s="3">
        <v>0</v>
      </c>
    </row>
    <row r="34539" ht="15.75" customHeight="1" spans="1:2">
      <c r="A34539" s="3" t="str">
        <f>IFERROR(__xludf.DUMMYFUNCTION("GOOGLETRANSLATE(A34539,""en"",""pt"")"),"Mais frágil, então qualquer outro Nextel, não tão pequenos, como telefones celulares convencionais.")</f>
        <v>Mais frágil, então qualquer outro Nextel, não tão pequenos, como telefones celulares convencionais.</v>
      </c>
      <c r="B34539" s="3">
        <v>0</v>
      </c>
    </row>
    <row r="34540" ht="15.75" customHeight="1" spans="1:2">
      <c r="A34540" s="3" t="str">
        <f>IFERROR(__xludf.DUMMYFUNCTION("GOOGLETRANSLATE(A34540,""en"",""pt"")"),"Vida útil da bateria, aleatoriamente Desliga, aviso de bateria fraca, deve desligar de vez em quando")</f>
        <v>Vida útil da bateria, aleatoriamente Desliga, aviso de bateria fraca, deve desligar de vez em quando</v>
      </c>
      <c r="B34540" s="3">
        <v>0</v>
      </c>
    </row>
    <row r="34541" ht="15.75" customHeight="1" spans="1:2">
      <c r="A34541" s="3" t="str">
        <f>IFERROR(__xludf.DUMMYFUNCTION("GOOGLETRANSLATE(A34541,""en"",""pt"")"),"Em comparação com alguns telefones agora, pode ser grande e não tem tela colorida")</f>
        <v>Em comparação com alguns telefones agora, pode ser grande e não tem tela colorida</v>
      </c>
      <c r="B34541" s="3">
        <v>0</v>
      </c>
    </row>
    <row r="34542" ht="15.75" customHeight="1" spans="1:2">
      <c r="A34542" s="3" t="str">
        <f>IFERROR(__xludf.DUMMYFUNCTION("GOOGLETRANSLATE(A34542,""en"",""pt"")"),"Dois SMS é terrivelmente integrado, serviço, caro")</f>
        <v>Dois SMS é terrivelmente integrado, serviço, caro</v>
      </c>
      <c r="B34542" s="3">
        <v>0</v>
      </c>
    </row>
    <row r="34543" ht="15.75" customHeight="1" spans="1:2">
      <c r="A34543" s="3" t="str">
        <f>IFERROR(__xludf.DUMMYFUNCTION("GOOGLETRANSLATE(A34543,""en"",""pt"")"),"menus da agenda telefônica poderia ser melhor")</f>
        <v>menus da agenda telefônica poderia ser melhor</v>
      </c>
      <c r="B34543" s="3">
        <v>0</v>
      </c>
    </row>
    <row r="34544" ht="15.75" customHeight="1" spans="1:2">
      <c r="A34544" s="3" t="str">
        <f>IFERROR(__xludf.DUMMYFUNCTION("GOOGLETRANSLATE(A34544,""en"",""pt"")"),"Não é barato para substituir se você perdê-lo.")</f>
        <v>Não é barato para substituir se você perdê-lo.</v>
      </c>
      <c r="B34544" s="3">
        <v>0</v>
      </c>
    </row>
    <row r="34545" ht="15.75" customHeight="1" spans="1:2">
      <c r="A34545" s="3" t="str">
        <f>IFERROR(__xludf.DUMMYFUNCTION("GOOGLETRANSLATE(A34545,""en"",""pt"")"),"Em comparação com alguns telefones disponíveis, maiores do que seria de desejar")</f>
        <v>Em comparação com alguns telefones disponíveis, maiores do que seria de desejar</v>
      </c>
      <c r="B34545" s="3">
        <v>0</v>
      </c>
    </row>
    <row r="34546" ht="15.75" customHeight="1" spans="1:2">
      <c r="A34546" s="3" t="str">
        <f>IFERROR(__xludf.DUMMYFUNCTION("GOOGLETRANSLATE(A34546,""en"",""pt"")"),"meio pesado, recepção nem sempre melhor")</f>
        <v>meio pesado, recepção nem sempre melhor</v>
      </c>
      <c r="B34546" s="3">
        <v>0</v>
      </c>
    </row>
    <row r="34547" ht="15.75" customHeight="1" spans="1:2">
      <c r="A34547" s="3" t="str">
        <f>IFERROR(__xludf.DUMMYFUNCTION("GOOGLETRANSLATE(A34547,""en"",""pt"")"),"Deve haver uma maneira para ativar a vibração, sem tampa de abertura")</f>
        <v>Deve haver uma maneira para ativar a vibração, sem tampa de abertura</v>
      </c>
      <c r="B34547" s="3">
        <v>0</v>
      </c>
    </row>
    <row r="34548" ht="15.75" customHeight="1" spans="1:2">
      <c r="A34548" s="3" t="str">
        <f>IFERROR(__xludf.DUMMYFUNCTION("GOOGLETRANSLATE(A34548,""en"",""pt"")"),"coldre inutilizável, curta duração da bateria e sempre movimentado em torno de alto-falantes")</f>
        <v>coldre inutilizável, curta duração da bateria e sempre movimentado em torno de alto-falantes</v>
      </c>
      <c r="B34548" s="3">
        <v>0</v>
      </c>
    </row>
    <row r="34549" ht="15.75" customHeight="1" spans="1:2">
      <c r="A34549" s="3" t="str">
        <f>IFERROR(__xludf.DUMMYFUNCTION("GOOGLETRANSLATE(A34549,""en"",""pt"")"),"A duração da bateria como qualquer outro telefone que não é grande.")</f>
        <v>A duração da bateria como qualquer outro telefone que não é grande.</v>
      </c>
      <c r="B34549" s="3">
        <v>0</v>
      </c>
    </row>
    <row r="34550" ht="15.75" customHeight="1" spans="1:2">
      <c r="A34550" s="3" t="str">
        <f>IFERROR(__xludf.DUMMYFUNCTION("GOOGLETRANSLATE(A34550,""en"",""pt"")"),"o botão on / off é um pouco 'sensível'")</f>
        <v>o botão on / off é um pouco 'sensível'</v>
      </c>
      <c r="B34550" s="3">
        <v>0</v>
      </c>
    </row>
    <row r="34551" ht="15.75" customHeight="1" spans="1:2">
      <c r="A34551" s="3" t="str">
        <f>IFERROR(__xludf.DUMMYFUNCTION("GOOGLETRANSLATE(A34551,""en"",""pt"")"),"Desejo foi um pouco menor")</f>
        <v>Desejo foi um pouco menor</v>
      </c>
      <c r="B34551" s="3">
        <v>0</v>
      </c>
    </row>
    <row r="34552" ht="15.75" customHeight="1" spans="1:2">
      <c r="A34552" s="3" t="str">
        <f>IFERROR(__xludf.DUMMYFUNCTION("GOOGLETRANSLATE(A34552,""en"",""pt"")"),"um biger pouco do que a maioria dos telefones com flip")</f>
        <v>um biger pouco do que a maioria dos telefones com flip</v>
      </c>
      <c r="B34552" s="3">
        <v>0</v>
      </c>
    </row>
    <row r="34553" ht="15.75" customHeight="1" spans="1:2">
      <c r="A34553" s="3" t="str">
        <f>IFERROR(__xludf.DUMMYFUNCTION("GOOGLETRANSLATE(A34553,""en"",""pt"")"),"tamanho da tela, há toques personalizados por chamador, limitando o uso em áreas remotas")</f>
        <v>tamanho da tela, há toques personalizados por chamador, limitando o uso em áreas remotas</v>
      </c>
      <c r="B34553" s="3">
        <v>0</v>
      </c>
    </row>
    <row r="34554" ht="15.75" customHeight="1" spans="1:2">
      <c r="A34554" s="3" t="str">
        <f>IFERROR(__xludf.DUMMYFUNCTION("GOOGLETRANSLATE(A34554,""en"",""pt"")"),"Não é possível baixar toques, a vida da bateria")</f>
        <v>Não é possível baixar toques, a vida da bateria</v>
      </c>
      <c r="B34554" s="3">
        <v>0</v>
      </c>
    </row>
    <row r="34555" ht="15.75" customHeight="1" spans="1:2">
      <c r="A34555" s="3" t="str">
        <f>IFERROR(__xludf.DUMMYFUNCTION("GOOGLETRANSLATE(A34555,""en"",""pt"")"),"curta duração da bateria, tela pequena")</f>
        <v>curta duração da bateria, tela pequena</v>
      </c>
      <c r="B34555" s="3">
        <v>0</v>
      </c>
    </row>
    <row r="34556" ht="15.75" customHeight="1" spans="1:2">
      <c r="A34556" s="3" t="str">
        <f>IFERROR(__xludf.DUMMYFUNCTION("GOOGLETRANSLATE(A34556,""en"",""pt"")"),"clipe de cinto estoque facilmente quebrado, vida útil da bateria não mais de dois dias com o uso regular")</f>
        <v>clipe de cinto estoque facilmente quebrado, vida útil da bateria não mais de dois dias com o uso regular</v>
      </c>
      <c r="B34556" s="3">
        <v>0</v>
      </c>
    </row>
    <row r="34557" ht="15.75" customHeight="1" spans="1:2">
      <c r="A34557" s="3" t="str">
        <f>IFERROR(__xludf.DUMMYFUNCTION("GOOGLETRANSLATE(A34557,""en"",""pt"")"),"não ainda!")</f>
        <v>não ainda!</v>
      </c>
      <c r="B34557" s="3">
        <v>0</v>
      </c>
    </row>
    <row r="34558" ht="15.75" customHeight="1" spans="1:2">
      <c r="A34558" s="3" t="str">
        <f>IFERROR(__xludf.DUMMYFUNCTION("GOOGLETRANSLATE(A34558,""en"",""pt"")"),"A vida da bateria é uma porcaria, caro, não muitos recursos personalizados.")</f>
        <v>A vida da bateria é uma porcaria, caro, não muitos recursos personalizados.</v>
      </c>
      <c r="B34558" s="3">
        <v>0</v>
      </c>
    </row>
    <row r="34559" ht="15.75" customHeight="1" spans="1:2">
      <c r="A34559" s="3" t="str">
        <f>IFERROR(__xludf.DUMMYFUNCTION("GOOGLETRANSLATE(A34559,""en"",""pt"")"),"Nada!")</f>
        <v>Nada!</v>
      </c>
      <c r="B34559" s="3">
        <v>0</v>
      </c>
    </row>
    <row r="34560" ht="15.75" customHeight="1" spans="1:2">
      <c r="A34560" s="3" t="str">
        <f>IFERROR(__xludf.DUMMYFUNCTION("GOOGLETRANSLATE(A34560,""en"",""pt"")"),"Quando a tampa está fechada bateu faz uma marca oval na tela, bateria")</f>
        <v>Quando a tampa está fechada bateu faz uma marca oval na tela, bateria</v>
      </c>
      <c r="B34560" s="3">
        <v>0</v>
      </c>
    </row>
    <row r="34561" ht="15.75" customHeight="1" spans="1:2">
      <c r="A34561" s="3" t="str">
        <f>IFERROR(__xludf.DUMMYFUNCTION("GOOGLETRANSLATE(A34561,""en"",""pt"")"),"um pouco alta no custo, mas, novamente, todos estão")</f>
        <v>um pouco alta no custo, mas, novamente, todos estão</v>
      </c>
      <c r="B34561" s="3">
        <v>0</v>
      </c>
    </row>
    <row r="34562" ht="15.75" customHeight="1" spans="1:2">
      <c r="A34562" s="3" t="str">
        <f>IFERROR(__xludf.DUMMYFUNCTION("GOOGLETRANSLATE(A34562,""en"",""pt"")"),"tipo de tela de tamanho pequeno, vida útil da bateria não é o maior")</f>
        <v>tipo de tela de tamanho pequeno, vida útil da bateria não é o maior</v>
      </c>
      <c r="B34562" s="3">
        <v>0</v>
      </c>
    </row>
    <row r="34563" ht="15.75" customHeight="1" spans="1:2">
      <c r="A34563" s="3" t="str">
        <f>IFERROR(__xludf.DUMMYFUNCTION("GOOGLETRANSLATE(A34563,""en"",""pt"")"),"tela um pouco escuro, discagem por voz não precisa, vida bat ..")</f>
        <v>tela um pouco escuro, discagem por voz não precisa, vida bat ..</v>
      </c>
      <c r="B34563" s="3">
        <v>0</v>
      </c>
    </row>
    <row r="34564" ht="15.75" customHeight="1" spans="1:2">
      <c r="A34564" s="3" t="str">
        <f>IFERROR(__xludf.DUMMYFUNCTION("GOOGLETRANSLATE(A34564,""en"",""pt"")"),"A vida da bateria, interferência eletrônica")</f>
        <v>A vida da bateria, interferência eletrônica</v>
      </c>
      <c r="B34564" s="3">
        <v>0</v>
      </c>
    </row>
    <row r="34565" ht="15.75" customHeight="1" spans="1:2">
      <c r="A34565" s="3" t="str">
        <f>IFERROR(__xludf.DUMMYFUNCTION("GOOGLETRANSLATE(A34565,""en"",""pt"")"),"Lidar com Nextel. Serviço ruim")</f>
        <v>Lidar com Nextel. Serviço ruim</v>
      </c>
      <c r="B34565" s="3">
        <v>0</v>
      </c>
    </row>
    <row r="34566" ht="15.75" customHeight="1" spans="1:2">
      <c r="A34566" s="3" t="str">
        <f>IFERROR(__xludf.DUMMYFUNCTION("GOOGLETRANSLATE(A34566,""en"",""pt"")"),"há contras em todos realmente")</f>
        <v>há contras em todos realmente</v>
      </c>
      <c r="B34566" s="3">
        <v>0</v>
      </c>
    </row>
    <row r="34567" ht="15.75" customHeight="1" spans="1:2">
      <c r="A34567" s="3" t="str">
        <f>IFERROR(__xludf.DUMMYFUNCTION("GOOGLETRANSLATE(A34567,""en"",""pt"")"),"Preço")</f>
        <v>Preço</v>
      </c>
      <c r="B34567" s="3">
        <v>0</v>
      </c>
    </row>
    <row r="34568" ht="15.75" customHeight="1" spans="1:2">
      <c r="A34568" s="3" t="str">
        <f>IFERROR(__xludf.DUMMYFUNCTION("GOOGLETRANSLATE(A34568,""en"",""pt"")"),"Por US $ 199, ainda mais que a maioria estão dispostos a pagar")</f>
        <v>Por US $ 199, ainda mais que a maioria estão dispostos a pagar</v>
      </c>
      <c r="B34568" s="3">
        <v>0</v>
      </c>
    </row>
    <row r="34569" ht="15.75" customHeight="1" spans="1:2">
      <c r="A34569" s="3" t="str">
        <f>IFERROR(__xludf.DUMMYFUNCTION("GOOGLETRANSLATE(A34569,""en"",""pt"")"),"acesso à web sem fio caro, bateria facilmente destacáveis, pequenos significa que é fácil perder ou perder")</f>
        <v>acesso à web sem fio caro, bateria facilmente destacáveis, pequenos significa que é fácil perder ou perder</v>
      </c>
      <c r="B34569" s="3">
        <v>0</v>
      </c>
    </row>
    <row r="34570" ht="15.75" customHeight="1" spans="1:2">
      <c r="A34570" s="3" t="str">
        <f>IFERROR(__xludf.DUMMYFUNCTION("GOOGLETRANSLATE(A34570,""en"",""pt"")"),"sem jogos")</f>
        <v>sem jogos</v>
      </c>
      <c r="B34570" s="3">
        <v>0</v>
      </c>
    </row>
    <row r="34571" ht="15.75" customHeight="1" spans="1:2">
      <c r="A34571" s="3" t="str">
        <f>IFERROR(__xludf.DUMMYFUNCTION("GOOGLETRANSLATE(A34571,""en"",""pt"")"),"O preço pode fazer com que a boca muito seca também ...")</f>
        <v>O preço pode fazer com que a boca muito seca também ...</v>
      </c>
      <c r="B34571" s="3">
        <v>0</v>
      </c>
    </row>
    <row r="34572" ht="15.75" customHeight="1" spans="1:2">
      <c r="A34572" s="3" t="str">
        <f>IFERROR(__xludf.DUMMYFUNCTION("GOOGLETRANSLATE(A34572,""en"",""pt"")"),"não mede sinal muito bem, T-9 software ""palavra adivinhar"" é irritante.")</f>
        <v>não mede sinal muito bem, T-9 software "palavra adivinhar" é irritante.</v>
      </c>
      <c r="B34572" s="3">
        <v>0</v>
      </c>
    </row>
    <row r="34573" ht="15.75" customHeight="1" spans="1:2">
      <c r="A34573" s="3" t="str">
        <f>IFERROR(__xludf.DUMMYFUNCTION("GOOGLETRANSLATE(A34573,""en"",""pt"")"),"Nenhum jogo? A vida da bateria pode ser um suspeito ninharia")</f>
        <v>Nenhum jogo? A vida da bateria pode ser um suspeito ninharia</v>
      </c>
      <c r="B34573" s="3">
        <v>0</v>
      </c>
    </row>
    <row r="34574" ht="15.75" customHeight="1" spans="1:2">
      <c r="A34574" s="3" t="str">
        <f>IFERROR(__xludf.DUMMYFUNCTION("GOOGLETRANSLATE(A34574,""en"",""pt"")"),"Nenhum jogo, Web sem fio")</f>
        <v>Nenhum jogo, Web sem fio</v>
      </c>
      <c r="B34574" s="3">
        <v>0</v>
      </c>
    </row>
    <row r="34575" ht="15.75" customHeight="1" spans="1:2">
      <c r="A34575" s="3" t="str">
        <f>IFERROR(__xludf.DUMMYFUNCTION("GOOGLETRANSLATE(A34575,""en"",""pt"")"),"voz activado marcação, por vezes duvidoso")</f>
        <v>voz activado marcação, por vezes duvidoso</v>
      </c>
      <c r="B34575" s="3">
        <v>0</v>
      </c>
    </row>
    <row r="34576" ht="15.75" customHeight="1" spans="1:2">
      <c r="A34576" s="3" t="str">
        <f>IFERROR(__xludf.DUMMYFUNCTION("GOOGLETRANSLATE(A34576,""en"",""pt"")"),"não se encaixa bem no caso, difícil de remover a tampa do carro carregador de tomada")</f>
        <v>não se encaixa bem no caso, difícil de remover a tampa do carro carregador de tomada</v>
      </c>
      <c r="B34576" s="3">
        <v>0</v>
      </c>
    </row>
    <row r="34577" ht="15.75" customHeight="1" spans="1:2">
      <c r="A34577" s="3" t="str">
        <f>IFERROR(__xludf.DUMMYFUNCTION("GOOGLETRANSLATE(A34577,""en"",""pt"")"),"talvez um pouco confuso no início.")</f>
        <v>talvez um pouco confuso no início.</v>
      </c>
      <c r="B34577" s="3">
        <v>0</v>
      </c>
    </row>
    <row r="34578" ht="15.75" customHeight="1" spans="1:2">
      <c r="A34578" s="3" t="str">
        <f>IFERROR(__xludf.DUMMYFUNCTION("GOOGLETRANSLATE(A34578,""en"",""pt"")"),"Pior que se possa imaginar recepção, carregado com características inúteis, toques não descarregáveis")</f>
        <v>Pior que se possa imaginar recepção, carregado com características inúteis, toques não descarregáveis</v>
      </c>
      <c r="B34578" s="3">
        <v>0</v>
      </c>
    </row>
    <row r="34579" ht="15.75" customHeight="1" spans="1:2">
      <c r="A34579" s="3" t="str">
        <f>IFERROR(__xludf.DUMMYFUNCTION("GOOGLETRANSLATE(A34579,""en"",""pt"")"),"Um pouco caro; não toques personalizados; alguns ainda acham que é muito volumoso.")</f>
        <v>Um pouco caro; não toques personalizados; alguns ainda acham que é muito volumoso.</v>
      </c>
      <c r="B34579" s="3">
        <v>0</v>
      </c>
    </row>
    <row r="34580" ht="15.75" customHeight="1" spans="1:2">
      <c r="A34580" s="3" t="str">
        <f>IFERROR(__xludf.DUMMYFUNCTION("GOOGLETRANSLATE(A34580,""en"",""pt"")"),"Um pouco caro, pode medir a intensidade do sinal de forma imprecisa")</f>
        <v>Um pouco caro, pode medir a intensidade do sinal de forma imprecisa</v>
      </c>
      <c r="B34580" s="3">
        <v>0</v>
      </c>
    </row>
    <row r="34581" ht="15.75" customHeight="1" spans="1:2">
      <c r="A34581" s="3" t="str">
        <f>IFERROR(__xludf.DUMMYFUNCTION("GOOGLETRANSLATE(A34581,""en"",""pt"")"),"É um pouco caro e um pouco também sinalizar ""feliz"".")</f>
        <v>É um pouco caro e um pouco também sinalizar "feliz".</v>
      </c>
      <c r="B34581" s="3">
        <v>0</v>
      </c>
    </row>
    <row r="34582" ht="15.75" customHeight="1" spans="1:2">
      <c r="A34582" s="3" t="str">
        <f>IFERROR(__xludf.DUMMYFUNCTION("GOOGLETRANSLATE(A34582,""en"",""pt"")"),"Um pouco caro em US $ 180 agora. Sem capacidade tri-mode")</f>
        <v>Um pouco caro em US $ 180 agora. Sem capacidade tri-mode</v>
      </c>
      <c r="B34582" s="3">
        <v>0</v>
      </c>
    </row>
    <row r="34583" ht="15.75" customHeight="1" spans="1:2">
      <c r="A34583" s="3" t="str">
        <f>IFERROR(__xludf.DUMMYFUNCTION("GOOGLETRANSLATE(A34583,""en"",""pt"")"),"O indicador de sinal muito otimista, a interface complicada para recursos avançados")</f>
        <v>O indicador de sinal muito otimista, a interface complicada para recursos avançados</v>
      </c>
      <c r="B34583" s="3">
        <v>0</v>
      </c>
    </row>
    <row r="34584" ht="15.75" customHeight="1" spans="1:2">
      <c r="A34584" s="3" t="str">
        <f>IFERROR(__xludf.DUMMYFUNCTION("GOOGLETRANSLATE(A34584,""en"",""pt"")"),"nenhum para o que eu queria, mas a recepção não é tão bom quanto o meu 8500.")</f>
        <v>nenhum para o que eu queria, mas a recepção não é tão bom quanto o meu 8500.</v>
      </c>
      <c r="B34584" s="3">
        <v>0</v>
      </c>
    </row>
    <row r="34585" ht="15.75" customHeight="1" spans="1:2">
      <c r="A34585" s="3" t="str">
        <f>IFERROR(__xludf.DUMMYFUNCTION("GOOGLETRANSLATE(A34585,""en"",""pt"")"),"Alto preço, fácil de perder (o cinto de clip / coldre não segure o telefone")</f>
        <v>Alto preço, fácil de perder (o cinto de clip / coldre não segure o telefone</v>
      </c>
      <c r="B34585" s="3">
        <v>0</v>
      </c>
    </row>
    <row r="34586" ht="15.75" customHeight="1" spans="1:2">
      <c r="A34586" s="3" t="str">
        <f>IFERROR(__xludf.DUMMYFUNCTION("GOOGLETRANSLATE(A34586,""en"",""pt"")"),"WAP navegador, Sprint")</f>
        <v>WAP navegador, Sprint</v>
      </c>
      <c r="B34586" s="3">
        <v>0</v>
      </c>
    </row>
    <row r="34587" ht="15.75" customHeight="1" spans="1:2">
      <c r="A34587" s="3" t="str">
        <f>IFERROR(__xludf.DUMMYFUNCTION("GOOGLETRANSLATE(A34587,""en"",""pt"")"),"Meu primeiro foi com defeito! Preço de venda é muito alta.")</f>
        <v>Meu primeiro foi com defeito! Preço de venda é muito alta.</v>
      </c>
      <c r="B34587" s="3">
        <v>0</v>
      </c>
    </row>
    <row r="34588" ht="15.75" customHeight="1" spans="1:2">
      <c r="A34588" s="3" t="str">
        <f>IFERROR(__xludf.DUMMYFUNCTION("GOOGLETRANSLATE(A34588,""en"",""pt"")"),"No gravador de voz, bateria diferente para telefones antigos.")</f>
        <v>No gravador de voz, bateria diferente para telefones antigos.</v>
      </c>
      <c r="B34588" s="3">
        <v>0</v>
      </c>
    </row>
    <row r="34589" ht="15.75" customHeight="1" spans="1:2">
      <c r="A34589" s="3" t="str">
        <f>IFERROR(__xludf.DUMMYFUNCTION("GOOGLETRANSLATE(A34589,""en"",""pt"")"),"Um pouco sobre o lado caro, mas vale a pena.")</f>
        <v>Um pouco sobre o lado caro, mas vale a pena.</v>
      </c>
      <c r="B34589" s="3">
        <v>0</v>
      </c>
    </row>
    <row r="34590" ht="15.75" customHeight="1" spans="1:2">
      <c r="A34590" s="3" t="str">
        <f>IFERROR(__xludf.DUMMYFUNCTION("GOOGLETRANSLATE(A34590,""en"",""pt"")"),"A vida da bateria não como anunciado")</f>
        <v>A vida da bateria não como anunciado</v>
      </c>
      <c r="B34590" s="3">
        <v>0</v>
      </c>
    </row>
    <row r="34591" ht="15.75" customHeight="1" spans="1:2">
      <c r="A34591" s="3" t="str">
        <f>IFERROR(__xludf.DUMMYFUNCTION("GOOGLETRANSLATE(A34591,""en"",""pt"")"),"sem jogos, tornando-se desatualizado")</f>
        <v>sem jogos, tornando-se desatualizado</v>
      </c>
      <c r="B34591" s="3">
        <v>0</v>
      </c>
    </row>
    <row r="34592" ht="15.75" customHeight="1" spans="1:2">
      <c r="A34592" s="3" t="str">
        <f>IFERROR(__xludf.DUMMYFUNCTION("GOOGLETRANSLATE(A34592,""en"",""pt"")"),"Não é possível baixar Ringer, estilo T9 Palavra de entrar em info é confuso, mas opcional")</f>
        <v>Não é possível baixar Ringer, estilo T9 Palavra de entrar em info é confuso, mas opcional</v>
      </c>
      <c r="B34592" s="3">
        <v>0</v>
      </c>
    </row>
    <row r="34593" ht="15.75" customHeight="1" spans="1:2">
      <c r="A34593" s="3" t="str">
        <f>IFERROR(__xludf.DUMMYFUNCTION("GOOGLETRANSLATE(A34593,""en"",""pt"")"),"Não é possível baixar toques")</f>
        <v>Não é possível baixar toques</v>
      </c>
      <c r="B34593" s="3">
        <v>0</v>
      </c>
    </row>
    <row r="34594" ht="15.75" customHeight="1" spans="1:2">
      <c r="A34594" s="3" t="str">
        <f>IFERROR(__xludf.DUMMYFUNCTION("GOOGLETRANSLATE(A34594,""en"",""pt"")"),"Muito poucos - somente ultrapassada pela tecnologia mais recente")</f>
        <v>Muito poucos - somente ultrapassada pela tecnologia mais recente</v>
      </c>
      <c r="B34594" s="3">
        <v>0</v>
      </c>
    </row>
    <row r="34595" ht="15.75" customHeight="1" spans="1:2">
      <c r="A34595" s="3" t="str">
        <f>IFERROR(__xludf.DUMMYFUNCTION("GOOGLETRANSLATE(A34595,""en"",""pt"")"),"Tudo o resto, má recepção, chamadas abandonadas, má qualidade de voz")</f>
        <v>Tudo o resto, má recepção, chamadas abandonadas, má qualidade de voz</v>
      </c>
      <c r="B34595" s="3">
        <v>0</v>
      </c>
    </row>
    <row r="34596" ht="15.75" customHeight="1" spans="1:2">
      <c r="A34596" s="3" t="str">
        <f>IFERROR(__xludf.DUMMYFUNCTION("GOOGLETRANSLATE(A34596,""en"",""pt"")"),"A recepção está meio da estrada. Melhor que a maioria, mas não tão bom como o melhor.")</f>
        <v>A recepção está meio da estrada. Melhor que a maioria, mas não tão bom como o melhor.</v>
      </c>
      <c r="B34596" s="3">
        <v>0</v>
      </c>
    </row>
    <row r="34597" ht="15.75" customHeight="1" spans="1:2">
      <c r="A34597" s="3" t="str">
        <f>IFERROR(__xludf.DUMMYFUNCTION("GOOGLETRANSLATE(A34597,""en"",""pt"")"),"Ringer, nem todos os botões são protegidos pelo caso flip.")</f>
        <v>Ringer, nem todos os botões são protegidos pelo caso flip.</v>
      </c>
      <c r="B34597" s="3">
        <v>0</v>
      </c>
    </row>
    <row r="34598" ht="15.75" customHeight="1" spans="1:2">
      <c r="A34598" s="3" t="str">
        <f>IFERROR(__xludf.DUMMYFUNCTION("GOOGLETRANSLATE(A34598,""en"",""pt"")"),"Desaparecendo (é Panasonic mesmo fazendo telefones celulares mais?)")</f>
        <v>Desaparecendo (é Panasonic mesmo fazendo telefones celulares mais?)</v>
      </c>
      <c r="B34598" s="3">
        <v>0</v>
      </c>
    </row>
    <row r="34599" ht="15.75" customHeight="1" spans="1:2">
      <c r="A34599" s="3" t="str">
        <f>IFERROR(__xludf.DUMMYFUNCTION("GOOGLETRANSLATE(A34599,""en"",""pt"")"),"Volumoso. &amp; # 13; &amp; # 10; Não muitos sinos e assobios.")</f>
        <v>Volumoso. &amp; # 13; &amp; # 10; Não muitos sinos e assobios.</v>
      </c>
      <c r="B34599" s="3">
        <v>0</v>
      </c>
    </row>
    <row r="34600" ht="15.75" customHeight="1" spans="1:2">
      <c r="A34600" s="3" t="str">
        <f>IFERROR(__xludf.DUMMYFUNCTION("GOOGLETRANSLATE(A34600,""en"",""pt"")"),"Tamanho do GSP 1600 não é pequeno, mas você começar a usar isso.")</f>
        <v>Tamanho do GSP 1600 não é pequeno, mas você começar a usar isso.</v>
      </c>
      <c r="B34600" s="3">
        <v>0</v>
      </c>
    </row>
    <row r="34601" ht="15.75" customHeight="1" spans="1:2">
      <c r="A34601" s="3" t="str">
        <f>IFERROR(__xludf.DUMMYFUNCTION("GOOGLETRANSLATE(A34601,""en"",""pt"")"),"Preço (mas é uma pechincha em comparação com outros em sua classe)")</f>
        <v>Preço (mas é uma pechincha em comparação com outros em sua classe)</v>
      </c>
      <c r="B34601" s="3">
        <v>0</v>
      </c>
    </row>
    <row r="34602" ht="15.75" customHeight="1" spans="1:2">
      <c r="A34602" s="3" t="str">
        <f>IFERROR(__xludf.DUMMYFUNCTION("GOOGLETRANSLATE(A34602,""en"",""pt"")"),"Alcance")</f>
        <v>Alcance</v>
      </c>
      <c r="B34602" s="3">
        <v>0</v>
      </c>
    </row>
    <row r="34603" ht="15.75" customHeight="1" spans="1:2">
      <c r="A34603" s="3" t="str">
        <f>IFERROR(__xludf.DUMMYFUNCTION("GOOGLETRANSLATE(A34603,""en"",""pt"")"),"Listados na revisão.")</f>
        <v>Listados na revisão.</v>
      </c>
      <c r="B34603" s="3">
        <v>0</v>
      </c>
    </row>
    <row r="34604" ht="15.75" customHeight="1" spans="1:2">
      <c r="A34604" s="3" t="str">
        <f>IFERROR(__xludf.DUMMYFUNCTION("GOOGLETRANSLATE(A34604,""en"",""pt"")"),"Um pouco desajeitado, a janela fica arranhada e torna-se difícil de ver através")</f>
        <v>Um pouco desajeitado, a janela fica arranhada e torna-se difícil de ver através</v>
      </c>
      <c r="B34604" s="3">
        <v>0</v>
      </c>
    </row>
    <row r="34605" ht="15.75" customHeight="1" spans="1:2">
      <c r="A34605" s="3" t="str">
        <f>IFERROR(__xludf.DUMMYFUNCTION("GOOGLETRANSLATE(A34605,""en"",""pt"")"),"Não consegue encontrar um bom fone de ouvido")</f>
        <v>Não consegue encontrar um bom fone de ouvido</v>
      </c>
      <c r="B34605" s="3">
        <v>0</v>
      </c>
    </row>
    <row r="34606" ht="15.75" customHeight="1" spans="1:2">
      <c r="A34606" s="3" t="str">
        <f>IFERROR(__xludf.DUMMYFUNCTION("GOOGLETRANSLATE(A34606,""en"",""pt"")"),"serviço de Sprint PCS")</f>
        <v>serviço de Sprint PCS</v>
      </c>
      <c r="B34606" s="3">
        <v>0</v>
      </c>
    </row>
    <row r="34607" ht="15.75" customHeight="1" spans="1:2">
      <c r="A34607" s="3" t="str">
        <f>IFERROR(__xludf.DUMMYFUNCTION("GOOGLETRANSLATE(A34607,""en"",""pt"")"),"Nenhum")</f>
        <v>Nenhum</v>
      </c>
      <c r="B34607" s="3">
        <v>0</v>
      </c>
    </row>
    <row r="34608" ht="15.75" customHeight="1" spans="1:2">
      <c r="A34608" s="3" t="str">
        <f>IFERROR(__xludf.DUMMYFUNCTION("GOOGLETRANSLATE(A34608,""en"",""pt"")"),"Nenhum eu encontrei.")</f>
        <v>Nenhum eu encontrei.</v>
      </c>
      <c r="B34608" s="3">
        <v>0</v>
      </c>
    </row>
    <row r="34609" ht="15.75" customHeight="1" spans="1:2">
      <c r="A34609" s="3" t="str">
        <f>IFERROR(__xludf.DUMMYFUNCTION("GOOGLETRANSLATE(A34609,""en"",""pt"")"),"recepção, a vida da bateria.")</f>
        <v>recepção, a vida da bateria.</v>
      </c>
      <c r="B34609" s="3">
        <v>0</v>
      </c>
    </row>
    <row r="34610" ht="15.75" customHeight="1" spans="1:2">
      <c r="A34610" s="3" t="str">
        <f>IFERROR(__xludf.DUMMYFUNCTION("GOOGLETRANSLATE(A34610,""en"",""pt"")"),"Um pouco caro.")</f>
        <v>Um pouco caro.</v>
      </c>
      <c r="B34610" s="3">
        <v>0</v>
      </c>
    </row>
    <row r="34611" ht="15.75" customHeight="1" spans="1:2">
      <c r="A34611" s="3" t="str">
        <f>IFERROR(__xludf.DUMMYFUNCTION("GOOGLETRANSLATE(A34611,""en"",""pt"")"),"defeito dobradiça conhecida. curta duração da bateria.")</f>
        <v>defeito dobradiça conhecida. curta duração da bateria.</v>
      </c>
      <c r="B34611" s="3">
        <v>0</v>
      </c>
    </row>
    <row r="34612" ht="15.75" customHeight="1" spans="1:2">
      <c r="A34612" s="3" t="str">
        <f>IFERROR(__xludf.DUMMYFUNCTION("GOOGLETRANSLATE(A34612,""en"",""pt"")"),"Um pouco pesado")</f>
        <v>Um pouco pesado</v>
      </c>
      <c r="B34612" s="3">
        <v>0</v>
      </c>
    </row>
    <row r="34613" ht="15.75" customHeight="1" spans="1:2">
      <c r="A34613" s="3" t="str">
        <f>IFERROR(__xludf.DUMMYFUNCTION("GOOGLETRANSLATE(A34613,""en"",""pt"")"),"áreas de serviços digitais ainda estão crescendo - analógico pode custar-lhe dinheiro extra")</f>
        <v>áreas de serviços digitais ainda estão crescendo - analógico pode custar-lhe dinheiro extra</v>
      </c>
      <c r="B34613" s="3">
        <v>0</v>
      </c>
    </row>
    <row r="34614" ht="15.75" customHeight="1" spans="1:2">
      <c r="A34614" s="3" t="str">
        <f>IFERROR(__xludf.DUMMYFUNCTION("GOOGLETRANSLATE(A34614,""en"",""pt"")"),"Nenhum que eu experimentei")</f>
        <v>Nenhum que eu experimentei</v>
      </c>
      <c r="B34614" s="3">
        <v>0</v>
      </c>
    </row>
    <row r="34615" ht="15.75" customHeight="1" spans="1:2">
      <c r="A34615" s="3" t="str">
        <f>IFERROR(__xludf.DUMMYFUNCTION("GOOGLETRANSLATE(A34615,""en"",""pt"")"),"Nenhum")</f>
        <v>Nenhum</v>
      </c>
      <c r="B34615" s="3">
        <v>0</v>
      </c>
    </row>
    <row r="34616" ht="15.75" customHeight="1" spans="1:2">
      <c r="A34616" s="3" t="str">
        <f>IFERROR(__xludf.DUMMYFUNCTION("GOOGLETRANSLATE(A34616,""en"",""pt"")"),"A vida da bateria, livro de telefone difícil de navegar rapidamente")</f>
        <v>A vida da bateria, livro de telefone difícil de navegar rapidamente</v>
      </c>
      <c r="B34616" s="3">
        <v>0</v>
      </c>
    </row>
    <row r="34617" ht="15.75" customHeight="1" spans="1:2">
      <c r="A34617" s="3" t="str">
        <f>IFERROR(__xludf.DUMMYFUNCTION("GOOGLETRANSLATE(A34617,""en"",""pt"")"),"Bastante volumoso para o tamanho, a duração da bateria, catálogo de telefones")</f>
        <v>Bastante volumoso para o tamanho, a duração da bateria, catálogo de telefones</v>
      </c>
      <c r="B34617" s="3">
        <v>0</v>
      </c>
    </row>
    <row r="34618" ht="15.75" customHeight="1" spans="1:2">
      <c r="A34618" s="3" t="str">
        <f>IFERROR(__xludf.DUMMYFUNCTION("GOOGLETRANSLATE(A34618,""en"",""pt"")"),"agenda não-alfabetizados, mas este telefone tem discagem ativada por voz! Manual poderia ser melhor.")</f>
        <v>agenda não-alfabetizados, mas este telefone tem discagem ativada por voz! Manual poderia ser melhor.</v>
      </c>
      <c r="B34618" s="3">
        <v>0</v>
      </c>
    </row>
    <row r="34619" ht="15.75" customHeight="1" spans="1:2">
      <c r="A34619" s="3" t="str">
        <f>IFERROR(__xludf.DUMMYFUNCTION("GOOGLETRANSLATE(A34619,""en"",""pt"")"),"Falta botão de email dedicado, alguns recursos estão enterrados,")</f>
        <v>Falta botão de email dedicado, alguns recursos estão enterrados,</v>
      </c>
      <c r="B34619" s="3">
        <v>0</v>
      </c>
    </row>
    <row r="34620" ht="15.75" customHeight="1" spans="1:2">
      <c r="A34620" s="3" t="str">
        <f>IFERROR(__xludf.DUMMYFUNCTION("GOOGLETRANSLATE(A34620,""en"",""pt"")"),"A vida da bateria, tamanho de espessura")</f>
        <v>A vida da bateria, tamanho de espessura</v>
      </c>
      <c r="B34620" s="3">
        <v>0</v>
      </c>
    </row>
    <row r="34621" ht="15.75" customHeight="1" spans="1:2">
      <c r="A34621" s="3" t="str">
        <f>IFERROR(__xludf.DUMMYFUNCTION("GOOGLETRANSLATE(A34621,""en"",""pt"")"),"A duração da bateria com a bateria incluída")</f>
        <v>A duração da bateria com a bateria incluída</v>
      </c>
      <c r="B34621" s="3">
        <v>0</v>
      </c>
    </row>
    <row r="34622" ht="15.75" customHeight="1" spans="1:2">
      <c r="A34622" s="3" t="str">
        <f>IFERROR(__xludf.DUMMYFUNCTION("GOOGLETRANSLATE(A34622,""en"",""pt"")"),"Dor no Tush para digitar nomes")</f>
        <v>Dor no Tush para digitar nomes</v>
      </c>
      <c r="B34622" s="3">
        <v>0</v>
      </c>
    </row>
    <row r="34623" ht="15.75" customHeight="1" spans="1:2">
      <c r="A34623" s="3" t="str">
        <f>IFERROR(__xludf.DUMMYFUNCTION("GOOGLETRANSLATE(A34623,""en"",""pt"")"),"vida útil da bateria")</f>
        <v>vida útil da bateria</v>
      </c>
      <c r="B34623" s="3">
        <v>0</v>
      </c>
    </row>
    <row r="34624" ht="15.75" customHeight="1" spans="1:2">
      <c r="A34624" s="3" t="str">
        <f>IFERROR(__xludf.DUMMYFUNCTION("GOOGLETRANSLATE(A34624,""en"",""pt"")"),"Fone de ouvido, a introdução de números de telefone, mensagem 'adeus' ao desligar o telefone.")</f>
        <v>Fone de ouvido, a introdução de números de telefone, mensagem 'adeus' ao desligar o telefone.</v>
      </c>
      <c r="B34624" s="3">
        <v>0</v>
      </c>
    </row>
    <row r="34625" ht="15.75" customHeight="1" spans="1:2">
      <c r="A34625" s="3" t="str">
        <f>IFERROR(__xludf.DUMMYFUNCTION("GOOGLETRANSLATE(A34625,""en"",""pt"")"),"não compatível com Bluetooth; Não é possível baixar anéis; estranho para procurar números por nome")</f>
        <v>não compatível com Bluetooth; Não é possível baixar anéis; estranho para procurar números por nome</v>
      </c>
      <c r="B34625" s="3">
        <v>0</v>
      </c>
    </row>
    <row r="34626" ht="15.75" customHeight="1" spans="1:2">
      <c r="A34626" s="3" t="str">
        <f>IFERROR(__xludf.DUMMYFUNCTION("GOOGLETRANSLATE(A34626,""en"",""pt"")"),"Pobre livro manual, o telefone não alfabetizar, OEM vida da bateria um pouco curto.")</f>
        <v>Pobre livro manual, o telefone não alfabetizar, OEM vida da bateria um pouco curto.</v>
      </c>
      <c r="B34626" s="3">
        <v>0</v>
      </c>
    </row>
    <row r="34627" ht="15.75" customHeight="1" spans="1:2">
      <c r="A34627" s="3" t="str">
        <f>IFERROR(__xludf.DUMMYFUNCTION("GOOGLETRANSLATE(A34627,""en"",""pt"")"),"agenda (pode se acostumar com isso), alarme deve ser definido com 24 horas de relógio")</f>
        <v>agenda (pode se acostumar com isso), alarme deve ser definido com 24 horas de relógio</v>
      </c>
      <c r="B34627" s="3">
        <v>0</v>
      </c>
    </row>
    <row r="34628" ht="15.75" customHeight="1" spans="1:2">
      <c r="A34628" s="3" t="str">
        <f>IFERROR(__xludf.DUMMYFUNCTION("GOOGLETRANSLATE(A34628,""en"",""pt"")"),"Muito pequena quando fechado. A agenda é um pouco desajeitado. T9 me confunde.")</f>
        <v>Muito pequena quando fechado. A agenda é um pouco desajeitado. T9 me confunde.</v>
      </c>
      <c r="B34628" s="3">
        <v>0</v>
      </c>
    </row>
    <row r="34629" ht="15.75" customHeight="1" spans="1:2">
      <c r="A34629" s="3" t="str">
        <f>IFERROR(__xludf.DUMMYFUNCTION("GOOGLETRANSLATE(A34629,""en"",""pt"")"),"difícil de nomes de acesso / números, peso pesado para seu tamanho, apenas 1 ""real"" ring tone")</f>
        <v>difícil de nomes de acesso / números, peso pesado para seu tamanho, apenas 1 "real" ring tone</v>
      </c>
      <c r="B34629" s="3">
        <v>0</v>
      </c>
    </row>
    <row r="34630" ht="15.75" customHeight="1" spans="1:2">
      <c r="A34630" s="3" t="str">
        <f>IFERROR(__xludf.DUMMYFUNCTION("GOOGLETRANSLATE(A34630,""en"",""pt"")"),"vida útil da bateria, confiabilidade, frágil")</f>
        <v>vida útil da bateria, confiabilidade, frágil</v>
      </c>
      <c r="B34630" s="3">
        <v>0</v>
      </c>
    </row>
    <row r="34631" ht="15.75" customHeight="1" spans="1:2">
      <c r="A34631" s="3" t="str">
        <f>IFERROR(__xludf.DUMMYFUNCTION("GOOGLETRANSLATE(A34631,""en"",""pt"")"),"agenda não alfabética, muda para facilmente para analógico digitais em áreas sólidas")</f>
        <v>agenda não alfabética, muda para facilmente para analógico digitais em áreas sólidas</v>
      </c>
      <c r="B34631" s="3">
        <v>0</v>
      </c>
    </row>
    <row r="34632" ht="15.75" customHeight="1" spans="1:2">
      <c r="A34632" s="3" t="str">
        <f>IFERROR(__xludf.DUMMYFUNCTION("GOOGLETRANSLATE(A34632,""en"",""pt"")"),"encontrar um nome é ruim, a vida da bateria é muito pequena,")</f>
        <v>encontrar um nome é ruim, a vida da bateria é muito pequena,</v>
      </c>
      <c r="B34632" s="3">
        <v>0</v>
      </c>
    </row>
    <row r="34633" ht="15.75" customHeight="1" spans="1:2">
      <c r="A34633" s="3" t="str">
        <f>IFERROR(__xludf.DUMMYFUNCTION("GOOGLETRANSLATE(A34633,""en"",""pt"")"),"A qualidade do som, o modo analógico fraco")</f>
        <v>A qualidade do som, o modo analógico fraco</v>
      </c>
      <c r="B34633" s="3">
        <v>0</v>
      </c>
    </row>
    <row r="34634" ht="15.75" customHeight="1" spans="1:2">
      <c r="A34634" s="3" t="str">
        <f>IFERROR(__xludf.DUMMYFUNCTION("GOOGLETRANSLATE(A34634,""en"",""pt"")"),"ativação de voz é errática, por vezes,")</f>
        <v>ativação de voz é errática, por vezes,</v>
      </c>
      <c r="B34634" s="3">
        <v>0</v>
      </c>
    </row>
    <row r="34635" ht="15.75" customHeight="1" spans="1:2">
      <c r="A34635" s="3" t="str">
        <f>IFERROR(__xludf.DUMMYFUNCTION("GOOGLETRANSLATE(A34635,""en"",""pt"")"),"Sem capacidade de desativar t-9. software para programador não incluído. Não toques")</f>
        <v>Sem capacidade de desativar t-9. software para programador não incluído. Não toques</v>
      </c>
      <c r="B34635" s="3">
        <v>0</v>
      </c>
    </row>
    <row r="34636" ht="15.75" customHeight="1" spans="1:2">
      <c r="A34636" s="3" t="str">
        <f>IFERROR(__xludf.DUMMYFUNCTION("GOOGLETRANSLATE(A34636,""en"",""pt"")"),"Ele quebrou várias vezes!")</f>
        <v>Ele quebrou várias vezes!</v>
      </c>
      <c r="B34636" s="3">
        <v>0</v>
      </c>
    </row>
    <row r="34637" ht="15.75" customHeight="1" spans="1:2">
      <c r="A34637" s="3" t="str">
        <f>IFERROR(__xludf.DUMMYFUNCTION("GOOGLETRANSLATE(A34637,""en"",""pt"")"),"agenda não alphabetized, toques limitados")</f>
        <v>agenda não alphabetized, toques limitados</v>
      </c>
      <c r="B34637" s="3">
        <v>0</v>
      </c>
    </row>
    <row r="34638" ht="15.75" customHeight="1" spans="1:2">
      <c r="A34638" s="3" t="str">
        <f>IFERROR(__xludf.DUMMYFUNCTION("GOOGLETRANSLATE(A34638,""en"",""pt"")"),"incapacidade de se comunicar com o PC")</f>
        <v>incapacidade de se comunicar com o PC</v>
      </c>
      <c r="B34638" s="3">
        <v>0</v>
      </c>
    </row>
    <row r="34639" ht="15.75" customHeight="1" spans="1:2">
      <c r="A34639" s="3" t="str">
        <f>IFERROR(__xludf.DUMMYFUNCTION("GOOGLETRANSLATE(A34639,""en"",""pt"")"),"Quase demasiado pequena em tamanho; um pouco difícil de carregador plugue.")</f>
        <v>Quase demasiado pequena em tamanho; um pouco difícil de carregador plugue.</v>
      </c>
      <c r="B34639" s="3">
        <v>0</v>
      </c>
    </row>
    <row r="34640" ht="15.75" customHeight="1" spans="1:2">
      <c r="A34640" s="3" t="str">
        <f>IFERROR(__xludf.DUMMYFUNCTION("GOOGLETRANSLATE(A34640,""en"",""pt"")"),"Um sistema de menu confuso e uma antena que é bastante frágil")</f>
        <v>Um sistema de menu confuso e uma antena que é bastante frágil</v>
      </c>
      <c r="B34640" s="3">
        <v>0</v>
      </c>
    </row>
    <row r="34641" ht="15.75" customHeight="1" spans="1:2">
      <c r="A34641" s="3" t="str">
        <f>IFERROR(__xludf.DUMMYFUNCTION("GOOGLETRANSLATE(A34641,""en"",""pt"")"),"antena frágil que já tem quebrado no meu!")</f>
        <v>antena frágil que já tem quebrado no meu!</v>
      </c>
      <c r="B34641" s="3">
        <v>0</v>
      </c>
    </row>
    <row r="34642" ht="15.75" customHeight="1" spans="1:2">
      <c r="A34642" s="3" t="str">
        <f>IFERROR(__xludf.DUMMYFUNCTION("GOOGLETRANSLATE(A34642,""en"",""pt"")"),"Não sempre obter grande recepção")</f>
        <v>Não sempre obter grande recepção</v>
      </c>
      <c r="B34642" s="3">
        <v>0</v>
      </c>
    </row>
    <row r="34643" ht="15.75" customHeight="1" spans="1:2">
      <c r="A34643" s="3" t="str">
        <f>IFERROR(__xludf.DUMMYFUNCTION("GOOGLETRANSLATE(A34643,""en"",""pt"")"),"sistema de menu difícil descobrir inicialmente")</f>
        <v>sistema de menu difícil descobrir inicialmente</v>
      </c>
      <c r="B34643" s="3">
        <v>0</v>
      </c>
    </row>
    <row r="34644" ht="15.75" customHeight="1" spans="1:2">
      <c r="A34644" s="3" t="str">
        <f>IFERROR(__xludf.DUMMYFUNCTION("GOOGLETRANSLATE(A34644,""en"",""pt"")"),"Talvez um pouco demasiado pequeno e compacto.")</f>
        <v>Talvez um pouco demasiado pequeno e compacto.</v>
      </c>
      <c r="B34644" s="3">
        <v>0</v>
      </c>
    </row>
    <row r="34645" ht="15.75" customHeight="1" spans="1:2">
      <c r="A34645" s="3" t="str">
        <f>IFERROR(__xludf.DUMMYFUNCTION("GOOGLETRANSLATE(A34645,""en"",""pt"")"),"Antena deve ser mais resistente.")</f>
        <v>Antena deve ser mais resistente.</v>
      </c>
      <c r="B34645" s="3">
        <v>0</v>
      </c>
    </row>
    <row r="34646" ht="15.75" customHeight="1" spans="1:2">
      <c r="A34646" s="3" t="str">
        <f>IFERROR(__xludf.DUMMYFUNCTION("GOOGLETRANSLATE(A34646,""en"",""pt"")"),"Nenhum falar de")</f>
        <v>Nenhum falar de</v>
      </c>
      <c r="B34646" s="3">
        <v>0</v>
      </c>
    </row>
    <row r="34647" ht="15.75" customHeight="1" spans="1:2">
      <c r="A34647" s="3" t="str">
        <f>IFERROR(__xludf.DUMMYFUNCTION("GOOGLETRANSLATE(A34647,""en"",""pt"")"),"tela pode ser facilmente riscado, antena frágil quando totalmente estendido")</f>
        <v>tela pode ser facilmente riscado, antena frágil quando totalmente estendido</v>
      </c>
      <c r="B34647" s="3">
        <v>0</v>
      </c>
    </row>
    <row r="34648" ht="15.75" customHeight="1" spans="1:2">
      <c r="A34648" s="3" t="str">
        <f>IFERROR(__xludf.DUMMYFUNCTION("GOOGLETRANSLATE(A34648,""en"",""pt"")"),"Sem carimbo de dia / hora no identificador de chamadas, frágil antena")</f>
        <v>Sem carimbo de dia / hora no identificador de chamadas, frágil antena</v>
      </c>
      <c r="B34648" s="3">
        <v>0</v>
      </c>
    </row>
    <row r="34649" ht="15.75" customHeight="1" spans="1:2">
      <c r="A34649" s="3" t="str">
        <f>IFERROR(__xludf.DUMMYFUNCTION("GOOGLETRANSLATE(A34649,""en"",""pt"")"),"Alguns dispõe de acesso ao difícil")</f>
        <v>Alguns dispõe de acesso ao difícil</v>
      </c>
      <c r="B34649" s="3">
        <v>0</v>
      </c>
    </row>
    <row r="34650" ht="15.75" customHeight="1" spans="1:2">
      <c r="A34650" s="3" t="str">
        <f>IFERROR(__xludf.DUMMYFUNCTION("GOOGLETRANSLATE(A34650,""en"",""pt"")"),"Às vezes difícil de ouvir")</f>
        <v>Às vezes difícil de ouvir</v>
      </c>
      <c r="B34650" s="3">
        <v>0</v>
      </c>
    </row>
    <row r="34651" ht="15.75" customHeight="1" spans="1:2">
      <c r="A34651" s="3" t="str">
        <f>IFERROR(__xludf.DUMMYFUNCTION("GOOGLETRANSLATE(A34651,""en"",""pt"")"),"Nenhum")</f>
        <v>Nenhum</v>
      </c>
      <c r="B34651" s="3">
        <v>0</v>
      </c>
    </row>
    <row r="34652" ht="15.75" customHeight="1" spans="1:2">
      <c r="A34652" s="3" t="str">
        <f>IFERROR(__xludf.DUMMYFUNCTION("GOOGLETRANSLATE(A34652,""en"",""pt"")"),"Sem calculadora, não como muitos assesories como Nokia")</f>
        <v>Sem calculadora, não como muitos assesories como Nokia</v>
      </c>
      <c r="B34652" s="3">
        <v>0</v>
      </c>
    </row>
    <row r="34653" ht="15.75" customHeight="1" spans="1:2">
      <c r="A34653" s="3" t="str">
        <f>IFERROR(__xludf.DUMMYFUNCTION("GOOGLETRANSLATE(A34653,""en"",""pt"")"),"Antena - apenas deixá-lo para baixo.")</f>
        <v>Antena - apenas deixá-lo para baixo.</v>
      </c>
      <c r="B34653" s="3">
        <v>0</v>
      </c>
    </row>
    <row r="34654" ht="15.75" customHeight="1" spans="1:2">
      <c r="A34654" s="3" t="str">
        <f>IFERROR(__xludf.DUMMYFUNCTION("GOOGLETRANSLATE(A34654,""en"",""pt"")"),"antena fraco.")</f>
        <v>antena fraco.</v>
      </c>
      <c r="B34654" s="3">
        <v>0</v>
      </c>
    </row>
    <row r="34655" ht="15.75" customHeight="1" spans="1:2">
      <c r="A34655" s="3" t="str">
        <f>IFERROR(__xludf.DUMMYFUNCTION("GOOGLETRANSLATE(A34655,""en"",""pt"")"),"Difícil de ler a exposição")</f>
        <v>Difícil de ler a exposição</v>
      </c>
      <c r="B34655" s="3">
        <v>0</v>
      </c>
    </row>
    <row r="34656" ht="15.75" customHeight="1" spans="1:2">
      <c r="A34656" s="3" t="str">
        <f>IFERROR(__xludf.DUMMYFUNCTION("GOOGLETRANSLATE(A34656,""en"",""pt"")"),"um pouco estranho que procuram opções de cores estoque são poucos")</f>
        <v>um pouco estranho que procuram opções de cores estoque são poucos</v>
      </c>
      <c r="B34656" s="3">
        <v>0</v>
      </c>
    </row>
    <row r="34657" ht="15.75" customHeight="1" spans="1:2">
      <c r="A34657" s="3" t="str">
        <f>IFERROR(__xludf.DUMMYFUNCTION("GOOGLETRANSLATE(A34657,""en"",""pt"")"),"antena irritante e chaves piegas compõem pequena lista con")</f>
        <v>antena irritante e chaves piegas compõem pequena lista con</v>
      </c>
      <c r="B34657" s="3">
        <v>0</v>
      </c>
    </row>
    <row r="34658" ht="15.75" customHeight="1" spans="1:2">
      <c r="A34658" s="3" t="str">
        <f>IFERROR(__xludf.DUMMYFUNCTION("GOOGLETRANSLATE(A34658,""en"",""pt"")"),"Antena parece frágil quando estendida, tons musicais não são ""super alto""")</f>
        <v>Antena parece frágil quando estendida, tons musicais não são "super alto"</v>
      </c>
      <c r="B34658" s="3">
        <v>0</v>
      </c>
    </row>
    <row r="34659" ht="15.75" customHeight="1" spans="1:2">
      <c r="A34659" s="3" t="str">
        <f>IFERROR(__xludf.DUMMYFUNCTION("GOOGLETRANSLATE(A34659,""en"",""pt"")"),"Antena poderia ser melhor")</f>
        <v>Antena poderia ser melhor</v>
      </c>
      <c r="B34659" s="3">
        <v>0</v>
      </c>
    </row>
    <row r="34660" ht="15.75" customHeight="1" spans="1:2">
      <c r="A34660" s="3" t="str">
        <f>IFERROR(__xludf.DUMMYFUNCTION("GOOGLETRANSLATE(A34660,""en"",""pt"")"),"Volume muito baixo chave, antena parece frágil, pequena tela LCD, sem jogos :)")</f>
        <v>Volume muito baixo chave, antena parece frágil, pequena tela LCD, sem jogos :)</v>
      </c>
      <c r="B34660" s="3">
        <v>0</v>
      </c>
    </row>
    <row r="34661" ht="15.75" customHeight="1" spans="1:2">
      <c r="A34661" s="3" t="str">
        <f>IFERROR(__xludf.DUMMYFUNCTION("GOOGLETRANSLATE(A34661,""en"",""pt"")"),"Não vem com um carregador de mesa. O visor não mostrar minutos utilizados enquanto fala.")</f>
        <v>Não vem com um carregador de mesa. O visor não mostrar minutos utilizados enquanto fala.</v>
      </c>
      <c r="B34661" s="3">
        <v>0</v>
      </c>
    </row>
    <row r="34662" ht="15.75" customHeight="1" spans="1:2">
      <c r="A34662" s="3" t="str">
        <f>IFERROR(__xludf.DUMMYFUNCTION("GOOGLETRANSLATE(A34662,""en"",""pt"")"),"tons abafados (pode ser apenas o meu) historial, não comprovada.")</f>
        <v>tons abafados (pode ser apenas o meu) historial, não comprovada.</v>
      </c>
      <c r="B34662" s="3">
        <v>0</v>
      </c>
    </row>
    <row r="34663" ht="15.75" customHeight="1" spans="1:2">
      <c r="A34663" s="3" t="str">
        <f>IFERROR(__xludf.DUMMYFUNCTION("GOOGLETRANSLATE(A34663,""en"",""pt"")"),"antena barata, botões um pouco difícil de empurrar, não uma tonelada de recursos")</f>
        <v>antena barata, botões um pouco difícil de empurrar, não uma tonelada de recursos</v>
      </c>
      <c r="B34663" s="3">
        <v>0</v>
      </c>
    </row>
    <row r="34664" ht="15.75" customHeight="1" spans="1:2">
      <c r="A34664" s="3" t="str">
        <f>IFERROR(__xludf.DUMMYFUNCTION("GOOGLETRANSLATE(A34664,""en"",""pt"")"),"má concepção antenas. sistema de menu complicado. ergonomia maus earpeice.")</f>
        <v>má concepção antenas. sistema de menu complicado. ergonomia maus earpeice.</v>
      </c>
      <c r="B34664" s="3">
        <v>0</v>
      </c>
    </row>
    <row r="34665" ht="15.75" customHeight="1" spans="1:2">
      <c r="A34665" s="3" t="str">
        <f>IFERROR(__xludf.DUMMYFUNCTION("GOOGLETRANSLATE(A34665,""en"",""pt"")"),"navegador web Buggy, medidor de bateria de buggy")</f>
        <v>navegador web Buggy, medidor de bateria de buggy</v>
      </c>
      <c r="B34665" s="3">
        <v>0</v>
      </c>
    </row>
    <row r="34666" ht="15.75" customHeight="1" spans="1:2">
      <c r="A34666" s="3" t="str">
        <f>IFERROR(__xludf.DUMMYFUNCTION("GOOGLETRANSLATE(A34666,""en"",""pt"")"),"antena frágil")</f>
        <v>antena frágil</v>
      </c>
      <c r="B34666" s="3">
        <v>0</v>
      </c>
    </row>
    <row r="34667" ht="15.75" customHeight="1" spans="1:2">
      <c r="A34667" s="3" t="str">
        <f>IFERROR(__xludf.DUMMYFUNCTION("GOOGLETRANSLATE(A34667,""en"",""pt"")"),"vida pobre da bateria, queda de chamadas, modo digital fictícia, antena frágil, precisa dizer mais?")</f>
        <v>vida pobre da bateria, queda de chamadas, modo digital fictícia, antena frágil, precisa dizer mais?</v>
      </c>
      <c r="B34667" s="3">
        <v>0</v>
      </c>
    </row>
    <row r="34668" ht="15.75" customHeight="1" spans="1:2">
      <c r="A34668" s="3" t="str">
        <f>IFERROR(__xludf.DUMMYFUNCTION("GOOGLETRANSLATE(A34668,""en"",""pt"")"),"frágil Antenna")</f>
        <v>frágil Antenna</v>
      </c>
      <c r="B34668" s="3">
        <v>0</v>
      </c>
    </row>
    <row r="34669" ht="15.75" customHeight="1" spans="1:2">
      <c r="A34669" s="3" t="str">
        <f>IFERROR(__xludf.DUMMYFUNCTION("GOOGLETRANSLATE(A34669,""en"",""pt"")"),"não gosto estendendo antenas, ouvir é mais difícil do que deveria ser.")</f>
        <v>não gosto estendendo antenas, ouvir é mais difícil do que deveria ser.</v>
      </c>
      <c r="B34669" s="3">
        <v>0</v>
      </c>
    </row>
    <row r="34670" ht="15.75" customHeight="1" spans="1:2">
      <c r="A34670" s="3" t="str">
        <f>IFERROR(__xludf.DUMMYFUNCTION("GOOGLETRANSLATE(A34670,""en"",""pt"")"),"sistema de menu é complicado")</f>
        <v>sistema de menu é complicado</v>
      </c>
      <c r="B34670" s="3">
        <v>0</v>
      </c>
    </row>
    <row r="34671" ht="15.75" customHeight="1" spans="1:2">
      <c r="A34671" s="3" t="str">
        <f>IFERROR(__xludf.DUMMYFUNCTION("GOOGLETRANSLATE(A34671,""en"",""pt"")"),"Antenas quebram facilmente, não E911-capable, difícil de encontrar uma transportadora para ele.")</f>
        <v>Antenas quebram facilmente, não E911-capable, difícil de encontrar uma transportadora para ele.</v>
      </c>
      <c r="B34671" s="3">
        <v>0</v>
      </c>
    </row>
    <row r="34672" ht="15.75" customHeight="1" spans="1:2">
      <c r="A34672" s="3" t="str">
        <f>IFERROR(__xludf.DUMMYFUNCTION("GOOGLETRANSLATE(A34672,""en"",""pt"")"),"Recepção, antena, Acessórios, Tracfone Serviços")</f>
        <v>Recepção, antena, Acessórios, Tracfone Serviços</v>
      </c>
      <c r="B34672" s="3">
        <v>0</v>
      </c>
    </row>
    <row r="34673" ht="15.75" customHeight="1" spans="1:2">
      <c r="A34673" s="3" t="str">
        <f>IFERROR(__xludf.DUMMYFUNCTION("GOOGLETRANSLATE(A34673,""en"",""pt"")"),"Antena, antena, antena, sempre tão pequenos bugs no sistema operacional.")</f>
        <v>Antena, antena, antena, sempre tão pequenos bugs no sistema operacional.</v>
      </c>
      <c r="B34673" s="3">
        <v>0</v>
      </c>
    </row>
    <row r="34674" ht="15.75" customHeight="1" spans="1:2">
      <c r="A34674" s="3" t="str">
        <f>IFERROR(__xludf.DUMMYFUNCTION("GOOGLETRANSLATE(A34674,""en"",""pt"")"),"ANTENA!!! Um pouco maior do que os telefones com flip, dois casos de couro ambos não funcionou!")</f>
        <v>ANTENA!!! Um pouco maior do que os telefones com flip, dois casos de couro ambos não funcionou!</v>
      </c>
      <c r="B34674" s="3">
        <v>0</v>
      </c>
    </row>
    <row r="34675" ht="15.75" customHeight="1" spans="1:2">
      <c r="A34675" s="3" t="str">
        <f>IFERROR(__xludf.DUMMYFUNCTION("GOOGLETRANSLATE(A34675,""en"",""pt"")"),"tela pequena, duro nas mãos")</f>
        <v>tela pequena, duro nas mãos</v>
      </c>
      <c r="B34675" s="3">
        <v>0</v>
      </c>
    </row>
    <row r="34676" ht="15.75" customHeight="1" spans="1:2">
      <c r="A34676" s="3" t="str">
        <f>IFERROR(__xludf.DUMMYFUNCTION("GOOGLETRANSLATE(A34676,""en"",""pt"")"),"antena fácil de dobrar")</f>
        <v>antena fácil de dobrar</v>
      </c>
      <c r="B34676" s="3">
        <v>0</v>
      </c>
    </row>
    <row r="34677" ht="15.75" customHeight="1" spans="1:2">
      <c r="A34677" s="3" t="str">
        <f>IFERROR(__xludf.DUMMYFUNCTION("GOOGLETRANSLATE(A34677,""en"",""pt"")"),"Antena, Porta da bateria, Faceplate substituição, Analog Drops, radiação")</f>
        <v>Antena, Porta da bateria, Faceplate substituição, Analog Drops, radiação</v>
      </c>
      <c r="B34677" s="3">
        <v>0</v>
      </c>
    </row>
    <row r="34678" ht="15.75" customHeight="1" spans="1:2">
      <c r="A34678" s="3" t="str">
        <f>IFERROR(__xludf.DUMMYFUNCTION("GOOGLETRANSLATE(A34678,""en"",""pt"")"),"n / D")</f>
        <v>n / D</v>
      </c>
      <c r="B34678" s="3">
        <v>0</v>
      </c>
    </row>
    <row r="34679" ht="15.75" customHeight="1" spans="1:2">
      <c r="A34679" s="3" t="str">
        <f>IFERROR(__xludf.DUMMYFUNCTION("GOOGLETRANSLATE(A34679,""en"",""pt"")"),"Por vezes confusa menus e antena idiota")</f>
        <v>Por vezes confusa menus e antena idiota</v>
      </c>
      <c r="B34679" s="3">
        <v>0</v>
      </c>
    </row>
    <row r="34680" ht="15.75" customHeight="1" spans="1:2">
      <c r="A34680" s="3" t="str">
        <f>IFERROR(__xludf.DUMMYFUNCTION("GOOGLETRANSLATE(A34680,""en"",""pt"")"),"Nada até agora!")</f>
        <v>Nada até agora!</v>
      </c>
      <c r="B34680" s="3">
        <v>0</v>
      </c>
    </row>
    <row r="34681" ht="15.75" customHeight="1" spans="1:2">
      <c r="A34681" s="3" t="str">
        <f>IFERROR(__xludf.DUMMYFUNCTION("GOOGLETRANSLATE(A34681,""en"",""pt"")"),"recepção não é sempre grande, difícil de ouvir dentro w / ruído de fundo")</f>
        <v>recepção não é sempre grande, difícil de ouvir dentro w / ruído de fundo</v>
      </c>
      <c r="B34681" s="3">
        <v>0</v>
      </c>
    </row>
    <row r="34682" ht="15.75" customHeight="1" spans="1:2">
      <c r="A34682" s="3" t="str">
        <f>IFERROR(__xludf.DUMMYFUNCTION("GOOGLETRANSLATE(A34682,""en"",""pt"")"),"Não é fácil de ler visor, loudness de fone de ouvido")</f>
        <v>Não é fácil de ler visor, loudness de fone de ouvido</v>
      </c>
      <c r="B34682" s="3">
        <v>0</v>
      </c>
    </row>
    <row r="34683" ht="15.75" customHeight="1" spans="1:2">
      <c r="A34683" s="3" t="str">
        <f>IFERROR(__xludf.DUMMYFUNCTION("GOOGLETRANSLATE(A34683,""en"",""pt"")"),"A antena é muito frágil, menu é bastante difícil de aprender")</f>
        <v>A antena é muito frágil, menu é bastante difícil de aprender</v>
      </c>
      <c r="B34683" s="3">
        <v>0</v>
      </c>
    </row>
    <row r="34684" ht="15.75" customHeight="1" spans="1:2">
      <c r="A34684" s="3" t="str">
        <f>IFERROR(__xludf.DUMMYFUNCTION("GOOGLETRANSLATE(A34684,""en"",""pt"")"),"qualidade do som baixo, má recepção, menus confusos")</f>
        <v>qualidade do som baixo, má recepção, menus confusos</v>
      </c>
      <c r="B34684" s="3">
        <v>0</v>
      </c>
    </row>
    <row r="34685" ht="15.75" customHeight="1" spans="1:2">
      <c r="A34685" s="3" t="str">
        <f>IFERROR(__xludf.DUMMYFUNCTION("GOOGLETRANSLATE(A34685,""en"",""pt"")"),"Antena muito barato / frágil / frágil.")</f>
        <v>Antena muito barato / frágil / frágil.</v>
      </c>
      <c r="B34685" s="3">
        <v>0</v>
      </c>
    </row>
    <row r="34686" ht="15.75" customHeight="1" spans="1:2">
      <c r="A34686" s="3" t="str">
        <f>IFERROR(__xludf.DUMMYFUNCTION("GOOGLETRANSLATE(A34686,""en"",""pt"")"),"qualidade de som pobre, ergonomia pobres, difícil não ecrã zero")</f>
        <v>qualidade de som pobre, ergonomia pobres, difícil não ecrã zero</v>
      </c>
      <c r="B34686" s="3">
        <v>0</v>
      </c>
    </row>
    <row r="34687" ht="15.75" customHeight="1" spans="1:2">
      <c r="A34687" s="3" t="str">
        <f>IFERROR(__xludf.DUMMYFUNCTION("GOOGLETRANSLATE(A34687,""en"",""pt"")"),"...")</f>
        <v>...</v>
      </c>
      <c r="B34687" s="3">
        <v>0</v>
      </c>
    </row>
    <row r="34688" ht="15.75" customHeight="1" spans="1:2">
      <c r="A34688" s="3" t="str">
        <f>IFERROR(__xludf.DUMMYFUNCTION("GOOGLETRANSLATE(A34688,""en"",""pt"")"),"antena frágil (talvez)")</f>
        <v>antena frágil (talvez)</v>
      </c>
      <c r="B34688" s="3">
        <v>0</v>
      </c>
    </row>
    <row r="34689" ht="15.75" customHeight="1" spans="1:2">
      <c r="A34689" s="3" t="str">
        <f>IFERROR(__xludf.DUMMYFUNCTION("GOOGLETRANSLATE(A34689,""en"",""pt"")"),"qualidade de voz trêmula")</f>
        <v>qualidade de voz trêmula</v>
      </c>
      <c r="B34689" s="3">
        <v>0</v>
      </c>
    </row>
    <row r="34690" ht="15.75" customHeight="1" spans="1:2">
      <c r="A34690" s="3" t="str">
        <f>IFERROR(__xludf.DUMMYFUNCTION("GOOGLETRANSLATE(A34690,""en"",""pt"")"),"Acessórios e telefone são um pouco spendy.")</f>
        <v>Acessórios e telefone são um pouco spendy.</v>
      </c>
      <c r="B34690" s="3">
        <v>0</v>
      </c>
    </row>
    <row r="34691" ht="15.75" customHeight="1" spans="1:2">
      <c r="A34691" s="3" t="str">
        <f>IFERROR(__xludf.DUMMYFUNCTION("GOOGLETRANSLATE(A34691,""en"",""pt"")"),"Não manequim prova ... bem, não para mim, pelo menos,")</f>
        <v>Não manequim prova ... bem, não para mim, pelo menos,</v>
      </c>
      <c r="B34691" s="3">
        <v>0</v>
      </c>
    </row>
    <row r="34692" ht="15.75" customHeight="1" spans="1:2">
      <c r="A34692" s="3" t="str">
        <f>IFERROR(__xludf.DUMMYFUNCTION("GOOGLETRANSLATE(A34692,""en"",""pt"")"),"nenhum realmente .... a variedade de cores é um pouco estranho, mas eu ainda amo ele")</f>
        <v>nenhum realmente .... a variedade de cores é um pouco estranho, mas eu ainda amo ele</v>
      </c>
      <c r="B34692" s="3">
        <v>0</v>
      </c>
    </row>
    <row r="34693" ht="15.75" customHeight="1" spans="1:2">
      <c r="A34693" s="3" t="str">
        <f>IFERROR(__xludf.DUMMYFUNCTION("GOOGLETRANSLATE(A34693,""en"",""pt"")"),"Eu tive todos os tipos de problemas de hardware.")</f>
        <v>Eu tive todos os tipos de problemas de hardware.</v>
      </c>
      <c r="B34693" s="3">
        <v>0</v>
      </c>
    </row>
    <row r="34694" ht="15.75" customHeight="1" spans="1:2">
      <c r="A34694" s="3" t="str">
        <f>IFERROR(__xludf.DUMMYFUNCTION("GOOGLETRANSLATE(A34694,""en"",""pt"")"),"frágil Antenna")</f>
        <v>frágil Antenna</v>
      </c>
      <c r="B34694" s="3">
        <v>0</v>
      </c>
    </row>
    <row r="34695" ht="15.75" customHeight="1" spans="1:2">
      <c r="A34695" s="3" t="str">
        <f>IFERROR(__xludf.DUMMYFUNCTION("GOOGLETRANSLATE(A34695,""en"",""pt"")"),"Pullup antena parece frágil. Mas raramente você vai precisar para puxá-lo para cima.")</f>
        <v>Pullup antena parece frágil. Mas raramente você vai precisar para puxá-lo para cima.</v>
      </c>
      <c r="B34695" s="3">
        <v>0</v>
      </c>
    </row>
    <row r="34696" ht="15.75" customHeight="1" spans="1:2">
      <c r="A34696" s="3" t="str">
        <f>IFERROR(__xludf.DUMMYFUNCTION("GOOGLETRANSLATE(A34696,""en"",""pt"")"),"as curvas de antena, e depois breaks Waaaay facilmente, fraco fone de ouvido, não inteiramente customizável")</f>
        <v>as curvas de antena, e depois breaks Waaaay facilmente, fraco fone de ouvido, não inteiramente customizável</v>
      </c>
      <c r="B34696" s="3">
        <v>0</v>
      </c>
    </row>
    <row r="34697" ht="15.75" customHeight="1" spans="1:2">
      <c r="A34697" s="3" t="str">
        <f>IFERROR(__xludf.DUMMYFUNCTION("GOOGLETRANSLATE(A34697,""en"",""pt"")"),"exibição é pequeno, não vibrar um toque.")</f>
        <v>exibição é pequeno, não vibrar um toque.</v>
      </c>
      <c r="B34697" s="3">
        <v>0</v>
      </c>
    </row>
    <row r="34698" ht="15.75" customHeight="1" spans="1:2">
      <c r="A34698" s="3" t="str">
        <f>IFERROR(__xludf.DUMMYFUNCTION("GOOGLETRANSLATE(A34698,""en"",""pt"")"),"O antenna..what que se passa com esta antena? rotulação azul")</f>
        <v>O antenna..what que se passa com esta antena? rotulação azul</v>
      </c>
      <c r="B34698" s="3">
        <v>0</v>
      </c>
    </row>
    <row r="34699" ht="15.75" customHeight="1" spans="1:2">
      <c r="A34699" s="3" t="str">
        <f>IFERROR(__xludf.DUMMYFUNCTION("GOOGLETRANSLATE(A34699,""en"",""pt"")"),"vida de bateria fraca")</f>
        <v>vida de bateria fraca</v>
      </c>
      <c r="B34699" s="3">
        <v>0</v>
      </c>
    </row>
    <row r="34700" ht="15.75" customHeight="1" spans="1:2">
      <c r="A34700" s="3" t="str">
        <f>IFERROR(__xludf.DUMMYFUNCTION("GOOGLETRANSLATE(A34700,""en"",""pt"")"),"Mais alto de advertência de radiação !!! construção muito barato, teclado botões muito pequeno, pobre exibição, em geral de má qualidade.")</f>
        <v>Mais alto de advertência de radiação !!! construção muito barato, teclado botões muito pequeno, pobre exibição, em geral de má qualidade.</v>
      </c>
      <c r="B34700" s="3">
        <v>0</v>
      </c>
    </row>
    <row r="34701" ht="15.75" customHeight="1" spans="1:2">
      <c r="A34701" s="3" t="str">
        <f>IFERROR(__xludf.DUMMYFUNCTION("GOOGLETRANSLATE(A34701,""en"",""pt"")"),"Eu gostaria que tocou mais alto!")</f>
        <v>Eu gostaria que tocou mais alto!</v>
      </c>
      <c r="B34701" s="3">
        <v>0</v>
      </c>
    </row>
    <row r="34702" ht="15.75" customHeight="1" spans="1:2">
      <c r="A34702" s="3" t="str">
        <f>IFERROR(__xludf.DUMMYFUNCTION("GOOGLETRANSLATE(A34702,""en"",""pt"")"),"N / D")</f>
        <v>N / D</v>
      </c>
      <c r="B34702" s="3">
        <v>0</v>
      </c>
    </row>
    <row r="34703" ht="15.75" customHeight="1" spans="1:2">
      <c r="A34703" s="3" t="str">
        <f>IFERROR(__xludf.DUMMYFUNCTION("GOOGLETRANSLATE(A34703,""en"",""pt"")"),"má concepção antena, tomada do carregador se desgasta rapidamente.")</f>
        <v>má concepção antena, tomada do carregador se desgasta rapidamente.</v>
      </c>
      <c r="B34703" s="3">
        <v>0</v>
      </c>
    </row>
    <row r="34704" ht="15.75" customHeight="1" spans="1:2">
      <c r="A34704" s="3" t="str">
        <f>IFERROR(__xludf.DUMMYFUNCTION("GOOGLETRANSLATE(A34704,""en"",""pt"")"),"barulhento, má recepção")</f>
        <v>barulhento, má recepção</v>
      </c>
      <c r="B34704" s="3">
        <v>0</v>
      </c>
    </row>
    <row r="34705" ht="15.75" customHeight="1" spans="1:2">
      <c r="A34705" s="3" t="str">
        <f>IFERROR(__xludf.DUMMYFUNCTION("GOOGLETRANSLATE(A34705,""en"",""pt"")"),"antena é frágil, a navegação é melhor em StarTAC (mas muito menor con), e não um telefone GSM")</f>
        <v>antena é frágil, a navegação é melhor em StarTAC (mas muito menor con), e não um telefone GSM</v>
      </c>
      <c r="B34705" s="3">
        <v>0</v>
      </c>
    </row>
    <row r="34706" ht="15.75" customHeight="1" spans="1:2">
      <c r="A34706" s="3" t="str">
        <f>IFERROR(__xludf.DUMMYFUNCTION("GOOGLETRANSLATE(A34706,""en"",""pt"")"),"Interface, telefone muito básico, nenhum calendário, ou para fazer a lista.")</f>
        <v>Interface, telefone muito básico, nenhum calendário, ou para fazer a lista.</v>
      </c>
      <c r="B34706" s="3">
        <v>0</v>
      </c>
    </row>
    <row r="34707" ht="15.75" customHeight="1" spans="1:2">
      <c r="A34707" s="3" t="str">
        <f>IFERROR(__xludf.DUMMYFUNCTION("GOOGLETRANSLATE(A34707,""en"",""pt"")"),"Antena é frágil")</f>
        <v>Antena é frágil</v>
      </c>
      <c r="B34707" s="3">
        <v>0</v>
      </c>
    </row>
    <row r="34708" ht="15.75" customHeight="1" spans="1:2">
      <c r="A34708" s="3" t="str">
        <f>IFERROR(__xludf.DUMMYFUNCTION("GOOGLETRANSLATE(A34708,""en"",""pt"")"),"Ringtones difícil de programa, o carregador é uma dor")</f>
        <v>Ringtones difícil de programa, o carregador é uma dor</v>
      </c>
      <c r="B34708" s="3">
        <v>0</v>
      </c>
    </row>
    <row r="34709" ht="15.75" customHeight="1" spans="1:2">
      <c r="A34709" s="3" t="str">
        <f>IFERROR(__xludf.DUMMYFUNCTION("GOOGLETRANSLATE(A34709,""en"",""pt"")"),"só tem números ativados 20-voz.")</f>
        <v>só tem números ativados 20-voz.</v>
      </c>
      <c r="B34709" s="3">
        <v>0</v>
      </c>
    </row>
    <row r="34710" ht="15.75" customHeight="1" spans="1:2">
      <c r="A34710" s="3" t="str">
        <f>IFERROR(__xludf.DUMMYFUNCTION("GOOGLETRANSLATE(A34710,""en"",""pt"")"),"durabilidade horrível")</f>
        <v>durabilidade horrível</v>
      </c>
      <c r="B34710" s="3">
        <v>0</v>
      </c>
    </row>
    <row r="34711" ht="15.75" customHeight="1" spans="1:2">
      <c r="A34711" s="3" t="str">
        <f>IFERROR(__xludf.DUMMYFUNCTION("GOOGLETRANSLATE(A34711,""en"",""pt"")"),"Antenas não fica bloqueado quando não estiver em uso.")</f>
        <v>Antenas não fica bloqueado quando não estiver em uso.</v>
      </c>
      <c r="B34711" s="3">
        <v>0</v>
      </c>
    </row>
    <row r="34712" ht="15.75" customHeight="1" spans="1:2">
      <c r="A34712" s="3" t="str">
        <f>IFERROR(__xludf.DUMMYFUNCTION("GOOGLETRANSLATE(A34712,""en"",""pt"")"),"A vida da bateria não é o que é anunciado. Antena parece frágil.")</f>
        <v>A vida da bateria não é o que é anunciado. Antena parece frágil.</v>
      </c>
      <c r="B34712" s="3">
        <v>0</v>
      </c>
    </row>
    <row r="34713" ht="15.75" customHeight="1" spans="1:2">
      <c r="A34713" s="3" t="str">
        <f>IFERROR(__xludf.DUMMYFUNCTION("GOOGLETRANSLATE(A34713,""en"",""pt"")"),"teclado")</f>
        <v>teclado</v>
      </c>
      <c r="B34713" s="3">
        <v>0</v>
      </c>
    </row>
    <row r="34714" ht="15.75" customHeight="1" spans="1:2">
      <c r="A34714" s="3" t="str">
        <f>IFERROR(__xludf.DUMMYFUNCTION("GOOGLETRANSLATE(A34714,""en"",""pt"")"),"Difícil de ler a exposição. Não-funcionamento discagem por voz. Má recepção. Frágil.")</f>
        <v>Difícil de ler a exposição. Não-funcionamento discagem por voz. Má recepção. Frágil.</v>
      </c>
      <c r="B34714" s="3">
        <v>0</v>
      </c>
    </row>
    <row r="34715" ht="15.75" customHeight="1" spans="1:2">
      <c r="A34715" s="3" t="str">
        <f>IFERROR(__xludf.DUMMYFUNCTION("GOOGLETRANSLATE(A34715,""en"",""pt"")"),"Horrível antena fraco. Obtê-lo molhado e ele morre")</f>
        <v>Horrível antena fraco. Obtê-lo molhado e ele morre</v>
      </c>
      <c r="B34715" s="3">
        <v>0</v>
      </c>
    </row>
    <row r="34716" ht="15.75" customHeight="1" spans="1:2">
      <c r="A34716" s="3" t="str">
        <f>IFERROR(__xludf.DUMMYFUNCTION("GOOGLETRANSLATE(A34716,""en"",""pt"")"),"Volume, No Calendário, Nenhuma data na tela")</f>
        <v>Volume, No Calendário, Nenhuma data na tela</v>
      </c>
      <c r="B34716" s="3">
        <v>0</v>
      </c>
    </row>
    <row r="34717" ht="15.75" customHeight="1" spans="1:2">
      <c r="A34717" s="3" t="str">
        <f>IFERROR(__xludf.DUMMYFUNCTION("GOOGLETRANSLATE(A34717,""en"",""pt"")"),"breaks antena")</f>
        <v>breaks antena</v>
      </c>
      <c r="B34717" s="3">
        <v>0</v>
      </c>
    </row>
    <row r="34718" ht="15.75" customHeight="1" spans="1:2">
      <c r="A34718" s="3" t="str">
        <f>IFERROR(__xludf.DUMMYFUNCTION("GOOGLETRANSLATE(A34718,""en"",""pt"")"),"terrível anel de vibração, não posso sequer ouvir anéis, pesado, pedaço de antena porcaria")</f>
        <v>terrível anel de vibração, não posso sequer ouvir anéis, pesado, pedaço de antena porcaria</v>
      </c>
      <c r="B34718" s="3">
        <v>0</v>
      </c>
    </row>
    <row r="34719" ht="15.75" customHeight="1" spans="1:2">
      <c r="A34719" s="3" t="str">
        <f>IFERROR(__xludf.DUMMYFUNCTION("GOOGLETRANSLATE(A34719,""en"",""pt"")"),"Sem características Relógio Despertador, volume do teclado não é alto o suficiente, mesmo com a máxima")</f>
        <v>Sem características Relógio Despertador, volume do teclado não é alto o suficiente, mesmo com a máxima</v>
      </c>
      <c r="B34719" s="3">
        <v>0</v>
      </c>
    </row>
    <row r="34720" ht="15.75" customHeight="1" spans="1:2">
      <c r="A34720" s="3" t="str">
        <f>IFERROR(__xludf.DUMMYFUNCTION("GOOGLETRANSLATE(A34720,""en"",""pt"")"),"- Frágil Antenna")</f>
        <v>- Frágil Antenna</v>
      </c>
      <c r="B34720" s="3">
        <v>0</v>
      </c>
    </row>
    <row r="34721" ht="15.75" customHeight="1" spans="1:2">
      <c r="A34721" s="3" t="str">
        <f>IFERROR(__xludf.DUMMYFUNCTION("GOOGLETRANSLATE(A34721,""en"",""pt"")"),"anel tranquila, antena é frágil")</f>
        <v>anel tranquila, antena é frágil</v>
      </c>
      <c r="B34721" s="3">
        <v>0</v>
      </c>
    </row>
    <row r="34722" ht="15.75" customHeight="1" spans="1:2">
      <c r="A34722" s="3" t="str">
        <f>IFERROR(__xludf.DUMMYFUNCTION("GOOGLETRANSLATE(A34722,""en"",""pt"")"),"antena frágil.")</f>
        <v>antena frágil.</v>
      </c>
      <c r="B34722" s="3">
        <v>0</v>
      </c>
    </row>
    <row r="34723" ht="15.75" customHeight="1" spans="1:2">
      <c r="A34723" s="3" t="str">
        <f>IFERROR(__xludf.DUMMYFUNCTION("GOOGLETRANSLATE(A34723,""en"",""pt"")"),"Nenhum")</f>
        <v>Nenhum</v>
      </c>
      <c r="B34723" s="3">
        <v>0</v>
      </c>
    </row>
    <row r="34724" ht="15.75" customHeight="1" spans="1:2">
      <c r="A34724" s="3" t="str">
        <f>IFERROR(__xludf.DUMMYFUNCTION("GOOGLETRANSLATE(A34724,""en"",""pt"")"),"Basicamente, é tudo.")</f>
        <v>Basicamente, é tudo.</v>
      </c>
      <c r="B34724" s="3">
        <v>0</v>
      </c>
    </row>
    <row r="34725" ht="15.75" customHeight="1" spans="1:2">
      <c r="A34725" s="3" t="str">
        <f>IFERROR(__xludf.DUMMYFUNCTION("GOOGLETRANSLATE(A34725,""en"",""pt"")"),"software frágil, medíocre recepção, baixo volume do fone de ouvido, tela difícil de ler")</f>
        <v>software frágil, medíocre recepção, baixo volume do fone de ouvido, tela difícil de ler</v>
      </c>
      <c r="B34725" s="3">
        <v>0</v>
      </c>
    </row>
    <row r="34726" ht="15.75" customHeight="1" spans="1:2">
      <c r="A34726" s="3" t="str">
        <f>IFERROR(__xludf.DUMMYFUNCTION("GOOGLETRANSLATE(A34726,""en"",""pt"")"),"Baixo nível de ruído teclado e uma antena frágil.")</f>
        <v>Baixo nível de ruído teclado e uma antena frágil.</v>
      </c>
      <c r="B34726" s="3">
        <v>0</v>
      </c>
    </row>
    <row r="34727" ht="15.75" customHeight="1" spans="1:2">
      <c r="A34727" s="3" t="str">
        <f>IFERROR(__xludf.DUMMYFUNCTION("GOOGLETRANSLATE(A34727,""en"",""pt"")"),"o telefone não se encaixa contra o seu rosto direito, e os botões de envio e finais são invertidas !!!")</f>
        <v>o telefone não se encaixa contra o seu rosto direito, e os botões de envio e finais são invertidas !!!</v>
      </c>
      <c r="B34727" s="3">
        <v>0</v>
      </c>
    </row>
    <row r="34728" ht="15.75" customHeight="1" spans="1:2">
      <c r="A34728" s="3" t="str">
        <f>IFERROR(__xludf.DUMMYFUNCTION("GOOGLETRANSLATE(A34728,""en"",""pt"")"),"Pobre fabricação e durabilidade.")</f>
        <v>Pobre fabricação e durabilidade.</v>
      </c>
      <c r="B34728" s="3">
        <v>0</v>
      </c>
    </row>
    <row r="34729" ht="15.75" customHeight="1" spans="1:2">
      <c r="A34729" s="3" t="str">
        <f>IFERROR(__xludf.DUMMYFUNCTION("GOOGLETRANSLATE(A34729,""en"",""pt"")"),"menus não-intuitivos e ANTENA HORRÍVEL")</f>
        <v>menus não-intuitivos e ANTENA HORRÍVEL</v>
      </c>
      <c r="B34729" s="3">
        <v>0</v>
      </c>
    </row>
    <row r="34730" ht="15.75" customHeight="1" spans="1:2">
      <c r="A34730" s="3" t="str">
        <f>IFERROR(__xludf.DUMMYFUNCTION("GOOGLETRANSLATE(A34730,""en"",""pt"")"),"Bips, Antena, Recepção, Charger")</f>
        <v>Bips, Antena, Recepção, Charger</v>
      </c>
      <c r="B34730" s="3">
        <v>0</v>
      </c>
    </row>
    <row r="34731" ht="15.75" customHeight="1" spans="1:2">
      <c r="A34731" s="3" t="str">
        <f>IFERROR(__xludf.DUMMYFUNCTION("GOOGLETRANSLATE(A34731,""en"",""pt"")"),"inutilizável em áreas de sinal fraco, fácil de zero exibição")</f>
        <v>inutilizável em áreas de sinal fraco, fácil de zero exibição</v>
      </c>
      <c r="B34731" s="3">
        <v>0</v>
      </c>
    </row>
    <row r="34732" ht="15.75" customHeight="1" spans="1:2">
      <c r="A34732" s="3" t="str">
        <f>IFERROR(__xludf.DUMMYFUNCTION("GOOGLETRANSLATE(A34732,""en"",""pt"")"),"Antena é um pouco fraco, mas você não costuma precisar dele.")</f>
        <v>Antena é um pouco fraco, mas você não costuma precisar dele.</v>
      </c>
      <c r="B34732" s="3">
        <v>0</v>
      </c>
    </row>
    <row r="34733" ht="15.75" customHeight="1" spans="1:2">
      <c r="A34733" s="3" t="str">
        <f>IFERROR(__xludf.DUMMYFUNCTION("GOOGLETRANSLATE(A34733,""en"",""pt"")"),"Nenhum")</f>
        <v>Nenhum</v>
      </c>
      <c r="B34733" s="3">
        <v>0</v>
      </c>
    </row>
    <row r="34734" ht="15.75" customHeight="1" spans="1:2">
      <c r="A34734" s="3" t="str">
        <f>IFERROR(__xludf.DUMMYFUNCTION("GOOGLETRANSLATE(A34734,""en"",""pt"")"),"breaks antena facilmente e, muitas vezes, se eu soubesse, eu não teria comprado")</f>
        <v>breaks antena facilmente e, muitas vezes, se eu soubesse, eu não teria comprado</v>
      </c>
      <c r="B34734" s="3">
        <v>0</v>
      </c>
    </row>
    <row r="34735" ht="15.75" customHeight="1" spans="1:2">
      <c r="A34735" s="3" t="str">
        <f>IFERROR(__xludf.DUMMYFUNCTION("GOOGLETRANSLATE(A34735,""en"",""pt"")"),"Face do telefone pequeno, um pouco difícil de ler")</f>
        <v>Face do telefone pequeno, um pouco difícil de ler</v>
      </c>
      <c r="B34735" s="3">
        <v>0</v>
      </c>
    </row>
    <row r="34736" ht="15.75" customHeight="1" spans="1:2">
      <c r="A34736" s="3" t="str">
        <f>IFERROR(__xludf.DUMMYFUNCTION("GOOGLETRANSLATE(A34736,""en"",""pt"")"),"qualidade e software pobre som")</f>
        <v>qualidade e software pobre som</v>
      </c>
      <c r="B34736" s="3">
        <v>0</v>
      </c>
    </row>
    <row r="34737" ht="15.75" customHeight="1" spans="1:2">
      <c r="A34737" s="3" t="str">
        <f>IFERROR(__xludf.DUMMYFUNCTION("GOOGLETRANSLATE(A34737,""en"",""pt"")"),"Nenhum")</f>
        <v>Nenhum</v>
      </c>
      <c r="B34737" s="3">
        <v>0</v>
      </c>
    </row>
    <row r="34738" ht="15.75" customHeight="1" spans="1:2">
      <c r="A34738" s="3" t="str">
        <f>IFERROR(__xludf.DUMMYFUNCTION("GOOGLETRANSLATE(A34738,""en"",""pt"")"),"peças baratas. Gotas chamadas. Voz chamando raramente funciona. Nenhum jogo. Sem calculadora. Bad interface.")</f>
        <v>peças baratas. Gotas chamadas. Voz chamando raramente funciona. Nenhum jogo. Sem calculadora. Bad interface.</v>
      </c>
      <c r="B34738" s="3">
        <v>0</v>
      </c>
    </row>
    <row r="34739" ht="15.75" customHeight="1" spans="1:2">
      <c r="A34739" s="3" t="str">
        <f>IFERROR(__xludf.DUMMYFUNCTION("GOOGLETRANSLATE(A34739,""en"",""pt"")"),"ringtones coxo. não gosto arranjo botão.")</f>
        <v>ringtones coxo. não gosto arranjo botão.</v>
      </c>
      <c r="B34739" s="3">
        <v>0</v>
      </c>
    </row>
    <row r="34740" ht="15.75" customHeight="1" spans="1:2">
      <c r="A34740" s="3" t="str">
        <f>IFERROR(__xludf.DUMMYFUNCTION("GOOGLETRANSLATE(A34740,""en"",""pt"")"),"tela pequena pode ser difícil de ler. recepção mista no país.")</f>
        <v>tela pequena pode ser difícil de ler. recepção mista no país.</v>
      </c>
      <c r="B34740" s="3">
        <v>0</v>
      </c>
    </row>
    <row r="34741" ht="15.75" customHeight="1" spans="1:2">
      <c r="A34741" s="3" t="str">
        <f>IFERROR(__xludf.DUMMYFUNCTION("GOOGLETRANSLATE(A34741,""en"",""pt"")"),"chamadas abandonadas, silencioso, não é bonito para os olhos, mau antena")</f>
        <v>chamadas abandonadas, silencioso, não é bonito para os olhos, mau antena</v>
      </c>
      <c r="B34741" s="3">
        <v>0</v>
      </c>
    </row>
    <row r="34742" ht="15.75" customHeight="1" spans="1:2">
      <c r="A34742" s="3" t="str">
        <f>IFERROR(__xludf.DUMMYFUNCTION("GOOGLETRANSLATE(A34742,""en"",""pt"")"),"Antena breaks, parte da orelha é tranquila, uma má recepção.")</f>
        <v>Antena breaks, parte da orelha é tranquila, uma má recepção.</v>
      </c>
      <c r="B34742" s="3">
        <v>0</v>
      </c>
    </row>
    <row r="34743" ht="15.75" customHeight="1" spans="1:2">
      <c r="A34743" s="3" t="str">
        <f>IFERROR(__xludf.DUMMYFUNCTION("GOOGLETRANSLATE(A34743,""en"",""pt"")"),"A antena, chamando via voz, minha apreensão sobre Motorola")</f>
        <v>A antena, chamando via voz, minha apreensão sobre Motorola</v>
      </c>
      <c r="B34743" s="3">
        <v>0</v>
      </c>
    </row>
    <row r="34744" ht="15.75" customHeight="1" spans="1:2">
      <c r="A34744" s="3" t="str">
        <f>IFERROR(__xludf.DUMMYFUNCTION("GOOGLETRANSLATE(A34744,""en"",""pt"")"),"o volume do fone, suporte técnico motorola é inútil")</f>
        <v>o volume do fone, suporte técnico motorola é inútil</v>
      </c>
      <c r="B34744" s="3">
        <v>0</v>
      </c>
    </row>
    <row r="34745" ht="15.75" customHeight="1" spans="1:2">
      <c r="A34745" s="3" t="str">
        <f>IFERROR(__xludf.DUMMYFUNCTION("GOOGLETRANSLATE(A34745,""en"",""pt"")"),"Bad T9 / selecção iTap, auto restart problema, viva-voz marginal")</f>
        <v>Bad T9 / selecção iTap, auto restart problema, viva-voz marginal</v>
      </c>
      <c r="B34745" s="3">
        <v>0</v>
      </c>
    </row>
    <row r="34746" ht="15.75" customHeight="1" spans="1:2">
      <c r="A34746" s="3" t="str">
        <f>IFERROR(__xludf.DUMMYFUNCTION("GOOGLETRANSLATE(A34746,""en"",""pt"")"),"Falta de memória externa. Não é possível gravar vídeo.")</f>
        <v>Falta de memória externa. Não é possível gravar vídeo.</v>
      </c>
      <c r="B34746" s="3">
        <v>0</v>
      </c>
    </row>
    <row r="34747" ht="15.75" customHeight="1" spans="1:2">
      <c r="A34747" s="3" t="str">
        <f>IFERROR(__xludf.DUMMYFUNCTION("GOOGLETRANSLATE(A34747,""en"",""pt"")"),"nenhum vídeo com câmera, poderia ser mais leve, moderadamente caro")</f>
        <v>nenhum vídeo com câmera, poderia ser mais leve, moderadamente caro</v>
      </c>
      <c r="B34747" s="3">
        <v>0</v>
      </c>
    </row>
    <row r="34748" ht="15.75" customHeight="1" spans="1:2">
      <c r="A34748" s="3" t="str">
        <f>IFERROR(__xludf.DUMMYFUNCTION("GOOGLETRANSLATE(A34748,""en"",""pt"")"),"peso, arranhões facilmente, caro, câmera, bateria")</f>
        <v>peso, arranhões facilmente, caro, câmera, bateria</v>
      </c>
      <c r="B34748" s="3">
        <v>0</v>
      </c>
    </row>
    <row r="34749" ht="15.75" customHeight="1" spans="1:2">
      <c r="A34749" s="3" t="str">
        <f>IFERROR(__xludf.DUMMYFUNCTION("GOOGLETRANSLATE(A34749,""en"",""pt"")"),"Phone Book, Lousy recepção, a vida da bateria, a implementação Bluetooth, Volume de toque, alto-falante")</f>
        <v>Phone Book, Lousy recepção, a vida da bateria, a implementação Bluetooth, Volume de toque, alto-falante</v>
      </c>
      <c r="B34749" s="3">
        <v>0</v>
      </c>
    </row>
    <row r="34750" ht="15.75" customHeight="1" spans="1:2">
      <c r="A34750" s="3" t="str">
        <f>IFERROR(__xludf.DUMMYFUNCTION("GOOGLETRANSLATE(A34750,""en"",""pt"")"),"Vida útil da bateria, câmera")</f>
        <v>Vida útil da bateria, câmera</v>
      </c>
      <c r="B34750" s="3">
        <v>0</v>
      </c>
    </row>
    <row r="34751" ht="15.75" customHeight="1" spans="1:2">
      <c r="A34751" s="3" t="str">
        <f>IFERROR(__xludf.DUMMYFUNCTION("GOOGLETRANSLATE(A34751,""en"",""pt"")"),"Preço, peso, compleição frágil")</f>
        <v>Preço, peso, compleição frágil</v>
      </c>
      <c r="B34751" s="3">
        <v>0</v>
      </c>
    </row>
    <row r="34752" ht="15.75" customHeight="1" spans="1:2">
      <c r="A34752" s="3" t="str">
        <f>IFERROR(__xludf.DUMMYFUNCTION("GOOGLETRANSLATE(A34752,""en"",""pt"")"),"Interface carece polonês, atrás de características, preço alto, Razr é mais desejável")</f>
        <v>Interface carece polonês, atrás de características, preço alto, Razr é mais desejável</v>
      </c>
      <c r="B34752" s="3">
        <v>0</v>
      </c>
    </row>
    <row r="34753" ht="15.75" customHeight="1" spans="1:2">
      <c r="A34753" s="3" t="str">
        <f>IFERROR(__xludf.DUMMYFUNCTION("GOOGLETRANSLATE(A34753,""en"",""pt"")"),"processador lento, reconhecimento de voz, Software Camera")</f>
        <v>processador lento, reconhecimento de voz, Software Camera</v>
      </c>
      <c r="B34753" s="3">
        <v>0</v>
      </c>
    </row>
    <row r="34754" ht="15.75" customHeight="1" spans="1:2">
      <c r="A34754" s="3" t="str">
        <f>IFERROR(__xludf.DUMMYFUNCTION("GOOGLETRANSLATE(A34754,""en"",""pt"")"),"Má recepção em muitas áreas")</f>
        <v>Má recepção em muitas áreas</v>
      </c>
      <c r="B34754" s="3">
        <v>0</v>
      </c>
    </row>
    <row r="34755" ht="15.75" customHeight="1" spans="1:2">
      <c r="A34755" s="3" t="str">
        <f>IFERROR(__xludf.DUMMYFUNCTION("GOOGLETRANSLATE(A34755,""en"",""pt"")"),"No vídeo, há restrições de chamadas,")</f>
        <v>No vídeo, há restrições de chamadas,</v>
      </c>
      <c r="B34755" s="3">
        <v>0</v>
      </c>
    </row>
    <row r="34756" ht="15.75" customHeight="1" spans="1:2">
      <c r="A34756" s="3" t="str">
        <f>IFERROR(__xludf.DUMMYFUNCTION("GOOGLETRANSLATE(A34756,""en"",""pt"")"),"restrições, mau funcionamento da câmera, e restrições de movimento de carga")</f>
        <v>restrições, mau funcionamento da câmera, e restrições de movimento de carga</v>
      </c>
      <c r="B34756" s="3">
        <v>0</v>
      </c>
    </row>
    <row r="34757" ht="15.75" customHeight="1" spans="1:2">
      <c r="A34757" s="3" t="str">
        <f>IFERROR(__xludf.DUMMYFUNCTION("GOOGLETRANSLATE(A34757,""en"",""pt"")"),"tampa sente um pouco frouxa quando totalmente aberto, não um grande negócio.")</f>
        <v>tampa sente um pouco frouxa quando totalmente aberto, não um grande negócio.</v>
      </c>
      <c r="B34757" s="3">
        <v>0</v>
      </c>
    </row>
    <row r="34758" ht="15.75" customHeight="1" spans="1:2">
      <c r="A34758" s="3" t="str">
        <f>IFERROR(__xludf.DUMMYFUNCTION("GOOGLETRANSLATE(A34758,""en"",""pt"")"),"* Nenhuma tela cheia em frente")</f>
        <v>* Nenhuma tela cheia em frente</v>
      </c>
      <c r="B34758" s="3">
        <v>0</v>
      </c>
    </row>
    <row r="34759" ht="15.75" customHeight="1" spans="1:2">
      <c r="A34759" s="3" t="str">
        <f>IFERROR(__xludf.DUMMYFUNCTION("GOOGLETRANSLATE(A34759,""en"",""pt"")"),"Muitos bugs, horrível som handsfee com fio, fácil inadvertidamente mudar para o modo silencioso.")</f>
        <v>Muitos bugs, horrível som handsfee com fio, fácil inadvertidamente mudar para o modo silencioso.</v>
      </c>
      <c r="B34759" s="3">
        <v>0</v>
      </c>
    </row>
    <row r="34760" ht="15.75" customHeight="1" spans="1:2">
      <c r="A34760" s="3" t="str">
        <f>IFERROR(__xludf.DUMMYFUNCTION("GOOGLETRANSLATE(A34760,""en"",""pt"")"),"implementação do bluetooth proprietária, design de software / interface de horrível que, a recepção do sinal ruim e baixa autonomia de bateria.")</f>
        <v>implementação do bluetooth proprietária, design de software / interface de horrível que, a recepção do sinal ruim e baixa autonomia de bateria.</v>
      </c>
      <c r="B34760" s="3">
        <v>0</v>
      </c>
    </row>
    <row r="34761" ht="15.75" customHeight="1" spans="1:2">
      <c r="A34761" s="3" t="str">
        <f>IFERROR(__xludf.DUMMYFUNCTION("GOOGLETRANSLATE(A34761,""en"",""pt"")"),"Chamando falhas. clipe de cinto não incluído. livro de endereços é desajeitado para usar.")</f>
        <v>Chamando falhas. clipe de cinto não incluído. livro de endereços é desajeitado para usar.</v>
      </c>
      <c r="B34761" s="3">
        <v>0</v>
      </c>
    </row>
    <row r="34762" ht="15.75" customHeight="1" spans="1:2">
      <c r="A34762" s="3" t="str">
        <f>IFERROR(__xludf.DUMMYFUNCTION("GOOGLETRANSLATE(A34762,""en"",""pt"")"),"NÃO PODE OUVIR NO FONE DE OUVIDO")</f>
        <v>NÃO PODE OUVIR NO FONE DE OUVIDO</v>
      </c>
      <c r="B34762" s="3">
        <v>0</v>
      </c>
    </row>
    <row r="34763" ht="15.75" customHeight="1" spans="1:2">
      <c r="A34763" s="3" t="str">
        <f>IFERROR(__xludf.DUMMYFUNCTION("GOOGLETRANSLATE(A34763,""en"",""pt"")"),"Não se aceitam cartões de expansão, sem tempos de BlueTooth, startup longo / desligamento.")</f>
        <v>Não se aceitam cartões de expansão, sem tempos de BlueTooth, startup longo / desligamento.</v>
      </c>
      <c r="B34763" s="3">
        <v>0</v>
      </c>
    </row>
    <row r="34764" ht="15.75" customHeight="1" spans="1:2">
      <c r="A34764" s="3" t="str">
        <f>IFERROR(__xludf.DUMMYFUNCTION("GOOGLETRANSLATE(A34764,""en"",""pt"")"),"posição da chave, chave de entrada lento, viva-voz terrível, a vida da bateria muito curto. ECT ...")</f>
        <v>posição da chave, chave de entrada lento, viva-voz terrível, a vida da bateria muito curto. ECT ...</v>
      </c>
      <c r="B34764" s="3">
        <v>0</v>
      </c>
    </row>
    <row r="34765" ht="15.75" customHeight="1" spans="1:2">
      <c r="A34765" s="3" t="str">
        <f>IFERROR(__xludf.DUMMYFUNCTION("GOOGLETRANSLATE(A34765,""en"",""pt"")"),"Muito má recepção, gotas chamadas o tempo todo!")</f>
        <v>Muito má recepção, gotas chamadas o tempo todo!</v>
      </c>
      <c r="B34765" s="3">
        <v>0</v>
      </c>
    </row>
    <row r="34766" ht="15.75" customHeight="1" spans="1:2">
      <c r="A34766" s="3" t="str">
        <f>IFERROR(__xludf.DUMMYFUNCTION("GOOGLETRANSLATE(A34766,""en"",""pt"")"),"botões sensíveis irritantes do lado, nenhum vídeo")</f>
        <v>botões sensíveis irritantes do lado, nenhum vídeo</v>
      </c>
      <c r="B34766" s="3">
        <v>0</v>
      </c>
    </row>
    <row r="34767" ht="15.75" customHeight="1" spans="1:2">
      <c r="A34767" s="3" t="str">
        <f>IFERROR(__xludf.DUMMYFUNCTION("GOOGLETRANSLATE(A34767,""en"",""pt"")"),"Buggy externa chamador ID Display, retardar ao discar números, por vezes,")</f>
        <v>Buggy externa chamador ID Display, retardar ao discar números, por vezes,</v>
      </c>
      <c r="B34767" s="3">
        <v>0</v>
      </c>
    </row>
    <row r="34768" ht="15.75" customHeight="1" spans="1:2">
      <c r="A34768" s="3" t="str">
        <f>IFERROR(__xludf.DUMMYFUNCTION("GOOGLETRANSLATE(A34768,""en"",""pt"")"),"ligação do carregador pobres e má concepção teclado.")</f>
        <v>ligação do carregador pobres e má concepção teclado.</v>
      </c>
      <c r="B34768" s="3">
        <v>0</v>
      </c>
    </row>
    <row r="34769" ht="15.75" customHeight="1" spans="1:2">
      <c r="A34769" s="3" t="str">
        <f>IFERROR(__xludf.DUMMYFUNCTION("GOOGLETRANSLATE(A34769,""en"",""pt"")"),"Não funciona bem em-portas.")</f>
        <v>Não funciona bem em-portas.</v>
      </c>
      <c r="B34769" s="3">
        <v>0</v>
      </c>
    </row>
    <row r="34770" ht="15.75" customHeight="1" spans="1:2">
      <c r="A34770" s="3" t="str">
        <f>IFERROR(__xludf.DUMMYFUNCTION("GOOGLETRANSLATE(A34770,""en"",""pt"")"),"não venha com um estojo ou Bluetooth Headset. Não é possível gravar vídeos.")</f>
        <v>não venha com um estojo ou Bluetooth Headset. Não é possível gravar vídeos.</v>
      </c>
      <c r="B34770" s="3">
        <v>0</v>
      </c>
    </row>
    <row r="34771" ht="15.75" customHeight="1" spans="1:2">
      <c r="A34771" s="3" t="str">
        <f>IFERROR(__xludf.DUMMYFUNCTION("GOOGLETRANSLATE(A34771,""en"",""pt"")"),"Pouco volumoso, não muito memória.")</f>
        <v>Pouco volumoso, não muito memória.</v>
      </c>
      <c r="B34771" s="3">
        <v>0</v>
      </c>
    </row>
    <row r="34772" ht="15.75" customHeight="1" spans="1:2">
      <c r="A34772" s="3" t="str">
        <f>IFERROR(__xludf.DUMMYFUNCTION("GOOGLETRANSLATE(A34772,""en"",""pt"")"),"TUDO")</f>
        <v>TUDO</v>
      </c>
      <c r="B34772" s="3">
        <v>0</v>
      </c>
    </row>
    <row r="34773" ht="15.75" customHeight="1" spans="1:2">
      <c r="A34773" s="3" t="str">
        <f>IFERROR(__xludf.DUMMYFUNCTION("GOOGLETRANSLATE(A34773,""en"",""pt"")"),"Fique longe deste lixo")</f>
        <v>Fique longe deste lixo</v>
      </c>
      <c r="B34773" s="3">
        <v>0</v>
      </c>
    </row>
    <row r="34774" ht="15.75" customHeight="1" spans="1:2">
      <c r="A34774" s="3" t="str">
        <f>IFERROR(__xludf.DUMMYFUNCTION("GOOGLETRANSLATE(A34774,""en"",""pt"")"),"Lista Não chamadas não atendidas no cardápio; quando em configurações de tom de chamada de bolso são alteradas.")</f>
        <v>Lista Não chamadas não atendidas no cardápio; quando em configurações de tom de chamada de bolso são alteradas.</v>
      </c>
      <c r="B34774" s="3">
        <v>0</v>
      </c>
    </row>
    <row r="34775" ht="15.75" customHeight="1" spans="1:2">
      <c r="A34775" s="3" t="str">
        <f>IFERROR(__xludf.DUMMYFUNCTION("GOOGLETRANSLATE(A34775,""en"",""pt"")"),"câmera de baixa resolução, não pode gravar videoclipes.")</f>
        <v>câmera de baixa resolução, não pode gravar videoclipes.</v>
      </c>
      <c r="B34775" s="3">
        <v>0</v>
      </c>
    </row>
    <row r="34776" ht="15.75" customHeight="1" spans="1:2">
      <c r="A34776" s="3" t="str">
        <f>IFERROR(__xludf.DUMMYFUNCTION("GOOGLETRANSLATE(A34776,""en"",""pt"")"),"Não é possível gravar vídeos")</f>
        <v>Não é possível gravar vídeos</v>
      </c>
      <c r="B34776" s="3">
        <v>0</v>
      </c>
    </row>
    <row r="34777" ht="15.75" customHeight="1" spans="1:2">
      <c r="A34777" s="3" t="str">
        <f>IFERROR(__xludf.DUMMYFUNCTION("GOOGLETRANSLATE(A34777,""en"",""pt"")"),"qualidade de construção, monitor externo bug")</f>
        <v>qualidade de construção, monitor externo bug</v>
      </c>
      <c r="B34777" s="3">
        <v>0</v>
      </c>
    </row>
    <row r="34778" ht="15.75" customHeight="1" spans="1:2">
      <c r="A34778" s="3" t="str">
        <f>IFERROR(__xludf.DUMMYFUNCTION("GOOGLETRANSLATE(A34778,""en"",""pt"")"),"design ruim, tempo de resposta lento, má recepção. Não vale a pena a dor.")</f>
        <v>design ruim, tempo de resposta lento, má recepção. Não vale a pena a dor.</v>
      </c>
      <c r="B34778" s="3">
        <v>0</v>
      </c>
    </row>
    <row r="34779" ht="15.75" customHeight="1" spans="1:2">
      <c r="A34779" s="3" t="str">
        <f>IFERROR(__xludf.DUMMYFUNCTION("GOOGLETRANSLATE(A34779,""en"",""pt"")"),"Peso")</f>
        <v>Peso</v>
      </c>
      <c r="B34779" s="3">
        <v>0</v>
      </c>
    </row>
    <row r="34780" ht="15.75" customHeight="1" spans="1:2">
      <c r="A34780" s="3" t="str">
        <f>IFERROR(__xludf.DUMMYFUNCTION("GOOGLETRANSLATE(A34780,""en"",""pt"")"),"Contras? Por onde eu começo?")</f>
        <v>Contras? Por onde eu começo?</v>
      </c>
      <c r="B34780" s="3">
        <v>0</v>
      </c>
    </row>
    <row r="34781" ht="15.75" customHeight="1" spans="1:2">
      <c r="A34781" s="3" t="str">
        <f>IFERROR(__xludf.DUMMYFUNCTION("GOOGLETRANSLATE(A34781,""en"",""pt"")"),"A recepção não grandes ""GSM NOKIA maneira melhor"", de interface lenta, arranhões dianteiras facilmente")</f>
        <v>A recepção não grandes "GSM NOKIA maneira melhor", de interface lenta, arranhões dianteiras facilmente</v>
      </c>
      <c r="B34781" s="3">
        <v>0</v>
      </c>
    </row>
    <row r="34782" ht="15.75" customHeight="1" spans="1:2">
      <c r="A34782" s="3" t="str">
        <f>IFERROR(__xludf.DUMMYFUNCTION("GOOGLETRANSLATE(A34782,""en"",""pt"")"),"Vida útil da bateria, preço de fones de ouvido e outros equipamentos bluetooth. 5MB de memória.")</f>
        <v>Vida útil da bateria, preço de fones de ouvido e outros equipamentos bluetooth. 5MB de memória.</v>
      </c>
      <c r="B34782" s="3">
        <v>0</v>
      </c>
    </row>
    <row r="34783" ht="15.75" customHeight="1" spans="1:2">
      <c r="A34783" s="3" t="str">
        <f>IFERROR(__xludf.DUMMYFUNCTION("GOOGLETRANSLATE(A34783,""en"",""pt"")"),"vida útil da bateria")</f>
        <v>vida útil da bateria</v>
      </c>
      <c r="B34783" s="3">
        <v>0</v>
      </c>
    </row>
    <row r="34784" ht="15.75" customHeight="1" spans="1:2">
      <c r="A34784" s="3" t="str">
        <f>IFERROR(__xludf.DUMMYFUNCTION("GOOGLETRANSLATE(A34784,""en"",""pt"")"),"Botões em lados são empurrados muitas vezes ao fazer chamadas ou telefone abertura, não pode bloqueá-los.")</f>
        <v>Botões em lados são empurrados muitas vezes ao fazer chamadas ou telefone abertura, não pode bloqueá-los.</v>
      </c>
      <c r="B34784" s="3">
        <v>0</v>
      </c>
    </row>
    <row r="34785" ht="15.75" customHeight="1" spans="1:2">
      <c r="A34785" s="3" t="str">
        <f>IFERROR(__xludf.DUMMYFUNCTION("GOOGLETRANSLATE(A34785,""en"",""pt"")"),"Nenhum, desempenho sábio.")</f>
        <v>Nenhum, desempenho sábio.</v>
      </c>
      <c r="B34785" s="3">
        <v>0</v>
      </c>
    </row>
    <row r="34786" ht="15.75" customHeight="1" spans="1:2">
      <c r="A34786" s="3" t="str">
        <f>IFERROR(__xludf.DUMMYFUNCTION("GOOGLETRANSLATE(A34786,""en"",""pt"")"),"Não há recursos chamativos, livro de endereços longa")</f>
        <v>Não há recursos chamativos, livro de endereços longa</v>
      </c>
      <c r="B34786" s="3">
        <v>0</v>
      </c>
    </row>
    <row r="34787" ht="15.75" customHeight="1" spans="1:2">
      <c r="A34787" s="3" t="str">
        <f>IFERROR(__xludf.DUMMYFUNCTION("GOOGLETRANSLATE(A34787,""en"",""pt"")"),"Pode ser muito pequeno, às vezes, painel frontal e tampa da bateria são baratos")</f>
        <v>Pode ser muito pequeno, às vezes, painel frontal e tampa da bateria são baratos</v>
      </c>
      <c r="B34787" s="3">
        <v>0</v>
      </c>
    </row>
    <row r="34788" ht="15.75" customHeight="1" spans="1:2">
      <c r="A34788" s="3" t="str">
        <f>IFERROR(__xludf.DUMMYFUNCTION("GOOGLETRANSLATE(A34788,""en"",""pt"")"),"Altivo e ligeiramente maior, mas não claramente superior à 8260")</f>
        <v>Altivo e ligeiramente maior, mas não claramente superior à 8260</v>
      </c>
      <c r="B34788" s="3">
        <v>0</v>
      </c>
    </row>
    <row r="34789" ht="15.75" customHeight="1" spans="1:2">
      <c r="A34789" s="3" t="str">
        <f>IFERROR(__xludf.DUMMYFUNCTION("GOOGLETRANSLATE(A34789,""en"",""pt"")"),"Pode ser pequena demais para algumas pessoas.")</f>
        <v>Pode ser pequena demais para algumas pessoas.</v>
      </c>
      <c r="B34789" s="3">
        <v>0</v>
      </c>
    </row>
    <row r="34790" ht="15.75" customHeight="1" spans="1:2">
      <c r="A34790" s="3" t="str">
        <f>IFERROR(__xludf.DUMMYFUNCTION("GOOGLETRANSLATE(A34790,""en"",""pt"")"),"Fone de ouvido não tem botão de atendimento / desligamento.")</f>
        <v>Fone de ouvido não tem botão de atendimento / desligamento.</v>
      </c>
      <c r="B34790" s="3">
        <v>0</v>
      </c>
    </row>
    <row r="34791" ht="15.75" customHeight="1" spans="1:2">
      <c r="A34791" s="3" t="str">
        <f>IFERROR(__xludf.DUMMYFUNCTION("GOOGLETRANSLATE(A34791,""en"",""pt"")"),"Às vezes, difícil de marcar com botões pequeninos.")</f>
        <v>Às vezes, difícil de marcar com botões pequeninos.</v>
      </c>
      <c r="B34791" s="3">
        <v>0</v>
      </c>
    </row>
    <row r="34792" ht="15.75" customHeight="1" spans="1:2">
      <c r="A34792" s="3" t="str">
        <f>IFERROR(__xludf.DUMMYFUNCTION("GOOGLETRANSLATE(A34792,""en"",""pt"")"),"Colocação de teclas numéricas")</f>
        <v>Colocação de teclas numéricas</v>
      </c>
      <c r="B34792" s="3">
        <v>0</v>
      </c>
    </row>
    <row r="34793" ht="15.75" customHeight="1" spans="1:2">
      <c r="A34793" s="3" t="str">
        <f>IFERROR(__xludf.DUMMYFUNCTION("GOOGLETRANSLATE(A34793,""en"",""pt"")"),"Nenhum que vêm à mente.")</f>
        <v>Nenhum que vêm à mente.</v>
      </c>
      <c r="B34793" s="3">
        <v>0</v>
      </c>
    </row>
    <row r="34794" ht="15.75" customHeight="1" spans="1:2">
      <c r="A34794" s="3" t="str">
        <f>IFERROR(__xludf.DUMMYFUNCTION("GOOGLETRANSLATE(A34794,""en"",""pt"")"),"pequenos botões")</f>
        <v>pequenos botões</v>
      </c>
      <c r="B34794" s="3">
        <v>0</v>
      </c>
    </row>
    <row r="34795" ht="15.75" customHeight="1" spans="1:2">
      <c r="A34795" s="3" t="str">
        <f>IFERROR(__xludf.DUMMYFUNCTION("GOOGLETRANSLATE(A34795,""en"",""pt"")"),"Muito poucos recursos. Sem interface de dados. Pequeno. :)")</f>
        <v>Muito poucos recursos. Sem interface de dados. Pequeno. :)</v>
      </c>
      <c r="B34795" s="3">
        <v>0</v>
      </c>
    </row>
    <row r="34796" ht="15.75" customHeight="1" spans="1:2">
      <c r="A34796" s="3" t="str">
        <f>IFERROR(__xludf.DUMMYFUNCTION("GOOGLETRANSLATE(A34796,""en"",""pt"")"),"Um pouco maior do que seu antecessor o chip 8260. Faceplates facilmente.")</f>
        <v>Um pouco maior do que seu antecessor o chip 8260. Faceplates facilmente.</v>
      </c>
      <c r="B34796" s="3">
        <v>0</v>
      </c>
    </row>
    <row r="34797" ht="15.75" customHeight="1" spans="1:2">
      <c r="A34797" s="3" t="str">
        <f>IFERROR(__xludf.DUMMYFUNCTION("GOOGLETRANSLATE(A34797,""en"",""pt"")"),"ligeiramente superdimensionada para o seu preço,")</f>
        <v>ligeiramente superdimensionada para o seu preço,</v>
      </c>
      <c r="B34797" s="3">
        <v>0</v>
      </c>
    </row>
    <row r="34798" ht="15.75" customHeight="1" spans="1:2">
      <c r="A34798" s="3" t="str">
        <f>IFERROR(__xludf.DUMMYFUNCTION("GOOGLETRANSLATE(A34798,""en"",""pt"")"),"Ligeiramente maior do que a 8260; Nokia adicionou recursos inúteis em vez de melhorias significativas")</f>
        <v>Ligeiramente maior do que a 8260; Nokia adicionou recursos inúteis em vez de melhorias significativas</v>
      </c>
      <c r="B34798" s="3">
        <v>0</v>
      </c>
    </row>
    <row r="34799" ht="15.75" customHeight="1" spans="1:2">
      <c r="A34799" s="3" t="str">
        <f>IFERROR(__xludf.DUMMYFUNCTION("GOOGLETRANSLATE(A34799,""en"",""pt"")"),"Etiqueta de preço!!!")</f>
        <v>Etiqueta de preço!!!</v>
      </c>
      <c r="B34799" s="3">
        <v>0</v>
      </c>
    </row>
    <row r="34800" ht="15.75" customHeight="1" spans="1:2">
      <c r="A34800" s="3" t="str">
        <f>IFERROR(__xludf.DUMMYFUNCTION("GOOGLETRANSLATE(A34800,""en"",""pt"")"),"a tela de plástico é fácil de ser quebrado")</f>
        <v>a tela de plástico é fácil de ser quebrado</v>
      </c>
      <c r="B34800" s="3">
        <v>0</v>
      </c>
    </row>
    <row r="34801" ht="15.75" customHeight="1" spans="1:2">
      <c r="A34801" s="3" t="str">
        <f>IFERROR(__xludf.DUMMYFUNCTION("GOOGLETRANSLATE(A34801,""en"",""pt"")"),"A vida da bateria, cortes dentro e fora, a colocação de chave torna a marcação difícil")</f>
        <v>A vida da bateria, cortes dentro e fora, a colocação de chave torna a marcação difícil</v>
      </c>
      <c r="B34801" s="3">
        <v>0</v>
      </c>
    </row>
    <row r="34802" ht="15.75" customHeight="1" spans="1:2">
      <c r="A34802" s="3" t="s">
        <v>191</v>
      </c>
      <c r="B34802" s="3">
        <v>0</v>
      </c>
    </row>
    <row r="34803" ht="15.75" customHeight="1" spans="1:2">
      <c r="A34803" s="3" t="str">
        <f>IFERROR(__xludf.DUMMYFUNCTION("GOOGLETRANSLATE(A34803,""en"",""pt"")"),"tampa da bateria tende a desgastar de.")</f>
        <v>tampa da bateria tende a desgastar de.</v>
      </c>
      <c r="B34803" s="3">
        <v>0</v>
      </c>
    </row>
    <row r="34804" ht="15.75" customHeight="1" spans="1:2">
      <c r="A34804" s="3" t="str">
        <f>IFERROR(__xludf.DUMMYFUNCTION("GOOGLETRANSLATE(A34804,""en"",""pt"")"),"botões são estranho no início, sem acesso à web")</f>
        <v>botões são estranho no início, sem acesso à web</v>
      </c>
      <c r="B34804" s="3">
        <v>0</v>
      </c>
    </row>
    <row r="34805" ht="15.75" customHeight="1" spans="1:2">
      <c r="A34805" s="3" t="str">
        <f>IFERROR(__xludf.DUMMYFUNCTION("GOOGLETRANSLATE(A34805,""en"",""pt"")"),"Interface horrível, ruim conjunto de recursos")</f>
        <v>Interface horrível, ruim conjunto de recursos</v>
      </c>
      <c r="B34805" s="3">
        <v>0</v>
      </c>
    </row>
    <row r="34806" ht="15.75" customHeight="1" spans="1:2">
      <c r="A34806" s="3" t="str">
        <f>IFERROR(__xludf.DUMMYFUNCTION("GOOGLETRANSLATE(A34806,""en"",""pt"")"),"Nenhuma portas IR")</f>
        <v>Nenhuma portas IR</v>
      </c>
      <c r="B34806" s="3">
        <v>0</v>
      </c>
    </row>
    <row r="34807" ht="15.75" customHeight="1" spans="1:2">
      <c r="A34807" s="3" t="str">
        <f>IFERROR(__xludf.DUMMYFUNCTION("GOOGLETRANSLATE(A34807,""en"",""pt"")"),"Antena, Botões pequenos")</f>
        <v>Antena, Botões pequenos</v>
      </c>
      <c r="B34807" s="3">
        <v>0</v>
      </c>
    </row>
    <row r="34808" ht="15.75" customHeight="1" spans="1:2">
      <c r="A34808" s="3" t="str">
        <f>IFERROR(__xludf.DUMMYFUNCTION("GOOGLETRANSLATE(A34808,""en"",""pt"")"),"Antena é frágil.")</f>
        <v>Antena é frágil.</v>
      </c>
      <c r="B34808" s="3">
        <v>0</v>
      </c>
    </row>
    <row r="34809" ht="15.75" customHeight="1" spans="1:2">
      <c r="A34809" s="3" t="str">
        <f>IFERROR(__xludf.DUMMYFUNCTION("GOOGLETRANSLATE(A34809,""en"",""pt"")"),"Sem opção para uma bateria maior ...")</f>
        <v>Sem opção para uma bateria maior ...</v>
      </c>
      <c r="B34809" s="3">
        <v>0</v>
      </c>
    </row>
    <row r="34810" ht="15.75" customHeight="1" spans="1:2">
      <c r="A34810" s="3" t="str">
        <f>IFERROR(__xludf.DUMMYFUNCTION("GOOGLETRANSLATE(A34810,""en"",""pt"")"),"A chave de navegação cruz no meio é feio e os botões de envio e finais são tons estranhos de vermelho e verde")</f>
        <v>A chave de navegação cruz no meio é feio e os botões de envio e finais são tons estranhos de vermelho e verde</v>
      </c>
      <c r="B34810" s="3">
        <v>0</v>
      </c>
    </row>
    <row r="34811" ht="15.75" customHeight="1" spans="1:2">
      <c r="A34811" s="3" t="str">
        <f>IFERROR(__xludf.DUMMYFUNCTION("GOOGLETRANSLATE(A34811,""en"",""pt"")"),"Antenna é uma espécie de frágil, não parece tão legal quanto o meu Star-tac.")</f>
        <v>Antenna é uma espécie de frágil, não parece tão legal quanto o meu Star-tac.</v>
      </c>
      <c r="B34811" s="3">
        <v>0</v>
      </c>
    </row>
    <row r="34812" ht="15.75" customHeight="1" spans="1:2">
      <c r="A34812" s="3" t="str">
        <f>IFERROR(__xludf.DUMMYFUNCTION("GOOGLETRANSLATE(A34812,""en"",""pt"")"),"O plástico é &amp; quot; sibilante &amp; quot;")</f>
        <v>O plástico é &amp; quot; sibilante &amp; quot;</v>
      </c>
      <c r="B34812" s="3">
        <v>0</v>
      </c>
    </row>
    <row r="34813" ht="15.75" customHeight="1" spans="1:2">
      <c r="A34813" s="3" t="str">
        <f>IFERROR(__xludf.DUMMYFUNCTION("GOOGLETRANSLATE(A34813,""en"",""pt"")"),"poderia ser mais atraente")</f>
        <v>poderia ser mais atraente</v>
      </c>
      <c r="B34813" s="3">
        <v>0</v>
      </c>
    </row>
    <row r="34814" ht="15.75" customHeight="1" spans="1:2">
      <c r="A34814" s="3" t="str">
        <f>IFERROR(__xludf.DUMMYFUNCTION("GOOGLETRANSLATE(A34814,""en"",""pt"")"),"antena frágil")</f>
        <v>antena frágil</v>
      </c>
      <c r="B34814" s="3">
        <v>0</v>
      </c>
    </row>
    <row r="34815" ht="15.75" customHeight="1" spans="1:2">
      <c r="A34815" s="3" t="str">
        <f>IFERROR(__xludf.DUMMYFUNCTION("GOOGLETRANSLATE(A34815,""en"",""pt"")"),"frágil antena")</f>
        <v>frágil antena</v>
      </c>
      <c r="B34815" s="3">
        <v>0</v>
      </c>
    </row>
    <row r="34816" ht="15.75" customHeight="1" spans="1:2">
      <c r="A34816" s="3" t="str">
        <f>IFERROR(__xludf.DUMMYFUNCTION("GOOGLETRANSLATE(A34816,""en"",""pt"")"),"má recepção")</f>
        <v>má recepção</v>
      </c>
      <c r="B34816" s="3">
        <v>0</v>
      </c>
    </row>
    <row r="34817" ht="15.75" customHeight="1" spans="1:2">
      <c r="A34817" s="3" t="str">
        <f>IFERROR(__xludf.DUMMYFUNCTION("GOOGLETRANSLATE(A34817,""en"",""pt"")"),"toques, não altamente atractiva. &amp; # 13; &amp; # 10;")</f>
        <v>toques, não altamente atractiva. &amp; # 13; &amp; # 10;</v>
      </c>
      <c r="B34817" s="3">
        <v>0</v>
      </c>
    </row>
    <row r="34818" ht="15.75" customHeight="1" spans="1:2">
      <c r="A34818" s="3" t="str">
        <f>IFERROR(__xludf.DUMMYFUNCTION("GOOGLETRANSLATE(A34818,""en"",""pt"")"),"Chaves fácil acidentalmente imprensa, baixo volume de campainha.")</f>
        <v>Chaves fácil acidentalmente imprensa, baixo volume de campainha.</v>
      </c>
      <c r="B34818" s="3">
        <v>0</v>
      </c>
    </row>
    <row r="34819" ht="15.75" customHeight="1" spans="1:2">
      <c r="A34819" s="3" t="str">
        <f>IFERROR(__xludf.DUMMYFUNCTION("GOOGLETRANSLATE(A34819,""en"",""pt"")"),"Não tem um calendário ou outro PDA extravagante como ferramentas")</f>
        <v>Não tem um calendário ou outro PDA extravagante como ferramentas</v>
      </c>
      <c r="B34819" s="3">
        <v>0</v>
      </c>
    </row>
    <row r="34820" ht="15.75" customHeight="1" spans="1:2">
      <c r="A34820" s="3" t="str">
        <f>IFERROR(__xludf.DUMMYFUNCTION("GOOGLETRANSLATE(A34820,""en"",""pt"")"),"ligeiramente frágil")</f>
        <v>ligeiramente frágil</v>
      </c>
      <c r="B34820" s="3">
        <v>0</v>
      </c>
    </row>
    <row r="34821" ht="15.75" customHeight="1" spans="1:2">
      <c r="A34821" s="3" t="str">
        <f>IFERROR(__xludf.DUMMYFUNCTION("GOOGLETRANSLATE(A34821,""en"",""pt"")"),"Menu é um pouco confuso")</f>
        <v>Menu é um pouco confuso</v>
      </c>
      <c r="B34821" s="3">
        <v>0</v>
      </c>
    </row>
    <row r="34822" ht="15.75" customHeight="1" spans="1:2">
      <c r="A34822" s="3" t="str">
        <f>IFERROR(__xludf.DUMMYFUNCTION("GOOGLETRANSLATE(A34822,""en"",""pt"")"),"Ringer poderia ser mais alto, antena frágil")</f>
        <v>Ringer poderia ser mais alto, antena frágil</v>
      </c>
      <c r="B34822" s="3">
        <v>0</v>
      </c>
    </row>
    <row r="34823" ht="15.75" customHeight="1" spans="1:2">
      <c r="A34823" s="3" t="str">
        <f>IFERROR(__xludf.DUMMYFUNCTION("GOOGLETRANSLATE(A34823,""en"",""pt"")"),"não tão chamativo como alguns outros")</f>
        <v>não tão chamativo como alguns outros</v>
      </c>
      <c r="B34823" s="3">
        <v>0</v>
      </c>
    </row>
    <row r="34824" ht="15.75" customHeight="1" spans="1:2">
      <c r="A34824" s="3" t="str">
        <f>IFERROR(__xludf.DUMMYFUNCTION("GOOGLETRANSLATE(A34824,""en"",""pt"")"),"Nem a muitos faceplates atualmente fora")</f>
        <v>Nem a muitos faceplates atualmente fora</v>
      </c>
      <c r="B34824" s="3">
        <v>0</v>
      </c>
    </row>
    <row r="34825" ht="15.75" customHeight="1" spans="1:2">
      <c r="A34825" s="3" t="str">
        <f>IFERROR(__xludf.DUMMYFUNCTION("GOOGLETRANSLATE(A34825,""en"",""pt"")"),"Nenhum")</f>
        <v>Nenhum</v>
      </c>
      <c r="B34825" s="3">
        <v>0</v>
      </c>
    </row>
    <row r="34826" ht="15.75" customHeight="1" spans="1:2">
      <c r="A34826" s="3" t="str">
        <f>IFERROR(__xludf.DUMMYFUNCTION("GOOGLETRANSLATE(A34826,""en"",""pt"")"),"Menu demorado, olhando, sem bateria estendida plain")</f>
        <v>Menu demorado, olhando, sem bateria estendida plain</v>
      </c>
      <c r="B34826" s="3">
        <v>0</v>
      </c>
    </row>
    <row r="34827" ht="15.75" customHeight="1" spans="1:2">
      <c r="A34827" s="3" t="str">
        <f>IFERROR(__xludf.DUMMYFUNCTION("GOOGLETRANSLATE(A34827,""en"",""pt"")"),"difícil atribuir a marcação OneTouch")</f>
        <v>difícil atribuir a marcação OneTouch</v>
      </c>
      <c r="B34827" s="3">
        <v>0</v>
      </c>
    </row>
    <row r="34828" ht="15.75" customHeight="1" spans="1:2">
      <c r="A34828" s="3" t="str">
        <f>IFERROR(__xludf.DUMMYFUNCTION("GOOGLETRANSLATE(A34828,""en"",""pt"")"),"Nenhum!")</f>
        <v>Nenhum!</v>
      </c>
      <c r="B34828" s="3">
        <v>0</v>
      </c>
    </row>
    <row r="34829" ht="15.75" customHeight="1" spans="1:2">
      <c r="A34829" s="3" t="str">
        <f>IFERROR(__xludf.DUMMYFUNCTION("GOOGLETRANSLATE(A34829,""en"",""pt"")"),"longo da antena (quando estendida), bastante grande tamanho, não calendário, toques principalmente silenciosa")</f>
        <v>longo da antena (quando estendida), bastante grande tamanho, não calendário, toques principalmente silenciosa</v>
      </c>
      <c r="B34829" s="3">
        <v>0</v>
      </c>
    </row>
    <row r="34830" ht="15.75" customHeight="1" spans="1:2">
      <c r="A34830" s="3" t="str">
        <f>IFERROR(__xludf.DUMMYFUNCTION("GOOGLETRANSLATE(A34830,""en"",""pt"")"),"Poderia ser um pouco mais ""atraente"", não uma obrigação embora.")</f>
        <v>Poderia ser um pouco mais "atraente", não uma obrigação embora.</v>
      </c>
      <c r="B34830" s="3">
        <v>0</v>
      </c>
    </row>
    <row r="34831" ht="15.75" customHeight="1" spans="1:2">
      <c r="A34831" s="3" t="str">
        <f>IFERROR(__xludf.DUMMYFUNCTION("GOOGLETRANSLATE(A34831,""en"",""pt"")"),"Pouca durabilidade e menus podem ser difíceis")</f>
        <v>Pouca durabilidade e menus podem ser difíceis</v>
      </c>
      <c r="B34831" s="3">
        <v>0</v>
      </c>
    </row>
    <row r="34832" ht="15.75" customHeight="1" spans="1:2">
      <c r="A34832" s="3" t="str">
        <f>IFERROR(__xludf.DUMMYFUNCTION("GOOGLETRANSLATE(A34832,""en"",""pt"")"),"Protetor da chave devem ser utilizados para evitar chamadas acidentais")</f>
        <v>Protetor da chave devem ser utilizados para evitar chamadas acidentais</v>
      </c>
      <c r="B34832" s="3">
        <v>0</v>
      </c>
    </row>
    <row r="34833" ht="15.75" customHeight="1" spans="1:2">
      <c r="A34833" s="3" t="str">
        <f>IFERROR(__xludf.DUMMYFUNCTION("GOOGLETRANSLATE(A34833,""en"",""pt"")"),"qualidade do material não totalmente padrões Nokia. Peculiar, mas não estilo feio.")</f>
        <v>qualidade do material não totalmente padrões Nokia. Peculiar, mas não estilo feio.</v>
      </c>
      <c r="B34833" s="3">
        <v>0</v>
      </c>
    </row>
    <row r="34834" ht="15.75" customHeight="1" spans="1:2">
      <c r="A34834" s="3" t="str">
        <f>IFERROR(__xludf.DUMMYFUNCTION("GOOGLETRANSLATE(A34834,""en"",""pt"")"),"não muito durável")</f>
        <v>não muito durável</v>
      </c>
      <c r="B34834" s="3">
        <v>0</v>
      </c>
    </row>
    <row r="34835" ht="15.75" customHeight="1" spans="1:2">
      <c r="A34835" s="3" t="str">
        <f>IFERROR(__xludf.DUMMYFUNCTION("GOOGLETRANSLATE(A34835,""en"",""pt"")"),"tentando mensagens resposta pode ser difícil.")</f>
        <v>tentando mensagens resposta pode ser difícil.</v>
      </c>
      <c r="B34835" s="3">
        <v>0</v>
      </c>
    </row>
    <row r="34836" ht="15.75" customHeight="1" spans="1:2">
      <c r="A34836" s="3" t="str">
        <f>IFERROR(__xludf.DUMMYFUNCTION("GOOGLETRANSLATE(A34836,""en"",""pt"")"),"Nenhum...")</f>
        <v>Nenhum...</v>
      </c>
      <c r="B34836" s="3">
        <v>0</v>
      </c>
    </row>
    <row r="34837" ht="15.75" customHeight="1" spans="1:2">
      <c r="A34837" s="3" t="str">
        <f>IFERROR(__xludf.DUMMYFUNCTION("GOOGLETRANSLATE(A34837,""en"",""pt"")"),"Nenhum")</f>
        <v>Nenhum</v>
      </c>
      <c r="B34837" s="3">
        <v>0</v>
      </c>
    </row>
    <row r="34838" ht="15.75" customHeight="1" spans="1:2">
      <c r="A34838" s="3" t="str">
        <f>IFERROR(__xludf.DUMMYFUNCTION("GOOGLETRANSLATE(A34838,""en"",""pt"")"),"3 horas tempo de conversação.")</f>
        <v>3 horas tempo de conversação.</v>
      </c>
      <c r="B34838" s="3">
        <v>0</v>
      </c>
    </row>
    <row r="34839" ht="15.75" customHeight="1" spans="1:2">
      <c r="A34839" s="3" t="str">
        <f>IFERROR(__xludf.DUMMYFUNCTION("GOOGLETRANSLATE(A34839,""en"",""pt"")"),"ESTILO NÃO MUITO ATRATIVO")</f>
        <v>ESTILO NÃO MUITO ATRATIVO</v>
      </c>
      <c r="B34839" s="3">
        <v>0</v>
      </c>
    </row>
    <row r="34840" ht="15.75" customHeight="1" spans="1:2">
      <c r="A34840" s="3" t="str">
        <f>IFERROR(__xludf.DUMMYFUNCTION("GOOGLETRANSLATE(A34840,""en"",""pt"")"),"telefone pode short para fora, a vida da bateria, tipo de volumoso")</f>
        <v>telefone pode short para fora, a vida da bateria, tipo de volumoso</v>
      </c>
      <c r="B34840" s="3">
        <v>0</v>
      </c>
    </row>
    <row r="34841" ht="15.75" customHeight="1" spans="1:2">
      <c r="A34841" s="3" t="str">
        <f>IFERROR(__xludf.DUMMYFUNCTION("GOOGLETRANSLATE(A34841,""en"",""pt"")"),"Caso não muito durável e antena é frágil")</f>
        <v>Caso não muito durável e antena é frágil</v>
      </c>
      <c r="B34841" s="3">
        <v>0</v>
      </c>
    </row>
    <row r="34842" ht="15.75" customHeight="1" spans="1:2">
      <c r="A34842" s="3" t="str">
        <f>IFERROR(__xludf.DUMMYFUNCTION("GOOGLETRANSLATE(A34842,""en"",""pt"")"),"Demasiados problemas de bateria, software no telefone não funciona corretamente")</f>
        <v>Demasiados problemas de bateria, software no telefone não funciona corretamente</v>
      </c>
      <c r="B34842" s="3">
        <v>0</v>
      </c>
    </row>
    <row r="34843" ht="15.75" customHeight="1" spans="1:2">
      <c r="A34843" s="3" t="str">
        <f>IFERROR(__xludf.DUMMYFUNCTION("GOOGLETRANSLATE(A34843,""en"",""pt"")"),"não tão na moda em 2006")</f>
        <v>não tão na moda em 2006</v>
      </c>
      <c r="B34843" s="3">
        <v>0</v>
      </c>
    </row>
    <row r="34844" ht="15.75" customHeight="1" spans="1:2">
      <c r="A34844" s="3" t="str">
        <f>IFERROR(__xludf.DUMMYFUNCTION("GOOGLETRANSLATE(A34844,""en"",""pt"")"),"mostradores botão poderia ser mais alto.")</f>
        <v>mostradores botão poderia ser mais alto.</v>
      </c>
      <c r="B34844" s="3">
        <v>0</v>
      </c>
    </row>
    <row r="34845" ht="15.75" customHeight="1" spans="1:2">
      <c r="A34845" s="3" t="str">
        <f>IFERROR(__xludf.DUMMYFUNCTION("GOOGLETRANSLATE(A34845,""en"",""pt"")"),"Preço, Custo do Serviço Sprint")</f>
        <v>Preço, Custo do Serviço Sprint</v>
      </c>
      <c r="B34845" s="3">
        <v>0</v>
      </c>
    </row>
    <row r="34846" ht="15.75" customHeight="1" spans="1:2">
      <c r="A34846" s="3" t="str">
        <f>IFERROR(__xludf.DUMMYFUNCTION("GOOGLETRANSLATE(A34846,""en"",""pt"")"),"Tudo sobre o serviço ao cliente eo contrato era de pior qualidade.")</f>
        <v>Tudo sobre o serviço ao cliente eo contrato era de pior qualidade.</v>
      </c>
      <c r="B34846" s="3">
        <v>0</v>
      </c>
    </row>
    <row r="34847" ht="15.75" customHeight="1" spans="1:2">
      <c r="A34847" s="3" t="str">
        <f>IFERROR(__xludf.DUMMYFUNCTION("GOOGLETRANSLATE(A34847,""en"",""pt"")"),"serviço, preço")</f>
        <v>serviço, preço</v>
      </c>
      <c r="B34847" s="3">
        <v>0</v>
      </c>
    </row>
    <row r="34848" ht="15.75" customHeight="1" spans="1:2">
      <c r="A34848" s="3" t="str">
        <f>IFERROR(__xludf.DUMMYFUNCTION("GOOGLETRANSLATE(A34848,""en"",""pt"")"),"Scheduler não é tão grande como a palma da mão.")</f>
        <v>Scheduler não é tão grande como a palma da mão.</v>
      </c>
      <c r="B34848" s="3">
        <v>0</v>
      </c>
    </row>
    <row r="34849" ht="15.75" customHeight="1" spans="1:2">
      <c r="A34849" s="3" t="str">
        <f>IFERROR(__xludf.DUMMYFUNCTION("GOOGLETRANSLATE(A34849,""en"",""pt"")"),"câmera OK, fica quente! Um pouco alto")</f>
        <v>câmera OK, fica quente! Um pouco alto</v>
      </c>
      <c r="B34849" s="3">
        <v>0</v>
      </c>
    </row>
    <row r="34850" ht="15.75" customHeight="1" spans="1:2">
      <c r="A34850" s="3" t="str">
        <f>IFERROR(__xludf.DUMMYFUNCTION("GOOGLETRANSLATE(A34850,""en"",""pt"")"),"Muito simples, não até à data.")</f>
        <v>Muito simples, não até à data.</v>
      </c>
      <c r="B34850" s="3">
        <v>0</v>
      </c>
    </row>
    <row r="34851" ht="15.75" customHeight="1" spans="1:2">
      <c r="A34851" s="3" t="str">
        <f>IFERROR(__xludf.DUMMYFUNCTION("GOOGLETRANSLATE(A34851,""en"",""pt"")"),"Isso é tudo que ele faz. desinteressante bonita.")</f>
        <v>Isso é tudo que ele faz. desinteressante bonita.</v>
      </c>
      <c r="B34851" s="3">
        <v>0</v>
      </c>
    </row>
    <row r="34852" ht="15.75" customHeight="1" spans="1:2">
      <c r="A34852" s="3" t="str">
        <f>IFERROR(__xludf.DUMMYFUNCTION("GOOGLETRANSLATE(A34852,""en"",""pt"")"),"Falta de LCD externo (empoeirado e tudo)")</f>
        <v>Falta de LCD externo (empoeirado e tudo)</v>
      </c>
      <c r="B34852" s="3">
        <v>0</v>
      </c>
    </row>
    <row r="34853" ht="15.75" customHeight="1" spans="1:2">
      <c r="A34853" s="3" t="str">
        <f>IFERROR(__xludf.DUMMYFUNCTION("GOOGLETRANSLATE(A34853,""en"",""pt"")"),"No ecrã a cores, No mostrador front-side (estes não importam para mim.)")</f>
        <v>No ecrã a cores, No mostrador front-side (estes não importam para mim.)</v>
      </c>
      <c r="B34853" s="3">
        <v>0</v>
      </c>
    </row>
    <row r="34854" ht="15.75" customHeight="1" spans="1:2">
      <c r="A34854" s="3" t="str">
        <f>IFERROR(__xludf.DUMMYFUNCTION("GOOGLETRANSLATE(A34854,""en"",""pt"")"),"recepção ruim, chamadas abandonadas, não toca")</f>
        <v>recepção ruim, chamadas abandonadas, não toca</v>
      </c>
      <c r="B34854" s="3">
        <v>0</v>
      </c>
    </row>
    <row r="34855" ht="15.75" customHeight="1" spans="1:2">
      <c r="A34855" s="3" t="str">
        <f>IFERROR(__xludf.DUMMYFUNCTION("GOOGLETRANSLATE(A34855,""en"",""pt"")"),"Preciso dizer mais?? Agradecimentos para o espaço rant")</f>
        <v>Preciso dizer mais?? Agradecimentos para o espaço rant</v>
      </c>
      <c r="B34855" s="3">
        <v>0</v>
      </c>
    </row>
    <row r="34856" ht="15.75" customHeight="1" spans="1:2">
      <c r="A34856" s="3" t="str">
        <f>IFERROR(__xludf.DUMMYFUNCTION("GOOGLETRANSLATE(A34856,""en"",""pt"")"),"O fone de ouvido! Estático.")</f>
        <v>O fone de ouvido! Estático.</v>
      </c>
      <c r="B34856" s="3">
        <v>0</v>
      </c>
    </row>
    <row r="34857" ht="15.75" customHeight="1" spans="1:2">
      <c r="A34857" s="3" t="str">
        <f>IFERROR(__xludf.DUMMYFUNCTION("GOOGLETRANSLATE(A34857,""en"",""pt"")"),"Os Jogos chupar")</f>
        <v>Os Jogos chupar</v>
      </c>
      <c r="B34857" s="3">
        <v>0</v>
      </c>
    </row>
    <row r="34858" ht="15.75" customHeight="1" spans="1:2">
      <c r="A34858" s="3" t="str">
        <f>IFERROR(__xludf.DUMMYFUNCTION("GOOGLETRANSLATE(A34858,""en"",""pt"")"),"má recepção, dobradiça não é durável, campainha não é alto o suficiente.")</f>
        <v>má recepção, dobradiça não é durável, campainha não é alto o suficiente.</v>
      </c>
      <c r="B34858" s="3">
        <v>0</v>
      </c>
    </row>
    <row r="34859" ht="15.75" customHeight="1" spans="1:2">
      <c r="A34859" s="3" t="str">
        <f>IFERROR(__xludf.DUMMYFUNCTION("GOOGLETRANSLATE(A34859,""en"",""pt"")"),"recepção ruim.")</f>
        <v>recepção ruim.</v>
      </c>
      <c r="B34859" s="3">
        <v>0</v>
      </c>
    </row>
    <row r="34860" ht="15.75" customHeight="1" spans="1:2">
      <c r="A34860" s="3" t="str">
        <f>IFERROR(__xludf.DUMMYFUNCTION("GOOGLETRANSLATE(A34860,""en"",""pt"")"),"Sempre em analógico. Expulso torres facilmente. Não toques divertidos e não uma tela colorida.")</f>
        <v>Sempre em analógico. Expulso torres facilmente. Não toques divertidos e não uma tela colorida.</v>
      </c>
      <c r="B34860" s="3">
        <v>0</v>
      </c>
    </row>
    <row r="34861" ht="15.75" customHeight="1" spans="1:2">
      <c r="A34861" s="3" t="str">
        <f>IFERROR(__xludf.DUMMYFUNCTION("GOOGLETRANSLATE(A34861,""en"",""pt"")"),"Não recomendado para quem procura recursos.")</f>
        <v>Não recomendado para quem procura recursos.</v>
      </c>
      <c r="B34861" s="3">
        <v>0</v>
      </c>
    </row>
    <row r="34862" ht="15.75" customHeight="1" spans="1:2">
      <c r="A34862" s="3" t="str">
        <f>IFERROR(__xludf.DUMMYFUNCTION("GOOGLETRANSLATE(A34862,""en"",""pt"")"),"má recepção em edifícios")</f>
        <v>má recepção em edifícios</v>
      </c>
      <c r="B34862" s="3">
        <v>0</v>
      </c>
    </row>
    <row r="34863" ht="15.75" customHeight="1" spans="1:2">
      <c r="A34863" s="3" t="str">
        <f>IFERROR(__xludf.DUMMYFUNCTION("GOOGLETRANSLATE(A34863,""en"",""pt"")"),"No monitor externo; tamanho do botão; alto-falante externo não")</f>
        <v>No monitor externo; tamanho do botão; alto-falante externo não</v>
      </c>
      <c r="B34863" s="3">
        <v>0</v>
      </c>
    </row>
    <row r="34864" ht="15.75" customHeight="1" spans="1:2">
      <c r="A34864" s="3" t="str">
        <f>IFERROR(__xludf.DUMMYFUNCTION("GOOGLETRANSLATE(A34864,""en"",""pt"")"),"SEMPRE EM ANALOG! NO CHAMADAS RECEBIDAS! Mata a vida da bateria.")</f>
        <v>SEMPRE EM ANALOG! NO CHAMADAS RECEBIDAS! Mata a vida da bateria.</v>
      </c>
      <c r="B34864" s="3">
        <v>0</v>
      </c>
    </row>
    <row r="34865" ht="15.75" customHeight="1" spans="1:2">
      <c r="A34865" s="3" t="str">
        <f>IFERROR(__xludf.DUMMYFUNCTION("GOOGLETRANSLATE(A34865,""en"",""pt"")"),"leva um pouco de tempo para ligar / desligar")</f>
        <v>leva um pouco de tempo para ligar / desligar</v>
      </c>
      <c r="B34865" s="3">
        <v>0</v>
      </c>
    </row>
    <row r="34866" ht="15.75" customHeight="1" spans="1:2">
      <c r="A34866" s="3" t="str">
        <f>IFERROR(__xludf.DUMMYFUNCTION("GOOGLETRANSLATE(A34866,""en"",""pt"")"),"Leva muito tempo para desligar")</f>
        <v>Leva muito tempo para desligar</v>
      </c>
      <c r="B34866" s="3">
        <v>0</v>
      </c>
    </row>
    <row r="34867" ht="15.75" customHeight="1" spans="1:2">
      <c r="A34867" s="3" t="str">
        <f>IFERROR(__xludf.DUMMYFUNCTION("GOOGLETRANSLATE(A34867,""en"",""pt"")"),"Nenhum")</f>
        <v>Nenhum</v>
      </c>
      <c r="B34867" s="3">
        <v>0</v>
      </c>
    </row>
    <row r="34868" ht="15.75" customHeight="1" spans="1:2">
      <c r="A34868" s="3" t="str">
        <f>IFERROR(__xludf.DUMMYFUNCTION("GOOGLETRANSLATE(A34868,""en"",""pt"")"),"Chaves de plástico, um pouco sobre o lado volumosos")</f>
        <v>Chaves de plástico, um pouco sobre o lado volumosos</v>
      </c>
      <c r="B34868" s="3">
        <v>0</v>
      </c>
    </row>
    <row r="34869" ht="15.75" customHeight="1" spans="1:2">
      <c r="A34869" s="3" t="str">
        <f>IFERROR(__xludf.DUMMYFUNCTION("GOOGLETRANSLATE(A34869,""en"",""pt"")"),"volumoso")</f>
        <v>volumoso</v>
      </c>
      <c r="B34869" s="3">
        <v>0</v>
      </c>
    </row>
    <row r="34870" ht="15.75" customHeight="1" spans="1:2">
      <c r="A34870" s="3" t="str">
        <f>IFERROR(__xludf.DUMMYFUNCTION("GOOGLETRANSLATE(A34870,""en"",""pt"")"),"No viva-voz para chamadas ou correio de voz. Alto-falante para Direct Connect não tão bom quanto os outros.")</f>
        <v>No viva-voz para chamadas ou correio de voz. Alto-falante para Direct Connect não tão bom quanto os outros.</v>
      </c>
      <c r="B34870" s="3">
        <v>0</v>
      </c>
    </row>
    <row r="34871" ht="15.75" customHeight="1" spans="1:2">
      <c r="A34871" s="3" t="str">
        <f>IFERROR(__xludf.DUMMYFUNCTION("GOOGLETRANSLATE(A34871,""en"",""pt"")"),"No viva-voz")</f>
        <v>No viva-voz</v>
      </c>
      <c r="B34871" s="3">
        <v>0</v>
      </c>
    </row>
    <row r="34872" ht="15.75" customHeight="1" spans="1:2">
      <c r="A34872" s="3" t="str">
        <f>IFERROR(__xludf.DUMMYFUNCTION("GOOGLETRANSLATE(A34872,""en"",""pt"")"),"Up botão não funciona, às vezes, tinha o telefone 2 anos então o que eu esperava")</f>
        <v>Up botão não funciona, às vezes, tinha o telefone 2 anos então o que eu esperava</v>
      </c>
      <c r="B34872" s="3">
        <v>0</v>
      </c>
    </row>
    <row r="34873" ht="15.75" customHeight="1" spans="1:2">
      <c r="A34873" s="3" t="str">
        <f>IFERROR(__xludf.DUMMYFUNCTION("GOOGLETRANSLATE(A34873,""en"",""pt"")"),"Frágil antena, navegação um pouco difícil na web e endereço livro")</f>
        <v>Frágil antena, navegação um pouco difícil na web e endereço livro</v>
      </c>
      <c r="B34873" s="3">
        <v>0</v>
      </c>
    </row>
    <row r="34874" ht="15.75" customHeight="1" spans="1:2">
      <c r="A34874" s="3" t="str">
        <f>IFERROR(__xludf.DUMMYFUNCTION("GOOGLETRANSLATE(A34874,""en"",""pt"")"),"interface do menu poderia ser mais fácil de usar")</f>
        <v>interface do menu poderia ser mais fácil de usar</v>
      </c>
      <c r="B34874" s="3">
        <v>0</v>
      </c>
    </row>
    <row r="34875" ht="15.75" customHeight="1" spans="1:2">
      <c r="A34875" s="3" t="str">
        <f>IFERROR(__xludf.DUMMYFUNCTION("GOOGLETRANSLATE(A34875,""en"",""pt"")"),"a resistência da bateria. Ergonomia.")</f>
        <v>a resistência da bateria. Ergonomia.</v>
      </c>
      <c r="B34875" s="3">
        <v>0</v>
      </c>
    </row>
    <row r="34876" ht="15.75" customHeight="1" spans="1:2">
      <c r="A34876" s="3" t="str">
        <f>IFERROR(__xludf.DUMMYFUNCTION("GOOGLETRANSLATE(A34876,""en"",""pt"")"),"Precisa de maior duração da bateria")</f>
        <v>Precisa de maior duração da bateria</v>
      </c>
      <c r="B34876" s="3">
        <v>0</v>
      </c>
    </row>
    <row r="34877" ht="15.75" customHeight="1" spans="1:2">
      <c r="A34877" s="3" t="str">
        <f>IFERROR(__xludf.DUMMYFUNCTION("GOOGLETRANSLATE(A34877,""en"",""pt"")"),"exibição muito pobre, a interface pobre, não possuía sinais")</f>
        <v>exibição muito pobre, a interface pobre, não possuía sinais</v>
      </c>
      <c r="B34877" s="3">
        <v>0</v>
      </c>
    </row>
    <row r="34878" ht="15.75" customHeight="1" spans="1:2">
      <c r="A34878" s="3" t="str">
        <f>IFERROR(__xludf.DUMMYFUNCTION("GOOGLETRANSLATE(A34878,""en"",""pt"")"),"vida Batt apenas ligeiramente acima da média, discagem por voz reconhecida somente por um usuário.")</f>
        <v>vida Batt apenas ligeiramente acima da média, discagem por voz reconhecida somente por um usuário.</v>
      </c>
      <c r="B34878" s="3">
        <v>0</v>
      </c>
    </row>
    <row r="34879" ht="15.75" customHeight="1" spans="1:2">
      <c r="A34879" s="3" t="str">
        <f>IFERROR(__xludf.DUMMYFUNCTION("GOOGLETRANSLATE(A34879,""en"",""pt"")"),"Big antenas e tipo de pesado")</f>
        <v>Big antenas e tipo de pesado</v>
      </c>
      <c r="B34879" s="3">
        <v>0</v>
      </c>
    </row>
    <row r="34880" ht="15.75" customHeight="1" spans="1:2">
      <c r="A34880" s="3" t="str">
        <f>IFERROR(__xludf.DUMMYFUNCTION("GOOGLETRANSLATE(A34880,""en"",""pt"")"),"antena rompeu finalmente, areia entra em chaves")</f>
        <v>antena rompeu finalmente, areia entra em chaves</v>
      </c>
      <c r="B34880" s="3">
        <v>0</v>
      </c>
    </row>
    <row r="34881" ht="15.75" customHeight="1" spans="1:2">
      <c r="A34881" s="3" t="str">
        <f>IFERROR(__xludf.DUMMYFUNCTION("GOOGLETRANSLATE(A34881,""en"",""pt"")"),"sem frescura")</f>
        <v>sem frescura</v>
      </c>
      <c r="B34881" s="3">
        <v>0</v>
      </c>
    </row>
    <row r="34882" ht="15.75" customHeight="1" spans="1:2">
      <c r="A34882" s="3" t="str">
        <f>IFERROR(__xludf.DUMMYFUNCTION("GOOGLETRANSLATE(A34882,""en"",""pt"")"),"frágil, não boa recepção")</f>
        <v>frágil, não boa recepção</v>
      </c>
      <c r="B34882" s="3">
        <v>0</v>
      </c>
    </row>
    <row r="34883" ht="15.75" customHeight="1" spans="1:2">
      <c r="A34883" s="3" t="str">
        <f>IFERROR(__xludf.DUMMYFUNCTION("GOOGLETRANSLATE(A34883,""en"",""pt"")"),"volume está muito baixo. Precisa de mais memória. Precisa de mais tempo falando. precisa de 1200 mAh.")</f>
        <v>volume está muito baixo. Precisa de mais memória. Precisa de mais tempo falando. precisa de 1200 mAh.</v>
      </c>
      <c r="B34883" s="3">
        <v>0</v>
      </c>
    </row>
    <row r="34884" ht="15.75" customHeight="1" spans="1:2">
      <c r="A34884" s="3" t="str">
        <f>IFERROR(__xludf.DUMMYFUNCTION("GOOGLETRANSLATE(A34884,""en"",""pt"")"),"Pequeno, parece frágil, a qualidade do microfone, a interferência auscultadores")</f>
        <v>Pequeno, parece frágil, a qualidade do microfone, a interferência auscultadores</v>
      </c>
      <c r="B34884" s="3">
        <v>0</v>
      </c>
    </row>
    <row r="34885" ht="15.75" customHeight="1" spans="1:2">
      <c r="A34885" s="3" t="str">
        <f>IFERROR(__xludf.DUMMYFUNCTION("GOOGLETRANSLATE(A34885,""en"",""pt"")"),"serviços muito caros e limitados que carregam o modelo.")</f>
        <v>serviços muito caros e limitados que carregam o modelo.</v>
      </c>
      <c r="B34885" s="3">
        <v>0</v>
      </c>
    </row>
    <row r="34886" ht="15.75" customHeight="1" spans="1:2">
      <c r="A34886" s="3" t="str">
        <f>IFERROR(__xludf.DUMMYFUNCTION("GOOGLETRANSLATE(A34886,""en"",""pt"")"),"Muito caro, não user-friendly, um pouco delicada")</f>
        <v>Muito caro, não user-friendly, um pouco delicada</v>
      </c>
      <c r="B34886" s="3">
        <v>0</v>
      </c>
    </row>
    <row r="34887" ht="15.75" customHeight="1" spans="1:2">
      <c r="A34887" s="3" t="str">
        <f>IFERROR(__xludf.DUMMYFUNCTION("GOOGLETRANSLATE(A34887,""en"",""pt"")"),"tela pequena, há recursos de download, não toque polifônico, não built-in (ou acoplável) camera")</f>
        <v>tela pequena, há recursos de download, não toque polifônico, não built-in (ou acoplável) camera</v>
      </c>
      <c r="B34887" s="3">
        <v>0</v>
      </c>
    </row>
    <row r="34888" ht="15.75" customHeight="1" spans="1:2">
      <c r="A34888" s="3" t="str">
        <f>IFERROR(__xludf.DUMMYFUNCTION("GOOGLETRANSLATE(A34888,""en"",""pt"")"),"Caro; vida útil da bateria; para giro de uma mão requer prática.")</f>
        <v>Caro; vida útil da bateria; para giro de uma mão requer prática.</v>
      </c>
      <c r="B34888" s="3">
        <v>0</v>
      </c>
    </row>
    <row r="34889" ht="15.75" customHeight="1" spans="1:2">
      <c r="A34889" s="3" t="str">
        <f>IFERROR(__xludf.DUMMYFUNCTION("GOOGLETRANSLATE(A34889,""en"",""pt"")"),"Pequenos botões, tela pequena, nenhuma instalação de ringtone para download.")</f>
        <v>Pequenos botões, tela pequena, nenhuma instalação de ringtone para download.</v>
      </c>
      <c r="B34889" s="3">
        <v>0</v>
      </c>
    </row>
    <row r="34890" ht="15.75" customHeight="1" spans="1:2">
      <c r="A34890" s="3" t="str">
        <f>IFERROR(__xludf.DUMMYFUNCTION("GOOGLETRANSLATE(A34890,""en"",""pt"")"),"difícil de inverter telefone com uma mão, caro")</f>
        <v>difícil de inverter telefone com uma mão, caro</v>
      </c>
      <c r="B34890" s="3">
        <v>0</v>
      </c>
    </row>
    <row r="34891" ht="15.75" customHeight="1" spans="1:2">
      <c r="A34891" s="3" t="str">
        <f>IFERROR(__xludf.DUMMYFUNCTION("GOOGLETRANSLATE(A34891,""en"",""pt"")"),"chaves e exposição, a vida da bateria, menu de curva de aprendizagem, pode ser caro.")</f>
        <v>chaves e exposição, a vida da bateria, menu de curva de aprendizagem, pode ser caro.</v>
      </c>
      <c r="B34891" s="3">
        <v>0</v>
      </c>
    </row>
    <row r="34892" ht="15.75" customHeight="1" spans="1:2">
      <c r="A34892" s="3" t="str">
        <f>IFERROR(__xludf.DUMMYFUNCTION("GOOGLETRANSLATE(A34892,""en"",""pt"")"),"pode ser muito pequeno para alguns, caros, serviço GSM pode ser irregular")</f>
        <v>pode ser muito pequeno para alguns, caros, serviço GSM pode ser irregular</v>
      </c>
      <c r="B34892" s="3">
        <v>0</v>
      </c>
    </row>
    <row r="34893" ht="15.75" customHeight="1" spans="1:2">
      <c r="A34893" s="3" t="str">
        <f>IFERROR(__xludf.DUMMYFUNCTION("GOOGLETRANSLATE(A34893,""en"",""pt"")"),"caros, muito pequeno, com preço superior; se sente inferior")</f>
        <v>caros, muito pequeno, com preço superior; se sente inferior</v>
      </c>
      <c r="B34893" s="3">
        <v>0</v>
      </c>
    </row>
    <row r="34894" ht="15.75" customHeight="1" spans="1:2">
      <c r="A34894" s="3" t="str">
        <f>IFERROR(__xludf.DUMMYFUNCTION("GOOGLETRANSLATE(A34894,""en"",""pt"")"),"botões minúsculos - texto can not com uma mão")</f>
        <v>botões minúsculos - texto can not com uma mão</v>
      </c>
      <c r="B34894" s="3">
        <v>0</v>
      </c>
    </row>
    <row r="34895" ht="15.75" customHeight="1" spans="1:2">
      <c r="A34895" s="3" t="str">
        <f>IFERROR(__xludf.DUMMYFUNCTION("GOOGLETRANSLATE(A34895,""en"",""pt"")"),"Frágil, difícil de ouvir")</f>
        <v>Frágil, difícil de ouvir</v>
      </c>
      <c r="B34895" s="3">
        <v>0</v>
      </c>
    </row>
    <row r="34896" ht="15.75" customHeight="1" spans="1:2">
      <c r="A34896" s="3" t="str">
        <f>IFERROR(__xludf.DUMMYFUNCTION("GOOGLETRANSLATE(A34896,""en"",""pt"")"),"sistema de menu uma bagunça, iTap mensagens, tela pequena. falta de funções.")</f>
        <v>sistema de menu uma bagunça, iTap mensagens, tela pequena. falta de funções.</v>
      </c>
      <c r="B34896" s="3">
        <v>0</v>
      </c>
    </row>
    <row r="34897" ht="15.75" customHeight="1" spans="1:2">
      <c r="A34897" s="3" t="str">
        <f>IFERROR(__xludf.DUMMYFUNCTION("GOOGLETRANSLATE(A34897,""en"",""pt"")"),"$ Desgaste bisel")</f>
        <v>$ Desgaste bisel</v>
      </c>
      <c r="B34897" s="3">
        <v>0</v>
      </c>
    </row>
    <row r="34898" ht="15.75" customHeight="1" spans="1:2">
      <c r="A34898" s="3" t="str">
        <f>IFERROR(__xludf.DUMMYFUNCTION("GOOGLETRANSLATE(A34898,""en"",""pt"")"),"qualidade média, a duração da bateria superestimada")</f>
        <v>qualidade média, a duração da bateria superestimada</v>
      </c>
      <c r="B34898" s="3">
        <v>0</v>
      </c>
    </row>
    <row r="34899" ht="15.75" customHeight="1" spans="1:2">
      <c r="A34899" s="3" t="str">
        <f>IFERROR(__xludf.DUMMYFUNCTION("GOOGLETRANSLATE(A34899,""en"",""pt"")"),"De aparência frágil, não totalmente MODable.")</f>
        <v>De aparência frágil, não totalmente MODable.</v>
      </c>
      <c r="B34899" s="3">
        <v>0</v>
      </c>
    </row>
    <row r="34900" ht="15.75" customHeight="1" spans="1:2">
      <c r="A34900" s="3" t="str">
        <f>IFERROR(__xludf.DUMMYFUNCTION("GOOGLETRANSLATE(A34900,""en"",""pt"")"),"vida de bateria fraca, única banda única, não na cor")</f>
        <v>vida de bateria fraca, única banda única, não na cor</v>
      </c>
      <c r="B34900" s="3">
        <v>0</v>
      </c>
    </row>
    <row r="34901" ht="15.75" customHeight="1" spans="1:2">
      <c r="A34901" s="3" t="str">
        <f>IFERROR(__xludf.DUMMYFUNCTION("GOOGLETRANSLATE(A34901,""en"",""pt"")"),"Pequeno ecrã, discagem por voz terrível, mau caso giratória")</f>
        <v>Pequeno ecrã, discagem por voz terrível, mau caso giratória</v>
      </c>
      <c r="B34901" s="3">
        <v>0</v>
      </c>
    </row>
    <row r="34902" ht="15.75" customHeight="1" spans="1:2">
      <c r="A34902" s="3" t="str">
        <f>IFERROR(__xludf.DUMMYFUNCTION("GOOGLETRANSLATE(A34902,""en"",""pt"")"),"Parece frágil, caro, a recepção do sinal ruim")</f>
        <v>Parece frágil, caro, a recepção do sinal ruim</v>
      </c>
      <c r="B34902" s="3">
        <v>0</v>
      </c>
    </row>
    <row r="34903" ht="15.75" customHeight="1" spans="1:2">
      <c r="A34903" s="3" t="str">
        <f>IFERROR(__xludf.DUMMYFUNCTION("GOOGLETRANSLATE(A34903,""en"",""pt"")"),"pelo menos, considerar sobre isso")</f>
        <v>pelo menos, considerar sobre isso</v>
      </c>
      <c r="B34903" s="3">
        <v>0</v>
      </c>
    </row>
    <row r="34904" ht="15.75" customHeight="1" spans="1:2">
      <c r="A34904" s="3" t="str">
        <f>IFERROR(__xludf.DUMMYFUNCTION("GOOGLETRANSLATE(A34904,""en"",""pt"")"),"Toques são limitadas.")</f>
        <v>Toques são limitadas.</v>
      </c>
      <c r="B34904" s="3">
        <v>0</v>
      </c>
    </row>
    <row r="34905" ht="15.75" customHeight="1" spans="1:2">
      <c r="A34905" s="3" t="str">
        <f>IFERROR(__xludf.DUMMYFUNCTION("GOOGLETRANSLATE(A34905,""en"",""pt"")"),"Muito pequeno, bateria praticamente inamovíveis, frágil.")</f>
        <v>Muito pequeno, bateria praticamente inamovíveis, frágil.</v>
      </c>
      <c r="B34905" s="3">
        <v>0</v>
      </c>
    </row>
    <row r="34906" ht="15.75" customHeight="1" spans="1:2">
      <c r="A34906" s="3" t="str">
        <f>IFERROR(__xludf.DUMMYFUNCTION("GOOGLETRANSLATE(A34906,""en"",""pt"")"),"Ringers poderia ser um mais alto pouquinho. caso contrário, não há realmente nenhum.")</f>
        <v>Ringers poderia ser um mais alto pouquinho. caso contrário, não há realmente nenhum.</v>
      </c>
      <c r="B34906" s="3">
        <v>0</v>
      </c>
    </row>
    <row r="34907" ht="15.75" customHeight="1" spans="1:2">
      <c r="A34907" s="3" t="str">
        <f>IFERROR(__xludf.DUMMYFUNCTION("GOOGLETRANSLATE(A34907,""en"",""pt"")"),"Fica queimando quente com uso")</f>
        <v>Fica queimando quente com uso</v>
      </c>
      <c r="B34907" s="3">
        <v>0</v>
      </c>
    </row>
    <row r="34908" ht="15.75" customHeight="1" spans="1:2">
      <c r="A34908" s="3" t="str">
        <f>IFERROR(__xludf.DUMMYFUNCTION("GOOGLETRANSLATE(A34908,""en"",""pt"")"),"Produz calor durante as chamadas lengthly, botões")</f>
        <v>Produz calor durante as chamadas lengthly, botões</v>
      </c>
      <c r="B34908" s="3">
        <v>0</v>
      </c>
    </row>
    <row r="34909" ht="15.75" customHeight="1" spans="1:2">
      <c r="A34909" s="3" t="str">
        <f>IFERROR(__xludf.DUMMYFUNCTION("GOOGLETRANSLATE(A34909,""en"",""pt"")"),"botões mal colocados, mau livro de telefone, longo, acessórios caros")</f>
        <v>botões mal colocados, mau livro de telefone, longo, acessórios caros</v>
      </c>
      <c r="B34909" s="3">
        <v>0</v>
      </c>
    </row>
    <row r="34910" ht="15.75" customHeight="1" spans="1:2">
      <c r="A34910" s="3" t="str">
        <f>IFERROR(__xludf.DUMMYFUNCTION("GOOGLETRANSLATE(A34910,""en"",""pt"")"),"toques para download tem problemas, recepção, colocação botão estranho.")</f>
        <v>toques para download tem problemas, recepção, colocação botão estranho.</v>
      </c>
      <c r="B34910" s="3">
        <v>0</v>
      </c>
    </row>
    <row r="34911" ht="15.75" customHeight="1" spans="1:2">
      <c r="A34911" s="3" t="str">
        <f>IFERROR(__xludf.DUMMYFUNCTION("GOOGLETRANSLATE(A34911,""en"",""pt"")"),"toques para download são um pouco quieto.")</f>
        <v>toques para download são um pouco quieto.</v>
      </c>
      <c r="B34911" s="3">
        <v>0</v>
      </c>
    </row>
    <row r="34912" ht="15.75" customHeight="1" spans="1:2">
      <c r="A34912" s="3" t="str">
        <f>IFERROR(__xludf.DUMMYFUNCTION("GOOGLETRANSLATE(A34912,""en"",""pt"")"),"Fica quente quando fala no telefone, Hard-to-Encontre Acessórios e desajeitado Botões")</f>
        <v>Fica quente quando fala no telefone, Hard-to-Encontre Acessórios e desajeitado Botões</v>
      </c>
      <c r="B34912" s="3">
        <v>0</v>
      </c>
    </row>
    <row r="34913" ht="15.75" customHeight="1" spans="1:2">
      <c r="A34913" s="3" t="str">
        <f>IFERROR(__xludf.DUMMYFUNCTION("GOOGLETRANSLATE(A34913,""en"",""pt"")"),"baixado necessidades campainhas para ser muito mais alto, colocação de botão")</f>
        <v>baixado necessidades campainhas para ser muito mais alto, colocação de botão</v>
      </c>
      <c r="B34913" s="3">
        <v>0</v>
      </c>
    </row>
    <row r="34914" ht="15.75" customHeight="1" spans="1:2">
      <c r="A34914" s="3" t="str">
        <f>IFERROR(__xludf.DUMMYFUNCTION("GOOGLETRANSLATE(A34914,""en"",""pt"")"),"Padrão vida de bateria fraca. Fone de ouvido aquece depois de uma longa chamada. Precisa de proteção de teclado facilmente acessível.")</f>
        <v>Padrão vida de bateria fraca. Fone de ouvido aquece depois de uma longa chamada. Precisa de proteção de teclado facilmente acessível.</v>
      </c>
      <c r="B34914" s="3">
        <v>0</v>
      </c>
    </row>
    <row r="34915" ht="15.75" customHeight="1" spans="1:2">
      <c r="A34915" s="3" t="str">
        <f>IFERROR(__xludf.DUMMYFUNCTION("GOOGLETRANSLATE(A34915,""en"",""pt"")"),"Usabilidade: má colocação botão e organização, sistema de menu pobres. Leve em recursos")</f>
        <v>Usabilidade: má colocação botão e organização, sistema de menu pobres. Leve em recursos</v>
      </c>
      <c r="B34915" s="3">
        <v>0</v>
      </c>
    </row>
    <row r="34916" ht="15.75" customHeight="1" spans="1:2">
      <c r="A34916" s="3" t="str">
        <f>IFERROR(__xludf.DUMMYFUNCTION("GOOGLETRANSLATE(A34916,""en"",""pt"")"),"nenhuma cor")</f>
        <v>nenhuma cor</v>
      </c>
      <c r="B34916" s="3">
        <v>0</v>
      </c>
    </row>
    <row r="34917" ht="15.75" customHeight="1" spans="1:2">
      <c r="A34917" s="3" t="str">
        <f>IFERROR(__xludf.DUMMYFUNCTION("GOOGLETRANSLATE(A34917,""en"",""pt"")"),"Não que eu tenha notado, mas ser tão fina que deve ser frágil")</f>
        <v>Não que eu tenha notado, mas ser tão fina que deve ser frágil</v>
      </c>
      <c r="B34917" s="3">
        <v>0</v>
      </c>
    </row>
    <row r="34918" ht="15.75" customHeight="1" spans="1:2">
      <c r="A34918" s="3" t="str">
        <f>IFERROR(__xludf.DUMMYFUNCTION("GOOGLETRANSLATE(A34918,""en"",""pt"")"),"toques programados chupar (descarregar o seu próprio), Wish tela era na cor")</f>
        <v>toques programados chupar (descarregar o seu próprio), Wish tela era na cor</v>
      </c>
      <c r="B34918" s="3">
        <v>0</v>
      </c>
    </row>
    <row r="34919" ht="15.75" customHeight="1" spans="1:2">
      <c r="A34919" s="3" t="str">
        <f>IFERROR(__xludf.DUMMYFUNCTION("GOOGLETRANSLATE(A34919,""en"",""pt"")"),"Pequenos botões.")</f>
        <v>Pequenos botões.</v>
      </c>
      <c r="B34919" s="3">
        <v>0</v>
      </c>
    </row>
    <row r="34920" ht="15.75" customHeight="1" spans="1:2">
      <c r="A34920" s="3" t="str">
        <f>IFERROR(__xludf.DUMMYFUNCTION("GOOGLETRANSLATE(A34920,""en"",""pt"")"),"Flip-tops são mais conveniente.")</f>
        <v>Flip-tops são mais conveniente.</v>
      </c>
      <c r="B34920" s="3">
        <v>0</v>
      </c>
    </row>
    <row r="34921" ht="15.75" customHeight="1" spans="1:2">
      <c r="A34921" s="3" t="str">
        <f>IFERROR(__xludf.DUMMYFUNCTION("GOOGLETRANSLATE(A34921,""en"",""pt"")"),"marcação de voz precisa de trabalho")</f>
        <v>marcação de voz precisa de trabalho</v>
      </c>
      <c r="B34921" s="3">
        <v>0</v>
      </c>
    </row>
    <row r="34922" ht="15.75" customHeight="1" spans="1:2">
      <c r="A34922" s="3" t="str">
        <f>IFERROR(__xludf.DUMMYFUNCTION("GOOGLETRANSLATE(A34922,""en"",""pt"")"),"power on / off botão, toque muito suave, leva alguns segundos antes de fecha telefone fora")</f>
        <v>power on / off botão, toque muito suave, leva alguns segundos antes de fecha telefone fora</v>
      </c>
      <c r="B34922" s="3">
        <v>0</v>
      </c>
    </row>
    <row r="34923" ht="15.75" customHeight="1" spans="1:2">
      <c r="A34923" s="3" t="str">
        <f>IFERROR(__xludf.DUMMYFUNCTION("GOOGLETRANSLATE(A34923,""en"",""pt"")"),"botão de energia irritante, não é pequena, o desempenho da bateria errático")</f>
        <v>botão de energia irritante, não é pequena, o desempenho da bateria errático</v>
      </c>
      <c r="B34923" s="3">
        <v>0</v>
      </c>
    </row>
    <row r="34924" ht="15.75" customHeight="1" spans="1:2">
      <c r="A34924" s="3" t="str">
        <f>IFERROR(__xludf.DUMMYFUNCTION("GOOGLETRANSLATE(A34924,""en"",""pt"")"),"Alguns problemas de software.")</f>
        <v>Alguns problemas de software.</v>
      </c>
      <c r="B34924" s="3">
        <v>0</v>
      </c>
    </row>
    <row r="34925" ht="15.75" customHeight="1" spans="1:2">
      <c r="A34925" s="3" t="str">
        <f>IFERROR(__xludf.DUMMYFUNCTION("GOOGLETRANSLATE(A34925,""en"",""pt"")"),"problemas de software em tarefas simples, nenhum IR ou modem")</f>
        <v>problemas de software em tarefas simples, nenhum IR ou modem</v>
      </c>
      <c r="B34925" s="3">
        <v>0</v>
      </c>
    </row>
    <row r="34926" ht="15.75" customHeight="1" spans="1:2">
      <c r="A34926" s="3" t="str">
        <f>IFERROR(__xludf.DUMMYFUNCTION("GOOGLETRANSLATE(A34926,""en"",""pt"")"),"navegador web poderia ser mais amigável")</f>
        <v>navegador web poderia ser mais amigável</v>
      </c>
      <c r="B34926" s="3">
        <v>0</v>
      </c>
    </row>
    <row r="34927" ht="15.75" customHeight="1" spans="1:2">
      <c r="A34927" s="3" t="str">
        <f>IFERROR(__xludf.DUMMYFUNCTION("GOOGLETRANSLATE(A34927,""en"",""pt"")"),"Pea LCD sopa verde,")</f>
        <v>Pea LCD sopa verde,</v>
      </c>
      <c r="B34927" s="3">
        <v>0</v>
      </c>
    </row>
    <row r="34928" ht="15.75" customHeight="1" spans="1:2">
      <c r="A34928" s="3" t="str">
        <f>IFERROR(__xludf.DUMMYFUNCTION("GOOGLETRANSLATE(A34928,""en"",""pt"")"),"ringtones som baixo, plástico meio barato")</f>
        <v>ringtones som baixo, plástico meio barato</v>
      </c>
      <c r="B34928" s="3">
        <v>0</v>
      </c>
    </row>
    <row r="34929" ht="15.75" customHeight="1" spans="1:2">
      <c r="A34929" s="3" t="str">
        <f>IFERROR(__xludf.DUMMYFUNCTION("GOOGLETRANSLATE(A34929,""en"",""pt"")"),"botão de energia, pequenas falhas de software, precisa de volume um pouco mais do fone de ouvido")</f>
        <v>botão de energia, pequenas falhas de software, precisa de volume um pouco mais do fone de ouvido</v>
      </c>
      <c r="B34929" s="3">
        <v>0</v>
      </c>
    </row>
    <row r="34930" ht="15.75" customHeight="1" spans="1:2">
      <c r="A34930" s="3" t="str">
        <f>IFERROR(__xludf.DUMMYFUNCTION("GOOGLETRANSLATE(A34930,""en"",""pt"")"),"toques tranquilos, serviço GRPS não disponível em todos os lugares.")</f>
        <v>toques tranquilos, serviço GRPS não disponível em todos os lugares.</v>
      </c>
      <c r="B34930" s="3">
        <v>0</v>
      </c>
    </row>
    <row r="34931" ht="15.75" customHeight="1" spans="1:2">
      <c r="A34931" s="3" t="str">
        <f>IFERROR(__xludf.DUMMYFUNCTION("GOOGLETRANSLATE(A34931,""en"",""pt"")"),"completamente quebrou quando caiu uma vez!")</f>
        <v>completamente quebrou quando caiu uma vez!</v>
      </c>
      <c r="B34931" s="3">
        <v>0</v>
      </c>
    </row>
    <row r="34932" ht="15.75" customHeight="1" spans="1:2">
      <c r="A34932" s="3" t="str">
        <f>IFERROR(__xludf.DUMMYFUNCTION("GOOGLETRANSLATE(A34932,""en"",""pt"")"),"opções painel frontal Nokia funcionário não pode")</f>
        <v>opções painel frontal Nokia funcionário não pode</v>
      </c>
      <c r="B34932" s="3">
        <v>0</v>
      </c>
    </row>
    <row r="34933" ht="15.75" customHeight="1" spans="1:2">
      <c r="A34933" s="3" t="str">
        <f>IFERROR(__xludf.DUMMYFUNCTION("GOOGLETRANSLATE(A34933,""en"",""pt"")"),"todo o resto")</f>
        <v>todo o resto</v>
      </c>
      <c r="B34933" s="3">
        <v>0</v>
      </c>
    </row>
    <row r="34934" ht="15.75" customHeight="1" spans="1:2">
      <c r="A34934" s="3" t="str">
        <f>IFERROR(__xludf.DUMMYFUNCTION("GOOGLETRANSLATE(A34934,""en"",""pt"")"),"Big, tela Sem cor.")</f>
        <v>Big, tela Sem cor.</v>
      </c>
      <c r="B34934" s="3">
        <v>0</v>
      </c>
    </row>
    <row r="34935" ht="15.75" customHeight="1" spans="1:2">
      <c r="A34935" s="3" t="str">
        <f>IFERROR(__xludf.DUMMYFUNCTION("GOOGLETRANSLATE(A34935,""en"",""pt"")"),"cores feio, ringtones blá, e chato.")</f>
        <v>cores feio, ringtones blá, e chato.</v>
      </c>
      <c r="B34935" s="3">
        <v>0</v>
      </c>
    </row>
    <row r="34936" ht="15.75" customHeight="1" spans="1:2">
      <c r="A34936" s="3" t="str">
        <f>IFERROR(__xludf.DUMMYFUNCTION("GOOGLETRANSLATE(A34936,""en"",""pt"")"),"memória pequeno, tons terríveis, câmera limitada")</f>
        <v>memória pequeno, tons terríveis, câmera limitada</v>
      </c>
      <c r="B34936" s="3">
        <v>0</v>
      </c>
    </row>
    <row r="34937" ht="15.75" customHeight="1" spans="1:2">
      <c r="A34937" s="3" t="str">
        <f>IFERROR(__xludf.DUMMYFUNCTION("GOOGLETRANSLATE(A34937,""en"",""pt"")"),"Poderia olhar melhor, economiza números de telefone na memória do telefone (não no SIM) por padrão")</f>
        <v>Poderia olhar melhor, economiza números de telefone na memória do telefone (não no SIM) por padrão</v>
      </c>
      <c r="B34937" s="3">
        <v>0</v>
      </c>
    </row>
    <row r="34938" ht="15.75" customHeight="1" spans="1:2">
      <c r="A34938" s="3" t="str">
        <f>IFERROR(__xludf.DUMMYFUNCTION("GOOGLETRANSLATE(A34938,""en"",""pt"")"),"fontes minúsculos, alta curva de aprendizado, gotas de entradas da agenda, não duráveis, tela ao ar livre invisíveis")</f>
        <v>fontes minúsculos, alta curva de aprendizado, gotas de entradas da agenda, não duráveis, tela ao ar livre invisíveis</v>
      </c>
      <c r="B34938" s="3">
        <v>0</v>
      </c>
    </row>
    <row r="34939" ht="15.75" customHeight="1" spans="1:2">
      <c r="A34939" s="3" t="str">
        <f>IFERROR(__xludf.DUMMYFUNCTION("GOOGLETRANSLATE(A34939,""en"",""pt"")"),"botão de energia minúsculo, sem Bluetooth, porta proprietária mãos-livres")</f>
        <v>botão de energia minúsculo, sem Bluetooth, porta proprietária mãos-livres</v>
      </c>
      <c r="B34939" s="3">
        <v>0</v>
      </c>
    </row>
    <row r="34940" ht="15.75" customHeight="1" spans="1:2">
      <c r="A34940" s="3" t="str">
        <f>IFERROR(__xludf.DUMMYFUNCTION("GOOGLETRANSLATE(A34940,""en"",""pt"")"),"novo conector dispositivo acessório, fone de ouvido estéreo na caixa, não Bluetooth")</f>
        <v>novo conector dispositivo acessório, fone de ouvido estéreo na caixa, não Bluetooth</v>
      </c>
      <c r="B34940" s="3">
        <v>0</v>
      </c>
    </row>
    <row r="34941" ht="15.75" customHeight="1" spans="1:2">
      <c r="A34941" s="3" t="str">
        <f>IFERROR(__xludf.DUMMYFUNCTION("GOOGLETRANSLATE(A34941,""en"",""pt"")"),"lag ligeira menus, tamanho diferente da bateria, a duração da bateria, fone de ouvido não padrão da indústria.")</f>
        <v>lag ligeira menus, tamanho diferente da bateria, a duração da bateria, fone de ouvido não padrão da indústria.</v>
      </c>
      <c r="B34941" s="3">
        <v>0</v>
      </c>
    </row>
    <row r="34942" ht="15.75" customHeight="1" spans="1:2">
      <c r="A34942" s="3" t="str">
        <f>IFERROR(__xludf.DUMMYFUNCTION("GOOGLETRANSLATE(A34942,""en"",""pt"")"),"headphone Inconveniente / jack mãos livres, Preço !!")</f>
        <v>headphone Inconveniente / jack mãos livres, Preço !!</v>
      </c>
      <c r="B34942" s="3">
        <v>0</v>
      </c>
    </row>
    <row r="34943" ht="15.75" customHeight="1" spans="1:2">
      <c r="A34943" s="3" t="str">
        <f>IFERROR(__xludf.DUMMYFUNCTION("GOOGLETRANSLATE(A34943,""en"",""pt"")"),"4096 cores, MMS nenhum som, 4 toques de acordes, nenhuma câmera embutida, Pop-Port, SLOW!")</f>
        <v>4096 cores, MMS nenhum som, 4 toques de acordes, nenhuma câmera embutida, Pop-Port, SLOW!</v>
      </c>
      <c r="B34943" s="3">
        <v>0</v>
      </c>
    </row>
    <row r="34944" ht="15.75" customHeight="1" spans="1:2">
      <c r="A34944" s="3" t="str">
        <f>IFERROR(__xludf.DUMMYFUNCTION("GOOGLETRANSLATE(A34944,""en"",""pt"")"),"Ainda o mesmo headset estranho dongle; Painel é muito fina.")</f>
        <v>Ainda o mesmo headset estranho dongle; Painel é muito fina.</v>
      </c>
      <c r="B34944" s="3">
        <v>0</v>
      </c>
    </row>
    <row r="34945" ht="15.75" customHeight="1" spans="1:2">
      <c r="A34945" s="3" t="str">
        <f>IFERROR(__xludf.DUMMYFUNCTION("GOOGLETRANSLATE(A34945,""en"",""pt"")"),"não pode usar tons de SMS pessoais (mas pode ser corrigido com atualização de software), suporte Pobre MMS.")</f>
        <v>não pode usar tons de SMS pessoais (mas pode ser corrigido com atualização de software), suporte Pobre MMS.</v>
      </c>
      <c r="B34945" s="3">
        <v>0</v>
      </c>
    </row>
    <row r="34946" ht="15.75" customHeight="1" spans="1:2">
      <c r="A34946" s="3" t="str">
        <f>IFERROR(__xludf.DUMMYFUNCTION("GOOGLETRANSLATE(A34946,""en"",""pt"")"),"No Voice-Dial")</f>
        <v>No Voice-Dial</v>
      </c>
      <c r="B34946" s="3">
        <v>0</v>
      </c>
    </row>
    <row r="34947" ht="15.75" customHeight="1" spans="1:2">
      <c r="A34947" s="3" t="str">
        <f>IFERROR(__xludf.DUMMYFUNCTION("GOOGLETRANSLATE(A34947,""en"",""pt"")"),"Extremamente minúsculo botão de energia. Mãos-livres Headset difícil de conectar na tomada")</f>
        <v>Extremamente minúsculo botão de energia. Mãos-livres Headset difícil de conectar na tomada</v>
      </c>
      <c r="B34947" s="3">
        <v>0</v>
      </c>
    </row>
    <row r="34948" ht="15.75" customHeight="1" spans="1:2">
      <c r="A34948" s="3" t="str">
        <f>IFERROR(__xludf.DUMMYFUNCTION("GOOGLETRANSLATE(A34948,""en"",""pt"")"),"Como dito acima, o telefone tem realmente há contras.")</f>
        <v>Como dito acima, o telefone tem realmente há contras.</v>
      </c>
      <c r="B34948" s="3">
        <v>0</v>
      </c>
    </row>
    <row r="34949" ht="15.75" customHeight="1" spans="1:2">
      <c r="A34949" s="3" t="str">
        <f>IFERROR(__xludf.DUMMYFUNCTION("GOOGLETRANSLATE(A34949,""en"",""pt"")"),"menus atrasadas, Trivial falha de software, nenhum Bluetooth")</f>
        <v>menus atrasadas, Trivial falha de software, nenhum Bluetooth</v>
      </c>
      <c r="B34949" s="3">
        <v>0</v>
      </c>
    </row>
    <row r="34950" ht="15.75" customHeight="1" spans="1:2">
      <c r="A34950" s="3" t="str">
        <f>IFERROR(__xludf.DUMMYFUNCTION("GOOGLETRANSLATE(A34950,""en"",""pt"")"),"memória pequeno. Poderia ser mais rápido.")</f>
        <v>memória pequeno. Poderia ser mais rápido.</v>
      </c>
      <c r="B34950" s="3">
        <v>0</v>
      </c>
    </row>
    <row r="34951" ht="15.75" customHeight="1" spans="1:2">
      <c r="A34951" s="3" t="str">
        <f>IFERROR(__xludf.DUMMYFUNCTION("GOOGLETRANSLATE(A34951,""en"",""pt"")"),", Qualidade de som distorcido terrível em alguns aparelhos")</f>
        <v>, Qualidade de som distorcido terrível em alguns aparelhos</v>
      </c>
      <c r="B34951" s="3">
        <v>0</v>
      </c>
    </row>
    <row r="34952" ht="15.75" customHeight="1" spans="1:2">
      <c r="A34952" s="3" t="str">
        <f>IFERROR(__xludf.DUMMYFUNCTION("GOOGLETRANSLATE(A34952,""en"",""pt"")"),"Difícil On / Off, a duração da luz de fundo resumo, má recepção (serviço relacionadas com a?), Pouca memória, som polifônico inexpressivo.")</f>
        <v>Difícil On / Off, a duração da luz de fundo resumo, má recepção (serviço relacionadas com a?), Pouca memória, som polifônico inexpressivo.</v>
      </c>
      <c r="B34952" s="3">
        <v>0</v>
      </c>
    </row>
    <row r="34953" ht="15.75" customHeight="1" spans="1:2">
      <c r="A34953" s="3" t="str">
        <f>IFERROR(__xludf.DUMMYFUNCTION("GOOGLETRANSLATE(A34953,""en"",""pt"")"),"Pouco preço mais elevado, e a pele exterior não é suficiente durável.")</f>
        <v>Pouco preço mais elevado, e a pele exterior não é suficiente durável.</v>
      </c>
      <c r="B34953" s="3">
        <v>0</v>
      </c>
    </row>
    <row r="34954" ht="15.75" customHeight="1" spans="1:2">
      <c r="A34954" s="3" t="str">
        <f>IFERROR(__xludf.DUMMYFUNCTION("GOOGLETRANSLATE(A34954,""en"",""pt"")"),"tão nova que é difícil de encontrar ou obter acessórios para")</f>
        <v>tão nova que é difícil de encontrar ou obter acessórios para</v>
      </c>
      <c r="B34954" s="3">
        <v>0</v>
      </c>
    </row>
    <row r="34955" ht="15.75" customHeight="1" spans="1:2">
      <c r="A34955" s="3" t="str">
        <f>IFERROR(__xludf.DUMMYFUNCTION("GOOGLETRANSLATE(A34955,""en"",""pt"")"),"Habitação sente, a mudança não pode gráfico grupo de chamada ""frouxo""")</f>
        <v>Habitação sente, a mudança não pode gráfico grupo de chamada "frouxo"</v>
      </c>
      <c r="B34955" s="3">
        <v>0</v>
      </c>
    </row>
    <row r="34956" ht="15.75" customHeight="1" spans="1:2">
      <c r="A34956" s="3" t="str">
        <f>IFERROR(__xludf.DUMMYFUNCTION("GOOGLETRANSLATE(A34956,""en"",""pt"")"),"Colocar um botão de ergonomia mãos-livres ou câmera,.")</f>
        <v>Colocar um botão de ergonomia mãos-livres ou câmera,.</v>
      </c>
      <c r="B34956" s="3">
        <v>0</v>
      </c>
    </row>
    <row r="34957" ht="15.75" customHeight="1" spans="1:2">
      <c r="A34957" s="3" t="str">
        <f>IFERROR(__xludf.DUMMYFUNCTION("GOOGLETRANSLATE(A34957,""en"",""pt"")"),"nenhuma câmera, um pouco falta no visor a cores (apenas 4096).")</f>
        <v>nenhuma câmera, um pouco falta no visor a cores (apenas 4096).</v>
      </c>
      <c r="B34957" s="3">
        <v>0</v>
      </c>
    </row>
    <row r="34958" ht="15.75" customHeight="1" spans="1:2">
      <c r="A34958" s="3" t="str">
        <f>IFERROR(__xludf.DUMMYFUNCTION("GOOGLETRANSLATE(A34958,""en"",""pt"")"),"tampa um pouco frágil, sem ligação ao PC")</f>
        <v>tampa um pouco frágil, sem ligação ao PC</v>
      </c>
      <c r="B34958" s="3">
        <v>0</v>
      </c>
    </row>
    <row r="34959" ht="15.75" customHeight="1" spans="1:2">
      <c r="A34959" s="3" t="str">
        <f>IFERROR(__xludf.DUMMYFUNCTION("GOOGLETRANSLATE(A34959,""en"",""pt"")"),"Nenhuma câmera, non-flip, preço?")</f>
        <v>Nenhuma câmera, non-flip, preço?</v>
      </c>
      <c r="B34959" s="3">
        <v>0</v>
      </c>
    </row>
    <row r="34960" ht="15.75" customHeight="1" spans="1:2">
      <c r="A34960" s="3" t="str">
        <f>IFERROR(__xludf.DUMMYFUNCTION("GOOGLETRANSLATE(A34960,""en"",""pt"")"),"Os casos de telefone são limitados em cor.")</f>
        <v>Os casos de telefone são limitados em cor.</v>
      </c>
      <c r="B34960" s="3">
        <v>0</v>
      </c>
    </row>
    <row r="34961" ht="15.75" customHeight="1" spans="1:2">
      <c r="A34961" s="3" t="str">
        <f>IFERROR(__xludf.DUMMYFUNCTION("GOOGLETRANSLATE(A34961,""en"",""pt"")"),"não Bluetooth")</f>
        <v>não Bluetooth</v>
      </c>
      <c r="B34961" s="3">
        <v>0</v>
      </c>
    </row>
    <row r="34962" ht="15.75" customHeight="1" spans="1:2">
      <c r="A34962" s="3" t="str">
        <f>IFERROR(__xludf.DUMMYFUNCTION("GOOGLETRANSLATE(A34962,""en"",""pt"")"),"Sibilando no fone de ouvido")</f>
        <v>Sibilando no fone de ouvido</v>
      </c>
      <c r="B34962" s="3">
        <v>0</v>
      </c>
    </row>
    <row r="34963" ht="15.75" customHeight="1" spans="1:2">
      <c r="A34963" s="3" t="str">
        <f>IFERROR(__xludf.DUMMYFUNCTION("GOOGLETRANSLATE(A34963,""en"",""pt"")"),"configuração de volume muito baixo (não se pode falar em áreas barulhentas), minúsculo botão de energia.")</f>
        <v>configuração de volume muito baixo (não se pode falar em áreas barulhentas), minúsculo botão de energia.</v>
      </c>
      <c r="B34963" s="3">
        <v>0</v>
      </c>
    </row>
    <row r="34964" ht="15.75" customHeight="1" spans="1:2">
      <c r="A34964" s="3" t="str">
        <f>IFERROR(__xludf.DUMMYFUNCTION("GOOGLETRANSLATE(A34964,""en"",""pt"")"),"O ruído de fundo sibilante. baixo volume máximo. Vibração não é muito bom.")</f>
        <v>O ruído de fundo sibilante. baixo volume máximo. Vibração não é muito bom.</v>
      </c>
      <c r="B34964" s="3">
        <v>0</v>
      </c>
    </row>
    <row r="34965" ht="15.75" customHeight="1" spans="1:2">
      <c r="A34965" s="3" t="str">
        <f>IFERROR(__xludf.DUMMYFUNCTION("GOOGLETRANSLATE(A34965,""en"",""pt"")"),"Nenhuma câmera")</f>
        <v>Nenhuma câmera</v>
      </c>
      <c r="B34965" s="3">
        <v>0</v>
      </c>
    </row>
    <row r="34966" ht="15.75" customHeight="1" spans="1:2">
      <c r="A34966" s="3" t="str">
        <f>IFERROR(__xludf.DUMMYFUNCTION("GOOGLETRANSLATE(A34966,""en"",""pt"")"),"tela é difícil de ver w / o backlight, de espessura. códigos de área necessário.")</f>
        <v>tela é difícil de ver w / o backlight, de espessura. códigos de área necessário.</v>
      </c>
      <c r="B34966" s="3">
        <v>0</v>
      </c>
    </row>
    <row r="34967" ht="15.75" customHeight="1" spans="1:2">
      <c r="A34967" s="3" t="str">
        <f>IFERROR(__xludf.DUMMYFUNCTION("GOOGLETRANSLATE(A34967,""en"",""pt"")"),"Caso, precisa de uma reinicialização agora e, em seguida, botão de volume, falta geral de botões.")</f>
        <v>Caso, precisa de uma reinicialização agora e, em seguida, botão de volume, falta geral de botões.</v>
      </c>
      <c r="B34967" s="3">
        <v>0</v>
      </c>
    </row>
    <row r="34968" ht="15.75" customHeight="1" spans="1:2">
      <c r="A34968" s="3" t="str">
        <f>IFERROR(__xludf.DUMMYFUNCTION("GOOGLETRANSLATE(A34968,""en"",""pt"")"),"Volumoso e incómodo; caro; Não Bluetooth ou Wi-Fi; irregular rede de telefonia no presente; pobre Manual")</f>
        <v>Volumoso e incómodo; caro; Não Bluetooth ou Wi-Fi; irregular rede de telefonia no presente; pobre Manual</v>
      </c>
      <c r="B34968" s="3">
        <v>0</v>
      </c>
    </row>
    <row r="34969" ht="15.75" customHeight="1" spans="1:2">
      <c r="A34969" s="3" t="str">
        <f>IFERROR(__xludf.DUMMYFUNCTION("GOOGLETRANSLATE(A34969,""en"",""pt"")"),"Hands-free plugue receptáculo apenas se senta no buraco, cara bater botões na tela quando se fala")</f>
        <v>Hands-free plugue receptáculo apenas se senta no buraco, cara bater botões na tela quando se fala</v>
      </c>
      <c r="B34969" s="3">
        <v>0</v>
      </c>
    </row>
    <row r="34970" ht="15.75" customHeight="1" spans="1:2">
      <c r="A34970" s="3" t="str">
        <f>IFERROR(__xludf.DUMMYFUNCTION("GOOGLETRANSLATE(A34970,""en"",""pt"")"),"Os dados do Palm não converter facilmente. Demorou horas para classificar através dele.")</f>
        <v>Os dados do Palm não converter facilmente. Demorou horas para classificar através dele.</v>
      </c>
      <c r="B34970" s="3">
        <v>0</v>
      </c>
    </row>
    <row r="34971" ht="15.75" customHeight="1" spans="1:2">
      <c r="A34971" s="3" t="str">
        <f>IFERROR(__xludf.DUMMYFUNCTION("GOOGLETRANSLATE(A34971,""en"",""pt"")"),"Mobile não funcionar, então todos os contras")</f>
        <v>Mobile não funcionar, então todos os contras</v>
      </c>
      <c r="B34971" s="3">
        <v>0</v>
      </c>
    </row>
    <row r="34972" ht="15.75" customHeight="1" spans="1:2">
      <c r="A34972" s="3" t="str">
        <f>IFERROR(__xludf.DUMMYFUNCTION("GOOGLETRANSLATE(A34972,""en"",""pt"")"),"Apesar de todas as grandes características, este não é um telefone sem falhas.")</f>
        <v>Apesar de todas as grandes características, este não é um telefone sem falhas.</v>
      </c>
      <c r="B34972" s="3">
        <v>0</v>
      </c>
    </row>
    <row r="34973" ht="15.75" customHeight="1" spans="1:2">
      <c r="A34973" s="3" t="str">
        <f>IFERROR(__xludf.DUMMYFUNCTION("GOOGLETRANSLATE(A34973,""en"",""pt"")"),"volume da campainha fraco, pequenas chaves")</f>
        <v>volume da campainha fraco, pequenas chaves</v>
      </c>
      <c r="B34973" s="3">
        <v>0</v>
      </c>
    </row>
    <row r="34974" ht="15.75" customHeight="1" spans="1:2">
      <c r="A34974" s="3" t="str">
        <f>IFERROR(__xludf.DUMMYFUNCTION("GOOGLETRANSLATE(A34974,""en"",""pt"")"),"User Interface um pouco estranho")</f>
        <v>User Interface um pouco estranho</v>
      </c>
      <c r="B34974" s="3">
        <v>0</v>
      </c>
    </row>
    <row r="34975" ht="15.75" customHeight="1" spans="1:2">
      <c r="A34975" s="3" t="str">
        <f>IFERROR(__xludf.DUMMYFUNCTION("GOOGLETRANSLATE(A34975,""en"",""pt"")"),"Um pouco estranho na mão, menus precisam melhorar, antena longa, pequenos botões, inútil jogos")</f>
        <v>Um pouco estranho na mão, menus precisam melhorar, antena longa, pequenos botões, inútil jogos</v>
      </c>
      <c r="B34975" s="3">
        <v>0</v>
      </c>
    </row>
    <row r="34976" ht="15.75" customHeight="1" spans="1:2">
      <c r="A34976" s="3" t="str">
        <f>IFERROR(__xludf.DUMMYFUNCTION("GOOGLETRANSLATE(A34976,""en"",""pt"")"),"pequenos botões")</f>
        <v>pequenos botões</v>
      </c>
      <c r="B34976" s="3">
        <v>0</v>
      </c>
    </row>
    <row r="34977" ht="15.75" customHeight="1" spans="1:2">
      <c r="A34977" s="3" t="str">
        <f>IFERROR(__xludf.DUMMYFUNCTION("GOOGLETRANSLATE(A34977,""en"",""pt"")"),"não um telefone GSM (telefone do mundo), não pode ter mais de um número de telefone por contato")</f>
        <v>não um telefone GSM (telefone do mundo), não pode ter mais de um número de telefone por contato</v>
      </c>
      <c r="B34977" s="3">
        <v>0</v>
      </c>
    </row>
    <row r="34978" ht="15.75" customHeight="1" spans="1:2">
      <c r="A34978" s="3" t="str">
        <f>IFERROR(__xludf.DUMMYFUNCTION("GOOGLETRANSLATE(A34978,""en"",""pt"")"),"Nenhum eu posso realmente pensar.")</f>
        <v>Nenhum eu posso realmente pensar.</v>
      </c>
      <c r="B34978" s="3">
        <v>0</v>
      </c>
    </row>
    <row r="34979" ht="15.75" customHeight="1" spans="1:2">
      <c r="A34979" s="3" t="str">
        <f>IFERROR(__xludf.DUMMYFUNCTION("GOOGLETRANSLATE(A34979,""en"",""pt"")"),"Difícil de ler a exposição, Ringer precisa ser mais alto.")</f>
        <v>Difícil de ler a exposição, Ringer precisa ser mais alto.</v>
      </c>
      <c r="B34979" s="3">
        <v>0</v>
      </c>
    </row>
    <row r="34980" ht="15.75" customHeight="1" spans="1:2">
      <c r="A34980" s="3" t="str">
        <f>IFERROR(__xludf.DUMMYFUNCTION("GOOGLETRANSLATE(A34980,""en"",""pt"")"),"livro de endereços leva algum tempo para se acostumar. Longo antena.")</f>
        <v>livro de endereços leva algum tempo para se acostumar. Longo antena.</v>
      </c>
      <c r="B34980" s="3">
        <v>0</v>
      </c>
    </row>
    <row r="34981" ht="15.75" customHeight="1" spans="1:2">
      <c r="A34981" s="3" t="str">
        <f>IFERROR(__xludf.DUMMYFUNCTION("GOOGLETRANSLATE(A34981,""en"",""pt"")"),"pouca memória para eventos.")</f>
        <v>pouca memória para eventos.</v>
      </c>
      <c r="B34981" s="3">
        <v>0</v>
      </c>
    </row>
    <row r="34982" ht="15.75" customHeight="1" spans="1:2">
      <c r="A34982" s="3" t="str">
        <f>IFERROR(__xludf.DUMMYFUNCTION("GOOGLETRANSLATE(A34982,""en"",""pt"")"),"Menu estranho &amp; navegação, pequenos botões, antena longa, pouco espaço para o nome e para fazer a lista")</f>
        <v>Menu estranho &amp; navegação, pequenos botões, antena longa, pouco espaço para o nome e para fazer a lista</v>
      </c>
      <c r="B34982" s="3">
        <v>0</v>
      </c>
    </row>
    <row r="34983" ht="15.75" customHeight="1" spans="1:2">
      <c r="A34983" s="3" t="str">
        <f>IFERROR(__xludf.DUMMYFUNCTION("GOOGLETRANSLATE(A34983,""en"",""pt"")"),"tampa da porta, antena quando estendida, demora um pouco para encontrar sweet spot.")</f>
        <v>tampa da porta, antena quando estendida, demora um pouco para encontrar sweet spot.</v>
      </c>
      <c r="B34983" s="3">
        <v>0</v>
      </c>
    </row>
    <row r="34984" ht="15.75" customHeight="1" spans="1:2">
      <c r="A34984" s="3" t="str">
        <f>IFERROR(__xludf.DUMMYFUNCTION("GOOGLETRANSLATE(A34984,""en"",""pt"")"),"não pode desligar algumas funções de som. Não é possível baixar / upload para telefone sem opção cara.")</f>
        <v>não pode desligar algumas funções de som. Não é possível baixar / upload para telefone sem opção cara.</v>
      </c>
      <c r="B34984" s="3">
        <v>0</v>
      </c>
    </row>
    <row r="34985" ht="15.75" customHeight="1" spans="1:2">
      <c r="A34985" s="3" t="str">
        <f>IFERROR(__xludf.DUMMYFUNCTION("GOOGLETRANSLATE(A34985,""en"",""pt"")"),"Problemas de recepção!")</f>
        <v>Problemas de recepção!</v>
      </c>
      <c r="B34985" s="3">
        <v>0</v>
      </c>
    </row>
    <row r="34986" ht="15.75" customHeight="1" spans="1:2">
      <c r="A34986" s="3" t="str">
        <f>IFERROR(__xludf.DUMMYFUNCTION("GOOGLETRANSLATE(A34986,""en"",""pt"")"),"preço")</f>
        <v>preço</v>
      </c>
      <c r="B34986" s="3">
        <v>0</v>
      </c>
    </row>
    <row r="34987" ht="15.75" customHeight="1" spans="1:2">
      <c r="A34987" s="3" t="str">
        <f>IFERROR(__xludf.DUMMYFUNCTION("GOOGLETRANSLATE(A34987,""en"",""pt"")"),"Menus não cobrem todos os recursos")</f>
        <v>Menus não cobrem todos os recursos</v>
      </c>
      <c r="B34987" s="3">
        <v>0</v>
      </c>
    </row>
    <row r="34988" ht="15.75" customHeight="1" spans="1:2">
      <c r="A34988" s="3" t="str">
        <f>IFERROR(__xludf.DUMMYFUNCTION("GOOGLETRANSLATE(A34988,""en"",""pt"")"),"Chaves poderia ser maior, volume da campainha é muito baixo")</f>
        <v>Chaves poderia ser maior, volume da campainha é muito baixo</v>
      </c>
      <c r="B34988" s="3">
        <v>0</v>
      </c>
    </row>
    <row r="34989" ht="15.75" customHeight="1" spans="1:2">
      <c r="A34989" s="3" t="str">
        <f>IFERROR(__xludf.DUMMYFUNCTION("GOOGLETRANSLATE(A34989,""en"",""pt"")"),"Não atualizável para mais espaço de armazenamento!")</f>
        <v>Não atualizável para mais espaço de armazenamento!</v>
      </c>
      <c r="B34989" s="3">
        <v>0</v>
      </c>
    </row>
    <row r="34990" ht="15.75" customHeight="1" spans="1:2">
      <c r="A34990" s="3" t="str">
        <f>IFERROR(__xludf.DUMMYFUNCTION("GOOGLETRANSLATE(A34990,""en"",""pt"")"),"Quando penso em um, eu vou deixar você saber")</f>
        <v>Quando penso em um, eu vou deixar você saber</v>
      </c>
      <c r="B34990" s="3">
        <v>0</v>
      </c>
    </row>
    <row r="34991" ht="15.75" customHeight="1" spans="1:2">
      <c r="A34991" s="3" t="str">
        <f>IFERROR(__xludf.DUMMYFUNCTION("GOOGLETRANSLATE(A34991,""en"",""pt"")"),"Não PCS visão capaz. Carece de ecrã a cores.")</f>
        <v>Não PCS visão capaz. Carece de ecrã a cores.</v>
      </c>
      <c r="B34991" s="3">
        <v>0</v>
      </c>
    </row>
    <row r="34992" ht="15.75" customHeight="1" spans="1:2">
      <c r="A34992" s="3" t="str">
        <f>IFERROR(__xludf.DUMMYFUNCTION("GOOGLETRANSLATE(A34992,""en"",""pt"")"),"intensidade do sinal não é grande, às vezes.")</f>
        <v>intensidade do sinal não é grande, às vezes.</v>
      </c>
      <c r="B34992" s="3">
        <v>0</v>
      </c>
    </row>
    <row r="34993" ht="15.75" customHeight="1" spans="1:2">
      <c r="A34993" s="3" t="str">
        <f>IFERROR(__xludf.DUMMYFUNCTION("GOOGLETRANSLATE(A34993,""en"",""pt"")"),"Algumas das características como o navegador e discagem por voz deixarem de trabalho às vezes.")</f>
        <v>Algumas das características como o navegador e discagem por voz deixarem de trabalho às vezes.</v>
      </c>
      <c r="B34993" s="3">
        <v>0</v>
      </c>
    </row>
    <row r="34994" ht="15.75" customHeight="1" spans="1:2">
      <c r="A34994" s="3" t="str">
        <f>IFERROR(__xludf.DUMMYFUNCTION("GOOGLETRANSLATE(A34994,""en"",""pt"")"),"algumas chamadas estáticas e caiu, pequena distância entre o microfone eo receptor.")</f>
        <v>algumas chamadas estáticas e caiu, pequena distância entre o microfone eo receptor.</v>
      </c>
      <c r="B34994" s="3">
        <v>0</v>
      </c>
    </row>
    <row r="34995" ht="15.75" customHeight="1" spans="1:2">
      <c r="A34995" s="3" t="str">
        <f>IFERROR(__xludf.DUMMYFUNCTION("GOOGLETRANSLATE(A34995,""en"",""pt"")"),"recursos limitados")</f>
        <v>recursos limitados</v>
      </c>
      <c r="B34995" s="3">
        <v>0</v>
      </c>
    </row>
    <row r="34996" ht="15.75" customHeight="1" spans="1:2">
      <c r="A34996" s="3" t="str">
        <f>IFERROR(__xludf.DUMMYFUNCTION("GOOGLETRANSLATE(A34996,""en"",""pt"")"),"Speaker precisa ser mais alto, ringtones monofônicos")</f>
        <v>Speaker precisa ser mais alto, ringtones monofônicos</v>
      </c>
      <c r="B34996" s="3">
        <v>0</v>
      </c>
    </row>
    <row r="34997" ht="15.75" customHeight="1" spans="1:2">
      <c r="A34997" s="3" t="str">
        <f>IFERROR(__xludf.DUMMYFUNCTION("GOOGLETRANSLATE(A34997,""en"",""pt"")"),"nenhum que eu posso pensar")</f>
        <v>nenhum que eu posso pensar</v>
      </c>
      <c r="B34997" s="3">
        <v>0</v>
      </c>
    </row>
    <row r="34998" ht="15.75" customHeight="1" spans="1:2">
      <c r="A34998" s="3" t="str">
        <f>IFERROR(__xludf.DUMMYFUNCTION("GOOGLETRANSLATE(A34998,""en"",""pt"")"),"tudo o mais sobre telefone")</f>
        <v>tudo o mais sobre telefone</v>
      </c>
      <c r="B34998" s="3">
        <v>0</v>
      </c>
    </row>
    <row r="34999" ht="15.75" customHeight="1" spans="1:2">
      <c r="A34999" s="3" t="str">
        <f>IFERROR(__xludf.DUMMYFUNCTION("GOOGLETRANSLATE(A34999,""en"",""pt"")"),"vida útil da bateria não dura tanto tempo, não que muitas características, intensidade do sinal varia")</f>
        <v>vida útil da bateria não dura tanto tempo, não que muitas características, intensidade do sinal varia</v>
      </c>
      <c r="B34999" s="3">
        <v>0</v>
      </c>
    </row>
    <row r="35000" ht="15.75" customHeight="1" spans="1:2">
      <c r="A35000" s="3" t="str">
        <f>IFERROR(__xludf.DUMMYFUNCTION("GOOGLETRANSLATE(A35000,""en"",""pt"")"),"O telefone! Sem Bluetooth. ""Câmera""")</f>
        <v>O telefone! Sem Bluetooth. "Câmera"</v>
      </c>
      <c r="B35000" s="3">
        <v>0</v>
      </c>
    </row>
    <row r="35001" ht="15.75" customHeight="1" spans="1:2">
      <c r="A35001" s="3" t="str">
        <f>IFERROR(__xludf.DUMMYFUNCTION("GOOGLETRANSLATE(A35001,""en"",""pt"")"),"No Bluetooth, spam e-mail ocasional, câmera marginal, potencialmente frágeis, muito poucos jogos disponíveis.")</f>
        <v>No Bluetooth, spam e-mail ocasional, câmera marginal, potencialmente frágeis, muito poucos jogos disponíveis.</v>
      </c>
      <c r="B35001" s="3">
        <v>0</v>
      </c>
    </row>
    <row r="35002" ht="15.75" customHeight="1" spans="1:2">
      <c r="A35002" s="3" t="str">
        <f>IFERROR(__xludf.DUMMYFUNCTION("GOOGLETRANSLATE(A35002,""en"",""pt"")"),"Letras no teclado estão arrancando.")</f>
        <v>Letras no teclado estão arrancando.</v>
      </c>
      <c r="B35002" s="3">
        <v>0</v>
      </c>
    </row>
    <row r="35003" ht="15.75" customHeight="1" spans="1:2">
      <c r="A35003" s="3" t="str">
        <f>IFERROR(__xludf.DUMMYFUNCTION("GOOGLETRANSLATE(A35003,""en"",""pt"")"),"lotes problemas com Java Script. problemas com o sistema de e-mail T-Mobile. não é bom para pessoas de negócios")</f>
        <v>lotes problemas com Java Script. problemas com o sistema de e-mail T-Mobile. não é bom para pessoas de negócios</v>
      </c>
      <c r="B35003" s="3">
        <v>0</v>
      </c>
    </row>
    <row r="35004" ht="15.75" customHeight="1" spans="1:2">
      <c r="A35004" s="3" t="str">
        <f>IFERROR(__xludf.DUMMYFUNCTION("GOOGLETRANSLATE(A35004,""en"",""pt"")"),"volume do telefone não tão great.Camera definitivamente precisa work.More espaço de armazenamento ajudaria.")</f>
        <v>volume do telefone não tão great.Camera definitivamente precisa work.More espaço de armazenamento ajudaria.</v>
      </c>
      <c r="B35004" s="3">
        <v>0</v>
      </c>
    </row>
    <row r="35005" ht="15.75" customHeight="1" spans="1:2">
      <c r="A35005" s="3" t="str">
        <f>IFERROR(__xludf.DUMMYFUNCTION("GOOGLETRANSLATE(A35005,""en"",""pt"")"),"Volumoso,")</f>
        <v>Volumoso,</v>
      </c>
      <c r="B35005" s="3">
        <v>0</v>
      </c>
    </row>
    <row r="35006" ht="15.75" customHeight="1" spans="1:2">
      <c r="A35006" s="3" t="str">
        <f>IFERROR(__xludf.DUMMYFUNCTION("GOOGLETRANSLATE(A35006,""en"",""pt"")"),"Um pouco volumoso. gráficos da tela voltadas para para o mercado ""juventude"".")</f>
        <v>Um pouco volumoso. gráficos da tela voltadas para para o mercado "juventude".</v>
      </c>
      <c r="B35006" s="3">
        <v>0</v>
      </c>
    </row>
    <row r="35007" ht="15.75" customHeight="1" spans="1:2">
      <c r="A35007" s="3" t="str">
        <f>IFERROR(__xludf.DUMMYFUNCTION("GOOGLETRANSLATE(A35007,""en"",""pt"")"),"Inutilizável Dados e Serviço de Voz via T-Mobile")</f>
        <v>Inutilizável Dados e Serviço de Voz via T-Mobile</v>
      </c>
      <c r="B35007" s="3">
        <v>0</v>
      </c>
    </row>
    <row r="35008" ht="15.75" customHeight="1" spans="1:2">
      <c r="A35008" s="3" t="str">
        <f>IFERROR(__xludf.DUMMYFUNCTION("GOOGLETRANSLATE(A35008,""en"",""pt"")"),"terrível serviço ao cliente, cobrança práticas sorrateiras, a recusa de reembolsar falsas acusações")</f>
        <v>terrível serviço ao cliente, cobrança práticas sorrateiras, a recusa de reembolsar falsas acusações</v>
      </c>
      <c r="B35008" s="3">
        <v>0</v>
      </c>
    </row>
    <row r="35009" ht="15.75" customHeight="1" spans="1:2">
      <c r="A35009" s="3" t="str">
        <f>IFERROR(__xludf.DUMMYFUNCTION("GOOGLETRANSLATE(A35009,""en"",""pt"")"),"vida útil da bateria, câmera, cobertura tmobile pobres")</f>
        <v>vida útil da bateria, câmera, cobertura tmobile pobres</v>
      </c>
      <c r="B35009" s="3">
        <v>0</v>
      </c>
    </row>
    <row r="35010" ht="15.75" customHeight="1" spans="1:2">
      <c r="A35010" s="3" t="str">
        <f>IFERROR(__xludf.DUMMYFUNCTION("GOOGLETRANSLATE(A35010,""en"",""pt"")"),"Em dias de sol muito brilhantes, a tela é difícil de ver.")</f>
        <v>Em dias de sol muito brilhantes, a tela é difícil de ver.</v>
      </c>
      <c r="B35010" s="3">
        <v>0</v>
      </c>
    </row>
    <row r="35011" ht="15.75" customHeight="1" spans="1:2">
      <c r="A35011" s="3" t="str">
        <f>IFERROR(__xludf.DUMMYFUNCTION("GOOGLETRANSLATE(A35011,""en"",""pt"")"),"teclado minúsculo. Preço vai fazer a sua sangria carteira.")</f>
        <v>teclado minúsculo. Preço vai fazer a sua sangria carteira.</v>
      </c>
      <c r="B35011" s="3">
        <v>0</v>
      </c>
    </row>
    <row r="35012" ht="15.75" customHeight="1" spans="1:2">
      <c r="A35012" s="3" t="str">
        <f>IFERROR(__xludf.DUMMYFUNCTION("GOOGLETRANSLATE(A35012,""en"",""pt"")"),"preço; quase demasiado muitos recursos")</f>
        <v>preço; quase demasiado muitos recursos</v>
      </c>
      <c r="B35012" s="3">
        <v>0</v>
      </c>
    </row>
    <row r="35013" ht="15.75" customHeight="1" spans="1:2">
      <c r="A35013" s="3" t="str">
        <f>IFERROR(__xludf.DUMMYFUNCTION("GOOGLETRANSLATE(A35013,""en"",""pt"")"),"Demasiado frágil para o uso diário")</f>
        <v>Demasiado frágil para o uso diário</v>
      </c>
      <c r="B35013" s="3">
        <v>0</v>
      </c>
    </row>
    <row r="35014" ht="15.75" customHeight="1" spans="1:2">
      <c r="A35014" s="3" t="str">
        <f>IFERROR(__xludf.DUMMYFUNCTION("GOOGLETRANSLATE(A35014,""en"",""pt"")"),"habitação pintado de prata.")</f>
        <v>habitação pintado de prata.</v>
      </c>
      <c r="B35014" s="3">
        <v>0</v>
      </c>
    </row>
    <row r="35015" ht="15.75" customHeight="1" spans="1:2">
      <c r="A35015" s="3" t="str">
        <f>IFERROR(__xludf.DUMMYFUNCTION("GOOGLETRANSLATE(A35015,""en"",""pt"")"),"Dobradiça é um pouco frágil, possíveis problemas de recepção, caro.")</f>
        <v>Dobradiça é um pouco frágil, possíveis problemas de recepção, caro.</v>
      </c>
      <c r="B35015" s="3">
        <v>0</v>
      </c>
    </row>
    <row r="35016" ht="15.75" customHeight="1" spans="1:2">
      <c r="A35016" s="3" t="str">
        <f>IFERROR(__xludf.DUMMYFUNCTION("GOOGLETRANSLATE(A35016,""en"",""pt"")"),"Desajeitado interface, complicado")</f>
        <v>Desajeitado interface, complicado</v>
      </c>
      <c r="B35016" s="3">
        <v>0</v>
      </c>
    </row>
    <row r="35017" ht="15.75" customHeight="1" spans="1:2">
      <c r="A35017" s="3" t="str">
        <f>IFERROR(__xludf.DUMMYFUNCTION("GOOGLETRANSLATE(A35017,""en"",""pt"")"),"prata revestimento de pintura, cinto desconfortável, tela difícil de ver na luz solar, pintura prata")</f>
        <v>prata revestimento de pintura, cinto desconfortável, tela difícil de ver na luz solar, pintura prata</v>
      </c>
      <c r="B35017" s="3">
        <v>0</v>
      </c>
    </row>
    <row r="35018" ht="15.75" customHeight="1" spans="1:2">
      <c r="A35018" s="3" t="str">
        <f>IFERROR(__xludf.DUMMYFUNCTION("GOOGLETRANSLATE(A35018,""en"",""pt"")"),"antena fraco que é facilmente quebrada.")</f>
        <v>antena fraco que é facilmente quebrada.</v>
      </c>
      <c r="B35018" s="3">
        <v>0</v>
      </c>
    </row>
    <row r="35019" ht="15.75" customHeight="1" spans="1:2">
      <c r="A35019" s="3" t="str">
        <f>IFERROR(__xludf.DUMMYFUNCTION("GOOGLETRANSLATE(A35019,""en"",""pt"")"),"A tela escurece consideravelmente após um período de tomada de tempo de lê-lo uma tarefa verdadeira")</f>
        <v>A tela escurece consideravelmente após um período de tomada de tempo de lê-lo uma tarefa verdadeira</v>
      </c>
      <c r="B35019" s="3">
        <v>0</v>
      </c>
    </row>
    <row r="35020" ht="15.75" customHeight="1" spans="1:2">
      <c r="A35020" s="3" t="str">
        <f>IFERROR(__xludf.DUMMYFUNCTION("GOOGLETRANSLATE(A35020,""en"",""pt"")"),"Mal feita, borracha sai, problemas técnicos")</f>
        <v>Mal feita, borracha sai, problemas técnicos</v>
      </c>
      <c r="B35020" s="3">
        <v>0</v>
      </c>
    </row>
    <row r="35021" ht="15.75" customHeight="1" spans="1:2">
      <c r="A35021" s="3" t="str">
        <f>IFERROR(__xludf.DUMMYFUNCTION("GOOGLETRANSLATE(A35021,""en"",""pt"")"),"Tela impossível ver ao ar livre.")</f>
        <v>Tela impossível ver ao ar livre.</v>
      </c>
      <c r="B35021" s="3">
        <v>0</v>
      </c>
    </row>
    <row r="35022" ht="15.75" customHeight="1" spans="1:2">
      <c r="A35022" s="3" t="str">
        <f>IFERROR(__xludf.DUMMYFUNCTION("GOOGLETRANSLATE(A35022,""en"",""pt"")"),"exibir pequena para navegação na web")</f>
        <v>exibir pequena para navegação na web</v>
      </c>
      <c r="B35022" s="3">
        <v>0</v>
      </c>
    </row>
    <row r="35023" ht="15.75" customHeight="1" spans="1:2">
      <c r="A35023" s="3" t="str">
        <f>IFERROR(__xludf.DUMMYFUNCTION("GOOGLETRANSLATE(A35023,""en"",""pt"")"),"browser?!? Qual é o ponto?")</f>
        <v>browser?!? Qual é o ponto?</v>
      </c>
      <c r="B35023" s="3">
        <v>0</v>
      </c>
    </row>
    <row r="35024" ht="15.75" customHeight="1" spans="1:2">
      <c r="A35024" s="3" t="str">
        <f>IFERROR(__xludf.DUMMYFUNCTION("GOOGLETRANSLATE(A35024,""en"",""pt"")"),"Antena (não pessoa importante), nenhum anel + VibraCall, não calandra (PDA)")</f>
        <v>Antena (não pessoa importante), nenhum anel + VibraCall, não calandra (PDA)</v>
      </c>
      <c r="B35024" s="3">
        <v>0</v>
      </c>
    </row>
    <row r="35025" ht="15.75" customHeight="1" spans="1:2">
      <c r="A35025" s="3" t="str">
        <f>IFERROR(__xludf.DUMMYFUNCTION("GOOGLETRANSLATE(A35025,""en"",""pt"")"),"toques irritantes, sistema de menu um pouco estranho")</f>
        <v>toques irritantes, sistema de menu um pouco estranho</v>
      </c>
      <c r="B35025" s="3">
        <v>0</v>
      </c>
    </row>
    <row r="35026" ht="15.75" customHeight="1" spans="1:2">
      <c r="A35026" s="3" t="str">
        <f>IFERROR(__xludf.DUMMYFUNCTION("GOOGLETRANSLATE(A35026,""en"",""pt"")"),"Preço, de interface / feautures, ""creakiness""")</f>
        <v>Preço, de interface / feautures, "creakiness"</v>
      </c>
      <c r="B35026" s="3">
        <v>0</v>
      </c>
    </row>
    <row r="35027" ht="15.75" customHeight="1" spans="1:2">
      <c r="A35027" s="3" t="str">
        <f>IFERROR(__xludf.DUMMYFUNCTION("GOOGLETRANSLATE(A35027,""en"",""pt"")"),"Sem calendário.")</f>
        <v>Sem calendário.</v>
      </c>
      <c r="B35027" s="3">
        <v>0</v>
      </c>
    </row>
    <row r="35028" ht="15.75" customHeight="1" spans="1:2">
      <c r="A35028" s="3" t="str">
        <f>IFERROR(__xludf.DUMMYFUNCTION("GOOGLETRANSLATE(A35028,""en"",""pt"")"),"qualidade questionável, não tão grandes attena")</f>
        <v>qualidade questionável, não tão grandes attena</v>
      </c>
      <c r="B35028" s="3">
        <v>0</v>
      </c>
    </row>
    <row r="35029" ht="15.75" customHeight="1" spans="1:2">
      <c r="A35029" s="3" t="str">
        <f>IFERROR(__xludf.DUMMYFUNCTION("GOOGLETRANSLATE(A35029,""en"",""pt"")"),"carregador antiga base não aceita o telefone (baterias ainda cobram)")</f>
        <v>carregador antiga base não aceita o telefone (baterias ainda cobram)</v>
      </c>
      <c r="B35029" s="3">
        <v>0</v>
      </c>
    </row>
    <row r="35030" ht="15.75" customHeight="1" spans="1:2">
      <c r="A35030" s="3" t="str">
        <f>IFERROR(__xludf.DUMMYFUNCTION("GOOGLETRANSLATE(A35030,""en"",""pt"")"),"Preço, frágil (inútil?) Antena")</f>
        <v>Preço, frágil (inútil?) Antena</v>
      </c>
      <c r="B35030" s="3">
        <v>0</v>
      </c>
    </row>
    <row r="35031" ht="15.75" customHeight="1" spans="1:2">
      <c r="A35031" s="3" t="str">
        <f>IFERROR(__xludf.DUMMYFUNCTION("GOOGLETRANSLATE(A35031,""en"",""pt"")"),"Antena??")</f>
        <v>Antena??</v>
      </c>
      <c r="B35031" s="3">
        <v>0</v>
      </c>
    </row>
    <row r="35032" ht="15.75" customHeight="1" spans="1:2">
      <c r="A35032" s="3" t="str">
        <f>IFERROR(__xludf.DUMMYFUNCTION("GOOGLETRANSLATE(A35032,""en"",""pt"")"),"Antena, tela, cor telefone")</f>
        <v>Antena, tela, cor telefone</v>
      </c>
      <c r="B35032" s="3">
        <v>0</v>
      </c>
    </row>
    <row r="35033" ht="15.75" customHeight="1" spans="1:2">
      <c r="A35033" s="3" t="str">
        <f>IFERROR(__xludf.DUMMYFUNCTION("GOOGLETRANSLATE(A35033,""en"",""pt"")"),"Antena tresanda-sempre quebrando, suporte de cinto de telefone é grande!")</f>
        <v>Antena tresanda-sempre quebrando, suporte de cinto de telefone é grande!</v>
      </c>
      <c r="B35033" s="3">
        <v>0</v>
      </c>
    </row>
    <row r="35034" ht="15.75" customHeight="1" spans="1:2">
      <c r="A35034" s="3" t="str">
        <f>IFERROR(__xludf.DUMMYFUNCTION("GOOGLETRANSLATE(A35034,""en"",""pt"")"),"Mais recursos do que eu uso provável")</f>
        <v>Mais recursos do que eu uso provável</v>
      </c>
      <c r="B35034" s="3">
        <v>0</v>
      </c>
    </row>
    <row r="35035" ht="15.75" customHeight="1" spans="1:2">
      <c r="A35035" s="3" t="str">
        <f>IFERROR(__xludf.DUMMYFUNCTION("GOOGLETRANSLATE(A35035,""en"",""pt"")"),"Preço. Visor pode ser difícil de ler sob luz solar intensa.")</f>
        <v>Preço. Visor pode ser difícil de ler sob luz solar intensa.</v>
      </c>
      <c r="B35035" s="3">
        <v>0</v>
      </c>
    </row>
    <row r="35036" ht="15.75" customHeight="1" spans="1:2">
      <c r="A35036" s="3" t="str">
        <f>IFERROR(__xludf.DUMMYFUNCTION("GOOGLETRANSLATE(A35036,""en"",""pt"")"),"A frágil bit")</f>
        <v>A frágil bit</v>
      </c>
      <c r="B35036" s="3">
        <v>0</v>
      </c>
    </row>
    <row r="35037" ht="15.75" customHeight="1" spans="1:2">
      <c r="A35037" s="3" t="str">
        <f>IFERROR(__xludf.DUMMYFUNCTION("GOOGLETRANSLATE(A35037,""en"",""pt"")"),"não pode usar o fone de ouvido funcionalidade para toda a extensão")</f>
        <v>não pode usar o fone de ouvido funcionalidade para toda a extensão</v>
      </c>
      <c r="B35037" s="3">
        <v>0</v>
      </c>
    </row>
    <row r="35038" ht="15.75" customHeight="1" spans="1:2">
      <c r="A35038" s="3" t="str">
        <f>IFERROR(__xludf.DUMMYFUNCTION("GOOGLETRANSLATE(A35038,""en"",""pt"")"),"Fraco desempenho da bateria")</f>
        <v>Fraco desempenho da bateria</v>
      </c>
      <c r="B35038" s="3">
        <v>0</v>
      </c>
    </row>
    <row r="35039" ht="15.75" customHeight="1" spans="1:2">
      <c r="A35039" s="3" t="str">
        <f>IFERROR(__xludf.DUMMYFUNCTION("GOOGLETRANSLATE(A35039,""en"",""pt"")"),"Eu não sou grande na capa de prata.")</f>
        <v>Eu não sou grande na capa de prata.</v>
      </c>
      <c r="B35039" s="3">
        <v>0</v>
      </c>
    </row>
    <row r="35040" ht="15.75" customHeight="1" spans="1:2">
      <c r="A35040" s="3" t="str">
        <f>IFERROR(__xludf.DUMMYFUNCTION("GOOGLETRANSLATE(A35040,""en"",""pt"")"),"Lousy antena set-up. Veja o comentário para o conselho modificação.")</f>
        <v>Lousy antena set-up. Veja o comentário para o conselho modificação.</v>
      </c>
      <c r="B35040" s="3">
        <v>0</v>
      </c>
    </row>
    <row r="35041" ht="15.75" customHeight="1" spans="1:2">
      <c r="A35041" s="3" t="str">
        <f>IFERROR(__xludf.DUMMYFUNCTION("GOOGLETRANSLATE(A35041,""en"",""pt"")"),"Pintura. Tela às vezes. CUSTO.")</f>
        <v>Pintura. Tela às vezes. CUSTO.</v>
      </c>
      <c r="B35041" s="3">
        <v>0</v>
      </c>
    </row>
    <row r="35042" ht="15.75" customHeight="1" spans="1:2">
      <c r="A35042" s="3" t="str">
        <f>IFERROR(__xludf.DUMMYFUNCTION("GOOGLETRANSLATE(A35042,""en"",""pt"")"),"Caro, display difícil de ver sob luz solar intensa, a antena pode ser redesenhado.")</f>
        <v>Caro, display difícil de ver sob luz solar intensa, a antena pode ser redesenhado.</v>
      </c>
      <c r="B35042" s="3">
        <v>0</v>
      </c>
    </row>
    <row r="35043" ht="15.75" customHeight="1" spans="1:2">
      <c r="A35043" s="3" t="str">
        <f>IFERROR(__xludf.DUMMYFUNCTION("GOOGLETRANSLATE(A35043,""en"",""pt"")"),"Sem discagem por voz, eu realmente sinto falta disso. . .")</f>
        <v>Sem discagem por voz, eu realmente sinto falta disso. . .</v>
      </c>
      <c r="B35043" s="3">
        <v>0</v>
      </c>
    </row>
    <row r="35044" ht="15.75" customHeight="1" spans="1:2">
      <c r="A35044" s="3" t="str">
        <f>IFERROR(__xludf.DUMMYFUNCTION("GOOGLETRANSLATE(A35044,""en"",""pt"")"),"Mais volumoso do que um StarTac, ecrã pequeno.")</f>
        <v>Mais volumoso do que um StarTac, ecrã pequeno.</v>
      </c>
      <c r="B35044" s="3">
        <v>0</v>
      </c>
    </row>
    <row r="35045" ht="15.75" customHeight="1" spans="1:2">
      <c r="A35045" s="3" t="str">
        <f>IFERROR(__xludf.DUMMYFUNCTION("GOOGLETRANSLATE(A35045,""en"",""pt"")"),"caso pintado, preço")</f>
        <v>caso pintado, preço</v>
      </c>
      <c r="B35045" s="3">
        <v>0</v>
      </c>
    </row>
    <row r="35046" ht="15.75" customHeight="1" spans="1:2">
      <c r="A35046" s="3" t="str">
        <f>IFERROR(__xludf.DUMMYFUNCTION("GOOGLETRANSLATE(A35046,""en"",""pt"")"),"estrutura Meny é difícil e disposição das teclas não é grande.")</f>
        <v>estrutura Meny é difícil e disposição das teclas não é grande.</v>
      </c>
      <c r="B35046" s="3">
        <v>0</v>
      </c>
    </row>
    <row r="35047" ht="15.75" customHeight="1" spans="1:2">
      <c r="A35047" s="3" t="str">
        <f>IFERROR(__xludf.DUMMYFUNCTION("GOOGLETRANSLATE(A35047,""en"",""pt"")"),"antenas")</f>
        <v>antenas</v>
      </c>
      <c r="B35047" s="3">
        <v>0</v>
      </c>
    </row>
    <row r="35048" ht="15.75" customHeight="1" spans="1:2">
      <c r="A35048" s="3" t="str">
        <f>IFERROR(__xludf.DUMMYFUNCTION("GOOGLETRANSLATE(A35048,""en"",""pt"")"),"Durabilidade de produto,")</f>
        <v>Durabilidade de produto,</v>
      </c>
      <c r="B35048" s="3">
        <v>0</v>
      </c>
    </row>
    <row r="35049" ht="15.75" customHeight="1" spans="1:2">
      <c r="A35049" s="3" t="str">
        <f>IFERROR(__xludf.DUMMYFUNCTION("GOOGLETRANSLATE(A35049,""en"",""pt"")"),"Não espere muitas cores!")</f>
        <v>Não espere muitas cores!</v>
      </c>
      <c r="B35049" s="3">
        <v>0</v>
      </c>
    </row>
    <row r="35050" ht="15.75" customHeight="1" spans="1:2">
      <c r="A35050" s="3" t="str">
        <f>IFERROR(__xludf.DUMMYFUNCTION("GOOGLETRANSLATE(A35050,""en"",""pt"")"),"Alguns podem não gostar da antena e pequenos botões, o seu melhor, então você poderia pensar")</f>
        <v>Alguns podem não gostar da antena e pequenos botões, o seu melhor, então você poderia pensar</v>
      </c>
      <c r="B35050" s="3">
        <v>0</v>
      </c>
    </row>
    <row r="35051" ht="15.75" customHeight="1" spans="1:2">
      <c r="A35051" s="3" t="str">
        <f>IFERROR(__xludf.DUMMYFUNCTION("GOOGLETRANSLATE(A35051,""en"",""pt"")"),"características idênticas ao StarTac, mais caro, não se sente sólida e durável")</f>
        <v>características idênticas ao StarTac, mais caro, não se sente sólida e durável</v>
      </c>
      <c r="B35051" s="3">
        <v>0</v>
      </c>
    </row>
    <row r="35052" ht="15.75" customHeight="1" spans="1:2">
      <c r="A35052" s="3" t="str">
        <f>IFERROR(__xludf.DUMMYFUNCTION("GOOGLETRANSLATE(A35052,""en"",""pt"")"),"tela pequena, má recepção, Antana é unconvinient, quebra facilmente, baixa vida útil da bateria")</f>
        <v>tela pequena, má recepção, Antana é unconvinient, quebra facilmente, baixa vida útil da bateria</v>
      </c>
      <c r="B35052" s="3">
        <v>0</v>
      </c>
    </row>
    <row r="35053" ht="15.75" customHeight="1" spans="1:2">
      <c r="A35053" s="3" t="str">
        <f>IFERROR(__xludf.DUMMYFUNCTION("GOOGLETRANSLATE(A35053,""en"",""pt"")"),"Pintar fichas off telefone")</f>
        <v>Pintar fichas off telefone</v>
      </c>
      <c r="B35053" s="3">
        <v>0</v>
      </c>
    </row>
    <row r="35054" ht="15.75" customHeight="1" spans="1:2">
      <c r="A35054" s="3" t="str">
        <f>IFERROR(__xludf.DUMMYFUNCTION("GOOGLETRANSLATE(A35054,""en"",""pt"")"),"Inverte enquanto aberto na rotação coldre se não tomar cuidado.")</f>
        <v>Inverte enquanto aberto na rotação coldre se não tomar cuidado.</v>
      </c>
      <c r="B35054" s="3">
        <v>0</v>
      </c>
    </row>
    <row r="35055" ht="15.75" customHeight="1" spans="1:2">
      <c r="A35055" s="3" t="str">
        <f>IFERROR(__xludf.DUMMYFUNCTION("GOOGLETRANSLATE(A35055,""en"",""pt"")"),"Má recepção, não muito durável")</f>
        <v>Má recepção, não muito durável</v>
      </c>
      <c r="B35055" s="3">
        <v>0</v>
      </c>
    </row>
    <row r="35056" ht="15.75" customHeight="1" spans="1:2">
      <c r="A35056" s="3" t="str">
        <f>IFERROR(__xludf.DUMMYFUNCTION("GOOGLETRANSLATE(A35056,""en"",""pt"")"),"Annena breaks fácil, mas não é necessário. Grande comparar com novos telefones com flip.")</f>
        <v>Annena breaks fácil, mas não é necessário. Grande comparar com novos telefones com flip.</v>
      </c>
      <c r="B35056" s="3">
        <v>0</v>
      </c>
    </row>
    <row r="35057" ht="15.75" customHeight="1" spans="1:2">
      <c r="A35057" s="3" t="str">
        <f>IFERROR(__xludf.DUMMYFUNCTION("GOOGLETRANSLATE(A35057,""en"",""pt"")"),"antena, desconfortável no coldre")</f>
        <v>antena, desconfortável no coldre</v>
      </c>
      <c r="B35057" s="3">
        <v>0</v>
      </c>
    </row>
    <row r="35058" ht="15.75" customHeight="1" spans="1:2">
      <c r="A35058" s="3" t="str">
        <f>IFERROR(__xludf.DUMMYFUNCTION("GOOGLETRANSLATE(A35058,""en"",""pt"")"),"bateria - preocupações de radiação - preço?")</f>
        <v>bateria - preocupações de radiação - preço?</v>
      </c>
      <c r="B35058" s="3">
        <v>0</v>
      </c>
    </row>
    <row r="35059" ht="15.75" customHeight="1" spans="1:2">
      <c r="A35059" s="3" t="str">
        <f>IFERROR(__xludf.DUMMYFUNCTION("GOOGLETRANSLATE(A35059,""en"",""pt"")"),"tela difícil de ler na luz solar")</f>
        <v>tela difícil de ler na luz solar</v>
      </c>
      <c r="B35059" s="3">
        <v>0</v>
      </c>
    </row>
    <row r="35060" ht="15.75" customHeight="1" spans="1:2">
      <c r="A35060" s="3" t="str">
        <f>IFERROR(__xludf.DUMMYFUNCTION("GOOGLETRANSLATE(A35060,""en"",""pt"")"),"Veja a resenha corpo.")</f>
        <v>Veja a resenha corpo.</v>
      </c>
      <c r="B35060" s="3">
        <v>0</v>
      </c>
    </row>
    <row r="35061" ht="15.75" customHeight="1" spans="1:2">
      <c r="A35061" s="3" t="str">
        <f>IFERROR(__xludf.DUMMYFUNCTION("GOOGLETRANSLATE(A35061,""en"",""pt"")"),"rácio de recurso-a-preço de um novo 7210, tela medíocre, não há memória suficiente")</f>
        <v>rácio de recurso-a-preço de um novo 7210, tela medíocre, não há memória suficiente</v>
      </c>
      <c r="B35061" s="3">
        <v>0</v>
      </c>
    </row>
    <row r="35062" ht="15.75" customHeight="1" spans="1:2">
      <c r="A35062" s="3" t="str">
        <f>IFERROR(__xludf.DUMMYFUNCTION("GOOGLETRANSLATE(A35062,""en"",""pt"")"),"Sem bluetooth, sem câmera, não há memória suficiente, cabo curto headset")</f>
        <v>Sem bluetooth, sem câmera, não há memória suficiente, cabo curto headset</v>
      </c>
      <c r="B35062" s="3">
        <v>0</v>
      </c>
    </row>
    <row r="35063" ht="15.75" customHeight="1" spans="1:2">
      <c r="A35063" s="3" t="str">
        <f>IFERROR(__xludf.DUMMYFUNCTION("GOOGLETRANSLATE(A35063,""en"",""pt"")"),"Não construído em câmera, teclado leva algum tempo para se acostumar, o botão ON / OFF irritante")</f>
        <v>Não construído em câmera, teclado leva algum tempo para se acostumar, o botão ON / OFF irritante</v>
      </c>
      <c r="B35063" s="3">
        <v>0</v>
      </c>
    </row>
    <row r="35064" ht="15.75" customHeight="1" spans="1:2">
      <c r="A35064" s="3" t="str">
        <f>IFERROR(__xludf.DUMMYFUNCTION("GOOGLETRANSLATE(A35064,""en"",""pt"")"),"contraste do display, teclado botões novo design.")</f>
        <v>contraste do display, teclado botões novo design.</v>
      </c>
      <c r="B35064" s="3">
        <v>0</v>
      </c>
    </row>
    <row r="35065" ht="15.75" customHeight="1" spans="1:2">
      <c r="A35065" s="3" t="str">
        <f>IFERROR(__xludf.DUMMYFUNCTION("GOOGLETRANSLATE(A35065,""en"",""pt"")"),"Alguma distorção de voz (leia abaixo), acessórios mais preço Não há comandos de voz")</f>
        <v>Alguma distorção de voz (leia abaixo), acessórios mais preço Não há comandos de voz</v>
      </c>
      <c r="B35065" s="3">
        <v>0</v>
      </c>
    </row>
    <row r="35066" ht="15.75" customHeight="1" spans="1:2">
      <c r="A35066" s="3" t="str">
        <f>IFERROR(__xludf.DUMMYFUNCTION("GOOGLETRANSLATE(A35066,""en"",""pt"")"),"qualidade de som terrível. mãos-livres ridículo. Ea tela muito pobre.")</f>
        <v>qualidade de som terrível. mãos-livres ridículo. Ea tela muito pobre.</v>
      </c>
      <c r="B35066" s="3">
        <v>0</v>
      </c>
    </row>
    <row r="35067" ht="15.75" customHeight="1" spans="1:2">
      <c r="A35067" s="3" t="str">
        <f>IFERROR(__xludf.DUMMYFUNCTION("GOOGLETRANSLATE(A35067,""en"",""pt"")"),"Chaves são muito pequenas. Estranho no início, devido à colocação irregular.")</f>
        <v>Chaves são muito pequenas. Estranho no início, devido à colocação irregular.</v>
      </c>
      <c r="B35067" s="3">
        <v>0</v>
      </c>
    </row>
    <row r="35068" ht="15.75" customHeight="1" spans="1:2">
      <c r="A35068" s="3" t="str">
        <f>IFERROR(__xludf.DUMMYFUNCTION("GOOGLETRANSLATE(A35068,""en"",""pt"")"),"Alguns podem não gostar do estilo pouco ortodoxo. (Experimente a 6610 em vez disso).")</f>
        <v>Alguns podem não gostar do estilo pouco ortodoxo. (Experimente a 6610 em vez disso).</v>
      </c>
      <c r="B35068" s="3">
        <v>0</v>
      </c>
    </row>
    <row r="35069" ht="15.75" customHeight="1" spans="1:2">
      <c r="A35069" s="3" t="str">
        <f>IFERROR(__xludf.DUMMYFUNCTION("GOOGLETRANSLATE(A35069,""en"",""pt"")"),"Não Bluetooth e apego câmera")</f>
        <v>Não Bluetooth e apego câmera</v>
      </c>
      <c r="B35069" s="3">
        <v>0</v>
      </c>
    </row>
    <row r="35070" ht="15.75" customHeight="1" spans="1:2">
      <c r="A35070" s="3" t="str">
        <f>IFERROR(__xludf.DUMMYFUNCTION("GOOGLETRANSLATE(A35070,""en"",""pt"")"),"Alguns podem não gostar do estilo pouco ortodoxo. (Experimente a 6610 em vez disso).")</f>
        <v>Alguns podem não gostar do estilo pouco ortodoxo. (Experimente a 6610 em vez disso).</v>
      </c>
      <c r="B35070" s="3">
        <v>0</v>
      </c>
    </row>
    <row r="35071" ht="15.75" customHeight="1" spans="1:2">
      <c r="A35071" s="3" t="str">
        <f>IFERROR(__xludf.DUMMYFUNCTION("GOOGLETRANSLATE(A35071,""en"",""pt"")"),"preço pesado, Não Bluetooth, tela não ""que"" brilhante")</f>
        <v>preço pesado, Não Bluetooth, tela não "que" brilhante</v>
      </c>
      <c r="B35071" s="3">
        <v>0</v>
      </c>
    </row>
    <row r="35072" ht="15.75" customHeight="1" spans="1:2">
      <c r="A35072" s="3" t="str">
        <f>IFERROR(__xludf.DUMMYFUNCTION("GOOGLETRANSLATE(A35072,""en"",""pt"")"),"Não posso enviar MMS, nenhum Bluetooth, teclado estranho")</f>
        <v>Não posso enviar MMS, nenhum Bluetooth, teclado estranho</v>
      </c>
      <c r="B35072" s="3">
        <v>0</v>
      </c>
    </row>
    <row r="35073" ht="15.75" customHeight="1" spans="1:2">
      <c r="A35073" s="3" t="str">
        <f>IFERROR(__xludf.DUMMYFUNCTION("GOOGLETRANSLATE(A35073,""en"",""pt"")"),"remoção de ouvido peças de telefone é difícil.")</f>
        <v>remoção de ouvido peças de telefone é difícil.</v>
      </c>
      <c r="B35073" s="3">
        <v>0</v>
      </c>
    </row>
    <row r="35074" ht="15.75" customHeight="1" spans="1:2">
      <c r="A35074" s="3" t="str">
        <f>IFERROR(__xludf.DUMMYFUNCTION("GOOGLETRANSLATE(A35074,""en"",""pt"")"),"interface de tolice, conjunto mãos livres estúpido.")</f>
        <v>interface de tolice, conjunto mãos livres estúpido.</v>
      </c>
      <c r="B35074" s="3">
        <v>0</v>
      </c>
    </row>
    <row r="35075" ht="15.75" customHeight="1" spans="1:2">
      <c r="A35075" s="3" t="str">
        <f>IFERROR(__xludf.DUMMYFUNCTION("GOOGLETRANSLATE(A35075,""en"",""pt"")"),"opção de vibração fraca")</f>
        <v>opção de vibração fraca</v>
      </c>
      <c r="B35075" s="3">
        <v>0</v>
      </c>
    </row>
    <row r="35076" ht="15.75" customHeight="1" spans="1:2">
      <c r="A35076" s="3" t="str">
        <f>IFERROR(__xludf.DUMMYFUNCTION("GOOGLETRANSLATE(A35076,""en"",""pt"")"),"desconecta fone de ouvido e tela de-Clareia!")</f>
        <v>desconecta fone de ouvido e tela de-Clareia!</v>
      </c>
      <c r="B35076" s="3">
        <v>0</v>
      </c>
    </row>
    <row r="35077" ht="15.75" customHeight="1" spans="1:2">
      <c r="A35077" s="3" t="str">
        <f>IFERROR(__xludf.DUMMYFUNCTION("GOOGLETRANSLATE(A35077,""en"",""pt"")"),"UI lento, nenhuma tomada de fone de ouvido 2,5 milímetros, muito grande.")</f>
        <v>UI lento, nenhuma tomada de fone de ouvido 2,5 milímetros, muito grande.</v>
      </c>
      <c r="B35077" s="3">
        <v>0</v>
      </c>
    </row>
    <row r="35078" ht="15.75" customHeight="1" spans="1:2">
      <c r="A35078" s="3" t="str">
        <f>IFERROR(__xludf.DUMMYFUNCTION("GOOGLETRANSLATE(A35078,""en"",""pt"")"),"Teclado, qualidade de voz, a qualidade do sinal, conector de fone de ouvido proprietário, sem Bluetooth")</f>
        <v>Teclado, qualidade de voz, a qualidade do sinal, conector de fone de ouvido proprietário, sem Bluetooth</v>
      </c>
      <c r="B35078" s="3">
        <v>0</v>
      </c>
    </row>
    <row r="35079" ht="15.75" customHeight="1" spans="1:2">
      <c r="A35079" s="3" t="str">
        <f>IFERROR(__xludf.DUMMYFUNCTION("GOOGLETRANSLATE(A35079,""en"",""pt"")"),"Muito caro")</f>
        <v>Muito caro</v>
      </c>
      <c r="B35079" s="3">
        <v>0</v>
      </c>
    </row>
    <row r="35080" ht="15.75" customHeight="1" spans="1:2">
      <c r="A35080" s="3" t="str">
        <f>IFERROR(__xludf.DUMMYFUNCTION("GOOGLETRANSLATE(A35080,""en"",""pt"")"),"ringtone fraco, pobre handfree &amp; teclado e rádio")</f>
        <v>ringtone fraco, pobre handfree &amp; teclado e rádio</v>
      </c>
      <c r="B35080" s="3">
        <v>0</v>
      </c>
    </row>
    <row r="35081" ht="15.75" customHeight="1" spans="1:2">
      <c r="A35081" s="3" t="str">
        <f>IFERROR(__xludf.DUMMYFUNCTION("GOOGLETRANSLATE(A35081,""en"",""pt"")"),"O preço é elevado em comparação com outros telemóveis.")</f>
        <v>O preço é elevado em comparação com outros telemóveis.</v>
      </c>
      <c r="B35081" s="3">
        <v>0</v>
      </c>
    </row>
    <row r="35082" ht="15.75" customHeight="1" spans="1:2">
      <c r="A35082" s="3" t="str">
        <f>IFERROR(__xludf.DUMMYFUNCTION("GOOGLETRANSLATE(A35082,""en"",""pt"")"),"Um pouco mais pesado do que os telefones bonitinho")</f>
        <v>Um pouco mais pesado do que os telefones bonitinho</v>
      </c>
      <c r="B35082" s="3">
        <v>0</v>
      </c>
    </row>
    <row r="35083" ht="15.75" customHeight="1" spans="1:2">
      <c r="A35083" s="3" t="str">
        <f>IFERROR(__xludf.DUMMYFUNCTION("GOOGLETRANSLATE(A35083,""en"",""pt"")"),"Nenhum.")</f>
        <v>Nenhum.</v>
      </c>
      <c r="B35083" s="3">
        <v>0</v>
      </c>
    </row>
    <row r="35084" ht="15.75" customHeight="1" spans="1:2">
      <c r="A35084" s="3" t="str">
        <f>IFERROR(__xludf.DUMMYFUNCTION("GOOGLETRANSLATE(A35084,""en"",""pt"")"),"antena frágil, pequenos botões, não muitos acessórios ainda")</f>
        <v>antena frágil, pequenos botões, não muitos acessórios ainda</v>
      </c>
      <c r="B35084" s="3">
        <v>0</v>
      </c>
    </row>
    <row r="35085" ht="15.75" customHeight="1" spans="1:2">
      <c r="A35085" s="3" t="str">
        <f>IFERROR(__xludf.DUMMYFUNCTION("GOOGLETRANSLATE(A35085,""en"",""pt"")"),"Não é muito resistente, parece um pouco no lado barato, acessórios caros.")</f>
        <v>Não é muito resistente, parece um pouco no lado barato, acessórios caros.</v>
      </c>
      <c r="B35085" s="3">
        <v>0</v>
      </c>
    </row>
    <row r="35086" ht="15.75" customHeight="1" spans="1:2">
      <c r="A35086" s="3" t="str">
        <f>IFERROR(__xludf.DUMMYFUNCTION("GOOGLETRANSLATE(A35086,""en"",""pt"")"),"Nenhum que eu vejo")</f>
        <v>Nenhum que eu vejo</v>
      </c>
      <c r="B35086" s="3">
        <v>0</v>
      </c>
    </row>
    <row r="35087" ht="15.75" customHeight="1" spans="1:2">
      <c r="A35087" s="3" t="str">
        <f>IFERROR(__xludf.DUMMYFUNCTION("GOOGLETRANSLATE(A35087,""en"",""pt"")"),"Acessórios difíceis de encontrar e ainda um pouco caro.")</f>
        <v>Acessórios difíceis de encontrar e ainda um pouco caro.</v>
      </c>
      <c r="B35087" s="3">
        <v>0</v>
      </c>
    </row>
    <row r="35088" ht="15.75" customHeight="1" spans="1:2">
      <c r="A35088" s="3" t="str">
        <f>IFERROR(__xludf.DUMMYFUNCTION("GOOGLETRANSLATE(A35088,""en"",""pt"")"),"Frágil Antena, Ringers poderia ser melhor")</f>
        <v>Frágil Antena, Ringers poderia ser melhor</v>
      </c>
      <c r="B35088" s="3">
        <v>0</v>
      </c>
    </row>
    <row r="35089" ht="15.75" customHeight="1" spans="1:2">
      <c r="A35089" s="3" t="str">
        <f>IFERROR(__xludf.DUMMYFUNCTION("GOOGLETRANSLATE(A35089,""en"",""pt"")"),"Absolutamente nada!")</f>
        <v>Absolutamente nada!</v>
      </c>
      <c r="B35089" s="3">
        <v>0</v>
      </c>
    </row>
    <row r="35090" ht="15.75" customHeight="1" spans="1:2">
      <c r="A35090" s="3" t="str">
        <f>IFERROR(__xludf.DUMMYFUNCTION("GOOGLETRANSLATE(A35090,""en"",""pt"")"),"Ainda novo - alguns faceplates e acessórios disponíveis agora &amp; # 13;. &amp; # 10;")</f>
        <v>Ainda novo - alguns faceplates e acessórios disponíveis agora &amp; # 13;. &amp; # 10;</v>
      </c>
      <c r="B35090" s="3">
        <v>0</v>
      </c>
    </row>
    <row r="35091" ht="15.75" customHeight="1" spans="1:2">
      <c r="A35091" s="3" t="str">
        <f>IFERROR(__xludf.DUMMYFUNCTION("GOOGLETRANSLATE(A35091,""en"",""pt"")"),"qualidade do som é apenas por isso")</f>
        <v>qualidade do som é apenas por isso</v>
      </c>
      <c r="B35091" s="3">
        <v>0</v>
      </c>
    </row>
    <row r="35092" ht="15.75" customHeight="1" spans="1:2">
      <c r="A35092" s="3" t="str">
        <f>IFERROR(__xludf.DUMMYFUNCTION("GOOGLETRANSLATE(A35092,""en"",""pt"")"),"BATERIA STINKS, DURABILIDADE STINKS")</f>
        <v>BATERIA STINKS, DURABILIDADE STINKS</v>
      </c>
      <c r="B35092" s="3">
        <v>0</v>
      </c>
    </row>
    <row r="35093" ht="15.75" customHeight="1" spans="1:2">
      <c r="A35093" s="3" t="str">
        <f>IFERROR(__xludf.DUMMYFUNCTION("GOOGLETRANSLATE(A35093,""en"",""pt"")"),"Chaves fácil galo se guarda não em")</f>
        <v>Chaves fácil galo se guarda não em</v>
      </c>
      <c r="B35093" s="3">
        <v>0</v>
      </c>
    </row>
    <row r="35094" ht="15.75" customHeight="1" spans="1:2">
      <c r="A35094" s="3" t="str">
        <f>IFERROR(__xludf.DUMMYFUNCTION("GOOGLETRANSLATE(A35094,""en"",""pt"")"),"Volume muito baixo, recepção nem sempre é bom.")</f>
        <v>Volume muito baixo, recepção nem sempre é bom.</v>
      </c>
      <c r="B35094" s="3">
        <v>0</v>
      </c>
    </row>
    <row r="35095" ht="15.75" customHeight="1" spans="1:2">
      <c r="A35095" s="3" t="str">
        <f>IFERROR(__xludf.DUMMYFUNCTION("GOOGLETRANSLATE(A35095,""en"",""pt"")"),"Bad escolha de tons de toque, botões barulhento")</f>
        <v>Bad escolha de tons de toque, botões barulhento</v>
      </c>
      <c r="B35095" s="3">
        <v>0</v>
      </c>
    </row>
    <row r="35096" ht="15.75" customHeight="1" spans="1:2">
      <c r="A35096" s="3" t="s">
        <v>192</v>
      </c>
      <c r="B35096" s="3">
        <v>0</v>
      </c>
    </row>
    <row r="35097" ht="15.75" customHeight="1" spans="1:2">
      <c r="A35097" s="3" t="str">
        <f>IFERROR(__xludf.DUMMYFUNCTION("GOOGLETRANSLATE(A35097,""en"",""pt"")"),"qualidade de som ruim")</f>
        <v>qualidade de som ruim</v>
      </c>
      <c r="B35097" s="3">
        <v>0</v>
      </c>
    </row>
    <row r="35098" ht="15.75" customHeight="1" spans="1:2">
      <c r="A35098" s="3" t="str">
        <f>IFERROR(__xludf.DUMMYFUNCTION("GOOGLETRANSLATE(A35098,""en"",""pt"")"),"problemas W / no telefone: muito extenso menu, antena frágil, curta duração da bateria")</f>
        <v>problemas W / no telefone: muito extenso menu, antena frágil, curta duração da bateria</v>
      </c>
      <c r="B35098" s="3">
        <v>0</v>
      </c>
    </row>
    <row r="35099" ht="15.75" customHeight="1" spans="1:2">
      <c r="A35099" s="3" t="str">
        <f>IFERROR(__xludf.DUMMYFUNCTION("GOOGLETRANSLATE(A35099,""en"",""pt"")"),"não queria carga! Má recepção.")</f>
        <v>não queria carga! Má recepção.</v>
      </c>
      <c r="B35099" s="3">
        <v>0</v>
      </c>
    </row>
    <row r="35100" ht="15.75" customHeight="1" spans="1:2">
      <c r="A35100" s="3" t="str">
        <f>IFERROR(__xludf.DUMMYFUNCTION("GOOGLETRANSLATE(A35100,""en"",""pt"")"),"Bateria demora 3 horas para carregar.")</f>
        <v>Bateria demora 3 horas para carregar.</v>
      </c>
      <c r="B35100" s="3">
        <v>0</v>
      </c>
    </row>
    <row r="35101" ht="15.75" customHeight="1" spans="1:2">
      <c r="A35101" s="3" t="str">
        <f>IFERROR(__xludf.DUMMYFUNCTION("GOOGLETRANSLATE(A35101,""en"",""pt"")"),"má recepção")</f>
        <v>má recepção</v>
      </c>
      <c r="B35101" s="3">
        <v>0</v>
      </c>
    </row>
    <row r="35102" ht="15.75" customHeight="1" spans="1:2">
      <c r="A35102" s="3" t="str">
        <f>IFERROR(__xludf.DUMMYFUNCTION("GOOGLETRANSLATE(A35102,""en"",""pt"")"),"não um ainda")</f>
        <v>não um ainda</v>
      </c>
      <c r="B35102" s="3">
        <v>0</v>
      </c>
    </row>
    <row r="35103" ht="15.75" customHeight="1" spans="1:2">
      <c r="A35103" s="3" t="str">
        <f>IFERROR(__xludf.DUMMYFUNCTION("GOOGLETRANSLATE(A35103,""en"",""pt"")"),"É um pouco grande e klunky.")</f>
        <v>É um pouco grande e klunky.</v>
      </c>
      <c r="B35103" s="3">
        <v>0</v>
      </c>
    </row>
    <row r="35104" ht="15.75" customHeight="1" spans="1:2">
      <c r="A35104" s="3" t="str">
        <f>IFERROR(__xludf.DUMMYFUNCTION("GOOGLETRANSLATE(A35104,""en"",""pt"")"),"Não tão fria como outros telefones celulares no mercado.")</f>
        <v>Não tão fria como outros telefones celulares no mercado.</v>
      </c>
      <c r="B35104" s="3">
        <v>0</v>
      </c>
    </row>
    <row r="35105" ht="15.75" customHeight="1" spans="1:2">
      <c r="A35105" s="3" t="str">
        <f>IFERROR(__xludf.DUMMYFUNCTION("GOOGLETRANSLATE(A35105,""en"",""pt"")"),"Difícil de encontrar acessórios para este telefone. A vida da bateria poderia ser melhor.")</f>
        <v>Difícil de encontrar acessórios para este telefone. A vida da bateria poderia ser melhor.</v>
      </c>
      <c r="B35105" s="3">
        <v>0</v>
      </c>
    </row>
    <row r="35106" ht="15.75" customHeight="1" spans="1:2">
      <c r="A35106" s="3" t="str">
        <f>IFERROR(__xludf.DUMMYFUNCTION("GOOGLETRANSLATE(A35106,""en"",""pt"")"),"""OK"" e botões ""Enviar"" estão muito próximos, minor bug com alertas de sistema")</f>
        <v>"OK" e botões "Enviar" estão muito próximos, minor bug com alertas de sistema</v>
      </c>
      <c r="B35106" s="3">
        <v>0</v>
      </c>
    </row>
    <row r="35107" ht="15.75" customHeight="1" spans="1:2">
      <c r="A35107" s="3" t="str">
        <f>IFERROR(__xludf.DUMMYFUNCTION("GOOGLETRANSLATE(A35107,""en"",""pt"")"),"Um pouco mais grosso do que o modelo mais antigo 2035")</f>
        <v>Um pouco mais grosso do que o modelo mais antigo 2035</v>
      </c>
      <c r="B35107" s="3">
        <v>0</v>
      </c>
    </row>
    <row r="35108" ht="15.75" customHeight="1" spans="1:2">
      <c r="A35108" s="3" t="str">
        <f>IFERROR(__xludf.DUMMYFUNCTION("GOOGLETRANSLATE(A35108,""en"",""pt"")"),"tamanho grande")</f>
        <v>tamanho grande</v>
      </c>
      <c r="B35108" s="3">
        <v>0</v>
      </c>
    </row>
    <row r="35109" ht="15.75" customHeight="1" spans="1:2">
      <c r="A35109" s="3" t="str">
        <f>IFERROR(__xludf.DUMMYFUNCTION("GOOGLETRANSLATE(A35109,""en"",""pt"")"),"Nenhum ainda")</f>
        <v>Nenhum ainda</v>
      </c>
      <c r="B35109" s="3">
        <v>0</v>
      </c>
    </row>
    <row r="35110" ht="15.75" customHeight="1" spans="1:2">
      <c r="A35110" s="3" t="str">
        <f>IFERROR(__xludf.DUMMYFUNCTION("GOOGLETRANSLATE(A35110,""en"",""pt"")"),"A vida da bateria é extremamente curto, e os botões são muito pequenos.")</f>
        <v>A vida da bateria é extremamente curto, e os botões são muito pequenos.</v>
      </c>
      <c r="B35110" s="3">
        <v>0</v>
      </c>
    </row>
    <row r="35111" ht="15.75" customHeight="1" spans="1:2">
      <c r="A35111" s="3" t="str">
        <f>IFERROR(__xludf.DUMMYFUNCTION("GOOGLETRANSLATE(A35111,""en"",""pt"")"),"Má recepção, antena frágil, vida útil da bateria assim-assim.")</f>
        <v>Má recepção, antena frágil, vida útil da bateria assim-assim.</v>
      </c>
      <c r="B35111" s="3">
        <v>0</v>
      </c>
    </row>
    <row r="35112" ht="15.75" customHeight="1" spans="1:2">
      <c r="A35112" s="3" t="str">
        <f>IFERROR(__xludf.DUMMYFUNCTION("GOOGLETRANSLATE(A35112,""en"",""pt"")"),"mãos livres baixo volume, o tamanho deve ser menor")</f>
        <v>mãos livres baixo volume, o tamanho deve ser menor</v>
      </c>
      <c r="B35112" s="3">
        <v>0</v>
      </c>
    </row>
    <row r="35113" ht="15.75" customHeight="1" spans="1:2">
      <c r="A35113" s="3" t="str">
        <f>IFERROR(__xludf.DUMMYFUNCTION("GOOGLETRANSLATE(A35113,""en"",""pt"")"),"vida útil da bateria terrível, lixo cheep")</f>
        <v>vida útil da bateria terrível, lixo cheep</v>
      </c>
      <c r="B35113" s="3">
        <v>0</v>
      </c>
    </row>
    <row r="35114" ht="15.75" customHeight="1" spans="1:2">
      <c r="A35114" s="3" t="str">
        <f>IFERROR(__xludf.DUMMYFUNCTION("GOOGLETRANSLATE(A35114,""en"",""pt"")"),"Frágil antena, muito básico")</f>
        <v>Frágil antena, muito básico</v>
      </c>
      <c r="B35114" s="3">
        <v>0</v>
      </c>
    </row>
    <row r="35115" ht="15.75" customHeight="1" spans="1:2">
      <c r="A35115" s="3" t="str">
        <f>IFERROR(__xludf.DUMMYFUNCTION("GOOGLETRANSLATE(A35115,""en"",""pt"")"),"Alterando o painel frontal é ligeiramente desafiador. Nenhum outro que cons I pode pensar!")</f>
        <v>Alterando o painel frontal é ligeiramente desafiador. Nenhum outro que cons I pode pensar!</v>
      </c>
      <c r="B35115" s="3">
        <v>0</v>
      </c>
    </row>
    <row r="35116" ht="15.75" customHeight="1" spans="1:2">
      <c r="A35116" s="3" t="str">
        <f>IFERROR(__xludf.DUMMYFUNCTION("GOOGLETRANSLATE(A35116,""en"",""pt"")"),"Limitadas (incluída) de toques")</f>
        <v>Limitadas (incluída) de toques</v>
      </c>
      <c r="B35116" s="3">
        <v>0</v>
      </c>
    </row>
    <row r="35117" ht="15.75" customHeight="1" spans="1:2">
      <c r="A35117" s="3" t="str">
        <f>IFERROR(__xludf.DUMMYFUNCTION("GOOGLETRANSLATE(A35117,""en"",""pt"")"),"Algumas animações e sons não podem ser alteradas, ter que baixar apenas com Telus online.")</f>
        <v>Algumas animações e sons não podem ser alteradas, ter que baixar apenas com Telus online.</v>
      </c>
      <c r="B35117" s="3">
        <v>0</v>
      </c>
    </row>
    <row r="35118" ht="15.75" customHeight="1" spans="1:2">
      <c r="A35118" s="3" t="str">
        <f>IFERROR(__xludf.DUMMYFUNCTION("GOOGLETRANSLATE(A35118,""en"",""pt"")"),"inutilizável qualidade de imagem, vida da bateria pobres, viva-voz inútil, peculiar características que você não pode desativar")</f>
        <v>inutilizável qualidade de imagem, vida da bateria pobres, viva-voz inútil, peculiar características que você não pode desativar</v>
      </c>
      <c r="B35118" s="3">
        <v>0</v>
      </c>
    </row>
    <row r="35119" ht="15.75" customHeight="1" spans="1:2">
      <c r="A35119" s="3" t="str">
        <f>IFERROR(__xludf.DUMMYFUNCTION("GOOGLETRANSLATE(A35119,""en"",""pt"")"),"banners Verizon, pobre viva-voz, teclas planas")</f>
        <v>banners Verizon, pobre viva-voz, teclas planas</v>
      </c>
      <c r="B35119" s="3">
        <v>0</v>
      </c>
    </row>
    <row r="35120" ht="15.75" customHeight="1" spans="1:2">
      <c r="A35120" s="3" t="str">
        <f>IFERROR(__xludf.DUMMYFUNCTION("GOOGLETRANSLATE(A35120,""en"",""pt"")"),"Verizon")</f>
        <v>Verizon</v>
      </c>
      <c r="B35120" s="3">
        <v>0</v>
      </c>
    </row>
    <row r="35121" ht="15.75" customHeight="1" spans="1:2">
      <c r="A35121" s="3" t="str">
        <f>IFERROR(__xludf.DUMMYFUNCTION("GOOGLETRANSLATE(A35121,""en"",""pt"")"),"Freqüentemente chamadas abandonadas; má recepção; energização sparratic off; drenagem da bateria aleatório")</f>
        <v>Freqüentemente chamadas abandonadas; má recepção; energização sparratic off; drenagem da bateria aleatório</v>
      </c>
      <c r="B35121" s="3">
        <v>0</v>
      </c>
    </row>
    <row r="35122" ht="15.75" customHeight="1" spans="1:2">
      <c r="A35122" s="3" t="str">
        <f>IFERROR(__xludf.DUMMYFUNCTION("GOOGLETRANSLATE(A35122,""en"",""pt"")"),"Difícil configure; curva de alta aprendizagem.")</f>
        <v>Difícil configure; curva de alta aprendizagem.</v>
      </c>
      <c r="B35122" s="3">
        <v>0</v>
      </c>
    </row>
    <row r="35123" ht="15.75" customHeight="1" spans="1:2">
      <c r="A35123" s="3" t="str">
        <f>IFERROR(__xludf.DUMMYFUNCTION("GOOGLETRANSLATE(A35123,""en"",""pt"")"),"get-it-now, a falta de customizablility, verizon banners")</f>
        <v>get-it-now, a falta de customizablility, verizon banners</v>
      </c>
      <c r="B35123" s="3">
        <v>0</v>
      </c>
    </row>
    <row r="35124" ht="15.75" customHeight="1" spans="1:2">
      <c r="A35124" s="3" t="str">
        <f>IFERROR(__xludf.DUMMYFUNCTION("GOOGLETRANSLATE(A35124,""en"",""pt"")"),"Embalado com características irritantes - experimente antes de comprar")</f>
        <v>Embalado com características irritantes - experimente antes de comprar</v>
      </c>
      <c r="B35124" s="3">
        <v>0</v>
      </c>
    </row>
    <row r="35125" ht="15.75" customHeight="1" spans="1:2">
      <c r="A35125" s="3" t="str">
        <f>IFERROR(__xludf.DUMMYFUNCTION("GOOGLETRANSLATE(A35125,""en"",""pt"")"),"câmera inútil, ea mensagem ""Verizon Wireless"" a cada 5 segundos.")</f>
        <v>câmera inútil, ea mensagem "Verizon Wireless" a cada 5 segundos.</v>
      </c>
      <c r="B35125" s="3">
        <v>0</v>
      </c>
    </row>
    <row r="35126" ht="15.75" customHeight="1" spans="1:2">
      <c r="A35126" s="3" t="str">
        <f>IFERROR(__xludf.DUMMYFUNCTION("GOOGLETRANSLATE(A35126,""en"",""pt"")"),"bandeira Verizon Wireless, ringtones tranquilos, viva-voz é um bocado esboçado")</f>
        <v>bandeira Verizon Wireless, ringtones tranquilos, viva-voz é um bocado esboçado</v>
      </c>
      <c r="B35126" s="3">
        <v>0</v>
      </c>
    </row>
    <row r="35127" ht="15.75" customHeight="1" spans="1:2">
      <c r="A35127" s="3" t="str">
        <f>IFERROR(__xludf.DUMMYFUNCTION("GOOGLETRANSLATE(A35127,""en"",""pt"")"),"Viva-voz é horrível")</f>
        <v>Viva-voz é horrível</v>
      </c>
      <c r="B35127" s="3">
        <v>0</v>
      </c>
    </row>
    <row r="35128" ht="15.75" customHeight="1" spans="1:2">
      <c r="A35128" s="3" t="str">
        <f>IFERROR(__xludf.DUMMYFUNCTION("GOOGLETRANSLATE(A35128,""en"",""pt"")"),"tela tampa verde.")</f>
        <v>tela tampa verde.</v>
      </c>
      <c r="B35128" s="3">
        <v>0</v>
      </c>
    </row>
    <row r="35129" ht="15.75" customHeight="1" spans="1:2">
      <c r="A35129" s="3" t="str">
        <f>IFERROR(__xludf.DUMMYFUNCTION("GOOGLETRANSLATE(A35129,""en"",""pt"")"),"Rompe")</f>
        <v>Rompe</v>
      </c>
      <c r="B35129" s="3">
        <v>0</v>
      </c>
    </row>
    <row r="35130" ht="15.75" customHeight="1" spans="1:2">
      <c r="A35130" s="3" t="str">
        <f>IFERROR(__xludf.DUMMYFUNCTION("GOOGLETRANSLATE(A35130,""en"",""pt"")"),"recepção, batt. vida, o volume de chamadas, qualidade")</f>
        <v>recepção, batt. vida, o volume de chamadas, qualidade</v>
      </c>
      <c r="B35130" s="3">
        <v>0</v>
      </c>
    </row>
    <row r="35131" ht="15.75" customHeight="1" spans="1:2">
      <c r="A35131" s="3" t="str">
        <f>IFERROR(__xludf.DUMMYFUNCTION("GOOGLETRANSLATE(A35131,""en"",""pt"")"),"Curta vida útil da bateria")</f>
        <v>Curta vida útil da bateria</v>
      </c>
      <c r="B35131" s="3">
        <v>0</v>
      </c>
    </row>
    <row r="35132" ht="15.75" customHeight="1" spans="1:2">
      <c r="A35132" s="3" t="str">
        <f>IFERROR(__xludf.DUMMYFUNCTION("GOOGLETRANSLATE(A35132,""en"",""pt"")"),"vida útil da bateria baixo, qualidade das imagens, design")</f>
        <v>vida útil da bateria baixo, qualidade das imagens, design</v>
      </c>
      <c r="B35132" s="3">
        <v>0</v>
      </c>
    </row>
    <row r="35133" ht="15.75" customHeight="1" spans="1:2">
      <c r="A35133" s="3" t="str">
        <f>IFERROR(__xludf.DUMMYFUNCTION("GOOGLETRANSLATE(A35133,""en"",""pt"")"),"qualidade de imagem pobre")</f>
        <v>qualidade de imagem pobre</v>
      </c>
      <c r="B35133" s="3">
        <v>0</v>
      </c>
    </row>
    <row r="35134" ht="15.75" customHeight="1" spans="1:2">
      <c r="A35134" s="3" t="str">
        <f>IFERROR(__xludf.DUMMYFUNCTION("GOOGLETRANSLATE(A35134,""en"",""pt"")"),"Botões pequenos")</f>
        <v>Botões pequenos</v>
      </c>
      <c r="B35134" s="3">
        <v>0</v>
      </c>
    </row>
    <row r="35135" ht="15.75" customHeight="1" spans="1:2">
      <c r="A35135" s="3" t="str">
        <f>IFERROR(__xludf.DUMMYFUNCTION("GOOGLETRANSLATE(A35135,""en"",""pt"")"),"dificilmente pode ouvir no viva-voz.")</f>
        <v>dificilmente pode ouvir no viva-voz.</v>
      </c>
      <c r="B35135" s="3">
        <v>0</v>
      </c>
    </row>
    <row r="35136" ht="15.75" customHeight="1" spans="1:2">
      <c r="A35136" s="3" t="str">
        <f>IFERROR(__xludf.DUMMYFUNCTION("GOOGLETRANSLATE(A35136,""en"",""pt"")"),"VERIZON WIRELESS forçando seu nome a piscar no visor!")</f>
        <v>VERIZON WIRELESS forçando seu nome a piscar no visor!</v>
      </c>
      <c r="B35136" s="3">
        <v>0</v>
      </c>
    </row>
    <row r="35137" ht="15.75" customHeight="1" spans="1:2">
      <c r="A35137" s="3" t="str">
        <f>IFERROR(__xludf.DUMMYFUNCTION("GOOGLETRANSLATE(A35137,""en"",""pt"")"),"Relativamente pobre qualidade, garantia de resposta muito longo")</f>
        <v>Relativamente pobre qualidade, garantia de resposta muito longo</v>
      </c>
      <c r="B35137" s="3">
        <v>0</v>
      </c>
    </row>
    <row r="35138" ht="15.75" customHeight="1" spans="1:2">
      <c r="A35138" s="3" t="str">
        <f>IFERROR(__xludf.DUMMYFUNCTION("GOOGLETRANSLATE(A35138,""en"",""pt"")"),"O sistema de preços e cobrando!")</f>
        <v>O sistema de preços e cobrando!</v>
      </c>
      <c r="B35138" s="3">
        <v>0</v>
      </c>
    </row>
    <row r="35139" ht="15.75" customHeight="1" spans="1:2">
      <c r="A35139" s="3" t="str">
        <f>IFERROR(__xludf.DUMMYFUNCTION("GOOGLETRANSLATE(A35139,""en"",""pt"")"),"sinal esporádica, ligeiramente grande vida útil da bateria não tão grande, Sprint Visão caro e peculiar.")</f>
        <v>sinal esporádica, ligeiramente grande vida útil da bateria não tão grande, Sprint Visão caro e peculiar.</v>
      </c>
      <c r="B35139" s="3">
        <v>0</v>
      </c>
    </row>
    <row r="35140" ht="15.75" customHeight="1" spans="1:2">
      <c r="A35140" s="3" t="str">
        <f>IFERROR(__xludf.DUMMYFUNCTION("GOOGLETRANSLATE(A35140,""en"",""pt"")"),"não muito, baterias drenar mais rápido do que o meu v60 ... b / c dos LCDs cor")</f>
        <v>não muito, baterias drenar mais rápido do que o meu v60 ... b / c dos LCDs cor</v>
      </c>
      <c r="B35140" s="3">
        <v>0</v>
      </c>
    </row>
    <row r="35141" ht="15.75" customHeight="1" spans="1:2">
      <c r="A35141" s="3" t="str">
        <f>IFERROR(__xludf.DUMMYFUNCTION("GOOGLETRANSLATE(A35141,""en"",""pt"")"),"Preço, dificuldade para ouvir, aquece, jogos, características básicas")</f>
        <v>Preço, dificuldade para ouvir, aquece, jogos, características básicas</v>
      </c>
      <c r="B35141" s="3">
        <v>0</v>
      </c>
    </row>
    <row r="35142" ht="15.75" customHeight="1" spans="1:2">
      <c r="A35142" s="3" t="str">
        <f>IFERROR(__xludf.DUMMYFUNCTION("GOOGLETRANSLATE(A35142,""en"",""pt"")"),"delicada embalagem, alguns bugs (volume), ainda Sprint")</f>
        <v>delicada embalagem, alguns bugs (volume), ainda Sprint</v>
      </c>
      <c r="B35142" s="3">
        <v>0</v>
      </c>
    </row>
    <row r="35143" ht="15.75" customHeight="1" spans="1:2">
      <c r="A35143" s="3" t="str">
        <f>IFERROR(__xludf.DUMMYFUNCTION("GOOGLETRANSLATE(A35143,""en"",""pt"")"),"Os US $ 400 pricetag grande, algumas limitações de personalização")</f>
        <v>Os US $ 400 pricetag grande, algumas limitações de personalização</v>
      </c>
      <c r="B35143" s="3">
        <v>0</v>
      </c>
    </row>
    <row r="35144" ht="15.75" customHeight="1" spans="1:2">
      <c r="A35144" s="3" t="str">
        <f>IFERROR(__xludf.DUMMYFUNCTION("GOOGLETRANSLATE(A35144,""en"",""pt"")"),"A mais volumoso pouco do que outros telefones lá fora, caro")</f>
        <v>A mais volumoso pouco do que outros telefones lá fora, caro</v>
      </c>
      <c r="B35144" s="3">
        <v>0</v>
      </c>
    </row>
    <row r="35145" ht="15.75" customHeight="1" spans="1:2">
      <c r="A35145" s="3" t="str">
        <f>IFERROR(__xludf.DUMMYFUNCTION("GOOGLETRANSLATE(A35145,""en"",""pt"")"),"Bad câmera ... não deve ser uma combinação. Eu tenho peculiaridades experientes.")</f>
        <v>Bad câmera ... não deve ser uma combinação. Eu tenho peculiaridades experientes.</v>
      </c>
      <c r="B35145" s="3">
        <v>0</v>
      </c>
    </row>
    <row r="35146" ht="15.75" customHeight="1" spans="1:2">
      <c r="A35146" s="3" t="str">
        <f>IFERROR(__xludf.DUMMYFUNCTION("GOOGLETRANSLATE(A35146,""en"",""pt"")"),"Volumoso, crappier do que o 8100")</f>
        <v>Volumoso, crappier do que o 8100</v>
      </c>
      <c r="B35146" s="3">
        <v>0</v>
      </c>
    </row>
    <row r="35147" ht="15.75" customHeight="1" spans="1:2">
      <c r="A35147" s="3" t="str">
        <f>IFERROR(__xludf.DUMMYFUNCTION("GOOGLETRANSLATE(A35147,""en"",""pt"")"),"Desajeitado interface de usuário (arranjo pobres, muitos recursos), telefone vai ""off-line"" quando a câmera está ativo")</f>
        <v>Desajeitado interface de usuário (arranjo pobres, muitos recursos), telefone vai "off-line" quando a câmera está ativo</v>
      </c>
      <c r="B35147" s="3">
        <v>0</v>
      </c>
    </row>
    <row r="35148" ht="15.75" customHeight="1" spans="1:2">
      <c r="A35148" s="3" t="str">
        <f>IFERROR(__xludf.DUMMYFUNCTION("GOOGLETRANSLATE(A35148,""en"",""pt"")"),"Preço ($ 399,99), tamanho, baixo volume do fone de ouvido")</f>
        <v>Preço ($ 399,99), tamanho, baixo volume do fone de ouvido</v>
      </c>
      <c r="B35148" s="3">
        <v>0</v>
      </c>
    </row>
    <row r="35149" ht="15.75" customHeight="1" spans="1:2">
      <c r="A35149" s="3" t="str">
        <f>IFERROR(__xludf.DUMMYFUNCTION("GOOGLETRANSLATE(A35149,""en"",""pt"")"),"Vagamente teclado retro-iluminado, e é um pouco grande para um telefone dobrável.")</f>
        <v>Vagamente teclado retro-iluminado, e é um pouco grande para um telefone dobrável.</v>
      </c>
      <c r="B35149" s="3">
        <v>0</v>
      </c>
    </row>
    <row r="35150" ht="15.75" customHeight="1" spans="1:2">
      <c r="A35150" s="3" t="str">
        <f>IFERROR(__xludf.DUMMYFUNCTION("GOOGLETRANSLATE(A35150,""en"",""pt"")"),"volume da orelha pobre, sem viva-voz.")</f>
        <v>volume da orelha pobre, sem viva-voz.</v>
      </c>
      <c r="B35150" s="3">
        <v>0</v>
      </c>
    </row>
    <row r="35151" ht="15.75" customHeight="1" spans="1:2">
      <c r="A35151" s="3" t="str">
        <f>IFERROR(__xludf.DUMMYFUNCTION("GOOGLETRANSLATE(A35151,""en"",""pt"")"),"$ Caro")</f>
        <v>$ Caro</v>
      </c>
      <c r="B35151" s="3">
        <v>0</v>
      </c>
    </row>
    <row r="35152" ht="15.75" customHeight="1" spans="1:2">
      <c r="A35152" s="3" t="str">
        <f>IFERROR(__xludf.DUMMYFUNCTION("GOOGLETRANSLATE(A35152,""en"",""pt"")"),"Não pode tocar na antena, recepção de baixa qualidade.")</f>
        <v>Não pode tocar na antena, recepção de baixa qualidade.</v>
      </c>
      <c r="B35152" s="3">
        <v>0</v>
      </c>
    </row>
    <row r="35153" ht="15.75" customHeight="1" spans="1:2">
      <c r="A35153" s="3" t="str">
        <f>IFERROR(__xludf.DUMMYFUNCTION("GOOGLETRANSLATE(A35153,""en"",""pt"")"),"Pobre teclado feitas diariamente usá-lo da morte")</f>
        <v>Pobre teclado feitas diariamente usá-lo da morte</v>
      </c>
      <c r="B35153" s="3">
        <v>0</v>
      </c>
    </row>
    <row r="35154" ht="15.75" customHeight="1" spans="1:2">
      <c r="A35154" s="3" t="str">
        <f>IFERROR(__xludf.DUMMYFUNCTION("GOOGLETRANSLATE(A35154,""en"",""pt"")"),"Falta de acessórios, pode obter quente, a iluminação do teclado (dim &amp; VERDE, bleah), nada mais realmente!")</f>
        <v>Falta de acessórios, pode obter quente, a iluminação do teclado (dim &amp; VERDE, bleah), nada mais realmente!</v>
      </c>
      <c r="B35154" s="3">
        <v>0</v>
      </c>
    </row>
    <row r="35155" ht="15.75" customHeight="1" spans="1:2">
      <c r="A35155" s="3" t="str">
        <f>IFERROR(__xludf.DUMMYFUNCTION("GOOGLETRANSLATE(A35155,""en"",""pt"")"),"agora você tem que pagar para marcação por voz")</f>
        <v>agora você tem que pagar para marcação por voz</v>
      </c>
      <c r="B35155" s="3">
        <v>0</v>
      </c>
    </row>
    <row r="35156" ht="15.75" customHeight="1" spans="1:2">
      <c r="A35156" s="3" t="str">
        <f>IFERROR(__xludf.DUMMYFUNCTION("GOOGLETRANSLATE(A35156,""en"",""pt"")"),"Web Browser é horrível")</f>
        <v>Web Browser é horrível</v>
      </c>
      <c r="B35156" s="3">
        <v>0</v>
      </c>
    </row>
    <row r="35157" ht="15.75" customHeight="1" spans="1:2">
      <c r="A35157" s="3" t="str">
        <f>IFERROR(__xludf.DUMMYFUNCTION("GOOGLETRANSLATE(A35157,""en"",""pt"")"),"Receptor volume está baixo.")</f>
        <v>Receptor volume está baixo.</v>
      </c>
      <c r="B35157" s="3">
        <v>0</v>
      </c>
    </row>
    <row r="35158" ht="15.75" customHeight="1" spans="1:2">
      <c r="A35158" s="3" t="str">
        <f>IFERROR(__xludf.DUMMYFUNCTION("GOOGLETRANSLATE(A35158,""en"",""pt"")"),"Preço de acessórios.")</f>
        <v>Preço de acessórios.</v>
      </c>
      <c r="B35158" s="3">
        <v>0</v>
      </c>
    </row>
    <row r="35159" ht="15.75" customHeight="1" spans="1:2">
      <c r="A35159" s="3" t="str">
        <f>IFERROR(__xludf.DUMMYFUNCTION("GOOGLETRANSLATE(A35159,""en"",""pt"")"),"No viva-voz. Temo que será ultrapassada rapidamente como outros fabricantes de tentar copiar.")</f>
        <v>No viva-voz. Temo que será ultrapassada rapidamente como outros fabricantes de tentar copiar.</v>
      </c>
      <c r="B35159" s="3">
        <v>0</v>
      </c>
    </row>
    <row r="35160" ht="15.75" customHeight="1" spans="1:2">
      <c r="A35160" s="3" t="str">
        <f>IFERROR(__xludf.DUMMYFUNCTION("GOOGLETRANSLATE(A35160,""en"",""pt"")"),"nem sempre intuitiva de saber que botões apertar para obter a opção certa")</f>
        <v>nem sempre intuitiva de saber que botões apertar para obter a opção certa</v>
      </c>
      <c r="B35160" s="3">
        <v>0</v>
      </c>
    </row>
    <row r="35161" ht="15.75" customHeight="1" spans="1:2">
      <c r="A35161" s="3" t="str">
        <f>IFERROR(__xludf.DUMMYFUNCTION("GOOGLETRANSLATE(A35161,""en"",""pt"")"),"fone must abelha posicionado apenas para a direita para melhor som, nenhuma tampa para lente da câmera.")</f>
        <v>fone must abelha posicionado apenas para a direita para melhor som, nenhuma tampa para lente da câmera.</v>
      </c>
      <c r="B35161" s="3">
        <v>0</v>
      </c>
    </row>
    <row r="35162" ht="15.75" customHeight="1" spans="1:2">
      <c r="A35162" s="3" t="str">
        <f>IFERROR(__xludf.DUMMYFUNCTION("GOOGLETRANSLATE(A35162,""en"",""pt"")"),"Não é qualquer que eu posso pensar, eu adoro isso apenas o preço etapa.")</f>
        <v>Não é qualquer que eu posso pensar, eu adoro isso apenas o preço etapa.</v>
      </c>
      <c r="B35162" s="3">
        <v>0</v>
      </c>
    </row>
    <row r="35163" ht="15.75" customHeight="1" spans="1:2">
      <c r="A35163" s="3" t="str">
        <f>IFERROR(__xludf.DUMMYFUNCTION("GOOGLETRANSLATE(A35163,""en"",""pt"")"),"volume do fone poderia ser melhor")</f>
        <v>volume do fone poderia ser melhor</v>
      </c>
      <c r="B35163" s="3">
        <v>0</v>
      </c>
    </row>
    <row r="35164" ht="15.75" customHeight="1" spans="1:2">
      <c r="A35164" s="3" t="str">
        <f>IFERROR(__xludf.DUMMYFUNCTION("GOOGLETRANSLATE(A35164,""en"",""pt"")"),"durabilidade / tamanho")</f>
        <v>durabilidade / tamanho</v>
      </c>
      <c r="B35164" s="3">
        <v>0</v>
      </c>
    </row>
    <row r="35165" ht="15.75" customHeight="1" spans="1:2">
      <c r="A35165" s="3" t="str">
        <f>IFERROR(__xludf.DUMMYFUNCTION("GOOGLETRANSLATE(A35165,""en"",""pt"")"),"Speed ​​Dial pode ter apenas 8 números de telefone")</f>
        <v>Speed ​​Dial pode ter apenas 8 números de telefone</v>
      </c>
      <c r="B35165" s="3">
        <v>0</v>
      </c>
    </row>
    <row r="35166" ht="15.75" customHeight="1" spans="1:2">
      <c r="A35166" s="3" t="str">
        <f>IFERROR(__xludf.DUMMYFUNCTION("GOOGLETRANSLATE(A35166,""en"",""pt"")"),"qualidade de voz pobres")</f>
        <v>qualidade de voz pobres</v>
      </c>
      <c r="B35166" s="3">
        <v>0</v>
      </c>
    </row>
    <row r="35167" ht="15.75" customHeight="1" spans="1:2">
      <c r="A35167" s="3" t="str">
        <f>IFERROR(__xludf.DUMMYFUNCTION("GOOGLETRANSLATE(A35167,""en"",""pt"")"),"volume do altifalante muito baixo e sistema operacional proprietário")</f>
        <v>volume do altifalante muito baixo e sistema operacional proprietário</v>
      </c>
      <c r="B35167" s="3">
        <v>0</v>
      </c>
    </row>
    <row r="35168" ht="15.75" customHeight="1" spans="1:2">
      <c r="A35168" s="3" t="str">
        <f>IFERROR(__xludf.DUMMYFUNCTION("GOOGLETRANSLATE(A35168,""en"",""pt"")"),"nenhuma câmera ou mp3")</f>
        <v>nenhuma câmera ou mp3</v>
      </c>
      <c r="B35168" s="3">
        <v>0</v>
      </c>
    </row>
    <row r="35169" ht="15.75" customHeight="1" spans="1:2">
      <c r="A35169" s="3" t="str">
        <f>IFERROR(__xludf.DUMMYFUNCTION("GOOGLETRANSLATE(A35169,""en"",""pt"")"),"não mp3")</f>
        <v>não mp3</v>
      </c>
      <c r="B35169" s="3">
        <v>0</v>
      </c>
    </row>
    <row r="35170" ht="15.75" customHeight="1" spans="1:2">
      <c r="A35170" s="3" t="str">
        <f>IFERROR(__xludf.DUMMYFUNCTION("GOOGLETRANSLATE(A35170,""en"",""pt"")"),"tela brilhante / cor de exibição drenos bateria, não veio com carregador de viagem")</f>
        <v>tela brilhante / cor de exibição drenos bateria, não veio com carregador de viagem</v>
      </c>
      <c r="B35170" s="3">
        <v>0</v>
      </c>
    </row>
    <row r="35171" ht="15.75" customHeight="1" spans="1:2">
      <c r="A35171" s="3" t="str">
        <f>IFERROR(__xludf.DUMMYFUNCTION("GOOGLETRANSLATE(A35171,""en"",""pt"")"),"projetar e falta de jogos")</f>
        <v>projetar e falta de jogos</v>
      </c>
      <c r="B35171" s="3">
        <v>0</v>
      </c>
    </row>
    <row r="35172" ht="15.75" customHeight="1" spans="1:2">
      <c r="A35172" s="3" t="str">
        <f>IFERROR(__xludf.DUMMYFUNCTION("GOOGLETRANSLATE(A35172,""en"",""pt"")"),"Singleband")</f>
        <v>Singleband</v>
      </c>
      <c r="B35172" s="3">
        <v>0</v>
      </c>
    </row>
    <row r="35173" ht="15.75" customHeight="1" spans="1:2">
      <c r="A35173" s="3" t="str">
        <f>IFERROR(__xludf.DUMMYFUNCTION("GOOGLETRANSLATE(A35173,""en"",""pt"")"),"o desempenho do navegador é lento, caro, não analógico queda-back")</f>
        <v>o desempenho do navegador é lento, caro, não analógico queda-back</v>
      </c>
      <c r="B35173" s="3">
        <v>0</v>
      </c>
    </row>
    <row r="35174" ht="15.75" customHeight="1" spans="1:2">
      <c r="A35174" s="3" t="str">
        <f>IFERROR(__xludf.DUMMYFUNCTION("GOOGLETRANSLATE(A35174,""en"",""pt"")"),"Não muito muitos ringtones.")</f>
        <v>Não muito muitos ringtones.</v>
      </c>
      <c r="B35174" s="3">
        <v>0</v>
      </c>
    </row>
    <row r="35175" ht="15.75" customHeight="1" spans="1:2">
      <c r="A35175" s="3" t="str">
        <f>IFERROR(__xludf.DUMMYFUNCTION("GOOGLETRANSLATE(A35175,""en"",""pt"")"),"Só banda única. Lavado para fora da tela. chrome reflexiva ao redor da tela. Ecrã ligado enquanto carrega.")</f>
        <v>Só banda única. Lavado para fora da tela. chrome reflexiva ao redor da tela. Ecrã ligado enquanto carrega.</v>
      </c>
      <c r="B35175" s="3">
        <v>0</v>
      </c>
    </row>
    <row r="35176" ht="15.75" customHeight="1" spans="1:2">
      <c r="A35176" s="3" t="str">
        <f>IFERROR(__xludf.DUMMYFUNCTION("GOOGLETRANSLATE(A35176,""en"",""pt"")"),"toques cheezy, a documentação é uma porcaria.")</f>
        <v>toques cheezy, a documentação é uma porcaria.</v>
      </c>
      <c r="B35176" s="3">
        <v>0</v>
      </c>
    </row>
    <row r="35177" ht="15.75" customHeight="1" spans="1:2">
      <c r="A35177" s="3" t="str">
        <f>IFERROR(__xludf.DUMMYFUNCTION("GOOGLETRANSLATE(A35177,""en"",""pt"")"),"alguns jogos pré-carregados, sem poder real modo de poupança / consumo de energia")</f>
        <v>alguns jogos pré-carregados, sem poder real modo de poupança / consumo de energia</v>
      </c>
      <c r="B35177" s="3">
        <v>0</v>
      </c>
    </row>
    <row r="35178" ht="15.75" customHeight="1" spans="1:2">
      <c r="A35178" s="3" t="str">
        <f>IFERROR(__xludf.DUMMYFUNCTION("GOOGLETRANSLATE(A35178,""en"",""pt"")"),"Poderia usar mais memória para aplicativos Java. Apenas 3 minutos para a gravação de voz.")</f>
        <v>Poderia usar mais memória para aplicativos Java. Apenas 3 minutos para a gravação de voz.</v>
      </c>
      <c r="B35178" s="3">
        <v>0</v>
      </c>
    </row>
    <row r="35179" ht="15.75" customHeight="1" spans="1:2">
      <c r="A35179" s="3" t="str">
        <f>IFERROR(__xludf.DUMMYFUNCTION("GOOGLETRANSLATE(A35179,""en"",""pt"")"),"Não tão compacto como outros telefones contemporâneos, botões são expostos")</f>
        <v>Não tão compacto como outros telefones contemporâneos, botões são expostos</v>
      </c>
      <c r="B35179" s="3">
        <v>0</v>
      </c>
    </row>
    <row r="35180" ht="15.75" customHeight="1" spans="1:2">
      <c r="A35180" s="3" t="str">
        <f>IFERROR(__xludf.DUMMYFUNCTION("GOOGLETRANSLATE(A35180,""en"",""pt"")"),"Nenhum.")</f>
        <v>Nenhum.</v>
      </c>
      <c r="B35180" s="3">
        <v>0</v>
      </c>
    </row>
    <row r="35181" ht="15.75" customHeight="1" spans="1:2">
      <c r="A35181" s="3" t="str">
        <f>IFERROR(__xludf.DUMMYFUNCTION("GOOGLETRANSLATE(A35181,""en"",""pt"")"),"Não duráveis, dois falharam em um ano.")</f>
        <v>Não duráveis, dois falharam em um ano.</v>
      </c>
      <c r="B35181" s="3">
        <v>0</v>
      </c>
    </row>
    <row r="35182" ht="15.75" customHeight="1" spans="1:2">
      <c r="A35182" s="3" t="str">
        <f>IFERROR(__xludf.DUMMYFUNCTION("GOOGLETRANSLATE(A35182,""en"",""pt"")"),"BATERIA")</f>
        <v>BATERIA</v>
      </c>
      <c r="B35182" s="3">
        <v>0</v>
      </c>
    </row>
    <row r="35183" ht="15.75" customHeight="1" spans="1:2">
      <c r="A35183" s="3" t="str">
        <f>IFERROR(__xludf.DUMMYFUNCTION("GOOGLETRANSLATE(A35183,""en"",""pt"")"),"nenhum caso bom coldre / couro ainda projetado.")</f>
        <v>nenhum caso bom coldre / couro ainda projetado.</v>
      </c>
      <c r="B35183" s="3">
        <v>0</v>
      </c>
    </row>
    <row r="35184" ht="15.75" customHeight="1" spans="1:2">
      <c r="A35184" s="3" t="str">
        <f>IFERROR(__xludf.DUMMYFUNCTION("GOOGLETRANSLATE(A35184,""en"",""pt"")"),"muito delicada")</f>
        <v>muito delicada</v>
      </c>
      <c r="B35184" s="3">
        <v>0</v>
      </c>
    </row>
    <row r="35185" ht="15.75" customHeight="1" spans="1:2">
      <c r="A35185" s="3" t="str">
        <f>IFERROR(__xludf.DUMMYFUNCTION("GOOGLETRANSLATE(A35185,""en"",""pt"")"),"botões expostos")</f>
        <v>botões expostos</v>
      </c>
      <c r="B35185" s="3">
        <v>0</v>
      </c>
    </row>
    <row r="35186" ht="15.75" customHeight="1" spans="1:2">
      <c r="A35186" s="3" t="str">
        <f>IFERROR(__xludf.DUMMYFUNCTION("GOOGLETRANSLATE(A35186,""en"",""pt"")"),"Volumoso, tempo de atraso em chaves, entradas máximo 20 dígitos na lista telefônica, antena, não infravermelho")</f>
        <v>Volumoso, tempo de atraso em chaves, entradas máximo 20 dígitos na lista telefônica, antena, não infravermelho</v>
      </c>
      <c r="B35186" s="3">
        <v>0</v>
      </c>
    </row>
    <row r="35187" ht="15.75" customHeight="1" spans="1:2">
      <c r="A35187" s="3" t="s">
        <v>102</v>
      </c>
      <c r="B35187" s="3">
        <v>0</v>
      </c>
    </row>
    <row r="35188" ht="15.75" customHeight="1" spans="1:2">
      <c r="A35188" s="3" t="str">
        <f>IFERROR(__xludf.DUMMYFUNCTION("GOOGLETRANSLATE(A35188,""en"",""pt"")"),"Ícone monitores são muito amontoados juntos, design caso de couro ruim, e personalização do telefone limitado.")</f>
        <v>Ícone monitores são muito amontoados juntos, design caso de couro ruim, e personalização do telefone limitado.</v>
      </c>
      <c r="B35188" s="3">
        <v>0</v>
      </c>
    </row>
    <row r="35189" ht="15.75" customHeight="1" spans="1:2">
      <c r="A35189" s="3" t="str">
        <f>IFERROR(__xludf.DUMMYFUNCTION("GOOGLETRANSLATE(A35189,""en"",""pt"")"),"Às vezes, lento para responder às teclas pressionadas, não pode fazer atalhos para cada item.")</f>
        <v>Às vezes, lento para responder às teclas pressionadas, não pode fazer atalhos para cada item.</v>
      </c>
      <c r="B35189" s="3">
        <v>0</v>
      </c>
    </row>
    <row r="35190" ht="15.75" customHeight="1" spans="1:2">
      <c r="A35190" s="3" t="str">
        <f>IFERROR(__xludf.DUMMYFUNCTION("GOOGLETRANSLATE(A35190,""en"",""pt"")"),"Não é tão delgado ou compacto como alguns da competição.")</f>
        <v>Não é tão delgado ou compacto como alguns da competição.</v>
      </c>
      <c r="B35190" s="3">
        <v>0</v>
      </c>
    </row>
    <row r="35191" ht="15.75" customHeight="1" spans="1:2">
      <c r="A35191" s="3" t="str">
        <f>IFERROR(__xludf.DUMMYFUNCTION("GOOGLETRANSLATE(A35191,""en"",""pt"")"),"qualidade horrível.")</f>
        <v>qualidade horrível.</v>
      </c>
      <c r="B35191" s="3">
        <v>0</v>
      </c>
    </row>
    <row r="35192" ht="15.75" customHeight="1" spans="1:2">
      <c r="A35192" s="3" t="str">
        <f>IFERROR(__xludf.DUMMYFUNCTION("GOOGLETRANSLATE(A35192,""en"",""pt"")"),"Faltando algumas coisas legais.")</f>
        <v>Faltando algumas coisas legais.</v>
      </c>
      <c r="B35192" s="3">
        <v>0</v>
      </c>
    </row>
    <row r="35193" ht="15.75" customHeight="1" spans="1:2">
      <c r="A35193" s="3" t="str">
        <f>IFERROR(__xludf.DUMMYFUNCTION("GOOGLETRANSLATE(A35193,""en"",""pt"")"),"Noticibly um telefone Nextel")</f>
        <v>Noticibly um telefone Nextel</v>
      </c>
      <c r="B35193" s="3">
        <v>0</v>
      </c>
    </row>
    <row r="35194" ht="15.75" customHeight="1" spans="1:2">
      <c r="A35194" s="3" t="str">
        <f>IFERROR(__xludf.DUMMYFUNCTION("GOOGLETRANSLATE(A35194,""en"",""pt"")"),"Eu não posso pensar em um.")</f>
        <v>Eu não posso pensar em um.</v>
      </c>
      <c r="B35194" s="3">
        <v>0</v>
      </c>
    </row>
    <row r="35195" ht="15.75" customHeight="1" spans="1:2">
      <c r="A35195" s="3" t="str">
        <f>IFERROR(__xludf.DUMMYFUNCTION("GOOGLETRANSLATE(A35195,""en"",""pt"")"),"ligação do carregador falhar. problema conhecido. Fora do prazo de garantia.")</f>
        <v>ligação do carregador falhar. problema conhecido. Fora do prazo de garantia.</v>
      </c>
      <c r="B35195" s="3">
        <v>0</v>
      </c>
    </row>
    <row r="35196" ht="15.75" customHeight="1" spans="1:2">
      <c r="A35196" s="3" t="str">
        <f>IFERROR(__xludf.DUMMYFUNCTION("GOOGLETRANSLATE(A35196,""en"",""pt"")"),"Você não pode falar sobre este telefone durante o carregamento em sua base.")</f>
        <v>Você não pode falar sobre este telefone durante o carregamento em sua base.</v>
      </c>
      <c r="B35196" s="3">
        <v>0</v>
      </c>
    </row>
    <row r="35197" ht="15.75" customHeight="1" spans="1:2">
      <c r="A35197" s="3" t="str">
        <f>IFERROR(__xludf.DUMMYFUNCTION("GOOGLETRANSLATE(A35197,""en"",""pt"")"),"Quebrou Quando mergulhado no WC")</f>
        <v>Quebrou Quando mergulhado no WC</v>
      </c>
      <c r="B35197" s="3">
        <v>0</v>
      </c>
    </row>
    <row r="35198" ht="15.75" customHeight="1" spans="1:2">
      <c r="A35198" s="3" t="str">
        <f>IFERROR(__xludf.DUMMYFUNCTION("GOOGLETRANSLATE(A35198,""en"",""pt"")"),"De várias...")</f>
        <v>De várias...</v>
      </c>
      <c r="B35198" s="3">
        <v>0</v>
      </c>
    </row>
    <row r="35199" ht="15.75" customHeight="1" spans="1:2">
      <c r="A35199" s="3" t="str">
        <f>IFERROR(__xludf.DUMMYFUNCTION("GOOGLETRANSLATE(A35199,""en"",""pt"")"),"Viva voz")</f>
        <v>Viva voz</v>
      </c>
      <c r="B35199" s="3">
        <v>0</v>
      </c>
    </row>
    <row r="35200" ht="15.75" customHeight="1" spans="1:2">
      <c r="A35200" s="3" t="str">
        <f>IFERROR(__xludf.DUMMYFUNCTION("GOOGLETRANSLATE(A35200,""en"",""pt"")"),"discagem por voz e viva-voz, a escolha da cor, tamanho, web wireless")</f>
        <v>discagem por voz e viva-voz, a escolha da cor, tamanho, web wireless</v>
      </c>
      <c r="B35200" s="3">
        <v>0</v>
      </c>
    </row>
    <row r="35201" ht="15.75" customHeight="1" spans="1:2">
      <c r="A35201" s="3" t="str">
        <f>IFERROR(__xludf.DUMMYFUNCTION("GOOGLETRANSLATE(A35201,""en"",""pt"")"),"A escolha da cor")</f>
        <v>A escolha da cor</v>
      </c>
      <c r="B35201" s="3">
        <v>0</v>
      </c>
    </row>
    <row r="35202" ht="15.75" customHeight="1" spans="1:2">
      <c r="A35202" s="3" t="str">
        <f>IFERROR(__xludf.DUMMYFUNCTION("GOOGLETRANSLATE(A35202,""en"",""pt"")"),"Speakerphone &amp; # 13; &amp; # 10; discagem por voz")</f>
        <v>Speakerphone &amp; # 13; &amp; # 10; discagem por voz</v>
      </c>
      <c r="B35202" s="3">
        <v>0</v>
      </c>
    </row>
    <row r="35203" ht="15.75" customHeight="1" spans="1:2">
      <c r="A35203" s="3" t="str">
        <f>IFERROR(__xludf.DUMMYFUNCTION("GOOGLETRANSLATE(A35203,""en"",""pt"")"),"Sprint PCS está sobrecarregado")</f>
        <v>Sprint PCS está sobrecarregado</v>
      </c>
      <c r="B35203" s="3">
        <v>0</v>
      </c>
    </row>
    <row r="35204" ht="15.75" customHeight="1" spans="1:2">
      <c r="A35204" s="3" t="str">
        <f>IFERROR(__xludf.DUMMYFUNCTION("GOOGLETRANSLATE(A35204,""en"",""pt"")"),"SPEAKERPHONE DEVE SER REMOVIDO")</f>
        <v>SPEAKERPHONE DEVE SER REMOVIDO</v>
      </c>
      <c r="B35204" s="3">
        <v>0</v>
      </c>
    </row>
    <row r="35205" ht="15.75" customHeight="1" spans="1:2">
      <c r="A35205" s="3" t="str">
        <f>IFERROR(__xludf.DUMMYFUNCTION("GOOGLETRANSLATE(A35205,""en"",""pt"")"),"qualidade de voz desigual, serviço de Web muito desigual")</f>
        <v>qualidade de voz desigual, serviço de Web muito desigual</v>
      </c>
      <c r="B35205" s="3">
        <v>0</v>
      </c>
    </row>
    <row r="35206" ht="15.75" customHeight="1" spans="1:2">
      <c r="A35206" s="3" t="str">
        <f>IFERROR(__xludf.DUMMYFUNCTION("GOOGLETRANSLATE(A35206,""en"",""pt"")"),"nenhum ainda")</f>
        <v>nenhum ainda</v>
      </c>
      <c r="B35206" s="3">
        <v>0</v>
      </c>
    </row>
    <row r="35207" ht="15.75" customHeight="1" spans="1:2">
      <c r="A35207" s="3" t="str">
        <f>IFERROR(__xludf.DUMMYFUNCTION("GOOGLETRANSLATE(A35207,""en"",""pt"")"),"subestimado")</f>
        <v>subestimado</v>
      </c>
      <c r="B35207" s="3">
        <v>0</v>
      </c>
    </row>
    <row r="35208" ht="15.75" customHeight="1" spans="1:2">
      <c r="A35208" s="3" t="str">
        <f>IFERROR(__xludf.DUMMYFUNCTION("GOOGLETRANSLATE(A35208,""en"",""pt"")"),"Tamanho")</f>
        <v>Tamanho</v>
      </c>
      <c r="B35208" s="3">
        <v>0</v>
      </c>
    </row>
    <row r="35209" ht="15.75" customHeight="1" spans="1:2">
      <c r="A35209" s="3" t="str">
        <f>IFERROR(__xludf.DUMMYFUNCTION("GOOGLETRANSLATE(A35209,""en"",""pt"")"),"Speakerphone leva tempo para se acostumar, mas ainda bem")</f>
        <v>Speakerphone leva tempo para se acostumar, mas ainda bem</v>
      </c>
      <c r="B35209" s="3">
        <v>0</v>
      </c>
    </row>
    <row r="35210" ht="15.75" customHeight="1" spans="1:2">
      <c r="A35210" s="3" t="str">
        <f>IFERROR(__xludf.DUMMYFUNCTION("GOOGLETRANSLATE(A35210,""en"",""pt"")"),"discando pobre Voz &amp; # 13; &amp; # 10; não sincroniza &amp; # 13;. &amp; # 10; pobre microbrowser &amp; # 13; &amp; # 10; apoio pobres")</f>
        <v>discando pobre Voz &amp; # 13; &amp; # 10; não sincroniza &amp; # 13;. &amp; # 10; pobre microbrowser &amp; # 13; &amp; # 10; apoio pobres</v>
      </c>
      <c r="B35210" s="3">
        <v>0</v>
      </c>
    </row>
    <row r="35211" ht="15.75" customHeight="1" spans="1:2">
      <c r="A35211" s="3" t="str">
        <f>IFERROR(__xludf.DUMMYFUNCTION("GOOGLETRANSLATE(A35211,""en"",""pt"")"),"Recepção, recepção ... eu mencionei, recepção?")</f>
        <v>Recepção, recepção ... eu mencionei, recepção?</v>
      </c>
      <c r="B35211" s="3">
        <v>0</v>
      </c>
    </row>
    <row r="35212" ht="15.75" customHeight="1" spans="1:2">
      <c r="A35212" s="3" t="str">
        <f>IFERROR(__xludf.DUMMYFUNCTION("GOOGLETRANSLATE(A35212,""en"",""pt"")"),"recurso Web não pode ser usado neste momento &amp; # 13; &amp; # 10; teclado não protegidos = chamadas de bolso &amp; # 13; &amp; # 10;")</f>
        <v>recurso Web não pode ser usado neste momento &amp; # 13; &amp; # 10; teclado não protegidos = chamadas de bolso &amp; # 13; &amp; # 10;</v>
      </c>
      <c r="B35212" s="3">
        <v>0</v>
      </c>
    </row>
    <row r="35213" ht="15.75" customHeight="1" spans="1:2">
      <c r="A35213" s="3" t="str">
        <f>IFERROR(__xludf.DUMMYFUNCTION("GOOGLETRANSLATE(A35213,""en"",""pt"")"),"recepção terrível")</f>
        <v>recepção terrível</v>
      </c>
      <c r="B35213" s="3">
        <v>0</v>
      </c>
    </row>
    <row r="35214" ht="15.75" customHeight="1" spans="1:2">
      <c r="A35214" s="3" t="str">
        <f>IFERROR(__xludf.DUMMYFUNCTION("GOOGLETRANSLATE(A35214,""en"",""pt"")"),"No clipe de cinto giratória feita para ele. Tem que começar vara genérico sobre.")</f>
        <v>No clipe de cinto giratória feita para ele. Tem que começar vara genérico sobre.</v>
      </c>
      <c r="B35214" s="3">
        <v>0</v>
      </c>
    </row>
    <row r="35215" ht="15.75" customHeight="1" spans="1:2">
      <c r="A35215" s="3" t="str">
        <f>IFERROR(__xludf.DUMMYFUNCTION("GOOGLETRANSLATE(A35215,""en"",""pt"")"),"ativação de voz nem sempre confiável, difíceis de espera.")</f>
        <v>ativação de voz nem sempre confiável, difíceis de espera.</v>
      </c>
      <c r="B35215" s="3">
        <v>0</v>
      </c>
    </row>
    <row r="35216" ht="15.75" customHeight="1" spans="1:2">
      <c r="A35216" s="3" t="str">
        <f>IFERROR(__xludf.DUMMYFUNCTION("GOOGLETRANSLATE(A35216,""en"",""pt"")"),"menos-que-perfeito recepção, maior tamanho / peso do que muitos telefones")</f>
        <v>menos-que-perfeito recepção, maior tamanho / peso do que muitos telefones</v>
      </c>
      <c r="B35216" s="3">
        <v>0</v>
      </c>
    </row>
    <row r="35217" ht="15.75" customHeight="1" spans="1:2">
      <c r="A35217" s="3" t="str">
        <f>IFERROR(__xludf.DUMMYFUNCTION("GOOGLETRANSLATE(A35217,""en"",""pt"")"),"Ainda não pode desligar Caller ID")</f>
        <v>Ainda não pode desligar Caller ID</v>
      </c>
      <c r="B35217" s="3">
        <v>0</v>
      </c>
    </row>
    <row r="35218" ht="15.75" customHeight="1" spans="1:2">
      <c r="A35218" s="3" t="str">
        <f>IFERROR(__xludf.DUMMYFUNCTION("GOOGLETRANSLATE(A35218,""en"",""pt"")"),"campainhas sem download")</f>
        <v>campainhas sem download</v>
      </c>
      <c r="B35218" s="3">
        <v>0</v>
      </c>
    </row>
    <row r="35219" ht="15.75" customHeight="1" spans="1:2">
      <c r="A35219" s="3" t="str">
        <f>IFERROR(__xludf.DUMMYFUNCTION("GOOGLETRANSLATE(A35219,""en"",""pt"")"),"Não é tão poderoso como outros telefones SprintPCS")</f>
        <v>Não é tão poderoso como outros telefones SprintPCS</v>
      </c>
      <c r="B35219" s="3">
        <v>0</v>
      </c>
    </row>
    <row r="35220" ht="15.75" customHeight="1" spans="1:2">
      <c r="A35220" s="3" t="str">
        <f>IFERROR(__xludf.DUMMYFUNCTION("GOOGLETRANSLATE(A35220,""en"",""pt"")"),"sprint somente")</f>
        <v>sprint somente</v>
      </c>
      <c r="B35220" s="3">
        <v>0</v>
      </c>
    </row>
    <row r="35221" ht="15.75" customHeight="1" spans="1:2">
      <c r="A35221" s="3" t="str">
        <f>IFERROR(__xludf.DUMMYFUNCTION("GOOGLETRANSLATE(A35221,""en"",""pt"")"),"Só funciona com SprintPCS, um pouco caro, mas vale a pena")</f>
        <v>Só funciona com SprintPCS, um pouco caro, mas vale a pena</v>
      </c>
      <c r="B35221" s="3">
        <v>0</v>
      </c>
    </row>
    <row r="35222" ht="15.75" customHeight="1" spans="1:2">
      <c r="A35222" s="3" t="str">
        <f>IFERROR(__xludf.DUMMYFUNCTION("GOOGLETRANSLATE(A35222,""en"",""pt"")"),"caro")</f>
        <v>caro</v>
      </c>
      <c r="B35222" s="3">
        <v>0</v>
      </c>
    </row>
    <row r="35223" ht="15.75" customHeight="1" spans="1:2">
      <c r="A35223" s="3" t="str">
        <f>IFERROR(__xludf.DUMMYFUNCTION("GOOGLETRANSLATE(A35223,""en"",""pt"")"),"telefones menores disponíveis, a tela arranha facilmente.")</f>
        <v>telefones menores disponíveis, a tela arranha facilmente.</v>
      </c>
      <c r="B35223" s="3">
        <v>0</v>
      </c>
    </row>
    <row r="35224" ht="15.75" customHeight="1" spans="1:2">
      <c r="A35224" s="3" t="str">
        <f>IFERROR(__xludf.DUMMYFUNCTION("GOOGLETRANSLATE(A35224,""en"",""pt"")"),"caro")</f>
        <v>caro</v>
      </c>
      <c r="B35224" s="3">
        <v>0</v>
      </c>
    </row>
    <row r="35225" ht="15.75" customHeight="1" spans="1:2">
      <c r="A35225" s="3" t="str">
        <f>IFERROR(__xludf.DUMMYFUNCTION("GOOGLETRANSLATE(A35225,""en"",""pt"")"),"má recepção em comparação com telefones semelhantes")</f>
        <v>má recepção em comparação com telefones semelhantes</v>
      </c>
      <c r="B35225" s="3">
        <v>0</v>
      </c>
    </row>
    <row r="35226" ht="15.75" customHeight="1" spans="1:2">
      <c r="A35226" s="3" t="str">
        <f>IFERROR(__xludf.DUMMYFUNCTION("GOOGLETRANSLATE(A35226,""en"",""pt"")"),"telefone mais velho assim, portanto, ele não tem um ecrã a cores.")</f>
        <v>telefone mais velho assim, portanto, ele não tem um ecrã a cores.</v>
      </c>
      <c r="B35226" s="3">
        <v>0</v>
      </c>
    </row>
    <row r="35227" ht="15.75" customHeight="1" spans="1:2">
      <c r="A35227" s="3" t="str">
        <f>IFERROR(__xludf.DUMMYFUNCTION("GOOGLETRANSLATE(A35227,""en"",""pt"")"),"Apenas 1 cor (Teal). &amp; # 13; &amp; # 10; Expensive &amp; # 13; &amp; # 10; recurso de viva-voz precisa de trabalho &amp; # 13; &amp; # 10; O reconhecimento de voz precisa de trabalho")</f>
        <v>Apenas 1 cor (Teal). &amp; # 13; &amp; # 10; Expensive &amp; # 13; &amp; # 10; recurso de viva-voz precisa de trabalho &amp; # 13; &amp; # 10; O reconhecimento de voz precisa de trabalho</v>
      </c>
      <c r="B35227" s="3">
        <v>0</v>
      </c>
    </row>
    <row r="35228" ht="15.75" customHeight="1" spans="1:2">
      <c r="A35228" s="3" t="str">
        <f>IFERROR(__xludf.DUMMYFUNCTION("GOOGLETRANSLATE(A35228,""en"",""pt"")"),"Nenhum")</f>
        <v>Nenhum</v>
      </c>
      <c r="B35228" s="3">
        <v>0</v>
      </c>
    </row>
    <row r="35229" ht="15.75" customHeight="1" spans="1:2">
      <c r="A35229" s="3" t="str">
        <f>IFERROR(__xludf.DUMMYFUNCTION("GOOGLETRANSLATE(A35229,""en"",""pt"")"),"Sem talkie na base, comando de voz um pouco interprative, &amp; # 13; &amp; # 10; estojo de couro = mudo.")</f>
        <v>Sem talkie na base, comando de voz um pouco interprative, &amp; # 13; &amp; # 10; estojo de couro = mudo.</v>
      </c>
      <c r="B35229" s="3">
        <v>0</v>
      </c>
    </row>
    <row r="35230" ht="15.75" customHeight="1" spans="1:2">
      <c r="A35230" s="3" t="str">
        <f>IFERROR(__xludf.DUMMYFUNCTION("GOOGLETRANSLATE(A35230,""en"",""pt"")"),"A única coisa negativa que eu posso dizer é que os jogos são terrivelmente tolo.")</f>
        <v>A única coisa negativa que eu posso dizer é que os jogos são terrivelmente tolo.</v>
      </c>
      <c r="B35230" s="3">
        <v>0</v>
      </c>
    </row>
    <row r="35231" ht="15.75" customHeight="1" spans="1:2">
      <c r="A35231" s="3" t="str">
        <f>IFERROR(__xludf.DUMMYFUNCTION("GOOGLETRANSLATE(A35231,""en"",""pt"")"),"Às vezes o sinal poderia ser melhor")</f>
        <v>Às vezes o sinal poderia ser melhor</v>
      </c>
      <c r="B35231" s="3">
        <v>0</v>
      </c>
    </row>
    <row r="35232" ht="15.75" customHeight="1" spans="1:2">
      <c r="A35232" s="3" t="str">
        <f>IFERROR(__xludf.DUMMYFUNCTION("GOOGLETRANSLATE(A35232,""en"",""pt"")"),"Um pouco sobre o lado maior em comparação com muitos novos telefones")</f>
        <v>Um pouco sobre o lado maior em comparação com muitos novos telefones</v>
      </c>
      <c r="B35232" s="3">
        <v>0</v>
      </c>
    </row>
    <row r="35233" ht="15.75" customHeight="1" spans="1:2">
      <c r="A35233" s="3" t="str">
        <f>IFERROR(__xludf.DUMMYFUNCTION("GOOGLETRANSLATE(A35233,""en"",""pt"")"),"Pobre Speakerphone qualidade, funcionalidade errático")</f>
        <v>Pobre Speakerphone qualidade, funcionalidade errático</v>
      </c>
      <c r="B35233" s="3">
        <v>0</v>
      </c>
    </row>
    <row r="35234" ht="15.75" customHeight="1" spans="1:2">
      <c r="A35234" s="3" t="str">
        <f>IFERROR(__xludf.DUMMYFUNCTION("GOOGLETRANSLATE(A35234,""en"",""pt"")"),"Deveria ter feito isso vêm em várias cores, juntamente com o azul-petróleo.")</f>
        <v>Deveria ter feito isso vêm em várias cores, juntamente com o azul-petróleo.</v>
      </c>
      <c r="B35234" s="3">
        <v>0</v>
      </c>
    </row>
    <row r="35235" ht="15.75" customHeight="1" spans="1:2">
      <c r="A35235" s="3" t="str">
        <f>IFERROR(__xludf.DUMMYFUNCTION("GOOGLETRANSLATE(A35235,""en"",""pt"")"),"Nenhum.")</f>
        <v>Nenhum.</v>
      </c>
      <c r="B35235" s="3">
        <v>0</v>
      </c>
    </row>
    <row r="35236" ht="15.75" customHeight="1" spans="1:2">
      <c r="A35236" s="3" t="str">
        <f>IFERROR(__xludf.DUMMYFUNCTION("GOOGLETRANSLATE(A35236,""en"",""pt"")"),"não Virar")</f>
        <v>não Virar</v>
      </c>
      <c r="B35236" s="3">
        <v>0</v>
      </c>
    </row>
    <row r="35237" ht="15.75" customHeight="1" spans="1:2">
      <c r="A35237" s="3" t="str">
        <f>IFERROR(__xludf.DUMMYFUNCTION("GOOGLETRANSLATE(A35237,""en"",""pt"")"),"Speakerphone &amp; amp; Sem fio Web mensagem precisa ser melhorado ..")</f>
        <v>Speakerphone &amp; amp; Sem fio Web mensagem precisa ser melhorado ..</v>
      </c>
      <c r="B35237" s="3">
        <v>0</v>
      </c>
    </row>
    <row r="35238" ht="15.75" customHeight="1" spans="1:2">
      <c r="A35238" s="3" t="str">
        <f>IFERROR(__xludf.DUMMYFUNCTION("GOOGLETRANSLATE(A35238,""en"",""pt"")"),"não muitos acessórios")</f>
        <v>não muitos acessórios</v>
      </c>
      <c r="B35238" s="3">
        <v>0</v>
      </c>
    </row>
    <row r="35239" ht="15.75" customHeight="1" spans="1:2">
      <c r="A35239" s="3" t="str">
        <f>IFERROR(__xludf.DUMMYFUNCTION("GOOGLETRANSLATE(A35239,""en"",""pt"")"),"muitas opções, eles sabem quando é o bastante?")</f>
        <v>muitas opções, eles sabem quando é o bastante?</v>
      </c>
      <c r="B35239" s="3">
        <v>0</v>
      </c>
    </row>
    <row r="35240" ht="15.75" customHeight="1" spans="1:2">
      <c r="A35240" s="3" t="str">
        <f>IFERROR(__xludf.DUMMYFUNCTION("GOOGLETRANSLATE(A35240,""en"",""pt"")"),"viva-voz, a falta de acessórios de terceiros")</f>
        <v>viva-voz, a falta de acessórios de terceiros</v>
      </c>
      <c r="B35240" s="3">
        <v>0</v>
      </c>
    </row>
    <row r="35241" ht="15.75" customHeight="1" spans="1:2">
      <c r="A35241" s="3" t="str">
        <f>IFERROR(__xludf.DUMMYFUNCTION("GOOGLETRANSLATE(A35241,""en"",""pt"")"),"Nenhum tipo de cobertura ao longo dos números.")</f>
        <v>Nenhum tipo de cobertura ao longo dos números.</v>
      </c>
      <c r="B35241" s="3">
        <v>0</v>
      </c>
    </row>
    <row r="35242" ht="15.75" customHeight="1" spans="1:2">
      <c r="A35242" s="3" t="str">
        <f>IFERROR(__xludf.DUMMYFUNCTION("GOOGLETRANSLATE(A35242,""en"",""pt"")"),"O mais importante coisa-recepção-é pobre")</f>
        <v>O mais importante coisa-recepção-é pobre</v>
      </c>
      <c r="B35242" s="3">
        <v>0</v>
      </c>
    </row>
    <row r="35243" ht="15.75" customHeight="1" spans="1:2">
      <c r="A35243" s="3" t="str">
        <f>IFERROR(__xludf.DUMMYFUNCTION("GOOGLETRANSLATE(A35243,""en"",""pt"")"),"controles separados ruim software .lousy speakerphone.no para vibrar ou volume de toque (sem ajuste ao mesmo tempo, o volume de audição")</f>
        <v>controles separados ruim software .lousy speakerphone.no para vibrar ou volume de toque (sem ajuste ao mesmo tempo, o volume de audição</v>
      </c>
      <c r="B35243" s="3">
        <v>0</v>
      </c>
    </row>
    <row r="35244" ht="15.75" customHeight="1" spans="1:2">
      <c r="A35244" s="3" t="str">
        <f>IFERROR(__xludf.DUMMYFUNCTION("GOOGLETRANSLATE(A35244,""en"",""pt"")"),"Muito pobre força do sinal, nenhum suporte para novos toques. fede viva-voz !!!")</f>
        <v>Muito pobre força do sinal, nenhum suporte para novos toques. fede viva-voz !!!</v>
      </c>
      <c r="B35244" s="3">
        <v>0</v>
      </c>
    </row>
    <row r="35245" ht="15.75" customHeight="1" spans="1:2">
      <c r="A35245" s="3" t="str">
        <f>IFERROR(__xludf.DUMMYFUNCTION("GOOGLETRANSLATE(A35245,""en"",""pt"")"),"Sinal é tão pobre, me dá uma dor de cabeça")</f>
        <v>Sinal é tão pobre, me dá uma dor de cabeça</v>
      </c>
      <c r="B35245" s="3">
        <v>0</v>
      </c>
    </row>
    <row r="35246" ht="15.75" customHeight="1" spans="1:2">
      <c r="A35246" s="3" t="str">
        <f>IFERROR(__xludf.DUMMYFUNCTION("GOOGLETRANSLATE(A35246,""en"",""pt"")"),"Às vezes entra em roam em grandes edifícios. pedaço de borracha proteger o viva-voz interrompeu.")</f>
        <v>Às vezes entra em roam em grandes edifícios. pedaço de borracha proteger o viva-voz interrompeu.</v>
      </c>
      <c r="B35246" s="3">
        <v>0</v>
      </c>
    </row>
    <row r="35247" ht="15.75" customHeight="1" spans="1:2">
      <c r="A35247" s="3" t="str">
        <f>IFERROR(__xludf.DUMMYFUNCTION("GOOGLETRANSLATE(A35247,""en"",""pt"")"),"... nenhuma exibição Indiglo, não Tri-mode, caro ...")</f>
        <v>... nenhuma exibição Indiglo, não Tri-mode, caro ...</v>
      </c>
      <c r="B35247" s="3">
        <v>0</v>
      </c>
    </row>
    <row r="35248" ht="15.75" customHeight="1" spans="1:2">
      <c r="A35248" s="3" t="str">
        <f>IFERROR(__xludf.DUMMYFUNCTION("GOOGLETRANSLATE(A35248,""en"",""pt"")"),"Nenhum reais")</f>
        <v>Nenhum reais</v>
      </c>
      <c r="B35248" s="3">
        <v>0</v>
      </c>
    </row>
    <row r="35249" ht="15.75" customHeight="1" spans="1:2">
      <c r="A35249" s="3" t="str">
        <f>IFERROR(__xludf.DUMMYFUNCTION("GOOGLETRANSLATE(A35249,""en"",""pt"")"),"É um único telefone banda (problemas com a sua gama)")</f>
        <v>É um único telefone banda (problemas com a sua gama)</v>
      </c>
      <c r="B35249" s="3">
        <v>0</v>
      </c>
    </row>
    <row r="35250" ht="15.75" customHeight="1" spans="1:2">
      <c r="A35250" s="3" t="str">
        <f>IFERROR(__xludf.DUMMYFUNCTION("GOOGLETRANSLATE(A35250,""en"",""pt"")"),"Sem opção de cartão de chamada, coldre incluído torna succeptible de perder morcego. tampa")</f>
        <v>Sem opção de cartão de chamada, coldre incluído torna succeptible de perder morcego. tampa</v>
      </c>
      <c r="B35250" s="3">
        <v>0</v>
      </c>
    </row>
    <row r="35251" ht="15.75" customHeight="1" spans="1:2">
      <c r="A35251" s="3" t="str">
        <f>IFERROR(__xludf.DUMMYFUNCTION("GOOGLETRANSLATE(A35251,""en"",""pt"")"),"curta duração da bateria, sensível a força do sinal.")</f>
        <v>curta duração da bateria, sensível a força do sinal.</v>
      </c>
      <c r="B35251" s="3">
        <v>0</v>
      </c>
    </row>
    <row r="35252" ht="15.75" customHeight="1" spans="1:2">
      <c r="A35252" s="3" t="str">
        <f>IFERROR(__xludf.DUMMYFUNCTION("GOOGLETRANSLATE(A35252,""en"",""pt"")"),"caro (duh)")</f>
        <v>caro (duh)</v>
      </c>
      <c r="B35252" s="3">
        <v>0</v>
      </c>
    </row>
    <row r="35253" ht="15.75" customHeight="1" spans="1:2">
      <c r="A35253" s="3" t="str">
        <f>IFERROR(__xludf.DUMMYFUNCTION("GOOGLETRANSLATE(A35253,""en"",""pt"")"),"Desvios em modo análogo mais do que startacs, caro")</f>
        <v>Desvios em modo análogo mais do que startacs, caro</v>
      </c>
      <c r="B35253" s="3">
        <v>0</v>
      </c>
    </row>
    <row r="35254" ht="15.75" customHeight="1" spans="1:2">
      <c r="A35254" s="3" t="str">
        <f>IFERROR(__xludf.DUMMYFUNCTION("GOOGLETRANSLATE(A35254,""en"",""pt"")"),"interface não-intuitiva, suporte Não WAP, Thick")</f>
        <v>interface não-intuitiva, suporte Não WAP, Thick</v>
      </c>
      <c r="B35254" s="3">
        <v>0</v>
      </c>
    </row>
    <row r="35255" ht="15.75" customHeight="1" spans="1:2">
      <c r="A35255" s="3" t="str">
        <f>IFERROR(__xludf.DUMMYFUNCTION("GOOGLETRANSLATE(A35255,""en"",""pt"")"),"A vida da bateria é definitivamente suficiente, mas não excepcional.")</f>
        <v>A vida da bateria é definitivamente suficiente, mas não excepcional.</v>
      </c>
      <c r="B35255" s="3">
        <v>0</v>
      </c>
    </row>
    <row r="35256" ht="15.75" customHeight="1" spans="1:2">
      <c r="A35256" s="3" t="str">
        <f>IFERROR(__xludf.DUMMYFUNCTION("GOOGLETRANSLATE(A35256,""en"",""pt"")"),"Caro")</f>
        <v>Caro</v>
      </c>
      <c r="B35256" s="3">
        <v>0</v>
      </c>
    </row>
    <row r="35257" ht="15.75" customHeight="1" spans="1:2">
      <c r="A35257" s="3" t="str">
        <f>IFERROR(__xludf.DUMMYFUNCTION("GOOGLETRANSLATE(A35257,""en"",""pt"")"),"Crummy antena original, LCD difícil de ler à luz do sol")</f>
        <v>Crummy antena original, LCD difícil de ler à luz do sol</v>
      </c>
      <c r="B35257" s="3">
        <v>0</v>
      </c>
    </row>
    <row r="35258" ht="15.75" customHeight="1" spans="1:2">
      <c r="A35258" s="3" t="str">
        <f>IFERROR(__xludf.DUMMYFUNCTION("GOOGLETRANSLATE(A35258,""en"",""pt"")"),"nenhum ... completamente satisfeito")</f>
        <v>nenhum ... completamente satisfeito</v>
      </c>
      <c r="B35258" s="3">
        <v>0</v>
      </c>
    </row>
    <row r="35259" ht="15.75" customHeight="1" spans="1:2">
      <c r="A35259" s="3" t="str">
        <f>IFERROR(__xludf.DUMMYFUNCTION("GOOGLETRANSLATE(A35259,""en"",""pt"")"),"clipe de cinto é fraco")</f>
        <v>clipe de cinto é fraco</v>
      </c>
      <c r="B35259" s="3">
        <v>0</v>
      </c>
    </row>
    <row r="35260" ht="15.75" customHeight="1" spans="1:2">
      <c r="A35260" s="3" t="str">
        <f>IFERROR(__xludf.DUMMYFUNCTION("GOOGLETRANSLATE(A35260,""en"",""pt"")"),"Preço")</f>
        <v>Preço</v>
      </c>
      <c r="B35260" s="3">
        <v>0</v>
      </c>
    </row>
    <row r="35261" ht="15.75" customHeight="1" spans="1:2">
      <c r="A35261" s="3" t="str">
        <f>IFERROR(__xludf.DUMMYFUNCTION("GOOGLETRANSLATE(A35261,""en"",""pt"")"),"vida útil da bateria, recepção, preço, não tri-mode")</f>
        <v>vida útil da bateria, recepção, preço, não tri-mode</v>
      </c>
      <c r="B35261" s="3">
        <v>0</v>
      </c>
    </row>
    <row r="35262" ht="15.75" customHeight="1" spans="1:2">
      <c r="A35262" s="3" t="str">
        <f>IFERROR(__xludf.DUMMYFUNCTION("GOOGLETRANSLATE(A35262,""en"",""pt"")"),"Não consigo pensar em uma")</f>
        <v>Não consigo pensar em uma</v>
      </c>
      <c r="B35262" s="3">
        <v>0</v>
      </c>
    </row>
    <row r="35263" ht="15.75" customHeight="1" spans="1:2">
      <c r="A35263" s="3" t="str">
        <f>IFERROR(__xludf.DUMMYFUNCTION("GOOGLETRANSLATE(A35263,""en"",""pt"")"),"Recepção, a vida da bateria")</f>
        <v>Recepção, a vida da bateria</v>
      </c>
      <c r="B35263" s="3">
        <v>0</v>
      </c>
    </row>
    <row r="35264" ht="15.75" customHeight="1" spans="1:2">
      <c r="A35264" s="3" t="str">
        <f>IFERROR(__xludf.DUMMYFUNCTION("GOOGLETRANSLATE(A35264,""en"",""pt"")"),"recepção Distorted")</f>
        <v>recepção Distorted</v>
      </c>
      <c r="B35264" s="3">
        <v>0</v>
      </c>
    </row>
    <row r="35265" ht="15.75" customHeight="1" spans="1:2">
      <c r="A35265" s="3" t="str">
        <f>IFERROR(__xludf.DUMMYFUNCTION("GOOGLETRANSLATE(A35265,""en"",""pt"")"),"clareza de som, tamanho do teclado")</f>
        <v>clareza de som, tamanho do teclado</v>
      </c>
      <c r="B35265" s="3">
        <v>0</v>
      </c>
    </row>
    <row r="35266" ht="15.75" customHeight="1" spans="1:2">
      <c r="A35266" s="3" t="str">
        <f>IFERROR(__xludf.DUMMYFUNCTION("GOOGLETRANSLATE(A35266,""en"",""pt"")"),"Recepção, pequeno ecrã não indiglo, há shmancies extravagantes como Nokia, parece muito toyish")</f>
        <v>Recepção, pequeno ecrã não indiglo, há shmancies extravagantes como Nokia, parece muito toyish</v>
      </c>
      <c r="B35266" s="3">
        <v>0</v>
      </c>
    </row>
    <row r="35267" ht="15.75" customHeight="1" spans="1:2">
      <c r="A35267" s="3" t="str">
        <f>IFERROR(__xludf.DUMMYFUNCTION("GOOGLETRANSLATE(A35267,""en"",""pt"")"),"curta duração da bateria, o Chrome risca com facilidade")</f>
        <v>curta duração da bateria, o Chrome risca com facilidade</v>
      </c>
      <c r="B35267" s="3">
        <v>0</v>
      </c>
    </row>
    <row r="35268" ht="15.75" customHeight="1" spans="1:2">
      <c r="A35268" s="3" t="str">
        <f>IFERROR(__xludf.DUMMYFUNCTION("GOOGLETRANSLATE(A35268,""en"",""pt"")"),"etiqueta de preço, apenas o modo duplo")</f>
        <v>etiqueta de preço, apenas o modo duplo</v>
      </c>
      <c r="B35268" s="3">
        <v>0</v>
      </c>
    </row>
    <row r="35269" ht="15.75" customHeight="1" spans="1:2">
      <c r="A35269" s="3" t="str">
        <f>IFERROR(__xludf.DUMMYFUNCTION("GOOGLETRANSLATE(A35269,""en"",""pt"")"),"Botões inteligentes e rolo, Antena enfia em você no clipe de cinto")</f>
        <v>Botões inteligentes e rolo, Antena enfia em você no clipe de cinto</v>
      </c>
      <c r="B35269" s="3">
        <v>0</v>
      </c>
    </row>
    <row r="35270" ht="15.75" customHeight="1" spans="1:2">
      <c r="A35270" s="3" t="str">
        <f>IFERROR(__xludf.DUMMYFUNCTION("GOOGLETRANSLATE(A35270,""en"",""pt"")"),"banda única, um monte de retornos")</f>
        <v>banda única, um monte de retornos</v>
      </c>
      <c r="B35270" s="3">
        <v>0</v>
      </c>
    </row>
    <row r="35271" ht="15.75" customHeight="1" spans="1:2">
      <c r="A35271" s="3" t="str">
        <f>IFERROR(__xludf.DUMMYFUNCTION("GOOGLETRANSLATE(A35271,""en"",""pt"")"),"Antena, não é possível enviar mensagens de texto, Mini-browser")</f>
        <v>Antena, não é possível enviar mensagens de texto, Mini-browser</v>
      </c>
      <c r="B35271" s="3">
        <v>0</v>
      </c>
    </row>
    <row r="35272" ht="15.75" customHeight="1" spans="1:2">
      <c r="A35272" s="3" t="str">
        <f>IFERROR(__xludf.DUMMYFUNCTION("GOOGLETRANSLATE(A35272,""en"",""pt"")"),"Qualidade até o par?")</f>
        <v>Qualidade até o par?</v>
      </c>
      <c r="B35272" s="3">
        <v>0</v>
      </c>
    </row>
    <row r="35273" ht="15.75" customHeight="1" spans="1:2">
      <c r="A35273" s="3" t="str">
        <f>IFERROR(__xludf.DUMMYFUNCTION("GOOGLETRANSLATE(A35273,""en"",""pt"")"),"Frágil, terrível LCD, sinal horrível")</f>
        <v>Frágil, terrível LCD, sinal horrível</v>
      </c>
      <c r="B35273" s="3">
        <v>0</v>
      </c>
    </row>
    <row r="35274" ht="15.75" customHeight="1" spans="1:2">
      <c r="A35274" s="3" t="str">
        <f>IFERROR(__xludf.DUMMYFUNCTION("GOOGLETRANSLATE(A35274,""en"",""pt"")"),"Nenhum, nenhum.")</f>
        <v>Nenhum, nenhum.</v>
      </c>
      <c r="B35274" s="3">
        <v>0</v>
      </c>
    </row>
    <row r="35275" ht="15.75" customHeight="1" spans="1:2">
      <c r="A35275" s="3" t="str">
        <f>IFERROR(__xludf.DUMMYFUNCTION("GOOGLETRANSLATE(A35275,""en"",""pt"")"),"microfone terrível qualidade de som, caro")</f>
        <v>microfone terrível qualidade de som, caro</v>
      </c>
      <c r="B35275" s="3">
        <v>0</v>
      </c>
    </row>
    <row r="35276" ht="15.75" customHeight="1" spans="1:2">
      <c r="A35276" s="3" t="str">
        <f>IFERROR(__xludf.DUMMYFUNCTION("GOOGLETRANSLATE(A35276,""en"",""pt"")"),"alto preço, má qualidade")</f>
        <v>alto preço, má qualidade</v>
      </c>
      <c r="B35276" s="3">
        <v>0</v>
      </c>
    </row>
    <row r="35277" ht="15.75" customHeight="1" spans="1:2">
      <c r="A35277" s="3" t="str">
        <f>IFERROR(__xludf.DUMMYFUNCTION("GOOGLETRANSLATE(A35277,""en"",""pt"")"),"vida útil da bateria não é suficiente")</f>
        <v>vida útil da bateria não é suficiente</v>
      </c>
      <c r="B35277" s="3">
        <v>0</v>
      </c>
    </row>
    <row r="35278" ht="15.75" customHeight="1" spans="1:2">
      <c r="A35278" s="3" t="str">
        <f>IFERROR(__xludf.DUMMYFUNCTION("GOOGLETRANSLATE(A35278,""en"",""pt"")"),"No 2 forma de mensagens de texto.")</f>
        <v>No 2 forma de mensagens de texto.</v>
      </c>
      <c r="B35278" s="3">
        <v>0</v>
      </c>
    </row>
    <row r="35279" ht="15.75" customHeight="1" spans="1:2">
      <c r="A35279" s="3" t="str">
        <f>IFERROR(__xludf.DUMMYFUNCTION("GOOGLETRANSLATE(A35279,""en"",""pt"")"),"má recepção, a antena pode quebrar, teclado pequeno")</f>
        <v>má recepção, a antena pode quebrar, teclado pequeno</v>
      </c>
      <c r="B35279" s="3">
        <v>0</v>
      </c>
    </row>
    <row r="35280" ht="15.75" customHeight="1" spans="1:2">
      <c r="A35280" s="3" t="str">
        <f>IFERROR(__xludf.DUMMYFUNCTION("GOOGLETRANSLATE(A35280,""en"",""pt"")"),"cor é feia")</f>
        <v>cor é feia</v>
      </c>
      <c r="B35280" s="3">
        <v>0</v>
      </c>
    </row>
    <row r="35281" ht="15.75" customHeight="1" spans="1:2">
      <c r="A35281" s="3" t="str">
        <f>IFERROR(__xludf.DUMMYFUNCTION("GOOGLETRANSLATE(A35281,""en"",""pt"")"),"Chaves deixar marcas na tela, modo de espera.")</f>
        <v>Chaves deixar marcas na tela, modo de espera.</v>
      </c>
      <c r="B35281" s="3">
        <v>0</v>
      </c>
    </row>
    <row r="35282" ht="15.75" customHeight="1" spans="1:2">
      <c r="A35282" s="3" t="str">
        <f>IFERROR(__xludf.DUMMYFUNCTION("GOOGLETRANSLATE(A35282,""en"",""pt"")"),"Pesado! Sujo Nokia User Interface ...")</f>
        <v>Pesado! Sujo Nokia User Interface ...</v>
      </c>
      <c r="B35282" s="3">
        <v>0</v>
      </c>
    </row>
    <row r="35283" ht="15.75" customHeight="1" spans="1:2">
      <c r="A35283" s="3" t="str">
        <f>IFERROR(__xludf.DUMMYFUNCTION("GOOGLETRANSLATE(A35283,""en"",""pt"")"),"Só o tamanho.")</f>
        <v>Só o tamanho.</v>
      </c>
      <c r="B35283" s="3">
        <v>0</v>
      </c>
    </row>
    <row r="35284" ht="15.75" customHeight="1" spans="1:2">
      <c r="A35284" s="3" t="str">
        <f>IFERROR(__xludf.DUMMYFUNCTION("GOOGLETRANSLATE(A35284,""en"",""pt"")"),"Usa sistema operacional proprietário, fone de ouvido incluído não par, telefone pode usar a tecnologia Bluetooth.")</f>
        <v>Usa sistema operacional proprietário, fone de ouvido incluído não par, telefone pode usar a tecnologia Bluetooth.</v>
      </c>
      <c r="B35284" s="3">
        <v>0</v>
      </c>
    </row>
    <row r="35285" ht="15.75" customHeight="1" spans="1:2">
      <c r="A35285" s="3" t="str">
        <f>IFERROR(__xludf.DUMMYFUNCTION("GOOGLETRANSLATE(A35285,""en"",""pt"")"),"Caro, bateria medíocre")</f>
        <v>Caro, bateria medíocre</v>
      </c>
      <c r="B35285" s="3">
        <v>0</v>
      </c>
    </row>
    <row r="35286" ht="15.75" customHeight="1" spans="1:2">
      <c r="A35286" s="3" t="str">
        <f>IFERROR(__xludf.DUMMYFUNCTION("GOOGLETRANSLATE(A35286,""en"",""pt"")"),"Bastante grande e volumoso em comparação com outros telefones no mercado.")</f>
        <v>Bastante grande e volumoso em comparação com outros telefones no mercado.</v>
      </c>
      <c r="B35286" s="3">
        <v>0</v>
      </c>
    </row>
    <row r="35287" ht="15.75" customHeight="1" spans="1:2">
      <c r="A35287" s="3" t="str">
        <f>IFERROR(__xludf.DUMMYFUNCTION("GOOGLETRANSLATE(A35287,""en"",""pt"")"),"Minúsculo botão de discagem por voz, um pouco maior do que o outro vira difícil de ver à luz do dia")</f>
        <v>Minúsculo botão de discagem por voz, um pouco maior do que o outro vira difícil de ver à luz do dia</v>
      </c>
      <c r="B35287" s="3">
        <v>0</v>
      </c>
    </row>
    <row r="35288" ht="15.75" customHeight="1" spans="1:2">
      <c r="A35288" s="3" t="str">
        <f>IFERROR(__xludf.DUMMYFUNCTION("GOOGLETRANSLATE(A35288,""en"",""pt"")"),"Drena sua carteira, mas que você espera que ele também ser barato?")</f>
        <v>Drena sua carteira, mas que você espera que ele também ser barato?</v>
      </c>
      <c r="B35288" s="3">
        <v>0</v>
      </c>
    </row>
    <row r="35289" ht="15.75" customHeight="1" spans="1:2">
      <c r="A35289" s="3" t="str">
        <f>IFERROR(__xludf.DUMMYFUNCTION("GOOGLETRANSLATE(A35289,""en"",""pt"")"),"Nextel vai Nickle e dime você, é muito grande a navegação na web, nenhuma gráfica.")</f>
        <v>Nextel vai Nickle e dime você, é muito grande a navegação na web, nenhuma gráfica.</v>
      </c>
      <c r="B35289" s="3">
        <v>0</v>
      </c>
    </row>
    <row r="35290" ht="15.75" customHeight="1" spans="1:2">
      <c r="A35290" s="3" t="str">
        <f>IFERROR(__xludf.DUMMYFUNCTION("GOOGLETRANSLATE(A35290,""en"",""pt"")"),"botões recesso (difícil de marcar rapidamente), o feedback botão poderia ser melhorado, e um pouco volumoso.")</f>
        <v>botões recesso (difícil de marcar rapidamente), o feedback botão poderia ser melhorado, e um pouco volumoso.</v>
      </c>
      <c r="B35290" s="3">
        <v>0</v>
      </c>
    </row>
    <row r="35291" ht="15.75" customHeight="1" spans="1:2">
      <c r="A35291" s="3" t="str">
        <f>IFERROR(__xludf.DUMMYFUNCTION("GOOGLETRANSLATE(A35291,""en"",""pt"")"),"Custo, vida útil da bateria.")</f>
        <v>Custo, vida útil da bateria.</v>
      </c>
      <c r="B35291" s="3">
        <v>0</v>
      </c>
    </row>
    <row r="35292" ht="15.75" customHeight="1" spans="1:2">
      <c r="A35292" s="3" t="str">
        <f>IFERROR(__xludf.DUMMYFUNCTION("GOOGLETRANSLATE(A35292,""en"",""pt"")"),"caro, mesmo com queda de preço recente, a vida da bateria, um pouco grande demais, sevice canbe frusterating.")</f>
        <v>caro, mesmo com queda de preço recente, a vida da bateria, um pouco grande demais, sevice canbe frusterating.</v>
      </c>
      <c r="B35292" s="3">
        <v>0</v>
      </c>
    </row>
    <row r="35293" ht="15.75" customHeight="1" spans="1:2">
      <c r="A35293" s="3" t="str">
        <f>IFERROR(__xludf.DUMMYFUNCTION("GOOGLETRANSLATE(A35293,""en"",""pt"")"),"Pricy da Nextel, curta da bateria, não b distintiva / w não atendidas, discadas e chamadas recebidas.")</f>
        <v>Pricy da Nextel, curta da bateria, não b distintiva / w não atendidas, discadas e chamadas recebidas.</v>
      </c>
      <c r="B35293" s="3">
        <v>0</v>
      </c>
    </row>
    <row r="35294" ht="15.75" customHeight="1" spans="1:2">
      <c r="A35294" s="3" t="str">
        <f>IFERROR(__xludf.DUMMYFUNCTION("GOOGLETRANSLATE(A35294,""en"",""pt"")"),"demasiado caro")</f>
        <v>demasiado caro</v>
      </c>
      <c r="B35294" s="3">
        <v>0</v>
      </c>
    </row>
    <row r="35295" ht="15.75" customHeight="1" spans="1:2">
      <c r="A35295" s="3" t="str">
        <f>IFERROR(__xludf.DUMMYFUNCTION("GOOGLETRANSLATE(A35295,""en"",""pt"")"),"Caro, Phone Book é mal projetado. Telefone é um pouco grande.")</f>
        <v>Caro, Phone Book é mal projetado. Telefone é um pouco grande.</v>
      </c>
      <c r="B35295" s="3">
        <v>0</v>
      </c>
    </row>
    <row r="35296" ht="15.75" customHeight="1" spans="1:2">
      <c r="A35296" s="3" t="str">
        <f>IFERROR(__xludf.DUMMYFUNCTION("GOOGLETRANSLATE(A35296,""en"",""pt"")"),"A vida da bateria")</f>
        <v>A vida da bateria</v>
      </c>
      <c r="B35296" s="3">
        <v>0</v>
      </c>
    </row>
    <row r="35297" ht="15.75" customHeight="1" spans="1:2">
      <c r="A35297" s="3" t="str">
        <f>IFERROR(__xludf.DUMMYFUNCTION("GOOGLETRANSLATE(A35297,""en"",""pt"")"),"arranhões exteriores, a vida da bateria !!")</f>
        <v>arranhões exteriores, a vida da bateria !!</v>
      </c>
      <c r="B35297" s="3">
        <v>0</v>
      </c>
    </row>
    <row r="35298" ht="15.75" customHeight="1" spans="1:2">
      <c r="A35298" s="3" t="str">
        <f>IFERROR(__xludf.DUMMYFUNCTION("GOOGLETRANSLATE(A35298,""en"",""pt"")"),"volumoso")</f>
        <v>volumoso</v>
      </c>
      <c r="B35298" s="3">
        <v>0</v>
      </c>
    </row>
    <row r="35299" ht="15.75" customHeight="1" spans="1:2">
      <c r="A35299" s="3" t="str">
        <f>IFERROR(__xludf.DUMMYFUNCTION("GOOGLETRANSLATE(A35299,""en"",""pt"")"),"Um pouco caro, eu descobri telefones muito mais caros. Tipo de volumoso vida útil da bateria, baixo.")</f>
        <v>Um pouco caro, eu descobri telefones muito mais caros. Tipo de volumoso vida útil da bateria, baixo.</v>
      </c>
      <c r="B35299" s="3">
        <v>0</v>
      </c>
    </row>
    <row r="35300" ht="15.75" customHeight="1" spans="1:2">
      <c r="A35300" s="3" t="str">
        <f>IFERROR(__xludf.DUMMYFUNCTION("GOOGLETRANSLATE(A35300,""en"",""pt"")"),"má vida da bateria, grandes e volumosos")</f>
        <v>má vida da bateria, grandes e volumosos</v>
      </c>
      <c r="B35300" s="3">
        <v>0</v>
      </c>
    </row>
    <row r="35301" ht="15.75" customHeight="1" spans="1:2">
      <c r="A35301" s="3" t="str">
        <f>IFERROR(__xludf.DUMMYFUNCTION("GOOGLETRANSLATE(A35301,""en"",""pt"")"),"Apenas um par de pequenas falhas")</f>
        <v>Apenas um par de pequenas falhas</v>
      </c>
      <c r="B35301" s="3">
        <v>0</v>
      </c>
    </row>
    <row r="35302" ht="15.75" customHeight="1" spans="1:2">
      <c r="A35302" s="3" t="str">
        <f>IFERROR(__xludf.DUMMYFUNCTION("GOOGLETRANSLATE(A35302,""en"",""pt"")"),"Reconhecimento de voz em apenas 20 de 100 entradas na agenda.")</f>
        <v>Reconhecimento de voz em apenas 20 de 100 entradas na agenda.</v>
      </c>
      <c r="B35302" s="3">
        <v>0</v>
      </c>
    </row>
    <row r="35303" ht="15.75" customHeight="1" spans="1:2">
      <c r="A35303" s="3" t="str">
        <f>IFERROR(__xludf.DUMMYFUNCTION("GOOGLETRANSLATE(A35303,""en"",""pt"")"),"maior do que um cartão de crédito")</f>
        <v>maior do que um cartão de crédito</v>
      </c>
      <c r="B35303" s="3">
        <v>0</v>
      </c>
    </row>
    <row r="35304" ht="15.75" customHeight="1" spans="1:2">
      <c r="A35304" s="3" t="str">
        <f>IFERROR(__xludf.DUMMYFUNCTION("GOOGLETRANSLATE(A35304,""en"",""pt"")"),"Nenhum ainda")</f>
        <v>Nenhum ainda</v>
      </c>
      <c r="B35304" s="3">
        <v>0</v>
      </c>
    </row>
    <row r="35305" ht="15.75" customHeight="1" spans="1:2">
      <c r="A35305" s="3" t="str">
        <f>IFERROR(__xludf.DUMMYFUNCTION("GOOGLETRANSLATE(A35305,""en"",""pt"")"),"clareza")</f>
        <v>clareza</v>
      </c>
      <c r="B35305" s="3">
        <v>0</v>
      </c>
    </row>
    <row r="35306" ht="15.75" customHeight="1" spans="1:2">
      <c r="A35306" s="3" t="str">
        <f>IFERROR(__xludf.DUMMYFUNCTION("GOOGLETRANSLATE(A35306,""en"",""pt"")"),"Pago muito mais a apenas alguns anos atrás. Difícil de ajustar o volume durante a utilização.")</f>
        <v>Pago muito mais a apenas alguns anos atrás. Difícil de ajustar o volume durante a utilização.</v>
      </c>
      <c r="B35306" s="3">
        <v>0</v>
      </c>
    </row>
    <row r="35307" ht="15.75" customHeight="1" spans="1:2">
      <c r="A35307" s="3" t="str">
        <f>IFERROR(__xludf.DUMMYFUNCTION("GOOGLETRANSLATE(A35307,""en"",""pt"")"),"Nenhum merece destaque.")</f>
        <v>Nenhum merece destaque.</v>
      </c>
      <c r="B35307" s="3">
        <v>0</v>
      </c>
    </row>
    <row r="35308" ht="15.75" customHeight="1" spans="1:2">
      <c r="A35308" s="3" t="str">
        <f>IFERROR(__xludf.DUMMYFUNCTION("GOOGLETRANSLATE(A35308,""en"",""pt"")"),"Interface Web lenta, Tamanho da Fonte Frustrante")</f>
        <v>Interface Web lenta, Tamanho da Fonte Frustrante</v>
      </c>
      <c r="B35308" s="3">
        <v>0</v>
      </c>
    </row>
    <row r="35309" ht="15.75" customHeight="1" spans="1:2">
      <c r="A35309" s="3" t="str">
        <f>IFERROR(__xludf.DUMMYFUNCTION("GOOGLETRANSLATE(A35309,""en"",""pt"")"),"Nenhum")</f>
        <v>Nenhum</v>
      </c>
      <c r="B35309" s="3">
        <v>0</v>
      </c>
    </row>
    <row r="35310" ht="15.75" customHeight="1" spans="1:2">
      <c r="A35310" s="3" t="str">
        <f>IFERROR(__xludf.DUMMYFUNCTION("GOOGLETRANSLATE(A35310,""en"",""pt"")"),"Nenhum eu encontrei até fa")</f>
        <v>Nenhum eu encontrei até fa</v>
      </c>
      <c r="B35310" s="3">
        <v>0</v>
      </c>
    </row>
    <row r="35311" ht="15.75" customHeight="1" spans="1:2">
      <c r="A35311" s="3" t="str">
        <f>IFERROR(__xludf.DUMMYFUNCTION("GOOGLETRANSLATE(A35311,""en"",""pt"")"),"Ergonomia não estão no meu gosto, mas melhor do que alguns outros")</f>
        <v>Ergonomia não estão no meu gosto, mas melhor do que alguns outros</v>
      </c>
      <c r="B35311" s="3">
        <v>0</v>
      </c>
    </row>
    <row r="35312" ht="15.75" customHeight="1" spans="1:2">
      <c r="A35312" s="3" t="str">
        <f>IFERROR(__xludf.DUMMYFUNCTION("GOOGLETRANSLATE(A35312,""en"",""pt"")"),"vida útil da bateria não muito tempo")</f>
        <v>vida útil da bateria não muito tempo</v>
      </c>
      <c r="B35312" s="3">
        <v>0</v>
      </c>
    </row>
    <row r="35313" ht="15.75" customHeight="1" spans="1:2">
      <c r="A35313" s="3" t="str">
        <f>IFERROR(__xludf.DUMMYFUNCTION("GOOGLETRANSLATE(A35313,""en"",""pt"")"),"sinal atennea fraca, por vezes,")</f>
        <v>sinal atennea fraca, por vezes,</v>
      </c>
      <c r="B35313" s="3">
        <v>0</v>
      </c>
    </row>
    <row r="35314" ht="15.75" customHeight="1" spans="1:2">
      <c r="A35314" s="3" t="str">
        <f>IFERROR(__xludf.DUMMYFUNCTION("GOOGLETRANSLATE(A35314,""en"",""pt"")"),"Não é possível alterar as faceplates, bateria de vida poderia ser mais ...")</f>
        <v>Não é possível alterar as faceplates, bateria de vida poderia ser mais ...</v>
      </c>
      <c r="B35314" s="3">
        <v>0</v>
      </c>
    </row>
    <row r="35315" ht="15.75" customHeight="1" spans="1:2">
      <c r="A35315" s="3" t="str">
        <f>IFERROR(__xludf.DUMMYFUNCTION("GOOGLETRANSLATE(A35315,""en"",""pt"")"),"Apenas 4 toques regulares, outros 11 são melodias")</f>
        <v>Apenas 4 toques regulares, outros 11 são melodias</v>
      </c>
      <c r="B35315" s="3">
        <v>0</v>
      </c>
    </row>
    <row r="35316" ht="15.75" customHeight="1" spans="1:2">
      <c r="A35316" s="3" t="str">
        <f>IFERROR(__xludf.DUMMYFUNCTION("GOOGLETRANSLATE(A35316,""en"",""pt"")"),"não pode descobrir como sair e dentro em sites uma vez logado uma vez!")</f>
        <v>não pode descobrir como sair e dentro em sites uma vez logado uma vez!</v>
      </c>
      <c r="B35316" s="3">
        <v>0</v>
      </c>
    </row>
    <row r="35317" ht="15.75" customHeight="1" spans="1:2">
      <c r="A35317" s="3" t="str">
        <f>IFERROR(__xludf.DUMMYFUNCTION("GOOGLETRANSLATE(A35317,""en"",""pt"")"),"Não que eu tenha notado")</f>
        <v>Não que eu tenha notado</v>
      </c>
      <c r="B35317" s="3">
        <v>0</v>
      </c>
    </row>
    <row r="35318" ht="15.75" customHeight="1" spans="1:2">
      <c r="A35318" s="3" t="str">
        <f>IFERROR(__xludf.DUMMYFUNCTION("GOOGLETRANSLATE(A35318,""en"",""pt"")"),"Minha bateria drena muito rapidamente")</f>
        <v>Minha bateria drena muito rapidamente</v>
      </c>
      <c r="B35318" s="3">
        <v>0</v>
      </c>
    </row>
    <row r="35319" ht="15.75" customHeight="1" spans="1:2">
      <c r="A35319" s="3" t="str">
        <f>IFERROR(__xludf.DUMMYFUNCTION("GOOGLETRANSLATE(A35319,""en"",""pt"")"),"Não intuitivo, vai quebrar")</f>
        <v>Não intuitivo, vai quebrar</v>
      </c>
      <c r="B35319" s="3">
        <v>0</v>
      </c>
    </row>
    <row r="35320" ht="15.75" customHeight="1" spans="1:2">
      <c r="A35320" s="3" t="str">
        <f>IFERROR(__xludf.DUMMYFUNCTION("GOOGLETRANSLATE(A35320,""en"",""pt"")"),"Nenhuma tomada de antena externa")</f>
        <v>Nenhuma tomada de antena externa</v>
      </c>
      <c r="B35320" s="3">
        <v>0</v>
      </c>
    </row>
    <row r="35321" ht="15.75" customHeight="1" spans="1:2">
      <c r="A35321" s="3" t="str">
        <f>IFERROR(__xludf.DUMMYFUNCTION("GOOGLETRANSLATE(A35321,""en"",""pt"")"),"Can &amp; # 146; mensagens de texto t send, a vida da bateria")</f>
        <v>Can &amp; # 146; mensagens de texto t send, a vida da bateria</v>
      </c>
      <c r="B35321" s="3">
        <v>0</v>
      </c>
    </row>
    <row r="35322" ht="15.75" customHeight="1" spans="1:2">
      <c r="A35322" s="3" t="str">
        <f>IFERROR(__xludf.DUMMYFUNCTION("GOOGLETRANSLATE(A35322,""en"",""pt"")"),"Grandes; Precisa de um amigável Os menus do sistema mais user")</f>
        <v>Grandes; Precisa de um amigável Os menus do sistema mais user</v>
      </c>
      <c r="B35322" s="3">
        <v>0</v>
      </c>
    </row>
    <row r="35323" ht="15.75" customHeight="1" spans="1:2">
      <c r="A35323" s="3" t="str">
        <f>IFERROR(__xludf.DUMMYFUNCTION("GOOGLETRANSLATE(A35323,""en"",""pt"")"),"No flip top")</f>
        <v>No flip top</v>
      </c>
      <c r="B35323" s="3">
        <v>0</v>
      </c>
    </row>
    <row r="35324" ht="15.75" customHeight="1" spans="1:2">
      <c r="A35324" s="3" t="str">
        <f>IFERROR(__xludf.DUMMYFUNCTION("GOOGLETRANSLATE(A35324,""en"",""pt"")"),"Bateria sai telefone! Acessórios são um pouco caros e difíceis de encontrar.")</f>
        <v>Bateria sai telefone! Acessórios são um pouco caros e difíceis de encontrar.</v>
      </c>
      <c r="B35324" s="3">
        <v>0</v>
      </c>
    </row>
    <row r="35325" ht="15.75" customHeight="1" spans="1:2">
      <c r="A35325" s="3" t="str">
        <f>IFERROR(__xludf.DUMMYFUNCTION("GOOGLETRANSLATE(A35325,""en"",""pt"")"),"botão VM não (como seria de intuir) não ir VM, WAP suga como de costume")</f>
        <v>botão VM não (como seria de intuir) não ir VM, WAP suga como de costume</v>
      </c>
      <c r="B35325" s="3">
        <v>0</v>
      </c>
    </row>
    <row r="35326" ht="15.75" customHeight="1" spans="1:2">
      <c r="A35326" s="3" t="str">
        <f>IFERROR(__xludf.DUMMYFUNCTION("GOOGLETRANSLATE(A35326,""en"",""pt"")"),"Você tem que ler sobre o manual")</f>
        <v>Você tem que ler sobre o manual</v>
      </c>
      <c r="B35326" s="3">
        <v>0</v>
      </c>
    </row>
    <row r="35327" ht="15.75" customHeight="1" spans="1:2">
      <c r="A35327" s="3" t="str">
        <f>IFERROR(__xludf.DUMMYFUNCTION("GOOGLETRANSLATE(A35327,""en"",""pt"")"),"nenhum ainda")</f>
        <v>nenhum ainda</v>
      </c>
      <c r="B35327" s="3">
        <v>0</v>
      </c>
    </row>
    <row r="35328" ht="15.75" customHeight="1" spans="1:2">
      <c r="A35328" s="3" t="str">
        <f>IFERROR(__xludf.DUMMYFUNCTION("GOOGLETRANSLATE(A35328,""en"",""pt"")"),"Telefone passou por reparos, difícil de obter certas partes, há boas opções de viva-voz")</f>
        <v>Telefone passou por reparos, difícil de obter certas partes, há boas opções de viva-voz</v>
      </c>
      <c r="B35328" s="3">
        <v>0</v>
      </c>
    </row>
    <row r="35329" ht="15.75" customHeight="1" spans="1:2">
      <c r="A35329" s="3" t="str">
        <f>IFERROR(__xludf.DUMMYFUNCTION("GOOGLETRANSLATE(A35329,""en"",""pt"")"),"No painel frontal, mesmo trimode não funciona em algumas áreas")</f>
        <v>No painel frontal, mesmo trimode não funciona em algumas áreas</v>
      </c>
      <c r="B35329" s="3">
        <v>0</v>
      </c>
    </row>
    <row r="35330" ht="15.75" customHeight="1" spans="1:2">
      <c r="A35330" s="3" t="str">
        <f>IFERROR(__xludf.DUMMYFUNCTION("GOOGLETRANSLATE(A35330,""en"",""pt"")"),"não pode receber novos tons")</f>
        <v>não pode receber novos tons</v>
      </c>
      <c r="B35330" s="3">
        <v>0</v>
      </c>
    </row>
    <row r="35331" ht="15.75" customHeight="1" spans="1:2">
      <c r="A35331" s="3" t="str">
        <f>IFERROR(__xludf.DUMMYFUNCTION("GOOGLETRANSLATE(A35331,""en"",""pt"")"),"qualidade de construção, o acesso à web dismal")</f>
        <v>qualidade de construção, o acesso à web dismal</v>
      </c>
      <c r="B35331" s="3">
        <v>0</v>
      </c>
    </row>
    <row r="35332" ht="15.75" customHeight="1" spans="1:2">
      <c r="A35332" s="3" t="str">
        <f>IFERROR(__xludf.DUMMYFUNCTION("GOOGLETRANSLATE(A35332,""en"",""pt"")"),"Os botões podem ser difícil de descobrir.")</f>
        <v>Os botões podem ser difícil de descobrir.</v>
      </c>
      <c r="B35332" s="3">
        <v>0</v>
      </c>
    </row>
    <row r="35333" ht="15.75" customHeight="1" spans="1:2">
      <c r="A35333" s="3" t="str">
        <f>IFERROR(__xludf.DUMMYFUNCTION("GOOGLETRANSLATE(A35333,""en"",""pt"")"),"recurso Web não é prático")</f>
        <v>recurso Web não é prático</v>
      </c>
      <c r="B35333" s="3">
        <v>0</v>
      </c>
    </row>
    <row r="35334" ht="15.75" customHeight="1" spans="1:2">
      <c r="A35334" s="3" t="str">
        <f>IFERROR(__xludf.DUMMYFUNCTION("GOOGLETRANSLATE(A35334,""en"",""pt"")"),"menus são difíceis de navegar, por vezes,")</f>
        <v>menus são difíceis de navegar, por vezes,</v>
      </c>
      <c r="B35334" s="3">
        <v>0</v>
      </c>
    </row>
    <row r="35335" ht="15.75" customHeight="1" spans="1:2">
      <c r="A35335" s="3" t="str">
        <f>IFERROR(__xludf.DUMMYFUNCTION("GOOGLETRANSLATE(A35335,""en"",""pt"")"),"baixa confiabilidade")</f>
        <v>baixa confiabilidade</v>
      </c>
      <c r="B35335" s="3">
        <v>0</v>
      </c>
    </row>
    <row r="35336" ht="15.75" customHeight="1" spans="1:2">
      <c r="A35336" s="3" t="str">
        <f>IFERROR(__xludf.DUMMYFUNCTION("GOOGLETRANSLATE(A35336,""en"",""pt"")"),"Discagem ativada por voz")</f>
        <v>Discagem ativada por voz</v>
      </c>
      <c r="B35336" s="3">
        <v>0</v>
      </c>
    </row>
    <row r="35337" ht="15.75" customHeight="1" spans="1:2">
      <c r="A35337" s="3" t="str">
        <f>IFERROR(__xludf.DUMMYFUNCTION("GOOGLETRANSLATE(A35337,""en"",""pt"")"),"que bom é uma garantia?")</f>
        <v>que bom é uma garantia?</v>
      </c>
      <c r="B35337" s="3">
        <v>0</v>
      </c>
    </row>
    <row r="35338" ht="15.75" customHeight="1" spans="1:2">
      <c r="A35338" s="3" t="str">
        <f>IFERROR(__xludf.DUMMYFUNCTION("GOOGLETRANSLATE(A35338,""en"",""pt"")"),"Preço")</f>
        <v>Preço</v>
      </c>
      <c r="B35338" s="3">
        <v>0</v>
      </c>
    </row>
    <row r="35339" ht="15.75" customHeight="1" spans="1:2">
      <c r="A35339" s="3" t="str">
        <f>IFERROR(__xludf.DUMMYFUNCTION("GOOGLETRANSLATE(A35339,""en"",""pt"")"),"Nenhum")</f>
        <v>Nenhum</v>
      </c>
      <c r="B35339" s="3">
        <v>0</v>
      </c>
    </row>
    <row r="35340" ht="15.75" customHeight="1" spans="1:2">
      <c r="A35340" s="3" t="str">
        <f>IFERROR(__xludf.DUMMYFUNCTION("GOOGLETRANSLATE(A35340,""en"",""pt"")"),"Nenhum")</f>
        <v>Nenhum</v>
      </c>
      <c r="B35340" s="3">
        <v>0</v>
      </c>
    </row>
    <row r="35341" ht="15.75" customHeight="1" spans="1:2">
      <c r="A35341" s="3" t="str">
        <f>IFERROR(__xludf.DUMMYFUNCTION("GOOGLETRANSLATE(A35341,""en"",""pt"")"),"não pode facilmente ajustar o volume ao usar o telefone")</f>
        <v>não pode facilmente ajustar o volume ao usar o telefone</v>
      </c>
      <c r="B35341" s="3">
        <v>0</v>
      </c>
    </row>
    <row r="35342" ht="15.75" customHeight="1" spans="1:2">
      <c r="A35342" s="3" t="str">
        <f>IFERROR(__xludf.DUMMYFUNCTION("GOOGLETRANSLATE(A35342,""en"",""pt"")"),"se você telefone é desbloqueado ter o cuidado de quem é o nome que você diz, você pode acidentalmente chamá-los.")</f>
        <v>se você telefone é desbloqueado ter o cuidado de quem é o nome que você diz, você pode acidentalmente chamá-los.</v>
      </c>
      <c r="B35342" s="3">
        <v>0</v>
      </c>
    </row>
    <row r="35343" ht="15.75" customHeight="1" spans="1:2">
      <c r="A35343" s="3" t="str">
        <f>IFERROR(__xludf.DUMMYFUNCTION("GOOGLETRANSLATE(A35343,""en"",""pt"")"),"tamanho da chave pad.")</f>
        <v>tamanho da chave pad.</v>
      </c>
      <c r="B35343" s="3">
        <v>0</v>
      </c>
    </row>
    <row r="35344" ht="15.75" customHeight="1" spans="1:2">
      <c r="A35344" s="3" t="str">
        <f>IFERROR(__xludf.DUMMYFUNCTION("GOOGLETRANSLATE(A35344,""en"",""pt"")"),"Há uma pausa antes de a segunda pessoa atender.")</f>
        <v>Há uma pausa antes de a segunda pessoa atender.</v>
      </c>
      <c r="B35344" s="3">
        <v>0</v>
      </c>
    </row>
    <row r="35345" ht="15.75" customHeight="1" spans="1:2">
      <c r="A35345" s="3" t="str">
        <f>IFERROR(__xludf.DUMMYFUNCTION("GOOGLETRANSLATE(A35345,""en"",""pt"")"),"Durabilidade, tecnologia. falhas")</f>
        <v>Durabilidade, tecnologia. falhas</v>
      </c>
      <c r="B35345" s="3">
        <v>0</v>
      </c>
    </row>
    <row r="35346" ht="15.75" customHeight="1" spans="1:2">
      <c r="A35346" s="3" t="str">
        <f>IFERROR(__xludf.DUMMYFUNCTION("GOOGLETRANSLATE(A35346,""en"",""pt"")"),"Um pouco estática")</f>
        <v>Um pouco estática</v>
      </c>
      <c r="B35346" s="3">
        <v>0</v>
      </c>
    </row>
    <row r="35347" ht="15.75" customHeight="1" spans="1:2">
      <c r="A35347" s="3" t="str">
        <f>IFERROR(__xludf.DUMMYFUNCTION("GOOGLETRANSLATE(A35347,""en"",""pt"")"),"n / D")</f>
        <v>n / D</v>
      </c>
      <c r="B35347" s="3">
        <v>0</v>
      </c>
    </row>
    <row r="35348" ht="15.75" customHeight="1" spans="1:2">
      <c r="A35348" s="3" t="str">
        <f>IFERROR(__xludf.DUMMYFUNCTION("GOOGLETRANSLATE(A35348,""en"",""pt"")"),"Temos que encontrar um lugar clipe de cinto")</f>
        <v>Temos que encontrar um lugar clipe de cinto</v>
      </c>
      <c r="B35348" s="3">
        <v>0</v>
      </c>
    </row>
    <row r="35349" ht="15.75" customHeight="1" spans="1:2">
      <c r="A35349" s="3" t="str">
        <f>IFERROR(__xludf.DUMMYFUNCTION("GOOGLETRANSLATE(A35349,""en"",""pt"")"),"incrível dificuldade de uso")</f>
        <v>incrível dificuldade de uso</v>
      </c>
      <c r="B35349" s="3">
        <v>0</v>
      </c>
    </row>
    <row r="35350" ht="15.75" customHeight="1" spans="1:2">
      <c r="A35350" s="3" t="str">
        <f>IFERROR(__xludf.DUMMYFUNCTION("GOOGLETRANSLATE(A35350,""en"",""pt"")"),"nenhum, plástico se sente mais barato")</f>
        <v>nenhum, plástico se sente mais barato</v>
      </c>
      <c r="B35350" s="3">
        <v>0</v>
      </c>
    </row>
    <row r="35351" ht="15.75" customHeight="1" spans="1:2">
      <c r="A35351" s="3" t="str">
        <f>IFERROR(__xludf.DUMMYFUNCTION("GOOGLETRANSLATE(A35351,""en"",""pt"")"),"frágil Antenna")</f>
        <v>frágil Antenna</v>
      </c>
      <c r="B35351" s="3">
        <v>0</v>
      </c>
    </row>
    <row r="35352" ht="15.75" customHeight="1" spans="1:2">
      <c r="A35352" s="3" t="str">
        <f>IFERROR(__xludf.DUMMYFUNCTION("GOOGLETRANSLATE(A35352,""en"",""pt"")"),"Nenhum tipo de boa anel, efeito de eco ocasional")</f>
        <v>Nenhum tipo de boa anel, efeito de eco ocasional</v>
      </c>
      <c r="B35352" s="3">
        <v>0</v>
      </c>
    </row>
    <row r="35353" ht="15.75" customHeight="1" spans="1:2">
      <c r="A35353" s="3" t="str">
        <f>IFERROR(__xludf.DUMMYFUNCTION("GOOGLETRANSLATE(A35353,""en"",""pt"")"),"difícil de aprender")</f>
        <v>difícil de aprender</v>
      </c>
      <c r="B35353" s="3">
        <v>0</v>
      </c>
    </row>
    <row r="35354" ht="15.75" customHeight="1" spans="1:2">
      <c r="A35354" s="3" t="str">
        <f>IFERROR(__xludf.DUMMYFUNCTION("GOOGLETRANSLATE(A35354,""en"",""pt"")"),"Nenhum.")</f>
        <v>Nenhum.</v>
      </c>
      <c r="B35354" s="3">
        <v>0</v>
      </c>
    </row>
    <row r="35355" ht="15.75" customHeight="1" spans="1:2">
      <c r="A35355" s="3" t="str">
        <f>IFERROR(__xludf.DUMMYFUNCTION("GOOGLETRANSLATE(A35355,""en"",""pt"")"),"nenhum .. Eu amá-lo")</f>
        <v>nenhum .. Eu amá-lo</v>
      </c>
      <c r="B35355" s="3">
        <v>0</v>
      </c>
    </row>
    <row r="35356" ht="15.75" customHeight="1" spans="1:2">
      <c r="A35356" s="3" t="str">
        <f>IFERROR(__xludf.DUMMYFUNCTION("GOOGLETRANSLATE(A35356,""en"",""pt"")"),"ativação de voz é muito sensível você deve falar exatamente o mesmo que você gravou.")</f>
        <v>ativação de voz é muito sensível você deve falar exatamente o mesmo que você gravou.</v>
      </c>
      <c r="B35356" s="3">
        <v>0</v>
      </c>
    </row>
    <row r="35357" ht="15.75" customHeight="1" spans="1:2">
      <c r="A35357" s="3" t="str">
        <f>IFERROR(__xludf.DUMMYFUNCTION("GOOGLETRANSLATE(A35357,""en"",""pt"")"),"questão de carregamento estranho")</f>
        <v>questão de carregamento estranho</v>
      </c>
      <c r="B35357" s="3">
        <v>0</v>
      </c>
    </row>
    <row r="35358" ht="15.75" customHeight="1" spans="1:2">
      <c r="A35358" s="3" t="str">
        <f>IFERROR(__xludf.DUMMYFUNCTION("GOOGLETRANSLATE(A35358,""en"",""pt"")"),"Manual de louco. Não tão bonito como alguns outros telefones lá fora. meio grande.")</f>
        <v>Manual de louco. Não tão bonito como alguns outros telefones lá fora. meio grande.</v>
      </c>
      <c r="B35358" s="3">
        <v>0</v>
      </c>
    </row>
    <row r="35359" ht="15.75" customHeight="1" spans="1:2">
      <c r="A35359" s="3" t="str">
        <f>IFERROR(__xludf.DUMMYFUNCTION("GOOGLETRANSLATE(A35359,""en"",""pt"")"),"O anel não é alto o suficiente.")</f>
        <v>O anel não é alto o suficiente.</v>
      </c>
      <c r="B35359" s="3">
        <v>0</v>
      </c>
    </row>
    <row r="35360" ht="15.75" customHeight="1" spans="1:2">
      <c r="A35360" s="3" t="str">
        <f>IFERROR(__xludf.DUMMYFUNCTION("GOOGLETRANSLATE(A35360,""en"",""pt"")"),"Alguns acessórios.")</f>
        <v>Alguns acessórios.</v>
      </c>
      <c r="B35360" s="3">
        <v>0</v>
      </c>
    </row>
    <row r="35361" ht="15.75" customHeight="1" spans="1:2">
      <c r="A35361" s="3" t="str">
        <f>IFERROR(__xludf.DUMMYFUNCTION("GOOGLETRANSLATE(A35361,""en"",""pt"")"),"por vezes difícil de ouvir, se você estiver em uma área ruidosa")</f>
        <v>por vezes difícil de ouvir, se você estiver em uma área ruidosa</v>
      </c>
      <c r="B35361" s="3">
        <v>0</v>
      </c>
    </row>
    <row r="35362" ht="15.75" customHeight="1" spans="1:2">
      <c r="A35362" s="3" t="str">
        <f>IFERROR(__xludf.DUMMYFUNCTION("GOOGLETRANSLATE(A35362,""en"",""pt"")"),"Alto-falantes sair. escolhas anel limitado. Discagem ativada por voz não tão precisos como os telefones mais velhos.")</f>
        <v>Alto-falantes sair. escolhas anel limitado. Discagem ativada por voz não tão precisos como os telefones mais velhos.</v>
      </c>
      <c r="B35362" s="3">
        <v>0</v>
      </c>
    </row>
    <row r="35363" ht="15.75" customHeight="1" spans="1:2">
      <c r="A35363" s="3" t="str">
        <f>IFERROR(__xludf.DUMMYFUNCTION("GOOGLETRANSLATE(A35363,""en"",""pt"")"),"Grande. Apenas disponível no escuro nojento cor azul.")</f>
        <v>Grande. Apenas disponível no escuro nojento cor azul.</v>
      </c>
      <c r="B35363" s="3">
        <v>0</v>
      </c>
    </row>
    <row r="35364" ht="15.75" customHeight="1" spans="1:2">
      <c r="A35364" s="3" t="str">
        <f>IFERROR(__xludf.DUMMYFUNCTION("GOOGLETRANSLATE(A35364,""en"",""pt"")"),"Falhou como MODEM")</f>
        <v>Falhou como MODEM</v>
      </c>
      <c r="B35364" s="3">
        <v>0</v>
      </c>
    </row>
    <row r="35365" ht="15.75" customHeight="1" spans="1:2">
      <c r="A35365" s="3" t="str">
        <f>IFERROR(__xludf.DUMMYFUNCTION("GOOGLETRANSLATE(A35365,""en"",""pt"")"),"Muito má recepção (only_in_the_UK?!?), Algumas falhas a serem resolvidos, a falta de recursos.")</f>
        <v>Muito má recepção (only_in_the_UK?!?), Algumas falhas a serem resolvidos, a falta de recursos.</v>
      </c>
      <c r="B35365" s="3">
        <v>0</v>
      </c>
    </row>
    <row r="35366" ht="15.75" customHeight="1" spans="1:2">
      <c r="A35366" s="3" t="str">
        <f>IFERROR(__xludf.DUMMYFUNCTION("GOOGLETRANSLATE(A35366,""en"",""pt"")"),"O preço é um pouco, não muito ruim, porém, especialmente após o desconto.")</f>
        <v>O preço é um pouco, não muito ruim, porém, especialmente após o desconto.</v>
      </c>
      <c r="B35366" s="3">
        <v>0</v>
      </c>
    </row>
    <row r="35367" ht="15.75" customHeight="1" spans="1:2">
      <c r="A35367" s="3" t="str">
        <f>IFERROR(__xludf.DUMMYFUNCTION("GOOGLETRANSLATE(A35367,""en"",""pt"")"),"Alguns pequenos problemas de usabilidade, ""vida de prateleira"" de apenas um ano.")</f>
        <v>Alguns pequenos problemas de usabilidade, "vida de prateleira" de apenas um ano.</v>
      </c>
      <c r="B35367" s="3">
        <v>0</v>
      </c>
    </row>
    <row r="35368" ht="15.75" customHeight="1" spans="1:2">
      <c r="A35368" s="3" t="str">
        <f>IFERROR(__xludf.DUMMYFUNCTION("GOOGLETRANSLATE(A35368,""en"",""pt"")"),"Alguns menus desajeitados, duração de bateria menor do que o esperado.")</f>
        <v>Alguns menus desajeitados, duração de bateria menor do que o esperado.</v>
      </c>
      <c r="B35368" s="3">
        <v>0</v>
      </c>
    </row>
    <row r="35369" ht="15.75" customHeight="1" spans="1:2">
      <c r="A35369" s="3" t="str">
        <f>IFERROR(__xludf.DUMMYFUNCTION("GOOGLETRANSLATE(A35369,""en"",""pt"")"),"teclas pequenas, não é bom para os dedos grandes. Necessidade Cabo USB para obter fotos fora.")</f>
        <v>teclas pequenas, não é bom para os dedos grandes. Necessidade Cabo USB para obter fotos fora.</v>
      </c>
      <c r="B35369" s="3">
        <v>0</v>
      </c>
    </row>
    <row r="35370" ht="15.75" customHeight="1" spans="1:2">
      <c r="A35370" s="3" t="str">
        <f>IFERROR(__xludf.DUMMYFUNCTION("GOOGLETRANSLATE(A35370,""en"",""pt"")"),"A vida da bateria !! Recepção, durabilidade, loudness ou suavidade orador devo dizer")</f>
        <v>A vida da bateria !! Recepção, durabilidade, loudness ou suavidade orador devo dizer</v>
      </c>
      <c r="B35370" s="3">
        <v>0</v>
      </c>
    </row>
    <row r="35371" ht="15.75" customHeight="1" spans="1:2">
      <c r="A35371" s="3" t="str">
        <f>IFERROR(__xludf.DUMMYFUNCTION("GOOGLETRANSLATE(A35371,""en"",""pt"")"),"Não Bluetooth / IR")</f>
        <v>Não Bluetooth / IR</v>
      </c>
      <c r="B35371" s="3">
        <v>0</v>
      </c>
    </row>
    <row r="35372" ht="15.75" customHeight="1" spans="1:2">
      <c r="A35372" s="3" t="str">
        <f>IFERROR(__xludf.DUMMYFUNCTION("GOOGLETRANSLATE(A35372,""en"",""pt"")"),"Faceplate arranha facilmente.")</f>
        <v>Faceplate arranha facilmente.</v>
      </c>
      <c r="B35372" s="3">
        <v>0</v>
      </c>
    </row>
    <row r="35373" ht="15.75" customHeight="1" spans="1:2">
      <c r="A35373" s="3" t="str">
        <f>IFERROR(__xludf.DUMMYFUNCTION("GOOGLETRANSLATE(A35373,""en"",""pt"")"),"Sem cronômetro. Sem bluetooth.")</f>
        <v>Sem cronômetro. Sem bluetooth.</v>
      </c>
      <c r="B35373" s="3">
        <v>0</v>
      </c>
    </row>
    <row r="35374" ht="15.75" customHeight="1" spans="1:2">
      <c r="A35374" s="3" t="str">
        <f>IFERROR(__xludf.DUMMYFUNCTION("GOOGLETRANSLATE(A35374,""en"",""pt"")"),"sem gravação de vídeo sobre ele")</f>
        <v>sem gravação de vídeo sobre ele</v>
      </c>
      <c r="B35374" s="3">
        <v>0</v>
      </c>
    </row>
    <row r="35375" ht="15.75" customHeight="1" spans="1:2">
      <c r="A35375" s="3" t="str">
        <f>IFERROR(__xludf.DUMMYFUNCTION("GOOGLETRANSLATE(A35375,""en"",""pt"")"),"Não confiável, botões de hardware para sentir")</f>
        <v>Não confiável, botões de hardware para sentir</v>
      </c>
      <c r="B35375" s="3">
        <v>0</v>
      </c>
    </row>
    <row r="35376" ht="15.75" customHeight="1" spans="1:2">
      <c r="A35376" s="3" t="str">
        <f>IFERROR(__xludf.DUMMYFUNCTION("GOOGLETRANSLATE(A35376,""en"",""pt"")"),"acabamento de má qualidade. Pobre conector para o carregador. Gotas chamadas após 15 minutos.")</f>
        <v>acabamento de má qualidade. Pobre conector para o carregador. Gotas chamadas após 15 minutos.</v>
      </c>
      <c r="B35376" s="3">
        <v>0</v>
      </c>
    </row>
    <row r="35377" ht="15.75" customHeight="1" spans="1:2">
      <c r="A35377" s="3" t="str">
        <f>IFERROR(__xludf.DUMMYFUNCTION("GOOGLETRANSLATE(A35377,""en"",""pt"")"),"Extremamente volume de peça de baixo da orelha (no meu segundo telefone, ainda o mesmo problema)")</f>
        <v>Extremamente volume de peça de baixo da orelha (no meu segundo telefone, ainda o mesmo problema)</v>
      </c>
      <c r="B35377" s="3">
        <v>0</v>
      </c>
    </row>
    <row r="35378" ht="15.75" customHeight="1" spans="1:2">
      <c r="A35378" s="3" t="str">
        <f>IFERROR(__xludf.DUMMYFUNCTION("GOOGLETRANSLATE(A35378,""en"",""pt"")"),"voltas luz azul externos sobre sem motivo")</f>
        <v>voltas luz azul externos sobre sem motivo</v>
      </c>
      <c r="B35378" s="3">
        <v>0</v>
      </c>
    </row>
    <row r="35379" ht="15.75" customHeight="1" spans="1:2">
      <c r="A35379" s="3" t="str">
        <f>IFERROR(__xludf.DUMMYFUNCTION("GOOGLETRANSLATE(A35379,""en"",""pt"")"),"muito mal projetado de interface do usuário / hotkeys.")</f>
        <v>muito mal projetado de interface do usuário / hotkeys.</v>
      </c>
      <c r="B35379" s="3">
        <v>0</v>
      </c>
    </row>
    <row r="35380" ht="15.75" customHeight="1" spans="1:2">
      <c r="A35380" s="3" t="str">
        <f>IFERROR(__xludf.DUMMYFUNCTION("GOOGLETRANSLATE(A35380,""en"",""pt"")"),"disponível apenas com uma rede, botões do lado pode alterar as configurações acidentalmente")</f>
        <v>disponível apenas com uma rede, botões do lado pode alterar as configurações acidentalmente</v>
      </c>
      <c r="B35380" s="3">
        <v>0</v>
      </c>
    </row>
    <row r="35381" ht="15.75" customHeight="1" spans="1:2">
      <c r="A35381" s="3" t="str">
        <f>IFERROR(__xludf.DUMMYFUNCTION("GOOGLETRANSLATE(A35381,""en"",""pt"")"),"- Algumas questões menores, como uma melhor gestão da agenda.")</f>
        <v>- Algumas questões menores, como uma melhor gestão da agenda.</v>
      </c>
      <c r="B35381" s="3">
        <v>0</v>
      </c>
    </row>
    <row r="35382" ht="15.75" customHeight="1" spans="1:2">
      <c r="A35382" s="3" t="str">
        <f>IFERROR(__xludf.DUMMYFUNCTION("GOOGLETRANSLATE(A35382,""en"",""pt"")"),"Minúsculo (muito pequena), de forma estranha e chaves ilegíveis. som medíocre e recepção. Nenhuma tela Zoom.")</f>
        <v>Minúsculo (muito pequena), de forma estranha e chaves ilegíveis. som medíocre e recepção. Nenhuma tela Zoom.</v>
      </c>
      <c r="B35382" s="3">
        <v>0</v>
      </c>
    </row>
    <row r="35383" ht="15.75" customHeight="1" spans="1:2">
      <c r="A35383" s="3" t="str">
        <f>IFERROR(__xludf.DUMMYFUNCTION("GOOGLETRANSLATE(A35383,""en"",""pt"")"),"Pobre, de má qualidade ... frágil, sacudir solta. software Buggy")</f>
        <v>Pobre, de má qualidade ... frágil, sacudir solta. software Buggy</v>
      </c>
      <c r="B35383" s="3">
        <v>0</v>
      </c>
    </row>
    <row r="35384" ht="15.75" customHeight="1" spans="1:2">
      <c r="A35384" s="3" t="str">
        <f>IFERROR(__xludf.DUMMYFUNCTION("GOOGLETRANSLATE(A35384,""en"",""pt"")"),"break downs inexplicáveis")</f>
        <v>break downs inexplicáveis</v>
      </c>
      <c r="B35384" s="3">
        <v>0</v>
      </c>
    </row>
    <row r="35385" ht="15.75" customHeight="1" spans="1:2">
      <c r="A35385" s="3" t="str">
        <f>IFERROR(__xludf.DUMMYFUNCTION("GOOGLETRANSLATE(A35385,""en"",""pt"")"),"frágeis carregador de bateria, uma má recepção, chamadas abandonadas, mau garantia")</f>
        <v>frágeis carregador de bateria, uma má recepção, chamadas abandonadas, mau garantia</v>
      </c>
      <c r="B35385" s="3">
        <v>0</v>
      </c>
    </row>
    <row r="35386" ht="15.75" customHeight="1" spans="1:2">
      <c r="A35386" s="3" t="str">
        <f>IFERROR(__xludf.DUMMYFUNCTION("GOOGLETRANSLATE(A35386,""en"",""pt"")"),"volume de anel, ocasionalmente necessário reiniciar")</f>
        <v>volume de anel, ocasionalmente necessário reiniciar</v>
      </c>
      <c r="B35386" s="3">
        <v>0</v>
      </c>
    </row>
    <row r="35387" ht="15.75" customHeight="1" spans="1:2">
      <c r="A35387" s="3" t="str">
        <f>IFERROR(__xludf.DUMMYFUNCTION("GOOGLETRANSLATE(A35387,""en"",""pt"")"),"botões juntas, chamadas abandonadas, congela-se quando se utiliza texto, curta duração da bateria")</f>
        <v>botões juntas, chamadas abandonadas, congela-se quando se utiliza texto, curta duração da bateria</v>
      </c>
      <c r="B35387" s="3">
        <v>0</v>
      </c>
    </row>
    <row r="35388" ht="15.75" customHeight="1" spans="1:2">
      <c r="A35388" s="3" t="str">
        <f>IFERROR(__xludf.DUMMYFUNCTION("GOOGLETRANSLATE(A35388,""en"",""pt"")"),"Falha de chamada, chamadas não atendidas")</f>
        <v>Falha de chamada, chamadas não atendidas</v>
      </c>
      <c r="B35388" s="3">
        <v>0</v>
      </c>
    </row>
    <row r="35389" ht="15.75" customHeight="1" spans="1:2">
      <c r="A35389" s="3" t="str">
        <f>IFERROR(__xludf.DUMMYFUNCTION("GOOGLETRANSLATE(A35389,""en"",""pt"")"),"Nenhuma porta IR, baixo tom de toque de qualidade, tempo de latência no acesso ao menu")</f>
        <v>Nenhuma porta IR, baixo tom de toque de qualidade, tempo de latência no acesso ao menu</v>
      </c>
      <c r="B35389" s="3">
        <v>0</v>
      </c>
    </row>
    <row r="35390" ht="15.75" customHeight="1" spans="1:2">
      <c r="A35390" s="3" t="str">
        <f>IFERROR(__xludf.DUMMYFUNCTION("GOOGLETRANSLATE(A35390,""en"",""pt"")"),"Leva muito tempo para atender uma chamada, recepção perder o tempo todo")</f>
        <v>Leva muito tempo para atender uma chamada, recepção perder o tempo todo</v>
      </c>
      <c r="B35390" s="3">
        <v>0</v>
      </c>
    </row>
    <row r="35391" ht="15.75" customHeight="1" spans="1:2">
      <c r="A35391" s="3" t="str">
        <f>IFERROR(__xludf.DUMMYFUNCTION("GOOGLETRANSLATE(A35391,""en"",""pt"")"),"Não a melhor recepção, má qualidade de construção (orador parou de funcionar, telefone parou de funcionar)")</f>
        <v>Não a melhor recepção, má qualidade de construção (orador parou de funcionar, telefone parou de funcionar)</v>
      </c>
      <c r="B35391" s="3">
        <v>0</v>
      </c>
    </row>
    <row r="35392" ht="15.75" customHeight="1" spans="1:2">
      <c r="A35392" s="3" t="str">
        <f>IFERROR(__xludf.DUMMYFUNCTION("GOOGLETRANSLATE(A35392,""en"",""pt"")"),"Nenhum")</f>
        <v>Nenhum</v>
      </c>
      <c r="B35392" s="3">
        <v>0</v>
      </c>
    </row>
    <row r="35393" ht="15.75" customHeight="1" spans="1:2">
      <c r="A35393" s="3" t="str">
        <f>IFERROR(__xludf.DUMMYFUNCTION("GOOGLETRANSLATE(A35393,""en"",""pt"")"),"Não é possível ativar alto-falante até depois chamada é feita, nenhum Bluetooth")</f>
        <v>Não é possível ativar alto-falante até depois chamada é feita, nenhum Bluetooth</v>
      </c>
      <c r="B35393" s="3">
        <v>0</v>
      </c>
    </row>
    <row r="35394" ht="15.75" customHeight="1" spans="1:2">
      <c r="A35394" s="3" t="str">
        <f>IFERROR(__xludf.DUMMYFUNCTION("GOOGLETRANSLATE(A35394,""en"",""pt"")"),"Não-confiável")</f>
        <v>Não-confiável</v>
      </c>
      <c r="B35394" s="3">
        <v>0</v>
      </c>
    </row>
    <row r="35395" ht="15.75" customHeight="1" spans="1:2">
      <c r="A35395" s="3" t="str">
        <f>IFERROR(__xludf.DUMMYFUNCTION("GOOGLETRANSLATE(A35395,""en"",""pt"")"),"Muito lento, câmera pobres, chamada e finais botões para trás ...")</f>
        <v>Muito lento, câmera pobres, chamada e finais botões para trás ...</v>
      </c>
      <c r="B35395" s="3">
        <v>0</v>
      </c>
    </row>
    <row r="35396" ht="15.75" customHeight="1" spans="1:2">
      <c r="A35396" s="3" t="str">
        <f>IFERROR(__xludf.DUMMYFUNCTION("GOOGLETRANSLATE(A35396,""en"",""pt"")"),"Eu não gosto do fato de que eu não pode acessar a web quase em qualquer lugar.")</f>
        <v>Eu não gosto do fato de que eu não pode acessar a web quase em qualquer lugar.</v>
      </c>
      <c r="B35396" s="3">
        <v>0</v>
      </c>
    </row>
    <row r="35397" ht="15.75" customHeight="1" spans="1:2">
      <c r="A35397" s="3" t="str">
        <f>IFERROR(__xludf.DUMMYFUNCTION("GOOGLETRANSLATE(A35397,""en"",""pt"")"),"Não vale a pena o preço para tal uma curta telefone.")</f>
        <v>Não vale a pena o preço para tal uma curta telefone.</v>
      </c>
      <c r="B35397" s="3">
        <v>0</v>
      </c>
    </row>
    <row r="35398" ht="15.75" customHeight="1" spans="1:2">
      <c r="A35398" s="3" t="str">
        <f>IFERROR(__xludf.DUMMYFUNCTION("GOOGLETRANSLATE(A35398,""en"",""pt"")"),"não cumprir os requisitos mínimos do que implica qualquer telefone.")</f>
        <v>não cumprir os requisitos mínimos do que implica qualquer telefone.</v>
      </c>
      <c r="B35398" s="3">
        <v>0</v>
      </c>
    </row>
    <row r="35399" ht="15.75" customHeight="1" spans="1:2">
      <c r="A35399" s="3" t="str">
        <f>IFERROR(__xludf.DUMMYFUNCTION("GOOGLETRANSLATE(A35399,""en"",""pt"")"),"Nenhum.")</f>
        <v>Nenhum.</v>
      </c>
      <c r="B35399" s="3">
        <v>0</v>
      </c>
    </row>
    <row r="35400" ht="15.75" customHeight="1" spans="1:2">
      <c r="A35400" s="3" t="str">
        <f>IFERROR(__xludf.DUMMYFUNCTION("GOOGLETRANSLATE(A35400,""en"",""pt"")"),"Teclado um pouco difícil de usar as teclas estão juntos.")</f>
        <v>Teclado um pouco difícil de usar as teclas estão juntos.</v>
      </c>
      <c r="B35400" s="3">
        <v>0</v>
      </c>
    </row>
    <row r="35401" ht="15.75" customHeight="1" spans="1:2">
      <c r="A35401" s="3" t="str">
        <f>IFERROR(__xludf.DUMMYFUNCTION("GOOGLETRANSLATE(A35401,""en"",""pt"")"),"A qualidade da chamada não é a melhor. Nenhum outro lugar!")</f>
        <v>A qualidade da chamada não é a melhor. Nenhum outro lugar!</v>
      </c>
      <c r="B35401" s="3">
        <v>0</v>
      </c>
    </row>
    <row r="35402" ht="15.75" customHeight="1" spans="1:2">
      <c r="A35402" s="3" t="str">
        <f>IFERROR(__xludf.DUMMYFUNCTION("GOOGLETRANSLATE(A35402,""en"",""pt"")"),"às vezes telefone congela-se, têm problemas de audição através do telefone quando se fala de alguém")</f>
        <v>às vezes telefone congela-se, têm problemas de audição através do telefone quando se fala de alguém</v>
      </c>
      <c r="B35402" s="3">
        <v>0</v>
      </c>
    </row>
    <row r="35403" ht="15.75" customHeight="1" spans="1:2">
      <c r="A35403" s="3" t="str">
        <f>IFERROR(__xludf.DUMMYFUNCTION("GOOGLETRANSLATE(A35403,""en"",""pt"")"),"falha do produto!")</f>
        <v>falha do produto!</v>
      </c>
      <c r="B35403" s="3">
        <v>0</v>
      </c>
    </row>
    <row r="35404" ht="15.75" customHeight="1" spans="1:2">
      <c r="A35404" s="3" t="str">
        <f>IFERROR(__xludf.DUMMYFUNCTION("GOOGLETRANSLATE(A35404,""en"",""pt"")"),"Botões do lado atingido acidentalmente fazer barulho se o som está ligado.")</f>
        <v>Botões do lado atingido acidentalmente fazer barulho se o som está ligado.</v>
      </c>
      <c r="B35404" s="3">
        <v>0</v>
      </c>
    </row>
    <row r="35405" ht="15.75" customHeight="1" spans="1:2">
      <c r="A35405" s="3" t="str">
        <f>IFERROR(__xludf.DUMMYFUNCTION("GOOGLETRANSLATE(A35405,""en"",""pt"")"),"problema de software, toques não carregar o suficiente,")</f>
        <v>problema de software, toques não carregar o suficiente,</v>
      </c>
      <c r="B35405" s="3">
        <v>0</v>
      </c>
    </row>
    <row r="35406" ht="15.75" customHeight="1" spans="1:2">
      <c r="A35406" s="3" t="str">
        <f>IFERROR(__xludf.DUMMYFUNCTION("GOOGLETRANSLATE(A35406,""en"",""pt"")"),"Descer do Motorola V400")</f>
        <v>Descer do Motorola V400</v>
      </c>
      <c r="B35406" s="3">
        <v>0</v>
      </c>
    </row>
    <row r="35407" ht="15.75" customHeight="1" spans="1:2">
      <c r="A35407" s="3" t="str">
        <f>IFERROR(__xludf.DUMMYFUNCTION("GOOGLETRANSLATE(A35407,""en"",""pt"")"),"Speakerphone após chamada, muito caro, para muitos maus com problemas de software.")</f>
        <v>Speakerphone após chamada, muito caro, para muitos maus com problemas de software.</v>
      </c>
      <c r="B35407" s="3">
        <v>0</v>
      </c>
    </row>
    <row r="35408" ht="15.75" customHeight="1" spans="1:2">
      <c r="A35408" s="3" t="str">
        <f>IFERROR(__xludf.DUMMYFUNCTION("GOOGLETRANSLATE(A35408,""en"",""pt"")"),"O layout dos botões é pobre, a vida da bateria não é bem o que é anunciado.")</f>
        <v>O layout dos botões é pobre, a vida da bateria não é bem o que é anunciado.</v>
      </c>
      <c r="B35408" s="3">
        <v>0</v>
      </c>
    </row>
    <row r="35409" ht="15.75" customHeight="1" spans="1:2">
      <c r="A35409" s="3" t="str">
        <f>IFERROR(__xludf.DUMMYFUNCTION("GOOGLETRANSLATE(A35409,""en"",""pt"")"),"Veja acima")</f>
        <v>Veja acima</v>
      </c>
      <c r="B35409" s="3">
        <v>0</v>
      </c>
    </row>
    <row r="35410" ht="15.75" customHeight="1" spans="1:2">
      <c r="A35410" s="3" t="str">
        <f>IFERROR(__xludf.DUMMYFUNCTION("GOOGLETRANSLATE(A35410,""en"",""pt"")"),"inicialização lenta, tela pequena, sem recursos de fotos")</f>
        <v>inicialização lenta, tela pequena, sem recursos de fotos</v>
      </c>
      <c r="B35410" s="3">
        <v>0</v>
      </c>
    </row>
    <row r="35411" ht="15.75" customHeight="1" spans="1:2">
      <c r="A35411" s="3" t="str">
        <f>IFERROR(__xludf.DUMMYFUNCTION("GOOGLETRANSLATE(A35411,""en"",""pt"")"),"Espessura do telefone, carece de viva-voz, capacidades Sem PCS ""visão"" (não pode enviar / receber fotos).")</f>
        <v>Espessura do telefone, carece de viva-voz, capacidades Sem PCS "visão" (não pode enviar / receber fotos).</v>
      </c>
      <c r="B35411" s="3">
        <v>0</v>
      </c>
    </row>
    <row r="35412" ht="15.75" customHeight="1" spans="1:2">
      <c r="A35412" s="3" t="str">
        <f>IFERROR(__xludf.DUMMYFUNCTION("GOOGLETRANSLATE(A35412,""en"",""pt"")"),"volume da campainha baixo, resposta lenta ocasional,")</f>
        <v>volume da campainha baixo, resposta lenta ocasional,</v>
      </c>
      <c r="B35412" s="3">
        <v>0</v>
      </c>
    </row>
    <row r="35413" ht="15.75" customHeight="1" spans="1:2">
      <c r="A35413" s="3" t="str">
        <f>IFERROR(__xludf.DUMMYFUNCTION("GOOGLETRANSLATE(A35413,""en"",""pt"")"),"parece frágil (toy like) e incompleta. pobre interacção dados.")</f>
        <v>parece frágil (toy like) e incompleta. pobre interacção dados.</v>
      </c>
      <c r="B35413" s="3">
        <v>0</v>
      </c>
    </row>
    <row r="35414" ht="15.75" customHeight="1" spans="1:2">
      <c r="A35414" s="3" t="str">
        <f>IFERROR(__xludf.DUMMYFUNCTION("GOOGLETRANSLATE(A35414,""en"",""pt"")"),"Viva-voz fraca, tamanho pequeno, de downloads caros")</f>
        <v>Viva-voz fraca, tamanho pequeno, de downloads caros</v>
      </c>
      <c r="B35414" s="3">
        <v>0</v>
      </c>
    </row>
    <row r="35415" ht="15.75" customHeight="1" spans="1:2">
      <c r="A35415" s="3" t="str">
        <f>IFERROR(__xludf.DUMMYFUNCTION("GOOGLETRANSLATE(A35415,""en"",""pt"")"),"volume do auricular não tão alto quanto eu gosto. Alguns controles não para os dedos maiores.")</f>
        <v>volume do auricular não tão alto quanto eu gosto. Alguns controles não para os dedos maiores.</v>
      </c>
      <c r="B35415" s="3">
        <v>0</v>
      </c>
    </row>
    <row r="35416" ht="15.75" customHeight="1" spans="1:2">
      <c r="A35416" s="3" t="str">
        <f>IFERROR(__xludf.DUMMYFUNCTION("GOOGLETRANSLATE(A35416,""en"",""pt"")"),"Aquece rapidamente, bateria fraca, poucos recursos, sem câmera, sem voz, NÃO É UM BOM NEGÓCIO")</f>
        <v>Aquece rapidamente, bateria fraca, poucos recursos, sem câmera, sem voz, NÃO É UM BOM NEGÓCIO</v>
      </c>
      <c r="B35416" s="3">
        <v>0</v>
      </c>
    </row>
    <row r="35417" ht="15.75" customHeight="1" spans="1:2">
      <c r="A35417" s="3" t="str">
        <f>IFERROR(__xludf.DUMMYFUNCTION("GOOGLETRANSLATE(A35417,""en"",""pt"")"),"Ver abaixo.")</f>
        <v>Ver abaixo.</v>
      </c>
      <c r="B35417" s="3">
        <v>0</v>
      </c>
    </row>
    <row r="35418" ht="15.75" customHeight="1" spans="1:2">
      <c r="A35418" s="3" t="str">
        <f>IFERROR(__xludf.DUMMYFUNCTION("GOOGLETRANSLATE(A35418,""en"",""pt"")"),"Ringer não é tão alto quanto eu gostaria. É isso aí!")</f>
        <v>Ringer não é tão alto quanto eu gostaria. É isso aí!</v>
      </c>
      <c r="B35418" s="3">
        <v>0</v>
      </c>
    </row>
    <row r="35419" ht="15.75" customHeight="1" spans="1:2">
      <c r="A35419" s="3" t="str">
        <f>IFERROR(__xludf.DUMMYFUNCTION("GOOGLETRANSLATE(A35419,""en"",""pt"")"),"baixo consumo de energia da bateria com luz de fundo.")</f>
        <v>baixo consumo de energia da bateria com luz de fundo.</v>
      </c>
      <c r="B35419" s="3">
        <v>0</v>
      </c>
    </row>
    <row r="35420" ht="15.75" customHeight="1" spans="1:2">
      <c r="A35420" s="3" t="str">
        <f>IFERROR(__xludf.DUMMYFUNCTION("GOOGLETRANSLATE(A35420,""en"",""pt"")"),"aquece, menos do que a vida da bateria estelar, quebra-se um lote")</f>
        <v>aquece, menos do que a vida da bateria estelar, quebra-se um lote</v>
      </c>
      <c r="B35420" s="3">
        <v>0</v>
      </c>
    </row>
    <row r="35421" ht="15.75" customHeight="1" spans="1:2">
      <c r="A35421" s="3" t="str">
        <f>IFERROR(__xludf.DUMMYFUNCTION("GOOGLETRANSLATE(A35421,""en"",""pt"")"),"Sprintpcs upload de procedimentos, há um caminho de volta!")</f>
        <v>Sprintpcs upload de procedimentos, há um caminho de volta!</v>
      </c>
      <c r="B35421" s="3">
        <v>0</v>
      </c>
    </row>
    <row r="35422" ht="15.75" customHeight="1" spans="1:2">
      <c r="A35422" s="3" t="str">
        <f>IFERROR(__xludf.DUMMYFUNCTION("GOOGLETRANSLATE(A35422,""en"",""pt"")"),"Incerto sobre encargos sobre internet conectar e transferências, mas isso é todos os telefones da Sprint.")</f>
        <v>Incerto sobre encargos sobre internet conectar e transferências, mas isso é todos os telefones da Sprint.</v>
      </c>
      <c r="B35422" s="3">
        <v>0</v>
      </c>
    </row>
    <row r="35423" ht="15.75" customHeight="1" spans="1:2">
      <c r="A35423" s="3" t="str">
        <f>IFERROR(__xludf.DUMMYFUNCTION("GOOGLETRANSLATE(A35423,""en"",""pt"")"),"cobertura de sprint, sprint sms, serviço de sprint, e sem câmera")</f>
        <v>cobertura de sprint, sprint sms, serviço de sprint, e sem câmera</v>
      </c>
      <c r="B35423" s="3">
        <v>0</v>
      </c>
    </row>
    <row r="35424" ht="15.75" customHeight="1" spans="1:2">
      <c r="A35424" s="3" t="str">
        <f>IFERROR(__xludf.DUMMYFUNCTION("GOOGLETRANSLATE(A35424,""en"",""pt"")"),"No viva-voz")</f>
        <v>No viva-voz</v>
      </c>
      <c r="B35424" s="3">
        <v>0</v>
      </c>
    </row>
    <row r="35425" ht="15.75" customHeight="1" spans="1:2">
      <c r="A35425" s="3" t="str">
        <f>IFERROR(__xludf.DUMMYFUNCTION("GOOGLETRANSLATE(A35425,""en"",""pt"")"),"Tendência para reiniciar-se, a localização dos botões desajeitados")</f>
        <v>Tendência para reiniciar-se, a localização dos botões desajeitados</v>
      </c>
      <c r="B35425" s="3">
        <v>0</v>
      </c>
    </row>
    <row r="35426" ht="15.75" customHeight="1" spans="1:2">
      <c r="A35426" s="3" t="str">
        <f>IFERROR(__xludf.DUMMYFUNCTION("GOOGLETRANSLATE(A35426,""en"",""pt"")"),"Capitaliza a primeira letra de tudo e, ocasionalmente, não vai chamar.")</f>
        <v>Capitaliza a primeira letra de tudo e, ocasionalmente, não vai chamar.</v>
      </c>
      <c r="B35426" s="3">
        <v>0</v>
      </c>
    </row>
    <row r="35427" ht="15.75" customHeight="1" spans="1:2">
      <c r="A35427" s="3" t="str">
        <f>IFERROR(__xludf.DUMMYFUNCTION("GOOGLETRANSLATE(A35427,""en"",""pt"")"),"Terrible recepção, gotas chamadas facilmente.")</f>
        <v>Terrible recepção, gotas chamadas facilmente.</v>
      </c>
      <c r="B35427" s="3">
        <v>0</v>
      </c>
    </row>
    <row r="35428" ht="15.75" customHeight="1" spans="1:2">
      <c r="A35428" s="3" t="str">
        <f>IFERROR(__xludf.DUMMYFUNCTION("GOOGLETRANSLATE(A35428,""en"",""pt"")"),"As chaves podem ser difícil de bater. Sem anéis ""normais"".")</f>
        <v>As chaves podem ser difícil de bater. Sem anéis "normais".</v>
      </c>
      <c r="B35428" s="3">
        <v>0</v>
      </c>
    </row>
    <row r="35429" ht="15.75" customHeight="1" spans="1:2">
      <c r="A35429" s="3" t="str">
        <f>IFERROR(__xludf.DUMMYFUNCTION("GOOGLETRANSLATE(A35429,""en"",""pt"")"),"Ocasionalmente lento; Volume Dosen't ficar muito alto")</f>
        <v>Ocasionalmente lento; Volume Dosen't ficar muito alto</v>
      </c>
      <c r="B35429" s="3">
        <v>0</v>
      </c>
    </row>
    <row r="35430" ht="15.75" customHeight="1" spans="1:2">
      <c r="A35430" s="3" t="str">
        <f>IFERROR(__xludf.DUMMYFUNCTION("GOOGLETRANSLATE(A35430,""en"",""pt"")"),"Caros, fácil de danos, corta um monte")</f>
        <v>Caros, fácil de danos, corta um monte</v>
      </c>
      <c r="B35430" s="3">
        <v>0</v>
      </c>
    </row>
    <row r="35431" ht="15.75" customHeight="1" spans="1:2">
      <c r="A35431" s="3" t="str">
        <f>IFERROR(__xludf.DUMMYFUNCTION("GOOGLETRANSLATE(A35431,""en"",""pt"")"),"Este telefone tem muitos problemas!")</f>
        <v>Este telefone tem muitos problemas!</v>
      </c>
      <c r="B35431" s="3">
        <v>0</v>
      </c>
    </row>
    <row r="35432" ht="15.75" customHeight="1" spans="1:2">
      <c r="A35432" s="3" t="str">
        <f>IFERROR(__xludf.DUMMYFUNCTION("GOOGLETRANSLATE(A35432,""en"",""pt"")"),"não me durar dois anos.")</f>
        <v>não me durar dois anos.</v>
      </c>
      <c r="B35432" s="3">
        <v>0</v>
      </c>
    </row>
    <row r="35433" ht="15.75" customHeight="1" spans="1:2">
      <c r="A35433" s="3" t="str">
        <f>IFERROR(__xludf.DUMMYFUNCTION("GOOGLETRANSLATE(A35433,""en"",""pt"")"),"nenhum alto-falante, nada mais!")</f>
        <v>nenhum alto-falante, nada mais!</v>
      </c>
      <c r="B35433" s="3">
        <v>0</v>
      </c>
    </row>
    <row r="35434" ht="15.75" customHeight="1" spans="1:2">
      <c r="A35434" s="3" t="str">
        <f>IFERROR(__xludf.DUMMYFUNCTION("GOOGLETRANSLATE(A35434,""en"",""pt"")"),"fede durabilidade !, opera quente e não começar rapidamente.")</f>
        <v>fede durabilidade !, opera quente e não começar rapidamente.</v>
      </c>
      <c r="B35434" s="3">
        <v>0</v>
      </c>
    </row>
    <row r="35435" ht="15.75" customHeight="1" spans="1:2">
      <c r="A35435" s="3" t="str">
        <f>IFERROR(__xludf.DUMMYFUNCTION("GOOGLETRANSLATE(A35435,""en"",""pt"")"),"Fácil de zero, nenhum volume alto-falante, arranque lento, a vida da bateria um pouco curto.")</f>
        <v>Fácil de zero, nenhum volume alto-falante, arranque lento, a vida da bateria um pouco curto.</v>
      </c>
      <c r="B35435" s="3">
        <v>0</v>
      </c>
    </row>
    <row r="35436" ht="15.75" customHeight="1" spans="1:2">
      <c r="A35436" s="3" t="str">
        <f>IFERROR(__xludf.DUMMYFUNCTION("GOOGLETRANSLATE(A35436,""en"",""pt"")"),"aquece rapidamente, jogos medíocres")</f>
        <v>aquece rapidamente, jogos medíocres</v>
      </c>
      <c r="B35436" s="3">
        <v>0</v>
      </c>
    </row>
    <row r="35437" ht="15.75" customHeight="1" spans="1:2">
      <c r="A35437" s="3" t="str">
        <f>IFERROR(__xludf.DUMMYFUNCTION("GOOGLETRANSLATE(A35437,""en"",""pt"")"),"Vida útil da bateria, Expensive Add-ons")</f>
        <v>Vida útil da bateria, Expensive Add-ons</v>
      </c>
      <c r="B35437" s="3">
        <v>0</v>
      </c>
    </row>
    <row r="35438" ht="15.75" customHeight="1" spans="1:2">
      <c r="A35438" s="3" t="str">
        <f>IFERROR(__xludf.DUMMYFUNCTION("GOOGLETRANSLATE(A35438,""en"",""pt"")"),"gráficos em vez trippy")</f>
        <v>gráficos em vez trippy</v>
      </c>
      <c r="B35438" s="3">
        <v>0</v>
      </c>
    </row>
    <row r="35439" ht="15.75" customHeight="1" spans="1:2">
      <c r="A35439" s="3" t="str">
        <f>IFERROR(__xludf.DUMMYFUNCTION("GOOGLETRANSLATE(A35439,""en"",""pt"")"),"1-forma viva-voz, as dificuldades do frontal")</f>
        <v>1-forma viva-voz, as dificuldades do frontal</v>
      </c>
      <c r="B35439" s="3">
        <v>0</v>
      </c>
    </row>
    <row r="35440" ht="15.75" customHeight="1" spans="1:2">
      <c r="A35440" s="3" t="str">
        <f>IFERROR(__xludf.DUMMYFUNCTION("GOOGLETRANSLATE(A35440,""en"",""pt"")"),"Não tem discagem por voz, ao contrário de CDM9000")</f>
        <v>Não tem discagem por voz, ao contrário de CDM9000</v>
      </c>
      <c r="B35440" s="3">
        <v>0</v>
      </c>
    </row>
    <row r="35441" ht="15.75" customHeight="1" spans="1:2">
      <c r="A35441" s="3" t="str">
        <f>IFERROR(__xludf.DUMMYFUNCTION("GOOGLETRANSLATE(A35441,""en"",""pt"")"),"1 maneira alto-falante (9100 apenas), o tamanho desajeitado, faceplates difícil de mudança")</f>
        <v>1 maneira alto-falante (9100 apenas), o tamanho desajeitado, faceplates difícil de mudança</v>
      </c>
      <c r="B35441" s="3">
        <v>0</v>
      </c>
    </row>
    <row r="35442" ht="15.75" customHeight="1" spans="1:2">
      <c r="A35442" s="3" t="str">
        <f>IFERROR(__xludf.DUMMYFUNCTION("GOOGLETRANSLATE(A35442,""en"",""pt"")"),"Meio da recepção estrada, forma ruim")</f>
        <v>Meio da recepção estrada, forma ruim</v>
      </c>
      <c r="B35442" s="3">
        <v>0</v>
      </c>
    </row>
    <row r="35443" ht="15.75" customHeight="1" spans="1:2">
      <c r="A35443" s="3" t="str">
        <f>IFERROR(__xludf.DUMMYFUNCTION("GOOGLETRANSLATE(A35443,""en"",""pt"")"),"Confundindo, Low Capacidades, Audiovox foi comprada pela Kyocera")</f>
        <v>Confundindo, Low Capacidades, Audiovox foi comprada pela Kyocera</v>
      </c>
      <c r="B35443" s="3">
        <v>0</v>
      </c>
    </row>
    <row r="35444" ht="15.75" customHeight="1" spans="1:2">
      <c r="A35444" s="3" t="str">
        <f>IFERROR(__xludf.DUMMYFUNCTION("GOOGLETRANSLATE(A35444,""en"",""pt"")"),"nenhuma voz discando mais")</f>
        <v>nenhuma voz discando mais</v>
      </c>
      <c r="B35444" s="3">
        <v>0</v>
      </c>
    </row>
    <row r="35445" ht="15.75" customHeight="1" spans="1:2">
      <c r="A35445" s="3" t="str">
        <f>IFERROR(__xludf.DUMMYFUNCTION("GOOGLETRANSLATE(A35445,""en"",""pt"")"),"interface de utilizador medíocre; não tem o brio de outros telefones da Verizon")</f>
        <v>interface de utilizador medíocre; não tem o brio de outros telefones da Verizon</v>
      </c>
      <c r="B35445" s="3">
        <v>0</v>
      </c>
    </row>
    <row r="35446" ht="15.75" customHeight="1" spans="1:2">
      <c r="A35446" s="3" t="str">
        <f>IFERROR(__xludf.DUMMYFUNCTION("GOOGLETRANSLATE(A35446,""en"",""pt"")"),"Não dois alto-falante forma, nenhum tipo alfa para livro de telefone")</f>
        <v>Não dois alto-falante forma, nenhum tipo alfa para livro de telefone</v>
      </c>
      <c r="B35446" s="3">
        <v>0</v>
      </c>
    </row>
    <row r="35447" ht="15.75" customHeight="1" spans="1:2">
      <c r="A35447" s="3" t="str">
        <f>IFERROR(__xludf.DUMMYFUNCTION("GOOGLETRANSLATE(A35447,""en"",""pt"")"),"NENHUM")</f>
        <v>NENHUM</v>
      </c>
      <c r="B35447" s="3">
        <v>0</v>
      </c>
    </row>
    <row r="35448" ht="15.75" customHeight="1" spans="1:2">
      <c r="A35448" s="3" t="str">
        <f>IFERROR(__xludf.DUMMYFUNCTION("GOOGLETRANSLATE(A35448,""en"",""pt"")"),"não vai vibrar e tocar ao mesmo tempo")</f>
        <v>não vai vibrar e tocar ao mesmo tempo</v>
      </c>
      <c r="B35448" s="3">
        <v>0</v>
      </c>
    </row>
    <row r="35449" ht="15.75" customHeight="1" spans="1:2">
      <c r="A35449" s="3" t="str">
        <f>IFERROR(__xludf.DUMMYFUNCTION("GOOGLETRANSLATE(A35449,""en"",""pt"")"),"Não tão compacto quanto alguns.")</f>
        <v>Não tão compacto quanto alguns.</v>
      </c>
      <c r="B35449" s="3">
        <v>0</v>
      </c>
    </row>
    <row r="35450" ht="15.75" customHeight="1" spans="1:2">
      <c r="A35450" s="3" t="str">
        <f>IFERROR(__xludf.DUMMYFUNCTION("GOOGLETRANSLATE(A35450,""en"",""pt"")"),"Não muitos extras.")</f>
        <v>Não muitos extras.</v>
      </c>
      <c r="B35450" s="3">
        <v>0</v>
      </c>
    </row>
    <row r="35451" ht="15.75" customHeight="1" spans="1:2">
      <c r="A35451" s="3" t="str">
        <f>IFERROR(__xludf.DUMMYFUNCTION("GOOGLETRANSLATE(A35451,""en"",""pt"")"),"A interface um tanto desajeitada")</f>
        <v>A interface um tanto desajeitada</v>
      </c>
      <c r="B35451" s="3">
        <v>0</v>
      </c>
    </row>
    <row r="35452" ht="15.75" customHeight="1" spans="1:2">
      <c r="A35452" s="3" t="str">
        <f>IFERROR(__xludf.DUMMYFUNCTION("GOOGLETRANSLATE(A35452,""en"",""pt"")"),"Chaves quase indistinguíveis pelo toque.")</f>
        <v>Chaves quase indistinguíveis pelo toque.</v>
      </c>
      <c r="B35452" s="3">
        <v>0</v>
      </c>
    </row>
    <row r="35453" ht="15.75" customHeight="1" spans="1:2">
      <c r="A35453" s="3" t="str">
        <f>IFERROR(__xludf.DUMMYFUNCTION("GOOGLETRANSLATE(A35453,""en"",""pt"")"),"Sem discagem por voz")</f>
        <v>Sem discagem por voz</v>
      </c>
      <c r="B35453" s="3">
        <v>0</v>
      </c>
    </row>
    <row r="35454" ht="15.75" customHeight="1" spans="1:2">
      <c r="A35454" s="3" t="str">
        <f>IFERROR(__xludf.DUMMYFUNCTION("GOOGLETRANSLATE(A35454,""en"",""pt"")"),"Dispositivo Especial Hands Free")</f>
        <v>Dispositivo Especial Hands Free</v>
      </c>
      <c r="B35454" s="3">
        <v>0</v>
      </c>
    </row>
    <row r="35455" ht="15.75" customHeight="1" spans="1:2">
      <c r="A35455" s="3" t="str">
        <f>IFERROR(__xludf.DUMMYFUNCTION("GOOGLETRANSLATE(A35455,""en"",""pt"")"),"Leia a minha análise, mas o teclado é um grande golpe para mim.")</f>
        <v>Leia a minha análise, mas o teclado é um grande golpe para mim.</v>
      </c>
      <c r="B35455" s="3">
        <v>0</v>
      </c>
    </row>
    <row r="35456" ht="15.75" customHeight="1" spans="1:2">
      <c r="A35456" s="3" t="str">
        <f>IFERROR(__xludf.DUMMYFUNCTION("GOOGLETRANSLATE(A35456,""en"",""pt"")"),"Nenhuma voz ativado chamando, alguns problemas de som, lenta às vezes.")</f>
        <v>Nenhuma voz ativado chamando, alguns problemas de som, lenta às vezes.</v>
      </c>
      <c r="B35456" s="3">
        <v>0</v>
      </c>
    </row>
    <row r="35457" ht="15.75" customHeight="1" spans="1:2">
      <c r="A35457" s="3" t="str">
        <f>IFERROR(__xludf.DUMMYFUNCTION("GOOGLETRANSLATE(A35457,""en"",""pt"")"),"campainha, dente não azul, internet")</f>
        <v>campainha, dente não azul, internet</v>
      </c>
      <c r="B35457" s="3">
        <v>0</v>
      </c>
    </row>
    <row r="35458" ht="15.75" customHeight="1" spans="1:2">
      <c r="A35458" s="3" t="str">
        <f>IFERROR(__xludf.DUMMYFUNCTION("GOOGLETRANSLATE(A35458,""en"",""pt"")"),"não reconhecimento de voz, alguns pontos escuros no teclado, a tela do lado de fora continua indo para fora!")</f>
        <v>não reconhecimento de voz, alguns pontos escuros no teclado, a tela do lado de fora continua indo para fora!</v>
      </c>
      <c r="B35458" s="3">
        <v>0</v>
      </c>
    </row>
    <row r="35459" ht="15.75" customHeight="1" spans="1:2">
      <c r="A35459" s="3" t="str">
        <f>IFERROR(__xludf.DUMMYFUNCTION("GOOGLETRANSLATE(A35459,""en"",""pt"")"),"Não muito durável (invólucro de plástico), o volume do auricular, não muitos acessórios")</f>
        <v>Não muito durável (invólucro de plástico), o volume do auricular, não muitos acessórios</v>
      </c>
      <c r="B35459" s="3">
        <v>0</v>
      </c>
    </row>
    <row r="35460" ht="15.75" customHeight="1" spans="1:2">
      <c r="A35460" s="3" t="str">
        <f>IFERROR(__xludf.DUMMYFUNCTION("GOOGLETRANSLATE(A35460,""en"",""pt"")"),"MUITO FRÁGIL, doesnt passado, revisão com base em 7 telefones mais de 2 anos, por favor leia.")</f>
        <v>MUITO FRÁGIL, doesnt passado, revisão com base em 7 telefones mais de 2 anos, por favor leia.</v>
      </c>
      <c r="B35460" s="3">
        <v>0</v>
      </c>
    </row>
    <row r="35461" ht="15.75" customHeight="1" spans="1:2">
      <c r="A35461" s="3" t="str">
        <f>IFERROR(__xludf.DUMMYFUNCTION("GOOGLETRANSLATE(A35461,""en"",""pt"")"),"Sem discagem por voz ou nota, nenhum agrupamento de chamadas, lista telefônica não vai segurar endereços")</f>
        <v>Sem discagem por voz ou nota, nenhum agrupamento de chamadas, lista telefônica não vai segurar endereços</v>
      </c>
      <c r="B35461" s="3">
        <v>0</v>
      </c>
    </row>
    <row r="35462" ht="15.75" customHeight="1" spans="1:2">
      <c r="A35462" s="3" t="str">
        <f>IFERROR(__xludf.DUMMYFUNCTION("GOOGLETRANSLATE(A35462,""en"",""pt"")"),"sem marcação por voz, tela pobres, botões")</f>
        <v>sem marcação por voz, tela pobres, botões</v>
      </c>
      <c r="B35462" s="3">
        <v>0</v>
      </c>
    </row>
    <row r="35463" ht="15.75" customHeight="1" spans="1:2">
      <c r="A35463" s="3" t="str">
        <f>IFERROR(__xludf.DUMMYFUNCTION("GOOGLETRANSLATE(A35463,""en"",""pt"")"),"vida de bateria fraca, falta de memória, e não é sincronizada com o Outlook")</f>
        <v>vida de bateria fraca, falta de memória, e não é sincronizada com o Outlook</v>
      </c>
      <c r="B35463" s="3">
        <v>0</v>
      </c>
    </row>
    <row r="35464" ht="15.75" customHeight="1" spans="1:2">
      <c r="A35464" s="3" t="str">
        <f>IFERROR(__xludf.DUMMYFUNCTION("GOOGLETRANSLATE(A35464,""en"",""pt"")"),"Agenda / Caller ID, eu não sei se vale a pena o custo extra para a cor")</f>
        <v>Agenda / Caller ID, eu não sei se vale a pena o custo extra para a cor</v>
      </c>
      <c r="B35464" s="3">
        <v>0</v>
      </c>
    </row>
    <row r="35465" ht="15.75" customHeight="1" spans="1:2">
      <c r="A35465" s="3" t="str">
        <f>IFERROR(__xludf.DUMMYFUNCTION("GOOGLETRANSLATE(A35465,""en"",""pt"")"),"alarme vibratório não ser alto o suficiente (mas isso é tudo que eu posso reclamar)")</f>
        <v>alarme vibratório não ser alto o suficiente (mas isso é tudo que eu posso reclamar)</v>
      </c>
      <c r="B35465" s="3">
        <v>0</v>
      </c>
    </row>
    <row r="35466" ht="15.75" customHeight="1" spans="1:2">
      <c r="A35466" s="3" t="str">
        <f>IFERROR(__xludf.DUMMYFUNCTION("GOOGLETRANSLATE(A35466,""en"",""pt"")"),"sem chamador pessoal pic id")</f>
        <v>sem chamador pessoal pic id</v>
      </c>
      <c r="B35466" s="3">
        <v>0</v>
      </c>
    </row>
    <row r="35467" ht="15.75" customHeight="1" spans="1:2">
      <c r="A35467" s="3" t="str">
        <f>IFERROR(__xludf.DUMMYFUNCTION("GOOGLETRANSLATE(A35467,""en"",""pt"")"),"tela, por vezes, difícil de ver na luz solar")</f>
        <v>tela, por vezes, difícil de ver na luz solar</v>
      </c>
      <c r="B35467" s="3">
        <v>0</v>
      </c>
    </row>
    <row r="35468" ht="15.75" customHeight="1" spans="1:2">
      <c r="A35468" s="3" t="str">
        <f>IFERROR(__xludf.DUMMYFUNCTION("GOOGLETRANSLATE(A35468,""en"",""pt"")"),", Nenhuma voz de discagem caro")</f>
        <v>, Nenhuma voz de discagem caro</v>
      </c>
      <c r="B35468" s="3">
        <v>0</v>
      </c>
    </row>
    <row r="35469" ht="15.75" customHeight="1" spans="1:2">
      <c r="A35469" s="3" t="str">
        <f>IFERROR(__xludf.DUMMYFUNCTION("GOOGLETRANSLATE(A35469,""en"",""pt"")"),"Um pouco caro.")</f>
        <v>Um pouco caro.</v>
      </c>
      <c r="B35469" s="3">
        <v>0</v>
      </c>
    </row>
    <row r="35470" ht="15.75" customHeight="1" spans="1:2">
      <c r="A35470" s="3" t="str">
        <f>IFERROR(__xludf.DUMMYFUNCTION("GOOGLETRANSLATE(A35470,""en"",""pt"")"),"recursos mínimos. falhas de usabilidade.")</f>
        <v>recursos mínimos. falhas de usabilidade.</v>
      </c>
      <c r="B35470" s="3">
        <v>0</v>
      </c>
    </row>
    <row r="35471" ht="15.75" customHeight="1" spans="1:2">
      <c r="A35471" s="3" t="str">
        <f>IFERROR(__xludf.DUMMYFUNCTION("GOOGLETRANSLATE(A35471,""en"",""pt"")"),"Sem discagem por voz, não pode jogar ""verdadeiros"" toques polifônicos, apenas 8 tons em simultâneo")</f>
        <v>Sem discagem por voz, não pode jogar "verdadeiros" toques polifônicos, apenas 8 tons em simultâneo</v>
      </c>
      <c r="B35471" s="3">
        <v>0</v>
      </c>
    </row>
    <row r="35472" ht="15.75" customHeight="1" spans="1:2">
      <c r="A35472" s="3" t="str">
        <f>IFERROR(__xludf.DUMMYFUNCTION("GOOGLETRANSLATE(A35472,""en"",""pt"")"),"Tela Dim à luz e sem comando de voz")</f>
        <v>Tela Dim à luz e sem comando de voz</v>
      </c>
      <c r="B35472" s="3">
        <v>0</v>
      </c>
    </row>
    <row r="35473" ht="15.75" customHeight="1" spans="1:2">
      <c r="A35473" s="3" t="str">
        <f>IFERROR(__xludf.DUMMYFUNCTION("GOOGLETRANSLATE(A35473,""en"",""pt"")"),"não pode Lite tela frontal no escuro. botões indistinguíveis.")</f>
        <v>não pode Lite tela frontal no escuro. botões indistinguíveis.</v>
      </c>
      <c r="B35473" s="3">
        <v>0</v>
      </c>
    </row>
    <row r="35474" ht="15.75" customHeight="1" spans="1:2">
      <c r="A35474" s="3" t="str">
        <f>IFERROR(__xludf.DUMMYFUNCTION("GOOGLETRANSLATE(A35474,""en"",""pt"")"),"volume do som baixo, as opções de fone de ouvido limitados, inútil na luz do sol")</f>
        <v>volume do som baixo, as opções de fone de ouvido limitados, inútil na luz do sol</v>
      </c>
      <c r="B35474" s="3">
        <v>0</v>
      </c>
    </row>
    <row r="35475" ht="15.75" customHeight="1" spans="1:2">
      <c r="A35475" s="3" t="str">
        <f>IFERROR(__xludf.DUMMYFUNCTION("GOOGLETRANSLATE(A35475,""en"",""pt"")"),"tem uma falha de software em memorizar números")</f>
        <v>tem uma falha de software em memorizar números</v>
      </c>
      <c r="B35475" s="3">
        <v>0</v>
      </c>
    </row>
    <row r="35476" ht="15.75" customHeight="1" spans="1:2">
      <c r="A35476" s="3" t="str">
        <f>IFERROR(__xludf.DUMMYFUNCTION("GOOGLETRANSLATE(A35476,""en"",""pt"")"),"Existe alguma? --- Leia o que tenho a dizer")</f>
        <v>Existe alguma? --- Leia o que tenho a dizer</v>
      </c>
      <c r="B35476" s="3">
        <v>0</v>
      </c>
    </row>
    <row r="35477" ht="15.75" customHeight="1" spans="1:2">
      <c r="A35477" s="3" t="str">
        <f>IFERROR(__xludf.DUMMYFUNCTION("GOOGLETRANSLATE(A35477,""en"",""pt"")"),"Difícil ouvir outra chamada entrando, se você já estiver em uma chamada.")</f>
        <v>Difícil ouvir outra chamada entrando, se você já estiver em uma chamada.</v>
      </c>
      <c r="B35477" s="3">
        <v>0</v>
      </c>
    </row>
    <row r="35478" ht="15.75" customHeight="1" spans="1:2">
      <c r="A35478" s="3" t="str">
        <f>IFERROR(__xludf.DUMMYFUNCTION("GOOGLETRANSLATE(A35478,""en"",""pt"")"),"Difícil de ouvir campainha. Não pode ouvir pessoa na outra linha.")</f>
        <v>Difícil de ouvir campainha. Não pode ouvir pessoa na outra linha.</v>
      </c>
      <c r="B35478" s="3">
        <v>0</v>
      </c>
    </row>
    <row r="35479" ht="15.75" customHeight="1" spans="1:2">
      <c r="A35479" s="3" t="str">
        <f>IFERROR(__xludf.DUMMYFUNCTION("GOOGLETRANSLATE(A35479,""en"",""pt"")"),"vida útil da bateria, não tão duradoura como a maioria dos celulares")</f>
        <v>vida útil da bateria, não tão duradoura como a maioria dos celulares</v>
      </c>
      <c r="B35479" s="3">
        <v>0</v>
      </c>
    </row>
    <row r="35480" ht="15.75" customHeight="1" spans="1:2">
      <c r="A35480" s="3" t="str">
        <f>IFERROR(__xludf.DUMMYFUNCTION("GOOGLETRANSLATE(A35480,""en"",""pt"")"),"A vida da bateria na bateria fina")</f>
        <v>A vida da bateria na bateria fina</v>
      </c>
      <c r="B35480" s="3">
        <v>0</v>
      </c>
    </row>
    <row r="35481" ht="15.75" customHeight="1" spans="1:2">
      <c r="A35481" s="3" t="str">
        <f>IFERROR(__xludf.DUMMYFUNCTION("GOOGLETRANSLATE(A35481,""en"",""pt"")"),"programa de descontos é uma fraude !!!")</f>
        <v>programa de descontos é uma fraude !!!</v>
      </c>
      <c r="B35481" s="3">
        <v>0</v>
      </c>
    </row>
    <row r="35482" ht="15.75" customHeight="1" spans="1:2">
      <c r="A35482" s="3" t="str">
        <f>IFERROR(__xludf.DUMMYFUNCTION("GOOGLETRANSLATE(A35482,""en"",""pt"")"),"Tela difícil de ler à luz do dia, campainha e volume do altifalante não é muito alto.")</f>
        <v>Tela difícil de ler à luz do dia, campainha e volume do altifalante não é muito alto.</v>
      </c>
      <c r="B35482" s="3">
        <v>0</v>
      </c>
    </row>
    <row r="35483" ht="15.75" customHeight="1" spans="1:2">
      <c r="A35483" s="3" t="str">
        <f>IFERROR(__xludf.DUMMYFUNCTION("GOOGLETRANSLATE(A35483,""en"",""pt"")"),"software instável.")</f>
        <v>software instável.</v>
      </c>
      <c r="B35483" s="3">
        <v>0</v>
      </c>
    </row>
    <row r="35484" ht="15.75" customHeight="1" spans="1:2">
      <c r="A35484" s="3" t="str">
        <f>IFERROR(__xludf.DUMMYFUNCTION("GOOGLETRANSLATE(A35484,""en"",""pt"")"),"mau Volume recepção suga, bateria morre rápida")</f>
        <v>mau Volume recepção suga, bateria morre rápida</v>
      </c>
      <c r="B35484" s="3">
        <v>0</v>
      </c>
    </row>
    <row r="35485" ht="15.75" customHeight="1" spans="1:2">
      <c r="A35485" s="3" t="str">
        <f>IFERROR(__xludf.DUMMYFUNCTION("GOOGLETRANSLATE(A35485,""en"",""pt"")"),"vida útil da bateria baixo, facilidade de uso, atalhos")</f>
        <v>vida útil da bateria baixo, facilidade de uso, atalhos</v>
      </c>
      <c r="B35485" s="3">
        <v>0</v>
      </c>
    </row>
    <row r="35486" ht="15.75" customHeight="1" spans="1:2">
      <c r="A35486" s="3" t="str">
        <f>IFERROR(__xludf.DUMMYFUNCTION("GOOGLETRANSLATE(A35486,""en"",""pt"")"),"Se você não pode obter um som consistente sobre um telefone móvel, que é o uso !!! ???")</f>
        <v>Se você não pode obter um som consistente sobre um telefone móvel, que é o uso !!! ???</v>
      </c>
      <c r="B35486" s="3">
        <v>0</v>
      </c>
    </row>
    <row r="35487" ht="15.75" customHeight="1" spans="1:2">
      <c r="A35487" s="3" t="str">
        <f>IFERROR(__xludf.DUMMYFUNCTION("GOOGLETRANSLATE(A35487,""en"",""pt"")"),"Antena bastante frágeis")</f>
        <v>Antena bastante frágeis</v>
      </c>
      <c r="B35487" s="3">
        <v>0</v>
      </c>
    </row>
    <row r="35488" ht="15.75" customHeight="1" spans="1:2">
      <c r="A35488" s="3" t="str">
        <f>IFERROR(__xludf.DUMMYFUNCTION("GOOGLETRANSLATE(A35488,""en"",""pt"")"),"Não web habilitado")</f>
        <v>Não web habilitado</v>
      </c>
      <c r="B35488" s="3">
        <v>0</v>
      </c>
    </row>
    <row r="35489" ht="15.75" customHeight="1" spans="1:2">
      <c r="A35489" s="3" t="str">
        <f>IFERROR(__xludf.DUMMYFUNCTION("GOOGLETRANSLATE(A35489,""en"",""pt"")"),"Nenhum")</f>
        <v>Nenhum</v>
      </c>
      <c r="B35489" s="3">
        <v>0</v>
      </c>
    </row>
    <row r="35490" ht="15.75" customHeight="1" spans="1:2">
      <c r="A35490" s="3" t="str">
        <f>IFERROR(__xludf.DUMMYFUNCTION("GOOGLETRANSLATE(A35490,""en"",""pt"")"),"pessoas Pester a partir do conforto do seu carro!")</f>
        <v>pessoas Pester a partir do conforto do seu carro!</v>
      </c>
      <c r="B35490" s="3">
        <v>0</v>
      </c>
    </row>
    <row r="35491" ht="15.75" customHeight="1" spans="1:2">
      <c r="A35491" s="3" t="str">
        <f>IFERROR(__xludf.DUMMYFUNCTION("GOOGLETRANSLATE(A35491,""en"",""pt"")"),"Não há realmente nenhuma cons considerando o preço deste telefone")</f>
        <v>Não há realmente nenhuma cons considerando o preço deste telefone</v>
      </c>
      <c r="B35491" s="3">
        <v>0</v>
      </c>
    </row>
    <row r="35492" ht="15.75" customHeight="1" spans="1:2">
      <c r="A35492" s="3" t="str">
        <f>IFERROR(__xludf.DUMMYFUNCTION("GOOGLETRANSLATE(A35492,""en"",""pt"")"),"puxar frágil a antena. ecoando ocasional em algumas chamadas.")</f>
        <v>puxar frágil a antena. ecoando ocasional em algumas chamadas.</v>
      </c>
      <c r="B35492" s="3">
        <v>0</v>
      </c>
    </row>
    <row r="35493" ht="15.75" customHeight="1" spans="1:2">
      <c r="A35493" s="3" t="str">
        <f>IFERROR(__xludf.DUMMYFUNCTION("GOOGLETRANSLATE(A35493,""en"",""pt"")"),"Nenhum")</f>
        <v>Nenhum</v>
      </c>
      <c r="B35493" s="3">
        <v>0</v>
      </c>
    </row>
    <row r="35494" ht="15.75" customHeight="1" spans="1:2">
      <c r="A35494" s="3" t="str">
        <f>IFERROR(__xludf.DUMMYFUNCTION("GOOGLETRANSLATE(A35494,""en"",""pt"")"),"má gestão de energia")</f>
        <v>má gestão de energia</v>
      </c>
      <c r="B35494" s="3">
        <v>0</v>
      </c>
    </row>
    <row r="35495" ht="15.75" customHeight="1" spans="1:2">
      <c r="A35495" s="3" t="str">
        <f>IFERROR(__xludf.DUMMYFUNCTION("GOOGLETRANSLATE(A35495,""en"",""pt"")"),"Nada até agora!")</f>
        <v>Nada até agora!</v>
      </c>
      <c r="B35495" s="3">
        <v>0</v>
      </c>
    </row>
    <row r="35496" ht="15.75" customHeight="1" spans="1:2">
      <c r="A35496" s="3" t="str">
        <f>IFERROR(__xludf.DUMMYFUNCTION("GOOGLETRANSLATE(A35496,""en"",""pt"")"),"Faceplates riscar facilmente :( volume não ir alto o suficiente?")</f>
        <v>Faceplates riscar facilmente :( volume não ir alto o suficiente?</v>
      </c>
      <c r="B35496" s="3">
        <v>0</v>
      </c>
    </row>
    <row r="35497" ht="15.75" customHeight="1" spans="1:2">
      <c r="A35497" s="3" t="str">
        <f>IFERROR(__xludf.DUMMYFUNCTION("GOOGLETRANSLATE(A35497,""en"",""pt"")"),"Se eu tivesse um modem para ele, eu poderia me livrar do meu telefone regular.")</f>
        <v>Se eu tivesse um modem para ele, eu poderia me livrar do meu telefone regular.</v>
      </c>
      <c r="B35497" s="3">
        <v>0</v>
      </c>
    </row>
    <row r="35498" ht="15.75" customHeight="1" spans="1:2">
      <c r="A35498" s="3" t="str">
        <f>IFERROR(__xludf.DUMMYFUNCTION("GOOGLETRANSLATE(A35498,""en"",""pt"")"),"Mais volumoso do que alguns telefones mais recentes")</f>
        <v>Mais volumoso do que alguns telefones mais recentes</v>
      </c>
      <c r="B35498" s="3">
        <v>0</v>
      </c>
    </row>
    <row r="35499" ht="15.75" customHeight="1" spans="1:2">
      <c r="A35499" s="3" t="str">
        <f>IFERROR(__xludf.DUMMYFUNCTION("GOOGLETRANSLATE(A35499,""en"",""pt"")"),"Nada até agora!")</f>
        <v>Nada até agora!</v>
      </c>
      <c r="B35499" s="3">
        <v>0</v>
      </c>
    </row>
    <row r="35500" ht="15.75" customHeight="1" spans="1:2">
      <c r="A35500" s="3" t="str">
        <f>IFERROR(__xludf.DUMMYFUNCTION("GOOGLETRANSLATE(A35500,""en"",""pt"")"),"problemas de volume com fones de ouvido, botão de nenhuma dedicado ""END""")</f>
        <v>problemas de volume com fones de ouvido, botão de nenhuma dedicado "END"</v>
      </c>
      <c r="B35500" s="3">
        <v>0</v>
      </c>
    </row>
    <row r="35501" ht="15.75" customHeight="1" spans="1:2">
      <c r="A35501" s="3" t="s">
        <v>193</v>
      </c>
      <c r="B35501" s="3">
        <v>0</v>
      </c>
    </row>
    <row r="35502" ht="15.75" customHeight="1" spans="1:2">
      <c r="A35502" s="3" t="str">
        <f>IFERROR(__xludf.DUMMYFUNCTION("GOOGLETRANSLATE(A35502,""en"",""pt"")"),"má aplicação CDMA da Nokia, não WAP, tinha que ter telefone substituído")</f>
        <v>má aplicação CDMA da Nokia, não WAP, tinha que ter telefone substituído</v>
      </c>
      <c r="B35502" s="3">
        <v>0</v>
      </c>
    </row>
    <row r="35503" ht="15.75" customHeight="1" spans="1:2">
      <c r="A35503" s="3" t="str">
        <f>IFERROR(__xludf.DUMMYFUNCTION("GOOGLETRANSLATE(A35503,""en"",""pt"")"),"Não fuction wap")</f>
        <v>Não fuction wap</v>
      </c>
      <c r="B35503" s="3">
        <v>0</v>
      </c>
    </row>
    <row r="35504" ht="15.75" customHeight="1" spans="1:2">
      <c r="A35504" s="3" t="str">
        <f>IFERROR(__xludf.DUMMYFUNCTION("GOOGLETRANSLATE(A35504,""en"",""pt"")"),"não muito extravagante, mas ideal para a maioria das pessoas")</f>
        <v>não muito extravagante, mas ideal para a maioria das pessoas</v>
      </c>
      <c r="B35504" s="3">
        <v>0</v>
      </c>
    </row>
    <row r="35505" ht="15.75" customHeight="1" spans="1:2">
      <c r="A35505" s="3" t="str">
        <f>IFERROR(__xludf.DUMMYFUNCTION("GOOGLETRANSLATE(A35505,""en"",""pt"")"),"Sem calculadora. Essa é a única coisa que eu perca a partir de telefones mais caros que eu usei.")</f>
        <v>Sem calculadora. Essa é a única coisa que eu perca a partir de telefones mais caros que eu usei.</v>
      </c>
      <c r="B35505" s="3">
        <v>0</v>
      </c>
    </row>
    <row r="35506" ht="15.75" customHeight="1" spans="1:2">
      <c r="A35506" s="3" t="str">
        <f>IFERROR(__xludf.DUMMYFUNCTION("GOOGLETRANSLATE(A35506,""en"",""pt"")"),"Nenhum conhecido.")</f>
        <v>Nenhum conhecido.</v>
      </c>
      <c r="B35506" s="3">
        <v>0</v>
      </c>
    </row>
    <row r="35507" ht="15.75" customHeight="1" spans="1:2">
      <c r="A35507" s="3" t="str">
        <f>IFERROR(__xludf.DUMMYFUNCTION("GOOGLETRANSLATE(A35507,""en"",""pt"")"),"Frágil. Abaixo da média qualidade.")</f>
        <v>Frágil. Abaixo da média qualidade.</v>
      </c>
      <c r="B35507" s="3">
        <v>0</v>
      </c>
    </row>
    <row r="35508" ht="15.75" customHeight="1" spans="1:2">
      <c r="A35508" s="3" t="str">
        <f>IFERROR(__xludf.DUMMYFUNCTION("GOOGLETRANSLATE(A35508,""en"",""pt"")"),"Sem características vibrar.")</f>
        <v>Sem características vibrar.</v>
      </c>
      <c r="B35508" s="3">
        <v>0</v>
      </c>
    </row>
    <row r="35509" ht="15.75" customHeight="1" spans="1:2">
      <c r="A35509" s="3" t="str">
        <f>IFERROR(__xludf.DUMMYFUNCTION("GOOGLETRANSLATE(A35509,""en"",""pt"")"),"habitação de telefone e de acasalamento bateria superfícies permitir o movimento e um desgaste excessivo até telefone corta.")</f>
        <v>habitação de telefone e de acasalamento bateria superfícies permitir o movimento e um desgaste excessivo até telefone corta.</v>
      </c>
      <c r="B35509" s="3">
        <v>0</v>
      </c>
    </row>
    <row r="35510" ht="15.75" customHeight="1" spans="1:2">
      <c r="A35510" s="3" t="str">
        <f>IFERROR(__xludf.DUMMYFUNCTION("GOOGLETRANSLATE(A35510,""en"",""pt"")"),"Pull Up Antenna")</f>
        <v>Pull Up Antenna</v>
      </c>
      <c r="B35510" s="3">
        <v>0</v>
      </c>
    </row>
    <row r="35511" ht="15.75" customHeight="1" spans="1:2">
      <c r="A35511" s="3" t="str">
        <f>IFERROR(__xludf.DUMMYFUNCTION("GOOGLETRANSLATE(A35511,""en"",""pt"")"),"nenhum web capacitação")</f>
        <v>nenhum web capacitação</v>
      </c>
      <c r="B35511" s="3">
        <v>0</v>
      </c>
    </row>
    <row r="35512" ht="15.75" customHeight="1" spans="1:2">
      <c r="A35512" s="3" t="str">
        <f>IFERROR(__xludf.DUMMYFUNCTION("GOOGLETRANSLATE(A35512,""en"",""pt"")"),"Tendência a ficar um pouco arranhado")</f>
        <v>Tendência a ficar um pouco arranhado</v>
      </c>
      <c r="B35512" s="3">
        <v>0</v>
      </c>
    </row>
    <row r="35513" ht="15.75" customHeight="1" spans="1:2">
      <c r="A35513" s="3" t="str">
        <f>IFERROR(__xludf.DUMMYFUNCTION("GOOGLETRANSLATE(A35513,""en"",""pt"")"),"não é compatível com acessórios dominante nokia")</f>
        <v>não é compatível com acessórios dominante nokia</v>
      </c>
      <c r="B35513" s="3">
        <v>0</v>
      </c>
    </row>
    <row r="35514" ht="15.75" customHeight="1" spans="1:2">
      <c r="A35514" s="3" t="str">
        <f>IFERROR(__xludf.DUMMYFUNCTION("GOOGLETRANSLATE(A35514,""en"",""pt"")"),"Suporte ao cliente")</f>
        <v>Suporte ao cliente</v>
      </c>
      <c r="B35514" s="3">
        <v>0</v>
      </c>
    </row>
    <row r="35515" ht="15.75" customHeight="1" spans="1:2">
      <c r="A35515" s="3" t="str">
        <f>IFERROR(__xludf.DUMMYFUNCTION("GOOGLETRANSLATE(A35515,""en"",""pt"")"),"Não é possível baixar outros tons")</f>
        <v>Não é possível baixar outros tons</v>
      </c>
      <c r="B35515" s="3">
        <v>0</v>
      </c>
    </row>
    <row r="35516" ht="15.75" customHeight="1" spans="1:2">
      <c r="A35516" s="3" t="str">
        <f>IFERROR(__xludf.DUMMYFUNCTION("GOOGLETRANSLATE(A35516,""en"",""pt"")"),"Cant download de toques, não alto o suficiente!")</f>
        <v>Cant download de toques, não alto o suficiente!</v>
      </c>
      <c r="B35516" s="3">
        <v>0</v>
      </c>
    </row>
    <row r="35517" ht="15.75" customHeight="1" spans="1:2">
      <c r="A35517" s="3" t="str">
        <f>IFERROR(__xludf.DUMMYFUNCTION("GOOGLETRANSLATE(A35517,""en"",""pt"")"),"Volumosos (Particularmente com uma alta capacidade de bateria)")</f>
        <v>Volumosos (Particularmente com uma alta capacidade de bateria)</v>
      </c>
      <c r="B35517" s="3">
        <v>0</v>
      </c>
    </row>
    <row r="35518" ht="15.75" customHeight="1" spans="1:2">
      <c r="A35518" s="3" t="str">
        <f>IFERROR(__xludf.DUMMYFUNCTION("GOOGLETRANSLATE(A35518,""en"",""pt"")"),"Tem para bloquear as teclas de discagem evitar se você colocá-lo em sua bolsa.")</f>
        <v>Tem para bloquear as teclas de discagem evitar se você colocá-lo em sua bolsa.</v>
      </c>
      <c r="B35518" s="3">
        <v>0</v>
      </c>
    </row>
    <row r="35519" ht="15.75" customHeight="1" spans="1:2">
      <c r="A35519" s="3" t="str">
        <f>IFERROR(__xludf.DUMMYFUNCTION("GOOGLETRANSLATE(A35519,""en"",""pt"")"),"não como pequenas como alguns outros")</f>
        <v>não como pequenas como alguns outros</v>
      </c>
      <c r="B35519" s="3">
        <v>0</v>
      </c>
    </row>
    <row r="35520" ht="15.75" customHeight="1" spans="1:2">
      <c r="A35520" s="3" t="str">
        <f>IFERROR(__xludf.DUMMYFUNCTION("GOOGLETRANSLATE(A35520,""en"",""pt"")"),"A pesada pouco e grande.")</f>
        <v>A pesada pouco e grande.</v>
      </c>
      <c r="B35520" s="3">
        <v>0</v>
      </c>
    </row>
    <row r="35521" ht="15.75" customHeight="1" spans="1:2">
      <c r="A35521" s="3" t="str">
        <f>IFERROR(__xludf.DUMMYFUNCTION("GOOGLETRANSLATE(A35521,""en"",""pt"")"),"percorrer livro de endereços é irritante")</f>
        <v>percorrer livro de endereços é irritante</v>
      </c>
      <c r="B35521" s="3">
        <v>0</v>
      </c>
    </row>
    <row r="35522" ht="15.75" customHeight="1" spans="1:2">
      <c r="A35522" s="3" t="str">
        <f>IFERROR(__xludf.DUMMYFUNCTION("GOOGLETRANSLATE(A35522,""en"",""pt"")"),"A vida da bateria, a qualidade do som")</f>
        <v>A vida da bateria, a qualidade do som</v>
      </c>
      <c r="B35522" s="3">
        <v>0</v>
      </c>
    </row>
    <row r="35523" ht="15.75" customHeight="1" spans="1:2">
      <c r="A35523" s="3" t="str">
        <f>IFERROR(__xludf.DUMMYFUNCTION("GOOGLETRANSLATE(A35523,""en"",""pt"")"),"nada mesmo!!!!!!!")</f>
        <v>nada mesmo!!!!!!!</v>
      </c>
      <c r="B35523" s="3">
        <v>0</v>
      </c>
    </row>
    <row r="35524" ht="15.75" customHeight="1" spans="1:2">
      <c r="A35524" s="3" t="str">
        <f>IFERROR(__xludf.DUMMYFUNCTION("GOOGLETRANSLATE(A35524,""en"",""pt"")"),"CDMA e Nokia não se misturam")</f>
        <v>CDMA e Nokia não se misturam</v>
      </c>
      <c r="B35524" s="3">
        <v>0</v>
      </c>
    </row>
    <row r="35525" ht="15.75" customHeight="1" spans="1:2">
      <c r="A35525" s="3" t="str">
        <f>IFERROR(__xludf.DUMMYFUNCTION("GOOGLETRANSLATE(A35525,""en"",""pt"")"),"nada realmente, nenhum navegador web, bateria")</f>
        <v>nada realmente, nenhum navegador web, bateria</v>
      </c>
      <c r="B35525" s="3">
        <v>0</v>
      </c>
    </row>
    <row r="35526" ht="15.75" customHeight="1" spans="1:2">
      <c r="A35526" s="3" t="str">
        <f>IFERROR(__xludf.DUMMYFUNCTION("GOOGLETRANSLATE(A35526,""en"",""pt"")"),"terrível conector auricular, elevado nível de radiação, não vibrar")</f>
        <v>terrível conector auricular, elevado nível de radiação, não vibrar</v>
      </c>
      <c r="B35526" s="3">
        <v>0</v>
      </c>
    </row>
    <row r="35527" ht="15.75" customHeight="1" spans="1:2">
      <c r="A35527" s="3" t="str">
        <f>IFERROR(__xludf.DUMMYFUNCTION("GOOGLETRANSLATE(A35527,""en"",""pt"")"),"antena fixa, apenas GSM")</f>
        <v>antena fixa, apenas GSM</v>
      </c>
      <c r="B35527" s="3">
        <v>0</v>
      </c>
    </row>
    <row r="35528" ht="15.75" customHeight="1" spans="1:2">
      <c r="A35528" s="3" t="str">
        <f>IFERROR(__xludf.DUMMYFUNCTION("GOOGLETRANSLATE(A35528,""en"",""pt"")"),"Para começar a usar com o menu, por vezes, parece um pouco estranho")</f>
        <v>Para começar a usar com o menu, por vezes, parece um pouco estranho</v>
      </c>
      <c r="B35528" s="3">
        <v>0</v>
      </c>
    </row>
    <row r="35529" ht="15.75" customHeight="1" spans="1:2">
      <c r="A35529" s="3" t="str">
        <f>IFERROR(__xludf.DUMMYFUNCTION("GOOGLETRANSLATE(A35529,""en"",""pt"")"),"backlight Dim; Non-flip")</f>
        <v>backlight Dim; Non-flip</v>
      </c>
      <c r="B35529" s="3">
        <v>0</v>
      </c>
    </row>
    <row r="35530" ht="15.75" customHeight="1" spans="1:2">
      <c r="A35530" s="3" t="str">
        <f>IFERROR(__xludf.DUMMYFUNCTION("GOOGLETRANSLATE(A35530,""en"",""pt"")"),"backlight display")</f>
        <v>backlight display</v>
      </c>
      <c r="B35530" s="3">
        <v>0</v>
      </c>
    </row>
    <row r="35531" ht="15.75" customHeight="1" spans="1:2">
      <c r="A35531" s="3" t="str">
        <f>IFERROR(__xludf.DUMMYFUNCTION("GOOGLETRANSLATE(A35531,""en"",""pt"")"),"não IrDA não funciona com o Palm Vx.")</f>
        <v>não IrDA não funciona com o Palm Vx.</v>
      </c>
      <c r="B35531" s="3">
        <v>0</v>
      </c>
    </row>
    <row r="35532" ht="15.75" customHeight="1" spans="1:2">
      <c r="A35532" s="3" t="str">
        <f>IFERROR(__xludf.DUMMYFUNCTION("GOOGLETRANSLATE(A35532,""en"",""pt"")"),"layout do menu, o brilho da tela, volume da campainha, algum eco")</f>
        <v>layout do menu, o brilho da tela, volume da campainha, algum eco</v>
      </c>
      <c r="B35532" s="3">
        <v>0</v>
      </c>
    </row>
    <row r="35533" ht="15.75" customHeight="1" spans="1:2">
      <c r="A35533" s="3" t="str">
        <f>IFERROR(__xludf.DUMMYFUNCTION("GOOGLETRANSLATE(A35533,""en"",""pt"")"),"livro de telefone com defeito - todos os números podem ser apagados; qualidade de som pobre")</f>
        <v>livro de telefone com defeito - todos os números podem ser apagados; qualidade de som pobre</v>
      </c>
      <c r="B35533" s="3">
        <v>0</v>
      </c>
    </row>
    <row r="35534" ht="15.75" customHeight="1" spans="1:2">
      <c r="A35534" s="3" t="str">
        <f>IFERROR(__xludf.DUMMYFUNCTION("GOOGLETRANSLATE(A35534,""en"",""pt"")"),"... recepção (talvez), luz de fundo")</f>
        <v>... recepção (talvez), luz de fundo</v>
      </c>
      <c r="B35534" s="3">
        <v>0</v>
      </c>
    </row>
    <row r="35535" ht="15.75" customHeight="1" spans="1:2">
      <c r="A35535" s="3" t="str">
        <f>IFERROR(__xludf.DUMMYFUNCTION("GOOGLETRANSLATE(A35535,""en"",""pt"")"),"possui uma antena, uma má recepção, má vida útil da bateria")</f>
        <v>possui uma antena, uma má recepção, má vida útil da bateria</v>
      </c>
      <c r="B35535" s="3">
        <v>0</v>
      </c>
    </row>
    <row r="35536" ht="15.75" customHeight="1" spans="1:2">
      <c r="A35536" s="3" t="str">
        <f>IFERROR(__xludf.DUMMYFUNCTION("GOOGLETRANSLATE(A35536,""en"",""pt"")"),"leva algum tempo para se utilizado para")</f>
        <v>leva algum tempo para se utilizado para</v>
      </c>
      <c r="B35536" s="3">
        <v>0</v>
      </c>
    </row>
    <row r="35537" ht="15.75" customHeight="1" spans="1:2">
      <c r="A35537" s="3" t="str">
        <f>IFERROR(__xludf.DUMMYFUNCTION("GOOGLETRANSLATE(A35537,""en"",""pt"")"),"firmware lento (em comparação com Nokia) &amp; # 13;. &amp; # 10; A recepção do sinal não melhor do que Nokia &amp; # 13;. &amp; # 10;")</f>
        <v>firmware lento (em comparação com Nokia) &amp; # 13;. &amp; # 10; A recepção do sinal não melhor do que Nokia &amp; # 13;. &amp; # 10;</v>
      </c>
      <c r="B35537" s="3">
        <v>0</v>
      </c>
    </row>
    <row r="35538" ht="15.75" customHeight="1" spans="1:2">
      <c r="A35538" s="3" t="str">
        <f>IFERROR(__xludf.DUMMYFUNCTION("GOOGLETRANSLATE(A35538,""en"",""pt"")"),"sistema de menu é estranho, suporte IrDA no Windows 2000 / XP?")</f>
        <v>sistema de menu é estranho, suporte IrDA no Windows 2000 / XP?</v>
      </c>
      <c r="B35538" s="3">
        <v>0</v>
      </c>
    </row>
    <row r="35539" ht="15.75" customHeight="1" spans="1:2">
      <c r="A35539" s="3" t="str">
        <f>IFERROR(__xludf.DUMMYFUNCTION("GOOGLETRANSLATE(A35539,""en"",""pt"")"),"pendurado, não pode parar de tocar, lento")</f>
        <v>pendurado, não pode parar de tocar, lento</v>
      </c>
      <c r="B35539" s="3">
        <v>0</v>
      </c>
    </row>
    <row r="35540" ht="15.75" customHeight="1" spans="1:2">
      <c r="A35540" s="3" t="str">
        <f>IFERROR(__xludf.DUMMYFUNCTION("GOOGLETRANSLATE(A35540,""en"",""pt"")"),"arranhões mostrar como caso é colorida na superfície externa. Não rádio dedicado.")</f>
        <v>arranhões mostrar como caso é colorida na superfície externa. Não rádio dedicado.</v>
      </c>
      <c r="B35540" s="3">
        <v>0</v>
      </c>
    </row>
    <row r="35541" ht="15.75" customHeight="1" spans="1:2">
      <c r="A35541" s="3" t="str">
        <f>IFERROR(__xludf.DUMMYFUNCTION("GOOGLETRANSLATE(A35541,""en"",""pt"")"),"fone de ouvido continua morrendo!")</f>
        <v>fone de ouvido continua morrendo!</v>
      </c>
      <c r="B35541" s="3">
        <v>0</v>
      </c>
    </row>
    <row r="35542" ht="15.75" customHeight="1" spans="1:2">
      <c r="A35542" s="3" t="str">
        <f>IFERROR(__xludf.DUMMYFUNCTION("GOOGLETRANSLATE(A35542,""en"",""pt"")"),"Algumas peculiaridades de interface, o serviço PCS visão muito confiável.")</f>
        <v>Algumas peculiaridades de interface, o serviço PCS visão muito confiável.</v>
      </c>
      <c r="B35542" s="3">
        <v>0</v>
      </c>
    </row>
    <row r="35543" ht="15.75" customHeight="1" spans="1:2">
      <c r="A35543" s="3" t="str">
        <f>IFERROR(__xludf.DUMMYFUNCTION("GOOGLETRANSLATE(A35543,""en"",""pt"")"),"Caro, a vida da bateria um pouco mais baixa, a navegação pode ser difícil.")</f>
        <v>Caro, a vida da bateria um pouco mais baixa, a navegação pode ser difícil.</v>
      </c>
      <c r="B35543" s="3">
        <v>0</v>
      </c>
    </row>
    <row r="35544" ht="15.75" customHeight="1" spans="1:2">
      <c r="A35544" s="3" t="str">
        <f>IFERROR(__xludf.DUMMYFUNCTION("GOOGLETRANSLATE(A35544,""en"",""pt"")"),"devorador de bateria, nenhum anel 'regular', caro")</f>
        <v>devorador de bateria, nenhum anel 'regular', caro</v>
      </c>
      <c r="B35544" s="3">
        <v>0</v>
      </c>
    </row>
    <row r="35545" ht="15.75" customHeight="1" spans="1:2">
      <c r="A35545" s="3" t="str">
        <f>IFERROR(__xludf.DUMMYFUNCTION("GOOGLETRANSLATE(A35545,""en"",""pt"")"),"curta duração da bateria.")</f>
        <v>curta duração da bateria.</v>
      </c>
      <c r="B35545" s="3">
        <v>0</v>
      </c>
    </row>
    <row r="35546" ht="15.75" customHeight="1" spans="1:2">
      <c r="A35546" s="3" t="str">
        <f>IFERROR(__xludf.DUMMYFUNCTION("GOOGLETRANSLATE(A35546,""en"",""pt"")"),"Curta duração da bateria, Expensive")</f>
        <v>Curta duração da bateria, Expensive</v>
      </c>
      <c r="B35546" s="3">
        <v>0</v>
      </c>
    </row>
    <row r="35547" ht="15.75" customHeight="1" spans="1:2">
      <c r="A35547" s="3" t="str">
        <f>IFERROR(__xludf.DUMMYFUNCTION("GOOGLETRANSLATE(A35547,""en"",""pt"")"),"Nenhum")</f>
        <v>Nenhum</v>
      </c>
      <c r="B35547" s="3">
        <v>0</v>
      </c>
    </row>
    <row r="35548" ht="15.75" customHeight="1" spans="1:2">
      <c r="A35548" s="3" t="str">
        <f>IFERROR(__xludf.DUMMYFUNCTION("GOOGLETRANSLATE(A35548,""en"",""pt"")"),"Bateria, as imagens requerem câmera ext, 10 de char para nomes, o volume / vibrar configurações não separadas")</f>
        <v>Bateria, as imagens requerem câmera ext, 10 de char para nomes, o volume / vibrar configurações não separadas</v>
      </c>
      <c r="B35548" s="3">
        <v>0</v>
      </c>
    </row>
    <row r="35549" ht="15.75" customHeight="1" spans="1:2">
      <c r="A35549" s="3" t="str">
        <f>IFERROR(__xludf.DUMMYFUNCTION("GOOGLETRANSLATE(A35549,""en"",""pt"")"),"Apresentação do nome não permite caracteres suficientes; vida de bateria fraca")</f>
        <v>Apresentação do nome não permite caracteres suficientes; vida de bateria fraca</v>
      </c>
      <c r="B35549" s="3">
        <v>0</v>
      </c>
    </row>
    <row r="35550" ht="15.75" customHeight="1" spans="1:2">
      <c r="A35550" s="3" t="str">
        <f>IFERROR(__xludf.DUMMYFUNCTION("GOOGLETRANSLATE(A35550,""en"",""pt"")"),"LOUSY vida útil da bateria.")</f>
        <v>LOUSY vida útil da bateria.</v>
      </c>
      <c r="B35550" s="3">
        <v>0</v>
      </c>
    </row>
    <row r="35551" ht="15.75" customHeight="1" spans="1:2">
      <c r="A35551" s="3" t="str">
        <f>IFERROR(__xludf.DUMMYFUNCTION("GOOGLETRANSLATE(A35551,""en"",""pt"")"),"hardware incapacitante e defeitos de software, curta duração da bateria, aquece desconfortável durante o uso, medíocre recepção.")</f>
        <v>hardware incapacitante e defeitos de software, curta duração da bateria, aquece desconfortável durante o uso, medíocre recepção.</v>
      </c>
      <c r="B35551" s="3">
        <v>0</v>
      </c>
    </row>
    <row r="35552" ht="15.75" customHeight="1" spans="1:2">
      <c r="A35552" s="3" t="str">
        <f>IFERROR(__xludf.DUMMYFUNCTION("GOOGLETRANSLATE(A35552,""en"",""pt"")"),"vida útil da bateria TERRÍVEL")</f>
        <v>vida útil da bateria TERRÍVEL</v>
      </c>
      <c r="B35552" s="3">
        <v>0</v>
      </c>
    </row>
    <row r="35553" ht="15.75" customHeight="1" spans="1:2">
      <c r="A35553" s="3" t="str">
        <f>IFERROR(__xludf.DUMMYFUNCTION("GOOGLETRANSLATE(A35553,""en"",""pt"")"),"NAVEGADOR INTERNET PCS VISÃO, FECHAMENTO FREQUENTE UPS NO OLD FIRMWARE")</f>
        <v>NAVEGADOR INTERNET PCS VISÃO, FECHAMENTO FREQUENTE UPS NO OLD FIRMWARE</v>
      </c>
      <c r="B35553" s="3">
        <v>0</v>
      </c>
    </row>
    <row r="35554" ht="15.75" customHeight="1" spans="1:2">
      <c r="A35554" s="3" t="str">
        <f>IFERROR(__xludf.DUMMYFUNCTION("GOOGLETRANSLATE(A35554,""en"",""pt"")"),"Vida útil da bateria soso. O screwy indicador da bateria. Sprint PCS Visão")</f>
        <v>Vida útil da bateria soso. O screwy indicador da bateria. Sprint PCS Visão</v>
      </c>
      <c r="B35554" s="3">
        <v>0</v>
      </c>
    </row>
    <row r="35555" ht="15.75" customHeight="1" spans="1:2">
      <c r="A35555" s="3" t="str">
        <f>IFERROR(__xludf.DUMMYFUNCTION("GOOGLETRANSLATE(A35555,""en"",""pt"")"),"Não toques normais, 12 caracteres para nomes, imagens com a câmera única, voltada para as crianças / adolescentes")</f>
        <v>Não toques normais, 12 caracteres para nomes, imagens com a câmera única, voltada para as crianças / adolescentes</v>
      </c>
      <c r="B35555" s="3">
        <v>0</v>
      </c>
    </row>
    <row r="35556" ht="15.75" customHeight="1" spans="1:2">
      <c r="A35556" s="3" t="str">
        <f>IFERROR(__xludf.DUMMYFUNCTION("GOOGLETRANSLATE(A35556,""en"",""pt"")"),"Bateria. ""Classic"" não campainhas disponível através de Sprint. A visão não confiável. manual detalhado não incluído.")</f>
        <v>Bateria. "Classic" não campainhas disponível através de Sprint. A visão não confiável. manual detalhado não incluído.</v>
      </c>
      <c r="B35556" s="3">
        <v>0</v>
      </c>
    </row>
    <row r="35557" ht="15.75" customHeight="1" spans="1:2">
      <c r="A35557" s="3" t="str">
        <f>IFERROR(__xludf.DUMMYFUNCTION("GOOGLETRANSLATE(A35557,""en"",""pt"")"),"A vida da bateria, a escrita de mensagens lenta, Sem MMS ou GPRS")</f>
        <v>A vida da bateria, a escrita de mensagens lenta, Sem MMS ou GPRS</v>
      </c>
      <c r="B35557" s="3">
        <v>0</v>
      </c>
    </row>
    <row r="35558" ht="15.75" customHeight="1" spans="1:2">
      <c r="A35558" s="3" t="str">
        <f>IFERROR(__xludf.DUMMYFUNCTION("GOOGLETRANSLATE(A35558,""en"",""pt"")"),"A visão é exagerada,,, erros navegador significativas instáveis ​​lentas")</f>
        <v>A visão é exagerada,,, erros navegador significativas instáveis ​​lentas</v>
      </c>
      <c r="B35558" s="3">
        <v>0</v>
      </c>
    </row>
    <row r="35559" ht="15.75" customHeight="1" spans="1:2">
      <c r="A35559" s="3" t="str">
        <f>IFERROR(__xludf.DUMMYFUNCTION("GOOGLETRANSLATE(A35559,""en"",""pt"")"),"a vida da bateria pobres, sinal fraco, menos web apresenta de visão do que o prometido")</f>
        <v>a vida da bateria pobres, sinal fraco, menos web apresenta de visão do que o prometido</v>
      </c>
      <c r="B35559" s="3">
        <v>0</v>
      </c>
    </row>
    <row r="35560" ht="15.75" customHeight="1" spans="1:2">
      <c r="A35560" s="3" t="str">
        <f>IFERROR(__xludf.DUMMYFUNCTION("GOOGLETRANSLATE(A35560,""en"",""pt"")"),"Bateria, Minor Issues (veja abaixo)")</f>
        <v>Bateria, Minor Issues (veja abaixo)</v>
      </c>
      <c r="B35560" s="3">
        <v>0</v>
      </c>
    </row>
    <row r="35561" ht="15.75" customHeight="1" spans="1:2">
      <c r="A35561" s="3" t="str">
        <f>IFERROR(__xludf.DUMMYFUNCTION("GOOGLETRANSLATE(A35561,""en"",""pt"")"),"discagem por voz é estranha. só pode visualizar e salvar fotos enviadas usando a câmera Sprint!")</f>
        <v>discagem por voz é estranha. só pode visualizar e salvar fotos enviadas usando a câmera Sprint!</v>
      </c>
      <c r="B35561" s="3">
        <v>0</v>
      </c>
    </row>
    <row r="35562" ht="15.75" customHeight="1" spans="1:2">
      <c r="A35562" s="3" t="str">
        <f>IFERROR(__xludf.DUMMYFUNCTION("GOOGLETRANSLATE(A35562,""en"",""pt"")"),"erros de navegador da Web que bloquear o telefone")</f>
        <v>erros de navegador da Web que bloquear o telefone</v>
      </c>
      <c r="B35562" s="3">
        <v>0</v>
      </c>
    </row>
    <row r="35563" ht="15.75" customHeight="1" spans="1:2">
      <c r="A35563" s="3" t="str">
        <f>IFERROR(__xludf.DUMMYFUNCTION("GOOGLETRANSLATE(A35563,""en"",""pt"")"),"Sem OEM instalado acessório mãos-livres.")</f>
        <v>Sem OEM instalado acessório mãos-livres.</v>
      </c>
      <c r="B35563" s="3">
        <v>0</v>
      </c>
    </row>
    <row r="35564" ht="15.75" customHeight="1" spans="1:2">
      <c r="A35564" s="3" t="str">
        <f>IFERROR(__xludf.DUMMYFUNCTION("GOOGLETRANSLATE(A35564,""en"",""pt"")"),"12 campo nome do personagem !, há / ícones home / trabalho móveis no histórico de chamadas")</f>
        <v>12 campo nome do personagem !, há / ícones home / trabalho móveis no histórico de chamadas</v>
      </c>
      <c r="B35564" s="3">
        <v>0</v>
      </c>
    </row>
    <row r="35565" ht="15.75" customHeight="1" spans="1:2">
      <c r="A35565" s="3" t="str">
        <f>IFERROR(__xludf.DUMMYFUNCTION("GOOGLETRANSLATE(A35565,""en"",""pt"")"),"assim-assim a vida da bateria, livro de telefone, jogos coxo, sem calculadora, entre muitas outras coisas")</f>
        <v>assim-assim a vida da bateria, livro de telefone, jogos coxo, sem calculadora, entre muitas outras coisas</v>
      </c>
      <c r="B35565" s="3">
        <v>0</v>
      </c>
    </row>
    <row r="35566" ht="15.75" customHeight="1" spans="1:2">
      <c r="A35566" s="3" t="str">
        <f>IFERROR(__xludf.DUMMYFUNCTION("GOOGLETRANSLATE(A35566,""en"",""pt"")"),"Telefone aquece após uso prolongado.")</f>
        <v>Telefone aquece após uso prolongado.</v>
      </c>
      <c r="B35566" s="3">
        <v>0</v>
      </c>
    </row>
    <row r="35567" ht="15.75" customHeight="1" spans="1:2">
      <c r="A35567" s="3" t="str">
        <f>IFERROR(__xludf.DUMMYFUNCTION("GOOGLETRANSLATE(A35567,""en"",""pt"")"),"curta duração da bateria, mas a Samsung dá-lhe um livre de bateria estendida")</f>
        <v>curta duração da bateria, mas a Samsung dá-lhe um livre de bateria estendida</v>
      </c>
      <c r="B35567" s="3">
        <v>0</v>
      </c>
    </row>
    <row r="35568" ht="15.75" customHeight="1" spans="1:2">
      <c r="A35568" s="3" t="str">
        <f>IFERROR(__xludf.DUMMYFUNCTION("GOOGLETRANSLATE(A35568,""en"",""pt"")"),"a bateria incluída, mas dão-lhe um melhor de qualquer maneira")</f>
        <v>a bateria incluída, mas dão-lhe um melhor de qualquer maneira</v>
      </c>
      <c r="B35568" s="3">
        <v>0</v>
      </c>
    </row>
    <row r="35569" ht="15.75" customHeight="1" spans="1:2">
      <c r="A35569" s="3" t="str">
        <f>IFERROR(__xludf.DUMMYFUNCTION("GOOGLETRANSLATE(A35569,""en"",""pt"")"),"Nenhum observou")</f>
        <v>Nenhum observou</v>
      </c>
      <c r="B35569" s="3">
        <v>0</v>
      </c>
    </row>
    <row r="35570" ht="15.75" customHeight="1" spans="1:2">
      <c r="A35570" s="3" t="str">
        <f>IFERROR(__xludf.DUMMYFUNCTION("GOOGLETRANSLATE(A35570,""en"",""pt"")"),"vida útil da bateria horrível")</f>
        <v>vida útil da bateria horrível</v>
      </c>
      <c r="B35570" s="3">
        <v>0</v>
      </c>
    </row>
    <row r="35571" ht="15.75" customHeight="1" spans="1:2">
      <c r="A35571" s="3" t="str">
        <f>IFERROR(__xludf.DUMMYFUNCTION("GOOGLETRANSLATE(A35571,""en"",""pt"")"),"Durabilidade não pode ser grande. Difícil de lidar.")</f>
        <v>Durabilidade não pode ser grande. Difícil de lidar.</v>
      </c>
      <c r="B35571" s="3">
        <v>0</v>
      </c>
    </row>
    <row r="35572" ht="15.75" customHeight="1" spans="1:2">
      <c r="A35572" s="3" t="str">
        <f>IFERROR(__xludf.DUMMYFUNCTION("GOOGLETRANSLATE(A35572,""en"",""pt"")"),"Eu ainda tenho que encontrar um.")</f>
        <v>Eu ainda tenho que encontrar um.</v>
      </c>
      <c r="B35572" s="3">
        <v>0</v>
      </c>
    </row>
    <row r="35573" ht="15.75" customHeight="1" spans="1:2">
      <c r="A35573" s="3" t="str">
        <f>IFERROR(__xludf.DUMMYFUNCTION("GOOGLETRANSLATE(A35573,""en"",""pt"")"),"Força do sinal, força do sinal, sinal Strenth.")</f>
        <v>Força do sinal, força do sinal, sinal Strenth.</v>
      </c>
      <c r="B35573" s="3">
        <v>0</v>
      </c>
    </row>
    <row r="35574" ht="15.75" customHeight="1" spans="1:2">
      <c r="A35574" s="3" t="str">
        <f>IFERROR(__xludf.DUMMYFUNCTION("GOOGLETRANSLATE(A35574,""en"",""pt"")"),"Curta vida útil da bateria, não amigável, transportar acessórios adicionais")</f>
        <v>Curta vida útil da bateria, não amigável, transportar acessórios adicionais</v>
      </c>
      <c r="B35574" s="3">
        <v>0</v>
      </c>
    </row>
    <row r="35575" ht="15.75" customHeight="1" spans="1:2">
      <c r="A35575" s="3" t="str">
        <f>IFERROR(__xludf.DUMMYFUNCTION("GOOGLETRANSLATE(A35575,""en"",""pt"")"),"Impossível ver ao ar livre tela. indicador de intensidade do sinal terrivelmente impreciso.")</f>
        <v>Impossível ver ao ar livre tela. indicador de intensidade do sinal terrivelmente impreciso.</v>
      </c>
      <c r="B35575" s="3">
        <v>0</v>
      </c>
    </row>
    <row r="35576" ht="15.75" customHeight="1" spans="1:2">
      <c r="A35576" s="3" t="str">
        <f>IFERROR(__xludf.DUMMYFUNCTION("GOOGLETRANSLATE(A35576,""en"",""pt"")"),"clareza do sinal é duvidoso. Difícil de usar. Botões muito pequeno.")</f>
        <v>clareza do sinal é duvidoso. Difícil de usar. Botões muito pequeno.</v>
      </c>
      <c r="B35576" s="3">
        <v>0</v>
      </c>
    </row>
    <row r="35577" ht="15.75" customHeight="1" spans="1:2">
      <c r="A35577" s="3" t="str">
        <f>IFERROR(__xludf.DUMMYFUNCTION("GOOGLETRANSLATE(A35577,""en"",""pt"")"),"A vida da bateria, preço")</f>
        <v>A vida da bateria, preço</v>
      </c>
      <c r="B35577" s="3">
        <v>0</v>
      </c>
    </row>
    <row r="35578" ht="15.75" customHeight="1" spans="1:2">
      <c r="A35578" s="3" t="str">
        <f>IFERROR(__xludf.DUMMYFUNCTION("GOOGLETRANSLATE(A35578,""en"",""pt"")"),"vida útil da bateria, aquece um pouco durante o uso, serviço medíocre (Sprint)")</f>
        <v>vida útil da bateria, aquece um pouco durante o uso, serviço medíocre (Sprint)</v>
      </c>
      <c r="B35578" s="3">
        <v>0</v>
      </c>
    </row>
    <row r="35579" ht="15.75" customHeight="1" spans="1:2">
      <c r="A35579" s="3" t="str">
        <f>IFERROR(__xludf.DUMMYFUNCTION("GOOGLETRANSLATE(A35579,""en"",""pt"")"),"A duração da bateria parece ser um pouco sobre o lado mais curto.")</f>
        <v>A duração da bateria parece ser um pouco sobre o lado mais curto.</v>
      </c>
      <c r="B35579" s="3">
        <v>0</v>
      </c>
    </row>
    <row r="35580" ht="15.75" customHeight="1" spans="1:2">
      <c r="A35580" s="3" t="str">
        <f>IFERROR(__xludf.DUMMYFUNCTION("GOOGLETRANSLATE(A35580,""en"",""pt"")"),"duração da bateria (não muito ruim embora), não display colorido externo (eu sei, exigente)")</f>
        <v>duração da bateria (não muito ruim embora), não display colorido externo (eu sei, exigente)</v>
      </c>
      <c r="B35580" s="3">
        <v>0</v>
      </c>
    </row>
    <row r="35581" ht="15.75" customHeight="1" spans="1:2">
      <c r="A35581" s="3" t="str">
        <f>IFERROR(__xludf.DUMMYFUNCTION("GOOGLETRANSLATE(A35581,""en"",""pt"")"),"Caro a preço normal, o poder de porco.")</f>
        <v>Caro a preço normal, o poder de porco.</v>
      </c>
      <c r="B35581" s="3">
        <v>0</v>
      </c>
    </row>
    <row r="35582" ht="15.75" customHeight="1" spans="1:2">
      <c r="A35582" s="3" t="str">
        <f>IFERROR(__xludf.DUMMYFUNCTION("GOOGLETRANSLATE(A35582,""en"",""pt"")"),"Nenhuma ligação com PC ou forma suportada para obter fotos no telefone")</f>
        <v>Nenhuma ligação com PC ou forma suportada para obter fotos no telefone</v>
      </c>
      <c r="B35582" s="3">
        <v>0</v>
      </c>
    </row>
    <row r="35583" ht="15.75" customHeight="1" spans="1:2">
      <c r="A35583" s="3" t="str">
        <f>IFERROR(__xludf.DUMMYFUNCTION("GOOGLETRANSLATE(A35583,""en"",""pt"")"),"não faz pratos.")</f>
        <v>não faz pratos.</v>
      </c>
      <c r="B35583" s="3">
        <v>0</v>
      </c>
    </row>
    <row r="35584" ht="15.75" customHeight="1" spans="1:2">
      <c r="A35584" s="3" t="str">
        <f>IFERROR(__xludf.DUMMYFUNCTION("GOOGLETRANSLATE(A35584,""en"",""pt"")"),"Aftermarket garantia carregador anulada")</f>
        <v>Aftermarket garantia carregador anulada</v>
      </c>
      <c r="B35584" s="3">
        <v>0</v>
      </c>
    </row>
    <row r="35585" ht="15.75" customHeight="1" spans="1:2">
      <c r="A35585" s="3" t="str">
        <f>IFERROR(__xludf.DUMMYFUNCTION("GOOGLETRANSLATE(A35585,""en"",""pt"")"),"qualidade de som soa um estática lil às vezes, há toques sonantes regulares")</f>
        <v>qualidade de som soa um estática lil às vezes, há toques sonantes regulares</v>
      </c>
      <c r="B35585" s="3">
        <v>0</v>
      </c>
    </row>
    <row r="35586" ht="15.75" customHeight="1" spans="1:2">
      <c r="A35586" s="3" t="str">
        <f>IFERROR(__xludf.DUMMYFUNCTION("GOOGLETRANSLATE(A35586,""en"",""pt"")"),"Desliga-se de vez em quando, sem aviso")</f>
        <v>Desliga-se de vez em quando, sem aviso</v>
      </c>
      <c r="B35586" s="3">
        <v>0</v>
      </c>
    </row>
    <row r="35587" ht="15.75" customHeight="1" spans="1:2">
      <c r="A35587" s="3" t="str">
        <f>IFERROR(__xludf.DUMMYFUNCTION("GOOGLETRANSLATE(A35587,""en"",""pt"")"),"Bad recepção, Fragile LCD, a falta de qualidade de rede da Sprint e atendimento ao cliente")</f>
        <v>Bad recepção, Fragile LCD, a falta de qualidade de rede da Sprint e atendimento ao cliente</v>
      </c>
      <c r="B35587" s="3">
        <v>0</v>
      </c>
    </row>
    <row r="35588" ht="15.75" customHeight="1" spans="1:2">
      <c r="A35588" s="3" t="str">
        <f>IFERROR(__xludf.DUMMYFUNCTION("GOOGLETRANSLATE(A35588,""en"",""pt"")"),"a vida da bateria muito baixo")</f>
        <v>a vida da bateria muito baixo</v>
      </c>
      <c r="B35588" s="3">
        <v>0</v>
      </c>
    </row>
    <row r="35589" ht="15.75" customHeight="1" spans="1:2">
      <c r="A35589" s="3" t="str">
        <f>IFERROR(__xludf.DUMMYFUNCTION("GOOGLETRANSLATE(A35589,""en"",""pt"")"),"software horrível, extremamente buggy. MUITO disfunctional")</f>
        <v>software horrível, extremamente buggy. MUITO disfunctional</v>
      </c>
      <c r="B35589" s="3">
        <v>0</v>
      </c>
    </row>
    <row r="35590" ht="15.75" customHeight="1" spans="1:2">
      <c r="A35590" s="3" t="str">
        <f>IFERROR(__xludf.DUMMYFUNCTION("GOOGLETRANSLATE(A35590,""en"",""pt"")"),"Clareza é um problema.")</f>
        <v>Clareza é um problema.</v>
      </c>
      <c r="B35590" s="3">
        <v>0</v>
      </c>
    </row>
    <row r="35591" ht="15.75" customHeight="1" spans="1:2">
      <c r="A35591" s="3" t="str">
        <f>IFERROR(__xludf.DUMMYFUNCTION("GOOGLETRANSLATE(A35591,""en"",""pt"")"),"set-up confundindo a marcação por voz, problemas de comutação entre roam e serviço, pobre viva-voz")</f>
        <v>set-up confundindo a marcação por voz, problemas de comutação entre roam e serviço, pobre viva-voz</v>
      </c>
      <c r="B35591" s="3">
        <v>0</v>
      </c>
    </row>
    <row r="35592" ht="15.75" customHeight="1" spans="1:2">
      <c r="A35592" s="3" t="str">
        <f>IFERROR(__xludf.DUMMYFUNCTION("GOOGLETRANSLATE(A35592,""en"",""pt"")"),"viva-voz só é half-duplex, antena inibe nub pocketability, a qualidade da chamada varia, apenas uma cor")</f>
        <v>viva-voz só é half-duplex, antena inibe nub pocketability, a qualidade da chamada varia, apenas uma cor</v>
      </c>
      <c r="B35592" s="3">
        <v>0</v>
      </c>
    </row>
    <row r="35593" ht="15.75" customHeight="1" spans="1:2">
      <c r="A35593" s="3" t="str">
        <f>IFERROR(__xludf.DUMMYFUNCTION("GOOGLETRANSLATE(A35593,""en"",""pt"")"),"A bateria não se alinha com o compartimento.")</f>
        <v>A bateria não se alinha com o compartimento.</v>
      </c>
      <c r="B35593" s="3">
        <v>0</v>
      </c>
    </row>
    <row r="35594" ht="15.75" customHeight="1" spans="1:2">
      <c r="A35594" s="3" t="str">
        <f>IFERROR(__xludf.DUMMYFUNCTION("GOOGLETRANSLATE(A35594,""en"",""pt"")"),"Viva-voz é muito sensível, por vezes difícil de ouvir.")</f>
        <v>Viva-voz é muito sensível, por vezes difícil de ouvir.</v>
      </c>
      <c r="B35594" s="3">
        <v>0</v>
      </c>
    </row>
    <row r="35595" ht="15.75" customHeight="1" spans="1:2">
      <c r="A35595" s="3" t="str">
        <f>IFERROR(__xludf.DUMMYFUNCTION("GOOGLETRANSLATE(A35595,""en"",""pt"")"),"Roaming ... Não Popular")</f>
        <v>Roaming ... Não Popular</v>
      </c>
      <c r="B35595" s="3">
        <v>0</v>
      </c>
    </row>
    <row r="35596" ht="15.75" customHeight="1" spans="1:2">
      <c r="A35596" s="3" t="str">
        <f>IFERROR(__xludf.DUMMYFUNCTION("GOOGLETRANSLATE(A35596,""en"",""pt"")"),"Speakerphone realmente é uma porcaria! não iria comprar novamente sem ficha do auricular")</f>
        <v>Speakerphone realmente é uma porcaria! não iria comprar novamente sem ficha do auricular</v>
      </c>
      <c r="B35596" s="3">
        <v>0</v>
      </c>
    </row>
    <row r="35597" ht="15.75" customHeight="1" spans="1:2">
      <c r="A35597" s="3" t="str">
        <f>IFERROR(__xludf.DUMMYFUNCTION("GOOGLETRANSLATE(A35597,""en"",""pt"")"),"Nub antena, vibração fraca")</f>
        <v>Nub antena, vibração fraca</v>
      </c>
      <c r="B35597" s="3">
        <v>0</v>
      </c>
    </row>
    <row r="35598" ht="15.75" customHeight="1" spans="1:2">
      <c r="A35598" s="3" t="str">
        <f>IFERROR(__xludf.DUMMYFUNCTION("GOOGLETRANSLATE(A35598,""en"",""pt"")"),"Você não pode se carregar toques ou gráficos")</f>
        <v>Você não pode se carregar toques ou gráficos</v>
      </c>
      <c r="B35598" s="3">
        <v>0</v>
      </c>
    </row>
    <row r="35599" ht="15.75" customHeight="1" spans="1:2">
      <c r="A35599" s="3" t="str">
        <f>IFERROR(__xludf.DUMMYFUNCTION("GOOGLETRANSLATE(A35599,""en"",""pt"")"),"Um pouco confuso menus ...")</f>
        <v>Um pouco confuso menus ...</v>
      </c>
      <c r="B35599" s="3">
        <v>0</v>
      </c>
    </row>
    <row r="35600" ht="15.75" customHeight="1" spans="1:2">
      <c r="A35600" s="3" t="str">
        <f>IFERROR(__xludf.DUMMYFUNCTION("GOOGLETRANSLATE(A35600,""en"",""pt"")"),"Não tem a melhor recepção, melhor não é usado como um telefone")</f>
        <v>Não tem a melhor recepção, melhor não é usado como um telefone</v>
      </c>
      <c r="B35600" s="3">
        <v>0</v>
      </c>
    </row>
    <row r="35601" ht="15.75" customHeight="1" spans="1:2">
      <c r="A35601" s="3" t="str">
        <f>IFERROR(__xludf.DUMMYFUNCTION("GOOGLETRANSLATE(A35601,""en"",""pt"")"),"grande tela fornece mais área para obter oleosa, talvez um pouco _too_ rico em recursos")</f>
        <v>grande tela fornece mais área para obter oleosa, talvez um pouco _too_ rico em recursos</v>
      </c>
      <c r="B35601" s="3">
        <v>0</v>
      </c>
    </row>
    <row r="35602" ht="15.75" customHeight="1" spans="1:2">
      <c r="A35602" s="3" t="str">
        <f>IFERROR(__xludf.DUMMYFUNCTION("GOOGLETRANSLATE(A35602,""en"",""pt"")"),"Sem antena externa mata recepção em áreas marginais. Sem tampa do teclado.")</f>
        <v>Sem antena externa mata recepção em áreas marginais. Sem tampa do teclado.</v>
      </c>
      <c r="B35602" s="3">
        <v>0</v>
      </c>
    </row>
    <row r="35603" ht="15.75" customHeight="1" spans="1:2">
      <c r="A35603" s="3" t="str">
        <f>IFERROR(__xludf.DUMMYFUNCTION("GOOGLETRANSLATE(A35603,""en"",""pt"")"),"área de serviço limitado com GSM, pode pegar um monte de ruído")</f>
        <v>área de serviço limitado com GSM, pode pegar um monte de ruído</v>
      </c>
      <c r="B35603" s="3">
        <v>0</v>
      </c>
    </row>
    <row r="35604" ht="15.75" customHeight="1" spans="1:2">
      <c r="A35604" s="3" t="str">
        <f>IFERROR(__xludf.DUMMYFUNCTION("GOOGLETRANSLATE(A35604,""en"",""pt"")"),"necessita de uma melhor PC sincronização e software gráfico, indicador de bateria defeituosa")</f>
        <v>necessita de uma melhor PC sincronização e software gráfico, indicador de bateria defeituosa</v>
      </c>
      <c r="B35604" s="3">
        <v>0</v>
      </c>
    </row>
    <row r="35605" ht="15.75" customHeight="1" spans="1:2">
      <c r="A35605" s="3" t="str">
        <f>IFERROR(__xludf.DUMMYFUNCTION("GOOGLETRANSLATE(A35605,""en"",""pt"")"),"Caro, não tampa do teclado.")</f>
        <v>Caro, não tampa do teclado.</v>
      </c>
      <c r="B35605" s="3">
        <v>0</v>
      </c>
    </row>
    <row r="35606" ht="15.75" customHeight="1" spans="1:2">
      <c r="A35606" s="3" t="str">
        <f>IFERROR(__xludf.DUMMYFUNCTION("GOOGLETRANSLATE(A35606,""en"",""pt"")"),"Pobre devido recepção para a antena interna")</f>
        <v>Pobre devido recepção para a antena interna</v>
      </c>
      <c r="B35606" s="3">
        <v>0</v>
      </c>
    </row>
    <row r="35607" ht="15.75" customHeight="1" spans="1:2">
      <c r="A35607" s="3" t="str">
        <f>IFERROR(__xludf.DUMMYFUNCTION("GOOGLETRANSLATE(A35607,""en"",""pt"")"),"Ainda tentando encontrar um")</f>
        <v>Ainda tentando encontrar um</v>
      </c>
      <c r="B35607" s="3">
        <v>0</v>
      </c>
    </row>
    <row r="35608" ht="15.75" customHeight="1" spans="1:2">
      <c r="A35608" s="3" t="str">
        <f>IFERROR(__xludf.DUMMYFUNCTION("GOOGLETRANSLATE(A35608,""en"",""pt"")"),"Dispendioso")</f>
        <v>Dispendioso</v>
      </c>
      <c r="B35608" s="3">
        <v>0</v>
      </c>
    </row>
    <row r="35609" ht="15.75" customHeight="1" spans="1:2">
      <c r="A35609" s="3" t="str">
        <f>IFERROR(__xludf.DUMMYFUNCTION("GOOGLETRANSLATE(A35609,""en"",""pt"")"),"Interface lento, má recepção, sistema muito complicado")</f>
        <v>Interface lento, má recepção, sistema muito complicado</v>
      </c>
      <c r="B35609" s="3">
        <v>0</v>
      </c>
    </row>
    <row r="35610" ht="15.75" customHeight="1" spans="1:2">
      <c r="A35610" s="3" t="str">
        <f>IFERROR(__xludf.DUMMYFUNCTION("GOOGLETRANSLATE(A35610,""en"",""pt"")"),"voz discando uma dor")</f>
        <v>voz discando uma dor</v>
      </c>
      <c r="B35610" s="3">
        <v>0</v>
      </c>
    </row>
    <row r="35611" ht="15.75" customHeight="1" spans="1:2">
      <c r="A35611" s="3" t="str">
        <f>IFERROR(__xludf.DUMMYFUNCTION("GOOGLETRANSLATE(A35611,""en"",""pt"")"),"rede GSM não construiu ainda")</f>
        <v>rede GSM não construiu ainda</v>
      </c>
      <c r="B35611" s="3">
        <v>0</v>
      </c>
    </row>
    <row r="35612" ht="15.75" customHeight="1" spans="1:2">
      <c r="A35612" s="3" t="str">
        <f>IFERROR(__xludf.DUMMYFUNCTION("GOOGLETRANSLATE(A35612,""en"",""pt"")"),"A recepção é tão-lo, menus poderia ser muito mais rápido.")</f>
        <v>A recepção é tão-lo, menus poderia ser muito mais rápido.</v>
      </c>
      <c r="B35612" s="3">
        <v>0</v>
      </c>
    </row>
    <row r="35613" ht="15.75" customHeight="1" spans="1:2">
      <c r="A35613" s="3" t="str">
        <f>IFERROR(__xludf.DUMMYFUNCTION("GOOGLETRANSLATE(A35613,""en"",""pt"")"),"Má recepção, o rosto desprotegido, sensação barato")</f>
        <v>Má recepção, o rosto desprotegido, sensação barato</v>
      </c>
      <c r="B35613" s="3">
        <v>0</v>
      </c>
    </row>
    <row r="35614" ht="15.75" customHeight="1" spans="1:2">
      <c r="A35614" s="3" t="str">
        <f>IFERROR(__xludf.DUMMYFUNCTION("GOOGLETRANSLATE(A35614,""en"",""pt"")"),"UI longe da Nokia classe")</f>
        <v>UI longe da Nokia classe</v>
      </c>
      <c r="B35614" s="3">
        <v>0</v>
      </c>
    </row>
    <row r="35615" ht="15.75" customHeight="1" spans="1:2">
      <c r="A35615" s="3" t="str">
        <f>IFERROR(__xludf.DUMMYFUNCTION("GOOGLETRANSLATE(A35615,""en"",""pt"")"),"antena fraco, software esquisito, apenas 256 cores")</f>
        <v>antena fraco, software esquisito, apenas 256 cores</v>
      </c>
      <c r="B35615" s="3">
        <v>0</v>
      </c>
    </row>
    <row r="35616" ht="15.75" customHeight="1" spans="1:2">
      <c r="A35616" s="3" t="str">
        <f>IFERROR(__xludf.DUMMYFUNCTION("GOOGLETRANSLATE(A35616,""en"",""pt"")"),"Bloquear / desbloquear o telefone é uma dor, a tela é difícil de ler, má recepção")</f>
        <v>Bloquear / desbloquear o telefone é uma dor, a tela é difícil de ler, má recepção</v>
      </c>
      <c r="B35616" s="3">
        <v>0</v>
      </c>
    </row>
    <row r="35617" ht="15.75" customHeight="1" spans="1:2">
      <c r="A35617" s="3" t="str">
        <f>IFERROR(__xludf.DUMMYFUNCTION("GOOGLETRANSLATE(A35617,""en"",""pt"")"),"Teclado podem desgastar-se ao longo do tempo, Joystick pode acessar o item errado, por vezes,")</f>
        <v>Teclado podem desgastar-se ao longo do tempo, Joystick pode acessar o item errado, por vezes,</v>
      </c>
      <c r="B35617" s="3">
        <v>0</v>
      </c>
    </row>
    <row r="35618" ht="15.75" customHeight="1" spans="1:2">
      <c r="A35618" s="3" t="str">
        <f>IFERROR(__xludf.DUMMYFUNCTION("GOOGLETRANSLATE(A35618,""en"",""pt"")"),"Telefone Awful")</f>
        <v>Telefone Awful</v>
      </c>
      <c r="B35618" s="3">
        <v>0</v>
      </c>
    </row>
    <row r="35619" ht="15.75" customHeight="1" spans="1:2">
      <c r="A35619" s="3" t="str">
        <f>IFERROR(__xludf.DUMMYFUNCTION("GOOGLETRANSLATE(A35619,""en"",""pt"")"),"Bloqueio de teclas desbloqueia quando você recebe uma chamada e interruptor deslizante do lado é irritante.")</f>
        <v>Bloqueio de teclas desbloqueia quando você recebe uma chamada e interruptor deslizante do lado é irritante.</v>
      </c>
      <c r="B35619" s="3">
        <v>0</v>
      </c>
    </row>
    <row r="35620" ht="15.75" customHeight="1" spans="1:2">
      <c r="A35620" s="3" t="str">
        <f>IFERROR(__xludf.DUMMYFUNCTION("GOOGLETRANSLATE(A35620,""en"",""pt"")"),"Muitas Capacidades mal compreendido, Recepção abaixo da média, menus complexos")</f>
        <v>Muitas Capacidades mal compreendido, Recepção abaixo da média, menus complexos</v>
      </c>
      <c r="B35620" s="3">
        <v>0</v>
      </c>
    </row>
    <row r="35621" ht="15.75" customHeight="1" spans="1:2">
      <c r="A35621" s="3" t="str">
        <f>IFERROR(__xludf.DUMMYFUNCTION("GOOGLETRANSLATE(A35621,""en"",""pt"")"),"A atualização do novo software")</f>
        <v>A atualização do novo software</v>
      </c>
      <c r="B35621" s="3">
        <v>0</v>
      </c>
    </row>
    <row r="35622" ht="15.75" customHeight="1" spans="1:2">
      <c r="A35622" s="3" t="str">
        <f>IFERROR(__xludf.DUMMYFUNCTION("GOOGLETRANSLATE(A35622,""en"",""pt"")"),"Não faceplates, congela-se cerca de um por dia, superior esquerdo luz nunca pára de piscar")</f>
        <v>Não faceplates, congela-se cerca de um por dia, superior esquerdo luz nunca pára de piscar</v>
      </c>
      <c r="B35622" s="3">
        <v>0</v>
      </c>
    </row>
    <row r="35623" ht="15.75" customHeight="1" spans="1:2">
      <c r="A35623" s="3" t="str">
        <f>IFERROR(__xludf.DUMMYFUNCTION("GOOGLETRANSLATE(A35623,""en"",""pt"")"),"Bad recepção, reação lenta para o usuário e não muito amigável.")</f>
        <v>Bad recepção, reação lenta para o usuário e não muito amigável.</v>
      </c>
      <c r="B35623" s="3">
        <v>0</v>
      </c>
    </row>
    <row r="35624" ht="15.75" customHeight="1" spans="1:2">
      <c r="A35624" s="3" t="str">
        <f>IFERROR(__xludf.DUMMYFUNCTION("GOOGLETRANSLATE(A35624,""en"",""pt"")"),"terrible recepção")</f>
        <v>terrible recepção</v>
      </c>
      <c r="B35624" s="3">
        <v>0</v>
      </c>
    </row>
    <row r="35625" ht="15.75" customHeight="1" spans="1:2">
      <c r="A35625" s="3" t="str">
        <f>IFERROR(__xludf.DUMMYFUNCTION("GOOGLETRANSLATE(A35625,""en"",""pt"")"),"Recepção, qualidade de construção")</f>
        <v>Recepção, qualidade de construção</v>
      </c>
      <c r="B35625" s="3">
        <v>0</v>
      </c>
    </row>
    <row r="35626" ht="15.75" customHeight="1" spans="1:2">
      <c r="A35626" s="3" t="str">
        <f>IFERROR(__xludf.DUMMYFUNCTION("GOOGLETRANSLATE(A35626,""en"",""pt"")"),"Alguns recursos limitados")</f>
        <v>Alguns recursos limitados</v>
      </c>
      <c r="B35626" s="3">
        <v>0</v>
      </c>
    </row>
    <row r="35627" ht="15.75" customHeight="1" spans="1:2">
      <c r="A35627" s="3" t="str">
        <f>IFERROR(__xludf.DUMMYFUNCTION("GOOGLETRANSLATE(A35627,""en"",""pt"")"),"Trivial demais para sequer valer a pena mencionar aqui.")</f>
        <v>Trivial demais para sequer valer a pena mencionar aqui.</v>
      </c>
      <c r="B35627" s="3">
        <v>0</v>
      </c>
    </row>
    <row r="35628" ht="15.75" customHeight="1" spans="1:2">
      <c r="A35628" s="3" t="str">
        <f>IFERROR(__xludf.DUMMYFUNCTION("GOOGLETRANSLATE(A35628,""en"",""pt"")"),"Um pouco pesado, vida da bateria pobres")</f>
        <v>Um pouco pesado, vida da bateria pobres</v>
      </c>
      <c r="B35628" s="3">
        <v>0</v>
      </c>
    </row>
    <row r="35629" ht="15.75" customHeight="1" spans="1:2">
      <c r="A35629" s="3" t="str">
        <f>IFERROR(__xludf.DUMMYFUNCTION("GOOGLETRANSLATE(A35629,""en"",""pt"")"),"Não muitos, ainda quer que câmera do telefone. ri muito")</f>
        <v>Não muitos, ainda quer que câmera do telefone. ri muito</v>
      </c>
      <c r="B35629" s="3">
        <v>0</v>
      </c>
    </row>
    <row r="35630" ht="15.75" customHeight="1" spans="1:2">
      <c r="A35630" s="3" t="str">
        <f>IFERROR(__xludf.DUMMYFUNCTION("GOOGLETRANSLATE(A35630,""en"",""pt"")"),"Alto-falante na parte traseira está localizado em um local horrível que é fácil de bloco.")</f>
        <v>Alto-falante na parte traseira está localizado em um local horrível que é fácil de bloco.</v>
      </c>
      <c r="B35630" s="3">
        <v>0</v>
      </c>
    </row>
    <row r="35631" ht="15.75" customHeight="1" spans="1:2">
      <c r="A35631" s="3" t="str">
        <f>IFERROR(__xludf.DUMMYFUNCTION("GOOGLETRANSLATE(A35631,""en"",""pt"")"),"A vida da bateria, caso difícil de encontrar, visor pequeno, não ""pequeno"" pelos padrões de hoje.")</f>
        <v>A vida da bateria, caso difícil de encontrar, visor pequeno, não "pequeno" pelos padrões de hoje.</v>
      </c>
      <c r="B35631" s="3">
        <v>0</v>
      </c>
    </row>
    <row r="35632" ht="15.75" customHeight="1" spans="1:2">
      <c r="A35632" s="3" t="str">
        <f>IFERROR(__xludf.DUMMYFUNCTION("GOOGLETRANSLATE(A35632,""en"",""pt"")"),"Nível da bateria, pequenos botões")</f>
        <v>Nível da bateria, pequenos botões</v>
      </c>
      <c r="B35632" s="3">
        <v>0</v>
      </c>
    </row>
    <row r="35633" ht="15.75" customHeight="1" spans="1:2">
      <c r="A35633" s="3" t="str">
        <f>IFERROR(__xludf.DUMMYFUNCTION("GOOGLETRANSLATE(A35633,""en"",""pt"")"),"Caro, a vida da bateria, sinal inconsistentes")</f>
        <v>Caro, a vida da bateria, sinal inconsistentes</v>
      </c>
      <c r="B35633" s="3">
        <v>0</v>
      </c>
    </row>
    <row r="35634" ht="15.75" customHeight="1" spans="1:2">
      <c r="A35634" s="3" t="str">
        <f>IFERROR(__xludf.DUMMYFUNCTION("GOOGLETRANSLATE(A35634,""en"",""pt"")"),"A vida da bateria, mensagens de texto é inferior a outras operadoras, antena volumosos, não pode caber no bolso.")</f>
        <v>A vida da bateria, mensagens de texto é inferior a outras operadoras, antena volumosos, não pode caber no bolso.</v>
      </c>
      <c r="B35634" s="3">
        <v>0</v>
      </c>
    </row>
    <row r="35635" ht="15.75" customHeight="1" spans="1:2">
      <c r="A35635" s="3" t="str">
        <f>IFERROR(__xludf.DUMMYFUNCTION("GOOGLETRANSLATE(A35635,""en"",""pt"")"),"Eu tive problemas com dispositivos que se conectam à porta de carga / dados.")</f>
        <v>Eu tive problemas com dispositivos que se conectam à porta de carga / dados.</v>
      </c>
      <c r="B35635" s="3">
        <v>0</v>
      </c>
    </row>
    <row r="35636" ht="15.75" customHeight="1" spans="1:2">
      <c r="A35636" s="3" t="str">
        <f>IFERROR(__xludf.DUMMYFUNCTION("GOOGLETRANSLATE(A35636,""en"",""pt"")"),"telefone pode ser complicado às vezes, luzes de discoteca único trabalho com toques pré instalados,")</f>
        <v>telefone pode ser complicado às vezes, luzes de discoteca único trabalho com toques pré instalados,</v>
      </c>
      <c r="B35636" s="3">
        <v>0</v>
      </c>
    </row>
    <row r="35637" ht="15.75" customHeight="1" spans="1:2">
      <c r="A35637" s="3" t="str">
        <f>IFERROR(__xludf.DUMMYFUNCTION("GOOGLETRANSLATE(A35637,""en"",""pt"")"),"Caro, a curva de aprendizado. Pode ser mais para gerenciar / configurar do que alguns usuários cuidar.")</f>
        <v>Caro, a curva de aprendizado. Pode ser mais para gerenciar / configurar do que alguns usuários cuidar.</v>
      </c>
      <c r="B35637" s="3">
        <v>0</v>
      </c>
    </row>
    <row r="35638" ht="15.75" customHeight="1" spans="1:2">
      <c r="A35638" s="3" t="str">
        <f>IFERROR(__xludf.DUMMYFUNCTION("GOOGLETRANSLATE(A35638,""en"",""pt"")"),"a vida da bateria quando mensagens de texto e fala, antena e força do sinal.")</f>
        <v>a vida da bateria quando mensagens de texto e fala, antena e força do sinal.</v>
      </c>
      <c r="B35638" s="3">
        <v>0</v>
      </c>
    </row>
    <row r="35639" ht="15.75" customHeight="1" spans="1:2">
      <c r="A35639" s="3" t="str">
        <f>IFERROR(__xludf.DUMMYFUNCTION("GOOGLETRANSLATE(A35639,""en"",""pt"")"),"Retardar on / off tempo, anéis de correio de voz (3 apenas), não muitas opções do personalizamento física (placas de cara, antenas, etc.)")</f>
        <v>Retardar on / off tempo, anéis de correio de voz (3 apenas), não muitas opções do personalizamento física (placas de cara, antenas, etc.)</v>
      </c>
      <c r="B35639" s="3">
        <v>0</v>
      </c>
    </row>
    <row r="35640" ht="15.75" customHeight="1" spans="1:2">
      <c r="A35640" s="3" t="str">
        <f>IFERROR(__xludf.DUMMYFUNCTION("GOOGLETRANSLATE(A35640,""en"",""pt"")"),"Caro para o que você realmente chegar, volumoso em tamanho / peso.")</f>
        <v>Caro para o que você realmente chegar, volumoso em tamanho / peso.</v>
      </c>
      <c r="B35640" s="3">
        <v>0</v>
      </c>
    </row>
    <row r="35641" ht="15.75" customHeight="1" spans="1:2">
      <c r="A35641" s="3" t="str">
        <f>IFERROR(__xludf.DUMMYFUNCTION("GOOGLETRANSLATE(A35641,""en"",""pt"")"),"Se você estiver atualizando a partir i90, será um desperdício de tempo e dinheiro.")</f>
        <v>Se você estiver atualizando a partir i90, será um desperdício de tempo e dinheiro.</v>
      </c>
      <c r="B35641" s="3">
        <v>0</v>
      </c>
    </row>
    <row r="35642" ht="15.75" customHeight="1" spans="1:2">
      <c r="A35642" s="3" t="str">
        <f>IFERROR(__xludf.DUMMYFUNCTION("GOOGLETRANSLATE(A35642,""en"",""pt"")"),"staticy e instável, um monte de chamadas de queda, a bateria se esgota rapidamente :(")</f>
        <v>staticy e instável, um monte de chamadas de queda, a bateria se esgota rapidamente :(</v>
      </c>
      <c r="B35642" s="3">
        <v>0</v>
      </c>
    </row>
    <row r="35643" ht="15.75" customHeight="1" spans="1:2">
      <c r="A35643" s="3" t="str">
        <f>IFERROR(__xludf.DUMMYFUNCTION("GOOGLETRANSLATE(A35643,""en"",""pt"")"),"Não rádio")</f>
        <v>Não rádio</v>
      </c>
      <c r="B35643" s="3">
        <v>0</v>
      </c>
    </row>
    <row r="35644" ht="15.75" customHeight="1" spans="1:2">
      <c r="A35644" s="3" t="str">
        <f>IFERROR(__xludf.DUMMYFUNCTION("GOOGLETRANSLATE(A35644,""en"",""pt"")"),"Muito má recepção, atendimento ao cliente unsupportive")</f>
        <v>Muito má recepção, atendimento ao cliente unsupportive</v>
      </c>
      <c r="B35644" s="3">
        <v>0</v>
      </c>
    </row>
    <row r="35645" ht="15.75" customHeight="1" spans="1:2">
      <c r="A35645" s="3" t="str">
        <f>IFERROR(__xludf.DUMMYFUNCTION("GOOGLETRANSLATE(A35645,""en"",""pt"")"),"Boas funções de GPS requerem taxa adicional, tela pequena, se contorce tampa da bateria quando teclas pressionadas")</f>
        <v>Boas funções de GPS requerem taxa adicional, tela pequena, se contorce tampa da bateria quando teclas pressionadas</v>
      </c>
      <c r="B35645" s="3">
        <v>0</v>
      </c>
    </row>
    <row r="35646" ht="15.75" customHeight="1" spans="1:2">
      <c r="A35646" s="3" t="str">
        <f>IFERROR(__xludf.DUMMYFUNCTION("GOOGLETRANSLATE(A35646,""en"",""pt"")"),"Não confiável ! Precisa de mais opções de campainha.")</f>
        <v>Não confiável ! Precisa de mais opções de campainha.</v>
      </c>
      <c r="B35646" s="3">
        <v>0</v>
      </c>
    </row>
    <row r="35647" ht="15.75" customHeight="1" spans="1:2">
      <c r="A35647" s="3" t="str">
        <f>IFERROR(__xludf.DUMMYFUNCTION("GOOGLETRANSLATE(A35647,""en"",""pt"")"),"Telefone é quente. Números continuam caindo. Speaker continua caindo.")</f>
        <v>Telefone é quente. Números continuam caindo. Speaker continua caindo.</v>
      </c>
      <c r="B35647" s="3">
        <v>0</v>
      </c>
    </row>
    <row r="35648" ht="15.75" customHeight="1" spans="1:2">
      <c r="A35648" s="3" t="str">
        <f>IFERROR(__xludf.DUMMYFUNCTION("GOOGLETRANSLATE(A35648,""en"",""pt"")"),"Má recepção, problemas de software, Atendimento ao Cliente horrable")</f>
        <v>Má recepção, problemas de software, Atendimento ao Cliente horrable</v>
      </c>
      <c r="B35648" s="3">
        <v>0</v>
      </c>
    </row>
    <row r="35649" ht="15.75" customHeight="1" spans="1:2">
      <c r="A35649" s="3" t="str">
        <f>IFERROR(__xludf.DUMMYFUNCTION("GOOGLETRANSLATE(A35649,""en"",""pt"")"),"Grande, lento, caro")</f>
        <v>Grande, lento, caro</v>
      </c>
      <c r="B35649" s="3">
        <v>0</v>
      </c>
    </row>
    <row r="35650" ht="15.75" customHeight="1" spans="1:2">
      <c r="A35650" s="3" t="str">
        <f>IFERROR(__xludf.DUMMYFUNCTION("GOOGLETRANSLATE(A35650,""en"",""pt"")"),"quebra,")</f>
        <v>quebra,</v>
      </c>
      <c r="B35650" s="3">
        <v>0</v>
      </c>
    </row>
    <row r="35651" ht="15.75" customHeight="1" spans="1:2">
      <c r="A35651" s="3" t="str">
        <f>IFERROR(__xludf.DUMMYFUNCTION("GOOGLETRANSLATE(A35651,""en"",""pt"")"),"pesado, tela pequena, o serviço Nextel tem sido pobre em 06")</f>
        <v>pesado, tela pequena, o serviço Nextel tem sido pobre em 06</v>
      </c>
      <c r="B35651" s="3">
        <v>0</v>
      </c>
    </row>
    <row r="35652" ht="15.75" customHeight="1" spans="1:2">
      <c r="A35652" s="3" t="str">
        <f>IFERROR(__xludf.DUMMYFUNCTION("GOOGLETRANSLATE(A35652,""en"",""pt"")"),"Má recepção, voltas tela branca, caro para o que é.")</f>
        <v>Má recepção, voltas tela branca, caro para o que é.</v>
      </c>
      <c r="B35652" s="3">
        <v>0</v>
      </c>
    </row>
    <row r="35653" ht="15.75" customHeight="1" spans="1:2">
      <c r="A35653" s="3" t="str">
        <f>IFERROR(__xludf.DUMMYFUNCTION("GOOGLETRANSLATE(A35653,""en"",""pt"")"),"vida batery,")</f>
        <v>vida batery,</v>
      </c>
      <c r="B35653" s="3">
        <v>0</v>
      </c>
    </row>
    <row r="35654" ht="15.75" customHeight="1" spans="1:2">
      <c r="A35654" s="3" t="str">
        <f>IFERROR(__xludf.DUMMYFUNCTION("GOOGLETRANSLATE(A35654,""en"",""pt"")"),"nenhuma função de câmera")</f>
        <v>nenhuma função de câmera</v>
      </c>
      <c r="B35654" s="3">
        <v>0</v>
      </c>
    </row>
    <row r="35655" ht="15.75" customHeight="1" spans="1:2">
      <c r="A35655" s="3" t="str">
        <f>IFERROR(__xludf.DUMMYFUNCTION("GOOGLETRANSLATE(A35655,""en"",""pt"")"),"vida útil da bateria horrível. Precisa ser carregada a cada dia.")</f>
        <v>vida útil da bateria horrível. Precisa ser carregada a cada dia.</v>
      </c>
      <c r="B35655" s="3">
        <v>0</v>
      </c>
    </row>
    <row r="35656" ht="15.75" customHeight="1" spans="1:2">
      <c r="A35656" s="3" t="str">
        <f>IFERROR(__xludf.DUMMYFUNCTION("GOOGLETRANSLATE(A35656,""en"",""pt"")"),"o uso da bateria não está em parte .... precisa mais bateria")</f>
        <v>o uso da bateria não está em parte .... precisa mais bateria</v>
      </c>
      <c r="B35656" s="3">
        <v>0</v>
      </c>
    </row>
    <row r="35657" ht="15.75" customHeight="1" spans="1:2">
      <c r="A35657" s="3" t="str">
        <f>IFERROR(__xludf.DUMMYFUNCTION("GOOGLETRANSLATE(A35657,""en"",""pt"")"),"vida batery Ok, tela pequena, pouco grande demais")</f>
        <v>vida batery Ok, tela pequena, pouco grande demais</v>
      </c>
      <c r="B35657" s="3">
        <v>0</v>
      </c>
    </row>
    <row r="35658" ht="15.75" customHeight="1" spans="1:2">
      <c r="A35658" s="3" t="str">
        <f>IFERROR(__xludf.DUMMYFUNCTION("GOOGLETRANSLATE(A35658,""en"",""pt"")"),"vida útil da bateria terrível, recepção nextel, há notas")</f>
        <v>vida útil da bateria terrível, recepção nextel, há notas</v>
      </c>
      <c r="B35658" s="3">
        <v>0</v>
      </c>
    </row>
    <row r="35659" ht="15.75" customHeight="1" spans="1:2">
      <c r="A35659" s="3" t="str">
        <f>IFERROR(__xludf.DUMMYFUNCTION("GOOGLETRANSLATE(A35659,""en"",""pt"")"),"Nenhum que eu possa encontrar.")</f>
        <v>Nenhum que eu possa encontrar.</v>
      </c>
      <c r="B35659" s="3">
        <v>0</v>
      </c>
    </row>
    <row r="35660" ht="15.75" customHeight="1" spans="1:2">
      <c r="A35660" s="3" t="str">
        <f>IFERROR(__xludf.DUMMYFUNCTION("GOOGLETRANSLATE(A35660,""en"",""pt"")"),"Apenas um volumoso pouco, difícil encontrar volume no lado sem olhar")</f>
        <v>Apenas um volumoso pouco, difícil encontrar volume no lado sem olhar</v>
      </c>
      <c r="B35660" s="3">
        <v>0</v>
      </c>
    </row>
    <row r="35661" ht="15.75" customHeight="1" spans="1:2">
      <c r="A35661" s="3" t="str">
        <f>IFERROR(__xludf.DUMMYFUNCTION("GOOGLETRANSLATE(A35661,""en"",""pt"")"),"qualidade de som terrível.")</f>
        <v>qualidade de som terrível.</v>
      </c>
      <c r="B35661" s="3">
        <v>0</v>
      </c>
    </row>
    <row r="35662" ht="15.75" customHeight="1" spans="1:2">
      <c r="A35662" s="3" t="str">
        <f>IFERROR(__xludf.DUMMYFUNCTION("GOOGLETRANSLATE(A35662,""en"",""pt"")"),"volumosos e tipo de grande, não tão atraente como os outros telefones lá fora")</f>
        <v>volumosos e tipo de grande, não tão atraente como os outros telefones lá fora</v>
      </c>
      <c r="B35662" s="3">
        <v>0</v>
      </c>
    </row>
    <row r="35663" ht="15.75" customHeight="1" spans="1:2">
      <c r="A35663" s="3" t="str">
        <f>IFERROR(__xludf.DUMMYFUNCTION("GOOGLETRANSLATE(A35663,""en"",""pt"")"),"Sem bluetooth, alerta vibratório muito fraco, tempo de resposta lento.")</f>
        <v>Sem bluetooth, alerta vibratório muito fraco, tempo de resposta lento.</v>
      </c>
      <c r="B35663" s="3">
        <v>0</v>
      </c>
    </row>
    <row r="35664" ht="15.75" customHeight="1" spans="1:2">
      <c r="A35664" s="3" t="str">
        <f>IFERROR(__xludf.DUMMYFUNCTION("GOOGLETRANSLATE(A35664,""en"",""pt"")"),"horrível recepção, não pode usar no carro, fraco opção vibrar, nenhuma chamada LOG, sensação barato")</f>
        <v>horrível recepção, não pode usar no carro, fraco opção vibrar, nenhuma chamada LOG, sensação barato</v>
      </c>
      <c r="B35664" s="3">
        <v>0</v>
      </c>
    </row>
    <row r="35665" ht="15.75" customHeight="1" spans="1:2">
      <c r="A35665" s="3" t="str">
        <f>IFERROR(__xludf.DUMMYFUNCTION("GOOGLETRANSLATE(A35665,""en"",""pt"")"),"beep irritante, força da recepção flutuante, mensagem de correio de voz anunciar, mente própria")</f>
        <v>beep irritante, força da recepção flutuante, mensagem de correio de voz anunciar, mente própria</v>
      </c>
      <c r="B35665" s="3">
        <v>0</v>
      </c>
    </row>
    <row r="35666" ht="15.75" customHeight="1" spans="1:2">
      <c r="A35666" s="3" t="str">
        <f>IFERROR(__xludf.DUMMYFUNCTION("GOOGLETRANSLATE(A35666,""en"",""pt"")"),"Não é bom quando a recepção é baixa")</f>
        <v>Não é bom quando a recepção é baixa</v>
      </c>
      <c r="B35666" s="3">
        <v>0</v>
      </c>
    </row>
    <row r="35667" ht="15.75" customHeight="1" spans="1:2">
      <c r="A35667" s="3" t="str">
        <f>IFERROR(__xludf.DUMMYFUNCTION("GOOGLETRANSLATE(A35667,""en"",""pt"")"),"bateria pode ser mais forte memória, pequeno")</f>
        <v>bateria pode ser mais forte memória, pequeno</v>
      </c>
      <c r="B35667" s="3">
        <v>0</v>
      </c>
    </row>
    <row r="35668" ht="15.75" customHeight="1" spans="1:2">
      <c r="A35668" s="3" t="str">
        <f>IFERROR(__xludf.DUMMYFUNCTION("GOOGLETRANSLATE(A35668,""en"",""pt"")"),"não tem todos os sinos e assobios de telefones mais sofisticados, há jogos ou navegação na web")</f>
        <v>não tem todos os sinos e assobios de telefones mais sofisticados, há jogos ou navegação na web</v>
      </c>
      <c r="B35668" s="3">
        <v>0</v>
      </c>
    </row>
    <row r="35669" ht="15.75" customHeight="1" spans="1:2">
      <c r="A35669" s="3" t="str">
        <f>IFERROR(__xludf.DUMMYFUNCTION("GOOGLETRANSLATE(A35669,""en"",""pt"")"),"Precisa de mais anéis antes de ir para o correio de voz - não ajustável")</f>
        <v>Precisa de mais anéis antes de ir para o correio de voz - não ajustável</v>
      </c>
      <c r="B35669" s="3">
        <v>0</v>
      </c>
    </row>
    <row r="35670" ht="15.75" customHeight="1" spans="1:2">
      <c r="A35670" s="3" t="str">
        <f>IFERROR(__xludf.DUMMYFUNCTION("GOOGLETRANSLATE(A35670,""en"",""pt"")"),"Miseráveis ​​sobre características de outros telefones ter &amp; # 13; &amp; # 10; -. Difícil de telefone navegar sem aprender os ""atalhos""")</f>
        <v>Miseráveis ​​sobre características de outros telefones ter &amp; # 13; &amp; # 10; -. Difícil de telefone navegar sem aprender os "atalhos"</v>
      </c>
      <c r="B35670" s="3">
        <v>0</v>
      </c>
    </row>
    <row r="35671" ht="15.75" customHeight="1" spans="1:2">
      <c r="A35671" s="3" t="str">
        <f>IFERROR(__xludf.DUMMYFUNCTION("GOOGLETRANSLATE(A35671,""en"",""pt"")"),"navegação desajeitado, leve em recursos, sem internet")</f>
        <v>navegação desajeitado, leve em recursos, sem internet</v>
      </c>
      <c r="B35671" s="3">
        <v>0</v>
      </c>
    </row>
    <row r="35672" ht="15.75" customHeight="1" spans="1:2">
      <c r="A35672" s="3" t="str">
        <f>IFERROR(__xludf.DUMMYFUNCTION("GOOGLETRANSLATE(A35672,""en"",""pt"")"),"Sem MMS ou a tela colorida, a memória pode estar faltando para alguns, monofônico.")</f>
        <v>Sem MMS ou a tela colorida, a memória pode estar faltando para alguns, monofônico.</v>
      </c>
      <c r="B35672" s="3">
        <v>0</v>
      </c>
    </row>
    <row r="35673" ht="15.75" customHeight="1" spans="1:2">
      <c r="A35673" s="3" t="str">
        <f>IFERROR(__xludf.DUMMYFUNCTION("GOOGLETRANSLATE(A35673,""en"",""pt"")"),"pode ser muito pequeno")</f>
        <v>pode ser muito pequeno</v>
      </c>
      <c r="B35673" s="3">
        <v>0</v>
      </c>
    </row>
    <row r="35674" ht="15.75" customHeight="1" spans="1:2">
      <c r="A35674" s="3" t="str">
        <f>IFERROR(__xludf.DUMMYFUNCTION("GOOGLETRANSLATE(A35674,""en"",""pt"")"),"Tal modelo antigo, nenhuma tela de cor, há multimedia, nenhuma imagem sem fio")</f>
        <v>Tal modelo antigo, nenhuma tela de cor, há multimedia, nenhuma imagem sem fio</v>
      </c>
      <c r="B35674" s="3">
        <v>0</v>
      </c>
    </row>
    <row r="35675" ht="15.75" customHeight="1" spans="1:2">
      <c r="A35675" s="3" t="str">
        <f>IFERROR(__xludf.DUMMYFUNCTION("GOOGLETRANSLATE(A35675,""en"",""pt"")"),"Nokia 8210 é de alta qualidade, mas um pouco caro.")</f>
        <v>Nokia 8210 é de alta qualidade, mas um pouco caro.</v>
      </c>
      <c r="B35675" s="3">
        <v>0</v>
      </c>
    </row>
    <row r="35676" ht="15.75" customHeight="1" spans="1:2">
      <c r="A35676" s="3" t="str">
        <f>IFERROR(__xludf.DUMMYFUNCTION("GOOGLETRANSLATE(A35676,""en"",""pt"")"),"Problemas de software. Muitos telefones se tornar inutilizável. Congela. Desliga. Tela muito ruim.")</f>
        <v>Problemas de software. Muitos telefones se tornar inutilizável. Congela. Desliga. Tela muito ruim.</v>
      </c>
      <c r="B35676" s="3">
        <v>0</v>
      </c>
    </row>
    <row r="35677" ht="15.75" customHeight="1" spans="1:2">
      <c r="A35677" s="3" t="str">
        <f>IFERROR(__xludf.DUMMYFUNCTION("GOOGLETRANSLATE(A35677,""en"",""pt"")"),"Ele não tem comando de voz ea recepção é apenas justo.")</f>
        <v>Ele não tem comando de voz ea recepção é apenas justo.</v>
      </c>
      <c r="B35677" s="3">
        <v>0</v>
      </c>
    </row>
    <row r="35678" ht="15.75" customHeight="1" spans="1:2">
      <c r="A35678" s="3" t="str">
        <f>IFERROR(__xludf.DUMMYFUNCTION("GOOGLETRANSLATE(A35678,""en"",""pt"")"),"Pode bater a chave de bloqueio sem o saber")</f>
        <v>Pode bater a chave de bloqueio sem o saber</v>
      </c>
      <c r="B35678" s="3">
        <v>0</v>
      </c>
    </row>
    <row r="35679" ht="15.75" customHeight="1" spans="1:2">
      <c r="A35679" s="3" t="str">
        <f>IFERROR(__xludf.DUMMYFUNCTION("GOOGLETRANSLATE(A35679,""en"",""pt"")"),"""Travel"" carregador não adequado para viagens, qualidade de som / recepção poderia ser melhor")</f>
        <v>"Travel" carregador não adequado para viagens, qualidade de som / recepção poderia ser melhor</v>
      </c>
      <c r="B35679" s="3">
        <v>0</v>
      </c>
    </row>
    <row r="35680" ht="15.75" customHeight="1" spans="1:2">
      <c r="A35680" s="3" t="str">
        <f>IFERROR(__xludf.DUMMYFUNCTION("GOOGLETRANSLATE(A35680,""en"",""pt"")"),"Jogos chupar.")</f>
        <v>Jogos chupar.</v>
      </c>
      <c r="B35680" s="3">
        <v>0</v>
      </c>
    </row>
    <row r="35681" ht="15.75" customHeight="1" spans="1:2">
      <c r="A35681" s="3" t="str">
        <f>IFERROR(__xludf.DUMMYFUNCTION("GOOGLETRANSLATE(A35681,""en"",""pt"")"),"Sem proteção cara, tem que acertar o relógio manualmente e data, configuração de e-mail estranho.")</f>
        <v>Sem proteção cara, tem que acertar o relógio manualmente e data, configuração de e-mail estranho.</v>
      </c>
      <c r="B35681" s="3">
        <v>0</v>
      </c>
    </row>
    <row r="35682" ht="15.75" customHeight="1" spans="1:2">
      <c r="A35682" s="3" t="str">
        <f>IFERROR(__xludf.DUMMYFUNCTION("GOOGLETRANSLATE(A35682,""en"",""pt"")"),"Não é tão alta tecnologia como outros modelos mais caros. Vibratório anel pode ser mais forte.")</f>
        <v>Não é tão alta tecnologia como outros modelos mais caros. Vibratório anel pode ser mais forte.</v>
      </c>
      <c r="B35682" s="3">
        <v>0</v>
      </c>
    </row>
    <row r="35683" ht="15.75" customHeight="1" spans="1:2">
      <c r="A35683" s="3" t="str">
        <f>IFERROR(__xludf.DUMMYFUNCTION("GOOGLETRANSLATE(A35683,""en"",""pt"")"),"mensagens de ping-pong nem sempre trabalho, não pode entrar na Internet")</f>
        <v>mensagens de ping-pong nem sempre trabalho, não pode entrar na Internet</v>
      </c>
      <c r="B35683" s="3">
        <v>0</v>
      </c>
    </row>
    <row r="35684" ht="15.75" customHeight="1" spans="1:2">
      <c r="A35684" s="3" t="str">
        <f>IFERROR(__xludf.DUMMYFUNCTION("GOOGLETRANSLATE(A35684,""en"",""pt"")"),"No ecrã a cores")</f>
        <v>No ecrã a cores</v>
      </c>
      <c r="B35684" s="3">
        <v>0</v>
      </c>
    </row>
    <row r="35685" ht="15.75" customHeight="1" spans="1:2">
      <c r="A35685" s="3" t="str">
        <f>IFERROR(__xludf.DUMMYFUNCTION("GOOGLETRANSLATE(A35685,""en"",""pt"")"),"No livro de endereços, sem Internet")</f>
        <v>No livro de endereços, sem Internet</v>
      </c>
      <c r="B35685" s="3">
        <v>0</v>
      </c>
    </row>
    <row r="35686" ht="15.75" customHeight="1" spans="1:2">
      <c r="A35686" s="3" t="str">
        <f>IFERROR(__xludf.DUMMYFUNCTION("GOOGLETRANSLATE(A35686,""en"",""pt"")"),"Fraca cobertura e chamadas abandonadas, nenhuma solução oferecida pelo provedor.")</f>
        <v>Fraca cobertura e chamadas abandonadas, nenhuma solução oferecida pelo provedor.</v>
      </c>
      <c r="B35686" s="3">
        <v>0</v>
      </c>
    </row>
    <row r="35687" ht="15.75" customHeight="1" spans="1:2">
      <c r="A35687" s="3" t="str">
        <f>IFERROR(__xludf.DUMMYFUNCTION("GOOGLETRANSLATE(A35687,""en"",""pt"")"),"más escolhas campainha")</f>
        <v>más escolhas campainha</v>
      </c>
      <c r="B35687" s="3">
        <v>0</v>
      </c>
    </row>
    <row r="35688" ht="15.75" customHeight="1" spans="1:2">
      <c r="A35688" s="3" t="str">
        <f>IFERROR(__xludf.DUMMYFUNCTION("GOOGLETRANSLATE(A35688,""en"",""pt"")"),"toques, US $ 35 taxa de ativação")</f>
        <v>toques, US $ 35 taxa de ativação</v>
      </c>
      <c r="B35688" s="3">
        <v>0</v>
      </c>
    </row>
    <row r="35689" ht="15.75" customHeight="1" spans="1:2">
      <c r="A35689" s="3" t="str">
        <f>IFERROR(__xludf.DUMMYFUNCTION("GOOGLETRANSLATE(A35689,""en"",""pt"")"),"Borracha da tampa do fone de ouvido difícil de remover, O tempo não sincronia e data, ""bonito"" styling :)")</f>
        <v>Borracha da tampa do fone de ouvido difícil de remover, O tempo não sincronia e data, "bonito" styling :)</v>
      </c>
      <c r="B35689" s="3">
        <v>0</v>
      </c>
    </row>
    <row r="35690" ht="15.75" customHeight="1" spans="1:2">
      <c r="A35690" s="3" t="str">
        <f>IFERROR(__xludf.DUMMYFUNCTION("GOOGLETRANSLATE(A35690,""en"",""pt"")"),"Headset falhar facilmente, disponibilidade limitada de acessórios.")</f>
        <v>Headset falhar facilmente, disponibilidade limitada de acessórios.</v>
      </c>
      <c r="B35690" s="3">
        <v>0</v>
      </c>
    </row>
    <row r="35691" ht="15.75" customHeight="1" spans="1:2">
      <c r="A35691" s="3" t="str">
        <f>IFERROR(__xludf.DUMMYFUNCTION("GOOGLETRANSLATE(A35691,""en"",""pt"")"),"ruído de fundo irrita pessoas na outra extremidade")</f>
        <v>ruído de fundo irrita pessoas na outra extremidade</v>
      </c>
      <c r="B35691" s="3">
        <v>0</v>
      </c>
    </row>
    <row r="35692" ht="15.75" customHeight="1" spans="1:2">
      <c r="A35692" s="3" t="str">
        <f>IFERROR(__xludf.DUMMYFUNCTION("GOOGLETRANSLATE(A35692,""en"",""pt"")"),"Não grande autonomia da bateria")</f>
        <v>Não grande autonomia da bateria</v>
      </c>
      <c r="B35692" s="3">
        <v>0</v>
      </c>
    </row>
    <row r="35693" ht="15.75" customHeight="1" spans="1:2">
      <c r="A35693" s="3" t="str">
        <f>IFERROR(__xludf.DUMMYFUNCTION("GOOGLETRANSLATE(A35693,""en"",""pt"")"),"curta duração da bateria. Chamadas se cortar o tempo todo. bips irritantes.")</f>
        <v>curta duração da bateria. Chamadas se cortar o tempo todo. bips irritantes.</v>
      </c>
      <c r="B35693" s="3">
        <v>0</v>
      </c>
    </row>
    <row r="35694" ht="15.75" customHeight="1" spans="1:2">
      <c r="A35694" s="3" t="str">
        <f>IFERROR(__xludf.DUMMYFUNCTION("GOOGLETRANSLATE(A35694,""en"",""pt"")"),"A vida da bateria")</f>
        <v>A vida da bateria</v>
      </c>
      <c r="B35694" s="3">
        <v>0</v>
      </c>
    </row>
    <row r="35695" ht="15.75" customHeight="1" spans="1:2">
      <c r="A35695" s="3" t="str">
        <f>IFERROR(__xludf.DUMMYFUNCTION("GOOGLETRANSLATE(A35695,""en"",""pt"")"),"curta duração da bateria")</f>
        <v>curta duração da bateria</v>
      </c>
      <c r="B35695" s="3">
        <v>0</v>
      </c>
    </row>
    <row r="35696" ht="15.75" customHeight="1" spans="1:2">
      <c r="A35696" s="3" t="str">
        <f>IFERROR(__xludf.DUMMYFUNCTION("GOOGLETRANSLATE(A35696,""en"",""pt"")"),"É extremamente leve e sujeitos à perda se não for mantido um olho sobre!")</f>
        <v>É extremamente leve e sujeitos à perda se não for mantido um olho sobre!</v>
      </c>
      <c r="B35696" s="3">
        <v>0</v>
      </c>
    </row>
    <row r="35697" ht="15.75" customHeight="1" spans="1:2">
      <c r="A35697" s="3" t="str">
        <f>IFERROR(__xludf.DUMMYFUNCTION("GOOGLETRANSLATE(A35697,""en"",""pt"")"),"Curta vida útil da bateria.")</f>
        <v>Curta vida útil da bateria.</v>
      </c>
      <c r="B35697" s="3">
        <v>0</v>
      </c>
    </row>
    <row r="35698" ht="15.75" customHeight="1" spans="1:2">
      <c r="A35698" s="3" t="str">
        <f>IFERROR(__xludf.DUMMYFUNCTION("GOOGLETRANSLATE(A35698,""en"",""pt"")"),"Um pouco embora caro.")</f>
        <v>Um pouco embora caro.</v>
      </c>
      <c r="B35698" s="3">
        <v>0</v>
      </c>
    </row>
    <row r="35699" ht="15.75" customHeight="1" spans="1:2">
      <c r="A35699" s="3" t="str">
        <f>IFERROR(__xludf.DUMMYFUNCTION("GOOGLETRANSLATE(A35699,""en"",""pt"")"),"Nenhuma conexão de Internet, jogos horríveis, não discagem por voz")</f>
        <v>Nenhuma conexão de Internet, jogos horríveis, não discagem por voz</v>
      </c>
      <c r="B35699" s="3">
        <v>0</v>
      </c>
    </row>
    <row r="35700" ht="15.75" customHeight="1" spans="1:2">
      <c r="A35700" s="3" t="str">
        <f>IFERROR(__xludf.DUMMYFUNCTION("GOOGLETRANSLATE(A35700,""en"",""pt"")"),"Má recepção de operadora.")</f>
        <v>Má recepção de operadora.</v>
      </c>
      <c r="B35700" s="3">
        <v>0</v>
      </c>
    </row>
    <row r="35701" ht="15.75" customHeight="1" spans="1:2">
      <c r="A35701" s="3" t="str">
        <f>IFERROR(__xludf.DUMMYFUNCTION("GOOGLETRANSLATE(A35701,""en"",""pt"")"),"opções de tom de chamada são poucos.")</f>
        <v>opções de tom de chamada são poucos.</v>
      </c>
      <c r="B35701" s="3">
        <v>0</v>
      </c>
    </row>
    <row r="35702" ht="15.75" customHeight="1" spans="1:2">
      <c r="A35702" s="3" t="str">
        <f>IFERROR(__xludf.DUMMYFUNCTION("GOOGLETRANSLATE(A35702,""en"",""pt"")"),"Não WAP internet compatível, sem capacidade de transferência de dados de alta velocidade oi")</f>
        <v>Não WAP internet compatível, sem capacidade de transferência de dados de alta velocidade oi</v>
      </c>
      <c r="B35702" s="3">
        <v>0</v>
      </c>
    </row>
    <row r="35703" ht="15.75" customHeight="1" spans="1:2">
      <c r="A35703" s="3" t="str">
        <f>IFERROR(__xludf.DUMMYFUNCTION("GOOGLETRANSLATE(A35703,""en"",""pt"")"),"A vida da bateria, acessórios")</f>
        <v>A vida da bateria, acessórios</v>
      </c>
      <c r="B35703" s="3">
        <v>0</v>
      </c>
    </row>
    <row r="35704" ht="15.75" customHeight="1" spans="1:2">
      <c r="A35704" s="3" t="str">
        <f>IFERROR(__xludf.DUMMYFUNCTION("GOOGLETRANSLATE(A35704,""en"",""pt"")"),"Questões seleção de rede")</f>
        <v>Questões seleção de rede</v>
      </c>
      <c r="B35704" s="3">
        <v>0</v>
      </c>
    </row>
    <row r="35705" ht="15.75" customHeight="1" spans="1:2">
      <c r="A35705" s="3" t="str">
        <f>IFERROR(__xludf.DUMMYFUNCTION("GOOGLETRANSLATE(A35705,""en"",""pt"")"),"Talk e volume da campainha não alto, vibra muito suavemente, não pode baixar screensavers.")</f>
        <v>Talk e volume da campainha não alto, vibra muito suavemente, não pode baixar screensavers.</v>
      </c>
      <c r="B35705" s="3">
        <v>0</v>
      </c>
    </row>
    <row r="35706" ht="15.75" customHeight="1" spans="1:2">
      <c r="A35706" s="3" t="str">
        <f>IFERROR(__xludf.DUMMYFUNCTION("GOOGLETRANSLATE(A35706,""en"",""pt"")"),"Sem soneca no despertador, má recepção")</f>
        <v>Sem soneca no despertador, má recepção</v>
      </c>
      <c r="B35706" s="3">
        <v>0</v>
      </c>
    </row>
    <row r="35707" ht="15.75" customHeight="1" spans="1:2">
      <c r="A35707" s="3" t="str">
        <f>IFERROR(__xludf.DUMMYFUNCTION("GOOGLETRANSLATE(A35707,""en"",""pt"")"),"absolutamente nenhum")</f>
        <v>absolutamente nenhum</v>
      </c>
      <c r="B35707" s="3">
        <v>0</v>
      </c>
    </row>
    <row r="35708" ht="15.75" customHeight="1" spans="1:2">
      <c r="A35708" s="3" t="str">
        <f>IFERROR(__xludf.DUMMYFUNCTION("GOOGLETRANSLATE(A35708,""en"",""pt"")"),"Não muitos recursos ou extras")</f>
        <v>Não muitos recursos ou extras</v>
      </c>
      <c r="B35708" s="3">
        <v>0</v>
      </c>
    </row>
    <row r="35709" ht="15.75" customHeight="1" spans="1:2">
      <c r="A35709" s="3" t="str">
        <f>IFERROR(__xludf.DUMMYFUNCTION("GOOGLETRANSLATE(A35709,""en"",""pt"")"),"nenhuma voz de marcação, jogos poderia ser melhor")</f>
        <v>nenhuma voz de marcação, jogos poderia ser melhor</v>
      </c>
      <c r="B35709" s="3">
        <v>0</v>
      </c>
    </row>
    <row r="35710" ht="15.75" customHeight="1" spans="1:2">
      <c r="A35710" s="3" t="str">
        <f>IFERROR(__xludf.DUMMYFUNCTION("GOOGLETRANSLATE(A35710,""en"",""pt"")"),"Este telefone é ssslllooowww. Tem muitos erros em seu sistema operacional!")</f>
        <v>Este telefone é ssslllooowww. Tem muitos erros em seu sistema operacional!</v>
      </c>
      <c r="B35710" s="3">
        <v>0</v>
      </c>
    </row>
    <row r="35711" ht="15.75" customHeight="1" spans="1:2">
      <c r="A35711" s="3" t="str">
        <f>IFERROR(__xludf.DUMMYFUNCTION("GOOGLETRANSLATE(A35711,""en"",""pt"")"),"qualidade de som")</f>
        <v>qualidade de som</v>
      </c>
      <c r="B35711" s="3">
        <v>0</v>
      </c>
    </row>
    <row r="35712" ht="15.75" customHeight="1" spans="1:2">
      <c r="A35712" s="3" t="str">
        <f>IFERROR(__xludf.DUMMYFUNCTION("GOOGLETRANSLATE(A35712,""en"",""pt"")"),"ALARME DE BATERIA FRACA (alto e não ajustável). Vibração é pobre. Toques são irritantes.")</f>
        <v>ALARME DE BATERIA FRACA (alto e não ajustável). Vibração é pobre. Toques são irritantes.</v>
      </c>
      <c r="B35712" s="3">
        <v>0</v>
      </c>
    </row>
    <row r="35713" ht="15.75" customHeight="1" spans="1:2">
      <c r="A35713" s="3" t="str">
        <f>IFERROR(__xludf.DUMMYFUNCTION("GOOGLETRANSLATE(A35713,""en"",""pt"")"),"Ele não tinha cor e os botões estavam muito juntos. Não teve nenhum web.")</f>
        <v>Ele não tinha cor e os botões estavam muito juntos. Não teve nenhum web.</v>
      </c>
      <c r="B35713" s="3">
        <v>0</v>
      </c>
    </row>
    <row r="35714" ht="15.75" customHeight="1" spans="1:2">
      <c r="A35714" s="3" t="str">
        <f>IFERROR(__xludf.DUMMYFUNCTION("GOOGLETRANSLATE(A35714,""en"",""pt"")"),"Quando vestindo em uma correia com um caso (Samsung), telefone, por vezes, se abre.")</f>
        <v>Quando vestindo em uma correia com um caso (Samsung), telefone, por vezes, se abre.</v>
      </c>
      <c r="B35714" s="3">
        <v>0</v>
      </c>
    </row>
    <row r="35715" ht="15.75" customHeight="1" spans="1:2">
      <c r="A35715" s="3" t="str">
        <f>IFERROR(__xludf.DUMMYFUNCTION("GOOGLETRANSLATE(A35715,""en"",""pt"")"),"O tampão de borracha pouco que você tem que levantar para ligar o fone de ouvido.")</f>
        <v>O tampão de borracha pouco que você tem que levantar para ligar o fone de ouvido.</v>
      </c>
      <c r="B35715" s="3">
        <v>0</v>
      </c>
    </row>
    <row r="35716" ht="15.75" customHeight="1" spans="1:2">
      <c r="A35716" s="3" t="str">
        <f>IFERROR(__xludf.DUMMYFUNCTION("GOOGLETRANSLATE(A35716,""en"",""pt"")"),"má recepção")</f>
        <v>má recepção</v>
      </c>
      <c r="B35716" s="3">
        <v>0</v>
      </c>
    </row>
    <row r="35717" ht="15.75" customHeight="1" spans="1:2">
      <c r="A35717" s="3" t="str">
        <f>IFERROR(__xludf.DUMMYFUNCTION("GOOGLETRANSLATE(A35717,""en"",""pt"")"),"Poderia ter melhor qualidade de som, nenhuma tela colorida")</f>
        <v>Poderia ter melhor qualidade de som, nenhuma tela colorida</v>
      </c>
      <c r="B35717" s="3">
        <v>0</v>
      </c>
    </row>
    <row r="35718" ht="15.75" customHeight="1" spans="1:2">
      <c r="A35718" s="3" t="str">
        <f>IFERROR(__xludf.DUMMYFUNCTION("GOOGLETRANSLATE(A35718,""en"",""pt"")"),"Não tão alta tecnologia como alguns dos outros telefones estes dias.")</f>
        <v>Não tão alta tecnologia como alguns dos outros telefones estes dias.</v>
      </c>
      <c r="B35718" s="3">
        <v>0</v>
      </c>
    </row>
    <row r="35719" ht="15.75" customHeight="1" spans="1:2">
      <c r="A35719" s="3" t="str">
        <f>IFERROR(__xludf.DUMMYFUNCTION("GOOGLETRANSLATE(A35719,""en"",""pt"")"),"anel does not alto o suficiente. Ter de alternar entre o modo numérico e modo ABC é uma porcaria.")</f>
        <v>anel does not alto o suficiente. Ter de alternar entre o modo numérico e modo ABC é uma porcaria.</v>
      </c>
      <c r="B35719" s="3">
        <v>0</v>
      </c>
    </row>
    <row r="35720" ht="15.75" customHeight="1" spans="1:2">
      <c r="A35720" s="3" t="str">
        <f>IFERROR(__xludf.DUMMYFUNCTION("GOOGLETRANSLATE(A35720,""en"",""pt"")"),"cpu lento")</f>
        <v>cpu lento</v>
      </c>
      <c r="B35720" s="3">
        <v>0</v>
      </c>
    </row>
    <row r="35721" ht="15.75" customHeight="1" spans="1:2">
      <c r="A35721" s="3" t="str">
        <f>IFERROR(__xludf.DUMMYFUNCTION("GOOGLETRANSLATE(A35721,""en"",""pt"")"),"Nada, excepto se você quer uma câmera do telefone e internet.")</f>
        <v>Nada, excepto se você quer uma câmera do telefone e internet.</v>
      </c>
      <c r="B35721" s="3">
        <v>0</v>
      </c>
    </row>
    <row r="35722" ht="15.75" customHeight="1" spans="1:2">
      <c r="A35722" s="3" t="str">
        <f>IFERROR(__xludf.DUMMYFUNCTION("GOOGLETRANSLATE(A35722,""en"",""pt"")"),"A vida da bateria poderia ser melhor")</f>
        <v>A vida da bateria poderia ser melhor</v>
      </c>
      <c r="B35722" s="3">
        <v>0</v>
      </c>
    </row>
    <row r="35723" ht="15.75" customHeight="1" spans="1:2">
      <c r="A35723" s="3" t="str">
        <f>IFERROR(__xludf.DUMMYFUNCTION("GOOGLETRANSLATE(A35723,""en"",""pt"")"),"Recepção OK. Apenas 3 espaços para download de toques. durabilidade OK.")</f>
        <v>Recepção OK. Apenas 3 espaços para download de toques. durabilidade OK.</v>
      </c>
      <c r="B35723" s="3">
        <v>0</v>
      </c>
    </row>
    <row r="35724" ht="15.75" customHeight="1" spans="1:2">
      <c r="A35724" s="3" t="str">
        <f>IFERROR(__xludf.DUMMYFUNCTION("GOOGLETRANSLATE(A35724,""en"",""pt"")"),"No GPRS, complicou um pouco a estrutura do menu.")</f>
        <v>No GPRS, complicou um pouco a estrutura do menu.</v>
      </c>
      <c r="B35724" s="3">
        <v>0</v>
      </c>
    </row>
    <row r="35725" ht="15.75" customHeight="1" spans="1:2">
      <c r="A35725" s="3" t="str">
        <f>IFERROR(__xludf.DUMMYFUNCTION("GOOGLETRANSLATE(A35725,""en"",""pt"")"),"amigo do usuário???")</f>
        <v>amigo do usuário???</v>
      </c>
      <c r="B35725" s="3">
        <v>0</v>
      </c>
    </row>
    <row r="35726" ht="15.75" customHeight="1" spans="1:2">
      <c r="A35726" s="3" t="str">
        <f>IFERROR(__xludf.DUMMYFUNCTION("GOOGLETRANSLATE(A35726,""en"",""pt"")"),"Indicador de carga da bateria diminui de forma irregular; O preço é mais elevado do que outros telefones celulares")</f>
        <v>Indicador de carga da bateria diminui de forma irregular; O preço é mais elevado do que outros telefones celulares</v>
      </c>
      <c r="B35726" s="3">
        <v>0</v>
      </c>
    </row>
    <row r="35727" ht="15.75" customHeight="1" spans="1:2">
      <c r="A35727" s="3" t="str">
        <f>IFERROR(__xludf.DUMMYFUNCTION("GOOGLETRANSLATE(A35727,""en"",""pt"")"),"tempo de chamada não é exibido automaticamente")</f>
        <v>tempo de chamada não é exibido automaticamente</v>
      </c>
      <c r="B35727" s="3">
        <v>0</v>
      </c>
    </row>
    <row r="35728" ht="15.75" customHeight="1" spans="1:2">
      <c r="A35728" s="3" t="str">
        <f>IFERROR(__xludf.DUMMYFUNCTION("GOOGLETRANSLATE(A35728,""en"",""pt"")"),"bateria curta vida, não vai transmitir em edifícios")</f>
        <v>bateria curta vida, não vai transmitir em edifícios</v>
      </c>
      <c r="B35728" s="3">
        <v>0</v>
      </c>
    </row>
    <row r="35729" ht="15.75" customHeight="1" spans="1:2">
      <c r="A35729" s="3" t="str">
        <f>IFERROR(__xludf.DUMMYFUNCTION("GOOGLETRANSLATE(A35729,""en"",""pt"")"),"Não irá tocar e vibrar ao mesmo tempo, alguns anéis em maior volume são difíceis de ouvir,")</f>
        <v>Não irá tocar e vibrar ao mesmo tempo, alguns anéis em maior volume são difíceis de ouvir,</v>
      </c>
      <c r="B35729" s="3">
        <v>0</v>
      </c>
    </row>
    <row r="35730" ht="15.75" customHeight="1" spans="1:2">
      <c r="A35730" s="3" t="str">
        <f>IFERROR(__xludf.DUMMYFUNCTION("GOOGLETRANSLATE(A35730,""en"",""pt"")"),"Feito barata caso, a vida de bateria fraca")</f>
        <v>Feito barata caso, a vida de bateria fraca</v>
      </c>
      <c r="B35730" s="3">
        <v>0</v>
      </c>
    </row>
    <row r="35731" ht="15.75" customHeight="1" spans="1:2">
      <c r="A35731" s="3" t="str">
        <f>IFERROR(__xludf.DUMMYFUNCTION("GOOGLETRANSLATE(A35731,""en"",""pt"")"),"Muito menos a vida da bateria do que o prometido.")</f>
        <v>Muito menos a vida da bateria do que o prometido.</v>
      </c>
      <c r="B35731" s="3">
        <v>0</v>
      </c>
    </row>
    <row r="35732" ht="15.75" customHeight="1" spans="1:2">
      <c r="A35732" s="3" t="str">
        <f>IFERROR(__xludf.DUMMYFUNCTION("GOOGLETRANSLATE(A35732,""en"",""pt"")"),"Nenhum")</f>
        <v>Nenhum</v>
      </c>
      <c r="B35732" s="3">
        <v>0</v>
      </c>
    </row>
    <row r="35733" ht="15.75" customHeight="1" spans="1:2">
      <c r="A35733" s="3" t="str">
        <f>IFERROR(__xludf.DUMMYFUNCTION("GOOGLETRANSLATE(A35733,""en"",""pt"")"),"Antena parece frágil, mas fácil de substituir, se quebrado, baterias caras &amp; # 13;! &amp; # 10;")</f>
        <v>Antena parece frágil, mas fácil de substituir, se quebrado, baterias caras &amp; # 13;! &amp; # 10;</v>
      </c>
      <c r="B35733" s="3">
        <v>0</v>
      </c>
    </row>
    <row r="35734" ht="15.75" customHeight="1" spans="1:2">
      <c r="A35734" s="3" t="str">
        <f>IFERROR(__xludf.DUMMYFUNCTION("GOOGLETRANSLATE(A35734,""en"",""pt"")"),"Difícil de usar, não tão clara como outros telefones celulares na mesma classe")</f>
        <v>Difícil de usar, não tão clara como outros telefones celulares na mesma classe</v>
      </c>
      <c r="B35734" s="3">
        <v>0</v>
      </c>
    </row>
    <row r="35735" ht="15.75" customHeight="1" spans="1:2">
      <c r="A35735" s="3" t="str">
        <f>IFERROR(__xludf.DUMMYFUNCTION("GOOGLETRANSLATE(A35735,""en"",""pt"")"),"Nenhum")</f>
        <v>Nenhum</v>
      </c>
      <c r="B35735" s="3">
        <v>0</v>
      </c>
    </row>
    <row r="35736" ht="15.75" customHeight="1" spans="1:2">
      <c r="A35736" s="3" t="str">
        <f>IFERROR(__xludf.DUMMYFUNCTION("GOOGLETRANSLATE(A35736,""en"",""pt"")"),"faltando boas características de PIM.")</f>
        <v>faltando boas características de PIM.</v>
      </c>
      <c r="B35736" s="3">
        <v>0</v>
      </c>
    </row>
    <row r="35737" ht="15.75" customHeight="1" spans="1:2">
      <c r="A35737" s="3" t="str">
        <f>IFERROR(__xludf.DUMMYFUNCTION("GOOGLETRANSLATE(A35737,""en"",""pt"")"),"Nenhum que eu posso encontrar ....")</f>
        <v>Nenhum que eu posso encontrar ....</v>
      </c>
      <c r="B35737" s="3">
        <v>0</v>
      </c>
    </row>
    <row r="35738" ht="15.75" customHeight="1" spans="1:2">
      <c r="A35738" s="3" t="str">
        <f>IFERROR(__xludf.DUMMYFUNCTION("GOOGLETRANSLATE(A35738,""en"",""pt"")"),"As pessoas podem rir de seu amor para o inanimado.")</f>
        <v>As pessoas podem rir de seu amor para o inanimado.</v>
      </c>
      <c r="B35738" s="3">
        <v>0</v>
      </c>
    </row>
    <row r="35739" ht="15.75" customHeight="1" spans="1:2">
      <c r="A35739" s="3" t="str">
        <f>IFERROR(__xludf.DUMMYFUNCTION("GOOGLETRANSLATE(A35739,""en"",""pt"")"),"facilidade Awful software de uso, terrível clareza chamada, e terrível força da recepção.")</f>
        <v>facilidade Awful software de uso, terrível clareza chamada, e terrível força da recepção.</v>
      </c>
      <c r="B35739" s="3">
        <v>0</v>
      </c>
    </row>
    <row r="35740" ht="15.75" customHeight="1" spans="1:2">
      <c r="A35740" s="3" t="str">
        <f>IFERROR(__xludf.DUMMYFUNCTION("GOOGLETRANSLATE(A35740,""en"",""pt"")"),"não é muito bacana,")</f>
        <v>não é muito bacana,</v>
      </c>
      <c r="B35740" s="3">
        <v>0</v>
      </c>
    </row>
    <row r="35741" ht="15.75" customHeight="1" spans="1:2">
      <c r="A35741" s="3" t="str">
        <f>IFERROR(__xludf.DUMMYFUNCTION("GOOGLETRANSLATE(A35741,""en"",""pt"")"),"Nenhum realmente")</f>
        <v>Nenhum realmente</v>
      </c>
      <c r="B35741" s="3">
        <v>0</v>
      </c>
    </row>
    <row r="35742" ht="15.75" customHeight="1" spans="1:2">
      <c r="A35742" s="3" t="str">
        <f>IFERROR(__xludf.DUMMYFUNCTION("GOOGLETRANSLATE(A35742,""en"",""pt"")"),"acessórios caros, telefone não pode ser executado a partir do adaptador, interface de usuário estranho sozinho")</f>
        <v>acessórios caros, telefone não pode ser executado a partir do adaptador, interface de usuário estranho sozinho</v>
      </c>
      <c r="B35742" s="3">
        <v>0</v>
      </c>
    </row>
    <row r="35743" ht="15.75" customHeight="1" spans="1:2">
      <c r="A35743" s="3" t="str">
        <f>IFERROR(__xludf.DUMMYFUNCTION("GOOGLETRANSLATE(A35743,""en"",""pt"")"),"Acessando correio de voz é incômodo, e há uma pequena selecção de toques.")</f>
        <v>Acessando correio de voz é incômodo, e há uma pequena selecção de toques.</v>
      </c>
      <c r="B35743" s="3">
        <v>0</v>
      </c>
    </row>
    <row r="35744" ht="15.75" customHeight="1" spans="1:2">
      <c r="A35744" s="3" t="str">
        <f>IFERROR(__xludf.DUMMYFUNCTION("GOOGLETRANSLATE(A35744,""en"",""pt"")"),"Recursos (leia Internet) exigem taxas extras.")</f>
        <v>Recursos (leia Internet) exigem taxas extras.</v>
      </c>
      <c r="B35744" s="3">
        <v>0</v>
      </c>
    </row>
    <row r="35745" ht="15.75" customHeight="1" spans="1:2">
      <c r="A35745" s="3" t="str">
        <f>IFERROR(__xludf.DUMMYFUNCTION("GOOGLETRANSLATE(A35745,""en"",""pt"")"),"doesnt obter um sinal muito forte quando se viaja")</f>
        <v>doesnt obter um sinal muito forte quando se viaja</v>
      </c>
      <c r="B35745" s="3">
        <v>0</v>
      </c>
    </row>
    <row r="35746" ht="15.75" customHeight="1" spans="1:2">
      <c r="A35746" s="3" t="str">
        <f>IFERROR(__xludf.DUMMYFUNCTION("GOOGLETRANSLATE(A35746,""en"",""pt"")"),"Surpreendentemente pobre vida útil da bateria, mesmo em modo digital.")</f>
        <v>Surpreendentemente pobre vida útil da bateria, mesmo em modo digital.</v>
      </c>
      <c r="B35746" s="3">
        <v>0</v>
      </c>
    </row>
    <row r="35747" ht="15.75" customHeight="1" spans="1:2">
      <c r="A35747" s="3" t="str">
        <f>IFERROR(__xludf.DUMMYFUNCTION("GOOGLETRANSLATE(A35747,""en"",""pt"")"),"padrão placa de face ouro")</f>
        <v>padrão placa de face ouro</v>
      </c>
      <c r="B35747" s="3">
        <v>0</v>
      </c>
    </row>
    <row r="35748" ht="15.75" customHeight="1" spans="1:2">
      <c r="A35748" s="3" t="str">
        <f>IFERROR(__xludf.DUMMYFUNCTION("GOOGLETRANSLATE(A35748,""en"",""pt"")"),"Sem calendário / PIM, a falta de atalhos")</f>
        <v>Sem calendário / PIM, a falta de atalhos</v>
      </c>
      <c r="B35748" s="3">
        <v>0</v>
      </c>
    </row>
    <row r="35749" ht="15.75" customHeight="1" spans="1:2">
      <c r="A35749" s="3" t="str">
        <f>IFERROR(__xludf.DUMMYFUNCTION("GOOGLETRANSLATE(A35749,""en"",""pt"")"),"nada até agora")</f>
        <v>nada até agora</v>
      </c>
      <c r="B35749" s="3">
        <v>0</v>
      </c>
    </row>
    <row r="35750" ht="15.75" customHeight="1" spans="1:2">
      <c r="A35750" s="3" t="str">
        <f>IFERROR(__xludf.DUMMYFUNCTION("GOOGLETRANSLATE(A35750,""en"",""pt"")"),"toques de queijo (IMHO)")</f>
        <v>toques de queijo (IMHO)</v>
      </c>
      <c r="B35750" s="3">
        <v>0</v>
      </c>
    </row>
    <row r="35751" ht="15.75" customHeight="1" spans="1:2">
      <c r="A35751" s="3" t="str">
        <f>IFERROR(__xludf.DUMMYFUNCTION("GOOGLETRANSLATE(A35751,""en"",""pt"")"),"* Recepção * horrível, de construção barata, eu mencionei a recepção horrível ???")</f>
        <v>* Recepção * horrível, de construção barata, eu mencionei a recepção horrível ???</v>
      </c>
      <c r="B35751" s="3">
        <v>0</v>
      </c>
    </row>
    <row r="35752" ht="15.75" customHeight="1" spans="1:2">
      <c r="A35752" s="3" t="str">
        <f>IFERROR(__xludf.DUMMYFUNCTION("GOOGLETRANSLATE(A35752,""en"",""pt"")"),"Mais difícil de usar do que nokia")</f>
        <v>Mais difícil de usar do que nokia</v>
      </c>
      <c r="B35752" s="3">
        <v>0</v>
      </c>
    </row>
    <row r="35753" ht="15.75" customHeight="1" spans="1:2">
      <c r="A35753" s="3" t="str">
        <f>IFERROR(__xludf.DUMMYFUNCTION("GOOGLETRANSLATE(A35753,""en"",""pt"")"),"antena frágil.")</f>
        <v>antena frágil.</v>
      </c>
      <c r="B35753" s="3">
        <v>0</v>
      </c>
    </row>
    <row r="35754" ht="15.75" customHeight="1" spans="1:2">
      <c r="A35754" s="3" t="str">
        <f>IFERROR(__xludf.DUMMYFUNCTION("GOOGLETRANSLATE(A35754,""en"",""pt"")"),"Squeaky, não tão atraente")</f>
        <v>Squeaky, não tão atraente</v>
      </c>
      <c r="B35754" s="3">
        <v>0</v>
      </c>
    </row>
    <row r="35755" ht="15.75" customHeight="1" spans="1:2">
      <c r="A35755" s="3" t="str">
        <f>IFERROR(__xludf.DUMMYFUNCTION("GOOGLETRANSLATE(A35755,""en"",""pt"")"),"curta duração da bateria em áreas analógicos, Antena é inútil")</f>
        <v>curta duração da bateria em áreas analógicos, Antena é inútil</v>
      </c>
      <c r="B35755" s="3">
        <v>0</v>
      </c>
    </row>
    <row r="35756" ht="15.75" customHeight="1" spans="1:2">
      <c r="A35756" s="3" t="str">
        <f>IFERROR(__xludf.DUMMYFUNCTION("GOOGLETRANSLATE(A35756,""en"",""pt"")"),"Feio")</f>
        <v>Feio</v>
      </c>
      <c r="B35756" s="3">
        <v>0</v>
      </c>
    </row>
    <row r="35757" ht="15.75" customHeight="1" spans="1:2">
      <c r="A35757" s="3" t="str">
        <f>IFERROR(__xludf.DUMMYFUNCTION("GOOGLETRANSLATE(A35757,""en"",""pt"")"),"Sem discagem por voz")</f>
        <v>Sem discagem por voz</v>
      </c>
      <c r="B35757" s="3">
        <v>0</v>
      </c>
    </row>
    <row r="35758" ht="15.75" customHeight="1" spans="1:2">
      <c r="A35758" s="3" t="str">
        <f>IFERROR(__xludf.DUMMYFUNCTION("GOOGLETRANSLATE(A35758,""en"",""pt"")"),"Tela pequena")</f>
        <v>Tela pequena</v>
      </c>
      <c r="B35758" s="3">
        <v>0</v>
      </c>
    </row>
    <row r="35759" ht="15.75" customHeight="1" spans="1:2">
      <c r="A35759" s="3" t="str">
        <f>IFERROR(__xludf.DUMMYFUNCTION("GOOGLETRANSLATE(A35759,""en"",""pt"")"),"Pouco Flimbsey, bateria, antena não é curto e grosso.")</f>
        <v>Pouco Flimbsey, bateria, antena não é curto e grosso.</v>
      </c>
      <c r="B35759" s="3">
        <v>0</v>
      </c>
    </row>
    <row r="35760" ht="15.75" customHeight="1" spans="1:2">
      <c r="A35760" s="3" t="str">
        <f>IFERROR(__xludf.DUMMYFUNCTION("GOOGLETRANSLATE(A35760,""en"",""pt"")"),"Parece um pouco fino ao falar por longos períodos de tempo.")</f>
        <v>Parece um pouco fino ao falar por longos períodos de tempo.</v>
      </c>
      <c r="B35760" s="3">
        <v>0</v>
      </c>
    </row>
    <row r="35761" ht="15.75" customHeight="1" spans="1:2">
      <c r="A35761" s="3" t="str">
        <f>IFERROR(__xludf.DUMMYFUNCTION("GOOGLETRANSLATE(A35761,""en"",""pt"")"),"Menu não muito amigável")</f>
        <v>Menu não muito amigável</v>
      </c>
      <c r="B35761" s="3">
        <v>0</v>
      </c>
    </row>
    <row r="35762" ht="15.75" customHeight="1" spans="1:2">
      <c r="A35762" s="3" t="str">
        <f>IFERROR(__xludf.DUMMYFUNCTION("GOOGLETRANSLATE(A35762,""en"",""pt"")"),"A tela não é fácil de ler sob luz solar direta.")</f>
        <v>A tela não é fácil de ler sob luz solar direta.</v>
      </c>
      <c r="B35762" s="3">
        <v>0</v>
      </c>
    </row>
    <row r="35763" ht="15.75" customHeight="1" spans="1:2">
      <c r="A35763" s="3" t="str">
        <f>IFERROR(__xludf.DUMMYFUNCTION("GOOGLETRANSLATE(A35763,""en"",""pt"")"),"interface de usuário amigável, não um monte de recursos, service` da Qwest")</f>
        <v>interface de usuário amigável, não um monte de recursos, service` da Qwest</v>
      </c>
      <c r="B35763" s="3">
        <v>0</v>
      </c>
    </row>
    <row r="35764" ht="15.75" customHeight="1" spans="1:2">
      <c r="A35764" s="3" t="str">
        <f>IFERROR(__xludf.DUMMYFUNCTION("GOOGLETRANSLATE(A35764,""en"",""pt"")"),"A campainha não é alto o suficiente. Má qualidade de som do fone de ouvido.")</f>
        <v>A campainha não é alto o suficiente. Má qualidade de som do fone de ouvido.</v>
      </c>
      <c r="B35764" s="3">
        <v>0</v>
      </c>
    </row>
    <row r="35765" ht="15.75" customHeight="1" spans="1:2">
      <c r="A35765" s="3" t="str">
        <f>IFERROR(__xludf.DUMMYFUNCTION("GOOGLETRANSLATE(A35765,""en"",""pt"")"),"Pequenas coisas como antena barata, a vida média da bateria, configuração do menu confuso e um eco ocasional.")</f>
        <v>Pequenas coisas como antena barata, a vida média da bateria, configuração do menu confuso e um eco ocasional.</v>
      </c>
      <c r="B35765" s="3">
        <v>0</v>
      </c>
    </row>
    <row r="35766" ht="15.75" customHeight="1" spans="1:2">
      <c r="A35766" s="3" t="str">
        <f>IFERROR(__xludf.DUMMYFUNCTION("GOOGLETRANSLATE(A35766,""en"",""pt"")"),"Eu não descobriram nenhum, mas eu só tinha esse telefone algumas semanas.")</f>
        <v>Eu não descobriram nenhum, mas eu só tinha esse telefone algumas semanas.</v>
      </c>
      <c r="B35766" s="3">
        <v>0</v>
      </c>
    </row>
    <row r="35767" ht="15.75" customHeight="1" spans="1:2">
      <c r="A35767" s="3" t="str">
        <f>IFERROR(__xludf.DUMMYFUNCTION("GOOGLETRANSLATE(A35767,""en"",""pt"")"),"?? Meu veio com uma capa de ouro, eu preferiria ter um preto.")</f>
        <v>?? Meu veio com uma capa de ouro, eu preferiria ter um preto.</v>
      </c>
      <c r="B35767" s="3">
        <v>0</v>
      </c>
    </row>
    <row r="35768" ht="15.75" customHeight="1" spans="1:2">
      <c r="A35768" s="3" t="str">
        <f>IFERROR(__xludf.DUMMYFUNCTION("GOOGLETRANSLATE(A35768,""en"",""pt"")"),"O kit mãos-livres é de má qualidade. Mas isso em outro lugar.")</f>
        <v>O kit mãos-livres é de má qualidade. Mas isso em outro lugar.</v>
      </c>
      <c r="B35768" s="3">
        <v>0</v>
      </c>
    </row>
    <row r="35769" ht="15.75" customHeight="1" spans="1:2">
      <c r="A35769" s="3" t="str">
        <f>IFERROR(__xludf.DUMMYFUNCTION("GOOGLETRANSLATE(A35769,""en"",""pt"")"),"A vida da bateria se deteriora RÁPIDO!")</f>
        <v>A vida da bateria se deteriora RÁPIDO!</v>
      </c>
      <c r="B35769" s="3">
        <v>0</v>
      </c>
    </row>
    <row r="35770" ht="15.75" customHeight="1" spans="1:2">
      <c r="A35770" s="3" t="str">
        <f>IFERROR(__xludf.DUMMYFUNCTION("GOOGLETRANSLATE(A35770,""en"",""pt"")"),"Nenhum")</f>
        <v>Nenhum</v>
      </c>
      <c r="B35770" s="3">
        <v>0</v>
      </c>
    </row>
    <row r="35771" ht="15.75" customHeight="1" spans="1:2">
      <c r="A35771" s="3" t="str">
        <f>IFERROR(__xludf.DUMMYFUNCTION("GOOGLETRANSLATE(A35771,""en"",""pt"")"),"Não ter um")</f>
        <v>Não ter um</v>
      </c>
      <c r="B35771" s="3">
        <v>0</v>
      </c>
    </row>
    <row r="35772" ht="15.75" customHeight="1" spans="1:2">
      <c r="A35772" s="3" t="str">
        <f>IFERROR(__xludf.DUMMYFUNCTION("GOOGLETRANSLATE(A35772,""en"",""pt"")"),"perda de sinal, eco, sem capacidade de web")</f>
        <v>perda de sinal, eco, sem capacidade de web</v>
      </c>
      <c r="B35772" s="3">
        <v>0</v>
      </c>
    </row>
    <row r="35773" ht="15.75" customHeight="1" spans="1:2">
      <c r="A35773" s="3" t="str">
        <f>IFERROR(__xludf.DUMMYFUNCTION("GOOGLETRANSLATE(A35773,""en"",""pt"")"),"Echoes, chamadas perdidas.")</f>
        <v>Echoes, chamadas perdidas.</v>
      </c>
      <c r="B35773" s="3">
        <v>0</v>
      </c>
    </row>
    <row r="35774" ht="15.75" customHeight="1" spans="1:2">
      <c r="A35774" s="3" t="str">
        <f>IFERROR(__xludf.DUMMYFUNCTION("GOOGLETRANSLATE(A35774,""en"",""pt"")"),"Nenhum")</f>
        <v>Nenhum</v>
      </c>
      <c r="B35774" s="3">
        <v>0</v>
      </c>
    </row>
    <row r="35775" ht="15.75" customHeight="1" spans="1:2">
      <c r="A35775" s="3" t="str">
        <f>IFERROR(__xludf.DUMMYFUNCTION("GOOGLETRANSLATE(A35775,""en"",""pt"")"),"políticas de GTE sobre a substituição.")</f>
        <v>políticas de GTE sobre a substituição.</v>
      </c>
      <c r="B35775" s="3">
        <v>0</v>
      </c>
    </row>
    <row r="35776" ht="15.75" customHeight="1" spans="1:2">
      <c r="A35776" s="3" t="str">
        <f>IFERROR(__xludf.DUMMYFUNCTION("GOOGLETRANSLATE(A35776,""en"",""pt"")"),"Voicemail pode ser complicado")</f>
        <v>Voicemail pode ser complicado</v>
      </c>
      <c r="B35776" s="3">
        <v>0</v>
      </c>
    </row>
    <row r="35777" ht="15.75" customHeight="1" spans="1:2">
      <c r="A35777" s="3" t="str">
        <f>IFERROR(__xludf.DUMMYFUNCTION("GOOGLETRANSLATE(A35777,""en"",""pt"")"),"Falta de fácil disponibilidade de peças")</f>
        <v>Falta de fácil disponibilidade de peças</v>
      </c>
      <c r="B35777" s="3">
        <v>0</v>
      </c>
    </row>
    <row r="35778" ht="15.75" customHeight="1" spans="1:2">
      <c r="A35778" s="3" t="str">
        <f>IFERROR(__xludf.DUMMYFUNCTION("GOOGLETRANSLATE(A35778,""en"",""pt"")"),"Não exatamente o mais &amp; quot; high-tech &amp; quot; de telefones disponíveis atualmente.")</f>
        <v>Não exatamente o mais &amp; quot; high-tech &amp; quot; de telefones disponíveis atualmente.</v>
      </c>
      <c r="B35778" s="3">
        <v>0</v>
      </c>
    </row>
    <row r="35779" ht="15.75" customHeight="1" spans="1:2">
      <c r="A35779" s="3" t="str">
        <f>IFERROR(__xludf.DUMMYFUNCTION("GOOGLETRANSLATE(A35779,""en"",""pt"")"),"modo de vibração estranho; Não é possível programar anéis diferentes para chamadores diff; Não web habilitado")</f>
        <v>modo de vibração estranho; Não é possível programar anéis diferentes para chamadores diff; Não web habilitado</v>
      </c>
      <c r="B35779" s="3">
        <v>0</v>
      </c>
    </row>
    <row r="35780" ht="15.75" customHeight="1" spans="1:2">
      <c r="A35780" s="3" t="str">
        <f>IFERROR(__xludf.DUMMYFUNCTION("GOOGLETRANSLATE(A35780,""en"",""pt"")"),"vozes distorcidas ocasionalmente")</f>
        <v>vozes distorcidas ocasionalmente</v>
      </c>
      <c r="B35780" s="3">
        <v>0</v>
      </c>
    </row>
    <row r="35781" ht="15.75" customHeight="1" spans="1:2">
      <c r="A35781" s="3" t="str">
        <f>IFERROR(__xludf.DUMMYFUNCTION("GOOGLETRANSLATE(A35781,""en"",""pt"")"),"Nenhum")</f>
        <v>Nenhum</v>
      </c>
      <c r="B35781" s="3">
        <v>0</v>
      </c>
    </row>
    <row r="35782" ht="15.75" customHeight="1" spans="1:2">
      <c r="A35782" s="3" t="str">
        <f>IFERROR(__xludf.DUMMYFUNCTION("GOOGLETRANSLATE(A35782,""en"",""pt"")"),"Inconsistente")</f>
        <v>Inconsistente</v>
      </c>
      <c r="B35782" s="3">
        <v>0</v>
      </c>
    </row>
    <row r="35783" ht="15.75" customHeight="1" spans="1:2">
      <c r="A35783" s="3" t="str">
        <f>IFERROR(__xludf.DUMMYFUNCTION("GOOGLETRANSLATE(A35783,""en"",""pt"")"),"não faz o stand-by anunciado tempo")</f>
        <v>não faz o stand-by anunciado tempo</v>
      </c>
      <c r="B35783" s="3">
        <v>0</v>
      </c>
    </row>
    <row r="35784" ht="15.75" customHeight="1" spans="1:2">
      <c r="A35784" s="3" t="str">
        <f>IFERROR(__xludf.DUMMYFUNCTION("GOOGLETRANSLATE(A35784,""en"",""pt"")"),"má concepção caso de couro")</f>
        <v>má concepção caso de couro</v>
      </c>
      <c r="B35784" s="3">
        <v>0</v>
      </c>
    </row>
    <row r="35785" ht="15.75" customHeight="1" spans="1:2">
      <c r="A35785" s="3" t="str">
        <f>IFERROR(__xludf.DUMMYFUNCTION("GOOGLETRANSLATE(A35785,""en"",""pt"")"),"Intermitant off potência")</f>
        <v>Intermitant off potência</v>
      </c>
      <c r="B35785" s="3">
        <v>0</v>
      </c>
    </row>
    <row r="35786" ht="15.75" customHeight="1" spans="1:2">
      <c r="A35786" s="3" t="str">
        <f>IFERROR(__xludf.DUMMYFUNCTION("GOOGLETRANSLATE(A35786,""en"",""pt"")"),"não discagem por voz, sem acesso um botão para livro de endereços")</f>
        <v>não discagem por voz, sem acesso um botão para livro de endereços</v>
      </c>
      <c r="B35786" s="3">
        <v>0</v>
      </c>
    </row>
    <row r="35787" ht="15.75" customHeight="1" spans="1:2">
      <c r="A35787" s="3" t="str">
        <f>IFERROR(__xludf.DUMMYFUNCTION("GOOGLETRANSLATE(A35787,""en"",""pt"")"),"Falta de recursos de identificação de chamadas")</f>
        <v>Falta de recursos de identificação de chamadas</v>
      </c>
      <c r="B35787" s="3">
        <v>0</v>
      </c>
    </row>
    <row r="35788" ht="15.75" customHeight="1" spans="1:2">
      <c r="A35788" s="3" t="str">
        <f>IFERROR(__xludf.DUMMYFUNCTION("GOOGLETRANSLATE(A35788,""en"",""pt"")"),"Nenhum")</f>
        <v>Nenhum</v>
      </c>
      <c r="B35788" s="3">
        <v>0</v>
      </c>
    </row>
    <row r="35789" ht="15.75" customHeight="1" spans="1:2">
      <c r="A35789" s="3" t="str">
        <f>IFERROR(__xludf.DUMMYFUNCTION("GOOGLETRANSLATE(A35789,""en"",""pt"")"),"nenhum para meu uso - talvez para uso com PC")</f>
        <v>nenhum para meu uso - talvez para uso com PC</v>
      </c>
      <c r="B35789" s="3">
        <v>0</v>
      </c>
    </row>
    <row r="35790" ht="15.75" customHeight="1" spans="1:2">
      <c r="A35790" s="3" t="str">
        <f>IFERROR(__xludf.DUMMYFUNCTION("GOOGLETRANSLATE(A35790,""en"",""pt"")"),"Olhando um pouco grande e datado")</f>
        <v>Olhando um pouco grande e datado</v>
      </c>
      <c r="B35790" s="3">
        <v>0</v>
      </c>
    </row>
    <row r="35791" ht="15.75" customHeight="1" spans="1:2">
      <c r="A35791" s="3" t="str">
        <f>IFERROR(__xludf.DUMMYFUNCTION("GOOGLETRANSLATE(A35791,""en"",""pt"")"),"sem frescuras (como WAP), anéis estranhos")</f>
        <v>sem frescuras (como WAP), anéis estranhos</v>
      </c>
      <c r="B35791" s="3">
        <v>0</v>
      </c>
    </row>
    <row r="35792" ht="15.75" customHeight="1" spans="1:2">
      <c r="A35792" s="3" t="str">
        <f>IFERROR(__xludf.DUMMYFUNCTION("GOOGLETRANSLATE(A35792,""en"",""pt"")"),"alerta vibratório fraco")</f>
        <v>alerta vibratório fraco</v>
      </c>
      <c r="B35792" s="3">
        <v>0</v>
      </c>
    </row>
    <row r="35793" ht="15.75" customHeight="1" spans="1:2">
      <c r="A35793" s="3" t="str">
        <f>IFERROR(__xludf.DUMMYFUNCTION("GOOGLETRANSLATE(A35793,""en"",""pt"")"),"Eu encontrei nenhum")</f>
        <v>Eu encontrei nenhum</v>
      </c>
      <c r="B35793" s="3">
        <v>0</v>
      </c>
    </row>
    <row r="35794" ht="15.75" customHeight="1" spans="1:2">
      <c r="A35794" s="3" t="str">
        <f>IFERROR(__xludf.DUMMYFUNCTION("GOOGLETRANSLATE(A35794,""en"",""pt"")"),"No cabo de alimentação, chama gota!")</f>
        <v>No cabo de alimentação, chama gota!</v>
      </c>
      <c r="B35794" s="3">
        <v>0</v>
      </c>
    </row>
    <row r="35795" ht="15.75" customHeight="1" spans="1:2">
      <c r="A35795" s="3" t="str">
        <f>IFERROR(__xludf.DUMMYFUNCTION("GOOGLETRANSLATE(A35795,""en"",""pt"")"),"acessórios horríveis, design desajeitado")</f>
        <v>acessórios horríveis, design desajeitado</v>
      </c>
      <c r="B35795" s="3">
        <v>0</v>
      </c>
    </row>
    <row r="35796" ht="15.75" customHeight="1" spans="1:2">
      <c r="A35796" s="3" t="str">
        <f>IFERROR(__xludf.DUMMYFUNCTION("GOOGLETRANSLATE(A35796,""en"",""pt"")"),"livro de endereços não-alfabetizada")</f>
        <v>livro de endereços não-alfabetizada</v>
      </c>
      <c r="B35796" s="3">
        <v>0</v>
      </c>
    </row>
    <row r="35797" ht="15.75" customHeight="1" spans="1:2">
      <c r="A35797" s="3" t="str">
        <f>IFERROR(__xludf.DUMMYFUNCTION("GOOGLETRANSLATE(A35797,""en"",""pt"")"),"nada")</f>
        <v>nada</v>
      </c>
      <c r="B35797" s="3">
        <v>0</v>
      </c>
    </row>
    <row r="35798" ht="15.75" customHeight="1" spans="1:2">
      <c r="A35798" s="3" t="str">
        <f>IFERROR(__xludf.DUMMYFUNCTION("GOOGLETRANSLATE(A35798,""en"",""pt"")"),"A disponibilidade dos acessórios é limitado, não contra resetable minuto")</f>
        <v>A disponibilidade dos acessórios é limitado, não contra resetable minuto</v>
      </c>
      <c r="B35798" s="3">
        <v>0</v>
      </c>
    </row>
    <row r="35799" ht="15.75" customHeight="1" spans="1:2">
      <c r="A35799" s="3" t="str">
        <f>IFERROR(__xludf.DUMMYFUNCTION("GOOGLETRANSLATE(A35799,""en"",""pt"")"),"Nenhum")</f>
        <v>Nenhum</v>
      </c>
      <c r="B35799" s="3">
        <v>0</v>
      </c>
    </row>
    <row r="35800" ht="15.75" customHeight="1" spans="1:2">
      <c r="A35800" s="3" t="str">
        <f>IFERROR(__xludf.DUMMYFUNCTION("GOOGLETRANSLATE(A35800,""en"",""pt"")"),"não é o menor celular")</f>
        <v>não é o menor celular</v>
      </c>
      <c r="B35800" s="3">
        <v>0</v>
      </c>
    </row>
    <row r="35801" ht="15.75" customHeight="1" spans="1:2">
      <c r="A35801" s="3" t="str">
        <f>IFERROR(__xludf.DUMMYFUNCTION("GOOGLETRANSLATE(A35801,""en"",""pt"")"),"Eletrônicos")</f>
        <v>Eletrônicos</v>
      </c>
      <c r="B35801" s="3">
        <v>0</v>
      </c>
    </row>
    <row r="35802" ht="15.75" customHeight="1" spans="1:2">
      <c r="A35802" s="3" t="str">
        <f>IFERROR(__xludf.DUMMYFUNCTION("GOOGLETRANSLATE(A35802,""en"",""pt"")"),"menus complicados, gotas chamadas de longa.")</f>
        <v>menus complicados, gotas chamadas de longa.</v>
      </c>
      <c r="B35802" s="3">
        <v>0</v>
      </c>
    </row>
    <row r="35803" ht="15.75" customHeight="1" spans="1:2">
      <c r="A35803" s="3" t="str">
        <f>IFERROR(__xludf.DUMMYFUNCTION("GOOGLETRANSLATE(A35803,""en"",""pt"")"),"Não confiável")</f>
        <v>Não confiável</v>
      </c>
      <c r="B35803" s="3">
        <v>0</v>
      </c>
    </row>
    <row r="35804" ht="15.75" customHeight="1" spans="1:2">
      <c r="A35804" s="3" t="str">
        <f>IFERROR(__xludf.DUMMYFUNCTION("GOOGLETRANSLATE(A35804,""en"",""pt"")"),"Não confiável.")</f>
        <v>Não confiável.</v>
      </c>
      <c r="B35804" s="3">
        <v>0</v>
      </c>
    </row>
    <row r="35805" ht="15.75" customHeight="1" spans="1:2">
      <c r="A35805" s="3" t="str">
        <f>IFERROR(__xludf.DUMMYFUNCTION("GOOGLETRANSLATE(A35805,""en"",""pt"")"),"Muito grande para usar na cintura; vida útil da bateria é bastante curto.")</f>
        <v>Muito grande para usar na cintura; vida útil da bateria é bastante curto.</v>
      </c>
      <c r="B35805" s="3">
        <v>0</v>
      </c>
    </row>
    <row r="35806" ht="15.75" customHeight="1" spans="1:2">
      <c r="A35806" s="3" t="str">
        <f>IFERROR(__xludf.DUMMYFUNCTION("GOOGLETRANSLATE(A35806,""en"",""pt"")"),"Muito grande para vestir confortavelmente, estática")</f>
        <v>Muito grande para vestir confortavelmente, estática</v>
      </c>
      <c r="B35806" s="3">
        <v>0</v>
      </c>
    </row>
    <row r="35807" ht="15.75" customHeight="1" spans="1:2">
      <c r="A35807" s="3" t="str">
        <f>IFERROR(__xludf.DUMMYFUNCTION("GOOGLETRANSLATE(A35807,""en"",""pt"")"),"serviço com Tracfone é muito caro")</f>
        <v>serviço com Tracfone é muito caro</v>
      </c>
      <c r="B35807" s="3">
        <v>0</v>
      </c>
    </row>
    <row r="35808" ht="15.75" customHeight="1" spans="1:2">
      <c r="A35808" s="3" t="str">
        <f>IFERROR(__xludf.DUMMYFUNCTION("GOOGLETRANSLATE(A35808,""en"",""pt"")"),"A vida da bateria não é tão quente")</f>
        <v>A vida da bateria não é tão quente</v>
      </c>
      <c r="B35808" s="3">
        <v>0</v>
      </c>
    </row>
    <row r="35809" ht="15.75" customHeight="1" spans="1:2">
      <c r="A35809" s="3" t="str">
        <f>IFERROR(__xludf.DUMMYFUNCTION("GOOGLETRANSLATE(A35809,""en"",""pt"")"),"nenhum que eu encontrei")</f>
        <v>nenhum que eu encontrei</v>
      </c>
      <c r="B35809" s="3">
        <v>0</v>
      </c>
    </row>
    <row r="35810" ht="15.75" customHeight="1" spans="1:2">
      <c r="A35810" s="3" t="str">
        <f>IFERROR(__xludf.DUMMYFUNCTION("GOOGLETRANSLATE(A35810,""en"",""pt"")"),"Bateria perderá carga se manteve em condições extremamente quentes ou frias.")</f>
        <v>Bateria perderá carga se manteve em condições extremamente quentes ou frias.</v>
      </c>
      <c r="B35810" s="3">
        <v>0</v>
      </c>
    </row>
    <row r="35811" ht="15.75" customHeight="1" spans="1:2">
      <c r="A35811" s="3" t="str">
        <f>IFERROR(__xludf.DUMMYFUNCTION("GOOGLETRANSLATE(A35811,""en"",""pt"")"),"não o telefone celular mais pequeno disponível")</f>
        <v>não o telefone celular mais pequeno disponível</v>
      </c>
      <c r="B35811" s="3">
        <v>0</v>
      </c>
    </row>
    <row r="35812" ht="15.75" customHeight="1" spans="1:2">
      <c r="A35812" s="3" t="str">
        <f>IFERROR(__xludf.DUMMYFUNCTION("GOOGLETRANSLATE(A35812,""en"",""pt"")"),"Não a melhor escolha para uma pessoa de negócios.")</f>
        <v>Não a melhor escolha para uma pessoa de negócios.</v>
      </c>
      <c r="B35812" s="3">
        <v>0</v>
      </c>
    </row>
    <row r="35813" ht="15.75" customHeight="1" spans="1:2">
      <c r="A35813" s="3" t="str">
        <f>IFERROR(__xludf.DUMMYFUNCTION("GOOGLETRANSLATE(A35813,""en"",""pt"")"),"nao digital")</f>
        <v>nao digital</v>
      </c>
      <c r="B35813" s="3">
        <v>0</v>
      </c>
    </row>
    <row r="35814" ht="15.75" customHeight="1" spans="1:2">
      <c r="A35814" s="3" t="str">
        <f>IFERROR(__xludf.DUMMYFUNCTION("GOOGLETRANSLATE(A35814,""en"",""pt"")"),"maior e menos fria do que outros telefones")</f>
        <v>maior e menos fria do que outros telefones</v>
      </c>
      <c r="B35814" s="3">
        <v>0</v>
      </c>
    </row>
    <row r="35815" ht="15.75" customHeight="1" spans="1:2">
      <c r="A35815" s="3" t="str">
        <f>IFERROR(__xludf.DUMMYFUNCTION("GOOGLETRANSLATE(A35815,""en"",""pt"")"),"Escolhendo esta Nokia 918 de outros telefones")</f>
        <v>Escolhendo esta Nokia 918 de outros telefones</v>
      </c>
      <c r="B35815" s="3">
        <v>0</v>
      </c>
    </row>
    <row r="35816" ht="15.75" customHeight="1" spans="1:2">
      <c r="A35816" s="3" t="str">
        <f>IFERROR(__xludf.DUMMYFUNCTION("GOOGLETRANSLATE(A35816,""en"",""pt"")"),"Precisamos de mais opções para coberturas!")</f>
        <v>Precisamos de mais opções para coberturas!</v>
      </c>
      <c r="B35816" s="3">
        <v>0</v>
      </c>
    </row>
    <row r="35817" ht="15.75" customHeight="1" spans="1:2">
      <c r="A35817" s="3" t="str">
        <f>IFERROR(__xludf.DUMMYFUNCTION("GOOGLETRANSLATE(A35817,""en"",""pt"")"),"Até $ 3,16 / minuto quando em roaming!")</f>
        <v>Até $ 3,16 / minuto quando em roaming!</v>
      </c>
      <c r="B35817" s="3">
        <v>0</v>
      </c>
    </row>
    <row r="35818" ht="15.75" customHeight="1" spans="1:2">
      <c r="A35818" s="3" t="str">
        <f>IFERROR(__xludf.DUMMYFUNCTION("GOOGLETRANSLATE(A35818,""en"",""pt"")"),"Clareza de chamadas não sempre muito bom; faz antena não aliviar estática")</f>
        <v>Clareza de chamadas não sempre muito bom; faz antena não aliviar estática</v>
      </c>
      <c r="B35818" s="3">
        <v>0</v>
      </c>
    </row>
    <row r="35819" ht="15.75" customHeight="1" spans="1:2">
      <c r="A35819" s="3" t="str">
        <f>IFERROR(__xludf.DUMMYFUNCTION("GOOGLETRANSLATE(A35819,""en"",""pt"")"),"Nenhum.")</f>
        <v>Nenhum.</v>
      </c>
      <c r="B35819" s="3">
        <v>0</v>
      </c>
    </row>
    <row r="35820" ht="15.75" customHeight="1" spans="1:2">
      <c r="A35820" s="3" t="str">
        <f>IFERROR(__xludf.DUMMYFUNCTION("GOOGLETRANSLATE(A35820,""en"",""pt"")"),"pedaço da orelha ocasionalmente difícil de ouvir em")</f>
        <v>pedaço da orelha ocasionalmente difícil de ouvir em</v>
      </c>
      <c r="B35820" s="3">
        <v>0</v>
      </c>
    </row>
    <row r="35821" ht="15.75" customHeight="1" spans="1:2">
      <c r="A35821" s="3" t="str">
        <f>IFERROR(__xludf.DUMMYFUNCTION("GOOGLETRANSLATE(A35821,""en"",""pt"")"),"vida de bateria fraca, má recepção")</f>
        <v>vida de bateria fraca, má recepção</v>
      </c>
      <c r="B35821" s="3">
        <v>0</v>
      </c>
    </row>
    <row r="35822" ht="15.75" customHeight="1" spans="1:2">
      <c r="A35822" s="3" t="str">
        <f>IFERROR(__xludf.DUMMYFUNCTION("GOOGLETRANSLATE(A35822,""en"",""pt"")"),"Nenhum!")</f>
        <v>Nenhum!</v>
      </c>
      <c r="B35822" s="3">
        <v>0</v>
      </c>
    </row>
    <row r="35823" ht="15.75" customHeight="1" spans="1:2">
      <c r="A35823" s="3" t="str">
        <f>IFERROR(__xludf.DUMMYFUNCTION("GOOGLETRANSLATE(A35823,""en"",""pt"")"),"O meu tinha algumas peculiaridades")</f>
        <v>O meu tinha algumas peculiaridades</v>
      </c>
      <c r="B35823" s="3">
        <v>0</v>
      </c>
    </row>
    <row r="35824" ht="15.75" customHeight="1" spans="1:2">
      <c r="A35824" s="3" t="str">
        <f>IFERROR(__xludf.DUMMYFUNCTION("GOOGLETRANSLATE(A35824,""en"",""pt"")"),"processo de activação é um pouco longo")</f>
        <v>processo de activação é um pouco longo</v>
      </c>
      <c r="B35824" s="3">
        <v>0</v>
      </c>
    </row>
    <row r="35825" ht="15.75" customHeight="1" spans="1:2">
      <c r="A35825" s="3" t="str">
        <f>IFERROR(__xludf.DUMMYFUNCTION("GOOGLETRANSLATE(A35825,""en"",""pt"")"),"nenhum recurso de vibração, nenhum indicador VM")</f>
        <v>nenhum recurso de vibração, nenhum indicador VM</v>
      </c>
      <c r="B35825" s="3">
        <v>0</v>
      </c>
    </row>
    <row r="35826" ht="15.75" customHeight="1" spans="1:2">
      <c r="A35826" s="3" t="str">
        <f>IFERROR(__xludf.DUMMYFUNCTION("GOOGLETRANSLATE(A35826,""en"",""pt"")"),"curta duração da bateria")</f>
        <v>curta duração da bateria</v>
      </c>
      <c r="B35826" s="3">
        <v>0</v>
      </c>
    </row>
    <row r="35827" ht="15.75" customHeight="1" spans="1:2">
      <c r="A35827" s="3" t="str">
        <f>IFERROR(__xludf.DUMMYFUNCTION("GOOGLETRANSLATE(A35827,""en"",""pt"")"),"A bateria se esgota rápido quando usá-lo muito.")</f>
        <v>A bateria se esgota rápido quando usá-lo muito.</v>
      </c>
      <c r="B35827" s="3">
        <v>0</v>
      </c>
    </row>
    <row r="35828" ht="15.75" customHeight="1" spans="1:2">
      <c r="A35828" s="3" t="str">
        <f>IFERROR(__xludf.DUMMYFUNCTION("GOOGLETRANSLATE(A35828,""en"",""pt"")"),"Nenhum")</f>
        <v>Nenhum</v>
      </c>
      <c r="B35828" s="3">
        <v>0</v>
      </c>
    </row>
    <row r="35829" ht="15.75" customHeight="1" spans="1:2">
      <c r="A35829" s="3" t="str">
        <f>IFERROR(__xludf.DUMMYFUNCTION("GOOGLETRANSLATE(A35829,""en"",""pt"")"),"curta duração da bateria")</f>
        <v>curta duração da bateria</v>
      </c>
      <c r="B35829" s="3">
        <v>0</v>
      </c>
    </row>
    <row r="35830" ht="15.75" customHeight="1" spans="1:2">
      <c r="A35830" s="3" t="str">
        <f>IFERROR(__xludf.DUMMYFUNCTION("GOOGLETRANSLATE(A35830,""en"",""pt"")"),"não muitos recursos, um pouco pesado, falta de vida da bateria, não grande clareza")</f>
        <v>não muitos recursos, um pouco pesado, falta de vida da bateria, não grande clareza</v>
      </c>
      <c r="B35830" s="3">
        <v>0</v>
      </c>
    </row>
    <row r="35831" ht="15.75" customHeight="1" spans="1:2">
      <c r="A35831" s="3" t="str">
        <f>IFERROR(__xludf.DUMMYFUNCTION("GOOGLETRANSLATE(A35831,""en"",""pt"")"),"Que as pessoas não prestar atenção à estrada quando eles estão usando telefones celulares")</f>
        <v>Que as pessoas não prestar atenção à estrada quando eles estão usando telefones celulares</v>
      </c>
      <c r="B35831" s="3">
        <v>0</v>
      </c>
    </row>
    <row r="35832" ht="15.75" customHeight="1" spans="1:2">
      <c r="A35832" s="3" t="str">
        <f>IFERROR(__xludf.DUMMYFUNCTION("GOOGLETRANSLATE(A35832,""en"",""pt"")"),"Maior do que os telefones mais novos")</f>
        <v>Maior do que os telefones mais novos</v>
      </c>
      <c r="B35832" s="3">
        <v>0</v>
      </c>
    </row>
    <row r="35833" ht="15.75" customHeight="1" spans="1:2">
      <c r="A35833" s="3" t="str">
        <f>IFERROR(__xludf.DUMMYFUNCTION("GOOGLETRANSLATE(A35833,""en"",""pt"")"),"Base Hot, curta duração da bateria")</f>
        <v>Base Hot, curta duração da bateria</v>
      </c>
      <c r="B35833" s="3">
        <v>0</v>
      </c>
    </row>
    <row r="35834" ht="15.75" customHeight="1" spans="1:2">
      <c r="A35834" s="3" t="str">
        <f>IFERROR(__xludf.DUMMYFUNCTION("GOOGLETRANSLATE(A35834,""en"",""pt"")"),"não pode facilmente encontrar acessórios para ela ...")</f>
        <v>não pode facilmente encontrar acessórios para ela ...</v>
      </c>
      <c r="B35834" s="3">
        <v>0</v>
      </c>
    </row>
    <row r="35835" ht="15.75" customHeight="1" spans="1:2">
      <c r="A35835" s="3" t="str">
        <f>IFERROR(__xludf.DUMMYFUNCTION("GOOGLETRANSLATE(A35835,""en"",""pt"")"),", acessórios caros ligeiramente volumosos")</f>
        <v>, acessórios caros ligeiramente volumosos</v>
      </c>
      <c r="B35835" s="3">
        <v>0</v>
      </c>
    </row>
    <row r="35836" ht="15.75" customHeight="1" spans="1:2">
      <c r="A35836" s="3" t="str">
        <f>IFERROR(__xludf.DUMMYFUNCTION("GOOGLETRANSLATE(A35836,""en"",""pt"")"),"Nenhum que eu posso pensar")</f>
        <v>Nenhum que eu posso pensar</v>
      </c>
      <c r="B35836" s="3">
        <v>0</v>
      </c>
    </row>
    <row r="35837" ht="15.75" customHeight="1" spans="1:2">
      <c r="A35837" s="3" t="str">
        <f>IFERROR(__xludf.DUMMYFUNCTION("GOOGLETRANSLATE(A35837,""en"",""pt"")"),"análogo")</f>
        <v>análogo</v>
      </c>
      <c r="B35837" s="3">
        <v>0</v>
      </c>
    </row>
    <row r="35838" ht="15.75" customHeight="1" spans="1:2">
      <c r="A35838" s="3" t="str">
        <f>IFERROR(__xludf.DUMMYFUNCTION("GOOGLETRANSLATE(A35838,""en"",""pt"")"),"campainha é irritante; botões de empurrar facilmente")</f>
        <v>campainha é irritante; botões de empurrar facilmente</v>
      </c>
      <c r="B35838" s="3">
        <v>0</v>
      </c>
    </row>
    <row r="35839" ht="15.75" customHeight="1" spans="1:2">
      <c r="A35839" s="3" t="str">
        <f>IFERROR(__xludf.DUMMYFUNCTION("GOOGLETRANSLATE(A35839,""en"",""pt"")"),"sem identificador de chamadas")</f>
        <v>sem identificador de chamadas</v>
      </c>
      <c r="B35839" s="3">
        <v>0</v>
      </c>
    </row>
    <row r="35840" ht="15.75" customHeight="1" spans="1:2">
      <c r="A35840" s="3" t="str">
        <f>IFERROR(__xludf.DUMMYFUNCTION("GOOGLETRANSLATE(A35840,""en"",""pt"")"),"nenhum ainda")</f>
        <v>nenhum ainda</v>
      </c>
      <c r="B35840" s="3">
        <v>0</v>
      </c>
    </row>
    <row r="35841" ht="15.75" customHeight="1" spans="1:2">
      <c r="A35841" s="3" t="str">
        <f>IFERROR(__xludf.DUMMYFUNCTION("GOOGLETRANSLATE(A35841,""en"",""pt"")"),"A vida da bateria é adequado apenas")</f>
        <v>A vida da bateria é adequado apenas</v>
      </c>
      <c r="B35841" s="3">
        <v>0</v>
      </c>
    </row>
    <row r="35842" ht="15.75" customHeight="1" spans="1:2">
      <c r="A35842" s="3" t="str">
        <f>IFERROR(__xludf.DUMMYFUNCTION("GOOGLETRANSLATE(A35842,""en"",""pt"")"),"A bateria vai mortos depois de falar por dez minutos. Tudo")</f>
        <v>A bateria vai mortos depois de falar por dez minutos. Tudo</v>
      </c>
      <c r="B35842" s="3">
        <v>0</v>
      </c>
    </row>
    <row r="35843" ht="15.75" customHeight="1" spans="1:2">
      <c r="A35843" s="3" t="str">
        <f>IFERROR(__xludf.DUMMYFUNCTION("GOOGLETRANSLATE(A35843,""en"",""pt"")"),"Tipo de grande como telefones celulares ir.")</f>
        <v>Tipo de grande como telefones celulares ir.</v>
      </c>
      <c r="B35843" s="3">
        <v>0</v>
      </c>
    </row>
    <row r="35844" ht="15.75" customHeight="1" spans="1:2">
      <c r="A35844" s="3" t="str">
        <f>IFERROR(__xludf.DUMMYFUNCTION("GOOGLETRANSLATE(A35844,""en"",""pt"")"),"O som não é clara, chamadas abandonadas, vida da bateria pobres")</f>
        <v>O som não é clara, chamadas abandonadas, vida da bateria pobres</v>
      </c>
      <c r="B35844" s="3">
        <v>0</v>
      </c>
    </row>
    <row r="35845" ht="15.75" customHeight="1" spans="1:2">
      <c r="A35845" s="3" t="str">
        <f>IFERROR(__xludf.DUMMYFUNCTION("GOOGLETRANSLATE(A35845,""en"",""pt"")"),"minutos pré-pagos mais caros")</f>
        <v>minutos pré-pagos mais caros</v>
      </c>
      <c r="B35845" s="3">
        <v>0</v>
      </c>
    </row>
    <row r="35846" ht="15.75" customHeight="1" spans="1:2">
      <c r="A35846" s="3" t="str">
        <f>IFERROR(__xludf.DUMMYFUNCTION("GOOGLETRANSLATE(A35846,""en"",""pt"")"),"Nenhum")</f>
        <v>Nenhum</v>
      </c>
      <c r="B35846" s="3">
        <v>0</v>
      </c>
    </row>
    <row r="35847" ht="15.75" customHeight="1" spans="1:2">
      <c r="A35847" s="3" t="str">
        <f>IFERROR(__xludf.DUMMYFUNCTION("GOOGLETRANSLATE(A35847,""en"",""pt"")"),"Analógico. antena frágil.")</f>
        <v>Analógico. antena frágil.</v>
      </c>
      <c r="B35847" s="3">
        <v>0</v>
      </c>
    </row>
    <row r="35848" ht="15.75" customHeight="1" spans="1:2">
      <c r="A35848" s="3" t="str">
        <f>IFERROR(__xludf.DUMMYFUNCTION("GOOGLETRANSLATE(A35848,""en"",""pt"")"),"Nenhum.")</f>
        <v>Nenhum.</v>
      </c>
      <c r="B35848" s="3">
        <v>0</v>
      </c>
    </row>
    <row r="35849" ht="15.75" customHeight="1" spans="1:2">
      <c r="A35849" s="3" t="str">
        <f>IFERROR(__xludf.DUMMYFUNCTION("GOOGLETRANSLATE(A35849,""en"",""pt"")"),"superaquece demais, TracFone muito caro, telefone velho demais para reprogramar para planos de serviço atuais")</f>
        <v>superaquece demais, TracFone muito caro, telefone velho demais para reprogramar para planos de serviço atuais</v>
      </c>
      <c r="B35849" s="3">
        <v>0</v>
      </c>
    </row>
    <row r="35850" ht="15.75" customHeight="1" spans="1:2">
      <c r="A35850" s="3" t="str">
        <f>IFERROR(__xludf.DUMMYFUNCTION("GOOGLETRANSLATE(A35850,""en"",""pt"")"),"Nenhum")</f>
        <v>Nenhum</v>
      </c>
      <c r="B35850" s="3">
        <v>0</v>
      </c>
    </row>
    <row r="35851" ht="15.75" customHeight="1" spans="1:2">
      <c r="A35851" s="3" t="str">
        <f>IFERROR(__xludf.DUMMYFUNCTION("GOOGLETRANSLATE(A35851,""en"",""pt"")"),"Recarga necessário muitas vezes; encontrar acessórios")</f>
        <v>Recarga necessário muitas vezes; encontrar acessórios</v>
      </c>
      <c r="B35851" s="3">
        <v>0</v>
      </c>
    </row>
    <row r="35852" ht="15.75" customHeight="1" spans="1:2">
      <c r="A35852" s="3" t="str">
        <f>IFERROR(__xludf.DUMMYFUNCTION("GOOGLETRANSLATE(A35852,""en"",""pt"")"),"Ainda precisa de reactivação periódica; telefone não pode ser utilizado com outros serviços")</f>
        <v>Ainda precisa de reactivação periódica; telefone não pode ser utilizado com outros serviços</v>
      </c>
      <c r="B35852" s="3">
        <v>0</v>
      </c>
    </row>
    <row r="35853" ht="15.75" customHeight="1" spans="1:2">
      <c r="A35853" s="3" t="str">
        <f>IFERROR(__xludf.DUMMYFUNCTION("GOOGLETRANSLATE(A35853,""en"",""pt"")"),"Antenas quebra facilmente")</f>
        <v>Antenas quebra facilmente</v>
      </c>
      <c r="B35853" s="3">
        <v>0</v>
      </c>
    </row>
    <row r="35854" ht="15.75" customHeight="1" spans="1:2">
      <c r="A35854" s="3" t="str">
        <f>IFERROR(__xludf.DUMMYFUNCTION("GOOGLETRANSLATE(A35854,""en"",""pt"")"),"Nenhum!")</f>
        <v>Nenhum!</v>
      </c>
      <c r="B35854" s="3">
        <v>0</v>
      </c>
    </row>
    <row r="35855" ht="15.75" customHeight="1" spans="1:2">
      <c r="A35855" s="3" t="str">
        <f>IFERROR(__xludf.DUMMYFUNCTION("GOOGLETRANSLATE(A35855,""en"",""pt"")"),"é claro que não tem todas as características modernas")</f>
        <v>é claro que não tem todas as características modernas</v>
      </c>
      <c r="B35855" s="3">
        <v>0</v>
      </c>
    </row>
    <row r="35856" ht="15.75" customHeight="1" spans="1:2">
      <c r="A35856" s="3" t="str">
        <f>IFERROR(__xludf.DUMMYFUNCTION("GOOGLETRANSLATE(A35856,""en"",""pt"")"),"Eu não consigo pensar em nenhum.")</f>
        <v>Eu não consigo pensar em nenhum.</v>
      </c>
      <c r="B35856" s="3">
        <v>0</v>
      </c>
    </row>
    <row r="35857" ht="15.75" customHeight="1" spans="1:2">
      <c r="A35857" s="3" t="str">
        <f>IFERROR(__xludf.DUMMYFUNCTION("GOOGLETRANSLATE(A35857,""en"",""pt"")"),"tempo de bateria")</f>
        <v>tempo de bateria</v>
      </c>
      <c r="B35857" s="3">
        <v>0</v>
      </c>
    </row>
    <row r="35858" ht="15.75" customHeight="1" spans="1:2">
      <c r="A35858" s="3" t="str">
        <f>IFERROR(__xludf.DUMMYFUNCTION("GOOGLETRANSLATE(A35858,""en"",""pt"")"),"nove")</f>
        <v>nove</v>
      </c>
      <c r="B35858" s="3">
        <v>0</v>
      </c>
    </row>
    <row r="35859" ht="15.75" customHeight="1" spans="1:2">
      <c r="A35859" s="3" t="str">
        <f>IFERROR(__xludf.DUMMYFUNCTION("GOOGLETRANSLATE(A35859,""en"",""pt"")"),"Eu não posso pensar em qualquer")</f>
        <v>Eu não posso pensar em qualquer</v>
      </c>
      <c r="B35859" s="3">
        <v>0</v>
      </c>
    </row>
    <row r="35860" ht="15.75" customHeight="1" spans="1:2">
      <c r="A35860" s="3" t="str">
        <f>IFERROR(__xludf.DUMMYFUNCTION("GOOGLETRANSLATE(A35860,""en"",""pt"")"),"Mais pesado que alguns telefones celulares.")</f>
        <v>Mais pesado que alguns telefones celulares.</v>
      </c>
      <c r="B35860" s="3">
        <v>0</v>
      </c>
    </row>
    <row r="35861" ht="15.75" customHeight="1" spans="1:2">
      <c r="A35861" s="3" t="str">
        <f>IFERROR(__xludf.DUMMYFUNCTION("GOOGLETRANSLATE(A35861,""en"",""pt"")"),"peso")</f>
        <v>peso</v>
      </c>
      <c r="B35861" s="3">
        <v>0</v>
      </c>
    </row>
    <row r="35862" ht="15.75" customHeight="1" spans="1:2">
      <c r="A35862" s="3" t="str">
        <f>IFERROR(__xludf.DUMMYFUNCTION("GOOGLETRANSLATE(A35862,""en"",""pt"")"),"Um pouco grande para os padrões de hoje; velha tecnologia; certeza que não está mais disponível novo")</f>
        <v>Um pouco grande para os padrões de hoje; velha tecnologia; certeza que não está mais disponível novo</v>
      </c>
      <c r="B35862" s="3">
        <v>0</v>
      </c>
    </row>
    <row r="35863" ht="15.75" customHeight="1" spans="1:2">
      <c r="A35863" s="3" t="str">
        <f>IFERROR(__xludf.DUMMYFUNCTION("GOOGLETRANSLATE(A35863,""en"",""pt"")"),"tecnologia analógica única, comprimento de vida")</f>
        <v>tecnologia analógica única, comprimento de vida</v>
      </c>
      <c r="B35863" s="3">
        <v>0</v>
      </c>
    </row>
    <row r="35864" ht="15.75" customHeight="1" spans="1:2">
      <c r="A35864" s="3" t="str">
        <f>IFERROR(__xludf.DUMMYFUNCTION("GOOGLETRANSLATE(A35864,""en"",""pt"")"),"Short Time Bateria")</f>
        <v>Short Time Bateria</v>
      </c>
      <c r="B35864" s="3">
        <v>0</v>
      </c>
    </row>
    <row r="35865" ht="15.75" customHeight="1" spans="1:2">
      <c r="A35865" s="3" t="str">
        <f>IFERROR(__xludf.DUMMYFUNCTION("GOOGLETRANSLATE(A35865,""en"",""pt"")"),"Nenhum tanto quanto eu estou em causa")</f>
        <v>Nenhum tanto quanto eu estou em causa</v>
      </c>
      <c r="B35865" s="3">
        <v>0</v>
      </c>
    </row>
    <row r="35866" ht="15.75" customHeight="1" spans="1:2">
      <c r="A35866" s="3" t="str">
        <f>IFERROR(__xludf.DUMMYFUNCTION("GOOGLETRANSLATE(A35866,""en"",""pt"")"),"maior modelo")</f>
        <v>maior modelo</v>
      </c>
      <c r="B35866" s="3">
        <v>0</v>
      </c>
    </row>
    <row r="35867" ht="15.75" customHeight="1" spans="1:2">
      <c r="A35867" s="3" t="str">
        <f>IFERROR(__xludf.DUMMYFUNCTION("GOOGLETRANSLATE(A35867,""en"",""pt"")"),"Analógico, não digital.")</f>
        <v>Analógico, não digital.</v>
      </c>
      <c r="B35867" s="3">
        <v>0</v>
      </c>
    </row>
    <row r="35868" ht="15.75" customHeight="1" spans="1:2">
      <c r="A35868" s="3" t="str">
        <f>IFERROR(__xludf.DUMMYFUNCTION("GOOGLETRANSLATE(A35868,""en"",""pt"")"),"poderia usar melhor iluminação no teclado e visor.")</f>
        <v>poderia usar melhor iluminação no teclado e visor.</v>
      </c>
      <c r="B35868" s="3">
        <v>0</v>
      </c>
    </row>
    <row r="35869" ht="15.75" customHeight="1" spans="1:2">
      <c r="A35869" s="3" t="str">
        <f>IFERROR(__xludf.DUMMYFUNCTION("GOOGLETRANSLATE(A35869,""en"",""pt"")"),"curta duração da bateria")</f>
        <v>curta duração da bateria</v>
      </c>
      <c r="B35869" s="3">
        <v>0</v>
      </c>
    </row>
    <row r="35870" ht="15.75" customHeight="1" spans="1:2">
      <c r="A35870" s="3" t="str">
        <f>IFERROR(__xludf.DUMMYFUNCTION("GOOGLETRANSLATE(A35870,""en"",""pt"")"),"Algumas opções estão inoperantes")</f>
        <v>Algumas opções estão inoperantes</v>
      </c>
      <c r="B35870" s="3">
        <v>0</v>
      </c>
    </row>
    <row r="35871" ht="15.75" customHeight="1" spans="1:2">
      <c r="A35871" s="3" t="str">
        <f>IFERROR(__xludf.DUMMYFUNCTION("GOOGLETRANSLATE(A35871,""en"",""pt"")"),"curta duração da bateria, estática ocasional")</f>
        <v>curta duração da bateria, estática ocasional</v>
      </c>
      <c r="B35871" s="3">
        <v>0</v>
      </c>
    </row>
    <row r="35872" ht="15.75" customHeight="1" spans="1:2">
      <c r="A35872" s="3" t="str">
        <f>IFERROR(__xludf.DUMMYFUNCTION("GOOGLETRANSLATE(A35872,""en"",""pt"")"),"manchas difusas ocasionais")</f>
        <v>manchas difusas ocasionais</v>
      </c>
      <c r="B35872" s="3">
        <v>0</v>
      </c>
    </row>
    <row r="35873" ht="15.75" customHeight="1" spans="1:2">
      <c r="A35873" s="3" t="str">
        <f>IFERROR(__xludf.DUMMYFUNCTION("GOOGLETRANSLATE(A35873,""en"",""pt"")"),"curta duração da bateria")</f>
        <v>curta duração da bateria</v>
      </c>
      <c r="B35873" s="3">
        <v>0</v>
      </c>
    </row>
    <row r="35874" ht="15.75" customHeight="1" spans="1:2">
      <c r="A35874" s="3" t="str">
        <f>IFERROR(__xludf.DUMMYFUNCTION("GOOGLETRANSLATE(A35874,""en"",""pt"")"),"botão de energia complicado de usar, por vezes,")</f>
        <v>botão de energia complicado de usar, por vezes,</v>
      </c>
      <c r="B35874" s="3">
        <v>0</v>
      </c>
    </row>
    <row r="35875" ht="15.75" customHeight="1" spans="1:2">
      <c r="A35875" s="3" t="str">
        <f>IFERROR(__xludf.DUMMYFUNCTION("GOOGLETRANSLATE(A35875,""en"",""pt"")"),"o único con é que eu não tenho mais minutos grátis para usá-lo !!!!")</f>
        <v>o único con é que eu não tenho mais minutos grátis para usá-lo !!!!</v>
      </c>
      <c r="B35875" s="3">
        <v>0</v>
      </c>
    </row>
    <row r="35876" ht="15.75" customHeight="1" spans="1:2">
      <c r="A35876" s="3" t="str">
        <f>IFERROR(__xludf.DUMMYFUNCTION("GOOGLETRANSLATE(A35876,""en"",""pt"")"),"precisa modo de anel de vibração")</f>
        <v>precisa modo de anel de vibração</v>
      </c>
      <c r="B35876" s="3">
        <v>0</v>
      </c>
    </row>
    <row r="35877" ht="15.75" customHeight="1" spans="1:2">
      <c r="A35877" s="3" t="str">
        <f>IFERROR(__xludf.DUMMYFUNCTION("GOOGLETRANSLATE(A35877,""en"",""pt"")"),"nenhum ainda conhecido")</f>
        <v>nenhum ainda conhecido</v>
      </c>
      <c r="B35877" s="3">
        <v>0</v>
      </c>
    </row>
    <row r="35878" ht="15.75" customHeight="1" spans="1:2">
      <c r="A35878" s="3" t="str">
        <f>IFERROR(__xludf.DUMMYFUNCTION("GOOGLETRANSLATE(A35878,""en"",""pt"")"),"Muito grande, volumes suaves de toque, má exposição, palestra Horrível / tempo de espera, muito básicos &amp; # 13; &amp; # 10;")</f>
        <v>Muito grande, volumes suaves de toque, má exposição, palestra Horrível / tempo de espera, muito básicos &amp; # 13; &amp; # 10;</v>
      </c>
      <c r="B35878" s="3">
        <v>0</v>
      </c>
    </row>
    <row r="35879" ht="15.75" customHeight="1" spans="1:2">
      <c r="A35879" s="3" t="str">
        <f>IFERROR(__xludf.DUMMYFUNCTION("GOOGLETRANSLATE(A35879,""en"",""pt"")"),"Tempo Carrapatos Off Quando você começa a discagem, não em Captura; Setup preciso paciência")</f>
        <v>Tempo Carrapatos Off Quando você começa a discagem, não em Captura; Setup preciso paciência</v>
      </c>
      <c r="B35879" s="3">
        <v>0</v>
      </c>
    </row>
    <row r="35880" ht="15.75" customHeight="1" spans="1:2">
      <c r="A35880" s="3" t="str">
        <f>IFERROR(__xludf.DUMMYFUNCTION("GOOGLETRANSLATE(A35880,""en"",""pt"")"),"por vezes, perda de sinais")</f>
        <v>por vezes, perda de sinais</v>
      </c>
      <c r="B35880" s="3">
        <v>0</v>
      </c>
    </row>
    <row r="35881" ht="15.75" customHeight="1" spans="1:2">
      <c r="A35881" s="3" t="str">
        <f>IFERROR(__xludf.DUMMYFUNCTION("GOOGLETRANSLATE(A35881,""en"",""pt"")"),"Sempre ter que levar o livro ao redor se seu uma pessoa esquecida")</f>
        <v>Sempre ter que levar o livro ao redor se seu uma pessoa esquecida</v>
      </c>
      <c r="B35881" s="3">
        <v>0</v>
      </c>
    </row>
    <row r="35882" ht="15.75" customHeight="1" spans="1:2">
      <c r="A35882" s="3" t="str">
        <f>IFERROR(__xludf.DUMMYFUNCTION("GOOGLETRANSLATE(A35882,""en"",""pt"")"),"Fraco e barato")</f>
        <v>Fraco e barato</v>
      </c>
      <c r="B35882" s="3">
        <v>0</v>
      </c>
    </row>
    <row r="35883" ht="15.75" customHeight="1" spans="1:2">
      <c r="A35883" s="3" t="str">
        <f>IFERROR(__xludf.DUMMYFUNCTION("GOOGLETRANSLATE(A35883,""en"",""pt"")"),"conexões ligeiramente distorcido; recargas longas")</f>
        <v>conexões ligeiramente distorcido; recargas longas</v>
      </c>
      <c r="B35883" s="3">
        <v>0</v>
      </c>
    </row>
    <row r="35884" ht="15.75" customHeight="1" spans="1:2">
      <c r="A35884" s="3" t="str">
        <f>IFERROR(__xludf.DUMMYFUNCTION("GOOGLETRANSLATE(A35884,""en"",""pt"")"),"NENHUM")</f>
        <v>NENHUM</v>
      </c>
      <c r="B35884" s="3">
        <v>0</v>
      </c>
    </row>
    <row r="35885" ht="15.75" customHeight="1" spans="1:2">
      <c r="A35885" s="3" t="str">
        <f>IFERROR(__xludf.DUMMYFUNCTION("GOOGLETRANSLATE(A35885,""en"",""pt"")"),"custa muito")</f>
        <v>custa muito</v>
      </c>
      <c r="B35885" s="3">
        <v>0</v>
      </c>
    </row>
    <row r="35886" ht="15.75" customHeight="1" spans="1:2">
      <c r="A35886" s="3" t="str">
        <f>IFERROR(__xludf.DUMMYFUNCTION("GOOGLETRANSLATE(A35886,""en"",""pt"")"),"nenhum para me")</f>
        <v>nenhum para me</v>
      </c>
      <c r="B35886" s="3">
        <v>0</v>
      </c>
    </row>
    <row r="35887" ht="15.75" customHeight="1" spans="1:2">
      <c r="A35887" s="3" t="str">
        <f>IFERROR(__xludf.DUMMYFUNCTION("GOOGLETRANSLATE(A35887,""en"",""pt"")"),"acessórios pobre - sem antena móvel portátil")</f>
        <v>acessórios pobre - sem antena móvel portátil</v>
      </c>
      <c r="B35887" s="3">
        <v>0</v>
      </c>
    </row>
    <row r="35888" ht="15.75" customHeight="1" spans="1:2">
      <c r="A35888" s="3" t="str">
        <f>IFERROR(__xludf.DUMMYFUNCTION("GOOGLETRANSLATE(A35888,""en"",""pt"")"),"não pode chamar para fora da área de manutenção")</f>
        <v>não pode chamar para fora da área de manutenção</v>
      </c>
      <c r="B35888" s="3">
        <v>0</v>
      </c>
    </row>
    <row r="35889" ht="15.75" customHeight="1" spans="1:2">
      <c r="A35889" s="3" t="str">
        <f>IFERROR(__xludf.DUMMYFUNCTION("GOOGLETRANSLATE(A35889,""en"",""pt"")"),"É analógico e não tem vida útil da bateria.")</f>
        <v>É analógico e não tem vida útil da bateria.</v>
      </c>
      <c r="B35889" s="3">
        <v>0</v>
      </c>
    </row>
    <row r="35890" ht="15.75" customHeight="1" spans="1:2">
      <c r="A35890" s="3" t="str">
        <f>IFERROR(__xludf.DUMMYFUNCTION("GOOGLETRANSLATE(A35890,""en"",""pt"")"),"Um pouco grande para transportar")</f>
        <v>Um pouco grande para transportar</v>
      </c>
      <c r="B35890" s="3">
        <v>0</v>
      </c>
    </row>
    <row r="35891" ht="15.75" customHeight="1" spans="1:2">
      <c r="A35891" s="3" t="str">
        <f>IFERROR(__xludf.DUMMYFUNCTION("GOOGLETRANSLATE(A35891,""en"",""pt"")"),"A única cor é preta")</f>
        <v>A única cor é preta</v>
      </c>
      <c r="B35891" s="3">
        <v>0</v>
      </c>
    </row>
    <row r="35892" ht="15.75" customHeight="1" spans="1:2">
      <c r="A35892" s="3" t="str">
        <f>IFERROR(__xludf.DUMMYFUNCTION("GOOGLETRANSLATE(A35892,""en"",""pt"")"),"não toca bastante alto")</f>
        <v>não toca bastante alto</v>
      </c>
      <c r="B35892" s="3">
        <v>0</v>
      </c>
    </row>
    <row r="35893" ht="15.75" customHeight="1" spans="1:2">
      <c r="A35893" s="3" t="str">
        <f>IFERROR(__xludf.DUMMYFUNCTION("GOOGLETRANSLATE(A35893,""en"",""pt"")"),"poderia usar uma antena mais durável")</f>
        <v>poderia usar uma antena mais durável</v>
      </c>
      <c r="B35893" s="3">
        <v>0</v>
      </c>
    </row>
    <row r="35894" ht="15.75" customHeight="1" spans="1:2">
      <c r="A35894" s="3" t="str">
        <f>IFERROR(__xludf.DUMMYFUNCTION("GOOGLETRANSLATE(A35894,""en"",""pt"")"),"antena e tamanho da bateria")</f>
        <v>antena e tamanho da bateria</v>
      </c>
      <c r="B35894" s="3">
        <v>0</v>
      </c>
    </row>
    <row r="35895" ht="15.75" customHeight="1" spans="1:2">
      <c r="A35895" s="3" t="str">
        <f>IFERROR(__xludf.DUMMYFUNCTION("GOOGLETRANSLATE(A35895,""en"",""pt"")"),"recepção confiável, bateria fraca")</f>
        <v>recepção confiável, bateria fraca</v>
      </c>
      <c r="B35895" s="3">
        <v>0</v>
      </c>
    </row>
    <row r="35896" ht="15.75" customHeight="1" spans="1:2">
      <c r="A35896" s="3" t="str">
        <f>IFERROR(__xludf.DUMMYFUNCTION("GOOGLETRANSLATE(A35896,""en"",""pt"")"),"alguma distorção de áudio")</f>
        <v>alguma distorção de áudio</v>
      </c>
      <c r="B35896" s="3">
        <v>0</v>
      </c>
    </row>
    <row r="35897" ht="15.75" customHeight="1" spans="1:2">
      <c r="A35897" s="3" t="str">
        <f>IFERROR(__xludf.DUMMYFUNCTION("GOOGLETRANSLATE(A35897,""en"",""pt"")"),"Bad recepção, não muito memória.")</f>
        <v>Bad recepção, não muito memória.</v>
      </c>
      <c r="B35897" s="3">
        <v>0</v>
      </c>
    </row>
    <row r="35898" ht="15.75" customHeight="1" spans="1:2">
      <c r="A35898" s="3" t="str">
        <f>IFERROR(__xludf.DUMMYFUNCTION("GOOGLETRANSLATE(A35898,""en"",""pt"")"),"Tamanho")</f>
        <v>Tamanho</v>
      </c>
      <c r="B35898" s="3">
        <v>0</v>
      </c>
    </row>
    <row r="35899" ht="15.75" customHeight="1" spans="1:2">
      <c r="A35899" s="3" t="str">
        <f>IFERROR(__xludf.DUMMYFUNCTION("GOOGLETRANSLATE(A35899,""en"",""pt"")"),"É no lado grande, mas e daí.")</f>
        <v>É no lado grande, mas e daí.</v>
      </c>
      <c r="B35899" s="3">
        <v>0</v>
      </c>
    </row>
    <row r="35900" ht="15.75" customHeight="1" spans="1:2">
      <c r="A35900" s="3" t="str">
        <f>IFERROR(__xludf.DUMMYFUNCTION("GOOGLETRANSLATE(A35900,""en"",""pt"")"),"Nenhum")</f>
        <v>Nenhum</v>
      </c>
      <c r="B35900" s="3">
        <v>0</v>
      </c>
    </row>
    <row r="35901" ht="15.75" customHeight="1" spans="1:2">
      <c r="A35901" s="3" t="str">
        <f>IFERROR(__xludf.DUMMYFUNCTION("GOOGLETRANSLATE(A35901,""en"",""pt"")"),"o desempenho da bateria pobre, pobre de construção")</f>
        <v>o desempenho da bateria pobre, pobre de construção</v>
      </c>
      <c r="B35901" s="3">
        <v>0</v>
      </c>
    </row>
    <row r="35902" ht="15.75" customHeight="1" spans="1:2">
      <c r="A35902" s="3" t="str">
        <f>IFERROR(__xludf.DUMMYFUNCTION("GOOGLETRANSLATE(A35902,""en"",""pt"")"),"não muitos tipos de toque e mais armazenamento de números")</f>
        <v>não muitos tipos de toque e mais armazenamento de números</v>
      </c>
      <c r="B35902" s="3">
        <v>0</v>
      </c>
    </row>
    <row r="35903" ht="15.75" customHeight="1" spans="1:2">
      <c r="A35903" s="3" t="str">
        <f>IFERROR(__xludf.DUMMYFUNCTION("GOOGLETRANSLATE(A35903,""en"",""pt"")"),"Ele fica ruim recepção se vivendo uma área onde há um monte de montanhas")</f>
        <v>Ele fica ruim recepção se vivendo uma área onde há um monte de montanhas</v>
      </c>
      <c r="B35903" s="3">
        <v>0</v>
      </c>
    </row>
    <row r="35904" ht="15.75" customHeight="1" spans="1:2">
      <c r="A35904" s="3" t="str">
        <f>IFERROR(__xludf.DUMMYFUNCTION("GOOGLETRANSLATE(A35904,""en"",""pt"")"),"Nenhum")</f>
        <v>Nenhum</v>
      </c>
      <c r="B35904" s="3">
        <v>0</v>
      </c>
    </row>
    <row r="35905" ht="15.75" customHeight="1" spans="1:2">
      <c r="A35905" s="3" t="str">
        <f>IFERROR(__xludf.DUMMYFUNCTION("GOOGLETRANSLATE(A35905,""en"",""pt"")"),"Nenhum")</f>
        <v>Nenhum</v>
      </c>
      <c r="B35905" s="3">
        <v>0</v>
      </c>
    </row>
    <row r="35906" ht="15.75" customHeight="1" spans="1:2">
      <c r="A35906" s="3" t="str">
        <f>IFERROR(__xludf.DUMMYFUNCTION("GOOGLETRANSLATE(A35906,""en"",""pt"")"),"Não muitas opções apresentam sábio")</f>
        <v>Não muitas opções apresentam sábio</v>
      </c>
      <c r="B35906" s="3">
        <v>0</v>
      </c>
    </row>
    <row r="35907" ht="15.75" customHeight="1" spans="1:2">
      <c r="A35907" s="3" t="str">
        <f>IFERROR(__xludf.DUMMYFUNCTION("GOOGLETRANSLATE(A35907,""en"",""pt"")"),"Precisa de adaptador de carro - curta duração da bateria")</f>
        <v>Precisa de adaptador de carro - curta duração da bateria</v>
      </c>
      <c r="B35907" s="3">
        <v>0</v>
      </c>
    </row>
    <row r="35908" ht="15.75" customHeight="1" spans="1:2">
      <c r="A35908" s="3" t="str">
        <f>IFERROR(__xludf.DUMMYFUNCTION("GOOGLETRANSLATE(A35908,""en"",""pt"")"),"não encontrei um !!")</f>
        <v>não encontrei um !!</v>
      </c>
      <c r="B35908" s="3">
        <v>0</v>
      </c>
    </row>
    <row r="35909" ht="15.75" customHeight="1" spans="1:2">
      <c r="A35909" s="3" t="str">
        <f>IFERROR(__xludf.DUMMYFUNCTION("GOOGLETRANSLATE(A35909,""en"",""pt"")"),"Discussão / tempo de espera inferior a ideal")</f>
        <v>Discussão / tempo de espera inferior a ideal</v>
      </c>
      <c r="B35909" s="3">
        <v>0</v>
      </c>
    </row>
    <row r="35910" ht="15.75" customHeight="1" spans="1:2">
      <c r="A35910" s="3" t="str">
        <f>IFERROR(__xludf.DUMMYFUNCTION("GOOGLETRANSLATE(A35910,""en"",""pt"")"),"Os telefones celulares podem ser uma dor")</f>
        <v>Os telefones celulares podem ser uma dor</v>
      </c>
      <c r="B35910" s="3">
        <v>0</v>
      </c>
    </row>
    <row r="35911" ht="15.75" customHeight="1" spans="1:2">
      <c r="A35911" s="3" t="str">
        <f>IFERROR(__xludf.DUMMYFUNCTION("GOOGLETRANSLATE(A35911,""en"",""pt"")"),"nada até agora")</f>
        <v>nada até agora</v>
      </c>
      <c r="B35911" s="3">
        <v>0</v>
      </c>
    </row>
    <row r="35912" ht="15.75" customHeight="1" spans="1:2">
      <c r="A35912" s="3" t="str">
        <f>IFERROR(__xludf.DUMMYFUNCTION("GOOGLETRANSLATE(A35912,""en"",""pt"")"),"Se você não tem um que você deve obter um")</f>
        <v>Se você não tem um que você deve obter um</v>
      </c>
      <c r="B35912" s="3">
        <v>0</v>
      </c>
    </row>
    <row r="35913" ht="15.75" customHeight="1" spans="1:2">
      <c r="A35913" s="3" t="str">
        <f>IFERROR(__xludf.DUMMYFUNCTION("GOOGLETRANSLATE(A35913,""en"",""pt"")"),"Bateria fica quente")</f>
        <v>Bateria fica quente</v>
      </c>
      <c r="B35913" s="3">
        <v>0</v>
      </c>
    </row>
    <row r="35914" ht="15.75" customHeight="1" spans="1:2">
      <c r="A35914" s="3" t="str">
        <f>IFERROR(__xludf.DUMMYFUNCTION("GOOGLETRANSLATE(A35914,""en"",""pt"")"),"Scratchy, curta duração da bateria, fácil de quebrar")</f>
        <v>Scratchy, curta duração da bateria, fácil de quebrar</v>
      </c>
      <c r="B35914" s="3">
        <v>0</v>
      </c>
    </row>
    <row r="35915" ht="15.75" customHeight="1" spans="1:2">
      <c r="A35915" s="3" t="str">
        <f>IFERROR(__xludf.DUMMYFUNCTION("GOOGLETRANSLATE(A35915,""en"",""pt"")"),"Velho.")</f>
        <v>Velho.</v>
      </c>
      <c r="B35915" s="3">
        <v>0</v>
      </c>
    </row>
    <row r="35916" ht="15.75" customHeight="1" spans="1:2">
      <c r="A35916" s="3" t="str">
        <f>IFERROR(__xludf.DUMMYFUNCTION("GOOGLETRANSLATE(A35916,""en"",""pt"")"),"Como acontece com qualquer telefone celular, o serviço pode ser caro.")</f>
        <v>Como acontece com qualquer telefone celular, o serviço pode ser caro.</v>
      </c>
      <c r="B35916" s="3">
        <v>0</v>
      </c>
    </row>
    <row r="35917" ht="15.75" customHeight="1" spans="1:2">
      <c r="A35917" s="3" t="str">
        <f>IFERROR(__xludf.DUMMYFUNCTION("GOOGLETRANSLATE(A35917,""en"",""pt"")"),"Não muito boa variedade de discurso claro.")</f>
        <v>Não muito boa variedade de discurso claro.</v>
      </c>
      <c r="B35917" s="3">
        <v>0</v>
      </c>
    </row>
    <row r="35918" ht="15.75" customHeight="1" spans="1:2">
      <c r="A35918" s="3" t="str">
        <f>IFERROR(__xludf.DUMMYFUNCTION("GOOGLETRANSLATE(A35918,""en"",""pt"")"),"Conexão ruim")</f>
        <v>Conexão ruim</v>
      </c>
      <c r="B35918" s="3">
        <v>0</v>
      </c>
    </row>
    <row r="35919" ht="15.75" customHeight="1" spans="1:2">
      <c r="A35919" s="3" t="str">
        <f>IFERROR(__xludf.DUMMYFUNCTION("GOOGLETRANSLATE(A35919,""en"",""pt"")"),"NENHUM")</f>
        <v>NENHUM</v>
      </c>
      <c r="B35919" s="3">
        <v>0</v>
      </c>
    </row>
    <row r="35920" ht="15.75" customHeight="1" spans="1:2">
      <c r="A35920" s="3" t="str">
        <f>IFERROR(__xludf.DUMMYFUNCTION("GOOGLETRANSLATE(A35920,""en"",""pt"")"),"alcance")</f>
        <v>alcance</v>
      </c>
      <c r="B35920" s="3">
        <v>0</v>
      </c>
    </row>
    <row r="35921" ht="15.75" customHeight="1" spans="1:2">
      <c r="A35921" s="3" t="str">
        <f>IFERROR(__xludf.DUMMYFUNCTION("GOOGLETRANSLATE(A35921,""en"",""pt"")"),"antena é fácil de hit")</f>
        <v>antena é fácil de hit</v>
      </c>
      <c r="B35921" s="3">
        <v>0</v>
      </c>
    </row>
    <row r="35922" ht="15.75" customHeight="1" spans="1:2">
      <c r="A35922" s="3" t="str">
        <f>IFERROR(__xludf.DUMMYFUNCTION("GOOGLETRANSLATE(A35922,""en"",""pt"")"),"de altura (aprox. 7"" ),")</f>
        <v>de altura (aprox. 7" ),</v>
      </c>
      <c r="B35922" s="3">
        <v>0</v>
      </c>
    </row>
    <row r="35923" ht="15.75" customHeight="1" spans="1:2">
      <c r="A35923" s="3" t="str">
        <f>IFERROR(__xludf.DUMMYFUNCTION("GOOGLETRANSLATE(A35923,""en"",""pt"")"),"Tudo")</f>
        <v>Tudo</v>
      </c>
      <c r="B35923" s="3">
        <v>0</v>
      </c>
    </row>
    <row r="35924" ht="15.75" customHeight="1" spans="1:2">
      <c r="A35924" s="3" t="str">
        <f>IFERROR(__xludf.DUMMYFUNCTION("GOOGLETRANSLATE(A35924,""en"",""pt"")"),"serviço ao cliente leva uma eternidade para costuma ficar")</f>
        <v>serviço ao cliente leva uma eternidade para costuma ficar</v>
      </c>
      <c r="B35924" s="3">
        <v>0</v>
      </c>
    </row>
    <row r="35925" ht="15.75" customHeight="1" spans="1:2">
      <c r="A35925" s="3" t="str">
        <f>IFERROR(__xludf.DUMMYFUNCTION("GOOGLETRANSLATE(A35925,""en"",""pt"")"),"única analógico, frágil antena")</f>
        <v>única analógico, frágil antena</v>
      </c>
      <c r="B35925" s="3">
        <v>0</v>
      </c>
    </row>
    <row r="35926" ht="15.75" customHeight="1" spans="1:2">
      <c r="A35926" s="3" t="str">
        <f>IFERROR(__xludf.DUMMYFUNCTION("GOOGLETRANSLATE(A35926,""en"",""pt"")"),"um pouco caro, minutos somam")</f>
        <v>um pouco caro, minutos somam</v>
      </c>
      <c r="B35926" s="3">
        <v>0</v>
      </c>
    </row>
    <row r="35927" ht="15.75" customHeight="1" spans="1:2">
      <c r="A35927" s="3" t="str">
        <f>IFERROR(__xludf.DUMMYFUNCTION("GOOGLETRANSLATE(A35927,""en"",""pt"")"),"Nenhum identificador de chamadas no meu.")</f>
        <v>Nenhum identificador de chamadas no meu.</v>
      </c>
      <c r="B35927" s="3">
        <v>0</v>
      </c>
    </row>
    <row r="35928" ht="15.75" customHeight="1" spans="1:2">
      <c r="A35928" s="3" t="str">
        <f>IFERROR(__xludf.DUMMYFUNCTION("GOOGLETRANSLATE(A35928,""en"",""pt"")"),"não digital; selecção muito limitado de anéis")</f>
        <v>não digital; selecção muito limitado de anéis</v>
      </c>
      <c r="B35928" s="3">
        <v>0</v>
      </c>
    </row>
    <row r="35929" ht="15.75" customHeight="1" spans="1:2">
      <c r="A35929" s="3" t="str">
        <f>IFERROR(__xludf.DUMMYFUNCTION("GOOGLETRANSLATE(A35929,""en"",""pt"")"),"para grandes recursos não suficientes")</f>
        <v>para grandes recursos não suficientes</v>
      </c>
      <c r="B35929" s="3">
        <v>0</v>
      </c>
    </row>
    <row r="35930" ht="15.75" customHeight="1" spans="1:2">
      <c r="A35930" s="3" t="str">
        <f>IFERROR(__xludf.DUMMYFUNCTION("GOOGLETRANSLATE(A35930,""en"",""pt"")"),"Bateria")</f>
        <v>Bateria</v>
      </c>
      <c r="B35930" s="3">
        <v>0</v>
      </c>
    </row>
    <row r="35931" ht="15.75" customHeight="1" spans="1:2">
      <c r="A35931" s="3" t="str">
        <f>IFERROR(__xludf.DUMMYFUNCTION("GOOGLETRANSLATE(A35931,""en"",""pt"")"),"Sempre breaks")</f>
        <v>Sempre breaks</v>
      </c>
      <c r="B35931" s="3">
        <v>0</v>
      </c>
    </row>
    <row r="35932" ht="15.75" customHeight="1" spans="1:2">
      <c r="A35932" s="3" t="str">
        <f>IFERROR(__xludf.DUMMYFUNCTION("GOOGLETRANSLATE(A35932,""en"",""pt"")"),"Nenhum")</f>
        <v>Nenhum</v>
      </c>
      <c r="B35932" s="3">
        <v>0</v>
      </c>
    </row>
    <row r="35933" ht="15.75" customHeight="1" spans="1:2">
      <c r="A35933" s="3" t="str">
        <f>IFERROR(__xludf.DUMMYFUNCTION("GOOGLETRANSLATE(A35933,""en"",""pt"")"),"nenhum que eu possa encontrar")</f>
        <v>nenhum que eu possa encontrar</v>
      </c>
      <c r="B35933" s="3">
        <v>0</v>
      </c>
    </row>
    <row r="35934" ht="15.75" customHeight="1" spans="1:2">
      <c r="A35934" s="3" t="str">
        <f>IFERROR(__xludf.DUMMYFUNCTION("GOOGLETRANSLATE(A35934,""en"",""pt"")"),"Ainda olhando")</f>
        <v>Ainda olhando</v>
      </c>
      <c r="B35934" s="3">
        <v>0</v>
      </c>
    </row>
    <row r="35935" ht="15.75" customHeight="1" spans="1:2">
      <c r="A35935" s="3" t="str">
        <f>IFERROR(__xludf.DUMMYFUNCTION("GOOGLETRANSLATE(A35935,""en"",""pt"")"),"Pode quebrar se mal utilizado muito.")</f>
        <v>Pode quebrar se mal utilizado muito.</v>
      </c>
      <c r="B35935" s="3">
        <v>0</v>
      </c>
    </row>
    <row r="35936" ht="15.75" customHeight="1" spans="1:2">
      <c r="A35936" s="3" t="str">
        <f>IFERROR(__xludf.DUMMYFUNCTION("GOOGLETRANSLATE(A35936,""en"",""pt"")"),"Nenhum")</f>
        <v>Nenhum</v>
      </c>
      <c r="B35936" s="3">
        <v>0</v>
      </c>
    </row>
    <row r="35937" ht="15.75" customHeight="1" spans="1:2">
      <c r="A35937" s="3" t="str">
        <f>IFERROR(__xludf.DUMMYFUNCTION("GOOGLETRANSLATE(A35937,""en"",""pt"")"),"Planos de serviço caros")</f>
        <v>Planos de serviço caros</v>
      </c>
      <c r="B35937" s="3">
        <v>0</v>
      </c>
    </row>
    <row r="35938" ht="15.75" customHeight="1" spans="1:2">
      <c r="A35938" s="3" t="str">
        <f>IFERROR(__xludf.DUMMYFUNCTION("GOOGLETRANSLATE(A35938,""en"",""pt"")"),"tempo de telefone adicional pode ser caro se você não comprar ao redor.")</f>
        <v>tempo de telefone adicional pode ser caro se você não comprar ao redor.</v>
      </c>
      <c r="B35938" s="3">
        <v>0</v>
      </c>
    </row>
    <row r="35939" ht="15.75" customHeight="1" spans="1:2">
      <c r="A35939" s="3" t="str">
        <f>IFERROR(__xludf.DUMMYFUNCTION("GOOGLETRANSLATE(A35939,""en"",""pt"")"),"É um pouco maior do que alguns telefones")</f>
        <v>É um pouco maior do que alguns telefones</v>
      </c>
      <c r="B35939" s="3">
        <v>0</v>
      </c>
    </row>
    <row r="35940" ht="15.75" customHeight="1" spans="1:2">
      <c r="A35940" s="3" t="str">
        <f>IFERROR(__xludf.DUMMYFUNCTION("GOOGLETRANSLATE(A35940,""en"",""pt"")"),"é uma espécie de grande")</f>
        <v>é uma espécie de grande</v>
      </c>
      <c r="B35940" s="3">
        <v>0</v>
      </c>
    </row>
    <row r="35941" ht="15.75" customHeight="1" spans="1:2">
      <c r="A35941" s="3" t="str">
        <f>IFERROR(__xludf.DUMMYFUNCTION("GOOGLETRANSLATE(A35941,""en"",""pt"")"),"O volume é um pouco baixo.")</f>
        <v>O volume é um pouco baixo.</v>
      </c>
      <c r="B35941" s="3">
        <v>0</v>
      </c>
    </row>
    <row r="35942" ht="15.75" customHeight="1" spans="1:2">
      <c r="A35942" s="3" t="str">
        <f>IFERROR(__xludf.DUMMYFUNCTION("GOOGLETRANSLATE(A35942,""en"",""pt"")"),"volume do som")</f>
        <v>volume do som</v>
      </c>
      <c r="B35942" s="3">
        <v>0</v>
      </c>
    </row>
    <row r="35943" ht="15.75" customHeight="1" spans="1:2">
      <c r="A35943" s="3" t="str">
        <f>IFERROR(__xludf.DUMMYFUNCTION("GOOGLETRANSLATE(A35943,""en"",""pt"")"),"não valia a pena que muito")</f>
        <v>não valia a pena que muito</v>
      </c>
      <c r="B35943" s="3">
        <v>0</v>
      </c>
    </row>
    <row r="35944" ht="15.75" customHeight="1" spans="1:2">
      <c r="A35944" s="3" t="str">
        <f>IFERROR(__xludf.DUMMYFUNCTION("GOOGLETRANSLATE(A35944,""en"",""pt"")"),"Nada que eu possa encontrar")</f>
        <v>Nada que eu possa encontrar</v>
      </c>
      <c r="B35944" s="3">
        <v>0</v>
      </c>
    </row>
    <row r="35945" ht="15.75" customHeight="1" spans="1:2">
      <c r="A35945" s="3" t="str">
        <f>IFERROR(__xludf.DUMMYFUNCTION("GOOGLETRANSLATE(A35945,""en"",""pt"")"),"Nada até agora")</f>
        <v>Nada até agora</v>
      </c>
      <c r="B35945" s="3">
        <v>0</v>
      </c>
    </row>
    <row r="35946" ht="15.75" customHeight="1" spans="1:2">
      <c r="A35946" s="3" t="str">
        <f>IFERROR(__xludf.DUMMYFUNCTION("GOOGLETRANSLATE(A35946,""en"",""pt"")"),"atitude")</f>
        <v>atitude</v>
      </c>
      <c r="B35946" s="3">
        <v>0</v>
      </c>
    </row>
    <row r="35947" ht="15.75" customHeight="1" spans="1:2">
      <c r="A35947" s="3" t="str">
        <f>IFERROR(__xludf.DUMMYFUNCTION("GOOGLETRANSLATE(A35947,""en"",""pt"")"),"Nenhum")</f>
        <v>Nenhum</v>
      </c>
      <c r="B35947" s="3">
        <v>0</v>
      </c>
    </row>
    <row r="35948" ht="15.75" customHeight="1" spans="1:2">
      <c r="A35948" s="3" t="str">
        <f>IFERROR(__xludf.DUMMYFUNCTION("GOOGLETRANSLATE(A35948,""en"",""pt"")"),"Não vale a pena o seu centavo.")</f>
        <v>Não vale a pena o seu centavo.</v>
      </c>
      <c r="B35948" s="3">
        <v>0</v>
      </c>
    </row>
    <row r="35949" ht="15.75" customHeight="1" spans="1:2">
      <c r="A35949" s="3" t="str">
        <f>IFERROR(__xludf.DUMMYFUNCTION("GOOGLETRANSLATE(A35949,""en"",""pt"")"),"Quando seu telefone fica mudo você precisa para obter um novo número.")</f>
        <v>Quando seu telefone fica mudo você precisa para obter um novo número.</v>
      </c>
      <c r="B35949" s="3">
        <v>0</v>
      </c>
    </row>
    <row r="35950" ht="15.75" customHeight="1" spans="1:2">
      <c r="A35950" s="3" t="str">
        <f>IFERROR(__xludf.DUMMYFUNCTION("GOOGLETRANSLATE(A35950,""en"",""pt"")"),"Nenhuma conector em série.")</f>
        <v>Nenhuma conector em série.</v>
      </c>
      <c r="B35950" s="3">
        <v>0</v>
      </c>
    </row>
    <row r="35951" ht="15.75" customHeight="1" spans="1:2">
      <c r="A35951" s="3" t="str">
        <f>IFERROR(__xludf.DUMMYFUNCTION("GOOGLETRANSLATE(A35951,""en"",""pt"")"),"Finger-prejudicando teclado e botões; o feedback lento a partir da interface do usuário; Os flutua brilho retroiluminado")</f>
        <v>Finger-prejudicando teclado e botões; o feedback lento a partir da interface do usuário; Os flutua brilho retroiluminado</v>
      </c>
      <c r="B35951" s="3">
        <v>0</v>
      </c>
    </row>
    <row r="35952" ht="15.75" customHeight="1" spans="1:2">
      <c r="A35952" s="3" t="str">
        <f>IFERROR(__xludf.DUMMYFUNCTION("GOOGLETRANSLATE(A35952,""en"",""pt"")"),"Não confiáveis, pequenas chaves limitado, tela pequena, ""afterdesign"" hardware mais velho, fica suja fácil.")</f>
        <v>Não confiáveis, pequenas chaves limitado, tela pequena, "afterdesign" hardware mais velho, fica suja fácil.</v>
      </c>
      <c r="B35952" s="3">
        <v>0</v>
      </c>
    </row>
    <row r="35953" ht="15.75" customHeight="1" spans="1:2">
      <c r="A35953" s="3" t="str">
        <f>IFERROR(__xludf.DUMMYFUNCTION("GOOGLETRANSLATE(A35953,""en"",""pt"")"),"avarias esporádicas, em comparação w / Nokias - não amigável.")</f>
        <v>avarias esporádicas, em comparação w / Nokias - não amigável.</v>
      </c>
      <c r="B35953" s="3">
        <v>0</v>
      </c>
    </row>
    <row r="35954" ht="15.75" customHeight="1" spans="1:2">
      <c r="A35954" s="3" t="str">
        <f>IFERROR(__xludf.DUMMYFUNCTION("GOOGLETRANSLATE(A35954,""en"",""pt"")"),"vida útil da bateria, não pode baixar toques")</f>
        <v>vida útil da bateria, não pode baixar toques</v>
      </c>
      <c r="B35954" s="3">
        <v>0</v>
      </c>
    </row>
    <row r="35955" ht="15.75" customHeight="1" spans="1:2">
      <c r="A35955" s="3" t="str">
        <f>IFERROR(__xludf.DUMMYFUNCTION("GOOGLETRANSLATE(A35955,""en"",""pt"")"),"Volumosos com eco.")</f>
        <v>Volumosos com eco.</v>
      </c>
      <c r="B35955" s="3">
        <v>0</v>
      </c>
    </row>
    <row r="35956" ht="15.75" customHeight="1" spans="1:2">
      <c r="A35956" s="3" t="str">
        <f>IFERROR(__xludf.DUMMYFUNCTION("GOOGLETRANSLATE(A35956,""en"",""pt"")"),"alguns bugs, documentação marginal / Suporte, Sem IR ou Bluetooth, nenhuma tela colorida")</f>
        <v>alguns bugs, documentação marginal / Suporte, Sem IR ou Bluetooth, nenhuma tela colorida</v>
      </c>
      <c r="B35956" s="3">
        <v>0</v>
      </c>
    </row>
    <row r="35957" ht="15.75" customHeight="1" spans="1:2">
      <c r="A35957" s="3" t="str">
        <f>IFERROR(__xludf.DUMMYFUNCTION("GOOGLETRANSLATE(A35957,""en"",""pt"")"),"Ringer, alertas de mensagens, interface de entrada de texto necessidade de refinamento. acessórios caros.")</f>
        <v>Ringer, alertas de mensagens, interface de entrada de texto necessidade de refinamento. acessórios caros.</v>
      </c>
      <c r="B35957" s="3">
        <v>0</v>
      </c>
    </row>
    <row r="35958" ht="15.75" customHeight="1" spans="1:2">
      <c r="A35958" s="3" t="str">
        <f>IFERROR(__xludf.DUMMYFUNCTION("GOOGLETRANSLATE(A35958,""en"",""pt"")"),"toque e alertas poderia ser mais alto")</f>
        <v>toque e alertas poderia ser mais alto</v>
      </c>
      <c r="B35958" s="3">
        <v>0</v>
      </c>
    </row>
    <row r="35959" ht="15.75" customHeight="1" spans="1:2">
      <c r="A35959" s="3" t="str">
        <f>IFERROR(__xludf.DUMMYFUNCTION("GOOGLETRANSLATE(A35959,""en"",""pt"")"),"volume do toque, preço qualidade do som.")</f>
        <v>volume do toque, preço qualidade do som.</v>
      </c>
      <c r="B35959" s="3">
        <v>0</v>
      </c>
    </row>
    <row r="35960" ht="15.75" customHeight="1" spans="1:2">
      <c r="A35960" s="3" t="str">
        <f>IFERROR(__xludf.DUMMYFUNCTION("GOOGLETRANSLATE(A35960,""en"",""pt"")"),"Sem marcação por voz, um menu confuso pouco, poucos e caros acessórios")</f>
        <v>Sem marcação por voz, um menu confuso pouco, poucos e caros acessórios</v>
      </c>
      <c r="B35960" s="3">
        <v>0</v>
      </c>
    </row>
    <row r="35961" ht="15.75" customHeight="1" spans="1:2">
      <c r="A35961" s="3" t="str">
        <f>IFERROR(__xludf.DUMMYFUNCTION("GOOGLETRANSLATE(A35961,""en"",""pt"")"),"Poderia ter um jogo ou dois vêm de fábrica, não viva-voz.")</f>
        <v>Poderia ter um jogo ou dois vêm de fábrica, não viva-voz.</v>
      </c>
      <c r="B35961" s="3">
        <v>0</v>
      </c>
    </row>
    <row r="35962" ht="15.75" customHeight="1" spans="1:2">
      <c r="A35962" s="3" t="str">
        <f>IFERROR(__xludf.DUMMYFUNCTION("GOOGLETRANSLATE(A35962,""en"",""pt"")"),"Ringer / Vibrar são fracos. Menu Design um pouco confuso.")</f>
        <v>Ringer / Vibrar são fracos. Menu Design um pouco confuso.</v>
      </c>
      <c r="B35962" s="3">
        <v>0</v>
      </c>
    </row>
    <row r="35963" ht="15.75" customHeight="1" spans="1:2">
      <c r="A35963" s="3" t="str">
        <f>IFERROR(__xludf.DUMMYFUNCTION("GOOGLETRANSLATE(A35963,""en"",""pt"")"),"A controvérsia tom de chamada (ver abaixo) e intuitiva Menus")</f>
        <v>A controvérsia tom de chamada (ver abaixo) e intuitiva Menus</v>
      </c>
      <c r="B35963" s="3">
        <v>0</v>
      </c>
    </row>
    <row r="35964" ht="15.75" customHeight="1" spans="1:2">
      <c r="A35964" s="3" t="str">
        <f>IFERROR(__xludf.DUMMYFUNCTION("GOOGLETRANSLATE(A35964,""en"",""pt"")"),"estojo de couro sai, difícil de aprender recursos, deve remover caso a carga.")</f>
        <v>estojo de couro sai, difícil de aprender recursos, deve remover caso a carga.</v>
      </c>
      <c r="B35964" s="3">
        <v>0</v>
      </c>
    </row>
    <row r="35965" ht="15.75" customHeight="1" spans="1:2">
      <c r="A35965" s="3" t="str">
        <f>IFERROR(__xludf.DUMMYFUNCTION("GOOGLETRANSLATE(A35965,""en"",""pt"")"),"só toca obras de volume selecionados pelo usuário quando o telefone estiver aberto !! Espere, há mais!")</f>
        <v>só toca obras de volume selecionados pelo usuário quando o telefone estiver aberto !! Espere, há mais!</v>
      </c>
      <c r="B35965" s="3">
        <v>0</v>
      </c>
    </row>
    <row r="35966" ht="15.75" customHeight="1" spans="1:2">
      <c r="A35966" s="3" t="str">
        <f>IFERROR(__xludf.DUMMYFUNCTION("GOOGLETRANSLATE(A35966,""en"",""pt"")"),"A vida da bateria, campainha, Durabilidade")</f>
        <v>A vida da bateria, campainha, Durabilidade</v>
      </c>
      <c r="B35966" s="3">
        <v>0</v>
      </c>
    </row>
    <row r="35967" ht="15.75" customHeight="1" spans="1:2">
      <c r="A35967" s="3" t="str">
        <f>IFERROR(__xludf.DUMMYFUNCTION("GOOGLETRANSLATE(A35967,""en"",""pt"")"),"Verizon completamente removido Marcação por voz neste telefone supostamente ""atualizado"".")</f>
        <v>Verizon completamente removido Marcação por voz neste telefone supostamente "atualizado".</v>
      </c>
      <c r="B35967" s="3">
        <v>0</v>
      </c>
    </row>
    <row r="35968" ht="15.75" customHeight="1" spans="1:2">
      <c r="A35968" s="3" t="str">
        <f>IFERROR(__xludf.DUMMYFUNCTION("GOOGLETRANSLATE(A35968,""en"",""pt"")"),"Ringers fraco!")</f>
        <v>Ringers fraco!</v>
      </c>
      <c r="B35968" s="3">
        <v>0</v>
      </c>
    </row>
    <row r="35969" ht="15.75" customHeight="1" spans="1:2">
      <c r="A35969" s="3" t="str">
        <f>IFERROR(__xludf.DUMMYFUNCTION("GOOGLETRANSLATE(A35969,""en"",""pt"")"),"caso defeituoso faz rangidos")</f>
        <v>caso defeituoso faz rangidos</v>
      </c>
      <c r="B35969" s="3">
        <v>0</v>
      </c>
    </row>
    <row r="35970" ht="15.75" customHeight="1" spans="1:2">
      <c r="A35970" s="3" t="str">
        <f>IFERROR(__xludf.DUMMYFUNCTION("GOOGLETRANSLATE(A35970,""en"",""pt"")"),"Ringer de volume muito baixo, interface de usuário pobres")</f>
        <v>Ringer de volume muito baixo, interface de usuário pobres</v>
      </c>
      <c r="B35970" s="3">
        <v>0</v>
      </c>
    </row>
    <row r="35971" ht="15.75" customHeight="1" spans="1:2">
      <c r="A35971" s="3" t="str">
        <f>IFERROR(__xludf.DUMMYFUNCTION("GOOGLETRANSLATE(A35971,""en"",""pt"")"),"De curta duração, uma vez que só durou um ano, dois meses.")</f>
        <v>De curta duração, uma vez que só durou um ano, dois meses.</v>
      </c>
      <c r="B35971" s="3">
        <v>0</v>
      </c>
    </row>
    <row r="35972" ht="15.75" customHeight="1" spans="1:2">
      <c r="A35972" s="3" t="str">
        <f>IFERROR(__xludf.DUMMYFUNCTION("GOOGLETRANSLATE(A35972,""en"",""pt"")"),"Baixo Volume de Ringer e Capacidade para novos Toques")</f>
        <v>Baixo Volume de Ringer e Capacidade para novos Toques</v>
      </c>
      <c r="B35972" s="3">
        <v>0</v>
      </c>
    </row>
    <row r="35973" ht="15.75" customHeight="1" spans="1:2">
      <c r="A35973" s="3" t="str">
        <f>IFERROR(__xludf.DUMMYFUNCTION("GOOGLETRANSLATE(A35973,""en"",""pt"")"),"Limited (e muito ruim) toques, muito dinheiro para este telefone")</f>
        <v>Limited (e muito ruim) toques, muito dinheiro para este telefone</v>
      </c>
      <c r="B35973" s="3">
        <v>0</v>
      </c>
    </row>
    <row r="35974" ht="15.75" customHeight="1" spans="1:2">
      <c r="A35974" s="3" t="str">
        <f>IFERROR(__xludf.DUMMYFUNCTION("GOOGLETRANSLATE(A35974,""en"",""pt"")"),"selecção toque Limited.")</f>
        <v>selecção toque Limited.</v>
      </c>
      <c r="B35974" s="3">
        <v>0</v>
      </c>
    </row>
    <row r="35975" ht="15.75" customHeight="1" spans="1:2">
      <c r="A35975" s="3" t="str">
        <f>IFERROR(__xludf.DUMMYFUNCTION("GOOGLETRANSLATE(A35975,""en"",""pt"")"),"difícil de menus Navegar")</f>
        <v>difícil de menus Navegar</v>
      </c>
      <c r="B35975" s="3">
        <v>0</v>
      </c>
    </row>
    <row r="35976" ht="15.75" customHeight="1" spans="1:2">
      <c r="A35976" s="3" t="str">
        <f>IFERROR(__xludf.DUMMYFUNCTION("GOOGLETRANSLATE(A35976,""en"",""pt"")"),"tom de toque não é muito alto")</f>
        <v>tom de toque não é muito alto</v>
      </c>
      <c r="B35976" s="3">
        <v>0</v>
      </c>
    </row>
    <row r="35977" ht="15.75" customHeight="1" spans="1:2">
      <c r="A35977" s="3" t="str">
        <f>IFERROR(__xludf.DUMMYFUNCTION("GOOGLETRANSLATE(A35977,""en"",""pt"")"),"nenhuma, como ainda de")</f>
        <v>nenhuma, como ainda de</v>
      </c>
      <c r="B35977" s="3">
        <v>0</v>
      </c>
    </row>
    <row r="35978" ht="15.75" customHeight="1" spans="1:2">
      <c r="A35978" s="3" t="str">
        <f>IFERROR(__xludf.DUMMYFUNCTION("GOOGLETRANSLATE(A35978,""en"",""pt"")"),"Bateria tende a ir mais rápido mortos.")</f>
        <v>Bateria tende a ir mais rápido mortos.</v>
      </c>
      <c r="B35978" s="3">
        <v>0</v>
      </c>
    </row>
    <row r="35979" ht="15.75" customHeight="1" spans="1:2">
      <c r="A35979" s="3" t="str">
        <f>IFERROR(__xludf.DUMMYFUNCTION("GOOGLETRANSLATE(A35979,""en"",""pt"")"),"Porque fornece tanto, não é para o usuário de telefone celular casual.")</f>
        <v>Porque fornece tanto, não é para o usuário de telefone celular casual.</v>
      </c>
      <c r="B35979" s="3">
        <v>0</v>
      </c>
    </row>
    <row r="35980" ht="15.75" customHeight="1" spans="1:2">
      <c r="A35980" s="3" t="str">
        <f>IFERROR(__xludf.DUMMYFUNCTION("GOOGLETRANSLATE(A35980,""en"",""pt"")"),"Frágeis Antena, e alguns outros ...")</f>
        <v>Frágeis Antena, e alguns outros ...</v>
      </c>
      <c r="B35980" s="3">
        <v>0</v>
      </c>
    </row>
    <row r="35981" ht="15.75" customHeight="1" spans="1:2">
      <c r="A35981" s="3" t="str">
        <f>IFERROR(__xludf.DUMMYFUNCTION("GOOGLETRANSLATE(A35981,""en"",""pt"")"),"melhor para o negócio")</f>
        <v>melhor para o negócio</v>
      </c>
      <c r="B35981" s="3">
        <v>0</v>
      </c>
    </row>
    <row r="35982" ht="15.75" customHeight="1" spans="1:2">
      <c r="A35982" s="3" t="str">
        <f>IFERROR(__xludf.DUMMYFUNCTION("GOOGLETRANSLATE(A35982,""en"",""pt"")"),"Algumas falhas de projeto, variado problemas semi-comuns")</f>
        <v>Algumas falhas de projeto, variado problemas semi-comuns</v>
      </c>
      <c r="B35982" s="3">
        <v>0</v>
      </c>
    </row>
    <row r="35983" ht="15.75" customHeight="1" spans="1:2">
      <c r="A35983" s="3" t="str">
        <f>IFERROR(__xludf.DUMMYFUNCTION("GOOGLETRANSLATE(A35983,""en"",""pt"")"),"preço, custos de plano, a qualidade do som, antena")</f>
        <v>preço, custos de plano, a qualidade do som, antena</v>
      </c>
      <c r="B35983" s="3">
        <v>0</v>
      </c>
    </row>
    <row r="35984" ht="15.75" customHeight="1" spans="1:2">
      <c r="A35984" s="3" t="str">
        <f>IFERROR(__xludf.DUMMYFUNCTION("GOOGLETRANSLATE(A35984,""en"",""pt"")"),"péssimo serviço na área de Detroit")</f>
        <v>péssimo serviço na área de Detroit</v>
      </c>
      <c r="B35984" s="3">
        <v>0</v>
      </c>
    </row>
    <row r="35985" ht="15.75" customHeight="1" spans="1:2">
      <c r="A35985" s="3" t="str">
        <f>IFERROR(__xludf.DUMMYFUNCTION("GOOGLETRANSLATE(A35985,""en"",""pt"")"),"vida útil da bateria, súbita desligamento telefone, gotas de chamadas súbitas")</f>
        <v>vida útil da bateria, súbita desligamento telefone, gotas de chamadas súbitas</v>
      </c>
      <c r="B35985" s="3">
        <v>0</v>
      </c>
    </row>
    <row r="35986" ht="15.75" customHeight="1" spans="1:2">
      <c r="A35986" s="3" t="str">
        <f>IFERROR(__xludf.DUMMYFUNCTION("GOOGLETRANSLATE(A35986,""en"",""pt"")"),"NENHUM")</f>
        <v>NENHUM</v>
      </c>
      <c r="B35986" s="3">
        <v>0</v>
      </c>
    </row>
    <row r="35987" ht="15.75" customHeight="1" spans="1:2">
      <c r="A35987" s="3" t="str">
        <f>IFERROR(__xludf.DUMMYFUNCTION("GOOGLETRANSLATE(A35987,""en"",""pt"")"),"Complicado, difícil, curta duração da bateria")</f>
        <v>Complicado, difícil, curta duração da bateria</v>
      </c>
      <c r="B35987" s="3">
        <v>0</v>
      </c>
    </row>
    <row r="35988" ht="15.75" customHeight="1" spans="1:2">
      <c r="A35988" s="3" t="str">
        <f>IFERROR(__xludf.DUMMYFUNCTION("GOOGLETRANSLATE(A35988,""en"",""pt"")"),"um pouco estranho")</f>
        <v>um pouco estranho</v>
      </c>
      <c r="B35988" s="3">
        <v>0</v>
      </c>
    </row>
    <row r="35989" ht="15.75" customHeight="1" spans="1:2">
      <c r="A35989" s="3" t="str">
        <f>IFERROR(__xludf.DUMMYFUNCTION("GOOGLETRANSLATE(A35989,""en"",""pt"")"),"alguns pontos-mortos nos subúrbios, nenhuma maneira de desligar 'resposta sobre flip aberto'")</f>
        <v>alguns pontos-mortos nos subúrbios, nenhuma maneira de desligar 'resposta sobre flip aberto'</v>
      </c>
      <c r="B35989" s="3">
        <v>0</v>
      </c>
    </row>
    <row r="35990" ht="15.75" customHeight="1" spans="1:2">
      <c r="A35990" s="3" t="str">
        <f>IFERROR(__xludf.DUMMYFUNCTION("GOOGLETRANSLATE(A35990,""en"",""pt"")"),"Arranha-céus causar sinais de abandono.")</f>
        <v>Arranha-céus causar sinais de abandono.</v>
      </c>
      <c r="B35990" s="3">
        <v>0</v>
      </c>
    </row>
    <row r="35991" ht="15.75" customHeight="1" spans="1:2">
      <c r="A35991" s="3" t="str">
        <f>IFERROR(__xludf.DUMMYFUNCTION("GOOGLETRANSLATE(A35991,""en"",""pt"")"),"flip top frágil, desconfortável, junto ao ouvido, métodos de programação elaborados estão confundindo")</f>
        <v>flip top frágil, desconfortável, junto ao ouvido, métodos de programação elaborados estão confundindo</v>
      </c>
      <c r="B35991" s="3">
        <v>0</v>
      </c>
    </row>
    <row r="35992" ht="15.75" customHeight="1" spans="1:2">
      <c r="A35992" s="3" t="str">
        <f>IFERROR(__xludf.DUMMYFUNCTION("GOOGLETRANSLATE(A35992,""en"",""pt"")"),"Nada até agora")</f>
        <v>Nada até agora</v>
      </c>
      <c r="B35992" s="3">
        <v>0</v>
      </c>
    </row>
    <row r="35993" ht="15.75" customHeight="1" spans="1:2">
      <c r="A35993" s="3" t="str">
        <f>IFERROR(__xludf.DUMMYFUNCTION("GOOGLETRANSLATE(A35993,""en"",""pt"")"),"Pouco tempo de conversação / standby; sem boas características")</f>
        <v>Pouco tempo de conversação / standby; sem boas características</v>
      </c>
      <c r="B35993" s="3">
        <v>0</v>
      </c>
    </row>
    <row r="35994" ht="15.75" customHeight="1" spans="1:2">
      <c r="A35994" s="3" t="str">
        <f>IFERROR(__xludf.DUMMYFUNCTION("GOOGLETRANSLATE(A35994,""en"",""pt"")"),"Custo do serviço, o volume do fone.")</f>
        <v>Custo do serviço, o volume do fone.</v>
      </c>
      <c r="B35994" s="3">
        <v>0</v>
      </c>
    </row>
    <row r="35995" ht="15.75" customHeight="1" spans="1:2">
      <c r="A35995" s="3" t="str">
        <f>IFERROR(__xludf.DUMMYFUNCTION("GOOGLETRANSLATE(A35995,""en"",""pt"")"),"precisa de mais melodias de campainha")</f>
        <v>precisa de mais melodias de campainha</v>
      </c>
      <c r="B35995" s="3">
        <v>0</v>
      </c>
    </row>
    <row r="35996" ht="15.75" customHeight="1" spans="1:2">
      <c r="A35996" s="3" t="str">
        <f>IFERROR(__xludf.DUMMYFUNCTION("GOOGLETRANSLATE(A35996,""en"",""pt"")"),"Não é muito user-friendly")</f>
        <v>Não é muito user-friendly</v>
      </c>
      <c r="B35996" s="3">
        <v>0</v>
      </c>
    </row>
    <row r="35997" ht="15.75" customHeight="1" spans="1:2">
      <c r="A35997" s="3" t="str">
        <f>IFERROR(__xludf.DUMMYFUNCTION("GOOGLETRANSLATE(A35997,""en"",""pt"")"),"Um pouco volumoso, o serviço pode ser caro")</f>
        <v>Um pouco volumoso, o serviço pode ser caro</v>
      </c>
      <c r="B35997" s="3">
        <v>0</v>
      </c>
    </row>
    <row r="35998" ht="15.75" customHeight="1" spans="1:2">
      <c r="A35998" s="3" t="str">
        <f>IFERROR(__xludf.DUMMYFUNCTION("GOOGLETRANSLATE(A35998,""en"",""pt"")"),"Um monte de tempo de ar morto")</f>
        <v>Um monte de tempo de ar morto</v>
      </c>
      <c r="B35998" s="3">
        <v>0</v>
      </c>
    </row>
    <row r="35999" ht="15.75" customHeight="1" spans="1:2">
      <c r="A35999" s="3" t="str">
        <f>IFERROR(__xludf.DUMMYFUNCTION("GOOGLETRANSLATE(A35999,""en"",""pt"")"),"A vida da bateria, Frágil Antenna")</f>
        <v>A vida da bateria, Frágil Antenna</v>
      </c>
      <c r="B35999" s="3">
        <v>0</v>
      </c>
    </row>
    <row r="36000" ht="15.75" customHeight="1" spans="1:2">
      <c r="A36000" s="3" t="str">
        <f>IFERROR(__xludf.DUMMYFUNCTION("GOOGLETRANSLATE(A36000,""en"",""pt"")"),"difícil de usar, planos de alta taxa")</f>
        <v>difícil de usar, planos de alta taxa</v>
      </c>
      <c r="B36000" s="3">
        <v>0</v>
      </c>
    </row>
    <row r="36001" ht="15.75" customHeight="1" spans="1:2">
      <c r="A36001" s="3" t="str">
        <f>IFERROR(__xludf.DUMMYFUNCTION("GOOGLETRANSLATE(A36001,""en"",""pt"")"),"Nem sempre readibly acessível quando no trem indo para o escritório e voltar para casa.")</f>
        <v>Nem sempre readibly acessível quando no trem indo para o escritório e voltar para casa.</v>
      </c>
      <c r="B36001" s="3">
        <v>0</v>
      </c>
    </row>
    <row r="36002" ht="15.75" customHeight="1" spans="1:2">
      <c r="A36002" s="3" t="str">
        <f>IFERROR(__xludf.DUMMYFUNCTION("GOOGLETRANSLATE(A36002,""en"",""pt"")"),"nenhum tom divertido anel, um pouco pesado")</f>
        <v>nenhum tom divertido anel, um pouco pesado</v>
      </c>
      <c r="B36002" s="3">
        <v>0</v>
      </c>
    </row>
    <row r="36003" ht="15.75" customHeight="1" spans="1:2">
      <c r="A36003" s="3" t="str">
        <f>IFERROR(__xludf.DUMMYFUNCTION("GOOGLETRANSLATE(A36003,""en"",""pt"")"),"Facilmente danificado se cair")</f>
        <v>Facilmente danificado se cair</v>
      </c>
      <c r="B36003" s="3">
        <v>0</v>
      </c>
    </row>
    <row r="36004" ht="15.75" customHeight="1" spans="1:2">
      <c r="A36004" s="3" t="str">
        <f>IFERROR(__xludf.DUMMYFUNCTION("GOOGLETRANSLATE(A36004,""en"",""pt"")"),"mensagens fantasma. tempo mais desconfortável")</f>
        <v>mensagens fantasma. tempo mais desconfortável</v>
      </c>
      <c r="B36004" s="3">
        <v>0</v>
      </c>
    </row>
    <row r="36005" ht="15.75" customHeight="1" spans="1:2">
      <c r="A36005" s="3" t="str">
        <f>IFERROR(__xludf.DUMMYFUNCTION("GOOGLETRANSLATE(A36005,""en"",""pt"")"),"Não encontrei nenhum ainda")</f>
        <v>Não encontrei nenhum ainda</v>
      </c>
      <c r="B36005" s="3">
        <v>0</v>
      </c>
    </row>
    <row r="36006" ht="15.75" customHeight="1" spans="1:2">
      <c r="A36006" s="3" t="str">
        <f>IFERROR(__xludf.DUMMYFUNCTION("GOOGLETRANSLATE(A36006,""en"",""pt"")"),"sinais, clearity, e muitos outros")</f>
        <v>sinais, clearity, e muitos outros</v>
      </c>
      <c r="B36006" s="3">
        <v>0</v>
      </c>
    </row>
    <row r="36007" ht="15.75" customHeight="1" spans="1:2">
      <c r="A36007" s="3" t="str">
        <f>IFERROR(__xludf.DUMMYFUNCTION("GOOGLETRANSLATE(A36007,""en"",""pt"")"),"Airtime em não livre .. :) Uma vez que você usar este telefone que você vai queimar algum tempo de antena.")</f>
        <v>Airtime em não livre .. :) Uma vez que você usar este telefone que você vai queimar algum tempo de antena.</v>
      </c>
      <c r="B36007" s="3">
        <v>0</v>
      </c>
    </row>
    <row r="36008" ht="15.75" customHeight="1" spans="1:2">
      <c r="A36008" s="3" t="str">
        <f>IFERROR(__xludf.DUMMYFUNCTION("GOOGLETRANSLATE(A36008,""en"",""pt"")"),"Custos extra para Caller ID")</f>
        <v>Custos extra para Caller ID</v>
      </c>
      <c r="B36008" s="3">
        <v>0</v>
      </c>
    </row>
    <row r="36009" ht="15.75" customHeight="1" spans="1:2">
      <c r="A36009" s="3" t="str">
        <f>IFERROR(__xludf.DUMMYFUNCTION("GOOGLETRANSLATE(A36009,""en"",""pt"")"),"desajeitado em comparação com os telefones mais recentes, pode curto-circuito na chuva pesada")</f>
        <v>desajeitado em comparação com os telefones mais recentes, pode curto-circuito na chuva pesada</v>
      </c>
      <c r="B36009" s="3">
        <v>0</v>
      </c>
    </row>
    <row r="36010" ht="15.75" customHeight="1" spans="1:2">
      <c r="A36010" s="3" t="str">
        <f>IFERROR(__xludf.DUMMYFUNCTION("GOOGLETRANSLATE(A36010,""en"",""pt"")"),"necessita de uma melhor bateria")</f>
        <v>necessita de uma melhor bateria</v>
      </c>
      <c r="B36010" s="3">
        <v>0</v>
      </c>
    </row>
    <row r="36011" ht="15.75" customHeight="1" spans="1:2">
      <c r="A36011" s="3" t="str">
        <f>IFERROR(__xludf.DUMMYFUNCTION("GOOGLETRANSLATE(A36011,""en"",""pt"")"),"Virar sai, chamadas abandonadas, má recepção")</f>
        <v>Virar sai, chamadas abandonadas, má recepção</v>
      </c>
      <c r="B36011" s="3">
        <v>0</v>
      </c>
    </row>
    <row r="36012" ht="15.75" customHeight="1" spans="1:2">
      <c r="A36012" s="3" t="str">
        <f>IFERROR(__xludf.DUMMYFUNCTION("GOOGLETRANSLATE(A36012,""en"",""pt"")"),"Mais difícil de encontrar do que os modelos flip-telefone mais recentes")</f>
        <v>Mais difícil de encontrar do que os modelos flip-telefone mais recentes</v>
      </c>
      <c r="B36012" s="3">
        <v>0</v>
      </c>
    </row>
    <row r="36013" ht="15.75" customHeight="1" spans="1:2">
      <c r="A36013" s="3" t="str">
        <f>IFERROR(__xludf.DUMMYFUNCTION("GOOGLETRANSLATE(A36013,""en"",""pt"")"),"ReadyLink não é prático, a vida da bateria, qualidade de viva-voz, não é durável!")</f>
        <v>ReadyLink não é prático, a vida da bateria, qualidade de viva-voz, não é durável!</v>
      </c>
      <c r="B36013" s="3">
        <v>0</v>
      </c>
    </row>
    <row r="36014" ht="15.75" customHeight="1" spans="1:2">
      <c r="A36014" s="3" t="str">
        <f>IFERROR(__xludf.DUMMYFUNCTION("GOOGLETRANSLATE(A36014,""en"",""pt"")"),"Alguns botões não são bem iluminados, No SMS Mensagens de texto")</f>
        <v>Alguns botões não são bem iluminados, No SMS Mensagens de texto</v>
      </c>
      <c r="B36014" s="3">
        <v>0</v>
      </c>
    </row>
    <row r="36015" ht="15.75" customHeight="1" spans="1:2">
      <c r="A36015" s="3" t="str">
        <f>IFERROR(__xludf.DUMMYFUNCTION("GOOGLETRANSLATE(A36015,""en"",""pt"")"),"A vida da bateria é terrível")</f>
        <v>A vida da bateria é terrível</v>
      </c>
      <c r="B36015" s="3">
        <v>0</v>
      </c>
    </row>
    <row r="36016" ht="15.75" customHeight="1" spans="1:2">
      <c r="A36016" s="3" t="str">
        <f>IFERROR(__xludf.DUMMYFUNCTION("GOOGLETRANSLATE(A36016,""en"",""pt"")"),"A vida da bateria é terríveis que as pessoas não o suficiente usando ReadyLink")</f>
        <v>A vida da bateria é terríveis que as pessoas não o suficiente usando ReadyLink</v>
      </c>
      <c r="B36016" s="3">
        <v>0</v>
      </c>
    </row>
    <row r="36017" ht="15.75" customHeight="1" spans="1:2">
      <c r="A36017" s="3" t="str">
        <f>IFERROR(__xludf.DUMMYFUNCTION("GOOGLETRANSLATE(A36017,""en"",""pt"")"),"Sem mensagens de texto")</f>
        <v>Sem mensagens de texto</v>
      </c>
      <c r="B36017" s="3">
        <v>0</v>
      </c>
    </row>
    <row r="36018" ht="15.75" customHeight="1" spans="1:2">
      <c r="A36018" s="3" t="str">
        <f>IFERROR(__xludf.DUMMYFUNCTION("GOOGLETRANSLATE(A36018,""en"",""pt"")"),"serviços auxiliares são pobres, tais como PCS Vision, Pronto-Link.")</f>
        <v>serviços auxiliares são pobres, tais como PCS Vision, Pronto-Link.</v>
      </c>
      <c r="B36018" s="3">
        <v>0</v>
      </c>
    </row>
    <row r="36019" ht="15.75" customHeight="1" spans="1:2">
      <c r="A36019" s="3" t="str">
        <f>IFERROR(__xludf.DUMMYFUNCTION("GOOGLETRANSLATE(A36019,""en"",""pt"")"),"vida de bateria fraca em comparação com outros telefones que eu possuía.")</f>
        <v>vida de bateria fraca em comparação com outros telefones que eu possuía.</v>
      </c>
      <c r="B36019" s="3">
        <v>0</v>
      </c>
    </row>
    <row r="36020" ht="15.75" customHeight="1" spans="1:2">
      <c r="A36020" s="3" t="str">
        <f>IFERROR(__xludf.DUMMYFUNCTION("GOOGLETRANSLATE(A36020,""en"",""pt"")"),"Menu do sistema, vida útil da bateria, Não Adicionar em placas de cara. Dents aparelho com facilidade")</f>
        <v>Menu do sistema, vida útil da bateria, Não Adicionar em placas de cara. Dents aparelho com facilidade</v>
      </c>
      <c r="B36020" s="3">
        <v>0</v>
      </c>
    </row>
    <row r="36021" ht="15.75" customHeight="1" spans="1:2">
      <c r="A36021" s="3" t="str">
        <f>IFERROR(__xludf.DUMMYFUNCTION("GOOGLETRANSLATE(A36021,""en"",""pt"")"),"chaves poderia ser muito pequeno e pesado para mensagens de texto, a energia da bateria curta")</f>
        <v>chaves poderia ser muito pequeno e pesado para mensagens de texto, a energia da bateria curta</v>
      </c>
      <c r="B36021" s="3">
        <v>0</v>
      </c>
    </row>
    <row r="36022" ht="15.75" customHeight="1" spans="1:2">
      <c r="A36022" s="3" t="str">
        <f>IFERROR(__xludf.DUMMYFUNCTION("GOOGLETRANSLATE(A36022,""en"",""pt"")"),"Recepção apenas média, sistema de menu pobre, manual péssimo")</f>
        <v>Recepção apenas média, sistema de menu pobre, manual péssimo</v>
      </c>
      <c r="B36022" s="3">
        <v>0</v>
      </c>
    </row>
    <row r="36023" ht="15.75" customHeight="1" spans="1:2">
      <c r="A36023" s="3" t="str">
        <f>IFERROR(__xludf.DUMMYFUNCTION("GOOGLETRANSLATE(A36023,""en"",""pt"")"),"Sem características de vibração interna, só funciona com a terrível AT &amp; T serviço &amp; # 13; &amp; # 10;")</f>
        <v>Sem características de vibração interna, só funciona com a terrível AT &amp; T serviço &amp; # 13; &amp; # 10;</v>
      </c>
      <c r="B36023" s="3">
        <v>0</v>
      </c>
    </row>
    <row r="36024" ht="15.75" customHeight="1" spans="1:2">
      <c r="A36024" s="3" t="str">
        <f>IFERROR(__xludf.DUMMYFUNCTION("GOOGLETRANSLATE(A36024,""en"",""pt"")"),"tela muito pequena, fraca integração Palm-Telefone, nenhuma expansão")</f>
        <v>tela muito pequena, fraca integração Palm-Telefone, nenhuma expansão</v>
      </c>
      <c r="B36024" s="3">
        <v>0</v>
      </c>
    </row>
    <row r="36025" ht="15.75" customHeight="1" spans="1:2">
      <c r="A36025" s="3" t="str">
        <f>IFERROR(__xludf.DUMMYFUNCTION("GOOGLETRANSLATE(A36025,""en"",""pt"")"),"Deve ser 15% menor, sem slot de expansão, tela colorida seria muito legal.")</f>
        <v>Deve ser 15% menor, sem slot de expansão, tela colorida seria muito legal.</v>
      </c>
      <c r="B36025" s="3">
        <v>0</v>
      </c>
    </row>
    <row r="36026" ht="15.75" customHeight="1" spans="1:2">
      <c r="A36026" s="3" t="str">
        <f>IFERROR(__xludf.DUMMYFUNCTION("GOOGLETRANSLATE(A36026,""en"",""pt"")"),"Um pequeno grande e pesado ...")</f>
        <v>Um pequeno grande e pesado ...</v>
      </c>
      <c r="B36026" s="3">
        <v>0</v>
      </c>
    </row>
    <row r="36027" ht="15.75" customHeight="1" spans="1:2">
      <c r="A36027" s="3" t="str">
        <f>IFERROR(__xludf.DUMMYFUNCTION("GOOGLETRANSLATE(A36027,""en"",""pt"")"),"ambiente dual-OS, nenhuma forma aparente para enviar mensagens SMS")</f>
        <v>ambiente dual-OS, nenhuma forma aparente para enviar mensagens SMS</v>
      </c>
      <c r="B36027" s="3">
        <v>0</v>
      </c>
    </row>
    <row r="36028" ht="15.75" customHeight="1" spans="1:2">
      <c r="A36028" s="3" t="str">
        <f>IFERROR(__xludf.DUMMYFUNCTION("GOOGLETRANSLATE(A36028,""en"",""pt"")"),"Um pouco volumoso para um telefone; há slots de memória")</f>
        <v>Um pouco volumoso para um telefone; há slots de memória</v>
      </c>
      <c r="B36028" s="3">
        <v>0</v>
      </c>
    </row>
    <row r="36029" ht="15.75" customHeight="1" spans="1:2">
      <c r="A36029" s="3" t="str">
        <f>IFERROR(__xludf.DUMMYFUNCTION("GOOGLETRANSLATE(A36029,""en"",""pt"")"),"berço sincronização de série.")</f>
        <v>berço sincronização de série.</v>
      </c>
      <c r="B36029" s="3">
        <v>0</v>
      </c>
    </row>
    <row r="36030" ht="15.75" customHeight="1" spans="1:2">
      <c r="A36030" s="3" t="str">
        <f>IFERROR(__xludf.DUMMYFUNCTION("GOOGLETRANSLATE(A36030,""en"",""pt"")"),"Sem slot de memória.")</f>
        <v>Sem slot de memória.</v>
      </c>
      <c r="B36030" s="3">
        <v>0</v>
      </c>
    </row>
    <row r="36031" ht="15.75" customHeight="1" spans="1:2">
      <c r="A36031" s="3" t="str">
        <f>IFERROR(__xludf.DUMMYFUNCTION("GOOGLETRANSLATE(A36031,""en"",""pt"")"),"Caro um pouco volumoso empresa, e horrível para lidar com o apoio")</f>
        <v>Caro um pouco volumoso empresa, e horrível para lidar com o apoio</v>
      </c>
      <c r="B36031" s="3">
        <v>0</v>
      </c>
    </row>
    <row r="36032" ht="15.75" customHeight="1" spans="1:2">
      <c r="A36032" s="3" t="str">
        <f>IFERROR(__xludf.DUMMYFUNCTION("GOOGLETRANSLATE(A36032,""en"",""pt"")"),"Pobre iluminação de fundo; Pesado")</f>
        <v>Pobre iluminação de fundo; Pesado</v>
      </c>
      <c r="B36032" s="3">
        <v>0</v>
      </c>
    </row>
    <row r="36033" ht="15.75" customHeight="1" spans="1:2">
      <c r="A36033" s="3" t="str">
        <f>IFERROR(__xludf.DUMMYFUNCTION("GOOGLETRANSLATE(A36033,""en"",""pt"")"),"telefone grande, Speaker não muito utilizável.")</f>
        <v>telefone grande, Speaker não muito utilizável.</v>
      </c>
      <c r="B36033" s="3">
        <v>0</v>
      </c>
    </row>
    <row r="36034" ht="15.75" customHeight="1" spans="1:2">
      <c r="A36034" s="3" t="str">
        <f>IFERROR(__xludf.DUMMYFUNCTION("GOOGLETRANSLATE(A36034,""en"",""pt"")"),"Eudora navegação na Internet não suporta transações seguras on-line")</f>
        <v>Eudora navegação na Internet não suporta transações seguras on-line</v>
      </c>
      <c r="B36034" s="3">
        <v>0</v>
      </c>
    </row>
    <row r="36035" ht="15.75" customHeight="1" spans="1:2">
      <c r="A36035" s="3" t="str">
        <f>IFERROR(__xludf.DUMMYFUNCTION("GOOGLETRANSLATE(A36035,""en"",""pt"")"),"Grande para um telefone")</f>
        <v>Grande para um telefone</v>
      </c>
      <c r="B36035" s="3">
        <v>0</v>
      </c>
    </row>
    <row r="36036" ht="15.75" customHeight="1" spans="1:2">
      <c r="A36036" s="3" t="str">
        <f>IFERROR(__xludf.DUMMYFUNCTION("GOOGLETRANSLATE(A36036,""en"",""pt"")"),"volumoso; sem display colorido; campainha é um pouco mole")</f>
        <v>volumoso; sem display colorido; campainha é um pouco mole</v>
      </c>
      <c r="B36036" s="3">
        <v>0</v>
      </c>
    </row>
    <row r="36037" ht="15.75" customHeight="1" spans="1:2">
      <c r="A36037" s="3" t="str">
        <f>IFERROR(__xludf.DUMMYFUNCTION("GOOGLETRANSLATE(A36037,""en"",""pt"")"),"Não é totalmente integrado")</f>
        <v>Não é totalmente integrado</v>
      </c>
      <c r="B36037" s="3">
        <v>0</v>
      </c>
    </row>
    <row r="36038" ht="15.75" customHeight="1" spans="1:2">
      <c r="A36038" s="3" t="str">
        <f>IFERROR(__xludf.DUMMYFUNCTION("GOOGLETRANSLATE(A36038,""en"",""pt"")"),"Grande Tamanho da tela, tela monocromática, ringtones NO download")</f>
        <v>Grande Tamanho da tela, tela monocromática, ringtones NO download</v>
      </c>
      <c r="B36038" s="3">
        <v>0</v>
      </c>
    </row>
    <row r="36039" ht="15.75" customHeight="1" spans="1:2">
      <c r="A36039" s="3" t="str">
        <f>IFERROR(__xludf.DUMMYFUNCTION("GOOGLETRANSLATE(A36039,""en"",""pt"")"),"Nenhum")</f>
        <v>Nenhum</v>
      </c>
      <c r="B36039" s="3">
        <v>0</v>
      </c>
    </row>
    <row r="36040" ht="15.75" customHeight="1" spans="1:2">
      <c r="A36040" s="3" t="str">
        <f>IFERROR(__xludf.DUMMYFUNCTION("GOOGLETRANSLATE(A36040,""en"",""pt"")"),"gostaria que fosse ainda menor! Tenha cuidado, minutos ir rapidamente enquanto navega!")</f>
        <v>gostaria que fosse ainda menor! Tenha cuidado, minutos ir rapidamente enquanto navega!</v>
      </c>
      <c r="B36040" s="3">
        <v>0</v>
      </c>
    </row>
    <row r="36041" ht="15.75" customHeight="1" spans="1:2">
      <c r="A36041" s="3" t="str">
        <f>IFERROR(__xludf.DUMMYFUNCTION("GOOGLETRANSLATE(A36041,""en"",""pt"")"),"peso, o factor de forma, luz de fundo")</f>
        <v>peso, o factor de forma, luz de fundo</v>
      </c>
      <c r="B36041" s="3">
        <v>0</v>
      </c>
    </row>
    <row r="36042" ht="15.75" customHeight="1" spans="1:2">
      <c r="A36042" s="3" t="str">
        <f>IFERROR(__xludf.DUMMYFUNCTION("GOOGLETRANSLATE(A36042,""en"",""pt"")"),"má concepção, contatos horríveis")</f>
        <v>má concepção, contatos horríveis</v>
      </c>
      <c r="B36042" s="3">
        <v>0</v>
      </c>
    </row>
    <row r="36043" ht="15.75" customHeight="1" spans="1:2">
      <c r="A36043" s="3" t="str">
        <f>IFERROR(__xludf.DUMMYFUNCTION("GOOGLETRANSLATE(A36043,""en"",""pt"")"),"Grande e desajeitado, qualquer coisa mas sem complicações.")</f>
        <v>Grande e desajeitado, qualquer coisa mas sem complicações.</v>
      </c>
      <c r="B36043" s="3">
        <v>0</v>
      </c>
    </row>
    <row r="36044" ht="15.75" customHeight="1" spans="1:2">
      <c r="A36044" s="3" t="str">
        <f>IFERROR(__xludf.DUMMYFUNCTION("GOOGLETRANSLATE(A36044,""en"",""pt"")"),"BIG, não cor, sem capacidade de expansão")</f>
        <v>BIG, não cor, sem capacidade de expansão</v>
      </c>
      <c r="B36044" s="3">
        <v>0</v>
      </c>
    </row>
    <row r="36045" ht="15.75" customHeight="1" spans="1:2">
      <c r="A36045" s="3" t="str">
        <f>IFERROR(__xludf.DUMMYFUNCTION("GOOGLETRANSLATE(A36045,""en"",""pt"")"),"Pequeno para a palma da mão, grande para um telefone")</f>
        <v>Pequeno para a palma da mão, grande para um telefone</v>
      </c>
      <c r="B36045" s="3">
        <v>0</v>
      </c>
    </row>
    <row r="36046" ht="15.75" customHeight="1" spans="1:2">
      <c r="A36046" s="3" t="str">
        <f>IFERROR(__xludf.DUMMYFUNCTION("GOOGLETRANSLATE(A36046,""en"",""pt"")"),"Backlight é ok para funções de telefone, mas inútil para aplicativos da palma.")</f>
        <v>Backlight é ok para funções de telefone, mas inútil para aplicativos da palma.</v>
      </c>
      <c r="B36046" s="3">
        <v>0</v>
      </c>
    </row>
    <row r="36047" ht="15.75" customHeight="1" spans="1:2">
      <c r="A36047" s="3" t="str">
        <f>IFERROR(__xludf.DUMMYFUNCTION("GOOGLETRANSLATE(A36047,""en"",""pt"")"),"""Razoavelmente pequenos"" significa maiores que faria marcação mais feliz ... jog é moderadamente irritante.")</f>
        <v>"Razoavelmente pequenos" significa maiores que faria marcação mais feliz ... jog é moderadamente irritante.</v>
      </c>
      <c r="B36047" s="3">
        <v>0</v>
      </c>
    </row>
    <row r="36048" ht="15.75" customHeight="1" spans="1:2">
      <c r="A36048" s="3" t="str">
        <f>IFERROR(__xludf.DUMMYFUNCTION("GOOGLETRANSLATE(A36048,""en"",""pt"")"),"Écran difícil de ler. Sem tampa de proteção.")</f>
        <v>Écran difícil de ler. Sem tampa de proteção.</v>
      </c>
      <c r="B36048" s="3">
        <v>0</v>
      </c>
    </row>
    <row r="36049" ht="15.75" customHeight="1" spans="1:2">
      <c r="A36049" s="3" t="str">
        <f>IFERROR(__xludf.DUMMYFUNCTION("GOOGLETRANSLATE(A36049,""en"",""pt"")"),"Ainda um volumoso pouco e recepção entra e sai e sem capacidade de expansão.")</f>
        <v>Ainda um volumoso pouco e recepção entra e sai e sem capacidade de expansão.</v>
      </c>
      <c r="B36049" s="3">
        <v>0</v>
      </c>
    </row>
    <row r="36050" ht="15.75" customHeight="1" spans="1:2">
      <c r="A36050" s="3" t="str">
        <f>IFERROR(__xludf.DUMMYFUNCTION("GOOGLETRANSLATE(A36050,""en"",""pt"")"),"Muito ruim tela com opções frustrante backlight")</f>
        <v>Muito ruim tela com opções frustrante backlight</v>
      </c>
      <c r="B36050" s="3">
        <v>0</v>
      </c>
    </row>
    <row r="36051" ht="15.75" customHeight="1" spans="1:2">
      <c r="A36051" s="3" t="str">
        <f>IFERROR(__xludf.DUMMYFUNCTION("GOOGLETRANSLATE(A36051,""en"",""pt"")"),"No chip de memória.")</f>
        <v>No chip de memória.</v>
      </c>
      <c r="B36051" s="3">
        <v>0</v>
      </c>
    </row>
    <row r="36052" ht="15.75" customHeight="1" spans="1:2">
      <c r="A36052" s="3" t="str">
        <f>IFERROR(__xludf.DUMMYFUNCTION("GOOGLETRANSLATE(A36052,""en"",""pt"")"),"Caso feio que custo extra &amp; # 13;. &amp; # 10; Sem módulo de expansão slot.")</f>
        <v>Caso feio que custo extra &amp; # 13;. &amp; # 10; Sem módulo de expansão slot.</v>
      </c>
      <c r="B36052" s="3">
        <v>0</v>
      </c>
    </row>
    <row r="36053" ht="15.75" customHeight="1" spans="1:2">
      <c r="A36053" s="3" t="str">
        <f>IFERROR(__xludf.DUMMYFUNCTION("GOOGLETRANSLATE(A36053,""en"",""pt"")"),"Não funciona quatro telefones mortos em uma semana")</f>
        <v>Não funciona quatro telefones mortos em uma semana</v>
      </c>
      <c r="B36053" s="3">
        <v>0</v>
      </c>
    </row>
    <row r="36054" ht="15.75" customHeight="1" spans="1:2">
      <c r="A36054" s="3" t="str">
        <f>IFERROR(__xludf.DUMMYFUNCTION("GOOGLETRANSLATE(A36054,""en"",""pt"")"),"No caso de transporte ou acessórios incluídos, apesar do preço elevado 549,99!")</f>
        <v>No caso de transporte ou acessórios incluídos, apesar do preço elevado 549,99!</v>
      </c>
      <c r="B36054" s="3">
        <v>0</v>
      </c>
    </row>
    <row r="36055" ht="15.75" customHeight="1" spans="1:2">
      <c r="A36055" s="3" t="str">
        <f>IFERROR(__xludf.DUMMYFUNCTION("GOOGLETRANSLATE(A36055,""en"",""pt"")"),"Maior do que os telefones celulares ""pequenos"", usa Palm-estilo backlighting inversa")</f>
        <v>Maior do que os telefones celulares "pequenos", usa Palm-estilo backlighting inversa</v>
      </c>
      <c r="B36055" s="3">
        <v>0</v>
      </c>
    </row>
    <row r="36056" ht="15.75" customHeight="1" spans="1:2">
      <c r="A36056" s="3" t="str">
        <f>IFERROR(__xludf.DUMMYFUNCTION("GOOGLETRANSLATE(A36056,""en"",""pt"")"),"Talvez um pouco pouco, mas é o compromisso com o Palm!")</f>
        <v>Talvez um pouco pouco, mas é o compromisso com o Palm!</v>
      </c>
      <c r="B36056" s="3">
        <v>0</v>
      </c>
    </row>
    <row r="36057" ht="15.75" customHeight="1" spans="1:2">
      <c r="A36057" s="3" t="str">
        <f>IFERROR(__xludf.DUMMYFUNCTION("GOOGLETRANSLATE(A36057,""en"",""pt"")"),"Crashes (mas salva os dados)")</f>
        <v>Crashes (mas salva os dados)</v>
      </c>
      <c r="B36057" s="3">
        <v>0</v>
      </c>
    </row>
    <row r="36058" ht="15.75" customHeight="1" spans="1:2">
      <c r="A36058" s="3" t="str">
        <f>IFERROR(__xludf.DUMMYFUNCTION("GOOGLETRANSLATE(A36058,""en"",""pt"")"),"Nenhuma porta USB. TERRÍVEL Sprint / serviço Kyocera para corrigir erro grave.")</f>
        <v>Nenhuma porta USB. TERRÍVEL Sprint / serviço Kyocera para corrigir erro grave.</v>
      </c>
      <c r="B36058" s="3">
        <v>0</v>
      </c>
    </row>
    <row r="36059" ht="15.75" customHeight="1" spans="1:2">
      <c r="A36059" s="3" t="str">
        <f>IFERROR(__xludf.DUMMYFUNCTION("GOOGLETRANSLATE(A36059,""en"",""pt"")"),"não executar todos os aplicativos de palma, som alto-falante menos do que ótimo.")</f>
        <v>não executar todos os aplicativos de palma, som alto-falante menos do que ótimo.</v>
      </c>
      <c r="B36059" s="3">
        <v>0</v>
      </c>
    </row>
    <row r="36060" ht="15.75" customHeight="1" spans="1:2">
      <c r="A36060" s="3" t="str">
        <f>IFERROR(__xludf.DUMMYFUNCTION("GOOGLETRANSLATE(A36060,""en"",""pt"")"),"telefone de qualidade horrível.")</f>
        <v>telefone de qualidade horrível.</v>
      </c>
      <c r="B36060" s="3">
        <v>0</v>
      </c>
    </row>
    <row r="36061" ht="15.75" customHeight="1" spans="1:2">
      <c r="A36061" s="3" t="str">
        <f>IFERROR(__xludf.DUMMYFUNCTION("GOOGLETRANSLATE(A36061,""en"",""pt"")"),"Complexo. Poderia ser simplificado &amp; # 13;. &amp; # 10; teria pago mais para algumas comodidades.")</f>
        <v>Complexo. Poderia ser simplificado &amp; # 13;. &amp; # 10; teria pago mais para algumas comodidades.</v>
      </c>
      <c r="B36061" s="3">
        <v>0</v>
      </c>
    </row>
    <row r="36062" ht="15.75" customHeight="1" spans="1:2">
      <c r="A36062" s="3" t="str">
        <f>IFERROR(__xludf.DUMMYFUNCTION("GOOGLETRANSLATE(A36062,""en"",""pt"")"),"upgradeability")</f>
        <v>upgradeability</v>
      </c>
      <c r="B36062" s="3">
        <v>0</v>
      </c>
    </row>
    <row r="36063" ht="15.75" customHeight="1" spans="1:2">
      <c r="A36063" s="3" t="str">
        <f>IFERROR(__xludf.DUMMYFUNCTION("GOOGLETRANSLATE(A36063,""en"",""pt"")"),"SprintPCS Apenas, volumoso, busca de contatos lenta, botão lateral Clumsy; campainha tranquila")</f>
        <v>SprintPCS Apenas, volumoso, busca de contatos lenta, botão lateral Clumsy; campainha tranquila</v>
      </c>
      <c r="B36063" s="3">
        <v>0</v>
      </c>
    </row>
    <row r="36064" ht="15.75" customHeight="1" spans="1:2">
      <c r="A36064" s="3" t="str">
        <f>IFERROR(__xludf.DUMMYFUNCTION("GOOGLETRANSLATE(A36064,""en"",""pt"")"),"Pesado, uma má recepção, telefone peça pode ser complicado para operar com uma mão.")</f>
        <v>Pesado, uma má recepção, telefone peça pode ser complicado para operar com uma mão.</v>
      </c>
      <c r="B36064" s="3">
        <v>0</v>
      </c>
    </row>
    <row r="36065" ht="15.75" customHeight="1" spans="1:2">
      <c r="A36065" s="3" t="str">
        <f>IFERROR(__xludf.DUMMYFUNCTION("GOOGLETRANSLATE(A36065,""en"",""pt"")"),"Preto e mostrador branco; viva-voz é difícil de ouvir")</f>
        <v>Preto e mostrador branco; viva-voz é difícil de ouvir</v>
      </c>
      <c r="B36065" s="3">
        <v>0</v>
      </c>
    </row>
    <row r="36066" ht="15.75" customHeight="1" spans="1:2">
      <c r="A36066" s="3" t="str">
        <f>IFERROR(__xludf.DUMMYFUNCTION("GOOGLETRANSLATE(A36066,""en"",""pt"")"),"Tamanho, pobres ergonomia de integração &amp; # 13; &amp; # 10; campainha Muito fraco")</f>
        <v>Tamanho, pobres ergonomia de integração &amp; # 13; &amp; # 10; campainha Muito fraco</v>
      </c>
      <c r="B36066" s="3">
        <v>0</v>
      </c>
    </row>
    <row r="36067" ht="15.75" customHeight="1" spans="1:2">
      <c r="A36067" s="3" t="str">
        <f>IFERROR(__xludf.DUMMYFUNCTION("GOOGLETRANSLATE(A36067,""en"",""pt"")"),"Nada que me impeça de comprá-lo novamente.")</f>
        <v>Nada que me impeça de comprá-lo novamente.</v>
      </c>
      <c r="B36067" s="3">
        <v>0</v>
      </c>
    </row>
    <row r="36068" ht="15.75" customHeight="1" spans="1:2">
      <c r="A36068" s="3" t="str">
        <f>IFERROR(__xludf.DUMMYFUNCTION("GOOGLETRANSLATE(A36068,""en"",""pt"")"),"Caro e ainda bastante complicado")</f>
        <v>Caro e ainda bastante complicado</v>
      </c>
      <c r="B36068" s="3">
        <v>0</v>
      </c>
    </row>
    <row r="36069" ht="15.75" customHeight="1" spans="1:2">
      <c r="A36069" s="3" t="str">
        <f>IFERROR(__xludf.DUMMYFUNCTION("GOOGLETRANSLATE(A36069,""en"",""pt"")"),"monstruosa demais para transportar como telefone celular para acesso total")</f>
        <v>monstruosa demais para transportar como telefone celular para acesso total</v>
      </c>
      <c r="B36069" s="3">
        <v>0</v>
      </c>
    </row>
    <row r="36070" ht="15.75" customHeight="1" spans="1:2">
      <c r="A36070" s="3" t="str">
        <f>IFERROR(__xludf.DUMMYFUNCTION("GOOGLETRANSLATE(A36070,""en"",""pt"")"),"Sem sincronização USB, pobre backlight")</f>
        <v>Sem sincronização USB, pobre backlight</v>
      </c>
      <c r="B36070" s="3">
        <v>0</v>
      </c>
    </row>
    <row r="36071" ht="15.75" customHeight="1" spans="1:2">
      <c r="A36071" s="3" t="str">
        <f>IFERROR(__xludf.DUMMYFUNCTION("GOOGLETRANSLATE(A36071,""en"",""pt"")"),"tamanho, alguns wierdness com comutação entre o telefone e modos de palma")</f>
        <v>tamanho, alguns wierdness com comutação entre o telefone e modos de palma</v>
      </c>
      <c r="B36071" s="3">
        <v>0</v>
      </c>
    </row>
    <row r="36072" ht="15.75" customHeight="1" spans="1:2">
      <c r="A36072" s="3" t="str">
        <f>IFERROR(__xludf.DUMMYFUNCTION("GOOGLETRANSLATE(A36072,""en"",""pt"")"),"Precisa de uma fonte um pouco maior &amp; # 13; &amp; # 10; Wish ""Wake-Up"" iria funcionar quando a energia da bateria")</f>
        <v>Precisa de uma fonte um pouco maior &amp; # 13; &amp; # 10; Wish "Wake-Up" iria funcionar quando a energia da bateria</v>
      </c>
      <c r="B36072" s="3">
        <v>0</v>
      </c>
    </row>
    <row r="36073" ht="15.75" customHeight="1" spans="1:2">
      <c r="A36073" s="3" t="str">
        <f>IFERROR(__xludf.DUMMYFUNCTION("GOOGLETRANSLATE(A36073,""en"",""pt"")"),"Recepção dentro de alguns edifícios é difícil.")</f>
        <v>Recepção dentro de alguns edifícios é difícil.</v>
      </c>
      <c r="B36073" s="3">
        <v>0</v>
      </c>
    </row>
    <row r="36074" ht="15.75" customHeight="1" spans="1:2">
      <c r="A36074" s="3" t="str">
        <f>IFERROR(__xludf.DUMMYFUNCTION("GOOGLETRANSLATE(A36074,""en"",""pt"")"),"tela LCD de vidro (mas a maioria dos Palms parecem ter isso)")</f>
        <v>tela LCD de vidro (mas a maioria dos Palms parecem ter isso)</v>
      </c>
      <c r="B36074" s="3">
        <v>0</v>
      </c>
    </row>
    <row r="36075" ht="15.75" customHeight="1" spans="1:2">
      <c r="A36075" s="3" t="str">
        <f>IFERROR(__xludf.DUMMYFUNCTION("GOOGLETRANSLATE(A36075,""en"",""pt"")"),"Não consigo pensar em qualquer")</f>
        <v>Não consigo pensar em qualquer</v>
      </c>
      <c r="B36075" s="3">
        <v>0</v>
      </c>
    </row>
    <row r="36076" ht="15.75" customHeight="1" spans="1:2">
      <c r="A36076" s="3" t="str">
        <f>IFERROR(__xludf.DUMMYFUNCTION("GOOGLETRANSLATE(A36076,""en"",""pt"")"),"pequeno tamanho da tela; sincroniza remotos lentas")</f>
        <v>pequeno tamanho da tela; sincroniza remotos lentas</v>
      </c>
      <c r="B36076" s="3">
        <v>0</v>
      </c>
    </row>
    <row r="36077" ht="15.75" customHeight="1" spans="1:2">
      <c r="A36077" s="3" t="str">
        <f>IFERROR(__xludf.DUMMYFUNCTION("GOOGLETRANSLATE(A36077,""en"",""pt"")"),"Se o telefone tinha a capacidade de viva-voz que iria governar.")</f>
        <v>Se o telefone tinha a capacidade de viva-voz que iria governar.</v>
      </c>
      <c r="B36077" s="3">
        <v>0</v>
      </c>
    </row>
    <row r="36078" ht="15.75" customHeight="1" spans="1:2">
      <c r="A36078" s="3" t="str">
        <f>IFERROR(__xludf.DUMMYFUNCTION("GOOGLETRANSLATE(A36078,""en"",""pt"")"),"contatos internos no teclado numérico são terríveis números, aleatórios exibidos, deve tentar remarcar às vezes.")</f>
        <v>contatos internos no teclado numérico são terríveis números, aleatórios exibidos, deve tentar remarcar às vezes.</v>
      </c>
      <c r="B36078" s="3">
        <v>0</v>
      </c>
    </row>
    <row r="36079" ht="15.75" customHeight="1" spans="1:2">
      <c r="A36079" s="3" t="str">
        <f>IFERROR(__xludf.DUMMYFUNCTION("GOOGLETRANSLATE(A36079,""en"",""pt"")"),", Pesado, sem grande tela colorida")</f>
        <v>, Pesado, sem grande tela colorida</v>
      </c>
      <c r="B36079" s="3">
        <v>0</v>
      </c>
    </row>
    <row r="36080" ht="15.75" customHeight="1" spans="1:2">
      <c r="A36080" s="3" t="str">
        <f>IFERROR(__xludf.DUMMYFUNCTION("GOOGLETRANSLATE(A36080,""en"",""pt"")"),"incapacidade de atualizar o sistema operacional, monocromático tela, sem sd, cf ou Bluetooth")</f>
        <v>incapacidade de atualizar o sistema operacional, monocromático tela, sem sd, cf ou Bluetooth</v>
      </c>
      <c r="B36080" s="3">
        <v>0</v>
      </c>
    </row>
    <row r="36081" ht="15.75" customHeight="1" spans="1:2">
      <c r="A36081" s="3" t="str">
        <f>IFERROR(__xludf.DUMMYFUNCTION("GOOGLETRANSLATE(A36081,""en"",""pt"")"),"tela muito pequena, fraca integração Palm-Telefone, nenhuma expansão")</f>
        <v>tela muito pequena, fraca integração Palm-Telefone, nenhuma expansão</v>
      </c>
      <c r="B36081" s="3">
        <v>0</v>
      </c>
    </row>
    <row r="36082" ht="15.75" customHeight="1" spans="1:2">
      <c r="A36082" s="3" t="str">
        <f>IFERROR(__xludf.DUMMYFUNCTION("GOOGLETRANSLATE(A36082,""en"",""pt"")"),"Deve ser 15% menor, sem slot de expansão, tela colorida seria muito legal.")</f>
        <v>Deve ser 15% menor, sem slot de expansão, tela colorida seria muito legal.</v>
      </c>
      <c r="B36082" s="3">
        <v>0</v>
      </c>
    </row>
    <row r="36083" ht="15.75" customHeight="1" spans="1:2">
      <c r="A36083" s="3" t="str">
        <f>IFERROR(__xludf.DUMMYFUNCTION("GOOGLETRANSLATE(A36083,""en"",""pt"")"),"Um pequeno grande e pesado ...")</f>
        <v>Um pequeno grande e pesado ...</v>
      </c>
      <c r="B36083" s="3">
        <v>0</v>
      </c>
    </row>
    <row r="36084" ht="15.75" customHeight="1" spans="1:2">
      <c r="A36084" s="3" t="str">
        <f>IFERROR(__xludf.DUMMYFUNCTION("GOOGLETRANSLATE(A36084,""en"",""pt"")"),"ambiente dual-OS, nenhuma forma aparente para enviar mensagens SMS")</f>
        <v>ambiente dual-OS, nenhuma forma aparente para enviar mensagens SMS</v>
      </c>
      <c r="B36084" s="3">
        <v>0</v>
      </c>
    </row>
    <row r="36085" ht="15.75" customHeight="1" spans="1:2">
      <c r="A36085" s="3" t="str">
        <f>IFERROR(__xludf.DUMMYFUNCTION("GOOGLETRANSLATE(A36085,""en"",""pt"")"),"Um pouco volumoso para um telefone; há slots de memória")</f>
        <v>Um pouco volumoso para um telefone; há slots de memória</v>
      </c>
      <c r="B36085" s="3">
        <v>0</v>
      </c>
    </row>
    <row r="36086" ht="15.75" customHeight="1" spans="1:2">
      <c r="A36086" s="3" t="str">
        <f>IFERROR(__xludf.DUMMYFUNCTION("GOOGLETRANSLATE(A36086,""en"",""pt"")"),"berço sincronização de série.")</f>
        <v>berço sincronização de série.</v>
      </c>
      <c r="B36086" s="3">
        <v>0</v>
      </c>
    </row>
    <row r="36087" ht="15.75" customHeight="1" spans="1:2">
      <c r="A36087" s="3" t="str">
        <f>IFERROR(__xludf.DUMMYFUNCTION("GOOGLETRANSLATE(A36087,""en"",""pt"")"),"Sem slot de memória.")</f>
        <v>Sem slot de memória.</v>
      </c>
      <c r="B36087" s="3">
        <v>0</v>
      </c>
    </row>
    <row r="36088" ht="15.75" customHeight="1" spans="1:2">
      <c r="A36088" s="3" t="str">
        <f>IFERROR(__xludf.DUMMYFUNCTION("GOOGLETRANSLATE(A36088,""en"",""pt"")"),"Caro um pouco volumoso empresa, e horrível para lidar com o apoio")</f>
        <v>Caro um pouco volumoso empresa, e horrível para lidar com o apoio</v>
      </c>
      <c r="B36088" s="3">
        <v>0</v>
      </c>
    </row>
    <row r="36089" ht="15.75" customHeight="1" spans="1:2">
      <c r="A36089" s="3" t="str">
        <f>IFERROR(__xludf.DUMMYFUNCTION("GOOGLETRANSLATE(A36089,""en"",""pt"")"),"Pobre iluminação de fundo; Pesado")</f>
        <v>Pobre iluminação de fundo; Pesado</v>
      </c>
      <c r="B36089" s="3">
        <v>0</v>
      </c>
    </row>
    <row r="36090" ht="15.75" customHeight="1" spans="1:2">
      <c r="A36090" s="3" t="str">
        <f>IFERROR(__xludf.DUMMYFUNCTION("GOOGLETRANSLATE(A36090,""en"",""pt"")"),"telefone grande, Speaker não muito utilizável.")</f>
        <v>telefone grande, Speaker não muito utilizável.</v>
      </c>
      <c r="B36090" s="3">
        <v>0</v>
      </c>
    </row>
    <row r="36091" ht="15.75" customHeight="1" spans="1:2">
      <c r="A36091" s="3" t="str">
        <f>IFERROR(__xludf.DUMMYFUNCTION("GOOGLETRANSLATE(A36091,""en"",""pt"")"),"Eudora navegação na Internet não suporta transações seguras on-line")</f>
        <v>Eudora navegação na Internet não suporta transações seguras on-line</v>
      </c>
      <c r="B36091" s="3">
        <v>0</v>
      </c>
    </row>
    <row r="36092" ht="15.75" customHeight="1" spans="1:2">
      <c r="A36092" s="3" t="str">
        <f>IFERROR(__xludf.DUMMYFUNCTION("GOOGLETRANSLATE(A36092,""en"",""pt"")"),"Grande para um telefone")</f>
        <v>Grande para um telefone</v>
      </c>
      <c r="B36092" s="3">
        <v>0</v>
      </c>
    </row>
    <row r="36093" ht="15.75" customHeight="1" spans="1:2">
      <c r="A36093" s="3" t="str">
        <f>IFERROR(__xludf.DUMMYFUNCTION("GOOGLETRANSLATE(A36093,""en"",""pt"")"),"volumoso; sem display colorido; campainha é um pouco mole")</f>
        <v>volumoso; sem display colorido; campainha é um pouco mole</v>
      </c>
      <c r="B36093" s="3">
        <v>0</v>
      </c>
    </row>
    <row r="36094" ht="15.75" customHeight="1" spans="1:2">
      <c r="A36094" s="3" t="str">
        <f>IFERROR(__xludf.DUMMYFUNCTION("GOOGLETRANSLATE(A36094,""en"",""pt"")"),"Não é totalmente integrado")</f>
        <v>Não é totalmente integrado</v>
      </c>
      <c r="B36094" s="3">
        <v>0</v>
      </c>
    </row>
    <row r="36095" ht="15.75" customHeight="1" spans="1:2">
      <c r="A36095" s="3" t="str">
        <f>IFERROR(__xludf.DUMMYFUNCTION("GOOGLETRANSLATE(A36095,""en"",""pt"")"),"Grande Tamanho da tela, tela monocromática, ringtones NO download")</f>
        <v>Grande Tamanho da tela, tela monocromática, ringtones NO download</v>
      </c>
      <c r="B36095" s="3">
        <v>0</v>
      </c>
    </row>
    <row r="36096" ht="15.75" customHeight="1" spans="1:2">
      <c r="A36096" s="3" t="str">
        <f>IFERROR(__xludf.DUMMYFUNCTION("GOOGLETRANSLATE(A36096,""en"",""pt"")"),"Nenhum")</f>
        <v>Nenhum</v>
      </c>
      <c r="B36096" s="3">
        <v>0</v>
      </c>
    </row>
    <row r="36097" ht="15.75" customHeight="1" spans="1:2">
      <c r="A36097" s="3" t="str">
        <f>IFERROR(__xludf.DUMMYFUNCTION("GOOGLETRANSLATE(A36097,""en"",""pt"")"),"gostaria que fosse ainda menor! Tenha cuidado, minutos ir rapidamente enquanto navega!")</f>
        <v>gostaria que fosse ainda menor! Tenha cuidado, minutos ir rapidamente enquanto navega!</v>
      </c>
      <c r="B36097" s="3">
        <v>0</v>
      </c>
    </row>
    <row r="36098" ht="15.75" customHeight="1" spans="1:2">
      <c r="A36098" s="3" t="str">
        <f>IFERROR(__xludf.DUMMYFUNCTION("GOOGLETRANSLATE(A36098,""en"",""pt"")"),"peso, o factor de forma, luz de fundo")</f>
        <v>peso, o factor de forma, luz de fundo</v>
      </c>
      <c r="B36098" s="3">
        <v>0</v>
      </c>
    </row>
    <row r="36099" ht="15.75" customHeight="1" spans="1:2">
      <c r="A36099" s="3" t="str">
        <f>IFERROR(__xludf.DUMMYFUNCTION("GOOGLETRANSLATE(A36099,""en"",""pt"")"),"má concepção, contatos horríveis")</f>
        <v>má concepção, contatos horríveis</v>
      </c>
      <c r="B36099" s="3">
        <v>0</v>
      </c>
    </row>
    <row r="36100" ht="15.75" customHeight="1" spans="1:2">
      <c r="A36100" s="3" t="str">
        <f>IFERROR(__xludf.DUMMYFUNCTION("GOOGLETRANSLATE(A36100,""en"",""pt"")"),"Grande e desajeitado, qualquer coisa mas sem complicações.")</f>
        <v>Grande e desajeitado, qualquer coisa mas sem complicações.</v>
      </c>
      <c r="B36100" s="3">
        <v>0</v>
      </c>
    </row>
    <row r="36101" ht="15.75" customHeight="1" spans="1:2">
      <c r="A36101" s="3" t="str">
        <f>IFERROR(__xludf.DUMMYFUNCTION("GOOGLETRANSLATE(A36101,""en"",""pt"")"),"BIG, não cor, sem capacidade de expansão")</f>
        <v>BIG, não cor, sem capacidade de expansão</v>
      </c>
      <c r="B36101" s="3">
        <v>0</v>
      </c>
    </row>
    <row r="36102" ht="15.75" customHeight="1" spans="1:2">
      <c r="A36102" s="3" t="str">
        <f>IFERROR(__xludf.DUMMYFUNCTION("GOOGLETRANSLATE(A36102,""en"",""pt"")"),"Pequeno para a palma da mão, grande para um telefone")</f>
        <v>Pequeno para a palma da mão, grande para um telefone</v>
      </c>
      <c r="B36102" s="3">
        <v>0</v>
      </c>
    </row>
    <row r="36103" ht="15.75" customHeight="1" spans="1:2">
      <c r="A36103" s="3" t="str">
        <f>IFERROR(__xludf.DUMMYFUNCTION("GOOGLETRANSLATE(A36103,""en"",""pt"")"),"Backlight é ok para funções de telefone, mas inútil para aplicativos da palma.")</f>
        <v>Backlight é ok para funções de telefone, mas inútil para aplicativos da palma.</v>
      </c>
      <c r="B36103" s="3">
        <v>0</v>
      </c>
    </row>
    <row r="36104" ht="15.75" customHeight="1" spans="1:2">
      <c r="A36104" s="3" t="str">
        <f>IFERROR(__xludf.DUMMYFUNCTION("GOOGLETRANSLATE(A36104,""en"",""pt"")"),"""Razoavelmente pequenos"" significa maiores que faria marcação mais feliz ... jog é moderadamente irritante.")</f>
        <v>"Razoavelmente pequenos" significa maiores que faria marcação mais feliz ... jog é moderadamente irritante.</v>
      </c>
      <c r="B36104" s="3">
        <v>0</v>
      </c>
    </row>
    <row r="36105" ht="15.75" customHeight="1" spans="1:2">
      <c r="A36105" s="3" t="str">
        <f>IFERROR(__xludf.DUMMYFUNCTION("GOOGLETRANSLATE(A36105,""en"",""pt"")"),"Écran difícil de ler. Sem tampa de proteção.")</f>
        <v>Écran difícil de ler. Sem tampa de proteção.</v>
      </c>
      <c r="B36105" s="3">
        <v>0</v>
      </c>
    </row>
    <row r="36106" ht="15.75" customHeight="1" spans="1:2">
      <c r="A36106" s="3" t="str">
        <f>IFERROR(__xludf.DUMMYFUNCTION("GOOGLETRANSLATE(A36106,""en"",""pt"")"),"Ainda um volumoso pouco e recepção entra e sai e sem capacidade de expansão.")</f>
        <v>Ainda um volumoso pouco e recepção entra e sai e sem capacidade de expansão.</v>
      </c>
      <c r="B36106" s="3">
        <v>0</v>
      </c>
    </row>
    <row r="36107" ht="15.75" customHeight="1" spans="1:2">
      <c r="A36107" s="3" t="str">
        <f>IFERROR(__xludf.DUMMYFUNCTION("GOOGLETRANSLATE(A36107,""en"",""pt"")"),"Muito ruim tela com opções frustrante backlight")</f>
        <v>Muito ruim tela com opções frustrante backlight</v>
      </c>
      <c r="B36107" s="3">
        <v>0</v>
      </c>
    </row>
    <row r="36108" ht="15.75" customHeight="1" spans="1:2">
      <c r="A36108" s="3" t="str">
        <f>IFERROR(__xludf.DUMMYFUNCTION("GOOGLETRANSLATE(A36108,""en"",""pt"")"),"No chip de memória.")</f>
        <v>No chip de memória.</v>
      </c>
      <c r="B36108" s="3">
        <v>0</v>
      </c>
    </row>
    <row r="36109" ht="15.75" customHeight="1" spans="1:2">
      <c r="A36109" s="3" t="str">
        <f>IFERROR(__xludf.DUMMYFUNCTION("GOOGLETRANSLATE(A36109,""en"",""pt"")"),"Caso feio que custo extra &amp; # 13;. &amp; # 10; Sem módulo de expansão slot.")</f>
        <v>Caso feio que custo extra &amp; # 13;. &amp; # 10; Sem módulo de expansão slot.</v>
      </c>
      <c r="B36109" s="3">
        <v>0</v>
      </c>
    </row>
    <row r="36110" ht="15.75" customHeight="1" spans="1:2">
      <c r="A36110" s="3" t="str">
        <f>IFERROR(__xludf.DUMMYFUNCTION("GOOGLETRANSLATE(A36110,""en"",""pt"")"),"Não funciona quatro telefones mortos em uma semana")</f>
        <v>Não funciona quatro telefones mortos em uma semana</v>
      </c>
      <c r="B36110" s="3">
        <v>0</v>
      </c>
    </row>
    <row r="36111" ht="15.75" customHeight="1" spans="1:2">
      <c r="A36111" s="3" t="str">
        <f>IFERROR(__xludf.DUMMYFUNCTION("GOOGLETRANSLATE(A36111,""en"",""pt"")"),"No caso de transporte ou acessórios incluídos, apesar do preço elevado 549,99!")</f>
        <v>No caso de transporte ou acessórios incluídos, apesar do preço elevado 549,99!</v>
      </c>
      <c r="B36111" s="3">
        <v>0</v>
      </c>
    </row>
    <row r="36112" ht="15.75" customHeight="1" spans="1:2">
      <c r="A36112" s="3" t="str">
        <f>IFERROR(__xludf.DUMMYFUNCTION("GOOGLETRANSLATE(A36112,""en"",""pt"")"),"Maior do que os telefones celulares ""pequenos"", usa Palm-estilo backlighting inversa")</f>
        <v>Maior do que os telefones celulares "pequenos", usa Palm-estilo backlighting inversa</v>
      </c>
      <c r="B36112" s="3">
        <v>0</v>
      </c>
    </row>
    <row r="36113" ht="15.75" customHeight="1" spans="1:2">
      <c r="A36113" s="3" t="str">
        <f>IFERROR(__xludf.DUMMYFUNCTION("GOOGLETRANSLATE(A36113,""en"",""pt"")"),"Talvez um pouco pouco, mas é o compromisso com o Palm!")</f>
        <v>Talvez um pouco pouco, mas é o compromisso com o Palm!</v>
      </c>
      <c r="B36113" s="3">
        <v>0</v>
      </c>
    </row>
    <row r="36114" ht="15.75" customHeight="1" spans="1:2">
      <c r="A36114" s="3" t="str">
        <f>IFERROR(__xludf.DUMMYFUNCTION("GOOGLETRANSLATE(A36114,""en"",""pt"")"),"Crashes (mas salva os dados)")</f>
        <v>Crashes (mas salva os dados)</v>
      </c>
      <c r="B36114" s="3">
        <v>0</v>
      </c>
    </row>
    <row r="36115" ht="15.75" customHeight="1" spans="1:2">
      <c r="A36115" s="3" t="str">
        <f>IFERROR(__xludf.DUMMYFUNCTION("GOOGLETRANSLATE(A36115,""en"",""pt"")"),"Nenhuma porta USB. TERRÍVEL Sprint / serviço Kyocera para corrigir erro grave.")</f>
        <v>Nenhuma porta USB. TERRÍVEL Sprint / serviço Kyocera para corrigir erro grave.</v>
      </c>
      <c r="B36115" s="3">
        <v>0</v>
      </c>
    </row>
    <row r="36116" ht="15.75" customHeight="1" spans="1:2">
      <c r="A36116" s="3" t="str">
        <f>IFERROR(__xludf.DUMMYFUNCTION("GOOGLETRANSLATE(A36116,""en"",""pt"")"),"não executar todos os aplicativos de palma, som alto-falante menos do que ótimo.")</f>
        <v>não executar todos os aplicativos de palma, som alto-falante menos do que ótimo.</v>
      </c>
      <c r="B36116" s="3">
        <v>0</v>
      </c>
    </row>
    <row r="36117" ht="15.75" customHeight="1" spans="1:2">
      <c r="A36117" s="3" t="str">
        <f>IFERROR(__xludf.DUMMYFUNCTION("GOOGLETRANSLATE(A36117,""en"",""pt"")"),"telefone de qualidade horrível.")</f>
        <v>telefone de qualidade horrível.</v>
      </c>
      <c r="B36117" s="3">
        <v>0</v>
      </c>
    </row>
    <row r="36118" ht="15.75" customHeight="1" spans="1:2">
      <c r="A36118" s="3" t="str">
        <f>IFERROR(__xludf.DUMMYFUNCTION("GOOGLETRANSLATE(A36118,""en"",""pt"")"),"Complexo. Poderia ser simplificado &amp; # 13;. &amp; # 10; teria pago mais para algumas comodidades.")</f>
        <v>Complexo. Poderia ser simplificado &amp; # 13;. &amp; # 10; teria pago mais para algumas comodidades.</v>
      </c>
      <c r="B36118" s="3">
        <v>0</v>
      </c>
    </row>
    <row r="36119" ht="15.75" customHeight="1" spans="1:2">
      <c r="A36119" s="3" t="str">
        <f>IFERROR(__xludf.DUMMYFUNCTION("GOOGLETRANSLATE(A36119,""en"",""pt"")"),"upgradeability")</f>
        <v>upgradeability</v>
      </c>
      <c r="B36119" s="3">
        <v>0</v>
      </c>
    </row>
    <row r="36120" ht="15.75" customHeight="1" spans="1:2">
      <c r="A36120" s="3" t="str">
        <f>IFERROR(__xludf.DUMMYFUNCTION("GOOGLETRANSLATE(A36120,""en"",""pt"")"),"SprintPCS Apenas, volumoso, busca de contatos lenta, botão lateral Clumsy; campainha tranquila")</f>
        <v>SprintPCS Apenas, volumoso, busca de contatos lenta, botão lateral Clumsy; campainha tranquila</v>
      </c>
      <c r="B36120" s="3">
        <v>0</v>
      </c>
    </row>
    <row r="36121" ht="15.75" customHeight="1" spans="1:2">
      <c r="A36121" s="3" t="str">
        <f>IFERROR(__xludf.DUMMYFUNCTION("GOOGLETRANSLATE(A36121,""en"",""pt"")"),"Pesado, uma má recepção, telefone peça pode ser complicado para operar com uma mão.")</f>
        <v>Pesado, uma má recepção, telefone peça pode ser complicado para operar com uma mão.</v>
      </c>
      <c r="B36121" s="3">
        <v>0</v>
      </c>
    </row>
    <row r="36122" ht="15.75" customHeight="1" spans="1:2">
      <c r="A36122" s="3" t="str">
        <f>IFERROR(__xludf.DUMMYFUNCTION("GOOGLETRANSLATE(A36122,""en"",""pt"")"),"Preto e mostrador branco; viva-voz é difícil de ouvir")</f>
        <v>Preto e mostrador branco; viva-voz é difícil de ouvir</v>
      </c>
      <c r="B36122" s="3">
        <v>0</v>
      </c>
    </row>
    <row r="36123" ht="15.75" customHeight="1" spans="1:2">
      <c r="A36123" s="3" t="str">
        <f>IFERROR(__xludf.DUMMYFUNCTION("GOOGLETRANSLATE(A36123,""en"",""pt"")"),"Tamanho, pobres ergonomia de integração &amp; # 13; &amp; # 10; campainha Muito fraco")</f>
        <v>Tamanho, pobres ergonomia de integração &amp; # 13; &amp; # 10; campainha Muito fraco</v>
      </c>
      <c r="B36123" s="3">
        <v>0</v>
      </c>
    </row>
    <row r="36124" ht="15.75" customHeight="1" spans="1:2">
      <c r="A36124" s="3" t="str">
        <f>IFERROR(__xludf.DUMMYFUNCTION("GOOGLETRANSLATE(A36124,""en"",""pt"")"),"Nada que me impeça de comprá-lo novamente.")</f>
        <v>Nada que me impeça de comprá-lo novamente.</v>
      </c>
      <c r="B36124" s="3">
        <v>0</v>
      </c>
    </row>
    <row r="36125" ht="15.75" customHeight="1" spans="1:2">
      <c r="A36125" s="3" t="str">
        <f>IFERROR(__xludf.DUMMYFUNCTION("GOOGLETRANSLATE(A36125,""en"",""pt"")"),"Caro e ainda bastante complicado")</f>
        <v>Caro e ainda bastante complicado</v>
      </c>
      <c r="B36125" s="3">
        <v>0</v>
      </c>
    </row>
    <row r="36126" ht="15.75" customHeight="1" spans="1:2">
      <c r="A36126" s="3" t="str">
        <f>IFERROR(__xludf.DUMMYFUNCTION("GOOGLETRANSLATE(A36126,""en"",""pt"")"),"monstruosa demais para transportar como telefone celular para acesso total")</f>
        <v>monstruosa demais para transportar como telefone celular para acesso total</v>
      </c>
      <c r="B36126" s="3">
        <v>0</v>
      </c>
    </row>
    <row r="36127" ht="15.75" customHeight="1" spans="1:2">
      <c r="A36127" s="3" t="str">
        <f>IFERROR(__xludf.DUMMYFUNCTION("GOOGLETRANSLATE(A36127,""en"",""pt"")"),"Sem sincronização USB, pobre backlight")</f>
        <v>Sem sincronização USB, pobre backlight</v>
      </c>
      <c r="B36127" s="3">
        <v>0</v>
      </c>
    </row>
    <row r="36128" ht="15.75" customHeight="1" spans="1:2">
      <c r="A36128" s="3" t="str">
        <f>IFERROR(__xludf.DUMMYFUNCTION("GOOGLETRANSLATE(A36128,""en"",""pt"")"),"tamanho, alguns wierdness com comutação entre o telefone e modos de palma")</f>
        <v>tamanho, alguns wierdness com comutação entre o telefone e modos de palma</v>
      </c>
      <c r="B36128" s="3">
        <v>0</v>
      </c>
    </row>
    <row r="36129" ht="15.75" customHeight="1" spans="1:2">
      <c r="A36129" s="3" t="str">
        <f>IFERROR(__xludf.DUMMYFUNCTION("GOOGLETRANSLATE(A36129,""en"",""pt"")"),"Precisa de uma fonte um pouco maior &amp; # 13; &amp; # 10; Wish ""Wake-Up"" iria funcionar quando a energia da bateria")</f>
        <v>Precisa de uma fonte um pouco maior &amp; # 13; &amp; # 10; Wish "Wake-Up" iria funcionar quando a energia da bateria</v>
      </c>
      <c r="B36129" s="3">
        <v>0</v>
      </c>
    </row>
    <row r="36130" ht="15.75" customHeight="1" spans="1:2">
      <c r="A36130" s="3" t="str">
        <f>IFERROR(__xludf.DUMMYFUNCTION("GOOGLETRANSLATE(A36130,""en"",""pt"")"),"Recepção dentro de alguns edifícios é difícil.")</f>
        <v>Recepção dentro de alguns edifícios é difícil.</v>
      </c>
      <c r="B36130" s="3">
        <v>0</v>
      </c>
    </row>
    <row r="36131" ht="15.75" customHeight="1" spans="1:2">
      <c r="A36131" s="3" t="str">
        <f>IFERROR(__xludf.DUMMYFUNCTION("GOOGLETRANSLATE(A36131,""en"",""pt"")"),"tela LCD de vidro (mas a maioria dos Palms parecem ter isso)")</f>
        <v>tela LCD de vidro (mas a maioria dos Palms parecem ter isso)</v>
      </c>
      <c r="B36131" s="3">
        <v>0</v>
      </c>
    </row>
    <row r="36132" ht="15.75" customHeight="1" spans="1:2">
      <c r="A36132" s="3" t="str">
        <f>IFERROR(__xludf.DUMMYFUNCTION("GOOGLETRANSLATE(A36132,""en"",""pt"")"),"Não consigo pensar em qualquer")</f>
        <v>Não consigo pensar em qualquer</v>
      </c>
      <c r="B36132" s="3">
        <v>0</v>
      </c>
    </row>
    <row r="36133" ht="15.75" customHeight="1" spans="1:2">
      <c r="A36133" s="3" t="str">
        <f>IFERROR(__xludf.DUMMYFUNCTION("GOOGLETRANSLATE(A36133,""en"",""pt"")"),"pequeno tamanho da tela; sincroniza remotos lentas")</f>
        <v>pequeno tamanho da tela; sincroniza remotos lentas</v>
      </c>
      <c r="B36133" s="3">
        <v>0</v>
      </c>
    </row>
    <row r="36134" ht="15.75" customHeight="1" spans="1:2">
      <c r="A36134" s="3" t="str">
        <f>IFERROR(__xludf.DUMMYFUNCTION("GOOGLETRANSLATE(A36134,""en"",""pt"")"),"Se o telefone tinha a capacidade de viva-voz que iria governar.")</f>
        <v>Se o telefone tinha a capacidade de viva-voz que iria governar.</v>
      </c>
      <c r="B36134" s="3">
        <v>0</v>
      </c>
    </row>
    <row r="36135" ht="15.75" customHeight="1" spans="1:2">
      <c r="A36135" s="3" t="str">
        <f>IFERROR(__xludf.DUMMYFUNCTION("GOOGLETRANSLATE(A36135,""en"",""pt"")"),"contatos internos no teclado numérico são terríveis números, aleatórios exibidos, deve tentar remarcar às vezes.")</f>
        <v>contatos internos no teclado numérico são terríveis números, aleatórios exibidos, deve tentar remarcar às vezes.</v>
      </c>
      <c r="B36135" s="3">
        <v>0</v>
      </c>
    </row>
    <row r="36136" ht="15.75" customHeight="1" spans="1:2">
      <c r="A36136" s="3" t="str">
        <f>IFERROR(__xludf.DUMMYFUNCTION("GOOGLETRANSLATE(A36136,""en"",""pt"")"),", Pesado, sem grande tela colorida")</f>
        <v>, Pesado, sem grande tela colorida</v>
      </c>
      <c r="B36136" s="3">
        <v>0</v>
      </c>
    </row>
    <row r="36137" ht="15.75" customHeight="1" spans="1:2">
      <c r="A36137" s="3" t="str">
        <f>IFERROR(__xludf.DUMMYFUNCTION("GOOGLETRANSLATE(A36137,""en"",""pt"")"),"incapacidade de atualizar o sistema operacional, monocromático tela, sem sd, cf ou Bluetooth")</f>
        <v>incapacidade de atualizar o sistema operacional, monocromático tela, sem sd, cf ou Bluetooth</v>
      </c>
      <c r="B36137" s="3">
        <v>0</v>
      </c>
    </row>
    <row r="36138" ht="15.75" customHeight="1" spans="1:2">
      <c r="A36138" s="3" t="str">
        <f>IFERROR(__xludf.DUMMYFUNCTION("GOOGLETRANSLATE(A36138,""en"",""pt"")"),"interface de lento, não pode armazenar endereços de e-mail na lista telefónica, não WAP")</f>
        <v>interface de lento, não pode armazenar endereços de e-mail na lista telefónica, não WAP</v>
      </c>
      <c r="B36138" s="3">
        <v>0</v>
      </c>
    </row>
    <row r="36139" ht="15.75" customHeight="1" spans="1:2">
      <c r="A36139" s="3" t="str">
        <f>IFERROR(__xludf.DUMMYFUNCTION("GOOGLETRANSLATE(A36139,""en"",""pt"")"),"vida útil da bateria medíocre, menus lentos")</f>
        <v>vida útil da bateria medíocre, menus lentos</v>
      </c>
      <c r="B36139" s="3">
        <v>0</v>
      </c>
    </row>
    <row r="36140" ht="15.75" customHeight="1" spans="1:2">
      <c r="A36140" s="3" t="str">
        <f>IFERROR(__xludf.DUMMYFUNCTION("GOOGLETRANSLATE(A36140,""en"",""pt"")"),"Relativamente alta SAR")</f>
        <v>Relativamente alta SAR</v>
      </c>
      <c r="B36140" s="3">
        <v>0</v>
      </c>
    </row>
    <row r="36141" ht="15.75" customHeight="1" spans="1:2">
      <c r="A36141" s="3" t="str">
        <f>IFERROR(__xludf.DUMMYFUNCTION("GOOGLETRANSLATE(A36141,""en"",""pt"")"),"Entrou com um defeito de fábrica - microfone não funciona")</f>
        <v>Entrou com um defeito de fábrica - microfone não funciona</v>
      </c>
      <c r="B36141" s="3">
        <v>0</v>
      </c>
    </row>
    <row r="36142" ht="15.75" customHeight="1" spans="1:2">
      <c r="A36142" s="3" t="str">
        <f>IFERROR(__xludf.DUMMYFUNCTION("GOOGLETRANSLATE(A36142,""en"",""pt"")"),"NENHUM!")</f>
        <v>NENHUM!</v>
      </c>
      <c r="B36142" s="3">
        <v>0</v>
      </c>
    </row>
    <row r="36143" ht="15.75" customHeight="1" spans="1:2">
      <c r="A36143" s="3" t="str">
        <f>IFERROR(__xludf.DUMMYFUNCTION("GOOGLETRANSLATE(A36143,""en"",""pt"")"),"Nenhum")</f>
        <v>Nenhum</v>
      </c>
      <c r="B36143" s="3">
        <v>0</v>
      </c>
    </row>
    <row r="36144" ht="15.75" customHeight="1" spans="1:2">
      <c r="A36144" s="3" t="str">
        <f>IFERROR(__xludf.DUMMYFUNCTION("GOOGLETRANSLATE(A36144,""en"",""pt"")"),"Nenhum, tão leve e fino, você pode perdê-lo.")</f>
        <v>Nenhum, tão leve e fino, você pode perdê-lo.</v>
      </c>
      <c r="B36144" s="3">
        <v>0</v>
      </c>
    </row>
    <row r="36145" ht="15.75" customHeight="1" spans="1:2">
      <c r="A36145" s="3" t="str">
        <f>IFERROR(__xludf.DUMMYFUNCTION("GOOGLETRANSLATE(A36145,""en"",""pt"")"),"Não lidar com vento bem. O adaptador de telefone aparece fora com muita facilidade.")</f>
        <v>Não lidar com vento bem. O adaptador de telefone aparece fora com muita facilidade.</v>
      </c>
      <c r="B36145" s="3">
        <v>0</v>
      </c>
    </row>
    <row r="36146" ht="15.75" customHeight="1" spans="1:2">
      <c r="A36146" s="3" t="str">
        <f>IFERROR(__xludf.DUMMYFUNCTION("GOOGLETRANSLATE(A36146,""en"",""pt"")"),"Não é tão robusto como a maioria dos celulares")</f>
        <v>Não é tão robusto como a maioria dos celulares</v>
      </c>
      <c r="B36146" s="3">
        <v>0</v>
      </c>
    </row>
    <row r="36147" ht="15.75" customHeight="1" spans="1:2">
      <c r="A36147" s="3" t="str">
        <f>IFERROR(__xludf.DUMMYFUNCTION("GOOGLETRANSLATE(A36147,""en"",""pt"")"),"Fácil avaria, antena enorme, Flip aberto em si. radiação de alta")</f>
        <v>Fácil avaria, antena enorme, Flip aberto em si. radiação de alta</v>
      </c>
      <c r="B36147" s="3">
        <v>0</v>
      </c>
    </row>
    <row r="36148" ht="15.75" customHeight="1" spans="1:2">
      <c r="A36148" s="3" t="str">
        <f>IFERROR(__xludf.DUMMYFUNCTION("GOOGLETRANSLATE(A36148,""en"",""pt"")"),"Antena cola para fora, não muito sexy")</f>
        <v>Antena cola para fora, não muito sexy</v>
      </c>
      <c r="B36148" s="3">
        <v>0</v>
      </c>
    </row>
    <row r="36149" ht="15.75" customHeight="1" spans="1:2">
      <c r="A36149" s="3" t="str">
        <f>IFERROR(__xludf.DUMMYFUNCTION("GOOGLETRANSLATE(A36149,""en"",""pt"")"),"Sem o roaming analógico, menus às vezes lentas")</f>
        <v>Sem o roaming analógico, menus às vezes lentas</v>
      </c>
      <c r="B36149" s="3">
        <v>0</v>
      </c>
    </row>
    <row r="36150" ht="15.75" customHeight="1" spans="1:2">
      <c r="A36150" s="3" t="str">
        <f>IFERROR(__xludf.DUMMYFUNCTION("GOOGLETRANSLATE(A36150,""en"",""pt"")"),"Não consigo encontrar qualquer ainda ...")</f>
        <v>Não consigo encontrar qualquer ainda ...</v>
      </c>
      <c r="B36150" s="3">
        <v>0</v>
      </c>
    </row>
    <row r="36151" ht="15.75" customHeight="1" spans="1:2">
      <c r="A36151" s="3" t="str">
        <f>IFERROR(__xludf.DUMMYFUNCTION("GOOGLETRANSLATE(A36151,""en"",""pt"")"),"cor feio, curto de espera e tempo de conversação, potenciais problemas aleta")</f>
        <v>cor feio, curto de espera e tempo de conversação, potenciais problemas aleta</v>
      </c>
      <c r="B36151" s="3">
        <v>0</v>
      </c>
    </row>
    <row r="36152" ht="15.75" customHeight="1" spans="1:2">
      <c r="A36152" s="3" t="str">
        <f>IFERROR(__xludf.DUMMYFUNCTION("GOOGLETRANSLATE(A36152,""en"",""pt"")"),"Não tão robusto como um Startac")</f>
        <v>Não tão robusto como um Startac</v>
      </c>
      <c r="B36152" s="3">
        <v>0</v>
      </c>
    </row>
    <row r="36153" ht="15.75" customHeight="1" spans="1:2">
      <c r="A36153" s="3" t="str">
        <f>IFERROR(__xludf.DUMMYFUNCTION("GOOGLETRANSLATE(A36153,""en"",""pt"")"),"Menus um pouco lenta às vezes.")</f>
        <v>Menus um pouco lenta às vezes.</v>
      </c>
      <c r="B36153" s="3">
        <v>0</v>
      </c>
    </row>
    <row r="36154" ht="15.75" customHeight="1" spans="1:2">
      <c r="A36154" s="3" t="str">
        <f>IFERROR(__xludf.DUMMYFUNCTION("GOOGLETRANSLATE(A36154,""en"",""pt"")"),"recepção interior Bad, o consumo da bateria")</f>
        <v>recepção interior Bad, o consumo da bateria</v>
      </c>
      <c r="B36154" s="3">
        <v>0</v>
      </c>
    </row>
    <row r="36155" ht="15.75" customHeight="1" spans="1:2">
      <c r="A36155" s="3" t="str">
        <f>IFERROR(__xludf.DUMMYFUNCTION("GOOGLETRANSLATE(A36155,""en"",""pt"")"),"Ericsson não faz mais funs fazendo apoio e acessórios difícil encontrar")</f>
        <v>Ericsson não faz mais funs fazendo apoio e acessórios difícil encontrar</v>
      </c>
      <c r="B36155" s="3">
        <v>0</v>
      </c>
    </row>
    <row r="36156" ht="15.75" customHeight="1" spans="1:2">
      <c r="A36156" s="3" t="str">
        <f>IFERROR(__xludf.DUMMYFUNCTION("GOOGLETRANSLATE(A36156,""en"",""pt"")"),"veja opinião")</f>
        <v>veja opinião</v>
      </c>
      <c r="B36156" s="3">
        <v>0</v>
      </c>
    </row>
    <row r="36157" ht="15.75" customHeight="1" spans="1:2">
      <c r="A36157" s="3" t="str">
        <f>IFERROR(__xludf.DUMMYFUNCTION("GOOGLETRANSLATE(A36157,""en"",""pt"")"),"Leia mais e eu vou te dizer")</f>
        <v>Leia mais e eu vou te dizer</v>
      </c>
      <c r="B36157" s="3">
        <v>0</v>
      </c>
    </row>
    <row r="36158" ht="15.75" customHeight="1" spans="1:2">
      <c r="A36158" s="3" t="str">
        <f>IFERROR(__xludf.DUMMYFUNCTION("GOOGLETRANSLATE(A36158,""en"",""pt"")"),"botão aleta difícil de imprensa, por vezes,")</f>
        <v>botão aleta difícil de imprensa, por vezes,</v>
      </c>
      <c r="B36158" s="3">
        <v>0</v>
      </c>
    </row>
    <row r="36159" ht="15.75" customHeight="1" spans="1:2">
      <c r="A36159" s="3" t="str">
        <f>IFERROR(__xludf.DUMMYFUNCTION("GOOGLETRANSLATE(A36159,""en"",""pt"")"),"Nenhum, para alguns, a antena pode ser um problema.")</f>
        <v>Nenhum, para alguns, a antena pode ser um problema.</v>
      </c>
      <c r="B36159" s="3">
        <v>0</v>
      </c>
    </row>
    <row r="36160" ht="15.75" customHeight="1" spans="1:2">
      <c r="A36160" s="3" t="str">
        <f>IFERROR(__xludf.DUMMYFUNCTION("GOOGLETRANSLATE(A36160,""en"",""pt"")"),"Nenhum")</f>
        <v>Nenhum</v>
      </c>
      <c r="B36160" s="3">
        <v>0</v>
      </c>
    </row>
    <row r="36161" ht="15.75" customHeight="1" spans="1:2">
      <c r="A36161" s="3" t="str">
        <f>IFERROR(__xludf.DUMMYFUNCTION("GOOGLETRANSLATE(A36161,""en"",""pt"")"),"Interface HORRÍVEL, alta classificação de SAR, o tempo de espera fracote, e não sexy")</f>
        <v>Interface HORRÍVEL, alta classificação de SAR, o tempo de espera fracote, e não sexy</v>
      </c>
      <c r="B36161" s="3">
        <v>0</v>
      </c>
    </row>
    <row r="36162" ht="15.75" customHeight="1" spans="1:2">
      <c r="A36162" s="3" t="str">
        <f>IFERROR(__xludf.DUMMYFUNCTION("GOOGLETRANSLATE(A36162,""en"",""pt"")"),"Looks e tamanho. Problemas de firmware. sistema ocasional ""crash"". Durabilidade?")</f>
        <v>Looks e tamanho. Problemas de firmware. sistema ocasional "crash". Durabilidade?</v>
      </c>
      <c r="B36162" s="3">
        <v>0</v>
      </c>
    </row>
    <row r="36163" ht="15.75" customHeight="1" spans="1:2">
      <c r="A36163" s="3" t="str">
        <f>IFERROR(__xludf.DUMMYFUNCTION("GOOGLETRANSLATE(A36163,""en"",""pt"")"),"caro, difícil de menu de navegação")</f>
        <v>caro, difícil de menu de navegação</v>
      </c>
      <c r="B36163" s="3">
        <v>0</v>
      </c>
    </row>
    <row r="36164" ht="15.75" customHeight="1" spans="1:2">
      <c r="A36164" s="3" t="str">
        <f>IFERROR(__xludf.DUMMYFUNCTION("GOOGLETRANSLATE(A36164,""en"",""pt"")"),"Vida útil da bateria, antena varas para cima")</f>
        <v>Vida útil da bateria, antena varas para cima</v>
      </c>
      <c r="B36164" s="3">
        <v>0</v>
      </c>
    </row>
    <row r="36165" ht="15.75" customHeight="1" spans="1:2">
      <c r="A36165" s="3" t="str">
        <f>IFERROR(__xludf.DUMMYFUNCTION("GOOGLETRANSLATE(A36165,""en"",""pt"")"),"Infravermelho não é embutido. Tela pequena. De espera de 3 dias é única. &amp; # 13; &amp; # 10;")</f>
        <v>Infravermelho não é embutido. Tela pequena. De espera de 3 dias é única. &amp; # 13; &amp; # 10;</v>
      </c>
      <c r="B36165" s="3">
        <v>0</v>
      </c>
    </row>
    <row r="36166" ht="15.75" customHeight="1" spans="1:2">
      <c r="A36166" s="3" t="str">
        <f>IFERROR(__xludf.DUMMYFUNCTION("GOOGLETRANSLATE(A36166,""en"",""pt"")"),"interface do usuário, não pode senti-lo vibrar")</f>
        <v>interface do usuário, não pode senti-lo vibrar</v>
      </c>
      <c r="B36166" s="3">
        <v>0</v>
      </c>
    </row>
    <row r="36167" ht="15.75" customHeight="1" spans="1:2">
      <c r="A36167" s="3" t="str">
        <f>IFERROR(__xludf.DUMMYFUNCTION("GOOGLETRANSLATE(A36167,""en"",""pt"")"),"Fica muito quente, se usado por muito tempo, tampa do teclado frágil pad")</f>
        <v>Fica muito quente, se usado por muito tempo, tampa do teclado frágil pad</v>
      </c>
      <c r="B36167" s="3">
        <v>0</v>
      </c>
    </row>
    <row r="36168" ht="15.75" customHeight="1" spans="1:2">
      <c r="A36168" s="3" t="str">
        <f>IFERROR(__xludf.DUMMYFUNCTION("GOOGLETRANSLATE(A36168,""en"",""pt"")"),"telefone caro e acessórios caros")</f>
        <v>telefone caro e acessórios caros</v>
      </c>
      <c r="B36168" s="3">
        <v>0</v>
      </c>
    </row>
    <row r="36169" ht="15.75" customHeight="1" spans="1:2">
      <c r="A36169" s="3" t="str">
        <f>IFERROR(__xludf.DUMMYFUNCTION("GOOGLETRANSLATE(A36169,""en"",""pt"")"),"O mundo T28, bem como a T28Z tanto lag e tem muitas falhas.")</f>
        <v>O mundo T28, bem como a T28Z tanto lag e tem muitas falhas.</v>
      </c>
      <c r="B36169" s="3">
        <v>0</v>
      </c>
    </row>
    <row r="36170" ht="15.75" customHeight="1" spans="1:2">
      <c r="A36170" s="3" t="str">
        <f>IFERROR(__xludf.DUMMYFUNCTION("GOOGLETRANSLATE(A36170,""en"",""pt"")"),"Atualize o fechamento da aleta parado")</f>
        <v>Atualize o fechamento da aleta parado</v>
      </c>
      <c r="B36170" s="3">
        <v>0</v>
      </c>
    </row>
    <row r="36171" ht="15.75" customHeight="1" spans="1:2">
      <c r="A36171" s="3" t="str">
        <f>IFERROR(__xludf.DUMMYFUNCTION("GOOGLETRANSLATE(A36171,""en"",""pt"")"),"Deixaram de ser produzidas")</f>
        <v>Deixaram de ser produzidas</v>
      </c>
      <c r="B36171" s="3">
        <v>0</v>
      </c>
    </row>
    <row r="36172" ht="15.75" customHeight="1" spans="1:2">
      <c r="A36172" s="3" t="str">
        <f>IFERROR(__xludf.DUMMYFUNCTION("GOOGLETRANSLATE(A36172,""en"",""pt"")"),"Difícil de flip aberto botão de energia Não clip Sem Belt / titular")</f>
        <v>Difícil de flip aberto botão de energia Não clip Sem Belt / titular</v>
      </c>
      <c r="B36172" s="3">
        <v>0</v>
      </c>
    </row>
    <row r="36173" ht="15.75" customHeight="1" spans="1:2">
      <c r="A36173" s="3" t="str">
        <f>IFERROR(__xludf.DUMMYFUNCTION("GOOGLETRANSLATE(A36173,""en"",""pt"")"),"No topo da lista de radiação, liberação da tampa estranho, conexão de cartão inteligente")</f>
        <v>No topo da lista de radiação, liberação da tampa estranho, conexão de cartão inteligente</v>
      </c>
      <c r="B36173" s="3">
        <v>0</v>
      </c>
    </row>
    <row r="36174" ht="15.75" customHeight="1" spans="1:2">
      <c r="A36174" s="3" t="str">
        <f>IFERROR(__xludf.DUMMYFUNCTION("GOOGLETRANSLATE(A36174,""en"",""pt"")"),"Tumores cerebrais")</f>
        <v>Tumores cerebrais</v>
      </c>
      <c r="B36174" s="3">
        <v>0</v>
      </c>
    </row>
    <row r="36175" ht="15.75" customHeight="1" spans="1:2">
      <c r="A36175" s="3" t="str">
        <f>IFERROR(__xludf.DUMMYFUNCTION("GOOGLETRANSLATE(A36175,""en"",""pt"")"),"média de vida da bateria. Não WAP.")</f>
        <v>média de vida da bateria. Não WAP.</v>
      </c>
      <c r="B36175" s="3">
        <v>0</v>
      </c>
    </row>
    <row r="36176" ht="15.75" customHeight="1" spans="1:2">
      <c r="A36176" s="3" t="str">
        <f>IFERROR(__xludf.DUMMYFUNCTION("GOOGLETRANSLATE(A36176,""en"",""pt"")"),"não muito durável")</f>
        <v>não muito durável</v>
      </c>
      <c r="B36176" s="3">
        <v>0</v>
      </c>
    </row>
    <row r="36177" ht="15.75" customHeight="1" spans="1:2">
      <c r="A36177" s="3" t="str">
        <f>IFERROR(__xludf.DUMMYFUNCTION("GOOGLETRANSLATE(A36177,""en"",""pt"")"),"Cheap Sinta, vida útil da bateria")</f>
        <v>Cheap Sinta, vida útil da bateria</v>
      </c>
      <c r="B36177" s="3">
        <v>0</v>
      </c>
    </row>
    <row r="36178" ht="15.75" customHeight="1" spans="1:2">
      <c r="A36178" s="3" t="str">
        <f>IFERROR(__xludf.DUMMYFUNCTION("GOOGLETRANSLATE(A36178,""en"",""pt"")"),"antena enorme (em oposição ao corpo) realmente não entregar enorme recepção")</f>
        <v>antena enorme (em oposição ao corpo) realmente não entregar enorme recepção</v>
      </c>
      <c r="B36178" s="3">
        <v>0</v>
      </c>
    </row>
    <row r="36179" ht="15.75" customHeight="1" spans="1:2">
      <c r="A36179" s="3" t="str">
        <f>IFERROR(__xludf.DUMMYFUNCTION("GOOGLETRANSLATE(A36179,""en"",""pt"")"),"Uma cor, sente aleta frágil, buggie!")</f>
        <v>Uma cor, sente aleta frágil, buggie!</v>
      </c>
      <c r="B36179" s="3">
        <v>0</v>
      </c>
    </row>
    <row r="36180" ht="15.75" customHeight="1" spans="1:2">
      <c r="A36180" s="3" t="str">
        <f>IFERROR(__xludf.DUMMYFUNCTION("GOOGLETRANSLATE(A36180,""en"",""pt"")"),"Eu não vi um ainda")</f>
        <v>Eu não vi um ainda</v>
      </c>
      <c r="B36180" s="3">
        <v>0</v>
      </c>
    </row>
    <row r="36181" ht="15.75" customHeight="1" spans="1:2">
      <c r="A36181" s="3" t="str">
        <f>IFERROR(__xludf.DUMMYFUNCTION("GOOGLETRANSLATE(A36181,""en"",""pt"")"),"Sem cobertura em muitas parte de EUA")</f>
        <v>Sem cobertura em muitas parte de EUA</v>
      </c>
      <c r="B36181" s="3">
        <v>0</v>
      </c>
    </row>
    <row r="36182" ht="15.75" customHeight="1" spans="1:2">
      <c r="A36182" s="3" t="str">
        <f>IFERROR(__xludf.DUMMYFUNCTION("GOOGLETRANSLATE(A36182,""en"",""pt"")"),"tela minúscula, não WAP / web, a vida da bateria limitada")</f>
        <v>tela minúscula, não WAP / web, a vida da bateria limitada</v>
      </c>
      <c r="B36182" s="3">
        <v>0</v>
      </c>
    </row>
    <row r="36183" ht="15.75" customHeight="1" spans="1:2">
      <c r="A36183" s="3" t="str">
        <f>IFERROR(__xludf.DUMMYFUNCTION("GOOGLETRANSLATE(A36183,""en"",""pt"")"),"má recepção, o grande antena feio que nem sequer recepção ajuda")</f>
        <v>má recepção, o grande antena feio que nem sequer recepção ajuda</v>
      </c>
      <c r="B36183" s="3">
        <v>0</v>
      </c>
    </row>
    <row r="36184" ht="15.75" customHeight="1" spans="1:2">
      <c r="A36184" s="3" t="str">
        <f>IFERROR(__xludf.DUMMYFUNCTION("GOOGLETRANSLATE(A36184,""en"",""pt"")"),"Apenas 10 mostradores de voz")</f>
        <v>Apenas 10 mostradores de voz</v>
      </c>
      <c r="B36184" s="3">
        <v>0</v>
      </c>
    </row>
    <row r="36185" ht="15.75" customHeight="1" spans="1:2">
      <c r="A36185" s="3" t="str">
        <f>IFERROR(__xludf.DUMMYFUNCTION("GOOGLETRANSLATE(A36185,""en"",""pt"")"),"Frágil, lenta, difícil de navegar")</f>
        <v>Frágil, lenta, difícil de navegar</v>
      </c>
      <c r="B36185" s="3">
        <v>0</v>
      </c>
    </row>
    <row r="36186" ht="15.75" customHeight="1" spans="1:2">
      <c r="A36186" s="3" t="str">
        <f>IFERROR(__xludf.DUMMYFUNCTION("GOOGLETRANSLATE(A36186,""en"",""pt"")"),"tempo de conversação curta")</f>
        <v>tempo de conversação curta</v>
      </c>
      <c r="B36186" s="3">
        <v>0</v>
      </c>
    </row>
    <row r="36187" ht="15.75" customHeight="1" spans="1:2">
      <c r="A36187" s="3" t="str">
        <f>IFERROR(__xludf.DUMMYFUNCTION("GOOGLETRANSLATE(A36187,""en"",""pt"")"),"não recebe tem boa força singal.")</f>
        <v>não recebe tem boa força singal.</v>
      </c>
      <c r="B36187" s="3">
        <v>0</v>
      </c>
    </row>
    <row r="36188" ht="15.75" customHeight="1" spans="1:2">
      <c r="A36188" s="3" t="str">
        <f>IFERROR(__xludf.DUMMYFUNCTION("GOOGLETRANSLATE(A36188,""en"",""pt"")"),"desajeitado, carrinho, quebrou, parece barato")</f>
        <v>desajeitado, carrinho, quebrou, parece barato</v>
      </c>
      <c r="B36188" s="3">
        <v>0</v>
      </c>
    </row>
    <row r="36189" ht="15.75" customHeight="1" spans="1:2">
      <c r="A36189" s="3" t="str">
        <f>IFERROR(__xludf.DUMMYFUNCTION("GOOGLETRANSLATE(A36189,""en"",""pt"")"),"É tão pequeno, eu às vezes perdê-lo !!")</f>
        <v>É tão pequeno, eu às vezes perdê-lo !!</v>
      </c>
      <c r="B36189" s="3">
        <v>0</v>
      </c>
    </row>
    <row r="36190" ht="15.75" customHeight="1" spans="1:2">
      <c r="A36190" s="3" t="str">
        <f>IFERROR(__xludf.DUMMYFUNCTION("GOOGLETRANSLATE(A36190,""en"",""pt"")"),"tela pequena, não WAP ...")</f>
        <v>tela pequena, não WAP ...</v>
      </c>
      <c r="B36190" s="3">
        <v>0</v>
      </c>
    </row>
    <row r="36191" ht="15.75" customHeight="1" spans="1:2">
      <c r="A36191" s="3" t="str">
        <f>IFERROR(__xludf.DUMMYFUNCTION("GOOGLETRANSLATE(A36191,""en"",""pt"")"),"* Menu Extremamente lento &amp; # 13; &amp; # 10; * No calendário &amp; # 13; &amp; # 10; * a tampa pode facilmente ter arruinado &amp; # 13; &amp; # 10; * Não pode recusar chamadas")</f>
        <v>* Menu Extremamente lento &amp; # 13; &amp; # 10; * No calendário &amp; # 13; &amp; # 10; * a tampa pode facilmente ter arruinado &amp; # 13; &amp; # 10; * Não pode recusar chamadas</v>
      </c>
      <c r="B36191" s="3">
        <v>0</v>
      </c>
    </row>
    <row r="36192" ht="15.75" customHeight="1" spans="1:2">
      <c r="A36192" s="3" t="str">
        <f>IFERROR(__xludf.DUMMYFUNCTION("GOOGLETRANSLATE(A36192,""en"",""pt"")"),"bateria não é grande")</f>
        <v>bateria não é grande</v>
      </c>
      <c r="B36192" s="3">
        <v>0</v>
      </c>
    </row>
    <row r="36193" ht="15.75" customHeight="1" spans="1:2">
      <c r="A36193" s="3" t="str">
        <f>IFERROR(__xludf.DUMMYFUNCTION("GOOGLETRANSLATE(A36193,""en"",""pt"")"),"No web navegador, teclado pequeno.")</f>
        <v>No web navegador, teclado pequeno.</v>
      </c>
      <c r="B36193" s="3">
        <v>0</v>
      </c>
    </row>
    <row r="36194" ht="15.75" customHeight="1" spans="1:2">
      <c r="A36194" s="3" t="str">
        <f>IFERROR(__xludf.DUMMYFUNCTION("GOOGLETRANSLATE(A36194,""en"",""pt"")"),"O flip e às vezes lento alcançando processo quando você pressiona uma tecla")</f>
        <v>O flip e às vezes lento alcançando processo quando você pressiona uma tecla</v>
      </c>
      <c r="B36194" s="3">
        <v>0</v>
      </c>
    </row>
    <row r="36195" ht="15.75" customHeight="1" spans="1:2">
      <c r="A36195" s="3" t="str">
        <f>IFERROR(__xludf.DUMMYFUNCTION("GOOGLETRANSLATE(A36195,""en"",""pt"")"),"Menus não tão bom como Nokia")</f>
        <v>Menus não tão bom como Nokia</v>
      </c>
      <c r="B36195" s="3">
        <v>0</v>
      </c>
    </row>
    <row r="36196" ht="15.75" customHeight="1" spans="1:2">
      <c r="A36196" s="3" t="str">
        <f>IFERROR(__xludf.DUMMYFUNCTION("GOOGLETRANSLATE(A36196,""en"",""pt"")"),"não muitos toques, modo de vibração não é muito forte, leva um tempo para sim carga")</f>
        <v>não muitos toques, modo de vibração não é muito forte, leva um tempo para sim carga</v>
      </c>
      <c r="B36196" s="3">
        <v>0</v>
      </c>
    </row>
    <row r="36197" ht="15.75" customHeight="1" spans="1:2">
      <c r="A36197" s="3" t="str">
        <f>IFERROR(__xludf.DUMMYFUNCTION("GOOGLETRANSLATE(A36197,""en"",""pt"")"),"Nenhum")</f>
        <v>Nenhum</v>
      </c>
      <c r="B36197" s="3">
        <v>0</v>
      </c>
    </row>
    <row r="36198" ht="15.75" customHeight="1" spans="1:2">
      <c r="A36198" s="3" t="str">
        <f>IFERROR(__xludf.DUMMYFUNCTION("GOOGLETRANSLATE(A36198,""en"",""pt"")"),"TOO leve e portátil E NÚMERO PAD DEMASIADO PEQUENO")</f>
        <v>TOO leve e portátil E NÚMERO PAD DEMASIADO PEQUENO</v>
      </c>
      <c r="B36198" s="3">
        <v>0</v>
      </c>
    </row>
    <row r="36199" ht="15.75" customHeight="1" spans="1:2">
      <c r="A36199" s="3" t="str">
        <f>IFERROR(__xludf.DUMMYFUNCTION("GOOGLETRANSLATE(A36199,""en"",""pt"")"),"tela minúscula.")</f>
        <v>tela minúscula.</v>
      </c>
      <c r="B36199" s="3">
        <v>0</v>
      </c>
    </row>
    <row r="36200" ht="15.75" customHeight="1" spans="1:2">
      <c r="A36200" s="3" t="str">
        <f>IFERROR(__xludf.DUMMYFUNCTION("GOOGLETRANSLATE(A36200,""en"",""pt"")"),"Bateria poderia ter mais de espera e tempo de conversação.")</f>
        <v>Bateria poderia ter mais de espera e tempo de conversação.</v>
      </c>
      <c r="B36200" s="3">
        <v>0</v>
      </c>
    </row>
    <row r="36201" ht="15.75" customHeight="1" spans="1:2">
      <c r="A36201" s="3" t="str">
        <f>IFERROR(__xludf.DUMMYFUNCTION("GOOGLETRANSLATE(A36201,""en"",""pt"")"),"desliga-se sozinho, se abre por si só, trava durante as chamadas ... há mais ...")</f>
        <v>desliga-se sozinho, se abre por si só, trava durante as chamadas ... há mais ...</v>
      </c>
      <c r="B36201" s="3">
        <v>0</v>
      </c>
    </row>
    <row r="36202" ht="15.75" customHeight="1" spans="1:2">
      <c r="A36202" s="3" t="str">
        <f>IFERROR(__xludf.DUMMYFUNCTION("GOOGLETRANSLATE(A36202,""en"",""pt"")"),"acessórios são caros !!!")</f>
        <v>acessórios são caros !!!</v>
      </c>
      <c r="B36202" s="3">
        <v>0</v>
      </c>
    </row>
    <row r="36203" ht="15.75" customHeight="1" spans="1:2">
      <c r="A36203" s="3" t="str">
        <f>IFERROR(__xludf.DUMMYFUNCTION("GOOGLETRANSLATE(A36203,""en"",""pt"")"),"Algumas opções de menu não são intuitivos")</f>
        <v>Algumas opções de menu não são intuitivos</v>
      </c>
      <c r="B36203" s="3">
        <v>0</v>
      </c>
    </row>
    <row r="36204" ht="15.75" customHeight="1" spans="1:2">
      <c r="A36204" s="3" t="str">
        <f>IFERROR(__xludf.DUMMYFUNCTION("GOOGLETRANSLATE(A36204,""en"",""pt"")"),"interface de lento")</f>
        <v>interface de lento</v>
      </c>
      <c r="B36204" s="3">
        <v>0</v>
      </c>
    </row>
    <row r="36205" ht="15.75" customHeight="1" spans="1:2">
      <c r="A36205" s="3" t="str">
        <f>IFERROR(__xludf.DUMMYFUNCTION("GOOGLETRANSLATE(A36205,""en"",""pt"")"),"não é confortável para longas conversas")</f>
        <v>não é confortável para longas conversas</v>
      </c>
      <c r="B36205" s="3">
        <v>0</v>
      </c>
    </row>
    <row r="36206" ht="15.75" customHeight="1" spans="1:2">
      <c r="A36206" s="3" t="str">
        <f>IFERROR(__xludf.DUMMYFUNCTION("GOOGLETRANSLATE(A36206,""en"",""pt"")"),"a vida da bateria pobres, resposta lenta, menus complexos")</f>
        <v>a vida da bateria pobres, resposta lenta, menus complexos</v>
      </c>
      <c r="B36206" s="3">
        <v>0</v>
      </c>
    </row>
    <row r="36207" ht="15.75" customHeight="1" spans="1:2">
      <c r="A36207" s="3" t="str">
        <f>IFERROR(__xludf.DUMMYFUNCTION("GOOGLETRANSLATE(A36207,""en"",""pt"")"),"não pode colocar olhar fresco capas nele. tempo de conversação curta w / o bateria maior")</f>
        <v>não pode colocar olhar fresco capas nele. tempo de conversação curta w / o bateria maior</v>
      </c>
      <c r="B36207" s="3">
        <v>0</v>
      </c>
    </row>
    <row r="36208" ht="15.75" customHeight="1" spans="1:2">
      <c r="A36208" s="3" t="str">
        <f>IFERROR(__xludf.DUMMYFUNCTION("GOOGLETRANSLATE(A36208,""en"",""pt"")"),"Relativly pequeno LCD")</f>
        <v>Relativly pequeno LCD</v>
      </c>
      <c r="B36208" s="3">
        <v>0</v>
      </c>
    </row>
    <row r="36209" ht="15.75" customHeight="1" spans="1:2">
      <c r="A36209" s="3" t="str">
        <f>IFERROR(__xludf.DUMMYFUNCTION("GOOGLETRANSLATE(A36209,""en"",""pt"")"),"Nenhuma mensagem ACESSO")</f>
        <v>Nenhuma mensagem ACESSO</v>
      </c>
      <c r="B36209" s="3">
        <v>0</v>
      </c>
    </row>
    <row r="36210" ht="15.75" customHeight="1" spans="1:2">
      <c r="A36210" s="3" t="str">
        <f>IFERROR(__xludf.DUMMYFUNCTION("GOOGLETRANSLATE(A36210,""en"",""pt"")"),"Má recepção, o volume muito baixo")</f>
        <v>Má recepção, o volume muito baixo</v>
      </c>
      <c r="B36210" s="3">
        <v>0</v>
      </c>
    </row>
    <row r="36211" ht="15.75" customHeight="1" spans="1:2">
      <c r="A36211" s="3" t="str">
        <f>IFERROR(__xludf.DUMMYFUNCTION("GOOGLETRANSLATE(A36211,""en"",""pt"")"),"Manobrando interface é complicado e lento.")</f>
        <v>Manobrando interface é complicado e lento.</v>
      </c>
      <c r="B36211" s="3">
        <v>0</v>
      </c>
    </row>
    <row r="36212" ht="15.75" customHeight="1" spans="1:2">
      <c r="A36212" s="3" t="str">
        <f>IFERROR(__xludf.DUMMYFUNCTION("GOOGLETRANSLATE(A36212,""en"",""pt"")"),"Nenhum")</f>
        <v>Nenhum</v>
      </c>
      <c r="B36212" s="3">
        <v>0</v>
      </c>
    </row>
    <row r="36213" ht="15.75" customHeight="1" spans="1:2">
      <c r="A36213" s="3" t="str">
        <f>IFERROR(__xludf.DUMMYFUNCTION("GOOGLETRANSLATE(A36213,""en"",""pt"")"),"volume é muito mole, muitas chamadas abandonadas, estática indevida e falta de recursos")</f>
        <v>volume é muito mole, muitas chamadas abandonadas, estática indevida e falta de recursos</v>
      </c>
      <c r="B36213" s="3">
        <v>0</v>
      </c>
    </row>
    <row r="36214" ht="15.75" customHeight="1" spans="1:2">
      <c r="A36214" s="3" t="str">
        <f>IFERROR(__xludf.DUMMYFUNCTION("GOOGLETRANSLATE(A36214,""en"",""pt"")"),"bateria começa a morrer depois de cerca de um ano, mas é facilmente substituído")</f>
        <v>bateria começa a morrer depois de cerca de um ano, mas é facilmente substituído</v>
      </c>
      <c r="B36214" s="3">
        <v>0</v>
      </c>
    </row>
    <row r="36215" ht="15.75" customHeight="1" spans="1:2">
      <c r="A36215" s="3" t="str">
        <f>IFERROR(__xludf.DUMMYFUNCTION("GOOGLETRANSLATE(A36215,""en"",""pt"")"),"tela muito pequena")</f>
        <v>tela muito pequena</v>
      </c>
      <c r="B36215" s="3">
        <v>0</v>
      </c>
    </row>
    <row r="36216" ht="15.75" customHeight="1" spans="1:2">
      <c r="A36216" s="3" t="str">
        <f>IFERROR(__xludf.DUMMYFUNCTION("GOOGLETRANSLATE(A36216,""en"",""pt"")"),"Serviço só está disponível na rede da Sprint. a vida da bateria pobres.")</f>
        <v>Serviço só está disponível na rede da Sprint. a vida da bateria pobres.</v>
      </c>
      <c r="B36216" s="3">
        <v>0</v>
      </c>
    </row>
    <row r="36217" ht="15.75" customHeight="1" spans="1:2">
      <c r="A36217" s="3" t="str">
        <f>IFERROR(__xludf.DUMMYFUNCTION("GOOGLETRANSLATE(A36217,""en"",""pt"")"),"abaixo média de vida da bateria e alguns outros")</f>
        <v>abaixo média de vida da bateria e alguns outros</v>
      </c>
      <c r="B36217" s="3">
        <v>0</v>
      </c>
    </row>
    <row r="36218" ht="15.75" customHeight="1" spans="1:2">
      <c r="A36218" s="3" t="str">
        <f>IFERROR(__xludf.DUMMYFUNCTION("GOOGLETRANSLATE(A36218,""en"",""pt"")"),"recepção justo, alto-falante do fone de ouvido, $ expen $ ive, Sprint única")</f>
        <v>recepção justo, alto-falante do fone de ouvido, $ expen $ ive, Sprint única</v>
      </c>
      <c r="B36218" s="3">
        <v>0</v>
      </c>
    </row>
    <row r="36219" ht="15.75" customHeight="1" spans="1:2">
      <c r="A36219" s="3" t="str">
        <f>IFERROR(__xludf.DUMMYFUNCTION("GOOGLETRANSLATE(A36219,""en"",""pt"")"),"A vida da bateria, problemas de recepção, pequeno demais para algumas mãos, preço")</f>
        <v>A vida da bateria, problemas de recepção, pequeno demais para algumas mãos, preço</v>
      </c>
      <c r="B36219" s="3">
        <v>0</v>
      </c>
    </row>
    <row r="36220" ht="15.75" customHeight="1" spans="1:2">
      <c r="A36220" s="3" t="str">
        <f>IFERROR(__xludf.DUMMYFUNCTION("GOOGLETRANSLATE(A36220,""en"",""pt"")"),"A vida da bateria parece um pouco curto, volume da campainha suave")</f>
        <v>A vida da bateria parece um pouco curto, volume da campainha suave</v>
      </c>
      <c r="B36220" s="3">
        <v>0</v>
      </c>
    </row>
    <row r="36221" ht="15.75" customHeight="1" spans="1:2">
      <c r="A36221" s="3" t="str">
        <f>IFERROR(__xludf.DUMMYFUNCTION("GOOGLETRANSLATE(A36221,""en"",""pt"")"),"Nenhuma banda analógica, sem telefone alto-falante, a vida da bateria marginal, caro.")</f>
        <v>Nenhuma banda analógica, sem telefone alto-falante, a vida da bateria marginal, caro.</v>
      </c>
      <c r="B36221" s="3">
        <v>0</v>
      </c>
    </row>
    <row r="36222" ht="15.75" customHeight="1" spans="1:2">
      <c r="A36222" s="3" t="str">
        <f>IFERROR(__xludf.DUMMYFUNCTION("GOOGLETRANSLATE(A36222,""en"",""pt"")"),"A vida da bateria, não analógico, extra PC sync, sub-par qualidade de som, caro")</f>
        <v>A vida da bateria, não analógico, extra PC sync, sub-par qualidade de som, caro</v>
      </c>
      <c r="B36222" s="3">
        <v>0</v>
      </c>
    </row>
    <row r="36223" ht="15.75" customHeight="1" spans="1:2">
      <c r="A36223" s="3" t="str">
        <f>IFERROR(__xludf.DUMMYFUNCTION("GOOGLETRANSLATE(A36223,""en"",""pt"")"),"1,9 GHz somente, extras caros se você quiser sincronia com computador")</f>
        <v>1,9 GHz somente, extras caros se você quiser sincronia com computador</v>
      </c>
      <c r="B36223" s="3">
        <v>0</v>
      </c>
    </row>
    <row r="36224" ht="15.75" customHeight="1" spans="1:2">
      <c r="A36224" s="3" t="str">
        <f>IFERROR(__xludf.DUMMYFUNCTION("GOOGLETRANSLATE(A36224,""en"",""pt"")"),"Anel / combinação vibrar apenas com alta vol. anel")</f>
        <v>Anel / combinação vibrar apenas com alta vol. anel</v>
      </c>
      <c r="B36224" s="3">
        <v>0</v>
      </c>
    </row>
    <row r="36225" ht="15.75" customHeight="1" spans="1:2">
      <c r="A36225" s="3" t="str">
        <f>IFERROR(__xludf.DUMMYFUNCTION("GOOGLETRANSLATE(A36225,""en"",""pt"")"),"Primeiros lotes fornecidos com software ruim")</f>
        <v>Primeiros lotes fornecidos com software ruim</v>
      </c>
      <c r="B36225" s="3">
        <v>0</v>
      </c>
    </row>
    <row r="36226" ht="15.75" customHeight="1" spans="1:2">
      <c r="A36226" s="3" t="str">
        <f>IFERROR(__xludf.DUMMYFUNCTION("GOOGLETRANSLATE(A36226,""en"",""pt"")"),"Preço. (Você está pagando para o estilo)")</f>
        <v>Preço. (Você está pagando para o estilo)</v>
      </c>
      <c r="B36226" s="3">
        <v>0</v>
      </c>
    </row>
    <row r="36227" ht="15.75" customHeight="1" spans="1:2">
      <c r="A36227" s="3" t="str">
        <f>IFERROR(__xludf.DUMMYFUNCTION("GOOGLETRANSLATE(A36227,""en"",""pt"")"),"média de vida da bateria, antena projeta do corpo")</f>
        <v>média de vida da bateria, antena projeta do corpo</v>
      </c>
      <c r="B36227" s="3">
        <v>0</v>
      </c>
    </row>
    <row r="36228" ht="15.75" customHeight="1" spans="1:2">
      <c r="A36228" s="3" t="str">
        <f>IFERROR(__xludf.DUMMYFUNCTION("GOOGLETRANSLATE(A36228,""en"",""pt"")"),"Nenhum cabo e web-conectividade de SprintPCS, mais de três meses agora.")</f>
        <v>Nenhum cabo e web-conectividade de SprintPCS, mais de três meses agora.</v>
      </c>
      <c r="B36228" s="3">
        <v>0</v>
      </c>
    </row>
    <row r="36229" ht="15.75" customHeight="1" spans="1:2">
      <c r="A36229" s="3" t="str">
        <f>IFERROR(__xludf.DUMMYFUNCTION("GOOGLETRANSLATE(A36229,""en"",""pt"")"),"O tempo de conversação não é o melhor, embora eu sou um porco telefone.")</f>
        <v>O tempo de conversação não é o melhor, embora eu sou um porco telefone.</v>
      </c>
      <c r="B36229" s="3">
        <v>0</v>
      </c>
    </row>
    <row r="36230" ht="15.75" customHeight="1" spans="1:2">
      <c r="A36230" s="3" t="str">
        <f>IFERROR(__xludf.DUMMYFUNCTION("GOOGLETRANSLATE(A36230,""en"",""pt"")"),"Muito pequeno para grandes mãos, tempo de conversação Curto, No alto-falante, campainha tranquila ...")</f>
        <v>Muito pequeno para grandes mãos, tempo de conversação Curto, No alto-falante, campainha tranquila ...</v>
      </c>
      <c r="B36230" s="3">
        <v>0</v>
      </c>
    </row>
    <row r="36231" ht="15.75" customHeight="1" spans="1:2">
      <c r="A36231" s="3" t="str">
        <f>IFERROR(__xludf.DUMMYFUNCTION("GOOGLETRANSLATE(A36231,""en"",""pt"")"),"NO viva-voz, NÃO DUAL MODE.")</f>
        <v>NO viva-voz, NÃO DUAL MODE.</v>
      </c>
      <c r="B36231" s="3">
        <v>0</v>
      </c>
    </row>
    <row r="36232" ht="15.75" customHeight="1" spans="1:2">
      <c r="A36232" s="3" t="str">
        <f>IFERROR(__xludf.DUMMYFUNCTION("GOOGLETRANSLATE(A36232,""en"",""pt"")"),"bateria ruim, chamadas Droped, telefone terrível")</f>
        <v>bateria ruim, chamadas Droped, telefone terrível</v>
      </c>
      <c r="B36232" s="3">
        <v>0</v>
      </c>
    </row>
    <row r="36233" ht="15.75" customHeight="1" spans="1:2">
      <c r="A36233" s="3" t="str">
        <f>IFERROR(__xludf.DUMMYFUNCTION("GOOGLETRANSLATE(A36233,""en"",""pt"")"),"curta duração da bateria, problemas de conexão")</f>
        <v>curta duração da bateria, problemas de conexão</v>
      </c>
      <c r="B36233" s="3">
        <v>0</v>
      </c>
    </row>
    <row r="36234" ht="15.75" customHeight="1" spans="1:2">
      <c r="A36234" s="3" t="str">
        <f>IFERROR(__xludf.DUMMYFUNCTION("GOOGLETRANSLATE(A36234,""en"",""pt"")"),"A vida da bateria")</f>
        <v>A vida da bateria</v>
      </c>
      <c r="B36234" s="3">
        <v>0</v>
      </c>
    </row>
    <row r="36235" ht="15.75" customHeight="1" spans="1:2">
      <c r="A36235" s="3" t="str">
        <f>IFERROR(__xludf.DUMMYFUNCTION("GOOGLETRANSLATE(A36235,""en"",""pt"")"),"Poopy Má qualidade de recepção")</f>
        <v>Poopy Má qualidade de recepção</v>
      </c>
      <c r="B36235" s="3">
        <v>0</v>
      </c>
    </row>
    <row r="36236" ht="15.75" customHeight="1" spans="1:2">
      <c r="A36236" s="3" t="str">
        <f>IFERROR(__xludf.DUMMYFUNCTION("GOOGLETRANSLATE(A36236,""en"",""pt"")"),"problemas de exibição, chamadas make não vai ... etc.")</f>
        <v>problemas de exibição, chamadas make não vai ... etc.</v>
      </c>
      <c r="B36236" s="3">
        <v>0</v>
      </c>
    </row>
    <row r="36237" ht="15.75" customHeight="1" spans="1:2">
      <c r="A36237" s="3" t="str">
        <f>IFERROR(__xludf.DUMMYFUNCTION("GOOGLETRANSLATE(A36237,""en"",""pt"")"),"No ""Destaques"", apenas um grande telefone!")</f>
        <v>No "Destaques", apenas um grande telefone!</v>
      </c>
      <c r="B36237" s="3">
        <v>0</v>
      </c>
    </row>
    <row r="36238" ht="15.75" customHeight="1" spans="1:2">
      <c r="A36238" s="3" t="str">
        <f>IFERROR(__xludf.DUMMYFUNCTION("GOOGLETRANSLATE(A36238,""en"",""pt"")"),"Problemas com atraso keystroke (lag), ligeiramente menos qualidade da câmera")</f>
        <v>Problemas com atraso keystroke (lag), ligeiramente menos qualidade da câmera</v>
      </c>
      <c r="B36238" s="3">
        <v>0</v>
      </c>
    </row>
    <row r="36239" ht="15.75" customHeight="1" spans="1:2">
      <c r="A36239" s="3" t="str">
        <f>IFERROR(__xludf.DUMMYFUNCTION("GOOGLETRANSLATE(A36239,""en"",""pt"")"),"O carregador de bateria é frágil; sem relógio.")</f>
        <v>O carregador de bateria é frágil; sem relógio.</v>
      </c>
      <c r="B36239" s="3">
        <v>0</v>
      </c>
    </row>
    <row r="36240" ht="15.75" customHeight="1" spans="1:2">
      <c r="A36240" s="3" t="str">
        <f>IFERROR(__xludf.DUMMYFUNCTION("GOOGLETRANSLATE(A36240,""en"",""pt"")"),"alto-falante, às vezes fica quente durante conversas prolongadas")</f>
        <v>alto-falante, às vezes fica quente durante conversas prolongadas</v>
      </c>
      <c r="B36240" s="3">
        <v>0</v>
      </c>
    </row>
    <row r="36241" ht="15.75" customHeight="1" spans="1:2">
      <c r="A36241" s="3" t="str">
        <f>IFERROR(__xludf.DUMMYFUNCTION("GOOGLETRANSLATE(A36241,""en"",""pt"")"),"Não pode impressionar as pessoas gadgets")</f>
        <v>Não pode impressionar as pessoas gadgets</v>
      </c>
      <c r="B36241" s="3">
        <v>0</v>
      </c>
    </row>
    <row r="36242" ht="15.75" customHeight="1" spans="1:2">
      <c r="A36242" s="3" t="str">
        <f>IFERROR(__xludf.DUMMYFUNCTION("GOOGLETRANSLATE(A36242,""en"",""pt"")"),"peso")</f>
        <v>peso</v>
      </c>
      <c r="B36242" s="3">
        <v>0</v>
      </c>
    </row>
    <row r="36243" ht="15.75" customHeight="1" spans="1:2">
      <c r="A36243" s="3" t="str">
        <f>IFERROR(__xludf.DUMMYFUNCTION("GOOGLETRANSLATE(A36243,""en"",""pt"")"),"Botões pau para fora e podem ficar danificados")</f>
        <v>Botões pau para fora e podem ficar danificados</v>
      </c>
      <c r="B36243" s="3">
        <v>0</v>
      </c>
    </row>
    <row r="36244" ht="15.75" customHeight="1" spans="1:2">
      <c r="A36244" s="3" t="str">
        <f>IFERROR(__xludf.DUMMYFUNCTION("GOOGLETRANSLATE(A36244,""en"",""pt"")"),"não rádio")</f>
        <v>não rádio</v>
      </c>
      <c r="B36244" s="3">
        <v>0</v>
      </c>
    </row>
    <row r="36245" ht="15.75" customHeight="1" spans="1:2">
      <c r="A36245" s="3" t="str">
        <f>IFERROR(__xludf.DUMMYFUNCTION("GOOGLETRANSLATE(A36245,""en"",""pt"")"),"Poderia usar uma opção de anel vibrador.")</f>
        <v>Poderia usar uma opção de anel vibrador.</v>
      </c>
      <c r="B36245" s="3">
        <v>0</v>
      </c>
    </row>
    <row r="36246" ht="15.75" customHeight="1" spans="1:2">
      <c r="A36246" s="3" t="str">
        <f>IFERROR(__xludf.DUMMYFUNCTION("GOOGLETRANSLATE(A36246,""en"",""pt"")"),"Não há cores dia-brilho na tela, o flip pode quebrar. Alguns termos confusos.")</f>
        <v>Não há cores dia-brilho na tela, o flip pode quebrar. Alguns termos confusos.</v>
      </c>
      <c r="B36246" s="3">
        <v>0</v>
      </c>
    </row>
    <row r="36247" ht="15.75" customHeight="1" spans="1:2">
      <c r="A36247" s="3" t="str">
        <f>IFERROR(__xludf.DUMMYFUNCTION("GOOGLETRANSLATE(A36247,""en"",""pt"")"),"recepção média")</f>
        <v>recepção média</v>
      </c>
      <c r="B36247" s="3">
        <v>0</v>
      </c>
    </row>
    <row r="36248" ht="15.75" customHeight="1" spans="1:2">
      <c r="A36248" s="3" t="str">
        <f>IFERROR(__xludf.DUMMYFUNCTION("GOOGLETRANSLATE(A36248,""en"",""pt"")"),"breaks Flipper facilmente, pior recepção que o meu Nokia, má iluminação, botões muito pequenos")</f>
        <v>breaks Flipper facilmente, pior recepção que o meu Nokia, má iluminação, botões muito pequenos</v>
      </c>
      <c r="B36248" s="3">
        <v>0</v>
      </c>
    </row>
    <row r="36249" ht="15.75" customHeight="1" spans="1:2">
      <c r="A36249" s="3" t="str">
        <f>IFERROR(__xludf.DUMMYFUNCTION("GOOGLETRANSLATE(A36249,""en"",""pt"")"),"A bateria não dura muito tempo. Não muitos tons boa anel")</f>
        <v>A bateria não dura muito tempo. Não muitos tons boa anel</v>
      </c>
      <c r="B36249" s="3">
        <v>0</v>
      </c>
    </row>
    <row r="36250" ht="15.75" customHeight="1" spans="1:2">
      <c r="A36250" s="3" t="str">
        <f>IFERROR(__xludf.DUMMYFUNCTION("GOOGLETRANSLATE(A36250,""en"",""pt"")"),"Muito caro, memória flash Proprietary")</f>
        <v>Muito caro, memória flash Proprietary</v>
      </c>
      <c r="B36250" s="3">
        <v>0</v>
      </c>
    </row>
    <row r="36251" ht="15.75" customHeight="1" spans="1:2">
      <c r="A36251" s="3" t="str">
        <f>IFERROR(__xludf.DUMMYFUNCTION("GOOGLETRANSLATE(A36251,""en"",""pt"")"),"... mestre de ninguém.")</f>
        <v>... mestre de ninguém.</v>
      </c>
      <c r="B36251" s="3">
        <v>0</v>
      </c>
    </row>
    <row r="36252" ht="15.75" customHeight="1" spans="1:2">
      <c r="A36252" s="3" t="str">
        <f>IFERROR(__xludf.DUMMYFUNCTION("GOOGLETRANSLATE(A36252,""en"",""pt"")"),"Não faz nada bem. Caro. Realmente grande.")</f>
        <v>Não faz nada bem. Caro. Realmente grande.</v>
      </c>
      <c r="B36252" s="3">
        <v>0</v>
      </c>
    </row>
    <row r="36253" ht="15.75" customHeight="1" spans="1:2">
      <c r="A36253" s="3" t="str">
        <f>IFERROR(__xludf.DUMMYFUNCTION("GOOGLETRANSLATE(A36253,""en"",""pt"")"),"bluetooth, reconhecimento handwrite, expansão de memória. Bem, simplesmente não existe ainda.")</f>
        <v>bluetooth, reconhecimento handwrite, expansão de memória. Bem, simplesmente não existe ainda.</v>
      </c>
      <c r="B36253" s="3">
        <v>0</v>
      </c>
    </row>
    <row r="36254" ht="15.75" customHeight="1" spans="1:2">
      <c r="A36254" s="3" t="str">
        <f>IFERROR(__xludf.DUMMYFUNCTION("GOOGLETRANSLATE(A36254,""en"",""pt"")"),"A vida da bateria e grande porte.")</f>
        <v>A vida da bateria e grande porte.</v>
      </c>
      <c r="B36254" s="3">
        <v>0</v>
      </c>
    </row>
    <row r="36255" ht="15.75" customHeight="1" spans="1:2">
      <c r="A36255" s="3" t="str">
        <f>IFERROR(__xludf.DUMMYFUNCTION("GOOGLETRANSLATE(A36255,""en"",""pt"")"),"Telecom: alertando o usuário [Mais detalhes no corpo]")</f>
        <v>Telecom: alertando o usuário [Mais detalhes no corpo]</v>
      </c>
      <c r="B36255" s="3">
        <v>0</v>
      </c>
    </row>
    <row r="36256" ht="15.75" customHeight="1" spans="1:2">
      <c r="A36256" s="3" t="str">
        <f>IFERROR(__xludf.DUMMYFUNCTION("GOOGLETRANSLATE(A36256,""en"",""pt"")"),"O preço. O preço. O preço ... ouch")</f>
        <v>O preço. O preço. O preço ... ouch</v>
      </c>
      <c r="B36256" s="3">
        <v>0</v>
      </c>
    </row>
    <row r="36257" ht="15.75" customHeight="1" spans="1:2">
      <c r="A36257" s="3" t="str">
        <f>IFERROR(__xludf.DUMMYFUNCTION("GOOGLETRANSLATE(A36257,""en"",""pt"")"),"conectores horríveis para energia e sincronia - com luzes apagadas quase impossível de se conectar.")</f>
        <v>conectores horríveis para energia e sincronia - com luzes apagadas quase impossível de se conectar.</v>
      </c>
      <c r="B36257" s="3">
        <v>0</v>
      </c>
    </row>
    <row r="36258" ht="15.75" customHeight="1" spans="1:2">
      <c r="A36258" s="3" t="str">
        <f>IFERROR(__xludf.DUMMYFUNCTION("GOOGLETRANSLATE(A36258,""en"",""pt"")"),"Interface sente desajeitado e lento, há toques polifônicos.")</f>
        <v>Interface sente desajeitado e lento, há toques polifônicos.</v>
      </c>
      <c r="B36258" s="3">
        <v>0</v>
      </c>
    </row>
    <row r="36259" ht="15.75" customHeight="1" spans="1:2">
      <c r="A36259" s="3" t="str">
        <f>IFERROR(__xludf.DUMMYFUNCTION("GOOGLETRANSLATE(A36259,""en"",""pt"")"),"Fraco desempenho RF, menus lentos, pequenos botões, mais.")</f>
        <v>Fraco desempenho RF, menus lentos, pequenos botões, mais.</v>
      </c>
      <c r="B36259" s="3">
        <v>0</v>
      </c>
    </row>
    <row r="36260" ht="15.75" customHeight="1" spans="1:2">
      <c r="A36260" s="3" t="str">
        <f>IFERROR(__xludf.DUMMYFUNCTION("GOOGLETRANSLATE(A36260,""en"",""pt"")"),"Muito pouca memória para arquivos de imagem.")</f>
        <v>Muito pouca memória para arquivos de imagem.</v>
      </c>
      <c r="B36260" s="3">
        <v>0</v>
      </c>
    </row>
    <row r="36261" ht="15.75" customHeight="1" spans="1:2">
      <c r="A36261" s="3" t="str">
        <f>IFERROR(__xludf.DUMMYFUNCTION("GOOGLETRANSLATE(A36261,""en"",""pt"")"),"Comandos de voz, velocidade da interface")</f>
        <v>Comandos de voz, velocidade da interface</v>
      </c>
      <c r="B36261" s="3">
        <v>0</v>
      </c>
    </row>
    <row r="36262" ht="15.75" customHeight="1" spans="1:2">
      <c r="A36262" s="3" t="str">
        <f>IFERROR(__xludf.DUMMYFUNCTION("GOOGLETRANSLATE(A36262,""en"",""pt"")"),"As chaves podem ser um pouco pequeno para algumas pessoas.")</f>
        <v>As chaves podem ser um pouco pequeno para algumas pessoas.</v>
      </c>
      <c r="B36262" s="3">
        <v>0</v>
      </c>
    </row>
    <row r="36263" ht="15.75" customHeight="1" spans="1:2">
      <c r="A36263" s="3" t="str">
        <f>IFERROR(__xludf.DUMMYFUNCTION("GOOGLETRANSLATE(A36263,""en"",""pt"")"),"ligações de telefone escorregadias, não um ecrã a cores de alta resolução.")</f>
        <v>ligações de telefone escorregadias, não um ecrã a cores de alta resolução.</v>
      </c>
      <c r="B36263" s="3">
        <v>0</v>
      </c>
    </row>
    <row r="36264" ht="15.75" customHeight="1" spans="1:2">
      <c r="A36264" s="3" t="str">
        <f>IFERROR(__xludf.DUMMYFUNCTION("GOOGLETRANSLATE(A36264,""en"",""pt"")"),"Interface um pouco peculiar")</f>
        <v>Interface um pouco peculiar</v>
      </c>
      <c r="B36264" s="3">
        <v>0</v>
      </c>
    </row>
    <row r="36265" ht="15.75" customHeight="1" spans="1:2">
      <c r="A36265" s="3" t="str">
        <f>IFERROR(__xludf.DUMMYFUNCTION("GOOGLETRANSLATE(A36265,""en"",""pt"")"),"Poderia usar um chip mais rápido, ou pausas mais curtas entre as acções. torres GSM ainda está sendo construída.")</f>
        <v>Poderia usar um chip mais rápido, ou pausas mais curtas entre as acções. torres GSM ainda está sendo construída.</v>
      </c>
      <c r="B36265" s="3">
        <v>0</v>
      </c>
    </row>
    <row r="36266" ht="15.75" customHeight="1" spans="1:2">
      <c r="A36266" s="3" t="str">
        <f>IFERROR(__xludf.DUMMYFUNCTION("GOOGLETRANSLATE(A36266,""en"",""pt"")"),"menus lento, fácil para a tela do zero, muitas características de navegar e alguns bugs")</f>
        <v>menus lento, fácil para a tela do zero, muitas características de navegar e alguns bugs</v>
      </c>
      <c r="B36266" s="3">
        <v>0</v>
      </c>
    </row>
    <row r="36267" ht="15.75" customHeight="1" spans="1:2">
      <c r="A36267" s="3" t="str">
        <f>IFERROR(__xludf.DUMMYFUNCTION("GOOGLETRANSLATE(A36267,""en"",""pt"")"),"menus slooow, teclado frágil, pobre menus projetados e navegação, toque silencioso.")</f>
        <v>menus slooow, teclado frágil, pobre menus projetados e navegação, toque silencioso.</v>
      </c>
      <c r="B36267" s="3">
        <v>0</v>
      </c>
    </row>
    <row r="36268" ht="15.75" customHeight="1" spans="1:2">
      <c r="A36268" s="3" t="str">
        <f>IFERROR(__xludf.DUMMYFUNCTION("GOOGLETRANSLATE(A36268,""en"",""pt"")"),"qualidade do serviço GSM falta; fechadura com chave pode complicar a sua navegação")</f>
        <v>qualidade do serviço GSM falta; fechadura com chave pode complicar a sua navegação</v>
      </c>
      <c r="B36268" s="3">
        <v>0</v>
      </c>
    </row>
    <row r="36269" ht="15.75" customHeight="1" spans="1:2">
      <c r="A36269" s="3" t="str">
        <f>IFERROR(__xludf.DUMMYFUNCTION("GOOGLETRANSLATE(A36269,""en"",""pt"")"),"Muitos problemas para recomendar usando")</f>
        <v>Muitos problemas para recomendar usando</v>
      </c>
      <c r="B36269" s="3">
        <v>0</v>
      </c>
    </row>
    <row r="36270" ht="15.75" customHeight="1" spans="1:2">
      <c r="A36270" s="3" t="str">
        <f>IFERROR(__xludf.DUMMYFUNCTION("GOOGLETRANSLATE(A36270,""en"",""pt"")"),"lento, tela colorida difícil de ver na luz solar")</f>
        <v>lento, tela colorida difícil de ver na luz solar</v>
      </c>
      <c r="B36270" s="3">
        <v>0</v>
      </c>
    </row>
    <row r="36271" ht="15.75" customHeight="1" spans="1:2">
      <c r="A36271" s="3" t="str">
        <f>IFERROR(__xludf.DUMMYFUNCTION("GOOGLETRANSLATE(A36271,""en"",""pt"")"),"COMMUNICAM")</f>
        <v>COMMUNICAM</v>
      </c>
      <c r="B36271" s="3">
        <v>0</v>
      </c>
    </row>
    <row r="36272" ht="15.75" customHeight="1" spans="1:2">
      <c r="A36272" s="3" t="str">
        <f>IFERROR(__xludf.DUMMYFUNCTION("GOOGLETRANSLATE(A36272,""en"",""pt"")"),"processamento lento, menus complicados, não design muito durável")</f>
        <v>processamento lento, menus complicados, não design muito durável</v>
      </c>
      <c r="B36272" s="3">
        <v>0</v>
      </c>
    </row>
    <row r="36273" ht="15.75" customHeight="1" spans="1:2">
      <c r="A36273" s="3" t="str">
        <f>IFERROR(__xludf.DUMMYFUNCTION("GOOGLETRANSLATE(A36273,""en"",""pt"")"),"teclas são pequenas e sensível, muitos menus para percorrer para alguns recursos, GSM / GPRS única")</f>
        <v>teclas são pequenas e sensível, muitos menus para percorrer para alguns recursos, GSM / GPRS única</v>
      </c>
      <c r="B36273" s="3">
        <v>0</v>
      </c>
    </row>
    <row r="36274" ht="15.75" customHeight="1" spans="1:2">
      <c r="A36274" s="3" t="str">
        <f>IFERROR(__xludf.DUMMYFUNCTION("GOOGLETRANSLATE(A36274,""en"",""pt"")"),"Algumas dificuldades técnicas!")</f>
        <v>Algumas dificuldades técnicas!</v>
      </c>
      <c r="B36274" s="3">
        <v>0</v>
      </c>
    </row>
    <row r="36275" ht="15.75" customHeight="1" spans="1:2">
      <c r="A36275" s="3" t="str">
        <f>IFERROR(__xludf.DUMMYFUNCTION("GOOGLETRANSLATE(A36275,""en"",""pt"")"),"Pode ser um pouco às vezes lentos. Tem ringtones polifônicos não.")</f>
        <v>Pode ser um pouco às vezes lentos. Tem ringtones polifônicos não.</v>
      </c>
      <c r="B36275" s="3">
        <v>0</v>
      </c>
    </row>
    <row r="36276" ht="15.75" customHeight="1" spans="1:2">
      <c r="A36276" s="3" t="str">
        <f>IFERROR(__xludf.DUMMYFUNCTION("GOOGLETRANSLATE(A36276,""en"",""pt"")"),"Joystick é um pouco frustrante e placa de cara fichas facilmente")</f>
        <v>Joystick é um pouco frustrante e placa de cara fichas facilmente</v>
      </c>
      <c r="B36276" s="3">
        <v>0</v>
      </c>
    </row>
    <row r="36277" ht="15.75" customHeight="1" spans="1:2">
      <c r="A36277" s="3" t="str">
        <f>IFERROR(__xludf.DUMMYFUNCTION("GOOGLETRANSLATE(A36277,""en"",""pt"")"),"exibição desprotegido, teclas pequenas demais, poeira sob exibição")</f>
        <v>exibição desprotegido, teclas pequenas demais, poeira sob exibição</v>
      </c>
      <c r="B36277" s="3">
        <v>0</v>
      </c>
    </row>
    <row r="36278" ht="15.75" customHeight="1" spans="1:2">
      <c r="A36278" s="3" t="str">
        <f>IFERROR(__xludf.DUMMYFUNCTION("GOOGLETRANSLATE(A36278,""en"",""pt"")"),"não tem toques polifônicos")</f>
        <v>não tem toques polifônicos</v>
      </c>
      <c r="B36278" s="3">
        <v>0</v>
      </c>
    </row>
    <row r="36279" ht="15.75" customHeight="1" spans="1:2">
      <c r="A36279" s="3" t="str">
        <f>IFERROR(__xludf.DUMMYFUNCTION("GOOGLETRANSLATE(A36279,""en"",""pt"")"),"Recepção, o custo dos acessórios")</f>
        <v>Recepção, o custo dos acessórios</v>
      </c>
      <c r="B36279" s="3">
        <v>0</v>
      </c>
    </row>
    <row r="36280" ht="15.75" customHeight="1" spans="1:2">
      <c r="A36280" s="3" t="str">
        <f>IFERROR(__xludf.DUMMYFUNCTION("GOOGLETRANSLATE(A36280,""en"",""pt"")"),"Pequeno, sem drivers incluídos com o telefone para computadores portáteis / PDAs")</f>
        <v>Pequeno, sem drivers incluídos com o telefone para computadores portáteis / PDAs</v>
      </c>
      <c r="B36280" s="3">
        <v>0</v>
      </c>
    </row>
    <row r="36281" ht="15.75" customHeight="1" spans="1:2">
      <c r="A36281" s="3" t="str">
        <f>IFERROR(__xludf.DUMMYFUNCTION("GOOGLETRANSLATE(A36281,""en"",""pt"")"),"chaves duras, joystick Extremamente sensível, respostas lentas")</f>
        <v>chaves duras, joystick Extremamente sensível, respostas lentas</v>
      </c>
      <c r="B36281" s="3">
        <v>0</v>
      </c>
    </row>
    <row r="36282" ht="15.75" customHeight="1" spans="1:2">
      <c r="A36282" s="3" t="str">
        <f>IFERROR(__xludf.DUMMYFUNCTION("GOOGLETRANSLATE(A36282,""en"",""pt"")"),"muito caro")</f>
        <v>muito caro</v>
      </c>
      <c r="B36282" s="3">
        <v>0</v>
      </c>
    </row>
    <row r="36283" ht="15.75" customHeight="1" spans="1:2">
      <c r="A36283" s="3" t="str">
        <f>IFERROR(__xludf.DUMMYFUNCTION("GOOGLETRANSLATE(A36283,""en"",""pt"")"),"software lento, notificação tranquila SMS")</f>
        <v>software lento, notificação tranquila SMS</v>
      </c>
      <c r="B36283" s="3">
        <v>0</v>
      </c>
    </row>
    <row r="36284" ht="15.75" customHeight="1" spans="1:2">
      <c r="A36284" s="3" t="str">
        <f>IFERROR(__xludf.DUMMYFUNCTION("GOOGLETRANSLATE(A36284,""en"",""pt"")"),"cor sujo, pobre navegação, software lento, microfone sensível, etc")</f>
        <v>cor sujo, pobre navegação, software lento, microfone sensível, etc</v>
      </c>
      <c r="B36284" s="3">
        <v>0</v>
      </c>
    </row>
    <row r="36285" ht="15.75" customHeight="1" spans="1:2">
      <c r="A36285" s="3" t="str">
        <f>IFERROR(__xludf.DUMMYFUNCTION("GOOGLETRANSLATE(A36285,""en"",""pt"")"),"interface de utilizador pobre, do glamoroso-sensação, joystick estranho, problemas com o Bluetooth")</f>
        <v>interface de utilizador pobre, do glamoroso-sensação, joystick estranho, problemas com o Bluetooth</v>
      </c>
      <c r="B36285" s="3">
        <v>0</v>
      </c>
    </row>
    <row r="36286" ht="15.75" customHeight="1" spans="1:2">
      <c r="A36286" s="3" t="str">
        <f>IFERROR(__xludf.DUMMYFUNCTION("GOOGLETRANSLATE(A36286,""en"",""pt"")"),"Slooow, toggle vara é squirrelly, se sente mais barato, etc")</f>
        <v>Slooow, toggle vara é squirrelly, se sente mais barato, etc</v>
      </c>
      <c r="B36286" s="3">
        <v>0</v>
      </c>
    </row>
    <row r="36287" ht="15.75" customHeight="1" spans="1:2">
      <c r="A36287" s="3" t="str">
        <f>IFERROR(__xludf.DUMMYFUNCTION("GOOGLETRANSLATE(A36287,""en"",""pt"")"),"má concepção, recepção, bluetooth, velocidade e muito mais.")</f>
        <v>má concepção, recepção, bluetooth, velocidade e muito mais.</v>
      </c>
      <c r="B36287" s="3">
        <v>0</v>
      </c>
    </row>
    <row r="36288" ht="15.75" customHeight="1" spans="1:2">
      <c r="A36288" s="3" t="str">
        <f>IFERROR(__xludf.DUMMYFUNCTION("GOOGLETRANSLATE(A36288,""en"",""pt"")"),"menus um pouco lento, mas mesmo assim, faz-se por si")</f>
        <v>menus um pouco lento, mas mesmo assim, faz-se por si</v>
      </c>
      <c r="B36288" s="3">
        <v>0</v>
      </c>
    </row>
    <row r="36289" ht="15.75" customHeight="1" spans="1:2">
      <c r="A36289" s="3" t="str">
        <f>IFERROR(__xludf.DUMMYFUNCTION("GOOGLETRANSLATE(A36289,""en"",""pt"")"),"sensação barato, energização lento, lento lookup número, menu de inconsistente, pobres botões de menu")</f>
        <v>sensação barato, energização lento, lento lookup número, menu de inconsistente, pobres botões de menu</v>
      </c>
      <c r="B36289" s="3">
        <v>0</v>
      </c>
    </row>
    <row r="36290" ht="15.75" customHeight="1" spans="1:2">
      <c r="A36290" s="3" t="str">
        <f>IFERROR(__xludf.DUMMYFUNCTION("GOOGLETRANSLATE(A36290,""en"",""pt"")"),"GSM apenas, portanto, cobertura limitada no meio do nada (atualmente). acessórios Bluetooth são caros.")</f>
        <v>GSM apenas, portanto, cobertura limitada no meio do nada (atualmente). acessórios Bluetooth são caros.</v>
      </c>
      <c r="B36290" s="3">
        <v>0</v>
      </c>
    </row>
    <row r="36291" ht="15.75" customHeight="1" spans="1:2">
      <c r="A36291" s="3" t="str">
        <f>IFERROR(__xludf.DUMMYFUNCTION("GOOGLETRANSLATE(A36291,""en"",""pt"")"),"toques são uma tranquila pouco, feita por peças de plástico barato")</f>
        <v>toques são uma tranquila pouco, feita por peças de plástico barato</v>
      </c>
      <c r="B36291" s="3">
        <v>0</v>
      </c>
    </row>
    <row r="36292" ht="15.75" customHeight="1" spans="1:2">
      <c r="A36292" s="3" t="str">
        <f>IFERROR(__xludf.DUMMYFUNCTION("GOOGLETRANSLATE(A36292,""en"",""pt"")"),"Menu Joystick é difícil de manipular, botões são muito pequenos. acessório câmera é horrível.")</f>
        <v>Menu Joystick é difícil de manipular, botões são muito pequenos. acessório câmera é horrível.</v>
      </c>
      <c r="B36292" s="3">
        <v>0</v>
      </c>
    </row>
    <row r="36293" ht="15.75" customHeight="1" spans="1:2">
      <c r="A36293" s="3" t="str">
        <f>IFERROR(__xludf.DUMMYFUNCTION("GOOGLETRANSLATE(A36293,""en"",""pt"")"),"Bad recepção, poeira fica sob a tela, bateria vida time-6/10")</f>
        <v>Bad recepção, poeira fica sob a tela, bateria vida time-6/10</v>
      </c>
      <c r="B36293" s="3">
        <v>0</v>
      </c>
    </row>
    <row r="36294" ht="15.75" customHeight="1" spans="1:2">
      <c r="A36294" s="3" t="str">
        <f>IFERROR(__xludf.DUMMYFUNCTION("GOOGLETRANSLATE(A36294,""en"",""pt"")"),"cobertura GSM, vara complicado, software")</f>
        <v>cobertura GSM, vara complicado, software</v>
      </c>
      <c r="B36294" s="3">
        <v>0</v>
      </c>
    </row>
    <row r="36295" ht="15.75" customHeight="1" spans="1:2">
      <c r="A36295" s="3" t="str">
        <f>IFERROR(__xludf.DUMMYFUNCTION("GOOGLETRANSLATE(A36295,""en"",""pt"")"),"falha de projeto (fone de ouvido e poder) conexão vai soltar, a cobertura da rede GSM muito instável")</f>
        <v>falha de projeto (fone de ouvido e poder) conexão vai soltar, a cobertura da rede GSM muito instável</v>
      </c>
      <c r="B36295" s="3">
        <v>0</v>
      </c>
    </row>
    <row r="36296" ht="15.75" customHeight="1" spans="1:2">
      <c r="A36296" s="3" t="str">
        <f>IFERROR(__xludf.DUMMYFUNCTION("GOOGLETRANSLATE(A36296,""en"",""pt"")"),"inutilmente lento para mensagens de texto,")</f>
        <v>inutilmente lento para mensagens de texto,</v>
      </c>
      <c r="B36296" s="3">
        <v>0</v>
      </c>
    </row>
    <row r="36297" ht="15.75" customHeight="1" spans="1:2">
      <c r="A36297" s="3" t="str">
        <f>IFERROR(__xludf.DUMMYFUNCTION("GOOGLETRANSLATE(A36297,""en"",""pt"")"),"teclas do teclado são pequenos")</f>
        <v>teclas do teclado são pequenos</v>
      </c>
      <c r="B36297" s="3">
        <v>0</v>
      </c>
    </row>
    <row r="36298" ht="15.75" customHeight="1" spans="1:2">
      <c r="A36298" s="3" t="str">
        <f>IFERROR(__xludf.DUMMYFUNCTION("GOOGLETRANSLATE(A36298,""en"",""pt"")"),"constantemente congela")</f>
        <v>constantemente congela</v>
      </c>
      <c r="B36298" s="3">
        <v>0</v>
      </c>
    </row>
    <row r="36299" ht="15.75" customHeight="1" spans="1:2">
      <c r="A36299" s="3" t="str">
        <f>IFERROR(__xludf.DUMMYFUNCTION("GOOGLETRANSLATE(A36299,""en"",""pt"")"),"Às vezes joystick pode ser um incômodo, antena interna, má recepção GSM em todo!")</f>
        <v>Às vezes joystick pode ser um incômodo, antena interna, má recepção GSM em todo!</v>
      </c>
      <c r="B36299" s="3">
        <v>0</v>
      </c>
    </row>
    <row r="36300" ht="15.75" customHeight="1" spans="1:2">
      <c r="A36300" s="3" t="str">
        <f>IFERROR(__xludf.DUMMYFUNCTION("GOOGLETRANSLATE(A36300,""en"",""pt"")"),"Este telefone irá forçá-lo a obter um plano mais caro.")</f>
        <v>Este telefone irá forçá-lo a obter um plano mais caro.</v>
      </c>
      <c r="B36300" s="3">
        <v>0</v>
      </c>
    </row>
    <row r="36301" ht="15.75" customHeight="1" spans="1:2">
      <c r="A36301" s="3" t="str">
        <f>IFERROR(__xludf.DUMMYFUNCTION("GOOGLETRANSLATE(A36301,""en"",""pt"")"),"má recepção.")</f>
        <v>má recepção.</v>
      </c>
      <c r="B36301" s="3">
        <v>0</v>
      </c>
    </row>
    <row r="36302" ht="15.75" customHeight="1" spans="1:2">
      <c r="A36302" s="3" t="str">
        <f>IFERROR(__xludf.DUMMYFUNCTION("GOOGLETRANSLATE(A36302,""en"",""pt"")"),"controle de qualidade de má qualidade, feito barata")</f>
        <v>controle de qualidade de má qualidade, feito barata</v>
      </c>
      <c r="B36302" s="3">
        <v>0</v>
      </c>
    </row>
    <row r="36303" ht="15.75" customHeight="1" spans="1:2">
      <c r="A36303" s="3" t="str">
        <f>IFERROR(__xludf.DUMMYFUNCTION("GOOGLETRANSLATE(A36303,""en"",""pt"")"),"Sem itinerância")</f>
        <v>Sem itinerância</v>
      </c>
      <c r="B36303" s="3">
        <v>0</v>
      </c>
    </row>
    <row r="36304" ht="15.75" customHeight="1" spans="1:2">
      <c r="A36304" s="3" t="str">
        <f>IFERROR(__xludf.DUMMYFUNCTION("GOOGLETRANSLATE(A36304,""en"",""pt"")"),"má recepção, má qualidade, exibir difícil de ler na luz solar. suporte ao cliente horrível")</f>
        <v>má recepção, má qualidade, exibir difícil de ler na luz solar. suporte ao cliente horrível</v>
      </c>
      <c r="B36304" s="3">
        <v>0</v>
      </c>
    </row>
    <row r="36305" ht="15.75" customHeight="1" spans="1:2">
      <c r="A36305" s="3" t="str">
        <f>IFERROR(__xludf.DUMMYFUNCTION("GOOGLETRANSLATE(A36305,""en"",""pt"")"),"reacção lenta. Sem tom de toque polifônicos")</f>
        <v>reacção lenta. Sem tom de toque polifônicos</v>
      </c>
      <c r="B36305" s="3">
        <v>0</v>
      </c>
    </row>
    <row r="36306" ht="15.75" customHeight="1" spans="1:2">
      <c r="A36306" s="3" t="str">
        <f>IFERROR(__xludf.DUMMYFUNCTION("GOOGLETRANSLATE(A36306,""en"",""pt"")"),"O sistema tem limitações localmente, por agora.")</f>
        <v>O sistema tem limitações localmente, por agora.</v>
      </c>
      <c r="B36306" s="3">
        <v>0</v>
      </c>
    </row>
    <row r="36307" ht="15.75" customHeight="1" spans="1:2">
      <c r="A36307" s="3" t="str">
        <f>IFERROR(__xludf.DUMMYFUNCTION("GOOGLETRANSLATE(A36307,""en"",""pt"")"),"sinal reception.no everything.bad. a vida da bateria ruim.")</f>
        <v>sinal reception.no everything.bad. a vida da bateria ruim.</v>
      </c>
      <c r="B36307" s="3">
        <v>0</v>
      </c>
    </row>
    <row r="36308" ht="15.75" customHeight="1" spans="1:2">
      <c r="A36308" s="3" t="str">
        <f>IFERROR(__xludf.DUMMYFUNCTION("GOOGLETRANSLATE(A36308,""en"",""pt"")"),"O ruído de fundo, seleção de menu slooowww")</f>
        <v>O ruído de fundo, seleção de menu slooowww</v>
      </c>
      <c r="B36308" s="3">
        <v>0</v>
      </c>
    </row>
    <row r="36309" ht="15.75" customHeight="1" spans="1:2">
      <c r="A36309" s="3" t="str">
        <f>IFERROR(__xludf.DUMMYFUNCTION("GOOGLETRANSLATE(A36309,""en"",""pt"")"),"ocasional controle mortal torre de celular, congela")</f>
        <v>ocasional controle mortal torre de celular, congela</v>
      </c>
      <c r="B36309" s="3">
        <v>0</v>
      </c>
    </row>
    <row r="36310" ht="15.75" customHeight="1" spans="1:2">
      <c r="A36310" s="3" t="str">
        <f>IFERROR(__xludf.DUMMYFUNCTION("GOOGLETRANSLATE(A36310,""en"",""pt"")"),"responsividade interface.")</f>
        <v>responsividade interface.</v>
      </c>
      <c r="B36310" s="3">
        <v>0</v>
      </c>
    </row>
    <row r="36311" ht="15.75" customHeight="1" spans="1:2">
      <c r="A36311" s="3" t="str">
        <f>IFERROR(__xludf.DUMMYFUNCTION("GOOGLETRANSLATE(A36311,""en"",""pt"")"),"É o pior telefone SEMPRE")</f>
        <v>É o pior telefone SEMPRE</v>
      </c>
      <c r="B36311" s="3">
        <v>0</v>
      </c>
    </row>
    <row r="36312" ht="15.75" customHeight="1" spans="1:2">
      <c r="A36312" s="3" t="str">
        <f>IFERROR(__xludf.DUMMYFUNCTION("GOOGLETRANSLATE(A36312,""en"",""pt"")"),"qualidade de som ruim (MIC), muito lento, tela colorida não respondem de baixa qualidade")</f>
        <v>qualidade de som ruim (MIC), muito lento, tela colorida não respondem de baixa qualidade</v>
      </c>
      <c r="B36312" s="3">
        <v>0</v>
      </c>
    </row>
    <row r="36313" ht="15.75" customHeight="1" spans="1:2">
      <c r="A36313" s="3" t="str">
        <f>IFERROR(__xludf.DUMMYFUNCTION("GOOGLETRANSLATE(A36313,""en"",""pt"")"),"Thumbstick, Coçar tela, Interface lenta")</f>
        <v>Thumbstick, Coçar tela, Interface lenta</v>
      </c>
      <c r="B36313" s="3">
        <v>0</v>
      </c>
    </row>
    <row r="36314" ht="15.75" customHeight="1" spans="1:2">
      <c r="A36314" s="3" t="str">
        <f>IFERROR(__xludf.DUMMYFUNCTION("GOOGLETRANSLATE(A36314,""en"",""pt"")"),"Breaks Joystick")</f>
        <v>Breaks Joystick</v>
      </c>
      <c r="B36314" s="3">
        <v>0</v>
      </c>
    </row>
    <row r="36315" ht="15.75" customHeight="1" spans="1:2">
      <c r="A36315" s="3" t="str">
        <f>IFERROR(__xludf.DUMMYFUNCTION("GOOGLETRANSLATE(A36315,""en"",""pt"")"),"A vida da bateria não é exata, apenas 256 cores na tela")</f>
        <v>A vida da bateria não é exata, apenas 256 cores na tela</v>
      </c>
      <c r="B36315" s="3">
        <v>0</v>
      </c>
    </row>
    <row r="36316" ht="15.75" customHeight="1" spans="1:2">
      <c r="A36316" s="3" t="str">
        <f>IFERROR(__xludf.DUMMYFUNCTION("GOOGLETRANSLATE(A36316,""en"",""pt"")"),"tela ilegível à luz do dia. Cliques quando em uso.")</f>
        <v>tela ilegível à luz do dia. Cliques quando em uso.</v>
      </c>
      <c r="B36316" s="3">
        <v>0</v>
      </c>
    </row>
    <row r="36317" ht="15.75" customHeight="1" spans="1:2">
      <c r="A36317" s="3" t="str">
        <f>IFERROR(__xludf.DUMMYFUNCTION("GOOGLETRANSLATE(A36317,""en"",""pt"")"),"etapas de navegação ruins, acidentes / congela algumas vezes por mês, menus lentos,")</f>
        <v>etapas de navegação ruins, acidentes / congela algumas vezes por mês, menus lentos,</v>
      </c>
      <c r="B36317" s="3">
        <v>0</v>
      </c>
    </row>
    <row r="36318" ht="15.75" customHeight="1" spans="1:2">
      <c r="A36318" s="3" t="str">
        <f>IFERROR(__xludf.DUMMYFUNCTION("GOOGLETRANSLATE(A36318,""en"",""pt"")"),"Nenhum")</f>
        <v>Nenhum</v>
      </c>
      <c r="B36318" s="3">
        <v>0</v>
      </c>
    </row>
    <row r="36319" ht="15.75" customHeight="1" spans="1:2">
      <c r="A36319" s="3" t="str">
        <f>IFERROR(__xludf.DUMMYFUNCTION("GOOGLETRANSLATE(A36319,""en"",""pt"")"),"Software um pouco de buggy, resposta lenta, corpo de plástico escorregadio")</f>
        <v>Software um pouco de buggy, resposta lenta, corpo de plástico escorregadio</v>
      </c>
      <c r="B36319" s="3">
        <v>0</v>
      </c>
    </row>
    <row r="36320" ht="15.75" customHeight="1" spans="1:2">
      <c r="A36320" s="3" t="str">
        <f>IFERROR(__xludf.DUMMYFUNCTION("GOOGLETRANSLATE(A36320,""en"",""pt"")"),"curta duração da bateria, não vem com muitos acessórios necessários, má resolução.")</f>
        <v>curta duração da bateria, não vem com muitos acessórios necessários, má resolução.</v>
      </c>
      <c r="B36320" s="3">
        <v>0</v>
      </c>
    </row>
    <row r="36321" ht="15.75" customHeight="1" spans="1:2">
      <c r="A36321" s="3" t="str">
        <f>IFERROR(__xludf.DUMMYFUNCTION("GOOGLETRANSLATE(A36321,""en"",""pt"")"),"Pouca confiabilidade, má recepção, a interface terrível, interface de sloooow, feio.")</f>
        <v>Pouca confiabilidade, má recepção, a interface terrível, interface de sloooow, feio.</v>
      </c>
      <c r="B36321" s="3">
        <v>0</v>
      </c>
    </row>
    <row r="36322" ht="15.75" customHeight="1" spans="1:2">
      <c r="A36322" s="3" t="str">
        <f>IFERROR(__xludf.DUMMYFUNCTION("GOOGLETRANSLATE(A36322,""en"",""pt"")"),"menus lentos, bloqueio de teclado chato, Brilho da tela, Soft Ring, strobe Bluetooth")</f>
        <v>menus lentos, bloqueio de teclado chato, Brilho da tela, Soft Ring, strobe Bluetooth</v>
      </c>
      <c r="B36322" s="3">
        <v>0</v>
      </c>
    </row>
    <row r="36323" ht="15.75" customHeight="1" spans="1:2">
      <c r="A36323" s="3" t="str">
        <f>IFERROR(__xludf.DUMMYFUNCTION("GOOGLETRANSLATE(A36323,""en"",""pt"")"),"Speaker no meu fim, ocasionalmente, vibra. A outra extremidade não parece ouvi-lo embora.")</f>
        <v>Speaker no meu fim, ocasionalmente, vibra. A outra extremidade não parece ouvi-lo embora.</v>
      </c>
      <c r="B36323" s="3">
        <v>0</v>
      </c>
    </row>
    <row r="36324" ht="15.75" customHeight="1" spans="1:2">
      <c r="A36324" s="3" t="str">
        <f>IFERROR(__xludf.DUMMYFUNCTION("GOOGLETRANSLATE(A36324,""en"",""pt"")"),"Nenhum")</f>
        <v>Nenhum</v>
      </c>
      <c r="B36324" s="3">
        <v>0</v>
      </c>
    </row>
    <row r="36325" ht="15.75" customHeight="1" spans="1:2">
      <c r="A36325" s="3" t="str">
        <f>IFERROR(__xludf.DUMMYFUNCTION("GOOGLETRANSLATE(A36325,""en"",""pt"")"),"muitos para listar")</f>
        <v>muitos para listar</v>
      </c>
      <c r="B36325" s="3">
        <v>0</v>
      </c>
    </row>
    <row r="36326" ht="15.75" customHeight="1" spans="1:2">
      <c r="A36326" s="3" t="str">
        <f>IFERROR(__xludf.DUMMYFUNCTION("GOOGLETRANSLATE(A36326,""en"",""pt"")"),"Bateria ao vivo, durabilidade, volume de toque e tons, serviço pós-venda")</f>
        <v>Bateria ao vivo, durabilidade, volume de toque e tons, serviço pós-venda</v>
      </c>
      <c r="B36326" s="3">
        <v>0</v>
      </c>
    </row>
    <row r="36327" ht="15.75" customHeight="1" spans="1:2">
      <c r="A36327" s="3" t="str">
        <f>IFERROR(__xludf.DUMMYFUNCTION("GOOGLETRANSLATE(A36327,""en"",""pt"")"),"SLOW, RECEPÇÃO INFERIOR DE SINAL, cor pobre DISPLAY, POBRE ERGONOMIA, QUIET TOQUES, e muito mais.")</f>
        <v>SLOW, RECEPÇÃO INFERIOR DE SINAL, cor pobre DISPLAY, POBRE ERGONOMIA, QUIET TOQUES, e muito mais.</v>
      </c>
      <c r="B36327" s="3">
        <v>0</v>
      </c>
    </row>
    <row r="36328" ht="15.75" customHeight="1" spans="1:2">
      <c r="A36328" s="3" t="str">
        <f>IFERROR(__xludf.DUMMYFUNCTION("GOOGLETRANSLATE(A36328,""en"",""pt"")"),"Lento de navegar, difícil de ver a tela sob a luz solar.")</f>
        <v>Lento de navegar, difícil de ver a tela sob a luz solar.</v>
      </c>
      <c r="B36328" s="3">
        <v>0</v>
      </c>
    </row>
    <row r="36329" ht="15.75" customHeight="1" spans="1:2">
      <c r="A36329" s="3" t="str">
        <f>IFERROR(__xludf.DUMMYFUNCTION("GOOGLETRANSLATE(A36329,""en"",""pt"")"),"Um pouco volumoso pouco, os botões são pouco duro, modo de vibração custa extra.")</f>
        <v>Um pouco volumoso pouco, os botões são pouco duro, modo de vibração custa extra.</v>
      </c>
      <c r="B36329" s="3">
        <v>0</v>
      </c>
    </row>
    <row r="36330" ht="15.75" customHeight="1" spans="1:2">
      <c r="A36330" s="3" t="str">
        <f>IFERROR(__xludf.DUMMYFUNCTION("GOOGLETRANSLATE(A36330,""en"",""pt"")"),"faltando algumas características")</f>
        <v>faltando algumas características</v>
      </c>
      <c r="B36330" s="3">
        <v>0</v>
      </c>
    </row>
    <row r="36331" ht="15.75" customHeight="1" spans="1:2">
      <c r="A36331" s="3" t="str">
        <f>IFERROR(__xludf.DUMMYFUNCTION("GOOGLETRANSLATE(A36331,""en"",""pt"")"),"relativamente volumosos")</f>
        <v>relativamente volumosos</v>
      </c>
      <c r="B36331" s="3">
        <v>0</v>
      </c>
    </row>
    <row r="36332" ht="15.75" customHeight="1" spans="1:2">
      <c r="A36332" s="3" t="str">
        <f>IFERROR(__xludf.DUMMYFUNCTION("GOOGLETRANSLATE(A36332,""en"",""pt"")"),"Sem calculadora ...")</f>
        <v>Sem calculadora ...</v>
      </c>
      <c r="B36332" s="3">
        <v>0</v>
      </c>
    </row>
    <row r="36333" ht="15.75" customHeight="1" spans="1:2">
      <c r="A36333" s="3" t="str">
        <f>IFERROR(__xludf.DUMMYFUNCTION("GOOGLETRANSLATE(A36333,""en"",""pt"")"),"Nenhum")</f>
        <v>Nenhum</v>
      </c>
      <c r="B36333" s="3">
        <v>0</v>
      </c>
    </row>
    <row r="36334" ht="15.75" customHeight="1" spans="1:2">
      <c r="A36334" s="3" t="str">
        <f>IFERROR(__xludf.DUMMYFUNCTION("GOOGLETRANSLATE(A36334,""en"",""pt"")"),"Um pouco no lado grande, mas sem problemas reais.")</f>
        <v>Um pouco no lado grande, mas sem problemas reais.</v>
      </c>
      <c r="B36334" s="3">
        <v>0</v>
      </c>
    </row>
    <row r="36335" ht="15.75" customHeight="1" spans="1:2">
      <c r="A36335" s="3" t="str">
        <f>IFERROR(__xludf.DUMMYFUNCTION("GOOGLETRANSLATE(A36335,""en"",""pt"")"),"Não é o seu menor celular, ou elegante. recurso vibrador não embutido.")</f>
        <v>Não é o seu menor celular, ou elegante. recurso vibrador não embutido.</v>
      </c>
      <c r="B36335" s="3">
        <v>0</v>
      </c>
    </row>
    <row r="36336" ht="15.75" customHeight="1" spans="1:2">
      <c r="A36336" s="3" t="str">
        <f>IFERROR(__xludf.DUMMYFUNCTION("GOOGLETRANSLATE(A36336,""en"",""pt"")"),"NENHUM!")</f>
        <v>NENHUM!</v>
      </c>
      <c r="B36336" s="3">
        <v>0</v>
      </c>
    </row>
    <row r="36337" ht="15.75" customHeight="1" spans="1:2">
      <c r="A36337" s="3" t="str">
        <f>IFERROR(__xludf.DUMMYFUNCTION("GOOGLETRANSLATE(A36337,""en"",""pt"")"),"Você perde unidades, se alguém te chama.")</f>
        <v>Você perde unidades, se alguém te chama.</v>
      </c>
      <c r="B36337" s="3">
        <v>0</v>
      </c>
    </row>
    <row r="36338" ht="15.75" customHeight="1" spans="1:2">
      <c r="A36338" s="3" t="str">
        <f>IFERROR(__xludf.DUMMYFUNCTION("GOOGLETRANSLATE(A36338,""en"",""pt"")"),"forma complicada para espremer no ombro, nenhuma opção vibrar. &amp; # 13; &amp; # 10;")</f>
        <v>forma complicada para espremer no ombro, nenhuma opção vibrar. &amp; # 13; &amp; # 10;</v>
      </c>
      <c r="B36338" s="3">
        <v>0</v>
      </c>
    </row>
    <row r="36339" ht="15.75" customHeight="1" spans="1:2">
      <c r="A36339" s="3" t="str">
        <f>IFERROR(__xludf.DUMMYFUNCTION("GOOGLETRANSLATE(A36339,""en"",""pt"")"),"Não built-in fone de ouvido. Sem vibração.")</f>
        <v>Não built-in fone de ouvido. Sem vibração.</v>
      </c>
      <c r="B36339" s="3">
        <v>0</v>
      </c>
    </row>
    <row r="36340" ht="15.75" customHeight="1" spans="1:2">
      <c r="A36340" s="3" t="str">
        <f>IFERROR(__xludf.DUMMYFUNCTION("GOOGLETRANSLATE(A36340,""en"",""pt"")"),"Carece de alguns recursos e a conexão de carga não é muito durável.")</f>
        <v>Carece de alguns recursos e a conexão de carga não é muito durável.</v>
      </c>
      <c r="B36340" s="3">
        <v>0</v>
      </c>
    </row>
    <row r="36341" ht="15.75" customHeight="1" spans="1:2">
      <c r="A36341" s="3" t="str">
        <f>IFERROR(__xludf.DUMMYFUNCTION("GOOGLETRANSLATE(A36341,""en"",""pt"")"),"não a vida da bateria, desde que eu gostaria")</f>
        <v>não a vida da bateria, desde que eu gostaria</v>
      </c>
      <c r="B36341" s="3">
        <v>0</v>
      </c>
    </row>
    <row r="36342" ht="15.75" customHeight="1" spans="1:2">
      <c r="A36342" s="3" t="str">
        <f>IFERROR(__xludf.DUMMYFUNCTION("GOOGLETRANSLATE(A36342,""en"",""pt"")"),"Complicados de usar às vezes.")</f>
        <v>Complicados de usar às vezes.</v>
      </c>
      <c r="B36342" s="3">
        <v>0</v>
      </c>
    </row>
    <row r="36343" ht="15.75" customHeight="1" spans="1:2">
      <c r="A36343" s="3" t="str">
        <f>IFERROR(__xludf.DUMMYFUNCTION("GOOGLETRANSLATE(A36343,""en"",""pt"")"),"não é o mais atraente")</f>
        <v>não é o mais atraente</v>
      </c>
      <c r="B36343" s="3">
        <v>0</v>
      </c>
    </row>
    <row r="36344" ht="15.75" customHeight="1" spans="1:2">
      <c r="A36344" s="3" t="str">
        <f>IFERROR(__xludf.DUMMYFUNCTION("GOOGLETRANSLATE(A36344,""en"",""pt"")"),"função Web sem fio é muito difícil de usar. Não construído em fone de ouvido.")</f>
        <v>função Web sem fio é muito difícil de usar. Não construído em fone de ouvido.</v>
      </c>
      <c r="B36344" s="3">
        <v>0</v>
      </c>
    </row>
    <row r="36345" ht="15.75" customHeight="1" spans="1:2">
      <c r="A36345" s="3" t="str">
        <f>IFERROR(__xludf.DUMMYFUNCTION("GOOGLETRANSLATE(A36345,""en"",""pt"")"),"Não muito elegante, não muitos tipos de campainha, antena desejo foi construído em.")</f>
        <v>Não muito elegante, não muitos tipos de campainha, antena desejo foi construído em.</v>
      </c>
      <c r="B36345" s="3">
        <v>0</v>
      </c>
    </row>
    <row r="36346" ht="15.75" customHeight="1" spans="1:2">
      <c r="A36346" s="3" t="str">
        <f>IFERROR(__xludf.DUMMYFUNCTION("GOOGLETRANSLATE(A36346,""en"",""pt"")"),"A bateria neste telefone é muito fraco, e morre rapidamente.")</f>
        <v>A bateria neste telefone é muito fraco, e morre rapidamente.</v>
      </c>
      <c r="B36346" s="3">
        <v>0</v>
      </c>
    </row>
    <row r="36347" ht="15.75" customHeight="1" spans="1:2">
      <c r="A36347" s="3" t="str">
        <f>IFERROR(__xludf.DUMMYFUNCTION("GOOGLETRANSLATE(A36347,""en"",""pt"")"),"A vida da bateria poderia ser melhor.")</f>
        <v>A vida da bateria poderia ser melhor.</v>
      </c>
      <c r="B36347" s="3">
        <v>0</v>
      </c>
    </row>
    <row r="36348" ht="15.75" customHeight="1" spans="1:2">
      <c r="A36348" s="3" t="str">
        <f>IFERROR(__xludf.DUMMYFUNCTION("GOOGLETRANSLATE(A36348,""en"",""pt"")"),"Maior do que meu último")</f>
        <v>Maior do que meu último</v>
      </c>
      <c r="B36348" s="3">
        <v>0</v>
      </c>
    </row>
    <row r="36349" ht="15.75" customHeight="1" spans="1:2">
      <c r="A36349" s="3" t="str">
        <f>IFERROR(__xludf.DUMMYFUNCTION("GOOGLETRANSLATE(A36349,""en"",""pt"")"),"difícil de ler a exposição, roda seleção é temperamental.")</f>
        <v>difícil de ler a exposição, roda seleção é temperamental.</v>
      </c>
      <c r="B36349" s="3">
        <v>0</v>
      </c>
    </row>
    <row r="36350" ht="15.75" customHeight="1" spans="1:2">
      <c r="A36350" s="3" t="str">
        <f>IFERROR(__xludf.DUMMYFUNCTION("GOOGLETRANSLATE(A36350,""en"",""pt"")"),"botão web sem fio é fácil de galo")</f>
        <v>botão web sem fio é fácil de galo</v>
      </c>
      <c r="B36350" s="3">
        <v>0</v>
      </c>
    </row>
    <row r="36351" ht="15.75" customHeight="1" spans="1:2">
      <c r="A36351" s="3" t="str">
        <f>IFERROR(__xludf.DUMMYFUNCTION("GOOGLETRANSLATE(A36351,""en"",""pt"")"),"Tudo ... e eu faço tudo média!")</f>
        <v>Tudo ... e eu faço tudo média!</v>
      </c>
      <c r="B36351" s="3">
        <v>0</v>
      </c>
    </row>
    <row r="36352" ht="15.75" customHeight="1" spans="1:2">
      <c r="A36352" s="3" t="str">
        <f>IFERROR(__xludf.DUMMYFUNCTION("GOOGLETRANSLATE(A36352,""en"",""pt"")"),"sinal nem sempre é clara quando eu chamar as pessoas em zonas de montanha")</f>
        <v>sinal nem sempre é clara quando eu chamar as pessoas em zonas de montanha</v>
      </c>
      <c r="B36352" s="3">
        <v>0</v>
      </c>
    </row>
    <row r="36353" ht="15.75" customHeight="1" spans="1:2">
      <c r="A36353" s="3" t="str">
        <f>IFERROR(__xludf.DUMMYFUNCTION("GOOGLETRANSLATE(A36353,""en"",""pt"")"),"Nenhum")</f>
        <v>Nenhum</v>
      </c>
      <c r="B36353" s="3">
        <v>0</v>
      </c>
    </row>
    <row r="36354" ht="15.75" customHeight="1" spans="1:2">
      <c r="A36354" s="3" t="str">
        <f>IFERROR(__xludf.DUMMYFUNCTION("GOOGLETRANSLATE(A36354,""en"",""pt"")"),"De acordo com a minha filha ""Nenhum jogo.""")</f>
        <v>De acordo com a minha filha "Nenhum jogo."</v>
      </c>
      <c r="B36354" s="3">
        <v>0</v>
      </c>
    </row>
    <row r="36355" ht="15.75" customHeight="1" spans="1:2">
      <c r="A36355" s="3" t="str">
        <f>IFERROR(__xludf.DUMMYFUNCTION("GOOGLETRANSLATE(A36355,""en"",""pt"")"),"má recepção")</f>
        <v>má recepção</v>
      </c>
      <c r="B36355" s="3">
        <v>0</v>
      </c>
    </row>
    <row r="36356" ht="15.75" customHeight="1" spans="1:2">
      <c r="A36356" s="3" t="str">
        <f>IFERROR(__xludf.DUMMYFUNCTION("GOOGLETRANSLATE(A36356,""en"",""pt"")"),"Nenhum")</f>
        <v>Nenhum</v>
      </c>
      <c r="B36356" s="3">
        <v>0</v>
      </c>
    </row>
    <row r="36357" ht="15.75" customHeight="1" spans="1:2">
      <c r="A36357" s="3" t="str">
        <f>IFERROR(__xludf.DUMMYFUNCTION("GOOGLETRANSLATE(A36357,""en"",""pt"")"),"Não encontrei nenhum ainda")</f>
        <v>Não encontrei nenhum ainda</v>
      </c>
      <c r="B36357" s="3">
        <v>0</v>
      </c>
    </row>
    <row r="36358" ht="15.75" customHeight="1" spans="1:2">
      <c r="A36358" s="3" t="str">
        <f>IFERROR(__xludf.DUMMYFUNCTION("GOOGLETRANSLATE(A36358,""en"",""pt"")"),"Aquece após cerca de 15 minutos de tempo de conversação.")</f>
        <v>Aquece após cerca de 15 minutos de tempo de conversação.</v>
      </c>
      <c r="B36358" s="3">
        <v>0</v>
      </c>
    </row>
    <row r="36359" ht="15.75" customHeight="1" spans="1:2">
      <c r="A36359" s="3" t="str">
        <f>IFERROR(__xludf.DUMMYFUNCTION("GOOGLETRANSLATE(A36359,""en"",""pt"")"),"display LCD horrível, feio, não é fácil de usar.")</f>
        <v>display LCD horrível, feio, não é fácil de usar.</v>
      </c>
      <c r="B36359" s="3">
        <v>0</v>
      </c>
    </row>
    <row r="36360" ht="15.75" customHeight="1" spans="1:2">
      <c r="A36360" s="3" t="str">
        <f>IFERROR(__xludf.DUMMYFUNCTION("GOOGLETRANSLATE(A36360,""en"",""pt"")"),"A exibição Precisa ser Bigger")</f>
        <v>A exibição Precisa ser Bigger</v>
      </c>
      <c r="B36360" s="3">
        <v>0</v>
      </c>
    </row>
    <row r="36361" ht="15.75" customHeight="1" spans="1:2">
      <c r="A36361" s="3" t="str">
        <f>IFERROR(__xludf.DUMMYFUNCTION("GOOGLETRANSLATE(A36361,""en"",""pt"")"),"Sem Vibe opção, cinto tem tendência a colocar o telefone em ângulos awkard e lugares.")</f>
        <v>Sem Vibe opção, cinto tem tendência a colocar o telefone em ângulos awkard e lugares.</v>
      </c>
      <c r="B36361" s="3">
        <v>0</v>
      </c>
    </row>
    <row r="36362" ht="15.75" customHeight="1" spans="1:2">
      <c r="A36362" s="3" t="str">
        <f>IFERROR(__xludf.DUMMYFUNCTION("GOOGLETRANSLATE(A36362,""en"",""pt"")"),"botões são super pequeno, menus são como programar um VCR")</f>
        <v>botões são super pequeno, menus são como programar um VCR</v>
      </c>
      <c r="B36362" s="3">
        <v>0</v>
      </c>
    </row>
    <row r="36363" ht="15.75" customHeight="1" spans="1:2">
      <c r="A36363" s="3" t="str">
        <f>IFERROR(__xludf.DUMMYFUNCTION("GOOGLETRANSLATE(A36363,""en"",""pt"")"),"não exibe a hora atual, sem jogos, sem opção de vibração campainha")</f>
        <v>não exibe a hora atual, sem jogos, sem opção de vibração campainha</v>
      </c>
      <c r="B36363" s="3">
        <v>0</v>
      </c>
    </row>
    <row r="36364" ht="15.75" customHeight="1" spans="1:2">
      <c r="A36364" s="3" t="str">
        <f>IFERROR(__xludf.DUMMYFUNCTION("GOOGLETRANSLATE(A36364,""en"",""pt"")"),"acessórios antena externa não disponíveis")</f>
        <v>acessórios antena externa não disponíveis</v>
      </c>
      <c r="B36364" s="3">
        <v>0</v>
      </c>
    </row>
    <row r="36365" ht="15.75" customHeight="1" spans="1:2">
      <c r="A36365" s="3" t="str">
        <f>IFERROR(__xludf.DUMMYFUNCTION("GOOGLETRANSLATE(A36365,""en"",""pt"")"),"Nenhum ainda")</f>
        <v>Nenhum ainda</v>
      </c>
      <c r="B36365" s="3">
        <v>0</v>
      </c>
    </row>
    <row r="36366" ht="15.75" customHeight="1" spans="1:2">
      <c r="A36366" s="3" t="str">
        <f>IFERROR(__xludf.DUMMYFUNCTION("GOOGLETRANSLATE(A36366,""en"",""pt"")"),"menu muito mau telefone, opções ruins, design software ruim.")</f>
        <v>menu muito mau telefone, opções ruins, design software ruim.</v>
      </c>
      <c r="B36366" s="3">
        <v>0</v>
      </c>
    </row>
    <row r="36367" ht="15.75" customHeight="1" spans="1:2">
      <c r="A36367" s="3" t="str">
        <f>IFERROR(__xludf.DUMMYFUNCTION("GOOGLETRANSLATE(A36367,""en"",""pt"")"),"Os botões não estão nos lugares mais convenientes.")</f>
        <v>Os botões não estão nos lugares mais convenientes.</v>
      </c>
      <c r="B36367" s="3">
        <v>0</v>
      </c>
    </row>
    <row r="36368" ht="15.75" customHeight="1" spans="1:2">
      <c r="A36368" s="3" t="str">
        <f>IFERROR(__xludf.DUMMYFUNCTION("GOOGLETRANSLATE(A36368,""en"",""pt"")"),"Big, sem jogos, contra-intuitivo, mal concebido, mal fone de ouvido")</f>
        <v>Big, sem jogos, contra-intuitivo, mal concebido, mal fone de ouvido</v>
      </c>
      <c r="B36368" s="3">
        <v>0</v>
      </c>
    </row>
    <row r="36369" ht="15.75" customHeight="1" spans="1:2">
      <c r="A36369" s="3" t="str">
        <f>IFERROR(__xludf.DUMMYFUNCTION("GOOGLETRANSLATE(A36369,""en"",""pt"")"),"difícil de usar alguns recursos")</f>
        <v>difícil de usar alguns recursos</v>
      </c>
      <c r="B36369" s="3">
        <v>0</v>
      </c>
    </row>
    <row r="36370" ht="15.75" customHeight="1" spans="1:2">
      <c r="A36370" s="3" t="str">
        <f>IFERROR(__xludf.DUMMYFUNCTION("GOOGLETRANSLATE(A36370,""en"",""pt"")"),"Salvar números no diretório, alto volume da campainha inicial")</f>
        <v>Salvar números no diretório, alto volume da campainha inicial</v>
      </c>
      <c r="B36370" s="3">
        <v>0</v>
      </c>
    </row>
    <row r="36371" ht="15.75" customHeight="1" spans="1:2">
      <c r="A36371" s="3" t="str">
        <f>IFERROR(__xludf.DUMMYFUNCTION("GOOGLETRANSLATE(A36371,""en"",""pt"")"),"alerta não confiável de correio de voz")</f>
        <v>alerta não confiável de correio de voz</v>
      </c>
      <c r="B36371" s="3">
        <v>0</v>
      </c>
    </row>
    <row r="36372" ht="15.75" customHeight="1" spans="1:2">
      <c r="A36372" s="3" t="str">
        <f>IFERROR(__xludf.DUMMYFUNCTION("GOOGLETRANSLATE(A36372,""en"",""pt"")"),"nem sempre é possível recuperar chamadas não atendidas, é feio, além de que há sem jogos")</f>
        <v>nem sempre é possível recuperar chamadas não atendidas, é feio, além de que há sem jogos</v>
      </c>
      <c r="B36372" s="3">
        <v>0</v>
      </c>
    </row>
    <row r="36373" ht="15.75" customHeight="1" spans="1:2">
      <c r="A36373" s="3" t="str">
        <f>IFERROR(__xludf.DUMMYFUNCTION("GOOGLETRANSLATE(A36373,""en"",""pt"")"),"não muitos recursos")</f>
        <v>não muitos recursos</v>
      </c>
      <c r="B36373" s="3">
        <v>0</v>
      </c>
    </row>
    <row r="36374" ht="15.75" customHeight="1" spans="1:2">
      <c r="A36374" s="3" t="str">
        <f>IFERROR(__xludf.DUMMYFUNCTION("GOOGLETRANSLATE(A36374,""en"",""pt"")"),"Eu mantenho os números de marcação por acidente da minha bolsa.")</f>
        <v>Eu mantenho os números de marcação por acidente da minha bolsa.</v>
      </c>
      <c r="B36374" s="3">
        <v>0</v>
      </c>
    </row>
    <row r="36375" ht="15.75" customHeight="1" spans="1:2">
      <c r="A36375" s="3" t="str">
        <f>IFERROR(__xludf.DUMMYFUNCTION("GOOGLETRANSLATE(A36375,""en"",""pt"")"),"ao colocá-lo no bolso, os pontos de antena mais para o seu corpo")</f>
        <v>ao colocá-lo no bolso, os pontos de antena mais para o seu corpo</v>
      </c>
      <c r="B36375" s="3">
        <v>0</v>
      </c>
    </row>
    <row r="36376" ht="15.75" customHeight="1" spans="1:2">
      <c r="A36376" s="3" t="str">
        <f>IFERROR(__xludf.DUMMYFUNCTION("GOOGLETRANSLATE(A36376,""en"",""pt"")"),"Nenhum até agora")</f>
        <v>Nenhum até agora</v>
      </c>
      <c r="B36376" s="3">
        <v>0</v>
      </c>
    </row>
    <row r="36377" ht="15.75" customHeight="1" spans="1:2">
      <c r="A36377" s="3" t="str">
        <f>IFERROR(__xludf.DUMMYFUNCTION("GOOGLETRANSLATE(A36377,""en"",""pt"")"),"Este modelo tem um zumbido alto vindo da parte da orelha")</f>
        <v>Este modelo tem um zumbido alto vindo da parte da orelha</v>
      </c>
      <c r="B36377" s="3">
        <v>0</v>
      </c>
    </row>
    <row r="36378" ht="15.75" customHeight="1" spans="1:2">
      <c r="A36378" s="3" t="str">
        <f>IFERROR(__xludf.DUMMYFUNCTION("GOOGLETRANSLATE(A36378,""en"",""pt"")"),"Pequeno, pode facilmente se perder")</f>
        <v>Pequeno, pode facilmente se perder</v>
      </c>
      <c r="B36378" s="3">
        <v>0</v>
      </c>
    </row>
    <row r="36379" ht="15.75" customHeight="1" spans="1:2">
      <c r="A36379" s="3" t="str">
        <f>IFERROR(__xludf.DUMMYFUNCTION("GOOGLETRANSLATE(A36379,""en"",""pt"")"),"preço")</f>
        <v>preço</v>
      </c>
      <c r="B36379" s="3">
        <v>0</v>
      </c>
    </row>
    <row r="36380" ht="15.75" customHeight="1" spans="1:2">
      <c r="A36380" s="3" t="str">
        <f>IFERROR(__xludf.DUMMYFUNCTION("GOOGLETRANSLATE(A36380,""en"",""pt"")"),"Não confiável, som e sinal de força poderia ser melhor.")</f>
        <v>Não confiável, som e sinal de força poderia ser melhor.</v>
      </c>
      <c r="B36380" s="3">
        <v>0</v>
      </c>
    </row>
    <row r="36381" ht="15.75" customHeight="1" spans="1:2">
      <c r="A36381" s="3" t="str">
        <f>IFERROR(__xludf.DUMMYFUNCTION("GOOGLETRANSLATE(A36381,""en"",""pt"")"),"Alguns problemas triviais")</f>
        <v>Alguns problemas triviais</v>
      </c>
      <c r="B36381" s="3">
        <v>0</v>
      </c>
    </row>
    <row r="36382" ht="15.75" customHeight="1" spans="1:2">
      <c r="A36382" s="3" t="str">
        <f>IFERROR(__xludf.DUMMYFUNCTION("GOOGLETRANSLATE(A36382,""en"",""pt"")"),"Pouco caro, gostaria de um display maior")</f>
        <v>Pouco caro, gostaria de um display maior</v>
      </c>
      <c r="B36382" s="3">
        <v>0</v>
      </c>
    </row>
    <row r="36383" ht="15.75" customHeight="1" spans="1:2">
      <c r="A36383" s="3" t="str">
        <f>IFERROR(__xludf.DUMMYFUNCTION("GOOGLETRANSLATE(A36383,""en"",""pt"")"),"Difícil de usar com uma mão")</f>
        <v>Difícil de usar com uma mão</v>
      </c>
      <c r="B36383" s="3">
        <v>0</v>
      </c>
    </row>
    <row r="36384" ht="15.75" customHeight="1" spans="1:2">
      <c r="A36384" s="3" t="str">
        <f>IFERROR(__xludf.DUMMYFUNCTION("GOOGLETRANSLATE(A36384,""en"",""pt"")"),"Pouca confiabilidade; vida curta no modo analógico")</f>
        <v>Pouca confiabilidade; vida curta no modo analógico</v>
      </c>
      <c r="B36384" s="3">
        <v>0</v>
      </c>
    </row>
    <row r="36385" ht="15.75" customHeight="1" spans="1:2">
      <c r="A36385" s="3" t="str">
        <f>IFERROR(__xludf.DUMMYFUNCTION("GOOGLETRANSLATE(A36385,""en"",""pt"")"),"Un-ergonômico, frágil, bateria fraca")</f>
        <v>Un-ergonômico, frágil, bateria fraca</v>
      </c>
      <c r="B36385" s="3">
        <v>0</v>
      </c>
    </row>
    <row r="36386" ht="15.75" customHeight="1" spans="1:2">
      <c r="A36386" s="3" t="str">
        <f>IFERROR(__xludf.DUMMYFUNCTION("GOOGLETRANSLATE(A36386,""en"",""pt"")"),"Não é o mais intuitivo para compreender exigindo alguma leitura do manual.")</f>
        <v>Não é o mais intuitivo para compreender exigindo alguma leitura do manual.</v>
      </c>
      <c r="B36386" s="3">
        <v>0</v>
      </c>
    </row>
    <row r="36387" ht="15.75" customHeight="1" spans="1:2">
      <c r="A36387" s="3" t="str">
        <f>IFERROR(__xludf.DUMMYFUNCTION("GOOGLETRANSLATE(A36387,""en"",""pt"")"),"anéis irritantes e é frágil")</f>
        <v>anéis irritantes e é frágil</v>
      </c>
      <c r="B36387" s="3">
        <v>0</v>
      </c>
    </row>
    <row r="36388" ht="15.75" customHeight="1" spans="1:2">
      <c r="A36388" s="3" t="str">
        <f>IFERROR(__xludf.DUMMYFUNCTION("GOOGLETRANSLATE(A36388,""en"",""pt"")"),"não pode aceitar bateria extra, vida útil da bateria analógico não tão quente, um pouco caro")</f>
        <v>não pode aceitar bateria extra, vida útil da bateria analógico não tão quente, um pouco caro</v>
      </c>
      <c r="B36388" s="3">
        <v>0</v>
      </c>
    </row>
    <row r="36389" ht="15.75" customHeight="1" spans="1:2">
      <c r="A36389" s="3" t="str">
        <f>IFERROR(__xludf.DUMMYFUNCTION("GOOGLETRANSLATE(A36389,""en"",""pt"")"),"caro")</f>
        <v>caro</v>
      </c>
      <c r="B36389" s="3">
        <v>0</v>
      </c>
    </row>
    <row r="36390" ht="15.75" customHeight="1" spans="1:2">
      <c r="A36390" s="3" t="str">
        <f>IFERROR(__xludf.DUMMYFUNCTION("GOOGLETRANSLATE(A36390,""en"",""pt"")"),"caro")</f>
        <v>caro</v>
      </c>
      <c r="B36390" s="3">
        <v>0</v>
      </c>
    </row>
    <row r="36391" ht="15.75" customHeight="1" spans="1:2">
      <c r="A36391" s="3" t="s">
        <v>194</v>
      </c>
      <c r="B36391" s="3">
        <v>0</v>
      </c>
    </row>
    <row r="36392" ht="15.75" customHeight="1" spans="1:2">
      <c r="A36392" s="3" t="str">
        <f>IFERROR(__xludf.DUMMYFUNCTION("GOOGLETRANSLATE(A36392,""en"",""pt"")"),"visor e botões pequena")</f>
        <v>visor e botões pequena</v>
      </c>
      <c r="B36392" s="3">
        <v>0</v>
      </c>
    </row>
    <row r="36393" ht="15.75" customHeight="1" spans="1:2">
      <c r="A36393" s="3" t="str">
        <f>IFERROR(__xludf.DUMMYFUNCTION("GOOGLETRANSLATE(A36393,""en"",""pt"")"),"A vida da bateria, poucas opções, squeaky dobradiça, a qualidade da chamada imprevisível")</f>
        <v>A vida da bateria, poucas opções, squeaky dobradiça, a qualidade da chamada imprevisível</v>
      </c>
      <c r="B36393" s="3">
        <v>0</v>
      </c>
    </row>
    <row r="36394" ht="15.75" customHeight="1" spans="1:2">
      <c r="A36394" s="3" t="str">
        <f>IFERROR(__xludf.DUMMYFUNCTION("GOOGLETRANSLATE(A36394,""en"",""pt"")"),"Interface é HORRÍVEL")</f>
        <v>Interface é HORRÍVEL</v>
      </c>
      <c r="B36394" s="3">
        <v>0</v>
      </c>
    </row>
    <row r="36395" ht="15.75" customHeight="1" spans="1:2">
      <c r="A36395" s="3" t="str">
        <f>IFERROR(__xludf.DUMMYFUNCTION("GOOGLETRANSLATE(A36395,""en"",""pt"")"),"Eu só gostava de estilos par campainha")</f>
        <v>Eu só gostava de estilos par campainha</v>
      </c>
      <c r="B36395" s="3">
        <v>0</v>
      </c>
    </row>
    <row r="36396" ht="15.75" customHeight="1" spans="1:2">
      <c r="A36396" s="3" t="str">
        <f>IFERROR(__xludf.DUMMYFUNCTION("GOOGLETRANSLATE(A36396,""en"",""pt"")"),"sente um pouco frágil - ter cuidado com ele")</f>
        <v>sente um pouco frágil - ter cuidado com ele</v>
      </c>
      <c r="B36396" s="3">
        <v>0</v>
      </c>
    </row>
    <row r="36397" ht="15.75" customHeight="1" spans="1:2">
      <c r="A36397" s="3" t="str">
        <f>IFERROR(__xludf.DUMMYFUNCTION("GOOGLETRANSLATE(A36397,""en"",""pt"")"),"Há alguns?")</f>
        <v>Há alguns?</v>
      </c>
      <c r="B36397" s="3">
        <v>0</v>
      </c>
    </row>
    <row r="36398" ht="15.75" customHeight="1" spans="1:2">
      <c r="A36398" s="3" t="str">
        <f>IFERROR(__xludf.DUMMYFUNCTION("GOOGLETRANSLATE(A36398,""en"",""pt"")"),"Será que apenas 1-way, não 2-way, mensagens de texto, frágil, especialmente antena.")</f>
        <v>Será que apenas 1-way, não 2-way, mensagens de texto, frágil, especialmente antena.</v>
      </c>
      <c r="B36398" s="3">
        <v>0</v>
      </c>
    </row>
    <row r="36399" ht="15.75" customHeight="1" spans="1:2">
      <c r="A36399" s="3" t="str">
        <f>IFERROR(__xludf.DUMMYFUNCTION("GOOGLETRANSLATE(A36399,""en"",""pt"")"),"Sub-par modo de vibração, confundindo menus e falta de opções de toque")</f>
        <v>Sub-par modo de vibração, confundindo menus e falta de opções de toque</v>
      </c>
      <c r="B36399" s="3">
        <v>0</v>
      </c>
    </row>
    <row r="36400" ht="15.75" customHeight="1" spans="1:2">
      <c r="A36400" s="3" t="str">
        <f>IFERROR(__xludf.DUMMYFUNCTION("GOOGLETRANSLATE(A36400,""en"",""pt"")"),"Interface terrivelmente complexo, pobre vida útil da bateria, antena frágil")</f>
        <v>Interface terrivelmente complexo, pobre vida útil da bateria, antena frágil</v>
      </c>
      <c r="B36400" s="3">
        <v>0</v>
      </c>
    </row>
    <row r="36401" ht="15.75" customHeight="1" spans="1:2">
      <c r="A36401" s="3" t="str">
        <f>IFERROR(__xludf.DUMMYFUNCTION("GOOGLETRANSLATE(A36401,""en"",""pt"")"),"a vida da bateria ruim, problemas de confiabilidade graves")</f>
        <v>a vida da bateria ruim, problemas de confiabilidade graves</v>
      </c>
      <c r="B36401" s="3">
        <v>0</v>
      </c>
    </row>
    <row r="36402" ht="15.75" customHeight="1" spans="1:2">
      <c r="A36402" s="3" t="str">
        <f>IFERROR(__xludf.DUMMYFUNCTION("GOOGLETRANSLATE(A36402,""en"",""pt"")"),"som (às vezes)")</f>
        <v>som (às vezes)</v>
      </c>
      <c r="B36402" s="3">
        <v>0</v>
      </c>
    </row>
    <row r="36403" ht="15.75" customHeight="1" spans="1:2">
      <c r="A36403" s="3" t="str">
        <f>IFERROR(__xludf.DUMMYFUNCTION("GOOGLETRANSLATE(A36403,""en"",""pt"")"),"Frágil, má concepção da antena (constantemente breaks), e caro.")</f>
        <v>Frágil, má concepção da antena (constantemente breaks), e caro.</v>
      </c>
      <c r="B36403" s="3">
        <v>0</v>
      </c>
    </row>
    <row r="36404" ht="15.75" customHeight="1" spans="1:2">
      <c r="A36404" s="3" t="str">
        <f>IFERROR(__xludf.DUMMYFUNCTION("GOOGLETRANSLATE(A36404,""en"",""pt"")"),"não apresenta tão amigável como poderia ser")</f>
        <v>não apresenta tão amigável como poderia ser</v>
      </c>
      <c r="B36404" s="3">
        <v>0</v>
      </c>
    </row>
    <row r="36405" ht="15.75" customHeight="1" spans="1:2">
      <c r="A36405" s="3" t="str">
        <f>IFERROR(__xludf.DUMMYFUNCTION("GOOGLETRANSLATE(A36405,""en"",""pt"")"),"Tenho ainda de ser decepcionado com este telefone celular.")</f>
        <v>Tenho ainda de ser decepcionado com este telefone celular.</v>
      </c>
      <c r="B36405" s="3">
        <v>0</v>
      </c>
    </row>
    <row r="36406" ht="15.75" customHeight="1" spans="1:2">
      <c r="A36406" s="3" t="str">
        <f>IFERROR(__xludf.DUMMYFUNCTION("GOOGLETRANSLATE(A36406,""en"",""pt"")"),"algumas partes, especialmente a ruptura da antena frequentemente.")</f>
        <v>algumas partes, especialmente a ruptura da antena frequentemente.</v>
      </c>
      <c r="B36406" s="3">
        <v>0</v>
      </c>
    </row>
    <row r="36407" ht="15.75" customHeight="1" spans="1:2">
      <c r="A36407" s="3" t="str">
        <f>IFERROR(__xludf.DUMMYFUNCTION("GOOGLETRANSLATE(A36407,""en"",""pt"")"),"Apenas 9, chato, ringtones. Não é possível baixar mais. Pobre bateria.")</f>
        <v>Apenas 9, chato, ringtones. Não é possível baixar mais. Pobre bateria.</v>
      </c>
      <c r="B36407" s="3">
        <v>0</v>
      </c>
    </row>
    <row r="36408" ht="15.75" customHeight="1" spans="1:2">
      <c r="A36408" s="3" t="str">
        <f>IFERROR(__xludf.DUMMYFUNCTION("GOOGLETRANSLATE(A36408,""en"",""pt"")"),"Nenhum.")</f>
        <v>Nenhum.</v>
      </c>
      <c r="B36408" s="3">
        <v>0</v>
      </c>
    </row>
    <row r="36409" ht="15.75" customHeight="1" spans="1:2">
      <c r="A36409" s="3" t="str">
        <f>IFERROR(__xludf.DUMMYFUNCTION("GOOGLETRANSLATE(A36409,""en"",""pt"")"),"pobre antena, design pobre")</f>
        <v>pobre antena, design pobre</v>
      </c>
      <c r="B36409" s="3">
        <v>0</v>
      </c>
    </row>
    <row r="36410" ht="15.75" customHeight="1" spans="1:2">
      <c r="A36410" s="3" t="str">
        <f>IFERROR(__xludf.DUMMYFUNCTION("GOOGLETRANSLATE(A36410,""en"",""pt"")"),"Não é possível enviar mensagens de texto, velho")</f>
        <v>Não é possível enviar mensagens de texto, velho</v>
      </c>
      <c r="B36410" s="3">
        <v>0</v>
      </c>
    </row>
    <row r="36411" ht="15.75" customHeight="1" spans="1:2">
      <c r="A36411" s="3" t="str">
        <f>IFERROR(__xludf.DUMMYFUNCTION("GOOGLETRANSLATE(A36411,""en"",""pt"")"),"O tamanho pequeno não é bom para áreas rurais")</f>
        <v>O tamanho pequeno não é bom para áreas rurais</v>
      </c>
      <c r="B36411" s="3">
        <v>0</v>
      </c>
    </row>
    <row r="36412" ht="15.75" customHeight="1" spans="1:2">
      <c r="A36412" s="3" t="str">
        <f>IFERROR(__xludf.DUMMYFUNCTION("GOOGLETRANSLATE(A36412,""en"",""pt"")"),"vida útil da bateria")</f>
        <v>vida útil da bateria</v>
      </c>
      <c r="B36412" s="3">
        <v>0</v>
      </c>
    </row>
    <row r="36413" ht="15.75" customHeight="1" spans="1:2">
      <c r="A36413" s="3" t="str">
        <f>IFERROR(__xludf.DUMMYFUNCTION("GOOGLETRANSLATE(A36413,""en"",""pt"")"),"Telefone é caro, sem compra de um plano de telefone")</f>
        <v>Telefone é caro, sem compra de um plano de telefone</v>
      </c>
      <c r="B36413" s="3">
        <v>0</v>
      </c>
    </row>
    <row r="36414" ht="15.75" customHeight="1" spans="1:2">
      <c r="A36414" s="3" t="str">
        <f>IFERROR(__xludf.DUMMYFUNCTION("GOOGLETRANSLATE(A36414,""en"",""pt"")"),"Não encontraram quaisquer problemas ainda.")</f>
        <v>Não encontraram quaisquer problemas ainda.</v>
      </c>
      <c r="B36414" s="3">
        <v>0</v>
      </c>
    </row>
    <row r="36415" ht="15.75" customHeight="1" spans="1:2">
      <c r="A36415" s="3" t="str">
        <f>IFERROR(__xludf.DUMMYFUNCTION("GOOGLETRANSLATE(A36415,""en"",""pt"")"),"Alguns toques, fraco a vida da bateria")</f>
        <v>Alguns toques, fraco a vida da bateria</v>
      </c>
      <c r="B36415" s="3">
        <v>0</v>
      </c>
    </row>
    <row r="36416" ht="15.75" customHeight="1" spans="1:2">
      <c r="A36416" s="3" t="str">
        <f>IFERROR(__xludf.DUMMYFUNCTION("GOOGLETRANSLATE(A36416,""en"",""pt"")"),"nenhum E-911 de apoio, de modo a Verizon se recusa a ativá-las agora; ringtones não carregáveis")</f>
        <v>nenhum E-911 de apoio, de modo a Verizon se recusa a ativá-las agora; ringtones não carregáveis</v>
      </c>
      <c r="B36416" s="3">
        <v>0</v>
      </c>
    </row>
    <row r="36417" ht="15.75" customHeight="1" spans="1:2">
      <c r="A36417" s="3" t="str">
        <f>IFERROR(__xludf.DUMMYFUNCTION("GOOGLETRANSLATE(A36417,""en"",""pt"")"),"Antena sobressai um pouco quando em seu cinto.")</f>
        <v>Antena sobressai um pouco quando em seu cinto.</v>
      </c>
      <c r="B36417" s="3">
        <v>0</v>
      </c>
    </row>
    <row r="36418" ht="15.75" customHeight="1" spans="1:2">
      <c r="A36418" s="3" t="str">
        <f>IFERROR(__xludf.DUMMYFUNCTION("GOOGLETRANSLATE(A36418,""en"",""pt"")"),"nenhuma característica calander / nomeação, sem alarme")</f>
        <v>nenhuma característica calander / nomeação, sem alarme</v>
      </c>
      <c r="B36418" s="3">
        <v>0</v>
      </c>
    </row>
    <row r="36419" ht="15.75" customHeight="1" spans="1:2">
      <c r="A36419" s="3" t="str">
        <f>IFERROR(__xludf.DUMMYFUNCTION("GOOGLETRANSLATE(A36419,""en"",""pt"")"),"O meu site está quebrado, por agora, mas isso é culpa verizons, não o telefone.")</f>
        <v>O meu site está quebrado, por agora, mas isso é culpa verizons, não o telefone.</v>
      </c>
      <c r="B36419" s="3">
        <v>0</v>
      </c>
    </row>
    <row r="36420" ht="15.75" customHeight="1" spans="1:2">
      <c r="A36420" s="3" t="str">
        <f>IFERROR(__xludf.DUMMYFUNCTION("GOOGLETRANSLATE(A36420,""en"",""pt"")"),"Questionável Durabilidade, Frágil Antenna")</f>
        <v>Questionável Durabilidade, Frágil Antenna</v>
      </c>
      <c r="B36420" s="3">
        <v>0</v>
      </c>
    </row>
    <row r="36421" ht="15.75" customHeight="1" spans="1:2">
      <c r="A36421" s="3" t="str">
        <f>IFERROR(__xludf.DUMMYFUNCTION("GOOGLETRANSLATE(A36421,""en"",""pt"")"),"plástico barato que dá, incluindo o flip; CHEAP Desenvolver qaulity")</f>
        <v>plástico barato que dá, incluindo o flip; CHEAP Desenvolver qaulity</v>
      </c>
      <c r="B36421" s="3">
        <v>0</v>
      </c>
    </row>
    <row r="36422" ht="15.75" customHeight="1" spans="1:2">
      <c r="A36422" s="3" t="str">
        <f>IFERROR(__xludf.DUMMYFUNCTION("GOOGLETRANSLATE(A36422,""en"",""pt"")"),"Ele sempre me senti tão barata e frágil para mim")</f>
        <v>Ele sempre me senti tão barata e frágil para mim</v>
      </c>
      <c r="B36422" s="3">
        <v>0</v>
      </c>
    </row>
    <row r="36423" ht="15.75" customHeight="1" spans="1:2">
      <c r="A36423" s="3" t="str">
        <f>IFERROR(__xludf.DUMMYFUNCTION("GOOGLETRANSLATE(A36423,""en"",""pt"")"),"Sobressaindo antena, tela muito pequena para navegação na web")</f>
        <v>Sobressaindo antena, tela muito pequena para navegação na web</v>
      </c>
      <c r="B36423" s="3">
        <v>0</v>
      </c>
    </row>
    <row r="36424" ht="15.75" customHeight="1" spans="1:2">
      <c r="A36424" s="3" t="str">
        <f>IFERROR(__xludf.DUMMYFUNCTION("GOOGLETRANSLATE(A36424,""en"",""pt"")"),"Má recepção, Antena dobra facilmente, terrível vida útil da bateria")</f>
        <v>Má recepção, Antena dobra facilmente, terrível vida útil da bateria</v>
      </c>
      <c r="B36424" s="3">
        <v>0</v>
      </c>
    </row>
    <row r="36425" ht="15.75" customHeight="1" spans="1:2">
      <c r="A36425" s="3" t="str">
        <f>IFERROR(__xludf.DUMMYFUNCTION("GOOGLETRANSLATE(A36425,""en"",""pt"")"),"Menus são uma dor, não recebe a atenção w anel / ou vibrar")</f>
        <v>Menus são uma dor, não recebe a atenção w anel / ou vibrar</v>
      </c>
      <c r="B36425" s="3">
        <v>0</v>
      </c>
    </row>
    <row r="36426" ht="15.75" customHeight="1" spans="1:2">
      <c r="A36426" s="3" t="str">
        <f>IFERROR(__xludf.DUMMYFUNCTION("GOOGLETRANSLATE(A36426,""en"",""pt"")"),"bateria suga")</f>
        <v>bateria suga</v>
      </c>
      <c r="B36426" s="3">
        <v>0</v>
      </c>
    </row>
    <row r="36427" ht="15.75" customHeight="1" spans="1:2">
      <c r="A36427" s="3" t="str">
        <f>IFERROR(__xludf.DUMMYFUNCTION("GOOGLETRANSLATE(A36427,""en"",""pt"")"),"tipo de caro")</f>
        <v>tipo de caro</v>
      </c>
      <c r="B36427" s="3">
        <v>0</v>
      </c>
    </row>
    <row r="36428" ht="15.75" customHeight="1" spans="1:2">
      <c r="A36428" s="3" t="str">
        <f>IFERROR(__xludf.DUMMYFUNCTION("GOOGLETRANSLATE(A36428,""en"",""pt"")"),"A transição de digital para analógico, durante um telefonema, perde o chamador")</f>
        <v>A transição de digital para analógico, durante um telefonema, perde o chamador</v>
      </c>
      <c r="B36428" s="3">
        <v>0</v>
      </c>
    </row>
    <row r="36429" ht="15.75" customHeight="1" spans="1:2">
      <c r="A36429" s="3" t="str">
        <f>IFERROR(__xludf.DUMMYFUNCTION("GOOGLETRANSLATE(A36429,""en"",""pt"")"),"antena frágil")</f>
        <v>antena frágil</v>
      </c>
      <c r="B36429" s="3">
        <v>0</v>
      </c>
    </row>
    <row r="36430" ht="15.75" customHeight="1" spans="1:2">
      <c r="A36430" s="3" t="str">
        <f>IFERROR(__xludf.DUMMYFUNCTION("GOOGLETRANSLATE(A36430,""en"",""pt"")"),"sobrecarga de recurso")</f>
        <v>sobrecarga de recurso</v>
      </c>
      <c r="B36430" s="3">
        <v>0</v>
      </c>
    </row>
    <row r="36431" ht="15.75" customHeight="1" spans="1:2">
      <c r="A36431" s="3" t="str">
        <f>IFERROR(__xludf.DUMMYFUNCTION("GOOGLETRANSLATE(A36431,""en"",""pt"")"),"Não confortável quando usado até a orelha.")</f>
        <v>Não confortável quando usado até a orelha.</v>
      </c>
      <c r="B36431" s="3">
        <v>0</v>
      </c>
    </row>
    <row r="36432" ht="15.75" customHeight="1" spans="1:2">
      <c r="A36432" s="3" t="str">
        <f>IFERROR(__xludf.DUMMYFUNCTION("GOOGLETRANSLATE(A36432,""en"",""pt"")"),"sinais pobres (frequentemente) evitar chamadas")</f>
        <v>sinais pobres (frequentemente) evitar chamadas</v>
      </c>
      <c r="B36432" s="3">
        <v>0</v>
      </c>
    </row>
    <row r="36433" ht="15.75" customHeight="1" spans="1:2">
      <c r="A36433" s="3" t="str">
        <f>IFERROR(__xludf.DUMMYFUNCTION("GOOGLETRANSLATE(A36433,""en"",""pt"")"),"Ligeiramente Top-Heavy")</f>
        <v>Ligeiramente Top-Heavy</v>
      </c>
      <c r="B36433" s="3">
        <v>0</v>
      </c>
    </row>
    <row r="36434" ht="15.75" customHeight="1" spans="1:2">
      <c r="A36434" s="3" t="str">
        <f>IFERROR(__xludf.DUMMYFUNCTION("GOOGLETRANSLATE(A36434,""en"",""pt"")"),"muito susceptíveis a danos causados ​​pela água, um pouco caro")</f>
        <v>muito susceptíveis a danos causados ​​pela água, um pouco caro</v>
      </c>
      <c r="B36434" s="3">
        <v>0</v>
      </c>
    </row>
    <row r="36435" ht="15.75" customHeight="1" spans="1:2">
      <c r="A36435" s="3" t="str">
        <f>IFERROR(__xludf.DUMMYFUNCTION("GOOGLETRANSLATE(A36435,""en"",""pt"")"),"Às vezes é muito pequeno")</f>
        <v>Às vezes é muito pequeno</v>
      </c>
      <c r="B36435" s="3">
        <v>0</v>
      </c>
    </row>
    <row r="36436" ht="15.75" customHeight="1" spans="1:2">
      <c r="A36436" s="3" t="str">
        <f>IFERROR(__xludf.DUMMYFUNCTION("GOOGLETRANSLATE(A36436,""en"",""pt"")"),"caro")</f>
        <v>caro</v>
      </c>
      <c r="B36436" s="3">
        <v>0</v>
      </c>
    </row>
    <row r="36437" ht="15.75" customHeight="1" spans="1:2">
      <c r="A36437" s="3" t="str">
        <f>IFERROR(__xludf.DUMMYFUNCTION("GOOGLETRANSLATE(A36437,""en"",""pt"")"),"Vibrando toque quase imperceptível, antena quebra facilmente")</f>
        <v>Vibrando toque quase imperceptível, antena quebra facilmente</v>
      </c>
      <c r="B36437" s="3">
        <v>0</v>
      </c>
    </row>
    <row r="36438" ht="15.75" customHeight="1" spans="1:2">
      <c r="A36438" s="3" t="str">
        <f>IFERROR(__xludf.DUMMYFUNCTION("GOOGLETRANSLATE(A36438,""en"",""pt"")"),"""Old fashioned"" como diriam alguns, uma vez que não tem jogos, ringtones download, etc.")</f>
        <v>"Old fashioned" como diriam alguns, uma vez que não tem jogos, ringtones download, etc.</v>
      </c>
      <c r="B36438" s="3">
        <v>0</v>
      </c>
    </row>
    <row r="36439" ht="15.75" customHeight="1" spans="1:2">
      <c r="A36439" s="3" t="str">
        <f>IFERROR(__xludf.DUMMYFUNCTION("GOOGLETRANSLATE(A36439,""en"",""pt"")"),"tons de menu e anel.")</f>
        <v>tons de menu e anel.</v>
      </c>
      <c r="B36439" s="3">
        <v>0</v>
      </c>
    </row>
    <row r="36440" ht="15.75" customHeight="1" spans="1:2">
      <c r="A36440" s="3" t="str">
        <f>IFERROR(__xludf.DUMMYFUNCTION("GOOGLETRANSLATE(A36440,""en"",""pt"")"),"má recepção, problemas perdendo anel / funcionalidade de vibração")</f>
        <v>má recepção, problemas perdendo anel / funcionalidade de vibração</v>
      </c>
      <c r="B36440" s="3">
        <v>0</v>
      </c>
    </row>
    <row r="36441" ht="15.75" customHeight="1" spans="1:2">
      <c r="A36441" s="3" t="str">
        <f>IFERROR(__xludf.DUMMYFUNCTION("GOOGLETRANSLATE(A36441,""en"",""pt"")"),"pequeno display")</f>
        <v>pequeno display</v>
      </c>
      <c r="B36441" s="3">
        <v>0</v>
      </c>
    </row>
    <row r="36442" ht="15.75" customHeight="1" spans="1:2">
      <c r="A36442" s="3" t="str">
        <f>IFERROR(__xludf.DUMMYFUNCTION("GOOGLETRANSLATE(A36442,""en"",""pt"")"),"não é durável, nenhum serviço de reparo")</f>
        <v>não é durável, nenhum serviço de reparo</v>
      </c>
      <c r="B36442" s="3">
        <v>0</v>
      </c>
    </row>
    <row r="36443" ht="15.75" customHeight="1" spans="1:2">
      <c r="A36443" s="3" t="str">
        <f>IFERROR(__xludf.DUMMYFUNCTION("GOOGLETRANSLATE(A36443,""en"",""pt"")"),"O caso está rachando, a antena é dobrada. a vida da bateria pobres.")</f>
        <v>O caso está rachando, a antena é dobrada. a vida da bateria pobres.</v>
      </c>
      <c r="B36443" s="3">
        <v>0</v>
      </c>
    </row>
    <row r="36444" ht="15.75" customHeight="1" spans="1:2">
      <c r="A36444" s="3" t="str">
        <f>IFERROR(__xludf.DUMMYFUNCTION("GOOGLETRANSLATE(A36444,""en"",""pt"")"),"Antena breaks, muitas vezes, se você colocá-lo em seu bolso.")</f>
        <v>Antena breaks, muitas vezes, se você colocá-lo em seu bolso.</v>
      </c>
      <c r="B36444" s="3">
        <v>0</v>
      </c>
    </row>
    <row r="36445" ht="15.75" customHeight="1" spans="1:2">
      <c r="A36445" s="3" t="str">
        <f>IFERROR(__xludf.DUMMYFUNCTION("GOOGLETRANSLATE(A36445,""en"",""pt"")"),"Não confiável")</f>
        <v>Não confiável</v>
      </c>
      <c r="B36445" s="3">
        <v>0</v>
      </c>
    </row>
    <row r="36446" ht="15.75" customHeight="1" spans="1:2">
      <c r="A36446" s="3" t="str">
        <f>IFERROR(__xludf.DUMMYFUNCTION("GOOGLETRANSLATE(A36446,""en"",""pt"")"),"O con a este telefone é que ele não é isso durável para resistir a danos.")</f>
        <v>O con a este telefone é que ele não é isso durável para resistir a danos.</v>
      </c>
      <c r="B36446" s="3">
        <v>0</v>
      </c>
    </row>
    <row r="36447" ht="15.75" customHeight="1" spans="1:2">
      <c r="A36447" s="3" t="str">
        <f>IFERROR(__xludf.DUMMYFUNCTION("GOOGLETRANSLATE(A36447,""en"",""pt"")"),"curta duração da bateria")</f>
        <v>curta duração da bateria</v>
      </c>
      <c r="B36447" s="3">
        <v>0</v>
      </c>
    </row>
    <row r="36448" ht="15.75" customHeight="1" spans="1:2">
      <c r="A36448" s="3" t="str">
        <f>IFERROR(__xludf.DUMMYFUNCTION("GOOGLETRANSLATE(A36448,""en"",""pt"")"),"""SINAL DESVANECIDA CHAMADA PERDIDA""")</f>
        <v>"SINAL DESVANECIDA CHAMADA PERDIDA"</v>
      </c>
      <c r="B36448" s="3">
        <v>0</v>
      </c>
    </row>
    <row r="36449" ht="15.75" customHeight="1" spans="1:2">
      <c r="A36449" s="3" t="str">
        <f>IFERROR(__xludf.DUMMYFUNCTION("GOOGLETRANSLATE(A36449,""en"",""pt"")"),"tendência a ser descartado")</f>
        <v>tendência a ser descartado</v>
      </c>
      <c r="B36449" s="3">
        <v>0</v>
      </c>
    </row>
    <row r="36450" ht="15.75" customHeight="1" spans="1:2">
      <c r="A36450" s="3" t="str">
        <f>IFERROR(__xludf.DUMMYFUNCTION("GOOGLETRANSLATE(A36450,""en"",""pt"")"),"som não era tão bom")</f>
        <v>som não era tão bom</v>
      </c>
      <c r="B36450" s="3">
        <v>0</v>
      </c>
    </row>
    <row r="36451" ht="15.75" customHeight="1" spans="1:2">
      <c r="A36451" s="3" t="str">
        <f>IFERROR(__xludf.DUMMYFUNCTION("GOOGLETRANSLATE(A36451,""en"",""pt"")"),"Pequeno,, botões de plástico rígido planas no teclado. Esse telefone também é caro.")</f>
        <v>Pequeno,, botões de plástico rígido planas no teclado. Esse telefone também é caro.</v>
      </c>
      <c r="B36451" s="3">
        <v>0</v>
      </c>
    </row>
    <row r="36452" ht="15.75" customHeight="1" spans="1:2">
      <c r="A36452" s="3" t="str">
        <f>IFERROR(__xludf.DUMMYFUNCTION("GOOGLETRANSLATE(A36452,""en"",""pt"")"),"Antena quebrou algumas vezes. A vida da bateria não é tão quente.")</f>
        <v>Antena quebrou algumas vezes. A vida da bateria não é tão quente.</v>
      </c>
      <c r="B36452" s="3">
        <v>0</v>
      </c>
    </row>
    <row r="36453" ht="15.75" customHeight="1" spans="1:2">
      <c r="A36453" s="3" t="str">
        <f>IFERROR(__xludf.DUMMYFUNCTION("GOOGLETRANSLATE(A36453,""en"",""pt"")"),"No modo ""Vibrar e Ring"", carregador de mesa é muito grande para férias.")</f>
        <v>No modo "Vibrar e Ring", carregador de mesa é muito grande para férias.</v>
      </c>
      <c r="B36453" s="3">
        <v>0</v>
      </c>
    </row>
    <row r="36454" ht="15.75" customHeight="1" spans="1:2">
      <c r="A36454" s="3" t="str">
        <f>IFERROR(__xludf.DUMMYFUNCTION("GOOGLETRANSLATE(A36454,""en"",""pt"")"),"Eu quero tocá-lo o tempo todo.")</f>
        <v>Eu quero tocá-lo o tempo todo.</v>
      </c>
      <c r="B36454" s="3">
        <v>0</v>
      </c>
    </row>
    <row r="36455" ht="15.75" customHeight="1" spans="1:2">
      <c r="A36455" s="3" t="str">
        <f>IFERROR(__xludf.DUMMYFUNCTION("GOOGLETRANSLATE(A36455,""en"",""pt"")"),"não pode tocar e vibrar na mesma configuração, assume muitas combinações de teclas para menu de operar.")</f>
        <v>não pode tocar e vibrar na mesma configuração, assume muitas combinações de teclas para menu de operar.</v>
      </c>
      <c r="B36455" s="3">
        <v>0</v>
      </c>
    </row>
    <row r="36456" ht="15.75" customHeight="1" spans="1:2">
      <c r="A36456" s="3" t="str">
        <f>IFERROR(__xludf.DUMMYFUNCTION("GOOGLETRANSLATE(A36456,""en"",""pt"")"),"Sem toques personalizados, recepção média")</f>
        <v>Sem toques personalizados, recepção média</v>
      </c>
      <c r="B36456" s="3">
        <v>0</v>
      </c>
    </row>
    <row r="36457" ht="15.75" customHeight="1" spans="1:2">
      <c r="A36457" s="3" t="str">
        <f>IFERROR(__xludf.DUMMYFUNCTION("GOOGLETRANSLATE(A36457,""en"",""pt"")"),"nenhuma, como ainda de")</f>
        <v>nenhuma, como ainda de</v>
      </c>
      <c r="B36457" s="3">
        <v>0</v>
      </c>
    </row>
    <row r="36458" ht="15.75" customHeight="1" spans="1:2">
      <c r="A36458" s="3" t="str">
        <f>IFERROR(__xludf.DUMMYFUNCTION("GOOGLETRANSLATE(A36458,""en"",""pt"")"),"microfone, a reinicialização")</f>
        <v>microfone, a reinicialização</v>
      </c>
      <c r="B36458" s="3">
        <v>0</v>
      </c>
    </row>
    <row r="36459" ht="15.75" customHeight="1" spans="1:2">
      <c r="A36459" s="3" t="str">
        <f>IFERROR(__xludf.DUMMYFUNCTION("GOOGLETRANSLATE(A36459,""en"",""pt"")"),"Roaming não está disponível. faz antena não ficar acordado. Sprint PCS Atendimento ao Cliente.")</f>
        <v>Roaming não está disponível. faz antena não ficar acordado. Sprint PCS Atendimento ao Cliente.</v>
      </c>
      <c r="B36459" s="3">
        <v>0</v>
      </c>
    </row>
    <row r="36460" ht="15.75" customHeight="1" spans="1:2">
      <c r="A36460" s="3" t="str">
        <f>IFERROR(__xludf.DUMMYFUNCTION("GOOGLETRANSLATE(A36460,""en"",""pt"")"),"Principais problemas de software, recuperando números armazenados, clareza,")</f>
        <v>Principais problemas de software, recuperando números armazenados, clareza,</v>
      </c>
      <c r="B36460" s="3">
        <v>0</v>
      </c>
    </row>
    <row r="36461" ht="15.75" customHeight="1" spans="1:2">
      <c r="A36461" s="3" t="str">
        <f>IFERROR(__xludf.DUMMYFUNCTION("GOOGLETRANSLATE(A36461,""en"",""pt"")"),"qualidade de som medíocre, algumas falhas estranhas")</f>
        <v>qualidade de som medíocre, algumas falhas estranhas</v>
      </c>
      <c r="B36461" s="3">
        <v>0</v>
      </c>
    </row>
    <row r="36462" ht="15.75" customHeight="1" spans="1:2">
      <c r="A36462" s="3" t="str">
        <f>IFERROR(__xludf.DUMMYFUNCTION("GOOGLETRANSLATE(A36462,""en"",""pt"")"),"fede de atendimento ao cliente da Sprint")</f>
        <v>fede de atendimento ao cliente da Sprint</v>
      </c>
      <c r="B36462" s="3">
        <v>0</v>
      </c>
    </row>
    <row r="36463" ht="15.75" customHeight="1" spans="1:2">
      <c r="A36463" s="3" t="str">
        <f>IFERROR(__xludf.DUMMYFUNCTION("GOOGLETRANSLATE(A36463,""en"",""pt"")"),"Mal sinal.")</f>
        <v>Mal sinal.</v>
      </c>
      <c r="B36463" s="3">
        <v>0</v>
      </c>
    </row>
    <row r="36464" ht="15.75" customHeight="1" spans="1:2">
      <c r="A36464" s="3" t="str">
        <f>IFERROR(__xludf.DUMMYFUNCTION("GOOGLETRANSLATE(A36464,""en"",""pt"")"),"Serviço não é tão grande em pequenas áreas")</f>
        <v>Serviço não é tão grande em pequenas áreas</v>
      </c>
      <c r="B36464" s="3">
        <v>0</v>
      </c>
    </row>
    <row r="36465" ht="15.75" customHeight="1" spans="1:2">
      <c r="A36465" s="3" t="str">
        <f>IFERROR(__xludf.DUMMYFUNCTION("GOOGLETRANSLATE(A36465,""en"",""pt"")"),"Não muito durável")</f>
        <v>Não muito durável</v>
      </c>
      <c r="B36465" s="3">
        <v>0</v>
      </c>
    </row>
    <row r="36466" ht="15.75" customHeight="1" spans="1:2">
      <c r="A36466" s="3" t="str">
        <f>IFERROR(__xludf.DUMMYFUNCTION("GOOGLETRANSLATE(A36466,""en"",""pt"")"),"Lista Telefónica está faltando.")</f>
        <v>Lista Telefónica está faltando.</v>
      </c>
      <c r="B36466" s="3">
        <v>0</v>
      </c>
    </row>
    <row r="36467" ht="15.75" customHeight="1" spans="1:2">
      <c r="A36467" s="3" t="str">
        <f>IFERROR(__xludf.DUMMYFUNCTION("GOOGLETRANSLATE(A36467,""en"",""pt"")"),"queda de chamadas; Shut-off aleatórios; má qualidade de voz (eu estou sempre disse Speak Up); no 2-way mensagens de texto")</f>
        <v>queda de chamadas; Shut-off aleatórios; má qualidade de voz (eu estou sempre disse Speak Up); no 2-way mensagens de texto</v>
      </c>
      <c r="B36467" s="3">
        <v>0</v>
      </c>
    </row>
    <row r="36468" ht="15.75" customHeight="1" spans="1:2">
      <c r="A36468" s="3" t="str">
        <f>IFERROR(__xludf.DUMMYFUNCTION("GOOGLETRANSLATE(A36468,""en"",""pt"")"),"Serviço ruim")</f>
        <v>Serviço ruim</v>
      </c>
      <c r="B36468" s="3">
        <v>0</v>
      </c>
    </row>
    <row r="36469" ht="15.75" customHeight="1" spans="1:2">
      <c r="A36469" s="3" t="str">
        <f>IFERROR(__xludf.DUMMYFUNCTION("GOOGLETRANSLATE(A36469,""en"",""pt"")"),"Os anéis são não muito alto, vibrar raramente sentiu na maioria das vezes, volumosos carregador de mesa.")</f>
        <v>Os anéis são não muito alto, vibrar raramente sentiu na maioria das vezes, volumosos carregador de mesa.</v>
      </c>
      <c r="B36469" s="3">
        <v>0</v>
      </c>
    </row>
    <row r="36470" ht="15.75" customHeight="1" spans="1:2">
      <c r="A36470" s="3" t="str">
        <f>IFERROR(__xludf.DUMMYFUNCTION("GOOGLETRANSLATE(A36470,""en"",""pt"")"),"Difíceis para recuperar números, não amigável")</f>
        <v>Difíceis para recuperar números, não amigável</v>
      </c>
      <c r="B36470" s="3">
        <v>0</v>
      </c>
    </row>
    <row r="36471" ht="15.75" customHeight="1" spans="1:2">
      <c r="A36471" s="3" t="str">
        <f>IFERROR(__xludf.DUMMYFUNCTION("GOOGLETRANSLATE(A36471,""en"",""pt"")"),"sem display colorido se que é importante para você.")</f>
        <v>sem display colorido se que é importante para você.</v>
      </c>
      <c r="B36471" s="3">
        <v>0</v>
      </c>
    </row>
    <row r="36472" ht="15.75" customHeight="1" spans="1:2">
      <c r="A36472" s="3" t="str">
        <f>IFERROR(__xludf.DUMMYFUNCTION("GOOGLETRANSLATE(A36472,""en"",""pt"")"),"A vida da bateria, muitas sub-menus")</f>
        <v>A vida da bateria, muitas sub-menus</v>
      </c>
      <c r="B36472" s="3">
        <v>0</v>
      </c>
    </row>
    <row r="36473" ht="15.75" customHeight="1" spans="1:2">
      <c r="A36473" s="3" t="str">
        <f>IFERROR(__xludf.DUMMYFUNCTION("GOOGLETRANSLATE(A36473,""en"",""pt"")"),"A tela não é a cor, o telefone não parece o melhor.")</f>
        <v>A tela não é a cor, o telefone não parece o melhor.</v>
      </c>
      <c r="B36473" s="3">
        <v>0</v>
      </c>
    </row>
    <row r="36474" ht="15.75" customHeight="1" spans="1:2">
      <c r="A36474" s="3" t="str">
        <f>IFERROR(__xludf.DUMMYFUNCTION("GOOGLETRANSLATE(A36474,""en"",""pt"")"),"faixa de volume; eco")</f>
        <v>faixa de volume; eco</v>
      </c>
      <c r="B36474" s="3">
        <v>0</v>
      </c>
    </row>
    <row r="36475" ht="15.75" customHeight="1" spans="1:2">
      <c r="A36475" s="3" t="str">
        <f>IFERROR(__xludf.DUMMYFUNCTION("GOOGLETRANSLATE(A36475,""en"",""pt"")"),"Apenas uma cor, prata. A vida da bateria.")</f>
        <v>Apenas uma cor, prata. A vida da bateria.</v>
      </c>
      <c r="B36475" s="3">
        <v>0</v>
      </c>
    </row>
    <row r="36476" ht="15.75" customHeight="1" spans="1:2">
      <c r="A36476" s="3" t="str">
        <f>IFERROR(__xludf.DUMMYFUNCTION("GOOGLETRANSLATE(A36476,""en"",""pt"")"),"áudio recebido é fraco; algumas funções tirar muitas teclas pressionadas.")</f>
        <v>áudio recebido é fraco; algumas funções tirar muitas teclas pressionadas.</v>
      </c>
      <c r="B36476" s="3">
        <v>0</v>
      </c>
    </row>
    <row r="36477" ht="15.75" customHeight="1" spans="1:2">
      <c r="A36477" s="3" t="str">
        <f>IFERROR(__xludf.DUMMYFUNCTION("GOOGLETRANSLATE(A36477,""en"",""pt"")"),"Nenhum ainda")</f>
        <v>Nenhum ainda</v>
      </c>
      <c r="B36477" s="3">
        <v>0</v>
      </c>
    </row>
    <row r="36478" ht="15.75" customHeight="1" spans="1:2">
      <c r="A36478" s="3" t="str">
        <f>IFERROR(__xludf.DUMMYFUNCTION("GOOGLETRANSLATE(A36478,""en"",""pt"")"),"nenhuma, como ainda de")</f>
        <v>nenhuma, como ainda de</v>
      </c>
      <c r="B36478" s="3">
        <v>0</v>
      </c>
    </row>
    <row r="36479" ht="15.75" customHeight="1" spans="1:2">
      <c r="A36479" s="3" t="str">
        <f>IFERROR(__xludf.DUMMYFUNCTION("GOOGLETRANSLATE(A36479,""en"",""pt"")"),"Nada até agora")</f>
        <v>Nada até agora</v>
      </c>
      <c r="B36479" s="3">
        <v>0</v>
      </c>
    </row>
    <row r="36480" ht="15.75" customHeight="1" spans="1:2">
      <c r="A36480" s="3" t="str">
        <f>IFERROR(__xludf.DUMMYFUNCTION("GOOGLETRANSLATE(A36480,""en"",""pt"")"),"volume do auscultador. Jogos não são bons.")</f>
        <v>volume do auscultador. Jogos não são bons.</v>
      </c>
      <c r="B36480" s="3">
        <v>0</v>
      </c>
    </row>
    <row r="36481" ht="15.75" customHeight="1" spans="1:2">
      <c r="A36481" s="3" t="str">
        <f>IFERROR(__xludf.DUMMYFUNCTION("GOOGLETRANSLATE(A36481,""en"",""pt"")"),"Má recepção e nenhum relógio enquanto bloqueado.")</f>
        <v>Má recepção e nenhum relógio enquanto bloqueado.</v>
      </c>
      <c r="B36481" s="3">
        <v>0</v>
      </c>
    </row>
    <row r="36482" ht="15.75" customHeight="1" spans="1:2">
      <c r="A36482" s="3" t="str">
        <f>IFERROR(__xludf.DUMMYFUNCTION("GOOGLETRANSLATE(A36482,""en"",""pt"")"),"Nenhum")</f>
        <v>Nenhum</v>
      </c>
      <c r="B36482" s="3">
        <v>0</v>
      </c>
    </row>
    <row r="36483" ht="15.75" customHeight="1" spans="1:2">
      <c r="A36483" s="3" t="str">
        <f>IFERROR(__xludf.DUMMYFUNCTION("GOOGLETRANSLATE(A36483,""en"",""pt"")"),"mau sinal, baixo volume, a configuração de recarga horrível, pequena tela de fonte e telefone livro, sem recursos")</f>
        <v>mau sinal, baixo volume, a configuração de recarga horrível, pequena tela de fonte e telefone livro, sem recursos</v>
      </c>
      <c r="B36483" s="3">
        <v>0</v>
      </c>
    </row>
    <row r="36484" ht="15.75" customHeight="1" spans="1:2">
      <c r="A36484" s="3" t="str">
        <f>IFERROR(__xludf.DUMMYFUNCTION("GOOGLETRANSLATE(A36484,""en"",""pt"")"),"a curto para fazer a dobra de orelha a ombro, sem deixar cair o telefone")</f>
        <v>a curto para fazer a dobra de orelha a ombro, sem deixar cair o telefone</v>
      </c>
      <c r="B36484" s="3">
        <v>0</v>
      </c>
    </row>
    <row r="36485" ht="15.75" customHeight="1" spans="1:2">
      <c r="A36485" s="3" t="str">
        <f>IFERROR(__xludf.DUMMYFUNCTION("GOOGLETRANSLATE(A36485,""en"",""pt"")"),"caro para extras")</f>
        <v>caro para extras</v>
      </c>
      <c r="B36485" s="3">
        <v>0</v>
      </c>
    </row>
    <row r="36486" ht="15.75" customHeight="1" spans="1:2">
      <c r="A36486" s="3" t="str">
        <f>IFERROR(__xludf.DUMMYFUNCTION("GOOGLETRANSLATE(A36486,""en"",""pt"")"),"Sem tampa do teclado, bateria mais curta do que o anunciado.")</f>
        <v>Sem tampa do teclado, bateria mais curta do que o anunciado.</v>
      </c>
      <c r="B36486" s="3">
        <v>0</v>
      </c>
    </row>
    <row r="36487" ht="15.75" customHeight="1" spans="1:2">
      <c r="A36487" s="3" t="str">
        <f>IFERROR(__xludf.DUMMYFUNCTION("GOOGLETRANSLATE(A36487,""en"",""pt"")"),"não um telefone com câmera")</f>
        <v>não um telefone com câmera</v>
      </c>
      <c r="B36487" s="3">
        <v>0</v>
      </c>
    </row>
    <row r="36488" ht="15.75" customHeight="1" spans="1:2">
      <c r="A36488" s="3" t="str">
        <f>IFERROR(__xludf.DUMMYFUNCTION("GOOGLETRANSLATE(A36488,""en"",""pt"")"),"Não é tão pequeno ou leve como o 8260")</f>
        <v>Não é tão pequeno ou leve como o 8260</v>
      </c>
      <c r="B36488" s="3">
        <v>0</v>
      </c>
    </row>
    <row r="36489" ht="15.75" customHeight="1" spans="1:2">
      <c r="A36489" s="3" t="str">
        <f>IFERROR(__xludf.DUMMYFUNCTION("GOOGLETRANSLATE(A36489,""en"",""pt"")"),"vida útil da bateria medíocre, a resposta do teclado")</f>
        <v>vida útil da bateria medíocre, a resposta do teclado</v>
      </c>
      <c r="B36489" s="3">
        <v>0</v>
      </c>
    </row>
    <row r="36490" ht="15.75" customHeight="1" spans="1:2">
      <c r="A36490" s="3" t="str">
        <f>IFERROR(__xludf.DUMMYFUNCTION("GOOGLETRANSLATE(A36490,""en"",""pt"")"),"Ligeiramente pesado, maior do que outros telefones. vida de bateria fraca.")</f>
        <v>Ligeiramente pesado, maior do que outros telefones. vida de bateria fraca.</v>
      </c>
      <c r="B36490" s="3">
        <v>0</v>
      </c>
    </row>
    <row r="36491" ht="15.75" customHeight="1" spans="1:2">
      <c r="A36491" s="3" t="str">
        <f>IFERROR(__xludf.DUMMYFUNCTION("GOOGLETRANSLATE(A36491,""en"",""pt"")"),"funcionalidade do menu chato, serviços e bateria indicadores de vida inúteis")</f>
        <v>funcionalidade do menu chato, serviços e bateria indicadores de vida inúteis</v>
      </c>
      <c r="B36491" s="3">
        <v>0</v>
      </c>
    </row>
    <row r="36492" ht="15.75" customHeight="1" spans="1:2">
      <c r="A36492" s="3" t="str">
        <f>IFERROR(__xludf.DUMMYFUNCTION("GOOGLETRANSLATE(A36492,""en"",""pt"")"),"Difícil para alterar o volume no local.")</f>
        <v>Difícil para alterar o volume no local.</v>
      </c>
      <c r="B36492" s="3">
        <v>0</v>
      </c>
    </row>
    <row r="36493" ht="15.75" customHeight="1" spans="1:2">
      <c r="A36493" s="3" t="str">
        <f>IFERROR(__xludf.DUMMYFUNCTION("GOOGLETRANSLATE(A36493,""en"",""pt"")"),"Numeração em botões desaparece. Ligar / desligar a funcionalidade difíceis de envolver.")</f>
        <v>Numeração em botões desaparece. Ligar / desligar a funcionalidade difíceis de envolver.</v>
      </c>
      <c r="B36493" s="3">
        <v>0</v>
      </c>
    </row>
    <row r="36494" ht="15.75" customHeight="1" spans="1:2">
      <c r="A36494" s="3" t="str">
        <f>IFERROR(__xludf.DUMMYFUNCTION("GOOGLETRANSLATE(A36494,""en"",""pt"")"),"Pesado, volumosos, qualidade de som, sem gráficos coloridos para animar o telefone um pouco.")</f>
        <v>Pesado, volumosos, qualidade de som, sem gráficos coloridos para animar o telefone um pouco.</v>
      </c>
      <c r="B36494" s="3">
        <v>0</v>
      </c>
    </row>
    <row r="36495" ht="15.75" customHeight="1" spans="1:2">
      <c r="A36495" s="3" t="str">
        <f>IFERROR(__xludf.DUMMYFUNCTION("GOOGLETRANSLATE(A36495,""en"",""pt"")"),"Maior do que alguns. Não GPRS. exibição não colorida.")</f>
        <v>Maior do que alguns. Não GPRS. exibição não colorida.</v>
      </c>
      <c r="B36495" s="3">
        <v>0</v>
      </c>
    </row>
    <row r="36496" ht="15.75" customHeight="1" spans="1:2">
      <c r="A36496" s="3" t="str">
        <f>IFERROR(__xludf.DUMMYFUNCTION("GOOGLETRANSLATE(A36496,""en"",""pt"")"),"/ Não confiável mal feita. Três telefones diferentes morreram em mim.")</f>
        <v>/ Não confiável mal feita. Três telefones diferentes morreram em mim.</v>
      </c>
      <c r="B36496" s="3">
        <v>0</v>
      </c>
    </row>
    <row r="36497" ht="15.75" customHeight="1" spans="1:2">
      <c r="A36497" s="3" t="str">
        <f>IFERROR(__xludf.DUMMYFUNCTION("GOOGLETRANSLATE(A36497,""en"",""pt"")"),"chia, má recepção, desliga aleatoriamente")</f>
        <v>chia, má recepção, desliga aleatoriamente</v>
      </c>
      <c r="B36497" s="3">
        <v>0</v>
      </c>
    </row>
    <row r="36498" ht="15.75" customHeight="1" spans="1:2">
      <c r="A36498" s="3" t="str">
        <f>IFERROR(__xludf.DUMMYFUNCTION("GOOGLETRANSLATE(A36498,""en"",""pt"")"),"Faceplates complicado para remover, toques irritantes, nem sempre é clara vocação")</f>
        <v>Faceplates complicado para remover, toques irritantes, nem sempre é clara vocação</v>
      </c>
      <c r="B36498" s="3">
        <v>0</v>
      </c>
    </row>
    <row r="36499" ht="15.75" customHeight="1" spans="1:2">
      <c r="A36499" s="3" t="str">
        <f>IFERROR(__xludf.DUMMYFUNCTION("GOOGLETRANSLATE(A36499,""en"",""pt"")"),"A vida da bateria")</f>
        <v>A vida da bateria</v>
      </c>
      <c r="B36499" s="3">
        <v>0</v>
      </c>
    </row>
    <row r="36500" ht="15.75" customHeight="1" spans="1:2">
      <c r="A36500" s="3" t="str">
        <f>IFERROR(__xludf.DUMMYFUNCTION("GOOGLETRANSLATE(A36500,""en"",""pt"")"),"Corta quando se quer muito, a menos que o desejado energia da bateria, a forma é desconfortável em minhas mãos.")</f>
        <v>Corta quando se quer muito, a menos que o desejado energia da bateria, a forma é desconfortável em minhas mãos.</v>
      </c>
      <c r="B36500" s="3">
        <v>0</v>
      </c>
    </row>
    <row r="36501" ht="15.75" customHeight="1" spans="1:2">
      <c r="A36501" s="3" t="str">
        <f>IFERROR(__xludf.DUMMYFUNCTION("GOOGLETRANSLATE(A36501,""en"",""pt"")"),"A vida da bateria se não for adequadamente condicionado")</f>
        <v>A vida da bateria se não for adequadamente condicionado</v>
      </c>
      <c r="B36501" s="3">
        <v>0</v>
      </c>
    </row>
    <row r="36502" ht="15.75" customHeight="1" spans="1:2">
      <c r="A36502" s="3" t="str">
        <f>IFERROR(__xludf.DUMMYFUNCTION("GOOGLETRANSLATE(A36502,""en"",""pt"")"),"on / botão um pouco difícil de imprensa off, mas funciona.")</f>
        <v>on / botão um pouco difícil de imprensa off, mas funciona.</v>
      </c>
      <c r="B36502" s="3">
        <v>0</v>
      </c>
    </row>
    <row r="36503" ht="15.75" customHeight="1" spans="1:2">
      <c r="A36503" s="3" t="str">
        <f>IFERROR(__xludf.DUMMYFUNCTION("GOOGLETRANSLATE(A36503,""en"",""pt"")"),"A vida da bateria exagerada (embora agora tem bateria 900mAH); Eles eliminaram a trava de segurança.")</f>
        <v>A vida da bateria exagerada (embora agora tem bateria 900mAH); Eles eliminaram a trava de segurança.</v>
      </c>
      <c r="B36503" s="3">
        <v>0</v>
      </c>
    </row>
    <row r="36504" ht="15.75" customHeight="1" spans="1:2">
      <c r="A36504" s="3" t="str">
        <f>IFERROR(__xludf.DUMMYFUNCTION("GOOGLETRANSLATE(A36504,""en"",""pt"")"),"Um pouco difícil de segurar, um pouco confuso")</f>
        <v>Um pouco difícil de segurar, um pouco confuso</v>
      </c>
      <c r="B36504" s="3">
        <v>0</v>
      </c>
    </row>
    <row r="36505" ht="15.75" customHeight="1" spans="1:2">
      <c r="A36505" s="3" t="str">
        <f>IFERROR(__xludf.DUMMYFUNCTION("GOOGLETRANSLATE(A36505,""en"",""pt"")"),"Light Screen, a vida da bateria")</f>
        <v>Light Screen, a vida da bateria</v>
      </c>
      <c r="B36505" s="3">
        <v>0</v>
      </c>
    </row>
    <row r="36506" ht="15.75" customHeight="1" spans="1:2">
      <c r="A36506" s="3" t="str">
        <f>IFERROR(__xludf.DUMMYFUNCTION("GOOGLETRANSLATE(A36506,""en"",""pt"")"),"Bateria, alguns problemas de design, tecnologia TDMA")</f>
        <v>Bateria, alguns problemas de design, tecnologia TDMA</v>
      </c>
      <c r="B36506" s="3">
        <v>0</v>
      </c>
    </row>
    <row r="36507" ht="15.75" customHeight="1" spans="1:2">
      <c r="A36507" s="3" t="str">
        <f>IFERROR(__xludf.DUMMYFUNCTION("GOOGLETRANSLATE(A36507,""en"",""pt"")"),"comprimento da bateria bastante curto efectivo, tem jaque auricular não padronizado")</f>
        <v>comprimento da bateria bastante curto efectivo, tem jaque auricular não padronizado</v>
      </c>
      <c r="B36507" s="3">
        <v>0</v>
      </c>
    </row>
    <row r="36508" ht="15.75" customHeight="1" spans="1:2">
      <c r="A36508" s="3" t="str">
        <f>IFERROR(__xludf.DUMMYFUNCTION("GOOGLETRANSLATE(A36508,""en"",""pt"")"),"Vida útil da bateria, botões muito baixo perfil")</f>
        <v>Vida útil da bateria, botões muito baixo perfil</v>
      </c>
      <c r="B36508" s="3">
        <v>0</v>
      </c>
    </row>
    <row r="36509" ht="15.75" customHeight="1" spans="1:2">
      <c r="A36509" s="3" t="str">
        <f>IFERROR(__xludf.DUMMYFUNCTION("GOOGLETRANSLATE(A36509,""en"",""pt"")"),"Não é possível desligar o dicionário auto em Mensagens.")</f>
        <v>Não é possível desligar o dicionário auto em Mensagens.</v>
      </c>
      <c r="B36509" s="3">
        <v>0</v>
      </c>
    </row>
    <row r="36510" ht="15.75" customHeight="1" spans="1:2">
      <c r="A36510" s="3" t="str">
        <f>IFERROR(__xludf.DUMMYFUNCTION("GOOGLETRANSLATE(A36510,""en"",""pt"")"),"volumosos para mãos pequenas, pequeno para mãos maiores")</f>
        <v>volumosos para mãos pequenas, pequeno para mãos maiores</v>
      </c>
      <c r="B36510" s="3">
        <v>0</v>
      </c>
    </row>
    <row r="36511" ht="15.75" customHeight="1" spans="1:2">
      <c r="A36511" s="3" t="str">
        <f>IFERROR(__xludf.DUMMYFUNCTION("GOOGLETRANSLATE(A36511,""en"",""pt"")"),"bateria fraca, o indicador de aviso de bateria fraca.")</f>
        <v>bateria fraca, o indicador de aviso de bateria fraca.</v>
      </c>
      <c r="B36511" s="3">
        <v>0</v>
      </c>
    </row>
    <row r="36512" ht="15.75" customHeight="1" spans="1:2">
      <c r="A36512" s="3" t="str">
        <f>IFERROR(__xludf.DUMMYFUNCTION("GOOGLETRANSLATE(A36512,""en"",""pt"")"),"Interface estranho, falha de software, orelha bug é uma droga, não web ??? porta IR não está funcionando ...")</f>
        <v>Interface estranho, falha de software, orelha bug é uma droga, não web ??? porta IR não está funcionando ...</v>
      </c>
      <c r="B36512" s="3">
        <v>0</v>
      </c>
    </row>
    <row r="36513" ht="15.75" customHeight="1" spans="1:2">
      <c r="A36513" s="3" t="str">
        <f>IFERROR(__xludf.DUMMYFUNCTION("GOOGLETRANSLATE(A36513,""en"",""pt"")"),"Alguns botões pode ficar preso, botões pouco pequeno, não pode desligar animação")</f>
        <v>Alguns botões pode ficar preso, botões pouco pequeno, não pode desligar animação</v>
      </c>
      <c r="B36513" s="3">
        <v>0</v>
      </c>
    </row>
    <row r="36514" ht="15.75" customHeight="1" spans="1:2">
      <c r="A36514" s="3" t="str">
        <f>IFERROR(__xludf.DUMMYFUNCTION("GOOGLETRANSLATE(A36514,""en"",""pt"")"),"Alguns softwares de falhas.")</f>
        <v>Alguns softwares de falhas.</v>
      </c>
      <c r="B36514" s="3">
        <v>0</v>
      </c>
    </row>
    <row r="36515" ht="15.75" customHeight="1" spans="1:2">
      <c r="A36515" s="3" t="str">
        <f>IFERROR(__xludf.DUMMYFUNCTION("GOOGLETRANSLATE(A36515,""en"",""pt"")"),"Tamanho, bateria")</f>
        <v>Tamanho, bateria</v>
      </c>
      <c r="B36515" s="3">
        <v>0</v>
      </c>
    </row>
    <row r="36516" ht="15.75" customHeight="1" spans="1:2">
      <c r="A36516" s="3" t="str">
        <f>IFERROR(__xludf.DUMMYFUNCTION("GOOGLETRANSLATE(A36516,""en"",""pt"")"),"vida útil da bateria sux se você não condicioná-lo corretamente.")</f>
        <v>vida útil da bateria sux se você não condicioná-lo corretamente.</v>
      </c>
      <c r="B36516" s="3">
        <v>0</v>
      </c>
    </row>
    <row r="36517" ht="15.75" customHeight="1" spans="1:2">
      <c r="A36517" s="3" t="str">
        <f>IFERROR(__xludf.DUMMYFUNCTION("GOOGLETRANSLATE(A36517,""en"",""pt"")"),"vida pobre da bateria, contatos pobres do teclado, &amp; # 13; &amp; # 10; pobre Controle de Qualidade")</f>
        <v>vida pobre da bateria, contatos pobres do teclado, &amp; # 13; &amp; # 10; pobre Controle de Qualidade</v>
      </c>
      <c r="B36517" s="3">
        <v>0</v>
      </c>
    </row>
    <row r="36518" ht="15.75" customHeight="1" spans="1:2">
      <c r="A36518" s="3" t="str">
        <f>IFERROR(__xludf.DUMMYFUNCTION("GOOGLETRANSLATE(A36518,""en"",""pt"")"),"nada até agora!")</f>
        <v>nada até agora!</v>
      </c>
      <c r="B36518" s="3">
        <v>0</v>
      </c>
    </row>
    <row r="36519" ht="15.75" customHeight="1" spans="1:2">
      <c r="A36519" s="3" t="str">
        <f>IFERROR(__xludf.DUMMYFUNCTION("GOOGLETRANSLATE(A36519,""en"",""pt"")"),"No viva-voz,")</f>
        <v>No viva-voz,</v>
      </c>
      <c r="B36519" s="3">
        <v>0</v>
      </c>
    </row>
    <row r="36520" ht="15.75" customHeight="1" spans="1:2">
      <c r="A36520" s="3" t="str">
        <f>IFERROR(__xludf.DUMMYFUNCTION("GOOGLETRANSLATE(A36520,""en"",""pt"")"),"Pesado, a melhor tecnologia já está disponível")</f>
        <v>Pesado, a melhor tecnologia já está disponível</v>
      </c>
      <c r="B36520" s="3">
        <v>0</v>
      </c>
    </row>
    <row r="36521" ht="15.75" customHeight="1" spans="1:2">
      <c r="A36521" s="3" t="str">
        <f>IFERROR(__xludf.DUMMYFUNCTION("GOOGLETRANSLATE(A36521,""en"",""pt"")"),"A falta de recursos tornam este telefone uma má compra")</f>
        <v>A falta de recursos tornam este telefone uma má compra</v>
      </c>
      <c r="B36521" s="3">
        <v>0</v>
      </c>
    </row>
    <row r="36522" ht="15.75" customHeight="1" spans="1:2">
      <c r="A36522" s="3" t="str">
        <f>IFERROR(__xludf.DUMMYFUNCTION("GOOGLETRANSLATE(A36522,""en"",""pt"")"),"Não muitos recursos avançados, a vida de bateria fraca")</f>
        <v>Não muitos recursos avançados, a vida de bateria fraca</v>
      </c>
      <c r="B36522" s="3">
        <v>0</v>
      </c>
    </row>
    <row r="36523" ht="15.75" customHeight="1" spans="1:2">
      <c r="A36523" s="3" t="str">
        <f>IFERROR(__xludf.DUMMYFUNCTION("GOOGLETRANSLATE(A36523,""en"",""pt"")"),"antena interna fica terrível recepção! Telefone constantemente desliga!")</f>
        <v>antena interna fica terrível recepção! Telefone constantemente desliga!</v>
      </c>
      <c r="B36523" s="3">
        <v>0</v>
      </c>
    </row>
    <row r="36524" ht="15.75" customHeight="1" spans="1:2">
      <c r="A36524" s="3" t="str">
        <f>IFERROR(__xludf.DUMMYFUNCTION("GOOGLETRANSLATE(A36524,""en"",""pt"")"),"botão de alimentação um pouco difícil de chegar, necessidade de prestar atenção a não cobrindo speaker")</f>
        <v>botão de alimentação um pouco difícil de chegar, necessidade de prestar atenção a não cobrindo speaker</v>
      </c>
      <c r="B36524" s="3">
        <v>0</v>
      </c>
    </row>
    <row r="36525" ht="15.75" customHeight="1" spans="1:2">
      <c r="A36525" s="3" t="str">
        <f>IFERROR(__xludf.DUMMYFUNCTION("GOOGLETRANSLATE(A36525,""en"",""pt"")"),"Botões se tornam difíceis de imprensa ao longo do tempo, a bateria morre rapidamente")</f>
        <v>Botões se tornam difíceis de imprensa ao longo do tempo, a bateria morre rapidamente</v>
      </c>
      <c r="B36525" s="3">
        <v>0</v>
      </c>
    </row>
    <row r="36526" ht="15.75" customHeight="1" spans="1:2">
      <c r="A36526" s="3" t="str">
        <f>IFERROR(__xludf.DUMMYFUNCTION("GOOGLETRANSLATE(A36526,""en"",""pt"")"),"microfone horrível. entradas da lista telefónica limitados.")</f>
        <v>microfone horrível. entradas da lista telefónica limitados.</v>
      </c>
      <c r="B36526" s="3">
        <v>0</v>
      </c>
    </row>
    <row r="36527" ht="15.75" customHeight="1" spans="1:2">
      <c r="A36527" s="3" t="str">
        <f>IFERROR(__xludf.DUMMYFUNCTION("GOOGLETRANSLATE(A36527,""en"",""pt"")"),"curta duração da bateria, un-friendly user")</f>
        <v>curta duração da bateria, un-friendly user</v>
      </c>
      <c r="B36527" s="3">
        <v>0</v>
      </c>
    </row>
    <row r="36528" ht="15.75" customHeight="1" spans="1:2">
      <c r="A36528" s="3" t="str">
        <f>IFERROR(__xludf.DUMMYFUNCTION("GOOGLETRANSLATE(A36528,""en"",""pt"")"),"Falta de calendário")</f>
        <v>Falta de calendário</v>
      </c>
      <c r="B36528" s="3">
        <v>0</v>
      </c>
    </row>
    <row r="36529" ht="15.75" customHeight="1" spans="1:2">
      <c r="A36529" s="3" t="str">
        <f>IFERROR(__xludf.DUMMYFUNCTION("GOOGLETRANSLATE(A36529,""en"",""pt"")"),"pequeno; atalhos do menu; bateria NiMH")</f>
        <v>pequeno; atalhos do menu; bateria NiMH</v>
      </c>
      <c r="B36529" s="3">
        <v>0</v>
      </c>
    </row>
    <row r="36530" ht="15.75" customHeight="1" spans="1:2">
      <c r="A36530" s="3" t="str">
        <f>IFERROR(__xludf.DUMMYFUNCTION("GOOGLETRANSLATE(A36530,""en"",""pt"")"),"falha de projeto antena interna (?) contribui para mau serviço em algumas áreas.")</f>
        <v>falha de projeto antena interna (?) contribui para mau serviço em algumas áreas.</v>
      </c>
      <c r="B36530" s="3">
        <v>0</v>
      </c>
    </row>
    <row r="36531" ht="15.75" customHeight="1" spans="1:2">
      <c r="A36531" s="3" t="str">
        <f>IFERROR(__xludf.DUMMYFUNCTION("GOOGLETRANSLATE(A36531,""en"",""pt"")"),"placa de cara difícil de sair.")</f>
        <v>placa de cara difícil de sair.</v>
      </c>
      <c r="B36531" s="3">
        <v>0</v>
      </c>
    </row>
    <row r="36532" ht="15.75" customHeight="1" spans="1:2">
      <c r="A36532" s="3" t="str">
        <f>IFERROR(__xludf.DUMMYFUNCTION("GOOGLETRANSLATE(A36532,""en"",""pt"")"),"Sem tampa do teclado")</f>
        <v>Sem tampa do teclado</v>
      </c>
      <c r="B36532" s="3">
        <v>0</v>
      </c>
    </row>
    <row r="36533" ht="15.75" customHeight="1" spans="1:2">
      <c r="A36533" s="3" t="str">
        <f>IFERROR(__xludf.DUMMYFUNCTION("GOOGLETRANSLATE(A36533,""en"",""pt"")"),"vida pobre da bateria, congela com muita freqüência.")</f>
        <v>vida pobre da bateria, congela com muita freqüência.</v>
      </c>
      <c r="B36533" s="3">
        <v>0</v>
      </c>
    </row>
    <row r="36534" ht="15.75" customHeight="1" spans="1:2">
      <c r="A36534" s="3" t="str">
        <f>IFERROR(__xludf.DUMMYFUNCTION("GOOGLETRANSLATE(A36534,""en"",""pt"")"),"vida e botões de bateria talvez pequeno para dedos maiores.")</f>
        <v>vida e botões de bateria talvez pequeno para dedos maiores.</v>
      </c>
      <c r="B36534" s="3">
        <v>0</v>
      </c>
    </row>
    <row r="36535" ht="15.75" customHeight="1" spans="1:2">
      <c r="A36535" s="3" t="str">
        <f>IFERROR(__xludf.DUMMYFUNCTION("GOOGLETRANSLATE(A36535,""en"",""pt"")"),"Audível Qualidade, NiMH, Button Tamanho / Placement")</f>
        <v>Audível Qualidade, NiMH, Button Tamanho / Placement</v>
      </c>
      <c r="B36535" s="3">
        <v>0</v>
      </c>
    </row>
    <row r="36536" ht="15.75" customHeight="1" spans="1:2">
      <c r="A36536" s="3" t="str">
        <f>IFERROR(__xludf.DUMMYFUNCTION("GOOGLETRANSLATE(A36536,""en"",""pt"")"),"analógico TDMA telefone, Sem Smart Card, Bad voz Qualidade, Sinal Médio, Média bateria, Não é possível receber e enviar logos OP, ringtones")</f>
        <v>analógico TDMA telefone, Sem Smart Card, Bad voz Qualidade, Sinal Médio, Média bateria, Não é possível receber e enviar logos OP, ringtones</v>
      </c>
      <c r="B36536" s="3">
        <v>0</v>
      </c>
    </row>
    <row r="36537" ht="15.75" customHeight="1" spans="1:2">
      <c r="A36537" s="3" t="str">
        <f>IFERROR(__xludf.DUMMYFUNCTION("GOOGLETRANSLATE(A36537,""en"",""pt"")"),"bateria")</f>
        <v>bateria</v>
      </c>
      <c r="B36537" s="3">
        <v>0</v>
      </c>
    </row>
    <row r="36538" ht="15.75" customHeight="1" spans="1:2">
      <c r="A36538" s="3" t="str">
        <f>IFERROR(__xludf.DUMMYFUNCTION("GOOGLETRANSLATE(A36538,""en"",""pt"")"),"Perda de configurações de hora / data, Loose Carcaça")</f>
        <v>Perda de configurações de hora / data, Loose Carcaça</v>
      </c>
      <c r="B36538" s="3">
        <v>0</v>
      </c>
    </row>
    <row r="36539" ht="15.75" customHeight="1" spans="1:2">
      <c r="A36539" s="3" t="str">
        <f>IFERROR(__xludf.DUMMYFUNCTION("GOOGLETRANSLATE(A36539,""en"",""pt"")"),"Sem Grupos Caller")</f>
        <v>Sem Grupos Caller</v>
      </c>
      <c r="B36539" s="3">
        <v>0</v>
      </c>
    </row>
    <row r="36540" ht="15.75" customHeight="1" spans="1:2">
      <c r="A36540" s="3" t="str">
        <f>IFERROR(__xludf.DUMMYFUNCTION("GOOGLETRANSLATE(A36540,""en"",""pt"")"),"péssima qualidade, etc.")</f>
        <v>péssima qualidade, etc.</v>
      </c>
      <c r="B36540" s="3">
        <v>0</v>
      </c>
    </row>
    <row r="36541" ht="15.75" customHeight="1" spans="1:2">
      <c r="A36541" s="3" t="str">
        <f>IFERROR(__xludf.DUMMYFUNCTION("GOOGLETRANSLATE(A36541,""en"",""pt"")"),"Nenhum ainda")</f>
        <v>Nenhum ainda</v>
      </c>
      <c r="B36541" s="3">
        <v>0</v>
      </c>
    </row>
    <row r="36542" ht="15.75" customHeight="1" spans="1:2">
      <c r="A36542" s="3" t="str">
        <f>IFERROR(__xludf.DUMMYFUNCTION("GOOGLETRANSLATE(A36542,""en"",""pt"")"),"Sinal não é muito melhor")</f>
        <v>Sinal não é muito melhor</v>
      </c>
      <c r="B36542" s="3">
        <v>0</v>
      </c>
    </row>
    <row r="36543" ht="15.75" customHeight="1" spans="1:2">
      <c r="A36543" s="3" t="str">
        <f>IFERROR(__xludf.DUMMYFUNCTION("GOOGLETRANSLATE(A36543,""en"",""pt"")"),"Nenhum encontrado")</f>
        <v>Nenhum encontrado</v>
      </c>
      <c r="B36543" s="3">
        <v>0</v>
      </c>
    </row>
    <row r="36544" ht="15.75" customHeight="1" spans="1:2">
      <c r="A36544" s="3" t="str">
        <f>IFERROR(__xludf.DUMMYFUNCTION("GOOGLETRANSLATE(A36544,""en"",""pt"")"),"No display colorido, fica quente")</f>
        <v>No display colorido, fica quente</v>
      </c>
      <c r="B36544" s="3">
        <v>0</v>
      </c>
    </row>
    <row r="36545" ht="15.75" customHeight="1" spans="1:2">
      <c r="A36545" s="3" t="str">
        <f>IFERROR(__xludf.DUMMYFUNCTION("GOOGLETRANSLATE(A36545,""en"",""pt"")"),"Telefone parece kinda descolados às vezes? Terrível bateria!")</f>
        <v>Telefone parece kinda descolados às vezes? Terrível bateria!</v>
      </c>
      <c r="B36545" s="3">
        <v>0</v>
      </c>
    </row>
    <row r="36546" ht="15.75" customHeight="1" spans="1:2">
      <c r="A36546" s="3" t="str">
        <f>IFERROR(__xludf.DUMMYFUNCTION("GOOGLETRANSLATE(A36546,""en"",""pt"")"),"Super Clunky, volumoso, botões inábil, bateria .... e oh, eu mencionei bateria ?!")</f>
        <v>Super Clunky, volumoso, botões inábil, bateria .... e oh, eu mencionei bateria ?!</v>
      </c>
      <c r="B36546" s="3">
        <v>0</v>
      </c>
    </row>
    <row r="36547" ht="15.75" customHeight="1" spans="1:2">
      <c r="A36547" s="3" t="str">
        <f>IFERROR(__xludf.DUMMYFUNCTION("GOOGLETRANSLATE(A36547,""en"",""pt"")"),"O som é como ouvir alguém falar fora de uma caixa.")</f>
        <v>O som é como ouvir alguém falar fora de uma caixa.</v>
      </c>
      <c r="B36547" s="3">
        <v>0</v>
      </c>
    </row>
    <row r="36548" ht="15.75" customHeight="1" spans="1:2">
      <c r="A36548" s="3" t="str">
        <f>IFERROR(__xludf.DUMMYFUNCTION("GOOGLETRANSLATE(A36548,""en"",""pt"")"),"A recepção poderia ser um pouco melhor, mas isso é verdade para praticamente todos os telefones.")</f>
        <v>A recepção poderia ser um pouco melhor, mas isso é verdade para praticamente todos os telefones.</v>
      </c>
      <c r="B36548" s="3">
        <v>0</v>
      </c>
    </row>
    <row r="36549" ht="15.75" customHeight="1" spans="1:2">
      <c r="A36549" s="3" t="str">
        <f>IFERROR(__xludf.DUMMYFUNCTION("GOOGLETRANSLATE(A36549,""en"",""pt"")"),"Tenho vários")</f>
        <v>Tenho vários</v>
      </c>
      <c r="B36549" s="3">
        <v>0</v>
      </c>
    </row>
    <row r="36550" ht="15.75" customHeight="1" spans="1:2">
      <c r="A36550" s="3" t="str">
        <f>IFERROR(__xludf.DUMMYFUNCTION("GOOGLETRANSLATE(A36550,""en"",""pt"")"),"Não é possível bloquear o telefone para evitar o uso não autorizado.")</f>
        <v>Não é possível bloquear o telefone para evitar o uso não autorizado.</v>
      </c>
      <c r="B36550" s="3">
        <v>0</v>
      </c>
    </row>
    <row r="36551" ht="15.75" customHeight="1" spans="1:2">
      <c r="A36551" s="3" t="str">
        <f>IFERROR(__xludf.DUMMYFUNCTION("GOOGLETRANSLATE(A36551,""en"",""pt"")"),"resposta teclado, pequeno demais para alguns")</f>
        <v>resposta teclado, pequeno demais para alguns</v>
      </c>
      <c r="B36551" s="3">
        <v>0</v>
      </c>
    </row>
    <row r="36552" ht="15.75" customHeight="1" spans="1:2">
      <c r="A36552" s="3" t="str">
        <f>IFERROR(__xludf.DUMMYFUNCTION("GOOGLETRANSLATE(A36552,""en"",""pt"")"),"vida útil da bateria SUGA!")</f>
        <v>vida útil da bateria SUGA!</v>
      </c>
      <c r="B36552" s="3">
        <v>0</v>
      </c>
    </row>
    <row r="36553" ht="15.75" customHeight="1" spans="1:2">
      <c r="A36553" s="3" t="str">
        <f>IFERROR(__xludf.DUMMYFUNCTION("GOOGLETRANSLATE(A36553,""en"",""pt"")"),"Por isso, para a vida da bateria, congelamentos e travamentos ocasionalmente. Parece mais frequente quando a bateria está fraca.")</f>
        <v>Por isso, para a vida da bateria, congelamentos e travamentos ocasionalmente. Parece mais frequente quando a bateria está fraca.</v>
      </c>
      <c r="B36553" s="3">
        <v>0</v>
      </c>
    </row>
    <row r="36554" ht="15.75" customHeight="1" spans="1:2">
      <c r="A36554" s="3" t="str">
        <f>IFERROR(__xludf.DUMMYFUNCTION("GOOGLETRANSLATE(A36554,""en"",""pt"")"),"um pouco estranho para falar sobre, capas às vezes se perdem ao longo do tempo")</f>
        <v>um pouco estranho para falar sobre, capas às vezes se perdem ao longo do tempo</v>
      </c>
      <c r="B36554" s="3">
        <v>0</v>
      </c>
    </row>
    <row r="36555" ht="15.75" customHeight="1" spans="1:2">
      <c r="A36555" s="3" t="str">
        <f>IFERROR(__xludf.DUMMYFUNCTION("GOOGLETRANSLATE(A36555,""en"",""pt"")"),"as faceplates intercambiáveis ​​pode ser addicting..we estão sempre comprando mais !!")</f>
        <v>as faceplates intercambiáveis ​​pode ser addicting..we estão sempre comprando mais !!</v>
      </c>
      <c r="B36555" s="3">
        <v>0</v>
      </c>
    </row>
    <row r="36556" ht="15.75" customHeight="1" spans="1:2">
      <c r="A36556" s="3" t="str">
        <f>IFERROR(__xludf.DUMMYFUNCTION("GOOGLETRANSLATE(A36556,""en"",""pt"")"),"Usa uma grande quantidade de energia da bateria, um pouco pesado")</f>
        <v>Usa uma grande quantidade de energia da bateria, um pouco pesado</v>
      </c>
      <c r="B36556" s="3">
        <v>0</v>
      </c>
    </row>
    <row r="36557" ht="15.75" customHeight="1" spans="1:2">
      <c r="A36557" s="3" t="str">
        <f>IFERROR(__xludf.DUMMYFUNCTION("GOOGLETRANSLATE(A36557,""en"",""pt"")"),"nada até agora")</f>
        <v>nada até agora</v>
      </c>
      <c r="B36557" s="3">
        <v>0</v>
      </c>
    </row>
    <row r="36558" ht="15.75" customHeight="1" spans="1:2">
      <c r="A36558" s="3" t="str">
        <f>IFERROR(__xludf.DUMMYFUNCTION("GOOGLETRANSLATE(A36558,""en"",""pt"")"),"OK vida útil da bateria, poderia ser melhor. Apenas 2 telefones entradas por contato.")</f>
        <v>OK vida útil da bateria, poderia ser melhor. Apenas 2 telefones entradas por contato.</v>
      </c>
      <c r="B36558" s="3">
        <v>0</v>
      </c>
    </row>
    <row r="36559" ht="15.75" customHeight="1" spans="1:2">
      <c r="A36559" s="3" t="str">
        <f>IFERROR(__xludf.DUMMYFUNCTION("GOOGLETRANSLATE(A36559,""en"",""pt"")"),"Vida útil da bateria é tão-lo, Bigger / Mais pesado que o Nokia 8260")</f>
        <v>Vida útil da bateria é tão-lo, Bigger / Mais pesado que o Nokia 8260</v>
      </c>
      <c r="B36559" s="3">
        <v>0</v>
      </c>
    </row>
    <row r="36560" ht="15.75" customHeight="1" spans="1:2">
      <c r="A36560" s="3" t="str">
        <f>IFERROR(__xludf.DUMMYFUNCTION("GOOGLETRANSLATE(A36560,""en"",""pt"")"),"Design, layout cor ruim, nenhum organizador, controle de volume ajustável para as chamadas recebidas apenas")</f>
        <v>Design, layout cor ruim, nenhum organizador, controle de volume ajustável para as chamadas recebidas apenas</v>
      </c>
      <c r="B36560" s="3">
        <v>0</v>
      </c>
    </row>
    <row r="36561" ht="15.75" customHeight="1" spans="1:2">
      <c r="A36561" s="3" t="str">
        <f>IFERROR(__xludf.DUMMYFUNCTION("GOOGLETRANSLATE(A36561,""en"",""pt"")"),"A qualidade da chamada, a duração da bateria")</f>
        <v>A qualidade da chamada, a duração da bateria</v>
      </c>
      <c r="B36561" s="3">
        <v>0</v>
      </c>
    </row>
    <row r="36562" ht="15.75" customHeight="1" spans="1:2">
      <c r="A36562" s="3" t="str">
        <f>IFERROR(__xludf.DUMMYFUNCTION("GOOGLETRANSLATE(A36562,""en"",""pt"")"),"um pouco sobre o lado pesado, vida da bateria pode ser um pouco baixo, recepção")</f>
        <v>um pouco sobre o lado pesado, vida da bateria pode ser um pouco baixo, recepção</v>
      </c>
      <c r="B36562" s="3">
        <v>0</v>
      </c>
    </row>
    <row r="36563" ht="15.75" customHeight="1" spans="1:2">
      <c r="A36563" s="3" t="str">
        <f>IFERROR(__xludf.DUMMYFUNCTION("GOOGLETRANSLATE(A36563,""en"",""pt"")"),"NENHUM!!!")</f>
        <v>NENHUM!!!</v>
      </c>
      <c r="B36563" s="3">
        <v>0</v>
      </c>
    </row>
    <row r="36564" ht="15.75" customHeight="1" spans="1:2">
      <c r="A36564" s="3" t="str">
        <f>IFERROR(__xludf.DUMMYFUNCTION("GOOGLETRANSLATE(A36564,""en"",""pt"")"),"Não tem grupos de chamada, onde você pode separar os chamadores com tons de toque diferentes.")</f>
        <v>Não tem grupos de chamada, onde você pode separar os chamadores com tons de toque diferentes.</v>
      </c>
      <c r="B36564" s="3">
        <v>0</v>
      </c>
    </row>
    <row r="36565" ht="15.75" customHeight="1" spans="1:2">
      <c r="A36565" s="3" t="str">
        <f>IFERROR(__xludf.DUMMYFUNCTION("GOOGLETRANSLATE(A36565,""en"",""pt"")"),"caso frágil, muitos problemas")</f>
        <v>caso frágil, muitos problemas</v>
      </c>
      <c r="B36565" s="3">
        <v>0</v>
      </c>
    </row>
    <row r="36566" ht="15.75" customHeight="1" spans="1:2">
      <c r="A36566" s="3" t="str">
        <f>IFERROR(__xludf.DUMMYFUNCTION("GOOGLETRANSLATE(A36566,""en"",""pt"")"),"Falta de bloqueio do telefone, teclas macias, não confortáveis, rachaduras quando se fala.")</f>
        <v>Falta de bloqueio do telefone, teclas macias, não confortáveis, rachaduras quando se fala.</v>
      </c>
      <c r="B36566" s="3">
        <v>0</v>
      </c>
    </row>
    <row r="36567" ht="15.75" customHeight="1" spans="1:2">
      <c r="A36567" s="3" t="str">
        <f>IFERROR(__xludf.DUMMYFUNCTION("GOOGLETRANSLATE(A36567,""en"",""pt"")"),"Um pouco sobre o lado pesado para o tamanho que é")</f>
        <v>Um pouco sobre o lado pesado para o tamanho que é</v>
      </c>
      <c r="B36567" s="3">
        <v>0</v>
      </c>
    </row>
    <row r="36568" ht="15.75" customHeight="1" spans="1:2">
      <c r="A36568" s="3" t="str">
        <f>IFERROR(__xludf.DUMMYFUNCTION("GOOGLETRANSLATE(A36568,""en"",""pt"")"),"Necessidade de comprar a bateria de lítio, não viva-voz, sem controle de volume lateral")</f>
        <v>Necessidade de comprar a bateria de lítio, não viva-voz, sem controle de volume lateral</v>
      </c>
      <c r="B36568" s="3">
        <v>0</v>
      </c>
    </row>
    <row r="36569" ht="15.75" customHeight="1" spans="1:2">
      <c r="A36569" s="3" t="str">
        <f>IFERROR(__xludf.DUMMYFUNCTION("GOOGLETRANSLATE(A36569,""en"",""pt"")"),"problemas ocasionais com bateria")</f>
        <v>problemas ocasionais com bateria</v>
      </c>
      <c r="B36569" s="3">
        <v>0</v>
      </c>
    </row>
    <row r="36570" ht="15.75" customHeight="1" spans="1:2">
      <c r="A36570" s="3" t="str">
        <f>IFERROR(__xludf.DUMMYFUNCTION("GOOGLETRANSLATE(A36570,""en"",""pt"")"),"A vida da bateria poderia ser melhor. Não é possível bloquear o telefone.")</f>
        <v>A vida da bateria poderia ser melhor. Não é possível bloquear o telefone.</v>
      </c>
      <c r="B36570" s="3">
        <v>0</v>
      </c>
    </row>
    <row r="36571" ht="15.75" customHeight="1" spans="1:2">
      <c r="A36571" s="3" t="str">
        <f>IFERROR(__xludf.DUMMYFUNCTION("GOOGLETRANSLATE(A36571,""en"",""pt"")"),"Decente Vida útil da bateria, teclado numérico")</f>
        <v>Decente Vida útil da bateria, teclado numérico</v>
      </c>
      <c r="B36571" s="3">
        <v>0</v>
      </c>
    </row>
    <row r="36572" ht="15.75" customHeight="1" spans="1:2">
      <c r="A36572" s="3" t="str">
        <f>IFERROR(__xludf.DUMMYFUNCTION("GOOGLETRANSLATE(A36572,""en"",""pt"")"),"Topmost botões um pouco difícil de imprensa, não é uma coisa importante embora.")</f>
        <v>Topmost botões um pouco difícil de imprensa, não é uma coisa importante embora.</v>
      </c>
      <c r="B36572" s="3">
        <v>0</v>
      </c>
    </row>
    <row r="36573" ht="15.75" customHeight="1" spans="1:2">
      <c r="A36573" s="3" t="str">
        <f>IFERROR(__xludf.DUMMYFUNCTION("GOOGLETRANSLATE(A36573,""en"",""pt"")"),"antena")</f>
        <v>antena</v>
      </c>
      <c r="B36573" s="3">
        <v>0</v>
      </c>
    </row>
    <row r="36574" ht="15.75" customHeight="1" spans="1:2">
      <c r="A36574" s="3" t="str">
        <f>IFERROR(__xludf.DUMMYFUNCTION("GOOGLETRANSLATE(A36574,""en"",""pt"")"),"bateria padrão poderia ser melhor.")</f>
        <v>bateria padrão poderia ser melhor.</v>
      </c>
      <c r="B36574" s="3">
        <v>0</v>
      </c>
    </row>
    <row r="36575" ht="15.75" customHeight="1" spans="1:2">
      <c r="A36575" s="3" t="str">
        <f>IFERROR(__xludf.DUMMYFUNCTION("GOOGLETRANSLATE(A36575,""en"",""pt"")"),"botões muito pequeno, botão de energia inconveniente")</f>
        <v>botões muito pequeno, botão de energia inconveniente</v>
      </c>
      <c r="B36575" s="3">
        <v>0</v>
      </c>
    </row>
    <row r="36576" ht="15.75" customHeight="1" spans="1:2">
      <c r="A36576" s="3" t="str">
        <f>IFERROR(__xludf.DUMMYFUNCTION("GOOGLETRANSLATE(A36576,""en"",""pt"")"),"A vida da bateria não tão grande como o esperado.")</f>
        <v>A vida da bateria não tão grande como o esperado.</v>
      </c>
      <c r="B36576" s="3">
        <v>0</v>
      </c>
    </row>
    <row r="36577" ht="15.75" customHeight="1" spans="1:2">
      <c r="A36577" s="3" t="str">
        <f>IFERROR(__xludf.DUMMYFUNCTION("GOOGLETRANSLATE(A36577,""en"",""pt"")"),"A recepção realmente má e som cavernoso.")</f>
        <v>A recepção realmente má e som cavernoso.</v>
      </c>
      <c r="B36577" s="3">
        <v>0</v>
      </c>
    </row>
    <row r="36578" ht="15.75" customHeight="1" spans="1:2">
      <c r="A36578" s="3" t="str">
        <f>IFERROR(__xludf.DUMMYFUNCTION("GOOGLETRANSLATE(A36578,""en"",""pt"")"),"desliga de repente, poeira vem em LCD")</f>
        <v>desliga de repente, poeira vem em LCD</v>
      </c>
      <c r="B36578" s="3">
        <v>0</v>
      </c>
    </row>
    <row r="36579" ht="15.75" customHeight="1" spans="1:2">
      <c r="A36579" s="3" t="str">
        <f>IFERROR(__xludf.DUMMYFUNCTION("GOOGLETRANSLATE(A36579,""en"",""pt"")"),"sinal não confiável, fora de serviço, cut-off telefonemas.")</f>
        <v>sinal não confiável, fora de serviço, cut-off telefonemas.</v>
      </c>
      <c r="B36579" s="3">
        <v>0</v>
      </c>
    </row>
    <row r="36580" ht="15.75" customHeight="1" spans="1:2">
      <c r="A36580" s="3" t="str">
        <f>IFERROR(__xludf.DUMMYFUNCTION("GOOGLETRANSLATE(A36580,""en"",""pt"")"),"má qualidade de som, um microfone fraco, botões rígidos")</f>
        <v>má qualidade de som, um microfone fraco, botões rígidos</v>
      </c>
      <c r="B36580" s="3">
        <v>0</v>
      </c>
    </row>
    <row r="36581" ht="15.75" customHeight="1" spans="1:2">
      <c r="A36581" s="3" t="str">
        <f>IFERROR(__xludf.DUMMYFUNCTION("GOOGLETRANSLATE(A36581,""en"",""pt"")"),"mesmo bateria estendida é terrível, muito má recepção")</f>
        <v>mesmo bateria estendida é terrível, muito má recepção</v>
      </c>
      <c r="B36581" s="3">
        <v>0</v>
      </c>
    </row>
    <row r="36582" ht="15.75" customHeight="1" spans="1:2">
      <c r="A36582" s="3" t="str">
        <f>IFERROR(__xludf.DUMMYFUNCTION("GOOGLETRANSLATE(A36582,""en"",""pt"")"),"Um pouco pesado para seu tamanho, congela, a tela vai para trás e cabeça para baixo")</f>
        <v>Um pouco pesado para seu tamanho, congela, a tela vai para trás e cabeça para baixo</v>
      </c>
      <c r="B36582" s="3">
        <v>0</v>
      </c>
    </row>
    <row r="36583" ht="15.75" customHeight="1" spans="1:2">
      <c r="A36583" s="3" t="str">
        <f>IFERROR(__xludf.DUMMYFUNCTION("GOOGLETRANSLATE(A36583,""en"",""pt"")"),"Bad recepção, trava-se com freqüência, se desliga e sobre")</f>
        <v>Bad recepção, trava-se com freqüência, se desliga e sobre</v>
      </c>
      <c r="B36583" s="3">
        <v>0</v>
      </c>
    </row>
    <row r="36584" ht="15.75" customHeight="1" spans="1:2">
      <c r="A36584" s="3" t="str">
        <f>IFERROR(__xludf.DUMMYFUNCTION("GOOGLETRANSLATE(A36584,""en"",""pt"")"),"exibição pequeno, um pouco volumoso.")</f>
        <v>exibição pequeno, um pouco volumoso.</v>
      </c>
      <c r="B36584" s="3">
        <v>0</v>
      </c>
    </row>
    <row r="36585" ht="15.75" customHeight="1" spans="1:2">
      <c r="A36585" s="3" t="str">
        <f>IFERROR(__xludf.DUMMYFUNCTION("GOOGLETRANSLATE(A36585,""en"",""pt"")"),"-Heavier de novos homólogos Nokia")</f>
        <v>-Heavier de novos homólogos Nokia</v>
      </c>
      <c r="B36585" s="3">
        <v>0</v>
      </c>
    </row>
    <row r="36586" ht="15.75" customHeight="1" spans="1:2">
      <c r="A36586" s="3" t="str">
        <f>IFERROR(__xludf.DUMMYFUNCTION("GOOGLETRANSLATE(A36586,""en"",""pt"")"),"vida bastante curto bateria na bateria padrão, nenhum outro ..")</f>
        <v>vida bastante curto bateria na bateria padrão, nenhum outro ..</v>
      </c>
      <c r="B36586" s="3">
        <v>0</v>
      </c>
    </row>
    <row r="36587" ht="15.75" customHeight="1" spans="1:2">
      <c r="A36587" s="3" t="str">
        <f>IFERROR(__xludf.DUMMYFUNCTION("GOOGLETRANSLATE(A36587,""en"",""pt"")"),"Todo o resto")</f>
        <v>Todo o resto</v>
      </c>
      <c r="B36587" s="3">
        <v>0</v>
      </c>
    </row>
    <row r="36588" ht="15.75" customHeight="1" spans="1:2">
      <c r="A36588" s="3" t="str">
        <f>IFERROR(__xludf.DUMMYFUNCTION("GOOGLETRANSLATE(A36588,""en"",""pt"")"),"Não é capaz de telefone bloqueio de senha.")</f>
        <v>Não é capaz de telefone bloqueio de senha.</v>
      </c>
      <c r="B36588" s="3">
        <v>0</v>
      </c>
    </row>
    <row r="36589" ht="15.75" customHeight="1" spans="1:2">
      <c r="A36589" s="3" t="str">
        <f>IFERROR(__xludf.DUMMYFUNCTION("GOOGLETRANSLATE(A36589,""en"",""pt"")"),"Recepção, furando")</f>
        <v>Recepção, furando</v>
      </c>
      <c r="B36589" s="3">
        <v>0</v>
      </c>
    </row>
    <row r="36590" ht="15.75" customHeight="1" spans="1:2">
      <c r="A36590" s="3" t="str">
        <f>IFERROR(__xludf.DUMMYFUNCTION("GOOGLETRANSLATE(A36590,""en"",""pt"")"),"Não existem fotos para download.")</f>
        <v>Não existem fotos para download.</v>
      </c>
      <c r="B36590" s="3">
        <v>0</v>
      </c>
    </row>
    <row r="36591" ht="15.75" customHeight="1" spans="1:2">
      <c r="A36591" s="3" t="str">
        <f>IFERROR(__xludf.DUMMYFUNCTION("GOOGLETRANSLATE(A36591,""en"",""pt"")"),"Não ""cool"" agora; Tempo de conversação vida útil da bateria;")</f>
        <v>Não "cool" agora; Tempo de conversação vida útil da bateria;</v>
      </c>
      <c r="B36591" s="3">
        <v>0</v>
      </c>
    </row>
    <row r="36592" ht="15.75" customHeight="1" spans="1:2">
      <c r="A36592" s="3" t="str">
        <f>IFERROR(__xludf.DUMMYFUNCTION("GOOGLETRANSLATE(A36592,""en"",""pt"")"),"gordura, fica muito quente quando em uso")</f>
        <v>gordura, fica muito quente quando em uso</v>
      </c>
      <c r="B36592" s="3">
        <v>0</v>
      </c>
    </row>
    <row r="36593" ht="15.75" customHeight="1" spans="1:2">
      <c r="A36593" s="3" t="str">
        <f>IFERROR(__xludf.DUMMYFUNCTION("GOOGLETRANSLATE(A36593,""en"",""pt"")"),"Compact não é sempre melhor!")</f>
        <v>Compact não é sempre melhor!</v>
      </c>
      <c r="B36593" s="3">
        <v>0</v>
      </c>
    </row>
    <row r="36594" ht="15.75" customHeight="1" spans="1:2">
      <c r="A36594" s="3" t="str">
        <f>IFERROR(__xludf.DUMMYFUNCTION("GOOGLETRANSLATE(A36594,""en"",""pt"")"),"A vida da bateria, Software, botões, durabilidade.")</f>
        <v>A vida da bateria, Software, botões, durabilidade.</v>
      </c>
      <c r="B36594" s="3">
        <v>0</v>
      </c>
    </row>
    <row r="36595" ht="15.75" customHeight="1" spans="1:2">
      <c r="A36595" s="3" t="str">
        <f>IFERROR(__xludf.DUMMYFUNCTION("GOOGLETRANSLATE(A36595,""en"",""pt"")"),"Pode ser frustrante às vezes")</f>
        <v>Pode ser frustrante às vezes</v>
      </c>
      <c r="B36595" s="3">
        <v>0</v>
      </c>
    </row>
    <row r="36596" ht="15.75" customHeight="1" spans="1:2">
      <c r="A36596" s="3" t="str">
        <f>IFERROR(__xludf.DUMMYFUNCTION("GOOGLETRANSLATE(A36596,""en"",""pt"")"),"Gliches, vida útil da bateria")</f>
        <v>Gliches, vida útil da bateria</v>
      </c>
      <c r="B36596" s="3">
        <v>0</v>
      </c>
    </row>
    <row r="36597" ht="15.75" customHeight="1" spans="1:2">
      <c r="A36597" s="3" t="str">
        <f>IFERROR(__xludf.DUMMYFUNCTION("GOOGLETRANSLATE(A36597,""en"",""pt"")"),"Todo o telefone!")</f>
        <v>Todo o telefone!</v>
      </c>
      <c r="B36597" s="3">
        <v>0</v>
      </c>
    </row>
    <row r="36598" ht="15.75" customHeight="1" spans="1:2">
      <c r="A36598" s="3" t="str">
        <f>IFERROR(__xludf.DUMMYFUNCTION("GOOGLETRANSLATE(A36598,""en"",""pt"")"),"Deveria ter sido concebido mais fino como o resto dos telefones Nokia mais recentes.")</f>
        <v>Deveria ter sido concebido mais fino como o resto dos telefones Nokia mais recentes.</v>
      </c>
      <c r="B36598" s="3">
        <v>0</v>
      </c>
    </row>
    <row r="36599" ht="15.75" customHeight="1" spans="1:2">
      <c r="A36599" s="3" t="str">
        <f>IFERROR(__xludf.DUMMYFUNCTION("GOOGLETRANSLATE(A36599,""en"",""pt"")"),"A vida da bateria é horrível !! Pequenos botões difícil de navegar.")</f>
        <v>A vida da bateria é horrível !! Pequenos botões difícil de navegar.</v>
      </c>
      <c r="B36599" s="3">
        <v>0</v>
      </c>
    </row>
    <row r="36600" ht="15.75" customHeight="1" spans="1:2">
      <c r="A36600" s="3" t="str">
        <f>IFERROR(__xludf.DUMMYFUNCTION("GOOGLETRANSLATE(A36600,""en"",""pt"")"),"Menu fica confuso, bateria")</f>
        <v>Menu fica confuso, bateria</v>
      </c>
      <c r="B36600" s="3">
        <v>0</v>
      </c>
    </row>
    <row r="36601" ht="15.75" customHeight="1" spans="1:2">
      <c r="A36601" s="3" t="str">
        <f>IFERROR(__xludf.DUMMYFUNCTION("GOOGLETRANSLATE(A36601,""en"",""pt"")"),"Agora estou esperando o meu quinto substituição.")</f>
        <v>Agora estou esperando o meu quinto substituição.</v>
      </c>
      <c r="B36601" s="3">
        <v>0</v>
      </c>
    </row>
    <row r="36602" ht="15.75" customHeight="1" spans="1:2">
      <c r="A36602" s="3" t="str">
        <f>IFERROR(__xludf.DUMMYFUNCTION("GOOGLETRANSLATE(A36602,""en"",""pt"")"),"no botão off dura 2 imprensa, bateria não dura muito longo")</f>
        <v>no botão off dura 2 imprensa, bateria não dura muito longo</v>
      </c>
      <c r="B36602" s="3">
        <v>0</v>
      </c>
    </row>
    <row r="36603" ht="15.75" customHeight="1" spans="1:2">
      <c r="A36603" s="3" t="str">
        <f>IFERROR(__xludf.DUMMYFUNCTION("GOOGLETRANSLATE(A36603,""en"",""pt"")"),"Tri-Mode")</f>
        <v>Tri-Mode</v>
      </c>
      <c r="B36603" s="3">
        <v>0</v>
      </c>
    </row>
    <row r="36604" ht="15.75" customHeight="1" spans="1:2">
      <c r="A36604" s="3" t="str">
        <f>IFERROR(__xludf.DUMMYFUNCTION("GOOGLETRANSLATE(A36604,""en"",""pt"")"),"A vida da bateria (menor problema)")</f>
        <v>A vida da bateria (menor problema)</v>
      </c>
      <c r="B36604" s="3">
        <v>0</v>
      </c>
    </row>
    <row r="36605" ht="15.75" customHeight="1" spans="1:2">
      <c r="A36605" s="3" t="str">
        <f>IFERROR(__xludf.DUMMYFUNCTION("GOOGLETRANSLATE(A36605,""en"",""pt"")"),"apenas um pouco pequeno demais")</f>
        <v>apenas um pouco pequeno demais</v>
      </c>
      <c r="B36605" s="3">
        <v>0</v>
      </c>
    </row>
    <row r="36606" ht="15.75" customHeight="1" spans="1:2">
      <c r="A36606" s="3" t="str">
        <f>IFERROR(__xludf.DUMMYFUNCTION("GOOGLETRANSLATE(A36606,""en"",""pt"")"),"Pesado! Feio contraluz amarelo-ish")</f>
        <v>Pesado! Feio contraluz amarelo-ish</v>
      </c>
      <c r="B36606" s="3">
        <v>0</v>
      </c>
    </row>
    <row r="36607" ht="15.75" customHeight="1" spans="1:2">
      <c r="A36607" s="3" t="str">
        <f>IFERROR(__xludf.DUMMYFUNCTION("GOOGLETRANSLATE(A36607,""en"",""pt"")"),"A volumosa pouco comparado com novos telefones")</f>
        <v>A volumosa pouco comparado com novos telefones</v>
      </c>
      <c r="B36607" s="3">
        <v>0</v>
      </c>
    </row>
    <row r="36608" ht="15.75" customHeight="1" spans="1:2">
      <c r="A36608" s="3" t="str">
        <f>IFERROR(__xludf.DUMMYFUNCTION("GOOGLETRANSLATE(A36608,""en"",""pt"")"),"Não muito muitos recursos, LCD básica ... não a cor!")</f>
        <v>Não muito muitos recursos, LCD básica ... não a cor!</v>
      </c>
      <c r="B36608" s="3">
        <v>0</v>
      </c>
    </row>
    <row r="36609" ht="15.75" customHeight="1" spans="1:2">
      <c r="A36609" s="3" t="str">
        <f>IFERROR(__xludf.DUMMYFUNCTION("GOOGLETRANSLATE(A36609,""en"",""pt"")"),"Ligeiramente botões difícil de imprensa, forma leva um pouco de tempo para se acostumar")</f>
        <v>Ligeiramente botões difícil de imprensa, forma leva um pouco de tempo para se acostumar</v>
      </c>
      <c r="B36609" s="3">
        <v>0</v>
      </c>
    </row>
    <row r="36610" ht="15.75" customHeight="1" spans="1:2">
      <c r="A36610" s="3" t="str">
        <f>IFERROR(__xludf.DUMMYFUNCTION("GOOGLETRANSLATE(A36610,""en"",""pt"")"),"Não cor e sem internet wap")</f>
        <v>Não cor e sem internet wap</v>
      </c>
      <c r="B36610" s="3">
        <v>0</v>
      </c>
    </row>
    <row r="36611" ht="15.75" customHeight="1" spans="1:2">
      <c r="A36611" s="3" t="str">
        <f>IFERROR(__xludf.DUMMYFUNCTION("GOOGLETRANSLATE(A36611,""en"",""pt"")"),"Nem sempre têm um bom serviço")</f>
        <v>Nem sempre têm um bom serviço</v>
      </c>
      <c r="B36611" s="3">
        <v>0</v>
      </c>
    </row>
    <row r="36612" ht="15.75" customHeight="1" spans="1:2">
      <c r="A36612" s="3" t="str">
        <f>IFERROR(__xludf.DUMMYFUNCTION("GOOGLETRANSLATE(A36612,""en"",""pt"")"),"um pouco caro")</f>
        <v>um pouco caro</v>
      </c>
      <c r="B36612" s="3">
        <v>0</v>
      </c>
    </row>
    <row r="36613" ht="15.75" customHeight="1" spans="1:2">
      <c r="A36613" s="3" t="str">
        <f>IFERROR(__xludf.DUMMYFUNCTION("GOOGLETRANSLATE(A36613,""en"",""pt"")"),"antena suscepitble a quebrar facilmente")</f>
        <v>antena suscepitble a quebrar facilmente</v>
      </c>
      <c r="B36613" s="3">
        <v>0</v>
      </c>
    </row>
    <row r="36614" ht="15.75" customHeight="1" spans="1:2">
      <c r="A36614" s="3" t="str">
        <f>IFERROR(__xludf.DUMMYFUNCTION("GOOGLETRANSLATE(A36614,""en"",""pt"")"),"Low seleção de opções de campainha, deve abrir telefone para ver qualquer coisa e antena quebrável")</f>
        <v>Low seleção de opções de campainha, deve abrir telefone para ver qualquer coisa e antena quebrável</v>
      </c>
      <c r="B36614" s="3">
        <v>0</v>
      </c>
    </row>
    <row r="36615" ht="15.75" customHeight="1" spans="1:2">
      <c r="A36615" s="3" t="str">
        <f>IFERROR(__xludf.DUMMYFUNCTION("GOOGLETRANSLATE(A36615,""en"",""pt"")"),"número limitado de tipos de campainha e o volume de toque não é ajustável")</f>
        <v>número limitado de tipos de campainha e o volume de toque não é ajustável</v>
      </c>
      <c r="B36615" s="3">
        <v>0</v>
      </c>
    </row>
    <row r="36616" ht="15.75" customHeight="1" spans="1:2">
      <c r="A36616" s="3" t="str">
        <f>IFERROR(__xludf.DUMMYFUNCTION("GOOGLETRANSLATE(A36616,""en"",""pt"")"),"Não um monte de ringtones, Menu é confuso no início.")</f>
        <v>Não um monte de ringtones, Menu é confuso no início.</v>
      </c>
      <c r="B36616" s="3">
        <v>0</v>
      </c>
    </row>
    <row r="36617" ht="15.75" customHeight="1" spans="1:2">
      <c r="A36617" s="3" t="str">
        <f>IFERROR(__xludf.DUMMYFUNCTION("GOOGLETRANSLATE(A36617,""en"",""pt"")"),"não confiável ~ na melhor das hipóteses, perde o serviço com freqüência, corta")</f>
        <v>não confiável ~ na melhor das hipóteses, perde o serviço com freqüência, corta</v>
      </c>
      <c r="B36617" s="3">
        <v>0</v>
      </c>
    </row>
    <row r="36618" ht="15.75" customHeight="1" spans="1:2">
      <c r="A36618" s="3" t="str">
        <f>IFERROR(__xludf.DUMMYFUNCTION("GOOGLETRANSLATE(A36618,""en"",""pt"")"),"A antena, a falta de tons de toque")</f>
        <v>A antena, a falta de tons de toque</v>
      </c>
      <c r="B36618" s="3">
        <v>0</v>
      </c>
    </row>
    <row r="36619" ht="15.75" customHeight="1" spans="1:2">
      <c r="A36619" s="3" t="str">
        <f>IFERROR(__xludf.DUMMYFUNCTION("GOOGLETRANSLATE(A36619,""en"",""pt"")"),"Não o nível de qualidade esperado para Motorola.")</f>
        <v>Não o nível de qualidade esperado para Motorola.</v>
      </c>
      <c r="B36619" s="3">
        <v>0</v>
      </c>
    </row>
    <row r="36620" ht="15.75" customHeight="1" spans="1:2">
      <c r="A36620" s="3" t="str">
        <f>IFERROR(__xludf.DUMMYFUNCTION("GOOGLETRANSLATE(A36620,""en"",""pt"")"),"vida útil da bateria")</f>
        <v>vida útil da bateria</v>
      </c>
      <c r="B36620" s="3">
        <v>0</v>
      </c>
    </row>
    <row r="36621" ht="15.75" customHeight="1" spans="1:2">
      <c r="A36621" s="3" t="str">
        <f>IFERROR(__xludf.DUMMYFUNCTION("GOOGLETRANSLATE(A36621,""en"",""pt"")"),"Não WAP, pesado, sem bateria Li-Ion")</f>
        <v>Não WAP, pesado, sem bateria Li-Ion</v>
      </c>
      <c r="B36621" s="3">
        <v>0</v>
      </c>
    </row>
    <row r="36622" ht="15.75" customHeight="1" spans="1:2">
      <c r="A36622" s="3" t="str">
        <f>IFERROR(__xludf.DUMMYFUNCTION("GOOGLETRANSLATE(A36622,""en"",""pt"")"),"A partir de 2003, mostrando a sua idade. Nenhum dado ou cor habilidades.")</f>
        <v>A partir de 2003, mostrando a sua idade. Nenhum dado ou cor habilidades.</v>
      </c>
      <c r="B36622" s="3">
        <v>0</v>
      </c>
    </row>
    <row r="36623" ht="15.75" customHeight="1" spans="1:2">
      <c r="A36623" s="3" t="s">
        <v>195</v>
      </c>
      <c r="B36623" s="3">
        <v>0</v>
      </c>
    </row>
    <row r="36624" ht="15.75" customHeight="1" spans="1:2">
      <c r="A36624" s="3" t="str">
        <f>IFERROR(__xludf.DUMMYFUNCTION("GOOGLETRANSLATE(A36624,""en"",""pt"")"),"um pouco grande para a menina")</f>
        <v>um pouco grande para a menina</v>
      </c>
      <c r="B36624" s="3">
        <v>0</v>
      </c>
    </row>
    <row r="36625" ht="15.75" customHeight="1" spans="1:2">
      <c r="A36625" s="3" t="str">
        <f>IFERROR(__xludf.DUMMYFUNCTION("GOOGLETRANSLATE(A36625,""en"",""pt"")"),"recursos volumosos, pesados ​​e limitados")</f>
        <v>recursos volumosos, pesados ​​e limitados</v>
      </c>
      <c r="B36625" s="3">
        <v>0</v>
      </c>
    </row>
    <row r="36626" ht="15.75" customHeight="1" spans="1:2">
      <c r="A36626" s="3" t="str">
        <f>IFERROR(__xludf.DUMMYFUNCTION("GOOGLETRANSLATE(A36626,""en"",""pt"")"),"Não chamativo, se você estiver em que tipo de coisa. Apenas um bom, telefone confiável.")</f>
        <v>Não chamativo, se você estiver em que tipo de coisa. Apenas um bom, telefone confiável.</v>
      </c>
      <c r="B36626" s="3">
        <v>0</v>
      </c>
    </row>
    <row r="36627" ht="15.75" customHeight="1" spans="1:2">
      <c r="A36627" s="3" t="str">
        <f>IFERROR(__xludf.DUMMYFUNCTION("GOOGLETRANSLATE(A36627,""en"",""pt"")"),"não um telefone flip")</f>
        <v>não um telefone flip</v>
      </c>
      <c r="B36627" s="3">
        <v>0</v>
      </c>
    </row>
    <row r="36628" ht="15.75" customHeight="1" spans="1:2">
      <c r="A36628" s="3" t="str">
        <f>IFERROR(__xludf.DUMMYFUNCTION("GOOGLETRANSLATE(A36628,""en"",""pt"")"),"tenho esse telefone w / o de perceber o modelo I58 (mais recente) tem a tecnologia gps. mas é grande coisa.")</f>
        <v>tenho esse telefone w / o de perceber o modelo I58 (mais recente) tem a tecnologia gps. mas é grande coisa.</v>
      </c>
      <c r="B36628" s="3">
        <v>0</v>
      </c>
    </row>
    <row r="36629" ht="15.75" customHeight="1" spans="1:2">
      <c r="A36629" s="3" t="str">
        <f>IFERROR(__xludf.DUMMYFUNCTION("GOOGLETRANSLATE(A36629,""en"",""pt"")"),"vida útil da bateria é curta.")</f>
        <v>vida útil da bateria é curta.</v>
      </c>
      <c r="B36629" s="3">
        <v>0</v>
      </c>
    </row>
    <row r="36630" ht="15.75" customHeight="1" spans="1:2">
      <c r="A36630" s="3" t="str">
        <f>IFERROR(__xludf.DUMMYFUNCTION("GOOGLETRANSLATE(A36630,""en"",""pt"")"),"nenhum ainda")</f>
        <v>nenhum ainda</v>
      </c>
      <c r="B36630" s="3">
        <v>0</v>
      </c>
    </row>
    <row r="36631" ht="15.75" customHeight="1" spans="1:2">
      <c r="A36631" s="3" t="str">
        <f>IFERROR(__xludf.DUMMYFUNCTION("GOOGLETRANSLATE(A36631,""en"",""pt"")"),"Humm, não há quem venha à mente.")</f>
        <v>Humm, não há quem venha à mente.</v>
      </c>
      <c r="B36631" s="3">
        <v>0</v>
      </c>
    </row>
    <row r="36632" ht="15.75" customHeight="1" spans="1:2">
      <c r="A36632" s="3" t="str">
        <f>IFERROR(__xludf.DUMMYFUNCTION("GOOGLETRANSLATE(A36632,""en"",""pt"")"),"Maior do que o StarTac Digital")</f>
        <v>Maior do que o StarTac Digital</v>
      </c>
      <c r="B36632" s="3">
        <v>0</v>
      </c>
    </row>
    <row r="36633" ht="15.75" customHeight="1" spans="1:2">
      <c r="A36633" s="3" t="str">
        <f>IFERROR(__xludf.DUMMYFUNCTION("GOOGLETRANSLATE(A36633,""en"",""pt"")"),"volumoso, difícil de programa, curto tempo de bateria")</f>
        <v>volumoso, difícil de programa, curto tempo de bateria</v>
      </c>
      <c r="B36633" s="3">
        <v>0</v>
      </c>
    </row>
    <row r="36634" ht="15.75" customHeight="1" spans="1:2">
      <c r="A36634" s="3" t="str">
        <f>IFERROR(__xludf.DUMMYFUNCTION("GOOGLETRANSLATE(A36634,""en"",""pt"")"),"Telefone é volumoso, e tampa vai quebrar,")</f>
        <v>Telefone é volumoso, e tampa vai quebrar,</v>
      </c>
      <c r="B36634" s="3">
        <v>0</v>
      </c>
    </row>
    <row r="36635" ht="15.75" customHeight="1" spans="1:2">
      <c r="A36635" s="3" t="str">
        <f>IFERROR(__xludf.DUMMYFUNCTION("GOOGLETRANSLATE(A36635,""en"",""pt"")"),"layout de controle pobre, difícil de programa")</f>
        <v>layout de controle pobre, difícil de programa</v>
      </c>
      <c r="B36635" s="3">
        <v>0</v>
      </c>
    </row>
    <row r="36636" ht="15.75" customHeight="1" spans="1:2">
      <c r="A36636" s="3" t="str">
        <f>IFERROR(__xludf.DUMMYFUNCTION("GOOGLETRANSLATE(A36636,""en"",""pt"")"),"A vida da bateria, menu de navegação")</f>
        <v>A vida da bateria, menu de navegação</v>
      </c>
      <c r="B36636" s="3">
        <v>0</v>
      </c>
    </row>
    <row r="36637" ht="15.75" customHeight="1" spans="1:2">
      <c r="A36637" s="3" t="str">
        <f>IFERROR(__xludf.DUMMYFUNCTION("GOOGLETRANSLATE(A36637,""en"",""pt"")"),"durabilidade, área de cobertura")</f>
        <v>durabilidade, área de cobertura</v>
      </c>
      <c r="B36637" s="3">
        <v>0</v>
      </c>
    </row>
    <row r="36638" ht="15.75" customHeight="1" spans="1:2">
      <c r="A36638" s="3" t="str">
        <f>IFERROR(__xludf.DUMMYFUNCTION("GOOGLETRANSLATE(A36638,""en"",""pt"")"),"intervalo de células, cai fora do coldre hip")</f>
        <v>intervalo de células, cai fora do coldre hip</v>
      </c>
      <c r="B36638" s="3">
        <v>0</v>
      </c>
    </row>
    <row r="36639" ht="15.75" customHeight="1" spans="1:2">
      <c r="A36639" s="3" t="str">
        <f>IFERROR(__xludf.DUMMYFUNCTION("GOOGLETRANSLATE(A36639,""en"",""pt"")"),"Um pouco difícil de aprender a programar")</f>
        <v>Um pouco difícil de aprender a programar</v>
      </c>
      <c r="B36639" s="3">
        <v>0</v>
      </c>
    </row>
    <row r="36640" ht="15.75" customHeight="1" spans="1:2">
      <c r="A36640" s="3" t="str">
        <f>IFERROR(__xludf.DUMMYFUNCTION("GOOGLETRANSLATE(A36640,""en"",""pt"")"),"Confundindo menus, um pouco sobre o lado maior, mas ainda amigável bolso")</f>
        <v>Confundindo menus, um pouco sobre o lado maior, mas ainda amigável bolso</v>
      </c>
      <c r="B36640" s="3">
        <v>0</v>
      </c>
    </row>
    <row r="36641" ht="15.75" customHeight="1" spans="1:2">
      <c r="A36641" s="3" t="str">
        <f>IFERROR(__xludf.DUMMYFUNCTION("GOOGLETRANSLATE(A36641,""en"",""pt"")"),"chamadas abandonadas, pequeno tamanho da tela para o Internet")</f>
        <v>chamadas abandonadas, pequeno tamanho da tela para o Internet</v>
      </c>
      <c r="B36641" s="3">
        <v>0</v>
      </c>
    </row>
    <row r="36642" ht="15.75" customHeight="1" spans="1:2">
      <c r="A36642" s="3" t="str">
        <f>IFERROR(__xludf.DUMMYFUNCTION("GOOGLETRANSLATE(A36642,""en"",""pt"")"),"paginação e correio de voz desajeitada")</f>
        <v>paginação e correio de voz desajeitada</v>
      </c>
      <c r="B36642" s="3">
        <v>0</v>
      </c>
    </row>
    <row r="36643" ht="15.75" customHeight="1" spans="1:2">
      <c r="A36643" s="3" t="str">
        <f>IFERROR(__xludf.DUMMYFUNCTION("GOOGLETRANSLATE(A36643,""en"",""pt"")"),"telefone é um pouco difícil de programa")</f>
        <v>telefone é um pouco difícil de programa</v>
      </c>
      <c r="B36643" s="3">
        <v>0</v>
      </c>
    </row>
    <row r="36644" ht="15.75" customHeight="1" spans="1:2">
      <c r="A36644" s="3" t="str">
        <f>IFERROR(__xludf.DUMMYFUNCTION("GOOGLETRANSLATE(A36644,""en"",""pt"")"),"A vida da bateria, não em roaming")</f>
        <v>A vida da bateria, não em roaming</v>
      </c>
      <c r="B36644" s="3">
        <v>0</v>
      </c>
    </row>
    <row r="36645" ht="15.75" customHeight="1" spans="1:2">
      <c r="A36645" s="3" t="str">
        <f>IFERROR(__xludf.DUMMYFUNCTION("GOOGLETRANSLATE(A36645,""en"",""pt"")"),"muitos &amp; quot; quebrado &amp; quot; links / problemas de login")</f>
        <v>muitos &amp; quot; quebrado &amp; quot; links / problemas de login</v>
      </c>
      <c r="B36645" s="3">
        <v>0</v>
      </c>
    </row>
    <row r="36646" ht="15.75" customHeight="1" spans="1:2">
      <c r="A36646" s="3" t="str">
        <f>IFERROR(__xludf.DUMMYFUNCTION("GOOGLETRANSLATE(A36646,""en"",""pt"")"),"A vida da bateria.")</f>
        <v>A vida da bateria.</v>
      </c>
      <c r="B36646" s="3">
        <v>0</v>
      </c>
    </row>
    <row r="36647" ht="15.75" customHeight="1" spans="1:2">
      <c r="A36647" s="3" t="str">
        <f>IFERROR(__xludf.DUMMYFUNCTION("GOOGLETRANSLATE(A36647,""en"",""pt"")"),"Corta, os lotes de ponto morto, telefone só desliga")</f>
        <v>Corta, os lotes de ponto morto, telefone só desliga</v>
      </c>
      <c r="B36647" s="3">
        <v>0</v>
      </c>
    </row>
    <row r="36648" ht="15.75" customHeight="1" spans="1:2">
      <c r="A36648" s="3" t="str">
        <f>IFERROR(__xludf.DUMMYFUNCTION("GOOGLETRANSLATE(A36648,""en"",""pt"")"),"Antena")</f>
        <v>Antena</v>
      </c>
      <c r="B36648" s="3">
        <v>0</v>
      </c>
    </row>
    <row r="36649" ht="15.75" customHeight="1" spans="1:2">
      <c r="A36649" s="3" t="str">
        <f>IFERROR(__xludf.DUMMYFUNCTION("GOOGLETRANSLATE(A36649,""en"",""pt"")"),"Interface, Noisy, enquanto em áreas de alta interferência, apenas 9 anéis melodia para escolher")</f>
        <v>Interface, Noisy, enquanto em áreas de alta interferência, apenas 9 anéis melodia para escolher</v>
      </c>
      <c r="B36649" s="3">
        <v>0</v>
      </c>
    </row>
    <row r="36650" ht="15.75" customHeight="1" spans="1:2">
      <c r="A36650" s="3" t="str">
        <f>IFERROR(__xludf.DUMMYFUNCTION("GOOGLETRANSLATE(A36650,""en"",""pt"")"),"Vida útil da bateria baixa. Acessórios da Motorola são caros. Interfere com televisores e monitores de computador.")</f>
        <v>Vida útil da bateria baixa. Acessórios da Motorola são caros. Interfere com televisores e monitores de computador.</v>
      </c>
      <c r="B36650" s="3">
        <v>0</v>
      </c>
    </row>
    <row r="36651" ht="15.75" customHeight="1" spans="1:2">
      <c r="A36651" s="3" t="str">
        <f>IFERROR(__xludf.DUMMYFUNCTION("GOOGLETRANSLATE(A36651,""en"",""pt"")"),"curta duração da bateria")</f>
        <v>curta duração da bateria</v>
      </c>
      <c r="B36651" s="3">
        <v>0</v>
      </c>
    </row>
    <row r="36652" ht="15.75" customHeight="1" spans="1:2">
      <c r="A36652" s="3" t="str">
        <f>IFERROR(__xludf.DUMMYFUNCTION("GOOGLETRANSLATE(A36652,""en"",""pt"")"),"Quebrável, má recepção ocasional")</f>
        <v>Quebrável, má recepção ocasional</v>
      </c>
      <c r="B36652" s="3">
        <v>0</v>
      </c>
    </row>
    <row r="36653" ht="15.75" customHeight="1" spans="1:2">
      <c r="A36653" s="3" t="str">
        <f>IFERROR(__xludf.DUMMYFUNCTION("GOOGLETRANSLATE(A36653,""en"",""pt"")"),"estática em alto-falantes em carros e também incomoda o monitor do computador.")</f>
        <v>estática em alto-falantes em carros e também incomoda o monitor do computador.</v>
      </c>
      <c r="B36653" s="3">
        <v>0</v>
      </c>
    </row>
    <row r="36654" ht="15.75" customHeight="1" spans="1:2">
      <c r="A36654" s="3" t="str">
        <f>IFERROR(__xludf.DUMMYFUNCTION("GOOGLETRANSLATE(A36654,""en"",""pt"")"),"Disponível somente através de Nextel, mais volumoso do que Samsung")</f>
        <v>Disponível somente através de Nextel, mais volumoso do que Samsung</v>
      </c>
      <c r="B36654" s="3">
        <v>0</v>
      </c>
    </row>
    <row r="36655" ht="15.75" customHeight="1" spans="1:2">
      <c r="A36655" s="3" t="str">
        <f>IFERROR(__xludf.DUMMYFUNCTION("GOOGLETRANSLATE(A36655,""en"",""pt"")"),"telefone temporizador arredonda para o próximo minuto")</f>
        <v>telefone temporizador arredonda para o próximo minuto</v>
      </c>
      <c r="B36655" s="3">
        <v>0</v>
      </c>
    </row>
    <row r="36656" ht="15.75" customHeight="1" spans="1:2">
      <c r="A36656" s="3" t="str">
        <f>IFERROR(__xludf.DUMMYFUNCTION("GOOGLETRANSLATE(A36656,""en"",""pt"")"),"Nada até agora")</f>
        <v>Nada até agora</v>
      </c>
      <c r="B36656" s="3">
        <v>0</v>
      </c>
    </row>
    <row r="36657" ht="15.75" customHeight="1" spans="1:2">
      <c r="A36657" s="3" t="str">
        <f>IFERROR(__xludf.DUMMYFUNCTION("GOOGLETRANSLATE(A36657,""en"",""pt"")"),"Tudo")</f>
        <v>Tudo</v>
      </c>
      <c r="B36657" s="3">
        <v>0</v>
      </c>
    </row>
    <row r="36658" ht="15.75" customHeight="1" spans="1:2">
      <c r="A36658" s="3" t="str">
        <f>IFERROR(__xludf.DUMMYFUNCTION("GOOGLETRANSLATE(A36658,""en"",""pt"")"),"Sem Apresentação Data / carimbo de tempo, faz Noty exibição Min falou enquanto ainda falando")</f>
        <v>Sem Apresentação Data / carimbo de tempo, faz Noty exibição Min falou enquanto ainda falando</v>
      </c>
      <c r="B36658" s="3">
        <v>0</v>
      </c>
    </row>
    <row r="36659" ht="15.75" customHeight="1" spans="1:2">
      <c r="A36659" s="3" t="str">
        <f>IFERROR(__xludf.DUMMYFUNCTION("GOOGLETRANSLATE(A36659,""en"",""pt"")"),"Bateria, disponibilidade do serviço.")</f>
        <v>Bateria, disponibilidade do serviço.</v>
      </c>
      <c r="B36659" s="3">
        <v>0</v>
      </c>
    </row>
    <row r="36660" ht="15.75" customHeight="1" spans="1:2">
      <c r="A36660" s="3" t="str">
        <f>IFERROR(__xludf.DUMMYFUNCTION("GOOGLETRANSLATE(A36660,""en"",""pt"")"),"construção frágil")</f>
        <v>construção frágil</v>
      </c>
      <c r="B36660" s="3">
        <v>0</v>
      </c>
    </row>
    <row r="36661" ht="15.75" customHeight="1" spans="1:2">
      <c r="A36661" s="3" t="str">
        <f>IFERROR(__xludf.DUMMYFUNCTION("GOOGLETRANSLATE(A36661,""en"",""pt"")"),"squawks acidentais")</f>
        <v>squawks acidentais</v>
      </c>
      <c r="B36661" s="3">
        <v>0</v>
      </c>
    </row>
    <row r="36662" ht="15.75" customHeight="1" spans="1:2">
      <c r="A36662" s="3" t="str">
        <f>IFERROR(__xludf.DUMMYFUNCTION("GOOGLETRANSLATE(A36662,""en"",""pt"")"),"Atendimento ao Cliente Falta.")</f>
        <v>Atendimento ao Cliente Falta.</v>
      </c>
      <c r="B36662" s="3">
        <v>0</v>
      </c>
    </row>
    <row r="36663" ht="15.75" customHeight="1" spans="1:2">
      <c r="A36663" s="3" t="str">
        <f>IFERROR(__xludf.DUMMYFUNCTION("GOOGLETRANSLATE(A36663,""en"",""pt"")"),"Difícil de navegar, da bateria é inábil, SND Sem separado botões / finais")</f>
        <v>Difícil de navegar, da bateria é inábil, SND Sem separado botões / finais</v>
      </c>
      <c r="B36663" s="3">
        <v>0</v>
      </c>
    </row>
    <row r="36664" ht="15.75" customHeight="1" spans="1:2">
      <c r="A36664" s="3" t="str">
        <f>IFERROR(__xludf.DUMMYFUNCTION("GOOGLETRANSLATE(A36664,""en"",""pt"")"),"Dial-back recurso disponível somente no i1000plus")</f>
        <v>Dial-back recurso disponível somente no i1000plus</v>
      </c>
      <c r="B36664" s="3">
        <v>0</v>
      </c>
    </row>
    <row r="36665" ht="15.75" customHeight="1" spans="1:2">
      <c r="A36665" s="3" t="str">
        <f>IFERROR(__xludf.DUMMYFUNCTION("GOOGLETRANSLATE(A36665,""en"",""pt"")"),"características irritantes, muito confuso")</f>
        <v>características irritantes, muito confuso</v>
      </c>
      <c r="B36665" s="3">
        <v>0</v>
      </c>
    </row>
    <row r="36666" ht="15.75" customHeight="1" spans="1:2">
      <c r="A36666" s="3" t="str">
        <f>IFERROR(__xludf.DUMMYFUNCTION("GOOGLETRANSLATE(A36666,""en"",""pt"")"),"Demasiado pesado para jogar no oceano")</f>
        <v>Demasiado pesado para jogar no oceano</v>
      </c>
      <c r="B36666" s="3">
        <v>0</v>
      </c>
    </row>
    <row r="36667" ht="15.75" customHeight="1" spans="1:2">
      <c r="A36667" s="3" t="str">
        <f>IFERROR(__xludf.DUMMYFUNCTION("GOOGLETRANSLATE(A36667,""en"",""pt"")"),"cobertura irregular, não olhar fresco, difícil de programa")</f>
        <v>cobertura irregular, não olhar fresco, difícil de programa</v>
      </c>
      <c r="B36667" s="3">
        <v>0</v>
      </c>
    </row>
    <row r="36668" ht="15.75" customHeight="1" spans="1:2">
      <c r="A36668" s="3" t="str">
        <f>IFERROR(__xludf.DUMMYFUNCTION("GOOGLETRANSLATE(A36668,""en"",""pt"")"),"Fraco bateria, perto de alto-falantes estáticos")</f>
        <v>Fraco bateria, perto de alto-falantes estáticos</v>
      </c>
      <c r="B36668" s="3">
        <v>0</v>
      </c>
    </row>
    <row r="36669" ht="15.75" customHeight="1" spans="1:2">
      <c r="A36669" s="3" t="str">
        <f>IFERROR(__xludf.DUMMYFUNCTION("GOOGLETRANSLATE(A36669,""en"",""pt"")"),"vida útil da bateria sombrio, teclado estranho, interface de usuário")</f>
        <v>vida útil da bateria sombrio, teclado estranho, interface de usuário</v>
      </c>
      <c r="B36669" s="3">
        <v>0</v>
      </c>
    </row>
    <row r="36670" ht="15.75" customHeight="1" spans="1:2">
      <c r="A36670" s="3" t="str">
        <f>IFERROR(__xludf.DUMMYFUNCTION("GOOGLETRANSLATE(A36670,""en"",""pt"")"),"vida pobre da bateria, mau menu design / interface, fraca cobertura pela Nextel em áreas não-metropolitanas e cobertura irregular em Metro-áreas, menos sutilezas do que em fones comparáveis")</f>
        <v>vida pobre da bateria, mau menu design / interface, fraca cobertura pela Nextel em áreas não-metropolitanas e cobertura irregular em Metro-áreas, menos sutilezas do que em fones comparáveis</v>
      </c>
      <c r="B36670" s="3">
        <v>0</v>
      </c>
    </row>
    <row r="36671" ht="15.75" customHeight="1" spans="1:2">
      <c r="A36671" s="3" t="str">
        <f>IFERROR(__xludf.DUMMYFUNCTION("GOOGLETRANSLATE(A36671,""en"",""pt"")"),"clipe transportando")</f>
        <v>clipe transportando</v>
      </c>
      <c r="B36671" s="3">
        <v>0</v>
      </c>
    </row>
    <row r="36672" ht="15.75" customHeight="1" spans="1:2">
      <c r="A36672" s="3" t="str">
        <f>IFERROR(__xludf.DUMMYFUNCTION("GOOGLETRANSLATE(A36672,""en"",""pt"")"),"menus não-intuitivas, o tempo de espera sem brilho")</f>
        <v>menus não-intuitivas, o tempo de espera sem brilho</v>
      </c>
      <c r="B36672" s="3">
        <v>0</v>
      </c>
    </row>
    <row r="36673" ht="15.75" customHeight="1" spans="1:2">
      <c r="A36673" s="3" t="str">
        <f>IFERROR(__xludf.DUMMYFUNCTION("GOOGLETRANSLATE(A36673,""en"",""pt"")"),"A vida da bateria, não em roaming")</f>
        <v>A vida da bateria, não em roaming</v>
      </c>
      <c r="B36673" s="3">
        <v>0</v>
      </c>
    </row>
    <row r="36674" ht="15.75" customHeight="1" spans="1:2">
      <c r="A36674" s="3" t="str">
        <f>IFERROR(__xludf.DUMMYFUNCTION("GOOGLETRANSLATE(A36674,""en"",""pt"")"),"baixa autonomia de bateria, tipo de balky")</f>
        <v>baixa autonomia de bateria, tipo de balky</v>
      </c>
      <c r="B36674" s="3">
        <v>0</v>
      </c>
    </row>
    <row r="36675" ht="15.75" customHeight="1" spans="1:2">
      <c r="A36675" s="3" t="str">
        <f>IFERROR(__xludf.DUMMYFUNCTION("GOOGLETRANSLATE(A36675,""en"",""pt"")"),"Não é um telefone do consumidor - confundindo para o programa - melhor para um usuário avançado.")</f>
        <v>Não é um telefone do consumidor - confundindo para o programa - melhor para um usuário avançado.</v>
      </c>
      <c r="B36675" s="3">
        <v>0</v>
      </c>
    </row>
    <row r="36676" ht="15.75" customHeight="1" spans="1:2">
      <c r="A36676" s="3" t="str">
        <f>IFERROR(__xludf.DUMMYFUNCTION("GOOGLETRANSLATE(A36676,""en"",""pt"")"),"nada")</f>
        <v>nada</v>
      </c>
      <c r="B36676" s="3">
        <v>0</v>
      </c>
    </row>
    <row r="36677" ht="15.75" customHeight="1" spans="1:2">
      <c r="A36677" s="3" t="str">
        <f>IFERROR(__xludf.DUMMYFUNCTION("GOOGLETRANSLATE(A36677,""en"",""pt"")"),"Sem internet apresenta ainda")</f>
        <v>Sem internet apresenta ainda</v>
      </c>
      <c r="B36677" s="3">
        <v>0</v>
      </c>
    </row>
    <row r="36678" ht="15.75" customHeight="1" spans="1:2">
      <c r="A36678" s="3" t="str">
        <f>IFERROR(__xludf.DUMMYFUNCTION("GOOGLETRANSLATE(A36678,""en"",""pt"")"),"Nada fora do comum")</f>
        <v>Nada fora do comum</v>
      </c>
      <c r="B36678" s="3">
        <v>0</v>
      </c>
    </row>
    <row r="36679" ht="15.75" customHeight="1" spans="1:2">
      <c r="A36679" s="3" t="str">
        <f>IFERROR(__xludf.DUMMYFUNCTION("GOOGLETRANSLATE(A36679,""en"",""pt"")"),"um pouco maior que StarTac")</f>
        <v>um pouco maior que StarTac</v>
      </c>
      <c r="B36679" s="3">
        <v>0</v>
      </c>
    </row>
    <row r="36680" ht="15.75" customHeight="1" spans="1:2">
      <c r="A36680" s="3" t="str">
        <f>IFERROR(__xludf.DUMMYFUNCTION("GOOGLETRANSLATE(A36680,""en"",""pt"")"),"bateria de vida, peso / tamanho")</f>
        <v>bateria de vida, peso / tamanho</v>
      </c>
      <c r="B36680" s="3">
        <v>0</v>
      </c>
    </row>
    <row r="36681" ht="15.75" customHeight="1" spans="1:2">
      <c r="A36681" s="3" t="str">
        <f>IFERROR(__xludf.DUMMYFUNCTION("GOOGLETRANSLATE(A36681,""en"",""pt"")"),"Estranhas sons, queda de chamadas")</f>
        <v>Estranhas sons, queda de chamadas</v>
      </c>
      <c r="B36681" s="3">
        <v>0</v>
      </c>
    </row>
    <row r="36682" ht="15.75" customHeight="1" spans="1:2">
      <c r="A36682" s="3" t="str">
        <f>IFERROR(__xludf.DUMMYFUNCTION("GOOGLETRANSLATE(A36682,""en"",""pt"")"),"tempo celular caro e às vezes nenhum sinal")</f>
        <v>tempo celular caro e às vezes nenhum sinal</v>
      </c>
      <c r="B36682" s="3">
        <v>0</v>
      </c>
    </row>
    <row r="36683" ht="15.75" customHeight="1" spans="1:2">
      <c r="A36683" s="3" t="str">
        <f>IFERROR(__xludf.DUMMYFUNCTION("GOOGLETRANSLATE(A36683,""en"",""pt"")"),"Pobre serviço ao cliente, os lotes de chamadas abandonadas e pontos mortos")</f>
        <v>Pobre serviço ao cliente, os lotes de chamadas abandonadas e pontos mortos</v>
      </c>
      <c r="B36683" s="3">
        <v>0</v>
      </c>
    </row>
    <row r="36684" ht="15.75" customHeight="1" spans="1:2">
      <c r="A36684" s="3" t="str">
        <f>IFERROR(__xludf.DUMMYFUNCTION("GOOGLETRANSLATE(A36684,""en"",""pt"")"),"Obtém alguns grupos de trabalho dispersos ao longo do tempo.")</f>
        <v>Obtém alguns grupos de trabalho dispersos ao longo do tempo.</v>
      </c>
      <c r="B36684" s="3">
        <v>0</v>
      </c>
    </row>
    <row r="36685" ht="15.75" customHeight="1" spans="1:2">
      <c r="A36685" s="3" t="str">
        <f>IFERROR(__xludf.DUMMYFUNCTION("GOOGLETRANSLATE(A36685,""en"",""pt"")"),"apresenta e clareza são escassos")</f>
        <v>apresenta e clareza são escassos</v>
      </c>
      <c r="B36685" s="3">
        <v>0</v>
      </c>
    </row>
    <row r="36686" ht="15.75" customHeight="1" spans="1:2">
      <c r="A36686" s="3" t="str">
        <f>IFERROR(__xludf.DUMMYFUNCTION("GOOGLETRANSLATE(A36686,""en"",""pt"")"),"Apenas 100 Slots para Nome / Nbr")</f>
        <v>Apenas 100 Slots para Nome / Nbr</v>
      </c>
      <c r="B36686" s="3">
        <v>0</v>
      </c>
    </row>
    <row r="36687" ht="15.75" customHeight="1" spans="1:2">
      <c r="A36687" s="3" t="str">
        <f>IFERROR(__xludf.DUMMYFUNCTION("GOOGLETRANSLATE(A36687,""en"",""pt"")"),"flip top frágil, desconfortável, junto ao ouvido, métodos de programação elaborados estão confundindo")</f>
        <v>flip top frágil, desconfortável, junto ao ouvido, métodos de programação elaborados estão confundindo</v>
      </c>
      <c r="B36687" s="3">
        <v>0</v>
      </c>
    </row>
    <row r="36688" ht="15.75" customHeight="1" spans="1:2">
      <c r="A36688" s="3" t="str">
        <f>IFERROR(__xludf.DUMMYFUNCTION("GOOGLETRANSLATE(A36688,""en"",""pt"")"),"Oi Emissão de interferências; Contra-intuitivo Menus; Difíceis de manusear")</f>
        <v>Oi Emissão de interferências; Contra-intuitivo Menus; Difíceis de manusear</v>
      </c>
      <c r="B36688" s="3">
        <v>0</v>
      </c>
    </row>
    <row r="36689" ht="15.75" customHeight="1" spans="1:2">
      <c r="A36689" s="3" t="str">
        <f>IFERROR(__xludf.DUMMYFUNCTION("GOOGLETRANSLATE(A36689,""en"",""pt"")"),"Falta de cobertura em algumas áreas menos povoadas.")</f>
        <v>Falta de cobertura em algumas áreas menos povoadas.</v>
      </c>
      <c r="B36689" s="3">
        <v>0</v>
      </c>
    </row>
    <row r="36690" ht="15.75" customHeight="1" spans="1:2">
      <c r="A36690" s="3" t="str">
        <f>IFERROR(__xludf.DUMMYFUNCTION("GOOGLETRANSLATE(A36690,""en"",""pt"")"),"Ack, o teclado é horrível!")</f>
        <v>Ack, o teclado é horrível!</v>
      </c>
      <c r="B36690" s="3">
        <v>0</v>
      </c>
    </row>
    <row r="36691" ht="15.75" customHeight="1" spans="1:2">
      <c r="A36691" s="3" t="str">
        <f>IFERROR(__xludf.DUMMYFUNCTION("GOOGLETRANSLATE(A36691,""en"",""pt"")"),"tudo")</f>
        <v>tudo</v>
      </c>
      <c r="B36691" s="3">
        <v>0</v>
      </c>
    </row>
    <row r="36692" ht="15.75" customHeight="1" spans="1:2">
      <c r="A36692" s="3" t="str">
        <f>IFERROR(__xludf.DUMMYFUNCTION("GOOGLETRANSLATE(A36692,""en"",""pt"")"),"No kit mãos livres")</f>
        <v>No kit mãos livres</v>
      </c>
      <c r="B36692" s="3">
        <v>0</v>
      </c>
    </row>
    <row r="36693" ht="15.75" customHeight="1" spans="1:2">
      <c r="A36693" s="3" t="str">
        <f>IFERROR(__xludf.DUMMYFUNCTION("GOOGLETRANSLATE(A36693,""en"",""pt"")"),"CARO!")</f>
        <v>CARO!</v>
      </c>
      <c r="B36693" s="3">
        <v>0</v>
      </c>
    </row>
    <row r="36694" ht="15.75" customHeight="1" spans="1:2">
      <c r="A36694" s="3" t="str">
        <f>IFERROR(__xludf.DUMMYFUNCTION("GOOGLETRANSLATE(A36694,""en"",""pt"")"),"preço")</f>
        <v>preço</v>
      </c>
      <c r="B36694" s="3">
        <v>0</v>
      </c>
    </row>
    <row r="36695" ht="15.75" customHeight="1" spans="1:2">
      <c r="A36695" s="3" t="str">
        <f>IFERROR(__xludf.DUMMYFUNCTION("GOOGLETRANSLATE(A36695,""en"",""pt"")"),"fone de ouvido frágil, muitos recursos para a lista de")</f>
        <v>fone de ouvido frágil, muitos recursos para a lista de</v>
      </c>
      <c r="B36695" s="3">
        <v>0</v>
      </c>
    </row>
    <row r="36696" ht="15.75" customHeight="1" spans="1:2">
      <c r="A36696" s="3" t="str">
        <f>IFERROR(__xludf.DUMMYFUNCTION("GOOGLETRANSLATE(A36696,""en"",""pt"")"),"pode ser difícil de descobrir")</f>
        <v>pode ser difícil de descobrir</v>
      </c>
      <c r="B36696" s="3">
        <v>0</v>
      </c>
    </row>
    <row r="36697" ht="15.75" customHeight="1" spans="1:2">
      <c r="A36697" s="3" t="str">
        <f>IFERROR(__xludf.DUMMYFUNCTION("GOOGLETRANSLATE(A36697,""en"",""pt"")"),"vida curta da bateria quando usado muitas vezes, os atrasos de conversação, gotas de conexão, a interferência RF com outros aparelhos eletrônicos.")</f>
        <v>vida curta da bateria quando usado muitas vezes, os atrasos de conversação, gotas de conexão, a interferência RF com outros aparelhos eletrônicos.</v>
      </c>
      <c r="B36697" s="3">
        <v>0</v>
      </c>
    </row>
    <row r="36698" ht="15.75" customHeight="1" spans="1:2">
      <c r="A36698" s="3" t="str">
        <f>IFERROR(__xludf.DUMMYFUNCTION("GOOGLETRANSLATE(A36698,""en"",""pt"")"),"antena frágil")</f>
        <v>antena frágil</v>
      </c>
      <c r="B36698" s="3">
        <v>0</v>
      </c>
    </row>
    <row r="36699" ht="15.75" customHeight="1" spans="1:2">
      <c r="A36699" s="3" t="str">
        <f>IFERROR(__xludf.DUMMYFUNCTION("GOOGLETRANSLATE(A36699,""en"",""pt"")"),"cada coisa que lida com este telefone")</f>
        <v>cada coisa que lida com este telefone</v>
      </c>
      <c r="B36699" s="3">
        <v>0</v>
      </c>
    </row>
    <row r="36700" ht="15.75" customHeight="1" spans="1:2">
      <c r="A36700" s="3" t="str">
        <f>IFERROR(__xludf.DUMMYFUNCTION("GOOGLETRANSLATE(A36700,""en"",""pt"")"),"não é bom para um uso pessoa")</f>
        <v>não é bom para um uso pessoa</v>
      </c>
      <c r="B36700" s="3">
        <v>0</v>
      </c>
    </row>
    <row r="36701" ht="15.75" customHeight="1" spans="1:2">
      <c r="A36701" s="3" t="str">
        <f>IFERROR(__xludf.DUMMYFUNCTION("GOOGLETRANSLATE(A36701,""en"",""pt"")"),"Reparte-se mais frequentemente do que um &amp; quot; 88 hyundai")</f>
        <v>Reparte-se mais frequentemente do que um &amp; quot; 88 hyundai</v>
      </c>
      <c r="B36701" s="3">
        <v>0</v>
      </c>
    </row>
    <row r="36702" ht="15.75" customHeight="1" spans="1:2">
      <c r="A36702" s="3" t="str">
        <f>IFERROR(__xludf.DUMMYFUNCTION("GOOGLETRANSLATE(A36702,""en"",""pt"")"),"botão enviar / terminar combinado")</f>
        <v>botão enviar / terminar combinado</v>
      </c>
      <c r="B36702" s="3">
        <v>0</v>
      </c>
    </row>
    <row r="36703" ht="15.75" customHeight="1" spans="1:2">
      <c r="A36703" s="3" t="str">
        <f>IFERROR(__xludf.DUMMYFUNCTION("GOOGLETRANSLATE(A36703,""en"",""pt"")"),"planos de serviços caros")</f>
        <v>planos de serviços caros</v>
      </c>
      <c r="B36703" s="3">
        <v>0</v>
      </c>
    </row>
    <row r="36704" ht="15.75" customHeight="1" spans="1:2">
      <c r="A36704" s="3" t="str">
        <f>IFERROR(__xludf.DUMMYFUNCTION("GOOGLETRANSLATE(A36704,""en"",""pt"")"),"Nenhum")</f>
        <v>Nenhum</v>
      </c>
      <c r="B36704" s="3">
        <v>0</v>
      </c>
    </row>
    <row r="36705" ht="15.75" customHeight="1" spans="1:2">
      <c r="A36705" s="3" t="str">
        <f>IFERROR(__xludf.DUMMYFUNCTION("GOOGLETRANSLATE(A36705,""en"",""pt"")"),"A bateria não nivelada")</f>
        <v>A bateria não nivelada</v>
      </c>
      <c r="B36705" s="3">
        <v>0</v>
      </c>
    </row>
    <row r="36706" ht="15.75" customHeight="1" spans="1:2">
      <c r="A36706" s="3" t="str">
        <f>IFERROR(__xludf.DUMMYFUNCTION("GOOGLETRANSLATE(A36706,""en"",""pt"")"),"curta vida útil da bateria, mas rapidamente recargas")</f>
        <v>curta vida útil da bateria, mas rapidamente recargas</v>
      </c>
      <c r="B36706" s="3">
        <v>0</v>
      </c>
    </row>
    <row r="36707" ht="15.75" customHeight="1" spans="1:2">
      <c r="A36707" s="3" t="str">
        <f>IFERROR(__xludf.DUMMYFUNCTION("GOOGLETRANSLATE(A36707,""en"",""pt"")"),"Indisponibilidade do serviço em áreas")</f>
        <v>Indisponibilidade do serviço em áreas</v>
      </c>
      <c r="B36707" s="3">
        <v>0</v>
      </c>
    </row>
    <row r="36708" ht="15.75" customHeight="1" spans="1:2">
      <c r="A36708" s="3" t="str">
        <f>IFERROR(__xludf.DUMMYFUNCTION("GOOGLETRANSLATE(A36708,""en"",""pt"")"),"Sem cobertura, nenhum serviço, veja acima")</f>
        <v>Sem cobertura, nenhum serviço, veja acima</v>
      </c>
      <c r="B36708" s="3">
        <v>0</v>
      </c>
    </row>
    <row r="36709" ht="15.75" customHeight="1" spans="1:2">
      <c r="A36709" s="3" t="str">
        <f>IFERROR(__xludf.DUMMYFUNCTION("GOOGLETRANSLATE(A36709,""en"",""pt"")"),"durabilidade")</f>
        <v>durabilidade</v>
      </c>
      <c r="B36709" s="3">
        <v>0</v>
      </c>
    </row>
    <row r="36710" ht="15.75" customHeight="1" spans="1:2">
      <c r="A36710" s="3" t="str">
        <f>IFERROR(__xludf.DUMMYFUNCTION("GOOGLETRANSLATE(A36710,""en"",""pt"")"),"$ 200 custo de telefone")</f>
        <v>$ 200 custo de telefone</v>
      </c>
      <c r="B36710" s="3">
        <v>0</v>
      </c>
    </row>
    <row r="36711" ht="15.75" customHeight="1" spans="1:2">
      <c r="A36711" s="3" t="str">
        <f>IFERROR(__xludf.DUMMYFUNCTION("GOOGLETRANSLATE(A36711,""en"",""pt"")"),"serviço ao cliente")</f>
        <v>serviço ao cliente</v>
      </c>
      <c r="B36711" s="3">
        <v>0</v>
      </c>
    </row>
    <row r="36712" ht="15.75" customHeight="1" spans="1:2">
      <c r="A36712" s="3" t="str">
        <f>IFERROR(__xludf.DUMMYFUNCTION("GOOGLETRANSLATE(A36712,""en"",""pt"")"),"curta duração da bateria, queda de chamadas com freqüência")</f>
        <v>curta duração da bateria, queda de chamadas com freqüência</v>
      </c>
      <c r="B36712" s="3">
        <v>0</v>
      </c>
    </row>
    <row r="36713" ht="15.75" customHeight="1" spans="1:2">
      <c r="A36713" s="3" t="str">
        <f>IFERROR(__xludf.DUMMYFUNCTION("GOOGLETRANSLATE(A36713,""en"",""pt"")"),"-Flip estilo é um pouco mais complicado do que o necessário?")</f>
        <v>-Flip estilo é um pouco mais complicado do que o necessário?</v>
      </c>
      <c r="B36713" s="3">
        <v>0</v>
      </c>
    </row>
    <row r="36714" ht="15.75" customHeight="1" spans="1:2">
      <c r="A36714" s="3" t="str">
        <f>IFERROR(__xludf.DUMMYFUNCTION("GOOGLETRANSLATE(A36714,""en"",""pt"")"),"2000 já está no mercado?")</f>
        <v>2000 já está no mercado?</v>
      </c>
      <c r="B36714" s="3">
        <v>0</v>
      </c>
    </row>
    <row r="36715" ht="15.75" customHeight="1" spans="1:2">
      <c r="A36715" s="3" t="str">
        <f>IFERROR(__xludf.DUMMYFUNCTION("GOOGLETRANSLATE(A36715,""en"",""pt"")"),"flip-cover parece um frágil bit")</f>
        <v>flip-cover parece um frágil bit</v>
      </c>
      <c r="B36715" s="3">
        <v>0</v>
      </c>
    </row>
    <row r="36716" ht="15.75" customHeight="1" spans="1:2">
      <c r="A36716" s="3" t="str">
        <f>IFERROR(__xludf.DUMMYFUNCTION("GOOGLETRANSLATE(A36716,""en"",""pt"")"),"Celulares e planos são caros, a programação difícil de entender")</f>
        <v>Celulares e planos são caros, a programação difícil de entender</v>
      </c>
      <c r="B36716" s="3">
        <v>0</v>
      </c>
    </row>
    <row r="36717" ht="15.75" customHeight="1" spans="1:2">
      <c r="A36717" s="3" t="str">
        <f>IFERROR(__xludf.DUMMYFUNCTION("GOOGLETRANSLATE(A36717,""en"",""pt"")"),"a vida da bateria pobres, má recepção, pobre provedor")</f>
        <v>a vida da bateria pobres, má recepção, pobre provedor</v>
      </c>
      <c r="B36717" s="3">
        <v>0</v>
      </c>
    </row>
    <row r="36718" ht="15.75" customHeight="1" spans="1:2">
      <c r="A36718" s="3" t="str">
        <f>IFERROR(__xludf.DUMMYFUNCTION("GOOGLETRANSLATE(A36718,""en"",""pt"")"),"Algumas zonas mortas, baixa vida útil da bateria, às vezes.")</f>
        <v>Algumas zonas mortas, baixa vida útil da bateria, às vezes.</v>
      </c>
      <c r="B36718" s="3">
        <v>0</v>
      </c>
    </row>
    <row r="36719" ht="15.75" customHeight="1" spans="1:2">
      <c r="A36719" s="3" t="str">
        <f>IFERROR(__xludf.DUMMYFUNCTION("GOOGLETRANSLATE(A36719,""en"",""pt"")"),"Veja acima")</f>
        <v>Veja acima</v>
      </c>
      <c r="B36719" s="3">
        <v>0</v>
      </c>
    </row>
    <row r="36720" ht="15.75" customHeight="1" spans="1:2">
      <c r="A36720" s="3" t="str">
        <f>IFERROR(__xludf.DUMMYFUNCTION("GOOGLETRANSLATE(A36720,""en"",""pt"")"),"Nenhum realmente. Desculpe.")</f>
        <v>Nenhum realmente. Desculpe.</v>
      </c>
      <c r="B36720" s="3">
        <v>0</v>
      </c>
    </row>
    <row r="36721" ht="15.75" customHeight="1" spans="1:2">
      <c r="A36721" s="3" t="str">
        <f>IFERROR(__xludf.DUMMYFUNCTION("GOOGLETRANSLATE(A36721,""en"",""pt"")"),"Nenhum serviço web ainda")</f>
        <v>Nenhum serviço web ainda</v>
      </c>
      <c r="B36721" s="3">
        <v>0</v>
      </c>
    </row>
    <row r="36722" ht="15.75" customHeight="1" spans="1:2">
      <c r="A36722" s="3" t="str">
        <f>IFERROR(__xludf.DUMMYFUNCTION("GOOGLETRANSLATE(A36722,""en"",""pt"")"),"Tudo sobre o telefone")</f>
        <v>Tudo sobre o telefone</v>
      </c>
      <c r="B36722" s="3">
        <v>0</v>
      </c>
    </row>
    <row r="36723" ht="15.75" customHeight="1" spans="1:2">
      <c r="A36723" s="3" t="str">
        <f>IFERROR(__xludf.DUMMYFUNCTION("GOOGLETRANSLATE(A36723,""en"",""pt"")"),"Muito difícil de ""hold"", com o seu ombro enquanto ... tosse ... condução.")</f>
        <v>Muito difícil de "hold", com o seu ombro enquanto ... tosse ... condução.</v>
      </c>
      <c r="B36723" s="3">
        <v>0</v>
      </c>
    </row>
    <row r="36724" ht="15.75" customHeight="1" spans="1:2">
      <c r="A36724" s="3" t="str">
        <f>IFERROR(__xludf.DUMMYFUNCTION("GOOGLETRANSLATE(A36724,""en"",""pt"")"),"números são muito pequenos")</f>
        <v>números são muito pequenos</v>
      </c>
      <c r="B36724" s="3">
        <v>0</v>
      </c>
    </row>
    <row r="36725" ht="15.75" customHeight="1" spans="1:2">
      <c r="A36725" s="3" t="str">
        <f>IFERROR(__xludf.DUMMYFUNCTION("GOOGLETRANSLATE(A36725,""en"",""pt"")"),"Apenas 9 anéis, o invólucro é facilmente riscado")</f>
        <v>Apenas 9 anéis, o invólucro é facilmente riscado</v>
      </c>
      <c r="B36725" s="3">
        <v>0</v>
      </c>
    </row>
    <row r="36726" ht="15.75" customHeight="1" spans="1:2">
      <c r="A36726" s="3" t="str">
        <f>IFERROR(__xludf.DUMMYFUNCTION("GOOGLETRANSLATE(A36726,""en"",""pt"")"),"Digital só, bateria ruim.")</f>
        <v>Digital só, bateria ruim.</v>
      </c>
      <c r="B36726" s="3">
        <v>0</v>
      </c>
    </row>
    <row r="36727" ht="15.75" customHeight="1" spans="1:2">
      <c r="A36727" s="3" t="str">
        <f>IFERROR(__xludf.DUMMYFUNCTION("GOOGLETRANSLATE(A36727,""en"",""pt"")"),"Sem hora e data em nossa área")</f>
        <v>Sem hora e data em nossa área</v>
      </c>
      <c r="B36727" s="3">
        <v>0</v>
      </c>
    </row>
    <row r="36728" ht="15.75" customHeight="1" spans="1:2">
      <c r="A36728" s="3" t="str">
        <f>IFERROR(__xludf.DUMMYFUNCTION("GOOGLETRANSLATE(A36728,""en"",""pt"")"),"nenhum ainda")</f>
        <v>nenhum ainda</v>
      </c>
      <c r="B36728" s="3">
        <v>0</v>
      </c>
    </row>
    <row r="36729" ht="15.75" customHeight="1" spans="1:2">
      <c r="A36729" s="3" t="str">
        <f>IFERROR(__xludf.DUMMYFUNCTION("GOOGLETRANSLATE(A36729,""en"",""pt"")"),"Pontos mortos e chamadas abandonadas")</f>
        <v>Pontos mortos e chamadas abandonadas</v>
      </c>
      <c r="B36729" s="3">
        <v>0</v>
      </c>
    </row>
    <row r="36730" ht="15.75" customHeight="1" spans="1:2">
      <c r="A36730" s="3" t="str">
        <f>IFERROR(__xludf.DUMMYFUNCTION("GOOGLETRANSLATE(A36730,""en"",""pt"")"),"Nenhum!")</f>
        <v>Nenhum!</v>
      </c>
      <c r="B36730" s="3">
        <v>0</v>
      </c>
    </row>
    <row r="36731" ht="15.75" customHeight="1" spans="1:2">
      <c r="A36731" s="3" t="str">
        <f>IFERROR(__xludf.DUMMYFUNCTION("GOOGLETRANSLATE(A36731,""en"",""pt"")"),"um monte de recursos para aprender")</f>
        <v>um monte de recursos para aprender</v>
      </c>
      <c r="B36731" s="3">
        <v>0</v>
      </c>
    </row>
    <row r="36732" ht="15.75" customHeight="1" spans="1:2">
      <c r="A36732" s="3" t="str">
        <f>IFERROR(__xludf.DUMMYFUNCTION("GOOGLETRANSLATE(A36732,""en"",""pt"")"),"Todo o resto")</f>
        <v>Todo o resto</v>
      </c>
      <c r="B36732" s="3">
        <v>0</v>
      </c>
    </row>
    <row r="36733" ht="15.75" customHeight="1" spans="1:2">
      <c r="A36733" s="3" t="str">
        <f>IFERROR(__xludf.DUMMYFUNCTION("GOOGLETRANSLATE(A36733,""en"",""pt"")"),"Sem serviço, todos os profissionais do telefone tornará discutível!")</f>
        <v>Sem serviço, todos os profissionais do telefone tornará discutível!</v>
      </c>
      <c r="B36733" s="3">
        <v>0</v>
      </c>
    </row>
    <row r="36734" ht="15.75" customHeight="1" spans="1:2">
      <c r="A36734" s="3" t="s">
        <v>196</v>
      </c>
      <c r="B36734" s="3">
        <v>0</v>
      </c>
    </row>
    <row r="36735" ht="15.75" customHeight="1" spans="1:2">
      <c r="A36735" s="3" t="str">
        <f>IFERROR(__xludf.DUMMYFUNCTION("GOOGLETRANSLATE(A36735,""en"",""pt"")"),"Alguns problemas de durabilidade")</f>
        <v>Alguns problemas de durabilidade</v>
      </c>
      <c r="B36735" s="3">
        <v>0</v>
      </c>
    </row>
    <row r="36736" ht="15.75" customHeight="1" spans="1:2">
      <c r="A36736" s="3" t="str">
        <f>IFERROR(__xludf.DUMMYFUNCTION("GOOGLETRANSLATE(A36736,""en"",""pt"")"),"Custo")</f>
        <v>Custo</v>
      </c>
      <c r="B36736" s="3">
        <v>0</v>
      </c>
    </row>
    <row r="36737" ht="15.75" customHeight="1" spans="1:2">
      <c r="A36737" s="3" t="str">
        <f>IFERROR(__xludf.DUMMYFUNCTION("GOOGLETRANSLATE(A36737,""en"",""pt"")"),"taxa é um pouco alto")</f>
        <v>taxa é um pouco alto</v>
      </c>
      <c r="B36737" s="3">
        <v>0</v>
      </c>
    </row>
    <row r="36738" ht="15.75" customHeight="1" spans="1:2">
      <c r="A36738" s="3" t="str">
        <f>IFERROR(__xludf.DUMMYFUNCTION("GOOGLETRANSLATE(A36738,""en"",""pt"")"),"Menu, tamanho, custo")</f>
        <v>Menu, tamanho, custo</v>
      </c>
      <c r="B36738" s="3">
        <v>0</v>
      </c>
    </row>
    <row r="36739" ht="15.75" customHeight="1" spans="1:2">
      <c r="A36739" s="3" t="str">
        <f>IFERROR(__xludf.DUMMYFUNCTION("GOOGLETRANSLATE(A36739,""en"",""pt"")"),"área de cobertura do serviço limitado.")</f>
        <v>área de cobertura do serviço limitado.</v>
      </c>
      <c r="B36739" s="3">
        <v>0</v>
      </c>
    </row>
    <row r="36740" ht="15.75" customHeight="1" spans="1:2">
      <c r="A36740" s="3" t="str">
        <f>IFERROR(__xludf.DUMMYFUNCTION("GOOGLETRANSLATE(A36740,""en"",""pt"")"),"Nenhum")</f>
        <v>Nenhum</v>
      </c>
      <c r="B36740" s="3">
        <v>0</v>
      </c>
    </row>
    <row r="36741" ht="15.75" customHeight="1" spans="1:2">
      <c r="A36741" s="3" t="str">
        <f>IFERROR(__xludf.DUMMYFUNCTION("GOOGLETRANSLATE(A36741,""en"",""pt"")"),"Caro, terrível UI, pobre soundquality")</f>
        <v>Caro, terrível UI, pobre soundquality</v>
      </c>
      <c r="B36741" s="3">
        <v>0</v>
      </c>
    </row>
    <row r="36742" ht="15.75" customHeight="1" spans="1:2">
      <c r="A36742" s="3" t="str">
        <f>IFERROR(__xludf.DUMMYFUNCTION("GOOGLETRANSLATE(A36742,""en"",""pt"")"),"Outras necessidades pessoa a ter o mesmo telefone para obter a parte livre dela ..... má recepção, muitos controles")</f>
        <v>Outras necessidades pessoa a ter o mesmo telefone para obter a parte livre dela ..... má recepção, muitos controles</v>
      </c>
      <c r="B36742" s="3">
        <v>0</v>
      </c>
    </row>
    <row r="36743" ht="15.75" customHeight="1" spans="1:2">
      <c r="A36743" s="3" t="str">
        <f>IFERROR(__xludf.DUMMYFUNCTION("GOOGLETRANSLATE(A36743,""en"",""pt"")"),"vida útil da bateria")</f>
        <v>vida útil da bateria</v>
      </c>
      <c r="B36743" s="3">
        <v>0</v>
      </c>
    </row>
    <row r="36744" ht="15.75" customHeight="1" spans="1:2">
      <c r="A36744" s="3" t="str">
        <f>IFERROR(__xludf.DUMMYFUNCTION("GOOGLETRANSLATE(A36744,""en"",""pt"")"),"nada grave")</f>
        <v>nada grave</v>
      </c>
      <c r="B36744" s="3">
        <v>0</v>
      </c>
    </row>
    <row r="36745" ht="15.75" customHeight="1" spans="1:2">
      <c r="A36745" s="3" t="s">
        <v>197</v>
      </c>
      <c r="B36745" s="3">
        <v>0</v>
      </c>
    </row>
    <row r="36746" ht="15.75" customHeight="1" spans="1:2">
      <c r="A36746" s="3" t="str">
        <f>IFERROR(__xludf.DUMMYFUNCTION("GOOGLETRANSLATE(A36746,""en"",""pt"")"),"serviço Nextel, apenas a capacidade digitais")</f>
        <v>serviço Nextel, apenas a capacidade digitais</v>
      </c>
      <c r="B36746" s="3">
        <v>0</v>
      </c>
    </row>
    <row r="36747" ht="15.75" customHeight="1" spans="1:2">
      <c r="A36747" s="3" t="str">
        <f>IFERROR(__xludf.DUMMYFUNCTION("GOOGLETRANSLATE(A36747,""en"",""pt"")"),"fone de ouvido frágil")</f>
        <v>fone de ouvido frágil</v>
      </c>
      <c r="B36747" s="3">
        <v>0</v>
      </c>
    </row>
    <row r="36748" ht="15.75" customHeight="1" spans="1:2">
      <c r="A36748" s="3" t="str">
        <f>IFERROR(__xludf.DUMMYFUNCTION("GOOGLETRANSLATE(A36748,""en"",""pt"")"),"A duração da bateria é muito curto. seleção do anel é muito limitado!")</f>
        <v>A duração da bateria é muito curto. seleção do anel é muito limitado!</v>
      </c>
      <c r="B36748" s="3">
        <v>0</v>
      </c>
    </row>
    <row r="36749" ht="15.75" customHeight="1" spans="1:2">
      <c r="A36749" s="3" t="str">
        <f>IFERROR(__xludf.DUMMYFUNCTION("GOOGLETRANSLATE(A36749,""en"",""pt"")"),"antenas nub")</f>
        <v>antenas nub</v>
      </c>
      <c r="B36749" s="3">
        <v>0</v>
      </c>
    </row>
    <row r="36750" ht="15.75" customHeight="1" spans="1:2">
      <c r="A36750" s="3" t="str">
        <f>IFERROR(__xludf.DUMMYFUNCTION("GOOGLETRANSLATE(A36750,""en"",""pt"")"),"custo. alta alittle mas vale a pena")</f>
        <v>custo. alta alittle mas vale a pena</v>
      </c>
      <c r="B36750" s="3">
        <v>0</v>
      </c>
    </row>
    <row r="36751" ht="15.75" customHeight="1" spans="1:2">
      <c r="A36751" s="3" t="str">
        <f>IFERROR(__xludf.DUMMYFUNCTION("GOOGLETRANSLATE(A36751,""en"",""pt"")"),"Não é muito confiável")</f>
        <v>Não é muito confiável</v>
      </c>
      <c r="B36751" s="3">
        <v>0</v>
      </c>
    </row>
    <row r="36752" ht="15.75" customHeight="1" spans="1:2">
      <c r="A36752" s="3" t="str">
        <f>IFERROR(__xludf.DUMMYFUNCTION("GOOGLETRANSLATE(A36752,""en"",""pt"")"),"um pouco grande e pesado")</f>
        <v>um pouco grande e pesado</v>
      </c>
      <c r="B36752" s="3">
        <v>0</v>
      </c>
    </row>
    <row r="36753" ht="15.75" customHeight="1" spans="1:2">
      <c r="A36753" s="3" t="str">
        <f>IFERROR(__xludf.DUMMYFUNCTION("GOOGLETRANSLATE(A36753,""en"",""pt"")"),"Rompe-se ou desliga o telefone com muita frequência")</f>
        <v>Rompe-se ou desliga o telefone com muita frequência</v>
      </c>
      <c r="B36753" s="3">
        <v>0</v>
      </c>
    </row>
    <row r="36754" ht="15.75" customHeight="1" spans="1:2">
      <c r="A36754" s="3" t="str">
        <f>IFERROR(__xludf.DUMMYFUNCTION("GOOGLETRANSLATE(A36754,""en"",""pt"")"),"a vida da bateria pobres ... Cobertura poderia ser melhor.")</f>
        <v>a vida da bateria pobres ... Cobertura poderia ser melhor.</v>
      </c>
      <c r="B36754" s="3">
        <v>0</v>
      </c>
    </row>
    <row r="36755" ht="15.75" customHeight="1" spans="1:2">
      <c r="A36755" s="3" t="str">
        <f>IFERROR(__xludf.DUMMYFUNCTION("GOOGLETRANSLATE(A36755,""en"",""pt"")"),"ver através da cobertura é facilmente riscado")</f>
        <v>ver através da cobertura é facilmente riscado</v>
      </c>
      <c r="B36755" s="3">
        <v>0</v>
      </c>
    </row>
    <row r="36756" ht="15.75" customHeight="1" spans="1:2">
      <c r="A36756" s="3" t="str">
        <f>IFERROR(__xludf.DUMMYFUNCTION("GOOGLETRANSLATE(A36756,""en"",""pt"")"),"Nenhum")</f>
        <v>Nenhum</v>
      </c>
      <c r="B36756" s="3">
        <v>0</v>
      </c>
    </row>
    <row r="36757" ht="15.75" customHeight="1" spans="1:2">
      <c r="A36757" s="3" t="str">
        <f>IFERROR(__xludf.DUMMYFUNCTION("GOOGLETRANSLATE(A36757,""en"",""pt"")"),"Eu não gosto deles")</f>
        <v>Eu não gosto deles</v>
      </c>
      <c r="B36757" s="3">
        <v>0</v>
      </c>
    </row>
    <row r="36758" ht="15.75" customHeight="1" spans="1:2">
      <c r="A36758" s="3" t="str">
        <f>IFERROR(__xludf.DUMMYFUNCTION("GOOGLETRANSLATE(A36758,""en"",""pt"")"),"barato, confiável")</f>
        <v>barato, confiável</v>
      </c>
      <c r="B36758" s="3">
        <v>0</v>
      </c>
    </row>
    <row r="36759" ht="15.75" customHeight="1" spans="1:2">
      <c r="A36759" s="3" t="str">
        <f>IFERROR(__xludf.DUMMYFUNCTION("GOOGLETRANSLATE(A36759,""en"",""pt"")"),"Nenhum")</f>
        <v>Nenhum</v>
      </c>
      <c r="B36759" s="3">
        <v>0</v>
      </c>
    </row>
    <row r="36760" ht="15.75" customHeight="1" spans="1:2">
      <c r="A36760" s="3" t="str">
        <f>IFERROR(__xludf.DUMMYFUNCTION("GOOGLETRANSLATE(A36760,""en"",""pt"")"),"Chamada má qualidade, às vezes.")</f>
        <v>Chamada má qualidade, às vezes.</v>
      </c>
      <c r="B36760" s="3">
        <v>0</v>
      </c>
    </row>
    <row r="36761" ht="15.75" customHeight="1" spans="1:2">
      <c r="A36761" s="3" t="str">
        <f>IFERROR(__xludf.DUMMYFUNCTION("GOOGLETRANSLATE(A36761,""en"",""pt"")"),"não existem grampos ou operadoras que permitem que você veja quem está chamando sem remover primeiro")</f>
        <v>não existem grampos ou operadoras que permitem que você veja quem está chamando sem remover primeiro</v>
      </c>
      <c r="B36761" s="3">
        <v>0</v>
      </c>
    </row>
    <row r="36762" ht="15.75" customHeight="1" spans="1:2">
      <c r="A36762" s="3" t="str">
        <f>IFERROR(__xludf.DUMMYFUNCTION("GOOGLETRANSLATE(A36762,""en"",""pt"")"),"bateria linha slim tem uma vida curta &amp; # 13; &amp; # 10;")</f>
        <v>bateria linha slim tem uma vida curta &amp; # 13; &amp; # 10;</v>
      </c>
      <c r="B36762" s="3">
        <v>0</v>
      </c>
    </row>
    <row r="36763" ht="15.75" customHeight="1" spans="1:2">
      <c r="A36763" s="3" t="str">
        <f>IFERROR(__xludf.DUMMYFUNCTION("GOOGLETRANSLATE(A36763,""en"",""pt"")"),"empresa horrível, rede horrível.")</f>
        <v>empresa horrível, rede horrível.</v>
      </c>
      <c r="B36763" s="3">
        <v>0</v>
      </c>
    </row>
    <row r="36764" ht="15.75" customHeight="1" spans="1:2">
      <c r="A36764" s="3" t="str">
        <f>IFERROR(__xludf.DUMMYFUNCTION("GOOGLETRANSLATE(A36764,""en"",""pt"")"),"se você está tentando escapar eles vão encontrá-lo ha!")</f>
        <v>se você está tentando escapar eles vão encontrá-lo ha!</v>
      </c>
      <c r="B36764" s="3">
        <v>0</v>
      </c>
    </row>
    <row r="36765" ht="15.75" customHeight="1" spans="1:2">
      <c r="A36765" s="3" t="str">
        <f>IFERROR(__xludf.DUMMYFUNCTION("GOOGLETRANSLATE(A36765,""en"",""pt"")"),"telefone em si é caro")</f>
        <v>telefone em si é caro</v>
      </c>
      <c r="B36765" s="3">
        <v>0</v>
      </c>
    </row>
    <row r="36766" ht="15.75" customHeight="1" spans="1:2">
      <c r="A36766" s="3" t="str">
        <f>IFERROR(__xludf.DUMMYFUNCTION("GOOGLETRANSLATE(A36766,""en"",""pt"")"),"O produto não está disponível on-line")</f>
        <v>O produto não está disponível on-line</v>
      </c>
      <c r="B36766" s="3">
        <v>0</v>
      </c>
    </row>
    <row r="36767" ht="15.75" customHeight="1" spans="1:2">
      <c r="A36767" s="3" t="str">
        <f>IFERROR(__xludf.DUMMYFUNCTION("GOOGLETRANSLATE(A36767,""en"",""pt"")"),"A vida da bateria não é grande se você usar o telefone muito.")</f>
        <v>A vida da bateria não é grande se você usar o telefone muito.</v>
      </c>
      <c r="B36767" s="3">
        <v>0</v>
      </c>
    </row>
    <row r="36768" ht="15.75" customHeight="1" spans="1:2">
      <c r="A36768" s="3" t="str">
        <f>IFERROR(__xludf.DUMMYFUNCTION("GOOGLETRANSLATE(A36768,""en"",""pt"")"),"nenhum que eu lembro")</f>
        <v>nenhum que eu lembro</v>
      </c>
      <c r="B36768" s="3">
        <v>0</v>
      </c>
    </row>
    <row r="36769" ht="15.75" customHeight="1" spans="1:2">
      <c r="A36769" s="3" t="str">
        <f>IFERROR(__xludf.DUMMYFUNCTION("GOOGLETRANSLATE(A36769,""en"",""pt"")"),"implementação Buggy Bluetooth, muito fácil desligar enquanto no bolso")</f>
        <v>implementação Buggy Bluetooth, muito fácil desligar enquanto no bolso</v>
      </c>
      <c r="B36769" s="3">
        <v>0</v>
      </c>
    </row>
    <row r="36770" ht="15.75" customHeight="1" spans="1:2">
      <c r="A36770" s="3" t="str">
        <f>IFERROR(__xludf.DUMMYFUNCTION("GOOGLETRANSLATE(A36770,""en"",""pt"")"),"Não intuitiva, grande (para hoje), instável")</f>
        <v>Não intuitiva, grande (para hoje), instável</v>
      </c>
      <c r="B36770" s="3">
        <v>0</v>
      </c>
    </row>
    <row r="36771" ht="15.75" customHeight="1" spans="1:2">
      <c r="A36771" s="3" t="str">
        <f>IFERROR(__xludf.DUMMYFUNCTION("GOOGLETRANSLATE(A36771,""en"",""pt"")"),"Descontinuadas, grandes marcas tamanho que exercem as cinto ou bolso impossível.")</f>
        <v>Descontinuadas, grandes marcas tamanho que exercem as cinto ou bolso impossível.</v>
      </c>
      <c r="B36771" s="3">
        <v>0</v>
      </c>
    </row>
    <row r="36772" ht="15.75" customHeight="1" spans="1:2">
      <c r="A36772" s="3" t="str">
        <f>IFERROR(__xludf.DUMMYFUNCTION("GOOGLETRANSLATE(A36772,""en"",""pt"")"),"Big, menus lentos. Difícil de encontrar no mercado.")</f>
        <v>Big, menus lentos. Difícil de encontrar no mercado.</v>
      </c>
      <c r="B36772" s="3">
        <v>0</v>
      </c>
    </row>
    <row r="36773" ht="15.75" customHeight="1" spans="1:2">
      <c r="A36773" s="3" t="str">
        <f>IFERROR(__xludf.DUMMYFUNCTION("GOOGLETRANSLATE(A36773,""en"",""pt"")"),"é grande, (para o padrão hoje)")</f>
        <v>é grande, (para o padrão hoje)</v>
      </c>
      <c r="B36773" s="3">
        <v>0</v>
      </c>
    </row>
    <row r="36774" ht="15.75" customHeight="1" spans="1:2">
      <c r="A36774" s="3" t="str">
        <f>IFERROR(__xludf.DUMMYFUNCTION("GOOGLETRANSLATE(A36774,""en"",""pt"")"),"Bad bateria, conexões ruins, pequenos botões")</f>
        <v>Bad bateria, conexões ruins, pequenos botões</v>
      </c>
      <c r="B36774" s="3">
        <v>0</v>
      </c>
    </row>
    <row r="36775" ht="15.75" customHeight="1" spans="1:2">
      <c r="A36775" s="3" t="str">
        <f>IFERROR(__xludf.DUMMYFUNCTION("GOOGLETRANSLATE(A36775,""en"",""pt"")"),"Nenhum neste momento!")</f>
        <v>Nenhum neste momento!</v>
      </c>
      <c r="B36775" s="3">
        <v>0</v>
      </c>
    </row>
    <row r="36776" ht="15.75" customHeight="1" spans="1:2">
      <c r="A36776" s="3" t="str">
        <f>IFERROR(__xludf.DUMMYFUNCTION("GOOGLETRANSLATE(A36776,""en"",""pt"")"),"Sem grandes frescuras, não completamente amigável")</f>
        <v>Sem grandes frescuras, não completamente amigável</v>
      </c>
      <c r="B36776" s="3">
        <v>0</v>
      </c>
    </row>
    <row r="36777" ht="15.75" customHeight="1" spans="1:2">
      <c r="A36777" s="3" t="str">
        <f>IFERROR(__xludf.DUMMYFUNCTION("GOOGLETRANSLATE(A36777,""en"",""pt"")"),"manual de instruções é difícil de usar para o manualmente-desafiou:)")</f>
        <v>manual de instruções é difícil de usar para o manualmente-desafiou:)</v>
      </c>
      <c r="B36777" s="3">
        <v>0</v>
      </c>
    </row>
    <row r="36778" ht="15.75" customHeight="1" spans="1:2">
      <c r="A36778" s="3" t="str">
        <f>IFERROR(__xludf.DUMMYFUNCTION("GOOGLETRANSLATE(A36778,""en"",""pt"")"),"às vezes disca-se em seu bolso")</f>
        <v>às vezes disca-se em seu bolso</v>
      </c>
      <c r="B36778" s="3">
        <v>0</v>
      </c>
    </row>
    <row r="36779" ht="15.75" customHeight="1" spans="1:2">
      <c r="A36779" s="3" t="str">
        <f>IFERROR(__xludf.DUMMYFUNCTION("GOOGLETRANSLATE(A36779,""en"",""pt"")"),"Nenhum")</f>
        <v>Nenhum</v>
      </c>
      <c r="B36779" s="3">
        <v>0</v>
      </c>
    </row>
    <row r="36780" ht="15.75" customHeight="1" spans="1:2">
      <c r="A36780" s="3" t="str">
        <f>IFERROR(__xludf.DUMMYFUNCTION("GOOGLETRANSLATE(A36780,""en"",""pt"")"),"dual mode, não muito durável, não vibrar ou outros recursos necessários, o menu")</f>
        <v>dual mode, não muito durável, não vibrar ou outros recursos necessários, o menu</v>
      </c>
      <c r="B36780" s="3">
        <v>0</v>
      </c>
    </row>
    <row r="36781" ht="15.75" customHeight="1" spans="1:2">
      <c r="A36781" s="3" t="str">
        <f>IFERROR(__xludf.DUMMYFUNCTION("GOOGLETRANSLATE(A36781,""en"",""pt"")"),"Não é possível enviar mensagens de texto, apenas 9 opções de toque ea maioria deles são irritantes.")</f>
        <v>Não é possível enviar mensagens de texto, apenas 9 opções de toque ea maioria deles são irritantes.</v>
      </c>
      <c r="B36781" s="3">
        <v>0</v>
      </c>
    </row>
    <row r="36782" ht="15.75" customHeight="1" spans="1:2">
      <c r="A36782" s="3" t="str">
        <f>IFERROR(__xludf.DUMMYFUNCTION("GOOGLETRANSLATE(A36782,""en"",""pt"")"),"Nenhum.")</f>
        <v>Nenhum.</v>
      </c>
      <c r="B36782" s="3">
        <v>0</v>
      </c>
    </row>
    <row r="36783" ht="15.75" customHeight="1" spans="1:2">
      <c r="A36783" s="3" t="str">
        <f>IFERROR(__xludf.DUMMYFUNCTION("GOOGLETRANSLATE(A36783,""en"",""pt"")"),"Não há jogos, tons de campainha limitados, de modo dual apenas, não tão simples como outros telefones")</f>
        <v>Não há jogos, tons de campainha limitados, de modo dual apenas, não tão simples como outros telefones</v>
      </c>
      <c r="B36783" s="3">
        <v>0</v>
      </c>
    </row>
    <row r="36784" ht="15.75" customHeight="1" spans="1:2">
      <c r="A36784" s="3" t="str">
        <f>IFERROR(__xludf.DUMMYFUNCTION("GOOGLETRANSLATE(A36784,""en"",""pt"")"),"ele pode discar por si só, a vida da bateria é uma porcaria")</f>
        <v>ele pode discar por si só, a vida da bateria é uma porcaria</v>
      </c>
      <c r="B36784" s="3">
        <v>0</v>
      </c>
    </row>
    <row r="36785" ht="15.75" customHeight="1" spans="1:2">
      <c r="A36785" s="3" t="str">
        <f>IFERROR(__xludf.DUMMYFUNCTION("GOOGLETRANSLATE(A36785,""en"",""pt"")"),"Ainda confuso sobre a forma de escrever de volta usando mensagens de ping pong")</f>
        <v>Ainda confuso sobre a forma de escrever de volta usando mensagens de ping pong</v>
      </c>
      <c r="B36785" s="3">
        <v>0</v>
      </c>
    </row>
    <row r="36786" ht="15.75" customHeight="1" spans="1:2">
      <c r="A36786" s="3" t="str">
        <f>IFERROR(__xludf.DUMMYFUNCTION("GOOGLETRANSLATE(A36786,""en"",""pt"")"),"Apenas sobre tudo")</f>
        <v>Apenas sobre tudo</v>
      </c>
      <c r="B36786" s="3">
        <v>0</v>
      </c>
    </row>
    <row r="36787" ht="15.75" customHeight="1" spans="1:2">
      <c r="A36787" s="3" t="str">
        <f>IFERROR(__xludf.DUMMYFUNCTION("GOOGLETRANSLATE(A36787,""en"",""pt"")"),"funções difíceis de encontrar, não o suficiente toques, a vida da bateria muito mais curtos do que o anunciado")</f>
        <v>funções difíceis de encontrar, não o suficiente toques, a vida da bateria muito mais curtos do que o anunciado</v>
      </c>
      <c r="B36787" s="3">
        <v>0</v>
      </c>
    </row>
    <row r="36788" ht="15.75" customHeight="1" spans="1:2">
      <c r="A36788" s="3" t="str">
        <f>IFERROR(__xludf.DUMMYFUNCTION("GOOGLETRANSLATE(A36788,""en"",""pt"")"),"Marginal qualidade de tom receptor; botão ""power"" em difícil localização")</f>
        <v>Marginal qualidade de tom receptor; botão "power" em difícil localização</v>
      </c>
      <c r="B36788" s="3">
        <v>0</v>
      </c>
    </row>
    <row r="36789" ht="15.75" customHeight="1" spans="1:2">
      <c r="A36789" s="3" t="str">
        <f>IFERROR(__xludf.DUMMYFUNCTION("GOOGLETRANSLATE(A36789,""en"",""pt"")"),"A falta de controlo de volume de campainha e opção vibrar, grandes quantidades")</f>
        <v>A falta de controlo de volume de campainha e opção vibrar, grandes quantidades</v>
      </c>
      <c r="B36789" s="3">
        <v>0</v>
      </c>
    </row>
    <row r="36790" ht="15.75" customHeight="1" spans="1:2">
      <c r="A36790" s="3" t="str">
        <f>IFERROR(__xludf.DUMMYFUNCTION("GOOGLETRANSLATE(A36790,""en"",""pt"")"),"Má recepção. Mal colocada botões do mouse.")</f>
        <v>Má recepção. Mal colocada botões do mouse.</v>
      </c>
      <c r="B36790" s="3">
        <v>0</v>
      </c>
    </row>
    <row r="36791" ht="15.75" customHeight="1" spans="1:2">
      <c r="A36791" s="3" t="str">
        <f>IFERROR(__xludf.DUMMYFUNCTION("GOOGLETRANSLATE(A36791,""en"",""pt"")"),"Nenhum")</f>
        <v>Nenhum</v>
      </c>
      <c r="B36791" s="3">
        <v>0</v>
      </c>
    </row>
    <row r="36792" ht="15.75" customHeight="1" spans="1:2">
      <c r="A36792" s="3" t="str">
        <f>IFERROR(__xludf.DUMMYFUNCTION("GOOGLETRANSLATE(A36792,""en"",""pt"")"),"baixa autonomia de bateria no modo analógico")</f>
        <v>baixa autonomia de bateria no modo analógico</v>
      </c>
      <c r="B36792" s="3">
        <v>0</v>
      </c>
    </row>
    <row r="36793" ht="15.75" customHeight="1" spans="1:2">
      <c r="A36793" s="3" t="str">
        <f>IFERROR(__xludf.DUMMYFUNCTION("GOOGLETRANSLATE(A36793,""en"",""pt"")"),"nenhum jogo")</f>
        <v>nenhum jogo</v>
      </c>
      <c r="B36793" s="3">
        <v>0</v>
      </c>
    </row>
    <row r="36794" ht="15.75" customHeight="1" spans="1:2">
      <c r="A36794" s="3" t="str">
        <f>IFERROR(__xludf.DUMMYFUNCTION("GOOGLETRANSLATE(A36794,""en"",""pt"")"),"vida útil da bateria, dor de desbloqueio quando alguém está chamando, 9 toques não vibrar ou jogos !!")</f>
        <v>vida útil da bateria, dor de desbloqueio quando alguém está chamando, 9 toques não vibrar ou jogos !!</v>
      </c>
      <c r="B36794" s="3">
        <v>0</v>
      </c>
    </row>
    <row r="36795" ht="15.75" customHeight="1" spans="1:2">
      <c r="A36795" s="3" t="str">
        <f>IFERROR(__xludf.DUMMYFUNCTION("GOOGLETRANSLATE(A36795,""en"",""pt"")"),"Nenhum")</f>
        <v>Nenhum</v>
      </c>
      <c r="B36795" s="3">
        <v>0</v>
      </c>
    </row>
    <row r="36796" ht="15.75" customHeight="1" spans="1:2">
      <c r="A36796" s="3" t="str">
        <f>IFERROR(__xludf.DUMMYFUNCTION("GOOGLETRANSLATE(A36796,""en"",""pt"")"),"BATERIA! clareza, backlight, simplesmente desatualizado")</f>
        <v>BATERIA! clareza, backlight, simplesmente desatualizado</v>
      </c>
      <c r="B36796" s="3">
        <v>0</v>
      </c>
    </row>
    <row r="36797" ht="15.75" customHeight="1" spans="1:2">
      <c r="A36797" s="3" t="str">
        <f>IFERROR(__xludf.DUMMYFUNCTION("GOOGLETRANSLATE(A36797,""en"",""pt"")"),"anéis nenhuma melodia: c (")</f>
        <v>anéis nenhuma melodia: c (</v>
      </c>
      <c r="B36797" s="3">
        <v>0</v>
      </c>
    </row>
    <row r="36798" ht="15.75" customHeight="1" spans="1:2">
      <c r="A36798" s="3" t="str">
        <f>IFERROR(__xludf.DUMMYFUNCTION("GOOGLETRANSLATE(A36798,""en"",""pt"")"),"Nenhum")</f>
        <v>Nenhum</v>
      </c>
      <c r="B36798" s="3">
        <v>0</v>
      </c>
    </row>
    <row r="36799" ht="15.75" customHeight="1" spans="1:2">
      <c r="A36799" s="3" t="str">
        <f>IFERROR(__xludf.DUMMYFUNCTION("GOOGLETRANSLATE(A36799,""en"",""pt"")"),"Não é tão conveniente para manter na mão, baixa vibração, curto acumulador")</f>
        <v>Não é tão conveniente para manter na mão, baixa vibração, curto acumulador</v>
      </c>
      <c r="B36799" s="3">
        <v>0</v>
      </c>
    </row>
    <row r="36800" ht="15.75" customHeight="1" spans="1:2">
      <c r="A36800" s="3" t="str">
        <f>IFERROR(__xludf.DUMMYFUNCTION("GOOGLETRANSLATE(A36800,""en"",""pt"")"),"Mantém quebrar.")</f>
        <v>Mantém quebrar.</v>
      </c>
      <c r="B36800" s="3">
        <v>0</v>
      </c>
    </row>
    <row r="36801" ht="15.75" customHeight="1" spans="1:2">
      <c r="A36801" s="3" t="str">
        <f>IFERROR(__xludf.DUMMYFUNCTION("GOOGLETRANSLATE(A36801,""en"",""pt"")"),"Nada até agora.")</f>
        <v>Nada até agora.</v>
      </c>
      <c r="B36801" s="3">
        <v>0</v>
      </c>
    </row>
    <row r="36802" ht="15.75" customHeight="1" spans="1:2">
      <c r="A36802" s="3" t="str">
        <f>IFERROR(__xludf.DUMMYFUNCTION("GOOGLETRANSLATE(A36802,""en"",""pt"")"),"Tal como acontece com qualquer produto incorporadas há alguns compromissos")</f>
        <v>Tal como acontece com qualquer produto incorporadas há alguns compromissos</v>
      </c>
      <c r="B36802" s="3">
        <v>0</v>
      </c>
    </row>
    <row r="36803" ht="15.75" customHeight="1" spans="1:2">
      <c r="A36803" s="3" t="str">
        <f>IFERROR(__xludf.DUMMYFUNCTION("GOOGLETRANSLATE(A36803,""en"",""pt"")"),"Nenhum")</f>
        <v>Nenhum</v>
      </c>
      <c r="B36803" s="3">
        <v>0</v>
      </c>
    </row>
    <row r="36804" ht="15.75" customHeight="1" spans="1:2">
      <c r="A36804" s="3" t="str">
        <f>IFERROR(__xludf.DUMMYFUNCTION("GOOGLETRANSLATE(A36804,""en"",""pt"")"),"Frágil, muito frágil.")</f>
        <v>Frágil, muito frágil.</v>
      </c>
      <c r="B36804" s="3">
        <v>0</v>
      </c>
    </row>
    <row r="36805" ht="15.75" customHeight="1" spans="1:2">
      <c r="A36805" s="3" t="str">
        <f>IFERROR(__xludf.DUMMYFUNCTION("GOOGLETRANSLATE(A36805,""en"",""pt"")"),"Apenas se o seu T28s não irá sofrer de defeitos de fabricação")</f>
        <v>Apenas se o seu T28s não irá sofrer de defeitos de fabricação</v>
      </c>
      <c r="B36805" s="3">
        <v>0</v>
      </c>
    </row>
    <row r="36806" ht="15.75" customHeight="1" spans="1:2">
      <c r="A36806" s="3" t="str">
        <f>IFERROR(__xludf.DUMMYFUNCTION("GOOGLETRANSLATE(A36806,""en"",""pt"")"),"recepção")</f>
        <v>recepção</v>
      </c>
      <c r="B36806" s="3">
        <v>0</v>
      </c>
    </row>
    <row r="36807" ht="15.75" customHeight="1" spans="1:2">
      <c r="A36807" s="3" t="str">
        <f>IFERROR(__xludf.DUMMYFUNCTION("GOOGLETRANSLATE(A36807,""en"",""pt"")"),"Nenhum significativa")</f>
        <v>Nenhum significativa</v>
      </c>
      <c r="B36807" s="3">
        <v>0</v>
      </c>
    </row>
    <row r="36808" ht="15.75" customHeight="1" spans="1:2">
      <c r="A36808" s="3" t="str">
        <f>IFERROR(__xludf.DUMMYFUNCTION("GOOGLETRANSLATE(A36808,""en"",""pt"")"),"a vida da bateria pobres, interface de usuário lento, grande antena saindo")</f>
        <v>a vida da bateria pobres, interface de usuário lento, grande antena saindo</v>
      </c>
      <c r="B36808" s="3">
        <v>0</v>
      </c>
    </row>
    <row r="36809" ht="15.75" customHeight="1" spans="1:2">
      <c r="A36809" s="3" t="str">
        <f>IFERROR(__xludf.DUMMYFUNCTION("GOOGLETRANSLATE(A36809,""en"",""pt"")"),"o próprio telefone")</f>
        <v>o próprio telefone</v>
      </c>
      <c r="B36809" s="3">
        <v>0</v>
      </c>
    </row>
    <row r="36810" ht="15.75" customHeight="1" spans="1:2">
      <c r="A36810" s="3" t="str">
        <f>IFERROR(__xludf.DUMMYFUNCTION("GOOGLETRANSLATE(A36810,""en"",""pt"")"),"FAT aéreo pode ser uma put-off")</f>
        <v>FAT aéreo pode ser uma put-off</v>
      </c>
      <c r="B36810" s="3">
        <v>0</v>
      </c>
    </row>
    <row r="36811" ht="15.75" customHeight="1" spans="1:2">
      <c r="A36811" s="3" t="str">
        <f>IFERROR(__xludf.DUMMYFUNCTION("GOOGLETRANSLATE(A36811,""en"",""pt"")"),"A bateria incluída tem vida curta.")</f>
        <v>A bateria incluída tem vida curta.</v>
      </c>
      <c r="B36811" s="3">
        <v>0</v>
      </c>
    </row>
    <row r="36812" ht="15.75" customHeight="1" spans="1:2">
      <c r="A36812" s="3" t="str">
        <f>IFERROR(__xludf.DUMMYFUNCTION("GOOGLETRANSLATE(A36812,""en"",""pt"")"),"tela pequena, a vida da bateria médio")</f>
        <v>tela pequena, a vida da bateria médio</v>
      </c>
      <c r="B36812" s="3">
        <v>0</v>
      </c>
    </row>
    <row r="36813" ht="15.75" customHeight="1" spans="1:2">
      <c r="A36813" s="3" t="str">
        <f>IFERROR(__xludf.DUMMYFUNCTION("GOOGLETRANSLATE(A36813,""en"",""pt"")"),"confiabilidade, não é fácil de uso")</f>
        <v>confiabilidade, não é fácil de uso</v>
      </c>
      <c r="B36813" s="3">
        <v>0</v>
      </c>
    </row>
    <row r="36814" ht="15.75" customHeight="1" spans="1:2">
      <c r="A36814" s="3" t="str">
        <f>IFERROR(__xludf.DUMMYFUNCTION("GOOGLETRANSLATE(A36814,""en"",""pt"")"),"Nada mesmo")</f>
        <v>Nada mesmo</v>
      </c>
      <c r="B36814" s="3">
        <v>0</v>
      </c>
    </row>
    <row r="36815" ht="15.75" customHeight="1" spans="1:2">
      <c r="A36815" s="3" t="str">
        <f>IFERROR(__xludf.DUMMYFUNCTION("GOOGLETRANSLATE(A36815,""en"",""pt"")"),"Nada")</f>
        <v>Nada</v>
      </c>
      <c r="B36815" s="3">
        <v>0</v>
      </c>
    </row>
    <row r="36816" ht="15.75" customHeight="1" spans="1:2">
      <c r="A36816" s="3" t="str">
        <f>IFERROR(__xludf.DUMMYFUNCTION("GOOGLETRANSLATE(A36816,""en"",""pt"")"),"A Flip solta com o tempo")</f>
        <v>A Flip solta com o tempo</v>
      </c>
      <c r="B36816" s="3">
        <v>0</v>
      </c>
    </row>
    <row r="36817" ht="15.75" customHeight="1" spans="1:2">
      <c r="A36817" s="3" t="str">
        <f>IFERROR(__xludf.DUMMYFUNCTION("GOOGLETRANSLATE(A36817,""en"",""pt"")"),"Tela pequena, não Wap")</f>
        <v>Tela pequena, não Wap</v>
      </c>
      <c r="B36817" s="3">
        <v>0</v>
      </c>
    </row>
    <row r="36818" ht="15.75" customHeight="1" spans="1:2">
      <c r="A36818" s="3" t="str">
        <f>IFERROR(__xludf.DUMMYFUNCTION("GOOGLETRANSLATE(A36818,""en"",""pt"")"),"Sem acesso sem fio web / WAP")</f>
        <v>Sem acesso sem fio web / WAP</v>
      </c>
      <c r="B36818" s="3">
        <v>0</v>
      </c>
    </row>
    <row r="36819" ht="15.75" customHeight="1" spans="1:2">
      <c r="A36819" s="3" t="str">
        <f>IFERROR(__xludf.DUMMYFUNCTION("GOOGLETRANSLATE(A36819,""en"",""pt"")"),"Nenhum")</f>
        <v>Nenhum</v>
      </c>
      <c r="B36819" s="3">
        <v>0</v>
      </c>
    </row>
    <row r="36820" ht="15.75" customHeight="1" spans="1:2">
      <c r="A36820" s="3" t="str">
        <f>IFERROR(__xludf.DUMMYFUNCTION("GOOGLETRANSLATE(A36820,""en"",""pt"")"),"nenhum que nós encontramos!")</f>
        <v>nenhum que nós encontramos!</v>
      </c>
      <c r="B36820" s="3">
        <v>0</v>
      </c>
    </row>
    <row r="36821" ht="15.75" customHeight="1" spans="1:2">
      <c r="A36821" s="3" t="str">
        <f>IFERROR(__xludf.DUMMYFUNCTION("GOOGLETRANSLATE(A36821,""en"",""pt"")"),"Não é um telefone muito confiável, a bateria não dura muito tempo, recepção média")</f>
        <v>Não é um telefone muito confiável, a bateria não dura muito tempo, recepção média</v>
      </c>
      <c r="B36821" s="3">
        <v>0</v>
      </c>
    </row>
    <row r="36822" ht="15.75" customHeight="1" spans="1:2">
      <c r="A36822" s="3" t="str">
        <f>IFERROR(__xludf.DUMMYFUNCTION("GOOGLETRANSLATE(A36822,""en"",""pt"")"),"Interface lento, aleta frágil, firmware de buggy, tela pequena")</f>
        <v>Interface lento, aleta frágil, firmware de buggy, tela pequena</v>
      </c>
      <c r="B36822" s="3">
        <v>0</v>
      </c>
    </row>
    <row r="36823" ht="15.75" customHeight="1" spans="1:2">
      <c r="A36823" s="3" t="str">
        <f>IFERROR(__xludf.DUMMYFUNCTION("GOOGLETRANSLATE(A36823,""en"",""pt"")"),"má vida da bateria")</f>
        <v>má vida da bateria</v>
      </c>
      <c r="B36823" s="3">
        <v>0</v>
      </c>
    </row>
    <row r="36824" ht="15.75" customHeight="1" spans="1:2">
      <c r="A36824" s="3" t="str">
        <f>IFERROR(__xludf.DUMMYFUNCTION("GOOGLETRANSLATE(A36824,""en"",""pt"")"),"Bad peça de equipamento")</f>
        <v>Bad peça de equipamento</v>
      </c>
      <c r="B36824" s="3">
        <v>0</v>
      </c>
    </row>
    <row r="36825" ht="15.75" customHeight="1" spans="1:2">
      <c r="A36825" s="3" t="str">
        <f>IFERROR(__xludf.DUMMYFUNCTION("GOOGLETRANSLATE(A36825,""en"",""pt"")"),"tela pequena, problema w / bateria")</f>
        <v>tela pequena, problema w / bateria</v>
      </c>
      <c r="B36825" s="3">
        <v>0</v>
      </c>
    </row>
    <row r="36826" ht="15.75" customHeight="1" spans="1:2">
      <c r="A36826" s="3" t="str">
        <f>IFERROR(__xludf.DUMMYFUNCTION("GOOGLETRANSLATE(A36826,""en"",""pt"")"),"Nenhum na minha opinião")</f>
        <v>Nenhum na minha opinião</v>
      </c>
      <c r="B36826" s="3">
        <v>0</v>
      </c>
    </row>
    <row r="36827" ht="15.75" customHeight="1" spans="1:2">
      <c r="A36827" s="3" t="str">
        <f>IFERROR(__xludf.DUMMYFUNCTION("GOOGLETRANSLATE(A36827,""en"",""pt"")"),"Volumoso, tranquila alarme palma, não jog dial, a colocação da bateria, tela sem proteção, não pode sincronia com Macintosh")</f>
        <v>Volumoso, tranquila alarme palma, não jog dial, a colocação da bateria, tela sem proteção, não pode sincronia com Macintosh</v>
      </c>
      <c r="B36827" s="3">
        <v>0</v>
      </c>
    </row>
    <row r="36828" ht="15.75" customHeight="1" spans="1:2">
      <c r="A36828" s="3" t="str">
        <f>IFERROR(__xludf.DUMMYFUNCTION("GOOGLETRANSLATE(A36828,""en"",""pt"")"),"alarme OS palma não alto. não envio de mensagens SMS por padrão. Alguns bugs.")</f>
        <v>alarme OS palma não alto. não envio de mensagens SMS por padrão. Alguns bugs.</v>
      </c>
      <c r="B36828" s="3">
        <v>0</v>
      </c>
    </row>
    <row r="36829" ht="15.75" customHeight="1" spans="1:2">
      <c r="A36829" s="3" t="str">
        <f>IFERROR(__xludf.DUMMYFUNCTION("GOOGLETRANSLATE(A36829,""en"",""pt"")"),"Sprint PCS apoiar as pessoas sobrecarregado.")</f>
        <v>Sprint PCS apoiar as pessoas sobrecarregado.</v>
      </c>
      <c r="B36829" s="3">
        <v>0</v>
      </c>
    </row>
    <row r="36830" ht="15.75" customHeight="1" spans="1:2">
      <c r="A36830" s="3" t="str">
        <f>IFERROR(__xludf.DUMMYFUNCTION("GOOGLETRANSLATE(A36830,""en"",""pt"")"),"Hot Sync uma dor na bunda.")</f>
        <v>Hot Sync uma dor na bunda.</v>
      </c>
      <c r="B36830" s="3">
        <v>0</v>
      </c>
    </row>
    <row r="36831" ht="15.75" customHeight="1" spans="1:2">
      <c r="A36831" s="3" t="str">
        <f>IFERROR(__xludf.DUMMYFUNCTION("GOOGLETRANSLATE(A36831,""en"",""pt"")"),"Oil Facial, nenhum e-mail, Sem alarme, congelamento, não sms ou chat, há toques personalizados")</f>
        <v>Oil Facial, nenhum e-mail, Sem alarme, congelamento, não sms ou chat, há toques personalizados</v>
      </c>
      <c r="B36831" s="3">
        <v>0</v>
      </c>
    </row>
    <row r="36832" ht="15.75" customHeight="1" spans="1:2">
      <c r="A36832" s="3" t="str">
        <f>IFERROR(__xludf.DUMMYFUNCTION("GOOGLETRANSLATE(A36832,""en"",""pt"")"),"Muito longa espera para suporte técnico (Sprint).")</f>
        <v>Muito longa espera para suporte técnico (Sprint).</v>
      </c>
      <c r="B36832" s="3">
        <v>0</v>
      </c>
    </row>
    <row r="36833" ht="15.75" customHeight="1" spans="1:2">
      <c r="A36833" s="3" t="str">
        <f>IFERROR(__xludf.DUMMYFUNCTION("GOOGLETRANSLATE(A36833,""en"",""pt"")"),"velocidade da CPU lenta, telefone grande porte, a tela fica suja facilmente")</f>
        <v>velocidade da CPU lenta, telefone grande porte, a tela fica suja facilmente</v>
      </c>
      <c r="B36833" s="3">
        <v>0</v>
      </c>
    </row>
    <row r="36834" ht="15.75" customHeight="1" spans="1:2">
      <c r="A36834" s="3" t="str">
        <f>IFERROR(__xludf.DUMMYFUNCTION("GOOGLETRANSLATE(A36834,""en"",""pt"")"),"Nenhum")</f>
        <v>Nenhum</v>
      </c>
      <c r="B36834" s="3">
        <v>0</v>
      </c>
    </row>
    <row r="36835" ht="15.75" customHeight="1" spans="1:2">
      <c r="A36835" s="3" t="str">
        <f>IFERROR(__xludf.DUMMYFUNCTION("GOOGLETRANSLATE(A36835,""en"",""pt"")"),"O alarme não é tão alto")</f>
        <v>O alarme não é tão alto</v>
      </c>
      <c r="B36835" s="3">
        <v>0</v>
      </c>
    </row>
    <row r="36836" ht="15.75" customHeight="1" spans="1:2">
      <c r="A36836" s="3" t="str">
        <f>IFERROR(__xludf.DUMMYFUNCTION("GOOGLETRANSLATE(A36836,""en"",""pt"")"),"- trava com bastante freqüência")</f>
        <v>- trava com bastante freqüência</v>
      </c>
      <c r="B36836" s="3">
        <v>0</v>
      </c>
    </row>
    <row r="36837" ht="15.75" customHeight="1" spans="1:2">
      <c r="A36837" s="3" t="str">
        <f>IFERROR(__xludf.DUMMYFUNCTION("GOOGLETRANSLATE(A36837,""en"",""pt"")"),"software do telefone é esboçado, congelou várias vezes, Não é o telefone mais resistente lá fora.")</f>
        <v>software do telefone é esboçado, congelou várias vezes, Não é o telefone mais resistente lá fora.</v>
      </c>
      <c r="B36837" s="3">
        <v>0</v>
      </c>
    </row>
    <row r="36838" ht="15.75" customHeight="1" spans="1:2">
      <c r="A36838" s="3" t="str">
        <f>IFERROR(__xludf.DUMMYFUNCTION("GOOGLETRANSLATE(A36838,""en"",""pt"")"),"Tela difícil de ler na luz solar direta; difícil conseguir apoio experiente.")</f>
        <v>Tela difícil de ler na luz solar direta; difícil conseguir apoio experiente.</v>
      </c>
      <c r="B36838" s="3">
        <v>0</v>
      </c>
    </row>
    <row r="36839" ht="15.75" customHeight="1" spans="1:2">
      <c r="A36839" s="3" t="str">
        <f>IFERROR(__xludf.DUMMYFUNCTION("GOOGLETRANSLATE(A36839,""en"",""pt"")"),"Muito fácil de empurrar acidentalmente um botão; discagem por voz fica reiniciando")</f>
        <v>Muito fácil de empurrar acidentalmente um botão; discagem por voz fica reiniciando</v>
      </c>
      <c r="B36839" s="3">
        <v>0</v>
      </c>
    </row>
    <row r="36840" ht="15.75" customHeight="1" spans="1:2">
      <c r="A36840" s="3" t="str">
        <f>IFERROR(__xludf.DUMMYFUNCTION("GOOGLETRANSLATE(A36840,""en"",""pt"")"),"Pobre telefone / integração PDA")</f>
        <v>Pobre telefone / integração PDA</v>
      </c>
      <c r="B36840" s="3">
        <v>0</v>
      </c>
    </row>
    <row r="36841" ht="15.75" customHeight="1" spans="1:2">
      <c r="A36841" s="3" t="str">
        <f>IFERROR(__xludf.DUMMYFUNCTION("GOOGLETRANSLATE(A36841,""en"",""pt"")"),"capacidade de navegar na web pobres")</f>
        <v>capacidade de navegar na web pobres</v>
      </c>
      <c r="B36841" s="3">
        <v>0</v>
      </c>
    </row>
    <row r="36842" ht="15.75" customHeight="1" spans="1:2">
      <c r="A36842" s="3" t="str">
        <f>IFERROR(__xludf.DUMMYFUNCTION("GOOGLETRANSLATE(A36842,""en"",""pt"")"),"não vai HotSync consistentemente perde sua atribuição de porta USB após a reinicialização.")</f>
        <v>não vai HotSync consistentemente perde sua atribuição de porta USB após a reinicialização.</v>
      </c>
      <c r="B36842" s="3">
        <v>0</v>
      </c>
    </row>
    <row r="36843" ht="15.75" customHeight="1" spans="1:2">
      <c r="A36843" s="3" t="str">
        <f>IFERROR(__xludf.DUMMYFUNCTION("GOOGLETRANSLATE(A36843,""en"",""pt"")"),"Ele faz o que é anunciado a fazer e faz bem - há contras aqui.")</f>
        <v>Ele faz o que é anunciado a fazer e faz bem - há contras aqui.</v>
      </c>
      <c r="B36843" s="3">
        <v>0</v>
      </c>
    </row>
    <row r="36844" ht="15.75" customHeight="1" spans="1:2">
      <c r="A36844" s="3" t="str">
        <f>IFERROR(__xludf.DUMMYFUNCTION("GOOGLETRANSLATE(A36844,""en"",""pt"")"),"Sem internet, sem Bluetooth, Aquece em 20-25 minutos.")</f>
        <v>Sem internet, sem Bluetooth, Aquece em 20-25 minutos.</v>
      </c>
      <c r="B36844" s="3">
        <v>0</v>
      </c>
    </row>
    <row r="36845" ht="15.75" customHeight="1" spans="1:2">
      <c r="A36845" s="3" t="str">
        <f>IFERROR(__xludf.DUMMYFUNCTION("GOOGLETRANSLATE(A36845,""en"",""pt"")"),"A pouca eletricidade de resíduos.")</f>
        <v>A pouca eletricidade de resíduos.</v>
      </c>
      <c r="B36845" s="3">
        <v>0</v>
      </c>
    </row>
    <row r="36846" ht="15.75" customHeight="1" spans="1:2">
      <c r="A36846" s="3" t="str">
        <f>IFERROR(__xludf.DUMMYFUNCTION("GOOGLETRANSLATE(A36846,""en"",""pt"")"),"* A vida útil da bateria Short &amp; # 13;. &amp; # 10; * pode salvar apenas três mensagens &amp; # 13;. &amp; # 10; * Má voz clareza &amp; # 13;. &amp; # 10; &amp; # 13; &amp; # 10;")</f>
        <v>* A vida útil da bateria Short &amp; # 13;. &amp; # 10; * pode salvar apenas três mensagens &amp; # 13;. &amp; # 10; * Má voz clareza &amp; # 13;. &amp; # 10; &amp; # 13; &amp; # 10;</v>
      </c>
      <c r="B36846" s="3">
        <v>0</v>
      </c>
    </row>
    <row r="36847" ht="15.75" customHeight="1" spans="1:2">
      <c r="A36847" s="3" t="str">
        <f>IFERROR(__xludf.DUMMYFUNCTION("GOOGLETRANSLATE(A36847,""en"",""pt"")"),"Nenhum visível ainda")</f>
        <v>Nenhum visível ainda</v>
      </c>
      <c r="B36847" s="3">
        <v>0</v>
      </c>
    </row>
    <row r="36848" ht="15.75" customHeight="1" spans="1:2">
      <c r="A36848" s="3" t="str">
        <f>IFERROR(__xludf.DUMMYFUNCTION("GOOGLETRANSLATE(A36848,""en"",""pt"")"),"Não dobrar.")</f>
        <v>Não dobrar.</v>
      </c>
      <c r="B36848" s="3">
        <v>0</v>
      </c>
    </row>
    <row r="36849" ht="15.75" customHeight="1" spans="1:2">
      <c r="A36849" s="3" t="str">
        <f>IFERROR(__xludf.DUMMYFUNCTION("GOOGLETRANSLATE(A36849,""en"",""pt"")"),"Pode ser buggy às vezes.")</f>
        <v>Pode ser buggy às vezes.</v>
      </c>
      <c r="B36849" s="3">
        <v>0</v>
      </c>
    </row>
    <row r="36850" ht="15.75" customHeight="1" spans="1:2">
      <c r="A36850" s="3" t="str">
        <f>IFERROR(__xludf.DUMMYFUNCTION("GOOGLETRANSLATE(A36850,""en"",""pt"")"),"carece de recursos")</f>
        <v>carece de recursos</v>
      </c>
      <c r="B36850" s="3">
        <v>0</v>
      </c>
    </row>
    <row r="36851" ht="15.75" customHeight="1" spans="1:2">
      <c r="A36851" s="3" t="str">
        <f>IFERROR(__xludf.DUMMYFUNCTION("GOOGLETRANSLATE(A36851,""en"",""pt"")"),"Longo, botões muito pequeno.")</f>
        <v>Longo, botões muito pequeno.</v>
      </c>
      <c r="B36851" s="3">
        <v>0</v>
      </c>
    </row>
    <row r="36852" ht="15.75" customHeight="1" spans="1:2">
      <c r="A36852" s="3" t="str">
        <f>IFERROR(__xludf.DUMMYFUNCTION("GOOGLETRANSLATE(A36852,""en"",""pt"")"),"Botões pode ser demasiado pequena para algumas pessoas, alguns estática.")</f>
        <v>Botões pode ser demasiado pequena para algumas pessoas, alguns estática.</v>
      </c>
      <c r="B36852" s="3">
        <v>0</v>
      </c>
    </row>
    <row r="36853" ht="15.75" customHeight="1" spans="1:2">
      <c r="A36853" s="3" t="str">
        <f>IFERROR(__xludf.DUMMYFUNCTION("GOOGLETRANSLATE(A36853,""en"",""pt"")"),"A qualidade do som parece inconsistente. Não tenho certeza se é o telefone ou serviço.")</f>
        <v>A qualidade do som parece inconsistente. Não tenho certeza se é o telefone ou serviço.</v>
      </c>
      <c r="B36853" s="3">
        <v>0</v>
      </c>
    </row>
    <row r="36854" ht="15.75" customHeight="1" spans="1:2">
      <c r="A36854" s="3" t="str">
        <f>IFERROR(__xludf.DUMMYFUNCTION("GOOGLETRANSLATE(A36854,""en"",""pt"")"),"alguma distorção do som, não tenho certeza se o seu serviço ou telefone.")</f>
        <v>alguma distorção do som, não tenho certeza se o seu serviço ou telefone.</v>
      </c>
      <c r="B36854" s="3">
        <v>0</v>
      </c>
    </row>
    <row r="36855" ht="15.75" customHeight="1" spans="1:2">
      <c r="A36855" s="3" t="str">
        <f>IFERROR(__xludf.DUMMYFUNCTION("GOOGLETRANSLATE(A36855,""en"",""pt"")"),"para muitos cliques para chegar ao navegar na lista telefónica")</f>
        <v>para muitos cliques para chegar ao navegar na lista telefónica</v>
      </c>
      <c r="B36855" s="3">
        <v>0</v>
      </c>
    </row>
    <row r="36856" ht="15.75" customHeight="1" spans="1:2">
      <c r="A36856" s="3" t="str">
        <f>IFERROR(__xludf.DUMMYFUNCTION("GOOGLETRANSLATE(A36856,""en"",""pt"")"),"Construção pobre, graves problemas estáticos e conexão")</f>
        <v>Construção pobre, graves problemas estáticos e conexão</v>
      </c>
      <c r="B36856" s="3">
        <v>0</v>
      </c>
    </row>
    <row r="36857" ht="15.75" customHeight="1" spans="1:2">
      <c r="A36857" s="3" t="str">
        <f>IFERROR(__xludf.DUMMYFUNCTION("GOOGLETRANSLATE(A36857,""en"",""pt"")"),"pedaço inútil de lixo")</f>
        <v>pedaço inútil de lixo</v>
      </c>
      <c r="B36857" s="3">
        <v>0</v>
      </c>
    </row>
    <row r="36858" ht="15.75" customHeight="1" spans="1:2">
      <c r="A36858" s="3" t="str">
        <f>IFERROR(__xludf.DUMMYFUNCTION("GOOGLETRANSLATE(A36858,""en"",""pt"")"),"durabilidade, falhas no software")</f>
        <v>durabilidade, falhas no software</v>
      </c>
      <c r="B36858" s="3">
        <v>0</v>
      </c>
    </row>
    <row r="36859" ht="15.75" customHeight="1" spans="1:2">
      <c r="A36859" s="3" t="str">
        <f>IFERROR(__xludf.DUMMYFUNCTION("GOOGLETRANSLATE(A36859,""en"",""pt"")"),"Analógico, o tamanho do calendário, chamada temporizador desaparece quando você pressiona um número &amp; # 13; &amp; # 10; &amp; # 13; &amp; # 10;")</f>
        <v>Analógico, o tamanho do calendário, chamada temporizador desaparece quando você pressiona um número &amp; # 13; &amp; # 10; &amp; # 13; &amp; # 10;</v>
      </c>
      <c r="B36859" s="3">
        <v>0</v>
      </c>
    </row>
    <row r="36860" ht="15.75" customHeight="1" spans="1:2">
      <c r="A36860" s="3" t="str">
        <f>IFERROR(__xludf.DUMMYFUNCTION("GOOGLETRANSLATE(A36860,""en"",""pt"")"),"Este Nokia tem alguns problemas ..")</f>
        <v>Este Nokia tem alguns problemas ..</v>
      </c>
      <c r="B36860" s="3">
        <v>0</v>
      </c>
    </row>
    <row r="36861" ht="15.75" customHeight="1" spans="1:2">
      <c r="A36861" s="3" t="str">
        <f>IFERROR(__xludf.DUMMYFUNCTION("GOOGLETRANSLATE(A36861,""en"",""pt"")"),"Na grande parte dos telefones atuais.")</f>
        <v>Na grande parte dos telefones atuais.</v>
      </c>
      <c r="B36861" s="3">
        <v>0</v>
      </c>
    </row>
    <row r="36862" ht="15.75" customHeight="1" spans="1:2">
      <c r="A36862" s="3" t="str">
        <f>IFERROR(__xludf.DUMMYFUNCTION("GOOGLETRANSLATE(A36862,""en"",""pt"")"),"gordinho e robusta em comparação com os telefones saindo.")</f>
        <v>gordinho e robusta em comparação com os telefones saindo.</v>
      </c>
      <c r="B36862" s="3">
        <v>0</v>
      </c>
    </row>
    <row r="36863" ht="15.75" customHeight="1" spans="1:2">
      <c r="A36863" s="3" t="str">
        <f>IFERROR(__xludf.DUMMYFUNCTION("GOOGLETRANSLATE(A36863,""en"",""pt"")"),"Não é possível baixar anéis, não tem identificador de chamadas externo, cartão SIM também de fácil acesso")</f>
        <v>Não é possível baixar anéis, não tem identificador de chamadas externo, cartão SIM também de fácil acesso</v>
      </c>
      <c r="B36863" s="3">
        <v>0</v>
      </c>
    </row>
    <row r="36864" ht="15.75" customHeight="1" spans="1:2">
      <c r="A36864" s="3" t="str">
        <f>IFERROR(__xludf.DUMMYFUNCTION("GOOGLETRANSLATE(A36864,""en"",""pt"")"),"dobradiça lamentável. falante lamentável.")</f>
        <v>dobradiça lamentável. falante lamentável.</v>
      </c>
      <c r="B36864" s="3">
        <v>0</v>
      </c>
    </row>
    <row r="36865" ht="15.75" customHeight="1" spans="1:2">
      <c r="A36865" s="3" t="str">
        <f>IFERROR(__xludf.DUMMYFUNCTION("GOOGLETRANSLATE(A36865,""en"",""pt"")"),"Os botões podem ser melhor")</f>
        <v>Os botões podem ser melhor</v>
      </c>
      <c r="B36865" s="3">
        <v>0</v>
      </c>
    </row>
    <row r="36866" ht="15.75" customHeight="1" spans="1:2">
      <c r="A36866" s="3" t="str">
        <f>IFERROR(__xludf.DUMMYFUNCTION("GOOGLETRANSLATE(A36866,""en"",""pt"")"),"Menu de complexo, de longa Antena, costas cores claras desagradáveis, nenhum suporte de carregamento / sincronização na caixa.")</f>
        <v>Menu de complexo, de longa Antena, costas cores claras desagradáveis, nenhum suporte de carregamento / sincronização na caixa.</v>
      </c>
      <c r="B36866" s="3">
        <v>0</v>
      </c>
    </row>
    <row r="36867" ht="15.75" customHeight="1" spans="1:2">
      <c r="A36867" s="3" t="str">
        <f>IFERROR(__xludf.DUMMYFUNCTION("GOOGLETRANSLATE(A36867,""en"",""pt"")"),"Definir o tempo é difícil de descobrir.")</f>
        <v>Definir o tempo é difícil de descobrir.</v>
      </c>
      <c r="B36867" s="3">
        <v>0</v>
      </c>
    </row>
    <row r="36868" ht="15.75" customHeight="1" spans="1:2">
      <c r="A36868" s="3" t="str">
        <f>IFERROR(__xludf.DUMMYFUNCTION("GOOGLETRANSLATE(A36868,""en"",""pt"")"),"No back-luz à noite, sem identificador de chamadas externo, teclas muito pequenas")</f>
        <v>No back-luz à noite, sem identificador de chamadas externo, teclas muito pequenas</v>
      </c>
      <c r="B36868" s="3">
        <v>0</v>
      </c>
    </row>
    <row r="36869" ht="15.75" customHeight="1" spans="1:2">
      <c r="A36869" s="3" t="str">
        <f>IFERROR(__xludf.DUMMYFUNCTION("GOOGLETRANSLATE(A36869,""en"",""pt"")"),"volume do auscultador. antena curto e grosso. mostrador em tons de cinza. Não há muitos recursos adicionais.")</f>
        <v>volume do auscultador. antena curto e grosso. mostrador em tons de cinza. Não há muitos recursos adicionais.</v>
      </c>
      <c r="B36869" s="3">
        <v>0</v>
      </c>
    </row>
    <row r="36870" ht="15.75" customHeight="1" spans="1:2">
      <c r="A36870" s="3" t="str">
        <f>IFERROR(__xludf.DUMMYFUNCTION("GOOGLETRANSLATE(A36870,""en"",""pt"")"),"há cabo de sincronização / alguns acessórios para telefone")</f>
        <v>há cabo de sincronização / alguns acessórios para telefone</v>
      </c>
      <c r="B36870" s="3">
        <v>0</v>
      </c>
    </row>
    <row r="36871" ht="15.75" customHeight="1" spans="1:2">
      <c r="A36871" s="3" t="str">
        <f>IFERROR(__xludf.DUMMYFUNCTION("GOOGLETRANSLATE(A36871,""en"",""pt"")"),"não veio com um carregador de bateria para o carro.")</f>
        <v>não veio com um carregador de bateria para o carro.</v>
      </c>
      <c r="B36871" s="3">
        <v>0</v>
      </c>
    </row>
    <row r="36872" ht="15.75" customHeight="1" spans="1:2">
      <c r="A36872" s="3" t="str">
        <f>IFERROR(__xludf.DUMMYFUNCTION("GOOGLETRANSLATE(A36872,""en"",""pt"")"),"não muito alto falante em situações ao ar livre")</f>
        <v>não muito alto falante em situações ao ar livre</v>
      </c>
      <c r="B36872" s="3">
        <v>0</v>
      </c>
    </row>
    <row r="36873" ht="15.75" customHeight="1" spans="1:2">
      <c r="A36873" s="3" t="str">
        <f>IFERROR(__xludf.DUMMYFUNCTION("GOOGLETRANSLATE(A36873,""en"",""pt"")"),"Pequeno teclado, nenhum identificador de chamadas externo, teclado não está iluminado.")</f>
        <v>Pequeno teclado, nenhum identificador de chamadas externo, teclado não está iluminado.</v>
      </c>
      <c r="B36873" s="3">
        <v>0</v>
      </c>
    </row>
    <row r="36874" ht="15.75" customHeight="1" spans="1:2">
      <c r="A36874" s="3" t="str">
        <f>IFERROR(__xludf.DUMMYFUNCTION("GOOGLETRANSLATE(A36874,""en"",""pt"")"),"não o suficiente vida útil da bateria")</f>
        <v>não o suficiente vida útil da bateria</v>
      </c>
      <c r="B36874" s="3">
        <v>0</v>
      </c>
    </row>
    <row r="36875" ht="15.75" customHeight="1" spans="1:2">
      <c r="A36875" s="3" t="str">
        <f>IFERROR(__xludf.DUMMYFUNCTION("GOOGLETRANSLATE(A36875,""en"",""pt"")"),"tampa do SIM sai facilmente. Telefone aleatoriamente ""falha.""")</f>
        <v>tampa do SIM sai facilmente. Telefone aleatoriamente "falha."</v>
      </c>
      <c r="B36875" s="3">
        <v>0</v>
      </c>
    </row>
    <row r="36876" ht="15.75" customHeight="1" spans="1:2">
      <c r="A36876" s="3" t="str">
        <f>IFERROR(__xludf.DUMMYFUNCTION("GOOGLETRANSLATE(A36876,""en"",""pt"")"),"tranquila orador em grandes multidões, dobradiça é tipo de barato (qualidade sábio), não muitos recursos")</f>
        <v>tranquila orador em grandes multidões, dobradiça é tipo de barato (qualidade sábio), não muitos recursos</v>
      </c>
      <c r="B36876" s="3">
        <v>0</v>
      </c>
    </row>
    <row r="36877" ht="15.75" customHeight="1" spans="1:2">
      <c r="A36877" s="3" t="str">
        <f>IFERROR(__xludf.DUMMYFUNCTION("GOOGLETRANSLATE(A36877,""en"",""pt"")"),"Eu realmente não posso pensar em nada ... oops - sorry ...")</f>
        <v>Eu realmente não posso pensar em nada ... oops - sorry ...</v>
      </c>
      <c r="B36877" s="3">
        <v>0</v>
      </c>
    </row>
    <row r="36878" ht="15.75" customHeight="1" spans="1:2">
      <c r="A36878" s="3" t="str">
        <f>IFERROR(__xludf.DUMMYFUNCTION("GOOGLETRANSLATE(A36878,""en"",""pt"")"),"fecha telefone desligado quando quer. A vida da bateria diminui.")</f>
        <v>fecha telefone desligado quando quer. A vida da bateria diminui.</v>
      </c>
      <c r="B36878" s="3">
        <v>0</v>
      </c>
    </row>
    <row r="36879" ht="15.75" customHeight="1" spans="1:2">
      <c r="A36879" s="3" t="str">
        <f>IFERROR(__xludf.DUMMYFUNCTION("GOOGLETRANSLATE(A36879,""en"",""pt"")"),"O ""Painel"" e pouco aba na frente não se ater.")</f>
        <v>O "Painel" e pouco aba na frente não se ater.</v>
      </c>
      <c r="B36879" s="3">
        <v>0</v>
      </c>
    </row>
    <row r="36880" ht="15.75" customHeight="1" spans="1:2">
      <c r="A36880" s="3" t="str">
        <f>IFERROR(__xludf.DUMMYFUNCTION("GOOGLETRANSLATE(A36880,""en"",""pt"")"),"fone tranquila, pequena tela muito pequena, menus irritantes.")</f>
        <v>fone tranquila, pequena tela muito pequena, menus irritantes.</v>
      </c>
      <c r="B36880" s="3">
        <v>0</v>
      </c>
    </row>
    <row r="36881" ht="15.75" customHeight="1" spans="1:2">
      <c r="A36881" s="3" t="str">
        <f>IFERROR(__xludf.DUMMYFUNCTION("GOOGLETRANSLATE(A36881,""en"",""pt"")"),"Ainda não há grupos de chamada. Menu Complex. Não é possível transferir tons de toque")</f>
        <v>Ainda não há grupos de chamada. Menu Complex. Não é possível transferir tons de toque</v>
      </c>
      <c r="B36881" s="3">
        <v>0</v>
      </c>
    </row>
    <row r="36882" ht="15.75" customHeight="1" spans="1:2">
      <c r="A36882" s="3" t="str">
        <f>IFERROR(__xludf.DUMMYFUNCTION("GOOGLETRANSLATE(A36882,""en"",""pt"")"),"baixo volume pedaço da orelha, não um telefone polifônicos (não pode baixar músicas anel)")</f>
        <v>baixo volume pedaço da orelha, não um telefone polifônicos (não pode baixar músicas anel)</v>
      </c>
      <c r="B36882" s="3">
        <v>0</v>
      </c>
    </row>
    <row r="36883" ht="15.75" customHeight="1" spans="1:2">
      <c r="A36883" s="3" t="str">
        <f>IFERROR(__xludf.DUMMYFUNCTION("GOOGLETRANSLATE(A36883,""en"",""pt"")"),"Volumoso.")</f>
        <v>Volumoso.</v>
      </c>
      <c r="B36883" s="3">
        <v>0</v>
      </c>
    </row>
    <row r="36884" ht="15.75" customHeight="1" spans="1:2">
      <c r="A36884" s="3" t="str">
        <f>IFERROR(__xludf.DUMMYFUNCTION("GOOGLETRANSLATE(A36884,""en"",""pt"")"),"Tamanho grande demais para alguns")</f>
        <v>Tamanho grande demais para alguns</v>
      </c>
      <c r="B36884" s="3">
        <v>0</v>
      </c>
    </row>
    <row r="36885" ht="15.75" customHeight="1" spans="1:2">
      <c r="A36885" s="3" t="str">
        <f>IFERROR(__xludf.DUMMYFUNCTION("GOOGLETRANSLATE(A36885,""en"",""pt"")"),"Tamanho, a vida da bateria,")</f>
        <v>Tamanho, a vida da bateria,</v>
      </c>
      <c r="B36885" s="3">
        <v>0</v>
      </c>
    </row>
    <row r="36886" ht="15.75" customHeight="1" spans="1:2">
      <c r="A36886" s="3" t="str">
        <f>IFERROR(__xludf.DUMMYFUNCTION("GOOGLETRANSLATE(A36886,""en"",""pt"")"),"O resto")</f>
        <v>O resto</v>
      </c>
      <c r="B36886" s="3">
        <v>0</v>
      </c>
    </row>
    <row r="36887" ht="15.75" customHeight="1" spans="1:2">
      <c r="A36887" s="3" t="str">
        <f>IFERROR(__xludf.DUMMYFUNCTION("GOOGLETRANSLATE(A36887,""en"",""pt"")"),"Baixa vida útil da bateria - um pouco ultrapassado por telefones mais recentes - Não Bluetooth áudio")</f>
        <v>Baixa vida útil da bateria - um pouco ultrapassado por telefones mais recentes - Não Bluetooth áudio</v>
      </c>
      <c r="B36887" s="3">
        <v>0</v>
      </c>
    </row>
    <row r="36888" ht="15.75" customHeight="1" spans="1:2">
      <c r="A36888" s="3" t="str">
        <f>IFERROR(__xludf.DUMMYFUNCTION("GOOGLETRANSLATE(A36888,""en"",""pt"")"),"Tamanho")</f>
        <v>Tamanho</v>
      </c>
      <c r="B36888" s="3">
        <v>0</v>
      </c>
    </row>
    <row r="36889" ht="15.75" customHeight="1" spans="1:2">
      <c r="A36889" s="3" t="str">
        <f>IFERROR(__xludf.DUMMYFUNCTION("GOOGLETRANSLATE(A36889,""en"",""pt"")"),"vida útil da bateria, não sincronização do catálogo de endereços")</f>
        <v>vida útil da bateria, não sincronização do catálogo de endereços</v>
      </c>
      <c r="B36889" s="3">
        <v>0</v>
      </c>
    </row>
    <row r="36890" ht="15.75" customHeight="1" spans="1:2">
      <c r="A36890" s="3" t="str">
        <f>IFERROR(__xludf.DUMMYFUNCTION("GOOGLETRANSLATE(A36890,""en"",""pt"")"),"A vida da bateria, custo (US $ 499.99), web não na cor, sincronização não vai com PDA / computador")</f>
        <v>A vida da bateria, custo (US $ 499.99), web não na cor, sincronização não vai com PDA / computador</v>
      </c>
      <c r="B36890" s="3">
        <v>0</v>
      </c>
    </row>
    <row r="36891" ht="15.75" customHeight="1" spans="1:2">
      <c r="A36891" s="3" t="str">
        <f>IFERROR(__xludf.DUMMYFUNCTION("GOOGLETRANSLATE(A36891,""en"",""pt"")"),"preço alto, a vida da bateria fraca, discagem por voz fraca, sofá-antena.")</f>
        <v>preço alto, a vida da bateria fraca, discagem por voz fraca, sofá-antena.</v>
      </c>
      <c r="B36891" s="3">
        <v>0</v>
      </c>
    </row>
    <row r="36892" ht="15.75" customHeight="1" spans="1:2">
      <c r="A36892" s="3" t="str">
        <f>IFERROR(__xludf.DUMMYFUNCTION("GOOGLETRANSLATE(A36892,""en"",""pt"")"),"O alto preço não vale a pena ter apenas um telefone rastreados cor.")</f>
        <v>O alto preço não vale a pena ter apenas um telefone rastreados cor.</v>
      </c>
      <c r="B36892" s="3">
        <v>0</v>
      </c>
    </row>
    <row r="36893" ht="15.75" customHeight="1" spans="1:2">
      <c r="A36893" s="3" t="str">
        <f>IFERROR(__xludf.DUMMYFUNCTION("GOOGLETRANSLATE(A36893,""en"",""pt"")"),"HCI desleixado, não tirar o máximo partido das capacidades, abaixo recepção média")</f>
        <v>HCI desleixado, não tirar o máximo partido das capacidades, abaixo recepção média</v>
      </c>
      <c r="B36893" s="3">
        <v>0</v>
      </c>
    </row>
    <row r="36894" ht="15.75" customHeight="1" spans="1:2">
      <c r="A36894" s="3" t="str">
        <f>IFERROR(__xludf.DUMMYFUNCTION("GOOGLETRANSLATE(A36894,""en"",""pt"")"),"A duração da bateria é um pouco chato.")</f>
        <v>A duração da bateria é um pouco chato.</v>
      </c>
      <c r="B36894" s="3">
        <v>0</v>
      </c>
    </row>
    <row r="36895" ht="15.75" customHeight="1" spans="1:2">
      <c r="A36895" s="3" t="str">
        <f>IFERROR(__xludf.DUMMYFUNCTION("GOOGLETRANSLATE(A36895,""en"",""pt"")"),"Extremamente caro, muito pobre vida útil da bateria; nenhuma opção boa para bateria estendida")</f>
        <v>Extremamente caro, muito pobre vida útil da bateria; nenhuma opção boa para bateria estendida</v>
      </c>
      <c r="B36895" s="3">
        <v>0</v>
      </c>
    </row>
    <row r="36896" ht="15.75" customHeight="1" spans="1:2">
      <c r="A36896" s="3" t="str">
        <f>IFERROR(__xludf.DUMMYFUNCTION("GOOGLETRANSLATE(A36896,""en"",""pt"")"),"PREÇO!! A vida da bateria eo novo 5150 sucessor.")</f>
        <v>PREÇO!! A vida da bateria eo novo 5150 sucessor.</v>
      </c>
      <c r="B36896" s="3">
        <v>0</v>
      </c>
    </row>
    <row r="36897" ht="15.75" customHeight="1" spans="1:2">
      <c r="A36897" s="3" t="str">
        <f>IFERROR(__xludf.DUMMYFUNCTION("GOOGLETRANSLATE(A36897,""en"",""pt"")"),"Alto custo, a vida comparativamente baixo da bateria")</f>
        <v>Alto custo, a vida comparativamente baixo da bateria</v>
      </c>
      <c r="B36897" s="3">
        <v>0</v>
      </c>
    </row>
    <row r="36898" ht="15.75" customHeight="1" spans="1:2">
      <c r="A36898" s="3" t="str">
        <f>IFERROR(__xludf.DUMMYFUNCTION("GOOGLETRANSLATE(A36898,""en"",""pt"")"),"a vida da bateria pobres, caros, apenas 256 cores.")</f>
        <v>a vida da bateria pobres, caros, apenas 256 cores.</v>
      </c>
      <c r="B36898" s="3">
        <v>0</v>
      </c>
    </row>
    <row r="36899" ht="15.75" customHeight="1" spans="1:2">
      <c r="A36899" s="3" t="str">
        <f>IFERROR(__xludf.DUMMYFUNCTION("GOOGLETRANSLATE(A36899,""en"",""pt"")"),"vida útil da bateria caro, e curta")</f>
        <v>vida útil da bateria caro, e curta</v>
      </c>
      <c r="B36899" s="3">
        <v>0</v>
      </c>
    </row>
    <row r="36900" ht="15.75" customHeight="1" spans="1:2">
      <c r="A36900" s="3" t="str">
        <f>IFERROR(__xludf.DUMMYFUNCTION("GOOGLETRANSLATE(A36900,""en"",""pt"")"),"muito dinheiro, meio grande")</f>
        <v>muito dinheiro, meio grande</v>
      </c>
      <c r="B36900" s="3">
        <v>0</v>
      </c>
    </row>
    <row r="36901" ht="15.75" customHeight="1" spans="1:2">
      <c r="A36901" s="3" t="str">
        <f>IFERROR(__xludf.DUMMYFUNCTION("GOOGLETRANSLATE(A36901,""en"",""pt"")"),"vida útil da bateria, o custo")</f>
        <v>vida útil da bateria, o custo</v>
      </c>
      <c r="B36901" s="3">
        <v>0</v>
      </c>
    </row>
    <row r="36902" ht="15.75" customHeight="1" spans="1:2">
      <c r="A36902" s="3" t="str">
        <f>IFERROR(__xludf.DUMMYFUNCTION("GOOGLETRANSLATE(A36902,""en"",""pt"")"),"A vida da bateria .. livro de telefone complicado")</f>
        <v>A vida da bateria .. livro de telefone complicado</v>
      </c>
      <c r="B36902" s="3">
        <v>0</v>
      </c>
    </row>
    <row r="36903" ht="15.75" customHeight="1" spans="1:2">
      <c r="A36903" s="3" t="str">
        <f>IFERROR(__xludf.DUMMYFUNCTION("GOOGLETRANSLATE(A36903,""en"",""pt"")"),"Talvez o custo para os ratos do tapete pobres.")</f>
        <v>Talvez o custo para os ratos do tapete pobres.</v>
      </c>
      <c r="B36903" s="3">
        <v>0</v>
      </c>
    </row>
    <row r="36904" ht="15.75" customHeight="1" spans="1:2">
      <c r="A36904" s="3" t="str">
        <f>IFERROR(__xludf.DUMMYFUNCTION("GOOGLETRANSLATE(A36904,""en"",""pt"")"),"TODO O RESTO!! O telefone é um fracasso, má recepção sempre ....")</f>
        <v>TODO O RESTO!! O telefone é um fracasso, má recepção sempre ....</v>
      </c>
      <c r="B36904" s="3">
        <v>0</v>
      </c>
    </row>
    <row r="36905" ht="15.75" customHeight="1" spans="1:2">
      <c r="A36905" s="3" t="str">
        <f>IFERROR(__xludf.DUMMYFUNCTION("GOOGLETRANSLATE(A36905,""en"",""pt"")"),"CARO US $ 500, vida da bateria é muito curta, mais acessorios $ 170")</f>
        <v>CARO US $ 500, vida da bateria é muito curta, mais acessorios $ 170</v>
      </c>
      <c r="B36905" s="3">
        <v>0</v>
      </c>
    </row>
    <row r="36906" ht="15.75" customHeight="1" spans="1:2">
      <c r="A36906" s="3" t="str">
        <f>IFERROR(__xludf.DUMMYFUNCTION("GOOGLETRANSLATE(A36906,""en"",""pt"")"),"bastante amplo, não livre de roaming web ou organizor programas wireless")</f>
        <v>bastante amplo, não livre de roaming web ou organizor programas wireless</v>
      </c>
      <c r="B36906" s="3">
        <v>0</v>
      </c>
    </row>
    <row r="36907" ht="15.75" customHeight="1" spans="1:2">
      <c r="A36907" s="3" t="str">
        <f>IFERROR(__xludf.DUMMYFUNCTION("GOOGLETRANSLATE(A36907,""en"",""pt"")"),"bloqueio patético teclado, bateria ruim, antena vulneráveis, sem vibrador.")</f>
        <v>bloqueio patético teclado, bateria ruim, antena vulneráveis, sem vibrador.</v>
      </c>
      <c r="B36907" s="3">
        <v>0</v>
      </c>
    </row>
    <row r="36908" ht="15.75" customHeight="1" spans="1:2">
      <c r="A36908" s="3" t="str">
        <f>IFERROR(__xludf.DUMMYFUNCTION("GOOGLETRANSLATE(A36908,""en"",""pt"")"),"Difícil de ler superior do display, as baterias não tem carregador separado")</f>
        <v>Difícil de ler superior do display, as baterias não tem carregador separado</v>
      </c>
      <c r="B36908" s="3">
        <v>0</v>
      </c>
    </row>
    <row r="36909" ht="15.75" customHeight="1" spans="1:2">
      <c r="A36909" s="3" t="str">
        <f>IFERROR(__xludf.DUMMYFUNCTION("GOOGLETRANSLATE(A36909,""en"",""pt"")"),"Não é possível conectar a dispositivos. Opções no telefone limitado devido ao tipo de serviço.")</f>
        <v>Não é possível conectar a dispositivos. Opções no telefone limitado devido ao tipo de serviço.</v>
      </c>
      <c r="B36909" s="3">
        <v>0</v>
      </c>
    </row>
    <row r="36910" ht="15.75" customHeight="1" spans="1:2">
      <c r="A36910" s="3" t="str">
        <f>IFERROR(__xludf.DUMMYFUNCTION("GOOGLETRANSLATE(A36910,""en"",""pt"")"),"apenas 9 estilos de toque, sem jogos (como o Nokia)")</f>
        <v>apenas 9 estilos de toque, sem jogos (como o Nokia)</v>
      </c>
      <c r="B36910" s="3">
        <v>0</v>
      </c>
    </row>
    <row r="36911" ht="15.75" customHeight="1" spans="1:2">
      <c r="A36911" s="3" t="str">
        <f>IFERROR(__xludf.DUMMYFUNCTION("GOOGLETRANSLATE(A36911,""en"",""pt"")"),"Por vezes apenas anéis de 1-2 vezes (não ajustável); telefone envolve tela obscura")</f>
        <v>Por vezes apenas anéis de 1-2 vezes (não ajustável); telefone envolve tela obscura</v>
      </c>
      <c r="B36911" s="3">
        <v>0</v>
      </c>
    </row>
    <row r="36912" ht="15.75" customHeight="1" spans="1:2">
      <c r="A36912" s="3" t="str">
        <f>IFERROR(__xludf.DUMMYFUNCTION("GOOGLETRANSLATE(A36912,""en"",""pt"")"),"Nenhum anel em silêncio.")</f>
        <v>Nenhum anel em silêncio.</v>
      </c>
      <c r="B36912" s="3">
        <v>0</v>
      </c>
    </row>
    <row r="36913" ht="15.75" customHeight="1" spans="1:2">
      <c r="A36913" s="3" t="str">
        <f>IFERROR(__xludf.DUMMYFUNCTION("GOOGLETRANSLATE(A36913,""en"",""pt"")"),"Lado esquerdo da tela, por vezes, difícil de ler.")</f>
        <v>Lado esquerdo da tela, por vezes, difícil de ler.</v>
      </c>
      <c r="B36913" s="3">
        <v>0</v>
      </c>
    </row>
    <row r="36914" ht="15.75" customHeight="1" spans="1:2">
      <c r="A36914" s="3" t="str">
        <f>IFERROR(__xludf.DUMMYFUNCTION("GOOGLETRANSLATE(A36914,""en"",""pt"")"),"Ele não tem jogos. Não como muitos acessórios como outros telefones.")</f>
        <v>Ele não tem jogos. Não como muitos acessórios como outros telefones.</v>
      </c>
      <c r="B36914" s="3">
        <v>0</v>
      </c>
    </row>
    <row r="36915" ht="15.75" customHeight="1" spans="1:2">
      <c r="A36915" s="3" t="str">
        <f>IFERROR(__xludf.DUMMYFUNCTION("GOOGLETRANSLATE(A36915,""en"",""pt"")"),"Algumas características, falta de compatibilidade, muitos mais")</f>
        <v>Algumas características, falta de compatibilidade, muitos mais</v>
      </c>
      <c r="B36915" s="3">
        <v>0</v>
      </c>
    </row>
    <row r="36916" ht="15.75" customHeight="1" spans="1:2">
      <c r="A36916" s="3" t="str">
        <f>IFERROR(__xludf.DUMMYFUNCTION("GOOGLETRANSLATE(A36916,""en"",""pt"")"),"botão de energia, erros de gravação de voz ...")</f>
        <v>botão de energia, erros de gravação de voz ...</v>
      </c>
      <c r="B36916" s="3">
        <v>0</v>
      </c>
    </row>
    <row r="36917" ht="15.75" customHeight="1" spans="1:2">
      <c r="A36917" s="3" t="str">
        <f>IFERROR(__xludf.DUMMYFUNCTION("GOOGLETRANSLATE(A36917,""en"",""pt"")"),"Provavelmente será obselete breve :(")</f>
        <v>Provavelmente será obselete breve :(</v>
      </c>
      <c r="B36917" s="3">
        <v>0</v>
      </c>
    </row>
    <row r="36918" ht="15.75" customHeight="1" spans="1:2">
      <c r="A36918" s="3" t="str">
        <f>IFERROR(__xludf.DUMMYFUNCTION("GOOGLETRANSLATE(A36918,""en"",""pt"")"),"Não boa qualidade, pode ser pequeno demais para muitas pessoas")</f>
        <v>Não boa qualidade, pode ser pequeno demais para muitas pessoas</v>
      </c>
      <c r="B36918" s="3">
        <v>0</v>
      </c>
    </row>
    <row r="36919" ht="15.75" customHeight="1" spans="1:2">
      <c r="A36919" s="3" t="str">
        <f>IFERROR(__xludf.DUMMYFUNCTION("GOOGLETRANSLATE(A36919,""en"",""pt"")"),"Nokia 8310")</f>
        <v>Nokia 8310</v>
      </c>
      <c r="B36919" s="3">
        <v>0</v>
      </c>
    </row>
    <row r="36920" ht="15.75" customHeight="1" spans="1:2">
      <c r="A36920" s="3" t="str">
        <f>IFERROR(__xludf.DUMMYFUNCTION("GOOGLETRANSLATE(A36920,""en"",""pt"")"),"Não confiável: ele congela como um motherf * @ # 3R.")</f>
        <v>Não confiável: ele congela como um motherf * @ # 3R.</v>
      </c>
      <c r="B36920" s="3">
        <v>0</v>
      </c>
    </row>
    <row r="36921" ht="15.75" customHeight="1" spans="1:2">
      <c r="A36921" s="3" t="str">
        <f>IFERROR(__xludf.DUMMYFUNCTION("GOOGLETRANSLATE(A36921,""en"",""pt"")"),"O jogo não é suficiente e há todos os jogos antigos.")</f>
        <v>O jogo não é suficiente e há todos os jogos antigos.</v>
      </c>
      <c r="B36921" s="3">
        <v>0</v>
      </c>
    </row>
    <row r="36922" ht="15.75" customHeight="1" spans="1:2">
      <c r="A36922" s="3" t="str">
        <f>IFERROR(__xludf.DUMMYFUNCTION("GOOGLETRANSLATE(A36922,""en"",""pt"")"),"Má qualidade geral, o volume do toque")</f>
        <v>Má qualidade geral, o volume do toque</v>
      </c>
      <c r="B36922" s="3">
        <v>0</v>
      </c>
    </row>
    <row r="36923" ht="15.75" customHeight="1" spans="1:2">
      <c r="A36923" s="3" t="str">
        <f>IFERROR(__xludf.DUMMYFUNCTION("GOOGLETRANSLATE(A36923,""en"",""pt"")"),"delicada, às vezes não trabalha com nenhuma razão")</f>
        <v>delicada, às vezes não trabalha com nenhuma razão</v>
      </c>
      <c r="B36923" s="3">
        <v>0</v>
      </c>
    </row>
    <row r="36924" ht="15.75" customHeight="1" spans="1:2">
      <c r="A36924" s="3" t="str">
        <f>IFERROR(__xludf.DUMMYFUNCTION("GOOGLETRANSLATE(A36924,""en"",""pt"")"),"Parece bastante delicada.")</f>
        <v>Parece bastante delicada.</v>
      </c>
      <c r="B36924" s="3">
        <v>0</v>
      </c>
    </row>
    <row r="36925" ht="15.75" customHeight="1" spans="1:2">
      <c r="A36925" s="3" t="str">
        <f>IFERROR(__xludf.DUMMYFUNCTION("GOOGLETRANSLATE(A36925,""en"",""pt"")"),"Eu gosto do tamanho e estilo do 8310.")</f>
        <v>Eu gosto do tamanho e estilo do 8310.</v>
      </c>
      <c r="B36925" s="3">
        <v>0</v>
      </c>
    </row>
    <row r="36926" ht="15.75" customHeight="1" spans="1:2">
      <c r="A36926" s="3" t="str">
        <f>IFERROR(__xludf.DUMMYFUNCTION("GOOGLETRANSLATE(A36926,""en"",""pt"")"),"Sem alfabética triagem de lista de telefones, digital só.")</f>
        <v>Sem alfabética triagem de lista de telefones, digital só.</v>
      </c>
      <c r="B36926" s="3">
        <v>0</v>
      </c>
    </row>
    <row r="36927" ht="15.75" customHeight="1" spans="1:2">
      <c r="A36927" s="3" t="str">
        <f>IFERROR(__xludf.DUMMYFUNCTION("GOOGLETRANSLATE(A36927,""en"",""pt"")"),"Digital somente telefone de banda única (sem itinerância analógico); pode ser inútil em caso de emergência")</f>
        <v>Digital somente telefone de banda única (sem itinerância analógico); pode ser inútil em caso de emergência</v>
      </c>
      <c r="B36927" s="3">
        <v>0</v>
      </c>
    </row>
    <row r="36928" ht="15.75" customHeight="1" spans="1:2">
      <c r="A36928" s="3" t="str">
        <f>IFERROR(__xludf.DUMMYFUNCTION("GOOGLETRANSLATE(A36928,""en"",""pt"")"),"livro de telefone Bass-desagradável, ringtones de queijo")</f>
        <v>livro de telefone Bass-desagradável, ringtones de queijo</v>
      </c>
      <c r="B36928" s="3">
        <v>0</v>
      </c>
    </row>
    <row r="36929" ht="15.75" customHeight="1" spans="1:2">
      <c r="A36929" s="3" t="str">
        <f>IFERROR(__xludf.DUMMYFUNCTION("GOOGLETRANSLATE(A36929,""en"",""pt"")"),"De banda única, questionável qualidade de construção")</f>
        <v>De banda única, questionável qualidade de construção</v>
      </c>
      <c r="B36929" s="3">
        <v>0</v>
      </c>
    </row>
    <row r="36930" ht="15.75" customHeight="1" spans="1:2">
      <c r="A36930" s="3" t="str">
        <f>IFERROR(__xludf.DUMMYFUNCTION("GOOGLETRANSLATE(A36930,""en"",""pt"")"),"livro endereço ímpar, menus letras um pouco profundo, não é suficiente para LCD no livro de endereços")</f>
        <v>livro endereço ímpar, menus letras um pouco profundo, não é suficiente para LCD no livro de endereços</v>
      </c>
      <c r="B36930" s="3">
        <v>0</v>
      </c>
    </row>
    <row r="36931" ht="15.75" customHeight="1" spans="1:2">
      <c r="A36931" s="3" t="str">
        <f>IFERROR(__xludf.DUMMYFUNCTION("GOOGLETRANSLATE(A36931,""en"",""pt"")"),"Banda única")</f>
        <v>Banda única</v>
      </c>
      <c r="B36931" s="3">
        <v>0</v>
      </c>
    </row>
    <row r="36932" ht="15.75" customHeight="1" spans="1:2">
      <c r="A36932" s="3" t="str">
        <f>IFERROR(__xludf.DUMMYFUNCTION("GOOGLETRANSLATE(A36932,""en"",""pt"")"),"Conseguir usar para falar para o ar. O vibrador é mais como um silêncio do alarme.")</f>
        <v>Conseguir usar para falar para o ar. O vibrador é mais como um silêncio do alarme.</v>
      </c>
      <c r="B36932" s="3">
        <v>0</v>
      </c>
    </row>
    <row r="36933" ht="15.75" customHeight="1" spans="1:2">
      <c r="A36933" s="3" t="str">
        <f>IFERROR(__xludf.DUMMYFUNCTION("GOOGLETRANSLATE(A36933,""en"",""pt"")"),"história do serviço ruim com Sprint")</f>
        <v>história do serviço ruim com Sprint</v>
      </c>
      <c r="B36933" s="3">
        <v>0</v>
      </c>
    </row>
    <row r="36934" ht="15.75" customHeight="1" spans="1:2">
      <c r="A36934" s="3" t="str">
        <f>IFERROR(__xludf.DUMMYFUNCTION("GOOGLETRANSLATE(A36934,""en"",""pt"")"),"No livro de telefone em ordem alfabética")</f>
        <v>No livro de telefone em ordem alfabética</v>
      </c>
      <c r="B36934" s="3">
        <v>0</v>
      </c>
    </row>
    <row r="36935" ht="15.75" customHeight="1" spans="1:2">
      <c r="A36935" s="3" t="str">
        <f>IFERROR(__xludf.DUMMYFUNCTION("GOOGLETRANSLATE(A36935,""en"",""pt"")"),"De banda única, sem marcação por voz, livro de telefone não alfabetizados, drena busca poder para o serviço")</f>
        <v>De banda única, sem marcação por voz, livro de telefone não alfabetizados, drena busca poder para o serviço</v>
      </c>
      <c r="B36935" s="3">
        <v>0</v>
      </c>
    </row>
    <row r="36936" ht="15.75" customHeight="1" spans="1:2">
      <c r="A36936" s="3" t="str">
        <f>IFERROR(__xludf.DUMMYFUNCTION("GOOGLETRANSLATE(A36936,""en"",""pt"")"),"banda única")</f>
        <v>banda única</v>
      </c>
      <c r="B36936" s="3">
        <v>0</v>
      </c>
    </row>
    <row r="36937" ht="15.75" customHeight="1" spans="1:2">
      <c r="A36937" s="3" t="str">
        <f>IFERROR(__xludf.DUMMYFUNCTION("GOOGLETRANSLATE(A36937,""en"",""pt"")"),"Eu não consigo pensar em nada de errado")</f>
        <v>Eu não consigo pensar em nada de errado</v>
      </c>
      <c r="B36937" s="3">
        <v>0</v>
      </c>
    </row>
    <row r="36938" ht="15.75" customHeight="1" spans="1:2">
      <c r="A36938" s="3" t="str">
        <f>IFERROR(__xludf.DUMMYFUNCTION("GOOGLETRANSLATE(A36938,""en"",""pt"")"),"Desnecessariamente difícil para anexar ao carregadores. Auricular jack aba protectora difíceis de abrir.")</f>
        <v>Desnecessariamente difícil para anexar ao carregadores. Auricular jack aba protectora difíceis de abrir.</v>
      </c>
      <c r="B36938" s="3">
        <v>0</v>
      </c>
    </row>
    <row r="36939" ht="15.75" customHeight="1" spans="1:2">
      <c r="A36939" s="3" t="str">
        <f>IFERROR(__xludf.DUMMYFUNCTION("GOOGLETRANSLATE(A36939,""en"",""pt"")"),"Não Livro de endereço 4 me mas alguns")</f>
        <v>Não Livro de endereço 4 me mas alguns</v>
      </c>
      <c r="B36939" s="3">
        <v>0</v>
      </c>
    </row>
    <row r="36940" ht="15.75" customHeight="1" spans="1:2">
      <c r="A36940" s="3" t="str">
        <f>IFERROR(__xludf.DUMMYFUNCTION("GOOGLETRANSLATE(A36940,""en"",""pt"")"),"Sem visor externo; tem que abrir para ver quem está chamando")</f>
        <v>Sem visor externo; tem que abrir para ver quem está chamando</v>
      </c>
      <c r="B36940" s="3">
        <v>0</v>
      </c>
    </row>
    <row r="36941" ht="15.75" customHeight="1" spans="1:2">
      <c r="A36941" s="3" t="str">
        <f>IFERROR(__xludf.DUMMYFUNCTION("GOOGLETRANSLATE(A36941,""en"",""pt"")"),"nenhuma exibição na frente, apenas o texto de um tamanho")</f>
        <v>nenhuma exibição na frente, apenas o texto de um tamanho</v>
      </c>
      <c r="B36941" s="3">
        <v>0</v>
      </c>
    </row>
    <row r="36942" ht="15.75" customHeight="1" spans="1:2">
      <c r="A36942" s="3" t="str">
        <f>IFERROR(__xludf.DUMMYFUNCTION("GOOGLETRANSLATE(A36942,""en"",""pt"")"),"funções de alto-falante mal, às vezes, as perdas Walkie Talkie sinalizar.")</f>
        <v>funções de alto-falante mal, às vezes, as perdas Walkie Talkie sinalizar.</v>
      </c>
      <c r="B36942" s="3">
        <v>0</v>
      </c>
    </row>
    <row r="36943" ht="15.75" customHeight="1" spans="1:2">
      <c r="A36943" s="3" t="str">
        <f>IFERROR(__xludf.DUMMYFUNCTION("GOOGLETRANSLATE(A36943,""en"",""pt"")"),"Sem visualização da tela do lado de fora da tampa. No caso ou titular incluído.")</f>
        <v>Sem visualização da tela do lado de fora da tampa. No caso ou titular incluído.</v>
      </c>
      <c r="B36943" s="3">
        <v>0</v>
      </c>
    </row>
    <row r="36944" ht="15.75" customHeight="1" spans="1:2">
      <c r="A36944" s="3" t="str">
        <f>IFERROR(__xludf.DUMMYFUNCTION("GOOGLETRANSLATE(A36944,""en"",""pt"")"),"Não tem algumas características padrão, como Relógio Despertador, Planos caros")</f>
        <v>Não tem algumas características padrão, como Relógio Despertador, Planos caros</v>
      </c>
      <c r="B36944" s="3">
        <v>0</v>
      </c>
    </row>
    <row r="36945" ht="15.75" customHeight="1" spans="1:2">
      <c r="A36945" s="3" t="str">
        <f>IFERROR(__xludf.DUMMYFUNCTION("GOOGLETRANSLATE(A36945,""en"",""pt"")"),"recepção inferior quando comparado com os telefones mais velhos Nextel, alta de preços já não se justifica")</f>
        <v>recepção inferior quando comparado com os telefones mais velhos Nextel, alta de preços já não se justifica</v>
      </c>
      <c r="B36945" s="3">
        <v>0</v>
      </c>
    </row>
    <row r="36946" ht="15.75" customHeight="1" spans="1:2">
      <c r="A36946" s="3" t="str">
        <f>IFERROR(__xludf.DUMMYFUNCTION("GOOGLETRANSLATE(A36946,""en"",""pt"")"),"A capa não é ver através como o i1000 mais")</f>
        <v>A capa não é ver através como o i1000 mais</v>
      </c>
      <c r="B36946" s="3">
        <v>0</v>
      </c>
    </row>
    <row r="36947" ht="15.75" customHeight="1" spans="1:2">
      <c r="A36947" s="3" t="str">
        <f>IFERROR(__xludf.DUMMYFUNCTION("GOOGLETRANSLATE(A36947,""en"",""pt"")"),"não rádio, área de serviço limitado, há tons boa anel")</f>
        <v>não rádio, área de serviço limitado, há tons boa anel</v>
      </c>
      <c r="B36947" s="3">
        <v>0</v>
      </c>
    </row>
    <row r="36948" ht="15.75" customHeight="1" spans="1:2">
      <c r="A36948" s="3" t="str">
        <f>IFERROR(__xludf.DUMMYFUNCTION("GOOGLETRANSLATE(A36948,""en"",""pt"")"),"Pode ser volumoso no bolso. alerta de vibração fraca. Não vem com um coldre.")</f>
        <v>Pode ser volumoso no bolso. alerta de vibração fraca. Não vem com um coldre.</v>
      </c>
      <c r="B36948" s="3">
        <v>0</v>
      </c>
    </row>
    <row r="36949" ht="15.75" customHeight="1" spans="1:2">
      <c r="A36949" s="3" t="str">
        <f>IFERROR(__xludf.DUMMYFUNCTION("GOOGLETRANSLATE(A36949,""en"",""pt"")"),"Volumoso, sem exibição fora, feio luz de fundo verde, sem recursos, maus toques, não pode baixar")</f>
        <v>Volumoso, sem exibição fora, feio luz de fundo verde, sem recursos, maus toques, não pode baixar</v>
      </c>
      <c r="B36949" s="3">
        <v>0</v>
      </c>
    </row>
    <row r="36950" ht="15.75" customHeight="1" spans="1:2">
      <c r="A36950" s="3" t="str">
        <f>IFERROR(__xludf.DUMMYFUNCTION("GOOGLETRANSLATE(A36950,""en"",""pt"")"),"mercadoria defeituosa, e nenhum senso de responsabilidade pela Nextel ou Motorola.")</f>
        <v>mercadoria defeituosa, e nenhum senso de responsabilidade pela Nextel ou Motorola.</v>
      </c>
      <c r="B36950" s="3">
        <v>0</v>
      </c>
    </row>
    <row r="36951" ht="15.75" customHeight="1" spans="1:2">
      <c r="A36951" s="3" t="str">
        <f>IFERROR(__xludf.DUMMYFUNCTION("GOOGLETRANSLATE(A36951,""en"",""pt"")"),"Eu encontrei nenhum problema com este telefone")</f>
        <v>Eu encontrei nenhum problema com este telefone</v>
      </c>
      <c r="B36951" s="3">
        <v>0</v>
      </c>
    </row>
    <row r="36952" ht="15.75" customHeight="1" spans="1:2">
      <c r="A36952" s="3" t="str">
        <f>IFERROR(__xludf.DUMMYFUNCTION("GOOGLETRANSLATE(A36952,""en"",""pt"")"),"Mal projetado para ligar / desligar, visor da média")</f>
        <v>Mal projetado para ligar / desligar, visor da média</v>
      </c>
      <c r="B36952" s="3">
        <v>0</v>
      </c>
    </row>
    <row r="36953" ht="15.75" customHeight="1" spans="1:2">
      <c r="A36953" s="3" t="str">
        <f>IFERROR(__xludf.DUMMYFUNCTION("GOOGLETRANSLATE(A36953,""en"",""pt"")"),"display monocromático, fraca iluminação de fundo,")</f>
        <v>display monocromático, fraca iluminação de fundo,</v>
      </c>
      <c r="B36953" s="3">
        <v>0</v>
      </c>
    </row>
    <row r="36954" ht="15.75" customHeight="1" spans="1:2">
      <c r="A36954" s="3" t="str">
        <f>IFERROR(__xludf.DUMMYFUNCTION("GOOGLETRANSLATE(A36954,""en"",""pt"")"),"Não na temporizador de chamadas, seleção de perfil, o ruído interior.")</f>
        <v>Não na temporizador de chamadas, seleção de perfil, o ruído interior.</v>
      </c>
      <c r="B36954" s="3">
        <v>0</v>
      </c>
    </row>
    <row r="36955" ht="15.75" customHeight="1" spans="1:2">
      <c r="A36955" s="3" t="str">
        <f>IFERROR(__xludf.DUMMYFUNCTION("GOOGLETRANSLATE(A36955,""en"",""pt"")"),"Sai tomando a carga, mal projetado para ligar / desligar")</f>
        <v>Sai tomando a carga, mal projetado para ligar / desligar</v>
      </c>
      <c r="B36955" s="3">
        <v>0</v>
      </c>
    </row>
    <row r="36956" ht="15.75" customHeight="1" spans="1:2">
      <c r="A36956" s="3" t="str">
        <f>IFERROR(__xludf.DUMMYFUNCTION("GOOGLETRANSLATE(A36956,""en"",""pt"")"),"Volumoso. O con que não pode ser superado. Cheesy ringtones.")</f>
        <v>Volumoso. O con que não pode ser superado. Cheesy ringtones.</v>
      </c>
      <c r="B36956" s="3">
        <v>0</v>
      </c>
    </row>
    <row r="36957" ht="15.75" customHeight="1" spans="1:2">
      <c r="A36957" s="3" t="str">
        <f>IFERROR(__xludf.DUMMYFUNCTION("GOOGLETRANSLATE(A36957,""en"",""pt"")"),"Botões sacudir um pouco, só está disponível através Cingular tão AT &amp; T clientes está fora de sorte")</f>
        <v>Botões sacudir um pouco, só está disponível através Cingular tão AT &amp; T clientes está fora de sorte</v>
      </c>
      <c r="B36957" s="3">
        <v>0</v>
      </c>
    </row>
    <row r="36958" ht="15.75" customHeight="1" spans="1:2">
      <c r="A36958" s="3" t="str">
        <f>IFERROR(__xludf.DUMMYFUNCTION("GOOGLETRANSLATE(A36958,""en"",""pt"")"),"Nenhuma 2,5 milímetros tomada auricular, mas esta é facilmente corrigido com um adaptador de $ 3.")</f>
        <v>Nenhuma 2,5 milímetros tomada auricular, mas esta é facilmente corrigido com um adaptador de $ 3.</v>
      </c>
      <c r="B36958" s="3">
        <v>0</v>
      </c>
    </row>
    <row r="36959" ht="15.75" customHeight="1" spans="1:2">
      <c r="A36959" s="3" t="str">
        <f>IFERROR(__xludf.DUMMYFUNCTION("GOOGLETRANSLATE(A36959,""en"",""pt"")"),"backlight fraco; Tipo de chocalhos ao vibrar;")</f>
        <v>backlight fraco; Tipo de chocalhos ao vibrar;</v>
      </c>
      <c r="B36959" s="3">
        <v>0</v>
      </c>
    </row>
    <row r="36960" ht="15.75" customHeight="1" spans="1:2">
      <c r="A36960" s="3" t="str">
        <f>IFERROR(__xludf.DUMMYFUNCTION("GOOGLETRANSLATE(A36960,""en"",""pt"")"),"Sim, é difícil de ligar e desligar e um volumoso bit.")</f>
        <v>Sim, é difícil de ligar e desligar e um volumoso bit.</v>
      </c>
      <c r="B36960" s="3">
        <v>0</v>
      </c>
    </row>
    <row r="36961" ht="15.75" customHeight="1" spans="1:2">
      <c r="A36961" s="3" t="str">
        <f>IFERROR(__xludf.DUMMYFUNCTION("GOOGLETRANSLATE(A36961,""en"",""pt"")"),"Difícil de virar telefone e desligando")</f>
        <v>Difícil de virar telefone e desligando</v>
      </c>
      <c r="B36961" s="3">
        <v>0</v>
      </c>
    </row>
    <row r="36962" ht="15.75" customHeight="1" spans="1:2">
      <c r="A36962" s="3" t="str">
        <f>IFERROR(__xludf.DUMMYFUNCTION("GOOGLETRANSLATE(A36962,""en"",""pt"")"),"Maior do que o tamanho médio")</f>
        <v>Maior do que o tamanho médio</v>
      </c>
      <c r="B36962" s="3">
        <v>0</v>
      </c>
    </row>
    <row r="36963" ht="15.75" customHeight="1" spans="1:2">
      <c r="A36963" s="3" t="str">
        <f>IFERROR(__xludf.DUMMYFUNCTION("GOOGLETRANSLATE(A36963,""en"",""pt"")"),"Alguns têm problemas de software, botão de energia é em um lugar ruim")</f>
        <v>Alguns têm problemas de software, botão de energia é em um lugar ruim</v>
      </c>
      <c r="B36963" s="3">
        <v>0</v>
      </c>
    </row>
    <row r="36964" ht="15.75" customHeight="1" spans="1:2">
      <c r="A36964" s="3" t="str">
        <f>IFERROR(__xludf.DUMMYFUNCTION("GOOGLETRANSLATE(A36964,""en"",""pt"")"),"difícil de botão de energia uso, às vezes se apaga por si só")</f>
        <v>difícil de botão de energia uso, às vezes se apaga por si só</v>
      </c>
      <c r="B36964" s="3">
        <v>0</v>
      </c>
    </row>
    <row r="36965" ht="15.75" customHeight="1" spans="1:2">
      <c r="A36965" s="3" t="str">
        <f>IFERROR(__xludf.DUMMYFUNCTION("GOOGLETRANSLATE(A36965,""en"",""pt"")"),"Difícil de exibição para ler, controle de volume inconveniente, estrutura de menus ilógico")</f>
        <v>Difícil de exibição para ler, controle de volume inconveniente, estrutura de menus ilógico</v>
      </c>
      <c r="B36965" s="3">
        <v>0</v>
      </c>
    </row>
    <row r="36966" ht="15.75" customHeight="1" spans="1:2">
      <c r="A36966" s="3" t="str">
        <f>IFERROR(__xludf.DUMMYFUNCTION("GOOGLETRANSLATE(A36966,""en"",""pt"")"),"chocalhos ao vibrar, luz de fundo é fraco, mas ainda muito brilhante")</f>
        <v>chocalhos ao vibrar, luz de fundo é fraco, mas ainda muito brilhante</v>
      </c>
      <c r="B36966" s="3">
        <v>0</v>
      </c>
    </row>
    <row r="36967" ht="15.75" customHeight="1" spans="1:2">
      <c r="A36967" s="3" t="str">
        <f>IFERROR(__xludf.DUMMYFUNCTION("GOOGLETRANSLATE(A36967,""en"",""pt"")"),"-se fecha telefone fora toda a vez que o botão e poder é difícil de operar")</f>
        <v>-se fecha telefone fora toda a vez que o botão e poder é difícil de operar</v>
      </c>
      <c r="B36967" s="3">
        <v>0</v>
      </c>
    </row>
    <row r="36968" ht="15.75" customHeight="1" spans="1:2">
      <c r="A36968" s="3" t="str">
        <f>IFERROR(__xludf.DUMMYFUNCTION("GOOGLETRANSLATE(A36968,""en"",""pt"")"),"dim back-light")</f>
        <v>dim back-light</v>
      </c>
      <c r="B36968" s="3">
        <v>0</v>
      </c>
    </row>
    <row r="36969" ht="15.75" customHeight="1" spans="1:2">
      <c r="A36969" s="3" t="str">
        <f>IFERROR(__xludf.DUMMYFUNCTION("GOOGLETRANSLATE(A36969,""en"",""pt"")"),"unidades de texto preditivo-me louco!")</f>
        <v>unidades de texto preditivo-me louco!</v>
      </c>
      <c r="B36969" s="3">
        <v>0</v>
      </c>
    </row>
    <row r="36970" ht="15.75" customHeight="1" spans="1:2">
      <c r="A36970" s="3" t="str">
        <f>IFERROR(__xludf.DUMMYFUNCTION("GOOGLETRANSLATE(A36970,""en"",""pt"")"),"Não usa fone de ouvido miniplug padrão")</f>
        <v>Não usa fone de ouvido miniplug padrão</v>
      </c>
      <c r="B36970" s="3">
        <v>0</v>
      </c>
    </row>
    <row r="36971" ht="15.75" customHeight="1" spans="1:2">
      <c r="A36971" s="3" t="str">
        <f>IFERROR(__xludf.DUMMYFUNCTION("GOOGLETRANSLATE(A36971,""en"",""pt"")"),"Desliga-se por si própria má recepção, telefone má qualidade")</f>
        <v>Desliga-se por si própria má recepção, telefone má qualidade</v>
      </c>
      <c r="B36971" s="3">
        <v>0</v>
      </c>
    </row>
    <row r="36972" ht="15.75" customHeight="1" spans="1:2">
      <c r="A36972" s="3" t="str">
        <f>IFERROR(__xludf.DUMMYFUNCTION("GOOGLETRANSLATE(A36972,""en"",""pt"")"),"O telefone é maior, então os mais novos telefones mais avançados.")</f>
        <v>O telefone é maior, então os mais novos telefones mais avançados.</v>
      </c>
      <c r="B36972" s="3">
        <v>0</v>
      </c>
    </row>
    <row r="36973" ht="15.75" customHeight="1" spans="1:2">
      <c r="A36973" s="3" t="str">
        <f>IFERROR(__xludf.DUMMYFUNCTION("GOOGLETRANSLATE(A36973,""en"",""pt"")"),"botão de energia voa se você espirrar, falta / mensagens atrasadas")</f>
        <v>botão de energia voa se você espirrar, falta / mensagens atrasadas</v>
      </c>
      <c r="B36973" s="3">
        <v>0</v>
      </c>
    </row>
    <row r="36974" ht="15.75" customHeight="1" spans="1:2">
      <c r="A36974" s="3" t="str">
        <f>IFERROR(__xludf.DUMMYFUNCTION("GOOGLETRANSLATE(A36974,""en"",""pt"")"),"Desliga por si só, que é a pior!")</f>
        <v>Desliga por si só, que é a pior!</v>
      </c>
      <c r="B36974" s="3">
        <v>0</v>
      </c>
    </row>
    <row r="36975" ht="15.75" customHeight="1" spans="1:2">
      <c r="A36975" s="3" t="str">
        <f>IFERROR(__xludf.DUMMYFUNCTION("GOOGLETRANSLATE(A36975,""en"",""pt"")"),"Desliga-se. Má recepção.")</f>
        <v>Desliga-se. Má recepção.</v>
      </c>
      <c r="B36975" s="3">
        <v>0</v>
      </c>
    </row>
    <row r="36976" ht="15.75" customHeight="1" spans="1:2">
      <c r="A36976" s="3" t="str">
        <f>IFERROR(__xludf.DUMMYFUNCTION("GOOGLETRANSLATE(A36976,""en"",""pt"")"),"comutação Sloppy entre torres de transmissão provoca muitas chamadas abandonadas, principalmente quando deixando um grande metro.")</f>
        <v>comutação Sloppy entre torres de transmissão provoca muitas chamadas abandonadas, principalmente quando deixando um grande metro.</v>
      </c>
      <c r="B36976" s="3">
        <v>0</v>
      </c>
    </row>
    <row r="36977" ht="15.75" customHeight="1" spans="1:2">
      <c r="A36977" s="3" t="str">
        <f>IFERROR(__xludf.DUMMYFUNCTION("GOOGLETRANSLATE(A36977,""en"",""pt"")"),"Bad alto-falante, desliga-se sempre que quiser, redefine-se.")</f>
        <v>Bad alto-falante, desliga-se sempre que quiser, redefine-se.</v>
      </c>
      <c r="B36977" s="3">
        <v>0</v>
      </c>
    </row>
    <row r="36978" ht="15.75" customHeight="1" spans="1:2">
      <c r="A36978" s="3" t="str">
        <f>IFERROR(__xludf.DUMMYFUNCTION("GOOGLETRANSLATE(A36978,""en"",""pt"")"),"cor um pouco feio")</f>
        <v>cor um pouco feio</v>
      </c>
      <c r="B36978" s="3">
        <v>0</v>
      </c>
    </row>
    <row r="36979" ht="15.75" customHeight="1" spans="1:2">
      <c r="A36979" s="3" t="str">
        <f>IFERROR(__xludf.DUMMYFUNCTION("GOOGLETRANSLATE(A36979,""en"",""pt"")"),"Tudo o resto, mas a vida da bateria.")</f>
        <v>Tudo o resto, mas a vida da bateria.</v>
      </c>
      <c r="B36979" s="3">
        <v>0</v>
      </c>
    </row>
    <row r="36980" ht="15.75" customHeight="1" spans="1:2">
      <c r="A36980" s="3" t="str">
        <f>IFERROR(__xludf.DUMMYFUNCTION("GOOGLETRANSLATE(A36980,""en"",""pt"")"),"TODO O RESTO")</f>
        <v>TODO O RESTO</v>
      </c>
      <c r="B36980" s="3">
        <v>0</v>
      </c>
    </row>
    <row r="36981" ht="15.75" customHeight="1" spans="1:2">
      <c r="A36981" s="3" t="str">
        <f>IFERROR(__xludf.DUMMYFUNCTION("GOOGLETRANSLATE(A36981,""en"",""pt"")"),"Um pouco maior do que o telefone típico")</f>
        <v>Um pouco maior do que o telefone típico</v>
      </c>
      <c r="B36981" s="3">
        <v>0</v>
      </c>
    </row>
    <row r="36982" ht="15.75" customHeight="1" spans="1:2">
      <c r="A36982" s="3" t="str">
        <f>IFERROR(__xludf.DUMMYFUNCTION("GOOGLETRANSLATE(A36982,""en"",""pt"")"),"tampa do botão aparece fora, difícil de corte e desligar.")</f>
        <v>tampa do botão aparece fora, difícil de corte e desligar.</v>
      </c>
      <c r="B36982" s="3">
        <v>0</v>
      </c>
    </row>
    <row r="36983" ht="15.75" customHeight="1" spans="1:2">
      <c r="A36983" s="3" t="str">
        <f>IFERROR(__xludf.DUMMYFUNCTION("GOOGLETRANSLATE(A36983,""en"",""pt"")"),"O 6340i não vai ficar, este é um problema documentado que devem ser abordadas.")</f>
        <v>O 6340i não vai ficar, este é um problema documentado que devem ser abordadas.</v>
      </c>
      <c r="B36983" s="3">
        <v>0</v>
      </c>
    </row>
    <row r="36984" ht="15.75" customHeight="1" spans="1:2">
      <c r="A36984" s="3" t="str">
        <f>IFERROR(__xludf.DUMMYFUNCTION("GOOGLETRANSLATE(A36984,""en"",""pt"")"),"Bugs no software, offs de energia aleatória, relógio nunca funciona")</f>
        <v>Bugs no software, offs de energia aleatória, relógio nunca funciona</v>
      </c>
      <c r="B36984" s="3">
        <v>0</v>
      </c>
    </row>
    <row r="36985" ht="15.75" customHeight="1" spans="1:2">
      <c r="A36985" s="3" t="str">
        <f>IFERROR(__xludf.DUMMYFUNCTION("GOOGLETRANSLATE(A36985,""en"",""pt"")"),"discagem de reconhecimento de voz não é confiável")</f>
        <v>discagem de reconhecimento de voz não é confiável</v>
      </c>
      <c r="B36985" s="3">
        <v>0</v>
      </c>
    </row>
    <row r="36986" ht="15.75" customHeight="1" spans="1:2">
      <c r="A36986" s="3" t="str">
        <f>IFERROR(__xludf.DUMMYFUNCTION("GOOGLETRANSLATE(A36986,""en"",""pt"")"),"O teclado é sensível, por isso botões podem acidentalmente ter empurrado.")</f>
        <v>O teclado é sensível, por isso botões podem acidentalmente ter empurrado.</v>
      </c>
      <c r="B36986" s="3">
        <v>0</v>
      </c>
    </row>
    <row r="36987" ht="15.75" customHeight="1" spans="1:2">
      <c r="A36987" s="3" t="str">
        <f>IFERROR(__xludf.DUMMYFUNCTION("GOOGLETRANSLATE(A36987,""en"",""pt"")"),"Nenhum")</f>
        <v>Nenhum</v>
      </c>
      <c r="B36987" s="3">
        <v>0</v>
      </c>
    </row>
    <row r="36988" ht="15.75" customHeight="1" spans="1:2">
      <c r="A36988" s="3" t="str">
        <f>IFERROR(__xludf.DUMMYFUNCTION("GOOGLETRANSLATE(A36988,""en"",""pt"")"),"maior do que o de 8290, e eu mencionei olhando feio?")</f>
        <v>maior do que o de 8290, e eu mencionei olhando feio?</v>
      </c>
      <c r="B36988" s="3">
        <v>0</v>
      </c>
    </row>
    <row r="36989" ht="15.75" customHeight="1" spans="1:2">
      <c r="A36989" s="3" t="str">
        <f>IFERROR(__xludf.DUMMYFUNCTION("GOOGLETRANSLATE(A36989,""en"",""pt"")"),"No Auto-Redial ainda.")</f>
        <v>No Auto-Redial ainda.</v>
      </c>
      <c r="B36989" s="3">
        <v>0</v>
      </c>
    </row>
    <row r="36990" ht="15.75" customHeight="1" spans="1:2">
      <c r="A36990" s="3" t="str">
        <f>IFERROR(__xludf.DUMMYFUNCTION("GOOGLETRANSLATE(A36990,""en"",""pt"")"),"Nenhum que eu encontrei")</f>
        <v>Nenhum que eu encontrei</v>
      </c>
      <c r="B36990" s="3">
        <v>0</v>
      </c>
    </row>
    <row r="36991" ht="15.75" customHeight="1" spans="1:2">
      <c r="A36991" s="3" t="str">
        <f>IFERROR(__xludf.DUMMYFUNCTION("GOOGLETRANSLATE(A36991,""en"",""pt"")"),"durabilidade")</f>
        <v>durabilidade</v>
      </c>
      <c r="B36991" s="3">
        <v>0</v>
      </c>
    </row>
    <row r="36992" ht="15.75" customHeight="1" spans="1:2">
      <c r="A36992" s="3" t="str">
        <f>IFERROR(__xludf.DUMMYFUNCTION("GOOGLETRANSLATE(A36992,""en"",""pt"")"),"Nada ainda")</f>
        <v>Nada ainda</v>
      </c>
      <c r="B36992" s="3">
        <v>0</v>
      </c>
    </row>
    <row r="36993" ht="15.75" customHeight="1" spans="1:2">
      <c r="A36993" s="3" t="str">
        <f>IFERROR(__xludf.DUMMYFUNCTION("GOOGLETRANSLATE(A36993,""en"",""pt"")"),"antena interna (isso pode ser um con?)")</f>
        <v>antena interna (isso pode ser um con?)</v>
      </c>
      <c r="B36993" s="3">
        <v>0</v>
      </c>
    </row>
    <row r="36994" ht="15.75" customHeight="1" spans="1:2">
      <c r="A36994" s="3" t="str">
        <f>IFERROR(__xludf.DUMMYFUNCTION("GOOGLETRANSLATE(A36994,""en"",""pt"")"),"tamanho maior (do que a 8390), mas eu posso viver com isso.")</f>
        <v>tamanho maior (do que a 8390), mas eu posso viver com isso.</v>
      </c>
      <c r="B36994" s="3">
        <v>0</v>
      </c>
    </row>
    <row r="36995" ht="15.75" customHeight="1" spans="1:2">
      <c r="A36995" s="3" t="str">
        <f>IFERROR(__xludf.DUMMYFUNCTION("GOOGLETRANSLATE(A36995,""en"",""pt"")"),"O recurso de discagem por voz não funcionam bem para mim.")</f>
        <v>O recurso de discagem por voz não funcionam bem para mim.</v>
      </c>
      <c r="B36995" s="3">
        <v>0</v>
      </c>
    </row>
    <row r="36996" ht="15.75" customHeight="1" spans="1:2">
      <c r="A36996" s="3" t="str">
        <f>IFERROR(__xludf.DUMMYFUNCTION("GOOGLETRANSLATE(A36996,""en"",""pt"")"),"luz chave pobres")</f>
        <v>luz chave pobres</v>
      </c>
      <c r="B36996" s="3">
        <v>0</v>
      </c>
    </row>
    <row r="36997" ht="15.75" customHeight="1" spans="1:2">
      <c r="A36997" s="3" t="str">
        <f>IFERROR(__xludf.DUMMYFUNCTION("GOOGLETRANSLATE(A36997,""en"",""pt"")"),"não concede me abrangente poder sobre as mulheres ... Brincadeirinha ... há contras")</f>
        <v>não concede me abrangente poder sobre as mulheres ... Brincadeirinha ... há contras</v>
      </c>
      <c r="B36997" s="3">
        <v>0</v>
      </c>
    </row>
    <row r="36998" ht="15.75" customHeight="1" spans="1:2">
      <c r="A36998" s="3" t="str">
        <f>IFERROR(__xludf.DUMMYFUNCTION("GOOGLETRANSLATE(A36998,""en"",""pt"")"),"má recepção")</f>
        <v>má recepção</v>
      </c>
      <c r="B36998" s="3">
        <v>0</v>
      </c>
    </row>
    <row r="36999" ht="15.75" customHeight="1" spans="1:2">
      <c r="A36999" s="3" t="str">
        <f>IFERROR(__xludf.DUMMYFUNCTION("GOOGLETRANSLATE(A36999,""en"",""pt"")"),"Tela No Color.")</f>
        <v>Tela No Color.</v>
      </c>
      <c r="B36999" s="3">
        <v>0</v>
      </c>
    </row>
    <row r="37000" ht="15.75" customHeight="1" spans="1:2">
      <c r="A37000" s="3" t="str">
        <f>IFERROR(__xludf.DUMMYFUNCTION("GOOGLETRANSLATE(A37000,""en"",""pt"")"),"Eu tenho o que eu pago.")</f>
        <v>Eu tenho o que eu pago.</v>
      </c>
      <c r="B37000" s="3">
        <v>0</v>
      </c>
    </row>
    <row r="37001" ht="15.75" customHeight="1" spans="1:2">
      <c r="A37001" s="3" t="str">
        <f>IFERROR(__xludf.DUMMYFUNCTION("GOOGLETRANSLATE(A37001,""en"",""pt"")"),"95 minutos tempo de conversação, a falta de software para tela colorida")</f>
        <v>95 minutos tempo de conversação, a falta de software para tela colorida</v>
      </c>
      <c r="B37001" s="3">
        <v>0</v>
      </c>
    </row>
    <row r="37002" ht="15.75" customHeight="1" spans="1:2">
      <c r="A37002" s="3" t="str">
        <f>IFERROR(__xludf.DUMMYFUNCTION("GOOGLETRANSLATE(A37002,""en"",""pt"")"),"Sem botões exteriores, telefone longa, a vida da bateria!")</f>
        <v>Sem botões exteriores, telefone longa, a vida da bateria!</v>
      </c>
      <c r="B37002" s="3">
        <v>0</v>
      </c>
    </row>
    <row r="37003" ht="15.75" customHeight="1" spans="1:2">
      <c r="A37003" s="3" t="str">
        <f>IFERROR(__xludf.DUMMYFUNCTION("GOOGLETRANSLATE(A37003,""en"",""pt"")"),"sem botões laterais, um pouco grossa")</f>
        <v>sem botões laterais, um pouco grossa</v>
      </c>
      <c r="B37003" s="3">
        <v>0</v>
      </c>
    </row>
    <row r="37004" ht="15.75" customHeight="1" spans="1:2">
      <c r="A37004" s="3" t="str">
        <f>IFERROR(__xludf.DUMMYFUNCTION("GOOGLETRANSLATE(A37004,""en"",""pt"")"),"A vida da bateria")</f>
        <v>A vida da bateria</v>
      </c>
      <c r="B37004" s="3">
        <v>0</v>
      </c>
    </row>
    <row r="37005" ht="15.75" customHeight="1" spans="1:2">
      <c r="A37005" s="3" t="str">
        <f>IFERROR(__xludf.DUMMYFUNCTION("GOOGLETRANSLATE(A37005,""en"",""pt"")"),"A falta de controlo laterais. bateria extra ou fone de ouvido necessário para &amp; gt; 60 min / dia tempo de conversação.")</f>
        <v>A falta de controlo laterais. bateria extra ou fone de ouvido necessário para &amp; gt; 60 min / dia tempo de conversação.</v>
      </c>
      <c r="B37005" s="3">
        <v>0</v>
      </c>
    </row>
    <row r="37006" ht="15.75" customHeight="1" spans="1:2">
      <c r="A37006" s="3" t="str">
        <f>IFERROR(__xludf.DUMMYFUNCTION("GOOGLETRANSLATE(A37006,""en"",""pt"")"),"NENHUM")</f>
        <v>NENHUM</v>
      </c>
      <c r="B37006" s="3">
        <v>0</v>
      </c>
    </row>
    <row r="37007" ht="15.75" customHeight="1" spans="1:2">
      <c r="A37007" s="3" t="str">
        <f>IFERROR(__xludf.DUMMYFUNCTION("GOOGLETRANSLATE(A37007,""en"",""pt"")"),"Muito pobre vida útil da bateria, se esgota durante o curso do meu dia normal")</f>
        <v>Muito pobre vida útil da bateria, se esgota durante o curso do meu dia normal</v>
      </c>
      <c r="B37007" s="3">
        <v>0</v>
      </c>
    </row>
    <row r="37008" ht="15.75" customHeight="1" spans="1:2">
      <c r="A37008" s="3" t="str">
        <f>IFERROR(__xludf.DUMMYFUNCTION("GOOGLETRANSLATE(A37008,""en"",""pt"")"),"bateria padrão é uma porcaria, mas implorar por bat vida prolongada.")</f>
        <v>bateria padrão é uma porcaria, mas implorar por bat vida prolongada.</v>
      </c>
      <c r="B37008" s="3">
        <v>0</v>
      </c>
    </row>
    <row r="37009" ht="15.75" customHeight="1" spans="1:2">
      <c r="A37009" s="3" t="str">
        <f>IFERROR(__xludf.DUMMYFUNCTION("GOOGLETRANSLATE(A37009,""en"",""pt"")"),"Limitados recursos ""gadgets"" / Ringer são não alto / bateria limitada / big bonita em comparação com outros")</f>
        <v>Limitados recursos "gadgets" / Ringer são não alto / bateria limitada / big bonita em comparação com outros</v>
      </c>
      <c r="B37009" s="3">
        <v>0</v>
      </c>
    </row>
    <row r="37010" ht="15.75" customHeight="1" spans="1:2">
      <c r="A37010" s="3" t="str">
        <f>IFERROR(__xludf.DUMMYFUNCTION("GOOGLETRANSLATE(A37010,""en"",""pt"")"),"Não funciona como projetado.")</f>
        <v>Não funciona como projetado.</v>
      </c>
      <c r="B37010" s="3">
        <v>0</v>
      </c>
    </row>
    <row r="37011" ht="15.75" customHeight="1" spans="1:2">
      <c r="A37011" s="3" t="str">
        <f>IFERROR(__xludf.DUMMYFUNCTION("GOOGLETRANSLATE(A37011,""en"",""pt"")"),"Speaker precisa de mais volume, controles de volume mal colocada.")</f>
        <v>Speaker precisa de mais volume, controles de volume mal colocada.</v>
      </c>
      <c r="B37011" s="3">
        <v>0</v>
      </c>
    </row>
    <row r="37012" ht="15.75" customHeight="1" spans="1:2">
      <c r="A37012" s="3" t="str">
        <f>IFERROR(__xludf.DUMMYFUNCTION("GOOGLETRANSLATE(A37012,""en"",""pt"")"),"todo o sh * t eu tenho quando eu finalmente cedeu")</f>
        <v>todo o sh * t eu tenho quando eu finalmente cedeu</v>
      </c>
      <c r="B37012" s="3">
        <v>0</v>
      </c>
    </row>
    <row r="37013" ht="15.75" customHeight="1" spans="1:2">
      <c r="A37013" s="3" t="str">
        <f>IFERROR(__xludf.DUMMYFUNCTION("GOOGLETRANSLATE(A37013,""en"",""pt"")"),"de volume, botão push acidental, display")</f>
        <v>de volume, botão push acidental, display</v>
      </c>
      <c r="B37013" s="3">
        <v>0</v>
      </c>
    </row>
    <row r="37014" ht="15.75" customHeight="1" spans="1:2">
      <c r="A37014" s="3" t="str">
        <f>IFERROR(__xludf.DUMMYFUNCTION("GOOGLETRANSLATE(A37014,""en"",""pt"")"),"menus desajeitados e ilógicas, algumas teclas de atalho.")</f>
        <v>menus desajeitados e ilógicas, algumas teclas de atalho.</v>
      </c>
      <c r="B37014" s="3">
        <v>0</v>
      </c>
    </row>
    <row r="37015" ht="15.75" customHeight="1" spans="1:2">
      <c r="A37015" s="3" t="str">
        <f>IFERROR(__xludf.DUMMYFUNCTION("GOOGLETRANSLATE(A37015,""en"",""pt"")"),"Alguns problemas de desempenho peculiar")</f>
        <v>Alguns problemas de desempenho peculiar</v>
      </c>
      <c r="B37015" s="3">
        <v>0</v>
      </c>
    </row>
    <row r="37016" ht="15.75" customHeight="1" spans="1:2">
      <c r="A37016" s="3" t="str">
        <f>IFERROR(__xludf.DUMMYFUNCTION("GOOGLETRANSLATE(A37016,""en"",""pt"")"),"Display LCD é fraco na melhor das hipóteses, a navegação nos menus é mal projetado, Volume.")</f>
        <v>Display LCD é fraco na melhor das hipóteses, a navegação nos menus é mal projetado, Volume.</v>
      </c>
      <c r="B37016" s="3">
        <v>0</v>
      </c>
    </row>
    <row r="37017" ht="15.75" customHeight="1" spans="1:2">
      <c r="A37017" s="3" t="str">
        <f>IFERROR(__xludf.DUMMYFUNCTION("GOOGLETRANSLATE(A37017,""en"",""pt"")"),"Speaker muito quieto, muito fácil acidentalmente botões de imprensa, nem recursos suficientes.")</f>
        <v>Speaker muito quieto, muito fácil acidentalmente botões de imprensa, nem recursos suficientes.</v>
      </c>
      <c r="B37017" s="3">
        <v>0</v>
      </c>
    </row>
    <row r="37018" ht="15.75" customHeight="1" spans="1:2">
      <c r="A37018" s="3" t="str">
        <f>IFERROR(__xludf.DUMMYFUNCTION("GOOGLETRANSLATE(A37018,""en"",""pt"")"),"falta de algumas opções")</f>
        <v>falta de algumas opções</v>
      </c>
      <c r="B37018" s="3">
        <v>0</v>
      </c>
    </row>
    <row r="37019" ht="15.75" customHeight="1" spans="1:2">
      <c r="A37019" s="3" t="str">
        <f>IFERROR(__xludf.DUMMYFUNCTION("GOOGLETRANSLATE(A37019,""en"",""pt"")"),"sistema de menu pobre, sem função de alarme")</f>
        <v>sistema de menu pobre, sem função de alarme</v>
      </c>
      <c r="B37019" s="3">
        <v>0</v>
      </c>
    </row>
    <row r="37020" ht="15.75" customHeight="1" spans="1:2">
      <c r="A37020" s="3" t="str">
        <f>IFERROR(__xludf.DUMMYFUNCTION("GOOGLETRANSLATE(A37020,""en"",""pt"")"),"Volume é pobre, certos botões em lugares ruins")</f>
        <v>Volume é pobre, certos botões em lugares ruins</v>
      </c>
      <c r="B37020" s="3">
        <v>0</v>
      </c>
    </row>
    <row r="37021" ht="15.75" customHeight="1" spans="1:2">
      <c r="A37021" s="3" t="str">
        <f>IFERROR(__xludf.DUMMYFUNCTION("GOOGLETRANSLATE(A37021,""en"",""pt"")"),"Não é um flip-telefone!")</f>
        <v>Não é um flip-telefone!</v>
      </c>
      <c r="B37021" s="3">
        <v>0</v>
      </c>
    </row>
    <row r="37022" ht="15.75" customHeight="1" spans="1:2">
      <c r="A37022" s="3" t="str">
        <f>IFERROR(__xludf.DUMMYFUNCTION("GOOGLETRANSLATE(A37022,""en"",""pt"")"),"Tamanho, opções, exibição")</f>
        <v>Tamanho, opções, exibição</v>
      </c>
      <c r="B37022" s="3">
        <v>0</v>
      </c>
    </row>
    <row r="37023" ht="15.75" customHeight="1" spans="1:2">
      <c r="A37023" s="3" t="str">
        <f>IFERROR(__xludf.DUMMYFUNCTION("GOOGLETRANSLATE(A37023,""en"",""pt"")"),"visibilidade da tela, o volume da campainha, intensidade do sinal")</f>
        <v>visibilidade da tela, o volume da campainha, intensidade do sinal</v>
      </c>
      <c r="B37023" s="3">
        <v>0</v>
      </c>
    </row>
    <row r="37024" ht="15.75" customHeight="1" spans="1:2">
      <c r="A37024" s="3" t="str">
        <f>IFERROR(__xludf.DUMMYFUNCTION("GOOGLETRANSLATE(A37024,""en"",""pt"")"),"Ergonomia, Menu é complicado, ele tem um monte de anéis, mas tudo chato, Antena falhou")</f>
        <v>Ergonomia, Menu é complicado, ele tem um monte de anéis, mas tudo chato, Antena falhou</v>
      </c>
      <c r="B37024" s="3">
        <v>0</v>
      </c>
    </row>
    <row r="37025" ht="15.75" customHeight="1" spans="1:2">
      <c r="A37025" s="3" t="str">
        <f>IFERROR(__xludf.DUMMYFUNCTION("GOOGLETRANSLATE(A37025,""en"",""pt"")"),"Difícil de ler a exposição")</f>
        <v>Difícil de ler a exposição</v>
      </c>
      <c r="B37025" s="3">
        <v>0</v>
      </c>
    </row>
    <row r="37026" ht="15.75" customHeight="1" spans="1:2">
      <c r="A37026" s="3" t="str">
        <f>IFERROR(__xludf.DUMMYFUNCTION("GOOGLETRANSLATE(A37026,""en"",""pt"")"),"Não tem todos os sinos da moda e assobios como ringtones polifônicos.")</f>
        <v>Não tem todos os sinos da moda e assobios como ringtones polifônicos.</v>
      </c>
      <c r="B37026" s="3">
        <v>0</v>
      </c>
    </row>
    <row r="37027" ht="15.75" customHeight="1" spans="1:2">
      <c r="A37027" s="3" t="str">
        <f>IFERROR(__xludf.DUMMYFUNCTION("GOOGLETRANSLATE(A37027,""en"",""pt"")"),"Má recepção. Lotes de chamadas abandonadas. Menu incorporado muito profundamente.")</f>
        <v>Má recepção. Lotes de chamadas abandonadas. Menu incorporado muito profundamente.</v>
      </c>
      <c r="B37027" s="3">
        <v>0</v>
      </c>
    </row>
    <row r="37028" ht="15.75" customHeight="1" spans="1:2">
      <c r="A37028" s="3" t="str">
        <f>IFERROR(__xludf.DUMMYFUNCTION("GOOGLETRANSLATE(A37028,""en"",""pt"")"),"Pobre de volume, má qualidade de transmissão, recepção irregular")</f>
        <v>Pobre de volume, má qualidade de transmissão, recepção irregular</v>
      </c>
      <c r="B37028" s="3">
        <v>0</v>
      </c>
    </row>
    <row r="37029" ht="15.75" customHeight="1" spans="1:2">
      <c r="A37029" s="3" t="str">
        <f>IFERROR(__xludf.DUMMYFUNCTION("GOOGLETRANSLATE(A37029,""en"",""pt"")"),"durabilidade, o volume")</f>
        <v>durabilidade, o volume</v>
      </c>
      <c r="B37029" s="3">
        <v>0</v>
      </c>
    </row>
    <row r="37030" ht="15.75" customHeight="1" spans="1:2">
      <c r="A37030" s="3" t="str">
        <f>IFERROR(__xludf.DUMMYFUNCTION("GOOGLETRANSLATE(A37030,""en"",""pt"")"),"nenhuma capacidade de visualmente Personalizar")</f>
        <v>nenhuma capacidade de visualmente Personalizar</v>
      </c>
      <c r="B37030" s="3">
        <v>0</v>
      </c>
    </row>
    <row r="37031" ht="15.75" customHeight="1" spans="1:2">
      <c r="A37031" s="3" t="str">
        <f>IFERROR(__xludf.DUMMYFUNCTION("GOOGLETRANSLATE(A37031,""en"",""pt"")"),"Um pouco desconfortável para longas conversas.")</f>
        <v>Um pouco desconfortável para longas conversas.</v>
      </c>
      <c r="B37031" s="3">
        <v>0</v>
      </c>
    </row>
    <row r="37032" ht="15.75" customHeight="1" spans="1:2">
      <c r="A37032" s="3" t="str">
        <f>IFERROR(__xludf.DUMMYFUNCTION("GOOGLETRANSLATE(A37032,""en"",""pt"")"),"volume é terrivelmente baixo")</f>
        <v>volume é terrivelmente baixo</v>
      </c>
      <c r="B37032" s="3">
        <v>0</v>
      </c>
    </row>
    <row r="37033" ht="15.75" customHeight="1" spans="1:2">
      <c r="A37033" s="3" t="str">
        <f>IFERROR(__xludf.DUMMYFUNCTION("GOOGLETRANSLATE(A37033,""en"",""pt"")"),"chato backlit verde, fica, sem despertador quente")</f>
        <v>chato backlit verde, fica, sem despertador quente</v>
      </c>
      <c r="B37033" s="3">
        <v>0</v>
      </c>
    </row>
    <row r="37034" ht="15.75" customHeight="1" spans="1:2">
      <c r="A37034" s="3" t="str">
        <f>IFERROR(__xludf.DUMMYFUNCTION("GOOGLETRANSLATE(A37034,""en"",""pt"")"),"Aparência estranha!")</f>
        <v>Aparência estranha!</v>
      </c>
      <c r="B37034" s="3">
        <v>0</v>
      </c>
    </row>
    <row r="37035" ht="15.75" customHeight="1" spans="1:2">
      <c r="A37035" s="3" t="str">
        <f>IFERROR(__xludf.DUMMYFUNCTION("GOOGLETRANSLATE(A37035,""en"",""pt"")"),"Tela pequena.")</f>
        <v>Tela pequena.</v>
      </c>
      <c r="B37035" s="3">
        <v>0</v>
      </c>
    </row>
    <row r="37036" ht="15.75" customHeight="1" spans="1:2">
      <c r="A37036" s="3" t="str">
        <f>IFERROR(__xludf.DUMMYFUNCTION("GOOGLETRANSLATE(A37036,""en"",""pt"")"),"nada até agora")</f>
        <v>nada até agora</v>
      </c>
      <c r="B37036" s="3">
        <v>0</v>
      </c>
    </row>
    <row r="37037" ht="15.75" customHeight="1" spans="1:2">
      <c r="A37037" s="3" t="str">
        <f>IFERROR(__xludf.DUMMYFUNCTION("GOOGLETRANSLATE(A37037,""en"",""pt"")"),"- processador lento (9210i corre mais rápido)")</f>
        <v>- processador lento (9210i corre mais rápido)</v>
      </c>
      <c r="B37037" s="3">
        <v>0</v>
      </c>
    </row>
    <row r="37038" ht="15.75" customHeight="1" spans="1:2">
      <c r="A37038" s="3" t="str">
        <f>IFERROR(__xludf.DUMMYFUNCTION("GOOGLETRANSLATE(A37038,""en"",""pt"")"),"Estilo")</f>
        <v>Estilo</v>
      </c>
      <c r="B37038" s="3">
        <v>0</v>
      </c>
    </row>
    <row r="37039" ht="15.75" customHeight="1" spans="1:2">
      <c r="A37039" s="3" t="str">
        <f>IFERROR(__xludf.DUMMYFUNCTION("GOOGLETRANSLATE(A37039,""en"",""pt"")"),"não é capaz de usar como, a vida da bateria de mãos-livres muito menos do que o anunciado")</f>
        <v>não é capaz de usar como, a vida da bateria de mãos-livres muito menos do que o anunciado</v>
      </c>
      <c r="B37039" s="3">
        <v>0</v>
      </c>
    </row>
    <row r="37040" ht="15.75" customHeight="1" spans="1:2">
      <c r="A37040" s="3" t="str">
        <f>IFERROR(__xludf.DUMMYFUNCTION("GOOGLETRANSLATE(A37040,""en"",""pt"")"),"Ainda muitos recursos para me")</f>
        <v>Ainda muitos recursos para me</v>
      </c>
      <c r="B37040" s="3">
        <v>0</v>
      </c>
    </row>
    <row r="37041" ht="15.75" customHeight="1" spans="1:2">
      <c r="A37041" s="3" t="str">
        <f>IFERROR(__xludf.DUMMYFUNCTION("GOOGLETRANSLATE(A37041,""en"",""pt"")"),"tamanho com bateria extra")</f>
        <v>tamanho com bateria extra</v>
      </c>
      <c r="B37041" s="3">
        <v>0</v>
      </c>
    </row>
    <row r="37042" ht="15.75" customHeight="1" spans="1:2">
      <c r="A37042" s="3" t="str">
        <f>IFERROR(__xludf.DUMMYFUNCTION("GOOGLETRANSLATE(A37042,""en"",""pt"")"),"muitas opções / funcionalidades para média a pessoa non-tech")</f>
        <v>muitas opções / funcionalidades para média a pessoa non-tech</v>
      </c>
      <c r="B37042" s="3">
        <v>0</v>
      </c>
    </row>
    <row r="37043" ht="15.75" customHeight="1" spans="1:2">
      <c r="A37043" s="3" t="str">
        <f>IFERROR(__xludf.DUMMYFUNCTION("GOOGLETRANSLATE(A37043,""en"",""pt"")"),"nenhum alerta vibratório, alertas tranquilos estão ainda alto, apenas um pouco pouco longo demais")</f>
        <v>nenhum alerta vibratório, alertas tranquilos estão ainda alto, apenas um pouco pouco longo demais</v>
      </c>
      <c r="B37043" s="3">
        <v>0</v>
      </c>
    </row>
    <row r="37044" ht="15.75" customHeight="1" spans="1:2">
      <c r="A37044" s="3" t="str">
        <f>IFERROR(__xludf.DUMMYFUNCTION("GOOGLETRANSLATE(A37044,""en"",""pt"")"),"Pode ser a grande para alguns, mas para esse preço")</f>
        <v>Pode ser a grande para alguns, mas para esse preço</v>
      </c>
      <c r="B37044" s="3">
        <v>0</v>
      </c>
    </row>
    <row r="37045" ht="15.75" customHeight="1" spans="1:2">
      <c r="A37045" s="3" t="str">
        <f>IFERROR(__xludf.DUMMYFUNCTION("GOOGLETRANSLATE(A37045,""en"",""pt"")"),"perambula mais cedo do que outros telefones modelo")</f>
        <v>perambula mais cedo do que outros telefones modelo</v>
      </c>
      <c r="B37045" s="3">
        <v>0</v>
      </c>
    </row>
    <row r="37046" ht="15.75" customHeight="1" spans="1:2">
      <c r="A37046" s="3" t="str">
        <f>IFERROR(__xludf.DUMMYFUNCTION("GOOGLETRANSLATE(A37046,""en"",""pt"")"),"antena frágil")</f>
        <v>antena frágil</v>
      </c>
      <c r="B37046" s="3">
        <v>0</v>
      </c>
    </row>
    <row r="37047" ht="15.75" customHeight="1" spans="1:2">
      <c r="A37047" s="3" t="str">
        <f>IFERROR(__xludf.DUMMYFUNCTION("GOOGLETRANSLATE(A37047,""en"",""pt"")"),"a vida da bateria muito pobres em áreas analógicos.")</f>
        <v>a vida da bateria muito pobres em áreas analógicos.</v>
      </c>
      <c r="B37047" s="3">
        <v>0</v>
      </c>
    </row>
    <row r="37048" ht="15.75" customHeight="1" spans="1:2">
      <c r="A37048" s="3" t="str">
        <f>IFERROR(__xludf.DUMMYFUNCTION("GOOGLETRANSLATE(A37048,""en"",""pt"")"),"design plano pode levar algum tempo para se acostumar")</f>
        <v>design plano pode levar algum tempo para se acostumar</v>
      </c>
      <c r="B37048" s="3">
        <v>0</v>
      </c>
    </row>
    <row r="37049" ht="15.75" customHeight="1" spans="1:2">
      <c r="A37049" s="3" t="str">
        <f>IFERROR(__xludf.DUMMYFUNCTION("GOOGLETRANSLATE(A37049,""en"",""pt"")"),"A vida da bateria, compatibilidade fone de ouvido, tela")</f>
        <v>A vida da bateria, compatibilidade fone de ouvido, tela</v>
      </c>
      <c r="B37049" s="3">
        <v>0</v>
      </c>
    </row>
    <row r="37050" ht="15.75" customHeight="1" spans="1:2">
      <c r="A37050" s="3" t="str">
        <f>IFERROR(__xludf.DUMMYFUNCTION("GOOGLETRANSLATE(A37050,""en"",""pt"")"),"tempo de conversação não tão longo como anunciado")</f>
        <v>tempo de conversação não tão longo como anunciado</v>
      </c>
      <c r="B37050" s="3">
        <v>0</v>
      </c>
    </row>
    <row r="37051" ht="15.75" customHeight="1" spans="1:2">
      <c r="A37051" s="3" t="str">
        <f>IFERROR(__xludf.DUMMYFUNCTION("GOOGLETRANSLATE(A37051,""en"",""pt"")"),"Antena não estadia prolongada")</f>
        <v>Antena não estadia prolongada</v>
      </c>
      <c r="B37051" s="3">
        <v>0</v>
      </c>
    </row>
    <row r="37052" ht="15.75" customHeight="1" spans="1:2">
      <c r="A37052" s="3" t="str">
        <f>IFERROR(__xludf.DUMMYFUNCTION("GOOGLETRANSLATE(A37052,""en"",""pt"")"),"não mantê-lo o tempo suficiente para descobrir")</f>
        <v>não mantê-lo o tempo suficiente para descobrir</v>
      </c>
      <c r="B37052" s="3">
        <v>0</v>
      </c>
    </row>
    <row r="37053" ht="15.75" customHeight="1" spans="1:2">
      <c r="A37053" s="3" t="str">
        <f>IFERROR(__xludf.DUMMYFUNCTION("GOOGLETRANSLATE(A37053,""en"",""pt"")"),"perdendo voltas sinal off keyguard")</f>
        <v>perdendo voltas sinal off keyguard</v>
      </c>
      <c r="B37053" s="3">
        <v>0</v>
      </c>
    </row>
    <row r="37054" ht="15.75" customHeight="1" spans="1:2">
      <c r="A37054" s="3" t="str">
        <f>IFERROR(__xludf.DUMMYFUNCTION("GOOGLETRANSLATE(A37054,""en"",""pt"")"),"Nenhum")</f>
        <v>Nenhum</v>
      </c>
      <c r="B37054" s="3">
        <v>0</v>
      </c>
    </row>
    <row r="37055" ht="15.75" customHeight="1" spans="1:2">
      <c r="A37055" s="3" t="str">
        <f>IFERROR(__xludf.DUMMYFUNCTION("GOOGLETRANSLATE(A37055,""en"",""pt"")"),"A vida da bateria poderia ser maior.")</f>
        <v>A vida da bateria poderia ser maior.</v>
      </c>
      <c r="B37055" s="3">
        <v>0</v>
      </c>
    </row>
    <row r="37056" ht="15.75" customHeight="1" spans="1:2">
      <c r="A37056" s="3" t="str">
        <f>IFERROR(__xludf.DUMMYFUNCTION("GOOGLETRANSLATE(A37056,""en"",""pt"")"),"curta duração da bateria, fone de ouvido incompatível jack")</f>
        <v>curta duração da bateria, fone de ouvido incompatível jack</v>
      </c>
      <c r="B37056" s="3">
        <v>0</v>
      </c>
    </row>
    <row r="37057" ht="15.75" customHeight="1" spans="1:2">
      <c r="A37057" s="3" t="str">
        <f>IFERROR(__xludf.DUMMYFUNCTION("GOOGLETRANSLATE(A37057,""en"",""pt"")"),"vida útil da bateria pequena")</f>
        <v>vida útil da bateria pequena</v>
      </c>
      <c r="B37057" s="3">
        <v>0</v>
      </c>
    </row>
    <row r="37058" ht="15.75" customHeight="1" spans="1:2">
      <c r="A37058" s="3" t="str">
        <f>IFERROR(__xludf.DUMMYFUNCTION("GOOGLETRANSLATE(A37058,""en"",""pt"")"),"a vida da bateria pobres")</f>
        <v>a vida da bateria pobres</v>
      </c>
      <c r="B37058" s="3">
        <v>0</v>
      </c>
    </row>
    <row r="37059" ht="15.75" customHeight="1" spans="1:2">
      <c r="A37059" s="3" t="str">
        <f>IFERROR(__xludf.DUMMYFUNCTION("GOOGLETRANSLATE(A37059,""en"",""pt"")"),"recursos inexplorados ir para o lixo")</f>
        <v>recursos inexplorados ir para o lixo</v>
      </c>
      <c r="B37059" s="3">
        <v>0</v>
      </c>
    </row>
    <row r="37060" ht="15.75" customHeight="1" spans="1:2">
      <c r="A37060" s="3" t="str">
        <f>IFERROR(__xludf.DUMMYFUNCTION("GOOGLETRANSLATE(A37060,""en"",""pt"")"),"availibility limitado de acessórios")</f>
        <v>availibility limitado de acessórios</v>
      </c>
      <c r="B37060" s="3">
        <v>0</v>
      </c>
    </row>
    <row r="37061" ht="15.75" customHeight="1" spans="1:2">
      <c r="A37061" s="3" t="str">
        <f>IFERROR(__xludf.DUMMYFUNCTION("GOOGLETRANSLATE(A37061,""en"",""pt"")"),"Alguns poderiam considerá-lo um con que você deve ter &amp; quot; grande &amp; quot; crédito para ser capaz de obter o serviço Nextel.")</f>
        <v>Alguns poderiam considerá-lo um con que você deve ter &amp; quot; grande &amp; quot; crédito para ser capaz de obter o serviço Nextel.</v>
      </c>
      <c r="B37061" s="3">
        <v>0</v>
      </c>
    </row>
    <row r="37062" ht="15.75" customHeight="1" spans="1:2">
      <c r="A37062" s="3" t="str">
        <f>IFERROR(__xludf.DUMMYFUNCTION("GOOGLETRANSLATE(A37062,""en"",""pt"")"),"Grande, pesado, vida da bateria So-So.")</f>
        <v>Grande, pesado, vida da bateria So-So.</v>
      </c>
      <c r="B37062" s="3">
        <v>0</v>
      </c>
    </row>
    <row r="37063" ht="15.75" customHeight="1" spans="1:2">
      <c r="A37063" s="3" t="str">
        <f>IFERROR(__xludf.DUMMYFUNCTION("GOOGLETRANSLATE(A37063,""en"",""pt"")"),"pode ser difícil de obter um sinal, por vezes,")</f>
        <v>pode ser difícil de obter um sinal, por vezes,</v>
      </c>
      <c r="B37063" s="3">
        <v>0</v>
      </c>
    </row>
    <row r="37064" ht="15.75" customHeight="1" spans="1:2">
      <c r="A37064" s="3" t="str">
        <f>IFERROR(__xludf.DUMMYFUNCTION("GOOGLETRANSLATE(A37064,""en"",""pt"")"),"O são atualizados maneira de rápido")</f>
        <v>O são atualizados maneira de rápido</v>
      </c>
      <c r="B37064" s="3">
        <v>0</v>
      </c>
    </row>
    <row r="37065" ht="15.75" customHeight="1" spans="1:2">
      <c r="A37065" s="3" t="str">
        <f>IFERROR(__xludf.DUMMYFUNCTION("GOOGLETRANSLATE(A37065,""en"",""pt"")"),"Volumoso e vida útil da bateria não é muito elevado. As opções de menu são um pouco desajeitado.")</f>
        <v>Volumoso e vida útil da bateria não é muito elevado. As opções de menu são um pouco desajeitado.</v>
      </c>
      <c r="B37065" s="3">
        <v>0</v>
      </c>
    </row>
    <row r="37066" ht="15.75" customHeight="1" spans="1:2">
      <c r="A37066" s="3" t="str">
        <f>IFERROR(__xludf.DUMMYFUNCTION("GOOGLETRANSLATE(A37066,""en"",""pt"")"),"Tamanho")</f>
        <v>Tamanho</v>
      </c>
      <c r="B37066" s="3">
        <v>0</v>
      </c>
    </row>
    <row r="37067" ht="15.75" customHeight="1" spans="1:2">
      <c r="A37067" s="3" t="str">
        <f>IFERROR(__xludf.DUMMYFUNCTION("GOOGLETRANSLATE(A37067,""en"",""pt"")"),"queda de chamadas // muitas vezes não")</f>
        <v>queda de chamadas // muitas vezes não</v>
      </c>
      <c r="B37067" s="3">
        <v>0</v>
      </c>
    </row>
    <row r="37068" ht="15.75" customHeight="1" spans="1:2">
      <c r="A37068" s="3" t="str">
        <f>IFERROR(__xludf.DUMMYFUNCTION("GOOGLETRANSLATE(A37068,""en"",""pt"")"),"Antena parece fácil de quebrar, mas pode ser recolhido.")</f>
        <v>Antena parece fácil de quebrar, mas pode ser recolhido.</v>
      </c>
      <c r="B37068" s="3">
        <v>0</v>
      </c>
    </row>
    <row r="37069" ht="15.75" customHeight="1" spans="1:2">
      <c r="A37069" s="3" t="str">
        <f>IFERROR(__xludf.DUMMYFUNCTION("GOOGLETRANSLATE(A37069,""en"",""pt"")"),"Pesado, não a chamada História")</f>
        <v>Pesado, não a chamada História</v>
      </c>
      <c r="B37069" s="3">
        <v>0</v>
      </c>
    </row>
    <row r="37070" ht="15.75" customHeight="1" spans="1:2">
      <c r="A37070" s="3" t="str">
        <f>IFERROR(__xludf.DUMMYFUNCTION("GOOGLETRANSLATE(A37070,""en"",""pt"")"),"o telefone é um pouco pesado")</f>
        <v>o telefone é um pouco pesado</v>
      </c>
      <c r="B37070" s="3">
        <v>0</v>
      </c>
    </row>
    <row r="37071" ht="15.75" customHeight="1" spans="1:2">
      <c r="A37071" s="3" t="str">
        <f>IFERROR(__xludf.DUMMYFUNCTION("GOOGLETRANSLATE(A37071,""en"",""pt"")"),"Volumosos em comparação com mais de telefone celular.")</f>
        <v>Volumosos em comparação com mais de telefone celular.</v>
      </c>
      <c r="B37071" s="3">
        <v>0</v>
      </c>
    </row>
    <row r="37072" ht="15.75" customHeight="1" spans="1:2">
      <c r="A37072" s="3" t="str">
        <f>IFERROR(__xludf.DUMMYFUNCTION("GOOGLETRANSLATE(A37072,""en"",""pt"")"),"Perda de sinal, por vezes, um pouco pesado e grosso")</f>
        <v>Perda de sinal, por vezes, um pouco pesado e grosso</v>
      </c>
      <c r="B37072" s="3">
        <v>0</v>
      </c>
    </row>
    <row r="37073" ht="15.75" customHeight="1" spans="1:2">
      <c r="A37073" s="3" t="str">
        <f>IFERROR(__xludf.DUMMYFUNCTION("GOOGLETRANSLATE(A37073,""en"",""pt"")"),"telefone")</f>
        <v>telefone</v>
      </c>
      <c r="B37073" s="3">
        <v>0</v>
      </c>
    </row>
    <row r="37074" ht="15.75" customHeight="1" spans="1:2">
      <c r="A37074" s="3" t="str">
        <f>IFERROR(__xludf.DUMMYFUNCTION("GOOGLETRANSLATE(A37074,""en"",""pt"")"),"serviço")</f>
        <v>serviço</v>
      </c>
      <c r="B37074" s="3">
        <v>0</v>
      </c>
    </row>
    <row r="37075" ht="15.75" customHeight="1" spans="1:2">
      <c r="A37075" s="3" t="str">
        <f>IFERROR(__xludf.DUMMYFUNCTION("GOOGLETRANSLATE(A37075,""en"",""pt"")"),"Eles são volumosos")</f>
        <v>Eles são volumosos</v>
      </c>
      <c r="B37075" s="3">
        <v>0</v>
      </c>
    </row>
    <row r="37076" ht="15.75" customHeight="1" spans="1:2">
      <c r="A37076" s="3" t="str">
        <f>IFERROR(__xludf.DUMMYFUNCTION("GOOGLETRANSLATE(A37076,""en"",""pt"")"),"não pode receber dois sinais de rádio de uma só vez")</f>
        <v>não pode receber dois sinais de rádio de uma só vez</v>
      </c>
      <c r="B37076" s="3">
        <v>0</v>
      </c>
    </row>
    <row r="37077" ht="15.75" customHeight="1" spans="1:2">
      <c r="A37077" s="3" t="str">
        <f>IFERROR(__xludf.DUMMYFUNCTION("GOOGLETRANSLATE(A37077,""en"",""pt"")"),"macio recepção às vezes entra e sai!")</f>
        <v>macio recepção às vezes entra e sai!</v>
      </c>
      <c r="B37077" s="3">
        <v>0</v>
      </c>
    </row>
    <row r="37078" ht="15.75" customHeight="1" spans="1:2">
      <c r="A37078" s="3" t="str">
        <f>IFERROR(__xludf.DUMMYFUNCTION("GOOGLETRANSLATE(A37078,""en"",""pt"")"),"Difícil de encontrar um em grande forma agora, botões pode desgastar")</f>
        <v>Difícil de encontrar um em grande forma agora, botões pode desgastar</v>
      </c>
      <c r="B37078" s="3">
        <v>0</v>
      </c>
    </row>
    <row r="37079" ht="15.75" customHeight="1" spans="1:2">
      <c r="A37079" s="3" t="str">
        <f>IFERROR(__xludf.DUMMYFUNCTION("GOOGLETRANSLATE(A37079,""en"",""pt"")"),"layout de teclado Bad")</f>
        <v>layout de teclado Bad</v>
      </c>
      <c r="B37079" s="3">
        <v>0</v>
      </c>
    </row>
    <row r="37080" ht="15.75" customHeight="1" spans="1:2">
      <c r="A37080" s="3" t="str">
        <f>IFERROR(__xludf.DUMMYFUNCTION("GOOGLETRANSLATE(A37080,""en"",""pt"")"),"falta de detalhes, mau serviço ao cliente")</f>
        <v>falta de detalhes, mau serviço ao cliente</v>
      </c>
      <c r="B37080" s="3">
        <v>0</v>
      </c>
    </row>
    <row r="37081" ht="15.75" customHeight="1" spans="1:2">
      <c r="A37081" s="3" t="str">
        <f>IFERROR(__xludf.DUMMYFUNCTION("GOOGLETRANSLATE(A37081,""en"",""pt"")"),"O modelo i1000 é um pouco complicado")</f>
        <v>O modelo i1000 é um pouco complicado</v>
      </c>
      <c r="B37081" s="3">
        <v>0</v>
      </c>
    </row>
    <row r="37082" ht="15.75" customHeight="1" spans="1:2">
      <c r="A37082" s="3" t="str">
        <f>IFERROR(__xludf.DUMMYFUNCTION("GOOGLETRANSLATE(A37082,""en"",""pt"")"),"Nenhum encontrado (ainda)")</f>
        <v>Nenhum encontrado (ainda)</v>
      </c>
      <c r="B37082" s="3">
        <v>0</v>
      </c>
    </row>
    <row r="37083" ht="15.75" customHeight="1" spans="1:2">
      <c r="A37083" s="3" t="str">
        <f>IFERROR(__xludf.DUMMYFUNCTION("GOOGLETRANSLATE(A37083,""en"",""pt"")"),"Talvez um pouco sobre o lado pesado com a bateria padrão")</f>
        <v>Talvez um pouco sobre o lado pesado com a bateria padrão</v>
      </c>
      <c r="B37083" s="3">
        <v>0</v>
      </c>
    </row>
    <row r="37084" ht="15.75" customHeight="1" spans="1:2">
      <c r="A37084" s="3" t="str">
        <f>IFERROR(__xludf.DUMMYFUNCTION("GOOGLETRANSLATE(A37084,""en"",""pt"")"),"não funciona em algumas pequenas comunidades")</f>
        <v>não funciona em algumas pequenas comunidades</v>
      </c>
      <c r="B37084" s="3">
        <v>0</v>
      </c>
    </row>
    <row r="37085" ht="15.75" customHeight="1" spans="1:2">
      <c r="A37085" s="3" t="str">
        <f>IFERROR(__xludf.DUMMYFUNCTION("GOOGLETRANSLATE(A37085,""en"",""pt"")"),"Pesado, Big")</f>
        <v>Pesado, Big</v>
      </c>
      <c r="B37085" s="3">
        <v>0</v>
      </c>
    </row>
    <row r="37086" ht="15.75" customHeight="1" spans="1:2">
      <c r="A37086" s="3" t="str">
        <f>IFERROR(__xludf.DUMMYFUNCTION("GOOGLETRANSLATE(A37086,""en"",""pt"")"),"curta duração da bateria, se sente estranho.")</f>
        <v>curta duração da bateria, se sente estranho.</v>
      </c>
      <c r="B37086" s="3">
        <v>0</v>
      </c>
    </row>
    <row r="37087" ht="15.75" customHeight="1" spans="1:2">
      <c r="A37087" s="3" t="str">
        <f>IFERROR(__xludf.DUMMYFUNCTION("GOOGLETRANSLATE(A37087,""en"",""pt"")"),"Você não pode verificar os números que chamou, HORRÍVEL serviço ao cliente")</f>
        <v>Você não pode verificar os números que chamou, HORRÍVEL serviço ao cliente</v>
      </c>
      <c r="B37087" s="3">
        <v>0</v>
      </c>
    </row>
    <row r="37088" ht="15.75" customHeight="1" spans="1:2">
      <c r="A37088" s="3" t="str">
        <f>IFERROR(__xludf.DUMMYFUNCTION("GOOGLETRANSLATE(A37088,""en"",""pt"")"),"Ele não executa como um rádio ligação do sul!")</f>
        <v>Ele não executa como um rádio ligação do sul!</v>
      </c>
      <c r="B37088" s="3">
        <v>0</v>
      </c>
    </row>
    <row r="37089" ht="15.75" customHeight="1" spans="1:2">
      <c r="A37089" s="3" t="str">
        <f>IFERROR(__xludf.DUMMYFUNCTION("GOOGLETRANSLATE(A37089,""en"",""pt"")"),"Ligeiramente maior do que alguns telefones")</f>
        <v>Ligeiramente maior do que alguns telefones</v>
      </c>
      <c r="B37089" s="3">
        <v>0</v>
      </c>
    </row>
    <row r="37090" ht="15.75" customHeight="1" spans="1:2">
      <c r="A37090" s="3" t="str">
        <f>IFERROR(__xludf.DUMMYFUNCTION("GOOGLETRANSLATE(A37090,""en"",""pt"")"),"algumas áreas em nossa pequena cidade são &amp; quot; ruins &amp; quot; áreas, mas diferente do que som é como ao lado")</f>
        <v>algumas áreas em nossa pequena cidade são &amp; quot; ruins &amp; quot; áreas, mas diferente do que som é como ao lado</v>
      </c>
      <c r="B37090" s="3">
        <v>0</v>
      </c>
    </row>
    <row r="37091" ht="15.75" customHeight="1" spans="1:2">
      <c r="A37091" s="3" t="str">
        <f>IFERROR(__xludf.DUMMYFUNCTION("GOOGLETRANSLATE(A37091,""en"",""pt"")"),"nada")</f>
        <v>nada</v>
      </c>
      <c r="B37091" s="3">
        <v>0</v>
      </c>
    </row>
    <row r="37092" ht="15.75" customHeight="1" spans="1:2">
      <c r="A37092" s="3" t="str">
        <f>IFERROR(__xludf.DUMMYFUNCTION("GOOGLETRANSLATE(A37092,""en"",""pt"")"),"deve vir com um carregador para o seu veículo")</f>
        <v>deve vir com um carregador para o seu veículo</v>
      </c>
      <c r="B37092" s="3">
        <v>0</v>
      </c>
    </row>
    <row r="37093" ht="15.75" customHeight="1" spans="1:2">
      <c r="A37093" s="3" t="str">
        <f>IFERROR(__xludf.DUMMYFUNCTION("GOOGLETRANSLATE(A37093,""en"",""pt"")"),"Recepção, Serviço de Nextel, volumosos, pesados, feio, toques, o nome dele")</f>
        <v>Recepção, Serviço de Nextel, volumosos, pesados, feio, toques, o nome dele</v>
      </c>
      <c r="B37093" s="3">
        <v>0</v>
      </c>
    </row>
    <row r="37094" ht="15.75" customHeight="1" spans="1:2">
      <c r="A37094" s="3" t="str">
        <f>IFERROR(__xludf.DUMMYFUNCTION("GOOGLETRANSLATE(A37094,""en"",""pt"")"),"Nenhum")</f>
        <v>Nenhum</v>
      </c>
      <c r="B37094" s="3">
        <v>0</v>
      </c>
    </row>
    <row r="37095" ht="15.75" customHeight="1" spans="1:2">
      <c r="A37095" s="3" t="str">
        <f>IFERROR(__xludf.DUMMYFUNCTION("GOOGLETRANSLATE(A37095,""en"",""pt"")"),"Telefone é volumoso e pesado, e o alerta pode ficar chato")</f>
        <v>Telefone é volumoso e pesado, e o alerta pode ficar chato</v>
      </c>
      <c r="B37095" s="3">
        <v>0</v>
      </c>
    </row>
    <row r="37096" ht="15.75" customHeight="1" spans="1:2">
      <c r="A37096" s="3" t="str">
        <f>IFERROR(__xludf.DUMMYFUNCTION("GOOGLETRANSLATE(A37096,""en"",""pt"")"),"Nenhum")</f>
        <v>Nenhum</v>
      </c>
      <c r="B37096" s="3">
        <v>0</v>
      </c>
    </row>
    <row r="37097" ht="15.75" customHeight="1" spans="1:2">
      <c r="A37097" s="3" t="str">
        <f>IFERROR(__xludf.DUMMYFUNCTION("GOOGLETRANSLATE(A37097,""en"",""pt"")"),"Nenhum")</f>
        <v>Nenhum</v>
      </c>
      <c r="B37097" s="3">
        <v>0</v>
      </c>
    </row>
    <row r="37098" ht="15.75" customHeight="1" spans="1:2">
      <c r="A37098" s="3" t="str">
        <f>IFERROR(__xludf.DUMMYFUNCTION("GOOGLETRANSLATE(A37098,""en"",""pt"")"),"Alguns recursos não estão completamente user-friendly")</f>
        <v>Alguns recursos não estão completamente user-friendly</v>
      </c>
      <c r="B37098" s="3">
        <v>0</v>
      </c>
    </row>
    <row r="37099" ht="15.75" customHeight="1" spans="1:2">
      <c r="A37099" s="3" t="str">
        <f>IFERROR(__xludf.DUMMYFUNCTION("GOOGLETRANSLATE(A37099,""en"",""pt"")"),"Única banda, Chaves Pequenas")</f>
        <v>Única banda, Chaves Pequenas</v>
      </c>
      <c r="B37099" s="3">
        <v>0</v>
      </c>
    </row>
    <row r="37100" ht="15.75" customHeight="1" spans="1:2">
      <c r="A37100" s="3" t="str">
        <f>IFERROR(__xludf.DUMMYFUNCTION("GOOGLETRANSLATE(A37100,""en"",""pt"")"),"Carece de Tri-Band GSM, tecnologicamente um passo para trás os novos produtos de seus concorrentes")</f>
        <v>Carece de Tri-Band GSM, tecnologicamente um passo para trás os novos produtos de seus concorrentes</v>
      </c>
      <c r="B37100" s="3">
        <v>0</v>
      </c>
    </row>
    <row r="37101" ht="15.75" customHeight="1" spans="1:2">
      <c r="A37101" s="3" t="str">
        <f>IFERROR(__xludf.DUMMYFUNCTION("GOOGLETRANSLATE(A37101,""en"",""pt"")"),"teclado distraindo luz, pequenos botões, interruptor on / off exige mão pesada")</f>
        <v>teclado distraindo luz, pequenos botões, interruptor on / off exige mão pesada</v>
      </c>
      <c r="B37101" s="3">
        <v>0</v>
      </c>
    </row>
    <row r="37102" ht="15.75" customHeight="1" spans="1:2">
      <c r="A37102" s="3" t="str">
        <f>IFERROR(__xludf.DUMMYFUNCTION("GOOGLETRANSLATE(A37102,""en"",""pt"")"),"Volume fone de ouvido / Ringer, recepção unnaceptable.")</f>
        <v>Volume fone de ouvido / Ringer, recepção unnaceptable.</v>
      </c>
      <c r="B37102" s="3">
        <v>0</v>
      </c>
    </row>
    <row r="37103" ht="15.75" customHeight="1" spans="1:2">
      <c r="A37103" s="3" t="str">
        <f>IFERROR(__xludf.DUMMYFUNCTION("GOOGLETRANSLATE(A37103,""en"",""pt"")"),"pouca durabilidade, não um telefone do mundo")</f>
        <v>pouca durabilidade, não um telefone do mundo</v>
      </c>
      <c r="B37103" s="3">
        <v>0</v>
      </c>
    </row>
    <row r="37104" ht="15.75" customHeight="1" spans="1:2">
      <c r="A37104" s="3" t="str">
        <f>IFERROR(__xludf.DUMMYFUNCTION("GOOGLETRANSLATE(A37104,""en"",""pt"")"),"caro quando ele saiu.")</f>
        <v>caro quando ele saiu.</v>
      </c>
      <c r="B37104" s="3">
        <v>0</v>
      </c>
    </row>
    <row r="37105" ht="15.75" customHeight="1" spans="1:2">
      <c r="A37105" s="3" t="str">
        <f>IFERROR(__xludf.DUMMYFUNCTION("GOOGLETRANSLATE(A37105,""en"",""pt"")"),"Banda Única, ruído de fundo")</f>
        <v>Banda Única, ruído de fundo</v>
      </c>
      <c r="B37105" s="3">
        <v>0</v>
      </c>
    </row>
    <row r="37106" ht="15.75" customHeight="1" spans="1:2">
      <c r="A37106" s="3" t="str">
        <f>IFERROR(__xludf.DUMMYFUNCTION("GOOGLETRANSLATE(A37106,""en"",""pt"")"),"problemas de conexão, menus tedioso, botão On / Off difícil de usar")</f>
        <v>problemas de conexão, menus tedioso, botão On / Off difícil de usar</v>
      </c>
      <c r="B37106" s="3">
        <v>0</v>
      </c>
    </row>
    <row r="37107" ht="15.75" customHeight="1" spans="1:2">
      <c r="A37107" s="3" t="str">
        <f>IFERROR(__xludf.DUMMYFUNCTION("GOOGLETRANSLATE(A37107,""en"",""pt"")"),"Volume baixo.")</f>
        <v>Volume baixo.</v>
      </c>
      <c r="B37107" s="3">
        <v>0</v>
      </c>
    </row>
    <row r="37108" ht="15.75" customHeight="1" spans="1:2">
      <c r="A37108" s="3" t="str">
        <f>IFERROR(__xludf.DUMMYFUNCTION("GOOGLETRANSLATE(A37108,""en"",""pt"")"),"Pode ser pequena demais para algumas pessoas")</f>
        <v>Pode ser pequena demais para algumas pessoas</v>
      </c>
      <c r="B37108" s="3">
        <v>0</v>
      </c>
    </row>
    <row r="37109" ht="15.75" customHeight="1" spans="1:2">
      <c r="A37109" s="3" t="str">
        <f>IFERROR(__xludf.DUMMYFUNCTION("GOOGLETRANSLATE(A37109,""en"",""pt"")"),"recepção HORRÍVEL, campainha muito tranquilo e alto-falante, inúmeras outras coisas")</f>
        <v>recepção HORRÍVEL, campainha muito tranquilo e alto-falante, inúmeras outras coisas</v>
      </c>
      <c r="B37109" s="3">
        <v>0</v>
      </c>
    </row>
    <row r="37110" ht="15.75" customHeight="1" spans="1:2">
      <c r="A37110" s="3" t="str">
        <f>IFERROR(__xludf.DUMMYFUNCTION("GOOGLETRANSLATE(A37110,""en"",""pt"")"),"recepção medíocre, toque silencioso.")</f>
        <v>recepção medíocre, toque silencioso.</v>
      </c>
      <c r="B37110" s="3">
        <v>0</v>
      </c>
    </row>
    <row r="37111" ht="15.75" customHeight="1" spans="1:2">
      <c r="A37111" s="3" t="str">
        <f>IFERROR(__xludf.DUMMYFUNCTION("GOOGLETRANSLATE(A37111,""en"",""pt"")"),"Um monte de erros de programação. Tons de uma forma muito tranquila.")</f>
        <v>Um monte de erros de programação. Tons de uma forma muito tranquila.</v>
      </c>
      <c r="B37111" s="3">
        <v>0</v>
      </c>
    </row>
    <row r="37112" ht="15.75" customHeight="1" spans="1:2">
      <c r="A37112" s="3" t="str">
        <f>IFERROR(__xludf.DUMMYFUNCTION("GOOGLETRANSLATE(A37112,""en"",""pt"")"),"falta de cor, recepção, volume, o ruído de fundo")</f>
        <v>falta de cor, recepção, volume, o ruído de fundo</v>
      </c>
      <c r="B37112" s="3">
        <v>0</v>
      </c>
    </row>
    <row r="37113" ht="15.75" customHeight="1" spans="1:2">
      <c r="A37113" s="3" t="str">
        <f>IFERROR(__xludf.DUMMYFUNCTION("GOOGLETRANSLATE(A37113,""en"",""pt"")"),"Os botões são muito pequenos.")</f>
        <v>Os botões são muito pequenos.</v>
      </c>
      <c r="B37113" s="3">
        <v>0</v>
      </c>
    </row>
    <row r="37114" ht="15.75" customHeight="1" spans="1:2">
      <c r="A37114" s="3" t="str">
        <f>IFERROR(__xludf.DUMMYFUNCTION("GOOGLETRANSLATE(A37114,""en"",""pt"")"),"bom não great bateria, pequeno teclado precisa se-utilizado-a, fácil de recepção do bloco com a mão.")</f>
        <v>bom não great bateria, pequeno teclado precisa se-utilizado-a, fácil de recepção do bloco com a mão.</v>
      </c>
      <c r="B37114" s="3">
        <v>0</v>
      </c>
    </row>
    <row r="37115" ht="15.75" customHeight="1" spans="1:2">
      <c r="A37115" s="3" t="str">
        <f>IFERROR(__xludf.DUMMYFUNCTION("GOOGLETRANSLATE(A37115,""en"",""pt"")"),"horrível recepção, quase demasiado pequena.")</f>
        <v>horrível recepção, quase demasiado pequena.</v>
      </c>
      <c r="B37115" s="3">
        <v>0</v>
      </c>
    </row>
    <row r="37116" ht="15.75" customHeight="1" spans="1:2">
      <c r="A37116" s="3" t="str">
        <f>IFERROR(__xludf.DUMMYFUNCTION("GOOGLETRANSLATE(A37116,""en"",""pt"")"),"Botões pode furar")</f>
        <v>Botões pode furar</v>
      </c>
      <c r="B37116" s="3">
        <v>0</v>
      </c>
    </row>
    <row r="37117" ht="15.75" customHeight="1" spans="1:2">
      <c r="A37117" s="3" t="str">
        <f>IFERROR(__xludf.DUMMYFUNCTION("GOOGLETRANSLATE(A37117,""en"",""pt"")"),"rede GSM nem sempre estão disponíveis, sem data com o tempo")</f>
        <v>rede GSM nem sempre estão disponíveis, sem data com o tempo</v>
      </c>
      <c r="B37117" s="3">
        <v>0</v>
      </c>
    </row>
    <row r="37118" ht="15.75" customHeight="1" spans="1:2">
      <c r="A37118" s="3" t="str">
        <f>IFERROR(__xludf.DUMMYFUNCTION("GOOGLETRANSLATE(A37118,""en"",""pt"")"),"Não tem Rádio FM")</f>
        <v>Não tem Rádio FM</v>
      </c>
      <c r="B37118" s="3">
        <v>0</v>
      </c>
    </row>
    <row r="37119" ht="15.75" customHeight="1" spans="1:2">
      <c r="A37119" s="3" t="str">
        <f>IFERROR(__xludf.DUMMYFUNCTION("GOOGLETRANSLATE(A37119,""en"",""pt"")"),"Não é um telefone imagem.")</f>
        <v>Não é um telefone imagem.</v>
      </c>
      <c r="B37119" s="3">
        <v>0</v>
      </c>
    </row>
    <row r="37120" ht="15.75" customHeight="1" spans="1:2">
      <c r="A37120" s="3" t="str">
        <f>IFERROR(__xludf.DUMMYFUNCTION("GOOGLETRANSLATE(A37120,""en"",""pt"")"),"Congela muitas vezes, a tecnologia GSM não tão ""quente"" em todos os lugares.")</f>
        <v>Congela muitas vezes, a tecnologia GSM não tão "quente" em todos os lugares.</v>
      </c>
      <c r="B37120" s="3">
        <v>0</v>
      </c>
    </row>
    <row r="37121" ht="15.75" customHeight="1" spans="1:2">
      <c r="A37121" s="3" t="str">
        <f>IFERROR(__xludf.DUMMYFUNCTION("GOOGLETRANSLATE(A37121,""en"",""pt"")"),"recepção, falhas")</f>
        <v>recepção, falhas</v>
      </c>
      <c r="B37121" s="3">
        <v>0</v>
      </c>
    </row>
    <row r="37122" ht="15.75" customHeight="1" spans="1:2">
      <c r="A37122" s="3" t="str">
        <f>IFERROR(__xludf.DUMMYFUNCTION("GOOGLETRANSLATE(A37122,""en"",""pt"")"),"nenhum i pode pensar.")</f>
        <v>nenhum i pode pensar.</v>
      </c>
      <c r="B37122" s="3">
        <v>0</v>
      </c>
    </row>
    <row r="37123" ht="15.75" customHeight="1" spans="1:2">
      <c r="A37123" s="3" t="str">
        <f>IFERROR(__xludf.DUMMYFUNCTION("GOOGLETRANSLATE(A37123,""en"",""pt"")"),"TOO muitas falhas no telefone não funciona adequadamente, as teclas pequenas, display não-cor")</f>
        <v>TOO muitas falhas no telefone não funciona adequadamente, as teclas pequenas, display não-cor</v>
      </c>
      <c r="B37123" s="3">
        <v>0</v>
      </c>
    </row>
    <row r="37124" ht="15.75" customHeight="1" spans="1:2">
      <c r="A37124" s="3" t="str">
        <f>IFERROR(__xludf.DUMMYFUNCTION("GOOGLETRANSLATE(A37124,""en"",""pt"")"),"má recepção, baixo volume, e de má qualidade.")</f>
        <v>má recepção, baixo volume, e de má qualidade.</v>
      </c>
      <c r="B37124" s="3">
        <v>0</v>
      </c>
    </row>
    <row r="37125" ht="15.75" customHeight="1" spans="1:2">
      <c r="A37125" s="3" t="str">
        <f>IFERROR(__xludf.DUMMYFUNCTION("GOOGLETRANSLATE(A37125,""en"",""pt"")"),"recepção não é bom, nenhum fundo cor, toque monofônico.")</f>
        <v>recepção não é bom, nenhum fundo cor, toque monofônico.</v>
      </c>
      <c r="B37125" s="3">
        <v>0</v>
      </c>
    </row>
    <row r="37126" ht="15.75" customHeight="1" spans="1:2">
      <c r="A37126" s="3" t="str">
        <f>IFERROR(__xludf.DUMMYFUNCTION("GOOGLETRANSLATE(A37126,""en"",""pt"")"),"3 linhas de texto na tela, a vida da bateria ruim, nenhum porta de infravermelhos")</f>
        <v>3 linhas de texto na tela, a vida da bateria ruim, nenhum porta de infravermelhos</v>
      </c>
      <c r="B37126" s="3">
        <v>0</v>
      </c>
    </row>
    <row r="37127" ht="15.75" customHeight="1" spans="1:2">
      <c r="A37127" s="3" t="str">
        <f>IFERROR(__xludf.DUMMYFUNCTION("GOOGLETRANSLATE(A37127,""en"",""pt"")"),"Nenhum")</f>
        <v>Nenhum</v>
      </c>
      <c r="B37127" s="3">
        <v>0</v>
      </c>
    </row>
    <row r="37128" ht="15.75" customHeight="1" spans="1:2">
      <c r="A37128" s="3" t="str">
        <f>IFERROR(__xludf.DUMMYFUNCTION("GOOGLETRANSLATE(A37128,""en"",""pt"")"),"a vida da bateria muito curta ...")</f>
        <v>a vida da bateria muito curta ...</v>
      </c>
      <c r="B37128" s="3">
        <v>0</v>
      </c>
    </row>
    <row r="37129" ht="15.75" customHeight="1" spans="1:2">
      <c r="A37129" s="3" t="str">
        <f>IFERROR(__xludf.DUMMYFUNCTION("GOOGLETRANSLATE(A37129,""en"",""pt"")"),"No-infra vermelho. Não há ícones para brincar como Nokias. Não que elegante")</f>
        <v>No-infra vermelho. Não há ícones para brincar como Nokias. Não que elegante</v>
      </c>
      <c r="B37129" s="3">
        <v>0</v>
      </c>
    </row>
    <row r="37130" ht="15.75" customHeight="1" spans="1:2">
      <c r="A37130" s="3" t="str">
        <f>IFERROR(__xludf.DUMMYFUNCTION("GOOGLETRANSLATE(A37130,""en"",""pt"")"),"Nunca ficaria carregada, veja o comentário")</f>
        <v>Nunca ficaria carregada, veja o comentário</v>
      </c>
      <c r="B37130" s="3">
        <v>0</v>
      </c>
    </row>
    <row r="37131" ht="15.75" customHeight="1" spans="1:2">
      <c r="A37131" s="3" t="str">
        <f>IFERROR(__xludf.DUMMYFUNCTION("GOOGLETRANSLATE(A37131,""en"",""pt"")"),"pequeno, barato e fácil de quebrar")</f>
        <v>pequeno, barato e fácil de quebrar</v>
      </c>
      <c r="B37131" s="3">
        <v>0</v>
      </c>
    </row>
    <row r="37132" ht="15.75" customHeight="1" spans="1:2">
      <c r="A37132" s="3" t="str">
        <f>IFERROR(__xludf.DUMMYFUNCTION("GOOGLETRANSLATE(A37132,""en"",""pt"")"),"Low Battery Life, Antena Too Frágil, desatualizado")</f>
        <v>Low Battery Life, Antena Too Frágil, desatualizado</v>
      </c>
      <c r="B37132" s="3">
        <v>0</v>
      </c>
    </row>
    <row r="37133" ht="15.75" customHeight="1" spans="1:2">
      <c r="A37133" s="3" t="str">
        <f>IFERROR(__xludf.DUMMYFUNCTION("GOOGLETRANSLATE(A37133,""en"",""pt"")"),"Minúsculos botões, difíceis de ajustar a Leitura")</f>
        <v>Minúsculos botões, difíceis de ajustar a Leitura</v>
      </c>
      <c r="B37133" s="3">
        <v>0</v>
      </c>
    </row>
    <row r="37134" ht="15.75" customHeight="1" spans="1:2">
      <c r="A37134" s="3" t="str">
        <f>IFERROR(__xludf.DUMMYFUNCTION("GOOGLETRANSLATE(A37134,""en"",""pt"")"),"A vida da bateria poderia usar melhoria, exibição letras são estranhas")</f>
        <v>A vida da bateria poderia usar melhoria, exibição letras são estranhas</v>
      </c>
      <c r="B37134" s="3">
        <v>0</v>
      </c>
    </row>
    <row r="37135" ht="15.75" customHeight="1" spans="1:2">
      <c r="A37135" s="3" t="str">
        <f>IFERROR(__xludf.DUMMYFUNCTION("GOOGLETRANSLATE(A37135,""en"",""pt"")"),"facilidade de utilização característica-(falta dela)")</f>
        <v>facilidade de utilização característica-(falta dela)</v>
      </c>
      <c r="B37135" s="3">
        <v>0</v>
      </c>
    </row>
    <row r="37136" ht="15.75" customHeight="1" spans="1:2">
      <c r="A37136" s="3" t="str">
        <f>IFERROR(__xludf.DUMMYFUNCTION("GOOGLETRANSLATE(A37136,""en"",""pt"")"),"curta duração da bateria")</f>
        <v>curta duração da bateria</v>
      </c>
      <c r="B37136" s="3">
        <v>0</v>
      </c>
    </row>
    <row r="37137" ht="15.75" customHeight="1" spans="1:2">
      <c r="A37137" s="3" t="str">
        <f>IFERROR(__xludf.DUMMYFUNCTION("GOOGLETRANSLATE(A37137,""en"",""pt"")"),"mensagens são ilegíveis, bateria não dura tanto tempo como prometido")</f>
        <v>mensagens são ilegíveis, bateria não dura tanto tempo como prometido</v>
      </c>
      <c r="B37137" s="3">
        <v>0</v>
      </c>
    </row>
    <row r="37138" ht="15.75" customHeight="1" spans="1:2">
      <c r="A37138" s="3" t="str">
        <f>IFERROR(__xludf.DUMMYFUNCTION("GOOGLETRANSLATE(A37138,""en"",""pt"")"),"Todo o resto!!!")</f>
        <v>Todo o resto!!!</v>
      </c>
      <c r="B37138" s="3">
        <v>0</v>
      </c>
    </row>
    <row r="37139" ht="15.75" customHeight="1" spans="1:2">
      <c r="A37139" s="3" t="str">
        <f>IFERROR(__xludf.DUMMYFUNCTION("GOOGLETRANSLATE(A37139,""en"",""pt"")"),"Às vezes o sinal é desligado, e você precisa para mexer com o telefone.")</f>
        <v>Às vezes o sinal é desligado, e você precisa para mexer com o telefone.</v>
      </c>
      <c r="B37139" s="3">
        <v>0</v>
      </c>
    </row>
    <row r="37140" ht="15.75" customHeight="1" spans="1:2">
      <c r="A37140" s="3" t="str">
        <f>IFERROR(__xludf.DUMMYFUNCTION("GOOGLETRANSLATE(A37140,""en"",""pt"")"),"tempo de conversação curta")</f>
        <v>tempo de conversação curta</v>
      </c>
      <c r="B37140" s="3">
        <v>0</v>
      </c>
    </row>
    <row r="37141" ht="15.75" customHeight="1" spans="1:2">
      <c r="A37141" s="3" t="str">
        <f>IFERROR(__xludf.DUMMYFUNCTION("GOOGLETRANSLATE(A37141,""en"",""pt"")"),"curta duração da bateria")</f>
        <v>curta duração da bateria</v>
      </c>
      <c r="B37141" s="3">
        <v>0</v>
      </c>
    </row>
    <row r="37142" ht="15.75" customHeight="1" spans="1:2">
      <c r="A37142" s="3" t="str">
        <f>IFERROR(__xludf.DUMMYFUNCTION("GOOGLETRANSLATE(A37142,""en"",""pt"")"),"má recepção")</f>
        <v>má recepção</v>
      </c>
      <c r="B37142" s="3">
        <v>0</v>
      </c>
    </row>
    <row r="37143" ht="15.75" customHeight="1" spans="1:2">
      <c r="A37143" s="3" t="str">
        <f>IFERROR(__xludf.DUMMYFUNCTION("GOOGLETRANSLATE(A37143,""en"",""pt"")"),"Nenhum")</f>
        <v>Nenhum</v>
      </c>
      <c r="B37143" s="3">
        <v>0</v>
      </c>
    </row>
    <row r="37144" ht="15.75" customHeight="1" spans="1:2">
      <c r="A37144" s="3" t="str">
        <f>IFERROR(__xludf.DUMMYFUNCTION("GOOGLETRANSLATE(A37144,""en"",""pt"")"),"antena barato, terrível vida útil da bateria, difícil de ler a exposição, pesado topo")</f>
        <v>antena barato, terrível vida útil da bateria, difícil de ler a exposição, pesado topo</v>
      </c>
      <c r="B37144" s="3">
        <v>0</v>
      </c>
    </row>
    <row r="37145" ht="15.75" customHeight="1" spans="1:2">
      <c r="A37145" s="3" t="str">
        <f>IFERROR(__xludf.DUMMYFUNCTION("GOOGLETRANSLATE(A37145,""en"",""pt"")"),"a vida da bateria muito pobre")</f>
        <v>a vida da bateria muito pobre</v>
      </c>
      <c r="B37145" s="3">
        <v>0</v>
      </c>
    </row>
    <row r="37146" ht="15.75" customHeight="1" spans="1:2">
      <c r="A37146" s="3" t="str">
        <f>IFERROR(__xludf.DUMMYFUNCTION("GOOGLETRANSLATE(A37146,""en"",""pt"")"),"Baterias horríveis")</f>
        <v>Baterias horríveis</v>
      </c>
      <c r="B37146" s="3">
        <v>0</v>
      </c>
    </row>
    <row r="37147" ht="15.75" customHeight="1" spans="1:2">
      <c r="A37147" s="3" t="str">
        <f>IFERROR(__xludf.DUMMYFUNCTION("GOOGLETRANSLATE(A37147,""en"",""pt"")"),"baixo tempo de conversação")</f>
        <v>baixo tempo de conversação</v>
      </c>
      <c r="B37147" s="3">
        <v>0</v>
      </c>
    </row>
    <row r="37148" ht="15.75" customHeight="1" spans="1:2">
      <c r="A37148" s="3" t="str">
        <f>IFERROR(__xludf.DUMMYFUNCTION("GOOGLETRANSLATE(A37148,""en"",""pt"")"),"fraco Antenne")</f>
        <v>fraco Antenne</v>
      </c>
      <c r="B37148" s="3">
        <v>0</v>
      </c>
    </row>
    <row r="37149" ht="15.75" customHeight="1" spans="1:2">
      <c r="A37149" s="3" t="str">
        <f>IFERROR(__xludf.DUMMYFUNCTION("GOOGLETRANSLATE(A37149,""en"",""pt"")"),"botões de borracha por vezes, aderir")</f>
        <v>botões de borracha por vezes, aderir</v>
      </c>
      <c r="B37149" s="3">
        <v>0</v>
      </c>
    </row>
    <row r="37150" ht="15.75" customHeight="1" spans="1:2">
      <c r="A37150" s="3" t="str">
        <f>IFERROR(__xludf.DUMMYFUNCTION("GOOGLETRANSLATE(A37150,""en"",""pt"")"),"Nenhum")</f>
        <v>Nenhum</v>
      </c>
      <c r="B37150" s="3">
        <v>0</v>
      </c>
    </row>
    <row r="37151" ht="15.75" customHeight="1" spans="1:2">
      <c r="A37151" s="3" t="str">
        <f>IFERROR(__xludf.DUMMYFUNCTION("GOOGLETRANSLATE(A37151,""en"",""pt"")"),"pequena bateria")</f>
        <v>pequena bateria</v>
      </c>
      <c r="B37151" s="3">
        <v>0</v>
      </c>
    </row>
    <row r="37152" ht="15.75" customHeight="1" spans="1:2">
      <c r="A37152" s="3" t="str">
        <f>IFERROR(__xludf.DUMMYFUNCTION("GOOGLETRANSLATE(A37152,""en"",""pt"")"),"Preço?")</f>
        <v>Preço?</v>
      </c>
      <c r="B37152" s="3">
        <v>0</v>
      </c>
    </row>
    <row r="37153" ht="15.75" customHeight="1" spans="1:2">
      <c r="A37153" s="3" t="str">
        <f>IFERROR(__xludf.DUMMYFUNCTION("GOOGLETRANSLATE(A37153,""en"",""pt"")"),"bateria doesnt última suficiente longa")</f>
        <v>bateria doesnt última suficiente longa</v>
      </c>
      <c r="B37153" s="3">
        <v>0</v>
      </c>
    </row>
    <row r="37154" ht="15.75" customHeight="1" spans="1:2">
      <c r="A37154" s="3" t="str">
        <f>IFERROR(__xludf.DUMMYFUNCTION("GOOGLETRANSLATE(A37154,""en"",""pt"")"),"por causa do tamanho poderia ser deslocada facilmente")</f>
        <v>por causa do tamanho poderia ser deslocada facilmente</v>
      </c>
      <c r="B37154" s="3">
        <v>0</v>
      </c>
    </row>
    <row r="37155" ht="15.75" customHeight="1" spans="1:2">
      <c r="A37155" s="3" t="str">
        <f>IFERROR(__xludf.DUMMYFUNCTION("GOOGLETRANSLATE(A37155,""en"",""pt"")"),"baixo tempo de conversa, antena breaks mais fácil do que a maioria")</f>
        <v>baixo tempo de conversa, antena breaks mais fácil do que a maioria</v>
      </c>
      <c r="B37155" s="3">
        <v>0</v>
      </c>
    </row>
    <row r="37156" ht="15.75" customHeight="1" spans="1:2">
      <c r="A37156" s="3" t="str">
        <f>IFERROR(__xludf.DUMMYFUNCTION("GOOGLETRANSLATE(A37156,""en"",""pt"")"),"Nenhum")</f>
        <v>Nenhum</v>
      </c>
      <c r="B37156" s="3">
        <v>0</v>
      </c>
    </row>
    <row r="37157" ht="15.75" customHeight="1" spans="1:2">
      <c r="A37157" s="3" t="str">
        <f>IFERROR(__xludf.DUMMYFUNCTION("GOOGLETRANSLATE(A37157,""en"",""pt"")"),"vida útil da bateria é boa, mas poderia ser aumentada com uma bateria de iões opcional")</f>
        <v>vida útil da bateria é boa, mas poderia ser aumentada com uma bateria de iões opcional</v>
      </c>
      <c r="B37157" s="3">
        <v>0</v>
      </c>
    </row>
    <row r="37158" ht="15.75" customHeight="1" spans="1:2">
      <c r="A37158" s="3" t="str">
        <f>IFERROR(__xludf.DUMMYFUNCTION("GOOGLETRANSLATE(A37158,""en"",""pt"")"),"Tão pequena que Usando o botão da área muitas vezes pode ser uma dor")</f>
        <v>Tão pequena que Usando o botão da área muitas vezes pode ser uma dor</v>
      </c>
      <c r="B37158" s="3">
        <v>0</v>
      </c>
    </row>
    <row r="37159" ht="15.75" customHeight="1" spans="1:2">
      <c r="A37159" s="3" t="str">
        <f>IFERROR(__xludf.DUMMYFUNCTION("GOOGLETRANSLATE(A37159,""en"",""pt"")"),"--------")</f>
        <v>--------</v>
      </c>
      <c r="B37159" s="3">
        <v>0</v>
      </c>
    </row>
    <row r="37160" ht="15.75" customHeight="1" spans="1:2">
      <c r="A37160" s="3" t="str">
        <f>IFERROR(__xludf.DUMMYFUNCTION("GOOGLETRANSLATE(A37160,""en"",""pt"")"),"Se você esquecê-lo, ele pode acabar na máquina de lavar ...")</f>
        <v>Se você esquecê-lo, ele pode acabar na máquina de lavar ...</v>
      </c>
      <c r="B37160" s="3">
        <v>0</v>
      </c>
    </row>
    <row r="37161" ht="15.75" customHeight="1" spans="1:2">
      <c r="A37161" s="3" t="str">
        <f>IFERROR(__xludf.DUMMYFUNCTION("GOOGLETRANSLATE(A37161,""en"",""pt"")"),"sta longe do TDMA estrela digitais tac ... mau startac! badstartac!")</f>
        <v>sta longe do TDMA estrela digitais tac ... mau startac! badstartac!</v>
      </c>
      <c r="B37161" s="3">
        <v>0</v>
      </c>
    </row>
    <row r="37162" ht="15.75" customHeight="1" spans="1:2">
      <c r="A37162" s="3" t="str">
        <f>IFERROR(__xludf.DUMMYFUNCTION("GOOGLETRANSLATE(A37162,""en"",""pt"")"),"únicas características ossos nus")</f>
        <v>únicas características ossos nus</v>
      </c>
      <c r="B37162" s="3">
        <v>0</v>
      </c>
    </row>
    <row r="37163" ht="15.75" customHeight="1" spans="1:2">
      <c r="A37163" s="3" t="str">
        <f>IFERROR(__xludf.DUMMYFUNCTION("GOOGLETRANSLATE(A37163,""en"",""pt"")"),"pode perdê-la")</f>
        <v>pode perdê-la</v>
      </c>
      <c r="B37163" s="3">
        <v>0</v>
      </c>
    </row>
    <row r="37164" ht="15.75" customHeight="1" spans="1:2">
      <c r="A37164" s="3" t="str">
        <f>IFERROR(__xludf.DUMMYFUNCTION("GOOGLETRANSLATE(A37164,""en"",""pt"")"),"Muitos, ler a resenha")</f>
        <v>Muitos, ler a resenha</v>
      </c>
      <c r="B37164" s="3">
        <v>0</v>
      </c>
    </row>
    <row r="37165" ht="15.75" customHeight="1" spans="1:2">
      <c r="A37165" s="3" t="str">
        <f>IFERROR(__xludf.DUMMYFUNCTION("GOOGLETRANSLATE(A37165,""en"",""pt"")"),"Bateria permanece encargos para 60 minutos, quando utilizado.")</f>
        <v>Bateria permanece encargos para 60 minutos, quando utilizado.</v>
      </c>
      <c r="B37165" s="3">
        <v>0</v>
      </c>
    </row>
    <row r="37166" ht="15.75" customHeight="1" spans="1:2">
      <c r="A37166" s="3" t="str">
        <f>IFERROR(__xludf.DUMMYFUNCTION("GOOGLETRANSLATE(A37166,""en"",""pt"")"),"É analógico e tem bateria horrível.")</f>
        <v>É analógico e tem bateria horrível.</v>
      </c>
      <c r="B37166" s="3">
        <v>0</v>
      </c>
    </row>
    <row r="37167" ht="15.75" customHeight="1" spans="1:2">
      <c r="A37167" s="3" t="str">
        <f>IFERROR(__xludf.DUMMYFUNCTION("GOOGLETRANSLATE(A37167,""en"",""pt"")"),"qualty barato, Bad recepção, FEIO")</f>
        <v>qualty barato, Bad recepção, FEIO</v>
      </c>
      <c r="B37167" s="3">
        <v>0</v>
      </c>
    </row>
    <row r="37168" ht="15.75" customHeight="1" spans="1:2">
      <c r="A37168" s="3" t="str">
        <f>IFERROR(__xludf.DUMMYFUNCTION("GOOGLETRANSLATE(A37168,""en"",""pt"")"),"As baterias são muito caros")</f>
        <v>As baterias são muito caros</v>
      </c>
      <c r="B37168" s="3">
        <v>0</v>
      </c>
    </row>
    <row r="37169" ht="15.75" customHeight="1" spans="1:2">
      <c r="A37169" s="3" t="str">
        <f>IFERROR(__xludf.DUMMYFUNCTION("GOOGLETRANSLATE(A37169,""en"",""pt"")"),"A falta de recursos, a vida curta da bateria, não amigável")</f>
        <v>A falta de recursos, a vida curta da bateria, não amigável</v>
      </c>
      <c r="B37169" s="3">
        <v>0</v>
      </c>
    </row>
    <row r="37170" ht="15.75" customHeight="1" spans="1:2">
      <c r="A37170" s="3" t="str">
        <f>IFERROR(__xludf.DUMMYFUNCTION("GOOGLETRANSLATE(A37170,""en"",""pt"")"),"Você pode até esquecer que tê-lo.")</f>
        <v>Você pode até esquecer que tê-lo.</v>
      </c>
      <c r="B37170" s="3">
        <v>0</v>
      </c>
    </row>
    <row r="37171" ht="15.75" customHeight="1" spans="1:2">
      <c r="A37171" s="3" t="str">
        <f>IFERROR(__xludf.DUMMYFUNCTION("GOOGLETRANSLATE(A37171,""en"",""pt"")"),"vida útil da bateria")</f>
        <v>vida útil da bateria</v>
      </c>
      <c r="B37171" s="3">
        <v>0</v>
      </c>
    </row>
    <row r="37172" ht="15.75" customHeight="1" spans="1:2">
      <c r="A37172" s="3" t="str">
        <f>IFERROR(__xludf.DUMMYFUNCTION("GOOGLETRANSLATE(A37172,""en"",""pt"")"),"vida de bateria fraca, não tantos recursos quanto analógico high-end, se sente engraçado na mão em primeiro lugar")</f>
        <v>vida de bateria fraca, não tantos recursos quanto analógico high-end, se sente engraçado na mão em primeiro lugar</v>
      </c>
      <c r="B37172" s="3">
        <v>0</v>
      </c>
    </row>
    <row r="37173" ht="15.75" customHeight="1" spans="1:2">
      <c r="A37173" s="3" t="str">
        <f>IFERROR(__xludf.DUMMYFUNCTION("GOOGLETRANSLATE(A37173,""en"",""pt"")"),"curta vida útil da bateria.")</f>
        <v>curta vida útil da bateria.</v>
      </c>
      <c r="B37173" s="3">
        <v>0</v>
      </c>
    </row>
    <row r="37174" ht="15.75" customHeight="1" spans="1:2">
      <c r="A37174" s="3" t="str">
        <f>IFERROR(__xludf.DUMMYFUNCTION("GOOGLETRANSLATE(A37174,""en"",""pt"")"),"pode ser difícil para alguns")</f>
        <v>pode ser difícil para alguns</v>
      </c>
      <c r="B37174" s="3">
        <v>0</v>
      </c>
    </row>
    <row r="37175" ht="15.75" customHeight="1" spans="1:2">
      <c r="A37175" s="3" t="str">
        <f>IFERROR(__xludf.DUMMYFUNCTION("GOOGLETRANSLATE(A37175,""en"",""pt"")"),"O titular é estranho")</f>
        <v>O titular é estranho</v>
      </c>
      <c r="B37175" s="3">
        <v>0</v>
      </c>
    </row>
    <row r="37176" ht="15.75" customHeight="1" spans="1:2">
      <c r="A37176" s="3" t="str">
        <f>IFERROR(__xludf.DUMMYFUNCTION("GOOGLETRANSLATE(A37176,""en"",""pt"")"),"Alguns ecoando ao chamar outros telefones celulares")</f>
        <v>Alguns ecoando ao chamar outros telefones celulares</v>
      </c>
      <c r="B37176" s="3">
        <v>0</v>
      </c>
    </row>
    <row r="37177" ht="15.75" customHeight="1" spans="1:2">
      <c r="A37177" s="3" t="str">
        <f>IFERROR(__xludf.DUMMYFUNCTION("GOOGLETRANSLATE(A37177,""en"",""pt"")"),"Não é tão chamativo como alguns outros telefones")</f>
        <v>Não é tão chamativo como alguns outros telefones</v>
      </c>
      <c r="B37177" s="3">
        <v>0</v>
      </c>
    </row>
    <row r="37178" ht="15.75" customHeight="1" spans="1:2">
      <c r="A37178" s="3" t="str">
        <f>IFERROR(__xludf.DUMMYFUNCTION("GOOGLETRANSLATE(A37178,""en"",""pt"")"),"clareza e energia da bateria")</f>
        <v>clareza e energia da bateria</v>
      </c>
      <c r="B37178" s="3">
        <v>0</v>
      </c>
    </row>
    <row r="37179" ht="15.75" customHeight="1" spans="1:2">
      <c r="A37179" s="3" t="str">
        <f>IFERROR(__xludf.DUMMYFUNCTION("GOOGLETRANSLATE(A37179,""en"",""pt"")"),"Talvez demasiado pequeno para grandes mãos para usar botões, analógico")</f>
        <v>Talvez demasiado pequeno para grandes mãos para usar botões, analógico</v>
      </c>
      <c r="B37179" s="3">
        <v>0</v>
      </c>
    </row>
    <row r="37180" ht="15.75" customHeight="1" spans="1:2">
      <c r="A37180" s="3" t="str">
        <f>IFERROR(__xludf.DUMMYFUNCTION("GOOGLETRANSLATE(A37180,""en"",""pt"")"),"Às vezes, perde a conexão em áreas de cobertura fraca")</f>
        <v>Às vezes, perde a conexão em áreas de cobertura fraca</v>
      </c>
      <c r="B37180" s="3">
        <v>0</v>
      </c>
    </row>
    <row r="37181" ht="15.75" customHeight="1" spans="1:2">
      <c r="A37181" s="3" t="str">
        <f>IFERROR(__xludf.DUMMYFUNCTION("GOOGLETRANSLATE(A37181,""en"",""pt"")"),"vida útil da bateria")</f>
        <v>vida útil da bateria</v>
      </c>
      <c r="B37181" s="3">
        <v>0</v>
      </c>
    </row>
    <row r="37182" ht="15.75" customHeight="1" spans="1:2">
      <c r="A37182" s="3" t="str">
        <f>IFERROR(__xludf.DUMMYFUNCTION("GOOGLETRANSLATE(A37182,""en"",""pt"")"),"nada")</f>
        <v>nada</v>
      </c>
      <c r="B37182" s="3">
        <v>0</v>
      </c>
    </row>
    <row r="37183" ht="15.75" customHeight="1" spans="1:2">
      <c r="A37183" s="3" t="str">
        <f>IFERROR(__xludf.DUMMYFUNCTION("GOOGLETRANSLATE(A37183,""en"",""pt"")"),"Às vezes você se esqueça que você tem!")</f>
        <v>Às vezes você se esqueça que você tem!</v>
      </c>
      <c r="B37183" s="3">
        <v>0</v>
      </c>
    </row>
    <row r="37184" ht="15.75" customHeight="1" spans="1:2">
      <c r="A37184" s="3" t="str">
        <f>IFERROR(__xludf.DUMMYFUNCTION("GOOGLETRANSLATE(A37184,""en"",""pt"")"),"Leva algum tempo para programa em programas extra")</f>
        <v>Leva algum tempo para programa em programas extra</v>
      </c>
      <c r="B37184" s="3">
        <v>0</v>
      </c>
    </row>
    <row r="37185" ht="15.75" customHeight="1" spans="1:2">
      <c r="A37185" s="3" t="str">
        <f>IFERROR(__xludf.DUMMYFUNCTION("GOOGLETRANSLATE(A37185,""en"",""pt"")"),"antena de ruptura, má recepção")</f>
        <v>antena de ruptura, má recepção</v>
      </c>
      <c r="B37185" s="3">
        <v>0</v>
      </c>
    </row>
    <row r="37186" ht="15.75" customHeight="1" spans="1:2">
      <c r="A37186" s="3" t="str">
        <f>IFERROR(__xludf.DUMMYFUNCTION("GOOGLETRANSLATE(A37186,""en"",""pt"")"),"parece um pouco frágil")</f>
        <v>parece um pouco frágil</v>
      </c>
      <c r="B37186" s="3">
        <v>0</v>
      </c>
    </row>
    <row r="37187" ht="15.75" customHeight="1" spans="1:2">
      <c r="A37187" s="3" t="str">
        <f>IFERROR(__xludf.DUMMYFUNCTION("GOOGLETRANSLATE(A37187,""en"",""pt"")"),"recursos mínimos")</f>
        <v>recursos mínimos</v>
      </c>
      <c r="B37187" s="3">
        <v>0</v>
      </c>
    </row>
    <row r="37188" ht="15.75" customHeight="1" spans="1:2">
      <c r="A37188" s="3" t="str">
        <f>IFERROR(__xludf.DUMMYFUNCTION("GOOGLETRANSLATE(A37188,""en"",""pt"")"),"energia da bateria")</f>
        <v>energia da bateria</v>
      </c>
      <c r="B37188" s="3">
        <v>0</v>
      </c>
    </row>
    <row r="37189" ht="15.75" customHeight="1" spans="1:2">
      <c r="A37189" s="3" t="str">
        <f>IFERROR(__xludf.DUMMYFUNCTION("GOOGLETRANSLATE(A37189,""en"",""pt"")"),"display LCD old-school feio")</f>
        <v>display LCD old-school feio</v>
      </c>
      <c r="B37189" s="3">
        <v>0</v>
      </c>
    </row>
    <row r="37190" ht="15.75" customHeight="1" spans="1:2">
      <c r="A37190" s="3" t="str">
        <f>IFERROR(__xludf.DUMMYFUNCTION("GOOGLETRANSLATE(A37190,""en"",""pt"")"),"Nunca parece funcionar como deveria")</f>
        <v>Nunca parece funcionar como deveria</v>
      </c>
      <c r="B37190" s="3">
        <v>0</v>
      </c>
    </row>
    <row r="37191" ht="15.75" customHeight="1" spans="1:2">
      <c r="A37191" s="3" t="str">
        <f>IFERROR(__xludf.DUMMYFUNCTION("GOOGLETRANSLATE(A37191,""en"",""pt"")"),"duro para discar")</f>
        <v>duro para discar</v>
      </c>
      <c r="B37191" s="3">
        <v>0</v>
      </c>
    </row>
    <row r="37192" ht="15.75" customHeight="1" spans="1:2">
      <c r="A37192" s="3" t="str">
        <f>IFERROR(__xludf.DUMMYFUNCTION("GOOGLETRANSLATE(A37192,""en"",""pt"")"),"distância de roaming é mais curto do que a maioria")</f>
        <v>distância de roaming é mais curto do que a maioria</v>
      </c>
      <c r="B37192" s="3">
        <v>0</v>
      </c>
    </row>
    <row r="37193" ht="15.75" customHeight="1" spans="1:2">
      <c r="A37193" s="3" t="str">
        <f>IFERROR(__xludf.DUMMYFUNCTION("GOOGLETRANSLATE(A37193,""en"",""pt"")"),"Tive muitos problemas com ele")</f>
        <v>Tive muitos problemas com ele</v>
      </c>
      <c r="B37193" s="3">
        <v>0</v>
      </c>
    </row>
    <row r="37194" ht="15.75" customHeight="1" spans="1:2">
      <c r="A37194" s="3" t="str">
        <f>IFERROR(__xludf.DUMMYFUNCTION("GOOGLETRANSLATE(A37194,""en"",""pt"")"),"tem tendência a sair do titular facilmente")</f>
        <v>tem tendência a sair do titular facilmente</v>
      </c>
      <c r="B37194" s="3">
        <v>0</v>
      </c>
    </row>
    <row r="37195" ht="15.75" customHeight="1" spans="1:2">
      <c r="A37195" s="3" t="str">
        <f>IFERROR(__xludf.DUMMYFUNCTION("GOOGLETRANSLATE(A37195,""en"",""pt"")"),"caro,")</f>
        <v>caro,</v>
      </c>
      <c r="B37195" s="3">
        <v>0</v>
      </c>
    </row>
    <row r="37196" ht="15.75" customHeight="1" spans="1:2">
      <c r="A37196" s="3" t="str">
        <f>IFERROR(__xludf.DUMMYFUNCTION("GOOGLETRANSLATE(A37196,""en"",""pt"")"),"tamanho, não pode encontrá-lo.")</f>
        <v>tamanho, não pode encontrá-lo.</v>
      </c>
      <c r="B37196" s="3">
        <v>0</v>
      </c>
    </row>
    <row r="37197" ht="15.75" customHeight="1" spans="1:2">
      <c r="A37197" s="3" t="str">
        <f>IFERROR(__xludf.DUMMYFUNCTION("GOOGLETRANSLATE(A37197,""en"",""pt"")"),"vida útil da bateria, um pouco difícil de usar a tela")</f>
        <v>vida útil da bateria, um pouco difícil de usar a tela</v>
      </c>
      <c r="B37197" s="3">
        <v>0</v>
      </c>
    </row>
    <row r="37198" ht="15.75" customHeight="1" spans="1:2">
      <c r="A37198" s="3" t="str">
        <f>IFERROR(__xludf.DUMMYFUNCTION("GOOGLETRANSLATE(A37198,""en"",""pt"")"),"não é um bom produto")</f>
        <v>não é um bom produto</v>
      </c>
      <c r="B37198" s="3">
        <v>0</v>
      </c>
    </row>
    <row r="37199" ht="15.75" customHeight="1" spans="1:2">
      <c r="A37199" s="3" t="str">
        <f>IFERROR(__xludf.DUMMYFUNCTION("GOOGLETRANSLATE(A37199,""en"",""pt"")"),"Tamanho, fácil perder")</f>
        <v>Tamanho, fácil perder</v>
      </c>
      <c r="B37199" s="3">
        <v>0</v>
      </c>
    </row>
    <row r="37200" ht="15.75" customHeight="1" spans="1:2">
      <c r="A37200" s="3" t="str">
        <f>IFERROR(__xludf.DUMMYFUNCTION("GOOGLETRANSLATE(A37200,""en"",""pt"")"),"vida útil da bateria")</f>
        <v>vida útil da bateria</v>
      </c>
      <c r="B37200" s="3">
        <v>0</v>
      </c>
    </row>
    <row r="37201" ht="15.75" customHeight="1" spans="1:2">
      <c r="A37201" s="3" t="str">
        <f>IFERROR(__xludf.DUMMYFUNCTION("GOOGLETRANSLATE(A37201,""en"",""pt"")"),"tempo de conversação, display")</f>
        <v>tempo de conversação, display</v>
      </c>
      <c r="B37201" s="3">
        <v>0</v>
      </c>
    </row>
    <row r="37202" ht="15.75" customHeight="1" spans="1:2">
      <c r="A37202" s="3" t="str">
        <f>IFERROR(__xludf.DUMMYFUNCTION("GOOGLETRANSLATE(A37202,""en"",""pt"")"),"há lugar para colocar alfanumérico")</f>
        <v>há lugar para colocar alfanumérico</v>
      </c>
      <c r="B37202" s="3">
        <v>0</v>
      </c>
    </row>
    <row r="37203" ht="15.75" customHeight="1" spans="1:2">
      <c r="A37203" s="3" t="str">
        <f>IFERROR(__xludf.DUMMYFUNCTION("GOOGLETRANSLATE(A37203,""en"",""pt"")"),"curta duração da bateria, características sem extras")</f>
        <v>curta duração da bateria, características sem extras</v>
      </c>
      <c r="B37203" s="3">
        <v>0</v>
      </c>
    </row>
    <row r="37204" ht="15.75" customHeight="1" spans="1:2">
      <c r="A37204" s="3" t="str">
        <f>IFERROR(__xludf.DUMMYFUNCTION("GOOGLETRANSLATE(A37204,""en"",""pt"")"),"As chamadas não limpar, às vezes ... bateria vai muito rápido, também.")</f>
        <v>As chamadas não limpar, às vezes ... bateria vai muito rápido, também.</v>
      </c>
      <c r="B37204" s="3">
        <v>0</v>
      </c>
    </row>
    <row r="37205" ht="15.75" customHeight="1" spans="1:2">
      <c r="A37205" s="3" t="str">
        <f>IFERROR(__xludf.DUMMYFUNCTION("GOOGLETRANSLATE(A37205,""en"",""pt"")"),"corta")</f>
        <v>corta</v>
      </c>
      <c r="B37205" s="3">
        <v>0</v>
      </c>
    </row>
    <row r="37206" ht="15.75" customHeight="1" spans="1:2">
      <c r="A37206" s="3" t="str">
        <f>IFERROR(__xludf.DUMMYFUNCTION("GOOGLETRANSLATE(A37206,""en"",""pt"")"),"Não funciona em alguns edifícios")</f>
        <v>Não funciona em alguns edifícios</v>
      </c>
      <c r="B37206" s="3">
        <v>0</v>
      </c>
    </row>
    <row r="37207" ht="15.75" customHeight="1" spans="1:2">
      <c r="A37207" s="3" t="str">
        <f>IFERROR(__xludf.DUMMYFUNCTION("GOOGLETRANSLATE(A37207,""en"",""pt"")"),"nada realmente")</f>
        <v>nada realmente</v>
      </c>
      <c r="B37207" s="3">
        <v>0</v>
      </c>
    </row>
    <row r="37208" ht="15.75" customHeight="1" spans="1:2">
      <c r="A37208" s="3" t="str">
        <f>IFERROR(__xludf.DUMMYFUNCTION("GOOGLETRANSLATE(A37208,""en"",""pt"")"),"Perdê-lo ou deslocar-lo")</f>
        <v>Perdê-lo ou deslocar-lo</v>
      </c>
      <c r="B37208" s="3">
        <v>0</v>
      </c>
    </row>
    <row r="37209" ht="15.75" customHeight="1" spans="1:2">
      <c r="A37209" s="3" t="str">
        <f>IFERROR(__xludf.DUMMYFUNCTION("GOOGLETRANSLATE(A37209,""en"",""pt"")"),"compre")</f>
        <v>compre</v>
      </c>
      <c r="B37209" s="3">
        <v>0</v>
      </c>
    </row>
    <row r="37210" ht="15.75" customHeight="1" spans="1:2">
      <c r="A37210" s="3" t="str">
        <f>IFERROR(__xludf.DUMMYFUNCTION("GOOGLETRANSLATE(A37210,""en"",""pt"")"),"Nenhum")</f>
        <v>Nenhum</v>
      </c>
      <c r="B37210" s="3">
        <v>0</v>
      </c>
    </row>
    <row r="37211" ht="15.75" customHeight="1" spans="1:2">
      <c r="A37211" s="3" t="str">
        <f>IFERROR(__xludf.DUMMYFUNCTION("GOOGLETRANSLATE(A37211,""en"",""pt"")"),"Eu tinha dois problemas com esta antena interrompeu e teclado parou de funcionar, possivelmente feito barata")</f>
        <v>Eu tinha dois problemas com esta antena interrompeu e teclado parou de funcionar, possivelmente feito barata</v>
      </c>
      <c r="B37211" s="3">
        <v>0</v>
      </c>
    </row>
    <row r="37212" ht="15.75" customHeight="1" spans="1:2">
      <c r="A37212" s="3" t="str">
        <f>IFERROR(__xludf.DUMMYFUNCTION("GOOGLETRANSLATE(A37212,""en"",""pt"")"),"fácil de pendurar acidentalmente em uma chamada.")</f>
        <v>fácil de pendurar acidentalmente em uma chamada.</v>
      </c>
      <c r="B37212" s="3">
        <v>0</v>
      </c>
    </row>
    <row r="37213" ht="15.75" customHeight="1" spans="1:2">
      <c r="A37213" s="3" t="str">
        <f>IFERROR(__xludf.DUMMYFUNCTION("GOOGLETRANSLATE(A37213,""en"",""pt"")"),"Pequeno, alguém vai fazer um clipe de cinto que as obras agradar?")</f>
        <v>Pequeno, alguém vai fazer um clipe de cinto que as obras agradar?</v>
      </c>
      <c r="B37213" s="3">
        <v>0</v>
      </c>
    </row>
    <row r="37214" ht="15.75" customHeight="1" spans="1:2">
      <c r="A37214" s="3" t="str">
        <f>IFERROR(__xludf.DUMMYFUNCTION("GOOGLETRANSLATE(A37214,""en"",""pt"")"),"não pode fazer chamadas, não pode manter uma chamada no telefone ...")</f>
        <v>não pode fazer chamadas, não pode manter uma chamada no telefone ...</v>
      </c>
      <c r="B37214" s="3">
        <v>0</v>
      </c>
    </row>
    <row r="37215" ht="15.75" customHeight="1" spans="1:2">
      <c r="A37215" s="3" t="str">
        <f>IFERROR(__xludf.DUMMYFUNCTION("GOOGLETRANSLATE(A37215,""en"",""pt"")"),"disponível apenas com a Sprint PCS, nenhuma mensagem de voz")</f>
        <v>disponível apenas com a Sprint PCS, nenhuma mensagem de voz</v>
      </c>
      <c r="B37215" s="3">
        <v>0</v>
      </c>
    </row>
    <row r="37216" ht="15.75" customHeight="1" spans="1:2">
      <c r="A37216" s="3" t="str">
        <f>IFERROR(__xludf.DUMMYFUNCTION("GOOGLETRANSLATE(A37216,""en"",""pt"")"),"livro de telefone lento para carregar PCS Sprint não tão confiáveis")</f>
        <v>livro de telefone lento para carregar PCS Sprint não tão confiáveis</v>
      </c>
      <c r="B37216" s="3">
        <v>0</v>
      </c>
    </row>
    <row r="37217" ht="15.75" customHeight="1" spans="1:2">
      <c r="A37217" s="3" t="str">
        <f>IFERROR(__xludf.DUMMYFUNCTION("GOOGLETRANSLATE(A37217,""en"",""pt"")"),"Não tem nenhum jogo, não pode baixar toques")</f>
        <v>Não tem nenhum jogo, não pode baixar toques</v>
      </c>
      <c r="B37217" s="3">
        <v>0</v>
      </c>
    </row>
    <row r="37218" ht="15.75" customHeight="1" spans="1:2">
      <c r="A37218" s="3" t="str">
        <f>IFERROR(__xludf.DUMMYFUNCTION("GOOGLETRANSLATE(A37218,""en"",""pt"")"),"desistências ocasionais e botão de alternância difícil maneuver-- muito pequenas !!")</f>
        <v>desistências ocasionais e botão de alternância difícil maneuver-- muito pequenas !!</v>
      </c>
      <c r="B37218" s="3">
        <v>0</v>
      </c>
    </row>
    <row r="37219" ht="15.75" customHeight="1" spans="1:2">
      <c r="A37219" s="3" t="str">
        <f>IFERROR(__xludf.DUMMYFUNCTION("GOOGLETRANSLATE(A37219,""en"",""pt"")"),"Ainda apenas 12 espaços para nomes, 8500 em um novo 3500 corpo!")</f>
        <v>Ainda apenas 12 espaços para nomes, 8500 em um novo 3500 corpo!</v>
      </c>
      <c r="B37219" s="3">
        <v>0</v>
      </c>
    </row>
    <row r="37220" ht="15.75" customHeight="1" spans="1:2">
      <c r="A37220" s="3" t="str">
        <f>IFERROR(__xludf.DUMMYFUNCTION("GOOGLETRANSLATE(A37220,""en"",""pt"")"),"Nenhum")</f>
        <v>Nenhum</v>
      </c>
      <c r="B37220" s="3">
        <v>0</v>
      </c>
    </row>
    <row r="37221" ht="15.75" customHeight="1" spans="1:2">
      <c r="A37221" s="3" t="str">
        <f>IFERROR(__xludf.DUMMYFUNCTION("GOOGLETRANSLATE(A37221,""en"",""pt"")"),"SprintPCS tem cobertura Fraco no melhor.")</f>
        <v>SprintPCS tem cobertura Fraco no melhor.</v>
      </c>
      <c r="B37221" s="3">
        <v>0</v>
      </c>
    </row>
    <row r="37222" ht="15.75" customHeight="1" spans="1:2">
      <c r="A37222" s="3" t="str">
        <f>IFERROR(__xludf.DUMMYFUNCTION("GOOGLETRANSLATE(A37222,""en"",""pt"")"),"Falta de tecnologia avançada ... talvez")</f>
        <v>Falta de tecnologia avançada ... talvez</v>
      </c>
      <c r="B37222" s="3">
        <v>0</v>
      </c>
    </row>
    <row r="37223" ht="15.75" customHeight="1" spans="1:2">
      <c r="A37223" s="3" t="str">
        <f>IFERROR(__xludf.DUMMYFUNCTION("GOOGLETRANSLATE(A37223,""en"",""pt"")"),"Falta de recursos.")</f>
        <v>Falta de recursos.</v>
      </c>
      <c r="B37223" s="3">
        <v>0</v>
      </c>
    </row>
    <row r="37224" ht="15.75" customHeight="1" spans="1:2">
      <c r="A37224" s="3" t="str">
        <f>IFERROR(__xludf.DUMMYFUNCTION("GOOGLETRANSLATE(A37224,""en"",""pt"")"),"nenhum compositor")</f>
        <v>nenhum compositor</v>
      </c>
      <c r="B37224" s="3">
        <v>0</v>
      </c>
    </row>
    <row r="37225" ht="15.75" customHeight="1" spans="1:2">
      <c r="A37225" s="3" t="str">
        <f>IFERROR(__xludf.DUMMYFUNCTION("GOOGLETRANSLATE(A37225,""en"",""pt"")"),"as chaves são, provavelmente, um pouco pequeno")</f>
        <v>as chaves são, provavelmente, um pouco pequeno</v>
      </c>
      <c r="B37225" s="3">
        <v>0</v>
      </c>
    </row>
    <row r="37226" ht="15.75" customHeight="1" spans="1:2">
      <c r="A37226" s="3" t="str">
        <f>IFERROR(__xludf.DUMMYFUNCTION("GOOGLETRANSLATE(A37226,""en"",""pt"")"),"Não tela colorida")</f>
        <v>Não tela colorida</v>
      </c>
      <c r="B37226" s="3">
        <v>0</v>
      </c>
    </row>
    <row r="37227" ht="15.75" customHeight="1" spans="1:2">
      <c r="A37227" s="3" t="str">
        <f>IFERROR(__xludf.DUMMYFUNCTION("GOOGLETRANSLATE(A37227,""en"",""pt"")"),"Tipo de grande para ser facilmente transportado")</f>
        <v>Tipo de grande para ser facilmente transportado</v>
      </c>
      <c r="B37227" s="3">
        <v>0</v>
      </c>
    </row>
    <row r="37228" ht="15.75" customHeight="1" spans="1:2">
      <c r="A37228" s="3" t="str">
        <f>IFERROR(__xludf.DUMMYFUNCTION("GOOGLETRANSLATE(A37228,""en"",""pt"")"),"botão de energia é difícil de imprensa, você não vai precisar dele, muitas vezes embora")</f>
        <v>botão de energia é difícil de imprensa, você não vai precisar dele, muitas vezes embora</v>
      </c>
      <c r="B37228" s="3">
        <v>0</v>
      </c>
    </row>
    <row r="37229" ht="15.75" customHeight="1" spans="1:2">
      <c r="A37229" s="3" t="str">
        <f>IFERROR(__xludf.DUMMYFUNCTION("GOOGLETRANSLATE(A37229,""en"",""pt"")"),"Um pouco demasiado pesado para o bolso médio hip")</f>
        <v>Um pouco demasiado pesado para o bolso médio hip</v>
      </c>
      <c r="B37229" s="3">
        <v>0</v>
      </c>
    </row>
    <row r="37230" ht="15.75" customHeight="1" spans="1:2">
      <c r="A37230" s="3" t="str">
        <f>IFERROR(__xludf.DUMMYFUNCTION("GOOGLETRANSLATE(A37230,""en"",""pt"")"),"pesado, grande, caro")</f>
        <v>pesado, grande, caro</v>
      </c>
      <c r="B37230" s="3">
        <v>0</v>
      </c>
    </row>
    <row r="37231" ht="15.75" customHeight="1" spans="1:2">
      <c r="A37231" s="3" t="str">
        <f>IFERROR(__xludf.DUMMYFUNCTION("GOOGLETRANSLATE(A37231,""en"",""pt"")"),"configuração complexa, velocidade lenta")</f>
        <v>configuração complexa, velocidade lenta</v>
      </c>
      <c r="B37231" s="3">
        <v>0</v>
      </c>
    </row>
    <row r="37232" ht="15.75" customHeight="1" spans="1:2">
      <c r="A37232" s="3" t="str">
        <f>IFERROR(__xludf.DUMMYFUNCTION("GOOGLETRANSLATE(A37232,""en"",""pt"")"),"Volumosos, pesados, JÁ DATADO")</f>
        <v>Volumosos, pesados, JÁ DATADO</v>
      </c>
      <c r="B37232" s="3">
        <v>0</v>
      </c>
    </row>
    <row r="37233" ht="15.75" customHeight="1" spans="1:2">
      <c r="A37233" s="3" t="str">
        <f>IFERROR(__xludf.DUMMYFUNCTION("GOOGLETRANSLATE(A37233,""en"",""pt"")"),"Tamanho, peso.")</f>
        <v>Tamanho, peso.</v>
      </c>
      <c r="B37233" s="3">
        <v>0</v>
      </c>
    </row>
    <row r="37234" ht="15.75" customHeight="1" spans="1:2">
      <c r="A37234" s="3" t="str">
        <f>IFERROR(__xludf.DUMMYFUNCTION("GOOGLETRANSLATE(A37234,""en"",""pt"")"),"Um pouco de pesar")</f>
        <v>Um pouco de pesar</v>
      </c>
      <c r="B37234" s="3">
        <v>0</v>
      </c>
    </row>
    <row r="37235" ht="15.75" customHeight="1" spans="1:2">
      <c r="A37235" s="3" t="str">
        <f>IFERROR(__xludf.DUMMYFUNCTION("GOOGLETRANSLATE(A37235,""en"",""pt"")"),"Volumosos, organizador lento, difícil de configurar")</f>
        <v>Volumosos, organizador lento, difícil de configurar</v>
      </c>
      <c r="B37235" s="3">
        <v>0</v>
      </c>
    </row>
    <row r="37236" ht="15.75" customHeight="1" spans="1:2">
      <c r="A37236" s="3" t="str">
        <f>IFERROR(__xludf.DUMMYFUNCTION("GOOGLETRANSLATE(A37236,""en"",""pt"")"),"grande tamanho e grande etiqueta de preço")</f>
        <v>grande tamanho e grande etiqueta de preço</v>
      </c>
      <c r="B37236" s="3">
        <v>0</v>
      </c>
    </row>
    <row r="37237" ht="15.75" customHeight="1" spans="1:2">
      <c r="A37237" s="3" t="str">
        <f>IFERROR(__xludf.DUMMYFUNCTION("GOOGLETRANSLATE(A37237,""en"",""pt"")"),"teclado")</f>
        <v>teclado</v>
      </c>
      <c r="B37237" s="3">
        <v>0</v>
      </c>
    </row>
    <row r="37238" ht="15.75" customHeight="1" spans="1:2">
      <c r="A37238" s="3" t="str">
        <f>IFERROR(__xludf.DUMMYFUNCTION("GOOGLETRANSLATE(A37238,""en"",""pt"")"),"peso / volumoso / duramente para um não tecnologia para configure")</f>
        <v>peso / volumoso / duramente para um não tecnologia para configure</v>
      </c>
      <c r="B37238" s="3">
        <v>0</v>
      </c>
    </row>
    <row r="37239" ht="15.75" customHeight="1" spans="1:2">
      <c r="A37239" s="3" t="str">
        <f>IFERROR(__xludf.DUMMYFUNCTION("GOOGLETRANSLATE(A37239,""en"",""pt"")"),"A vida da bateria (manter uma bateria sobressalente na mão).")</f>
        <v>A vida da bateria (manter uma bateria sobressalente na mão).</v>
      </c>
      <c r="B37239" s="3">
        <v>0</v>
      </c>
    </row>
    <row r="37240" ht="15.75" customHeight="1" spans="1:2">
      <c r="A37240" s="3" t="str">
        <f>IFERROR(__xludf.DUMMYFUNCTION("GOOGLETRANSLATE(A37240,""en"",""pt"")"),"muito caro, recurso web é tão lento que é quase inútil")</f>
        <v>muito caro, recurso web é tão lento que é quase inútil</v>
      </c>
      <c r="B37240" s="3">
        <v>0</v>
      </c>
    </row>
    <row r="37241" ht="15.75" customHeight="1" spans="1:2">
      <c r="A37241" s="3" t="str">
        <f>IFERROR(__xludf.DUMMYFUNCTION("GOOGLETRANSLATE(A37241,""en"",""pt"")"),"Sem teclado. Sem slot de expansão. No viva-voz.")</f>
        <v>Sem teclado. Sem slot de expansão. No viva-voz.</v>
      </c>
      <c r="B37241" s="3">
        <v>0</v>
      </c>
    </row>
    <row r="37242" ht="15.75" customHeight="1" spans="1:2">
      <c r="A37242" s="3" t="str">
        <f>IFERROR(__xludf.DUMMYFUNCTION("GOOGLETRANSLATE(A37242,""en"",""pt"")"),"NO opção viva-voz, nenhuma câmera digital")</f>
        <v>NO opção viva-voz, nenhuma câmera digital</v>
      </c>
      <c r="B37242" s="3">
        <v>0</v>
      </c>
    </row>
    <row r="37243" ht="15.75" customHeight="1" spans="1:2">
      <c r="A37243" s="3" t="str">
        <f>IFERROR(__xludf.DUMMYFUNCTION("GOOGLETRANSLATE(A37243,""en"",""pt"")"),"caro")</f>
        <v>caro</v>
      </c>
      <c r="B37243" s="3">
        <v>0</v>
      </c>
    </row>
    <row r="37244" ht="15.75" customHeight="1" spans="1:2">
      <c r="A37244" s="3" t="str">
        <f>IFERROR(__xludf.DUMMYFUNCTION("GOOGLETRANSLATE(A37244,""en"",""pt"")"),"Carece de ""gee whiz"" coisas como Bluetooth, viva-voz, slot SD.")</f>
        <v>Carece de "gee whiz" coisas como Bluetooth, viva-voz, slot SD.</v>
      </c>
      <c r="B37244" s="3">
        <v>0</v>
      </c>
    </row>
    <row r="37245" ht="15.75" customHeight="1" spans="1:2">
      <c r="A37245" s="3" t="str">
        <f>IFERROR(__xludf.DUMMYFUNCTION("GOOGLETRANSLATE(A37245,""en"",""pt"")"),"PREÇO !!!, sem capacidade de expansão.")</f>
        <v>PREÇO !!!, sem capacidade de expansão.</v>
      </c>
      <c r="B37245" s="3">
        <v>0</v>
      </c>
    </row>
    <row r="37246" ht="15.75" customHeight="1" spans="1:2">
      <c r="A37246" s="3" t="str">
        <f>IFERROR(__xludf.DUMMYFUNCTION("GOOGLETRANSLATE(A37246,""en"",""pt"")"),"Nenhum identificador de chamadas externo, nenhum alto-falante")</f>
        <v>Nenhum identificador de chamadas externo, nenhum alto-falante</v>
      </c>
      <c r="B37246" s="3">
        <v>0</v>
      </c>
    </row>
    <row r="37247" ht="15.75" customHeight="1" spans="1:2">
      <c r="A37247" s="3" t="str">
        <f>IFERROR(__xludf.DUMMYFUNCTION("GOOGLETRANSLATE(A37247,""en"",""pt"")"),"Preço, sem voz, sem downloads, sem expansão, sem Bluetooth")</f>
        <v>Preço, sem voz, sem downloads, sem expansão, sem Bluetooth</v>
      </c>
      <c r="B37247" s="3">
        <v>0</v>
      </c>
    </row>
    <row r="37248" ht="15.75" customHeight="1" spans="1:2">
      <c r="A37248" s="3" t="str">
        <f>IFERROR(__xludf.DUMMYFUNCTION("GOOGLETRANSLATE(A37248,""en"",""pt"")"),"bolsa de transporte Cheesy")</f>
        <v>bolsa de transporte Cheesy</v>
      </c>
      <c r="B37248" s="3">
        <v>0</v>
      </c>
    </row>
    <row r="37249" ht="15.75" customHeight="1" spans="1:2">
      <c r="A37249" s="3" t="str">
        <f>IFERROR(__xludf.DUMMYFUNCTION("GOOGLETRANSLATE(A37249,""en"",""pt"")"),"A falta de recursos, aborrecido e triste, gordura e chato.")</f>
        <v>A falta de recursos, aborrecido e triste, gordura e chato.</v>
      </c>
      <c r="B37249" s="3">
        <v>0</v>
      </c>
    </row>
    <row r="37250" ht="15.75" customHeight="1" spans="1:2">
      <c r="A37250" s="3" t="str">
        <f>IFERROR(__xludf.DUMMYFUNCTION("GOOGLETRANSLATE(A37250,""en"",""pt"")"),"botões de ficar preso sob placa de face")</f>
        <v>botões de ficar preso sob placa de face</v>
      </c>
      <c r="B37250" s="3">
        <v>0</v>
      </c>
    </row>
    <row r="37251" ht="15.75" customHeight="1" spans="1:2">
      <c r="A37251" s="3" t="str">
        <f>IFERROR(__xludf.DUMMYFUNCTION("GOOGLETRANSLATE(A37251,""en"",""pt"")"),"Seu número aparece como privado quando você ligar para alguém, até que mudar isso.")</f>
        <v>Seu número aparece como privado quando você ligar para alguém, até que mudar isso.</v>
      </c>
      <c r="B37251" s="3">
        <v>0</v>
      </c>
    </row>
    <row r="37252" ht="15.75" customHeight="1" spans="1:2">
      <c r="A37252" s="3" t="str">
        <f>IFERROR(__xludf.DUMMYFUNCTION("GOOGLETRANSLATE(A37252,""en"",""pt"")"),"Não WEB habilitado (se você precisa que o recurso)")</f>
        <v>Não WEB habilitado (se você precisa que o recurso)</v>
      </c>
      <c r="B37252" s="3">
        <v>0</v>
      </c>
    </row>
    <row r="37253" ht="15.75" customHeight="1" spans="1:2">
      <c r="A37253" s="3" t="str">
        <f>IFERROR(__xludf.DUMMYFUNCTION("GOOGLETRANSLATE(A37253,""en"",""pt"")"),"Não Internet Compatível")</f>
        <v>Não Internet Compatível</v>
      </c>
      <c r="B37253" s="3">
        <v>0</v>
      </c>
    </row>
    <row r="37254" ht="15.75" customHeight="1" spans="1:2">
      <c r="A37254" s="3" t="str">
        <f>IFERROR(__xludf.DUMMYFUNCTION("GOOGLETRANSLATE(A37254,""en"",""pt"")"),"Nenhum")</f>
        <v>Nenhum</v>
      </c>
      <c r="B37254" s="3">
        <v>0</v>
      </c>
    </row>
    <row r="37255" ht="15.75" customHeight="1" spans="1:2">
      <c r="A37255" s="3" t="str">
        <f>IFERROR(__xludf.DUMMYFUNCTION("GOOGLETRANSLATE(A37255,""en"",""pt"")"),"Ele não funciona muito tempo")</f>
        <v>Ele não funciona muito tempo</v>
      </c>
      <c r="B37255" s="3">
        <v>0</v>
      </c>
    </row>
    <row r="37256" ht="15.75" customHeight="1" spans="1:2">
      <c r="A37256" s="3" t="str">
        <f>IFERROR(__xludf.DUMMYFUNCTION("GOOGLETRANSLATE(A37256,""en"",""pt"")"),"Ter que comprar mouthly cartões para carregá-lo")</f>
        <v>Ter que comprar mouthly cartões para carregá-lo</v>
      </c>
      <c r="B37256" s="3">
        <v>0</v>
      </c>
    </row>
    <row r="37257" ht="15.75" customHeight="1" spans="1:2">
      <c r="A37257" s="3" t="str">
        <f>IFERROR(__xludf.DUMMYFUNCTION("GOOGLETRANSLATE(A37257,""en"",""pt"")"),"Apenas 100 números de telefone podem ser armazenados. Sem calculadora e calendário. É um pouco volumoso.")</f>
        <v>Apenas 100 números de telefone podem ser armazenados. Sem calculadora e calendário. É um pouco volumoso.</v>
      </c>
      <c r="B37257" s="3">
        <v>0</v>
      </c>
    </row>
    <row r="37258" ht="15.75" customHeight="1" spans="1:2">
      <c r="A37258" s="3" t="str">
        <f>IFERROR(__xludf.DUMMYFUNCTION("GOOGLETRANSLATE(A37258,""en"",""pt"")"),"Caro, a assinatura do contrato")</f>
        <v>Caro, a assinatura do contrato</v>
      </c>
      <c r="B37258" s="3">
        <v>0</v>
      </c>
    </row>
    <row r="37259" ht="15.75" customHeight="1" spans="1:2">
      <c r="A37259" s="3" t="str">
        <f>IFERROR(__xludf.DUMMYFUNCTION("GOOGLETRANSLATE(A37259,""en"",""pt"")"),", Carrinho, nenhum slot SDIO caro")</f>
        <v>, Carrinho, nenhum slot SDIO caro</v>
      </c>
      <c r="B37259" s="3">
        <v>0</v>
      </c>
    </row>
    <row r="37260" ht="15.75" customHeight="1" spans="1:2">
      <c r="A37260" s="3" t="str">
        <f>IFERROR(__xludf.DUMMYFUNCTION("GOOGLETRANSLATE(A37260,""en"",""pt"")"),"bugs irritantes em software, GPRS, não tri-band inútil, nenhuma câmera ou bluetooth, memória pequena.")</f>
        <v>bugs irritantes em software, GPRS, não tri-band inútil, nenhuma câmera ou bluetooth, memória pequena.</v>
      </c>
      <c r="B37260" s="3">
        <v>0</v>
      </c>
    </row>
    <row r="37261" ht="15.75" customHeight="1" spans="1:2">
      <c r="A37261" s="3" t="str">
        <f>IFERROR(__xludf.DUMMYFUNCTION("GOOGLETRANSLATE(A37261,""en"",""pt"")"),"Caro, falha ocasionalmente.")</f>
        <v>Caro, falha ocasionalmente.</v>
      </c>
      <c r="B37261" s="3">
        <v>0</v>
      </c>
    </row>
    <row r="37262" ht="15.75" customHeight="1" spans="1:2">
      <c r="A37262" s="3" t="str">
        <f>IFERROR(__xludf.DUMMYFUNCTION("GOOGLETRANSLATE(A37262,""en"",""pt"")"),"Caro, estabilidade")</f>
        <v>Caro, estabilidade</v>
      </c>
      <c r="B37262" s="3">
        <v>0</v>
      </c>
    </row>
    <row r="37263" ht="15.75" customHeight="1" spans="1:2">
      <c r="A37263" s="3" t="str">
        <f>IFERROR(__xludf.DUMMYFUNCTION("GOOGLETRANSLATE(A37263,""en"",""pt"")"),"headsets de telefone padrão não dispositivo mute do microfone, nenhum e-mail SSL, msgs de texto custam add'l.")</f>
        <v>headsets de telefone padrão não dispositivo mute do microfone, nenhum e-mail SSL, msgs de texto custam add'l.</v>
      </c>
      <c r="B37263" s="3">
        <v>0</v>
      </c>
    </row>
    <row r="37264" ht="15.75" customHeight="1" spans="1:2">
      <c r="A37264" s="3" t="str">
        <f>IFERROR(__xludf.DUMMYFUNCTION("GOOGLETRANSLATE(A37264,""en"",""pt"")"),"acidentes de telefone (de vez em quando).")</f>
        <v>acidentes de telefone (de vez em quando).</v>
      </c>
      <c r="B37264" s="3">
        <v>0</v>
      </c>
    </row>
    <row r="37265" ht="15.75" customHeight="1" spans="1:2">
      <c r="A37265" s="3" t="str">
        <f>IFERROR(__xludf.DUMMYFUNCTION("GOOGLETRANSLATE(A37265,""en"",""pt"")"),"Preço.")</f>
        <v>Preço.</v>
      </c>
      <c r="B37265" s="3">
        <v>0</v>
      </c>
    </row>
    <row r="37266" ht="15.75" customHeight="1" spans="1:2">
      <c r="A37266" s="3" t="str">
        <f>IFERROR(__xludf.DUMMYFUNCTION("GOOGLETRANSLATE(A37266,""en"",""pt"")"),"Bater, acidente, falhar. queda de chamadas, chamada em queda, chamada gota. cobertura irregular. bugs do sistema")</f>
        <v>Bater, acidente, falhar. queda de chamadas, chamada em queda, chamada gota. cobertura irregular. bugs do sistema</v>
      </c>
      <c r="B37266" s="3">
        <v>0</v>
      </c>
    </row>
    <row r="37267" ht="15.75" customHeight="1" spans="1:2">
      <c r="A37267" s="3" t="str">
        <f>IFERROR(__xludf.DUMMYFUNCTION("GOOGLETRANSLATE(A37267,""en"",""pt"")"),"inexistente serviço de telefone na minha área; atendimento ao cliente terrível.")</f>
        <v>inexistente serviço de telefone na minha área; atendimento ao cliente terrível.</v>
      </c>
      <c r="B37267" s="3">
        <v>0</v>
      </c>
    </row>
    <row r="37268" ht="15.75" customHeight="1" spans="1:2">
      <c r="A37268" s="3" t="str">
        <f>IFERROR(__xludf.DUMMYFUNCTION("GOOGLETRANSLATE(A37268,""en"",""pt"")"),"Preço, trava de vez em quando.")</f>
        <v>Preço, trava de vez em quando.</v>
      </c>
      <c r="B37268" s="3">
        <v>0</v>
      </c>
    </row>
    <row r="37269" ht="15.75" customHeight="1" spans="1:2">
      <c r="A37269" s="3" t="str">
        <f>IFERROR(__xludf.DUMMYFUNCTION("GOOGLETRANSLATE(A37269,""en"",""pt"")"),"Terrível telefone e serviço de dados internacional")</f>
        <v>Terrível telefone e serviço de dados internacional</v>
      </c>
      <c r="B37269" s="3">
        <v>0</v>
      </c>
    </row>
    <row r="37270" ht="15.75" customHeight="1" spans="1:2">
      <c r="A37270" s="3" t="str">
        <f>IFERROR(__xludf.DUMMYFUNCTION("GOOGLETRANSLATE(A37270,""en"",""pt"")"),"Um pouco grande; inconveniente se você não tem kit livre de um lado")</f>
        <v>Um pouco grande; inconveniente se você não tem kit livre de um lado</v>
      </c>
      <c r="B37270" s="3">
        <v>0</v>
      </c>
    </row>
    <row r="37271" ht="15.75" customHeight="1" spans="1:2">
      <c r="A37271" s="3" t="str">
        <f>IFERROR(__xludf.DUMMYFUNCTION("GOOGLETRANSLATE(A37271,""en"",""pt"")"),"Tudo o mais possível")</f>
        <v>Tudo o mais possível</v>
      </c>
      <c r="B37271" s="3">
        <v>0</v>
      </c>
    </row>
    <row r="37272" ht="15.75" customHeight="1" spans="1:2">
      <c r="A37272" s="3" t="str">
        <f>IFERROR(__xludf.DUMMYFUNCTION("GOOGLETRANSLATE(A37272,""en"",""pt"")"),"Ele mantém quebra.")</f>
        <v>Ele mantém quebra.</v>
      </c>
      <c r="B37272" s="3">
        <v>0</v>
      </c>
    </row>
    <row r="37273" ht="15.75" customHeight="1" spans="1:2">
      <c r="A37273" s="3" t="str">
        <f>IFERROR(__xludf.DUMMYFUNCTION("GOOGLETRANSLATE(A37273,""en"",""pt"")"),"toques,")</f>
        <v>toques,</v>
      </c>
      <c r="B37273" s="3">
        <v>0</v>
      </c>
    </row>
    <row r="37274" ht="15.75" customHeight="1" spans="1:2">
      <c r="A37274" s="3" t="str">
        <f>IFERROR(__xludf.DUMMYFUNCTION("GOOGLETRANSLATE(A37274,""en"",""pt"")"),"A escolha da cor, aesthitics ea aparência geral do telefone.")</f>
        <v>A escolha da cor, aesthitics ea aparência geral do telefone.</v>
      </c>
      <c r="B37274" s="3">
        <v>0</v>
      </c>
    </row>
    <row r="37275" ht="15.75" customHeight="1" spans="1:2">
      <c r="A37275" s="3" t="str">
        <f>IFERROR(__xludf.DUMMYFUNCTION("GOOGLETRANSLATE(A37275,""en"",""pt"")"),"Você não pode mudar as placas de cara")</f>
        <v>Você não pode mudar as placas de cara</v>
      </c>
      <c r="B37275" s="3">
        <v>0</v>
      </c>
    </row>
    <row r="37276" ht="15.75" customHeight="1" spans="1:2">
      <c r="A37276" s="3" t="str">
        <f>IFERROR(__xludf.DUMMYFUNCTION("GOOGLETRANSLATE(A37276,""en"",""pt"")"),"Muito frágil, horrível recepção, a vida da bateria é uma piada, acessórios LG não duram")</f>
        <v>Muito frágil, horrível recepção, a vida da bateria é uma piada, acessórios LG não duram</v>
      </c>
      <c r="B37276" s="3">
        <v>0</v>
      </c>
    </row>
    <row r="37277" ht="15.75" customHeight="1" spans="1:2">
      <c r="A37277" s="3" t="str">
        <f>IFERROR(__xludf.DUMMYFUNCTION("GOOGLETRANSLATE(A37277,""en"",""pt"")"),"Frágeis, arranhões facilmente, alto-falante abafado, Sprint PCS")</f>
        <v>Frágeis, arranhões facilmente, alto-falante abafado, Sprint PCS</v>
      </c>
      <c r="B37277" s="3">
        <v>0</v>
      </c>
    </row>
    <row r="37278" ht="15.75" customHeight="1" spans="1:2">
      <c r="A37278" s="3" t="str">
        <f>IFERROR(__xludf.DUMMYFUNCTION("GOOGLETRANSLATE(A37278,""en"",""pt"")"),"vida útil da bateria moderada, a falta de opções de cores, a falta de toques / protetores de tela")</f>
        <v>vida útil da bateria moderada, a falta de opções de cores, a falta de toques / protetores de tela</v>
      </c>
      <c r="B37278" s="3">
        <v>0</v>
      </c>
    </row>
    <row r="37279" ht="15.75" customHeight="1" spans="1:2">
      <c r="A37279" s="3" t="str">
        <f>IFERROR(__xludf.DUMMYFUNCTION("GOOGLETRANSLATE(A37279,""en"",""pt"")"),"não pode ouvir a campainha até mesmo na configuração mais alta.")</f>
        <v>não pode ouvir a campainha até mesmo na configuração mais alta.</v>
      </c>
      <c r="B37279" s="3">
        <v>0</v>
      </c>
    </row>
    <row r="37280" ht="15.75" customHeight="1" spans="1:2">
      <c r="A37280" s="3" t="str">
        <f>IFERROR(__xludf.DUMMYFUNCTION("GOOGLETRANSLATE(A37280,""en"",""pt"")"),"bateria cai facilmente. Deve comprar um novo conjunto de acessórios caros para ele.")</f>
        <v>bateria cai facilmente. Deve comprar um novo conjunto de acessórios caros para ele.</v>
      </c>
      <c r="B37280" s="3">
        <v>0</v>
      </c>
    </row>
    <row r="37281" ht="15.75" customHeight="1" spans="1:2">
      <c r="A37281" s="3" t="str">
        <f>IFERROR(__xludf.DUMMYFUNCTION("GOOGLETRANSLATE(A37281,""en"",""pt"")"),"Não é possível encontrar clipe para isso ainda.")</f>
        <v>Não é possível encontrar clipe para isso ainda.</v>
      </c>
      <c r="B37281" s="3">
        <v>0</v>
      </c>
    </row>
    <row r="37282" ht="15.75" customHeight="1" spans="1:2">
      <c r="A37282" s="3" t="str">
        <f>IFERROR(__xludf.DUMMYFUNCTION("GOOGLETRANSLATE(A37282,""en"",""pt"")"),"No nível mais alto volume na campainha, ainda difícil de ouvir.")</f>
        <v>No nível mais alto volume na campainha, ainda difícil de ouvir.</v>
      </c>
      <c r="B37282" s="3">
        <v>0</v>
      </c>
    </row>
    <row r="37283" ht="15.75" customHeight="1" spans="1:2">
      <c r="A37283" s="3" t="str">
        <f>IFERROR(__xludf.DUMMYFUNCTION("GOOGLETRANSLATE(A37283,""en"",""pt"")"),"pode não encontrá-lo")</f>
        <v>pode não encontrá-lo</v>
      </c>
      <c r="B37283" s="3">
        <v>0</v>
      </c>
    </row>
    <row r="37284" ht="15.75" customHeight="1" spans="1:2">
      <c r="A37284" s="3" t="str">
        <f>IFERROR(__xludf.DUMMYFUNCTION("GOOGLETRANSLATE(A37284,""en"",""pt"")"),"Unsturdy bateria, Muffled Som")</f>
        <v>Unsturdy bateria, Muffled Som</v>
      </c>
      <c r="B37284" s="3">
        <v>0</v>
      </c>
    </row>
    <row r="37285" ht="15.75" customHeight="1" spans="1:2">
      <c r="A37285" s="3" t="str">
        <f>IFERROR(__xludf.DUMMYFUNCTION("GOOGLETRANSLATE(A37285,""en"",""pt"")"),"Torna-se inutilizável frequentemente.")</f>
        <v>Torna-se inutilizável frequentemente.</v>
      </c>
      <c r="B37285" s="3">
        <v>0</v>
      </c>
    </row>
    <row r="37286" ht="15.75" customHeight="1" spans="1:2">
      <c r="A37286" s="3" t="str">
        <f>IFERROR(__xludf.DUMMYFUNCTION("GOOGLETRANSLATE(A37286,""en"",""pt"")"),"LEDs verdes, redução de custos, de má qualidade, campainhas desejo eram mais altos")</f>
        <v>LEDs verdes, redução de custos, de má qualidade, campainhas desejo eram mais altos</v>
      </c>
      <c r="B37286" s="3">
        <v>0</v>
      </c>
    </row>
    <row r="37287" ht="15.75" customHeight="1" spans="1:2">
      <c r="A37287" s="3" t="str">
        <f>IFERROR(__xludf.DUMMYFUNCTION("GOOGLETRANSLATE(A37287,""en"",""pt"")"),"Se você não gosta instruções de leitura, algumas coisas levam tempo para descobrir.")</f>
        <v>Se você não gosta instruções de leitura, algumas coisas levam tempo para descobrir.</v>
      </c>
      <c r="B37287" s="3">
        <v>0</v>
      </c>
    </row>
    <row r="37288" ht="15.75" customHeight="1" spans="1:2">
      <c r="A37288" s="3" t="str">
        <f>IFERROR(__xludf.DUMMYFUNCTION("GOOGLETRANSLATE(A37288,""en"",""pt"")"),"rede da Sprint PCS")</f>
        <v>rede da Sprint PCS</v>
      </c>
      <c r="B37288" s="3">
        <v>0</v>
      </c>
    </row>
    <row r="37289" ht="15.75" customHeight="1" spans="1:2">
      <c r="A37289" s="3" t="str">
        <f>IFERROR(__xludf.DUMMYFUNCTION("GOOGLETRANSLATE(A37289,""en"",""pt"")"),"Sprint PCS serviço ao cliente é lento. Muitos problemas com ""Wireless Web""")</f>
        <v>Sprint PCS serviço ao cliente é lento. Muitos problemas com "Wireless Web"</v>
      </c>
      <c r="B37289" s="3">
        <v>0</v>
      </c>
    </row>
    <row r="37290" ht="15.75" customHeight="1" spans="1:2">
      <c r="A37290" s="3" t="str">
        <f>IFERROR(__xludf.DUMMYFUNCTION("GOOGLETRANSLATE(A37290,""en"",""pt"")"),"má recepção")</f>
        <v>má recepção</v>
      </c>
      <c r="B37290" s="3">
        <v>0</v>
      </c>
    </row>
    <row r="37291" ht="15.75" customHeight="1" spans="1:2">
      <c r="A37291" s="3" t="str">
        <f>IFERROR(__xludf.DUMMYFUNCTION("GOOGLETRANSLATE(A37291,""en"",""pt"")"),"Nenhum")</f>
        <v>Nenhum</v>
      </c>
      <c r="B37291" s="3">
        <v>0</v>
      </c>
    </row>
    <row r="37292" ht="15.75" customHeight="1" spans="1:2">
      <c r="A37292" s="3" t="str">
        <f>IFERROR(__xludf.DUMMYFUNCTION("GOOGLETRANSLATE(A37292,""en"",""pt"")"),"Este modelo foi descontinuado")</f>
        <v>Este modelo foi descontinuado</v>
      </c>
      <c r="B37292" s="3">
        <v>0</v>
      </c>
    </row>
    <row r="37293" ht="15.75" customHeight="1" spans="1:2">
      <c r="A37293" s="3" t="str">
        <f>IFERROR(__xludf.DUMMYFUNCTION("GOOGLETRANSLATE(A37293,""en"",""pt"")"),"Ringer difícil para mim ouvir.")</f>
        <v>Ringer difícil para mim ouvir.</v>
      </c>
      <c r="B37293" s="3">
        <v>0</v>
      </c>
    </row>
    <row r="37294" ht="15.75" customHeight="1" spans="1:2">
      <c r="A37294" s="3" t="str">
        <f>IFERROR(__xludf.DUMMYFUNCTION("GOOGLETRANSLATE(A37294,""en"",""pt"")"),"Sprint PCS Serviço, conexão sem fio")</f>
        <v>Sprint PCS Serviço, conexão sem fio</v>
      </c>
      <c r="B37294" s="3">
        <v>0</v>
      </c>
    </row>
    <row r="37295" ht="15.75" customHeight="1" spans="1:2">
      <c r="A37295" s="3" t="str">
        <f>IFERROR(__xludf.DUMMYFUNCTION("GOOGLETRANSLATE(A37295,""en"",""pt"")"),"Veja acima!")</f>
        <v>Veja acima!</v>
      </c>
      <c r="B37295" s="3">
        <v>0</v>
      </c>
    </row>
    <row r="37296" ht="15.75" customHeight="1" spans="1:2">
      <c r="A37296" s="3" t="str">
        <f>IFERROR(__xludf.DUMMYFUNCTION("GOOGLETRANSLATE(A37296,""en"",""pt"")"),"Não é uma boa selecção de configurações de exibição")</f>
        <v>Não é uma boa selecção de configurações de exibição</v>
      </c>
      <c r="B37296" s="3">
        <v>0</v>
      </c>
    </row>
    <row r="37297" ht="15.75" customHeight="1" spans="1:2">
      <c r="A37297" s="3" t="str">
        <f>IFERROR(__xludf.DUMMYFUNCTION("GOOGLETRANSLATE(A37297,""en"",""pt"")"),"Anel de volume quando fechado. Web sem fios.")</f>
        <v>Anel de volume quando fechado. Web sem fios.</v>
      </c>
      <c r="B37297" s="3">
        <v>0</v>
      </c>
    </row>
    <row r="37298" ht="15.75" customHeight="1" spans="1:2">
      <c r="A37298" s="3" t="str">
        <f>IFERROR(__xludf.DUMMYFUNCTION("GOOGLETRANSLATE(A37298,""en"",""pt"")"),"bateria morre rapidamente no trabalho, filmes, shopping, hospital")</f>
        <v>bateria morre rapidamente no trabalho, filmes, shopping, hospital</v>
      </c>
      <c r="B37298" s="3">
        <v>0</v>
      </c>
    </row>
    <row r="37299" ht="15.75" customHeight="1" spans="1:2">
      <c r="A37299" s="3" t="str">
        <f>IFERROR(__xludf.DUMMYFUNCTION("GOOGLETRANSLATE(A37299,""en"",""pt"")"),"mau serviço ao cliente, design ruim")</f>
        <v>mau serviço ao cliente, design ruim</v>
      </c>
      <c r="B37299" s="3">
        <v>0</v>
      </c>
    </row>
    <row r="37300" ht="15.75" customHeight="1" spans="1:2">
      <c r="A37300" s="3" t="str">
        <f>IFERROR(__xludf.DUMMYFUNCTION("GOOGLETRANSLATE(A37300,""en"",""pt"")"),"não toca quando as pessoas me chamam. Bateria morre horrivelmente dentro de casa. Faz o bebê Jesus chorar.")</f>
        <v>não toca quando as pessoas me chamam. Bateria morre horrivelmente dentro de casa. Faz o bebê Jesus chorar.</v>
      </c>
      <c r="B37300" s="3">
        <v>0</v>
      </c>
    </row>
    <row r="37301" ht="15.75" customHeight="1" spans="1:2">
      <c r="A37301" s="3" t="str">
        <f>IFERROR(__xludf.DUMMYFUNCTION("GOOGLETRANSLATE(A37301,""en"",""pt"")"),"rosto aleta dá e guinchos em voz alta, que pode ser ouvido na outra extremidade; Curto tempo de vida")</f>
        <v>rosto aleta dá e guinchos em voz alta, que pode ser ouvido na outra extremidade; Curto tempo de vida</v>
      </c>
      <c r="B37301" s="3">
        <v>0</v>
      </c>
    </row>
    <row r="37302" ht="15.75" customHeight="1" spans="1:2">
      <c r="A37302" s="3" t="str">
        <f>IFERROR(__xludf.DUMMYFUNCTION("GOOGLETRANSLATE(A37302,""en"",""pt"")"),"livro de telefone de interface um pouco difícil de se acostumar com")</f>
        <v>livro de telefone de interface um pouco difícil de se acostumar com</v>
      </c>
      <c r="B37302" s="3">
        <v>0</v>
      </c>
    </row>
    <row r="37303" ht="15.75" customHeight="1" spans="1:2">
      <c r="A37303" s="3" t="str">
        <f>IFERROR(__xludf.DUMMYFUNCTION("GOOGLETRANSLATE(A37303,""en"",""pt"")"),"não pode fazer download de toques ou jogos novos.")</f>
        <v>não pode fazer download de toques ou jogos novos.</v>
      </c>
      <c r="B37303" s="3">
        <v>0</v>
      </c>
    </row>
    <row r="37304" ht="15.75" customHeight="1" spans="1:2">
      <c r="A37304" s="3" t="str">
        <f>IFERROR(__xludf.DUMMYFUNCTION("GOOGLETRANSLATE(A37304,""en"",""pt"")"),"Torna-se demasiado quente para descansar confortavelmente contra o ouvido, inábil para segurar.")</f>
        <v>Torna-se demasiado quente para descansar confortavelmente contra o ouvido, inábil para segurar.</v>
      </c>
      <c r="B37304" s="3">
        <v>0</v>
      </c>
    </row>
    <row r="37305" ht="15.75" customHeight="1" spans="1:2">
      <c r="A37305" s="3" t="str">
        <f>IFERROR(__xludf.DUMMYFUNCTION("GOOGLETRANSLATE(A37305,""en"",""pt"")"),"Incapaz de toques de download ou jogos. preço moderadamente alta.")</f>
        <v>Incapaz de toques de download ou jogos. preço moderadamente alta.</v>
      </c>
      <c r="B37305" s="3">
        <v>0</v>
      </c>
    </row>
    <row r="37306" ht="15.75" customHeight="1" spans="1:2">
      <c r="A37306" s="3" t="str">
        <f>IFERROR(__xludf.DUMMYFUNCTION("GOOGLETRANSLATE(A37306,""en"",""pt"")"),"Minha bateria mantém morrendo.")</f>
        <v>Minha bateria mantém morrendo.</v>
      </c>
      <c r="B37306" s="3">
        <v>0</v>
      </c>
    </row>
    <row r="37307" ht="15.75" customHeight="1" spans="1:2">
      <c r="A37307" s="3" t="str">
        <f>IFERROR(__xludf.DUMMYFUNCTION("GOOGLETRANSLATE(A37307,""en"",""pt"")"),"Ringer é bastante tranquila &amp; # 13; &amp; # 10;")</f>
        <v>Ringer é bastante tranquila &amp; # 13; &amp; # 10;</v>
      </c>
      <c r="B37307" s="3">
        <v>0</v>
      </c>
    </row>
    <row r="37308" ht="15.75" customHeight="1" spans="1:2">
      <c r="A37308" s="3" t="str">
        <f>IFERROR(__xludf.DUMMYFUNCTION("GOOGLETRANSLATE(A37308,""en"",""pt"")"),"má recepção")</f>
        <v>má recepção</v>
      </c>
      <c r="B37308" s="3">
        <v>0</v>
      </c>
    </row>
    <row r="37309" ht="15.75" customHeight="1" spans="1:2">
      <c r="A37309" s="3" t="str">
        <f>IFERROR(__xludf.DUMMYFUNCTION("GOOGLETRANSLATE(A37309,""en"",""pt"")"),"discagem por voz não está ligada a discagem rápida na lista telefónica ... um detalhe menor")</f>
        <v>discagem por voz não está ligada a discagem rápida na lista telefónica ... um detalhe menor</v>
      </c>
      <c r="B37309" s="3">
        <v>0</v>
      </c>
    </row>
    <row r="37310" ht="15.75" customHeight="1" spans="1:2">
      <c r="A37310" s="3" t="str">
        <f>IFERROR(__xludf.DUMMYFUNCTION("GOOGLETRANSLATE(A37310,""en"",""pt"")"),"Os menus são um pouco irritante")</f>
        <v>Os menus são um pouco irritante</v>
      </c>
      <c r="B37310" s="3">
        <v>0</v>
      </c>
    </row>
    <row r="37311" ht="15.75" customHeight="1" spans="1:2">
      <c r="A37311" s="3" t="str">
        <f>IFERROR(__xludf.DUMMYFUNCTION("GOOGLETRANSLATE(A37311,""en"",""pt"")"),"estilos de toque limitado, principalmente clássicos. Eu não me importo mas alguns podem.")</f>
        <v>estilos de toque limitado, principalmente clássicos. Eu não me importo mas alguns podem.</v>
      </c>
      <c r="B37311" s="3">
        <v>0</v>
      </c>
    </row>
    <row r="37312" ht="15.75" customHeight="1" spans="1:2">
      <c r="A37312" s="3" t="str">
        <f>IFERROR(__xludf.DUMMYFUNCTION("GOOGLETRANSLATE(A37312,""en"",""pt"")"),"os botões pode ser um pouco difícil de usar para alguém com grandes dedos")</f>
        <v>os botões pode ser um pouco difícil de usar para alguém com grandes dedos</v>
      </c>
      <c r="B37312" s="3">
        <v>0</v>
      </c>
    </row>
    <row r="37313" ht="15.75" customHeight="1" spans="1:2">
      <c r="A37313" s="3" t="str">
        <f>IFERROR(__xludf.DUMMYFUNCTION("GOOGLETRANSLATE(A37313,""en"",""pt"")"),"Muitos dos recursos não funcionam direito.")</f>
        <v>Muitos dos recursos não funcionam direito.</v>
      </c>
      <c r="B37313" s="3">
        <v>0</v>
      </c>
    </row>
    <row r="37314" ht="15.75" customHeight="1" spans="1:2">
      <c r="A37314" s="3" t="str">
        <f>IFERROR(__xludf.DUMMYFUNCTION("GOOGLETRANSLATE(A37314,""en"",""pt"")"),"Somente uma cor &amp; # 13; &amp; # 10; Não viva-voz")</f>
        <v>Somente uma cor &amp; # 13; &amp; # 10; Não viva-voz</v>
      </c>
      <c r="B37314" s="3">
        <v>0</v>
      </c>
    </row>
    <row r="37315" ht="15.75" customHeight="1" spans="1:2">
      <c r="A37315" s="3" t="str">
        <f>IFERROR(__xludf.DUMMYFUNCTION("GOOGLETRANSLATE(A37315,""en"",""pt"")"),"má saída qualidade de voz, OS realmente caiu sobre mim uma vez")</f>
        <v>má saída qualidade de voz, OS realmente caiu sobre mim uma vez</v>
      </c>
      <c r="B37315" s="3">
        <v>0</v>
      </c>
    </row>
    <row r="37316" ht="15.75" customHeight="1" spans="1:2">
      <c r="A37316" s="3" t="str">
        <f>IFERROR(__xludf.DUMMYFUNCTION("GOOGLETRANSLATE(A37316,""en"",""pt"")"),"Antena sobressai muito longe, a vida da bateria")</f>
        <v>Antena sobressai muito longe, a vida da bateria</v>
      </c>
      <c r="B37316" s="3">
        <v>0</v>
      </c>
    </row>
    <row r="37317" ht="15.75" customHeight="1" spans="1:2">
      <c r="A37317" s="3" t="str">
        <f>IFERROR(__xludf.DUMMYFUNCTION("GOOGLETRANSLATE(A37317,""en"",""pt"")"),"Absolutamente nenhuma")</f>
        <v>Absolutamente nenhuma</v>
      </c>
      <c r="B37317" s="3">
        <v>0</v>
      </c>
    </row>
    <row r="37318" ht="15.75" customHeight="1" spans="1:2">
      <c r="A37318" s="3" t="str">
        <f>IFERROR(__xludf.DUMMYFUNCTION("GOOGLETRANSLATE(A37318,""en"",""pt"")"),"Pequenos botões e pequeno LCD que é difícil de ler, às vezes.")</f>
        <v>Pequenos botões e pequeno LCD que é difícil de ler, às vezes.</v>
      </c>
      <c r="B37318" s="3">
        <v>0</v>
      </c>
    </row>
    <row r="37319" ht="15.75" customHeight="1" spans="1:2">
      <c r="A37319" s="3" t="str">
        <f>IFERROR(__xludf.DUMMYFUNCTION("GOOGLETRANSLATE(A37319,""en"",""pt"")"),"curta duração da bateria.")</f>
        <v>curta duração da bateria.</v>
      </c>
      <c r="B37319" s="3">
        <v>0</v>
      </c>
    </row>
    <row r="37320" ht="15.75" customHeight="1" spans="1:2">
      <c r="A37320" s="3" t="str">
        <f>IFERROR(__xludf.DUMMYFUNCTION("GOOGLETRANSLATE(A37320,""en"",""pt"")"),"Bloqueio de teclas, a vida da bateria")</f>
        <v>Bloqueio de teclas, a vida da bateria</v>
      </c>
      <c r="B37320" s="3">
        <v>0</v>
      </c>
    </row>
    <row r="37321" ht="15.75" customHeight="1" spans="1:2">
      <c r="A37321" s="3" t="str">
        <f>IFERROR(__xludf.DUMMYFUNCTION("GOOGLETRANSLATE(A37321,""en"",""pt"")"),"iluminação desigual no teclado")</f>
        <v>iluminação desigual no teclado</v>
      </c>
      <c r="B37321" s="3">
        <v>0</v>
      </c>
    </row>
    <row r="37322" ht="15.75" customHeight="1" spans="1:2">
      <c r="A37322" s="3" t="str">
        <f>IFERROR(__xludf.DUMMYFUNCTION("GOOGLETRANSLATE(A37322,""en"",""pt"")"),"Desconecta automaticamente, resets exibir tons de fundo e anel automaticamente.")</f>
        <v>Desconecta automaticamente, resets exibir tons de fundo e anel automaticamente.</v>
      </c>
      <c r="B37322" s="3">
        <v>0</v>
      </c>
    </row>
    <row r="37323" ht="15.75" customHeight="1" spans="1:2">
      <c r="A37323" s="3" t="str">
        <f>IFERROR(__xludf.DUMMYFUNCTION("GOOGLETRANSLATE(A37323,""en"",""pt"")"),"veja o comentário")</f>
        <v>veja o comentário</v>
      </c>
      <c r="B37323" s="3">
        <v>0</v>
      </c>
    </row>
    <row r="37324" ht="15.75" customHeight="1" spans="1:2">
      <c r="A37324" s="3" t="str">
        <f>IFERROR(__xludf.DUMMYFUNCTION("GOOGLETRANSLATE(A37324,""en"",""pt"")"),"Um pouco menor volume do fone de ouvido e fone de ouvido, a falta de toques incluídos no telefone.")</f>
        <v>Um pouco menor volume do fone de ouvido e fone de ouvido, a falta de toques incluídos no telefone.</v>
      </c>
      <c r="B37324" s="3">
        <v>0</v>
      </c>
    </row>
    <row r="37325" ht="15.75" customHeight="1" spans="1:2">
      <c r="A37325" s="3" t="str">
        <f>IFERROR(__xludf.DUMMYFUNCTION("GOOGLETRANSLATE(A37325,""en"",""pt"")"),"Pouco confuso para usar, má escrita manual má qualidade de imagem no telefone.")</f>
        <v>Pouco confuso para usar, má escrita manual má qualidade de imagem no telefone.</v>
      </c>
      <c r="B37325" s="3">
        <v>0</v>
      </c>
    </row>
    <row r="37326" ht="15.75" customHeight="1" spans="1:2">
      <c r="A37326" s="3" t="str">
        <f>IFERROR(__xludf.DUMMYFUNCTION("GOOGLETRANSLATE(A37326,""en"",""pt"")"),"Volume às vezes não alto o suficiente, não pode renomear perfis, viva-voz não-intuitiva.")</f>
        <v>Volume às vezes não alto o suficiente, não pode renomear perfis, viva-voz não-intuitiva.</v>
      </c>
      <c r="B37326" s="3">
        <v>0</v>
      </c>
    </row>
    <row r="37327" ht="15.75" customHeight="1" spans="1:2">
      <c r="A37327" s="3" t="str">
        <f>IFERROR(__xludf.DUMMYFUNCTION("GOOGLETRANSLATE(A37327,""en"",""pt"")"),"telefone péssimo! Bad alto-falantes, a má funcionalidade, não intuitivo, SUCATA, SUCATA, SUCATA! Evitar este telefone.")</f>
        <v>telefone péssimo! Bad alto-falantes, a má funcionalidade, não intuitivo, SUCATA, SUCATA, SUCATA! Evitar este telefone.</v>
      </c>
      <c r="B37327" s="3">
        <v>0</v>
      </c>
    </row>
    <row r="37328" ht="15.75" customHeight="1" spans="1:2">
      <c r="A37328" s="3" t="str">
        <f>IFERROR(__xludf.DUMMYFUNCTION("GOOGLETRANSLATE(A37328,""en"",""pt"")"),"Você precisa prego para abri-lo, a câmara tira fotos distorcidas, indicador de bateria imprecisos, chamadas abandonadas.")</f>
        <v>Você precisa prego para abri-lo, a câmara tira fotos distorcidas, indicador de bateria imprecisos, chamadas abandonadas.</v>
      </c>
      <c r="B37328" s="3">
        <v>0</v>
      </c>
    </row>
    <row r="37329" ht="15.75" customHeight="1" spans="1:2">
      <c r="A37329" s="3" t="str">
        <f>IFERROR(__xludf.DUMMYFUNCTION("GOOGLETRANSLATE(A37329,""en"",""pt"")"),"câmera inútil, recepção esporádica, teclas de aderência, difícil descobrir")</f>
        <v>câmera inútil, recepção esporádica, teclas de aderência, difícil descobrir</v>
      </c>
      <c r="B37329" s="3">
        <v>0</v>
      </c>
    </row>
    <row r="37330" ht="15.75" customHeight="1" spans="1:2">
      <c r="A37330" s="3" t="str">
        <f>IFERROR(__xludf.DUMMYFUNCTION("GOOGLETRANSLATE(A37330,""en"",""pt"")"),"medidor de bateria e de carregamento não confiável, telefone desliga aleatoriamente")</f>
        <v>medidor de bateria e de carregamento não confiável, telefone desliga aleatoriamente</v>
      </c>
      <c r="B37330" s="3">
        <v>0</v>
      </c>
    </row>
    <row r="37331" ht="15.75" customHeight="1" spans="1:2">
      <c r="A37331" s="3" t="str">
        <f>IFERROR(__xludf.DUMMYFUNCTION("GOOGLETRANSLATE(A37331,""en"",""pt"")"),"má concepção Agenda, baixa sonoridade através de orelha broto.")</f>
        <v>má concepção Agenda, baixa sonoridade através de orelha broto.</v>
      </c>
      <c r="B37331" s="3">
        <v>0</v>
      </c>
    </row>
    <row r="37332" ht="15.75" customHeight="1" spans="1:2">
      <c r="A37332" s="3" t="str">
        <f>IFERROR(__xludf.DUMMYFUNCTION("GOOGLETRANSLATE(A37332,""en"",""pt"")"),"Confuso no início, botões do lado de fora, o som irritante / frequente quando a bateria está fraca.")</f>
        <v>Confuso no início, botões do lado de fora, o som irritante / frequente quando a bateria está fraca.</v>
      </c>
      <c r="B37332" s="3">
        <v>0</v>
      </c>
    </row>
    <row r="37333" ht="15.75" customHeight="1" spans="1:2">
      <c r="A37333" s="3" t="str">
        <f>IFERROR(__xludf.DUMMYFUNCTION("GOOGLETRANSLATE(A37333,""en"",""pt"")"),"ringtones limitado, baixo volume de anel, iluminação teclado irregular")</f>
        <v>ringtones limitado, baixo volume de anel, iluminação teclado irregular</v>
      </c>
      <c r="B37333" s="3">
        <v>0</v>
      </c>
    </row>
    <row r="37334" ht="15.75" customHeight="1" spans="1:2">
      <c r="A37334" s="3" t="str">
        <f>IFERROR(__xludf.DUMMYFUNCTION("GOOGLETRANSLATE(A37334,""en"",""pt"")"),"botões laterais Touchy, ringtones incluídos são limitados")</f>
        <v>botões laterais Touchy, ringtones incluídos são limitados</v>
      </c>
      <c r="B37334" s="3">
        <v>0</v>
      </c>
    </row>
    <row r="37335" ht="15.75" customHeight="1" spans="1:2">
      <c r="A37335" s="3" t="str">
        <f>IFERROR(__xludf.DUMMYFUNCTION("GOOGLETRANSLATE(A37335,""en"",""pt"")"),"não funciona corretamente, demasiado $ dinheiro $ para um telefone que não funciona")</f>
        <v>não funciona corretamente, demasiado $ dinheiro $ para um telefone que não funciona</v>
      </c>
      <c r="B37335" s="3">
        <v>0</v>
      </c>
    </row>
    <row r="37336" ht="15.75" customHeight="1" spans="1:2">
      <c r="A37336" s="3" t="str">
        <f>IFERROR(__xludf.DUMMYFUNCTION("GOOGLETRANSLATE(A37336,""en"",""pt"")"),"atendimento de chamadas lenta; meios de resposta lento; chamar caindo; apoio pobres Motorola; não pode ouvir campainha.")</f>
        <v>atendimento de chamadas lenta; meios de resposta lento; chamar caindo; apoio pobres Motorola; não pode ouvir campainha.</v>
      </c>
      <c r="B37336" s="3">
        <v>0</v>
      </c>
    </row>
    <row r="37337" ht="15.75" customHeight="1" spans="1:2">
      <c r="A37337" s="3" t="str">
        <f>IFERROR(__xludf.DUMMYFUNCTION("GOOGLETRANSLATE(A37337,""en"",""pt"")"),"design extremamente pobres. muitas falhas a lista - fique longe")</f>
        <v>design extremamente pobres. muitas falhas a lista - fique longe</v>
      </c>
      <c r="B37337" s="3">
        <v>0</v>
      </c>
    </row>
    <row r="37338" ht="15.75" customHeight="1" spans="1:2">
      <c r="A37338" s="3" t="str">
        <f>IFERROR(__xludf.DUMMYFUNCTION("GOOGLETRANSLATE(A37338,""en"",""pt"")"),"lento para responder")</f>
        <v>lento para responder</v>
      </c>
      <c r="B37338" s="3">
        <v>0</v>
      </c>
    </row>
    <row r="37339" ht="15.75" customHeight="1" spans="1:2">
      <c r="A37339" s="3" t="str">
        <f>IFERROR(__xludf.DUMMYFUNCTION("GOOGLETRANSLATE(A37339,""en"",""pt"")"),"não funciona. Tela treme. As chamadas são desconectados aleatoriamente.")</f>
        <v>não funciona. Tela treme. As chamadas são desconectados aleatoriamente.</v>
      </c>
      <c r="B37339" s="3">
        <v>0</v>
      </c>
    </row>
    <row r="37340" ht="15.75" customHeight="1" spans="1:2">
      <c r="A37340" s="3" t="str">
        <f>IFERROR(__xludf.DUMMYFUNCTION("GOOGLETRANSLATE(A37340,""en"",""pt"")"),"câmera é uma porcaria no escuro.")</f>
        <v>câmera é uma porcaria no escuro.</v>
      </c>
      <c r="B37340" s="3">
        <v>0</v>
      </c>
    </row>
    <row r="37341" ht="15.75" customHeight="1" spans="1:2">
      <c r="A37341" s="3" t="str">
        <f>IFERROR(__xludf.DUMMYFUNCTION("GOOGLETRANSLATE(A37341,""en"",""pt"")"),"construção Chincey em habitação fone de ouvido não causa volume do altifalante do fone de ouvido; recepção pode ser irregular")</f>
        <v>construção Chincey em habitação fone de ouvido não causa volume do altifalante do fone de ouvido; recepção pode ser irregular</v>
      </c>
      <c r="B37341" s="3">
        <v>0</v>
      </c>
    </row>
    <row r="37342" ht="15.75" customHeight="1" spans="1:2">
      <c r="A37342" s="3" t="str">
        <f>IFERROR(__xludf.DUMMYFUNCTION("GOOGLETRANSLATE(A37342,""en"",""pt"")"),"problemas carregador, desconexões automáticas, arranha facilmente, sem zoom ou o flash na câmera")</f>
        <v>problemas carregador, desconexões automáticas, arranha facilmente, sem zoom ou o flash na câmera</v>
      </c>
      <c r="B37342" s="3">
        <v>0</v>
      </c>
    </row>
    <row r="37343" ht="15.75" customHeight="1" spans="1:2">
      <c r="A37343" s="3" t="str">
        <f>IFERROR(__xludf.DUMMYFUNCTION("GOOGLETRANSLATE(A37343,""en"",""pt"")"),"A qualidade de voz é horrível, volumosos, botões mais sensíveis")</f>
        <v>A qualidade de voz é horrível, volumosos, botões mais sensíveis</v>
      </c>
      <c r="B37343" s="3">
        <v>0</v>
      </c>
    </row>
    <row r="37344" ht="15.75" customHeight="1" spans="1:2">
      <c r="A37344" s="3" t="str">
        <f>IFERROR(__xludf.DUMMYFUNCTION("GOOGLETRANSLATE(A37344,""en"",""pt"")"),"Questões relativas à qualidade, problemas de qualidade, problemas de qualidade, problemas de qualidade !!!!!!!!!!!!")</f>
        <v>Questões relativas à qualidade, problemas de qualidade, problemas de qualidade, problemas de qualidade !!!!!!!!!!!!</v>
      </c>
      <c r="B37344" s="3">
        <v>0</v>
      </c>
    </row>
    <row r="37345" ht="15.75" customHeight="1" spans="1:2">
      <c r="A37345" s="3" t="str">
        <f>IFERROR(__xludf.DUMMYFUNCTION("GOOGLETRANSLATE(A37345,""en"",""pt"")"),"pesados, má recepção, teclado retardado, aleatoriamente desconectar, irritante som baixo batt, muito poucos toques,")</f>
        <v>pesados, má recepção, teclado retardado, aleatoriamente desconectar, irritante som baixo batt, muito poucos toques,</v>
      </c>
      <c r="B37345" s="3">
        <v>0</v>
      </c>
    </row>
    <row r="37346" ht="15.75" customHeight="1" spans="1:2">
      <c r="A37346" s="3" t="str">
        <f>IFERROR(__xludf.DUMMYFUNCTION("GOOGLETRANSLATE(A37346,""en"",""pt"")"),"a vida da bateria pobres, de baixa ringtones e não o suficiente ringtones e jogos")</f>
        <v>a vida da bateria pobres, de baixa ringtones e não o suficiente ringtones e jogos</v>
      </c>
      <c r="B37346" s="3">
        <v>0</v>
      </c>
    </row>
    <row r="37347" ht="15.75" customHeight="1" spans="1:2">
      <c r="A37347" s="3" t="str">
        <f>IFERROR(__xludf.DUMMYFUNCTION("GOOGLETRANSLATE(A37347,""en"",""pt"")"),"Todo o resto.")</f>
        <v>Todo o resto.</v>
      </c>
      <c r="B37347" s="3">
        <v>0</v>
      </c>
    </row>
    <row r="37348" ht="15.75" customHeight="1" spans="1:2">
      <c r="A37348" s="3" t="str">
        <f>IFERROR(__xludf.DUMMYFUNCTION("GOOGLETRANSLATE(A37348,""en"",""pt"")"),"software escrito mal")</f>
        <v>software escrito mal</v>
      </c>
      <c r="B37348" s="3">
        <v>0</v>
      </c>
    </row>
    <row r="37349" ht="15.75" customHeight="1" spans="1:2">
      <c r="A37349" s="3" t="str">
        <f>IFERROR(__xludf.DUMMYFUNCTION("GOOGLETRANSLATE(A37349,""en"",""pt"")"),"A vida da bateria é de 1 dia com o uso mínimo após 1 ano.")</f>
        <v>A vida da bateria é de 1 dia com o uso mínimo após 1 ano.</v>
      </c>
      <c r="B37349" s="3">
        <v>0</v>
      </c>
    </row>
    <row r="37350" ht="15.75" customHeight="1" spans="1:2">
      <c r="A37350" s="3" t="str">
        <f>IFERROR(__xludf.DUMMYFUNCTION("GOOGLETRANSLATE(A37350,""en"",""pt"")"),"Pouco campainhas para escolher. Não é possível ligar viva-voz, até outra parte pega.")</f>
        <v>Pouco campainhas para escolher. Não é possível ligar viva-voz, até outra parte pega.</v>
      </c>
      <c r="B37350" s="3">
        <v>0</v>
      </c>
    </row>
    <row r="37351" ht="15.75" customHeight="1" spans="1:2">
      <c r="A37351" s="3" t="str">
        <f>IFERROR(__xludf.DUMMYFUNCTION("GOOGLETRANSLATE(A37351,""en"",""pt"")"),"rapidamente morrendo alto-falante, avarias de tela, inúmeras chamadas falhadas")</f>
        <v>rapidamente morrendo alto-falante, avarias de tela, inúmeras chamadas falhadas</v>
      </c>
      <c r="B37351" s="3">
        <v>0</v>
      </c>
    </row>
    <row r="37352" ht="15.75" customHeight="1" spans="1:2">
      <c r="A37352" s="3" t="s">
        <v>198</v>
      </c>
      <c r="B37352" s="3">
        <v>0</v>
      </c>
    </row>
    <row r="37353" ht="15.75" customHeight="1" spans="1:2">
      <c r="A37353" s="3" t="str">
        <f>IFERROR(__xludf.DUMMYFUNCTION("GOOGLETRANSLATE(A37353,""en"",""pt"")"),"alguns que pesado.")</f>
        <v>alguns que pesado.</v>
      </c>
      <c r="B37353" s="3">
        <v>0</v>
      </c>
    </row>
    <row r="37354" ht="15.75" customHeight="1" spans="1:2">
      <c r="A37354" s="3" t="str">
        <f>IFERROR(__xludf.DUMMYFUNCTION("GOOGLETRANSLATE(A37354,""en"",""pt"")"),"bateria, voz")</f>
        <v>bateria, voz</v>
      </c>
      <c r="B37354" s="3">
        <v>0</v>
      </c>
    </row>
    <row r="37355" ht="15.75" customHeight="1" spans="1:2">
      <c r="A37355" s="3" t="str">
        <f>IFERROR(__xludf.DUMMYFUNCTION("GOOGLETRANSLATE(A37355,""en"",""pt"")"),"Irá transformá-lo em um delirante obcecado lunatic com quão horrível o seu telefone está.")</f>
        <v>Irá transformá-lo em um delirante obcecado lunatic com quão horrível o seu telefone está.</v>
      </c>
      <c r="B37355" s="3">
        <v>0</v>
      </c>
    </row>
    <row r="37356" ht="15.75" customHeight="1" spans="1:2">
      <c r="A37356" s="3" t="str">
        <f>IFERROR(__xludf.DUMMYFUNCTION("GOOGLETRANSLATE(A37356,""en"",""pt"")"),"estrutura do menu pobre Motorola, a duração da bateria terrível, software de buggy")</f>
        <v>estrutura do menu pobre Motorola, a duração da bateria terrível, software de buggy</v>
      </c>
      <c r="B37356" s="3">
        <v>0</v>
      </c>
    </row>
    <row r="37357" ht="15.75" customHeight="1" spans="1:2">
      <c r="A37357" s="3" t="str">
        <f>IFERROR(__xludf.DUMMYFUNCTION("GOOGLETRANSLATE(A37357,""en"",""pt"")"),"Não realmente qualquer contras para este telefone.")</f>
        <v>Não realmente qualquer contras para este telefone.</v>
      </c>
      <c r="B37357" s="3">
        <v>0</v>
      </c>
    </row>
    <row r="37358" ht="15.75" customHeight="1" spans="1:2">
      <c r="A37358" s="3" t="str">
        <f>IFERROR(__xludf.DUMMYFUNCTION("GOOGLETRANSLATE(A37358,""en"",""pt"")"),"1 ano não ligar novamente.")</f>
        <v>1 ano não ligar novamente.</v>
      </c>
      <c r="B37358" s="3">
        <v>0</v>
      </c>
    </row>
    <row r="37359" ht="15.75" customHeight="1" spans="1:2">
      <c r="A37359" s="3" t="str">
        <f>IFERROR(__xludf.DUMMYFUNCTION("GOOGLETRANSLATE(A37359,""en"",""pt"")"),"software de buggy, design de carga da bateria pobres, departamento de reparos oprimido")</f>
        <v>software de buggy, design de carga da bateria pobres, departamento de reparos oprimido</v>
      </c>
      <c r="B37359" s="3">
        <v>0</v>
      </c>
    </row>
    <row r="37360" ht="15.75" customHeight="1" spans="1:2">
      <c r="A37360" s="3" t="str">
        <f>IFERROR(__xludf.DUMMYFUNCTION("GOOGLETRANSLATE(A37360,""en"",""pt"")"),"volumoso, a vida da bateria, a falta de Bluetooth")</f>
        <v>volumoso, a vida da bateria, a falta de Bluetooth</v>
      </c>
      <c r="B37360" s="3">
        <v>0</v>
      </c>
    </row>
    <row r="37361" ht="15.75" customHeight="1" spans="1:2">
      <c r="A37361" s="3" t="str">
        <f>IFERROR(__xludf.DUMMYFUNCTION("GOOGLETRANSLATE(A37361,""en"",""pt"")"),"construção frágil no alto-falante do fone de ouvido")</f>
        <v>construção frágil no alto-falante do fone de ouvido</v>
      </c>
      <c r="B37361" s="3">
        <v>0</v>
      </c>
    </row>
    <row r="37362" ht="15.75" customHeight="1" spans="1:2">
      <c r="A37362" s="3" t="str">
        <f>IFERROR(__xludf.DUMMYFUNCTION("GOOGLETRANSLATE(A37362,""en"",""pt"")"),"funtion")</f>
        <v>funtion</v>
      </c>
      <c r="B37362" s="3">
        <v>0</v>
      </c>
    </row>
    <row r="37363" ht="15.75" customHeight="1" spans="1:2">
      <c r="A37363" s="3" t="str">
        <f>IFERROR(__xludf.DUMMYFUNCTION("GOOGLETRANSLATE(A37363,""en"",""pt"")"),"Ligeiramente lento e parece grande.")</f>
        <v>Ligeiramente lento e parece grande.</v>
      </c>
      <c r="B37363" s="3">
        <v>0</v>
      </c>
    </row>
    <row r="37364" ht="15.75" customHeight="1" spans="1:2">
      <c r="A37364" s="3" t="str">
        <f>IFERROR(__xludf.DUMMYFUNCTION("GOOGLETRANSLATE(A37364,""en"",""pt"")"),"volume de voz miserável")</f>
        <v>volume de voz miserável</v>
      </c>
      <c r="B37364" s="3">
        <v>0</v>
      </c>
    </row>
    <row r="37365" ht="15.75" customHeight="1" spans="1:2">
      <c r="A37365" s="3" t="str">
        <f>IFERROR(__xludf.DUMMYFUNCTION("GOOGLETRANSLATE(A37365,""en"",""pt"")"),"pedaço de merda!")</f>
        <v>pedaço de merda!</v>
      </c>
      <c r="B37365" s="3">
        <v>0</v>
      </c>
    </row>
    <row r="37366" ht="15.75" customHeight="1" spans="1:2">
      <c r="A37366" s="3" t="str">
        <f>IFERROR(__xludf.DUMMYFUNCTION("GOOGLETRANSLATE(A37366,""en"",""pt"")"),"as pessoas não podem ouvir você, de baixa qualidade imagens, botões irritantes")</f>
        <v>as pessoas não podem ouvir você, de baixa qualidade imagens, botões irritantes</v>
      </c>
      <c r="B37366" s="3">
        <v>0</v>
      </c>
    </row>
    <row r="37367" ht="15.75" customHeight="1" spans="1:2">
      <c r="A37367" s="3" t="str">
        <f>IFERROR(__xludf.DUMMYFUNCTION("GOOGLETRANSLATE(A37367,""en"",""pt"")"),"tempo de bateria não é suficiente, Ringer para baixo e não muitas opções de anéis ou jogos.")</f>
        <v>tempo de bateria não é suficiente, Ringer para baixo e não muitas opções de anéis ou jogos.</v>
      </c>
      <c r="B37367" s="3">
        <v>0</v>
      </c>
    </row>
    <row r="37368" ht="15.75" customHeight="1" spans="1:2">
      <c r="A37368" s="3" t="str">
        <f>IFERROR(__xludf.DUMMYFUNCTION("GOOGLETRANSLATE(A37368,""en"",""pt"")"),"alto-falante, toque muito suave")</f>
        <v>alto-falante, toque muito suave</v>
      </c>
      <c r="B37368" s="3">
        <v>0</v>
      </c>
    </row>
    <row r="37369" ht="15.75" customHeight="1" spans="1:2">
      <c r="A37369" s="3" t="str">
        <f>IFERROR(__xludf.DUMMYFUNCTION("GOOGLETRANSLATE(A37369,""en"",""pt"")"),"Muito caro se comprado pelo preço integral.")</f>
        <v>Muito caro se comprado pelo preço integral.</v>
      </c>
      <c r="B37369" s="3">
        <v>0</v>
      </c>
    </row>
    <row r="37370" ht="15.75" customHeight="1" spans="1:2">
      <c r="A37370" s="3" t="str">
        <f>IFERROR(__xludf.DUMMYFUNCTION("GOOGLETRANSLATE(A37370,""en"",""pt"")"),"Fone de ouvido Volume baixo em comparação com outros modelos, relativamente pequeno de exibição")</f>
        <v>Fone de ouvido Volume baixo em comparação com outros modelos, relativamente pequeno de exibição</v>
      </c>
      <c r="B37370" s="3">
        <v>0</v>
      </c>
    </row>
    <row r="37371" ht="15.75" customHeight="1" spans="1:2">
      <c r="A37371" s="3" t="str">
        <f>IFERROR(__xludf.DUMMYFUNCTION("GOOGLETRANSLATE(A37371,""en"",""pt"")"),"Digitando mensagens de texto pode ser complicado longos menus, para rolar thru.")</f>
        <v>Digitando mensagens de texto pode ser complicado longos menus, para rolar thru.</v>
      </c>
      <c r="B37371" s="3">
        <v>0</v>
      </c>
    </row>
    <row r="37372" ht="15.75" customHeight="1" spans="1:2">
      <c r="A37372" s="3" t="str">
        <f>IFERROR(__xludf.DUMMYFUNCTION("GOOGLETRANSLATE(A37372,""en"",""pt"")"),"Carregador, volume, botões laterais excessivas são fáceis de bater acidentalmente, pequeno display monocromático, menu de navegação")</f>
        <v>Carregador, volume, botões laterais excessivas são fáceis de bater acidentalmente, pequeno display monocromático, menu de navegação</v>
      </c>
      <c r="B37372" s="3">
        <v>0</v>
      </c>
    </row>
    <row r="37373" ht="15.75" customHeight="1" spans="1:2">
      <c r="A37373" s="3" t="str">
        <f>IFERROR(__xludf.DUMMYFUNCTION("GOOGLETRANSLATE(A37373,""en"",""pt"")"),"Fades dentro e fora quando não deveria. Má qualidade da chamada.")</f>
        <v>Fades dentro e fora quando não deveria. Má qualidade da chamada.</v>
      </c>
      <c r="B37373" s="3">
        <v>0</v>
      </c>
    </row>
    <row r="37374" ht="15.75" customHeight="1" spans="1:2">
      <c r="A37374" s="3" t="str">
        <f>IFERROR(__xludf.DUMMYFUNCTION("GOOGLETRANSLATE(A37374,""en"",""pt"")"),"Basic,,, nenhuma tela colorida feio desconfortável")</f>
        <v>Basic,,, nenhuma tela colorida feio desconfortável</v>
      </c>
      <c r="B37374" s="3">
        <v>0</v>
      </c>
    </row>
    <row r="37375" ht="15.75" customHeight="1" spans="1:2">
      <c r="A37375" s="3" t="str">
        <f>IFERROR(__xludf.DUMMYFUNCTION("GOOGLETRANSLATE(A37375,""en"",""pt"")"),"Caminho para o disco para carregar !!")</f>
        <v>Caminho para o disco para carregar !!</v>
      </c>
      <c r="B37375" s="3">
        <v>0</v>
      </c>
    </row>
    <row r="37376" ht="15.75" customHeight="1" spans="1:2">
      <c r="A37376" s="3" t="str">
        <f>IFERROR(__xludf.DUMMYFUNCTION("GOOGLETRANSLATE(A37376,""en"",""pt"")"),"Mais difícil mudar faceplate, mas eu não queria ainda de qualquer maneira.")</f>
        <v>Mais difícil mudar faceplate, mas eu não queria ainda de qualquer maneira.</v>
      </c>
      <c r="B37376" s="3">
        <v>0</v>
      </c>
    </row>
    <row r="37377" ht="15.75" customHeight="1" spans="1:2">
      <c r="A37377" s="3" t="str">
        <f>IFERROR(__xludf.DUMMYFUNCTION("GOOGLETRANSLATE(A37377,""en"",""pt"")"),"No display colorido, os jogos são um pouco chato")</f>
        <v>No display colorido, os jogos são um pouco chato</v>
      </c>
      <c r="B37377" s="3">
        <v>0</v>
      </c>
    </row>
    <row r="37378" ht="15.75" customHeight="1" spans="1:2">
      <c r="A37378" s="3" t="str">
        <f>IFERROR(__xludf.DUMMYFUNCTION("GOOGLETRANSLATE(A37378,""en"",""pt"")"),"sem jogos")</f>
        <v>sem jogos</v>
      </c>
      <c r="B37378" s="3">
        <v>0</v>
      </c>
    </row>
    <row r="37379" ht="15.75" customHeight="1" spans="1:2">
      <c r="A37379" s="3" t="str">
        <f>IFERROR(__xludf.DUMMYFUNCTION("GOOGLETRANSLATE(A37379,""en"",""pt"")"),"Má recepção, design jack recarga. volume insuficiente. Não rádio.")</f>
        <v>Má recepção, design jack recarga. volume insuficiente. Não rádio.</v>
      </c>
      <c r="B37379" s="3">
        <v>0</v>
      </c>
    </row>
    <row r="37380" ht="15.75" customHeight="1" spans="1:2">
      <c r="A37380" s="3" t="str">
        <f>IFERROR(__xludf.DUMMYFUNCTION("GOOGLETRANSLATE(A37380,""en"",""pt"")"),"terrible recepção")</f>
        <v>terrible recepção</v>
      </c>
      <c r="B37380" s="3">
        <v>0</v>
      </c>
    </row>
    <row r="37381" ht="15.75" customHeight="1" spans="1:2">
      <c r="A37381" s="3" t="str">
        <f>IFERROR(__xludf.DUMMYFUNCTION("GOOGLETRANSLATE(A37381,""en"",""pt"")"),"Não é muito fácil encontrar faceplates (melhor lugar é inkatomi.net), antena não se estende, b / w tela.")</f>
        <v>Não é muito fácil encontrar faceplates (melhor lugar é inkatomi.net), antena não se estende, b / w tela.</v>
      </c>
      <c r="B37381" s="3">
        <v>0</v>
      </c>
    </row>
    <row r="37382" ht="15.75" customHeight="1" spans="1:2">
      <c r="A37382" s="3" t="str">
        <f>IFERROR(__xludf.DUMMYFUNCTION("GOOGLETRANSLATE(A37382,""en"",""pt"")"),"Da bateria muito fraca. Recepção reduzido em comparação com outros telefones. Speakerphone qualidade de áudio um pouco carente.")</f>
        <v>Da bateria muito fraca. Recepção reduzido em comparação com outros telefones. Speakerphone qualidade de áudio um pouco carente.</v>
      </c>
      <c r="B37382" s="3">
        <v>0</v>
      </c>
    </row>
    <row r="37383" ht="15.75" customHeight="1" spans="1:2">
      <c r="A37383" s="3" t="str">
        <f>IFERROR(__xludf.DUMMYFUNCTION("GOOGLETRANSLATE(A37383,""en"",""pt"")"),"vida pobre da bateria, arranhões facilmente")</f>
        <v>vida pobre da bateria, arranhões facilmente</v>
      </c>
      <c r="B37383" s="3">
        <v>0</v>
      </c>
    </row>
    <row r="37384" ht="15.75" customHeight="1" spans="1:2">
      <c r="A37384" s="3" t="str">
        <f>IFERROR(__xludf.DUMMYFUNCTION("GOOGLETRANSLATE(A37384,""en"",""pt"")"),"A vida da bateria é absolutamente horrível !!! Camera seria bom ...")</f>
        <v>A vida da bateria é absolutamente horrível !!! Camera seria bom ...</v>
      </c>
      <c r="B37384" s="3">
        <v>0</v>
      </c>
    </row>
    <row r="37385" ht="15.75" customHeight="1" spans="1:2">
      <c r="A37385" s="3" t="str">
        <f>IFERROR(__xludf.DUMMYFUNCTION("GOOGLETRANSLATE(A37385,""en"",""pt"")"),"A qualidade do telefone é ruim e a qualidade do serviço é pior")</f>
        <v>A qualidade do telefone é ruim e a qualidade do serviço é pior</v>
      </c>
      <c r="B37385" s="3">
        <v>0</v>
      </c>
    </row>
    <row r="37386" ht="15.75" customHeight="1" spans="1:2">
      <c r="A37386" s="3" t="str">
        <f>IFERROR(__xludf.DUMMYFUNCTION("GOOGLETRANSLATE(A37386,""en"",""pt"")"),"O tempo de conversação é diminuída (possivelmente para a nova bateria estilo)")</f>
        <v>O tempo de conversação é diminuída (possivelmente para a nova bateria estilo)</v>
      </c>
      <c r="B37386" s="3">
        <v>0</v>
      </c>
    </row>
    <row r="37387" ht="15.75" customHeight="1" spans="1:2">
      <c r="A37387" s="3" t="str">
        <f>IFERROR(__xludf.DUMMYFUNCTION("GOOGLETRANSLATE(A37387,""en"",""pt"")"),"A vida da bateria, design quadrado, a falta de toques e fundos padrão, recepção.")</f>
        <v>A vida da bateria, design quadrado, a falta de toques e fundos padrão, recepção.</v>
      </c>
      <c r="B37387" s="3">
        <v>0</v>
      </c>
    </row>
    <row r="37388" ht="15.75" customHeight="1" spans="1:2">
      <c r="A37388" s="3" t="str">
        <f>IFERROR(__xludf.DUMMYFUNCTION("GOOGLETRANSLATE(A37388,""en"",""pt"")"),"Gotas chamadas e desliga sem aviso nem causa.")</f>
        <v>Gotas chamadas e desliga sem aviso nem causa.</v>
      </c>
      <c r="B37388" s="3">
        <v>0</v>
      </c>
    </row>
    <row r="37389" ht="15.75" customHeight="1" spans="1:2">
      <c r="A37389" s="3" t="str">
        <f>IFERROR(__xludf.DUMMYFUNCTION("GOOGLETRANSLATE(A37389,""en"",""pt"")"),"Frágil, pode ser muito pequeno para alguns")</f>
        <v>Frágil, pode ser muito pequeno para alguns</v>
      </c>
      <c r="B37389" s="3">
        <v>0</v>
      </c>
    </row>
    <row r="37390" ht="15.75" customHeight="1" spans="1:2">
      <c r="A37390" s="3" t="str">
        <f>IFERROR(__xludf.DUMMYFUNCTION("GOOGLETRANSLATE(A37390,""en"",""pt"")"),"vida muito baixo bateria")</f>
        <v>vida muito baixo bateria</v>
      </c>
      <c r="B37390" s="3">
        <v>0</v>
      </c>
    </row>
    <row r="37391" ht="15.75" customHeight="1" spans="1:2">
      <c r="A37391" s="3" t="str">
        <f>IFERROR(__xludf.DUMMYFUNCTION("GOOGLETRANSLATE(A37391,""en"",""pt"")"),"recepção horrível")</f>
        <v>recepção horrível</v>
      </c>
      <c r="B37391" s="3">
        <v>0</v>
      </c>
    </row>
    <row r="37392" ht="15.75" customHeight="1" spans="1:2">
      <c r="A37392" s="3" t="str">
        <f>IFERROR(__xludf.DUMMYFUNCTION("GOOGLETRANSLATE(A37392,""en"",""pt"")"),"tudo sobre o telefone, a partir do preço para as chamadas")</f>
        <v>tudo sobre o telefone, a partir do preço para as chamadas</v>
      </c>
      <c r="B37392" s="3">
        <v>0</v>
      </c>
    </row>
    <row r="37393" ht="15.75" customHeight="1" spans="1:2">
      <c r="A37393" s="3" t="str">
        <f>IFERROR(__xludf.DUMMYFUNCTION("GOOGLETRANSLATE(A37393,""en"",""pt"")"),"vida útil da bateria, arranha facilmente")</f>
        <v>vida útil da bateria, arranha facilmente</v>
      </c>
      <c r="B37393" s="3">
        <v>0</v>
      </c>
    </row>
    <row r="37394" ht="15.75" customHeight="1" spans="1:2">
      <c r="A37394" s="3" t="str">
        <f>IFERROR(__xludf.DUMMYFUNCTION("GOOGLETRANSLATE(A37394,""en"",""pt"")"),"Horrable vida útil da bateria, Sucky Serviço de Suporte ao Cliente Sucky!")</f>
        <v>Horrable vida útil da bateria, Sucky Serviço de Suporte ao Cliente Sucky!</v>
      </c>
      <c r="B37394" s="3">
        <v>0</v>
      </c>
    </row>
    <row r="37395" ht="15.75" customHeight="1" spans="1:2">
      <c r="A37395" s="3" t="str">
        <f>IFERROR(__xludf.DUMMYFUNCTION("GOOGLETRANSLATE(A37395,""en"",""pt"")"),"Todo o resto.")</f>
        <v>Todo o resto.</v>
      </c>
      <c r="B37395" s="3">
        <v>0</v>
      </c>
    </row>
    <row r="37396" ht="15.75" customHeight="1" spans="1:2">
      <c r="A37396" s="3" t="str">
        <f>IFERROR(__xludf.DUMMYFUNCTION("GOOGLETRANSLATE(A37396,""en"",""pt"")"),"Bad som, cortes dentro e fora, ninguém pode ouvi-lo.")</f>
        <v>Bad som, cortes dentro e fora, ninguém pode ouvi-lo.</v>
      </c>
      <c r="B37396" s="3">
        <v>0</v>
      </c>
    </row>
    <row r="37397" ht="15.75" customHeight="1" spans="1:2">
      <c r="A37397" s="3" t="str">
        <f>IFERROR(__xludf.DUMMYFUNCTION("GOOGLETRANSLATE(A37397,""en"",""pt"")"),"a vida da bateria pobres, um pouco caro.")</f>
        <v>a vida da bateria pobres, um pouco caro.</v>
      </c>
      <c r="B37397" s="3">
        <v>0</v>
      </c>
    </row>
    <row r="37398" ht="15.75" customHeight="1" spans="1:2">
      <c r="A37398" s="3" t="str">
        <f>IFERROR(__xludf.DUMMYFUNCTION("GOOGLETRANSLATE(A37398,""en"",""pt"")"),"nada até agora.")</f>
        <v>nada até agora.</v>
      </c>
      <c r="B37398" s="3">
        <v>0</v>
      </c>
    </row>
    <row r="37399" ht="15.75" customHeight="1" spans="1:2">
      <c r="A37399" s="3" t="str">
        <f>IFERROR(__xludf.DUMMYFUNCTION("GOOGLETRANSLATE(A37399,""en"",""pt"")"),"Veja")</f>
        <v>Veja</v>
      </c>
      <c r="B37399" s="3">
        <v>0</v>
      </c>
    </row>
    <row r="37400" ht="15.75" customHeight="1" spans="1:2">
      <c r="A37400" s="3" t="str">
        <f>IFERROR(__xludf.DUMMYFUNCTION("GOOGLETRANSLATE(A37400,""en"",""pt"")"),"Duração de bateria menor e perguntas re: durabilidade a longo prazo")</f>
        <v>Duração de bateria menor e perguntas re: durabilidade a longo prazo</v>
      </c>
      <c r="B37400" s="3">
        <v>0</v>
      </c>
    </row>
    <row r="37401" ht="15.75" customHeight="1" spans="1:2">
      <c r="A37401" s="3" t="str">
        <f>IFERROR(__xludf.DUMMYFUNCTION("GOOGLETRANSLATE(A37401,""en"",""pt"")"),"Slippery exterior, Sem acesso à internet, o tamanho da fonte não-ajustável, telefone Speaker")</f>
        <v>Slippery exterior, Sem acesso à internet, o tamanho da fonte não-ajustável, telefone Speaker</v>
      </c>
      <c r="B37401" s="3">
        <v>0</v>
      </c>
    </row>
    <row r="37402" ht="15.75" customHeight="1" spans="1:2">
      <c r="A37402" s="3" t="str">
        <f>IFERROR(__xludf.DUMMYFUNCTION("GOOGLETRANSLATE(A37402,""en"",""pt"")"),"Pequenas chaves com formato semelhante a torna difícil de marcar, não tão bem projetado")</f>
        <v>Pequenas chaves com formato semelhante a torna difícil de marcar, não tão bem projetado</v>
      </c>
      <c r="B37402" s="3">
        <v>0</v>
      </c>
    </row>
    <row r="37403" ht="15.75" customHeight="1" spans="1:2">
      <c r="A37403" s="3" t="str">
        <f>IFERROR(__xludf.DUMMYFUNCTION("GOOGLETRANSLATE(A37403,""en"",""pt"")"),"vida incrivelmente curto bateria, de aparência, sensação barato.")</f>
        <v>vida incrivelmente curto bateria, de aparência, sensação barato.</v>
      </c>
      <c r="B37403" s="3">
        <v>0</v>
      </c>
    </row>
    <row r="37404" ht="15.75" customHeight="1" spans="1:2">
      <c r="A37404" s="3" t="str">
        <f>IFERROR(__xludf.DUMMYFUNCTION("GOOGLETRANSLATE(A37404,""en"",""pt"")"),"AT &amp; T como operadora, Signal, a vida da bateria")</f>
        <v>AT &amp; T como operadora, Signal, a vida da bateria</v>
      </c>
      <c r="B37404" s="3">
        <v>0</v>
      </c>
    </row>
    <row r="37405" ht="15.75" customHeight="1" spans="1:2">
      <c r="A37405" s="3" t="str">
        <f>IFERROR(__xludf.DUMMYFUNCTION("GOOGLETRANSLATE(A37405,""en"",""pt"")"),"Quase muito pequeno, se sente como um brinquedo, viva-voz é inútil")</f>
        <v>Quase muito pequeno, se sente como um brinquedo, viva-voz é inútil</v>
      </c>
      <c r="B37405" s="3">
        <v>0</v>
      </c>
    </row>
    <row r="37406" ht="15.75" customHeight="1" spans="1:2">
      <c r="A37406" s="3" t="str">
        <f>IFERROR(__xludf.DUMMYFUNCTION("GOOGLETRANSLATE(A37406,""en"",""pt"")"),"botões são um pouco pequenos")</f>
        <v>botões são um pouco pequenos</v>
      </c>
      <c r="B37406" s="3">
        <v>0</v>
      </c>
    </row>
    <row r="37407" ht="15.75" customHeight="1" spans="1:2">
      <c r="A37407" s="3" t="str">
        <f>IFERROR(__xludf.DUMMYFUNCTION("GOOGLETRANSLATE(A37407,""en"",""pt"")"),"Speakerphone muito mole.")</f>
        <v>Speakerphone muito mole.</v>
      </c>
      <c r="B37407" s="3">
        <v>0</v>
      </c>
    </row>
    <row r="37408" ht="15.75" customHeight="1" spans="1:2">
      <c r="A37408" s="3" t="str">
        <f>IFERROR(__xludf.DUMMYFUNCTION("GOOGLETRANSLATE(A37408,""en"",""pt"")"),"viva-voz é um pouco inútil")</f>
        <v>viva-voz é um pouco inútil</v>
      </c>
      <c r="B37408" s="3">
        <v>0</v>
      </c>
    </row>
    <row r="37409" ht="15.75" customHeight="1" spans="1:2">
      <c r="A37409" s="3" t="str">
        <f>IFERROR(__xludf.DUMMYFUNCTION("GOOGLETRANSLATE(A37409,""en"",""pt"")"),"bateria não dura muito tempo, uma lista telefônica não é fácil de usar")</f>
        <v>bateria não dura muito tempo, uma lista telefônica não é fácil de usar</v>
      </c>
      <c r="B37409" s="3">
        <v>0</v>
      </c>
    </row>
    <row r="37410" ht="15.75" customHeight="1" spans="1:2">
      <c r="A37410" s="3" t="str">
        <f>IFERROR(__xludf.DUMMYFUNCTION("GOOGLETRANSLATE(A37410,""en"",""pt"")"),"- sem calculadora, nenhum calendário, a vida da bateria é terrível")</f>
        <v>- sem calculadora, nenhum calendário, a vida da bateria é terrível</v>
      </c>
      <c r="B37410" s="3">
        <v>0</v>
      </c>
    </row>
    <row r="37411" ht="15.75" customHeight="1" spans="1:2">
      <c r="A37411" s="3" t="str">
        <f>IFERROR(__xludf.DUMMYFUNCTION("GOOGLETRANSLATE(A37411,""en"",""pt"")"),"Curto (~ 1,5 horas max) vida útil da bateria, botões pequenos, semi-nonintuitive menu, desgaste e mostra lágrima")</f>
        <v>Curto (~ 1,5 horas max) vida útil da bateria, botões pequenos, semi-nonintuitive menu, desgaste e mostra lágrima</v>
      </c>
      <c r="B37411" s="3">
        <v>0</v>
      </c>
    </row>
    <row r="37412" ht="15.75" customHeight="1" spans="1:2">
      <c r="A37412" s="3" t="str">
        <f>IFERROR(__xludf.DUMMYFUNCTION("GOOGLETRANSLATE(A37412,""en"",""pt"")"),"Nenhum")</f>
        <v>Nenhum</v>
      </c>
      <c r="B37412" s="3">
        <v>0</v>
      </c>
    </row>
    <row r="37413" ht="15.75" customHeight="1" spans="1:2">
      <c r="A37413" s="3" t="str">
        <f>IFERROR(__xludf.DUMMYFUNCTION("GOOGLETRANSLATE(A37413,""en"",""pt"")"),"Bateria, bateria, bateria.")</f>
        <v>Bateria, bateria, bateria.</v>
      </c>
      <c r="B37413" s="3">
        <v>0</v>
      </c>
    </row>
    <row r="37414" ht="15.75" customHeight="1" spans="1:2">
      <c r="A37414" s="3" t="str">
        <f>IFERROR(__xludf.DUMMYFUNCTION("GOOGLETRANSLATE(A37414,""en"",""pt"")"),"Fácil perder (por causa do tamanho), acessórios.")</f>
        <v>Fácil perder (por causa do tamanho), acessórios.</v>
      </c>
      <c r="B37414" s="3">
        <v>0</v>
      </c>
    </row>
    <row r="37415" ht="15.75" customHeight="1" spans="1:2">
      <c r="A37415" s="3" t="str">
        <f>IFERROR(__xludf.DUMMYFUNCTION("GOOGLETRANSLATE(A37415,""en"",""pt"")"),"Um pouco difícil de abrir com uma mão")</f>
        <v>Um pouco difícil de abrir com uma mão</v>
      </c>
      <c r="B37415" s="3">
        <v>0</v>
      </c>
    </row>
    <row r="37416" ht="15.75" customHeight="1" spans="1:2">
      <c r="A37416" s="3" t="str">
        <f>IFERROR(__xludf.DUMMYFUNCTION("GOOGLETRANSLATE(A37416,""en"",""pt"")"),"Exibir um utilitarista pouco; Sem campainha polifônica")</f>
        <v>Exibir um utilitarista pouco; Sem campainha polifônica</v>
      </c>
      <c r="B37416" s="3">
        <v>0</v>
      </c>
    </row>
    <row r="37417" ht="15.75" customHeight="1" spans="1:2">
      <c r="A37417" s="3" t="str">
        <f>IFERROR(__xludf.DUMMYFUNCTION("GOOGLETRANSLATE(A37417,""en"",""pt"")"),"Pode estar chegando ao fim dele é tempo de vida ...")</f>
        <v>Pode estar chegando ao fim dele é tempo de vida ...</v>
      </c>
      <c r="B37417" s="3">
        <v>0</v>
      </c>
    </row>
    <row r="37418" ht="15.75" customHeight="1" spans="1:2">
      <c r="A37418" s="3" t="str">
        <f>IFERROR(__xludf.DUMMYFUNCTION("GOOGLETRANSLATE(A37418,""en"",""pt"")"),"não pode flip aberto com uma mão. arranhões tecla de navegação exibir quando fechado.")</f>
        <v>não pode flip aberto com uma mão. arranhões tecla de navegação exibir quando fechado.</v>
      </c>
      <c r="B37418" s="3">
        <v>0</v>
      </c>
    </row>
    <row r="37419" ht="15.75" customHeight="1" spans="1:2">
      <c r="A37419" s="3" t="str">
        <f>IFERROR(__xludf.DUMMYFUNCTION("GOOGLETRANSLATE(A37419,""en"",""pt"")"),"Preço alto não é inteiramente justificado, ausência de ninjas.")</f>
        <v>Preço alto não é inteiramente justificado, ausência de ninjas.</v>
      </c>
      <c r="B37419" s="3">
        <v>0</v>
      </c>
    </row>
    <row r="37420" ht="15.75" customHeight="1" spans="1:2">
      <c r="A37420" s="3" t="str">
        <f>IFERROR(__xludf.DUMMYFUNCTION("GOOGLETRANSLATE(A37420,""en"",""pt"")"),"difíceis de abrir; não resistente; clareza de transmissão; recepção")</f>
        <v>difíceis de abrir; não resistente; clareza de transmissão; recepção</v>
      </c>
      <c r="B37420" s="3">
        <v>0</v>
      </c>
    </row>
    <row r="37421" ht="15.75" customHeight="1" spans="1:2">
      <c r="A37421" s="3" t="str">
        <f>IFERROR(__xludf.DUMMYFUNCTION("GOOGLETRANSLATE(A37421,""en"",""pt"")"),"curta duração da bateria, antena frágil, propensa a avarias aleatórias")</f>
        <v>curta duração da bateria, antena frágil, propensa a avarias aleatórias</v>
      </c>
      <c r="B37421" s="3">
        <v>0</v>
      </c>
    </row>
    <row r="37422" ht="15.75" customHeight="1" spans="1:2">
      <c r="A37422" s="3" t="str">
        <f>IFERROR(__xludf.DUMMYFUNCTION("GOOGLETRANSLATE(A37422,""en"",""pt"")"),"antena frágil, toques monofónicos, desconforto após uso prolongado")</f>
        <v>antena frágil, toques monofónicos, desconforto após uso prolongado</v>
      </c>
      <c r="B37422" s="3">
        <v>0</v>
      </c>
    </row>
    <row r="37423" ht="15.75" customHeight="1" spans="1:2">
      <c r="A37423" s="3" t="str">
        <f>IFERROR(__xludf.DUMMYFUNCTION("GOOGLETRANSLATE(A37423,""en"",""pt"")"),"antena, antena, antena")</f>
        <v>antena, antena, antena</v>
      </c>
      <c r="B37423" s="3">
        <v>0</v>
      </c>
    </row>
    <row r="37424" ht="15.75" customHeight="1" spans="1:2">
      <c r="A37424" s="3" t="str">
        <f>IFERROR(__xludf.DUMMYFUNCTION("GOOGLETRANSLATE(A37424,""en"",""pt"")"),"Antena é volumoso, não abertura um lado, escorregadio")</f>
        <v>Antena é volumoso, não abertura um lado, escorregadio</v>
      </c>
      <c r="B37424" s="3">
        <v>0</v>
      </c>
    </row>
    <row r="37425" ht="15.75" customHeight="1" spans="1:2">
      <c r="A37425" s="3" t="str">
        <f>IFERROR(__xludf.DUMMYFUNCTION("GOOGLETRANSLATE(A37425,""en"",""pt"")"),"Estáticos, queda de chamadas, toques imprevisível")</f>
        <v>Estáticos, queda de chamadas, toques imprevisível</v>
      </c>
      <c r="B37425" s="3">
        <v>0</v>
      </c>
    </row>
    <row r="37426" ht="15.75" customHeight="1" spans="1:2">
      <c r="A37426" s="3" t="str">
        <f>IFERROR(__xludf.DUMMYFUNCTION("GOOGLETRANSLATE(A37426,""en"",""pt"")"),"Antena, Preço, cinto estúpido")</f>
        <v>Antena, Preço, cinto estúpido</v>
      </c>
      <c r="B37426" s="3">
        <v>0</v>
      </c>
    </row>
    <row r="37427" ht="15.75" customHeight="1" spans="1:2">
      <c r="A37427" s="3" t="str">
        <f>IFERROR(__xludf.DUMMYFUNCTION("GOOGLETRANSLATE(A37427,""en"",""pt"")"),"Pobre design ergonómico, pequeno visor mal iluminada, mal iluminado teclado. Escorregadio, difícil de abrir.")</f>
        <v>Pobre design ergonómico, pequeno visor mal iluminada, mal iluminado teclado. Escorregadio, difícil de abrir.</v>
      </c>
      <c r="B37427" s="3">
        <v>0</v>
      </c>
    </row>
    <row r="37428" ht="15.75" customHeight="1" spans="1:2">
      <c r="A37428" s="3" t="str">
        <f>IFERROR(__xludf.DUMMYFUNCTION("GOOGLETRANSLATE(A37428,""en"",""pt"")"),"Carregador Issues, dificuldade de abertura, Talk Time")</f>
        <v>Carregador Issues, dificuldade de abertura, Talk Time</v>
      </c>
      <c r="B37428" s="3">
        <v>0</v>
      </c>
    </row>
    <row r="37429" ht="15.75" customHeight="1" spans="1:2">
      <c r="A37429" s="3" t="str">
        <f>IFERROR(__xludf.DUMMYFUNCTION("GOOGLETRANSLATE(A37429,""en"",""pt"")"),"Caros, antenas quebrar constantemente")</f>
        <v>Caros, antenas quebrar constantemente</v>
      </c>
      <c r="B37429" s="3">
        <v>0</v>
      </c>
    </row>
    <row r="37430" ht="15.75" customHeight="1" spans="1:2">
      <c r="A37430" s="3" t="str">
        <f>IFERROR(__xludf.DUMMYFUNCTION("GOOGLETRANSLATE(A37430,""en"",""pt"")"),"antena muito frágil, muita estática, a vida da bateria inexpressivo.")</f>
        <v>antena muito frágil, muita estática, a vida da bateria inexpressivo.</v>
      </c>
      <c r="B37430" s="3">
        <v>0</v>
      </c>
    </row>
    <row r="37431" ht="15.75" customHeight="1" spans="1:2">
      <c r="A37431" s="3" t="str">
        <f>IFERROR(__xludf.DUMMYFUNCTION("GOOGLETRANSLATE(A37431,""en"",""pt"")"),"Antena é um pouco longo.")</f>
        <v>Antena é um pouco longo.</v>
      </c>
      <c r="B37431" s="3">
        <v>0</v>
      </c>
    </row>
    <row r="37432" ht="15.75" customHeight="1" spans="1:2">
      <c r="A37432" s="3" t="str">
        <f>IFERROR(__xludf.DUMMYFUNCTION("GOOGLETRANSLATE(A37432,""en"",""pt"")"),"Antena quebra facilmente. Sistema operacional é esquisito. Má recepção. Telefone diretório busca é uma porcaria.")</f>
        <v>Antena quebra facilmente. Sistema operacional é esquisito. Má recepção. Telefone diretório busca é uma porcaria.</v>
      </c>
      <c r="B37432" s="3">
        <v>0</v>
      </c>
    </row>
    <row r="37433" ht="15.75" customHeight="1" spans="1:2">
      <c r="A37433" s="3" t="str">
        <f>IFERROR(__xludf.DUMMYFUNCTION("GOOGLETRANSLATE(A37433,""en"",""pt"")"),"O tamanho pequeno ecrã")</f>
        <v>O tamanho pequeno ecrã</v>
      </c>
      <c r="B37433" s="3">
        <v>0</v>
      </c>
    </row>
    <row r="37434" ht="15.75" customHeight="1" spans="1:2">
      <c r="A37434" s="3" t="str">
        <f>IFERROR(__xludf.DUMMYFUNCTION("GOOGLETRANSLATE(A37434,""en"",""pt"")"),"Nenhum para mim")</f>
        <v>Nenhum para mim</v>
      </c>
      <c r="B37434" s="3">
        <v>0</v>
      </c>
    </row>
    <row r="37435" ht="15.75" customHeight="1" spans="1:2">
      <c r="A37435" s="3" t="str">
        <f>IFERROR(__xludf.DUMMYFUNCTION("GOOGLETRANSLATE(A37435,""en"",""pt"")"),"Pequeno ecrã, campainhas sem Polyphonic, antena é um grande pouco.")</f>
        <v>Pequeno ecrã, campainhas sem Polyphonic, antena é um grande pouco.</v>
      </c>
      <c r="B37435" s="3">
        <v>0</v>
      </c>
    </row>
    <row r="37436" ht="15.75" customHeight="1" spans="1:2">
      <c r="A37436" s="3" t="str">
        <f>IFERROR(__xludf.DUMMYFUNCTION("GOOGLETRANSLATE(A37436,""en"",""pt"")"),"Incluído clipe de cinto, mãos livres não é tão Hands Free")</f>
        <v>Incluído clipe de cinto, mãos livres não é tão Hands Free</v>
      </c>
      <c r="B37436" s="3">
        <v>0</v>
      </c>
    </row>
    <row r="37437" ht="15.75" customHeight="1" spans="1:2">
      <c r="A37437" s="3" t="str">
        <f>IFERROR(__xludf.DUMMYFUNCTION("GOOGLETRANSLATE(A37437,""en"",""pt"")"),"antena estranho, chave pressionando e som de botão não sync fazer, pouco grosso.")</f>
        <v>antena estranho, chave pressionando e som de botão não sync fazer, pouco grosso.</v>
      </c>
      <c r="B37437" s="3">
        <v>0</v>
      </c>
    </row>
    <row r="37438" ht="15.75" customHeight="1" spans="1:2">
      <c r="A37438" s="3" t="str">
        <f>IFERROR(__xludf.DUMMYFUNCTION("GOOGLETRANSLATE(A37438,""en"",""pt"")"),"A antena. Não compre este telefone a antena vai quebrar.")</f>
        <v>A antena. Não compre este telefone a antena vai quebrar.</v>
      </c>
      <c r="B37438" s="3">
        <v>0</v>
      </c>
    </row>
    <row r="37439" ht="15.75" customHeight="1" spans="1:2">
      <c r="A37439" s="3" t="str">
        <f>IFERROR(__xludf.DUMMYFUNCTION("GOOGLETRANSLATE(A37439,""en"",""pt"")"),", outros modelos mais caros semelhantes estão fora agora, sem cor")</f>
        <v>, outros modelos mais caros semelhantes estão fora agora, sem cor</v>
      </c>
      <c r="B37439" s="3">
        <v>0</v>
      </c>
    </row>
    <row r="37440" ht="15.75" customHeight="1" spans="1:2">
      <c r="A37440" s="3" t="str">
        <f>IFERROR(__xludf.DUMMYFUNCTION("GOOGLETRANSLATE(A37440,""en"",""pt"")"),"Volumoso.")</f>
        <v>Volumoso.</v>
      </c>
      <c r="B37440" s="3">
        <v>0</v>
      </c>
    </row>
    <row r="37441" ht="15.75" customHeight="1" spans="1:2">
      <c r="A37441" s="3" t="str">
        <f>IFERROR(__xludf.DUMMYFUNCTION("GOOGLETRANSLATE(A37441,""en"",""pt"")"),"antena externa pode quebrar, / tela branca preta, jogos ruins")</f>
        <v>antena externa pode quebrar, / tela branca preta, jogos ruins</v>
      </c>
      <c r="B37441" s="3">
        <v>0</v>
      </c>
    </row>
    <row r="37442" ht="15.75" customHeight="1" spans="1:2">
      <c r="A37442" s="3" t="str">
        <f>IFERROR(__xludf.DUMMYFUNCTION("GOOGLETRANSLATE(A37442,""en"",""pt"")"),"volumosos antena, impossível de virar w um lado, a vida curta da bateria")</f>
        <v>volumosos antena, impossível de virar w um lado, a vida curta da bateria</v>
      </c>
      <c r="B37442" s="3">
        <v>0</v>
      </c>
    </row>
    <row r="37443" ht="15.75" customHeight="1" spans="1:2">
      <c r="A37443" s="3" t="str">
        <f>IFERROR(__xludf.DUMMYFUNCTION("GOOGLETRANSLATE(A37443,""en"",""pt"")"),"Não amigável, recepção ruim, muito caro")</f>
        <v>Não amigável, recepção ruim, muito caro</v>
      </c>
      <c r="B37443" s="3">
        <v>0</v>
      </c>
    </row>
    <row r="37444" ht="15.75" customHeight="1" spans="1:2">
      <c r="A37444" s="3" t="str">
        <f>IFERROR(__xludf.DUMMYFUNCTION("GOOGLETRANSLATE(A37444,""en"",""pt"")"),"Subestimando o Guia do Usuário")</f>
        <v>Subestimando o Guia do Usuário</v>
      </c>
      <c r="B37444" s="3">
        <v>0</v>
      </c>
    </row>
    <row r="37445" ht="15.75" customHeight="1" spans="1:2">
      <c r="A37445" s="3" t="str">
        <f>IFERROR(__xludf.DUMMYFUNCTION("GOOGLETRANSLATE(A37445,""en"",""pt"")"),"No ecrã a cores, pobres, jogos, não uma nova ""câmera do telefone"" ... quem precisa aqueles de qualquer maneira?")</f>
        <v>No ecrã a cores, pobres, jogos, não uma nova "câmera do telefone" ... quem precisa aqueles de qualquer maneira?</v>
      </c>
      <c r="B37445" s="3">
        <v>0</v>
      </c>
    </row>
    <row r="37446" ht="15.75" customHeight="1" spans="1:2">
      <c r="A37446" s="3" t="str">
        <f>IFERROR(__xludf.DUMMYFUNCTION("GOOGLETRANSLATE(A37446,""en"",""pt"")"),"Pesado, pequeno ecrã")</f>
        <v>Pesado, pequeno ecrã</v>
      </c>
      <c r="B37446" s="3">
        <v>0</v>
      </c>
    </row>
    <row r="37447" ht="15.75" customHeight="1" spans="1:2">
      <c r="A37447" s="3" t="str">
        <f>IFERROR(__xludf.DUMMYFUNCTION("GOOGLETRANSLATE(A37447,""en"",""pt"")"),"durabilidade, proformance, antena, a qualidade")</f>
        <v>durabilidade, proformance, antena, a qualidade</v>
      </c>
      <c r="B37447" s="3">
        <v>0</v>
      </c>
    </row>
    <row r="37448" ht="15.75" customHeight="1" spans="1:2">
      <c r="A37448" s="3" t="str">
        <f>IFERROR(__xludf.DUMMYFUNCTION("GOOGLETRANSLATE(A37448,""en"",""pt"")"),"Um pouco sobre o lado caro.")</f>
        <v>Um pouco sobre o lado caro.</v>
      </c>
      <c r="B37448" s="3">
        <v>0</v>
      </c>
    </row>
    <row r="37449" ht="15.75" customHeight="1" spans="1:2">
      <c r="A37449" s="3" t="str">
        <f>IFERROR(__xludf.DUMMYFUNCTION("GOOGLETRANSLATE(A37449,""en"",""pt"")"),"antena estranho, quase impossível de remover a tampa da bateria")</f>
        <v>antena estranho, quase impossível de remover a tampa da bateria</v>
      </c>
      <c r="B37449" s="3">
        <v>0</v>
      </c>
    </row>
    <row r="37450" ht="15.75" customHeight="1" spans="1:2">
      <c r="A37450" s="3" t="str">
        <f>IFERROR(__xludf.DUMMYFUNCTION("GOOGLETRANSLATE(A37450,""en"",""pt"")"),"FUNÇÕES muito poucos, FRÁGIL")</f>
        <v>FUNÇÕES muito poucos, FRÁGIL</v>
      </c>
      <c r="B37450" s="3">
        <v>0</v>
      </c>
    </row>
    <row r="37451" ht="15.75" customHeight="1" spans="1:2">
      <c r="A37451" s="3" t="str">
        <f>IFERROR(__xludf.DUMMYFUNCTION("GOOGLETRANSLATE(A37451,""en"",""pt"")"),"No ecrã a cores, e não como muitos ""cool"" apresenta como um telefone GSM.")</f>
        <v>No ecrã a cores, e não como muitos "cool" apresenta como um telefone GSM.</v>
      </c>
      <c r="B37451" s="3">
        <v>0</v>
      </c>
    </row>
    <row r="37452" ht="15.75" customHeight="1" spans="1:2">
      <c r="A37452" s="3" t="str">
        <f>IFERROR(__xludf.DUMMYFUNCTION("GOOGLETRANSLATE(A37452,""en"",""pt"")"),"Bateria leva ao longo do tempo para carregar, difícil de abrir com uma mão")</f>
        <v>Bateria leva ao longo do tempo para carregar, difícil de abrir com uma mão</v>
      </c>
      <c r="B37452" s="3">
        <v>0</v>
      </c>
    </row>
    <row r="37453" ht="15.75" customHeight="1" spans="1:2">
      <c r="A37453" s="3" t="str">
        <f>IFERROR(__xludf.DUMMYFUNCTION("GOOGLETRANSLATE(A37453,""en"",""pt"")"),"Antenas quebra facilmente, Má recepção")</f>
        <v>Antenas quebra facilmente, Má recepção</v>
      </c>
      <c r="B37453" s="3">
        <v>0</v>
      </c>
    </row>
    <row r="37454" ht="15.75" customHeight="1" spans="1:2">
      <c r="A37454" s="3" t="str">
        <f>IFERROR(__xludf.DUMMYFUNCTION("GOOGLETRANSLATE(A37454,""en"",""pt"")"),"antena frágil")</f>
        <v>antena frágil</v>
      </c>
      <c r="B37454" s="3">
        <v>0</v>
      </c>
    </row>
    <row r="37455" ht="15.75" customHeight="1" spans="1:2">
      <c r="A37455" s="3" t="str">
        <f>IFERROR(__xludf.DUMMYFUNCTION("GOOGLETRANSLATE(A37455,""en"",""pt"")"),"design de antena e suporte de garantia")</f>
        <v>design de antena e suporte de garantia</v>
      </c>
      <c r="B37455" s="3">
        <v>0</v>
      </c>
    </row>
    <row r="37456" ht="15.75" customHeight="1" spans="1:2">
      <c r="A37456" s="3" t="str">
        <f>IFERROR(__xludf.DUMMYFUNCTION("GOOGLETRANSLATE(A37456,""en"",""pt"")"),"vida útil da bateria")</f>
        <v>vida útil da bateria</v>
      </c>
      <c r="B37456" s="3">
        <v>0</v>
      </c>
    </row>
    <row r="37457" ht="15.75" customHeight="1" spans="1:2">
      <c r="A37457" s="3" t="str">
        <f>IFERROR(__xludf.DUMMYFUNCTION("GOOGLETRANSLATE(A37457,""en"",""pt"")"),"Má recepção, a cobertura frágil, curta duração da bateria")</f>
        <v>Má recepção, a cobertura frágil, curta duração da bateria</v>
      </c>
      <c r="B37457" s="3">
        <v>0</v>
      </c>
    </row>
    <row r="37458" ht="15.75" customHeight="1" spans="1:2">
      <c r="A37458" s="3" t="str">
        <f>IFERROR(__xludf.DUMMYFUNCTION("GOOGLETRANSLATE(A37458,""en"",""pt"")"),"quebras de habitação de antena facilmente, mal concebido, caro")</f>
        <v>quebras de habitação de antena facilmente, mal concebido, caro</v>
      </c>
      <c r="B37458" s="3">
        <v>0</v>
      </c>
    </row>
    <row r="37459" ht="15.75" customHeight="1" spans="1:2">
      <c r="A37459" s="3" t="str">
        <f>IFERROR(__xludf.DUMMYFUNCTION("GOOGLETRANSLATE(A37459,""en"",""pt"")"),"não intercambiáveis ​​'faces', sem Internet,")</f>
        <v>não intercambiáveis ​​'faces', sem Internet,</v>
      </c>
      <c r="B37459" s="3">
        <v>0</v>
      </c>
    </row>
    <row r="37460" ht="15.75" customHeight="1" spans="1:2">
      <c r="A37460" s="3" t="str">
        <f>IFERROR(__xludf.DUMMYFUNCTION("GOOGLETRANSLATE(A37460,""en"",""pt"")"),"Tudo o resto, muito atrás Samsung.")</f>
        <v>Tudo o resto, muito atrás Samsung.</v>
      </c>
      <c r="B37460" s="3">
        <v>0</v>
      </c>
    </row>
    <row r="37461" ht="15.75" customHeight="1" spans="1:2">
      <c r="A37461" s="3" t="str">
        <f>IFERROR(__xludf.DUMMYFUNCTION("GOOGLETRANSLATE(A37461,""en"",""pt"")"),"terrível clareza")</f>
        <v>terrível clareza</v>
      </c>
      <c r="B37461" s="3">
        <v>0</v>
      </c>
    </row>
    <row r="37462" ht="15.75" customHeight="1" spans="1:2">
      <c r="A37462" s="3" t="str">
        <f>IFERROR(__xludf.DUMMYFUNCTION("GOOGLETRANSLATE(A37462,""en"",""pt"")"),"pior interface de usuário de qualquer telefone que eu já usei")</f>
        <v>pior interface de usuário de qualquer telefone que eu já usei</v>
      </c>
      <c r="B37462" s="3">
        <v>0</v>
      </c>
    </row>
    <row r="37463" ht="15.75" customHeight="1" spans="1:2">
      <c r="A37463" s="3" t="str">
        <f>IFERROR(__xludf.DUMMYFUNCTION("GOOGLETRANSLATE(A37463,""en"",""pt"")"),"Antena é estranhamente grande, caro!")</f>
        <v>Antena é estranhamente grande, caro!</v>
      </c>
      <c r="B37463" s="3">
        <v>0</v>
      </c>
    </row>
    <row r="37464" ht="15.75" customHeight="1" spans="1:2">
      <c r="A37464" s="3" t="str">
        <f>IFERROR(__xludf.DUMMYFUNCTION("GOOGLETRANSLATE(A37464,""en"",""pt"")"),"Caro")</f>
        <v>Caro</v>
      </c>
      <c r="B37464" s="3">
        <v>0</v>
      </c>
    </row>
    <row r="37465" ht="15.75" customHeight="1" spans="1:2">
      <c r="A37465" s="3" t="str">
        <f>IFERROR(__xludf.DUMMYFUNCTION("GOOGLETRANSLATE(A37465,""en"",""pt"")"),"pequenos botões, fone de ouvido não muito alto")</f>
        <v>pequenos botões, fone de ouvido não muito alto</v>
      </c>
      <c r="B37465" s="3">
        <v>0</v>
      </c>
    </row>
    <row r="37466" ht="15.75" customHeight="1" spans="1:2">
      <c r="A37466" s="3" t="str">
        <f>IFERROR(__xludf.DUMMYFUNCTION("GOOGLETRANSLATE(A37466,""en"",""pt"")"),"a confiabilidade do software, o preço")</f>
        <v>a confiabilidade do software, o preço</v>
      </c>
      <c r="B37466" s="3">
        <v>0</v>
      </c>
    </row>
    <row r="37467" ht="15.75" customHeight="1" spans="1:2">
      <c r="A37467" s="3" t="str">
        <f>IFERROR(__xludf.DUMMYFUNCTION("GOOGLETRANSLATE(A37467,""en"",""pt"")"),"Gostaria de um ecrã a cores para o serviço web.")</f>
        <v>Gostaria de um ecrã a cores para o serviço web.</v>
      </c>
      <c r="B37467" s="3">
        <v>0</v>
      </c>
    </row>
    <row r="37468" ht="15.75" customHeight="1" spans="1:2">
      <c r="A37468" s="3" t="str">
        <f>IFERROR(__xludf.DUMMYFUNCTION("GOOGLETRANSLATE(A37468,""en"",""pt"")"),"Os botões são muito pequenos, o telefone às vezes cai do coldre")</f>
        <v>Os botões são muito pequenos, o telefone às vezes cai do coldre</v>
      </c>
      <c r="B37468" s="3">
        <v>0</v>
      </c>
    </row>
    <row r="37469" ht="15.75" customHeight="1" spans="1:2">
      <c r="A37469" s="3" t="str">
        <f>IFERROR(__xludf.DUMMYFUNCTION("GOOGLETRANSLATE(A37469,""en"",""pt"")"),"antena frágil, que sinal de bateria terrível baixo")</f>
        <v>antena frágil, que sinal de bateria terrível baixo</v>
      </c>
      <c r="B37469" s="3">
        <v>0</v>
      </c>
    </row>
    <row r="37470" ht="15.75" customHeight="1" spans="1:2">
      <c r="A37470" s="3" t="str">
        <f>IFERROR(__xludf.DUMMYFUNCTION("GOOGLETRANSLATE(A37470,""en"",""pt"")"),"Motorola não irá honrar a garantia, e no nosso caso causou mais danos.")</f>
        <v>Motorola não irá honrar a garantia, e no nosso caso causou mais danos.</v>
      </c>
      <c r="B37470" s="3">
        <v>0</v>
      </c>
    </row>
    <row r="37471" ht="15.75" customHeight="1" spans="1:2">
      <c r="A37471" s="3" t="str">
        <f>IFERROR(__xludf.DUMMYFUNCTION("GOOGLETRANSLATE(A37471,""en"",""pt"")"),"Que bom são gadgets se você não pode manter uma chamada conectada?")</f>
        <v>Que bom são gadgets se você não pode manter uma chamada conectada?</v>
      </c>
      <c r="B37471" s="3">
        <v>0</v>
      </c>
    </row>
    <row r="37472" ht="15.75" customHeight="1" spans="1:2">
      <c r="A37472" s="3" t="str">
        <f>IFERROR(__xludf.DUMMYFUNCTION("GOOGLETRANSLATE(A37472,""en"",""pt"")"),"Não sei por que eu tenho que atribuir um número de discagem rápida a cada entrada da agenda telefônica.")</f>
        <v>Não sei por que eu tenho que atribuir um número de discagem rápida a cada entrada da agenda telefônica.</v>
      </c>
      <c r="B37472" s="3">
        <v>0</v>
      </c>
    </row>
    <row r="37473" ht="15.75" customHeight="1" spans="1:2">
      <c r="A37473" s="3" t="str">
        <f>IFERROR(__xludf.DUMMYFUNCTION("GOOGLETRANSLATE(A37473,""en"",""pt"")"),"ele não faz os pratos.")</f>
        <v>ele não faz os pratos.</v>
      </c>
      <c r="B37473" s="3">
        <v>0</v>
      </c>
    </row>
    <row r="37474" ht="15.75" customHeight="1" spans="1:2">
      <c r="A37474" s="3" t="str">
        <f>IFERROR(__xludf.DUMMYFUNCTION("GOOGLETRANSLATE(A37474,""en"",""pt"")"),"vida útil da bateria estoque limitado.")</f>
        <v>vida útil da bateria estoque limitado.</v>
      </c>
      <c r="B37474" s="3">
        <v>0</v>
      </c>
    </row>
    <row r="37475" ht="15.75" customHeight="1" spans="1:2">
      <c r="A37475" s="3" t="str">
        <f>IFERROR(__xludf.DUMMYFUNCTION("GOOGLETRANSLATE(A37475,""en"",""pt"")"),"No ecrã a cores.")</f>
        <v>No ecrã a cores.</v>
      </c>
      <c r="B37475" s="3">
        <v>0</v>
      </c>
    </row>
    <row r="37476" ht="15.75" customHeight="1" spans="1:2">
      <c r="A37476" s="3" t="str">
        <f>IFERROR(__xludf.DUMMYFUNCTION("GOOGLETRANSLATE(A37476,""en"",""pt"")"),"Major: Realmente muito ruim antena (não deve comprar b / c deste")</f>
        <v>Major: Realmente muito ruim antena (não deve comprar b / c deste</v>
      </c>
      <c r="B37476" s="3">
        <v>0</v>
      </c>
    </row>
    <row r="37477" ht="15.75" customHeight="1" spans="1:2">
      <c r="A37477" s="3" t="str">
        <f>IFERROR(__xludf.DUMMYFUNCTION("GOOGLETRANSLATE(A37477,""en"",""pt"")"),"Antena frágil e mal projetado. Outros problemas de hardware potenciais")</f>
        <v>Antena frágil e mal projetado. Outros problemas de hardware potenciais</v>
      </c>
      <c r="B37477" s="3">
        <v>0</v>
      </c>
    </row>
    <row r="37478" ht="15.75" customHeight="1" spans="1:2">
      <c r="A37478" s="3" t="str">
        <f>IFERROR(__xludf.DUMMYFUNCTION("GOOGLETRANSLATE(A37478,""en"",""pt"")"),"ANTENA!!!")</f>
        <v>ANTENA!!!</v>
      </c>
      <c r="B37478" s="3">
        <v>0</v>
      </c>
    </row>
    <row r="37479" ht="15.75" customHeight="1" spans="1:2">
      <c r="A37479" s="3" t="str">
        <f>IFERROR(__xludf.DUMMYFUNCTION("GOOGLETRANSLATE(A37479,""en"",""pt"")"),"Não rádio neste telefone.")</f>
        <v>Não rádio neste telefone.</v>
      </c>
      <c r="B37479" s="3">
        <v>0</v>
      </c>
    </row>
    <row r="37480" ht="15.75" customHeight="1" spans="1:2">
      <c r="A37480" s="3" t="str">
        <f>IFERROR(__xludf.DUMMYFUNCTION("GOOGLETRANSLATE(A37480,""en"",""pt"")"),"qualidade de construção não para o longo curso")</f>
        <v>qualidade de construção não para o longo curso</v>
      </c>
      <c r="B37480" s="3">
        <v>0</v>
      </c>
    </row>
    <row r="37481" ht="15.75" customHeight="1" spans="1:2">
      <c r="A37481" s="3" t="str">
        <f>IFERROR(__xludf.DUMMYFUNCTION("GOOGLETRANSLATE(A37481,""en"",""pt"")"),"recurso de calendário é confuso")</f>
        <v>recurso de calendário é confuso</v>
      </c>
      <c r="B37481" s="3">
        <v>0</v>
      </c>
    </row>
    <row r="37482" ht="15.75" customHeight="1" spans="1:2">
      <c r="A37482" s="3" t="str">
        <f>IFERROR(__xludf.DUMMYFUNCTION("GOOGLETRANSLATE(A37482,""en"",""pt"")"),"Não GPRS através de um PC.")</f>
        <v>Não GPRS através de um PC.</v>
      </c>
      <c r="B37482" s="3">
        <v>0</v>
      </c>
    </row>
    <row r="37483" ht="15.75" customHeight="1" spans="1:2">
      <c r="A37483" s="3" t="str">
        <f>IFERROR(__xludf.DUMMYFUNCTION("GOOGLETRANSLATE(A37483,""en"",""pt"")"),"revolucionário nada, para um novo (ish) de telefone")</f>
        <v>revolucionário nada, para um novo (ish) de telefone</v>
      </c>
      <c r="B37483" s="3">
        <v>0</v>
      </c>
    </row>
    <row r="37484" ht="15.75" customHeight="1" spans="1:2">
      <c r="A37484" s="3" t="str">
        <f>IFERROR(__xludf.DUMMYFUNCTION("GOOGLETRANSLATE(A37484,""en"",""pt"")"),"software original hectically de buggy")</f>
        <v>software original hectically de buggy</v>
      </c>
      <c r="B37484" s="3">
        <v>0</v>
      </c>
    </row>
    <row r="37485" ht="15.75" customHeight="1" spans="1:2">
      <c r="A37485" s="3" t="str">
        <f>IFERROR(__xludf.DUMMYFUNCTION("GOOGLETRANSLATE(A37485,""en"",""pt"")"),"Quem quer fazer tudo isso? forma, é a complicado.")</f>
        <v>Quem quer fazer tudo isso? forma, é a complicado.</v>
      </c>
      <c r="B37485" s="3">
        <v>0</v>
      </c>
    </row>
    <row r="37486" ht="15.75" customHeight="1" spans="1:2">
      <c r="A37486" s="3" t="str">
        <f>IFERROR(__xludf.DUMMYFUNCTION("GOOGLETRANSLATE(A37486,""en"",""pt"")"),"Eu ainda alguém não encontrei, eu vou editar se eu fizer.")</f>
        <v>Eu ainda alguém não encontrei, eu vou editar se eu fizer.</v>
      </c>
      <c r="B37486" s="3">
        <v>0</v>
      </c>
    </row>
    <row r="37487" ht="15.75" customHeight="1" spans="1:2">
      <c r="A37487" s="3" t="str">
        <f>IFERROR(__xludf.DUMMYFUNCTION("GOOGLETRANSLATE(A37487,""en"",""pt"")"),"Não é bem compatível com todos os acessórios antigos, a vida da bateria")</f>
        <v>Não é bem compatível com todos os acessórios antigos, a vida da bateria</v>
      </c>
      <c r="B37487" s="3">
        <v>0</v>
      </c>
    </row>
    <row r="37488" ht="15.75" customHeight="1" spans="1:2">
      <c r="A37488" s="3" t="str">
        <f>IFERROR(__xludf.DUMMYFUNCTION("GOOGLETRANSLATE(A37488,""en"",""pt"")"),"Confundindo Menus, não tão rico em recursos como outros modelos, não muito amigável")</f>
        <v>Confundindo Menus, não tão rico em recursos como outros modelos, não muito amigável</v>
      </c>
      <c r="B37488" s="3">
        <v>0</v>
      </c>
    </row>
    <row r="37489" ht="15.75" customHeight="1" spans="1:2">
      <c r="A37489" s="3" t="str">
        <f>IFERROR(__xludf.DUMMYFUNCTION("GOOGLETRANSLATE(A37489,""en"",""pt"")"),"enganosa exibição, má qualidade de chamada")</f>
        <v>enganosa exibição, má qualidade de chamada</v>
      </c>
      <c r="B37489" s="3">
        <v>0</v>
      </c>
    </row>
    <row r="37490" ht="15.75" customHeight="1" spans="1:2">
      <c r="A37490" s="3" t="str">
        <f>IFERROR(__xludf.DUMMYFUNCTION("GOOGLETRANSLATE(A37490,""en"",""pt"")"),"Nenhum ainda...")</f>
        <v>Nenhum ainda...</v>
      </c>
      <c r="B37490" s="3">
        <v>0</v>
      </c>
    </row>
    <row r="37491" ht="15.75" customHeight="1" spans="1:2">
      <c r="A37491" s="3" t="str">
        <f>IFERROR(__xludf.DUMMYFUNCTION("GOOGLETRANSLATE(A37491,""en"",""pt"")"),"Não são muitas as placas dianteiras estão fora em lojas e shoppings yet..No outros Contras")</f>
        <v>Não são muitas as placas dianteiras estão fora em lojas e shoppings yet..No outros Contras</v>
      </c>
      <c r="B37491" s="3">
        <v>0</v>
      </c>
    </row>
    <row r="37492" ht="15.75" customHeight="1" spans="1:2">
      <c r="A37492" s="3" t="s">
        <v>199</v>
      </c>
      <c r="B37492" s="3">
        <v>0</v>
      </c>
    </row>
    <row r="37493" ht="15.75" customHeight="1" spans="1:2">
      <c r="A37493" s="3" t="str">
        <f>IFERROR(__xludf.DUMMYFUNCTION("GOOGLETRANSLATE(A37493,""en"",""pt"")"),"KEYLOCK necessário para evitar chamadas indesejadas. Precisa de ajuste de volume lateral.")</f>
        <v>KEYLOCK necessário para evitar chamadas indesejadas. Precisa de ajuste de volume lateral.</v>
      </c>
      <c r="B37493" s="3">
        <v>0</v>
      </c>
    </row>
    <row r="37494" ht="15.75" customHeight="1" spans="1:2">
      <c r="A37494" s="3" t="str">
        <f>IFERROR(__xludf.DUMMYFUNCTION("GOOGLETRANSLATE(A37494,""en"",""pt"")"),"apenas 30 entradas de calendário")</f>
        <v>apenas 30 entradas de calendário</v>
      </c>
      <c r="B37494" s="3">
        <v>0</v>
      </c>
    </row>
    <row r="37495" ht="15.75" customHeight="1" spans="1:2">
      <c r="A37495" s="3" t="str">
        <f>IFERROR(__xludf.DUMMYFUNCTION("GOOGLETRANSLATE(A37495,""en"",""pt"")"),"Embora o próprio telefone aceita ringtones, você não pode obtê-los se você é um cliente da Verizon!")</f>
        <v>Embora o próprio telefone aceita ringtones, você não pode obtê-los se você é um cliente da Verizon!</v>
      </c>
      <c r="B37495" s="3">
        <v>0</v>
      </c>
    </row>
    <row r="37496" ht="15.75" customHeight="1" spans="1:2">
      <c r="A37496" s="3" t="str">
        <f>IFERROR(__xludf.DUMMYFUNCTION("GOOGLETRANSLATE(A37496,""en"",""pt"")"),"O navegador web, fazer uma chamada, por favor leia mais")</f>
        <v>O navegador web, fazer uma chamada, por favor leia mais</v>
      </c>
      <c r="B37496" s="3">
        <v>0</v>
      </c>
    </row>
    <row r="37497" ht="15.75" customHeight="1" spans="1:2">
      <c r="A37497" s="3" t="str">
        <f>IFERROR(__xludf.DUMMYFUNCTION("GOOGLETRANSLATE(A37497,""en"",""pt"")"),"A qualidade do som é abaixo da média, gotas chamadas com frequência, não muitos complementos para aftermarket")</f>
        <v>A qualidade do som é abaixo da média, gotas chamadas com frequência, não muitos complementos para aftermarket</v>
      </c>
      <c r="B37497" s="3">
        <v>0</v>
      </c>
    </row>
    <row r="37498" ht="15.75" customHeight="1" spans="1:2">
      <c r="A37498" s="3" t="str">
        <f>IFERROR(__xludf.DUMMYFUNCTION("GOOGLETRANSLATE(A37498,""en"",""pt"")"),"Nenhum")</f>
        <v>Nenhum</v>
      </c>
      <c r="B37498" s="3">
        <v>0</v>
      </c>
    </row>
    <row r="37499" ht="15.75" customHeight="1" spans="1:2">
      <c r="A37499" s="3" t="str">
        <f>IFERROR(__xludf.DUMMYFUNCTION("GOOGLETRANSLATE(A37499,""en"",""pt"")"),"A vida da bateria, volumosos e uggggely!")</f>
        <v>A vida da bateria, volumosos e uggggely!</v>
      </c>
      <c r="B37499" s="3">
        <v>0</v>
      </c>
    </row>
    <row r="37500" ht="15.75" customHeight="1" spans="1:2">
      <c r="A37500" s="3" t="str">
        <f>IFERROR(__xludf.DUMMYFUNCTION("GOOGLETRANSLATE(A37500,""en"",""pt"")"),"ajuste de controlo de volume")</f>
        <v>ajuste de controlo de volume</v>
      </c>
      <c r="B37500" s="3">
        <v>0</v>
      </c>
    </row>
    <row r="37501" ht="15.75" customHeight="1" spans="1:2">
      <c r="A37501" s="3" t="str">
        <f>IFERROR(__xludf.DUMMYFUNCTION("GOOGLETRANSLATE(A37501,""en"",""pt"")"),"concepção global, layout de botões, a qualidade do som, totalmente não-intuitiva")</f>
        <v>concepção global, layout de botões, a qualidade do som, totalmente não-intuitiva</v>
      </c>
      <c r="B37501" s="3">
        <v>0</v>
      </c>
    </row>
    <row r="37502" ht="15.75" customHeight="1" spans="1:2">
      <c r="A37502" s="3" t="str">
        <f>IFERROR(__xludf.DUMMYFUNCTION("GOOGLETRANSLATE(A37502,""en"",""pt"")"),"Foto Baixa Resolução; Teclado layout; Não built-in Games")</f>
        <v>Foto Baixa Resolução; Teclado layout; Não built-in Games</v>
      </c>
      <c r="B37502" s="3">
        <v>0</v>
      </c>
    </row>
    <row r="37503" ht="15.75" customHeight="1" spans="1:2">
      <c r="A37503" s="3" t="str">
        <f>IFERROR(__xludf.DUMMYFUNCTION("GOOGLETRANSLATE(A37503,""en"",""pt"")"),"Ligeiramente grande, falhas tecnologia, novidade")</f>
        <v>Ligeiramente grande, falhas tecnologia, novidade</v>
      </c>
      <c r="B37503" s="3">
        <v>0</v>
      </c>
    </row>
    <row r="37504" ht="15.75" customHeight="1" spans="1:2">
      <c r="A37504" s="3" t="str">
        <f>IFERROR(__xludf.DUMMYFUNCTION("GOOGLETRANSLATE(A37504,""en"",""pt"")"),"ergonomia maus teclado, funções Bluetooth poderia ser melhor, tempo de conversação medíocre.")</f>
        <v>ergonomia maus teclado, funções Bluetooth poderia ser melhor, tempo de conversação medíocre.</v>
      </c>
      <c r="B37504" s="3">
        <v>0</v>
      </c>
    </row>
    <row r="37505" ht="15.75" customHeight="1" spans="1:2">
      <c r="A37505" s="3" t="str">
        <f>IFERROR(__xludf.DUMMYFUNCTION("GOOGLETRANSLATE(A37505,""en"",""pt"")"),"demasiado grande para o seu bolso, processador lento, firmware de buggy, teclado circular")</f>
        <v>demasiado grande para o seu bolso, processador lento, firmware de buggy, teclado circular</v>
      </c>
      <c r="B37505" s="3">
        <v>0</v>
      </c>
    </row>
    <row r="37506" ht="15.75" customHeight="1" spans="1:2">
      <c r="A37506" s="3" t="str">
        <f>IFERROR(__xludf.DUMMYFUNCTION("GOOGLETRANSLATE(A37506,""en"",""pt"")"),"Baixo volume, teclado circular, apenas 3 idiomas em modelos norte-americanos")</f>
        <v>Baixo volume, teclado circular, apenas 3 idiomas em modelos norte-americanos</v>
      </c>
      <c r="B37506" s="3">
        <v>0</v>
      </c>
    </row>
    <row r="37507" ht="15.75" customHeight="1" spans="1:2">
      <c r="A37507" s="3" t="str">
        <f>IFERROR(__xludf.DUMMYFUNCTION("GOOGLETRANSLATE(A37507,""en"",""pt"")"),"Poly Ringtone Volume, Menus difíceis")</f>
        <v>Poly Ringtone Volume, Menus difíceis</v>
      </c>
      <c r="B37507" s="3">
        <v>0</v>
      </c>
    </row>
    <row r="37508" ht="15.75" customHeight="1" spans="1:2">
      <c r="A37508" s="3" t="str">
        <f>IFERROR(__xludf.DUMMYFUNCTION("GOOGLETRANSLATE(A37508,""en"",""pt"")"),"Várias falhas fatais; TAMANHO, a longevidade da bateria, qualidade de gravação, tempo de gravação (1 min max), OS intuitiva, teclado-blech!")</f>
        <v>Várias falhas fatais; TAMANHO, a longevidade da bateria, qualidade de gravação, tempo de gravação (1 min max), OS intuitiva, teclado-blech!</v>
      </c>
      <c r="B37508" s="3">
        <v>0</v>
      </c>
    </row>
    <row r="37509" ht="15.75" customHeight="1" spans="1:2">
      <c r="A37509" s="3" t="str">
        <f>IFERROR(__xludf.DUMMYFUNCTION("GOOGLETRANSLATE(A37509,""en"",""pt"")"),"design, design de software complexo, software pc intuitiva, telefone instablity")</f>
        <v>design, design de software complexo, software pc intuitiva, telefone instablity</v>
      </c>
      <c r="B37509" s="3">
        <v>0</v>
      </c>
    </row>
    <row r="37510" ht="15.75" customHeight="1" spans="1:2">
      <c r="A37510" s="3" t="str">
        <f>IFERROR(__xludf.DUMMYFUNCTION("GOOGLETRANSLATE(A37510,""en"",""pt"")"),"Falta de acesso a recursos do telefone, a cobertura GSM, som telefone e qualidade da câmera, fora do padrão Bluetooth.")</f>
        <v>Falta de acesso a recursos do telefone, a cobertura GSM, som telefone e qualidade da câmera, fora do padrão Bluetooth.</v>
      </c>
      <c r="B37510" s="3">
        <v>0</v>
      </c>
    </row>
    <row r="37511" ht="15.75" customHeight="1" spans="1:2">
      <c r="A37511" s="3" t="str">
        <f>IFERROR(__xludf.DUMMYFUNCTION("GOOGLETRANSLATE(A37511,""en"",""pt"")"),"volumosos, pesados; vida útil da bateria")</f>
        <v>volumosos, pesados; vida útil da bateria</v>
      </c>
      <c r="B37511" s="3">
        <v>0</v>
      </c>
    </row>
    <row r="37512" ht="15.75" customHeight="1" spans="1:2">
      <c r="A37512" s="3" t="str">
        <f>IFERROR(__xludf.DUMMYFUNCTION("GOOGLETRANSLATE(A37512,""en"",""pt"")"),"Um grande telefone")</f>
        <v>Um grande telefone</v>
      </c>
      <c r="B37512" s="3">
        <v>0</v>
      </c>
    </row>
    <row r="37513" ht="15.75" customHeight="1" spans="1:2">
      <c r="A37513" s="3" t="str">
        <f>IFERROR(__xludf.DUMMYFUNCTION("GOOGLETRANSLATE(A37513,""en"",""pt"")"),"sistema de menu pode ficar confusa, telefone tem que estar ligado para PDA, câmera ao trabalho.")</f>
        <v>sistema de menu pode ficar confusa, telefone tem que estar ligado para PDA, câmera ao trabalho.</v>
      </c>
      <c r="B37513" s="3">
        <v>0</v>
      </c>
    </row>
    <row r="37514" ht="15.75" customHeight="1" spans="1:2">
      <c r="A37514" s="3" t="str">
        <f>IFERROR(__xludf.DUMMYFUNCTION("GOOGLETRANSLATE(A37514,""en"",""pt"")"),"poder glitches- desligado, lag telefone, o volume de inconsistência), tamanho grande pode ser uma dor.")</f>
        <v>poder glitches- desligado, lag telefone, o volume de inconsistência), tamanho grande pode ser uma dor.</v>
      </c>
      <c r="B37514" s="3">
        <v>0</v>
      </c>
    </row>
    <row r="37515" ht="15.75" customHeight="1" spans="1:2">
      <c r="A37515" s="3" t="str">
        <f>IFERROR(__xludf.DUMMYFUNCTION("GOOGLETRANSLATE(A37515,""en"",""pt"")"),"Tamanho rivaliza com controles remotos, sem tela sensível ao toque e teclado de discagem estranho.")</f>
        <v>Tamanho rivaliza com controles remotos, sem tela sensível ao toque e teclado de discagem estranho.</v>
      </c>
      <c r="B37515" s="3">
        <v>0</v>
      </c>
    </row>
    <row r="37516" ht="15.75" customHeight="1" spans="1:2">
      <c r="A37516" s="3" t="str">
        <f>IFERROR(__xludf.DUMMYFUNCTION("GOOGLETRANSLATE(A37516,""en"",""pt"")"),"Teclado, teclado, teclado. Tamanho.")</f>
        <v>Teclado, teclado, teclado. Tamanho.</v>
      </c>
      <c r="B37516" s="3">
        <v>0</v>
      </c>
    </row>
    <row r="37517" ht="15.75" customHeight="1" spans="1:2">
      <c r="A37517" s="3" t="str">
        <f>IFERROR(__xludf.DUMMYFUNCTION("GOOGLETRANSLATE(A37517,""en"",""pt"")"),"Falta de Stylus Reconhecimento Characher /, OS lenta, Pokey Video Recorder")</f>
        <v>Falta de Stylus Reconhecimento Characher /, OS lenta, Pokey Video Recorder</v>
      </c>
      <c r="B37517" s="3">
        <v>0</v>
      </c>
    </row>
    <row r="37518" ht="15.75" customHeight="1" spans="1:2">
      <c r="A37518" s="3" t="str">
        <f>IFERROR(__xludf.DUMMYFUNCTION("GOOGLETRANSLATE(A37518,""en"",""pt"")"),"Sem MP3 player. Deve remover a bateria para cartão de acesso MMC.")</f>
        <v>Sem MP3 player. Deve remover a bateria para cartão de acesso MMC.</v>
      </c>
      <c r="B37518" s="3">
        <v>0</v>
      </c>
    </row>
    <row r="37519" ht="15.75" customHeight="1" spans="1:2">
      <c r="A37519" s="3" t="str">
        <f>IFERROR(__xludf.DUMMYFUNCTION("GOOGLETRANSLATE(A37519,""en"",""pt"")"),"Se desliga, desliga, AT &amp; T e Cingular interrompido e Tmobile nega problema.")</f>
        <v>Se desliga, desliga, AT &amp; T e Cingular interrompido e Tmobile nega problema.</v>
      </c>
      <c r="B37519" s="3">
        <v>0</v>
      </c>
    </row>
    <row r="37520" ht="15.75" customHeight="1" spans="1:2">
      <c r="A37520" s="3" t="str">
        <f>IFERROR(__xludf.DUMMYFUNCTION("GOOGLETRANSLATE(A37520,""en"",""pt"")"),"A duração da bateria é curta, se você continuar a usar o recurso de câmera")</f>
        <v>A duração da bateria é curta, se você continuar a usar o recurso de câmera</v>
      </c>
      <c r="B37520" s="3">
        <v>0</v>
      </c>
    </row>
    <row r="37521" ht="15.75" customHeight="1" spans="1:2">
      <c r="A37521" s="3" t="str">
        <f>IFERROR(__xludf.DUMMYFUNCTION("GOOGLETRANSLATE(A37521,""en"",""pt"")"),"Eu não tenho nenhuma!")</f>
        <v>Eu não tenho nenhuma!</v>
      </c>
      <c r="B37521" s="3">
        <v>0</v>
      </c>
    </row>
    <row r="37522" ht="15.75" customHeight="1" spans="1:2">
      <c r="A37522" s="3" t="str">
        <f>IFERROR(__xludf.DUMMYFUNCTION("GOOGLETRANSLATE(A37522,""en"",""pt"")"),"WAP 1.2, Tamanho pouco volumoso, OS trava-up")</f>
        <v>WAP 1.2, Tamanho pouco volumoso, OS trava-up</v>
      </c>
      <c r="B37522" s="3">
        <v>0</v>
      </c>
    </row>
    <row r="37523" ht="15.75" customHeight="1" spans="1:2">
      <c r="A37523" s="3" t="str">
        <f>IFERROR(__xludf.DUMMYFUNCTION("GOOGLETRANSLATE(A37523,""en"",""pt"")"),"shaped Pokemon, tijolo, teclado horrível, lento")</f>
        <v>shaped Pokemon, tijolo, teclado horrível, lento</v>
      </c>
      <c r="B37523" s="3">
        <v>0</v>
      </c>
    </row>
    <row r="37524" ht="15.75" customHeight="1" spans="1:2">
      <c r="A37524" s="3" t="str">
        <f>IFERROR(__xludf.DUMMYFUNCTION("GOOGLETRANSLATE(A37524,""en"",""pt"")"),"Larger telefone, teclado circular exige curva de aprendizagem")</f>
        <v>Larger telefone, teclado circular exige curva de aprendizagem</v>
      </c>
      <c r="B37524" s="3">
        <v>0</v>
      </c>
    </row>
    <row r="37525" ht="15.75" customHeight="1" spans="1:2">
      <c r="A37525" s="3" t="str">
        <f>IFERROR(__xludf.DUMMYFUNCTION("GOOGLETRANSLATE(A37525,""en"",""pt"")"),"Grande (comprimento e largura), longa de aprender, a incompatibilidade do bluetooth")</f>
        <v>Grande (comprimento e largura), longa de aprender, a incompatibilidade do bluetooth</v>
      </c>
      <c r="B37525" s="3">
        <v>0</v>
      </c>
    </row>
    <row r="37526" ht="15.75" customHeight="1" spans="1:2">
      <c r="A37526" s="3" t="str">
        <f>IFERROR(__xludf.DUMMYFUNCTION("GOOGLETRANSLATE(A37526,""en"",""pt"")"),"Não tela sensível ao toque, o layout do teclado estranho.")</f>
        <v>Não tela sensível ao toque, o layout do teclado estranho.</v>
      </c>
      <c r="B37526" s="3">
        <v>0</v>
      </c>
    </row>
    <row r="37527" ht="15.75" customHeight="1" spans="1:2">
      <c r="A37527" s="3" t="str">
        <f>IFERROR(__xludf.DUMMYFUNCTION("GOOGLETRANSLATE(A37527,""en"",""pt"")"),"Nada realmente. Teclado leva algum tempo para se acostumar.")</f>
        <v>Nada realmente. Teclado leva algum tempo para se acostumar.</v>
      </c>
      <c r="B37527" s="3">
        <v>0</v>
      </c>
    </row>
    <row r="37528" ht="15.75" customHeight="1" spans="1:2">
      <c r="A37528" s="3" t="str">
        <f>IFERROR(__xludf.DUMMYFUNCTION("GOOGLETRANSLATE(A37528,""en"",""pt"")"),"Big, nenhum caso")</f>
        <v>Big, nenhum caso</v>
      </c>
      <c r="B37528" s="3">
        <v>0</v>
      </c>
    </row>
    <row r="37529" ht="15.75" customHeight="1" spans="1:2">
      <c r="A37529" s="3" t="str">
        <f>IFERROR(__xludf.DUMMYFUNCTION("GOOGLETRANSLATE(A37529,""en"",""pt"")"),"software horrível, Bluetooth na verdade não trabalho, e muito volumoso.")</f>
        <v>software horrível, Bluetooth na verdade não trabalho, e muito volumoso.</v>
      </c>
      <c r="B37529" s="3">
        <v>0</v>
      </c>
    </row>
    <row r="37530" ht="15.75" customHeight="1" spans="1:2">
      <c r="A37530" s="3" t="str">
        <f>IFERROR(__xludf.DUMMYFUNCTION("GOOGLETRANSLATE(A37530,""en"",""pt"")"),"Nenhum")</f>
        <v>Nenhum</v>
      </c>
      <c r="B37530" s="3">
        <v>0</v>
      </c>
    </row>
    <row r="37531" ht="15.75" customHeight="1" spans="1:2">
      <c r="A37531" s="3" t="str">
        <f>IFERROR(__xludf.DUMMYFUNCTION("GOOGLETRANSLATE(A37531,""en"",""pt"")"),"Grande em tamanho, rompe para baixo continuamente, muitos recursos.")</f>
        <v>Grande em tamanho, rompe para baixo continuamente, muitos recursos.</v>
      </c>
      <c r="B37531" s="3">
        <v>0</v>
      </c>
    </row>
    <row r="37532" ht="15.75" customHeight="1" spans="1:2">
      <c r="A37532" s="3" t="str">
        <f>IFERROR(__xludf.DUMMYFUNCTION("GOOGLETRANSLATE(A37532,""en"",""pt"")"),"que precisa de todos esses recursos? não ter encontrado o bloqueio do teclado ainda")</f>
        <v>que precisa de todos esses recursos? não ter encontrado o bloqueio do teclado ainda</v>
      </c>
      <c r="B37532" s="3">
        <v>0</v>
      </c>
    </row>
    <row r="37533" ht="15.75" customHeight="1" spans="1:2">
      <c r="A37533" s="3" t="str">
        <f>IFERROR(__xludf.DUMMYFUNCTION("GOOGLETRANSLATE(A37533,""en"",""pt"")"),"Startup carregamento leva muito tempo ... leva algum tempo para se familiarizar com todos os recursos")</f>
        <v>Startup carregamento leva muito tempo ... leva algum tempo para se familiarizar com todos os recursos</v>
      </c>
      <c r="B37533" s="3">
        <v>0</v>
      </c>
    </row>
    <row r="37534" ht="15.75" customHeight="1" spans="1:2">
      <c r="A37534" s="3" t="str">
        <f>IFERROR(__xludf.DUMMYFUNCTION("GOOGLETRANSLATE(A37534,""en"",""pt"")"),"placas de cara de plástico!")</f>
        <v>placas de cara de plástico!</v>
      </c>
      <c r="B37534" s="3">
        <v>0</v>
      </c>
    </row>
    <row r="37535" ht="15.75" customHeight="1" spans="1:2">
      <c r="A37535" s="3" t="str">
        <f>IFERROR(__xludf.DUMMYFUNCTION("GOOGLETRANSLATE(A37535,""en"",""pt"")"),"tela sensível ao toque não; volumoso; Bluetooth falhas; teclado; cartão de memória proprietária")</f>
        <v>tela sensível ao toque não; volumoso; Bluetooth falhas; teclado; cartão de memória proprietária</v>
      </c>
      <c r="B37535" s="3">
        <v>0</v>
      </c>
    </row>
    <row r="37536" ht="15.75" customHeight="1" spans="1:2">
      <c r="A37536" s="3" t="str">
        <f>IFERROR(__xludf.DUMMYFUNCTION("GOOGLETRANSLATE(A37536,""en"",""pt"")"),"tamanho em pouco grande e layout de teclado numérico estranho.")</f>
        <v>tamanho em pouco grande e layout de teclado numérico estranho.</v>
      </c>
      <c r="B37536" s="3">
        <v>0</v>
      </c>
    </row>
    <row r="37537" ht="15.75" customHeight="1" spans="1:2">
      <c r="A37537" s="3" t="str">
        <f>IFERROR(__xludf.DUMMYFUNCTION("GOOGLETRANSLATE(A37537,""en"",""pt"")"),"concepção global, tecla de navegação")</f>
        <v>concepção global, tecla de navegação</v>
      </c>
      <c r="B37537" s="3">
        <v>0</v>
      </c>
    </row>
    <row r="37538" ht="15.75" customHeight="1" spans="1:2">
      <c r="A37538" s="3" t="str">
        <f>IFERROR(__xludf.DUMMYFUNCTION("GOOGLETRANSLATE(A37538,""en"",""pt"")"),"O teclado é muito fácil hostil. Não compre se você quiser texto lotes.")</f>
        <v>O teclado é muito fácil hostil. Não compre se você quiser texto lotes.</v>
      </c>
      <c r="B37538" s="3">
        <v>0</v>
      </c>
    </row>
    <row r="37539" ht="15.75" customHeight="1" spans="1:2">
      <c r="A37539" s="3" t="str">
        <f>IFERROR(__xludf.DUMMYFUNCTION("GOOGLETRANSLATE(A37539,""en"",""pt"")"),"teclado circular")</f>
        <v>teclado circular</v>
      </c>
      <c r="B37539" s="3">
        <v>0</v>
      </c>
    </row>
    <row r="37540" ht="15.75" customHeight="1" spans="1:2">
      <c r="A37540" s="3" t="str">
        <f>IFERROR(__xludf.DUMMYFUNCTION("GOOGLETRANSLATE(A37540,""en"",""pt"")"),"Muito grande, lotes de sub-menus, nenhuma chamada de menu para a frente")</f>
        <v>Muito grande, lotes de sub-menus, nenhuma chamada de menu para a frente</v>
      </c>
      <c r="B37540" s="3">
        <v>0</v>
      </c>
    </row>
    <row r="37541" ht="15.75" customHeight="1" spans="1:2">
      <c r="A37541" s="3" t="str">
        <f>IFERROR(__xludf.DUMMYFUNCTION("GOOGLETRANSLATE(A37541,""en"",""pt"")"),"backlight tempo limite !!, formato e tamanho das teclas do teclado, lente da câmera está desprotegido, a vida da bateria")</f>
        <v>backlight tempo limite !!, formato e tamanho das teclas do teclado, lente da câmera está desprotegido, a vida da bateria</v>
      </c>
      <c r="B37541" s="3">
        <v>0</v>
      </c>
    </row>
    <row r="37542" ht="15.75" customHeight="1" spans="1:2">
      <c r="A37542" s="3" t="str">
        <f>IFERROR(__xludf.DUMMYFUNCTION("GOOGLETRANSLATE(A37542,""en"",""pt"")"),"acessórios não suficientes")</f>
        <v>acessórios não suficientes</v>
      </c>
      <c r="B37542" s="3">
        <v>0</v>
      </c>
    </row>
    <row r="37543" ht="15.75" customHeight="1" spans="1:2">
      <c r="A37543" s="3" t="str">
        <f>IFERROR(__xludf.DUMMYFUNCTION("GOOGLETRANSLATE(A37543,""en"",""pt"")"),"Nenhum que eu poderia pensar")</f>
        <v>Nenhum que eu poderia pensar</v>
      </c>
      <c r="B37543" s="3">
        <v>0</v>
      </c>
    </row>
    <row r="37544" ht="15.75" customHeight="1" spans="1:2">
      <c r="A37544" s="3" t="str">
        <f>IFERROR(__xludf.DUMMYFUNCTION("GOOGLETRANSLATE(A37544,""en"",""pt"")"),"Nenhum")</f>
        <v>Nenhum</v>
      </c>
      <c r="B37544" s="3">
        <v>0</v>
      </c>
    </row>
    <row r="37545" ht="15.75" customHeight="1" spans="1:2">
      <c r="A37545" s="3" t="str">
        <f>IFERROR(__xludf.DUMMYFUNCTION("GOOGLETRANSLATE(A37545,""en"",""pt"")"),"Dial pad leva um tempo para ajustar-se, não há muitos acessórios estão disponíveis (ainda.")</f>
        <v>Dial pad leva um tempo para ajustar-se, não há muitos acessórios estão disponíveis (ainda.</v>
      </c>
      <c r="B37545" s="3">
        <v>0</v>
      </c>
    </row>
    <row r="37546" ht="15.75" customHeight="1" spans="1:2">
      <c r="A37546" s="3" t="str">
        <f>IFERROR(__xludf.DUMMYFUNCTION("GOOGLETRANSLATE(A37546,""en"",""pt"")"),"Backlight precisa de manual sobre controle")</f>
        <v>Backlight precisa de manual sobre controle</v>
      </c>
      <c r="B37546" s="3">
        <v>0</v>
      </c>
    </row>
    <row r="37547" ht="15.75" customHeight="1" spans="1:2">
      <c r="A37547" s="3" t="str">
        <f>IFERROR(__xludf.DUMMYFUNCTION("GOOGLETRANSLATE(A37547,""en"",""pt"")"),"Nenhum aplicativo. incluído")</f>
        <v>Nenhum aplicativo. incluído</v>
      </c>
      <c r="B37547" s="3">
        <v>0</v>
      </c>
    </row>
    <row r="37548" ht="15.75" customHeight="1" spans="1:2">
      <c r="A37548" s="3" t="str">
        <f>IFERROR(__xludf.DUMMYFUNCTION("GOOGLETRANSLATE(A37548,""en"",""pt"")"),"Bejeweled irá falhar o telefone finalmente!")</f>
        <v>Bejeweled irá falhar o telefone finalmente!</v>
      </c>
      <c r="B37548" s="3">
        <v>0</v>
      </c>
    </row>
    <row r="37549" ht="15.75" customHeight="1" spans="1:2">
      <c r="A37549" s="3" t="str">
        <f>IFERROR(__xludf.DUMMYFUNCTION("GOOGLETRANSLATE(A37549,""en"",""pt"")"),"áudio pedaço da orelha, tons baixos anel de volume, difícil de remover placa, longa arranque / hora de desligamento.")</f>
        <v>áudio pedaço da orelha, tons baixos anel de volume, difícil de remover placa, longa arranque / hora de desligamento.</v>
      </c>
      <c r="B37549" s="3">
        <v>0</v>
      </c>
    </row>
    <row r="37550" ht="15.75" customHeight="1" spans="1:2">
      <c r="A37550" s="3" t="str">
        <f>IFERROR(__xludf.DUMMYFUNCTION("GOOGLETRANSLATE(A37550,""en"",""pt"")"),"sistema operacional não é intuitivo, campainha tranquila, teclado WEIRD")</f>
        <v>sistema operacional não é intuitivo, campainha tranquila, teclado WEIRD</v>
      </c>
      <c r="B37550" s="3">
        <v>0</v>
      </c>
    </row>
    <row r="37551" ht="15.75" customHeight="1" spans="1:2">
      <c r="A37551" s="3" t="str">
        <f>IFERROR(__xludf.DUMMYFUNCTION("GOOGLETRANSLATE(A37551,""en"",""pt"")"),"Buggy OS, grandes e volumosos, teclado leva algum tempo para se acostumar")</f>
        <v>Buggy OS, grandes e volumosos, teclado leva algum tempo para se acostumar</v>
      </c>
      <c r="B37551" s="3">
        <v>0</v>
      </c>
    </row>
    <row r="37552" ht="15.75" customHeight="1" spans="1:2">
      <c r="A37552" s="3" t="str">
        <f>IFERROR(__xludf.DUMMYFUNCTION("GOOGLETRANSLATE(A37552,""en"",""pt"")"),"um pouco volumoso, os números são difíceis de se acostumar com a primeira")</f>
        <v>um pouco volumoso, os números são difíceis de se acostumar com a primeira</v>
      </c>
      <c r="B37552" s="3">
        <v>0</v>
      </c>
    </row>
    <row r="37553" ht="15.75" customHeight="1" spans="1:2">
      <c r="A37553" s="3" t="str">
        <f>IFERROR(__xludf.DUMMYFUNCTION("GOOGLETRANSLATE(A37553,""en"",""pt"")"),"Eu ouço as pessoas antes de responder")</f>
        <v>Eu ouço as pessoas antes de responder</v>
      </c>
      <c r="B37553" s="3">
        <v>0</v>
      </c>
    </row>
    <row r="37554" ht="15.75" customHeight="1" spans="1:2">
      <c r="A37554" s="3" t="str">
        <f>IFERROR(__xludf.DUMMYFUNCTION("GOOGLETRANSLATE(A37554,""en"",""pt"")"),"A vida da bateria, tamanho volumoso, a resolução da câmera")</f>
        <v>A vida da bateria, tamanho volumoso, a resolução da câmera</v>
      </c>
      <c r="B37554" s="3">
        <v>0</v>
      </c>
    </row>
    <row r="37555" ht="15.75" customHeight="1" spans="1:2">
      <c r="A37555" s="3" t="str">
        <f>IFERROR(__xludf.DUMMYFUNCTION("GOOGLETRANSLATE(A37555,""en"",""pt"")"),"Tamanho grande")</f>
        <v>Tamanho grande</v>
      </c>
      <c r="B37555" s="3">
        <v>0</v>
      </c>
    </row>
    <row r="37556" ht="15.75" customHeight="1" spans="1:2">
      <c r="A37556" s="3" t="str">
        <f>IFERROR(__xludf.DUMMYFUNCTION("GOOGLETRANSLATE(A37556,""en"",""pt"")"),"O tamanho é um pouco grande.")</f>
        <v>O tamanho é um pouco grande.</v>
      </c>
      <c r="B37556" s="3">
        <v>0</v>
      </c>
    </row>
    <row r="37557" ht="15.75" customHeight="1" spans="1:2">
      <c r="A37557" s="3" t="str">
        <f>IFERROR(__xludf.DUMMYFUNCTION("GOOGLETRANSLATE(A37557,""en"",""pt"")"),"Tamanho médio")</f>
        <v>Tamanho médio</v>
      </c>
      <c r="B37557" s="3">
        <v>0</v>
      </c>
    </row>
    <row r="37558" ht="15.75" customHeight="1" spans="1:2">
      <c r="A37558" s="3" t="str">
        <f>IFERROR(__xludf.DUMMYFUNCTION("GOOGLETRANSLATE(A37558,""en"",""pt"")"),"Frágil como um sopro de flor rosa em um dia de primavera.")</f>
        <v>Frágil como um sopro de flor rosa em um dia de primavera.</v>
      </c>
      <c r="B37558" s="3">
        <v>0</v>
      </c>
    </row>
    <row r="37559" ht="15.75" customHeight="1" spans="1:2">
      <c r="A37559" s="3" t="str">
        <f>IFERROR(__xludf.DUMMYFUNCTION("GOOGLETRANSLATE(A37559,""en"",""pt"")"),"Ocasional congela-se. Memória cheia.")</f>
        <v>Ocasional congela-se. Memória cheia.</v>
      </c>
      <c r="B37559" s="3">
        <v>0</v>
      </c>
    </row>
    <row r="37560" ht="15.75" customHeight="1" spans="1:2">
      <c r="A37560" s="3" t="str">
        <f>IFERROR(__xludf.DUMMYFUNCTION("GOOGLETRANSLATE(A37560,""en"",""pt"")"),"projeto engraçado teclado, o tamanho é um pouco maior")</f>
        <v>projeto engraçado teclado, o tamanho é um pouco maior</v>
      </c>
      <c r="B37560" s="3">
        <v>0</v>
      </c>
    </row>
    <row r="37561" ht="15.75" customHeight="1" spans="1:2">
      <c r="A37561" s="3" t="str">
        <f>IFERROR(__xludf.DUMMYFUNCTION("GOOGLETRANSLATE(A37561,""en"",""pt"")"),"GSM em Chicago, pobre bluetooth, campainha tranquila, sincronização lenta")</f>
        <v>GSM em Chicago, pobre bluetooth, campainha tranquila, sincronização lenta</v>
      </c>
      <c r="B37561" s="3">
        <v>0</v>
      </c>
    </row>
    <row r="37562" ht="15.75" customHeight="1" spans="1:2">
      <c r="A37562" s="3" t="str">
        <f>IFERROR(__xludf.DUMMYFUNCTION("GOOGLETRANSLATE(A37562,""en"",""pt"")"),"MEDIOCRE tempo de conversação; VIDEO-GRAVAÇÃO DE COMPRIMENTO; Flutuante VOLUME; GLITCHES OPERACIONAIS")</f>
        <v>MEDIOCRE tempo de conversação; VIDEO-GRAVAÇÃO DE COMPRIMENTO; Flutuante VOLUME; GLITCHES OPERACIONAIS</v>
      </c>
      <c r="B37562" s="3">
        <v>0</v>
      </c>
    </row>
    <row r="37563" ht="15.75" customHeight="1" spans="1:2">
      <c r="A37563" s="3" t="str">
        <f>IFERROR(__xludf.DUMMYFUNCTION("GOOGLETRANSLATE(A37563,""en"",""pt"")"),"um pouco volumoso, caro, às vezes fica mau sinal")</f>
        <v>um pouco volumoso, caro, às vezes fica mau sinal</v>
      </c>
      <c r="B37563" s="3">
        <v>0</v>
      </c>
    </row>
    <row r="37564" ht="15.75" customHeight="1" spans="1:2">
      <c r="A37564" s="3" t="str">
        <f>IFERROR(__xludf.DUMMYFUNCTION("GOOGLETRANSLATE(A37564,""en"",""pt"")"),"BIG, não amigável")</f>
        <v>BIG, não amigável</v>
      </c>
      <c r="B37564" s="3">
        <v>0</v>
      </c>
    </row>
    <row r="37565" ht="15.75" customHeight="1" spans="1:2">
      <c r="A37565" s="3" t="str">
        <f>IFERROR(__xludf.DUMMYFUNCTION("GOOGLETRANSLATE(A37565,""en"",""pt"")"),"teclados são difíceis de usar no início")</f>
        <v>teclados são difíceis de usar no início</v>
      </c>
      <c r="B37565" s="3">
        <v>0</v>
      </c>
    </row>
    <row r="37566" ht="15.75" customHeight="1" spans="1:2">
      <c r="A37566" s="3" t="str">
        <f>IFERROR(__xludf.DUMMYFUNCTION("GOOGLETRANSLATE(A37566,""en"",""pt"")"),"layout de teclado não é natural.")</f>
        <v>layout de teclado não é natural.</v>
      </c>
      <c r="B37566" s="3">
        <v>0</v>
      </c>
    </row>
    <row r="37567" ht="15.75" customHeight="1" spans="1:2">
      <c r="A37567" s="3" t="str">
        <f>IFERROR(__xludf.DUMMYFUNCTION("GOOGLETRANSLATE(A37567,""en"",""pt"")"),"botões físicos, menu de sms lenta, média de má qualidade de voz")</f>
        <v>botões físicos, menu de sms lenta, média de má qualidade de voz</v>
      </c>
      <c r="B37567" s="3">
        <v>0</v>
      </c>
    </row>
    <row r="37568" ht="15.75" customHeight="1" spans="1:2">
      <c r="A37568" s="3" t="str">
        <f>IFERROR(__xludf.DUMMYFUNCTION("GOOGLETRANSLATE(A37568,""en"",""pt"")"),"Interface lento, clareza única decente, so-so recepção, entrada de texto do WAP inútil, lento")</f>
        <v>Interface lento, clareza única decente, so-so recepção, entrada de texto do WAP inútil, lento</v>
      </c>
      <c r="B37568" s="3">
        <v>0</v>
      </c>
    </row>
    <row r="37569" ht="15.75" customHeight="1" spans="1:2">
      <c r="A37569" s="3" t="str">
        <f>IFERROR(__xludf.DUMMYFUNCTION("GOOGLETRANSLATE(A37569,""en"",""pt"")"),"Caso é menos de resistente,")</f>
        <v>Caso é menos de resistente,</v>
      </c>
      <c r="B37569" s="3">
        <v>0</v>
      </c>
    </row>
    <row r="37570" ht="15.75" customHeight="1" spans="1:2">
      <c r="A37570" s="3" t="str">
        <f>IFERROR(__xludf.DUMMYFUNCTION("GOOGLETRANSLATE(A37570,""en"",""pt"")"),"som distorcido, ecos, muitas opções difíceis de usar, excessivamente complicado")</f>
        <v>som distorcido, ecos, muitas opções difíceis de usar, excessivamente complicado</v>
      </c>
      <c r="B37570" s="3">
        <v>0</v>
      </c>
    </row>
    <row r="37571" ht="15.75" customHeight="1" spans="1:2">
      <c r="A37571" s="3" t="str">
        <f>IFERROR(__xludf.DUMMYFUNCTION("GOOGLETRANSLATE(A37571,""en"",""pt"")"),"Muito feio e volumosos e difíceis de usar.")</f>
        <v>Muito feio e volumosos e difíceis de usar.</v>
      </c>
      <c r="B37571" s="3">
        <v>0</v>
      </c>
    </row>
    <row r="37572" ht="15.75" customHeight="1" spans="1:2">
      <c r="A37572" s="3" t="str">
        <f>IFERROR(__xludf.DUMMYFUNCTION("GOOGLETRANSLATE(A37572,""en"",""pt"")"),"faceplates muito limitado, pouco difícil de se acostumar. echo terrrible")</f>
        <v>faceplates muito limitado, pouco difícil de se acostumar. echo terrrible</v>
      </c>
      <c r="B37572" s="3">
        <v>0</v>
      </c>
    </row>
    <row r="37573" ht="15.75" customHeight="1" spans="1:2">
      <c r="A37573" s="3" t="str">
        <f>IFERROR(__xludf.DUMMYFUNCTION("GOOGLETRANSLATE(A37573,""en"",""pt"")"),"Excruciante menu de lento, interface do menu complicado")</f>
        <v>Excruciante menu de lento, interface do menu complicado</v>
      </c>
      <c r="B37573" s="3">
        <v>0</v>
      </c>
    </row>
    <row r="37574" ht="15.75" customHeight="1" spans="1:2">
      <c r="A37574" s="3" t="str">
        <f>IFERROR(__xludf.DUMMYFUNCTION("GOOGLETRANSLATE(A37574,""en"",""pt"")"),"Eu não tenho nada, mas problemas com este telefone")</f>
        <v>Eu não tenho nada, mas problemas com este telefone</v>
      </c>
      <c r="B37574" s="3">
        <v>0</v>
      </c>
    </row>
    <row r="37575" ht="15.75" customHeight="1" spans="1:2">
      <c r="A37575" s="3" t="str">
        <f>IFERROR(__xludf.DUMMYFUNCTION("GOOGLETRANSLATE(A37575,""en"",""pt"")"),"fica quente contra seu ouvido, roda padrão do menu de fortuna.")</f>
        <v>fica quente contra seu ouvido, roda padrão do menu de fortuna.</v>
      </c>
      <c r="B37575" s="3">
        <v>0</v>
      </c>
    </row>
    <row r="37576" ht="15.75" customHeight="1" spans="1:2">
      <c r="A37576" s="3" t="str">
        <f>IFERROR(__xludf.DUMMYFUNCTION("GOOGLETRANSLATE(A37576,""en"",""pt"")"),"má qualidade, sem recursos")</f>
        <v>má qualidade, sem recursos</v>
      </c>
      <c r="B37576" s="3">
        <v>0</v>
      </c>
    </row>
    <row r="37577" ht="15.75" customHeight="1" spans="1:2">
      <c r="A37577" s="3" t="str">
        <f>IFERROR(__xludf.DUMMYFUNCTION("GOOGLETRANSLATE(A37577,""en"",""pt"")"),"Não há recursos extras, como mensagens de texto, e-mail, ou jogos.")</f>
        <v>Não há recursos extras, como mensagens de texto, e-mail, ou jogos.</v>
      </c>
      <c r="B37577" s="3">
        <v>0</v>
      </c>
    </row>
    <row r="37578" ht="15.75" customHeight="1" spans="1:2">
      <c r="A37578" s="3" t="str">
        <f>IFERROR(__xludf.DUMMYFUNCTION("GOOGLETRANSLATE(A37578,""en"",""pt"")"),"qualidade de som, recepção")</f>
        <v>qualidade de som, recepção</v>
      </c>
      <c r="B37578" s="3">
        <v>0</v>
      </c>
    </row>
    <row r="37579" ht="15.75" customHeight="1" spans="1:2">
      <c r="A37579" s="3" t="str">
        <f>IFERROR(__xludf.DUMMYFUNCTION("GOOGLETRANSLATE(A37579,""en"",""pt"")"),"Caro. Confundindo menus.")</f>
        <v>Caro. Confundindo menus.</v>
      </c>
      <c r="B37579" s="3">
        <v>0</v>
      </c>
    </row>
    <row r="37580" ht="15.75" customHeight="1" spans="1:2">
      <c r="A37580" s="3" t="str">
        <f>IFERROR(__xludf.DUMMYFUNCTION("GOOGLETRANSLATE(A37580,""en"",""pt"")"),"Vibrando campainha, recepção, antena, forma")</f>
        <v>Vibrando campainha, recepção, antena, forma</v>
      </c>
      <c r="B37580" s="3">
        <v>0</v>
      </c>
    </row>
    <row r="37581" ht="15.75" customHeight="1" spans="1:2">
      <c r="A37581" s="3" t="str">
        <f>IFERROR(__xludf.DUMMYFUNCTION("GOOGLETRANSLATE(A37581,""en"",""pt"")"),"Amor-it-ou-ódio-lo esquema de cores, modo de vibração fraca, carregador volumoso.")</f>
        <v>Amor-it-ou-ódio-lo esquema de cores, modo de vibração fraca, carregador volumoso.</v>
      </c>
      <c r="B37581" s="3">
        <v>0</v>
      </c>
    </row>
    <row r="37582" ht="15.75" customHeight="1" spans="1:2">
      <c r="A37582" s="3" t="str">
        <f>IFERROR(__xludf.DUMMYFUNCTION("GOOGLETRANSLATE(A37582,""en"",""pt"")"),"Um pouco grosso, barato projetado berço")</f>
        <v>Um pouco grosso, barato projetado berço</v>
      </c>
      <c r="B37582" s="3">
        <v>0</v>
      </c>
    </row>
    <row r="37583" ht="15.75" customHeight="1" spans="1:2">
      <c r="A37583" s="3" t="str">
        <f>IFERROR(__xludf.DUMMYFUNCTION("GOOGLETRANSLATE(A37583,""en"",""pt"")"),"você can'y obter acessórios legais para este telefone e é muito caro")</f>
        <v>você can'y obter acessórios legais para este telefone e é muito caro</v>
      </c>
      <c r="B37583" s="3">
        <v>0</v>
      </c>
    </row>
    <row r="37584" ht="15.75" customHeight="1" spans="1:2">
      <c r="A37584" s="3" t="str">
        <f>IFERROR(__xludf.DUMMYFUNCTION("GOOGLETRANSLATE(A37584,""en"",""pt"")"),"recepção, a qualidade do som")</f>
        <v>recepção, a qualidade do som</v>
      </c>
      <c r="B37584" s="3">
        <v>0</v>
      </c>
    </row>
    <row r="37585" ht="15.75" customHeight="1" spans="1:2">
      <c r="A37585" s="3" t="str">
        <f>IFERROR(__xludf.DUMMYFUNCTION("GOOGLETRANSLATE(A37585,""en"",""pt"")"),"flip top facilmente quebrado; campainha pára de funcionar de vez em quando; programa de garantia horrível")</f>
        <v>flip top facilmente quebrado; campainha pára de funcionar de vez em quando; programa de garantia horrível</v>
      </c>
      <c r="B37585" s="3">
        <v>0</v>
      </c>
    </row>
    <row r="37586" ht="15.75" customHeight="1" spans="1:2">
      <c r="A37586" s="3" t="str">
        <f>IFERROR(__xludf.DUMMYFUNCTION("GOOGLETRANSLATE(A37586,""en"",""pt"")"),"muito pequeno")</f>
        <v>muito pequeno</v>
      </c>
      <c r="B37586" s="3">
        <v>0</v>
      </c>
    </row>
    <row r="37587" ht="15.75" customHeight="1" spans="1:2">
      <c r="A37587" s="3" t="str">
        <f>IFERROR(__xludf.DUMMYFUNCTION("GOOGLETRANSLATE(A37587,""en"",""pt"")"),"vibrando campainha é um pouco ""fraco""")</f>
        <v>vibrando campainha é um pouco "fraco"</v>
      </c>
      <c r="B37587" s="3">
        <v>0</v>
      </c>
    </row>
    <row r="37588" ht="15.75" customHeight="1" spans="1:2">
      <c r="A37588" s="3" t="str">
        <f>IFERROR(__xludf.DUMMYFUNCTION("GOOGLETRANSLATE(A37588,""en"",""pt"")"),"vibrar fraco, a qualidade do som!")</f>
        <v>vibrar fraco, a qualidade do som!</v>
      </c>
      <c r="B37588" s="3">
        <v>0</v>
      </c>
    </row>
    <row r="37589" ht="15.75" customHeight="1" spans="1:2">
      <c r="A37589" s="3" t="str">
        <f>IFERROR(__xludf.DUMMYFUNCTION("GOOGLETRANSLATE(A37589,""en"",""pt"")"),"Anéis são uma espécie de irritante. intensidade do sinal é muito enganador.")</f>
        <v>Anéis são uma espécie de irritante. intensidade do sinal é muito enganador.</v>
      </c>
      <c r="B37589" s="3">
        <v>0</v>
      </c>
    </row>
    <row r="37590" ht="15.75" customHeight="1" spans="1:2">
      <c r="A37590" s="3" t="str">
        <f>IFERROR(__xludf.DUMMYFUNCTION("GOOGLETRANSLATE(A37590,""en"",""pt"")"),"qualidade orador pobre, pobre força do sinal, ringtones demasiado cutesy, esquecer-se sobre o recurso de vibração.")</f>
        <v>qualidade orador pobre, pobre força do sinal, ringtones demasiado cutesy, esquecer-se sobre o recurso de vibração.</v>
      </c>
      <c r="B37590" s="3">
        <v>0</v>
      </c>
    </row>
    <row r="37591" ht="15.75" customHeight="1" spans="1:2">
      <c r="A37591" s="3" t="str">
        <f>IFERROR(__xludf.DUMMYFUNCTION("GOOGLETRANSLATE(A37591,""en"",""pt"")"),"Nenhum")</f>
        <v>Nenhum</v>
      </c>
      <c r="B37591" s="3">
        <v>0</v>
      </c>
    </row>
    <row r="37592" ht="15.75" customHeight="1" spans="1:2">
      <c r="A37592" s="3" t="str">
        <f>IFERROR(__xludf.DUMMYFUNCTION("GOOGLETRANSLATE(A37592,""en"",""pt"")"),"parece um pouco frágil")</f>
        <v>parece um pouco frágil</v>
      </c>
      <c r="B37592" s="3">
        <v>0</v>
      </c>
    </row>
    <row r="37593" ht="15.75" customHeight="1" spans="1:2">
      <c r="A37593" s="3" t="str">
        <f>IFERROR(__xludf.DUMMYFUNCTION("GOOGLETRANSLATE(A37593,""en"",""pt"")"),"Muito mau orador que vibra, e vibrar campainha é muito fraco")</f>
        <v>Muito mau orador que vibra, e vibrar campainha é muito fraco</v>
      </c>
      <c r="B37593" s="3">
        <v>0</v>
      </c>
    </row>
    <row r="37594" ht="15.75" customHeight="1" spans="1:2">
      <c r="A37594" s="3" t="str">
        <f>IFERROR(__xludf.DUMMYFUNCTION("GOOGLETRANSLATE(A37594,""en"",""pt"")"),"Oco recepção soando, chocalho de vibrações quando estiver tocando")</f>
        <v>Oco recepção soando, chocalho de vibrações quando estiver tocando</v>
      </c>
      <c r="B37594" s="3">
        <v>0</v>
      </c>
    </row>
    <row r="37595" ht="15.75" customHeight="1" spans="1:2">
      <c r="A37595" s="3" t="str">
        <f>IFERROR(__xludf.DUMMYFUNCTION("GOOGLETRANSLATE(A37595,""en"",""pt"")"),"Som poderia ser melhor.")</f>
        <v>Som poderia ser melhor.</v>
      </c>
      <c r="B37595" s="3">
        <v>0</v>
      </c>
    </row>
    <row r="37596" ht="15.75" customHeight="1" spans="1:2">
      <c r="A37596" s="3" t="str">
        <f>IFERROR(__xludf.DUMMYFUNCTION("GOOGLETRANSLATE(A37596,""en"",""pt"")"),"qualidade de som pobre, cinto volumosos")</f>
        <v>qualidade de som pobre, cinto volumosos</v>
      </c>
      <c r="B37596" s="3">
        <v>0</v>
      </c>
    </row>
    <row r="37597" ht="15.75" customHeight="1" spans="1:2">
      <c r="A37597" s="3" t="str">
        <f>IFERROR(__xludf.DUMMYFUNCTION("GOOGLETRANSLATE(A37597,""en"",""pt"")"),"nenhuma tela de cor, o que não é muito ruim")</f>
        <v>nenhuma tela de cor, o que não é muito ruim</v>
      </c>
      <c r="B37597" s="3">
        <v>0</v>
      </c>
    </row>
    <row r="37598" ht="15.75" customHeight="1" spans="1:2">
      <c r="A37598" s="3" t="str">
        <f>IFERROR(__xludf.DUMMYFUNCTION("GOOGLETRANSLATE(A37598,""en"",""pt"")"),"Arranha facilmente, roams facilmente")</f>
        <v>Arranha facilmente, roams facilmente</v>
      </c>
      <c r="B37598" s="3">
        <v>0</v>
      </c>
    </row>
    <row r="37599" ht="15.75" customHeight="1" spans="1:2">
      <c r="A37599" s="3" t="str">
        <f>IFERROR(__xludf.DUMMYFUNCTION("GOOGLETRANSLATE(A37599,""en"",""pt"")"),"não tem recursos de alta tecnologia")</f>
        <v>não tem recursos de alta tecnologia</v>
      </c>
      <c r="B37599" s="3">
        <v>0</v>
      </c>
    </row>
    <row r="37600" ht="15.75" customHeight="1" spans="1:2">
      <c r="A37600" s="3" t="str">
        <f>IFERROR(__xludf.DUMMYFUNCTION("GOOGLETRANSLATE(A37600,""en"",""pt"")"),"Chaves um pouco pegajosas")</f>
        <v>Chaves um pouco pegajosas</v>
      </c>
      <c r="B37600" s="3">
        <v>0</v>
      </c>
    </row>
    <row r="37601" ht="15.75" customHeight="1" spans="1:2">
      <c r="A37601" s="3" t="str">
        <f>IFERROR(__xludf.DUMMYFUNCTION("GOOGLETRANSLATE(A37601,""en"",""pt"")"),"A duração da bateria é um pouco curto")</f>
        <v>A duração da bateria é um pouco curto</v>
      </c>
      <c r="B37601" s="3">
        <v>0</v>
      </c>
    </row>
    <row r="37602" ht="15.75" customHeight="1" spans="1:2">
      <c r="A37602" s="3" t="str">
        <f>IFERROR(__xludf.DUMMYFUNCTION("GOOGLETRANSLATE(A37602,""en"",""pt"")"),"A vida da bateria talvez curta, às vezes, problemas de software, não pode consertar telefone na loja local Verizon")</f>
        <v>A vida da bateria talvez curta, às vezes, problemas de software, não pode consertar telefone na loja local Verizon</v>
      </c>
      <c r="B37602" s="3">
        <v>0</v>
      </c>
    </row>
    <row r="37603" ht="15.75" customHeight="1" spans="1:2">
      <c r="A37603" s="3" t="str">
        <f>IFERROR(__xludf.DUMMYFUNCTION("GOOGLETRANSLATE(A37603,""en"",""pt"")"),"Phone Book Limited, Software falhas, inconsistente de navegação, tela monocromática")</f>
        <v>Phone Book Limited, Software falhas, inconsistente de navegação, tela monocromática</v>
      </c>
      <c r="B37603" s="3">
        <v>0</v>
      </c>
    </row>
    <row r="37604" ht="15.75" customHeight="1" spans="1:2">
      <c r="A37604" s="3" t="str">
        <f>IFERROR(__xludf.DUMMYFUNCTION("GOOGLETRANSLATE(A37604,""en"",""pt"")"),"Peculiaridades e bugs. degrada a qualidade ao longo do tempo. viva-voz não o melhor.")</f>
        <v>Peculiaridades e bugs. degrada a qualidade ao longo do tempo. viva-voz não o melhor.</v>
      </c>
      <c r="B37604" s="3">
        <v>0</v>
      </c>
    </row>
    <row r="37605" ht="15.75" customHeight="1" spans="1:2">
      <c r="A37605" s="3" t="str">
        <f>IFERROR(__xludf.DUMMYFUNCTION("GOOGLETRANSLATE(A37605,""en"",""pt"")"),"há calculadora, sem jogos")</f>
        <v>há calculadora, sem jogos</v>
      </c>
      <c r="B37605" s="3">
        <v>0</v>
      </c>
    </row>
    <row r="37606" ht="15.75" customHeight="1" spans="1:2">
      <c r="A37606" s="3" t="str">
        <f>IFERROR(__xludf.DUMMYFUNCTION("GOOGLETRANSLATE(A37606,""en"",""pt"")"),"tampa traseira é separada da bateria. suporte de antena enorme.")</f>
        <v>tampa traseira é separada da bateria. suporte de antena enorme.</v>
      </c>
      <c r="B37606" s="3">
        <v>0</v>
      </c>
    </row>
    <row r="37607" ht="15.75" customHeight="1" spans="1:2">
      <c r="A37607" s="3" t="str">
        <f>IFERROR(__xludf.DUMMYFUNCTION("GOOGLETRANSLATE(A37607,""en"",""pt"")"),"Carece de recursos telefones muito menos dispendioso ter, volumoso, iTAP, internet lenta, cara.")</f>
        <v>Carece de recursos telefones muito menos dispendioso ter, volumoso, iTAP, internet lenta, cara.</v>
      </c>
      <c r="B37607" s="3">
        <v>0</v>
      </c>
    </row>
    <row r="37608" ht="15.75" customHeight="1" spans="1:2">
      <c r="A37608" s="3" t="str">
        <f>IFERROR(__xludf.DUMMYFUNCTION("GOOGLETRANSLATE(A37608,""en"",""pt"")"),"Interface é fraca; joystick se sente mais barato; bateria vida uma piada; dor antena protuberância; preço")</f>
        <v>Interface é fraca; joystick se sente mais barato; bateria vida uma piada; dor antena protuberância; preço</v>
      </c>
      <c r="B37608" s="3">
        <v>0</v>
      </c>
    </row>
    <row r="37609" ht="15.75" customHeight="1" spans="1:2">
      <c r="A37609" s="3" t="str">
        <f>IFERROR(__xludf.DUMMYFUNCTION("GOOGLETRANSLATE(A37609,""en"",""pt"")"),"Pintar flocos off faceplate ... carregando berço não prender firmemente telefone")</f>
        <v>Pintar flocos off faceplate ... carregando berço não prender firmemente telefone</v>
      </c>
      <c r="B37609" s="3">
        <v>0</v>
      </c>
    </row>
    <row r="37610" ht="15.75" customHeight="1" spans="1:2">
      <c r="A37610" s="3" t="s">
        <v>200</v>
      </c>
      <c r="B37610" s="3">
        <v>0</v>
      </c>
    </row>
    <row r="37611" ht="15.75" customHeight="1" spans="1:2">
      <c r="A37611" s="3" t="str">
        <f>IFERROR(__xludf.DUMMYFUNCTION("GOOGLETRANSLATE(A37611,""en"",""pt"")"),"Fontes de tela são pequenos demais colocação, pobre de alguns botões.")</f>
        <v>Fontes de tela são pequenos demais colocação, pobre de alguns botões.</v>
      </c>
      <c r="B37611" s="3">
        <v>0</v>
      </c>
    </row>
    <row r="37612" ht="15.75" customHeight="1" spans="1:2">
      <c r="A37612" s="3" t="str">
        <f>IFERROR(__xludf.DUMMYFUNCTION("GOOGLETRANSLATE(A37612,""en"",""pt"")"),"Tamanho; carregador de bateria lento")</f>
        <v>Tamanho; carregador de bateria lento</v>
      </c>
      <c r="B37612" s="3">
        <v>0</v>
      </c>
    </row>
    <row r="37613" ht="15.75" customHeight="1" spans="1:2">
      <c r="A37613" s="3" t="str">
        <f>IFERROR(__xludf.DUMMYFUNCTION("GOOGLETRANSLATE(A37613,""en"",""pt"")"),"Falta de alarme / temporizador")</f>
        <v>Falta de alarme / temporizador</v>
      </c>
      <c r="B37613" s="3">
        <v>0</v>
      </c>
    </row>
    <row r="37614" ht="15.75" customHeight="1" spans="1:2">
      <c r="A37614" s="3" t="str">
        <f>IFERROR(__xludf.DUMMYFUNCTION("GOOGLETRANSLATE(A37614,""en"",""pt"")"),"O único con é que eles não saíram com este telefone mais cedo.")</f>
        <v>O único con é que eles não saíram com este telefone mais cedo.</v>
      </c>
      <c r="B37614" s="3">
        <v>0</v>
      </c>
    </row>
    <row r="37615" ht="15.75" customHeight="1" spans="1:2">
      <c r="A37615" s="3" t="str">
        <f>IFERROR(__xludf.DUMMYFUNCTION("GOOGLETRANSLATE(A37615,""en"",""pt"")"),"Falta de recurso silêncio fácil")</f>
        <v>Falta de recurso silêncio fácil</v>
      </c>
      <c r="B37615" s="3">
        <v>0</v>
      </c>
    </row>
    <row r="37616" ht="15.75" customHeight="1" spans="1:2">
      <c r="A37616" s="3" t="str">
        <f>IFERROR(__xludf.DUMMYFUNCTION("GOOGLETRANSLATE(A37616,""en"",""pt"")"),"Maior do que flip estilo")</f>
        <v>Maior do que flip estilo</v>
      </c>
      <c r="B37616" s="3">
        <v>0</v>
      </c>
    </row>
    <row r="37617" ht="15.75" customHeight="1" spans="1:2">
      <c r="A37617" s="3" t="str">
        <f>IFERROR(__xludf.DUMMYFUNCTION("GOOGLETRANSLATE(A37617,""en"",""pt"")"),"Volumoso, não pode fazer download de toques e telas, etc.")</f>
        <v>Volumoso, não pode fazer download de toques e telas, etc.</v>
      </c>
      <c r="B37617" s="3">
        <v>0</v>
      </c>
    </row>
    <row r="37618" ht="15.75" customHeight="1" spans="1:2">
      <c r="A37618" s="3" t="str">
        <f>IFERROR(__xludf.DUMMYFUNCTION("GOOGLETRANSLATE(A37618,""en"",""pt"")"),"Um pouco volumoso, acessórios caros")</f>
        <v>Um pouco volumoso, acessórios caros</v>
      </c>
      <c r="B37618" s="3">
        <v>0</v>
      </c>
    </row>
    <row r="37619" ht="15.75" customHeight="1" spans="1:2">
      <c r="A37619" s="3" t="str">
        <f>IFERROR(__xludf.DUMMYFUNCTION("GOOGLETRANSLATE(A37619,""en"",""pt"")"),"Tamanho. Sem jogos, calculater, etc.")</f>
        <v>Tamanho. Sem jogos, calculater, etc.</v>
      </c>
      <c r="B37619" s="3">
        <v>0</v>
      </c>
    </row>
    <row r="37620" ht="15.75" customHeight="1" spans="1:2">
      <c r="A37620" s="3" t="str">
        <f>IFERROR(__xludf.DUMMYFUNCTION("GOOGLETRANSLATE(A37620,""en"",""pt"")"),"funções pobre vida útil da bateria e básico, grande, não pocket dimensionados.")</f>
        <v>funções pobre vida útil da bateria e básico, grande, não pocket dimensionados.</v>
      </c>
      <c r="B37620" s="3">
        <v>0</v>
      </c>
    </row>
    <row r="37621" ht="15.75" customHeight="1" spans="1:2">
      <c r="A37621" s="3" t="str">
        <f>IFERROR(__xludf.DUMMYFUNCTION("GOOGLETRANSLATE(A37621,""en"",""pt"")"),"Sem fecho de segurança para evitar chamadas acidentais, navegação web intuitiva")</f>
        <v>Sem fecho de segurança para evitar chamadas acidentais, navegação web intuitiva</v>
      </c>
      <c r="B37621" s="3">
        <v>0</v>
      </c>
    </row>
    <row r="37622" ht="15.75" customHeight="1" spans="1:2">
      <c r="A37622" s="3" t="str">
        <f>IFERROR(__xludf.DUMMYFUNCTION("GOOGLETRANSLATE(A37622,""en"",""pt"")"),"Falta algumas características que eu realmente não precisa")</f>
        <v>Falta algumas características que eu realmente não precisa</v>
      </c>
      <c r="B37622" s="3">
        <v>0</v>
      </c>
    </row>
    <row r="37623" ht="15.75" customHeight="1" spans="1:2">
      <c r="A37623" s="3" t="str">
        <f>IFERROR(__xludf.DUMMYFUNCTION("GOOGLETRANSLATE(A37623,""en"",""pt"")"),"Não é possível bloquear as teclas para evitar a marcação acidental, campainha não alto o suficiente")</f>
        <v>Não é possível bloquear as teclas para evitar a marcação acidental, campainha não alto o suficiente</v>
      </c>
      <c r="B37623" s="3">
        <v>0</v>
      </c>
    </row>
    <row r="37624" ht="15.75" customHeight="1" spans="1:2">
      <c r="A37624" s="3" t="str">
        <f>IFERROR(__xludf.DUMMYFUNCTION("GOOGLETRANSLATE(A37624,""en"",""pt"")"),"Não o suficiente opções de campainha, vibrando campainha uma configuração pouco fraco, telefone arcaico livro.")</f>
        <v>Não o suficiente opções de campainha, vibrando campainha uma configuração pouco fraco, telefone arcaico livro.</v>
      </c>
      <c r="B37624" s="3">
        <v>0</v>
      </c>
    </row>
    <row r="37625" ht="15.75" customHeight="1" spans="1:2">
      <c r="A37625" s="3" t="str">
        <f>IFERROR(__xludf.DUMMYFUNCTION("GOOGLETRANSLATE(A37625,""en"",""pt"")"),"selecção limitada de acessórios disponíveis. Poderia soar mais alto.")</f>
        <v>selecção limitada de acessórios disponíveis. Poderia soar mais alto.</v>
      </c>
      <c r="B37625" s="3">
        <v>0</v>
      </c>
    </row>
    <row r="37626" ht="15.75" customHeight="1" spans="1:2">
      <c r="A37626" s="3" t="str">
        <f>IFERROR(__xludf.DUMMYFUNCTION("GOOGLETRANSLATE(A37626,""en"",""pt"")"),"Nenhum")</f>
        <v>Nenhum</v>
      </c>
      <c r="B37626" s="3">
        <v>0</v>
      </c>
    </row>
    <row r="37627" ht="15.75" customHeight="1" spans="1:2">
      <c r="A37627" s="3" t="str">
        <f>IFERROR(__xludf.DUMMYFUNCTION("GOOGLETRANSLATE(A37627,""en"",""pt"")"),"volume da campainha inadequada, a conectividade não é o melhor que já vi.")</f>
        <v>volume da campainha inadequada, a conectividade não é o melhor que já vi.</v>
      </c>
      <c r="B37627" s="3">
        <v>0</v>
      </c>
    </row>
    <row r="37628" ht="15.75" customHeight="1" spans="1:2">
      <c r="A37628" s="3" t="str">
        <f>IFERROR(__xludf.DUMMYFUNCTION("GOOGLETRANSLATE(A37628,""en"",""pt"")"),"não confiável")</f>
        <v>não confiável</v>
      </c>
      <c r="B37628" s="3">
        <v>0</v>
      </c>
    </row>
    <row r="37629" ht="15.75" customHeight="1" spans="1:2">
      <c r="A37629" s="3" t="str">
        <f>IFERROR(__xludf.DUMMYFUNCTION("GOOGLETRANSLATE(A37629,""en"",""pt"")"),"Toques não podem ser adicionados, e os acessórios são limitados")</f>
        <v>Toques não podem ser adicionados, e os acessórios são limitados</v>
      </c>
      <c r="B37629" s="3">
        <v>0</v>
      </c>
    </row>
    <row r="37630" ht="15.75" customHeight="1" spans="1:2">
      <c r="A37630" s="3" t="str">
        <f>IFERROR(__xludf.DUMMYFUNCTION("GOOGLETRANSLATE(A37630,""en"",""pt"")"),"comprimento da bateria")</f>
        <v>comprimento da bateria</v>
      </c>
      <c r="B37630" s="3">
        <v>0</v>
      </c>
    </row>
    <row r="37631" ht="15.75" customHeight="1" spans="1:2">
      <c r="A37631" s="3" t="str">
        <f>IFERROR(__xludf.DUMMYFUNCTION("GOOGLETRANSLATE(A37631,""en"",""pt"")"),"a vida da bateria pobres.")</f>
        <v>a vida da bateria pobres.</v>
      </c>
      <c r="B37631" s="3">
        <v>0</v>
      </c>
    </row>
    <row r="37632" ht="15.75" customHeight="1" spans="1:2">
      <c r="A37632" s="3" t="str">
        <f>IFERROR(__xludf.DUMMYFUNCTION("GOOGLETRANSLATE(A37632,""en"",""pt"")"),"Não toques suficientes, não exibe o tempo de telefonemas foram recebidos ou feitos")</f>
        <v>Não toques suficientes, não exibe o tempo de telefonemas foram recebidos ou feitos</v>
      </c>
      <c r="B37632" s="3">
        <v>0</v>
      </c>
    </row>
    <row r="37633" ht="15.75" customHeight="1" spans="1:2">
      <c r="A37633" s="3" t="str">
        <f>IFERROR(__xludf.DUMMYFUNCTION("GOOGLETRANSLATE(A37633,""en"",""pt"")"),"Bad recepção, baixo campainha, interface de feio, muito baixo sobre as opções")</f>
        <v>Bad recepção, baixo campainha, interface de feio, muito baixo sobre as opções</v>
      </c>
      <c r="B37633" s="3">
        <v>0</v>
      </c>
    </row>
    <row r="37634" ht="15.75" customHeight="1" spans="1:2">
      <c r="A37634" s="3" t="str">
        <f>IFERROR(__xludf.DUMMYFUNCTION("GOOGLETRANSLATE(A37634,""en"",""pt"")"),"curta duração da bateria, nenhum discagem ativada por voz.")</f>
        <v>curta duração da bateria, nenhum discagem ativada por voz.</v>
      </c>
      <c r="B37634" s="3">
        <v>0</v>
      </c>
    </row>
    <row r="37635" ht="15.75" customHeight="1" spans="1:2">
      <c r="A37635" s="3" t="str">
        <f>IFERROR(__xludf.DUMMYFUNCTION("GOOGLETRANSLATE(A37635,""en"",""pt"")"),"Quase muito pequeno, às vezes, os acessórios não prontamente disponível, nenhum recurso de bloqueio automático de teclas")</f>
        <v>Quase muito pequeno, às vezes, os acessórios não prontamente disponível, nenhum recurso de bloqueio automático de teclas</v>
      </c>
      <c r="B37635" s="3">
        <v>0</v>
      </c>
    </row>
    <row r="37636" ht="15.75" customHeight="1" spans="1:2">
      <c r="A37636" s="3" t="str">
        <f>IFERROR(__xludf.DUMMYFUNCTION("GOOGLETRANSLATE(A37636,""en"",""pt"")"),"vida útil da bateria Bad, Bad som, falta de durabilidade.")</f>
        <v>vida útil da bateria Bad, Bad som, falta de durabilidade.</v>
      </c>
      <c r="B37636" s="3">
        <v>0</v>
      </c>
    </row>
    <row r="37637" ht="15.75" customHeight="1" spans="1:2">
      <c r="A37637" s="3" t="str">
        <f>IFERROR(__xludf.DUMMYFUNCTION("GOOGLETRANSLATE(A37637,""en"",""pt"")"),"O som áudio não como limpar ou alto quanto poderia ser.")</f>
        <v>O som áudio não como limpar ou alto quanto poderia ser.</v>
      </c>
      <c r="B37637" s="3">
        <v>0</v>
      </c>
    </row>
    <row r="37638" ht="15.75" customHeight="1" spans="1:2">
      <c r="A37638" s="3" t="str">
        <f>IFERROR(__xludf.DUMMYFUNCTION("GOOGLETRANSLATE(A37638,""en"",""pt"")"),"opção de vibração fraca")</f>
        <v>opção de vibração fraca</v>
      </c>
      <c r="B37638" s="3">
        <v>0</v>
      </c>
    </row>
    <row r="37639" ht="15.75" customHeight="1" spans="1:2">
      <c r="A37639" s="3" t="str">
        <f>IFERROR(__xludf.DUMMYFUNCTION("GOOGLETRANSLATE(A37639,""en"",""pt"")"),"rangidos caixa de plástico, não tão resistente como telefones mais velhos Ericsson")</f>
        <v>rangidos caixa de plástico, não tão resistente como telefones mais velhos Ericsson</v>
      </c>
      <c r="B37639" s="3">
        <v>0</v>
      </c>
    </row>
    <row r="37640" ht="15.75" customHeight="1" spans="1:2">
      <c r="A37640" s="3" t="str">
        <f>IFERROR(__xludf.DUMMYFUNCTION("GOOGLETRANSLATE(A37640,""en"",""pt"")"),"Confiabilidade!")</f>
        <v>Confiabilidade!</v>
      </c>
      <c r="B37640" s="3">
        <v>0</v>
      </c>
    </row>
    <row r="37641" ht="15.75" customHeight="1" spans="1:2">
      <c r="A37641" s="3" t="str">
        <f>IFERROR(__xludf.DUMMYFUNCTION("GOOGLETRANSLATE(A37641,""en"",""pt"")"),"Com defeito!")</f>
        <v>Com defeito!</v>
      </c>
      <c r="B37641" s="3">
        <v>0</v>
      </c>
    </row>
    <row r="37642" ht="15.75" customHeight="1" spans="1:2">
      <c r="A37642" s="3" t="str">
        <f>IFERROR(__xludf.DUMMYFUNCTION("GOOGLETRANSLATE(A37642,""en"",""pt"")"),"terrível vida útil da bateria, forma estranha")</f>
        <v>terrível vida útil da bateria, forma estranha</v>
      </c>
      <c r="B37642" s="3">
        <v>0</v>
      </c>
    </row>
    <row r="37643" ht="15.75" customHeight="1" spans="1:2">
      <c r="A37643" s="3" t="str">
        <f>IFERROR(__xludf.DUMMYFUNCTION("GOOGLETRANSLATE(A37643,""en"",""pt"")"),"pequenos botões")</f>
        <v>pequenos botões</v>
      </c>
      <c r="B37643" s="3">
        <v>0</v>
      </c>
    </row>
    <row r="37644" ht="15.75" customHeight="1" spans="1:2">
      <c r="A37644" s="3" t="str">
        <f>IFERROR(__xludf.DUMMYFUNCTION("GOOGLETRANSLATE(A37644,""en"",""pt"")"),"Botões pequenos")</f>
        <v>Botões pequenos</v>
      </c>
      <c r="B37644" s="3">
        <v>0</v>
      </c>
    </row>
    <row r="37645" ht="15.75" customHeight="1" spans="1:2">
      <c r="A37645" s="3" t="str">
        <f>IFERROR(__xludf.DUMMYFUNCTION("GOOGLETRANSLATE(A37645,""en"",""pt"")"),"a suave sobre o volume pedaço da orelha e pequenos botões")</f>
        <v>a suave sobre o volume pedaço da orelha e pequenos botões</v>
      </c>
      <c r="B37645" s="3">
        <v>0</v>
      </c>
    </row>
    <row r="37646" ht="15.75" customHeight="1" spans="1:2">
      <c r="A37646" s="3" t="str">
        <f>IFERROR(__xludf.DUMMYFUNCTION("GOOGLETRANSLATE(A37646,""en"",""pt"")"),"vida útil da bateria de espera curta, incapaz de d / l ringtones e / ou protetores de tela, muito pequeno")</f>
        <v>vida útil da bateria de espera curta, incapaz de d / l ringtones e / ou protetores de tela, muito pequeno</v>
      </c>
      <c r="B37646" s="3">
        <v>0</v>
      </c>
    </row>
    <row r="37647" ht="15.75" customHeight="1" spans="1:2">
      <c r="A37647" s="3" t="str">
        <f>IFERROR(__xludf.DUMMYFUNCTION("GOOGLETRANSLATE(A37647,""en"",""pt"")"),", Software MP3 sem suporte")</f>
        <v>, Software MP3 sem suporte</v>
      </c>
      <c r="B37647" s="3">
        <v>0</v>
      </c>
    </row>
    <row r="37648" ht="15.75" customHeight="1" spans="1:2">
      <c r="A37648" s="3" t="str">
        <f>IFERROR(__xludf.DUMMYFUNCTION("GOOGLETRANSLATE(A37648,""en"",""pt"")"),"Jogando MP3s descarregar a bateria rapidamente.")</f>
        <v>Jogando MP3s descarregar a bateria rapidamente.</v>
      </c>
      <c r="B37648" s="3">
        <v>0</v>
      </c>
    </row>
    <row r="37649" ht="15.75" customHeight="1" spans="1:2">
      <c r="A37649" s="3" t="str">
        <f>IFERROR(__xludf.DUMMYFUNCTION("GOOGLETRANSLATE(A37649,""en"",""pt"")"),"telefone modo single")</f>
        <v>telefone modo single</v>
      </c>
      <c r="B37649" s="3">
        <v>0</v>
      </c>
    </row>
    <row r="37650" ht="15.75" customHeight="1" spans="1:2">
      <c r="A37650" s="3" t="str">
        <f>IFERROR(__xludf.DUMMYFUNCTION("GOOGLETRANSLATE(A37650,""en"",""pt"")"),"Não é muito durável, tempo de resposta em lenta")</f>
        <v>Não é muito durável, tempo de resposta em lenta</v>
      </c>
      <c r="B37650" s="3">
        <v>0</v>
      </c>
    </row>
    <row r="37651" ht="15.75" customHeight="1" spans="1:2">
      <c r="A37651" s="3" t="str">
        <f>IFERROR(__xludf.DUMMYFUNCTION("GOOGLETRANSLATE(A37651,""en"",""pt"")"),"uso minuto passa rápido, tem que manter colocando em senha para acessar determinados recursos.")</f>
        <v>uso minuto passa rápido, tem que manter colocando em senha para acessar determinados recursos.</v>
      </c>
      <c r="B37651" s="3">
        <v>0</v>
      </c>
    </row>
    <row r="37652" ht="15.75" customHeight="1" spans="1:2">
      <c r="A37652" s="3" t="str">
        <f>IFERROR(__xludf.DUMMYFUNCTION("GOOGLETRANSLATE(A37652,""en"",""pt"")"),"Retardar Menus-baratos Design-Erros com fone de ouvido-Bad Reception")</f>
        <v>Retardar Menus-baratos Design-Erros com fone de ouvido-Bad Reception</v>
      </c>
      <c r="B37652" s="3">
        <v>0</v>
      </c>
    </row>
    <row r="37653" ht="15.75" customHeight="1" spans="1:2">
      <c r="A37653" s="3" t="str">
        <f>IFERROR(__xludf.DUMMYFUNCTION("GOOGLETRANSLATE(A37653,""en"",""pt"")"),"O meu era instável telefone, muito básico.")</f>
        <v>O meu era instável telefone, muito básico.</v>
      </c>
      <c r="B37653" s="3">
        <v>0</v>
      </c>
    </row>
    <row r="37654" ht="15.75" customHeight="1" spans="1:2">
      <c r="A37654" s="3" t="str">
        <f>IFERROR(__xludf.DUMMYFUNCTION("GOOGLETRANSLATE(A37654,""en"",""pt"")"),"Não terrivelmente chamativo, ainda grandes para um telefone nos dias de hoje, software buggy.")</f>
        <v>Não terrivelmente chamativo, ainda grandes para um telefone nos dias de hoje, software buggy.</v>
      </c>
      <c r="B37654" s="3">
        <v>0</v>
      </c>
    </row>
    <row r="37655" ht="15.75" customHeight="1" spans="1:2">
      <c r="A37655" s="3" t="str">
        <f>IFERROR(__xludf.DUMMYFUNCTION("GOOGLETRANSLATE(A37655,""en"",""pt"")"),"Big telefone, o recurso de luz")</f>
        <v>Big telefone, o recurso de luz</v>
      </c>
      <c r="B37655" s="3">
        <v>0</v>
      </c>
    </row>
    <row r="37656" ht="15.75" customHeight="1" spans="1:2">
      <c r="A37656" s="3" t="str">
        <f>IFERROR(__xludf.DUMMYFUNCTION("GOOGLETRANSLATE(A37656,""en"",""pt"")"),"antenas é chato, sem tela colorida, organizador limitado")</f>
        <v>antenas é chato, sem tela colorida, organizador limitado</v>
      </c>
      <c r="B37656" s="3">
        <v>0</v>
      </c>
    </row>
    <row r="37657" ht="15.75" customHeight="1" spans="1:2">
      <c r="A37657" s="3" t="str">
        <f>IFERROR(__xludf.DUMMYFUNCTION("GOOGLETRANSLATE(A37657,""en"",""pt"")"),"Agora minha esposa pode me pegar, não o meu pager!")</f>
        <v>Agora minha esposa pode me pegar, não o meu pager!</v>
      </c>
      <c r="B37657" s="3">
        <v>0</v>
      </c>
    </row>
    <row r="37658" ht="15.75" customHeight="1" spans="1:2">
      <c r="A37658" s="3" t="str">
        <f>IFERROR(__xludf.DUMMYFUNCTION("GOOGLETRANSLATE(A37658,""en"",""pt"")"),"O único con seria seja, se a Nokia pára fabricação deste telefone.")</f>
        <v>O único con seria seja, se a Nokia pára fabricação deste telefone.</v>
      </c>
      <c r="B37658" s="3">
        <v>0</v>
      </c>
    </row>
    <row r="37659" ht="15.75" customHeight="1" spans="1:2">
      <c r="A37659" s="3" t="str">
        <f>IFERROR(__xludf.DUMMYFUNCTION("GOOGLETRANSLATE(A37659,""en"",""pt"")"),"Ridiculamente brega.")</f>
        <v>Ridiculamente brega.</v>
      </c>
      <c r="B37659" s="3">
        <v>0</v>
      </c>
    </row>
    <row r="37660" ht="15.75" customHeight="1" spans="1:2">
      <c r="A37660" s="3" t="str">
        <f>IFERROR(__xludf.DUMMYFUNCTION("GOOGLETRANSLATE(A37660,""en"",""pt"")"),"telefone básico, não esperar muito.")</f>
        <v>telefone básico, não esperar muito.</v>
      </c>
      <c r="B37660" s="3">
        <v>0</v>
      </c>
    </row>
    <row r="37661" ht="15.75" customHeight="1" spans="1:2">
      <c r="A37661" s="3" t="str">
        <f>IFERROR(__xludf.DUMMYFUNCTION("GOOGLETRANSLATE(A37661,""en"",""pt"")"),"Volume da campainha, antena fraco, botões não funciona")</f>
        <v>Volume da campainha, antena fraco, botões não funciona</v>
      </c>
      <c r="B37661" s="3">
        <v>0</v>
      </c>
    </row>
    <row r="37662" ht="15.75" customHeight="1" spans="1:2">
      <c r="A37662" s="3" t="str">
        <f>IFERROR(__xludf.DUMMYFUNCTION("GOOGLETRANSLATE(A37662,""en"",""pt"")"),"Para Many Lights, que carece de Tela A Cor")</f>
        <v>Para Many Lights, que carece de Tela A Cor</v>
      </c>
      <c r="B37662" s="3">
        <v>0</v>
      </c>
    </row>
    <row r="37663" ht="15.75" customHeight="1" spans="1:2">
      <c r="A37663" s="3" t="str">
        <f>IFERROR(__xludf.DUMMYFUNCTION("GOOGLETRANSLATE(A37663,""en"",""pt"")"),"frágil, fraco, inútil")</f>
        <v>frágil, fraco, inútil</v>
      </c>
      <c r="B37663" s="3">
        <v>0</v>
      </c>
    </row>
    <row r="37664" ht="15.75" customHeight="1" spans="1:2">
      <c r="A37664" s="3" t="str">
        <f>IFERROR(__xludf.DUMMYFUNCTION("GOOGLETRANSLATE(A37664,""en"",""pt"")"),"junk Nokia típico!")</f>
        <v>junk Nokia típico!</v>
      </c>
      <c r="B37664" s="3">
        <v>0</v>
      </c>
    </row>
    <row r="37665" ht="15.75" customHeight="1" spans="1:2">
      <c r="A37665" s="3" t="str">
        <f>IFERROR(__xludf.DUMMYFUNCTION("GOOGLETRANSLATE(A37665,""en"",""pt"")"),"Feito barata; bastante frágil; poderia quebrar facilmente se cair muitas vezes ou pisado;")</f>
        <v>Feito barata; bastante frágil; poderia quebrar facilmente se cair muitas vezes ou pisado;</v>
      </c>
      <c r="B37665" s="3">
        <v>0</v>
      </c>
    </row>
    <row r="37666" ht="15.75" customHeight="1" spans="1:2">
      <c r="A37666" s="3" t="str">
        <f>IFERROR(__xludf.DUMMYFUNCTION("GOOGLETRANSLATE(A37666,""en"",""pt"")"),"O telefone é volumoso e a antena um pouco frágil.")</f>
        <v>O telefone é volumoso e a antena um pouco frágil.</v>
      </c>
      <c r="B37666" s="3">
        <v>0</v>
      </c>
    </row>
    <row r="37667" ht="15.75" customHeight="1" spans="1:2">
      <c r="A37667" s="3" t="str">
        <f>IFERROR(__xludf.DUMMYFUNCTION("GOOGLETRANSLATE(A37667,""en"",""pt"")"),"bugs de software, volumosos no bolso, botões desgastar rapidamente")</f>
        <v>bugs de software, volumosos no bolso, botões desgastar rapidamente</v>
      </c>
      <c r="B37667" s="3">
        <v>0</v>
      </c>
    </row>
    <row r="37668" ht="15.75" customHeight="1" spans="1:2">
      <c r="A37668" s="3" t="str">
        <f>IFERROR(__xludf.DUMMYFUNCTION("GOOGLETRANSLATE(A37668,""en"",""pt"")"),"Barato")</f>
        <v>Barato</v>
      </c>
      <c r="B37668" s="3">
        <v>0</v>
      </c>
    </row>
    <row r="37669" ht="15.75" customHeight="1" spans="1:2">
      <c r="A37669" s="3" t="str">
        <f>IFERROR(__xludf.DUMMYFUNCTION("GOOGLETRANSLATE(A37669,""en"",""pt"")"),"HORRÍVEL interior, estrutura de estacionamento, o desempenho do shopping. JAVA trava frequentemente causando Menu para seaze.")</f>
        <v>HORRÍVEL interior, estrutura de estacionamento, o desempenho do shopping. JAVA trava frequentemente causando Menu para seaze.</v>
      </c>
      <c r="B37669" s="3">
        <v>0</v>
      </c>
    </row>
    <row r="37670" ht="15.75" customHeight="1" spans="1:2">
      <c r="A37670" s="3" t="str">
        <f>IFERROR(__xludf.DUMMYFUNCTION("GOOGLETRANSLATE(A37670,""en"",""pt"")"),"Não cobre bonito da margarida que eu encontrei.")</f>
        <v>Não cobre bonito da margarida que eu encontrei.</v>
      </c>
      <c r="B37670" s="3">
        <v>0</v>
      </c>
    </row>
    <row r="37671" ht="15.75" customHeight="1" spans="1:2">
      <c r="A37671" s="3" t="str">
        <f>IFERROR(__xludf.DUMMYFUNCTION("GOOGLETRANSLATE(A37671,""en"",""pt"")"),"Proprietary Connector, Recepção, Bad Camera, lentidão")</f>
        <v>Proprietary Connector, Recepção, Bad Camera, lentidão</v>
      </c>
      <c r="B37671" s="3">
        <v>0</v>
      </c>
    </row>
    <row r="37672" ht="15.75" customHeight="1" spans="1:2">
      <c r="A37672" s="3" t="str">
        <f>IFERROR(__xludf.DUMMYFUNCTION("GOOGLETRANSLATE(A37672,""en"",""pt"")"),"difícil de ver na luz. Design Jack pobre auscultadores")</f>
        <v>difícil de ver na luz. Design Jack pobre auscultadores</v>
      </c>
      <c r="B37672" s="3">
        <v>0</v>
      </c>
    </row>
    <row r="37673" ht="15.75" customHeight="1" spans="1:2">
      <c r="A37673" s="3" t="str">
        <f>IFERROR(__xludf.DUMMYFUNCTION("GOOGLETRANSLATE(A37673,""en"",""pt"")"),"conectores proprietários. Escassez de acessórios. Congela. antena fraco. lavagens exposição fora na luz solar")</f>
        <v>conectores proprietários. Escassez de acessórios. Congela. antena fraco. lavagens exposição fora na luz solar</v>
      </c>
      <c r="B37673" s="3">
        <v>0</v>
      </c>
    </row>
    <row r="37674" ht="15.75" customHeight="1" spans="1:2">
      <c r="A37674" s="3" t="str">
        <f>IFERROR(__xludf.DUMMYFUNCTION("GOOGLETRANSLATE(A37674,""en"",""pt"")"),"Muitos para listar aqui.")</f>
        <v>Muitos para listar aqui.</v>
      </c>
      <c r="B37674" s="3">
        <v>0</v>
      </c>
    </row>
    <row r="37675" ht="15.75" customHeight="1" spans="1:2">
      <c r="A37675" s="3" t="str">
        <f>IFERROR(__xludf.DUMMYFUNCTION("GOOGLETRANSLATE(A37675,""en"",""pt"")"),"Muito estranho interface, telefone trava, tela escura na luz solar, nenhum slot para cartão SD")</f>
        <v>Muito estranho interface, telefone trava, tela escura na luz solar, nenhum slot para cartão SD</v>
      </c>
      <c r="B37675" s="3">
        <v>0</v>
      </c>
    </row>
    <row r="37676" ht="15.75" customHeight="1" spans="1:2">
      <c r="A37676" s="3" t="str">
        <f>IFERROR(__xludf.DUMMYFUNCTION("GOOGLETRANSLATE(A37676,""en"",""pt"")"),"Faceplate pode arranhar, menu de registo de chamadas é confuso, alguns menus são demasiado aninhados.")</f>
        <v>Faceplate pode arranhar, menu de registo de chamadas é confuso, alguns menus são demasiado aninhados.</v>
      </c>
      <c r="B37676" s="3">
        <v>0</v>
      </c>
    </row>
    <row r="37677" ht="15.75" customHeight="1" spans="1:2">
      <c r="A37677" s="3" t="str">
        <f>IFERROR(__xludf.DUMMYFUNCTION("GOOGLETRANSLATE(A37677,""en"",""pt"")"),"Pega o ruído de fundo, trava, recepção em áreas marginais (com firmware original)")</f>
        <v>Pega o ruído de fundo, trava, recepção em áreas marginais (com firmware original)</v>
      </c>
      <c r="B37677" s="3">
        <v>0</v>
      </c>
    </row>
    <row r="37678" ht="15.75" customHeight="1" spans="1:2">
      <c r="A37678" s="3" t="str">
        <f>IFERROR(__xludf.DUMMYFUNCTION("GOOGLETRANSLATE(A37678,""en"",""pt"")"),"Pobre Interface. Emissão Fecho inaceitável.")</f>
        <v>Pobre Interface. Emissão Fecho inaceitável.</v>
      </c>
      <c r="B37678" s="3">
        <v>0</v>
      </c>
    </row>
    <row r="37679" ht="15.75" customHeight="1" spans="1:2">
      <c r="A37679" s="3" t="str">
        <f>IFERROR(__xludf.DUMMYFUNCTION("GOOGLETRANSLATE(A37679,""en"",""pt"")"),"falante tranquila, teclado não confiável, a falta de alertas de compromissos decentes, pobre alcance do Bluetooth")</f>
        <v>falante tranquila, teclado não confiável, a falta de alertas de compromissos decentes, pobre alcance do Bluetooth</v>
      </c>
      <c r="B37679" s="3">
        <v>0</v>
      </c>
    </row>
    <row r="37680" ht="15.75" customHeight="1" spans="1:2">
      <c r="A37680" s="3" t="str">
        <f>IFERROR(__xludf.DUMMYFUNCTION("GOOGLETRANSLATE(A37680,""en"",""pt"")"),"Recepção, Camera")</f>
        <v>Recepção, Camera</v>
      </c>
      <c r="B37680" s="3">
        <v>0</v>
      </c>
    </row>
    <row r="37681" ht="15.75" customHeight="1" spans="1:2">
      <c r="A37681" s="3" t="str">
        <f>IFERROR(__xludf.DUMMYFUNCTION("GOOGLETRANSLATE(A37681,""en"",""pt"")"),"Em comparação com todos os outros telefones, tudo sobre este telefone é pobre no melhor.")</f>
        <v>Em comparação com todos os outros telefones, tudo sobre este telefone é pobre no melhor.</v>
      </c>
      <c r="B37681" s="3">
        <v>0</v>
      </c>
    </row>
    <row r="37682" ht="15.75" customHeight="1" spans="1:2">
      <c r="A37682" s="3" t="str">
        <f>IFERROR(__xludf.DUMMYFUNCTION("GOOGLETRANSLATE(A37682,""en"",""pt"")"),"Menu lenta, câmera inútil, pobre tela na luz solar, bateria fraca, medíocre recepção")</f>
        <v>Menu lenta, câmera inútil, pobre tela na luz solar, bateria fraca, medíocre recepção</v>
      </c>
      <c r="B37682" s="3">
        <v>0</v>
      </c>
    </row>
    <row r="37683" ht="15.75" customHeight="1" spans="1:2">
      <c r="A37683" s="3" t="str">
        <f>IFERROR(__xludf.DUMMYFUNCTION("GOOGLETRANSLATE(A37683,""en"",""pt"")"),"Congela-se demasiado frequentemente, complicado, pequenas chaves, tela escura quando ao ar livre.")</f>
        <v>Congela-se demasiado frequentemente, complicado, pequenas chaves, tela escura quando ao ar livre.</v>
      </c>
      <c r="B37683" s="3">
        <v>0</v>
      </c>
    </row>
    <row r="37684" ht="15.75" customHeight="1" spans="1:2">
      <c r="A37684" s="3" t="str">
        <f>IFERROR(__xludf.DUMMYFUNCTION("GOOGLETRANSLATE(A37684,""en"",""pt"")"),"Excepcionalmente pobre qualidade de construção, falha de software, má recepção, entrada de texto lento, vida de bateria fraca.")</f>
        <v>Excepcionalmente pobre qualidade de construção, falha de software, má recepção, entrada de texto lento, vida de bateria fraca.</v>
      </c>
      <c r="B37684" s="3">
        <v>0</v>
      </c>
    </row>
    <row r="37685" ht="15.75" customHeight="1" spans="1:2">
      <c r="A37685" s="3" t="str">
        <f>IFERROR(__xludf.DUMMYFUNCTION("GOOGLETRANSLATE(A37685,""en"",""pt"")"),"TERRÍVEL sistema, terrível, terrível menu.")</f>
        <v>TERRÍVEL sistema, terrível, terrível menu.</v>
      </c>
      <c r="B37685" s="3">
        <v>0</v>
      </c>
    </row>
    <row r="37686" ht="15.75" customHeight="1" spans="1:2">
      <c r="A37686" s="3" t="str">
        <f>IFERROR(__xludf.DUMMYFUNCTION("GOOGLETRANSLATE(A37686,""en"",""pt"")"),"LCD é lavada para fora, muito fraca intensidade do sinal, problemas com o carregamento e auricular")</f>
        <v>LCD é lavada para fora, muito fraca intensidade do sinal, problemas com o carregamento e auricular</v>
      </c>
      <c r="B37686" s="3">
        <v>0</v>
      </c>
    </row>
    <row r="37687" ht="15.75" customHeight="1" spans="1:2">
      <c r="A37687" s="3" t="str">
        <f>IFERROR(__xludf.DUMMYFUNCTION("GOOGLETRANSLATE(A37687,""en"",""pt"")"),"jack fone proprietário, sem lembrete de correio de voz, às vezes requer reinicialização, software Sync pobre, pobre qualidade da câmera")</f>
        <v>jack fone proprietário, sem lembrete de correio de voz, às vezes requer reinicialização, software Sync pobre, pobre qualidade da câmera</v>
      </c>
      <c r="B37687" s="3">
        <v>0</v>
      </c>
    </row>
    <row r="37688" ht="15.75" customHeight="1" spans="1:2">
      <c r="A37688" s="3" t="str">
        <f>IFERROR(__xludf.DUMMYFUNCTION("GOOGLETRANSLATE(A37688,""en"",""pt"")"),"Tudo o resto !!! ..... Má qualidade de fabricação e design de software.")</f>
        <v>Tudo o resto !!! ..... Má qualidade de fabricação e design de software.</v>
      </c>
      <c r="B37688" s="3">
        <v>0</v>
      </c>
    </row>
    <row r="37689" ht="15.75" customHeight="1" spans="1:2">
      <c r="A37689" s="3" t="str">
        <f>IFERROR(__xludf.DUMMYFUNCTION("GOOGLETRANSLATE(A37689,""en"",""pt"")"),"Leia acima")</f>
        <v>Leia acima</v>
      </c>
      <c r="B37689" s="3">
        <v>0</v>
      </c>
    </row>
    <row r="37690" ht="15.75" customHeight="1" spans="1:2">
      <c r="A37690" s="3" t="str">
        <f>IFERROR(__xludf.DUMMYFUNCTION("GOOGLETRANSLATE(A37690,""en"",""pt"")"),"A qualidade da imagem, as confirmações de menu irritantes, so-so recepção")</f>
        <v>A qualidade da imagem, as confirmações de menu irritantes, so-so recepção</v>
      </c>
      <c r="B37690" s="3">
        <v>0</v>
      </c>
    </row>
    <row r="37691" ht="15.75" customHeight="1" spans="1:2">
      <c r="A37691" s="3" t="str">
        <f>IFERROR(__xludf.DUMMYFUNCTION("GOOGLETRANSLATE(A37691,""en"",""pt"")"),"força do sinal, indicador de bateria, qualidade da câmera.")</f>
        <v>força do sinal, indicador de bateria, qualidade da câmera.</v>
      </c>
      <c r="B37691" s="3">
        <v>0</v>
      </c>
    </row>
    <row r="37692" ht="15.75" customHeight="1" spans="1:2">
      <c r="A37692" s="3" t="str">
        <f>IFERROR(__xludf.DUMMYFUNCTION("GOOGLETRANSLATE(A37692,""en"",""pt"")"),"As fotos estão granuladas, Mac sync é fraca.")</f>
        <v>As fotos estão granuladas, Mac sync é fraca.</v>
      </c>
      <c r="B37692" s="3">
        <v>0</v>
      </c>
    </row>
    <row r="37693" ht="15.75" customHeight="1" spans="1:2">
      <c r="A37693" s="3" t="str">
        <f>IFERROR(__xludf.DUMMYFUNCTION("GOOGLETRANSLATE(A37693,""en"",""pt"")"),"não pode tocar ou degrau, há txts pode ser recebido ou txts, meia hora a carga!")</f>
        <v>não pode tocar ou degrau, há txts pode ser recebido ou txts, meia hora a carga!</v>
      </c>
      <c r="B37693" s="3">
        <v>0</v>
      </c>
    </row>
    <row r="37694" ht="15.75" customHeight="1" spans="1:2">
      <c r="A37694" s="3" t="str">
        <f>IFERROR(__xludf.DUMMYFUNCTION("GOOGLETRANSLATE(A37694,""en"",""pt"")"),"vai Frezze se você usar para muito espaço, muito básico para um downloader telefone viciado")</f>
        <v>vai Frezze se você usar para muito espaço, muito básico para um downloader telefone viciado</v>
      </c>
      <c r="B37694" s="3">
        <v>0</v>
      </c>
    </row>
    <row r="37695" ht="15.75" customHeight="1" spans="1:2">
      <c r="A37695" s="3" t="str">
        <f>IFERROR(__xludf.DUMMYFUNCTION("GOOGLETRANSLATE(A37695,""en"",""pt"")"),"carregador de carro não incluído, má qualidade pedaço da orelha, Cam baixa resolução, tela arranhada facilmente.")</f>
        <v>carregador de carro não incluído, má qualidade pedaço da orelha, Cam baixa resolução, tela arranhada facilmente.</v>
      </c>
      <c r="B37695" s="3">
        <v>0</v>
      </c>
    </row>
    <row r="37696" ht="15.75" customHeight="1" spans="1:2">
      <c r="A37696" s="3" t="str">
        <f>IFERROR(__xludf.DUMMYFUNCTION("GOOGLETRANSLATE(A37696,""en"",""pt"")"),"recepção escamosa, telefone frequente e cartão SIM Freeze-ups, feedback quando usando fone de ouvido.")</f>
        <v>recepção escamosa, telefone frequente e cartão SIM Freeze-ups, feedback quando usando fone de ouvido.</v>
      </c>
      <c r="B37696" s="3">
        <v>0</v>
      </c>
    </row>
    <row r="37697" ht="15.75" customHeight="1" spans="1:2">
      <c r="A37697" s="3" t="str">
        <f>IFERROR(__xludf.DUMMYFUNCTION("GOOGLETRANSLATE(A37697,""en"",""pt"")"),"curta duração da bateria ao usar Bluetooth ... ou câmera.")</f>
        <v>curta duração da bateria ao usar Bluetooth ... ou câmera.</v>
      </c>
      <c r="B37697" s="3">
        <v>0</v>
      </c>
    </row>
    <row r="37698" ht="15.75" customHeight="1" spans="1:2">
      <c r="A37698" s="3" t="str">
        <f>IFERROR(__xludf.DUMMYFUNCTION("GOOGLETRANSLATE(A37698,""en"",""pt"")"),"RECEPÇÃO SUGA! Interface lento!")</f>
        <v>RECEPÇÃO SUGA! Interface lento!</v>
      </c>
      <c r="B37698" s="3">
        <v>0</v>
      </c>
    </row>
    <row r="37699" ht="15.75" customHeight="1" spans="1:2">
      <c r="A37699" s="3" t="str">
        <f>IFERROR(__xludf.DUMMYFUNCTION("GOOGLETRANSLATE(A37699,""en"",""pt"")"),"terrible recepção, inutilizável em muitos lugares onde outros telefones funcionam")</f>
        <v>terrible recepção, inutilizável em muitos lugares onde outros telefones funcionam</v>
      </c>
      <c r="B37699" s="3">
        <v>0</v>
      </c>
    </row>
    <row r="37700" ht="15.75" customHeight="1" spans="1:2">
      <c r="A37700" s="3" t="str">
        <f>IFERROR(__xludf.DUMMYFUNCTION("GOOGLETRANSLATE(A37700,""en"",""pt"")"),"Não periféricos disponíveis, relativamente grande")</f>
        <v>Não periféricos disponíveis, relativamente grande</v>
      </c>
      <c r="B37700" s="3">
        <v>0</v>
      </c>
    </row>
    <row r="37701" ht="15.75" customHeight="1" spans="1:2">
      <c r="A37701" s="3" t="str">
        <f>IFERROR(__xludf.DUMMYFUNCTION("GOOGLETRANSLATE(A37701,""en"",""pt"")"),"Vários Passos Acessando Menu, Menial Web Browsing, Buttons uma pequena parte para o grande handed")</f>
        <v>Vários Passos Acessando Menu, Menial Web Browsing, Buttons uma pequena parte para o grande handed</v>
      </c>
      <c r="B37701" s="3">
        <v>0</v>
      </c>
    </row>
    <row r="37702" ht="15.75" customHeight="1" spans="1:2">
      <c r="A37702" s="3" t="str">
        <f>IFERROR(__xludf.DUMMYFUNCTION("GOOGLETRANSLATE(A37702,""en"",""pt"")"),"Não muitos accsesories. Pequeno fácil de perder.")</f>
        <v>Não muitos accsesories. Pequeno fácil de perder.</v>
      </c>
      <c r="B37702" s="3">
        <v>0</v>
      </c>
    </row>
    <row r="37703" ht="15.75" customHeight="1" spans="1:2">
      <c r="A37703" s="3" t="str">
        <f>IFERROR(__xludf.DUMMYFUNCTION("GOOGLETRANSLATE(A37703,""en"",""pt"")"),"Pobre bloqueio do teclado. Pobre anel e / ou volume de vibração. No chamado ID")</f>
        <v>Pobre bloqueio do teclado. Pobre anel e / ou volume de vibração. No chamado ID</v>
      </c>
      <c r="B37703" s="3">
        <v>0</v>
      </c>
    </row>
    <row r="37704" ht="15.75" customHeight="1" spans="1:2">
      <c r="A37704" s="3" t="str">
        <f>IFERROR(__xludf.DUMMYFUNCTION("GOOGLETRANSLATE(A37704,""en"",""pt"")"),"Alguns botões / itens do menu estão confundindo")</f>
        <v>Alguns botões / itens do menu estão confundindo</v>
      </c>
      <c r="B37704" s="3">
        <v>0</v>
      </c>
    </row>
    <row r="37705" ht="15.75" customHeight="1" spans="1:2">
      <c r="A37705" s="3" t="str">
        <f>IFERROR(__xludf.DUMMYFUNCTION("GOOGLETRANSLATE(A37705,""en"",""pt"")"),"Um pouco sistema de menu ""desajeitado""")</f>
        <v>Um pouco sistema de menu "desajeitado"</v>
      </c>
      <c r="B37705" s="3">
        <v>0</v>
      </c>
    </row>
    <row r="37706" ht="15.75" customHeight="1" spans="1:2">
      <c r="A37706" s="3" t="str">
        <f>IFERROR(__xludf.DUMMYFUNCTION("GOOGLETRANSLATE(A37706,""en"",""pt"")"),"projeto so-so; nenhum navegador web, calendário, jogos, funcionando bloqueio do teclado; vida útil da bateria medíocre")</f>
        <v>projeto so-so; nenhum navegador web, calendário, jogos, funcionando bloqueio do teclado; vida útil da bateria medíocre</v>
      </c>
      <c r="B37706" s="3">
        <v>0</v>
      </c>
    </row>
    <row r="37707" ht="15.75" customHeight="1" spans="1:2">
      <c r="A37707" s="3" t="str">
        <f>IFERROR(__xludf.DUMMYFUNCTION("GOOGLETRANSLATE(A37707,""en"",""pt"")"),"Parece barato / Sounds barato, Display difícil de ler, falta de recursos, difícil de encontrar-Acessórios")</f>
        <v>Parece barato / Sounds barato, Display difícil de ler, falta de recursos, difícil de encontrar-Acessórios</v>
      </c>
      <c r="B37707" s="3">
        <v>0</v>
      </c>
    </row>
    <row r="37708" ht="15.75" customHeight="1" spans="1:2">
      <c r="A37708" s="3" t="str">
        <f>IFERROR(__xludf.DUMMYFUNCTION("GOOGLETRANSLATE(A37708,""en"",""pt"")"),"qualidade de som, alto-falante")</f>
        <v>qualidade de som, alto-falante</v>
      </c>
      <c r="B37708" s="3">
        <v>0</v>
      </c>
    </row>
    <row r="37709" ht="15.75" customHeight="1" spans="1:2">
      <c r="A37709" s="3" t="str">
        <f>IFERROR(__xludf.DUMMYFUNCTION("GOOGLETRANSLATE(A37709,""en"",""pt"")"),"qualidade de som, não toque personalizável")</f>
        <v>qualidade de som, não toque personalizável</v>
      </c>
      <c r="B37709" s="3">
        <v>0</v>
      </c>
    </row>
    <row r="37710" ht="15.75" customHeight="1" spans="1:2">
      <c r="A37710" s="3" t="str">
        <f>IFERROR(__xludf.DUMMYFUNCTION("GOOGLETRANSLATE(A37710,""en"",""pt"")"),"medidor de bateria; alguns insumos lentas")</f>
        <v>medidor de bateria; alguns insumos lentas</v>
      </c>
      <c r="B37710" s="3">
        <v>0</v>
      </c>
    </row>
    <row r="37711" ht="15.75" customHeight="1" spans="1:2">
      <c r="A37711" s="3" t="str">
        <f>IFERROR(__xludf.DUMMYFUNCTION("GOOGLETRANSLATE(A37711,""en"",""pt"")"),"vida de bateria fraca, não muito")</f>
        <v>vida de bateria fraca, não muito</v>
      </c>
      <c r="B37711" s="3">
        <v>0</v>
      </c>
    </row>
    <row r="37712" ht="15.75" customHeight="1" spans="1:2">
      <c r="A37712" s="3" t="str">
        <f>IFERROR(__xludf.DUMMYFUNCTION("GOOGLETRANSLATE(A37712,""en"",""pt"")"),"não disponível em algumas áreas")</f>
        <v>não disponível em algumas áreas</v>
      </c>
      <c r="B37712" s="3">
        <v>0</v>
      </c>
    </row>
    <row r="37713" ht="15.75" customHeight="1" spans="1:2">
      <c r="A37713" s="3" t="str">
        <f>IFERROR(__xludf.DUMMYFUNCTION("GOOGLETRANSLATE(A37713,""en"",""pt"")"),"vida útil da bateria baixa, não muitos recursos")</f>
        <v>vida útil da bateria baixa, não muitos recursos</v>
      </c>
      <c r="B37713" s="3">
        <v>0</v>
      </c>
    </row>
    <row r="37714" ht="15.75" customHeight="1" spans="1:2">
      <c r="A37714" s="3" t="str">
        <f>IFERROR(__xludf.DUMMYFUNCTION("GOOGLETRANSLATE(A37714,""en"",""pt"")"),"TUDO!")</f>
        <v>TUDO!</v>
      </c>
      <c r="B37714" s="3">
        <v>0</v>
      </c>
    </row>
    <row r="37715" ht="15.75" customHeight="1" spans="1:2">
      <c r="A37715" s="3" t="str">
        <f>IFERROR(__xludf.DUMMYFUNCTION("GOOGLETRANSLATE(A37715,""en"",""pt"")"),"Todos desempenho - confiabilidade, clareza, recepção, a vida da bateria, etc")</f>
        <v>Todos desempenho - confiabilidade, clareza, recepção, a vida da bateria, etc</v>
      </c>
      <c r="B37715" s="3">
        <v>0</v>
      </c>
    </row>
    <row r="37716" ht="15.75" customHeight="1" spans="1:2">
      <c r="A37716" s="3" t="str">
        <f>IFERROR(__xludf.DUMMYFUNCTION("GOOGLETRANSLATE(A37716,""en"",""pt"")"),"Não ringtones para download")</f>
        <v>Não ringtones para download</v>
      </c>
      <c r="B37716" s="3">
        <v>0</v>
      </c>
    </row>
    <row r="37717" ht="15.75" customHeight="1" spans="1:2">
      <c r="A37717" s="3" t="str">
        <f>IFERROR(__xludf.DUMMYFUNCTION("GOOGLETRANSLATE(A37717,""en"",""pt"")"),"O serviço não é grande.")</f>
        <v>O serviço não é grande.</v>
      </c>
      <c r="B37717" s="3">
        <v>0</v>
      </c>
    </row>
    <row r="37718" ht="15.75" customHeight="1" spans="1:2">
      <c r="A37718" s="3" t="str">
        <f>IFERROR(__xludf.DUMMYFUNCTION("GOOGLETRANSLATE(A37718,""en"",""pt"")"),"A recepção é uma porcaria, viva-voz Corta a cada dois minutos.")</f>
        <v>A recepção é uma porcaria, viva-voz Corta a cada dois minutos.</v>
      </c>
      <c r="B37718" s="3">
        <v>0</v>
      </c>
    </row>
    <row r="37719" ht="15.75" customHeight="1" spans="1:2">
      <c r="A37719" s="3" t="str">
        <f>IFERROR(__xludf.DUMMYFUNCTION("GOOGLETRANSLATE(A37719,""en"",""pt"")"),"Apenas con é se você usar seu telefone para jogar em vez de chamar!")</f>
        <v>Apenas con é se você usar seu telefone para jogar em vez de chamar!</v>
      </c>
      <c r="B37719" s="3">
        <v>0</v>
      </c>
    </row>
    <row r="37720" ht="15.75" customHeight="1" spans="1:2">
      <c r="A37720" s="3" t="str">
        <f>IFERROR(__xludf.DUMMYFUNCTION("GOOGLETRANSLATE(A37720,""en"",""pt"")"),"preferem um teclado coberto.")</f>
        <v>preferem um teclado coberto.</v>
      </c>
      <c r="B37720" s="3">
        <v>0</v>
      </c>
    </row>
    <row r="37721" ht="15.75" customHeight="1" spans="1:2">
      <c r="A37721" s="3" t="str">
        <f>IFERROR(__xludf.DUMMYFUNCTION("GOOGLETRANSLATE(A37721,""en"",""pt"")"),"Nada!!! Talvez o fato de que não há são built-in jogos ??")</f>
        <v>Nada!!! Talvez o fato de que não há são built-in jogos ??</v>
      </c>
      <c r="B37721" s="3">
        <v>0</v>
      </c>
    </row>
    <row r="37722" ht="15.75" customHeight="1" spans="1:2">
      <c r="A37722" s="3" t="str">
        <f>IFERROR(__xludf.DUMMYFUNCTION("GOOGLETRANSLATE(A37722,""en"",""pt"")"),"vida útil da bateria (curto e longo prazo), fechadura com chave, recepção")</f>
        <v>vida útil da bateria (curto e longo prazo), fechadura com chave, recepção</v>
      </c>
      <c r="B37722" s="3">
        <v>0</v>
      </c>
    </row>
    <row r="37723" ht="15.75" customHeight="1" spans="1:2">
      <c r="A37723" s="3" t="str">
        <f>IFERROR(__xludf.DUMMYFUNCTION("GOOGLETRANSLATE(A37723,""en"",""pt"")"),"muito sem frescuras, Sem função de calculadora, função cronômetro, etc ...")</f>
        <v>muito sem frescuras, Sem função de calculadora, função cronômetro, etc ...</v>
      </c>
      <c r="B37723" s="3">
        <v>0</v>
      </c>
    </row>
    <row r="37724" ht="15.75" customHeight="1" spans="1:2">
      <c r="A37724" s="3" t="str">
        <f>IFERROR(__xludf.DUMMYFUNCTION("GOOGLETRANSLATE(A37724,""en"",""pt"")"),"não vão tão bom")</f>
        <v>não vão tão bom</v>
      </c>
      <c r="B37724" s="3">
        <v>0</v>
      </c>
    </row>
    <row r="37725" ht="15.75" customHeight="1" spans="1:2">
      <c r="A37725" s="3" t="str">
        <f>IFERROR(__xludf.DUMMYFUNCTION("GOOGLETRANSLATE(A37725,""en"",""pt"")"),"voltas telefone ligado e desligado independentemente da força da bateria, GPS habilitado, mas não funcional.")</f>
        <v>voltas telefone ligado e desligado independentemente da força da bateria, GPS habilitado, mas não funcional.</v>
      </c>
      <c r="B37725" s="3">
        <v>0</v>
      </c>
    </row>
    <row r="37726" ht="15.75" customHeight="1" spans="1:2">
      <c r="A37726" s="3" t="str">
        <f>IFERROR(__xludf.DUMMYFUNCTION("GOOGLETRANSLATE(A37726,""en"",""pt"")"),"um pouco volumoso menus irritantes")</f>
        <v>um pouco volumoso menus irritantes</v>
      </c>
      <c r="B37726" s="3">
        <v>0</v>
      </c>
    </row>
    <row r="37727" ht="15.75" customHeight="1" spans="1:2">
      <c r="A37727" s="3" t="str">
        <f>IFERROR(__xludf.DUMMYFUNCTION("GOOGLETRANSLATE(A37727,""en"",""pt"")"),"no lado grande, horrível serviço ao cliente Sprint")</f>
        <v>no lado grande, horrível serviço ao cliente Sprint</v>
      </c>
      <c r="B37727" s="3">
        <v>0</v>
      </c>
    </row>
    <row r="37728" ht="15.75" customHeight="1" spans="1:2">
      <c r="A37728" s="3" t="str">
        <f>IFERROR(__xludf.DUMMYFUNCTION("GOOGLETRANSLATE(A37728,""en"",""pt"")"),"teclas de seta pode ser difícil de uso")</f>
        <v>teclas de seta pode ser difícil de uso</v>
      </c>
      <c r="B37728" s="3">
        <v>0</v>
      </c>
    </row>
    <row r="37729" ht="15.75" customHeight="1" spans="1:2">
      <c r="A37729" s="3" t="str">
        <f>IFERROR(__xludf.DUMMYFUNCTION("GOOGLETRANSLATE(A37729,""en"",""pt"")"),"cheio de estática dentro de recepção, ecoando quando em chamadas para um telefone digital propensas a problemas de software.")</f>
        <v>cheio de estática dentro de recepção, ecoando quando em chamadas para um telefone digital propensas a problemas de software.</v>
      </c>
      <c r="B37729" s="3">
        <v>0</v>
      </c>
    </row>
    <row r="37730" ht="15.75" customHeight="1" spans="1:2">
      <c r="A37730" s="3" t="str">
        <f>IFERROR(__xludf.DUMMYFUNCTION("GOOGLETRANSLATE(A37730,""en"",""pt"")"),"bateria-vida curta, não durável, Lousy ringtones e muito mais")</f>
        <v>bateria-vida curta, não durável, Lousy ringtones e muito mais</v>
      </c>
      <c r="B37730" s="3">
        <v>0</v>
      </c>
    </row>
    <row r="37731" ht="15.75" customHeight="1" spans="1:2">
      <c r="A37731" s="3" t="str">
        <f>IFERROR(__xludf.DUMMYFUNCTION("GOOGLETRANSLATE(A37731,""en"",""pt"")"),"Vida curta, muitos problemas Futuro, elevados custos de reparos, alta etiqueta de preço, alguns recursos extras")</f>
        <v>Vida curta, muitos problemas Futuro, elevados custos de reparos, alta etiqueta de preço, alguns recursos extras</v>
      </c>
      <c r="B37731" s="3">
        <v>0</v>
      </c>
    </row>
    <row r="37732" ht="15.75" customHeight="1" spans="1:2">
      <c r="A37732" s="3" t="str">
        <f>IFERROR(__xludf.DUMMYFUNCTION("GOOGLETRANSLATE(A37732,""en"",""pt"")"),"Sem exibição chamada no exterior do caso, toques limitados, não discagem ativada por voz")</f>
        <v>Sem exibição chamada no exterior do caso, toques limitados, não discagem ativada por voz</v>
      </c>
      <c r="B37732" s="3">
        <v>0</v>
      </c>
    </row>
    <row r="37733" ht="15.75" customHeight="1" spans="1:2">
      <c r="A37733" s="3" t="str">
        <f>IFERROR(__xludf.DUMMYFUNCTION("GOOGLETRANSLATE(A37733,""en"",""pt"")"),"muitos deles parecem falhar no prazo de 1-2 anos")</f>
        <v>muitos deles parecem falhar no prazo de 1-2 anos</v>
      </c>
      <c r="B37733" s="3">
        <v>0</v>
      </c>
    </row>
    <row r="37734" ht="15.75" customHeight="1" spans="1:2">
      <c r="A37734" s="3" t="str">
        <f>IFERROR(__xludf.DUMMYFUNCTION("GOOGLETRANSLATE(A37734,""en"",""pt"")"),"No viva-voz ou reconhecimento de voz. Mas o mais importante, não a melhor recepção.")</f>
        <v>No viva-voz ou reconhecimento de voz. Mas o mais importante, não a melhor recepção.</v>
      </c>
      <c r="B37734" s="3">
        <v>0</v>
      </c>
    </row>
    <row r="37735" ht="15.75" customHeight="1" spans="1:2">
      <c r="A37735" s="3" t="str">
        <f>IFERROR(__xludf.DUMMYFUNCTION("GOOGLETRANSLATE(A37735,""en"",""pt"")"),"Opções de toque limitadas")</f>
        <v>Opções de toque limitadas</v>
      </c>
      <c r="B37735" s="3">
        <v>0</v>
      </c>
    </row>
    <row r="37736" ht="15.75" customHeight="1" spans="1:2">
      <c r="A37736" s="3" t="str">
        <f>IFERROR(__xludf.DUMMYFUNCTION("GOOGLETRANSLATE(A37736,""en"",""pt"")"),"o sinal é sempre baixo ...")</f>
        <v>o sinal é sempre baixo ...</v>
      </c>
      <c r="B37736" s="3">
        <v>0</v>
      </c>
    </row>
    <row r="37737" ht="15.75" customHeight="1" spans="1:2">
      <c r="A37737" s="3" t="str">
        <f>IFERROR(__xludf.DUMMYFUNCTION("GOOGLETRANSLATE(A37737,""en"",""pt"")"),"bateria ruim a vida ea luz de fundo pisca monte")</f>
        <v>bateria ruim a vida ea luz de fundo pisca monte</v>
      </c>
      <c r="B37737" s="3">
        <v>0</v>
      </c>
    </row>
    <row r="37738" ht="15.75" customHeight="1" spans="1:2">
      <c r="A37738" s="3" t="str">
        <f>IFERROR(__xludf.DUMMYFUNCTION("GOOGLETRANSLATE(A37738,""en"",""pt"")"),"Não compre isto telefone Se você acha que poderia perdê-lo.")</f>
        <v>Não compre isto telefone Se você acha que poderia perdê-lo.</v>
      </c>
      <c r="B37738" s="3">
        <v>0</v>
      </c>
    </row>
    <row r="37739" ht="15.75" customHeight="1" spans="1:2">
      <c r="A37739" s="3" t="str">
        <f>IFERROR(__xludf.DUMMYFUNCTION("GOOGLETRANSLATE(A37739,""en"",""pt"")"),"às vezes não vai ligar (acho que isso é AllTel não o telefone)")</f>
        <v>às vezes não vai ligar (acho que isso é AllTel não o telefone)</v>
      </c>
      <c r="B37739" s="3">
        <v>0</v>
      </c>
    </row>
    <row r="37740" ht="15.75" customHeight="1" spans="1:2">
      <c r="A37740" s="3" t="str">
        <f>IFERROR(__xludf.DUMMYFUNCTION("GOOGLETRANSLATE(A37740,""en"",""pt"")"),"toques poucos, aleta frágil, a vida da bateria poderia ser melhor")</f>
        <v>toques poucos, aleta frágil, a vida da bateria poderia ser melhor</v>
      </c>
      <c r="B37740" s="3">
        <v>0</v>
      </c>
    </row>
    <row r="37741" ht="15.75" customHeight="1" spans="1:2">
      <c r="A37741" s="3" t="str">
        <f>IFERROR(__xludf.DUMMYFUNCTION("GOOGLETRANSLATE(A37741,""en"",""pt"")"),"Ligeiramente enfadonho, às vezes irritante")</f>
        <v>Ligeiramente enfadonho, às vezes irritante</v>
      </c>
      <c r="B37741" s="3">
        <v>0</v>
      </c>
    </row>
    <row r="37742" ht="15.75" customHeight="1" spans="1:2">
      <c r="A37742" s="3" t="str">
        <f>IFERROR(__xludf.DUMMYFUNCTION("GOOGLETRANSLATE(A37742,""en"",""pt"")"),"Não um menu amigável, não facilmente customizável, campainha muito alto.")</f>
        <v>Não um menu amigável, não facilmente customizável, campainha muito alto.</v>
      </c>
      <c r="B37742" s="3">
        <v>0</v>
      </c>
    </row>
    <row r="37743" ht="15.75" customHeight="1" spans="1:2">
      <c r="A37743" s="3" t="str">
        <f>IFERROR(__xludf.DUMMYFUNCTION("GOOGLETRANSLATE(A37743,""en"",""pt"")"),"Inábil carregador, não a melhor recepção, mas bom.")</f>
        <v>Inábil carregador, não a melhor recepção, mas bom.</v>
      </c>
      <c r="B37743" s="3">
        <v>0</v>
      </c>
    </row>
    <row r="37744" ht="15.75" customHeight="1" spans="1:2">
      <c r="A37744" s="3" t="str">
        <f>IFERROR(__xludf.DUMMYFUNCTION("GOOGLETRANSLATE(A37744,""en"",""pt"")"),"Sub-par som, layout do menu estranho")</f>
        <v>Sub-par som, layout do menu estranho</v>
      </c>
      <c r="B37744" s="3">
        <v>0</v>
      </c>
    </row>
    <row r="37745" ht="15.75" customHeight="1" spans="1:2">
      <c r="A37745" s="3" t="str">
        <f>IFERROR(__xludf.DUMMYFUNCTION("GOOGLETRANSLATE(A37745,""en"",""pt"")"),"Poucas opções, algumas coisas são difíceis de encontrar. O manualmente é confuso e vago")</f>
        <v>Poucas opções, algumas coisas são difíceis de encontrar. O manualmente é confuso e vago</v>
      </c>
      <c r="B37745" s="3">
        <v>0</v>
      </c>
    </row>
    <row r="37746" ht="15.75" customHeight="1" spans="1:2">
      <c r="A37746" s="3" t="str">
        <f>IFERROR(__xludf.DUMMYFUNCTION("GOOGLETRANSLATE(A37746,""en"",""pt"")"),"campainha alto, configurações do menu estranhas")</f>
        <v>campainha alto, configurações do menu estranhas</v>
      </c>
      <c r="B37746" s="3">
        <v>0</v>
      </c>
    </row>
    <row r="37747" ht="15.75" customHeight="1" spans="1:2">
      <c r="A37747" s="3" t="str">
        <f>IFERROR(__xludf.DUMMYFUNCTION("GOOGLETRANSLATE(A37747,""en"",""pt"")"),"Frágil Construção, vida da bateria pobres, tudo!")</f>
        <v>Frágil Construção, vida da bateria pobres, tudo!</v>
      </c>
      <c r="B37747" s="3">
        <v>0</v>
      </c>
    </row>
    <row r="37748" ht="15.75" customHeight="1" spans="1:2">
      <c r="A37748" s="3" t="str">
        <f>IFERROR(__xludf.DUMMYFUNCTION("GOOGLETRANSLATE(A37748,""en"",""pt"")"),"Peso, tamanho, Display arranha facilmente")</f>
        <v>Peso, tamanho, Display arranha facilmente</v>
      </c>
      <c r="B37748" s="3">
        <v>0</v>
      </c>
    </row>
    <row r="37749" ht="15.75" customHeight="1" spans="1:2">
      <c r="A37749" s="3" t="str">
        <f>IFERROR(__xludf.DUMMYFUNCTION("GOOGLETRANSLATE(A37749,""en"",""pt"")"),"Muito grande, alguns menus uma dor de uso")</f>
        <v>Muito grande, alguns menus uma dor de uso</v>
      </c>
      <c r="B37749" s="3">
        <v>0</v>
      </c>
    </row>
    <row r="37750" ht="15.75" customHeight="1" spans="1:2">
      <c r="A37750" s="3" t="str">
        <f>IFERROR(__xludf.DUMMYFUNCTION("GOOGLETRANSLATE(A37750,""en"",""pt"")"),"Um pouco pesado, é só pegar o clip giratório.")</f>
        <v>Um pouco pesado, é só pegar o clip giratório.</v>
      </c>
      <c r="B37750" s="3">
        <v>0</v>
      </c>
    </row>
    <row r="37751" ht="15.75" customHeight="1" spans="1:2">
      <c r="A37751" s="3" t="str">
        <f>IFERROR(__xludf.DUMMYFUNCTION("GOOGLETRANSLATE(A37751,""en"",""pt"")"),"Peso")</f>
        <v>Peso</v>
      </c>
      <c r="B37751" s="3">
        <v>0</v>
      </c>
    </row>
    <row r="37752" ht="15.75" customHeight="1" spans="1:2">
      <c r="A37752" s="3" t="str">
        <f>IFERROR(__xludf.DUMMYFUNCTION("GOOGLETRANSLATE(A37752,""en"",""pt"")"),"fraco presilha de cinto, pesado")</f>
        <v>fraco presilha de cinto, pesado</v>
      </c>
      <c r="B37752" s="3">
        <v>0</v>
      </c>
    </row>
    <row r="37753" ht="15.75" customHeight="1" spans="1:2">
      <c r="A37753" s="3" t="str">
        <f>IFERROR(__xludf.DUMMYFUNCTION("GOOGLETRANSLATE(A37753,""en"",""pt"")"),"Peso, tamanho")</f>
        <v>Peso, tamanho</v>
      </c>
      <c r="B37753" s="3">
        <v>0</v>
      </c>
    </row>
    <row r="37754" ht="15.75" customHeight="1" spans="1:2">
      <c r="A37754" s="3" t="str">
        <f>IFERROR(__xludf.DUMMYFUNCTION("GOOGLETRANSLATE(A37754,""en"",""pt"")"),"peso, olhar, sentir, interface de usuário")</f>
        <v>peso, olhar, sentir, interface de usuário</v>
      </c>
      <c r="B37754" s="3">
        <v>0</v>
      </c>
    </row>
    <row r="37755" ht="15.75" customHeight="1" spans="1:2">
      <c r="A37755" s="3" t="str">
        <f>IFERROR(__xludf.DUMMYFUNCTION("GOOGLETRANSLATE(A37755,""en"",""pt"")"),"NENHUM")</f>
        <v>NENHUM</v>
      </c>
      <c r="B37755" s="3">
        <v>0</v>
      </c>
    </row>
    <row r="37756" ht="15.75" customHeight="1" spans="1:2">
      <c r="A37756" s="3" t="str">
        <f>IFERROR(__xludf.DUMMYFUNCTION("GOOGLETRANSLATE(A37756,""en"",""pt"")"),"levar uma volta do tijolo em seu cinto, então você saberá")</f>
        <v>levar uma volta do tijolo em seu cinto, então você saberá</v>
      </c>
      <c r="B37756" s="3">
        <v>0</v>
      </c>
    </row>
    <row r="37757" ht="15.75" customHeight="1" spans="1:2">
      <c r="A37757" s="3" t="str">
        <f>IFERROR(__xludf.DUMMYFUNCTION("GOOGLETRANSLATE(A37757,""en"",""pt"")"),"wieght")</f>
        <v>wieght</v>
      </c>
      <c r="B37757" s="3">
        <v>0</v>
      </c>
    </row>
    <row r="37758" ht="15.75" customHeight="1" spans="1:2">
      <c r="A37758" s="3" t="str">
        <f>IFERROR(__xludf.DUMMYFUNCTION("GOOGLETRANSLATE(A37758,""en"",""pt"")"),"perda de sinal em algumas áreas")</f>
        <v>perda de sinal em algumas áreas</v>
      </c>
      <c r="B37758" s="3">
        <v>0</v>
      </c>
    </row>
    <row r="37759" ht="15.75" customHeight="1" spans="1:2">
      <c r="A37759" s="3" t="str">
        <f>IFERROR(__xludf.DUMMYFUNCTION("GOOGLETRANSLATE(A37759,""en"",""pt"")"),"volumoso")</f>
        <v>volumoso</v>
      </c>
      <c r="B37759" s="3">
        <v>0</v>
      </c>
    </row>
    <row r="37760" ht="15.75" customHeight="1" spans="1:2">
      <c r="A37760" s="3" t="str">
        <f>IFERROR(__xludf.DUMMYFUNCTION("GOOGLETRANSLATE(A37760,""en"",""pt"")"),"A vida da bateria, lista telefónica não alfabetizados, sem relógio.")</f>
        <v>A vida da bateria, lista telefónica não alfabetizados, sem relógio.</v>
      </c>
      <c r="B37760" s="3">
        <v>0</v>
      </c>
    </row>
    <row r="37761" ht="15.75" customHeight="1" spans="1:2">
      <c r="A37761" s="3" t="str">
        <f>IFERROR(__xludf.DUMMYFUNCTION("GOOGLETRANSLATE(A37761,""en"",""pt"")"),"nada até agora")</f>
        <v>nada até agora</v>
      </c>
      <c r="B37761" s="3">
        <v>0</v>
      </c>
    </row>
    <row r="37762" ht="15.75" customHeight="1" spans="1:2">
      <c r="A37762" s="3" t="str">
        <f>IFERROR(__xludf.DUMMYFUNCTION("GOOGLETRANSLATE(A37762,""en"",""pt"")"),"características primitivas")</f>
        <v>características primitivas</v>
      </c>
      <c r="B37762" s="3">
        <v>0</v>
      </c>
    </row>
    <row r="37763" ht="15.75" customHeight="1" spans="1:2">
      <c r="A37763" s="3" t="str">
        <f>IFERROR(__xludf.DUMMYFUNCTION("GOOGLETRANSLATE(A37763,""en"",""pt"")"),"No modo de vibração; Cheap invólucro de plástico")</f>
        <v>No modo de vibração; Cheap invólucro de plástico</v>
      </c>
      <c r="B37763" s="3">
        <v>0</v>
      </c>
    </row>
    <row r="37764" ht="15.75" customHeight="1" spans="1:2">
      <c r="A37764" s="3" t="str">
        <f>IFERROR(__xludf.DUMMYFUNCTION("GOOGLETRANSLATE(A37764,""en"",""pt"")"),"Sem campainha vibratória, maiores que 3360, não faceplates mutável")</f>
        <v>Sem campainha vibratória, maiores que 3360, não faceplates mutável</v>
      </c>
      <c r="B37764" s="3">
        <v>0</v>
      </c>
    </row>
    <row r="37765" ht="15.75" customHeight="1" spans="1:2">
      <c r="A37765" s="3" t="str">
        <f>IFERROR(__xludf.DUMMYFUNCTION("GOOGLETRANSLATE(A37765,""en"",""pt"")"),"nenhuma bateria vibrando, não Nokia faceplates disponíveis")</f>
        <v>nenhuma bateria vibrando, não Nokia faceplates disponíveis</v>
      </c>
      <c r="B37765" s="3">
        <v>0</v>
      </c>
    </row>
    <row r="37766" ht="15.75" customHeight="1" spans="1:2">
      <c r="A37766" s="3" t="str">
        <f>IFERROR(__xludf.DUMMYFUNCTION("GOOGLETRANSLATE(A37766,""en"",""pt"")"),"feio, o volume, não vibrar ou alto-falante, sem estojo de transporte ou correia gancho, sem activação por voz")</f>
        <v>feio, o volume, não vibrar ou alto-falante, sem estojo de transporte ou correia gancho, sem activação por voz</v>
      </c>
      <c r="B37766" s="3">
        <v>0</v>
      </c>
    </row>
    <row r="37767" ht="15.75" customHeight="1" spans="1:2">
      <c r="A37767" s="3" t="str">
        <f>IFERROR(__xludf.DUMMYFUNCTION("GOOGLETRANSLATE(A37767,""en"",""pt"")"),"Sem bateria de iões de lítio; A maioria dos toques são um pouco irritante; auricular livre (fone) é desconfortável.")</f>
        <v>Sem bateria de iões de lítio; A maioria dos toques são um pouco irritante; auricular livre (fone) é desconfortável.</v>
      </c>
      <c r="B37767" s="3">
        <v>0</v>
      </c>
    </row>
    <row r="37768" ht="15.75" customHeight="1" spans="1:2">
      <c r="A37768" s="3" t="str">
        <f>IFERROR(__xludf.DUMMYFUNCTION("GOOGLETRANSLATE(A37768,""en"",""pt"")"),"não como muitos recursos, pesado")</f>
        <v>não como muitos recursos, pesado</v>
      </c>
      <c r="B37768" s="3">
        <v>0</v>
      </c>
    </row>
    <row r="37769" ht="15.75" customHeight="1" spans="1:2">
      <c r="A37769" s="3" t="str">
        <f>IFERROR(__xludf.DUMMYFUNCTION("GOOGLETRANSLATE(A37769,""en"",""pt"")"),"não parece tão grande, anel sem vibração, sem características especiais únicos.")</f>
        <v>não parece tão grande, anel sem vibração, sem características especiais únicos.</v>
      </c>
      <c r="B37769" s="3">
        <v>0</v>
      </c>
    </row>
    <row r="37770" ht="15.75" customHeight="1" spans="1:2">
      <c r="A37770" s="3" t="str">
        <f>IFERROR(__xludf.DUMMYFUNCTION("GOOGLETRANSLATE(A37770,""en"",""pt"")"),"Má recepção, recursos limitados, e baixo volume")</f>
        <v>Má recepção, recursos limitados, e baixo volume</v>
      </c>
      <c r="B37770" s="3">
        <v>0</v>
      </c>
    </row>
    <row r="37771" ht="15.75" customHeight="1" spans="1:2">
      <c r="A37771" s="3" t="str">
        <f>IFERROR(__xludf.DUMMYFUNCTION("GOOGLETRANSLATE(A37771,""en"",""pt"")"),"Difícil de pegar sinal, som ao receber final é ""eletrônico""")</f>
        <v>Difícil de pegar sinal, som ao receber final é "eletrônico"</v>
      </c>
      <c r="B37771" s="3">
        <v>0</v>
      </c>
    </row>
    <row r="37772" ht="15.75" customHeight="1" spans="1:2">
      <c r="A37772" s="3" t="str">
        <f>IFERROR(__xludf.DUMMYFUNCTION("GOOGLETRANSLATE(A37772,""en"",""pt"")"),"No modo de vibração, não há maneira de mudar a pia batismal, conjunto de recursos muito limitados.")</f>
        <v>No modo de vibração, não há maneira de mudar a pia batismal, conjunto de recursos muito limitados.</v>
      </c>
      <c r="B37772" s="3">
        <v>0</v>
      </c>
    </row>
    <row r="37773" ht="15.75" customHeight="1" spans="1:2">
      <c r="A37773" s="3" t="str">
        <f>IFERROR(__xludf.DUMMYFUNCTION("GOOGLETRANSLATE(A37773,""en"",""pt"")"),"ringtones nenhum download ou gráficos, sem opção de internet, faceplates sem changable")</f>
        <v>ringtones nenhum download ou gráficos, sem opção de internet, faceplates sem changable</v>
      </c>
      <c r="B37773" s="3">
        <v>0</v>
      </c>
    </row>
    <row r="37774" ht="15.75" customHeight="1" spans="1:2">
      <c r="A37774" s="3" t="str">
        <f>IFERROR(__xludf.DUMMYFUNCTION("GOOGLETRANSLATE(A37774,""en"",""pt"")"),"Ele não tem uma antena para recepção é ruim dentro.")</f>
        <v>Ele não tem uma antena para recepção é ruim dentro.</v>
      </c>
      <c r="B37774" s="3">
        <v>0</v>
      </c>
    </row>
    <row r="37775" ht="15.75" customHeight="1" spans="1:2">
      <c r="A37775" s="3" t="str">
        <f>IFERROR(__xludf.DUMMYFUNCTION("GOOGLETRANSLATE(A37775,""en"",""pt"")"),"Carecem de recursos que são de valor limitado que não impressionar seus amigos.")</f>
        <v>Carecem de recursos que são de valor limitado que não impressionar seus amigos.</v>
      </c>
      <c r="B37775" s="3">
        <v>0</v>
      </c>
    </row>
    <row r="37776" ht="15.75" customHeight="1" spans="1:2">
      <c r="A37776" s="3" t="str">
        <f>IFERROR(__xludf.DUMMYFUNCTION("GOOGLETRANSLATE(A37776,""en"",""pt"")"),"Pesado, não muito à procura, toques baratos, tela arranha facilmente.")</f>
        <v>Pesado, não muito à procura, toques baratos, tela arranha facilmente.</v>
      </c>
      <c r="B37776" s="3">
        <v>0</v>
      </c>
    </row>
    <row r="37777" ht="15.75" customHeight="1" spans="1:2">
      <c r="A37777" s="3" t="str">
        <f>IFERROR(__xludf.DUMMYFUNCTION("GOOGLETRANSLATE(A37777,""en"",""pt"")"),"Nenhum.")</f>
        <v>Nenhum.</v>
      </c>
      <c r="B37777" s="3">
        <v>0</v>
      </c>
    </row>
    <row r="37778" ht="15.75" customHeight="1" spans="1:2">
      <c r="A37778" s="3" t="str">
        <f>IFERROR(__xludf.DUMMYFUNCTION("GOOGLETRANSLATE(A37778,""en"",""pt"")"),"fraca recepção, fica quente dentro de 10 minutos depois de tomar, sem vibrar.")</f>
        <v>fraca recepção, fica quente dentro de 10 minutos depois de tomar, sem vibrar.</v>
      </c>
      <c r="B37778" s="3">
        <v>0</v>
      </c>
    </row>
    <row r="37779" ht="15.75" customHeight="1" spans="1:2">
      <c r="A37779" s="3" t="str">
        <f>IFERROR(__xludf.DUMMYFUNCTION("GOOGLETRANSLATE(A37779,""en"",""pt"")"),"entrada de texto estranho; os toques e tal que vêm padrão estão podres")</f>
        <v>entrada de texto estranho; os toques e tal que vêm padrão estão podres</v>
      </c>
      <c r="B37779" s="3">
        <v>0</v>
      </c>
    </row>
    <row r="37780" ht="15.75" customHeight="1" spans="1:2">
      <c r="A37780" s="3" t="str">
        <f>IFERROR(__xludf.DUMMYFUNCTION("GOOGLETRANSLATE(A37780,""en"",""pt"")"),"Combo botão do teclado / ação horríveis, algumas características úteis")</f>
        <v>Combo botão do teclado / ação horríveis, algumas características úteis</v>
      </c>
      <c r="B37780" s="3">
        <v>0</v>
      </c>
    </row>
    <row r="37781" ht="15.75" customHeight="1" spans="1:2">
      <c r="A37781" s="3" t="str">
        <f>IFERROR(__xludf.DUMMYFUNCTION("GOOGLETRANSLATE(A37781,""en"",""pt"")"),"Muito pequeno, teclado muito pequeno, botões muito pequeno, telefone não chegar boca e orelha.")</f>
        <v>Muito pequeno, teclado muito pequeno, botões muito pequeno, telefone não chegar boca e orelha.</v>
      </c>
      <c r="B37781" s="3">
        <v>0</v>
      </c>
    </row>
    <row r="37782" ht="15.75" customHeight="1" spans="1:2">
      <c r="A37782" s="3" t="str">
        <f>IFERROR(__xludf.DUMMYFUNCTION("GOOGLETRANSLATE(A37782,""en"",""pt"")"),"Não vai virar a cabeça se é isso que você se preocupa. Claro que é azul!")</f>
        <v>Não vai virar a cabeça se é isso que você se preocupa. Claro que é azul!</v>
      </c>
      <c r="B37782" s="3">
        <v>0</v>
      </c>
    </row>
    <row r="37783" ht="15.75" customHeight="1" spans="1:2">
      <c r="A37783" s="3" t="str">
        <f>IFERROR(__xludf.DUMMYFUNCTION("GOOGLETRANSLATE(A37783,""en"",""pt"")"),"pobre importado qualidade de imagem, estilo baixa comparado com telefones mais novos")</f>
        <v>pobre importado qualidade de imagem, estilo baixa comparado com telefones mais novos</v>
      </c>
      <c r="B37783" s="3">
        <v>0</v>
      </c>
    </row>
    <row r="37784" ht="15.75" customHeight="1" spans="1:2">
      <c r="A37784" s="3" t="str">
        <f>IFERROR(__xludf.DUMMYFUNCTION("GOOGLETRANSLATE(A37784,""en"",""pt"")"),"fator de Slime, bateria fraca, contatos de transferência, feio, não vai sincronização, conversas telefônicas não irá gravar")</f>
        <v>fator de Slime, bateria fraca, contatos de transferência, feio, não vai sincronização, conversas telefônicas não irá gravar</v>
      </c>
      <c r="B37784" s="3">
        <v>0</v>
      </c>
    </row>
    <row r="37785" ht="15.75" customHeight="1" spans="1:2">
      <c r="A37785" s="3" t="str">
        <f>IFERROR(__xludf.DUMMYFUNCTION("GOOGLETRANSLATE(A37785,""en"",""pt"")"),"Exibição granulado, pequeno teclado para mensagens de texto, má função de vibração")</f>
        <v>Exibição granulado, pequeno teclado para mensagens de texto, má função de vibração</v>
      </c>
      <c r="B37785" s="3">
        <v>0</v>
      </c>
    </row>
    <row r="37786" ht="15.75" customHeight="1" spans="1:2">
      <c r="A37786" s="3" t="str">
        <f>IFERROR(__xludf.DUMMYFUNCTION("GOOGLETRANSLATE(A37786,""en"",""pt"")"),"desempenho sinal fraco, arranha facilmente.")</f>
        <v>desempenho sinal fraco, arranha facilmente.</v>
      </c>
      <c r="B37786" s="3">
        <v>0</v>
      </c>
    </row>
    <row r="37787" ht="15.75" customHeight="1" spans="1:2">
      <c r="A37787" s="3" t="str">
        <f>IFERROR(__xludf.DUMMYFUNCTION("GOOGLETRANSLATE(A37787,""en"",""pt"")"),"Nenhuma câmera, não virar, pequenos botões (que também poderia ser um pro)")</f>
        <v>Nenhuma câmera, não virar, pequenos botões (que também poderia ser um pro)</v>
      </c>
      <c r="B37787" s="3">
        <v>0</v>
      </c>
    </row>
    <row r="37788" ht="15.75" customHeight="1" spans="1:2">
      <c r="A37788" s="3" t="str">
        <f>IFERROR(__xludf.DUMMYFUNCTION("GOOGLETRANSLATE(A37788,""en"",""pt"")"),"SLOOOOOW firmware, pobre navegação, minúsculos botões / difíceis")</f>
        <v>SLOOOOOW firmware, pobre navegação, minúsculos botões / difíceis</v>
      </c>
      <c r="B37788" s="3">
        <v>0</v>
      </c>
    </row>
    <row r="37789" ht="15.75" customHeight="1" spans="1:2">
      <c r="A37789" s="3" t="str">
        <f>IFERROR(__xludf.DUMMYFUNCTION("GOOGLETRANSLATE(A37789,""en"",""pt"")"),"O ecrã a cores não é muito vibrante, o telefone é feio.")</f>
        <v>O ecrã a cores não é muito vibrante, o telefone é feio.</v>
      </c>
      <c r="B37789" s="3">
        <v>0</v>
      </c>
    </row>
    <row r="37790" ht="15.75" customHeight="1" spans="1:2">
      <c r="A37790" s="3" t="str">
        <f>IFERROR(__xludf.DUMMYFUNCTION("GOOGLETRANSLATE(A37790,""en"",""pt"")"),"visualização OK, acessórios caros, pequenos botões, gotas chamadas (ou devido a minha operadora)")</f>
        <v>visualização OK, acessórios caros, pequenos botões, gotas chamadas (ou devido a minha operadora)</v>
      </c>
      <c r="B37790" s="3">
        <v>0</v>
      </c>
    </row>
    <row r="37791" ht="15.75" customHeight="1" spans="1:2">
      <c r="A37791" s="3" t="str">
        <f>IFERROR(__xludf.DUMMYFUNCTION("GOOGLETRANSLATE(A37791,""en"",""pt"")"),"Lento, muito lento. Você precisa de um monte de paitience e um palito. cagado serviço da Cingular!")</f>
        <v>Lento, muito lento. Você precisa de um monte de paitience e um palito. cagado serviço da Cingular!</v>
      </c>
      <c r="B37791" s="3">
        <v>0</v>
      </c>
    </row>
    <row r="37792" ht="15.75" customHeight="1" spans="1:2">
      <c r="A37792" s="3" t="str">
        <f>IFERROR(__xludf.DUMMYFUNCTION("GOOGLETRANSLATE(A37792,""en"",""pt"")"),"Bad ringtones, Bad Camera anexo, TINY!")</f>
        <v>Bad ringtones, Bad Camera anexo, TINY!</v>
      </c>
      <c r="B37792" s="3">
        <v>0</v>
      </c>
    </row>
    <row r="37793" ht="15.75" customHeight="1" spans="1:2">
      <c r="A37793" s="3" t="str">
        <f>IFERROR(__xludf.DUMMYFUNCTION("GOOGLETRANSLATE(A37793,""en"",""pt"")"),"não confiável, navegação lenta através dos menus, mensagens de texto estranho.")</f>
        <v>não confiável, navegação lenta através dos menus, mensagens de texto estranho.</v>
      </c>
      <c r="B37793" s="3">
        <v>0</v>
      </c>
    </row>
    <row r="37794" ht="15.75" customHeight="1" spans="1:2">
      <c r="A37794" s="3" t="str">
        <f>IFERROR(__xludf.DUMMYFUNCTION("GOOGLETRANSLATE(A37794,""en"",""pt"")"),"Maneira de muitos recursos para aprender rápido!")</f>
        <v>Maneira de muitos recursos para aprender rápido!</v>
      </c>
      <c r="B37794" s="3">
        <v>0</v>
      </c>
    </row>
    <row r="37795" ht="15.75" customHeight="1" spans="1:2">
      <c r="A37795" s="3" t="str">
        <f>IFERROR(__xludf.DUMMYFUNCTION("GOOGLETRANSLATE(A37795,""en"",""pt"")"),"Não excelente vida útil da bateria (não é ruim), a cobertura é média (mais uma vez, não é ruim)")</f>
        <v>Não excelente vida útil da bateria (não é ruim), a cobertura é média (mais uma vez, não é ruim)</v>
      </c>
      <c r="B37795" s="3">
        <v>0</v>
      </c>
    </row>
    <row r="37796" ht="15.75" customHeight="1" spans="1:2">
      <c r="A37796" s="3" t="str">
        <f>IFERROR(__xludf.DUMMYFUNCTION("GOOGLETRANSLATE(A37796,""en"",""pt"")"),"Menos agradável à Carteira e Ear")</f>
        <v>Menos agradável à Carteira e Ear</v>
      </c>
      <c r="B37796" s="3">
        <v>0</v>
      </c>
    </row>
    <row r="37797" ht="15.75" customHeight="1" spans="1:2">
      <c r="A37797" s="3" t="str">
        <f>IFERROR(__xludf.DUMMYFUNCTION("GOOGLETRANSLATE(A37797,""en"",""pt"")"),"mais tempo do que a maioria dos telefones, congela como seu computador ocassionally, não tão amigável quanto Nokia")</f>
        <v>mais tempo do que a maioria dos telefones, congela como seu computador ocassionally, não tão amigável quanto Nokia</v>
      </c>
      <c r="B37797" s="3">
        <v>0</v>
      </c>
    </row>
    <row r="37798" ht="15.75" customHeight="1" spans="1:2">
      <c r="A37798" s="3" t="str">
        <f>IFERROR(__xludf.DUMMYFUNCTION("GOOGLETRANSLATE(A37798,""en"",""pt"")"),"má recepção, o tamanho pesado, falhas de software")</f>
        <v>má recepção, o tamanho pesado, falhas de software</v>
      </c>
      <c r="B37798" s="3">
        <v>0</v>
      </c>
    </row>
    <row r="37799" ht="15.75" customHeight="1" spans="1:2">
      <c r="A37799" s="3" t="str">
        <f>IFERROR(__xludf.DUMMYFUNCTION("GOOGLETRANSLATE(A37799,""en"",""pt"")"),"afirmou em outro lugar")</f>
        <v>afirmou em outro lugar</v>
      </c>
      <c r="B37799" s="3">
        <v>0</v>
      </c>
    </row>
    <row r="37800" ht="15.75" customHeight="1" spans="1:2">
      <c r="A37800" s="3" t="str">
        <f>IFERROR(__xludf.DUMMYFUNCTION("GOOGLETRANSLATE(A37800,""en"",""pt"")"),"Poder Porco no modo de dados. Da bateria é muito baixa tecnologia e sob alimentado.")</f>
        <v>Poder Porco no modo de dados. Da bateria é muito baixa tecnologia e sob alimentado.</v>
      </c>
      <c r="B37800" s="3">
        <v>0</v>
      </c>
    </row>
    <row r="37801" ht="15.75" customHeight="1" spans="1:2">
      <c r="A37801" s="3" t="str">
        <f>IFERROR(__xludf.DUMMYFUNCTION("GOOGLETRANSLATE(A37801,""en"",""pt"")"),"Todo o resto")</f>
        <v>Todo o resto</v>
      </c>
      <c r="B37801" s="3">
        <v>0</v>
      </c>
    </row>
    <row r="37802" ht="15.75" customHeight="1" spans="1:2">
      <c r="A37802" s="3" t="str">
        <f>IFERROR(__xludf.DUMMYFUNCTION("GOOGLETRANSLATE(A37802,""en"",""pt"")"),"a vida da bateria pobres, enorme tamanho, características pobres")</f>
        <v>a vida da bateria pobres, enorme tamanho, características pobres</v>
      </c>
      <c r="B37802" s="3">
        <v>0</v>
      </c>
    </row>
    <row r="37803" ht="15.75" customHeight="1" spans="1:2">
      <c r="A37803" s="3" t="str">
        <f>IFERROR(__xludf.DUMMYFUNCTION("GOOGLETRANSLATE(A37803,""en"",""pt"")"),"T9, mais radiação, não é confortável na orelha")</f>
        <v>T9, mais radiação, não é confortável na orelha</v>
      </c>
      <c r="B37803" s="3">
        <v>0</v>
      </c>
    </row>
    <row r="37804" ht="15.75" customHeight="1" spans="1:2">
      <c r="A37804" s="3" t="str">
        <f>IFERROR(__xludf.DUMMYFUNCTION("GOOGLETRANSLATE(A37804,""en"",""pt"")"),"fechaduras você para AT &amp; amp; T")</f>
        <v>fechaduras você para AT &amp; amp; T</v>
      </c>
      <c r="B37804" s="3">
        <v>0</v>
      </c>
    </row>
    <row r="37805" ht="15.75" customHeight="1" spans="1:2">
      <c r="A37805" s="3" t="str">
        <f>IFERROR(__xludf.DUMMYFUNCTION("GOOGLETRANSLATE(A37805,""en"",""pt"")"),"fone fone de ouvido é difícil de ouvir.")</f>
        <v>fone fone de ouvido é difícil de ouvir.</v>
      </c>
      <c r="B37805" s="3">
        <v>0</v>
      </c>
    </row>
    <row r="37806" ht="15.75" customHeight="1" spans="1:2">
      <c r="A37806" s="3" t="str">
        <f>IFERROR(__xludf.DUMMYFUNCTION("GOOGLETRANSLATE(A37806,""en"",""pt"")"),"Baterias, WAP / Net pode ser lento")</f>
        <v>Baterias, WAP / Net pode ser lento</v>
      </c>
      <c r="B37806" s="3">
        <v>0</v>
      </c>
    </row>
    <row r="37807" ht="15.75" customHeight="1" spans="1:2">
      <c r="A37807" s="3" t="str">
        <f>IFERROR(__xludf.DUMMYFUNCTION("GOOGLETRANSLATE(A37807,""en"",""pt"")"),"muito grande, sem alarme, sem jogos, sem vida da bateria, aquece, lento se conectar à rede")</f>
        <v>muito grande, sem alarme, sem jogos, sem vida da bateria, aquece, lento se conectar à rede</v>
      </c>
      <c r="B37807" s="3">
        <v>0</v>
      </c>
    </row>
    <row r="37808" ht="15.75" customHeight="1" spans="1:2">
      <c r="A37808" s="3" t="str">
        <f>IFERROR(__xludf.DUMMYFUNCTION("GOOGLETRANSLATE(A37808,""en"",""pt"")"),"GRANDE. Grande grande. Enorme bateria vibrando. Pobre de áudio. Pobre microfone.")</f>
        <v>GRANDE. Grande grande. Enorme bateria vibrando. Pobre de áudio. Pobre microfone.</v>
      </c>
      <c r="B37808" s="3">
        <v>0</v>
      </c>
    </row>
    <row r="37809" ht="15.75" customHeight="1" spans="1:2">
      <c r="A37809" s="3" t="str">
        <f>IFERROR(__xludf.DUMMYFUNCTION("GOOGLETRANSLATE(A37809,""en"",""pt"")"),"Tamanho")</f>
        <v>Tamanho</v>
      </c>
      <c r="B37809" s="3">
        <v>0</v>
      </c>
    </row>
    <row r="37810" ht="15.75" customHeight="1" spans="1:2">
      <c r="A37810" s="3" t="str">
        <f>IFERROR(__xludf.DUMMYFUNCTION("GOOGLETRANSLATE(A37810,""en"",""pt"")"),"baixa autonomia de bateria, tamanho enorme, não toca alto o suficiente")</f>
        <v>baixa autonomia de bateria, tamanho enorme, não toca alto o suficiente</v>
      </c>
      <c r="B37810" s="3">
        <v>0</v>
      </c>
    </row>
    <row r="37811" ht="15.75" customHeight="1" spans="1:2">
      <c r="A37811" s="3" t="str">
        <f>IFERROR(__xludf.DUMMYFUNCTION("GOOGLETRANSLATE(A37811,""en"",""pt"")"),"Maior do que a maioria dos novos telefones celulares, caro")</f>
        <v>Maior do que a maioria dos novos telefones celulares, caro</v>
      </c>
      <c r="B37811" s="3">
        <v>0</v>
      </c>
    </row>
    <row r="37812" ht="15.75" customHeight="1" spans="1:2">
      <c r="A37812" s="3" t="str">
        <f>IFERROR(__xludf.DUMMYFUNCTION("GOOGLETRANSLATE(A37812,""en"",""pt"")"),"não pode controlar o tempo voltar luz sobre &amp; # 13;. &amp; # 10; Oval cursor TOO recesso para fácil operação.")</f>
        <v>não pode controlar o tempo voltar luz sobre &amp; # 13;. &amp; # 10; Oval cursor TOO recesso para fácil operação.</v>
      </c>
      <c r="B37812" s="3">
        <v>0</v>
      </c>
    </row>
    <row r="37813" ht="15.75" customHeight="1" spans="1:2">
      <c r="A37813" s="3" t="str">
        <f>IFERROR(__xludf.DUMMYFUNCTION("GOOGLETRANSLATE(A37813,""en"",""pt"")"),"Gigante e pesado; recepção turgid e vida útil da bateria; algumas características")</f>
        <v>Gigante e pesado; recepção turgid e vida útil da bateria; algumas características</v>
      </c>
      <c r="B37813" s="3">
        <v>0</v>
      </c>
    </row>
    <row r="37814" ht="15.75" customHeight="1" spans="1:2">
      <c r="A37814" s="3" t="str">
        <f>IFERROR(__xludf.DUMMYFUNCTION("GOOGLETRANSLATE(A37814,""en"",""pt"")"),"Nenhum")</f>
        <v>Nenhum</v>
      </c>
      <c r="B37814" s="3">
        <v>0</v>
      </c>
    </row>
    <row r="37815" ht="15.75" customHeight="1" spans="1:2">
      <c r="A37815" s="3" t="str">
        <f>IFERROR(__xludf.DUMMYFUNCTION("GOOGLETRANSLATE(A37815,""en"",""pt"")"),"Custo; vida útil da bateria; Tamanho; anéis irritantes")</f>
        <v>Custo; vida útil da bateria; Tamanho; anéis irritantes</v>
      </c>
      <c r="B37815" s="3">
        <v>0</v>
      </c>
    </row>
    <row r="37816" ht="15.75" customHeight="1" spans="1:2">
      <c r="A37816" s="3" t="str">
        <f>IFERROR(__xludf.DUMMYFUNCTION("GOOGLETRANSLATE(A37816,""en"",""pt"")"),"Sua ainda muito novo com add ons limitados")</f>
        <v>Sua ainda muito novo com add ons limitados</v>
      </c>
      <c r="B37816" s="3">
        <v>0</v>
      </c>
    </row>
    <row r="37817" ht="15.75" customHeight="1" spans="1:2">
      <c r="A37817" s="3" t="str">
        <f>IFERROR(__xludf.DUMMYFUNCTION("GOOGLETRANSLATE(A37817,""en"",""pt"")"),"cobertura ruim em comparação com outros telefones. software Buggy.")</f>
        <v>cobertura ruim em comparação com outros telefones. software Buggy.</v>
      </c>
      <c r="B37817" s="3">
        <v>0</v>
      </c>
    </row>
    <row r="37818" ht="15.75" customHeight="1" spans="1:2">
      <c r="A37818" s="3" t="str">
        <f>IFERROR(__xludf.DUMMYFUNCTION("GOOGLETRANSLATE(A37818,""en"",""pt"")"),"tela escura para economizar a bateria. Realmente difícil de ver sem a luz de volta.")</f>
        <v>tela escura para economizar a bateria. Realmente difícil de ver sem a luz de volta.</v>
      </c>
      <c r="B37818" s="3">
        <v>0</v>
      </c>
    </row>
    <row r="37819" ht="15.75" customHeight="1" spans="1:2">
      <c r="A37819" s="3" t="str">
        <f>IFERROR(__xludf.DUMMYFUNCTION("GOOGLETRANSLATE(A37819,""en"",""pt"")"),"exibição muito escuro w / o backlight. conflitos de memória Causa possível comportamento ringtone erractic.")</f>
        <v>exibição muito escuro w / o backlight. conflitos de memória Causa possível comportamento ringtone erractic.</v>
      </c>
      <c r="B37819" s="3">
        <v>0</v>
      </c>
    </row>
    <row r="37820" ht="15.75" customHeight="1" spans="1:2">
      <c r="A37820" s="3" t="str">
        <f>IFERROR(__xludf.DUMMYFUNCTION("GOOGLETRANSLATE(A37820,""en"",""pt"")"),"Mina vem caindo chamadas, deve fazer hard reset. Telefone funciona melhor se totalmente carregada.")</f>
        <v>Mina vem caindo chamadas, deve fazer hard reset. Telefone funciona melhor se totalmente carregada.</v>
      </c>
      <c r="B37820" s="3">
        <v>0</v>
      </c>
    </row>
    <row r="37821" ht="15.75" customHeight="1" spans="1:2">
      <c r="A37821" s="3" t="str">
        <f>IFERROR(__xludf.DUMMYFUNCTION("GOOGLETRANSLATE(A37821,""en"",""pt"")"),"tamanho estranho, ataques de outros eletrônicos, telefone parece estúpido.")</f>
        <v>tamanho estranho, ataques de outros eletrônicos, telefone parece estúpido.</v>
      </c>
      <c r="B37821" s="3">
        <v>0</v>
      </c>
    </row>
    <row r="37822" ht="15.75" customHeight="1" spans="1:2">
      <c r="A37822" s="3" t="str">
        <f>IFERROR(__xludf.DUMMYFUNCTION("GOOGLETRANSLATE(A37822,""en"",""pt"")"),"tela pequena, a qualidade do som são regulares")</f>
        <v>tela pequena, a qualidade do som são regulares</v>
      </c>
      <c r="B37822" s="3">
        <v>0</v>
      </c>
    </row>
    <row r="37823" ht="15.75" customHeight="1" spans="1:2">
      <c r="A37823" s="3" t="str">
        <f>IFERROR(__xludf.DUMMYFUNCTION("GOOGLETRANSLATE(A37823,""en"",""pt"")"),"não a melhor recepção, não o ecrã a cores brilhantes.")</f>
        <v>não a melhor recepção, não o ecrã a cores brilhantes.</v>
      </c>
      <c r="B37823" s="3">
        <v>0</v>
      </c>
    </row>
    <row r="37824" ht="15.75" customHeight="1" spans="1:2">
      <c r="A37824" s="3" t="str">
        <f>IFERROR(__xludf.DUMMYFUNCTION("GOOGLETRANSLATE(A37824,""en"",""pt"")"),"não a melhor recepção, não o ecrã a cores brilhantes.")</f>
        <v>não a melhor recepção, não o ecrã a cores brilhantes.</v>
      </c>
      <c r="B37824" s="3">
        <v>0</v>
      </c>
    </row>
    <row r="37825" ht="15.75" customHeight="1" spans="1:2">
      <c r="A37825" s="3" t="str">
        <f>IFERROR(__xludf.DUMMYFUNCTION("GOOGLETRANSLATE(A37825,""en"",""pt"")"),"botão de energia, jack cabeça-phone, não mp3 player?")</f>
        <v>botão de energia, jack cabeça-phone, não mp3 player?</v>
      </c>
      <c r="B37825" s="3">
        <v>0</v>
      </c>
    </row>
    <row r="37826" ht="15.75" customHeight="1" spans="1:2">
      <c r="A37826" s="3" t="str">
        <f>IFERROR(__xludf.DUMMYFUNCTION("GOOGLETRANSLATE(A37826,""en"",""pt"")"),"curta duração da bateria, incomum jack acessório, carece de frequência dos EUA.")</f>
        <v>curta duração da bateria, incomum jack acessório, carece de frequência dos EUA.</v>
      </c>
      <c r="B37826" s="3">
        <v>0</v>
      </c>
    </row>
    <row r="37827" ht="15.75" customHeight="1" spans="1:2">
      <c r="A37827" s="3" t="str">
        <f>IFERROR(__xludf.DUMMYFUNCTION("GOOGLETRANSLATE(A37827,""en"",""pt"")"),"difícil de pressionar o bluetooth buttons.No")</f>
        <v>difícil de pressionar o bluetooth buttons.No</v>
      </c>
      <c r="B37827" s="3">
        <v>0</v>
      </c>
    </row>
    <row r="37828" ht="15.75" customHeight="1" spans="1:2">
      <c r="A37828" s="3" t="str">
        <f>IFERROR(__xludf.DUMMYFUNCTION("GOOGLETRANSLATE(A37828,""en"",""pt"")"),"A qualidade do som apenas um fio de cabelo difusa, na minha opinião")</f>
        <v>A qualidade do som apenas um fio de cabelo difusa, na minha opinião</v>
      </c>
      <c r="B37828" s="3">
        <v>0</v>
      </c>
    </row>
    <row r="37829" ht="15.75" customHeight="1" spans="1:2">
      <c r="A37829" s="3" t="str">
        <f>IFERROR(__xludf.DUMMYFUNCTION("GOOGLETRANSLATE(A37829,""en"",""pt"")"),"jack mãos livres e auriculares são uma piada!")</f>
        <v>jack mãos livres e auriculares são uma piada!</v>
      </c>
      <c r="B37829" s="3">
        <v>0</v>
      </c>
    </row>
    <row r="37830" ht="15.75" customHeight="1" spans="1:2">
      <c r="A37830" s="3" t="str">
        <f>IFERROR(__xludf.DUMMYFUNCTION("GOOGLETRANSLATE(A37830,""en"",""pt"")"),"Interface Sloooow.")</f>
        <v>Interface Sloooow.</v>
      </c>
      <c r="B37830" s="3">
        <v>0</v>
      </c>
    </row>
    <row r="37831" ht="15.75" customHeight="1" spans="1:2">
      <c r="A37831" s="3" t="str">
        <f>IFERROR(__xludf.DUMMYFUNCTION("GOOGLETRANSLATE(A37831,""en"",""pt"")"),"Azul luz se torna irritante às vezes, não tantos recursos quanto de telefone caros")</f>
        <v>Azul luz se torna irritante às vezes, não tantos recursos quanto de telefone caros</v>
      </c>
      <c r="B37831" s="3">
        <v>0</v>
      </c>
    </row>
    <row r="37832" ht="15.75" customHeight="1" spans="1:2">
      <c r="A37832" s="3" t="str">
        <f>IFERROR(__xludf.DUMMYFUNCTION("GOOGLETRANSLATE(A37832,""en"",""pt"")"),"não há nenhuma placa de face")</f>
        <v>não há nenhuma placa de face</v>
      </c>
      <c r="B37832" s="3">
        <v>0</v>
      </c>
    </row>
    <row r="37833" ht="15.75" customHeight="1" spans="1:2">
      <c r="A37833" s="3" t="str">
        <f>IFERROR(__xludf.DUMMYFUNCTION("GOOGLETRANSLATE(A37833,""en"",""pt"")"),"Indicador de recepção parece flakey, mau contato configuração lista.")</f>
        <v>Indicador de recepção parece flakey, mau contato configuração lista.</v>
      </c>
      <c r="B37833" s="3">
        <v>0</v>
      </c>
    </row>
    <row r="37834" ht="15.75" customHeight="1" spans="1:2">
      <c r="A37834" s="3" t="str">
        <f>IFERROR(__xludf.DUMMYFUNCTION("GOOGLETRANSLATE(A37834,""en"",""pt"")"),"jogos lame")</f>
        <v>jogos lame</v>
      </c>
      <c r="B37834" s="3">
        <v>0</v>
      </c>
    </row>
    <row r="37835" ht="15.75" customHeight="1" spans="1:2">
      <c r="A37835" s="3" t="str">
        <f>IFERROR(__xludf.DUMMYFUNCTION("GOOGLETRANSLATE(A37835,""en"",""pt"")"),"Má recepção, Horrível vida útil da bateria, muitas vezes com defeito")</f>
        <v>Má recepção, Horrível vida útil da bateria, muitas vezes com defeito</v>
      </c>
      <c r="B37835" s="3">
        <v>0</v>
      </c>
    </row>
    <row r="37836" ht="15.75" customHeight="1" spans="1:2">
      <c r="A37836" s="3" t="str">
        <f>IFERROR(__xludf.DUMMYFUNCTION("GOOGLETRANSLATE(A37836,""en"",""pt"")"),"qualidade de construção barato.")</f>
        <v>qualidade de construção barato.</v>
      </c>
      <c r="B37836" s="3">
        <v>0</v>
      </c>
    </row>
    <row r="37837" ht="15.75" customHeight="1" spans="1:2">
      <c r="A37837" s="3" t="str">
        <f>IFERROR(__xludf.DUMMYFUNCTION("GOOGLETRANSLATE(A37837,""en"",""pt"")"),"Tantas opções e, por vezes, Configurações- é difícil encontrar o que você deseja alterar.")</f>
        <v>Tantas opções e, por vezes, Configurações- é difícil encontrar o que você deseja alterar.</v>
      </c>
      <c r="B37837" s="3">
        <v>0</v>
      </c>
    </row>
    <row r="37838" ht="15.75" customHeight="1" spans="1:2">
      <c r="A37838" s="3" t="str">
        <f>IFERROR(__xludf.DUMMYFUNCTION("GOOGLETRANSLATE(A37838,""en"",""pt"")"),"Os botões são próximas umas das outras e bem pequenos.")</f>
        <v>Os botões são próximas umas das outras e bem pequenos.</v>
      </c>
      <c r="B37838" s="3">
        <v>0</v>
      </c>
    </row>
    <row r="37839" ht="15.75" customHeight="1" spans="1:2">
      <c r="A37839" s="3" t="str">
        <f>IFERROR(__xludf.DUMMYFUNCTION("GOOGLETRANSLATE(A37839,""en"",""pt"")"),"estojo de couro furo de plugue opcional mãos livres não se alinha bem.")</f>
        <v>estojo de couro furo de plugue opcional mãos livres não se alinha bem.</v>
      </c>
      <c r="B37839" s="3">
        <v>0</v>
      </c>
    </row>
    <row r="37840" ht="15.75" customHeight="1" spans="1:2">
      <c r="A37840" s="3" t="str">
        <f>IFERROR(__xludf.DUMMYFUNCTION("GOOGLETRANSLATE(A37840,""en"",""pt"")"),"Usando o telefone enquanto plugado na parede não vai parar o consumo da bateria e eventual desligamento.")</f>
        <v>Usando o telefone enquanto plugado na parede não vai parar o consumo da bateria e eventual desligamento.</v>
      </c>
      <c r="B37840" s="3">
        <v>0</v>
      </c>
    </row>
    <row r="37841" ht="15.75" customHeight="1" spans="1:2">
      <c r="A37841" s="3" t="str">
        <f>IFERROR(__xludf.DUMMYFUNCTION("GOOGLETRANSLATE(A37841,""en"",""pt"")"),"Não se pode falar &amp; Charge, a qualidade da chamada horrível, apenas ruim em geral.")</f>
        <v>Não se pode falar &amp; Charge, a qualidade da chamada horrível, apenas ruim em geral.</v>
      </c>
      <c r="B37841" s="3">
        <v>0</v>
      </c>
    </row>
    <row r="37842" ht="15.75" customHeight="1" spans="1:2">
      <c r="A37842" s="3" t="str">
        <f>IFERROR(__xludf.DUMMYFUNCTION("GOOGLETRANSLATE(A37842,""en"",""pt"")"),"bloqueio do teclado não funciona quando o telefone está desligado (ou seja, impedir de virar telefone)")</f>
        <v>bloqueio do teclado não funciona quando o telefone está desligado (ou seja, impedir de virar telefone)</v>
      </c>
      <c r="B37842" s="3">
        <v>0</v>
      </c>
    </row>
    <row r="37843" ht="15.75" customHeight="1" spans="1:2">
      <c r="A37843" s="3" t="str">
        <f>IFERROR(__xludf.DUMMYFUNCTION("GOOGLETRANSLATE(A37843,""en"",""pt"")"),"Problemas conhecidos com tela constrói montagem no início deste modelo")</f>
        <v>Problemas conhecidos com tela constrói montagem no início deste modelo</v>
      </c>
      <c r="B37843" s="3">
        <v>0</v>
      </c>
    </row>
    <row r="37844" ht="15.75" customHeight="1" spans="1:2">
      <c r="A37844" s="3" t="str">
        <f>IFERROR(__xludf.DUMMYFUNCTION("GOOGLETRANSLATE(A37844,""en"",""pt"")"),"Nenhum")</f>
        <v>Nenhum</v>
      </c>
      <c r="B37844" s="3">
        <v>0</v>
      </c>
    </row>
    <row r="37845" ht="15.75" customHeight="1" spans="1:2">
      <c r="A37845" s="3" t="str">
        <f>IFERROR(__xludf.DUMMYFUNCTION("GOOGLETRANSLATE(A37845,""en"",""pt"")"),"tela fica em branco e nenhum apoio de fabricação")</f>
        <v>tela fica em branco e nenhum apoio de fabricação</v>
      </c>
      <c r="B37845" s="3">
        <v>0</v>
      </c>
    </row>
    <row r="37846" ht="15.75" customHeight="1" spans="1:2">
      <c r="A37846" s="3" t="str">
        <f>IFERROR(__xludf.DUMMYFUNCTION("GOOGLETRANSLATE(A37846,""en"",""pt"")"),"Vibrar é muito fraco.")</f>
        <v>Vibrar é muito fraco.</v>
      </c>
      <c r="B37846" s="3">
        <v>0</v>
      </c>
    </row>
    <row r="37847" ht="15.75" customHeight="1" spans="1:2">
      <c r="A37847" s="3" t="str">
        <f>IFERROR(__xludf.DUMMYFUNCTION("GOOGLETRANSLATE(A37847,""en"",""pt"")"),"não pode facilmente mudar o volume enquanto fala.")</f>
        <v>não pode facilmente mudar o volume enquanto fala.</v>
      </c>
      <c r="B37847" s="3">
        <v>0</v>
      </c>
    </row>
    <row r="37848" ht="15.75" customHeight="1" spans="1:2">
      <c r="A37848" s="3" t="str">
        <f>IFERROR(__xludf.DUMMYFUNCTION("GOOGLETRANSLATE(A37848,""en"",""pt"")"),"Poder drena em uso, mesmo quando conectado a carro ou adaptador AC.")</f>
        <v>Poder drena em uso, mesmo quando conectado a carro ou adaptador AC.</v>
      </c>
      <c r="B37848" s="3">
        <v>0</v>
      </c>
    </row>
    <row r="37849" ht="15.75" customHeight="1" spans="1:2">
      <c r="A37849" s="3" t="str">
        <f>IFERROR(__xludf.DUMMYFUNCTION("GOOGLETRANSLATE(A37849,""en"",""pt"")"),"vida útil da bateria horrível, telefone propensos a defeitos")</f>
        <v>vida útil da bateria horrível, telefone propensos a defeitos</v>
      </c>
      <c r="B37849" s="3">
        <v>0</v>
      </c>
    </row>
    <row r="37850" ht="15.75" customHeight="1" spans="1:2">
      <c r="A37850" s="3" t="str">
        <f>IFERROR(__xludf.DUMMYFUNCTION("GOOGLETRANSLATE(A37850,""en"",""pt"")"),"A vida da bateria é média, não pode falar enquanto o telefone está a carregar")</f>
        <v>A vida da bateria é média, não pode falar enquanto o telefone está a carregar</v>
      </c>
      <c r="B37850" s="3">
        <v>0</v>
      </c>
    </row>
    <row r="37851" ht="15.75" customHeight="1" spans="1:2">
      <c r="A37851" s="3" t="str">
        <f>IFERROR(__xludf.DUMMYFUNCTION("GOOGLETRANSLATE(A37851,""en"",""pt"")"),"ecrã LCD sensível e desmaia, a vida da bateria de 40 minutos não 3 horas como indicado")</f>
        <v>ecrã LCD sensível e desmaia, a vida da bateria de 40 minutos não 3 horas como indicado</v>
      </c>
      <c r="B37851" s="3">
        <v>0</v>
      </c>
    </row>
    <row r="37852" ht="15.75" customHeight="1" spans="1:2">
      <c r="A37852" s="3" t="str">
        <f>IFERROR(__xludf.DUMMYFUNCTION("GOOGLETRANSLATE(A37852,""en"",""pt"")"),"recepção, a qualidade do som, campainha")</f>
        <v>recepção, a qualidade do som, campainha</v>
      </c>
      <c r="B37852" s="3">
        <v>0</v>
      </c>
    </row>
    <row r="37853" ht="15.75" customHeight="1" spans="1:2">
      <c r="A37853" s="3" t="str">
        <f>IFERROR(__xludf.DUMMYFUNCTION("GOOGLETRANSLATE(A37853,""en"",""pt"")"),"No viva-voz.")</f>
        <v>No viva-voz.</v>
      </c>
      <c r="B37853" s="3">
        <v>0</v>
      </c>
    </row>
    <row r="37854" ht="15.75" customHeight="1" spans="1:2">
      <c r="A37854" s="3" t="str">
        <f>IFERROR(__xludf.DUMMYFUNCTION("GOOGLETRANSLATE(A37854,""en"",""pt"")"),"tela LCD falhou em dois dos meus Kyocera 2235 de; qualidade de construção barata")</f>
        <v>tela LCD falhou em dois dos meus Kyocera 2235 de; qualidade de construção barata</v>
      </c>
      <c r="B37854" s="3">
        <v>0</v>
      </c>
    </row>
    <row r="37855" ht="15.75" customHeight="1" spans="1:2">
      <c r="A37855" s="3" t="str">
        <f>IFERROR(__xludf.DUMMYFUNCTION("GOOGLETRANSLATE(A37855,""en"",""pt"")"),"estúpido jogos (quem se importa?),")</f>
        <v>estúpido jogos (quem se importa?),</v>
      </c>
      <c r="B37855" s="3">
        <v>0</v>
      </c>
    </row>
    <row r="37856" ht="15.75" customHeight="1" spans="1:2">
      <c r="A37856" s="3" t="str">
        <f>IFERROR(__xludf.DUMMYFUNCTION("GOOGLETRANSLATE(A37856,""en"",""pt"")"),"Os acidentes de Exibição")</f>
        <v>Os acidentes de Exibição</v>
      </c>
      <c r="B37856" s="3">
        <v>0</v>
      </c>
    </row>
    <row r="37857" ht="15.75" customHeight="1" spans="1:2">
      <c r="A37857" s="3" t="str">
        <f>IFERROR(__xludf.DUMMYFUNCTION("GOOGLETRANSLATE(A37857,""en"",""pt"")"),"não pode falar e cobrar")</f>
        <v>não pode falar e cobrar</v>
      </c>
      <c r="B37857" s="3">
        <v>0</v>
      </c>
    </row>
    <row r="37858" ht="15.75" customHeight="1" spans="1:2">
      <c r="A37858" s="3" t="str">
        <f>IFERROR(__xludf.DUMMYFUNCTION("GOOGLETRANSLATE(A37858,""en"",""pt"")"),"entrada de mensagem de texto é muito lento.")</f>
        <v>entrada de mensagem de texto é muito lento.</v>
      </c>
      <c r="B37858" s="3">
        <v>0</v>
      </c>
    </row>
    <row r="37859" ht="15.75" customHeight="1" spans="1:2">
      <c r="A37859" s="3" t="str">
        <f>IFERROR(__xludf.DUMMYFUNCTION("GOOGLETRANSLATE(A37859,""en"",""pt"")"),"recepção lê baixo metade do tempo, e eu recebo recepção bem. Não é possível baixar anéis.")</f>
        <v>recepção lê baixo metade do tempo, e eu recebo recepção bem. Não é possível baixar anéis.</v>
      </c>
      <c r="B37859" s="3">
        <v>0</v>
      </c>
    </row>
    <row r="37860" ht="15.75" customHeight="1" spans="1:2">
      <c r="A37860" s="3" t="str">
        <f>IFERROR(__xludf.DUMMYFUNCTION("GOOGLETRANSLATE(A37860,""en"",""pt"")"),"Breaks muito facilmente, não pode mudar faceplates, confundindo menu de opções")</f>
        <v>Breaks muito facilmente, não pode mudar faceplates, confundindo menu de opções</v>
      </c>
      <c r="B37860" s="3">
        <v>0</v>
      </c>
    </row>
    <row r="37861" ht="15.75" customHeight="1" spans="1:2">
      <c r="A37861" s="3" t="str">
        <f>IFERROR(__xludf.DUMMYFUNCTION("GOOGLETRANSLATE(A37861,""en"",""pt"")"),"Única falha é a falta de antena interna.")</f>
        <v>Única falha é a falta de antena interna.</v>
      </c>
      <c r="B37861" s="3">
        <v>0</v>
      </c>
    </row>
    <row r="37862" ht="15.75" customHeight="1" spans="1:2">
      <c r="A37862" s="3" t="str">
        <f>IFERROR(__xludf.DUMMYFUNCTION("GOOGLETRANSLATE(A37862,""en"",""pt"")"),"Lotes de defeitos, Bad lista de contactos, não durável, não pode mudar placas de cara, etc, etc, etc ...")</f>
        <v>Lotes de defeitos, Bad lista de contactos, não durável, não pode mudar placas de cara, etc, etc, etc ...</v>
      </c>
      <c r="B37862" s="3">
        <v>0</v>
      </c>
    </row>
    <row r="37863" ht="15.75" customHeight="1" spans="1:2">
      <c r="A37863" s="3" t="str">
        <f>IFERROR(__xludf.DUMMYFUNCTION("GOOGLETRANSLATE(A37863,""en"",""pt"")"),"Arranha facilmente, navegador Web")</f>
        <v>Arranha facilmente, navegador Web</v>
      </c>
      <c r="B37863" s="3">
        <v>0</v>
      </c>
    </row>
    <row r="37864" ht="15.75" customHeight="1" spans="1:2">
      <c r="A37864" s="3" t="str">
        <f>IFERROR(__xludf.DUMMYFUNCTION("GOOGLETRANSLATE(A37864,""en"",""pt"")"),"chamadas abandonadas, fecha telefone desligado sem motivo")</f>
        <v>chamadas abandonadas, fecha telefone desligado sem motivo</v>
      </c>
      <c r="B37864" s="3">
        <v>0</v>
      </c>
    </row>
    <row r="37865" ht="15.75" customHeight="1" spans="1:2">
      <c r="A37865" s="3" t="str">
        <f>IFERROR(__xludf.DUMMYFUNCTION("GOOGLETRANSLATE(A37865,""en"",""pt"")"),"Não confiável. Não compre a menos que você pretende obter um novo telefone após um ano.")</f>
        <v>Não confiável. Não compre a menos que você pretende obter um novo telefone após um ano.</v>
      </c>
      <c r="B37865" s="3">
        <v>0</v>
      </c>
    </row>
    <row r="37866" ht="15.75" customHeight="1" spans="1:2">
      <c r="A37866" s="3" t="str">
        <f>IFERROR(__xludf.DUMMYFUNCTION("GOOGLETRANSLATE(A37866,""en"",""pt"")"),"vida baixa massa, fácil de esmagar, sinal fraco")</f>
        <v>vida baixa massa, fácil de esmagar, sinal fraco</v>
      </c>
      <c r="B37866" s="3">
        <v>0</v>
      </c>
    </row>
    <row r="37867" ht="15.75" customHeight="1" spans="1:2">
      <c r="A37867" s="3" t="str">
        <f>IFERROR(__xludf.DUMMYFUNCTION("GOOGLETRANSLATE(A37867,""en"",""pt"")"),"Exibir ocasionalmente distorce ou desaparece.")</f>
        <v>Exibir ocasionalmente distorce ou desaparece.</v>
      </c>
      <c r="B37867" s="3">
        <v>0</v>
      </c>
    </row>
    <row r="37868" ht="15.75" customHeight="1" spans="1:2">
      <c r="A37868" s="3" t="str">
        <f>IFERROR(__xludf.DUMMYFUNCTION("GOOGLETRANSLATE(A37868,""en"",""pt"")"),"peças e construção baratos; tela tende a falhar depois de um certo ponto")</f>
        <v>peças e construção baratos; tela tende a falhar depois de um certo ponto</v>
      </c>
      <c r="B37868" s="3">
        <v>0</v>
      </c>
    </row>
    <row r="37869" ht="15.75" customHeight="1" spans="1:2">
      <c r="A37869" s="3" t="str">
        <f>IFERROR(__xludf.DUMMYFUNCTION("GOOGLETRANSLATE(A37869,""en"",""pt"")"),"Excessivamente sensível a água, Blue Back-Lighting drenos bateria rapidamente.")</f>
        <v>Excessivamente sensível a água, Blue Back-Lighting drenos bateria rapidamente.</v>
      </c>
      <c r="B37869" s="3">
        <v>0</v>
      </c>
    </row>
    <row r="37870" ht="15.75" customHeight="1" spans="1:2">
      <c r="A37870" s="3" t="str">
        <f>IFERROR(__xludf.DUMMYFUNCTION("GOOGLETRANSLATE(A37870,""en"",""pt"")"),"Má qualidade de conexão. Testado com outros telefones na rede da Verizon. Pobre software !!")</f>
        <v>Má qualidade de conexão. Testado com outros telefones na rede da Verizon. Pobre software !!</v>
      </c>
      <c r="B37870" s="3">
        <v>0</v>
      </c>
    </row>
    <row r="37871" ht="15.75" customHeight="1" spans="1:2">
      <c r="A37871" s="3" t="s">
        <v>201</v>
      </c>
      <c r="B37871" s="3">
        <v>0</v>
      </c>
    </row>
    <row r="37872" ht="15.75" customHeight="1" spans="1:2">
      <c r="A37872" s="3" t="str">
        <f>IFERROR(__xludf.DUMMYFUNCTION("GOOGLETRANSLATE(A37872,""en"",""pt"")"),"primeiras revisões tinha problemas de LCD, apresenta ofuscado por modelos mais novos")</f>
        <v>primeiras revisões tinha problemas de LCD, apresenta ofuscado por modelos mais novos</v>
      </c>
      <c r="B37872" s="3">
        <v>0</v>
      </c>
    </row>
    <row r="37873" ht="15.75" customHeight="1" spans="1:2">
      <c r="A37873" s="3" t="str">
        <f>IFERROR(__xludf.DUMMYFUNCTION("GOOGLETRANSLATE(A37873,""en"",""pt"")"),"Devido a uma má concepção, tem um LCD de alta manutenção que precisa de atenção freqüente.")</f>
        <v>Devido a uma má concepção, tem um LCD de alta manutenção que precisa de atenção freqüente.</v>
      </c>
      <c r="B37873" s="3">
        <v>0</v>
      </c>
    </row>
    <row r="37874" ht="15.75" customHeight="1" spans="1:2">
      <c r="A37874" s="3" t="str">
        <f>IFERROR(__xludf.DUMMYFUNCTION("GOOGLETRANSLATE(A37874,""en"",""pt"")"),"Tamanho e forma &amp; # 13;. &amp; # 10; &amp; # 13; &amp; # 10;")</f>
        <v>Tamanho e forma &amp; # 13;. &amp; # 10; &amp; # 13; &amp; # 10;</v>
      </c>
      <c r="B37874" s="3">
        <v>0</v>
      </c>
    </row>
    <row r="37875" ht="15.75" customHeight="1" spans="1:2">
      <c r="A37875" s="3" t="str">
        <f>IFERROR(__xludf.DUMMYFUNCTION("GOOGLETRANSLATE(A37875,""en"",""pt"")"),"O estojo de couro para ele.")</f>
        <v>O estojo de couro para ele.</v>
      </c>
      <c r="B37875" s="3">
        <v>0</v>
      </c>
    </row>
    <row r="37876" ht="15.75" customHeight="1" spans="1:2">
      <c r="A37876" s="3" t="str">
        <f>IFERROR(__xludf.DUMMYFUNCTION("GOOGLETRANSLATE(A37876,""en"",""pt"")"),"Telefone é difícil de programa e desajeitado, serviço internacional é extremamente caro")</f>
        <v>Telefone é difícil de programa e desajeitado, serviço internacional é extremamente caro</v>
      </c>
      <c r="B37876" s="3">
        <v>0</v>
      </c>
    </row>
    <row r="37877" ht="15.75" customHeight="1" spans="1:2">
      <c r="A37877" s="3" t="str">
        <f>IFERROR(__xludf.DUMMYFUNCTION("GOOGLETRANSLATE(A37877,""en"",""pt"")"),"a vida da bateria pobres, acessórios limitados.")</f>
        <v>a vida da bateria pobres, acessórios limitados.</v>
      </c>
      <c r="B37877" s="3">
        <v>0</v>
      </c>
    </row>
    <row r="37878" ht="15.75" customHeight="1" spans="1:2">
      <c r="A37878" s="3" t="str">
        <f>IFERROR(__xludf.DUMMYFUNCTION("GOOGLETRANSLATE(A37878,""en"",""pt"")"),"grande / desajeitado em comparação com telefones GSM puros, não built-in fone de ouvido, etc.")</f>
        <v>grande / desajeitado em comparação com telefones GSM puros, não built-in fone de ouvido, etc.</v>
      </c>
      <c r="B37878" s="3">
        <v>0</v>
      </c>
    </row>
    <row r="37879" ht="15.75" customHeight="1" spans="1:2">
      <c r="A37879" s="3" t="str">
        <f>IFERROR(__xludf.DUMMYFUNCTION("GOOGLETRANSLATE(A37879,""en"",""pt"")"),"A vida da bateria não é como anunciado")</f>
        <v>A vida da bateria não é como anunciado</v>
      </c>
      <c r="B37879" s="3">
        <v>0</v>
      </c>
    </row>
    <row r="37880" ht="15.75" customHeight="1" spans="1:2">
      <c r="A37880" s="3" t="str">
        <f>IFERROR(__xludf.DUMMYFUNCTION("GOOGLETRANSLATE(A37880,""en"",""pt"")"),"Desajeitado (que também é um plus), não um monte de presença ""cool"".")</f>
        <v>Desajeitado (que também é um plus), não um monte de presença "cool".</v>
      </c>
      <c r="B37880" s="3">
        <v>0</v>
      </c>
    </row>
    <row r="37881" ht="15.75" customHeight="1" spans="1:2">
      <c r="A37881" s="3" t="str">
        <f>IFERROR(__xludf.DUMMYFUNCTION("GOOGLETRANSLATE(A37881,""en"",""pt"")"),"limitada motorola realizar opções, bateria")</f>
        <v>limitada motorola realizar opções, bateria</v>
      </c>
      <c r="B37881" s="3">
        <v>0</v>
      </c>
    </row>
    <row r="37882" ht="15.75" customHeight="1" spans="1:2">
      <c r="A37882" s="3" t="str">
        <f>IFERROR(__xludf.DUMMYFUNCTION("GOOGLETRANSLATE(A37882,""en"",""pt"")"),"a vida da bateria poderia ser melhor")</f>
        <v>a vida da bateria poderia ser melhor</v>
      </c>
      <c r="B37882" s="3">
        <v>0</v>
      </c>
    </row>
    <row r="37883" ht="15.75" customHeight="1" spans="1:2">
      <c r="A37883" s="3" t="str">
        <f>IFERROR(__xludf.DUMMYFUNCTION("GOOGLETRANSLATE(A37883,""en"",""pt"")"),"vida útil da bateria limitada, difícil de programa")</f>
        <v>vida útil da bateria limitada, difícil de programa</v>
      </c>
      <c r="B37883" s="3">
        <v>0</v>
      </c>
    </row>
    <row r="37884" ht="15.75" customHeight="1" spans="1:2">
      <c r="A37884" s="3" t="str">
        <f>IFERROR(__xludf.DUMMYFUNCTION("GOOGLETRANSLATE(A37884,""en"",""pt"")"),"Arranhões facilmente, pequenas chaves, anel não alto o suficiente, o apagamento de mensagens de texto")</f>
        <v>Arranhões facilmente, pequenas chaves, anel não alto o suficiente, o apagamento de mensagens de texto</v>
      </c>
      <c r="B37884" s="3">
        <v>0</v>
      </c>
    </row>
    <row r="37885" ht="15.75" customHeight="1" spans="1:2">
      <c r="A37885" s="3" t="s">
        <v>202</v>
      </c>
      <c r="B37885" s="3">
        <v>0</v>
      </c>
    </row>
    <row r="37886" ht="15.75" customHeight="1" spans="1:2">
      <c r="A37886" s="3" t="str">
        <f>IFERROR(__xludf.DUMMYFUNCTION("GOOGLETRANSLATE(A37886,""en"",""pt"")"),"Parece quebrar facilmente")</f>
        <v>Parece quebrar facilmente</v>
      </c>
      <c r="B37886" s="3">
        <v>0</v>
      </c>
    </row>
    <row r="37887" ht="15.75" customHeight="1" spans="1:2">
      <c r="A37887" s="3" t="str">
        <f>IFERROR(__xludf.DUMMYFUNCTION("GOOGLETRANSLATE(A37887,""en"",""pt"")"),"Levar um tiro.")</f>
        <v>Levar um tiro.</v>
      </c>
      <c r="B37887" s="3">
        <v>0</v>
      </c>
    </row>
    <row r="37888" ht="15.75" customHeight="1" spans="1:2">
      <c r="A37888" s="3" t="str">
        <f>IFERROR(__xludf.DUMMYFUNCTION("GOOGLETRANSLATE(A37888,""en"",""pt"")"),"Correio de voz muito difícil.")</f>
        <v>Correio de voz muito difícil.</v>
      </c>
      <c r="B37888" s="3">
        <v>0</v>
      </c>
    </row>
    <row r="37889" ht="15.75" customHeight="1" spans="1:2">
      <c r="A37889" s="3" t="str">
        <f>IFERROR(__xludf.DUMMYFUNCTION("GOOGLETRANSLATE(A37889,""en"",""pt"")"),"Banda Única, sem capacidade de expansão, não OS palma, acessórios?")</f>
        <v>Banda Única, sem capacidade de expansão, não OS palma, acessórios?</v>
      </c>
      <c r="B37889" s="3">
        <v>0</v>
      </c>
    </row>
    <row r="37890" ht="15.75" customHeight="1" spans="1:2">
      <c r="A37890" s="3" t="str">
        <f>IFERROR(__xludf.DUMMYFUNCTION("GOOGLETRANSLATE(A37890,""en"",""pt"")"),"Sem analógica, Desliga vez em quando, software não atualizável")</f>
        <v>Sem analógica, Desliga vez em quando, software não atualizável</v>
      </c>
      <c r="B37890" s="3">
        <v>0</v>
      </c>
    </row>
    <row r="37891" ht="15.75" customHeight="1" spans="1:2">
      <c r="A37891" s="3" t="str">
        <f>IFERROR(__xludf.DUMMYFUNCTION("GOOGLETRANSLATE(A37891,""en"",""pt"")"),"não funcionou")</f>
        <v>não funcionou</v>
      </c>
      <c r="B37891" s="3">
        <v>0</v>
      </c>
    </row>
    <row r="37892" ht="15.75" customHeight="1" spans="1:2">
      <c r="A37892" s="3" t="str">
        <f>IFERROR(__xludf.DUMMYFUNCTION("GOOGLETRANSLATE(A37892,""en"",""pt"")"),"muito pequenos botões, menus difíceis de trabalhar com, confundindo às vezes")</f>
        <v>muito pequenos botões, menus difíceis de trabalhar com, confundindo às vezes</v>
      </c>
      <c r="B37892" s="3">
        <v>0</v>
      </c>
    </row>
    <row r="37893" ht="15.75" customHeight="1" spans="1:2">
      <c r="A37893" s="3" t="str">
        <f>IFERROR(__xludf.DUMMYFUNCTION("GOOGLETRANSLATE(A37893,""en"",""pt"")"),"pequeno visor, sem jogos, poderia ser mais fácil para percorrer agenda, headset é uma piada")</f>
        <v>pequeno visor, sem jogos, poderia ser mais fácil para percorrer agenda, headset é uma piada</v>
      </c>
      <c r="B37893" s="3">
        <v>0</v>
      </c>
    </row>
    <row r="37894" ht="15.75" customHeight="1" spans="1:2">
      <c r="A37894" s="3" t="str">
        <f>IFERROR(__xludf.DUMMYFUNCTION("GOOGLETRANSLATE(A37894,""en"",""pt"")"),"Não Web habilitado")</f>
        <v>Não Web habilitado</v>
      </c>
      <c r="B37894" s="3">
        <v>0</v>
      </c>
    </row>
    <row r="37895" ht="15.75" customHeight="1" spans="1:2">
      <c r="A37895" s="3" t="str">
        <f>IFERROR(__xludf.DUMMYFUNCTION("GOOGLETRANSLATE(A37895,""en"",""pt"")"),"não muito resistente em tudo, eu quase quebrei duas vezes em 3 dias")</f>
        <v>não muito resistente em tudo, eu quase quebrei duas vezes em 3 dias</v>
      </c>
      <c r="B37895" s="3">
        <v>0</v>
      </c>
    </row>
    <row r="37896" ht="15.75" customHeight="1" spans="1:2">
      <c r="A37896" s="3" t="str">
        <f>IFERROR(__xludf.DUMMYFUNCTION("GOOGLETRANSLATE(A37896,""en"",""pt"")"),"A vida da bateria, não habilitado para web")</f>
        <v>A vida da bateria, não habilitado para web</v>
      </c>
      <c r="B37896" s="3">
        <v>0</v>
      </c>
    </row>
    <row r="37897" ht="15.75" customHeight="1" spans="1:2">
      <c r="A37897" s="3" t="str">
        <f>IFERROR(__xludf.DUMMYFUNCTION("GOOGLETRANSLATE(A37897,""en"",""pt"")"),"Parece ecoar muito mal. A vida da bateria.")</f>
        <v>Parece ecoar muito mal. A vida da bateria.</v>
      </c>
      <c r="B37897" s="3">
        <v>0</v>
      </c>
    </row>
    <row r="37898" ht="15.75" customHeight="1" spans="1:2">
      <c r="A37898" s="3" t="str">
        <f>IFERROR(__xludf.DUMMYFUNCTION("GOOGLETRANSLATE(A37898,""en"",""pt"")"),"Se a durabilidade é elevado em sua lista do que este telefone não deve ser.")</f>
        <v>Se a durabilidade é elevado em sua lista do que este telefone não deve ser.</v>
      </c>
      <c r="B37898" s="3">
        <v>0</v>
      </c>
    </row>
    <row r="37899" ht="15.75" customHeight="1" spans="1:2">
      <c r="A37899" s="3" t="str">
        <f>IFERROR(__xludf.DUMMYFUNCTION("GOOGLETRANSLATE(A37899,""en"",""pt"")"),"A vida da bateria poderia ser melhor (ok para me embora). Sem acesso à Web (como R289)")</f>
        <v>A vida da bateria poderia ser melhor (ok para me embora). Sem acesso à Web (como R289)</v>
      </c>
      <c r="B37899" s="3">
        <v>0</v>
      </c>
    </row>
    <row r="37900" ht="15.75" customHeight="1" spans="1:2">
      <c r="A37900" s="3" t="str">
        <f>IFERROR(__xludf.DUMMYFUNCTION("GOOGLETRANSLATE(A37900,""en"",""pt"")"),"som medíocre, recepção, qualidade.")</f>
        <v>som medíocre, recepção, qualidade.</v>
      </c>
      <c r="B37900" s="3">
        <v>0</v>
      </c>
    </row>
    <row r="37901" ht="15.75" customHeight="1" spans="1:2">
      <c r="A37901" s="3" t="str">
        <f>IFERROR(__xludf.DUMMYFUNCTION("GOOGLETRANSLATE(A37901,""en"",""pt"")"),"bateria parece estar a correr baixo rapidamente")</f>
        <v>bateria parece estar a correr baixo rapidamente</v>
      </c>
      <c r="B37901" s="3">
        <v>0</v>
      </c>
    </row>
    <row r="37902" ht="15.75" customHeight="1" spans="1:2">
      <c r="A37902" s="3" t="str">
        <f>IFERROR(__xludf.DUMMYFUNCTION("GOOGLETRANSLATE(A37902,""en"",""pt"")"),"Frágil, má recepção, difícil de ler.")</f>
        <v>Frágil, má recepção, difícil de ler.</v>
      </c>
      <c r="B37902" s="3">
        <v>0</v>
      </c>
    </row>
    <row r="37903" ht="15.75" customHeight="1" spans="1:2">
      <c r="A37903" s="3" t="str">
        <f>IFERROR(__xludf.DUMMYFUNCTION("GOOGLETRANSLATE(A37903,""en"",""pt"")"),"Sem acesso sem fio Web, enorme antena")</f>
        <v>Sem acesso sem fio Web, enorme antena</v>
      </c>
      <c r="B37903" s="3">
        <v>0</v>
      </c>
    </row>
    <row r="37904" ht="15.75" customHeight="1" spans="1:2">
      <c r="A37904" s="3" t="str">
        <f>IFERROR(__xludf.DUMMYFUNCTION("GOOGLETRANSLATE(A37904,""en"",""pt"")"),"bateria fica muito solto, baixos frescuras")</f>
        <v>bateria fica muito solto, baixos frescuras</v>
      </c>
      <c r="B37904" s="3">
        <v>0</v>
      </c>
    </row>
    <row r="37905" ht="15.75" customHeight="1" spans="1:2">
      <c r="A37905" s="3" t="str">
        <f>IFERROR(__xludf.DUMMYFUNCTION("GOOGLETRANSLATE(A37905,""en"",""pt"")"),"Sinal Fraco - queda de chamadas e conexões inconsistentes")</f>
        <v>Sinal Fraco - queda de chamadas e conexões inconsistentes</v>
      </c>
      <c r="B37905" s="3">
        <v>0</v>
      </c>
    </row>
    <row r="37906" ht="15.75" customHeight="1" spans="1:2">
      <c r="A37906" s="3" t="str">
        <f>IFERROR(__xludf.DUMMYFUNCTION("GOOGLETRANSLATE(A37906,""en"",""pt"")"),"chamadas abandonadas, relógio parar de bater, volume da campainha.")</f>
        <v>chamadas abandonadas, relógio parar de bater, volume da campainha.</v>
      </c>
      <c r="B37906" s="3">
        <v>0</v>
      </c>
    </row>
    <row r="37907" ht="15.75" customHeight="1" spans="1:2">
      <c r="A37907" s="3" t="str">
        <f>IFERROR(__xludf.DUMMYFUNCTION("GOOGLETRANSLATE(A37907,""en"",""pt"")"),"lotes de memorandos, mas bastante curto em comprimento; não lembretes;")</f>
        <v>lotes de memorandos, mas bastante curto em comprimento; não lembretes;</v>
      </c>
      <c r="B37907" s="3">
        <v>0</v>
      </c>
    </row>
    <row r="37908" ht="15.75" customHeight="1" spans="1:2">
      <c r="A37908" s="3" t="str">
        <f>IFERROR(__xludf.DUMMYFUNCTION("GOOGLETRANSLATE(A37908,""en"",""pt"")"),"chamadas abandonadas, sem vista número quando o telefone está fechado.")</f>
        <v>chamadas abandonadas, sem vista número quando o telefone está fechado.</v>
      </c>
      <c r="B37908" s="3">
        <v>0</v>
      </c>
    </row>
    <row r="37909" ht="15.75" customHeight="1" spans="1:2">
      <c r="A37909" s="3" t="str">
        <f>IFERROR(__xludf.DUMMYFUNCTION("GOOGLETRANSLATE(A37909,""en"",""pt"")"),"Muito básico de amenidades.")</f>
        <v>Muito básico de amenidades.</v>
      </c>
      <c r="B37909" s="3">
        <v>0</v>
      </c>
    </row>
    <row r="37910" ht="15.75" customHeight="1" spans="1:2">
      <c r="A37910" s="3" t="str">
        <f>IFERROR(__xludf.DUMMYFUNCTION("GOOGLETRANSLATE(A37910,""en"",""pt"")"),"qualidade de som é terrível")</f>
        <v>qualidade de som é terrível</v>
      </c>
      <c r="B37910" s="3">
        <v>0</v>
      </c>
    </row>
    <row r="37911" ht="15.75" customHeight="1" spans="1:2">
      <c r="A37911" s="3" t="str">
        <f>IFERROR(__xludf.DUMMYFUNCTION("GOOGLETRANSLATE(A37911,""en"",""pt"")"),"Má recepção, espelho cega quando a luz atinge.")</f>
        <v>Má recepção, espelho cega quando a luz atinge.</v>
      </c>
      <c r="B37911" s="3">
        <v>0</v>
      </c>
    </row>
    <row r="37912" ht="15.75" customHeight="1" spans="1:2">
      <c r="A37912" s="3" t="str">
        <f>IFERROR(__xludf.DUMMYFUNCTION("GOOGLETRANSLATE(A37912,""en"",""pt"")"),"Qualidade barato")</f>
        <v>Qualidade barato</v>
      </c>
      <c r="B37912" s="3">
        <v>0</v>
      </c>
    </row>
    <row r="37913" ht="15.75" customHeight="1" spans="1:2">
      <c r="A37913" s="3" t="str">
        <f>IFERROR(__xludf.DUMMYFUNCTION("GOOGLETRANSLATE(A37913,""en"",""pt"")"),"má concepção. Má recepção.")</f>
        <v>má concepção. Má recepção.</v>
      </c>
      <c r="B37913" s="3">
        <v>0</v>
      </c>
    </row>
    <row r="37914" ht="15.75" customHeight="1" spans="1:2">
      <c r="A37914" s="3" t="str">
        <f>IFERROR(__xludf.DUMMYFUNCTION("GOOGLETRANSLATE(A37914,""en"",""pt"")"),"queda de chamadas; keypad difícil de uso")</f>
        <v>queda de chamadas; keypad difícil de uso</v>
      </c>
      <c r="B37914" s="3">
        <v>0</v>
      </c>
    </row>
    <row r="37915" ht="15.75" customHeight="1" spans="1:2">
      <c r="A37915" s="3" t="str">
        <f>IFERROR(__xludf.DUMMYFUNCTION("GOOGLETRANSLATE(A37915,""en"",""pt"")"),"Espelho muito pequenas, jogos ruins, má qualidade do som, má recepção.")</f>
        <v>Espelho muito pequenas, jogos ruins, má qualidade do som, má recepção.</v>
      </c>
      <c r="B37915" s="3">
        <v>0</v>
      </c>
    </row>
    <row r="37916" ht="15.75" customHeight="1" spans="1:2">
      <c r="A37916" s="3" t="str">
        <f>IFERROR(__xludf.DUMMYFUNCTION("GOOGLETRANSLATE(A37916,""en"",""pt"")"),"Sinal muito fraco, usando-o muito frustrante.")</f>
        <v>Sinal muito fraco, usando-o muito frustrante.</v>
      </c>
      <c r="B37916" s="3">
        <v>0</v>
      </c>
    </row>
    <row r="37917" ht="15.75" customHeight="1" spans="1:2">
      <c r="A37917" s="3" t="str">
        <f>IFERROR(__xludf.DUMMYFUNCTION("GOOGLETRANSLATE(A37917,""en"",""pt"")"),"Nenhum")</f>
        <v>Nenhum</v>
      </c>
      <c r="B37917" s="3">
        <v>0</v>
      </c>
    </row>
    <row r="37918" ht="15.75" customHeight="1" spans="1:2">
      <c r="A37918" s="3" t="str">
        <f>IFERROR(__xludf.DUMMYFUNCTION("GOOGLETRANSLATE(A37918,""en"",""pt"")"),"Desconectado em chamadas longas, mas bom para alguém que não é ligado o tempo todo.")</f>
        <v>Desconectado em chamadas longas, mas bom para alguém que não é ligado o tempo todo.</v>
      </c>
      <c r="B37918" s="3">
        <v>0</v>
      </c>
    </row>
    <row r="37919" ht="15.75" customHeight="1" spans="1:2">
      <c r="A37919" s="3" t="str">
        <f>IFERROR(__xludf.DUMMYFUNCTION("GOOGLETRANSLATE(A37919,""en"",""pt"")"),"Bad recepção, não durável, carregador de casa não funciona")</f>
        <v>Bad recepção, não durável, carregador de casa não funciona</v>
      </c>
      <c r="B37919" s="3">
        <v>0</v>
      </c>
    </row>
    <row r="37920" ht="15.75" customHeight="1" spans="1:2">
      <c r="A37920" s="3" t="str">
        <f>IFERROR(__xludf.DUMMYFUNCTION("GOOGLETRANSLATE(A37920,""en"",""pt"")"),"Conectividade é completamente inaceitável. Ele simplesmente não como um telefone cel operável.")</f>
        <v>Conectividade é completamente inaceitável. Ele simplesmente não como um telefone cel operável.</v>
      </c>
      <c r="B37920" s="3">
        <v>0</v>
      </c>
    </row>
    <row r="37921" ht="15.75" customHeight="1" spans="1:2">
      <c r="A37921" s="3" t="str">
        <f>IFERROR(__xludf.DUMMYFUNCTION("GOOGLETRANSLATE(A37921,""en"",""pt"")"),"Frágil, design feio. Má recepção, a lista vai sobre e sobre.")</f>
        <v>Frágil, design feio. Má recepção, a lista vai sobre e sobre.</v>
      </c>
      <c r="B37921" s="3">
        <v>0</v>
      </c>
    </row>
    <row r="37922" ht="15.75" customHeight="1" spans="1:2">
      <c r="A37922" s="3" t="str">
        <f>IFERROR(__xludf.DUMMYFUNCTION("GOOGLETRANSLATE(A37922,""en"",""pt"")"),"má recepção, muitas chamadas desconectadas")</f>
        <v>má recepção, muitas chamadas desconectadas</v>
      </c>
      <c r="B37922" s="3">
        <v>0</v>
      </c>
    </row>
    <row r="37923" ht="15.75" customHeight="1" spans="1:2">
      <c r="A37923" s="3" t="str">
        <f>IFERROR(__xludf.DUMMYFUNCTION("GOOGLETRANSLATE(A37923,""en"",""pt"")"),"Não, Não compacto, tela Terrível infravermelho")</f>
        <v>Não, Não compacto, tela Terrível infravermelho</v>
      </c>
      <c r="B37923" s="3">
        <v>0</v>
      </c>
    </row>
    <row r="37924" ht="15.75" customHeight="1" spans="1:2">
      <c r="A37924" s="3" t="str">
        <f>IFERROR(__xludf.DUMMYFUNCTION("GOOGLETRANSLATE(A37924,""en"",""pt"")"),"sidelights laranja, bastante grande, o brilho da tela")</f>
        <v>sidelights laranja, bastante grande, o brilho da tela</v>
      </c>
      <c r="B37924" s="3">
        <v>0</v>
      </c>
    </row>
    <row r="37925" ht="15.75" customHeight="1" spans="1:2">
      <c r="A37925" s="3" t="str">
        <f>IFERROR(__xludf.DUMMYFUNCTION("GOOGLETRANSLATE(A37925,""en"",""pt"")"),"hummm .....")</f>
        <v>hummm .....</v>
      </c>
      <c r="B37925" s="3">
        <v>0</v>
      </c>
    </row>
    <row r="37926" ht="15.75" customHeight="1" spans="1:2">
      <c r="A37926" s="3" t="str">
        <f>IFERROR(__xludf.DUMMYFUNCTION("GOOGLETRANSLATE(A37926,""en"",""pt"")"),"material extravagante custa cargas de seu apoio doesnt tarriff WAP livre ou barato")</f>
        <v>material extravagante custa cargas de seu apoio doesnt tarriff WAP livre ou barato</v>
      </c>
      <c r="B37926" s="3">
        <v>0</v>
      </c>
    </row>
    <row r="37927" ht="15.75" customHeight="1" spans="1:2">
      <c r="A37927" s="3" t="str">
        <f>IFERROR(__xludf.DUMMYFUNCTION("GOOGLETRANSLATE(A37927,""en"",""pt"")"),"tela ruim, má qualidade ringtone, não muitos recursos, ligeiramente bricky")</f>
        <v>tela ruim, má qualidade ringtone, não muitos recursos, ligeiramente bricky</v>
      </c>
      <c r="B37927" s="3">
        <v>0</v>
      </c>
    </row>
    <row r="37928" ht="15.75" customHeight="1" spans="1:2">
      <c r="A37928" s="3" t="str">
        <f>IFERROR(__xludf.DUMMYFUNCTION("GOOGLETRANSLATE(A37928,""en"",""pt"")"),"Pouco velho e não tão bom como telefones mais novos, mas tudo bem")</f>
        <v>Pouco velho e não tão bom como telefones mais novos, mas tudo bem</v>
      </c>
      <c r="B37928" s="3">
        <v>0</v>
      </c>
    </row>
    <row r="37929" ht="15.75" customHeight="1" spans="1:2">
      <c r="A37929" s="3" t="str">
        <f>IFERROR(__xludf.DUMMYFUNCTION("GOOGLETRANSLATE(A37929,""en"",""pt"")"),"Tamanho, duração da bateria, o potencial de acidente")</f>
        <v>Tamanho, duração da bateria, o potencial de acidente</v>
      </c>
      <c r="B37929" s="3">
        <v>0</v>
      </c>
    </row>
    <row r="37930" ht="15.75" customHeight="1" spans="1:2">
      <c r="A37930" s="3" t="str">
        <f>IFERROR(__xludf.DUMMYFUNCTION("GOOGLETRANSLATE(A37930,""en"",""pt"")"),"Ainda um volumoso TAD, instabilidades de aplicação, com base Palm-somente a vida da bateria aceitável Caro,")</f>
        <v>Ainda um volumoso TAD, instabilidades de aplicação, com base Palm-somente a vida da bateria aceitável Caro,</v>
      </c>
      <c r="B37930" s="3">
        <v>0</v>
      </c>
    </row>
    <row r="37931" ht="15.75" customHeight="1" spans="1:2">
      <c r="A37931" s="3" t="str">
        <f>IFERROR(__xludf.DUMMYFUNCTION("GOOGLETRANSLATE(A37931,""en"",""pt"")"),"não vai funcionar bem com AvantGo, tela de Palma de baixa resolução (160x160)")</f>
        <v>não vai funcionar bem com AvantGo, tela de Palma de baixa resolução (160x160)</v>
      </c>
      <c r="B37931" s="3">
        <v>0</v>
      </c>
    </row>
    <row r="37932" ht="15.75" customHeight="1" spans="1:2">
      <c r="A37932" s="3" t="str">
        <f>IFERROR(__xludf.DUMMYFUNCTION("GOOGLETRANSLATE(A37932,""en"",""pt"")"),"desastre total, garantia Kyocera golpe")</f>
        <v>desastre total, garantia Kyocera golpe</v>
      </c>
      <c r="B37932" s="3">
        <v>0</v>
      </c>
    </row>
    <row r="37933" ht="15.75" customHeight="1" spans="1:2">
      <c r="A37933" s="3" t="str">
        <f>IFERROR(__xludf.DUMMYFUNCTION("GOOGLETRANSLATE(A37933,""en"",""pt"")"),"Alguns podem ver como volumoso. A vida da bateria apenas média. Caro.")</f>
        <v>Alguns podem ver como volumoso. A vida da bateria apenas média. Caro.</v>
      </c>
      <c r="B37933" s="3">
        <v>0</v>
      </c>
    </row>
    <row r="37934" ht="15.75" customHeight="1" spans="1:2">
      <c r="A37934" s="3" t="str">
        <f>IFERROR(__xludf.DUMMYFUNCTION("GOOGLETRANSLATE(A37934,""en"",""pt"")"),"vida de bateria fraca, é o eco do telefone ou Telus, e onde é Bluetooth ?!")</f>
        <v>vida de bateria fraca, é o eco do telefone ou Telus, e onde é Bluetooth ?!</v>
      </c>
      <c r="B37934" s="3">
        <v>0</v>
      </c>
    </row>
    <row r="37935" ht="15.75" customHeight="1" spans="1:2">
      <c r="A37935" s="3" t="str">
        <f>IFERROR(__xludf.DUMMYFUNCTION("GOOGLETRANSLATE(A37935,""en"",""pt"")"),"Software dentição dores melhor, mas ainda não perfeito.")</f>
        <v>Software dentição dores melhor, mas ainda não perfeito.</v>
      </c>
      <c r="B37935" s="3">
        <v>0</v>
      </c>
    </row>
    <row r="37936" ht="15.75" customHeight="1" spans="1:2">
      <c r="A37936" s="3" t="str">
        <f>IFERROR(__xludf.DUMMYFUNCTION("GOOGLETRANSLATE(A37936,""en"",""pt"")"),"vida pobre da bateria, livro de endereços horrível, sensação teclado terrível.")</f>
        <v>vida pobre da bateria, livro de endereços horrível, sensação teclado terrível.</v>
      </c>
      <c r="B37936" s="3">
        <v>0</v>
      </c>
    </row>
    <row r="37937" ht="15.75" customHeight="1" spans="1:2">
      <c r="A37937" s="3" t="str">
        <f>IFERROR(__xludf.DUMMYFUNCTION("GOOGLETRANSLATE(A37937,""en"",""pt"")"),"Teclado é uma porcaria, não há ""smartKeys"", muito tem que ser feito através de menus.")</f>
        <v>Teclado é uma porcaria, não há "smartKeys", muito tem que ser feito através de menus.</v>
      </c>
      <c r="B37937" s="3">
        <v>0</v>
      </c>
    </row>
    <row r="37938" ht="15.75" customHeight="1" spans="1:2">
      <c r="A37938" s="3" t="str">
        <f>IFERROR(__xludf.DUMMYFUNCTION("GOOGLETRANSLATE(A37938,""en"",""pt"")"),"um volumoso pouco, nenhuma interface de tela de toque com tela principal do telefone")</f>
        <v>um volumoso pouco, nenhuma interface de tela de toque com tela principal do telefone</v>
      </c>
      <c r="B37938" s="3">
        <v>0</v>
      </c>
    </row>
    <row r="37939" ht="15.75" customHeight="1" spans="1:2">
      <c r="A37939" s="3" t="str">
        <f>IFERROR(__xludf.DUMMYFUNCTION("GOOGLETRANSLATE(A37939,""en"",""pt"")"),"falhas freqüentes que acabar com as bases de dados tornar esta uma novidade, não uma ferramenta de negócios.")</f>
        <v>falhas freqüentes que acabar com as bases de dados tornar esta uma novidade, não uma ferramenta de negócios.</v>
      </c>
      <c r="B37939" s="3">
        <v>0</v>
      </c>
    </row>
    <row r="37940" ht="15.75" customHeight="1" spans="1:2">
      <c r="A37940" s="3" t="str">
        <f>IFERROR(__xludf.DUMMYFUNCTION("GOOGLETRANSLATE(A37940,""en"",""pt"")"),"tela, teclado e telefone nem sempre funcionam; trava o tempo todo.")</f>
        <v>tela, teclado e telefone nem sempre funcionam; trava o tempo todo.</v>
      </c>
      <c r="B37940" s="3">
        <v>0</v>
      </c>
    </row>
    <row r="37941" ht="15.75" customHeight="1" spans="1:2">
      <c r="A37941" s="3" t="str">
        <f>IFERROR(__xludf.DUMMYFUNCTION("GOOGLETRANSLATE(A37941,""en"",""pt"")"),"Estabilidade (ver comentário para soluções alternativas), vida útil da bateria, lento para um novo palma.")</f>
        <v>Estabilidade (ver comentário para soluções alternativas), vida útil da bateria, lento para um novo palma.</v>
      </c>
      <c r="B37941" s="3">
        <v>0</v>
      </c>
    </row>
    <row r="37942" ht="15.75" customHeight="1" spans="1:2">
      <c r="A37942" s="3" t="str">
        <f>IFERROR(__xludf.DUMMYFUNCTION("GOOGLETRANSLATE(A37942,""en"",""pt"")"),"Preço, preço e preço, a vida da bateria.")</f>
        <v>Preço, preço e preço, a vida da bateria.</v>
      </c>
      <c r="B37942" s="3">
        <v>0</v>
      </c>
    </row>
    <row r="37943" ht="15.75" customHeight="1" spans="1:2">
      <c r="A37943" s="3" t="str">
        <f>IFERROR(__xludf.DUMMYFUNCTION("GOOGLETRANSLATE(A37943,""en"",""pt"")"),"É top notch recepção?")</f>
        <v>É top notch recepção?</v>
      </c>
      <c r="B37943" s="3">
        <v>0</v>
      </c>
    </row>
    <row r="37944" ht="15.75" customHeight="1" spans="1:2">
      <c r="A37944" s="3" t="str">
        <f>IFERROR(__xludf.DUMMYFUNCTION("GOOGLETRANSLATE(A37944,""en"",""pt"")"),"instabilidade Software.")</f>
        <v>instabilidade Software.</v>
      </c>
      <c r="B37944" s="3">
        <v>0</v>
      </c>
    </row>
    <row r="37945" ht="15.75" customHeight="1" spans="1:2">
      <c r="A37945" s="3" t="str">
        <f>IFERROR(__xludf.DUMMYFUNCTION("GOOGLETRANSLATE(A37945,""en"",""pt"")"),"Nada disso funciona de forma confiável!")</f>
        <v>Nada disso funciona de forma confiável!</v>
      </c>
      <c r="B37945" s="3">
        <v>0</v>
      </c>
    </row>
    <row r="37946" ht="15.75" customHeight="1" spans="1:2">
      <c r="A37946" s="3" t="str">
        <f>IFERROR(__xludf.DUMMYFUNCTION("GOOGLETRANSLATE(A37946,""en"",""pt"")"),"Nada é perfeito")</f>
        <v>Nada é perfeito</v>
      </c>
      <c r="B37946" s="3">
        <v>0</v>
      </c>
    </row>
    <row r="37947" ht="15.75" customHeight="1" spans="1:2">
      <c r="A37947" s="3" t="str">
        <f>IFERROR(__xludf.DUMMYFUNCTION("GOOGLETRANSLATE(A37947,""en"",""pt"")"),"Totalmente entendido. Caro.")</f>
        <v>Totalmente entendido. Caro.</v>
      </c>
      <c r="B37947" s="3">
        <v>0</v>
      </c>
    </row>
    <row r="37948" ht="15.75" customHeight="1" spans="1:2">
      <c r="A37948" s="3" t="str">
        <f>IFERROR(__xludf.DUMMYFUNCTION("GOOGLETRANSLATE(A37948,""en"",""pt"")"),"Ainda não bastante estável")</f>
        <v>Ainda não bastante estável</v>
      </c>
      <c r="B37948" s="3">
        <v>0</v>
      </c>
    </row>
    <row r="37949" ht="15.75" customHeight="1" spans="1:2">
      <c r="A37949" s="3" t="str">
        <f>IFERROR(__xludf.DUMMYFUNCTION("GOOGLETRANSLATE(A37949,""en"",""pt"")"),"Palm OS e telefone não se integrar bem. Difícil de navegar.")</f>
        <v>Palm OS e telefone não se integrar bem. Difícil de navegar.</v>
      </c>
      <c r="B37949" s="3">
        <v>0</v>
      </c>
    </row>
    <row r="37950" ht="15.75" customHeight="1" spans="1:2">
      <c r="A37950" s="3" t="str">
        <f>IFERROR(__xludf.DUMMYFUNCTION("GOOGLETRANSLATE(A37950,""en"",""pt"")"),"Instável")</f>
        <v>Instável</v>
      </c>
      <c r="B37950" s="3">
        <v>0</v>
      </c>
    </row>
    <row r="37951" ht="15.75" customHeight="1" spans="1:2">
      <c r="A37951" s="3" t="str">
        <f>IFERROR(__xludf.DUMMYFUNCTION("GOOGLETRANSLATE(A37951,""en"",""pt"")"),"Controle de qualidade?")</f>
        <v>Controle de qualidade?</v>
      </c>
      <c r="B37951" s="3">
        <v>0</v>
      </c>
    </row>
    <row r="37952" ht="15.75" customHeight="1" spans="1:2">
      <c r="A37952" s="3" t="str">
        <f>IFERROR(__xludf.DUMMYFUNCTION("GOOGLETRANSLATE(A37952,""en"",""pt"")"),"Não há mais suporte Verizon. chaves não confiáveis. A vida da bateria. atrasos na resposta do software. Irritante pop-ups.")</f>
        <v>Não há mais suporte Verizon. chaves não confiáveis. A vida da bateria. atrasos na resposta do software. Irritante pop-ups.</v>
      </c>
      <c r="B37952" s="3">
        <v>0</v>
      </c>
    </row>
    <row r="37953" ht="15.75" customHeight="1" spans="1:2">
      <c r="A37953" s="3" t="str">
        <f>IFERROR(__xludf.DUMMYFUNCTION("GOOGLETRANSLATE(A37953,""en"",""pt"")"),"vida e estabilidade do OS bateria")</f>
        <v>vida e estabilidade do OS bateria</v>
      </c>
      <c r="B37953" s="3">
        <v>0</v>
      </c>
    </row>
    <row r="37954" ht="15.75" customHeight="1" spans="1:2">
      <c r="A37954" s="3" t="str">
        <f>IFERROR(__xludf.DUMMYFUNCTION("GOOGLETRANSLATE(A37954,""en"",""pt"")"),"Vida útil da bateria precisa de ajuda. serviço Verizon não tão bom como AT &amp; T. Redefinir ocasional necessário.")</f>
        <v>Vida útil da bateria precisa de ajuda. serviço Verizon não tão bom como AT &amp; T. Redefinir ocasional necessário.</v>
      </c>
      <c r="B37954" s="3">
        <v>0</v>
      </c>
    </row>
    <row r="37955" ht="15.75" customHeight="1" spans="1:2">
      <c r="A37955" s="3" t="str">
        <f>IFERROR(__xludf.DUMMYFUNCTION("GOOGLETRANSLATE(A37955,""en"",""pt"")"),"reconhecimento pobre Graffiti. Botões devem ser fortemente pressionado ou várias vezes para a resposta.")</f>
        <v>reconhecimento pobre Graffiti. Botões devem ser fortemente pressionado ou várias vezes para a resposta.</v>
      </c>
      <c r="B37955" s="3">
        <v>0</v>
      </c>
    </row>
    <row r="37956" ht="15.75" customHeight="1" spans="1:2">
      <c r="A37956" s="3" t="str">
        <f>IFERROR(__xludf.DUMMYFUNCTION("GOOGLETRANSLATE(A37956,""en"",""pt"")"),"Bad implementação; muito pobre QC; suporte técnico Kyocera é obtuso")</f>
        <v>Bad implementação; muito pobre QC; suporte técnico Kyocera é obtuso</v>
      </c>
      <c r="B37956" s="3">
        <v>0</v>
      </c>
    </row>
    <row r="37957" ht="15.75" customHeight="1" spans="1:2">
      <c r="A37957" s="3" t="str">
        <f>IFERROR(__xludf.DUMMYFUNCTION("GOOGLETRANSLATE(A37957,""en"",""pt"")"),"Eu tive o original e duas substituições bloqueia e falhar")</f>
        <v>Eu tive o original e duas substituições bloqueia e falhar</v>
      </c>
      <c r="B37957" s="3">
        <v>0</v>
      </c>
    </row>
    <row r="37958" ht="15.75" customHeight="1" spans="1:2">
      <c r="A37958" s="3" t="str">
        <f>IFERROR(__xludf.DUMMYFUNCTION("GOOGLETRANSLATE(A37958,""en"",""pt"")"),"Discando, telefone, a utilizar, sincronização, + Mais")</f>
        <v>Discando, telefone, a utilizar, sincronização, + Mais</v>
      </c>
      <c r="B37958" s="3">
        <v>0</v>
      </c>
    </row>
    <row r="37959" ht="15.75" customHeight="1" spans="1:2">
      <c r="A37959" s="3" t="str">
        <f>IFERROR(__xludf.DUMMYFUNCTION("GOOGLETRANSLATE(A37959,""en"",""pt"")"),"bateria fraca. touch pad tem pequenas chaves em um padrão estranho. Telefone trava frequentemente.")</f>
        <v>bateria fraca. touch pad tem pequenas chaves em um padrão estranho. Telefone trava frequentemente.</v>
      </c>
      <c r="B37959" s="3">
        <v>0</v>
      </c>
    </row>
    <row r="37960" ht="15.75" customHeight="1" spans="1:2">
      <c r="A37960" s="3" t="str">
        <f>IFERROR(__xludf.DUMMYFUNCTION("GOOGLETRANSLATE(A37960,""en"",""pt"")"),"preço")</f>
        <v>preço</v>
      </c>
      <c r="B37960" s="3">
        <v>0</v>
      </c>
    </row>
    <row r="37961" ht="15.75" customHeight="1" spans="1:2">
      <c r="A37961" s="3" t="str">
        <f>IFERROR(__xludf.DUMMYFUNCTION("GOOGLETRANSLATE(A37961,""en"",""pt"")"),"Um pouco grosso, mas vale a pena.")</f>
        <v>Um pouco grosso, mas vale a pena.</v>
      </c>
      <c r="B37961" s="3">
        <v>0</v>
      </c>
    </row>
    <row r="37962" ht="15.75" customHeight="1" spans="1:2">
      <c r="A37962" s="3" t="str">
        <f>IFERROR(__xludf.DUMMYFUNCTION("GOOGLETRANSLATE(A37962,""en"",""pt"")"),"Erros fatais causar resets, botões difícil sentir e ligeiramente atrasado. Custo")</f>
        <v>Erros fatais causar resets, botões difícil sentir e ligeiramente atrasado. Custo</v>
      </c>
      <c r="B37962" s="3">
        <v>0</v>
      </c>
    </row>
    <row r="37963" ht="15.75" customHeight="1" spans="1:2">
      <c r="A37963" s="3" t="str">
        <f>IFERROR(__xludf.DUMMYFUNCTION("GOOGLETRANSLATE(A37963,""en"",""pt"")"),"tela menor do que alguns telefones PDA, a vida da bateria")</f>
        <v>tela menor do que alguns telefones PDA, a vida da bateria</v>
      </c>
      <c r="B37963" s="3">
        <v>0</v>
      </c>
    </row>
    <row r="37964" ht="15.75" customHeight="1" spans="1:2">
      <c r="A37964" s="3" t="str">
        <f>IFERROR(__xludf.DUMMYFUNCTION("GOOGLETRANSLATE(A37964,""en"",""pt"")"),"Botões não respondem.")</f>
        <v>Botões não respondem.</v>
      </c>
      <c r="B37964" s="3">
        <v>0</v>
      </c>
    </row>
    <row r="37965" ht="15.75" customHeight="1" spans="1:2">
      <c r="A37965" s="3" t="str">
        <f>IFERROR(__xludf.DUMMYFUNCTION("GOOGLETRANSLATE(A37965,""en"",""pt"")"),"Problemas de qualidade, minhas duas primeiras eram defeituosos. Vague Guia do Usuário, Caro")</f>
        <v>Problemas de qualidade, minhas duas primeiras eram defeituosos. Vague Guia do Usuário, Caro</v>
      </c>
      <c r="B37965" s="3">
        <v>0</v>
      </c>
    </row>
    <row r="37966" ht="15.75" customHeight="1" spans="1:2">
      <c r="A37966" s="3" t="str">
        <f>IFERROR(__xludf.DUMMYFUNCTION("GOOGLETRANSLATE(A37966,""en"",""pt"")"),"todo o resto!")</f>
        <v>todo o resto!</v>
      </c>
      <c r="B37966" s="3">
        <v>0</v>
      </c>
    </row>
    <row r="37967" ht="15.75" customHeight="1" spans="1:2">
      <c r="A37967" s="3" t="str">
        <f>IFERROR(__xludf.DUMMYFUNCTION("GOOGLETRANSLATE(A37967,""en"",""pt"")"),"Em uma palavra reliabilty")</f>
        <v>Em uma palavra reliabilty</v>
      </c>
      <c r="B37967" s="3">
        <v>0</v>
      </c>
    </row>
    <row r="37968" ht="15.75" customHeight="1" spans="1:2">
      <c r="A37968" s="3" t="str">
        <f>IFERROR(__xludf.DUMMYFUNCTION("GOOGLETRANSLATE(A37968,""en"",""pt"")"),"tecnologia ruim, os programas não integrated- não pode adicionar nomeação de banco de dados, precisa de duas mãos para operar")</f>
        <v>tecnologia ruim, os programas não integrated- não pode adicionar nomeação de banco de dados, precisa de duas mãos para operar</v>
      </c>
      <c r="B37968" s="3">
        <v>0</v>
      </c>
    </row>
    <row r="37969" ht="15.75" customHeight="1" spans="1:2">
      <c r="A37969" s="3" t="str">
        <f>IFERROR(__xludf.DUMMYFUNCTION("GOOGLETRANSLATE(A37969,""en"",""pt"")"),"falhas de software, falhas ocasionais, difícil de apertar botões, mas eu aceitá-los todos.")</f>
        <v>falhas de software, falhas ocasionais, difícil de apertar botões, mas eu aceitá-los todos.</v>
      </c>
      <c r="B37969" s="3">
        <v>0</v>
      </c>
    </row>
    <row r="37970" ht="15.75" customHeight="1" spans="1:2">
      <c r="A37970" s="3" t="str">
        <f>IFERROR(__xludf.DUMMYFUNCTION("GOOGLETRANSLATE(A37970,""en"",""pt"")"),"Você precisa ser um pioneiro. apoio Lousy da Kyocera e Alltel. Terrível documentação.")</f>
        <v>Você precisa ser um pioneiro. apoio Lousy da Kyocera e Alltel. Terrível documentação.</v>
      </c>
      <c r="B37970" s="3">
        <v>0</v>
      </c>
    </row>
    <row r="37971" ht="15.75" customHeight="1" spans="1:2">
      <c r="A37971" s="3" t="str">
        <f>IFERROR(__xludf.DUMMYFUNCTION("GOOGLETRANSLATE(A37971,""en"",""pt"")"),"Ele simplesmente não funciona corretamente.")</f>
        <v>Ele simplesmente não funciona corretamente.</v>
      </c>
      <c r="B37971" s="3">
        <v>0</v>
      </c>
    </row>
    <row r="37972" ht="15.75" customHeight="1" spans="1:2">
      <c r="A37972" s="3" t="str">
        <f>IFERROR(__xludf.DUMMYFUNCTION("GOOGLETRANSLATE(A37972,""en"",""pt"")"),"Um pouco caro. Palma experimentar uma obrigação. MP3 player é OK. Não há fones de ouvido opcionais.")</f>
        <v>Um pouco caro. Palma experimentar uma obrigação. MP3 player é OK. Não há fones de ouvido opcionais.</v>
      </c>
      <c r="B37972" s="3">
        <v>0</v>
      </c>
    </row>
    <row r="37973" ht="15.75" customHeight="1" spans="1:2">
      <c r="A37973" s="3" t="str">
        <f>IFERROR(__xludf.DUMMYFUNCTION("GOOGLETRANSLATE(A37973,""en"",""pt"")"),"Maior do que a maioria dos celulares")</f>
        <v>Maior do que a maioria dos celulares</v>
      </c>
      <c r="B37973" s="3">
        <v>0</v>
      </c>
    </row>
    <row r="37974" ht="15.75" customHeight="1" spans="1:2">
      <c r="A37974" s="3" t="str">
        <f>IFERROR(__xludf.DUMMYFUNCTION("GOOGLETRANSLATE(A37974,""en"",""pt"")"),"AT &amp; T já não vende-los, problemas NUMEROSOS com o nosso, Horrível serviço ao cliente")</f>
        <v>AT &amp; T já não vende-los, problemas NUMEROSOS com o nosso, Horrível serviço ao cliente</v>
      </c>
      <c r="B37974" s="3">
        <v>0</v>
      </c>
    </row>
    <row r="37975" ht="15.75" customHeight="1" spans="1:2">
      <c r="A37975" s="3" t="str">
        <f>IFERROR(__xludf.DUMMYFUNCTION("GOOGLETRANSLATE(A37975,""en"",""pt"")"),"No Bluetooth, Força Bad Signal, vida da bateria pobres, não mais Suportado")</f>
        <v>No Bluetooth, Força Bad Signal, vida da bateria pobres, não mais Suportado</v>
      </c>
      <c r="B37975" s="3">
        <v>0</v>
      </c>
    </row>
    <row r="37976" ht="15.75" customHeight="1" spans="1:2">
      <c r="A37976" s="3" t="str">
        <f>IFERROR(__xludf.DUMMYFUNCTION("GOOGLETRANSLATE(A37976,""en"",""pt"")"),"A vida da bateria, recepção, AT &amp; T Wireless")</f>
        <v>A vida da bateria, recepção, AT &amp; T Wireless</v>
      </c>
      <c r="B37976" s="3">
        <v>0</v>
      </c>
    </row>
    <row r="37977" ht="15.75" customHeight="1" spans="1:2">
      <c r="A37977" s="3" t="str">
        <f>IFERROR(__xludf.DUMMYFUNCTION("GOOGLETRANSLATE(A37977,""en"",""pt"")"),"impressões digitais")</f>
        <v>impressões digitais</v>
      </c>
      <c r="B37977" s="3">
        <v>0</v>
      </c>
    </row>
    <row r="37978" ht="15.75" customHeight="1" spans="1:2">
      <c r="A37978" s="3" t="str">
        <f>IFERROR(__xludf.DUMMYFUNCTION("GOOGLETRANSLATE(A37978,""en"",""pt"")"),"Requer um mercado cinza não atualização suportados pela AT &amp; T")</f>
        <v>Requer um mercado cinza não atualização suportados pela AT &amp; T</v>
      </c>
      <c r="B37978" s="3">
        <v>0</v>
      </c>
    </row>
    <row r="37979" ht="15.75" customHeight="1" spans="1:2">
      <c r="A37979" s="3" t="str">
        <f>IFERROR(__xludf.DUMMYFUNCTION("GOOGLETRANSLATE(A37979,""en"",""pt"")"),"OS muito lento, cai muito, inúmeras chamadas abandonadas")</f>
        <v>OS muito lento, cai muito, inúmeras chamadas abandonadas</v>
      </c>
      <c r="B37979" s="3">
        <v>0</v>
      </c>
    </row>
    <row r="37980" ht="15.75" customHeight="1" spans="1:2">
      <c r="A37980" s="3" t="str">
        <f>IFERROR(__xludf.DUMMYFUNCTION("GOOGLETRANSLATE(A37980,""en"",""pt"")"),"A vida da bateria")</f>
        <v>A vida da bateria</v>
      </c>
      <c r="B37980" s="3">
        <v>0</v>
      </c>
    </row>
    <row r="37981" ht="15.75" customHeight="1" spans="1:2">
      <c r="A37981" s="3" t="str">
        <f>IFERROR(__xludf.DUMMYFUNCTION("GOOGLETRANSLATE(A37981,""en"",""pt"")"),"sinal fraco. a vida da bateria pobres.")</f>
        <v>sinal fraco. a vida da bateria pobres.</v>
      </c>
      <c r="B37981" s="3">
        <v>0</v>
      </c>
    </row>
    <row r="37982" ht="15.75" customHeight="1" spans="1:2">
      <c r="A37982" s="3" t="str">
        <f>IFERROR(__xludf.DUMMYFUNCTION("GOOGLETRANSLATE(A37982,""en"",""pt"")"),"Não recomendo este telefone.")</f>
        <v>Não recomendo este telefone.</v>
      </c>
      <c r="B37982" s="3">
        <v>0</v>
      </c>
    </row>
    <row r="37983" ht="15.75" customHeight="1" spans="1:2">
      <c r="A37983" s="3" t="str">
        <f>IFERROR(__xludf.DUMMYFUNCTION("GOOGLETRANSLATE(A37983,""en"",""pt"")"),"Telefones congela por minutos. NO blue tooth")</f>
        <v>Telefones congela por minutos. NO blue tooth</v>
      </c>
      <c r="B37983" s="3">
        <v>0</v>
      </c>
    </row>
    <row r="37984" ht="15.75" customHeight="1" spans="1:2">
      <c r="A37984" s="3" t="str">
        <f>IFERROR(__xludf.DUMMYFUNCTION("GOOGLETRANSLATE(A37984,""en"",""pt"")"),"teve que atualizar")</f>
        <v>teve que atualizar</v>
      </c>
      <c r="B37984" s="3">
        <v>0</v>
      </c>
    </row>
    <row r="37985" ht="15.75" customHeight="1" spans="1:2">
      <c r="A37985" s="3" t="str">
        <f>IFERROR(__xludf.DUMMYFUNCTION("GOOGLETRANSLATE(A37985,""en"",""pt"")"),"Caros, custos ocultos, sem tela sensível ao toque, navegação estranho")</f>
        <v>Caros, custos ocultos, sem tela sensível ao toque, navegação estranho</v>
      </c>
      <c r="B37985" s="3">
        <v>0</v>
      </c>
    </row>
    <row r="37986" ht="15.75" customHeight="1" spans="1:2">
      <c r="A37986" s="3" t="str">
        <f>IFERROR(__xludf.DUMMYFUNCTION("GOOGLETRANSLATE(A37986,""en"",""pt"")"),"NO HIGH SPEED conectividade com a Internet (mais lento do que 9600 bps!)")</f>
        <v>NO HIGH SPEED conectividade com a Internet (mais lento do que 9600 bps!)</v>
      </c>
      <c r="B37986" s="3">
        <v>0</v>
      </c>
    </row>
    <row r="37987" ht="15.75" customHeight="1" spans="1:2">
      <c r="A37987" s="3" t="str">
        <f>IFERROR(__xludf.DUMMYFUNCTION("GOOGLETRANSLATE(A37987,""en"",""pt"")"),"Um pouco grande, mas ainda melhor do que carregar dois dispositivos")</f>
        <v>Um pouco grande, mas ainda melhor do que carregar dois dispositivos</v>
      </c>
      <c r="B37987" s="3">
        <v>0</v>
      </c>
    </row>
    <row r="37988" ht="15.75" customHeight="1" spans="1:2">
      <c r="A37988" s="3" t="str">
        <f>IFERROR(__xludf.DUMMYFUNCTION("GOOGLETRANSLATE(A37988,""en"",""pt"")"),"Preço, navegador web medíocre, embalagem um pouco inacabada")</f>
        <v>Preço, navegador web medíocre, embalagem um pouco inacabada</v>
      </c>
      <c r="B37988" s="3">
        <v>0</v>
      </c>
    </row>
    <row r="37989" ht="15.75" customHeight="1" spans="1:2">
      <c r="A37989" s="3" t="str">
        <f>IFERROR(__xludf.DUMMYFUNCTION("GOOGLETRANSLATE(A37989,""en"",""pt"")"),"INTERNET muito lento. custo adicional de dial-up. BIG, BIG PHONE! Nenhum alerta anel vibrar.")</f>
        <v>INTERNET muito lento. custo adicional de dial-up. BIG, BIG PHONE! Nenhum alerta anel vibrar.</v>
      </c>
      <c r="B37989" s="3">
        <v>0</v>
      </c>
    </row>
    <row r="37990" ht="15.75" customHeight="1" spans="1:2">
      <c r="A37990" s="3" t="str">
        <f>IFERROR(__xludf.DUMMYFUNCTION("GOOGLETRANSLATE(A37990,""en"",""pt"")"),"Internet e WAP não funcionará corretamente na minha área.")</f>
        <v>Internet e WAP não funcionará corretamente na minha área.</v>
      </c>
      <c r="B37990" s="3">
        <v>0</v>
      </c>
    </row>
    <row r="37991" ht="15.75" customHeight="1" spans="1:2">
      <c r="A37991" s="3" t="str">
        <f>IFERROR(__xludf.DUMMYFUNCTION("GOOGLETRANSLATE(A37991,""en"",""pt"")"),"Restrito aos prestadores de serviços GSM")</f>
        <v>Restrito aos prestadores de serviços GSM</v>
      </c>
      <c r="B37991" s="3">
        <v>0</v>
      </c>
    </row>
    <row r="37992" ht="15.75" customHeight="1" spans="1:2">
      <c r="A37992" s="3" t="str">
        <f>IFERROR(__xludf.DUMMYFUNCTION("GOOGLETRANSLATE(A37992,""en"",""pt"")"),"apoio Não Windows XP; Não GPRS atualizar; Sem conexão USB; Sem função de vibração")</f>
        <v>apoio Não Windows XP; Não GPRS atualizar; Sem conexão USB; Sem função de vibração</v>
      </c>
      <c r="B37992" s="3">
        <v>0</v>
      </c>
    </row>
    <row r="37993" ht="15.75" customHeight="1" spans="1:2">
      <c r="A37993" s="3" t="str">
        <f>IFERROR(__xludf.DUMMYFUNCTION("GOOGLETRANSLATE(A37993,""en"",""pt"")"),"Não GPRS, toques polifônicos, Bluetooth; heavy / volumoso, o mau desempenho de telefone; Apenas nós")</f>
        <v>Não GPRS, toques polifônicos, Bluetooth; heavy / volumoso, o mau desempenho de telefone; Apenas nós</v>
      </c>
      <c r="B37993" s="3">
        <v>0</v>
      </c>
    </row>
    <row r="37994" ht="15.75" customHeight="1" spans="1:2">
      <c r="A37994" s="3" t="str">
        <f>IFERROR(__xludf.DUMMYFUNCTION("GOOGLETRANSLATE(A37994,""en"",""pt"")"),"Moderadamente caro.")</f>
        <v>Moderadamente caro.</v>
      </c>
      <c r="B37994" s="3">
        <v>0</v>
      </c>
    </row>
    <row r="37995" ht="15.75" customHeight="1" spans="1:2">
      <c r="A37995" s="3" t="str">
        <f>IFERROR(__xludf.DUMMYFUNCTION("GOOGLETRANSLATE(A37995,""en"",""pt"")"),"modo silencioso falhar ao trabalho quando receber algumas chamadas.")</f>
        <v>modo silencioso falhar ao trabalho quando receber algumas chamadas.</v>
      </c>
      <c r="B37995" s="3">
        <v>0</v>
      </c>
    </row>
    <row r="37996" ht="15.75" customHeight="1" spans="1:2">
      <c r="A37996" s="3" t="str">
        <f>IFERROR(__xludf.DUMMYFUNCTION("GOOGLETRANSLATE(A37996,""en"",""pt"")"),"Antena está no lado fraco")</f>
        <v>Antena está no lado fraco</v>
      </c>
      <c r="B37996" s="3">
        <v>0</v>
      </c>
    </row>
    <row r="37997" ht="15.75" customHeight="1" spans="1:2">
      <c r="A37997" s="3" t="str">
        <f>IFERROR(__xludf.DUMMYFUNCTION("GOOGLETRANSLATE(A37997,""en"",""pt"")"),"Apenas mantém comprimento de uma única chamada de telefone na memória. (Nem sempre um grande negócio)")</f>
        <v>Apenas mantém comprimento de uma única chamada de telefone na memória. (Nem sempre um grande negócio)</v>
      </c>
      <c r="B37997" s="3">
        <v>0</v>
      </c>
    </row>
    <row r="37998" ht="15.75" customHeight="1" spans="1:2">
      <c r="A37998" s="3" t="str">
        <f>IFERROR(__xludf.DUMMYFUNCTION("GOOGLETRANSLATE(A37998,""en"",""pt"")"),"Antena. 'Disse Nuf.")</f>
        <v>Antena. 'Disse Nuf.</v>
      </c>
      <c r="B37998" s="3">
        <v>0</v>
      </c>
    </row>
    <row r="37999" ht="15.75" customHeight="1" spans="1:2">
      <c r="A37999" s="3" t="str">
        <f>IFERROR(__xludf.DUMMYFUNCTION("GOOGLETRANSLATE(A37999,""en"",""pt"")"),"chamadas abandonadas, por vezes, muito calor.")</f>
        <v>chamadas abandonadas, por vezes, muito calor.</v>
      </c>
      <c r="B37999" s="3">
        <v>0</v>
      </c>
    </row>
    <row r="38000" ht="15.75" customHeight="1" spans="1:2">
      <c r="A38000" s="3" t="str">
        <f>IFERROR(__xludf.DUMMYFUNCTION("GOOGLETRANSLATE(A38000,""en"",""pt"")"),"vida curta da bateria, inúmeros problemas, problemas de tela (comum).")</f>
        <v>vida curta da bateria, inúmeros problemas, problemas de tela (comum).</v>
      </c>
      <c r="B38000" s="3">
        <v>0</v>
      </c>
    </row>
    <row r="38001" ht="15.75" customHeight="1" spans="1:2">
      <c r="A38001" s="3" t="str">
        <f>IFERROR(__xludf.DUMMYFUNCTION("GOOGLETRANSLATE(A38001,""en"",""pt"")"),"antena frágil")</f>
        <v>antena frágil</v>
      </c>
      <c r="B38001" s="3">
        <v>0</v>
      </c>
    </row>
    <row r="38002" ht="15.75" customHeight="1" spans="1:2">
      <c r="A38002" s="3" t="str">
        <f>IFERROR(__xludf.DUMMYFUNCTION("GOOGLETRANSLATE(A38002,""en"",""pt"")"),"defeitos de fabricação horríveis que impedem o uso do telefone depois de cerca de 6 meses.")</f>
        <v>defeitos de fabricação horríveis que impedem o uso do telefone depois de cerca de 6 meses.</v>
      </c>
      <c r="B38002" s="3">
        <v>0</v>
      </c>
    </row>
    <row r="38003" ht="15.75" customHeight="1" spans="1:2">
      <c r="A38003" s="3" t="str">
        <f>IFERROR(__xludf.DUMMYFUNCTION("GOOGLETRANSLATE(A38003,""en"",""pt"")"),"kinda caros e o incómodo de tempo de conversação de compra")</f>
        <v>kinda caros e o incómodo de tempo de conversação de compra</v>
      </c>
      <c r="B38003" s="3">
        <v>0</v>
      </c>
    </row>
    <row r="38004" ht="15.75" customHeight="1" spans="1:2">
      <c r="A38004" s="3" t="str">
        <f>IFERROR(__xludf.DUMMYFUNCTION("GOOGLETRANSLATE(A38004,""en"",""pt"")"),"Sem temporizador de chamada, antena frágil, pequenos botões")</f>
        <v>Sem temporizador de chamada, antena frágil, pequenos botões</v>
      </c>
      <c r="B38004" s="3">
        <v>0</v>
      </c>
    </row>
    <row r="38005" ht="15.75" customHeight="1" spans="1:2">
      <c r="A38005" s="3" t="str">
        <f>IFERROR(__xludf.DUMMYFUNCTION("GOOGLETRANSLATE(A38005,""en"",""pt"")"),"antena barato, qualidade de construção barata")</f>
        <v>antena barato, qualidade de construção barata</v>
      </c>
      <c r="B38005" s="3">
        <v>0</v>
      </c>
    </row>
    <row r="38006" ht="15.75" customHeight="1" spans="1:2">
      <c r="A38006" s="3" t="str">
        <f>IFERROR(__xludf.DUMMYFUNCTION("GOOGLETRANSLATE(A38006,""en"",""pt"")"),"arranhões tela facilmente")</f>
        <v>arranhões tela facilmente</v>
      </c>
      <c r="B38006" s="3">
        <v>0</v>
      </c>
    </row>
    <row r="38007" ht="15.75" customHeight="1" spans="1:2">
      <c r="A38007" s="3" t="str">
        <f>IFERROR(__xludf.DUMMYFUNCTION("GOOGLETRANSLATE(A38007,""en"",""pt"")"),"curta duração da bateria.")</f>
        <v>curta duração da bateria.</v>
      </c>
      <c r="B38007" s="3">
        <v>0</v>
      </c>
    </row>
    <row r="38008" ht="15.75" customHeight="1" spans="1:2">
      <c r="A38008" s="3" t="str">
        <f>IFERROR(__xludf.DUMMYFUNCTION("GOOGLETRANSLATE(A38008,""en"",""pt"")"),"Mesmo o volume da campainha mais alto é por vezes difícil de ouvir. Sem legal ringtones!")</f>
        <v>Mesmo o volume da campainha mais alto é por vezes difícil de ouvir. Sem legal ringtones!</v>
      </c>
      <c r="B38008" s="3">
        <v>0</v>
      </c>
    </row>
    <row r="38009" ht="15.75" customHeight="1" spans="1:2">
      <c r="A38009" s="3" t="str">
        <f>IFERROR(__xludf.DUMMYFUNCTION("GOOGLETRANSLATE(A38009,""en"",""pt"")"),"Keylock às vezes se apaga depois de screensaver continua")</f>
        <v>Keylock às vezes se apaga depois de screensaver continua</v>
      </c>
      <c r="B38009" s="3">
        <v>0</v>
      </c>
    </row>
    <row r="38010" ht="15.75" customHeight="1" spans="1:2">
      <c r="A38010" s="3" t="str">
        <f>IFERROR(__xludf.DUMMYFUNCTION("GOOGLETRANSLATE(A38010,""en"",""pt"")"),"quebrou na primeira queda acidental")</f>
        <v>quebrou na primeira queda acidental</v>
      </c>
      <c r="B38010" s="3">
        <v>0</v>
      </c>
    </row>
    <row r="38011" ht="15.75" customHeight="1" spans="1:2">
      <c r="A38011" s="3" t="str">
        <f>IFERROR(__xludf.DUMMYFUNCTION("GOOGLETRANSLATE(A38011,""en"",""pt"")"),"não funciona corretamente, um poço de dinheiro completa.")</f>
        <v>não funciona corretamente, um poço de dinheiro completa.</v>
      </c>
      <c r="B38011" s="3">
        <v>0</v>
      </c>
    </row>
    <row r="38012" ht="15.75" customHeight="1" spans="1:2">
      <c r="A38012" s="3" t="str">
        <f>IFERROR(__xludf.DUMMYFUNCTION("GOOGLETRANSLATE(A38012,""en"",""pt"")"),"Sons Tinny, má recepção, esquenta, Antena barato, bateria morre rapidamente")</f>
        <v>Sons Tinny, má recepção, esquenta, Antena barato, bateria morre rapidamente</v>
      </c>
      <c r="B38012" s="3">
        <v>0</v>
      </c>
    </row>
    <row r="38013" ht="15.75" customHeight="1" spans="1:2">
      <c r="A38013" s="3" t="str">
        <f>IFERROR(__xludf.DUMMYFUNCTION("GOOGLETRANSLATE(A38013,""en"",""pt"")"),"a vida da bateria pobres. queimador de ouvido. reboots constantes. perde o sinal.")</f>
        <v>a vida da bateria pobres. queimador de ouvido. reboots constantes. perde o sinal.</v>
      </c>
      <c r="B38013" s="3">
        <v>0</v>
      </c>
    </row>
    <row r="38014" ht="15.75" customHeight="1" spans="1:2">
      <c r="A38014" s="3" t="str">
        <f>IFERROR(__xludf.DUMMYFUNCTION("GOOGLETRANSLATE(A38014,""en"",""pt"")"),"Botões pequenos, grandes polegares.")</f>
        <v>Botões pequenos, grandes polegares.</v>
      </c>
      <c r="B38014" s="3">
        <v>0</v>
      </c>
    </row>
    <row r="38015" ht="15.75" customHeight="1" spans="1:2">
      <c r="A38015" s="3" t="str">
        <f>IFERROR(__xludf.DUMMYFUNCTION("GOOGLETRANSLATE(A38015,""en"",""pt"")"),"Poeira na tela, problemas de hardware, recepção horrível, ruim integridade, tela pequena, baixa vida útil da bateria")</f>
        <v>Poeira na tela, problemas de hardware, recepção horrível, ruim integridade, tela pequena, baixa vida útil da bateria</v>
      </c>
      <c r="B38015" s="3">
        <v>0</v>
      </c>
    </row>
    <row r="38016" ht="15.75" customHeight="1" spans="1:2">
      <c r="A38016" s="3" t="str">
        <f>IFERROR(__xludf.DUMMYFUNCTION("GOOGLETRANSLATE(A38016,""en"",""pt"")"),"Apresentar problemas de mau funcionamento !!")</f>
        <v>Apresentar problemas de mau funcionamento !!</v>
      </c>
      <c r="B38016" s="3">
        <v>0</v>
      </c>
    </row>
    <row r="38017" ht="15.75" customHeight="1" spans="1:2">
      <c r="A38017" s="3" t="str">
        <f>IFERROR(__xludf.DUMMYFUNCTION("GOOGLETRANSLATE(A38017,""en"",""pt"")"),"problema de contato da bateria")</f>
        <v>problema de contato da bateria</v>
      </c>
      <c r="B38017" s="3">
        <v>0</v>
      </c>
    </row>
    <row r="38018" ht="15.75" customHeight="1" spans="1:2">
      <c r="A38018" s="3" t="str">
        <f>IFERROR(__xludf.DUMMYFUNCTION("GOOGLETRANSLATE(A38018,""en"",""pt"")"),"antena")</f>
        <v>antena</v>
      </c>
      <c r="B38018" s="3">
        <v>0</v>
      </c>
    </row>
    <row r="38019" ht="15.75" customHeight="1" spans="1:2">
      <c r="A38019" s="3" t="str">
        <f>IFERROR(__xludf.DUMMYFUNCTION("GOOGLETRANSLATE(A38019,""en"",""pt"")"),"misdials frequentes, não na exibição de texto ruim servive, poucos compatibilidade acessório")</f>
        <v>misdials frequentes, não na exibição de texto ruim servive, poucos compatibilidade acessório</v>
      </c>
      <c r="B38019" s="3">
        <v>0</v>
      </c>
    </row>
    <row r="38020" ht="15.75" customHeight="1" spans="1:2">
      <c r="A38020" s="3" t="str">
        <f>IFERROR(__xludf.DUMMYFUNCTION("GOOGLETRANSLATE(A38020,""en"",""pt"")"),"má qualidade")</f>
        <v>má qualidade</v>
      </c>
      <c r="B38020" s="3">
        <v>0</v>
      </c>
    </row>
    <row r="38021" ht="15.75" customHeight="1" spans="1:2">
      <c r="A38021" s="3" t="str">
        <f>IFERROR(__xludf.DUMMYFUNCTION("GOOGLETRANSLATE(A38021,""en"",""pt"")"),"Problemas do ecrã. Não fique este telefone.")</f>
        <v>Problemas do ecrã. Não fique este telefone.</v>
      </c>
      <c r="B38021" s="3">
        <v>0</v>
      </c>
    </row>
    <row r="38022" ht="15.75" customHeight="1" spans="1:2">
      <c r="A38022" s="3" t="str">
        <f>IFERROR(__xludf.DUMMYFUNCTION("GOOGLETRANSLATE(A38022,""en"",""pt"")"),"bateria antiga vida tão curta, Bata até telefone")</f>
        <v>bateria antiga vida tão curta, Bata até telefone</v>
      </c>
      <c r="B38022" s="3">
        <v>0</v>
      </c>
    </row>
    <row r="38023" ht="15.75" customHeight="1" spans="1:2">
      <c r="A38023" s="3" t="str">
        <f>IFERROR(__xludf.DUMMYFUNCTION("GOOGLETRANSLATE(A38023,""en"",""pt"")"),"Monitor com defeito depois de 6 meses, a Virgin se recusou a admitir que tinha me vendido um limão ...")</f>
        <v>Monitor com defeito depois de 6 meses, a Virgin se recusou a admitir que tinha me vendido um limão ...</v>
      </c>
      <c r="B38023" s="3">
        <v>0</v>
      </c>
    </row>
    <row r="38024" ht="15.75" customHeight="1" spans="1:2">
      <c r="A38024" s="3" t="str">
        <f>IFERROR(__xludf.DUMMYFUNCTION("GOOGLETRANSLATE(A38024,""en"",""pt"")"),"tela Bad")</f>
        <v>tela Bad</v>
      </c>
      <c r="B38024" s="3">
        <v>0</v>
      </c>
    </row>
    <row r="38025" ht="15.75" customHeight="1" spans="1:2">
      <c r="A38025" s="3" t="str">
        <f>IFERROR(__xludf.DUMMYFUNCTION("GOOGLETRANSLATE(A38025,""en"",""pt"")"),"pesado, confuso set-up")</f>
        <v>pesado, confuso set-up</v>
      </c>
      <c r="B38025" s="3">
        <v>0</v>
      </c>
    </row>
    <row r="38026" ht="15.75" customHeight="1" spans="1:2">
      <c r="A38026" s="3" t="str">
        <f>IFERROR(__xludf.DUMMYFUNCTION("GOOGLETRANSLATE(A38026,""en"",""pt"")"),"Pesado e tipo de complicado")</f>
        <v>Pesado e tipo de complicado</v>
      </c>
      <c r="B38026" s="3">
        <v>0</v>
      </c>
    </row>
    <row r="38027" ht="15.75" customHeight="1" spans="1:2">
      <c r="A38027" s="3" t="str">
        <f>IFERROR(__xludf.DUMMYFUNCTION("GOOGLETRANSLATE(A38027,""en"",""pt"")"),"vida útil da bateria medíocre, muito leve em recursos, alguns acessórios")</f>
        <v>vida útil da bateria medíocre, muito leve em recursos, alguns acessórios</v>
      </c>
      <c r="B38027" s="3">
        <v>0</v>
      </c>
    </row>
    <row r="38028" ht="15.75" customHeight="1" spans="1:2">
      <c r="A38028" s="3" t="str">
        <f>IFERROR(__xludf.DUMMYFUNCTION("GOOGLETRANSLATE(A38028,""en"",""pt"")"),"Má recepção e alguns menu apresenta difícil de uso")</f>
        <v>Má recepção e alguns menu apresenta difícil de uso</v>
      </c>
      <c r="B38028" s="3">
        <v>0</v>
      </c>
    </row>
    <row r="38029" ht="15.75" customHeight="1" spans="1:2">
      <c r="A38029" s="3" t="str">
        <f>IFERROR(__xludf.DUMMYFUNCTION("GOOGLETRANSLATE(A38029,""en"",""pt"")"),"A vida da bateria é tão pobre que torna proibitivo para usar.")</f>
        <v>A vida da bateria é tão pobre que torna proibitivo para usar.</v>
      </c>
      <c r="B38029" s="3">
        <v>0</v>
      </c>
    </row>
    <row r="38030" ht="15.75" customHeight="1" spans="1:2">
      <c r="A38030" s="3" t="str">
        <f>IFERROR(__xludf.DUMMYFUNCTION("GOOGLETRANSLATE(A38030,""en"",""pt"")"),"Difícil de encontrar acessórios, poderia ter sido fornecido com bateria melhor.")</f>
        <v>Difícil de encontrar acessórios, poderia ter sido fornecido com bateria melhor.</v>
      </c>
      <c r="B38030" s="3">
        <v>0</v>
      </c>
    </row>
    <row r="38031" ht="15.75" customHeight="1" spans="1:2">
      <c r="A38031" s="3" t="str">
        <f>IFERROR(__xludf.DUMMYFUNCTION("GOOGLETRANSLATE(A38031,""en"",""pt"")"),"Interface frustrante, recepção terrível")</f>
        <v>Interface frustrante, recepção terrível</v>
      </c>
      <c r="B38031" s="3">
        <v>0</v>
      </c>
    </row>
    <row r="38032" ht="15.75" customHeight="1" spans="1:2">
      <c r="A38032" s="3" t="str">
        <f>IFERROR(__xludf.DUMMYFUNCTION("GOOGLETRANSLATE(A38032,""en"",""pt"")"),"opção de bateria sem vibração. Sem hardwire &amp; # 13; &amp; # 10; Handsfree Kit Car.")</f>
        <v>opção de bateria sem vibração. Sem hardwire &amp; # 13; &amp; # 10; Handsfree Kit Car.</v>
      </c>
      <c r="B38032" s="3">
        <v>0</v>
      </c>
    </row>
    <row r="38033" ht="15.75" customHeight="1" spans="1:2">
      <c r="A38033" s="3" t="str">
        <f>IFERROR(__xludf.DUMMYFUNCTION("GOOGLETRANSLATE(A38033,""en"",""pt"")"),"pobres gama; má obra")</f>
        <v>pobres gama; má obra</v>
      </c>
      <c r="B38033" s="3">
        <v>0</v>
      </c>
    </row>
    <row r="38034" ht="15.75" customHeight="1" spans="1:2">
      <c r="A38034" s="3" t="str">
        <f>IFERROR(__xludf.DUMMYFUNCTION("GOOGLETRANSLATE(A38034,""en"",""pt"")"),"volume do toque, menu de navegação lenta, a vida da bateria")</f>
        <v>volume do toque, menu de navegação lenta, a vida da bateria</v>
      </c>
      <c r="B38034" s="3">
        <v>0</v>
      </c>
    </row>
    <row r="38035" ht="15.75" customHeight="1" spans="1:2">
      <c r="A38035" s="3" t="str">
        <f>IFERROR(__xludf.DUMMYFUNCTION("GOOGLETRANSLATE(A38035,""en"",""pt"")"),"Quando deitadas a tela pode ser riscado facilmente. Antena é barato.")</f>
        <v>Quando deitadas a tela pode ser riscado facilmente. Antena é barato.</v>
      </c>
      <c r="B38035" s="3">
        <v>0</v>
      </c>
    </row>
    <row r="38036" ht="15.75" customHeight="1" spans="1:2">
      <c r="A38036" s="3" t="str">
        <f>IFERROR(__xludf.DUMMYFUNCTION("GOOGLETRANSLATE(A38036,""en"",""pt"")"),"Proprietary ficha de carregamento, nenhum relógio, enquanto na chamada, telefone Pobre speaker")</f>
        <v>Proprietary ficha de carregamento, nenhum relógio, enquanto na chamada, telefone Pobre speaker</v>
      </c>
      <c r="B38036" s="3">
        <v>0</v>
      </c>
    </row>
    <row r="38037" ht="15.75" customHeight="1" spans="1:2">
      <c r="A38037" s="3" t="str">
        <f>IFERROR(__xludf.DUMMYFUNCTION("GOOGLETRANSLATE(A38037,""en"",""pt"")"),"serviço no nextel SUGA !! barato")</f>
        <v>serviço no nextel SUGA !! barato</v>
      </c>
      <c r="B38037" s="3">
        <v>0</v>
      </c>
    </row>
    <row r="38038" ht="15.75" customHeight="1" spans="1:2">
      <c r="A38038" s="3" t="str">
        <f>IFERROR(__xludf.DUMMYFUNCTION("GOOGLETRANSLATE(A38038,""en"",""pt"")"),"Deve bloquear-out teclado ou chama / desliga enquanto em seu bolso, recebe chamadas sem tocar.")</f>
        <v>Deve bloquear-out teclado ou chama / desliga enquanto em seu bolso, recebe chamadas sem tocar.</v>
      </c>
      <c r="B38038" s="3">
        <v>0</v>
      </c>
    </row>
    <row r="38039" ht="15.75" customHeight="1" spans="1:2">
      <c r="A38039" s="3" t="str">
        <f>IFERROR(__xludf.DUMMYFUNCTION("GOOGLETRANSLATE(A38039,""en"",""pt"")"),"qualidade de som Squawky às vezes; rede Nextel não é tão difundida como outros")</f>
        <v>qualidade de som Squawky às vezes; rede Nextel não é tão difundida como outros</v>
      </c>
      <c r="B38039" s="3">
        <v>0</v>
      </c>
    </row>
    <row r="38040" ht="15.75" customHeight="1" spans="1:2">
      <c r="A38040" s="3" t="str">
        <f>IFERROR(__xludf.DUMMYFUNCTION("GOOGLETRANSLATE(A38040,""en"",""pt"")"),"Alguns comentários de voz, chamadas perdidas.")</f>
        <v>Alguns comentários de voz, chamadas perdidas.</v>
      </c>
      <c r="B38040" s="3">
        <v>0</v>
      </c>
    </row>
    <row r="38041" ht="15.75" customHeight="1" spans="1:2">
      <c r="A38041" s="3" t="str">
        <f>IFERROR(__xludf.DUMMYFUNCTION("GOOGLETRANSLATE(A38041,""en"",""pt"")"),"A bateria não parecem durar muito tempo")</f>
        <v>A bateria não parecem durar muito tempo</v>
      </c>
      <c r="B38041" s="3">
        <v>0</v>
      </c>
    </row>
    <row r="38042" ht="15.75" customHeight="1" spans="1:2">
      <c r="A38042" s="3" t="str">
        <f>IFERROR(__xludf.DUMMYFUNCTION("GOOGLETRANSLATE(A38042,""en"",""pt"")"),"No navegador da Web, uma vez que a vida da bateria começa a cair, realmente morre rápida")</f>
        <v>No navegador da Web, uma vez que a vida da bateria começa a cair, realmente morre rápida</v>
      </c>
      <c r="B38042" s="3">
        <v>0</v>
      </c>
    </row>
    <row r="38043" ht="15.75" customHeight="1" spans="1:2">
      <c r="A38043" s="3" t="str">
        <f>IFERROR(__xludf.DUMMYFUNCTION("GOOGLETRANSLATE(A38043,""en"",""pt"")"),"Vários problemas técnicos, não confiável")</f>
        <v>Vários problemas técnicos, não confiável</v>
      </c>
      <c r="B38043" s="3">
        <v>0</v>
      </c>
    </row>
    <row r="38044" ht="15.75" customHeight="1" spans="1:2">
      <c r="A38044" s="3" t="str">
        <f>IFERROR(__xludf.DUMMYFUNCTION("GOOGLETRANSLATE(A38044,""en"",""pt"")"),"Vai mal frequentemente, má recepção / intervalo, curta duração da bateria quando você está longe de uma torre.")</f>
        <v>Vai mal frequentemente, má recepção / intervalo, curta duração da bateria quando você está longe de uma torre.</v>
      </c>
      <c r="B38044" s="3">
        <v>0</v>
      </c>
    </row>
    <row r="38045" ht="15.75" customHeight="1" spans="1:2">
      <c r="A38045" s="3" t="str">
        <f>IFERROR(__xludf.DUMMYFUNCTION("GOOGLETRANSLATE(A38045,""en"",""pt"")"),"Confiabilidade, a vida da bateria, a falta de recursos, Só média ou abaixo do sinal e qualidade de áudio")</f>
        <v>Confiabilidade, a vida da bateria, a falta de recursos, Só média ou abaixo do sinal e qualidade de áudio</v>
      </c>
      <c r="B38045" s="3">
        <v>0</v>
      </c>
    </row>
    <row r="38046" ht="15.75" customHeight="1" spans="1:2">
      <c r="A38046" s="3" t="str">
        <f>IFERROR(__xludf.DUMMYFUNCTION("GOOGLETRANSLATE(A38046,""en"",""pt"")"),"nenhum navegador web, não anel de tom compatível, e não muitos recursos.")</f>
        <v>nenhum navegador web, não anel de tom compatível, e não muitos recursos.</v>
      </c>
      <c r="B38046" s="3">
        <v>0</v>
      </c>
    </row>
    <row r="38047" ht="15.75" customHeight="1" spans="1:2">
      <c r="A38047" s="3" t="str">
        <f>IFERROR(__xludf.DUMMYFUNCTION("GOOGLETRANSLATE(A38047,""en"",""pt"")"),"a confiabilidade do produto !! Defeito de fabricação!! Sem roam analógico.")</f>
        <v>a confiabilidade do produto !! Defeito de fabricação!! Sem roam analógico.</v>
      </c>
      <c r="B38047" s="3">
        <v>0</v>
      </c>
    </row>
    <row r="38048" ht="15.75" customHeight="1" spans="1:2">
      <c r="A38048" s="3" t="str">
        <f>IFERROR(__xludf.DUMMYFUNCTION("GOOGLETRANSLATE(A38048,""en"",""pt"")"),"Este telefone não é tom de toque compatível e incapaz de enviar mensagens de texto / receber.")</f>
        <v>Este telefone não é tom de toque compatível e incapaz de enviar mensagens de texto / receber.</v>
      </c>
      <c r="B38048" s="3">
        <v>0</v>
      </c>
    </row>
    <row r="38049" ht="15.75" customHeight="1" spans="1:2">
      <c r="A38049" s="3" t="str">
        <f>IFERROR(__xludf.DUMMYFUNCTION("GOOGLETRANSLATE(A38049,""en"",""pt"")"),"Indicador de vida útil da bateria é impreciso, a bateria se esgota rapidamente")</f>
        <v>Indicador de vida útil da bateria é impreciso, a bateria se esgota rapidamente</v>
      </c>
      <c r="B38049" s="3">
        <v>0</v>
      </c>
    </row>
    <row r="38050" ht="15.75" customHeight="1" spans="1:2">
      <c r="A38050" s="3" t="str">
        <f>IFERROR(__xludf.DUMMYFUNCTION("GOOGLETRANSLATE(A38050,""en"",""pt"")"),"Sua bastante awefull.")</f>
        <v>Sua bastante awefull.</v>
      </c>
      <c r="B38050" s="3">
        <v>0</v>
      </c>
    </row>
    <row r="38051" ht="15.75" customHeight="1" spans="1:2">
      <c r="A38051" s="3" t="str">
        <f>IFERROR(__xludf.DUMMYFUNCTION("GOOGLETRANSLATE(A38051,""en"",""pt"")"),"sem download de toques, e não há maneira para mim para verificar e-mail (chatice)")</f>
        <v>sem download de toques, e não há maneira para mim para verificar e-mail (chatice)</v>
      </c>
      <c r="B38051" s="3">
        <v>0</v>
      </c>
    </row>
    <row r="38052" ht="15.75" customHeight="1" spans="1:2">
      <c r="A38052" s="3" t="str">
        <f>IFERROR(__xludf.DUMMYFUNCTION("GOOGLETRANSLATE(A38052,""en"",""pt"")"),"Tem algumas das mesmas questões que a Kyocera 2135")</f>
        <v>Tem algumas das mesmas questões que a Kyocera 2135</v>
      </c>
      <c r="B38052" s="3">
        <v>0</v>
      </c>
    </row>
    <row r="38053" ht="15.75" customHeight="1" spans="1:2">
      <c r="A38053" s="3" t="str">
        <f>IFERROR(__xludf.DUMMYFUNCTION("GOOGLETRANSLATE(A38053,""en"",""pt"")"),"Limited possui, tais como nenhum viva-voz e nenhum web-browsing, extremamente sensível à água")</f>
        <v>Limited possui, tais como nenhum viva-voz e nenhum web-browsing, extremamente sensível à água</v>
      </c>
      <c r="B38053" s="3">
        <v>0</v>
      </c>
    </row>
    <row r="38054" ht="15.75" customHeight="1" spans="1:2">
      <c r="A38054" s="3" t="str">
        <f>IFERROR(__xludf.DUMMYFUNCTION("GOOGLETRANSLATE(A38054,""en"",""pt"")"),"se você quer uma câmera, este telefone não vai fazer o trabalho.")</f>
        <v>se você quer uma câmera, este telefone não vai fazer o trabalho.</v>
      </c>
      <c r="B38054" s="3">
        <v>0</v>
      </c>
    </row>
    <row r="38055" ht="15.75" customHeight="1" spans="1:2">
      <c r="A38055" s="3" t="str">
        <f>IFERROR(__xludf.DUMMYFUNCTION("GOOGLETRANSLATE(A38055,""en"",""pt"")"),"é um forno")</f>
        <v>é um forno</v>
      </c>
      <c r="B38055" s="3">
        <v>0</v>
      </c>
    </row>
    <row r="38056" ht="15.75" customHeight="1" spans="1:2">
      <c r="A38056" s="3" t="str">
        <f>IFERROR(__xludf.DUMMYFUNCTION("GOOGLETRANSLATE(A38056,""en"",""pt"")"),"Jogos, você só pode personalizar toques por grupos-não indivíduos, o carregamento da bateria.")</f>
        <v>Jogos, você só pode personalizar toques por grupos-não indivíduos, o carregamento da bateria.</v>
      </c>
      <c r="B38056" s="3">
        <v>0</v>
      </c>
    </row>
    <row r="38057" ht="15.75" customHeight="1" spans="1:2">
      <c r="A38057" s="3" t="str">
        <f>IFERROR(__xludf.DUMMYFUNCTION("GOOGLETRANSLATE(A38057,""en"",""pt"")"),"não extras")</f>
        <v>não extras</v>
      </c>
      <c r="B38057" s="3">
        <v>0</v>
      </c>
    </row>
    <row r="38058" ht="15.75" customHeight="1" spans="1:2">
      <c r="A38058" s="3" t="str">
        <f>IFERROR(__xludf.DUMMYFUNCTION("GOOGLETRANSLATE(A38058,""en"",""pt"")"),"Telefone parece ter um construído em obsolescência. Avarias após um ano.")</f>
        <v>Telefone parece ter um construído em obsolescência. Avarias após um ano.</v>
      </c>
      <c r="B38058" s="3">
        <v>0</v>
      </c>
    </row>
    <row r="38059" ht="15.75" customHeight="1" spans="1:2">
      <c r="A38059" s="3" t="str">
        <f>IFERROR(__xludf.DUMMYFUNCTION("GOOGLETRANSLATE(A38059,""en"",""pt"")"),"A unidade é enorme! má recepção, falta de características importantes")</f>
        <v>A unidade é enorme! má recepção, falta de características importantes</v>
      </c>
      <c r="B38059" s="3">
        <v>0</v>
      </c>
    </row>
    <row r="38060" ht="15.75" customHeight="1" spans="1:2">
      <c r="A38060" s="3" t="str">
        <f>IFERROR(__xludf.DUMMYFUNCTION("GOOGLETRANSLATE(A38060,""en"",""pt"")"),"Perde Connection em Michigan Dunes")</f>
        <v>Perde Connection em Michigan Dunes</v>
      </c>
      <c r="B38060" s="3">
        <v>0</v>
      </c>
    </row>
    <row r="38061" ht="15.75" customHeight="1" spans="1:2">
      <c r="A38061" s="3" t="str">
        <f>IFERROR(__xludf.DUMMYFUNCTION("GOOGLETRANSLATE(A38061,""en"",""pt"")"),"A volumosa bit")</f>
        <v>A volumosa bit</v>
      </c>
      <c r="B38061" s="3">
        <v>0</v>
      </c>
    </row>
    <row r="38062" ht="15.75" customHeight="1" spans="1:2">
      <c r="A38062" s="3" t="str">
        <f>IFERROR(__xludf.DUMMYFUNCTION("GOOGLETRANSLATE(A38062,""en"",""pt"")"),"Um pouco demasiado pesado e volumoso. Não para o saco de uma senhora obviamente.")</f>
        <v>Um pouco demasiado pesado e volumoso. Não para o saco de uma senhora obviamente.</v>
      </c>
      <c r="B38062" s="3">
        <v>0</v>
      </c>
    </row>
    <row r="38063" ht="15.75" customHeight="1" spans="1:2">
      <c r="A38063" s="3" t="str">
        <f>IFERROR(__xludf.DUMMYFUNCTION("GOOGLETRANSLATE(A38063,""en"",""pt"")"),"clareza, conectividade")</f>
        <v>clareza, conectividade</v>
      </c>
      <c r="B38063" s="3">
        <v>0</v>
      </c>
    </row>
    <row r="38064" ht="15.75" customHeight="1" spans="1:2">
      <c r="A38064" s="3" t="str">
        <f>IFERROR(__xludf.DUMMYFUNCTION("GOOGLETRANSLATE(A38064,""en"",""pt"")"),"Serviço é uma porcaria, parece e soa como um walkie-talkie, Size, feia.")</f>
        <v>Serviço é uma porcaria, parece e soa como um walkie-talkie, Size, feia.</v>
      </c>
      <c r="B38064" s="3">
        <v>0</v>
      </c>
    </row>
    <row r="38065" ht="15.75" customHeight="1" spans="1:2">
      <c r="A38065" s="3" t="str">
        <f>IFERROR(__xludf.DUMMYFUNCTION("GOOGLETRANSLATE(A38065,""en"",""pt"")"),"Pesado, não vibratório Bateria")</f>
        <v>Pesado, não vibratório Bateria</v>
      </c>
      <c r="B38065" s="3">
        <v>0</v>
      </c>
    </row>
    <row r="38066" ht="15.75" customHeight="1" spans="1:2">
      <c r="A38066" s="3" t="str">
        <f>IFERROR(__xludf.DUMMYFUNCTION("GOOGLETRANSLATE(A38066,""en"",""pt"")"),"Muito leve ponderada!")</f>
        <v>Muito leve ponderada!</v>
      </c>
      <c r="B38066" s="3">
        <v>0</v>
      </c>
    </row>
    <row r="38067" ht="15.75" customHeight="1" spans="1:2">
      <c r="A38067" s="3" t="str">
        <f>IFERROR(__xludf.DUMMYFUNCTION("GOOGLETRANSLATE(A38067,""en"",""pt"")"),"Se apenas Werent AT &amp; T")</f>
        <v>Se apenas Werent AT &amp; T</v>
      </c>
      <c r="B38067" s="3">
        <v>0</v>
      </c>
    </row>
    <row r="38068" ht="15.75" customHeight="1" spans="1:2">
      <c r="A38068" s="3" t="str">
        <f>IFERROR(__xludf.DUMMYFUNCTION("GOOGLETRANSLATE(A38068,""en"",""pt"")"),"botões de prata fazer-se não de luz. luzes botão azul faria parece melhor do que verde também.")</f>
        <v>botões de prata fazer-se não de luz. luzes botão azul faria parece melhor do que verde também.</v>
      </c>
      <c r="B38068" s="3">
        <v>0</v>
      </c>
    </row>
    <row r="38069" ht="15.75" customHeight="1" spans="1:2">
      <c r="A38069" s="3" t="str">
        <f>IFERROR(__xludf.DUMMYFUNCTION("GOOGLETRANSLATE(A38069,""en"",""pt"")"),"Sem função viva-voz, sem câmera, e nenhum coldre para hip disponíveis")</f>
        <v>Sem função viva-voz, sem câmera, e nenhum coldre para hip disponíveis</v>
      </c>
      <c r="B38069" s="3">
        <v>0</v>
      </c>
    </row>
    <row r="38070" ht="15.75" customHeight="1" spans="1:2">
      <c r="A38070" s="3" t="str">
        <f>IFERROR(__xludf.DUMMYFUNCTION("GOOGLETRANSLATE(A38070,""en"",""pt"")"),"exterior parece engraçado, ENORME !!!, congela muito, arranha facilmente")</f>
        <v>exterior parece engraçado, ENORME !!!, congela muito, arranha facilmente</v>
      </c>
      <c r="B38070" s="3">
        <v>0</v>
      </c>
    </row>
    <row r="38071" ht="15.75" customHeight="1" spans="1:2">
      <c r="A38071" s="3" t="str">
        <f>IFERROR(__xludf.DUMMYFUNCTION("GOOGLETRANSLATE(A38071,""en"",""pt"")"),"Lotes: a vida da bateria ruim, mau UI, falhas, sem peças de reposição.")</f>
        <v>Lotes: a vida da bateria ruim, mau UI, falhas, sem peças de reposição.</v>
      </c>
      <c r="B38071" s="3">
        <v>0</v>
      </c>
    </row>
    <row r="38072" ht="15.75" customHeight="1" spans="1:2">
      <c r="A38072" s="3" t="str">
        <f>IFERROR(__xludf.DUMMYFUNCTION("GOOGLETRANSLATE(A38072,""en"",""pt"")"),"chamadas abandonadas, interface de programador, porta fone de ouvido")</f>
        <v>chamadas abandonadas, interface de programador, porta fone de ouvido</v>
      </c>
      <c r="B38072" s="3">
        <v>0</v>
      </c>
    </row>
    <row r="38073" ht="15.75" customHeight="1" spans="1:2">
      <c r="A38073" s="3" t="str">
        <f>IFERROR(__xludf.DUMMYFUNCTION("GOOGLETRANSLATE(A38073,""en"",""pt"")"),"volume de voz baixo, câmera terrível, telefone trava e deixa cair chamadas")</f>
        <v>volume de voz baixo, câmera terrível, telefone trava e deixa cair chamadas</v>
      </c>
      <c r="B38073" s="3">
        <v>0</v>
      </c>
    </row>
    <row r="38074" ht="15.75" customHeight="1" spans="1:2">
      <c r="A38074" s="3" t="str">
        <f>IFERROR(__xludf.DUMMYFUNCTION("GOOGLETRANSLATE(A38074,""en"",""pt"")"),"Quebrou depois de 2 meses, e congelou-se bastante.")</f>
        <v>Quebrou depois de 2 meses, e congelou-se bastante.</v>
      </c>
      <c r="B38074" s="3">
        <v>0</v>
      </c>
    </row>
    <row r="38075" ht="15.75" customHeight="1" spans="1:2">
      <c r="A38075" s="3" t="str">
        <f>IFERROR(__xludf.DUMMYFUNCTION("GOOGLETRANSLATE(A38075,""en"",""pt"")"),"tudo sobre este telefone")</f>
        <v>tudo sobre este telefone</v>
      </c>
      <c r="B38075" s="3">
        <v>0</v>
      </c>
    </row>
    <row r="38076" ht="15.75" customHeight="1" spans="1:2">
      <c r="A38076" s="3" t="str">
        <f>IFERROR(__xludf.DUMMYFUNCTION("GOOGLETRANSLATE(A38076,""en"",""pt"")"),"Recepção, incapaz de ser desbloqueado")</f>
        <v>Recepção, incapaz de ser desbloqueado</v>
      </c>
      <c r="B38076" s="3">
        <v>0</v>
      </c>
    </row>
    <row r="38077" ht="15.75" customHeight="1" spans="1:2">
      <c r="A38077" s="3" t="str">
        <f>IFERROR(__xludf.DUMMYFUNCTION("GOOGLETRANSLATE(A38077,""en"",""pt"")"),"A peça unintuitive mais de porcaria que eu já tive de lidar.")</f>
        <v>A peça unintuitive mais de porcaria que eu já tive de lidar.</v>
      </c>
      <c r="B38077" s="3">
        <v>0</v>
      </c>
    </row>
    <row r="38078" ht="15.75" customHeight="1" spans="1:2">
      <c r="A38078" s="3" t="str">
        <f>IFERROR(__xludf.DUMMYFUNCTION("GOOGLETRANSLATE(A38078,""en"",""pt"")"),"Não muito amigável, não muito durável.")</f>
        <v>Não muito amigável, não muito durável.</v>
      </c>
      <c r="B38078" s="3">
        <v>0</v>
      </c>
    </row>
    <row r="38079" ht="15.75" customHeight="1" spans="1:2">
      <c r="A38079" s="3" t="str">
        <f>IFERROR(__xludf.DUMMYFUNCTION("GOOGLETRANSLATE(A38079,""en"",""pt"")"),"nada mesmo!")</f>
        <v>nada mesmo!</v>
      </c>
      <c r="B38079" s="3">
        <v>0</v>
      </c>
    </row>
    <row r="38080" ht="15.75" customHeight="1" spans="1:2">
      <c r="A38080" s="3" t="str">
        <f>IFERROR(__xludf.DUMMYFUNCTION("GOOGLETRANSLATE(A38080,""en"",""pt"")"),"Pobre da bateria, UI terrível, botões de navegação são desajeitados, pesado, frágil,")</f>
        <v>Pobre da bateria, UI terrível, botões de navegação são desajeitados, pesado, frágil,</v>
      </c>
      <c r="B38080" s="3">
        <v>0</v>
      </c>
    </row>
    <row r="38081" ht="15.75" customHeight="1" spans="1:2">
      <c r="A38081" s="3" t="str">
        <f>IFERROR(__xludf.DUMMYFUNCTION("GOOGLETRANSLATE(A38081,""en"",""pt"")"),"Menus pode ser um pouco confuso")</f>
        <v>Menus pode ser um pouco confuso</v>
      </c>
      <c r="B38081" s="3">
        <v>0</v>
      </c>
    </row>
    <row r="38082" ht="15.75" customHeight="1" spans="1:2">
      <c r="A38082" s="3" t="str">
        <f>IFERROR(__xludf.DUMMYFUNCTION("GOOGLETRANSLATE(A38082,""en"",""pt"")"),"Menus intuitivos, botão não deitei grande, âmbar tela é brilhante, mas coxo")</f>
        <v>Menus intuitivos, botão não deitei grande, âmbar tela é brilhante, mas coxo</v>
      </c>
      <c r="B38082" s="3">
        <v>0</v>
      </c>
    </row>
    <row r="38083" ht="15.75" customHeight="1" spans="1:2">
      <c r="A38083" s="3" t="str">
        <f>IFERROR(__xludf.DUMMYFUNCTION("GOOGLETRANSLATE(A38083,""en"",""pt"")"),"As primeiras versões tinha insetos")</f>
        <v>As primeiras versões tinha insetos</v>
      </c>
      <c r="B38083" s="3">
        <v>0</v>
      </c>
    </row>
    <row r="38084" ht="15.75" customHeight="1" spans="1:2">
      <c r="A38084" s="3" t="str">
        <f>IFERROR(__xludf.DUMMYFUNCTION("GOOGLETRANSLATE(A38084,""en"",""pt"")"),"A revisão é tudo sobre isso.")</f>
        <v>A revisão é tudo sobre isso.</v>
      </c>
      <c r="B38084" s="3">
        <v>0</v>
      </c>
    </row>
    <row r="38085" ht="15.75" customHeight="1" spans="1:2">
      <c r="A38085" s="3" t="str">
        <f>IFERROR(__xludf.DUMMYFUNCTION("GOOGLETRANSLATE(A38085,""en"",""pt"")"),"Menus não são estabelecidas-out como a maioria dos telefones no mercado dos Estados Unidos e pode ser confuso.")</f>
        <v>Menus não são estabelecidas-out como a maioria dos telefones no mercado dos Estados Unidos e pode ser confuso.</v>
      </c>
      <c r="B38085" s="3">
        <v>0</v>
      </c>
    </row>
    <row r="38086" ht="15.75" customHeight="1" spans="1:2">
      <c r="A38086" s="3" t="str">
        <f>IFERROR(__xludf.DUMMYFUNCTION("GOOGLETRANSLATE(A38086,""en"",""pt"")"),"Este é um mau, mau telefone e ele deve ser interrompido.")</f>
        <v>Este é um mau, mau telefone e ele deve ser interrompido.</v>
      </c>
      <c r="B38086" s="3">
        <v>0</v>
      </c>
    </row>
    <row r="38087" ht="15.75" customHeight="1" spans="1:2">
      <c r="A38087" s="3" t="str">
        <f>IFERROR(__xludf.DUMMYFUNCTION("GOOGLETRANSLATE(A38087,""en"",""pt"")"),"Pesado, muito grosso, lenta mudança de modo automático GSM - TDMA")</f>
        <v>Pesado, muito grosso, lenta mudança de modo automático GSM - TDMA</v>
      </c>
      <c r="B38087" s="3">
        <v>0</v>
      </c>
    </row>
    <row r="38088" ht="15.75" customHeight="1" spans="1:2">
      <c r="A38088" s="3" t="str">
        <f>IFERROR(__xludf.DUMMYFUNCTION("GOOGLETRANSLATE(A38088,""en"",""pt"")"),"Para um iniciante pode ser um pouco confuso no início.")</f>
        <v>Para um iniciante pode ser um pouco confuso no início.</v>
      </c>
      <c r="B38088" s="3">
        <v>0</v>
      </c>
    </row>
    <row r="38089" ht="15.75" customHeight="1" spans="1:2">
      <c r="A38089" s="3" t="str">
        <f>IFERROR(__xludf.DUMMYFUNCTION("GOOGLETRANSLATE(A38089,""en"",""pt"")"),"A vida da bateria, fone de ouvido / Car Charger Set-up")</f>
        <v>A vida da bateria, fone de ouvido / Car Charger Set-up</v>
      </c>
      <c r="B38089" s="3">
        <v>0</v>
      </c>
    </row>
    <row r="38090" ht="15.75" customHeight="1" spans="1:2">
      <c r="A38090" s="3" t="str">
        <f>IFERROR(__xludf.DUMMYFUNCTION("GOOGLETRANSLATE(A38090,""en"",""pt"")"),"Crashes, perde dados, chaves morrendo, áudio muito mole, interface de usuário desastroso.")</f>
        <v>Crashes, perde dados, chaves morrendo, áudio muito mole, interface de usuário desastroso.</v>
      </c>
      <c r="B38090" s="3">
        <v>0</v>
      </c>
    </row>
    <row r="38091" ht="15.75" customHeight="1" spans="1:2">
      <c r="A38091" s="3" t="str">
        <f>IFERROR(__xludf.DUMMYFUNCTION("GOOGLETRANSLATE(A38091,""en"",""pt"")"),"Nada além de problemas !!! da AT &amp; T e o próprio telefone.")</f>
        <v>Nada além de problemas !!! da AT &amp; T e o próprio telefone.</v>
      </c>
      <c r="B38091" s="3">
        <v>0</v>
      </c>
    </row>
    <row r="38092" ht="15.75" customHeight="1" spans="1:2">
      <c r="A38092" s="3" t="str">
        <f>IFERROR(__xludf.DUMMYFUNCTION("GOOGLETRANSLATE(A38092,""en"",""pt"")"),"menus densas e características, nenhum sinal TDMA analógico, má concepção acessórios.")</f>
        <v>menus densas e características, nenhum sinal TDMA analógico, má concepção acessórios.</v>
      </c>
      <c r="B38092" s="3">
        <v>0</v>
      </c>
    </row>
    <row r="38093" ht="15.75" customHeight="1" spans="1:2">
      <c r="A38093" s="3" t="str">
        <f>IFERROR(__xludf.DUMMYFUNCTION("GOOGLETRANSLATE(A38093,""en"",""pt"")"),"Âmbar tela, sistema de diretório desajeitado, tela arranha facilmente, sem Bluetooth, sem cor.")</f>
        <v>Âmbar tela, sistema de diretório desajeitado, tela arranha facilmente, sem Bluetooth, sem cor.</v>
      </c>
      <c r="B38093" s="3">
        <v>0</v>
      </c>
    </row>
    <row r="38094" ht="15.75" customHeight="1" spans="1:2">
      <c r="A38094" s="3" t="str">
        <f>IFERROR(__xludf.DUMMYFUNCTION("GOOGLETRANSLATE(A38094,""en"",""pt"")"),"Má recepção, organização do menu desleixado, unintuitive. Prefere pobre GSM sobre excelente TDMA.")</f>
        <v>Má recepção, organização do menu desleixado, unintuitive. Prefere pobre GSM sobre excelente TDMA.</v>
      </c>
      <c r="B38094" s="3">
        <v>0</v>
      </c>
    </row>
    <row r="38095" ht="15.75" customHeight="1" spans="1:2">
      <c r="A38095" s="3" t="str">
        <f>IFERROR(__xludf.DUMMYFUNCTION("GOOGLETRANSLATE(A38095,""en"",""pt"")"),"serviço péssimo, a interface intuitiva, curta duração da bateria, erros aleatórios, etc.")</f>
        <v>serviço péssimo, a interface intuitiva, curta duração da bateria, erros aleatórios, etc.</v>
      </c>
      <c r="B38095" s="3">
        <v>0</v>
      </c>
    </row>
    <row r="38096" ht="15.75" customHeight="1" spans="1:2">
      <c r="A38096" s="3" t="str">
        <f>IFERROR(__xludf.DUMMYFUNCTION("GOOGLETRANSLATE(A38096,""en"",""pt"")"),"Tela 'sangra' e atendimento ao cliente (para a AT &amp; T também) está abaixo pobre.")</f>
        <v>Tela 'sangra' e atendimento ao cliente (para a AT &amp; T também) está abaixo pobre.</v>
      </c>
      <c r="B38096" s="3">
        <v>0</v>
      </c>
    </row>
    <row r="38097" ht="15.75" customHeight="1" spans="1:2">
      <c r="A38097" s="3" t="str">
        <f>IFERROR(__xludf.DUMMYFUNCTION("GOOGLETRANSLATE(A38097,""en"",""pt"")"),"User Interface é terrível, recursos não são documentados bem")</f>
        <v>User Interface é terrível, recursos não são documentados bem</v>
      </c>
      <c r="B38097" s="3">
        <v>0</v>
      </c>
    </row>
    <row r="38098" ht="15.75" customHeight="1" spans="1:2">
      <c r="A38098" s="3" t="str">
        <f>IFERROR(__xludf.DUMMYFUNCTION("GOOGLETRANSLATE(A38098,""en"",""pt"")"),"Não GSM 1800, menus muito densos")</f>
        <v>Não GSM 1800, menus muito densos</v>
      </c>
      <c r="B38098" s="3">
        <v>0</v>
      </c>
    </row>
    <row r="38099" ht="15.75" customHeight="1" spans="1:2">
      <c r="A38099" s="3" t="str">
        <f>IFERROR(__xludf.DUMMYFUNCTION("GOOGLETRANSLATE(A38099,""en"",""pt"")"),"Nenhum no momento!")</f>
        <v>Nenhum no momento!</v>
      </c>
      <c r="B38099" s="3">
        <v>0</v>
      </c>
    </row>
    <row r="38100" ht="15.75" customHeight="1" spans="1:2">
      <c r="A38100" s="3" t="str">
        <f>IFERROR(__xludf.DUMMYFUNCTION("GOOGLETRANSLATE(A38100,""en"",""pt"")"),"Não confiável e intuitiva.")</f>
        <v>Não confiável e intuitiva.</v>
      </c>
      <c r="B38100" s="3">
        <v>0</v>
      </c>
    </row>
    <row r="38101" ht="15.75" customHeight="1" spans="1:2">
      <c r="A38101" s="3" t="str">
        <f>IFERROR(__xludf.DUMMYFUNCTION("GOOGLETRANSLATE(A38101,""en"",""pt"")"),"Ainda à espera de Siemens rebate após 12 meses de desculpas")</f>
        <v>Ainda à espera de Siemens rebate após 12 meses de desculpas</v>
      </c>
      <c r="B38101" s="3">
        <v>0</v>
      </c>
    </row>
    <row r="38102" ht="15.75" customHeight="1" spans="1:2">
      <c r="A38102" s="3" t="str">
        <f>IFERROR(__xludf.DUMMYFUNCTION("GOOGLETRANSLATE(A38102,""en"",""pt"")"),"earbud não-padrão, alguns acessórios, há opções de reparação")</f>
        <v>earbud não-padrão, alguns acessórios, há opções de reparação</v>
      </c>
      <c r="B38102" s="3">
        <v>0</v>
      </c>
    </row>
    <row r="38103" ht="15.75" customHeight="1" spans="1:2">
      <c r="A38103" s="3" t="str">
        <f>IFERROR(__xludf.DUMMYFUNCTION("GOOGLETRANSLATE(A38103,""en"",""pt"")"),"Não vem com o cabo de dados")</f>
        <v>Não vem com o cabo de dados</v>
      </c>
      <c r="B38103" s="3">
        <v>0</v>
      </c>
    </row>
    <row r="38104" ht="15.75" customHeight="1" spans="1:2">
      <c r="A38104" s="3" t="str">
        <f>IFERROR(__xludf.DUMMYFUNCTION("GOOGLETRANSLATE(A38104,""en"",""pt"")"),"Não visão permitiu, exibição come cor vida útil da bateria, muitos menus")</f>
        <v>Não visão permitiu, exibição come cor vida útil da bateria, muitos menus</v>
      </c>
      <c r="B38104" s="3">
        <v>0</v>
      </c>
    </row>
    <row r="38105" ht="15.75" customHeight="1" spans="1:2">
      <c r="A38105" s="3" t="str">
        <f>IFERROR(__xludf.DUMMYFUNCTION("GOOGLETRANSLATE(A38105,""en"",""pt"")"),"má vida útil da bateria, recepção ruim, caro tecnologia, desatualizada")</f>
        <v>má vida útil da bateria, recepção ruim, caro tecnologia, desatualizada</v>
      </c>
      <c r="B38105" s="3">
        <v>0</v>
      </c>
    </row>
    <row r="38106" ht="15.75" customHeight="1" spans="1:2">
      <c r="A38106" s="3" t="str">
        <f>IFERROR(__xludf.DUMMYFUNCTION("GOOGLETRANSLATE(A38106,""en"",""pt"")"),"Ele fica quente após 20 minutos de uso e não locais de discagem suficiente velocidade.")</f>
        <v>Ele fica quente após 20 minutos de uso e não locais de discagem suficiente velocidade.</v>
      </c>
      <c r="B38106" s="3">
        <v>0</v>
      </c>
    </row>
    <row r="38107" ht="15.75" customHeight="1" spans="1:2">
      <c r="A38107" s="3" t="str">
        <f>IFERROR(__xludf.DUMMYFUNCTION("GOOGLETRANSLATE(A38107,""en"",""pt"")"),"a vida da bateria pobres")</f>
        <v>a vida da bateria pobres</v>
      </c>
      <c r="B38107" s="3">
        <v>0</v>
      </c>
    </row>
    <row r="38108" ht="15.75" customHeight="1" spans="1:2">
      <c r="A38108" s="3" t="str">
        <f>IFERROR(__xludf.DUMMYFUNCTION("GOOGLETRANSLATE(A38108,""en"",""pt"")"),"NÃO VISÃO habilitado, esse telefone não é ou nunca vai apoiar a visão.")</f>
        <v>NÃO VISÃO habilitado, esse telefone não é ou nunca vai apoiar a visão.</v>
      </c>
      <c r="B38108" s="3">
        <v>0</v>
      </c>
    </row>
    <row r="38109" ht="15.75" customHeight="1" spans="1:2">
      <c r="A38109" s="3" t="str">
        <f>IFERROR(__xludf.DUMMYFUNCTION("GOOGLETRANSLATE(A38109,""en"",""pt"")"),"Um zilhão de erros técnicos que nunca foram trabalhados neste modelo de telefone!")</f>
        <v>Um zilhão de erros técnicos que nunca foram trabalhados neste modelo de telefone!</v>
      </c>
      <c r="B38109" s="3">
        <v>0</v>
      </c>
    </row>
    <row r="38110" ht="15.75" customHeight="1" spans="1:2">
      <c r="A38110" s="3" t="str">
        <f>IFERROR(__xludf.DUMMYFUNCTION("GOOGLETRANSLATE(A38110,""en"",""pt"")"),"toques patéticos, não tão amigável quanto eu gostaria")</f>
        <v>toques patéticos, não tão amigável quanto eu gostaria</v>
      </c>
      <c r="B38110" s="3">
        <v>0</v>
      </c>
    </row>
    <row r="38111" ht="15.75" customHeight="1" spans="1:2">
      <c r="A38111" s="3" t="str">
        <f>IFERROR(__xludf.DUMMYFUNCTION("GOOGLETRANSLATE(A38111,""en"",""pt"")"),"recursos extras limitados como novos anéis. Nenhuma câmera ou cor da tela.")</f>
        <v>recursos extras limitados como novos anéis. Nenhuma câmera ou cor da tela.</v>
      </c>
      <c r="B38111" s="3">
        <v>0</v>
      </c>
    </row>
    <row r="38112" ht="15.75" customHeight="1" spans="1:2">
      <c r="A38112" s="3" t="str">
        <f>IFERROR(__xludf.DUMMYFUNCTION("GOOGLETRANSLATE(A38112,""en"",""pt"")"),"Menus poderia ser mais intuitiva e não tão profundo")</f>
        <v>Menus poderia ser mais intuitiva e não tão profundo</v>
      </c>
      <c r="B38112" s="3">
        <v>0</v>
      </c>
    </row>
    <row r="38113" ht="15.75" customHeight="1" spans="1:2">
      <c r="A38113" s="3" t="str">
        <f>IFERROR(__xludf.DUMMYFUNCTION("GOOGLETRANSLATE(A38113,""en"",""pt"")"),"Algumas falhas de projeto peculiares, as opções de toque, sistema de menu é mais complexo do que o necessário")</f>
        <v>Algumas falhas de projeto peculiares, as opções de toque, sistema de menu é mais complexo do que o necessário</v>
      </c>
      <c r="B38113" s="3">
        <v>0</v>
      </c>
    </row>
    <row r="38114" ht="15.75" customHeight="1" spans="1:2">
      <c r="A38114" s="3" t="str">
        <f>IFERROR(__xludf.DUMMYFUNCTION("GOOGLETRANSLATE(A38114,""en"",""pt"")"),"seleções pobres de toques, de volume fraco, a falta de personalização")</f>
        <v>seleções pobres de toques, de volume fraco, a falta de personalização</v>
      </c>
      <c r="B38114" s="3">
        <v>0</v>
      </c>
    </row>
    <row r="38115" ht="15.75" customHeight="1" spans="1:2">
      <c r="A38115" s="3" t="str">
        <f>IFERROR(__xludf.DUMMYFUNCTION("GOOGLETRANSLATE(A38115,""en"",""pt"")"),"Um pouco difícil de menu, ringtones mínimos.")</f>
        <v>Um pouco difícil de menu, ringtones mínimos.</v>
      </c>
      <c r="B38115" s="3">
        <v>0</v>
      </c>
    </row>
    <row r="38116" ht="15.75" customHeight="1" spans="1:2">
      <c r="A38116" s="3" t="str">
        <f>IFERROR(__xludf.DUMMYFUNCTION("GOOGLETRANSLATE(A38116,""en"",""pt"")"),"exibe pobres papel de parede, toques horríveis, sem capacidade de download.")</f>
        <v>exibe pobres papel de parede, toques horríveis, sem capacidade de download.</v>
      </c>
      <c r="B38116" s="3">
        <v>0</v>
      </c>
    </row>
    <row r="38117" ht="15.75" customHeight="1" spans="1:2">
      <c r="A38117" s="3" t="str">
        <f>IFERROR(__xludf.DUMMYFUNCTION("GOOGLETRANSLATE(A38117,""en"",""pt"")"),"tripas defeituosos, tons horríveis anel, interface de buggy, pesadelo funcional, documentação inútil.")</f>
        <v>tripas defeituosos, tons horríveis anel, interface de buggy, pesadelo funcional, documentação inútil.</v>
      </c>
      <c r="B38117" s="3">
        <v>0</v>
      </c>
    </row>
    <row r="38118" ht="15.75" customHeight="1" spans="1:2">
      <c r="A38118" s="3" t="str">
        <f>IFERROR(__xludf.DUMMYFUNCTION("GOOGLETRANSLATE(A38118,""en"",""pt"")"),"os toques estão se revoltando e você não pode baixar substituições.")</f>
        <v>os toques estão se revoltando e você não pode baixar substituições.</v>
      </c>
      <c r="B38118" s="3">
        <v>0</v>
      </c>
    </row>
    <row r="38119" ht="15.75" customHeight="1" spans="1:2">
      <c r="A38119" s="3" t="str">
        <f>IFERROR(__xludf.DUMMYFUNCTION("GOOGLETRANSLATE(A38119,""en"",""pt"")"),"Não os melhores ringtones")</f>
        <v>Não os melhores ringtones</v>
      </c>
      <c r="B38119" s="3">
        <v>0</v>
      </c>
    </row>
    <row r="38120" ht="15.75" customHeight="1" spans="1:2">
      <c r="A38120" s="3" t="str">
        <f>IFERROR(__xludf.DUMMYFUNCTION("GOOGLETRANSLATE(A38120,""en"",""pt"")"),"vida pobre da bateria, não download ringtones, jogos, parte aleta frágil")</f>
        <v>vida pobre da bateria, não download ringtones, jogos, parte aleta frágil</v>
      </c>
      <c r="B38120" s="3">
        <v>0</v>
      </c>
    </row>
    <row r="38121" ht="15.75" customHeight="1" spans="1:2">
      <c r="A38121" s="3" t="str">
        <f>IFERROR(__xludf.DUMMYFUNCTION("GOOGLETRANSLATE(A38121,""en"",""pt"")"),"campainha, menus, tons de lembrete")</f>
        <v>campainha, menus, tons de lembrete</v>
      </c>
      <c r="B38121" s="3">
        <v>0</v>
      </c>
    </row>
    <row r="38122" ht="15.75" customHeight="1" spans="1:2">
      <c r="A38122" s="3" t="str">
        <f>IFERROR(__xludf.DUMMYFUNCTION("GOOGLETRANSLATE(A38122,""en"",""pt"")"),"Muito quieto, Pior Toques Possível, faceplates caro, difícil de usar (em primeiro lugar)")</f>
        <v>Muito quieto, Pior Toques Possível, faceplates caro, difícil de usar (em primeiro lugar)</v>
      </c>
      <c r="B38122" s="3">
        <v>0</v>
      </c>
    </row>
    <row r="38123" ht="15.75" customHeight="1" spans="1:2">
      <c r="A38123" s="3" t="str">
        <f>IFERROR(__xludf.DUMMYFUNCTION("GOOGLETRANSLATE(A38123,""en"",""pt"")"),"A bateria não durar o tempo indicado e nenhum anel mais recurso vibrar.")</f>
        <v>A bateria não durar o tempo indicado e nenhum anel mais recurso vibrar.</v>
      </c>
      <c r="B38123" s="3">
        <v>0</v>
      </c>
    </row>
    <row r="38124" ht="15.75" customHeight="1" spans="1:2">
      <c r="A38124" s="3" t="str">
        <f>IFERROR(__xludf.DUMMYFUNCTION("GOOGLETRANSLATE(A38124,""en"",""pt"")"),"Ringtones é suficiente para fazer você querer jogar o telefone longe.")</f>
        <v>Ringtones é suficiente para fazer você querer jogar o telefone longe.</v>
      </c>
      <c r="B38124" s="3">
        <v>0</v>
      </c>
    </row>
    <row r="38125" ht="15.75" customHeight="1" spans="1:2">
      <c r="A38125" s="3" t="str">
        <f>IFERROR(__xludf.DUMMYFUNCTION("GOOGLETRANSLATE(A38125,""en"",""pt"")"),"Nenhum!")</f>
        <v>Nenhum!</v>
      </c>
      <c r="B38125" s="3">
        <v>0</v>
      </c>
    </row>
    <row r="38126" ht="15.75" customHeight="1" spans="1:2">
      <c r="A38126" s="3" t="str">
        <f>IFERROR(__xludf.DUMMYFUNCTION("GOOGLETRANSLATE(A38126,""en"",""pt"")"),"volume da campainha, manual pesado")</f>
        <v>volume da campainha, manual pesado</v>
      </c>
      <c r="B38126" s="3">
        <v>0</v>
      </c>
    </row>
    <row r="38127" ht="15.75" customHeight="1" spans="1:2">
      <c r="A38127" s="3" t="str">
        <f>IFERROR(__xludf.DUMMYFUNCTION("GOOGLETRANSLATE(A38127,""en"",""pt"")"),"Pobres jogos, ringtones e menu ... apenas 12 CARTAS PARA ENTRAR PARA NOME")</f>
        <v>Pobres jogos, ringtones e menu ... apenas 12 CARTAS PARA ENTRAR PARA NOME</v>
      </c>
      <c r="B38127" s="3">
        <v>0</v>
      </c>
    </row>
    <row r="38128" ht="15.75" customHeight="1" spans="1:2">
      <c r="A38128" s="3" t="str">
        <f>IFERROR(__xludf.DUMMYFUNCTION("GOOGLETRANSLATE(A38128,""en"",""pt"")"),"Não é possível obter passado nível 14 em ""Push Push"" o jogo, e não pode baixar nada!")</f>
        <v>Não é possível obter passado nível 14 em "Push Push" o jogo, e não pode baixar nada!</v>
      </c>
      <c r="B38128" s="3">
        <v>0</v>
      </c>
    </row>
    <row r="38129" ht="15.75" customHeight="1" spans="1:2">
      <c r="A38129" s="3" t="str">
        <f>IFERROR(__xludf.DUMMYFUNCTION("GOOGLETRANSLATE(A38129,""en"",""pt"")"),"superaquece telefone quando em uso, morreram após 20 meses de uso")</f>
        <v>superaquece telefone quando em uso, morreram após 20 meses de uso</v>
      </c>
      <c r="B38129" s="3">
        <v>0</v>
      </c>
    </row>
    <row r="38130" ht="15.75" customHeight="1" spans="1:2">
      <c r="A38130" s="3" t="str">
        <f>IFERROR(__xludf.DUMMYFUNCTION("GOOGLETRANSLATE(A38130,""en"",""pt"")"),"Não é fácil de usar, por vezes, toques irritantes, problemas de recursos de modo silencioso, bateria morre rapidamente")</f>
        <v>Não é fácil de usar, por vezes, toques irritantes, problemas de recursos de modo silencioso, bateria morre rapidamente</v>
      </c>
      <c r="B38130" s="3">
        <v>0</v>
      </c>
    </row>
    <row r="38131" ht="15.75" customHeight="1" spans="1:2">
      <c r="A38131" s="3" t="str">
        <f>IFERROR(__xludf.DUMMYFUNCTION("GOOGLETRANSLATE(A38131,""en"",""pt"")"),"baixa vida útil da bateria, som abafado")</f>
        <v>baixa vida útil da bateria, som abafado</v>
      </c>
      <c r="B38131" s="3">
        <v>0</v>
      </c>
    </row>
    <row r="38132" ht="15.75" customHeight="1" spans="1:2">
      <c r="A38132" s="3" t="str">
        <f>IFERROR(__xludf.DUMMYFUNCTION("GOOGLETRANSLATE(A38132,""en"",""pt"")"),"Não customizáveis; ainda tem muitos recursos.")</f>
        <v>Não customizáveis; ainda tem muitos recursos.</v>
      </c>
      <c r="B38132" s="3">
        <v>0</v>
      </c>
    </row>
    <row r="38133" ht="15.75" customHeight="1" spans="1:2">
      <c r="A38133" s="3" t="str">
        <f>IFERROR(__xludf.DUMMYFUNCTION("GOOGLETRANSLATE(A38133,""en"",""pt"")"),"Todo o resto!!!")</f>
        <v>Todo o resto!!!</v>
      </c>
      <c r="B38133" s="3">
        <v>0</v>
      </c>
    </row>
    <row r="38134" ht="15.75" customHeight="1" spans="1:2">
      <c r="A38134" s="3" t="str">
        <f>IFERROR(__xludf.DUMMYFUNCTION("GOOGLETRANSLATE(A38134,""en"",""pt"")"),"A vida da bateria é horrível; nenhuma opção para vibrar e, juntamente anel.")</f>
        <v>A vida da bateria é horrível; nenhuma opção para vibrar e, juntamente anel.</v>
      </c>
      <c r="B38134" s="3">
        <v>0</v>
      </c>
    </row>
    <row r="38135" ht="15.75" customHeight="1" spans="1:2">
      <c r="A38135" s="3" t="str">
        <f>IFERROR(__xludf.DUMMYFUNCTION("GOOGLETRANSLATE(A38135,""en"",""pt"")"),"Não Alway funcionar corretamente, Tone Bad Anel Seleção e Can not Download novos.")</f>
        <v>Não Alway funcionar corretamente, Tone Bad Anel Seleção e Can not Download novos.</v>
      </c>
      <c r="B38135" s="3">
        <v>0</v>
      </c>
    </row>
    <row r="38136" ht="15.75" customHeight="1" spans="1:2">
      <c r="A38136" s="3" t="str">
        <f>IFERROR(__xludf.DUMMYFUNCTION("GOOGLETRANSLATE(A38136,""en"",""pt"")"),"rachaduras telefone, fede a vida da bateria")</f>
        <v>rachaduras telefone, fede a vida da bateria</v>
      </c>
      <c r="B38136" s="3">
        <v>0</v>
      </c>
    </row>
    <row r="38137" ht="15.75" customHeight="1" spans="1:2">
      <c r="A38137" s="3" t="str">
        <f>IFERROR(__xludf.DUMMYFUNCTION("GOOGLETRANSLATE(A38137,""en"",""pt"")"),"fora do warrently vai tentar um motorola próxima")</f>
        <v>fora do warrently vai tentar um motorola próxima</v>
      </c>
      <c r="B38137" s="3">
        <v>0</v>
      </c>
    </row>
    <row r="38138" ht="15.75" customHeight="1" spans="1:2">
      <c r="A38138" s="3" t="str">
        <f>IFERROR(__xludf.DUMMYFUNCTION("GOOGLETRANSLATE(A38138,""en"",""pt"")"),"É um brinquedo e depois nem isso ... brinquedo telefone tocar mais alto !!!!")</f>
        <v>É um brinquedo e depois nem isso ... brinquedo telefone tocar mais alto !!!!</v>
      </c>
      <c r="B38138" s="3">
        <v>0</v>
      </c>
    </row>
    <row r="38139" ht="15.75" customHeight="1" spans="1:2">
      <c r="A38139" s="3" t="str">
        <f>IFERROR(__xludf.DUMMYFUNCTION("GOOGLETRANSLATE(A38139,""en"",""pt"")"),"vida pobre da bateria, 5hrs.tops, incapaz de fazer chamadas, um mau serviço muito vago sobre os progressos")</f>
        <v>vida pobre da bateria, 5hrs.tops, incapaz de fazer chamadas, um mau serviço muito vago sobre os progressos</v>
      </c>
      <c r="B38139" s="3">
        <v>0</v>
      </c>
    </row>
    <row r="38140" ht="15.75" customHeight="1" spans="1:2">
      <c r="A38140" s="3" t="str">
        <f>IFERROR(__xludf.DUMMYFUNCTION("GOOGLETRANSLATE(A38140,""en"",""pt"")"),"Nenhum!")</f>
        <v>Nenhum!</v>
      </c>
      <c r="B38140" s="3">
        <v>0</v>
      </c>
    </row>
    <row r="38141" ht="15.75" customHeight="1" spans="1:2">
      <c r="A38141" s="3" t="str">
        <f>IFERROR(__xludf.DUMMYFUNCTION("GOOGLETRANSLATE(A38141,""en"",""pt"")"),"Má recepção, telefones quebrar em nenhum momento.")</f>
        <v>Má recepção, telefones quebrar em nenhum momento.</v>
      </c>
      <c r="B38141" s="3">
        <v>0</v>
      </c>
    </row>
    <row r="38142" ht="15.75" customHeight="1" spans="1:2">
      <c r="A38142" s="3" t="str">
        <f>IFERROR(__xludf.DUMMYFUNCTION("GOOGLETRANSLATE(A38142,""en"",""pt"")"),"Tudo, breaks, muitas vezes!")</f>
        <v>Tudo, breaks, muitas vezes!</v>
      </c>
      <c r="B38142" s="3">
        <v>0</v>
      </c>
    </row>
    <row r="38143" ht="15.75" customHeight="1" spans="1:2">
      <c r="A38143" s="3" t="str">
        <f>IFERROR(__xludf.DUMMYFUNCTION("GOOGLETRANSLATE(A38143,""en"",""pt"")"),"Não funciona")</f>
        <v>Não funciona</v>
      </c>
      <c r="B38143" s="3">
        <v>0</v>
      </c>
    </row>
    <row r="38144" ht="15.75" customHeight="1" spans="1:2">
      <c r="A38144" s="3" t="str">
        <f>IFERROR(__xludf.DUMMYFUNCTION("GOOGLETRANSLATE(A38144,""en"",""pt"")"),"não em cor, sem voz, e nenhuma câmera - basicamente um telefone regular.")</f>
        <v>não em cor, sem voz, e nenhuma câmera - basicamente um telefone regular.</v>
      </c>
      <c r="B38144" s="3">
        <v>0</v>
      </c>
    </row>
    <row r="38145" ht="15.75" customHeight="1" spans="1:2">
      <c r="A38145" s="3" t="str">
        <f>IFERROR(__xludf.DUMMYFUNCTION("GOOGLETRANSLATE(A38145,""en"",""pt"")"),"Recepção, durabilidade, menus, a falta de ringtones, toca muito tranquilos além de todas acima.")</f>
        <v>Recepção, durabilidade, menus, a falta de ringtones, toca muito tranquilos além de todas acima.</v>
      </c>
      <c r="B38145" s="3">
        <v>0</v>
      </c>
    </row>
    <row r="38146" ht="15.75" customHeight="1" spans="1:2">
      <c r="A38146" s="3" t="str">
        <f>IFERROR(__xludf.DUMMYFUNCTION("GOOGLETRANSLATE(A38146,""en"",""pt"")"),"Falta do anel de tons, papel de parede e protetores de tela; pobre clareza; pobre de identificação de chamadas.")</f>
        <v>Falta do anel de tons, papel de parede e protetores de tela; pobre clareza; pobre de identificação de chamadas.</v>
      </c>
      <c r="B38146" s="3">
        <v>0</v>
      </c>
    </row>
    <row r="38147" ht="15.75" customHeight="1" spans="1:2">
      <c r="A38147" s="3" t="str">
        <f>IFERROR(__xludf.DUMMYFUNCTION("GOOGLETRANSLATE(A38147,""en"",""pt"")"),"vida útil da bateria limitada.")</f>
        <v>vida útil da bateria limitada.</v>
      </c>
      <c r="B38147" s="3">
        <v>0</v>
      </c>
    </row>
    <row r="38148" ht="15.75" customHeight="1" spans="1:2">
      <c r="A38148" s="3" t="str">
        <f>IFERROR(__xludf.DUMMYFUNCTION("GOOGLETRANSLATE(A38148,""en"",""pt"")"),"Cant ainda dependem de funções básicas de fazer e receber chamadas")</f>
        <v>Cant ainda dependem de funções básicas de fazer e receber chamadas</v>
      </c>
      <c r="B38148" s="3">
        <v>0</v>
      </c>
    </row>
    <row r="38149" ht="15.75" customHeight="1" spans="1:2">
      <c r="A38149" s="3" t="str">
        <f>IFERROR(__xludf.DUMMYFUNCTION("GOOGLETRANSLATE(A38149,""en"",""pt"")"),"TOQUES muito quieto. Vibrar é muito fraco e não pode configurá-lo para tanto vibrar / anel.")</f>
        <v>TOQUES muito quieto. Vibrar é muito fraco e não pode configurá-lo para tanto vibrar / anel.</v>
      </c>
      <c r="B38149" s="3">
        <v>0</v>
      </c>
    </row>
    <row r="38150" ht="15.75" customHeight="1" spans="1:2">
      <c r="A38150" s="3" t="str">
        <f>IFERROR(__xludf.DUMMYFUNCTION("GOOGLETRANSLATE(A38150,""en"",""pt"")"),"a vida da bateria pobres, defeito em plástico, telefone recebe toques pobres quentes")</f>
        <v>a vida da bateria pobres, defeito em plástico, telefone recebe toques pobres quentes</v>
      </c>
      <c r="B38150" s="3">
        <v>0</v>
      </c>
    </row>
    <row r="38151" ht="15.75" customHeight="1" spans="1:2">
      <c r="A38151" s="3" t="str">
        <f>IFERROR(__xludf.DUMMYFUNCTION("GOOGLETRANSLATE(A38151,""en"",""pt"")"),"Má qualidade de som, não durável, não apresenta assim tão fácil de usar.")</f>
        <v>Má qualidade de som, não durável, não apresenta assim tão fácil de usar.</v>
      </c>
      <c r="B38151" s="3">
        <v>0</v>
      </c>
    </row>
    <row r="38152" ht="15.75" customHeight="1" spans="1:2">
      <c r="A38152" s="3" t="str">
        <f>IFERROR(__xludf.DUMMYFUNCTION("GOOGLETRANSLATE(A38152,""en"",""pt"")"),"não confiável, a documentação não é user-friendly, a Samsung não é de muita ajuda se houver um problema")</f>
        <v>não confiável, a documentação não é user-friendly, a Samsung não é de muita ajuda se houver um problema</v>
      </c>
      <c r="B38152" s="3">
        <v>0</v>
      </c>
    </row>
    <row r="38153" ht="15.75" customHeight="1" spans="1:2">
      <c r="A38153" s="3" t="str">
        <f>IFERROR(__xludf.DUMMYFUNCTION("GOOGLETRANSLATE(A38153,""en"",""pt"")"),"Frágil, não durável, confiável, a interface de buggy, opções de personalização pobres.")</f>
        <v>Frágil, não durável, confiável, a interface de buggy, opções de personalização pobres.</v>
      </c>
      <c r="B38153" s="3">
        <v>0</v>
      </c>
    </row>
    <row r="38154" ht="15.75" customHeight="1" spans="1:2">
      <c r="A38154" s="3" t="str">
        <f>IFERROR(__xludf.DUMMYFUNCTION("GOOGLETRANSLATE(A38154,""en"",""pt"")"),"A menos que você quer ser aggrevated, não compre este telefone")</f>
        <v>A menos que você quer ser aggrevated, não compre este telefone</v>
      </c>
      <c r="B38154" s="3">
        <v>0</v>
      </c>
    </row>
    <row r="38155" ht="15.75" customHeight="1" spans="1:2">
      <c r="A38155" s="3" t="str">
        <f>IFERROR(__xludf.DUMMYFUNCTION("GOOGLETRANSLATE(A38155,""en"",""pt"")"),"Má qualidade da voz, não confiável em tudo")</f>
        <v>Má qualidade da voz, não confiável em tudo</v>
      </c>
      <c r="B38155" s="3">
        <v>0</v>
      </c>
    </row>
    <row r="38156" ht="15.75" customHeight="1" spans="1:2">
      <c r="A38156" s="3" t="str">
        <f>IFERROR(__xludf.DUMMYFUNCTION("GOOGLETRANSLATE(A38156,""en"",""pt"")"),"é uma merda")</f>
        <v>é uma merda</v>
      </c>
      <c r="B38156" s="3">
        <v>0</v>
      </c>
    </row>
    <row r="38157" ht="15.75" customHeight="1" spans="1:2">
      <c r="A38157" s="3" t="str">
        <f>IFERROR(__xludf.DUMMYFUNCTION("GOOGLETRANSLATE(A38157,""en"",""pt"")"),"Veja o comentário do corpo para todos os contras")</f>
        <v>Veja o comentário do corpo para todos os contras</v>
      </c>
      <c r="B38157" s="3">
        <v>0</v>
      </c>
    </row>
    <row r="38158" ht="15.75" customHeight="1" spans="1:2">
      <c r="A38158" s="3" t="str">
        <f>IFERROR(__xludf.DUMMYFUNCTION("GOOGLETRANSLATE(A38158,""en"",""pt"")"),"Campainha muito mole, vibrar muito baixo, algumas características de design irritantes")</f>
        <v>Campainha muito mole, vibrar muito baixo, algumas características de design irritantes</v>
      </c>
      <c r="B38158" s="3">
        <v>0</v>
      </c>
    </row>
    <row r="38159" ht="15.75" customHeight="1" spans="1:2">
      <c r="A38159" s="3" t="str">
        <f>IFERROR(__xludf.DUMMYFUNCTION("GOOGLETRANSLATE(A38159,""en"",""pt"")"),"não tão bacana como pode acreditar !!")</f>
        <v>não tão bacana como pode acreditar !!</v>
      </c>
      <c r="B38159" s="3">
        <v>0</v>
      </c>
    </row>
    <row r="38160" ht="15.75" customHeight="1" spans="1:2">
      <c r="A38160" s="3" t="str">
        <f>IFERROR(__xludf.DUMMYFUNCTION("GOOGLETRANSLATE(A38160,""en"",""pt"")"),"Sem resposta de um toque, enquanto dobrado, livro de telefone simplista, redução de ruído headset questionável, anel fraco / vibração")</f>
        <v>Sem resposta de um toque, enquanto dobrado, livro de telefone simplista, redução de ruído headset questionável, anel fraco / vibração</v>
      </c>
      <c r="B38160" s="3">
        <v>0</v>
      </c>
    </row>
    <row r="38161" ht="15.75" customHeight="1" spans="1:2">
      <c r="A38161" s="3" t="str">
        <f>IFERROR(__xludf.DUMMYFUNCTION("GOOGLETRANSLATE(A38161,""en"",""pt"")"),"campainha macio, não pode anel e simultaneamente vibrar")</f>
        <v>campainha macio, não pode anel e simultaneamente vibrar</v>
      </c>
      <c r="B38161" s="3">
        <v>0</v>
      </c>
    </row>
    <row r="38162" ht="15.75" customHeight="1" spans="1:2">
      <c r="A38162" s="3" t="str">
        <f>IFERROR(__xludf.DUMMYFUNCTION("GOOGLETRANSLATE(A38162,""en"",""pt"")"),"Terrivelmente lento, teclado desajeitado, mau serviço")</f>
        <v>Terrivelmente lento, teclado desajeitado, mau serviço</v>
      </c>
      <c r="B38162" s="3">
        <v>0</v>
      </c>
    </row>
    <row r="38163" ht="15.75" customHeight="1" spans="1:2">
      <c r="A38163" s="3" t="str">
        <f>IFERROR(__xludf.DUMMYFUNCTION("GOOGLETRANSLATE(A38163,""en"",""pt"")"),"volume da campainha (Leia comentário), menu um pouco difícil de navegar.")</f>
        <v>volume da campainha (Leia comentário), menu um pouco difícil de navegar.</v>
      </c>
      <c r="B38163" s="3">
        <v>0</v>
      </c>
    </row>
    <row r="38164" ht="15.75" customHeight="1" spans="1:2">
      <c r="A38164" s="3" t="str">
        <f>IFERROR(__xludf.DUMMYFUNCTION("GOOGLETRANSLATE(A38164,""en"",""pt"")"),"toque tranquila, de downloads")</f>
        <v>toque tranquila, de downloads</v>
      </c>
      <c r="B38164" s="3">
        <v>0</v>
      </c>
    </row>
    <row r="38165" ht="15.75" customHeight="1" spans="1:2">
      <c r="A38165" s="3" t="str">
        <f>IFERROR(__xludf.DUMMYFUNCTION("GOOGLETRANSLATE(A38165,""en"",""pt"")"),"Se o seu usado para Nokia, em seguida, isso é muito diferente.")</f>
        <v>Se o seu usado para Nokia, em seguida, isso é muito diferente.</v>
      </c>
      <c r="B38165" s="3">
        <v>0</v>
      </c>
    </row>
    <row r="38166" ht="15.75" customHeight="1" spans="1:2">
      <c r="A38166" s="3" t="str">
        <f>IFERROR(__xludf.DUMMYFUNCTION("GOOGLETRANSLATE(A38166,""en"",""pt"")"),"Low ringtones. Opções de câmera faltando. Navegador um pouco difícil de usar.")</f>
        <v>Low ringtones. Opções de câmera faltando. Navegador um pouco difícil de usar.</v>
      </c>
      <c r="B38166" s="3">
        <v>0</v>
      </c>
    </row>
    <row r="38167" ht="15.75" customHeight="1" spans="1:2">
      <c r="A38167" s="3" t="str">
        <f>IFERROR(__xludf.DUMMYFUNCTION("GOOGLETRANSLATE(A38167,""en"",""pt"")"),"Menor intervalo de tempo em scree quando no modo de câmera")</f>
        <v>Menor intervalo de tempo em scree quando no modo de câmera</v>
      </c>
      <c r="B38167" s="3">
        <v>0</v>
      </c>
    </row>
    <row r="38168" ht="15.75" customHeight="1" spans="1:2">
      <c r="A38168" s="3" t="str">
        <f>IFERROR(__xludf.DUMMYFUNCTION("GOOGLETRANSLATE(A38168,""en"",""pt"")"),"tela Somtimes desmaia")</f>
        <v>tela Somtimes desmaia</v>
      </c>
      <c r="B38168" s="3">
        <v>0</v>
      </c>
    </row>
    <row r="38169" ht="15.75" customHeight="1" spans="1:2">
      <c r="A38169" s="3" t="str">
        <f>IFERROR(__xludf.DUMMYFUNCTION("GOOGLETRANSLATE(A38169,""en"",""pt"")"),"Echos, não pegar sinal muito bem")</f>
        <v>Echos, não pegar sinal muito bem</v>
      </c>
      <c r="B38169" s="3">
        <v>0</v>
      </c>
    </row>
    <row r="38170" ht="15.75" customHeight="1" spans="1:2">
      <c r="A38170" s="3" t="str">
        <f>IFERROR(__xludf.DUMMYFUNCTION("GOOGLETRANSLATE(A38170,""en"",""pt"")"),"não duráveis")</f>
        <v>não duráveis</v>
      </c>
      <c r="B38170" s="3">
        <v>0</v>
      </c>
    </row>
    <row r="38171" ht="15.75" customHeight="1" spans="1:2">
      <c r="A38171" s="3" t="str">
        <f>IFERROR(__xludf.DUMMYFUNCTION("GOOGLETRANSLATE(A38171,""en"",""pt"")"),"Tela é monótona e lavado para fora, arranha facilmente.")</f>
        <v>Tela é monótona e lavado para fora, arranha facilmente.</v>
      </c>
      <c r="B38171" s="3">
        <v>0</v>
      </c>
    </row>
    <row r="38172" ht="15.75" customHeight="1" spans="1:2">
      <c r="A38172" s="3" t="str">
        <f>IFERROR(__xludf.DUMMYFUNCTION("GOOGLETRANSLATE(A38172,""en"",""pt"")"),"Não confiável. Lento de navegar. Pobre construção.")</f>
        <v>Não confiável. Lento de navegar. Pobre construção.</v>
      </c>
      <c r="B38172" s="3">
        <v>0</v>
      </c>
    </row>
    <row r="38173" ht="15.75" customHeight="1" spans="1:2">
      <c r="A38173" s="3" t="str">
        <f>IFERROR(__xludf.DUMMYFUNCTION("GOOGLETRANSLATE(A38173,""en"",""pt"")"),"Câmera, telefone flip")</f>
        <v>Câmera, telefone flip</v>
      </c>
      <c r="B38173" s="3">
        <v>0</v>
      </c>
    </row>
    <row r="38174" ht="15.75" customHeight="1" spans="1:2">
      <c r="A38174" s="3" t="str">
        <f>IFERROR(__xludf.DUMMYFUNCTION("GOOGLETRANSLATE(A38174,""en"",""pt"")"),"Não confiáveis, menus desajeitados e botões laterais")</f>
        <v>Não confiáveis, menus desajeitados e botões laterais</v>
      </c>
      <c r="B38174" s="3">
        <v>0</v>
      </c>
    </row>
    <row r="38175" ht="15.75" customHeight="1" spans="1:2">
      <c r="A38175" s="3" t="str">
        <f>IFERROR(__xludf.DUMMYFUNCTION("GOOGLETRANSLATE(A38175,""en"",""pt"")"),"TAMANHO! styling, e sim .... tamanho")</f>
        <v>TAMANHO! styling, e sim .... tamanho</v>
      </c>
      <c r="B38175" s="3">
        <v>0</v>
      </c>
    </row>
    <row r="38176" ht="15.75" customHeight="1" spans="1:2">
      <c r="A38176" s="3" t="str">
        <f>IFERROR(__xludf.DUMMYFUNCTION("GOOGLETRANSLATE(A38176,""en"",""pt"")"),"tamanho, não um monte de ""mais"" recursos")</f>
        <v>tamanho, não um monte de "mais" recursos</v>
      </c>
      <c r="B38176" s="3">
        <v>0</v>
      </c>
    </row>
    <row r="38177" ht="15.75" customHeight="1" spans="1:2">
      <c r="A38177" s="3" t="str">
        <f>IFERROR(__xludf.DUMMYFUNCTION("GOOGLETRANSLATE(A38177,""en"",""pt"")"),"Falta de jogos, o tamanho (o tamanho importa para alguns).")</f>
        <v>Falta de jogos, o tamanho (o tamanho importa para alguns).</v>
      </c>
      <c r="B38177" s="3">
        <v>0</v>
      </c>
    </row>
    <row r="38178" ht="15.75" customHeight="1" spans="1:2">
      <c r="A38178" s="3" t="str">
        <f>IFERROR(__xludf.DUMMYFUNCTION("GOOGLETRANSLATE(A38178,""en"",""pt"")"),"Chamada em espera-metragens, botões smallish.")</f>
        <v>Chamada em espera-metragens, botões smallish.</v>
      </c>
      <c r="B38178" s="3">
        <v>0</v>
      </c>
    </row>
    <row r="38179" ht="15.75" customHeight="1" spans="1:2">
      <c r="A38179" s="3" t="str">
        <f>IFERROR(__xludf.DUMMYFUNCTION("GOOGLETRANSLATE(A38179,""en"",""pt"")"),"Má qualidade, má microfone")</f>
        <v>Má qualidade, má microfone</v>
      </c>
      <c r="B38179" s="3">
        <v>0</v>
      </c>
    </row>
    <row r="38180" ht="15.75" customHeight="1" spans="1:2">
      <c r="A38180" s="3" t="str">
        <f>IFERROR(__xludf.DUMMYFUNCTION("GOOGLETRANSLATE(A38180,""en"",""pt"")"),"ligação do cabo de potência não garantir")</f>
        <v>ligação do cabo de potência não garantir</v>
      </c>
      <c r="B38180" s="3">
        <v>0</v>
      </c>
    </row>
    <row r="38181" ht="15.75" customHeight="1" spans="1:2">
      <c r="A38181" s="3" t="str">
        <f>IFERROR(__xludf.DUMMYFUNCTION("GOOGLETRANSLATE(A38181,""en"",""pt"")"),"Horrível qualidade global.")</f>
        <v>Horrível qualidade global.</v>
      </c>
      <c r="B38181" s="3">
        <v>0</v>
      </c>
    </row>
    <row r="38182" ht="15.75" customHeight="1" spans="1:2">
      <c r="A38182" s="3" t="str">
        <f>IFERROR(__xludf.DUMMYFUNCTION("GOOGLETRANSLATE(A38182,""en"",""pt"")"),"má recepção, etiquetas de voz peculiar, construção de baixa qualidade")</f>
        <v>má recepção, etiquetas de voz peculiar, construção de baixa qualidade</v>
      </c>
      <c r="B38182" s="3">
        <v>0</v>
      </c>
    </row>
    <row r="38183" ht="15.75" customHeight="1" spans="1:2">
      <c r="A38183" s="3" t="str">
        <f>IFERROR(__xludf.DUMMYFUNCTION("GOOGLETRANSLATE(A38183,""en"",""pt"")"),"Parece meio estranho, mas ainda é legal.")</f>
        <v>Parece meio estranho, mas ainda é legal.</v>
      </c>
      <c r="B38183" s="3">
        <v>0</v>
      </c>
    </row>
    <row r="38184" ht="15.75" customHeight="1" spans="1:2">
      <c r="A38184" s="3" t="str">
        <f>IFERROR(__xludf.DUMMYFUNCTION("GOOGLETRANSLATE(A38184,""en"",""pt"")"),"vida útil da bateria está no lado fraco. Nenhuma data no visor, os lotes de alternância.")</f>
        <v>vida útil da bateria está no lado fraco. Nenhuma data no visor, os lotes de alternância.</v>
      </c>
      <c r="B38184" s="3">
        <v>0</v>
      </c>
    </row>
    <row r="38185" ht="15.75" customHeight="1" spans="1:2">
      <c r="A38185" s="3" t="str">
        <f>IFERROR(__xludf.DUMMYFUNCTION("GOOGLETRANSLATE(A38185,""en"",""pt"")"),"Má qualidade de som (em ambas as extremidades)")</f>
        <v>Má qualidade de som (em ambas as extremidades)</v>
      </c>
      <c r="B38185" s="3">
        <v>0</v>
      </c>
    </row>
    <row r="38186" ht="15.75" customHeight="1" spans="1:2">
      <c r="A38186" s="3" t="str">
        <f>IFERROR(__xludf.DUMMYFUNCTION("GOOGLETRANSLATE(A38186,""en"",""pt"")"),"Baixo Tempo Talk, vida da bateria pobres, Pobre qualidade de voz")</f>
        <v>Baixo Tempo Talk, vida da bateria pobres, Pobre qualidade de voz</v>
      </c>
      <c r="B38186" s="3">
        <v>0</v>
      </c>
    </row>
    <row r="38187" ht="15.75" customHeight="1" spans="1:2">
      <c r="A38187" s="3" t="s">
        <v>203</v>
      </c>
      <c r="B38187" s="3">
        <v>0</v>
      </c>
    </row>
    <row r="38188" ht="15.75" customHeight="1" spans="1:2">
      <c r="A38188" s="3" t="str">
        <f>IFERROR(__xludf.DUMMYFUNCTION("GOOGLETRANSLATE(A38188,""en"",""pt"")"),"Mau serviço, terrível navegação, confuso para uso")</f>
        <v>Mau serviço, terrível navegação, confuso para uso</v>
      </c>
      <c r="B38188" s="3">
        <v>0</v>
      </c>
    </row>
    <row r="38189" ht="15.75" customHeight="1" spans="1:2">
      <c r="A38189" s="3" t="s">
        <v>204</v>
      </c>
      <c r="B38189" s="3">
        <v>0</v>
      </c>
    </row>
    <row r="38190" ht="15.75" customHeight="1" spans="1:2">
      <c r="A38190" s="3" t="str">
        <f>IFERROR(__xludf.DUMMYFUNCTION("GOOGLETRANSLATE(A38190,""en"",""pt"")"),"Não tem todas as características.")</f>
        <v>Não tem todas as características.</v>
      </c>
      <c r="B38190" s="3">
        <v>0</v>
      </c>
    </row>
    <row r="38191" ht="15.75" customHeight="1" spans="1:2">
      <c r="A38191" s="3" t="s">
        <v>205</v>
      </c>
      <c r="B38191" s="3">
        <v>0</v>
      </c>
    </row>
    <row r="38192" ht="15.75" customHeight="1" spans="1:2">
      <c r="A38192" s="3" t="str">
        <f>IFERROR(__xludf.DUMMYFUNCTION("GOOGLETRANSLATE(A38192,""en"",""pt"")"),"qualidade de som pobre, barato, não todos os recursos")</f>
        <v>qualidade de som pobre, barato, não todos os recursos</v>
      </c>
      <c r="B38192" s="3">
        <v>0</v>
      </c>
    </row>
    <row r="38193" ht="15.75" customHeight="1" spans="1:2">
      <c r="A38193" s="3" t="str">
        <f>IFERROR(__xludf.DUMMYFUNCTION("GOOGLETRANSLATE(A38193,""en"",""pt"")"),"Sem Vibrar")</f>
        <v>Sem Vibrar</v>
      </c>
      <c r="B38193" s="3">
        <v>0</v>
      </c>
    </row>
    <row r="38194" ht="15.75" customHeight="1" spans="1:2">
      <c r="A38194" s="3" t="s">
        <v>206</v>
      </c>
      <c r="B38194" s="3">
        <v>0</v>
      </c>
    </row>
    <row r="38195" ht="15.75" customHeight="1" spans="1:2">
      <c r="A38195" s="3" t="str">
        <f>IFERROR(__xludf.DUMMYFUNCTION("GOOGLETRANSLATE(A38195,""en"",""pt"")"),"antena volumosos, faceplates feias, não leve o suficiente, sem jogos, desinteressante, feio, recepção horrível")</f>
        <v>antena volumosos, faceplates feias, não leve o suficiente, sem jogos, desinteressante, feio, recepção horrível</v>
      </c>
      <c r="B38195" s="3">
        <v>0</v>
      </c>
    </row>
    <row r="38196" ht="15.75" customHeight="1" spans="1:2">
      <c r="A38196" s="3" t="str">
        <f>IFERROR(__xludf.DUMMYFUNCTION("GOOGLETRANSLATE(A38196,""en"",""pt"")"),"A vida da bateria")</f>
        <v>A vida da bateria</v>
      </c>
      <c r="B38196" s="3">
        <v>0</v>
      </c>
    </row>
    <row r="38197" ht="15.75" customHeight="1" spans="1:2">
      <c r="A38197" s="3" t="str">
        <f>IFERROR(__xludf.DUMMYFUNCTION("GOOGLETRANSLATE(A38197,""en"",""pt"")"),"Volumoso")</f>
        <v>Volumoso</v>
      </c>
      <c r="B38197" s="3">
        <v>0</v>
      </c>
    </row>
    <row r="38198" ht="15.75" customHeight="1" spans="1:2">
      <c r="A38198" s="3" t="s">
        <v>207</v>
      </c>
      <c r="B38198" s="3">
        <v>0</v>
      </c>
    </row>
    <row r="38199" ht="15.75" customHeight="1" spans="1:2">
      <c r="A38199" s="3" t="str">
        <f>IFERROR(__xludf.DUMMYFUNCTION("GOOGLETRANSLATE(A38199,""en"",""pt"")"),"Má recepção, muitos recursos e opções")</f>
        <v>Má recepção, muitos recursos e opções</v>
      </c>
      <c r="B38199" s="3">
        <v>0</v>
      </c>
    </row>
    <row r="38200" ht="15.75" customHeight="1" spans="1:2">
      <c r="A38200" s="3" t="str">
        <f>IFERROR(__xludf.DUMMYFUNCTION("GOOGLETRANSLATE(A38200,""en"",""pt"")"),"base do carregador, modo de vibração é muito mole, campainha não é muito alto.")</f>
        <v>base do carregador, modo de vibração é muito mole, campainha não é muito alto.</v>
      </c>
      <c r="B38200" s="3">
        <v>0</v>
      </c>
    </row>
    <row r="38201" ht="15.75" customHeight="1" spans="1:2">
      <c r="A38201" s="3" t="str">
        <f>IFERROR(__xludf.DUMMYFUNCTION("GOOGLETRANSLATE(A38201,""en"",""pt"")"),"falta de toques para download e imagens")</f>
        <v>falta de toques para download e imagens</v>
      </c>
      <c r="B38201" s="3">
        <v>0</v>
      </c>
    </row>
    <row r="38202" ht="15.75" customHeight="1" spans="1:2">
      <c r="A38202" s="3" t="str">
        <f>IFERROR(__xludf.DUMMYFUNCTION("GOOGLETRANSLATE(A38202,""en"",""pt"")"),"Nada além de problemas !!!")</f>
        <v>Nada além de problemas !!!</v>
      </c>
      <c r="B38202" s="3">
        <v>0</v>
      </c>
    </row>
    <row r="38203" ht="15.75" customHeight="1" spans="1:2">
      <c r="A38203" s="3" t="str">
        <f>IFERROR(__xludf.DUMMYFUNCTION("GOOGLETRANSLATE(A38203,""en"",""pt"")"),"acessórios limitados disponíveis.")</f>
        <v>acessórios limitados disponíveis.</v>
      </c>
      <c r="B38203" s="3">
        <v>0</v>
      </c>
    </row>
    <row r="38204" ht="15.75" customHeight="1" spans="1:2">
      <c r="A38204" s="3" t="str">
        <f>IFERROR(__xludf.DUMMYFUNCTION("GOOGLETRANSLATE(A38204,""en"",""pt"")"),"No Games")</f>
        <v>No Games</v>
      </c>
      <c r="B38204" s="3">
        <v>0</v>
      </c>
    </row>
    <row r="38205" ht="15.75" customHeight="1" spans="1:2">
      <c r="A38205" s="3" t="str">
        <f>IFERROR(__xludf.DUMMYFUNCTION("GOOGLETRANSLATE(A38205,""en"",""pt"")"),"muitos.")</f>
        <v>muitos.</v>
      </c>
      <c r="B38205" s="3">
        <v>0</v>
      </c>
    </row>
    <row r="38206" ht="15.75" customHeight="1" spans="1:2">
      <c r="A38206" s="3" t="str">
        <f>IFERROR(__xludf.DUMMYFUNCTION("GOOGLETRANSLATE(A38206,""en"",""pt"")"),"volumosa, Microsoft dependência e ultrapassada: a falta de bluetooth, a falta de GPRS, sem suporte MMS")</f>
        <v>volumosa, Microsoft dependência e ultrapassada: a falta de bluetooth, a falta de GPRS, sem suporte MMS</v>
      </c>
      <c r="B38206" s="3">
        <v>0</v>
      </c>
    </row>
    <row r="38207" ht="15.75" customHeight="1" spans="1:2">
      <c r="A38207" s="3" t="str">
        <f>IFERROR(__xludf.DUMMYFUNCTION("GOOGLETRANSLATE(A38207,""en"",""pt"")"),"É volumoso, desinteressante e eu achei difícil de uso")</f>
        <v>É volumoso, desinteressante e eu achei difícil de uso</v>
      </c>
      <c r="B38207" s="3">
        <v>0</v>
      </c>
    </row>
    <row r="38208" ht="15.75" customHeight="1" spans="1:2">
      <c r="A38208" s="3" t="str">
        <f>IFERROR(__xludf.DUMMYFUNCTION("GOOGLETRANSLATE(A38208,""en"",""pt"")"),"estilo mundano, acessórios não amplamente disponíveis, menus pode ser confuso")</f>
        <v>estilo mundano, acessórios não amplamente disponíveis, menus pode ser confuso</v>
      </c>
      <c r="B38208" s="3">
        <v>0</v>
      </c>
    </row>
    <row r="38209" ht="15.75" customHeight="1" spans="1:2">
      <c r="A38209" s="3" t="str">
        <f>IFERROR(__xludf.DUMMYFUNCTION("GOOGLETRANSLATE(A38209,""en"",""pt"")"),"Nenhum costume faceplates. Nokia mais confortável em sua mão. Nokia mais simples de usar.")</f>
        <v>Nenhum costume faceplates. Nokia mais confortável em sua mão. Nokia mais simples de usar.</v>
      </c>
      <c r="B38209" s="3">
        <v>0</v>
      </c>
    </row>
    <row r="38210" ht="15.75" customHeight="1" spans="1:2">
      <c r="A38210" s="3" t="str">
        <f>IFERROR(__xludf.DUMMYFUNCTION("GOOGLETRANSLATE(A38210,""en"",""pt"")"),"Perde muitas mensagens SMS. Sinal de alerta inaudível. Pobre S.E. cobertura web Michigan.")</f>
        <v>Perde muitas mensagens SMS. Sinal de alerta inaudível. Pobre S.E. cobertura web Michigan.</v>
      </c>
      <c r="B38210" s="3">
        <v>0</v>
      </c>
    </row>
    <row r="38211" ht="15.75" customHeight="1" spans="1:2">
      <c r="A38211" s="3" t="str">
        <f>IFERROR(__xludf.DUMMYFUNCTION("GOOGLETRANSLATE(A38211,""en"",""pt"")"),"Confundindo livro de telefone, muitas vezes não se conectar chamadas, pobre faceplate qualidade.")</f>
        <v>Confundindo livro de telefone, muitas vezes não se conectar chamadas, pobre faceplate qualidade.</v>
      </c>
      <c r="B38211" s="3">
        <v>0</v>
      </c>
    </row>
    <row r="38212" ht="15.75" customHeight="1" spans="1:2">
      <c r="A38212" s="3" t="str">
        <f>IFERROR(__xludf.DUMMYFUNCTION("GOOGLETRANSLATE(A38212,""en"",""pt"")"),"Às vezes confundindo menus")</f>
        <v>Às vezes confundindo menus</v>
      </c>
      <c r="B38212" s="3">
        <v>0</v>
      </c>
    </row>
    <row r="38213" ht="15.75" customHeight="1" spans="1:2">
      <c r="A38213" s="3" t="str">
        <f>IFERROR(__xludf.DUMMYFUNCTION("GOOGLETRANSLATE(A38213,""en"",""pt"")"),"vida de bateria fraca, não muito durável, falta de acessórios")</f>
        <v>vida de bateria fraca, não muito durável, falta de acessórios</v>
      </c>
      <c r="B38213" s="3">
        <v>0</v>
      </c>
    </row>
    <row r="38214" ht="15.75" customHeight="1" spans="1:2">
      <c r="A38214" s="3" t="str">
        <f>IFERROR(__xludf.DUMMYFUNCTION("GOOGLETRANSLATE(A38214,""en"",""pt"")"),"som eletrônico warbled 1/2 do tempo. difícil de conectar.")</f>
        <v>som eletrônico warbled 1/2 do tempo. difícil de conectar.</v>
      </c>
      <c r="B38214" s="3">
        <v>0</v>
      </c>
    </row>
    <row r="38215" ht="15.75" customHeight="1" spans="1:2">
      <c r="A38215" s="3" t="str">
        <f>IFERROR(__xludf.DUMMYFUNCTION("GOOGLETRANSLATE(A38215,""en"",""pt"")"),"Nenhum")</f>
        <v>Nenhum</v>
      </c>
      <c r="B38215" s="3">
        <v>0</v>
      </c>
    </row>
    <row r="38216" ht="15.75" customHeight="1" spans="1:2">
      <c r="A38216" s="3" t="s">
        <v>208</v>
      </c>
      <c r="B38216" s="3">
        <v>0</v>
      </c>
    </row>
    <row r="38217" ht="15.75" customHeight="1" spans="1:2">
      <c r="A38217" s="3" t="str">
        <f>IFERROR(__xludf.DUMMYFUNCTION("GOOGLETRANSLATE(A38217,""en"",""pt"")"),"Parece ser um jogo de dados se eles funcionam.")</f>
        <v>Parece ser um jogo de dados se eles funcionam.</v>
      </c>
      <c r="B38217" s="3">
        <v>0</v>
      </c>
    </row>
    <row r="38218" ht="15.75" customHeight="1" spans="1:2">
      <c r="A38218" s="3" t="str">
        <f>IFERROR(__xludf.DUMMYFUNCTION("GOOGLETRANSLATE(A38218,""en"",""pt"")"),"baixo nível de volume, botões pegajosos")</f>
        <v>baixo nível de volume, botões pegajosos</v>
      </c>
      <c r="B38218" s="3">
        <v>0</v>
      </c>
    </row>
    <row r="38219" ht="15.75" customHeight="1" spans="1:2">
      <c r="A38219" s="3" t="str">
        <f>IFERROR(__xludf.DUMMYFUNCTION("GOOGLETRANSLATE(A38219,""en"",""pt"")"),"o volume das colunas baixa, relativamente pequeno ecrã para o telefone internet")</f>
        <v>o volume das colunas baixa, relativamente pequeno ecrã para o telefone internet</v>
      </c>
      <c r="B38219" s="3">
        <v>0</v>
      </c>
    </row>
    <row r="38220" ht="15.75" customHeight="1" spans="1:2">
      <c r="A38220" s="3" t="str">
        <f>IFERROR(__xludf.DUMMYFUNCTION("GOOGLETRANSLATE(A38220,""en"",""pt"")"),"Um pouco pesados, lotes de características indesejáveis")</f>
        <v>Um pouco pesados, lotes de características indesejáveis</v>
      </c>
      <c r="B38220" s="3">
        <v>0</v>
      </c>
    </row>
    <row r="38221" ht="15.75" customHeight="1" spans="1:2">
      <c r="A38221" s="3" t="str">
        <f>IFERROR(__xludf.DUMMYFUNCTION("GOOGLETRANSLATE(A38221,""en"",""pt"")"),"tomadas de fone de ouvido e carregador mal concebidos são muito difíceis de inserir.")</f>
        <v>tomadas de fone de ouvido e carregador mal concebidos são muito difíceis de inserir.</v>
      </c>
      <c r="B38221" s="3">
        <v>0</v>
      </c>
    </row>
    <row r="38222" ht="15.75" customHeight="1" spans="1:2">
      <c r="A38222" s="3" t="str">
        <f>IFERROR(__xludf.DUMMYFUNCTION("GOOGLETRANSLATE(A38222,""en"",""pt"")"),"Pintar lascar, a vida da bateria relativamente curto, se aquece durante o uso.")</f>
        <v>Pintar lascar, a vida da bateria relativamente curto, se aquece durante o uso.</v>
      </c>
      <c r="B38222" s="3">
        <v>0</v>
      </c>
    </row>
    <row r="38223" ht="15.75" customHeight="1" spans="1:2">
      <c r="A38223" s="3" t="str">
        <f>IFERROR(__xludf.DUMMYFUNCTION("GOOGLETRANSLATE(A38223,""en"",""pt"")"),"Menus são confusas, perfis difícil de configurar,")</f>
        <v>Menus são confusas, perfis difícil de configurar,</v>
      </c>
      <c r="B38223" s="3">
        <v>0</v>
      </c>
    </row>
    <row r="38224" ht="15.75" customHeight="1" spans="1:2">
      <c r="A38224" s="3" t="str">
        <f>IFERROR(__xludf.DUMMYFUNCTION("GOOGLETRANSLATE(A38224,""en"",""pt"")"),"Breaks e é barato")</f>
        <v>Breaks e é barato</v>
      </c>
      <c r="B38224" s="3">
        <v>0</v>
      </c>
    </row>
    <row r="38225" ht="15.75" customHeight="1" spans="1:2">
      <c r="A38225" s="3" t="str">
        <f>IFERROR(__xludf.DUMMYFUNCTION("GOOGLETRANSLATE(A38225,""en"",""pt"")"),"design liso")</f>
        <v>design liso</v>
      </c>
      <c r="B38225" s="3">
        <v>0</v>
      </c>
    </row>
    <row r="38226" ht="15.75" customHeight="1" spans="1:2">
      <c r="A38226" s="3" t="str">
        <f>IFERROR(__xludf.DUMMYFUNCTION("GOOGLETRANSLATE(A38226,""en"",""pt"")"),"Favor salvar-se e não se comprar este telefone !!!!!!")</f>
        <v>Favor salvar-se e não se comprar este telefone !!!!!!</v>
      </c>
      <c r="B38226" s="3">
        <v>0</v>
      </c>
    </row>
    <row r="38227" ht="15.75" customHeight="1" spans="1:2">
      <c r="A38227" s="3" t="str">
        <f>IFERROR(__xludf.DUMMYFUNCTION("GOOGLETRANSLATE(A38227,""en"",""pt"")"),"Este é o pior telefone ou telefones absoluta que eu já possuía")</f>
        <v>Este é o pior telefone ou telefones absoluta que eu já possuía</v>
      </c>
      <c r="B38227" s="3">
        <v>0</v>
      </c>
    </row>
    <row r="38228" ht="15.75" customHeight="1" spans="1:2">
      <c r="A38228" s="3" t="str">
        <f>IFERROR(__xludf.DUMMYFUNCTION("GOOGLETRANSLATE(A38228,""en"",""pt"")"),"A tela maior e uma bateria melhor seria bom.")</f>
        <v>A tela maior e uma bateria melhor seria bom.</v>
      </c>
      <c r="B38228" s="3">
        <v>0</v>
      </c>
    </row>
    <row r="38229" ht="15.75" customHeight="1" spans="1:2">
      <c r="A38229" s="3" t="str">
        <f>IFERROR(__xludf.DUMMYFUNCTION("GOOGLETRANSLATE(A38229,""en"",""pt"")"),"Volumoso, nenhuma proteção de tela")</f>
        <v>Volumoso, nenhuma proteção de tela</v>
      </c>
      <c r="B38229" s="3">
        <v>0</v>
      </c>
    </row>
    <row r="38230" ht="15.75" customHeight="1" spans="1:2">
      <c r="A38230" s="3" t="str">
        <f>IFERROR(__xludf.DUMMYFUNCTION("GOOGLETRANSLATE(A38230,""en"",""pt"")"),"não manter-se bem Quando atropelado por 3 / PickUp 4ton")</f>
        <v>não manter-se bem Quando atropelado por 3 / PickUp 4ton</v>
      </c>
      <c r="B38230" s="3">
        <v>0</v>
      </c>
    </row>
    <row r="38231" ht="15.75" customHeight="1" spans="1:2">
      <c r="A38231" s="3" t="str">
        <f>IFERROR(__xludf.DUMMYFUNCTION("GOOGLETRANSLATE(A38231,""en"",""pt"")"),"não se sente tão sólido como a série 6100.")</f>
        <v>não se sente tão sólido como a série 6100.</v>
      </c>
      <c r="B38231" s="3">
        <v>0</v>
      </c>
    </row>
    <row r="38232" ht="15.75" customHeight="1" spans="1:2">
      <c r="A38232" s="3" t="str">
        <f>IFERROR(__xludf.DUMMYFUNCTION("GOOGLETRANSLATE(A38232,""en"",""pt"")"),"Pequenas coisas, grandes problemas")</f>
        <v>Pequenas coisas, grandes problemas</v>
      </c>
      <c r="B38232" s="3">
        <v>0</v>
      </c>
    </row>
    <row r="38233" ht="15.75" customHeight="1" spans="1:2">
      <c r="A38233" s="3" t="str">
        <f>IFERROR(__xludf.DUMMYFUNCTION("GOOGLETRANSLATE(A38233,""en"",""pt"")"),"Pobre slide-down tampa, ouvido às vezes cobre alto-falante, poderia ser menor construção, pobre")</f>
        <v>Pobre slide-down tampa, ouvido às vezes cobre alto-falante, poderia ser menor construção, pobre</v>
      </c>
      <c r="B38233" s="3">
        <v>0</v>
      </c>
    </row>
    <row r="38234" ht="15.75" customHeight="1" spans="1:2">
      <c r="A38234" s="3" t="str">
        <f>IFERROR(__xludf.DUMMYFUNCTION("GOOGLETRANSLATE(A38234,""en"",""pt"")"),"Atroz, irritante frustrantemente complexa e ineficiente interface, usuário. headsets à mão livre quebrar com freqüência.")</f>
        <v>Atroz, irritante frustrantemente complexa e ineficiente interface, usuário. headsets à mão livre quebrar com freqüência.</v>
      </c>
      <c r="B38234" s="3">
        <v>0</v>
      </c>
    </row>
    <row r="38235" ht="15.75" customHeight="1" spans="1:2">
      <c r="A38235" s="3" t="str">
        <f>IFERROR(__xludf.DUMMYFUNCTION("GOOGLETRANSLATE(A38235,""en"",""pt"")"),"Pobre Reatividade Botão")</f>
        <v>Pobre Reatividade Botão</v>
      </c>
      <c r="B38235" s="3">
        <v>0</v>
      </c>
    </row>
    <row r="38236" ht="15.75" customHeight="1" spans="1:2">
      <c r="A38236" s="3" t="str">
        <f>IFERROR(__xludf.DUMMYFUNCTION("GOOGLETRANSLATE(A38236,""en"",""pt"")"),"pequeno e barato")</f>
        <v>pequeno e barato</v>
      </c>
      <c r="B38236" s="3">
        <v>0</v>
      </c>
    </row>
    <row r="38237" ht="15.75" customHeight="1" spans="1:2">
      <c r="A38237" s="3" t="str">
        <f>IFERROR(__xludf.DUMMYFUNCTION("GOOGLETRANSLATE(A38237,""en"",""pt"")"),"Atroz, irritante frustrantemente complexa e ineficiente interface, usuário. headsets à mão livre quebrar com freqüência.")</f>
        <v>Atroz, irritante frustrantemente complexa e ineficiente interface, usuário. headsets à mão livre quebrar com freqüência.</v>
      </c>
      <c r="B38237" s="3">
        <v>0</v>
      </c>
    </row>
    <row r="38238" ht="15.75" customHeight="1" spans="1:2">
      <c r="A38238" s="3" t="str">
        <f>IFERROR(__xludf.DUMMYFUNCTION("GOOGLETRANSLATE(A38238,""en"",""pt"")"),"Pobre Reatividade Botão")</f>
        <v>Pobre Reatividade Botão</v>
      </c>
      <c r="B38238" s="3">
        <v>0</v>
      </c>
    </row>
    <row r="38239" ht="15.75" customHeight="1" spans="1:2">
      <c r="A38239" s="3" t="str">
        <f>IFERROR(__xludf.DUMMYFUNCTION("GOOGLETRANSLATE(A38239,""en"",""pt"")"),"pequeno e barato")</f>
        <v>pequeno e barato</v>
      </c>
      <c r="B38239" s="3">
        <v>0</v>
      </c>
    </row>
    <row r="38240" ht="15.75" customHeight="1" spans="1:2">
      <c r="A38240" s="3" t="str">
        <f>IFERROR(__xludf.DUMMYFUNCTION("GOOGLETRANSLATE(A38240,""en"",""pt"")"),"Não funciona bem no supermercado ou grandes superfícies")</f>
        <v>Não funciona bem no supermercado ou grandes superfícies</v>
      </c>
      <c r="B38240" s="3">
        <v>0</v>
      </c>
    </row>
    <row r="38241" ht="15.75" customHeight="1" spans="1:2">
      <c r="A38241" s="3" t="str">
        <f>IFERROR(__xludf.DUMMYFUNCTION("GOOGLETRANSLATE(A38241,""en"",""pt"")"),"Muitos deles.")</f>
        <v>Muitos deles.</v>
      </c>
      <c r="B38241" s="3">
        <v>0</v>
      </c>
    </row>
    <row r="38242" ht="15.75" customHeight="1" spans="1:2">
      <c r="A38242" s="3" t="str">
        <f>IFERROR(__xludf.DUMMYFUNCTION("GOOGLETRANSLATE(A38242,""en"",""pt"")"),"Tela, problemas de confiabilidade, Marginal vida útil da bateria, Joystick")</f>
        <v>Tela, problemas de confiabilidade, Marginal vida útil da bateria, Joystick</v>
      </c>
      <c r="B38242" s="3">
        <v>0</v>
      </c>
    </row>
    <row r="38243" ht="15.75" customHeight="1" spans="1:2">
      <c r="A38243" s="3" t="str">
        <f>IFERROR(__xludf.DUMMYFUNCTION("GOOGLETRANSLATE(A38243,""en"",""pt"")"),"vida útil da bateria terrível, má recepção, muito longo para se conectar à web sem fio")</f>
        <v>vida útil da bateria terrível, má recepção, muito longo para se conectar à web sem fio</v>
      </c>
      <c r="B38243" s="3">
        <v>0</v>
      </c>
    </row>
    <row r="38244" ht="15.75" customHeight="1" spans="1:2">
      <c r="A38244" s="3" t="str">
        <f>IFERROR(__xludf.DUMMYFUNCTION("GOOGLETRANSLATE(A38244,""en"",""pt"")"),"Não o maior vida útil da bateria.")</f>
        <v>Não o maior vida útil da bateria.</v>
      </c>
      <c r="B38244" s="3">
        <v>0</v>
      </c>
    </row>
    <row r="38245" ht="15.75" customHeight="1" spans="1:2">
      <c r="A38245" s="3" t="str">
        <f>IFERROR(__xludf.DUMMYFUNCTION("GOOGLETRANSLATE(A38245,""en"",""pt"")"),"A vida da bateria é melhor média para telefones celulares, mas melhor do que o meu velho SPH-A460.")</f>
        <v>A vida da bateria é melhor média para telefones celulares, mas melhor do que o meu velho SPH-A460.</v>
      </c>
      <c r="B38245" s="3">
        <v>0</v>
      </c>
    </row>
    <row r="38246" ht="15.75" customHeight="1" spans="1:2">
      <c r="A38246" s="3" t="str">
        <f>IFERROR(__xludf.DUMMYFUNCTION("GOOGLETRANSLATE(A38246,""en"",""pt"")"),"Vida útil da bateria, fora dos limites da cidade Recepção")</f>
        <v>Vida útil da bateria, fora dos limites da cidade Recepção</v>
      </c>
      <c r="B38246" s="3">
        <v>0</v>
      </c>
    </row>
    <row r="38247" ht="15.75" customHeight="1" spans="1:2">
      <c r="A38247" s="3" t="str">
        <f>IFERROR(__xludf.DUMMYFUNCTION("GOOGLETRANSLATE(A38247,""en"",""pt"")"),"A vida da bateria, entrada de dados limitado para funções de PDA.")</f>
        <v>A vida da bateria, entrada de dados limitado para funções de PDA.</v>
      </c>
      <c r="B38247" s="3">
        <v>0</v>
      </c>
    </row>
    <row r="38248" ht="15.75" customHeight="1" spans="1:2">
      <c r="A38248" s="3" t="str">
        <f>IFERROR(__xludf.DUMMYFUNCTION("GOOGLETRANSLATE(A38248,""en"",""pt"")"),"serviço PCS Visão deve ser livre. Downloads também deve ser gratuito.")</f>
        <v>serviço PCS Visão deve ser livre. Downloads também deve ser gratuito.</v>
      </c>
      <c r="B38248" s="3">
        <v>0</v>
      </c>
    </row>
    <row r="38249" ht="15.75" customHeight="1" spans="1:2">
      <c r="A38249" s="3" t="str">
        <f>IFERROR(__xludf.DUMMYFUNCTION("GOOGLETRANSLATE(A38249,""en"",""pt"")"),"navegador web sem fios é lento e por vezes pouco fiáveis.")</f>
        <v>navegador web sem fios é lento e por vezes pouco fiáveis.</v>
      </c>
      <c r="B38249" s="3">
        <v>0</v>
      </c>
    </row>
    <row r="38250" ht="15.75" customHeight="1" spans="1:2">
      <c r="A38250" s="3" t="str">
        <f>IFERROR(__xludf.DUMMYFUNCTION("GOOGLETRANSLATE(A38250,""en"",""pt"")"),"Mais do que qualquer um telefone deve ter.")</f>
        <v>Mais do que qualquer um telefone deve ter.</v>
      </c>
      <c r="B38250" s="3">
        <v>0</v>
      </c>
    </row>
    <row r="38251" ht="15.75" customHeight="1" spans="1:2">
      <c r="A38251" s="3" t="str">
        <f>IFERROR(__xludf.DUMMYFUNCTION("GOOGLETRANSLATE(A38251,""en"",""pt"")"),"Bateria, Recepção, congelamentos de software do telefone, muito caro")</f>
        <v>Bateria, Recepção, congelamentos de software do telefone, muito caro</v>
      </c>
      <c r="B38251" s="3">
        <v>0</v>
      </c>
    </row>
    <row r="38252" ht="15.75" customHeight="1" spans="1:2">
      <c r="A38252" s="3" t="str">
        <f>IFERROR(__xludf.DUMMYFUNCTION("GOOGLETRANSLATE(A38252,""en"",""pt"")"),"Grande quantidade. review Leia.")</f>
        <v>Grande quantidade. review Leia.</v>
      </c>
      <c r="B38252" s="3">
        <v>0</v>
      </c>
    </row>
    <row r="38253" ht="15.75" customHeight="1" spans="1:2">
      <c r="A38253" s="3" t="str">
        <f>IFERROR(__xludf.DUMMYFUNCTION("GOOGLETRANSLATE(A38253,""en"",""pt"")"),"curta duração da bateria, o custo extra para muitas características")</f>
        <v>curta duração da bateria, o custo extra para muitas características</v>
      </c>
      <c r="B38253" s="3">
        <v>0</v>
      </c>
    </row>
    <row r="38254" ht="15.75" customHeight="1" spans="1:2">
      <c r="A38254" s="3" t="str">
        <f>IFERROR(__xludf.DUMMYFUNCTION("GOOGLETRANSLATE(A38254,""en"",""pt"")"),"Se você estiver em Kansas City - dose não trabalho.")</f>
        <v>Se você estiver em Kansas City - dose não trabalho.</v>
      </c>
      <c r="B38254" s="3">
        <v>0</v>
      </c>
    </row>
    <row r="38255" ht="15.75" customHeight="1" spans="1:2">
      <c r="A38255" s="3" t="str">
        <f>IFERROR(__xludf.DUMMYFUNCTION("GOOGLETRANSLATE(A38255,""en"",""pt"")"),"Nenhum dos prós realmente funcionar de forma confiável, falha de software / congelamento, Sprint cust. serviço, Samsung cust. svc.")</f>
        <v>Nenhum dos prós realmente funcionar de forma confiável, falha de software / congelamento, Sprint cust. serviço, Samsung cust. svc.</v>
      </c>
      <c r="B38255" s="3">
        <v>0</v>
      </c>
    </row>
    <row r="38256" ht="15.75" customHeight="1" spans="1:2">
      <c r="A38256" s="3" t="str">
        <f>IFERROR(__xludf.DUMMYFUNCTION("GOOGLETRANSLATE(A38256,""en"",""pt"")"),"bateria!!")</f>
        <v>bateria!!</v>
      </c>
      <c r="B38256" s="3">
        <v>0</v>
      </c>
    </row>
    <row r="38257" ht="15.75" customHeight="1" spans="1:2">
      <c r="A38257" s="3" t="str">
        <f>IFERROR(__xludf.DUMMYFUNCTION("GOOGLETRANSLATE(A38257,""en"",""pt"")"),"Pobre vida da bateria, velocidade do processador lento, tela de lcd desbotada.")</f>
        <v>Pobre vida da bateria, velocidade do processador lento, tela de lcd desbotada.</v>
      </c>
      <c r="B38257" s="3">
        <v>0</v>
      </c>
    </row>
    <row r="38258" ht="15.75" customHeight="1" spans="1:2">
      <c r="A38258" s="3" t="str">
        <f>IFERROR(__xludf.DUMMYFUNCTION("GOOGLETRANSLATE(A38258,""en"",""pt"")"),"microfone, LCD, caso, foram todas as áreas problemáticas - que eu odeio este telefone")</f>
        <v>microfone, LCD, caso, foram todas as áreas problemáticas - que eu odeio este telefone</v>
      </c>
      <c r="B38258" s="3">
        <v>0</v>
      </c>
    </row>
    <row r="38259" ht="15.75" customHeight="1" spans="1:2">
      <c r="A38259" s="3" t="str">
        <f>IFERROR(__xludf.DUMMYFUNCTION("GOOGLETRANSLATE(A38259,""en"",""pt"")"),"alguns toques")</f>
        <v>alguns toques</v>
      </c>
      <c r="B38259" s="3">
        <v>0</v>
      </c>
    </row>
    <row r="38260" ht="15.75" customHeight="1" spans="1:2">
      <c r="A38260" s="3" t="str">
        <f>IFERROR(__xludf.DUMMYFUNCTION("GOOGLETRANSLATE(A38260,""en"",""pt"")"),"size: largura, tela não protegido, a vida da bateria, joystick difícil")</f>
        <v>size: largura, tela não protegido, a vida da bateria, joystick difícil</v>
      </c>
      <c r="B38260" s="3">
        <v>0</v>
      </c>
    </row>
    <row r="38261" ht="15.75" customHeight="1" spans="1:2">
      <c r="A38261" s="3" t="str">
        <f>IFERROR(__xludf.DUMMYFUNCTION("GOOGLETRANSLATE(A38261,""en"",""pt"")"),"parte flip não tela de cobertura, web wireless")</f>
        <v>parte flip não tela de cobertura, web wireless</v>
      </c>
      <c r="B38261" s="3">
        <v>0</v>
      </c>
    </row>
    <row r="38262" ht="15.75" customHeight="1" spans="1:2">
      <c r="A38262" s="3" t="str">
        <f>IFERROR(__xludf.DUMMYFUNCTION("GOOGLETRANSLATE(A38262,""en"",""pt"")"),"Má recepção, Moderado vida útil da bateria, tela Não protegido, Não Convencional Ringer, CPU lenta, Headset Clarity")</f>
        <v>Má recepção, Moderado vida útil da bateria, tela Não protegido, Não Convencional Ringer, CPU lenta, Headset Clarity</v>
      </c>
      <c r="B38262" s="3">
        <v>0</v>
      </c>
    </row>
    <row r="38263" ht="15.75" customHeight="1" spans="1:2">
      <c r="A38263" s="3" t="str">
        <f>IFERROR(__xludf.DUMMYFUNCTION("GOOGLETRANSLATE(A38263,""en"",""pt"")"),"tempo de bateria")</f>
        <v>tempo de bateria</v>
      </c>
      <c r="B38263" s="3">
        <v>0</v>
      </c>
    </row>
    <row r="38264" ht="15.75" customHeight="1" spans="1:2">
      <c r="A38264" s="3" t="str">
        <f>IFERROR(__xludf.DUMMYFUNCTION("GOOGLETRANSLATE(A38264,""en"",""pt"")"),"tela congela, há novos toques.")</f>
        <v>tela congela, há novos toques.</v>
      </c>
      <c r="B38264" s="3">
        <v>0</v>
      </c>
    </row>
    <row r="38265" ht="15.75" customHeight="1" spans="1:2">
      <c r="A38265" s="3" t="str">
        <f>IFERROR(__xludf.DUMMYFUNCTION("GOOGLETRANSLATE(A38265,""en"",""pt"")"),"PCS Vision é muito pobre, tamanho da tela limitada.")</f>
        <v>PCS Vision é muito pobre, tamanho da tela limitada.</v>
      </c>
      <c r="B38265" s="3">
        <v>0</v>
      </c>
    </row>
    <row r="38266" ht="15.75" customHeight="1" spans="1:2">
      <c r="A38266" s="3" t="str">
        <f>IFERROR(__xludf.DUMMYFUNCTION("GOOGLETRANSLATE(A38266,""en"",""pt"")"),"viva-voz, desliga, não manter a carga.")</f>
        <v>viva-voz, desliga, não manter a carga.</v>
      </c>
      <c r="B38266" s="3">
        <v>0</v>
      </c>
    </row>
    <row r="38267" ht="15.75" customHeight="1" spans="1:2">
      <c r="A38267" s="3" t="str">
        <f>IFERROR(__xludf.DUMMYFUNCTION("GOOGLETRANSLATE(A38267,""en"",""pt"")"),"Extremamente tela frágil é facilmente rachado - telefone fica arruinado.")</f>
        <v>Extremamente tela frágil é facilmente rachado - telefone fica arruinado.</v>
      </c>
      <c r="B38267" s="3">
        <v>0</v>
      </c>
    </row>
    <row r="38268" ht="15.75" customHeight="1" spans="1:2">
      <c r="A38268" s="3" t="str">
        <f>IFERROR(__xludf.DUMMYFUNCTION("GOOGLETRANSLATE(A38268,""en"",""pt"")"),"Vida útil da bateria, Back exibição lite em Lite sol")</f>
        <v>Vida útil da bateria, Back exibição lite em Lite sol</v>
      </c>
      <c r="B38268" s="3">
        <v>0</v>
      </c>
    </row>
    <row r="38269" ht="15.75" customHeight="1" spans="1:2">
      <c r="A38269" s="3" t="str">
        <f>IFERROR(__xludf.DUMMYFUNCTION("GOOGLETRANSLATE(A38269,""en"",""pt"")"),"viva-voz rachada, antena externa")</f>
        <v>viva-voz rachada, antena externa</v>
      </c>
      <c r="B38269" s="3">
        <v>0</v>
      </c>
    </row>
    <row r="38270" ht="15.75" customHeight="1" spans="1:2">
      <c r="A38270" s="3" t="str">
        <f>IFERROR(__xludf.DUMMYFUNCTION("GOOGLETRANSLATE(A38270,""en"",""pt"")"),"vida útil da bateria horrível, características, funcionalidade, gama, clareza e não é fácil de usar")</f>
        <v>vida útil da bateria horrível, características, funcionalidade, gama, clareza e não é fácil de usar</v>
      </c>
      <c r="B38270" s="3">
        <v>0</v>
      </c>
    </row>
    <row r="38271" ht="15.75" customHeight="1" spans="1:2">
      <c r="A38271" s="3" t="str">
        <f>IFERROR(__xludf.DUMMYFUNCTION("GOOGLETRANSLATE(A38271,""en"",""pt"")"),"terrível recepção, a vida da bateria é terrível, menus são intuitivos")</f>
        <v>terrível recepção, a vida da bateria é terrível, menus são intuitivos</v>
      </c>
      <c r="B38271" s="3">
        <v>0</v>
      </c>
    </row>
    <row r="38272" ht="15.75" customHeight="1" spans="1:2">
      <c r="A38272" s="3" t="str">
        <f>IFERROR(__xludf.DUMMYFUNCTION("GOOGLETRANSLATE(A38272,""en"",""pt"")"),"A única coisa que eu poderia dizer é a vida útil da bateria ... mas os prós superam isso!")</f>
        <v>A única coisa que eu poderia dizer é a vida útil da bateria ... mas os prós superam isso!</v>
      </c>
      <c r="B38272" s="3">
        <v>0</v>
      </c>
    </row>
    <row r="38273" ht="15.75" customHeight="1" spans="1:2">
      <c r="A38273" s="3" t="str">
        <f>IFERROR(__xludf.DUMMYFUNCTION("GOOGLETRANSLATE(A38273,""en"",""pt"")"),"viva-voz é lixo, sinal fraco, a vida da bateria horrível, e software muito buggy")</f>
        <v>viva-voz é lixo, sinal fraco, a vida da bateria horrível, e software muito buggy</v>
      </c>
      <c r="B38273" s="3">
        <v>0</v>
      </c>
    </row>
    <row r="38274" ht="15.75" customHeight="1" spans="1:2">
      <c r="A38274" s="3" t="str">
        <f>IFERROR(__xludf.DUMMYFUNCTION("GOOGLETRANSLATE(A38274,""en"",""pt"")"),"Antena, não muitas opções, mensagens de texto")</f>
        <v>Antena, não muitas opções, mensagens de texto</v>
      </c>
      <c r="B38274" s="3">
        <v>0</v>
      </c>
    </row>
    <row r="38275" ht="15.75" customHeight="1" spans="1:2">
      <c r="A38275" s="3" t="str">
        <f>IFERROR(__xludf.DUMMYFUNCTION("GOOGLETRANSLATE(A38275,""en"",""pt"")"),"Parece horrível no interior")</f>
        <v>Parece horrível no interior</v>
      </c>
      <c r="B38275" s="3">
        <v>0</v>
      </c>
    </row>
    <row r="38276" ht="15.75" customHeight="1" spans="1:2">
      <c r="A38276" s="3" t="str">
        <f>IFERROR(__xludf.DUMMYFUNCTION("GOOGLETRANSLATE(A38276,""en"",""pt"")"),"recepção é ruim aqui, mas bom lá")</f>
        <v>recepção é ruim aqui, mas bom lá</v>
      </c>
      <c r="B38276" s="3">
        <v>0</v>
      </c>
    </row>
    <row r="38277" ht="15.75" customHeight="1" spans="1:2">
      <c r="A38277" s="3" t="str">
        <f>IFERROR(__xludf.DUMMYFUNCTION("GOOGLETRANSLATE(A38277,""en"",""pt"")"),"Mal fabricado, relativamente grande.")</f>
        <v>Mal fabricado, relativamente grande.</v>
      </c>
      <c r="B38277" s="3">
        <v>0</v>
      </c>
    </row>
    <row r="38278" ht="15.75" customHeight="1" spans="1:2">
      <c r="A38278" s="3" t="str">
        <f>IFERROR(__xludf.DUMMYFUNCTION("GOOGLETRANSLATE(A38278,""en"",""pt"")"),"fraco batt, sem temporizador de chamadas cumulativo")</f>
        <v>fraco batt, sem temporizador de chamadas cumulativo</v>
      </c>
      <c r="B38278" s="3">
        <v>0</v>
      </c>
    </row>
    <row r="38279" ht="15.75" customHeight="1" spans="1:2">
      <c r="A38279" s="3" t="str">
        <f>IFERROR(__xludf.DUMMYFUNCTION("GOOGLETRANSLATE(A38279,""en"",""pt"")"),"vida útil da bateria, a recepção do sinal é horrível, congelamentos de software")</f>
        <v>vida útil da bateria, a recepção do sinal é horrível, congelamentos de software</v>
      </c>
      <c r="B38279" s="3">
        <v>0</v>
      </c>
    </row>
    <row r="38280" ht="15.75" customHeight="1" spans="1:2">
      <c r="A38280" s="3" t="str">
        <f>IFERROR(__xludf.DUMMYFUNCTION("GOOGLETRANSLATE(A38280,""en"",""pt"")"),"Os princípios básicos: recepção, bateria e a capacidade de trabalho")</f>
        <v>Os princípios básicos: recepção, bateria e a capacidade de trabalho</v>
      </c>
      <c r="B38280" s="3">
        <v>0</v>
      </c>
    </row>
    <row r="38281" ht="15.75" customHeight="1" spans="1:2">
      <c r="A38281" s="3" t="str">
        <f>IFERROR(__xludf.DUMMYFUNCTION("GOOGLETRANSLATE(A38281,""en"",""pt"")"),"vida curta da bateria com a bateria original, e recepção um pouco fraco.")</f>
        <v>vida curta da bateria com a bateria original, e recepção um pouco fraco.</v>
      </c>
      <c r="B38281" s="3">
        <v>0</v>
      </c>
    </row>
    <row r="38282" ht="15.75" customHeight="1" spans="1:2">
      <c r="A38282" s="3" t="str">
        <f>IFERROR(__xludf.DUMMYFUNCTION("GOOGLETRANSLATE(A38282,""en"",""pt"")"),"Caro, sensível, não é possível enviar mensagens de texto pequenas")</f>
        <v>Caro, sensível, não é possível enviar mensagens de texto pequenas</v>
      </c>
      <c r="B38282" s="3">
        <v>0</v>
      </c>
    </row>
    <row r="38283" ht="15.75" customHeight="1" spans="1:2">
      <c r="A38283" s="3" t="str">
        <f>IFERROR(__xludf.DUMMYFUNCTION("GOOGLETRANSLATE(A38283,""en"",""pt"")"),"Lousy vida útil da bateria e não é recomendado para a sua falta de confiabilidade!")</f>
        <v>Lousy vida útil da bateria e não é recomendado para a sua falta de confiabilidade!</v>
      </c>
      <c r="B38283" s="3">
        <v>0</v>
      </c>
    </row>
    <row r="38284" ht="15.75" customHeight="1" spans="1:2">
      <c r="A38284" s="3" t="str">
        <f>IFERROR(__xludf.DUMMYFUNCTION("GOOGLETRANSLATE(A38284,""en"",""pt"")"),"Má recepção. a vida da bateria pobres. tela congela.")</f>
        <v>Má recepção. a vida da bateria pobres. tela congela.</v>
      </c>
      <c r="B38284" s="3">
        <v>0</v>
      </c>
    </row>
    <row r="38285" ht="15.75" customHeight="1" spans="1:2">
      <c r="A38285" s="3" t="str">
        <f>IFERROR(__xludf.DUMMYFUNCTION("GOOGLETRANSLATE(A38285,""en"",""pt"")"),"telefone trava ou reinicia automaticamente, bugs de firmware, saída de rádio mono e sem tela colorida")</f>
        <v>telefone trava ou reinicia automaticamente, bugs de firmware, saída de rádio mono e sem tela colorida</v>
      </c>
      <c r="B38285" s="3">
        <v>0</v>
      </c>
    </row>
    <row r="38286" ht="15.75" customHeight="1" spans="1:2">
      <c r="A38286" s="3" t="str">
        <f>IFERROR(__xludf.DUMMYFUNCTION("GOOGLETRANSLATE(A38286,""en"",""pt"")"),"interrompido")</f>
        <v>interrompido</v>
      </c>
      <c r="B38286" s="3">
        <v>0</v>
      </c>
    </row>
    <row r="38287" ht="15.75" customHeight="1" spans="1:2">
      <c r="A38287" s="3" t="str">
        <f>IFERROR(__xludf.DUMMYFUNCTION("GOOGLETRANSLATE(A38287,""en"",""pt"")"),"Ele tem um botão 'ok' para enviar, final, e quase tudo o resto.")</f>
        <v>Ele tem um botão 'ok' para enviar, final, e quase tudo o resto.</v>
      </c>
      <c r="B38287" s="3">
        <v>0</v>
      </c>
    </row>
    <row r="38288" ht="15.75" customHeight="1" spans="1:2">
      <c r="A38288" s="3" t="str">
        <f>IFERROR(__xludf.DUMMYFUNCTION("GOOGLETRANSLATE(A38288,""en"",""pt"")"),"curta duração da bateria, nada extravagante aqui, recurso não vibrando")</f>
        <v>curta duração da bateria, nada extravagante aqui, recurso não vibrando</v>
      </c>
      <c r="B38288" s="3">
        <v>0</v>
      </c>
    </row>
    <row r="38289" ht="15.75" customHeight="1" spans="1:2">
      <c r="A38289" s="3" t="str">
        <f>IFERROR(__xludf.DUMMYFUNCTION("GOOGLETRANSLATE(A38289,""en"",""pt"")"),"Para muitos, principalmente lista-, dificuldade com a lista telefónica de programação e recepção.")</f>
        <v>Para muitos, principalmente lista-, dificuldade com a lista telefónica de programação e recepção.</v>
      </c>
      <c r="B38289" s="3">
        <v>0</v>
      </c>
    </row>
    <row r="38290" ht="15.75" customHeight="1" spans="1:2">
      <c r="A38290" s="3" t="str">
        <f>IFERROR(__xludf.DUMMYFUNCTION("GOOGLETRANSLATE(A38290,""en"",""pt"")"),"Não vibra")</f>
        <v>Não vibra</v>
      </c>
      <c r="B38290" s="3">
        <v>0</v>
      </c>
    </row>
    <row r="38291" ht="15.75" customHeight="1" spans="1:2">
      <c r="A38291" s="3" t="str">
        <f>IFERROR(__xludf.DUMMYFUNCTION("GOOGLETRANSLATE(A38291,""en"",""pt"")"),"A vida de bateria fraca")</f>
        <v>A vida de bateria fraca</v>
      </c>
      <c r="B38291" s="3">
        <v>0</v>
      </c>
    </row>
    <row r="38292" ht="15.75" customHeight="1" spans="1:2">
      <c r="A38292" s="3" t="str">
        <f>IFERROR(__xludf.DUMMYFUNCTION("GOOGLETRANSLATE(A38292,""en"",""pt"")"),"Intenna quebra facilmente, não muitos toques")</f>
        <v>Intenna quebra facilmente, não muitos toques</v>
      </c>
      <c r="B38292" s="3">
        <v>0</v>
      </c>
    </row>
    <row r="38293" ht="15.75" customHeight="1" spans="1:2">
      <c r="A38293" s="3" t="str">
        <f>IFERROR(__xludf.DUMMYFUNCTION("GOOGLETRANSLATE(A38293,""en"",""pt"")"),"Luzes difusas")</f>
        <v>Luzes difusas</v>
      </c>
      <c r="B38293" s="3">
        <v>0</v>
      </c>
    </row>
    <row r="38294" ht="15.75" customHeight="1" spans="1:2">
      <c r="A38294" s="3" t="str">
        <f>IFERROR(__xludf.DUMMYFUNCTION("GOOGLETRANSLATE(A38294,""en"",""pt"")"),"toques, facilidade de utilização, sobreaquecimento.")</f>
        <v>toques, facilidade de utilização, sobreaquecimento.</v>
      </c>
      <c r="B38294" s="3">
        <v>0</v>
      </c>
    </row>
    <row r="38295" ht="15.75" customHeight="1" spans="1:2">
      <c r="A38295" s="3" t="str">
        <f>IFERROR(__xludf.DUMMYFUNCTION("GOOGLETRANSLATE(A38295,""en"",""pt"")"),"recepção Ok, a vida da bateria, aquece rápida")</f>
        <v>recepção Ok, a vida da bateria, aquece rápida</v>
      </c>
      <c r="B38295" s="3">
        <v>0</v>
      </c>
    </row>
    <row r="38296" ht="15.75" customHeight="1" spans="1:2">
      <c r="A38296" s="3" t="str">
        <f>IFERROR(__xludf.DUMMYFUNCTION("GOOGLETRANSLATE(A38296,""en"",""pt"")"),"Tempo de bateria, aquece após uso, Recepção, Escolhas tela para cima Grime")</f>
        <v>Tempo de bateria, aquece após uso, Recepção, Escolhas tela para cima Grime</v>
      </c>
      <c r="B38296" s="3">
        <v>0</v>
      </c>
    </row>
    <row r="38297" ht="15.75" customHeight="1" spans="1:2">
      <c r="A38297" s="3" t="str">
        <f>IFERROR(__xludf.DUMMYFUNCTION("GOOGLETRANSLATE(A38297,""en"",""pt"")"),"a vida da bateria pobres, má recepção, o tempo de carga lenta")</f>
        <v>a vida da bateria pobres, má recepção, o tempo de carga lenta</v>
      </c>
      <c r="B38297" s="3">
        <v>0</v>
      </c>
    </row>
    <row r="38298" ht="15.75" customHeight="1" spans="1:2">
      <c r="A38298" s="3" t="str">
        <f>IFERROR(__xludf.DUMMYFUNCTION("GOOGLETRANSLATE(A38298,""en"",""pt"")"),"A vida da bateria não é grande, mas aceitável")</f>
        <v>A vida da bateria não é grande, mas aceitável</v>
      </c>
      <c r="B38298" s="3">
        <v>0</v>
      </c>
    </row>
    <row r="38299" ht="15.75" customHeight="1" spans="1:2">
      <c r="A38299" s="3" t="str">
        <f>IFERROR(__xludf.DUMMYFUNCTION("GOOGLETRANSLATE(A38299,""en"",""pt"")"),"Teclado parece bom, mas as teclas são muito próximos, fácil de miskey, frágil.")</f>
        <v>Teclado parece bom, mas as teclas são muito próximos, fácil de miskey, frágil.</v>
      </c>
      <c r="B38299" s="3">
        <v>0</v>
      </c>
    </row>
    <row r="38300" ht="15.75" customHeight="1" spans="1:2">
      <c r="A38300" s="3" t="str">
        <f>IFERROR(__xludf.DUMMYFUNCTION("GOOGLETRANSLATE(A38300,""en"",""pt"")"),"escudo exterior tende a ficar arranhada com bastante facilidade, vida útil da bateria é menor, então a média.")</f>
        <v>escudo exterior tende a ficar arranhada com bastante facilidade, vida útil da bateria é menor, então a média.</v>
      </c>
      <c r="B38300" s="3">
        <v>0</v>
      </c>
    </row>
    <row r="38301" ht="15.75" customHeight="1" spans="1:2">
      <c r="A38301" s="3" t="str">
        <f>IFERROR(__xludf.DUMMYFUNCTION("GOOGLETRANSLATE(A38301,""en"",""pt"")"),"TODO O RESTO!!! vida útil da bateria, recepção, teclado, campainhas, fica muito quente ... o nome dele, é ruim!")</f>
        <v>TODO O RESTO!!! vida útil da bateria, recepção, teclado, campainhas, fica muito quente ... o nome dele, é ruim!</v>
      </c>
      <c r="B38301" s="3">
        <v>0</v>
      </c>
    </row>
    <row r="38302" ht="15.75" customHeight="1" spans="1:2">
      <c r="A38302" s="3" t="str">
        <f>IFERROR(__xludf.DUMMYFUNCTION("GOOGLETRANSLATE(A38302,""en"",""pt"")"),"curta duração da bateria, muito tempo para carga, a bateria fica quente.")</f>
        <v>curta duração da bateria, muito tempo para carga, a bateria fica quente.</v>
      </c>
      <c r="B38302" s="3">
        <v>0</v>
      </c>
    </row>
    <row r="38303" ht="15.75" customHeight="1" spans="1:2">
      <c r="A38303" s="3" t="str">
        <f>IFERROR(__xludf.DUMMYFUNCTION("GOOGLETRANSLATE(A38303,""en"",""pt"")"),"Intensidade do sinal, a bateria aquece")</f>
        <v>Intensidade do sinal, a bateria aquece</v>
      </c>
      <c r="B38303" s="3">
        <v>0</v>
      </c>
    </row>
    <row r="38304" ht="15.75" customHeight="1" spans="1:2">
      <c r="A38304" s="3" t="str">
        <f>IFERROR(__xludf.DUMMYFUNCTION("GOOGLETRANSLATE(A38304,""en"",""pt"")"),"indicador de carga da bateria não é muito útil.")</f>
        <v>indicador de carga da bateria não é muito útil.</v>
      </c>
      <c r="B38304" s="3">
        <v>0</v>
      </c>
    </row>
    <row r="38305" ht="15.75" customHeight="1" spans="1:2">
      <c r="A38305" s="3" t="str">
        <f>IFERROR(__xludf.DUMMYFUNCTION("GOOGLETRANSLATE(A38305,""en"",""pt"")"),"Atrasos na conexão, a vida da bateria")</f>
        <v>Atrasos na conexão, a vida da bateria</v>
      </c>
      <c r="B38305" s="3">
        <v>0</v>
      </c>
    </row>
    <row r="38306" ht="15.75" customHeight="1" spans="1:2">
      <c r="A38306" s="3" t="str">
        <f>IFERROR(__xludf.DUMMYFUNCTION("GOOGLETRANSLATE(A38306,""en"",""pt"")"),"Nenhum até agora, exceto a voz enlatada chato perguntando ""quem você gostaria de chamar?""")</f>
        <v>Nenhum até agora, exceto a voz enlatada chato perguntando "quem você gostaria de chamar?"</v>
      </c>
      <c r="B38306" s="3">
        <v>0</v>
      </c>
    </row>
    <row r="38307" ht="15.75" customHeight="1" spans="1:2">
      <c r="A38307" s="3" t="str">
        <f>IFERROR(__xludf.DUMMYFUNCTION("GOOGLETRANSLATE(A38307,""en"",""pt"")"),"Parvos protetores de tela. Sem função SMS.")</f>
        <v>Parvos protetores de tela. Sem função SMS.</v>
      </c>
      <c r="B38307" s="3">
        <v>0</v>
      </c>
    </row>
    <row r="38308" ht="15.75" customHeight="1" spans="1:2">
      <c r="A38308" s="3" t="str">
        <f>IFERROR(__xludf.DUMMYFUNCTION("GOOGLETRANSLATE(A38308,""en"",""pt"")"),"Anel não é alto em público. Dial pad apenas um pouco pequeno demais.")</f>
        <v>Anel não é alto em público. Dial pad apenas um pouco pequeno demais.</v>
      </c>
      <c r="B38308" s="3">
        <v>0</v>
      </c>
    </row>
    <row r="38309" ht="15.75" customHeight="1" spans="1:2">
      <c r="A38309" s="3" t="str">
        <f>IFERROR(__xludf.DUMMYFUNCTION("GOOGLETRANSLATE(A38309,""en"",""pt"")"),"toques, mesmo se virou para o alto, não alto o suficiente.")</f>
        <v>toques, mesmo se virou para o alto, não alto o suficiente.</v>
      </c>
      <c r="B38309" s="3">
        <v>0</v>
      </c>
    </row>
    <row r="38310" ht="15.75" customHeight="1" spans="1:2">
      <c r="A38310" s="3" t="str">
        <f>IFERROR(__xludf.DUMMYFUNCTION("GOOGLETRANSLATE(A38310,""en"",""pt"")"),"Temo que este telefone vai ficar rápido obsoleto.")</f>
        <v>Temo que este telefone vai ficar rápido obsoleto.</v>
      </c>
      <c r="B38310" s="3">
        <v>0</v>
      </c>
    </row>
    <row r="38311" ht="15.75" customHeight="1" spans="1:2">
      <c r="A38311" s="3" t="str">
        <f>IFERROR(__xludf.DUMMYFUNCTION("GOOGLETRANSLATE(A38311,""en"",""pt"")"),"Fica muito muito muito quente !!!!")</f>
        <v>Fica muito muito muito quente !!!!</v>
      </c>
      <c r="B38311" s="3">
        <v>0</v>
      </c>
    </row>
    <row r="38312" ht="15.75" customHeight="1" spans="1:2">
      <c r="A38312" s="3" t="str">
        <f>IFERROR(__xludf.DUMMYFUNCTION("GOOGLETRANSLATE(A38312,""en"",""pt"")"),"toques melódicos, a vida da bateria, lcd backlight não brilhante")</f>
        <v>toques melódicos, a vida da bateria, lcd backlight não brilhante</v>
      </c>
      <c r="B38312" s="3">
        <v>0</v>
      </c>
    </row>
    <row r="38313" ht="15.75" customHeight="1" spans="1:2">
      <c r="A38313" s="3" t="str">
        <f>IFERROR(__xludf.DUMMYFUNCTION("GOOGLETRANSLATE(A38313,""en"",""pt"")"),"Calor, Start / badaladas finais")</f>
        <v>Calor, Start / badaladas finais</v>
      </c>
      <c r="B38313" s="3">
        <v>0</v>
      </c>
    </row>
    <row r="38314" ht="15.75" customHeight="1" spans="1:2">
      <c r="A38314" s="3" t="str">
        <f>IFERROR(__xludf.DUMMYFUNCTION("GOOGLETRANSLATE(A38314,""en"",""pt"")"),"Vibração fraco, só funciona com o volume no máximo. Tela quebrou depois de um ano.")</f>
        <v>Vibração fraco, só funciona com o volume no máximo. Tela quebrou depois de um ano.</v>
      </c>
      <c r="B38314" s="3">
        <v>0</v>
      </c>
    </row>
    <row r="38315" ht="15.75" customHeight="1" spans="1:2">
      <c r="A38315" s="3" t="str">
        <f>IFERROR(__xludf.DUMMYFUNCTION("GOOGLETRANSLATE(A38315,""en"",""pt"")"),"curta duração da bateria, opções limitadas")</f>
        <v>curta duração da bateria, opções limitadas</v>
      </c>
      <c r="B38315" s="3">
        <v>0</v>
      </c>
    </row>
    <row r="38316" ht="15.75" customHeight="1" spans="1:2">
      <c r="A38316" s="3" t="str">
        <f>IFERROR(__xludf.DUMMYFUNCTION("GOOGLETRANSLATE(A38316,""en"",""pt"")"),"Nenhum")</f>
        <v>Nenhum</v>
      </c>
      <c r="B38316" s="3">
        <v>0</v>
      </c>
    </row>
    <row r="38317" ht="15.75" customHeight="1" spans="1:2">
      <c r="A38317" s="3" t="str">
        <f>IFERROR(__xludf.DUMMYFUNCTION("GOOGLETRANSLATE(A38317,""en"",""pt"")"),"teclado é bem concebido, mas pequeno, precisa de campainha padrão")</f>
        <v>teclado é bem concebido, mas pequeno, precisa de campainha padrão</v>
      </c>
      <c r="B38317" s="3">
        <v>0</v>
      </c>
    </row>
    <row r="38318" ht="15.75" customHeight="1" spans="1:2">
      <c r="A38318" s="3" t="str">
        <f>IFERROR(__xludf.DUMMYFUNCTION("GOOGLETRANSLATE(A38318,""en"",""pt"")"),"tampa flip quebrou facilmente, campainha interruptor de volume roqueiro não funciona às vezes, ecoando.")</f>
        <v>tampa flip quebrou facilmente, campainha interruptor de volume roqueiro não funciona às vezes, ecoando.</v>
      </c>
      <c r="B38318" s="3">
        <v>0</v>
      </c>
    </row>
    <row r="38319" ht="15.75" customHeight="1" spans="1:2">
      <c r="A38319" s="3" t="str">
        <f>IFERROR(__xludf.DUMMYFUNCTION("GOOGLETRANSLATE(A38319,""en"",""pt"")"),"Muito má recepção, intensidade do sinal e vida da bateria pobres. Executa quente depois de 10-15 minutos.")</f>
        <v>Muito má recepção, intensidade do sinal e vida da bateria pobres. Executa quente depois de 10-15 minutos.</v>
      </c>
      <c r="B38319" s="3">
        <v>0</v>
      </c>
    </row>
    <row r="38320" ht="15.75" customHeight="1" spans="1:2">
      <c r="A38320" s="3" t="str">
        <f>IFERROR(__xludf.DUMMYFUNCTION("GOOGLETRANSLATE(A38320,""en"",""pt"")"),"Sem 3G, acessórios difíceis de encontrar, design chager é pobre")</f>
        <v>Sem 3G, acessórios difíceis de encontrar, design chager é pobre</v>
      </c>
      <c r="B38320" s="3">
        <v>0</v>
      </c>
    </row>
    <row r="38321" ht="15.75" customHeight="1" spans="1:2">
      <c r="A38321" s="3" t="str">
        <f>IFERROR(__xludf.DUMMYFUNCTION("GOOGLETRANSLATE(A38321,""en"",""pt"")"),"curta duração da bateria. Sub-par a intensidade do sinal. Não atualizável para rede 1xRTT.")</f>
        <v>curta duração da bateria. Sub-par a intensidade do sinal. Não atualizável para rede 1xRTT.</v>
      </c>
      <c r="B38321" s="3">
        <v>0</v>
      </c>
    </row>
    <row r="38322" ht="15.75" customHeight="1" spans="1:2">
      <c r="A38322" s="3" t="str">
        <f>IFERROR(__xludf.DUMMYFUNCTION("GOOGLETRANSLATE(A38322,""en"",""pt"")"),"Tempo da bateria, Telefone esquenta, Recepção em determinadas áreas")</f>
        <v>Tempo da bateria, Telefone esquenta, Recepção em determinadas áreas</v>
      </c>
      <c r="B38322" s="3">
        <v>0</v>
      </c>
    </row>
    <row r="38323" ht="15.75" customHeight="1" spans="1:2">
      <c r="A38323" s="3" t="str">
        <f>IFERROR(__xludf.DUMMYFUNCTION("GOOGLETRANSLATE(A38323,""en"",""pt"")"),"Teclado é OK, necessidades campainha para ser mais alto.")</f>
        <v>Teclado é OK, necessidades campainha para ser mais alto.</v>
      </c>
      <c r="B38323" s="3">
        <v>0</v>
      </c>
    </row>
    <row r="38324" ht="15.75" customHeight="1" spans="1:2">
      <c r="A38324" s="3" t="str">
        <f>IFERROR(__xludf.DUMMYFUNCTION("GOOGLETRANSLATE(A38324,""en"",""pt"")"),"teclado rente pode causar falta de chaveamento.")</f>
        <v>teclado rente pode causar falta de chaveamento.</v>
      </c>
      <c r="B38324" s="3">
        <v>0</v>
      </c>
    </row>
    <row r="38325" ht="15.75" customHeight="1" spans="1:2">
      <c r="A38325" s="3" t="str">
        <f>IFERROR(__xludf.DUMMYFUNCTION("GOOGLETRANSLATE(A38325,""en"",""pt"")"),"Muito novo para acessórios, e não um muito bom sinal")</f>
        <v>Muito novo para acessórios, e não um muito bom sinal</v>
      </c>
      <c r="B38325" s="3">
        <v>0</v>
      </c>
    </row>
    <row r="38326" ht="15.75" customHeight="1" spans="1:2">
      <c r="A38326" s="3" t="str">
        <f>IFERROR(__xludf.DUMMYFUNCTION("GOOGLETRANSLATE(A38326,""en"",""pt"")"),"bateria de vida; aquece - se Incomoda. anéis (se você não está neles)")</f>
        <v>bateria de vida; aquece - se Incomoda. anéis (se você não está neles)</v>
      </c>
      <c r="B38326" s="3">
        <v>0</v>
      </c>
    </row>
    <row r="38327" ht="15.75" customHeight="1" spans="1:2">
      <c r="A38327" s="3" t="str">
        <f>IFERROR(__xludf.DUMMYFUNCTION("GOOGLETRANSLATE(A38327,""en"",""pt"")"),"1. recepção Inaceitável 2. recepção Inaceitável 3. recepção Inaceitável")</f>
        <v>1. recepção Inaceitável 2. recepção Inaceitável 3. recepção Inaceitável</v>
      </c>
      <c r="B38327" s="3">
        <v>0</v>
      </c>
    </row>
    <row r="38328" ht="15.75" customHeight="1" spans="1:2">
      <c r="A38328" s="3" t="str">
        <f>IFERROR(__xludf.DUMMYFUNCTION("GOOGLETRANSLATE(A38328,""en"",""pt"")"),"sente frágil, não campainhas muito alto")</f>
        <v>sente frágil, não campainhas muito alto</v>
      </c>
      <c r="B38328" s="3">
        <v>0</v>
      </c>
    </row>
    <row r="38329" ht="15.75" customHeight="1" spans="1:2">
      <c r="A38329" s="3" t="str">
        <f>IFERROR(__xludf.DUMMYFUNCTION("GOOGLETRANSLATE(A38329,""en"",""pt"")"),"recepção / sinal horrível, drenagem rápida da bateria")</f>
        <v>recepção / sinal horrível, drenagem rápida da bateria</v>
      </c>
      <c r="B38329" s="3">
        <v>0</v>
      </c>
    </row>
    <row r="38330" ht="15.75" customHeight="1" spans="1:2">
      <c r="A38330" s="3" t="str">
        <f>IFERROR(__xludf.DUMMYFUNCTION("GOOGLETRANSLATE(A38330,""en"",""pt"")"),"sobreaquecer, cai chamadas")</f>
        <v>sobreaquecer, cai chamadas</v>
      </c>
      <c r="B38330" s="3">
        <v>0</v>
      </c>
    </row>
    <row r="38331" ht="15.75" customHeight="1" spans="1:2">
      <c r="A38331" s="3" t="str">
        <f>IFERROR(__xludf.DUMMYFUNCTION("GOOGLETRANSLATE(A38331,""en"",""pt"")"),"Eu gostaria que houvesse toques mais normais!")</f>
        <v>Eu gostaria que houvesse toques mais normais!</v>
      </c>
      <c r="B38331" s="3">
        <v>0</v>
      </c>
    </row>
    <row r="38332" ht="15.75" customHeight="1" spans="1:2">
      <c r="A38332" s="3" t="str">
        <f>IFERROR(__xludf.DUMMYFUNCTION("GOOGLETRANSLATE(A38332,""en"",""pt"")"),"bateria é muito ruim, as chaves são ruins porque você sempre está cometendo erros")</f>
        <v>bateria é muito ruim, as chaves são ruins porque você sempre está cometendo erros</v>
      </c>
      <c r="B38332" s="3">
        <v>0</v>
      </c>
    </row>
    <row r="38333" ht="15.75" customHeight="1" spans="1:2">
      <c r="A38333" s="3" t="str">
        <f>IFERROR(__xludf.DUMMYFUNCTION("GOOGLETRANSLATE(A38333,""en"",""pt"")"),"Aquece um pouco")</f>
        <v>Aquece um pouco</v>
      </c>
      <c r="B38333" s="3">
        <v>0</v>
      </c>
    </row>
    <row r="38334" ht="15.75" customHeight="1" spans="1:2">
      <c r="A38334" s="3" t="str">
        <f>IFERROR(__xludf.DUMMYFUNCTION("GOOGLETRANSLATE(A38334,""en"",""pt"")"),"A vida da bateria e recepção é terrível; superaquece telefone como louco; Lousy ring-tones")</f>
        <v>A vida da bateria e recepção é terrível; superaquece telefone como louco; Lousy ring-tones</v>
      </c>
      <c r="B38334" s="3">
        <v>0</v>
      </c>
    </row>
    <row r="38335" ht="15.75" customHeight="1" spans="1:2">
      <c r="A38335" s="3" t="str">
        <f>IFERROR(__xludf.DUMMYFUNCTION("GOOGLETRANSLATE(A38335,""en"",""pt"")"),"breaks facilmente, difícil de digitar os números na memória")</f>
        <v>breaks facilmente, difícil de digitar os números na memória</v>
      </c>
      <c r="B38335" s="3">
        <v>0</v>
      </c>
    </row>
    <row r="38336" ht="15.75" customHeight="1" spans="1:2">
      <c r="A38336" s="3" t="str">
        <f>IFERROR(__xludf.DUMMYFUNCTION("GOOGLETRANSLATE(A38336,""en"",""pt"")"),"Bateria drena quase instantaneamente")</f>
        <v>Bateria drena quase instantaneamente</v>
      </c>
      <c r="B38336" s="3">
        <v>0</v>
      </c>
    </row>
    <row r="38337" ht="15.75" customHeight="1" spans="1:2">
      <c r="A38337" s="3" t="str">
        <f>IFERROR(__xludf.DUMMYFUNCTION("GOOGLETRANSLATE(A38337,""en"",""pt"")"),"A vida da bateria; poderes auto off se nenhum sinal, não muito cheio de recursos")</f>
        <v>A vida da bateria; poderes auto off se nenhum sinal, não muito cheio de recursos</v>
      </c>
      <c r="B38337" s="3">
        <v>0</v>
      </c>
    </row>
    <row r="38338" ht="15.75" customHeight="1" spans="1:2">
      <c r="A38338" s="3" t="str">
        <f>IFERROR(__xludf.DUMMYFUNCTION("GOOGLETRANSLATE(A38338,""en"",""pt"")"),"Muito má recepção, campainhas sem normais, a qualidade do som metálico")</f>
        <v>Muito má recepção, campainhas sem normais, a qualidade do som metálico</v>
      </c>
      <c r="B38338" s="3">
        <v>0</v>
      </c>
    </row>
    <row r="38339" ht="15.75" customHeight="1" spans="1:2">
      <c r="A38339" s="3" t="str">
        <f>IFERROR(__xludf.DUMMYFUNCTION("GOOGLETRANSLATE(A38339,""en"",""pt"")"),"exibição problemas.")</f>
        <v>exibição problemas.</v>
      </c>
      <c r="B38339" s="3">
        <v>0</v>
      </c>
    </row>
    <row r="38340" ht="15.75" customHeight="1" spans="1:2">
      <c r="A38340" s="3" t="str">
        <f>IFERROR(__xludf.DUMMYFUNCTION("GOOGLETRANSLATE(A38340,""en"",""pt"")"),"curta duração da bateria, sinal fraco")</f>
        <v>curta duração da bateria, sinal fraco</v>
      </c>
      <c r="B38340" s="3">
        <v>0</v>
      </c>
    </row>
    <row r="38341" ht="15.75" customHeight="1" spans="1:2">
      <c r="A38341" s="3" t="str">
        <f>IFERROR(__xludf.DUMMYFUNCTION("GOOGLETRANSLATE(A38341,""en"",""pt"")"),"TELA LCD não funcionar depois ALGUNS MESES!")</f>
        <v>TELA LCD não funcionar depois ALGUNS MESES!</v>
      </c>
      <c r="B38341" s="3">
        <v>0</v>
      </c>
    </row>
    <row r="38342" ht="15.75" customHeight="1" spans="1:2">
      <c r="A38342" s="3" t="str">
        <f>IFERROR(__xludf.DUMMYFUNCTION("GOOGLETRANSLATE(A38342,""en"",""pt"")"),"Baixo consumo de energia. baixo tempo de conversa. NÃO É COMPATÍVEL #G.")</f>
        <v>Baixo consumo de energia. baixo tempo de conversa. NÃO É COMPATÍVEL #G.</v>
      </c>
      <c r="B38342" s="3">
        <v>0</v>
      </c>
    </row>
    <row r="38343" ht="15.75" customHeight="1" spans="1:2">
      <c r="A38343" s="3" t="str">
        <f>IFERROR(__xludf.DUMMYFUNCTION("GOOGLETRANSLATE(A38343,""en"",""pt"")"),"não consegue encontrar maneira de obter toques")</f>
        <v>não consegue encontrar maneira de obter toques</v>
      </c>
      <c r="B38343" s="3">
        <v>0</v>
      </c>
    </row>
    <row r="38344" ht="15.75" customHeight="1" spans="1:2">
      <c r="A38344" s="3" t="str">
        <f>IFERROR(__xludf.DUMMYFUNCTION("GOOGLETRANSLATE(A38344,""en"",""pt"")"),"A recepção é terrível. Os botões são quase indistinguíveis ao toque.")</f>
        <v>A recepção é terrível. Os botões são quase indistinguíveis ao toque.</v>
      </c>
      <c r="B38344" s="3">
        <v>0</v>
      </c>
    </row>
    <row r="38345" ht="15.75" customHeight="1" spans="1:2">
      <c r="A38345" s="3" t="str">
        <f>IFERROR(__xludf.DUMMYFUNCTION("GOOGLETRANSLATE(A38345,""en"",""pt"")"),"A vida da bateria, quando você usa o recurso de luz de fundo.")</f>
        <v>A vida da bateria, quando você usa o recurso de luz de fundo.</v>
      </c>
      <c r="B38345" s="3">
        <v>0</v>
      </c>
    </row>
    <row r="38346" ht="15.75" customHeight="1" spans="1:2">
      <c r="A38346" s="3" t="str">
        <f>IFERROR(__xludf.DUMMYFUNCTION("GOOGLETRANSLATE(A38346,""en"",""pt"")"),"má recepção, a vida da bateria ruim, aquece durante o uso")</f>
        <v>má recepção, a vida da bateria ruim, aquece durante o uso</v>
      </c>
      <c r="B38346" s="3">
        <v>0</v>
      </c>
    </row>
    <row r="38347" ht="15.75" customHeight="1" spans="1:2">
      <c r="A38347" s="3" t="str">
        <f>IFERROR(__xludf.DUMMYFUNCTION("GOOGLETRANSLATE(A38347,""en"",""pt"")"),"confundindo botões, estilo de menu terrível, campainhas terríveis, screensavers Terrível.")</f>
        <v>confundindo botões, estilo de menu terrível, campainhas terríveis, screensavers Terrível.</v>
      </c>
      <c r="B38347" s="3">
        <v>0</v>
      </c>
    </row>
    <row r="38348" ht="15.75" customHeight="1" spans="1:2">
      <c r="A38348" s="3" t="str">
        <f>IFERROR(__xludf.DUMMYFUNCTION("GOOGLETRANSLATE(A38348,""en"",""pt"")"),"bateria fraca, má recepção, tela de LCD vai mal")</f>
        <v>bateria fraca, má recepção, tela de LCD vai mal</v>
      </c>
      <c r="B38348" s="3">
        <v>0</v>
      </c>
    </row>
    <row r="38349" ht="15.75" customHeight="1" spans="1:2">
      <c r="A38349" s="3" t="str">
        <f>IFERROR(__xludf.DUMMYFUNCTION("GOOGLETRANSLATE(A38349,""en"",""pt"")"),"cai chamadas")</f>
        <v>cai chamadas</v>
      </c>
      <c r="B38349" s="3">
        <v>0</v>
      </c>
    </row>
    <row r="38350" ht="15.75" customHeight="1" spans="1:2">
      <c r="A38350" s="3" t="str">
        <f>IFERROR(__xludf.DUMMYFUNCTION("GOOGLETRANSLATE(A38350,""en"",""pt"")"),"da chave são muito juntos.")</f>
        <v>da chave são muito juntos.</v>
      </c>
      <c r="B38350" s="3">
        <v>0</v>
      </c>
    </row>
    <row r="38351" ht="15.75" customHeight="1" spans="1:2">
      <c r="A38351" s="3" t="str">
        <f>IFERROR(__xludf.DUMMYFUNCTION("GOOGLETRANSLATE(A38351,""en"",""pt"")"),"Pobre longevidade.")</f>
        <v>Pobre longevidade.</v>
      </c>
      <c r="B38351" s="3">
        <v>0</v>
      </c>
    </row>
    <row r="38352" ht="15.75" customHeight="1" spans="1:2">
      <c r="A38352" s="3" t="str">
        <f>IFERROR(__xludf.DUMMYFUNCTION("GOOGLETRANSLATE(A38352,""en"",""pt"")"),"Depois de apenas 6 meses de uso da área de exibição tem em branco se foi.")</f>
        <v>Depois de apenas 6 meses de uso da área de exibição tem em branco se foi.</v>
      </c>
      <c r="B38352" s="3">
        <v>0</v>
      </c>
    </row>
    <row r="38353" ht="15.75" customHeight="1" spans="1:2">
      <c r="A38353" s="3" t="str">
        <f>IFERROR(__xludf.DUMMYFUNCTION("GOOGLETRANSLATE(A38353,""en"",""pt"")"),"A vida da bateria é muito curta, esquenta notavelmente durante o uso prolongado.")</f>
        <v>A vida da bateria é muito curta, esquenta notavelmente durante o uso prolongado.</v>
      </c>
      <c r="B38353" s="3">
        <v>0</v>
      </c>
    </row>
    <row r="38354" ht="15.75" customHeight="1" spans="1:2">
      <c r="A38354" s="3" t="str">
        <f>IFERROR(__xludf.DUMMYFUNCTION("GOOGLETRANSLATE(A38354,""en"",""pt"")"),"Má recepção, gotas chamadas, fica quente, arranhões muito facilmente, não duráveis")</f>
        <v>Má recepção, gotas chamadas, fica quente, arranhões muito facilmente, não duráveis</v>
      </c>
      <c r="B38354" s="3">
        <v>0</v>
      </c>
    </row>
    <row r="38355" ht="15.75" customHeight="1" spans="1:2">
      <c r="A38355" s="3" t="str">
        <f>IFERROR(__xludf.DUMMYFUNCTION("GOOGLETRANSLATE(A38355,""en"",""pt"")"),"Todo o resto")</f>
        <v>Todo o resto</v>
      </c>
      <c r="B38355" s="3">
        <v>0</v>
      </c>
    </row>
    <row r="38356" ht="15.75" customHeight="1" spans="1:2">
      <c r="A38356" s="3" t="str">
        <f>IFERROR(__xludf.DUMMYFUNCTION("GOOGLETRANSLATE(A38356,""en"",""pt"")"),"vida útil da bateria, um nome / um número na lista telefónica")</f>
        <v>vida útil da bateria, um nome / um número na lista telefónica</v>
      </c>
      <c r="B38356" s="3">
        <v>0</v>
      </c>
    </row>
    <row r="38357" ht="15.75" customHeight="1" spans="1:2">
      <c r="A38357" s="3" t="str">
        <f>IFERROR(__xludf.DUMMYFUNCTION("GOOGLETRANSLATE(A38357,""en"",""pt"")"),"caro")</f>
        <v>caro</v>
      </c>
      <c r="B38357" s="3">
        <v>0</v>
      </c>
    </row>
    <row r="38358" ht="15.75" customHeight="1" spans="1:2">
      <c r="A38358" s="3" t="str">
        <f>IFERROR(__xludf.DUMMYFUNCTION("GOOGLETRANSLATE(A38358,""en"",""pt"")"),"Pode ser inconveniente quando definir a vibração de combinação e tom.")</f>
        <v>Pode ser inconveniente quando definir a vibração de combinação e tom.</v>
      </c>
      <c r="B38358" s="3">
        <v>0</v>
      </c>
    </row>
    <row r="38359" ht="15.75" customHeight="1" spans="1:2">
      <c r="A38359" s="3" t="str">
        <f>IFERROR(__xludf.DUMMYFUNCTION("GOOGLETRANSLATE(A38359,""en"",""pt"")"),"a vida da bateria mais curta, não muitos babados (se você se preocupa com aqueles -Eu não)")</f>
        <v>a vida da bateria mais curta, não muitos babados (se você se preocupa com aqueles -Eu não)</v>
      </c>
      <c r="B38359" s="3">
        <v>0</v>
      </c>
    </row>
    <row r="38360" ht="15.75" customHeight="1" spans="1:2">
      <c r="A38360" s="3" t="str">
        <f>IFERROR(__xludf.DUMMYFUNCTION("GOOGLETRANSLATE(A38360,""en"",""pt"")"),"só pode obter através Cingular")</f>
        <v>só pode obter através Cingular</v>
      </c>
      <c r="B38360" s="3">
        <v>0</v>
      </c>
    </row>
    <row r="38361" ht="15.75" customHeight="1" spans="1:2">
      <c r="A38361" s="3" t="str">
        <f>IFERROR(__xludf.DUMMYFUNCTION("GOOGLETRANSLATE(A38361,""en"",""pt"")"),"Difícil conseguir acessórios para, poderia ser menor")</f>
        <v>Difícil conseguir acessórios para, poderia ser menor</v>
      </c>
      <c r="B38361" s="3">
        <v>0</v>
      </c>
    </row>
    <row r="38362" ht="15.75" customHeight="1" spans="1:2">
      <c r="A38362" s="3" t="str">
        <f>IFERROR(__xludf.DUMMYFUNCTION("GOOGLETRANSLATE(A38362,""en"",""pt"")"),"vida curta da bateria (?), problemas coldre, menu de navegação")</f>
        <v>vida curta da bateria (?), problemas coldre, menu de navegação</v>
      </c>
      <c r="B38362" s="3">
        <v>0</v>
      </c>
    </row>
    <row r="38363" ht="15.75" customHeight="1" spans="1:2">
      <c r="A38363" s="3" t="str">
        <f>IFERROR(__xludf.DUMMYFUNCTION("GOOGLETRANSLATE(A38363,""en"",""pt"")"),"A vida da bateria")</f>
        <v>A vida da bateria</v>
      </c>
      <c r="B38363" s="3">
        <v>0</v>
      </c>
    </row>
    <row r="38364" ht="15.75" customHeight="1" spans="1:2">
      <c r="A38364" s="3" t="str">
        <f>IFERROR(__xludf.DUMMYFUNCTION("GOOGLETRANSLATE(A38364,""en"",""pt"")"),"toques, manchas de tela")</f>
        <v>toques, manchas de tela</v>
      </c>
      <c r="B38364" s="3">
        <v>0</v>
      </c>
    </row>
    <row r="38365" ht="15.75" customHeight="1" spans="1:2">
      <c r="A38365" s="3" t="str">
        <f>IFERROR(__xludf.DUMMYFUNCTION("GOOGLETRANSLATE(A38365,""en"",""pt"")"),"BATERIA: o (ER!")</f>
        <v>BATERIA: o (ER!</v>
      </c>
      <c r="B38365" s="3">
        <v>0</v>
      </c>
    </row>
    <row r="38366" ht="15.75" customHeight="1" spans="1:2">
      <c r="A38366" s="3" t="str">
        <f>IFERROR(__xludf.DUMMYFUNCTION("GOOGLETRANSLATE(A38366,""en"",""pt"")"),"Vida útil da bateria, a qualidade de voz")</f>
        <v>Vida útil da bateria, a qualidade de voz</v>
      </c>
      <c r="B38366" s="3">
        <v>0</v>
      </c>
    </row>
    <row r="38367" ht="15.75" customHeight="1" spans="1:2">
      <c r="A38367" s="3" t="str">
        <f>IFERROR(__xludf.DUMMYFUNCTION("GOOGLETRANSLATE(A38367,""en"",""pt"")"),"Apenas sobre tudo o mais ... Leia e descubra ...")</f>
        <v>Apenas sobre tudo o mais ... Leia e descubra ...</v>
      </c>
      <c r="B38367" s="3">
        <v>0</v>
      </c>
    </row>
    <row r="38368" ht="15.75" customHeight="1" spans="1:2">
      <c r="A38368" s="3" t="str">
        <f>IFERROR(__xludf.DUMMYFUNCTION("GOOGLETRANSLATE(A38368,""en"",""pt"")"),"Má qualidade de voz por padrão, a vida da bateria patético, sem drivers, nenhum bluetooth.")</f>
        <v>Má qualidade de voz por padrão, a vida da bateria patético, sem drivers, nenhum bluetooth.</v>
      </c>
      <c r="B38368" s="3">
        <v>0</v>
      </c>
    </row>
    <row r="38369" ht="15.75" customHeight="1" spans="1:2">
      <c r="A38369" s="3" t="str">
        <f>IFERROR(__xludf.DUMMYFUNCTION("GOOGLETRANSLATE(A38369,""en"",""pt"")"),"vida útil da bateria, a duração da bateria, a duração da bateria")</f>
        <v>vida útil da bateria, a duração da bateria, a duração da bateria</v>
      </c>
      <c r="B38369" s="3">
        <v>0</v>
      </c>
    </row>
    <row r="38370" ht="15.75" customHeight="1" spans="1:2">
      <c r="A38370" s="3" t="str">
        <f>IFERROR(__xludf.DUMMYFUNCTION("GOOGLETRANSLATE(A38370,""en"",""pt"")"),"Alguns dos ""extras"" extra custo para uso.")</f>
        <v>Alguns dos "extras" extra custo para uso.</v>
      </c>
      <c r="B38370" s="3">
        <v>0</v>
      </c>
    </row>
    <row r="38371" ht="15.75" customHeight="1" spans="1:2">
      <c r="A38371" s="3" t="str">
        <f>IFERROR(__xludf.DUMMYFUNCTION("GOOGLETRANSLATE(A38371,""en"",""pt"")"),"Sem hierarquia na lista de contatos, software de sincronização difícil de configurar")</f>
        <v>Sem hierarquia na lista de contatos, software de sincronização difícil de configurar</v>
      </c>
      <c r="B38371" s="3">
        <v>0</v>
      </c>
    </row>
    <row r="38372" ht="15.75" customHeight="1" spans="1:2">
      <c r="A38372" s="3" t="str">
        <f>IFERROR(__xludf.DUMMYFUNCTION("GOOGLETRANSLATE(A38372,""en"",""pt"")"),"Sistema operacional falhas de software. Tela azul da morte. Lockup está exigindo a remoção da bateria.")</f>
        <v>Sistema operacional falhas de software. Tela azul da morte. Lockup está exigindo a remoção da bateria.</v>
      </c>
      <c r="B38372" s="3">
        <v>0</v>
      </c>
    </row>
    <row r="38373" ht="15.75" customHeight="1" spans="1:2">
      <c r="A38373" s="3" t="str">
        <f>IFERROR(__xludf.DUMMYFUNCTION("GOOGLETRANSLATE(A38373,""en"",""pt"")"),"Fraco desempenho RF")</f>
        <v>Fraco desempenho RF</v>
      </c>
      <c r="B38373" s="3">
        <v>0</v>
      </c>
    </row>
    <row r="38374" ht="15.75" customHeight="1" spans="1:2">
      <c r="A38374" s="3" t="str">
        <f>IFERROR(__xludf.DUMMYFUNCTION("GOOGLETRANSLATE(A38374,""en"",""pt"")"),"exibição concorrência e características")</f>
        <v>exibição concorrência e características</v>
      </c>
      <c r="B38374" s="3">
        <v>0</v>
      </c>
    </row>
    <row r="38375" ht="15.75" customHeight="1" spans="1:2">
      <c r="A38375" s="3" t="str">
        <f>IFERROR(__xludf.DUMMYFUNCTION("GOOGLETRANSLATE(A38375,""en"",""pt"")"),"menus lentos, software de buggy, tela ilegível com luz de fundo")</f>
        <v>menus lentos, software de buggy, tela ilegível com luz de fundo</v>
      </c>
      <c r="B38375" s="3">
        <v>0</v>
      </c>
    </row>
    <row r="38376" ht="15.75" customHeight="1" spans="1:2">
      <c r="A38376" s="3" t="str">
        <f>IFERROR(__xludf.DUMMYFUNCTION("GOOGLETRANSLATE(A38376,""en"",""pt"")"),"A vida útil da bateria.")</f>
        <v>A vida útil da bateria.</v>
      </c>
      <c r="B38376" s="3">
        <v>0</v>
      </c>
    </row>
    <row r="38377" ht="15.75" customHeight="1" spans="1:2">
      <c r="A38377" s="3" t="str">
        <f>IFERROR(__xludf.DUMMYFUNCTION("GOOGLETRANSLATE(A38377,""en"",""pt"")"),"uhhh ... Suponho que a tela faz comer bateria.")</f>
        <v>uhhh ... Suponho que a tela faz comer bateria.</v>
      </c>
      <c r="B38377" s="3">
        <v>0</v>
      </c>
    </row>
    <row r="38378" ht="15.75" customHeight="1" spans="1:2">
      <c r="A38378" s="3" t="str">
        <f>IFERROR(__xludf.DUMMYFUNCTION("GOOGLETRANSLATE(A38378,""en"",""pt"")"),"A vida da bateria, incentiva o uso de banda de rede, soluços ocasionais")</f>
        <v>A vida da bateria, incentiva o uso de banda de rede, soluços ocasionais</v>
      </c>
      <c r="B38378" s="3">
        <v>0</v>
      </c>
    </row>
    <row r="38379" ht="15.75" customHeight="1" spans="1:2">
      <c r="A38379" s="3" t="str">
        <f>IFERROR(__xludf.DUMMYFUNCTION("GOOGLETRANSLATE(A38379,""en"",""pt"")"),"software Buggy, beltclip frágil, vida útil da bateria inexistente.")</f>
        <v>software Buggy, beltclip frágil, vida útil da bateria inexistente.</v>
      </c>
      <c r="B38379" s="3">
        <v>0</v>
      </c>
    </row>
    <row r="38380" ht="15.75" customHeight="1" spans="1:2">
      <c r="A38380" s="3" t="str">
        <f>IFERROR(__xludf.DUMMYFUNCTION("GOOGLETRANSLATE(A38380,""en"",""pt"")"),"barato construído, a vida da bateria, alto-falante não alto o suficiente")</f>
        <v>barato construído, a vida da bateria, alto-falante não alto o suficiente</v>
      </c>
      <c r="B38380" s="3">
        <v>0</v>
      </c>
    </row>
    <row r="38381" ht="15.75" customHeight="1" spans="1:2">
      <c r="A38381" s="3" t="str">
        <f>IFERROR(__xludf.DUMMYFUNCTION("GOOGLETRANSLATE(A38381,""en"",""pt"")"),"Algumas funções comuns de difícil acesso")</f>
        <v>Algumas funções comuns de difícil acesso</v>
      </c>
      <c r="B38381" s="3">
        <v>0</v>
      </c>
    </row>
    <row r="38382" ht="15.75" customHeight="1" spans="1:2">
      <c r="A38382" s="3" t="str">
        <f>IFERROR(__xludf.DUMMYFUNCTION("GOOGLETRANSLATE(A38382,""en"",""pt"")"),"Coldre deve ter sido projetado por um 13 anos de idade, a cobertura é uma reflexão tardia engenharia.")</f>
        <v>Coldre deve ter sido projetado por um 13 anos de idade, a cobertura é uma reflexão tardia engenharia.</v>
      </c>
      <c r="B38382" s="3">
        <v>0</v>
      </c>
    </row>
    <row r="38383" ht="15.75" customHeight="1" spans="1:2">
      <c r="A38383" s="3" t="str">
        <f>IFERROR(__xludf.DUMMYFUNCTION("GOOGLETRANSLATE(A38383,""en"",""pt"")"),"Se qualquer coisa, a vida da bateria")</f>
        <v>Se qualquer coisa, a vida da bateria</v>
      </c>
      <c r="B38383" s="3">
        <v>0</v>
      </c>
    </row>
    <row r="38384" ht="15.75" customHeight="1" spans="1:2">
      <c r="A38384" s="3" t="str">
        <f>IFERROR(__xludf.DUMMYFUNCTION("GOOGLETRANSLATE(A38384,""en"",""pt"")"),"Coldre, PICS tela, bateria, CAN não baixar !!")</f>
        <v>Coldre, PICS tela, bateria, CAN não baixar !!</v>
      </c>
      <c r="B38384" s="3">
        <v>0</v>
      </c>
    </row>
    <row r="38385" ht="15.75" customHeight="1" spans="1:2">
      <c r="A38385" s="3" t="str">
        <f>IFERROR(__xludf.DUMMYFUNCTION("GOOGLETRANSLATE(A38385,""en"",""pt"")"),"vida útil da bateria")</f>
        <v>vida útil da bateria</v>
      </c>
      <c r="B38385" s="3">
        <v>0</v>
      </c>
    </row>
    <row r="38386" ht="15.75" customHeight="1" spans="1:2">
      <c r="A38386" s="3" t="str">
        <f>IFERROR(__xludf.DUMMYFUNCTION("GOOGLETRANSLATE(A38386,""en"",""pt"")"),"Muito caro, muitos bugs, não vale a pena.")</f>
        <v>Muito caro, muitos bugs, não vale a pena.</v>
      </c>
      <c r="B38386" s="3">
        <v>0</v>
      </c>
    </row>
    <row r="38387" ht="15.75" customHeight="1" spans="1:2">
      <c r="A38387" s="3" t="str">
        <f>IFERROR(__xludf.DUMMYFUNCTION("GOOGLETRANSLATE(A38387,""en"",""pt"")"),"Alguns anéis são difíceis de ouvir. Mas isso não é um grande negócio em tudo.")</f>
        <v>Alguns anéis são difíceis de ouvir. Mas isso não é um grande negócio em tudo.</v>
      </c>
      <c r="B38387" s="3">
        <v>0</v>
      </c>
    </row>
    <row r="38388" ht="15.75" customHeight="1" spans="1:2">
      <c r="A38388" s="3" t="str">
        <f>IFERROR(__xludf.DUMMYFUNCTION("GOOGLETRANSLATE(A38388,""en"",""pt"")"),"Bateria, software, superfície, durabilidade.")</f>
        <v>Bateria, software, superfície, durabilidade.</v>
      </c>
      <c r="B38388" s="3">
        <v>0</v>
      </c>
    </row>
    <row r="38389" ht="15.75" customHeight="1" spans="1:2">
      <c r="A38389" s="3" t="str">
        <f>IFERROR(__xludf.DUMMYFUNCTION("GOOGLETRANSLATE(A38389,""en"",""pt"")"),"A vida da bateria, botões são pequenos, frustrante para navegar pelos menus do, sem jogos vêm com ele.")</f>
        <v>A vida da bateria, botões são pequenos, frustrante para navegar pelos menus do, sem jogos vêm com ele.</v>
      </c>
      <c r="B38389" s="3">
        <v>0</v>
      </c>
    </row>
    <row r="38390" ht="15.75" customHeight="1" spans="1:2">
      <c r="A38390" s="3" t="str">
        <f>IFERROR(__xludf.DUMMYFUNCTION("GOOGLETRANSLATE(A38390,""en"",""pt"")"),"Muito má recepção (especialmente em comparação com v60c / V60I); a vida da bateria pobres")</f>
        <v>Muito má recepção (especialmente em comparação com v60c / V60I); a vida da bateria pobres</v>
      </c>
      <c r="B38390" s="3">
        <v>0</v>
      </c>
    </row>
    <row r="38391" ht="15.75" customHeight="1" spans="1:2">
      <c r="A38391" s="3" t="str">
        <f>IFERROR(__xludf.DUMMYFUNCTION("GOOGLETRANSLATE(A38391,""en"",""pt"")"),"menus desajeitados, mau coldre, baixa qualidade para a Motorola.")</f>
        <v>menus desajeitados, mau coldre, baixa qualidade para a Motorola.</v>
      </c>
      <c r="B38391" s="3">
        <v>0</v>
      </c>
    </row>
    <row r="38392" ht="15.75" customHeight="1" spans="1:2">
      <c r="A38392" s="3" t="str">
        <f>IFERROR(__xludf.DUMMYFUNCTION("GOOGLETRANSLATE(A38392,""en"",""pt"")"),"vida útil da bateria")</f>
        <v>vida útil da bateria</v>
      </c>
      <c r="B38392" s="3">
        <v>0</v>
      </c>
    </row>
    <row r="38393" ht="15.75" customHeight="1" spans="1:2">
      <c r="A38393" s="3" t="str">
        <f>IFERROR(__xludf.DUMMYFUNCTION("GOOGLETRANSLATE(A38393,""en"",""pt"")"),"Não é possível baixar papel de parede.")</f>
        <v>Não é possível baixar papel de parede.</v>
      </c>
      <c r="B38393" s="3">
        <v>0</v>
      </c>
    </row>
    <row r="38394" ht="15.75" customHeight="1" spans="1:2">
      <c r="A38394" s="3" t="str">
        <f>IFERROR(__xludf.DUMMYFUNCTION("GOOGLETRANSLATE(A38394,""en"",""pt"")"),"Software hang-ups; navegação lenta em algumas janelas; coldre frágil")</f>
        <v>Software hang-ups; navegação lenta em algumas janelas; coldre frágil</v>
      </c>
      <c r="B38394" s="3">
        <v>0</v>
      </c>
    </row>
    <row r="38395" ht="15.75" customHeight="1" spans="1:2">
      <c r="A38395" s="3" t="str">
        <f>IFERROR(__xludf.DUMMYFUNCTION("GOOGLETRANSLATE(A38395,""en"",""pt"")"),"vida útil da bateria, má recepção, parece não são que great")</f>
        <v>vida útil da bateria, má recepção, parece não são que great</v>
      </c>
      <c r="B38395" s="3">
        <v>0</v>
      </c>
    </row>
    <row r="38396" ht="15.75" customHeight="1" spans="1:2">
      <c r="A38396" s="3" t="str">
        <f>IFERROR(__xludf.DUMMYFUNCTION("GOOGLETRANSLATE(A38396,""en"",""pt"")"),"Inablity aos perfis mudança de alerta com o telefone fechado, tela colorida come a vida da bateria")</f>
        <v>Inablity aos perfis mudança de alerta com o telefone fechado, tela colorida come a vida da bateria</v>
      </c>
      <c r="B38396" s="3">
        <v>0</v>
      </c>
    </row>
    <row r="38397" ht="15.75" customHeight="1" spans="1:2">
      <c r="A38397" s="3" t="str">
        <f>IFERROR(__xludf.DUMMYFUNCTION("GOOGLETRANSLATE(A38397,""en"",""pt"")"),"BUGGY SOFTWARE, vida útil da bateria")</f>
        <v>BUGGY SOFTWARE, vida útil da bateria</v>
      </c>
      <c r="B38397" s="3">
        <v>0</v>
      </c>
    </row>
    <row r="38398" ht="15.75" customHeight="1" spans="1:2">
      <c r="A38398" s="3" t="str">
        <f>IFERROR(__xludf.DUMMYFUNCTION("GOOGLETRANSLATE(A38398,""en"",""pt"")"),"recepção de espera é horrível. Muitos ""Sem serviço"" relatórios onde o serviço existe.")</f>
        <v>recepção de espera é horrível. Muitos "Sem serviço" relatórios onde o serviço existe.</v>
      </c>
      <c r="B38398" s="3">
        <v>0</v>
      </c>
    </row>
    <row r="38399" ht="15.75" customHeight="1" spans="1:2">
      <c r="A38399" s="3" t="str">
        <f>IFERROR(__xludf.DUMMYFUNCTION("GOOGLETRANSLATE(A38399,""en"",""pt"")"),"Bateria bom, mas poderia ser melhor, exibir difícil ver w / o back light")</f>
        <v>Bateria bom, mas poderia ser melhor, exibir difícil ver w / o back light</v>
      </c>
      <c r="B38399" s="3">
        <v>0</v>
      </c>
    </row>
    <row r="38400" ht="15.75" customHeight="1" spans="1:2">
      <c r="A38400" s="3" t="str">
        <f>IFERROR(__xludf.DUMMYFUNCTION("GOOGLETRANSLATE(A38400,""en"",""pt"")"),"Recepção, a vida da bateria, volume, qualidade da tela")</f>
        <v>Recepção, a vida da bateria, volume, qualidade da tela</v>
      </c>
      <c r="B38400" s="3">
        <v>0</v>
      </c>
    </row>
    <row r="38401" ht="15.75" customHeight="1" spans="1:2">
      <c r="A38401" s="3" t="str">
        <f>IFERROR(__xludf.DUMMYFUNCTION("GOOGLETRANSLATE(A38401,""en"",""pt"")"),"Mais recursos do que eu preciso,")</f>
        <v>Mais recursos do que eu preciso,</v>
      </c>
      <c r="B38401" s="3">
        <v>0</v>
      </c>
    </row>
    <row r="38402" ht="15.75" customHeight="1" spans="1:2">
      <c r="A38402" s="3" t="str">
        <f>IFERROR(__xludf.DUMMYFUNCTION("GOOGLETRANSLATE(A38402,""en"",""pt"")"),"sem voz, baixo volume de anel a menos que você alterá-lo manualmente através do menu de programação, jogos caros")</f>
        <v>sem voz, baixo volume de anel a menos que você alterá-lo manualmente através do menu de programação, jogos caros</v>
      </c>
      <c r="B38402" s="3">
        <v>0</v>
      </c>
    </row>
    <row r="38403" ht="15.75" customHeight="1" spans="1:2">
      <c r="A38403" s="3" t="str">
        <f>IFERROR(__xludf.DUMMYFUNCTION("GOOGLETRANSLATE(A38403,""en"",""pt"")"),"caros acessórios não-padrão, a vida da bateria, potência do sinal, o aprendizado íngreme curva.")</f>
        <v>caros acessórios não-padrão, a vida da bateria, potência do sinal, o aprendizado íngreme curva.</v>
      </c>
      <c r="B38403" s="3">
        <v>0</v>
      </c>
    </row>
    <row r="38404" ht="15.75" customHeight="1" spans="1:2">
      <c r="A38404" s="3" t="str">
        <f>IFERROR(__xludf.DUMMYFUNCTION("GOOGLETRANSLATE(A38404,""en"",""pt"")"),"Baixado campainhas muito mais silencioso do que toques embutidos, má qualidade de voz, a duração da bateria.")</f>
        <v>Baixado campainhas muito mais silencioso do que toques embutidos, má qualidade de voz, a duração da bateria.</v>
      </c>
      <c r="B38404" s="3">
        <v>0</v>
      </c>
    </row>
    <row r="38405" ht="15.75" customHeight="1" spans="1:2">
      <c r="A38405" s="3" t="str">
        <f>IFERROR(__xludf.DUMMYFUNCTION("GOOGLETRANSLATE(A38405,""en"",""pt"")"),"kit de carro horrível, gotas chamadas, as pessoas não podem me ouvir.")</f>
        <v>kit de carro horrível, gotas chamadas, as pessoas não podem me ouvir.</v>
      </c>
      <c r="B38405" s="3">
        <v>0</v>
      </c>
    </row>
    <row r="38406" ht="15.75" customHeight="1" spans="1:2">
      <c r="A38406" s="3" t="str">
        <f>IFERROR(__xludf.DUMMYFUNCTION("GOOGLETRANSLATE(A38406,""en"",""pt"")"),"A vida da bateria, problemas de carregamento, som baixo do fone de ouvido")</f>
        <v>A vida da bateria, problemas de carregamento, som baixo do fone de ouvido</v>
      </c>
      <c r="B38406" s="3">
        <v>0</v>
      </c>
    </row>
    <row r="38407" ht="15.75" customHeight="1" spans="1:2">
      <c r="A38407" s="3" t="str">
        <f>IFERROR(__xludf.DUMMYFUNCTION("GOOGLETRANSLATE(A38407,""en"",""pt"")"),"A vida da bateria, recepção, o volume do fone, qualidade de construção.")</f>
        <v>A vida da bateria, recepção, o volume do fone, qualidade de construção.</v>
      </c>
      <c r="B38407" s="3">
        <v>0</v>
      </c>
    </row>
    <row r="38408" ht="15.75" customHeight="1" spans="1:2">
      <c r="A38408" s="3" t="str">
        <f>IFERROR(__xludf.DUMMYFUNCTION("GOOGLETRANSLATE(A38408,""en"",""pt"")"),"Muito lento, fácil de zero, vida de bateria fraca")</f>
        <v>Muito lento, fácil de zero, vida de bateria fraca</v>
      </c>
      <c r="B38408" s="3">
        <v>0</v>
      </c>
    </row>
    <row r="38409" ht="15.75" customHeight="1" spans="1:2">
      <c r="A38409" s="3" t="str">
        <f>IFERROR(__xludf.DUMMYFUNCTION("GOOGLETRANSLATE(A38409,""en"",""pt"")"),"Muito delicado. qualidade do sinal horrível, movimento lento através dos menus")</f>
        <v>Muito delicado. qualidade do sinal horrível, movimento lento através dos menus</v>
      </c>
      <c r="B38409" s="3">
        <v>0</v>
      </c>
    </row>
    <row r="38410" ht="15.75" customHeight="1" spans="1:2">
      <c r="A38410" s="3" t="str">
        <f>IFERROR(__xludf.DUMMYFUNCTION("GOOGLETRANSLATE(A38410,""en"",""pt"")"),"Não é possível abrir quando no coldre, não pode ajustar campainha / mode com flip fechado, a capacidade da bateria.")</f>
        <v>Não é possível abrir quando no coldre, não pode ajustar campainha / mode com flip fechado, a capacidade da bateria.</v>
      </c>
      <c r="B38410" s="3">
        <v>0</v>
      </c>
    </row>
    <row r="38411" ht="15.75" customHeight="1" spans="1:2">
      <c r="A38411" s="3" t="str">
        <f>IFERROR(__xludf.DUMMYFUNCTION("GOOGLETRANSLATE(A38411,""en"",""pt"")"),"Nada realmente. Possivelmente de preços, os proprietários manuais")</f>
        <v>Nada realmente. Possivelmente de preços, os proprietários manuais</v>
      </c>
      <c r="B38411" s="3">
        <v>0</v>
      </c>
    </row>
    <row r="38412" ht="15.75" customHeight="1" spans="1:2">
      <c r="A38412" s="3" t="str">
        <f>IFERROR(__xludf.DUMMYFUNCTION("GOOGLETRANSLATE(A38412,""en"",""pt"")"),"Drena baterias. Bloqueia-se de vez em quando. A recepção é irregular.")</f>
        <v>Drena baterias. Bloqueia-se de vez em quando. A recepção é irregular.</v>
      </c>
      <c r="B38412" s="3">
        <v>0</v>
      </c>
    </row>
    <row r="38413" ht="15.75" customHeight="1" spans="1:2">
      <c r="A38413" s="3" t="str">
        <f>IFERROR(__xludf.DUMMYFUNCTION("GOOGLETRANSLATE(A38413,""en"",""pt"")"),"Escorregadio, (fácil de cair), menus são lentos. Se sente um pouco frágil.")</f>
        <v>Escorregadio, (fácil de cair), menus são lentos. Se sente um pouco frágil.</v>
      </c>
      <c r="B38413" s="3">
        <v>0</v>
      </c>
    </row>
    <row r="38414" ht="15.75" customHeight="1" spans="1:2">
      <c r="A38414" s="3" t="str">
        <f>IFERROR(__xludf.DUMMYFUNCTION("GOOGLETRANSLATE(A38414,""en"",""pt"")"),"recepção de espera, tamanho, claridade, coldre, cobrando conexão, Volume, Durabilidade.")</f>
        <v>recepção de espera, tamanho, claridade, coldre, cobrando conexão, Volume, Durabilidade.</v>
      </c>
      <c r="B38414" s="3">
        <v>0</v>
      </c>
    </row>
    <row r="38415" ht="15.75" customHeight="1" spans="1:2">
      <c r="A38415" s="3" t="str">
        <f>IFERROR(__xludf.DUMMYFUNCTION("GOOGLETRANSLATE(A38415,""en"",""pt"")"),"vida pobre da bateria, software pobre, pobre desempenho.")</f>
        <v>vida pobre da bateria, software pobre, pobre desempenho.</v>
      </c>
      <c r="B38415" s="3">
        <v>0</v>
      </c>
    </row>
    <row r="38416" ht="15.75" customHeight="1" spans="1:2">
      <c r="A38416" s="3" t="str">
        <f>IFERROR(__xludf.DUMMYFUNCTION("GOOGLETRANSLATE(A38416,""en"",""pt"")"),"Não há contras realistas.")</f>
        <v>Não há contras realistas.</v>
      </c>
      <c r="B38416" s="3">
        <v>0</v>
      </c>
    </row>
    <row r="38417" ht="15.75" customHeight="1" spans="1:2">
      <c r="A38417" s="3" t="str">
        <f>IFERROR(__xludf.DUMMYFUNCTION("GOOGLETRANSLATE(A38417,""en"",""pt"")"),"MUITO FRÁGIL (aprendeu da maneira mais difícil!)")</f>
        <v>MUITO FRÁGIL (aprendeu da maneira mais difícil!)</v>
      </c>
      <c r="B38417" s="3">
        <v>0</v>
      </c>
    </row>
    <row r="38418" ht="15.75" customHeight="1" spans="1:2">
      <c r="A38418" s="3" t="str">
        <f>IFERROR(__xludf.DUMMYFUNCTION("GOOGLETRANSLATE(A38418,""en"",""pt"")"),"preço nenhum- dependendo do que você pagou")</f>
        <v>preço nenhum- dependendo do que você pagou</v>
      </c>
      <c r="B38418" s="3">
        <v>0</v>
      </c>
    </row>
    <row r="38419" ht="15.75" customHeight="1" spans="1:2">
      <c r="A38419" s="3" t="str">
        <f>IFERROR(__xludf.DUMMYFUNCTION("GOOGLETRANSLATE(A38419,""en"",""pt"")"),"Eu sou um administrador de rede e até mesmo eu encontrei os menus telefones para ser confuso.")</f>
        <v>Eu sou um administrador de rede e até mesmo eu encontrei os menus telefones para ser confuso.</v>
      </c>
      <c r="B38419" s="3">
        <v>0</v>
      </c>
    </row>
    <row r="38420" ht="15.75" customHeight="1" spans="1:2">
      <c r="A38420" s="3" t="str">
        <f>IFERROR(__xludf.DUMMYFUNCTION("GOOGLETRANSLATE(A38420,""en"",""pt"")"),"vida útil da bateria")</f>
        <v>vida útil da bateria</v>
      </c>
      <c r="B38420" s="3">
        <v>0</v>
      </c>
    </row>
    <row r="38421" ht="15.75" customHeight="1" spans="1:2">
      <c r="A38421" s="3" t="str">
        <f>IFERROR(__xludf.DUMMYFUNCTION("GOOGLETRANSLATE(A38421,""en"",""pt"")"),"Apenas sobre tudo. Função, recepção, consistência chamada, a duração da bateria")</f>
        <v>Apenas sobre tudo. Função, recepção, consistência chamada, a duração da bateria</v>
      </c>
      <c r="B38421" s="3">
        <v>0</v>
      </c>
    </row>
    <row r="38422" ht="15.75" customHeight="1" spans="1:2">
      <c r="A38422" s="3" t="str">
        <f>IFERROR(__xludf.DUMMYFUNCTION("GOOGLETRANSLATE(A38422,""en"",""pt"")"),"Speaker poderia usar mais energia, bateria padrão se esgotar rapidamente.")</f>
        <v>Speaker poderia usar mais energia, bateria padrão se esgotar rapidamente.</v>
      </c>
      <c r="B38422" s="3">
        <v>0</v>
      </c>
    </row>
    <row r="38423" ht="15.75" customHeight="1" spans="1:2">
      <c r="A38423" s="3" t="str">
        <f>IFERROR(__xludf.DUMMYFUNCTION("GOOGLETRANSLATE(A38423,""en"",""pt"")"),"vida útil da bateria, falhas de software, pobres mecânica telefone, caro")</f>
        <v>vida útil da bateria, falhas de software, pobres mecânica telefone, caro</v>
      </c>
      <c r="B38423" s="3">
        <v>0</v>
      </c>
    </row>
    <row r="38424" ht="15.75" customHeight="1" spans="1:2">
      <c r="A38424" s="3" t="str">
        <f>IFERROR(__xludf.DUMMYFUNCTION("GOOGLETRANSLATE(A38424,""en"",""pt"")"),"A vida da bateria, menu de navegação")</f>
        <v>A vida da bateria, menu de navegação</v>
      </c>
      <c r="B38424" s="3">
        <v>0</v>
      </c>
    </row>
    <row r="38425" ht="15.75" customHeight="1" spans="1:2">
      <c r="A38425" s="3" t="str">
        <f>IFERROR(__xludf.DUMMYFUNCTION("GOOGLETRANSLATE(A38425,""en"",""pt"")"),"Telefone desliga inesperadamente, especialmente durante as chamadas. Os sons são estático como")</f>
        <v>Telefone desliga inesperadamente, especialmente durante as chamadas. Os sons são estático como</v>
      </c>
      <c r="B38425" s="3">
        <v>0</v>
      </c>
    </row>
    <row r="38426" ht="15.75" customHeight="1" spans="1:2">
      <c r="A38426" s="3" t="str">
        <f>IFERROR(__xludf.DUMMYFUNCTION("GOOGLETRANSLATE(A38426,""en"",""pt"")"),"A vida da bateria, antena frágil, software lento, muito poucos ""regalias"".")</f>
        <v>A vida da bateria, antena frágil, software lento, muito poucos "regalias".</v>
      </c>
      <c r="B38426" s="3">
        <v>0</v>
      </c>
    </row>
    <row r="38427" ht="15.75" customHeight="1" spans="1:2">
      <c r="A38427" s="3" t="str">
        <f>IFERROR(__xludf.DUMMYFUNCTION("GOOGLETRANSLATE(A38427,""en"",""pt"")"),"volume do fone muito pobre, pobre vida útil da bateria")</f>
        <v>volume do fone muito pobre, pobre vida útil da bateria</v>
      </c>
      <c r="B38427" s="3">
        <v>0</v>
      </c>
    </row>
    <row r="38428" ht="15.75" customHeight="1" spans="1:2">
      <c r="A38428" s="3" t="str">
        <f>IFERROR(__xludf.DUMMYFUNCTION("GOOGLETRANSLATE(A38428,""en"",""pt"")"),"Bateria")</f>
        <v>Bateria</v>
      </c>
      <c r="B38428" s="3">
        <v>0</v>
      </c>
    </row>
    <row r="38429" ht="15.75" customHeight="1" spans="1:2">
      <c r="A38429" s="3" t="str">
        <f>IFERROR(__xludf.DUMMYFUNCTION("GOOGLETRANSLATE(A38429,""en"",""pt"")"),"recepção ruim; aparelho frágil; precisa de 2 mãos a resposta; teensy botões laterais")</f>
        <v>recepção ruim; aparelho frágil; precisa de 2 mãos a resposta; teensy botões laterais</v>
      </c>
      <c r="B38429" s="3">
        <v>0</v>
      </c>
    </row>
    <row r="38430" ht="15.75" customHeight="1" spans="1:2">
      <c r="A38430" s="3" t="str">
        <f>IFERROR(__xludf.DUMMYFUNCTION("GOOGLETRANSLATE(A38430,""en"",""pt"")"),"come baterias como louco")</f>
        <v>come baterias como louco</v>
      </c>
      <c r="B38430" s="3">
        <v>0</v>
      </c>
    </row>
    <row r="38431" ht="15.75" customHeight="1" spans="1:2">
      <c r="A38431" s="3" t="str">
        <f>IFERROR(__xludf.DUMMYFUNCTION("GOOGLETRANSLATE(A38431,""en"",""pt"")"),"A vida da bateria, coldre")</f>
        <v>A vida da bateria, coldre</v>
      </c>
      <c r="B38431" s="3">
        <v>0</v>
      </c>
    </row>
    <row r="38432" ht="15.75" customHeight="1" spans="1:2">
      <c r="A38432" s="3" t="str">
        <f>IFERROR(__xludf.DUMMYFUNCTION("GOOGLETRANSLATE(A38432,""en"",""pt"")"),"bateria, bateria e bateria")</f>
        <v>bateria, bateria e bateria</v>
      </c>
      <c r="B38432" s="3">
        <v>0</v>
      </c>
    </row>
    <row r="38433" ht="15.75" customHeight="1" spans="1:2">
      <c r="A38433" s="3" t="str">
        <f>IFERROR(__xludf.DUMMYFUNCTION("GOOGLETRANSLATE(A38433,""en"",""pt"")"),"curta duração da bateria, número de problemas diversos com telefone.")</f>
        <v>curta duração da bateria, número de problemas diversos com telefone.</v>
      </c>
      <c r="B38433" s="3">
        <v>0</v>
      </c>
    </row>
    <row r="38434" ht="15.75" customHeight="1" spans="1:2">
      <c r="A38434" s="3" t="str">
        <f>IFERROR(__xludf.DUMMYFUNCTION("GOOGLETRANSLATE(A38434,""en"",""pt"")"),"Cant satisfazer a todos")</f>
        <v>Cant satisfazer a todos</v>
      </c>
      <c r="B38434" s="3">
        <v>0</v>
      </c>
    </row>
    <row r="38435" ht="15.75" customHeight="1" spans="1:2">
      <c r="A38435" s="3" t="str">
        <f>IFERROR(__xludf.DUMMYFUNCTION("GOOGLETRANSLATE(A38435,""en"",""pt"")"),"Coldre, vida útil da bateria")</f>
        <v>Coldre, vida útil da bateria</v>
      </c>
      <c r="B38435" s="3">
        <v>0</v>
      </c>
    </row>
    <row r="38436" ht="15.75" customHeight="1" spans="1:2">
      <c r="A38436" s="3" t="str">
        <f>IFERROR(__xludf.DUMMYFUNCTION("GOOGLETRANSLATE(A38436,""en"",""pt"")"),"vida útil da bateria baixa, problemas coldre")</f>
        <v>vida útil da bateria baixa, problemas coldre</v>
      </c>
      <c r="B38436" s="3">
        <v>0</v>
      </c>
    </row>
    <row r="38437" ht="15.75" customHeight="1" spans="1:2">
      <c r="A38437" s="3" t="str">
        <f>IFERROR(__xludf.DUMMYFUNCTION("GOOGLETRANSLATE(A38437,""en"",""pt"")"),"flip está um pouco frouxa, difícil de ver a tela sem luz de fundo, um pouco menus lentos")</f>
        <v>flip está um pouco frouxa, difícil de ver a tela sem luz de fundo, um pouco menus lentos</v>
      </c>
      <c r="B38437" s="3">
        <v>0</v>
      </c>
    </row>
    <row r="38438" ht="15.75" customHeight="1" spans="1:2">
      <c r="A38438" s="3" t="str">
        <f>IFERROR(__xludf.DUMMYFUNCTION("GOOGLETRANSLATE(A38438,""en"",""pt"")"),"vida útil da bateria, mensagem de texto e / ou acesso à web requisito para fazer o download de toques")</f>
        <v>vida útil da bateria, mensagem de texto e / ou acesso à web requisito para fazer o download de toques</v>
      </c>
      <c r="B38438" s="3">
        <v>0</v>
      </c>
    </row>
    <row r="38439" ht="15.75" customHeight="1" spans="1:2">
      <c r="A38439" s="3" t="str">
        <f>IFERROR(__xludf.DUMMYFUNCTION("GOOGLETRANSLATE(A38439,""en"",""pt"")"),"O telefone celular fica.")</f>
        <v>O telefone celular fica.</v>
      </c>
      <c r="B38439" s="3">
        <v>0</v>
      </c>
    </row>
    <row r="38440" ht="15.75" customHeight="1" spans="1:2">
      <c r="A38440" s="3" t="str">
        <f>IFERROR(__xludf.DUMMYFUNCTION("GOOGLETRANSLATE(A38440,""en"",""pt"")"),"curta vida útil da bateria, design coldre")</f>
        <v>curta vida útil da bateria, design coldre</v>
      </c>
      <c r="B38440" s="3">
        <v>0</v>
      </c>
    </row>
    <row r="38441" ht="15.75" customHeight="1" spans="1:2">
      <c r="A38441" s="3" t="str">
        <f>IFERROR(__xludf.DUMMYFUNCTION("GOOGLETRANSLATE(A38441,""en"",""pt"")"),"vida útil da bateria, a qualidade de voz, e um monte de erros que precisam ser trabalhados")</f>
        <v>vida útil da bateria, a qualidade de voz, e um monte de erros que precisam ser trabalhados</v>
      </c>
      <c r="B38441" s="3">
        <v>0</v>
      </c>
    </row>
    <row r="38442" ht="15.75" customHeight="1" spans="1:2">
      <c r="A38442" s="3" t="str">
        <f>IFERROR(__xludf.DUMMYFUNCTION("GOOGLETRANSLATE(A38442,""en"",""pt"")"),"Antena. Qualidade de som. Cabo de carregamento.")</f>
        <v>Antena. Qualidade de som. Cabo de carregamento.</v>
      </c>
      <c r="B38442" s="3">
        <v>0</v>
      </c>
    </row>
    <row r="38443" ht="15.75" customHeight="1" spans="1:2">
      <c r="A38443" s="3" t="str">
        <f>IFERROR(__xludf.DUMMYFUNCTION("GOOGLETRANSLATE(A38443,""en"",""pt"")"),"Curta duração da bateria, Expensive")</f>
        <v>Curta duração da bateria, Expensive</v>
      </c>
      <c r="B38443" s="3">
        <v>0</v>
      </c>
    </row>
    <row r="38444" ht="15.75" customHeight="1" spans="1:2">
      <c r="A38444" s="3" t="str">
        <f>IFERROR(__xludf.DUMMYFUNCTION("GOOGLETRANSLATE(A38444,""en"",""pt"")"),"a vida da bateria muito pobre, exibe 'nenhum serviço' em muitas áreas, frágeis")</f>
        <v>a vida da bateria muito pobre, exibe 'nenhum serviço' em muitas áreas, frágeis</v>
      </c>
      <c r="B38444" s="3">
        <v>0</v>
      </c>
    </row>
    <row r="38445" ht="15.75" customHeight="1" spans="1:2">
      <c r="A38445" s="3" t="str">
        <f>IFERROR(__xludf.DUMMYFUNCTION("GOOGLETRANSLATE(A38445,""en"",""pt"")"),"Vida útil da bateria, teclado")</f>
        <v>Vida útil da bateria, teclado</v>
      </c>
      <c r="B38445" s="3">
        <v>0</v>
      </c>
    </row>
    <row r="38446" ht="15.75" customHeight="1" spans="1:2">
      <c r="A38446" s="3" t="str">
        <f>IFERROR(__xludf.DUMMYFUNCTION("GOOGLETRANSLATE(A38446,""en"",""pt"")"),"A vida da bateria SUGA !!!!")</f>
        <v>A vida da bateria SUGA !!!!</v>
      </c>
      <c r="B38446" s="3">
        <v>0</v>
      </c>
    </row>
    <row r="38447" ht="15.75" customHeight="1" spans="1:2">
      <c r="A38447" s="3" t="str">
        <f>IFERROR(__xludf.DUMMYFUNCTION("GOOGLETRANSLATE(A38447,""en"",""pt"")"),"não pode pegar um sinal em áreas a 5 anos de idade vontade Motorola StarTAC.")</f>
        <v>não pode pegar um sinal em áreas a 5 anos de idade vontade Motorola StarTAC.</v>
      </c>
      <c r="B38447" s="3">
        <v>0</v>
      </c>
    </row>
    <row r="38448" ht="15.75" customHeight="1" spans="1:2">
      <c r="A38448" s="3" t="str">
        <f>IFERROR(__xludf.DUMMYFUNCTION("GOOGLETRANSLATE(A38448,""en"",""pt"")"),"frágil, construção barato, não é durável, cinto barato, vida da bateria pobres, propensos a problemas")</f>
        <v>frágil, construção barato, não é durável, cinto barato, vida da bateria pobres, propensos a problemas</v>
      </c>
      <c r="B38448" s="3">
        <v>0</v>
      </c>
    </row>
    <row r="38449" ht="15.75" customHeight="1" spans="1:2">
      <c r="A38449" s="3" t="str">
        <f>IFERROR(__xludf.DUMMYFUNCTION("GOOGLETRANSLATE(A38449,""en"",""pt"")"),"nenhum realmente")</f>
        <v>nenhum realmente</v>
      </c>
      <c r="B38449" s="3">
        <v>0</v>
      </c>
    </row>
    <row r="38450" ht="15.75" customHeight="1" spans="1:2">
      <c r="A38450" s="3" t="str">
        <f>IFERROR(__xludf.DUMMYFUNCTION("GOOGLETRANSLATE(A38450,""en"",""pt"")"),"suporte de cinto ruim, não pode desativar a campainha silenciosamente")</f>
        <v>suporte de cinto ruim, não pode desativar a campainha silenciosamente</v>
      </c>
      <c r="B38450" s="3">
        <v>0</v>
      </c>
    </row>
    <row r="38451" ht="15.75" customHeight="1" spans="1:2">
      <c r="A38451" s="3" t="str">
        <f>IFERROR(__xludf.DUMMYFUNCTION("GOOGLETRANSLATE(A38451,""en"",""pt"")"),"O GSM não funcionam bem em San Diego")</f>
        <v>O GSM não funcionam bem em San Diego</v>
      </c>
      <c r="B38451" s="3">
        <v>0</v>
      </c>
    </row>
    <row r="38452" ht="15.75" customHeight="1" spans="1:2">
      <c r="A38452" s="3" t="str">
        <f>IFERROR(__xludf.DUMMYFUNCTION("GOOGLETRANSLATE(A38452,""en"",""pt"")"),"Recepção, o volume das colunas, a vida da bateria")</f>
        <v>Recepção, o volume das colunas, a vida da bateria</v>
      </c>
      <c r="B38452" s="3">
        <v>0</v>
      </c>
    </row>
    <row r="38453" ht="15.75" customHeight="1" spans="1:2">
      <c r="A38453" s="3" t="str">
        <f>IFERROR(__xludf.DUMMYFUNCTION("GOOGLETRANSLATE(A38453,""en"",""pt"")"),"Terrivelmente volume baixo")</f>
        <v>Terrivelmente volume baixo</v>
      </c>
      <c r="B38453" s="3">
        <v>0</v>
      </c>
    </row>
    <row r="38454" ht="15.75" customHeight="1" spans="1:2">
      <c r="A38454" s="3" t="str">
        <f>IFERROR(__xludf.DUMMYFUNCTION("GOOGLETRANSLATE(A38454,""en"",""pt"")"),"carregador de telefone ruim, baixo volume, alguns problemas mecânicos")</f>
        <v>carregador de telefone ruim, baixo volume, alguns problemas mecânicos</v>
      </c>
      <c r="B38454" s="3">
        <v>0</v>
      </c>
    </row>
    <row r="38455" ht="15.75" customHeight="1" spans="1:2">
      <c r="A38455" s="3" t="str">
        <f>IFERROR(__xludf.DUMMYFUNCTION("GOOGLETRANSLATE(A38455,""en"",""pt"")"),"não mastiff-proof;) às vezes cai chamadas em uma área muito específica")</f>
        <v>não mastiff-proof;) às vezes cai chamadas em uma área muito específica</v>
      </c>
      <c r="B38455" s="3">
        <v>0</v>
      </c>
    </row>
    <row r="38456" ht="15.75" customHeight="1" spans="1:2">
      <c r="A38456" s="3" t="str">
        <f>IFERROR(__xludf.DUMMYFUNCTION("GOOGLETRANSLATE(A38456,""en"",""pt"")"),"Preço")</f>
        <v>Preço</v>
      </c>
      <c r="B38456" s="3">
        <v>0</v>
      </c>
    </row>
    <row r="38457" ht="15.75" customHeight="1" spans="1:2">
      <c r="A38457" s="3" t="str">
        <f>IFERROR(__xludf.DUMMYFUNCTION("GOOGLETRANSLATE(A38457,""en"",""pt"")"),"A vida da bateria, Menus, Speed.")</f>
        <v>A vida da bateria, Menus, Speed.</v>
      </c>
      <c r="B38457" s="3">
        <v>0</v>
      </c>
    </row>
    <row r="38458" ht="15.75" customHeight="1" spans="1:2">
      <c r="A38458" s="3" t="str">
        <f>IFERROR(__xludf.DUMMYFUNCTION("GOOGLETRANSLATE(A38458,""en"",""pt"")"),"vida útil da bateria, resposta lenta a partir de botões")</f>
        <v>vida útil da bateria, resposta lenta a partir de botões</v>
      </c>
      <c r="B38458" s="3">
        <v>0</v>
      </c>
    </row>
    <row r="38459" ht="15.75" customHeight="1" spans="1:2">
      <c r="A38459" s="3" t="str">
        <f>IFERROR(__xludf.DUMMYFUNCTION("GOOGLETRANSLATE(A38459,""en"",""pt"")"),"Volume até mesmo todo o caminho até SUGA!")</f>
        <v>Volume até mesmo todo o caminho até SUGA!</v>
      </c>
      <c r="B38459" s="3">
        <v>0</v>
      </c>
    </row>
    <row r="38460" ht="15.75" customHeight="1" spans="1:2">
      <c r="A38460" s="3" t="str">
        <f>IFERROR(__xludf.DUMMYFUNCTION("GOOGLETRANSLATE(A38460,""en"",""pt"")"),"Corpo é de plástico, não de metal como V60I, não vai sincronizar com o calendário Lotus Notes")</f>
        <v>Corpo é de plástico, não de metal como V60I, não vai sincronizar com o calendário Lotus Notes</v>
      </c>
      <c r="B38460" s="3">
        <v>0</v>
      </c>
    </row>
    <row r="38461" ht="15.75" customHeight="1" spans="1:2">
      <c r="A38461" s="3" t="str">
        <f>IFERROR(__xludf.DUMMYFUNCTION("GOOGLETRANSLATE(A38461,""en"",""pt"")"),"falhar como um telefone, quieto demais para usar em lugares barulhentos")</f>
        <v>falhar como um telefone, quieto demais para usar em lugares barulhentos</v>
      </c>
      <c r="B38461" s="3">
        <v>0</v>
      </c>
    </row>
    <row r="38462" ht="15.75" customHeight="1" spans="1:2">
      <c r="A38462" s="3" t="str">
        <f>IFERROR(__xludf.DUMMYFUNCTION("GOOGLETRANSLATE(A38462,""en"",""pt"")"),"todo o resto")</f>
        <v>todo o resto</v>
      </c>
      <c r="B38462" s="3">
        <v>0</v>
      </c>
    </row>
    <row r="38463" ht="15.75" customHeight="1" spans="1:2">
      <c r="A38463" s="3" t="str">
        <f>IFERROR(__xludf.DUMMYFUNCTION("GOOGLETRANSLATE(A38463,""en"",""pt"")"),"OS falhas de software / travamentos")</f>
        <v>OS falhas de software / travamentos</v>
      </c>
      <c r="B38463" s="3">
        <v>0</v>
      </c>
    </row>
    <row r="38464" ht="15.75" customHeight="1" spans="1:2">
      <c r="A38464" s="3" t="str">
        <f>IFERROR(__xludf.DUMMYFUNCTION("GOOGLETRANSLATE(A38464,""en"",""pt"")"),"coldre, alto-falante não alto o suficiente, processador lento, manual péssimo")</f>
        <v>coldre, alto-falante não alto o suficiente, processador lento, manual péssimo</v>
      </c>
      <c r="B38464" s="3">
        <v>0</v>
      </c>
    </row>
    <row r="38465" ht="15.75" customHeight="1" spans="1:2">
      <c r="A38465" s="3" t="str">
        <f>IFERROR(__xludf.DUMMYFUNCTION("GOOGLETRANSLATE(A38465,""en"",""pt"")"),"vida útil da bateria horrível, má recepção, o volume do fone horrível, não pode se mover enquanto fala")</f>
        <v>vida útil da bateria horrível, má recepção, o volume do fone horrível, não pode se mover enquanto fala</v>
      </c>
      <c r="B38465" s="3">
        <v>0</v>
      </c>
    </row>
    <row r="38466" ht="15.75" customHeight="1" spans="1:2">
      <c r="A38466" s="3" t="str">
        <f>IFERROR(__xludf.DUMMYFUNCTION("GOOGLETRANSLATE(A38466,""en"",""pt"")"),"A bateria pode ser um problema para aqueles que falam muito.")</f>
        <v>A bateria pode ser um problema para aqueles que falam muito.</v>
      </c>
      <c r="B38466" s="3">
        <v>0</v>
      </c>
    </row>
    <row r="38467" ht="15.75" customHeight="1" spans="1:2">
      <c r="A38467" s="3" t="str">
        <f>IFERROR(__xludf.DUMMYFUNCTION("GOOGLETRANSLATE(A38467,""en"",""pt"")"),"má recepção, travamentos, pobre vida útil da bateria")</f>
        <v>má recepção, travamentos, pobre vida útil da bateria</v>
      </c>
      <c r="B38467" s="3">
        <v>0</v>
      </c>
    </row>
    <row r="38468" ht="15.75" customHeight="1" spans="1:2">
      <c r="A38468" s="3" t="str">
        <f>IFERROR(__xludf.DUMMYFUNCTION("GOOGLETRANSLATE(A38468,""en"",""pt"")"),"* Volume de baixo do auricular")</f>
        <v>* Volume de baixo do auricular</v>
      </c>
      <c r="B38468" s="3">
        <v>0</v>
      </c>
    </row>
    <row r="38469" ht="15.75" customHeight="1" spans="1:2">
      <c r="A38469" s="3" t="str">
        <f>IFERROR(__xludf.DUMMYFUNCTION("GOOGLETRANSLATE(A38469,""en"",""pt"")"),"Feito barata. Morre após 2 semanas. Demasiado quente para segurar após 10 minutos")</f>
        <v>Feito barata. Morre após 2 semanas. Demasiado quente para segurar após 10 minutos</v>
      </c>
      <c r="B38469" s="3">
        <v>0</v>
      </c>
    </row>
    <row r="38470" ht="15.75" customHeight="1" spans="1:2">
      <c r="A38470" s="3" t="str">
        <f>IFERROR(__xludf.DUMMYFUNCTION("GOOGLETRANSLATE(A38470,""en"",""pt"")"),"Os freios dobradiça após 6 meses de uso moderado. Obviamente, há uma falha de projeto.")</f>
        <v>Os freios dobradiça após 6 meses de uso moderado. Obviamente, há uma falha de projeto.</v>
      </c>
      <c r="B38470" s="3">
        <v>0</v>
      </c>
    </row>
    <row r="38471" ht="15.75" customHeight="1" spans="1:2">
      <c r="A38471" s="3" t="str">
        <f>IFERROR(__xludf.DUMMYFUNCTION("GOOGLETRANSLATE(A38471,""en"",""pt"")"),"A vida da bateria, problema de curto-circuito?")</f>
        <v>A vida da bateria, problema de curto-circuito?</v>
      </c>
      <c r="B38471" s="3">
        <v>0</v>
      </c>
    </row>
    <row r="38472" ht="15.75" customHeight="1" spans="1:2">
      <c r="A38472" s="3" t="str">
        <f>IFERROR(__xludf.DUMMYFUNCTION("GOOGLETRANSLATE(A38472,""en"",""pt"")"),"Nenhum")</f>
        <v>Nenhum</v>
      </c>
      <c r="B38472" s="3">
        <v>0</v>
      </c>
    </row>
    <row r="38473" ht="15.75" customHeight="1" spans="1:2">
      <c r="A38473" s="3" t="str">
        <f>IFERROR(__xludf.DUMMYFUNCTION("GOOGLETRANSLATE(A38473,""en"",""pt"")"),"Eu não tenho grande recepção, eu não tenho certeza se isso é com o provedor.")</f>
        <v>Eu não tenho grande recepção, eu não tenho certeza se isso é com o provedor.</v>
      </c>
      <c r="B38473" s="3">
        <v>0</v>
      </c>
    </row>
    <row r="38474" ht="15.75" customHeight="1" spans="1:2">
      <c r="A38474" s="3" t="str">
        <f>IFERROR(__xludf.DUMMYFUNCTION("GOOGLETRANSLATE(A38474,""en"",""pt"")"),"A vida da bateria :(")</f>
        <v>A vida da bateria :(</v>
      </c>
      <c r="B38474" s="3">
        <v>0</v>
      </c>
    </row>
    <row r="38475" ht="15.75" customHeight="1" spans="1:2">
      <c r="A38475" s="3" t="str">
        <f>IFERROR(__xludf.DUMMYFUNCTION("GOOGLETRANSLATE(A38475,""en"",""pt"")"),"Você tem uma boa chance de conseguir um telefone dud (ver comentário)")</f>
        <v>Você tem uma boa chance de conseguir um telefone dud (ver comentário)</v>
      </c>
      <c r="B38475" s="3">
        <v>0</v>
      </c>
    </row>
    <row r="38476" ht="15.75" customHeight="1" spans="1:2">
      <c r="A38476" s="3" t="str">
        <f>IFERROR(__xludf.DUMMYFUNCTION("GOOGLETRANSLATE(A38476,""en"",""pt"")"),"Frágil, frágil! Ambas as telas têm saído duas vezes nos últimos 6 meses ...")</f>
        <v>Frágil, frágil! Ambas as telas têm saído duas vezes nos últimos 6 meses ...</v>
      </c>
      <c r="B38476" s="3">
        <v>0</v>
      </c>
    </row>
    <row r="38477" ht="15.75" customHeight="1" spans="1:2">
      <c r="A38477" s="3" t="str">
        <f>IFERROR(__xludf.DUMMYFUNCTION("GOOGLETRANSLATE(A38477,""en"",""pt"")"),"Verizon paralisou o pobre rapaz!")</f>
        <v>Verizon paralisou o pobre rapaz!</v>
      </c>
      <c r="B38477" s="3">
        <v>0</v>
      </c>
    </row>
    <row r="38478" ht="15.75" customHeight="1" spans="1:2">
      <c r="A38478" s="3" t="str">
        <f>IFERROR(__xludf.DUMMYFUNCTION("GOOGLETRANSLATE(A38478,""en"",""pt"")"),"Lento. Lento. Lento. Lousy dados acessórios.")</f>
        <v>Lento. Lento. Lento. Lousy dados acessórios.</v>
      </c>
      <c r="B38478" s="3">
        <v>0</v>
      </c>
    </row>
    <row r="38479" ht="15.75" customHeight="1" spans="1:2">
      <c r="A38479" s="3" t="str">
        <f>IFERROR(__xludf.DUMMYFUNCTION("GOOGLETRANSLATE(A38479,""en"",""pt"")"),"Vida útil da bateria, o volume da campainha muito baixo")</f>
        <v>Vida útil da bateria, o volume da campainha muito baixo</v>
      </c>
      <c r="B38479" s="3">
        <v>0</v>
      </c>
    </row>
    <row r="38480" ht="15.75" customHeight="1" spans="1:2">
      <c r="A38480" s="3" t="str">
        <f>IFERROR(__xludf.DUMMYFUNCTION("GOOGLETRANSLATE(A38480,""en"",""pt"")"),"Buggy, má recepção, suga com a Verizon")</f>
        <v>Buggy, má recepção, suga com a Verizon</v>
      </c>
      <c r="B38480" s="3">
        <v>0</v>
      </c>
    </row>
    <row r="38481" ht="15.75" customHeight="1" spans="1:2">
      <c r="A38481" s="3" t="str">
        <f>IFERROR(__xludf.DUMMYFUNCTION("GOOGLETRANSLATE(A38481,""en"",""pt"")"),"A vida da bateria, navegação, campainha não alto o suficiente.")</f>
        <v>A vida da bateria, navegação, campainha não alto o suficiente.</v>
      </c>
      <c r="B38481" s="3">
        <v>0</v>
      </c>
    </row>
    <row r="38482" ht="15.75" customHeight="1" spans="1:2">
      <c r="A38482" s="3" t="str">
        <f>IFERROR(__xludf.DUMMYFUNCTION("GOOGLETRANSLATE(A38482,""en"",""pt"")"),"Não é fácil de berço no ombro, BATERIA, não pode ler a exposição uma vez backlight sai")</f>
        <v>Não é fácil de berço no ombro, BATERIA, não pode ler a exposição uma vez backlight sai</v>
      </c>
      <c r="B38482" s="3">
        <v>0</v>
      </c>
    </row>
    <row r="38483" ht="15.75" customHeight="1" spans="1:2">
      <c r="A38483" s="3" t="str">
        <f>IFERROR(__xludf.DUMMYFUNCTION("GOOGLETRANSLATE(A38483,""en"",""pt"")"),"Trava! Sem bateria VIDA! Metallic soar vozes.")</f>
        <v>Trava! Sem bateria VIDA! Metallic soar vozes.</v>
      </c>
      <c r="B38483" s="3">
        <v>0</v>
      </c>
    </row>
    <row r="38484" ht="15.75" customHeight="1" spans="1:2">
      <c r="A38484" s="3" t="str">
        <f>IFERROR(__xludf.DUMMYFUNCTION("GOOGLETRANSLATE(A38484,""en"",""pt"")"),"caro, problema coldre, pode diferença não distinquish entre campainha ID &amp; mensagens de texto")</f>
        <v>caro, problema coldre, pode diferença não distinquish entre campainha ID &amp; mensagens de texto</v>
      </c>
      <c r="B38484" s="3">
        <v>0</v>
      </c>
    </row>
    <row r="38485" ht="15.75" customHeight="1" spans="1:2">
      <c r="A38485" s="3" t="str">
        <f>IFERROR(__xludf.DUMMYFUNCTION("GOOGLETRANSLATE(A38485,""en"",""pt"")"),"TOO muitas funções !!")</f>
        <v>TOO muitas funções !!</v>
      </c>
      <c r="B38485" s="3">
        <v>0</v>
      </c>
    </row>
    <row r="38486" ht="15.75" customHeight="1" spans="1:2">
      <c r="A38486" s="3" t="str">
        <f>IFERROR(__xludf.DUMMYFUNCTION("GOOGLETRANSLATE(A38486,""en"",""pt"")"),"Não o maior conexão")</f>
        <v>Não o maior conexão</v>
      </c>
      <c r="B38486" s="3">
        <v>0</v>
      </c>
    </row>
    <row r="38487" ht="15.75" customHeight="1" spans="1:2">
      <c r="A38487" s="3" t="str">
        <f>IFERROR(__xludf.DUMMYFUNCTION("GOOGLETRANSLATE(A38487,""en"",""pt"")"),"Bugs no software, software respondendo lento, curta duração da bateria.")</f>
        <v>Bugs no software, software respondendo lento, curta duração da bateria.</v>
      </c>
      <c r="B38487" s="3">
        <v>0</v>
      </c>
    </row>
    <row r="38488" ht="15.75" customHeight="1" spans="1:2">
      <c r="A38488" s="3" t="str">
        <f>IFERROR(__xludf.DUMMYFUNCTION("GOOGLETRANSLATE(A38488,""en"",""pt"")"),"O coldre é terrível em comparação com o Star-Tac.")</f>
        <v>O coldre é terrível em comparação com o Star-Tac.</v>
      </c>
      <c r="B38488" s="3">
        <v>0</v>
      </c>
    </row>
    <row r="38489" ht="15.75" customHeight="1" spans="1:2">
      <c r="A38489" s="3" t="str">
        <f>IFERROR(__xludf.DUMMYFUNCTION("GOOGLETRANSLATE(A38489,""en"",""pt"")"),"A vida da bateria horrível, software desajeitado cheio de bugs")</f>
        <v>A vida da bateria horrível, software desajeitado cheio de bugs</v>
      </c>
      <c r="B38489" s="3">
        <v>0</v>
      </c>
    </row>
    <row r="38490" ht="15.75" customHeight="1" spans="1:2">
      <c r="A38490" s="3" t="str">
        <f>IFERROR(__xludf.DUMMYFUNCTION("GOOGLETRANSLATE(A38490,""en"",""pt"")"),"""Não tente OUT DIS TELEFONE !!!")</f>
        <v>"Não tente OUT DIS TELEFONE !!!</v>
      </c>
      <c r="B38490" s="3">
        <v>0</v>
      </c>
    </row>
    <row r="38491" ht="15.75" customHeight="1" spans="1:2">
      <c r="A38491" s="3" t="str">
        <f>IFERROR(__xludf.DUMMYFUNCTION("GOOGLETRANSLATE(A38491,""en"",""pt"")"),"A forma como ele carrega uma porcaria. Baterias caro. toques alguns. arranque muito lento.")</f>
        <v>A forma como ele carrega uma porcaria. Baterias caro. toques alguns. arranque muito lento.</v>
      </c>
      <c r="B38491" s="3">
        <v>0</v>
      </c>
    </row>
    <row r="38492" ht="15.75" customHeight="1" spans="1:2">
      <c r="A38492" s="3" t="str">
        <f>IFERROR(__xludf.DUMMYFUNCTION("GOOGLETRANSLATE(A38492,""en"",""pt"")"),"Alguns menus inconveniente, resposta lenta do teclado")</f>
        <v>Alguns menus inconveniente, resposta lenta do teclado</v>
      </c>
      <c r="B38492" s="3">
        <v>0</v>
      </c>
    </row>
    <row r="38493" ht="15.75" customHeight="1" spans="1:2">
      <c r="A38493" s="3" t="str">
        <f>IFERROR(__xludf.DUMMYFUNCTION("GOOGLETRANSLATE(A38493,""en"",""pt"")"),"tempo de bateria, volume da campainha, volume do altifalante")</f>
        <v>tempo de bateria, volume da campainha, volume do altifalante</v>
      </c>
      <c r="B38493" s="3">
        <v>0</v>
      </c>
    </row>
    <row r="38494" ht="15.75" customHeight="1" spans="1:2">
      <c r="A38494" s="3" t="str">
        <f>IFERROR(__xludf.DUMMYFUNCTION("GOOGLETRANSLATE(A38494,""en"",""pt"")"),"tela grande, excelente qualidade de som, etc.")</f>
        <v>tela grande, excelente qualidade de som, etc.</v>
      </c>
      <c r="B38494" s="3">
        <v>0</v>
      </c>
    </row>
    <row r="38495" ht="15.75" customHeight="1" spans="1:2">
      <c r="A38495" s="3" t="str">
        <f>IFERROR(__xludf.DUMMYFUNCTION("GOOGLETRANSLATE(A38495,""en"",""pt"")"),"A vida da bateria; som geral; upgradability")</f>
        <v>A vida da bateria; som geral; upgradability</v>
      </c>
      <c r="B38495" s="3">
        <v>0</v>
      </c>
    </row>
    <row r="38496" ht="15.75" customHeight="1" spans="1:2">
      <c r="A38496" s="3" t="str">
        <f>IFERROR(__xludf.DUMMYFUNCTION("GOOGLETRANSLATE(A38496,""en"",""pt"")"),"demasiado numerosas para mencionar")</f>
        <v>demasiado numerosas para mencionar</v>
      </c>
      <c r="B38496" s="3">
        <v>0</v>
      </c>
    </row>
    <row r="38497" ht="15.75" customHeight="1" spans="1:2">
      <c r="A38497" s="3" t="str">
        <f>IFERROR(__xludf.DUMMYFUNCTION("GOOGLETRANSLATE(A38497,""en"",""pt"")"),"visor do telefone congela e fica em branco. Não é possível transferir fotos pessoais para proteção de tela.")</f>
        <v>visor do telefone congela e fica em branco. Não é possível transferir fotos pessoais para proteção de tela.</v>
      </c>
      <c r="B38497" s="3">
        <v>0</v>
      </c>
    </row>
    <row r="38498" ht="15.75" customHeight="1" spans="1:2">
      <c r="A38498" s="3" t="str">
        <f>IFERROR(__xludf.DUMMYFUNCTION("GOOGLETRANSLATE(A38498,""en"",""pt"")"),"Se ele só funciona")</f>
        <v>Se ele só funciona</v>
      </c>
      <c r="B38498" s="3">
        <v>0</v>
      </c>
    </row>
    <row r="38499" ht="15.75" customHeight="1" spans="1:2">
      <c r="A38499" s="3" t="str">
        <f>IFERROR(__xludf.DUMMYFUNCTION("GOOGLETRANSLATE(A38499,""en"",""pt"")"),"Terrível recepção e som, não confiável, e muito complicado.")</f>
        <v>Terrível recepção e som, não confiável, e muito complicado.</v>
      </c>
      <c r="B38499" s="3">
        <v>0</v>
      </c>
    </row>
    <row r="38500" ht="15.75" customHeight="1" spans="1:2">
      <c r="A38500" s="3" t="str">
        <f>IFERROR(__xludf.DUMMYFUNCTION("GOOGLETRANSLATE(A38500,""en"",""pt"")"),"Era caro, baixa vida útil da bateria, baixo volume máximo, ugh..frustration")</f>
        <v>Era caro, baixa vida útil da bateria, baixo volume máximo, ugh..frustration</v>
      </c>
      <c r="B38500" s="3">
        <v>0</v>
      </c>
    </row>
    <row r="38501" ht="15.75" customHeight="1" spans="1:2">
      <c r="A38501" s="3" t="str">
        <f>IFERROR(__xludf.DUMMYFUNCTION("GOOGLETRANSLATE(A38501,""en"",""pt"")"),"mau volume de chamadas, nenhum galo alarme")</f>
        <v>mau volume de chamadas, nenhum galo alarme</v>
      </c>
      <c r="B38501" s="3">
        <v>0</v>
      </c>
    </row>
    <row r="38502" ht="15.75" customHeight="1" spans="1:2">
      <c r="A38502" s="3" t="str">
        <f>IFERROR(__xludf.DUMMYFUNCTION("GOOGLETRANSLATE(A38502,""en"",""pt"")"),"4 meses e morreu")</f>
        <v>4 meses e morreu</v>
      </c>
      <c r="B38502" s="3">
        <v>0</v>
      </c>
    </row>
    <row r="38503" ht="15.75" customHeight="1" spans="1:2">
      <c r="A38503" s="3" t="str">
        <f>IFERROR(__xludf.DUMMYFUNCTION("GOOGLETRANSLATE(A38503,""en"",""pt"")"),"toques são muito alto o suficiente, mas o som distorcido na potência máxima")</f>
        <v>toques são muito alto o suficiente, mas o som distorcido na potência máxima</v>
      </c>
      <c r="B38503" s="3">
        <v>0</v>
      </c>
    </row>
    <row r="38504" ht="15.75" customHeight="1" spans="1:2">
      <c r="A38504" s="3" t="str">
        <f>IFERROR(__xludf.DUMMYFUNCTION("GOOGLETRANSLATE(A38504,""en"",""pt"")"),"O sistema operativo é atraente e user-friendly.")</f>
        <v>O sistema operativo é atraente e user-friendly.</v>
      </c>
      <c r="B38504" s="3">
        <v>0</v>
      </c>
    </row>
    <row r="38505" ht="15.75" customHeight="1" spans="1:2">
      <c r="A38505" s="3" t="str">
        <f>IFERROR(__xludf.DUMMYFUNCTION("GOOGLETRANSLATE(A38505,""en"",""pt"")"),"navegar através dos menus é lento")</f>
        <v>navegar através dos menus é lento</v>
      </c>
      <c r="B38505" s="3">
        <v>0</v>
      </c>
    </row>
    <row r="38506" ht="15.75" customHeight="1" spans="1:2">
      <c r="A38506" s="3" t="str">
        <f>IFERROR(__xludf.DUMMYFUNCTION("GOOGLETRANSLATE(A38506,""en"",""pt"")"),"ligar / desligar sempre que ela se sente como")</f>
        <v>ligar / desligar sempre que ela se sente como</v>
      </c>
      <c r="B38506" s="3">
        <v>0</v>
      </c>
    </row>
    <row r="38507" ht="15.75" customHeight="1" spans="1:2">
      <c r="A38507" s="3" t="str">
        <f>IFERROR(__xludf.DUMMYFUNCTION("GOOGLETRANSLATE(A38507,""en"",""pt"")"),"orador fraco, campainha, modo de vibração. baixa autonomia de bateria, conexão flimsly recarregador. varas de antena outtoo longe.")</f>
        <v>orador fraco, campainha, modo de vibração. baixa autonomia de bateria, conexão flimsly recarregador. varas de antena outtoo longe.</v>
      </c>
      <c r="B38507" s="3">
        <v>0</v>
      </c>
    </row>
    <row r="38508" ht="15.75" customHeight="1" spans="1:2">
      <c r="A38508" s="3" t="str">
        <f>IFERROR(__xludf.DUMMYFUNCTION("GOOGLETRANSLATE(A38508,""en"",""pt"")"),"Como qualquer outro telefone, é fácil cair.")</f>
        <v>Como qualquer outro telefone, é fácil cair.</v>
      </c>
      <c r="B38508" s="3">
        <v>0</v>
      </c>
    </row>
    <row r="38509" ht="15.75" customHeight="1" spans="1:2">
      <c r="A38509" s="3" t="str">
        <f>IFERROR(__xludf.DUMMYFUNCTION("GOOGLETRANSLATE(A38509,""en"",""pt"")"),"NONE (eu vou deixar você saber se algum chegar)")</f>
        <v>NONE (eu vou deixar você saber se algum chegar)</v>
      </c>
      <c r="B38509" s="3">
        <v>0</v>
      </c>
    </row>
    <row r="38510" ht="15.75" customHeight="1" spans="1:2">
      <c r="A38510" s="3" t="str">
        <f>IFERROR(__xludf.DUMMYFUNCTION("GOOGLETRANSLATE(A38510,""en"",""pt"")"),"Nenhuma câmera, sem jogos pré-carregados, não utilizável multi-país.")</f>
        <v>Nenhuma câmera, sem jogos pré-carregados, não utilizável multi-país.</v>
      </c>
      <c r="B38510" s="3">
        <v>0</v>
      </c>
    </row>
    <row r="38511" ht="15.75" customHeight="1" spans="1:2">
      <c r="A38511" s="3" t="str">
        <f>IFERROR(__xludf.DUMMYFUNCTION("GOOGLETRANSLATE(A38511,""en"",""pt"")"),"Congela / Comporta-Up. Pobre Vida útil da bateria.")</f>
        <v>Congela / Comporta-Up. Pobre Vida útil da bateria.</v>
      </c>
      <c r="B38511" s="3">
        <v>0</v>
      </c>
    </row>
    <row r="38512" ht="15.75" customHeight="1" spans="1:2">
      <c r="A38512" s="3" t="str">
        <f>IFERROR(__xludf.DUMMYFUNCTION("GOOGLETRANSLATE(A38512,""en"",""pt"")"),"Precisa de uma tela maior e mais volume de ouvido.")</f>
        <v>Precisa de uma tela maior e mais volume de ouvido.</v>
      </c>
      <c r="B38512" s="3">
        <v>0</v>
      </c>
    </row>
    <row r="38513" ht="15.75" customHeight="1" spans="1:2">
      <c r="A38513" s="3" t="str">
        <f>IFERROR(__xludf.DUMMYFUNCTION("GOOGLETRANSLATE(A38513,""en"",""pt"")"),"O telefone pode obter lag; o teclado não é a melhor.")</f>
        <v>O telefone pode obter lag; o teclado não é a melhor.</v>
      </c>
      <c r="B38513" s="3">
        <v>0</v>
      </c>
    </row>
    <row r="38514" ht="15.75" customHeight="1" spans="1:2">
      <c r="A38514" s="3" t="str">
        <f>IFERROR(__xludf.DUMMYFUNCTION("GOOGLETRANSLATE(A38514,""en"",""pt"")"),"clipe de cinto é volumoso, caso de couro é lixo com a janela de plástico sobre teclado")</f>
        <v>clipe de cinto é volumoso, caso de couro é lixo com a janela de plástico sobre teclado</v>
      </c>
      <c r="B38514" s="3">
        <v>0</v>
      </c>
    </row>
    <row r="38515" ht="15.75" customHeight="1" spans="1:2">
      <c r="A38515" s="3" t="str">
        <f>IFERROR(__xludf.DUMMYFUNCTION("GOOGLETRANSLATE(A38515,""en"",""pt"")"),"Bateria pode durar mais tempo, mas hey 4 dias não é ruim")</f>
        <v>Bateria pode durar mais tempo, mas hey 4 dias não é ruim</v>
      </c>
      <c r="B38515" s="3">
        <v>0</v>
      </c>
    </row>
    <row r="38516" ht="15.75" customHeight="1" spans="1:2">
      <c r="A38516" s="3" t="str">
        <f>IFERROR(__xludf.DUMMYFUNCTION("GOOGLETRANSLATE(A38516,""en"",""pt"")"),"Caro, má recepção, exibição falhas, difícil de ligar e desligar.")</f>
        <v>Caro, má recepção, exibição falhas, difícil de ligar e desligar.</v>
      </c>
      <c r="B38516" s="3">
        <v>0</v>
      </c>
    </row>
    <row r="38517" ht="15.75" customHeight="1" spans="1:2">
      <c r="A38517" s="3" t="str">
        <f>IFERROR(__xludf.DUMMYFUNCTION("GOOGLETRANSLATE(A38517,""en"",""pt"")"),"vida pobre da bateria, serviço de recepção ruim, áudio ilegível, má iluminação de fundo.")</f>
        <v>vida pobre da bateria, serviço de recepção ruim, áudio ilegível, má iluminação de fundo.</v>
      </c>
      <c r="B38517" s="3">
        <v>0</v>
      </c>
    </row>
    <row r="38518" ht="15.75" customHeight="1" spans="1:2">
      <c r="A38518" s="3" t="str">
        <f>IFERROR(__xludf.DUMMYFUNCTION("GOOGLETRANSLATE(A38518,""en"",""pt"")"),"A qualidade de voz é pobre.")</f>
        <v>A qualidade de voz é pobre.</v>
      </c>
      <c r="B38518" s="3">
        <v>0</v>
      </c>
    </row>
    <row r="38519" ht="15.75" customHeight="1" spans="1:2">
      <c r="A38519" s="3" t="str">
        <f>IFERROR(__xludf.DUMMYFUNCTION("GOOGLETRANSLATE(A38519,""en"",""pt"")"),"baixo volume do fone de ouvido, teclas de menu pobres, vida de bateria fraca, frágil")</f>
        <v>baixo volume do fone de ouvido, teclas de menu pobres, vida de bateria fraca, frágil</v>
      </c>
      <c r="B38519" s="3">
        <v>0</v>
      </c>
    </row>
    <row r="38520" ht="15.75" customHeight="1" spans="1:2">
      <c r="A38520" s="3" t="str">
        <f>IFERROR(__xludf.DUMMYFUNCTION("GOOGLETRANSLATE(A38520,""en"",""pt"")"),"Sempre quebrados, mau clipe para o cinto fede vida útil da bateria")</f>
        <v>Sempre quebrados, mau clipe para o cinto fede vida útil da bateria</v>
      </c>
      <c r="B38520" s="3">
        <v>0</v>
      </c>
    </row>
    <row r="38521" ht="15.75" customHeight="1" spans="1:2">
      <c r="A38521" s="3" t="str">
        <f>IFERROR(__xludf.DUMMYFUNCTION("GOOGLETRANSLATE(A38521,""en"",""pt"")"),"recepção, cor, peso, volume baixo")</f>
        <v>recepção, cor, peso, volume baixo</v>
      </c>
      <c r="B38521" s="3">
        <v>0</v>
      </c>
    </row>
    <row r="38522" ht="15.75" customHeight="1" spans="1:2">
      <c r="A38522" s="3" t="str">
        <f>IFERROR(__xludf.DUMMYFUNCTION("GOOGLETRANSLATE(A38522,""en"",""pt"")"),"Sem acessórios, há toques para download, jogos, fundos ect.,")</f>
        <v>Sem acessórios, há toques para download, jogos, fundos ect.,</v>
      </c>
      <c r="B38522" s="3">
        <v>0</v>
      </c>
    </row>
    <row r="38523" ht="15.75" customHeight="1" spans="1:2">
      <c r="A38523" s="3" t="str">
        <f>IFERROR(__xludf.DUMMYFUNCTION("GOOGLETRANSLATE(A38523,""en"",""pt"")"),"deve usar alto-falante ou dispositivo viva-voz, curta vida útil da bateria, menus rígidos")</f>
        <v>deve usar alto-falante ou dispositivo viva-voz, curta vida útil da bateria, menus rígidos</v>
      </c>
      <c r="B38523" s="3">
        <v>0</v>
      </c>
    </row>
    <row r="38524" ht="15.75" customHeight="1" spans="1:2">
      <c r="A38524" s="3" t="str">
        <f>IFERROR(__xludf.DUMMYFUNCTION("GOOGLETRANSLATE(A38524,""en"",""pt"")"),"Pequeno, botões rígidos. controle de joystick. forma incomum.")</f>
        <v>Pequeno, botões rígidos. controle de joystick. forma incomum.</v>
      </c>
      <c r="B38524" s="3">
        <v>0</v>
      </c>
    </row>
    <row r="38525" ht="15.75" customHeight="1" spans="1:2">
      <c r="A38525" s="3" t="str">
        <f>IFERROR(__xludf.DUMMYFUNCTION("GOOGLETRANSLATE(A38525,""en"",""pt"")"),"Nenhum retrocesso na marcação de números de telefone, algumas opções de menu são difíceis de encontrar.")</f>
        <v>Nenhum retrocesso na marcação de números de telefone, algumas opções de menu são difíceis de encontrar.</v>
      </c>
      <c r="B38525" s="3">
        <v>0</v>
      </c>
    </row>
    <row r="38526" ht="15.75" customHeight="1" spans="1:2">
      <c r="A38526" s="3" t="str">
        <f>IFERROR(__xludf.DUMMYFUNCTION("GOOGLETRANSLATE(A38526,""en"",""pt"")"),"Joystick pode ser complicado, algumas funções 'enterrado'. funções de discagem rápida limitados. Muitos acessórios incompatíveis.")</f>
        <v>Joystick pode ser complicado, algumas funções 'enterrado'. funções de discagem rápida limitados. Muitos acessórios incompatíveis.</v>
      </c>
      <c r="B38526" s="3">
        <v>0</v>
      </c>
    </row>
    <row r="38527" ht="15.75" customHeight="1" spans="1:2">
      <c r="A38527" s="3" t="str">
        <f>IFERROR(__xludf.DUMMYFUNCTION("GOOGLETRANSLATE(A38527,""en"",""pt"")"),"design de interface pobre, curta duração da bateria.")</f>
        <v>design de interface pobre, curta duração da bateria.</v>
      </c>
      <c r="B38527" s="3">
        <v>0</v>
      </c>
    </row>
    <row r="38528" ht="15.75" customHeight="1" spans="1:2">
      <c r="A38528" s="3" t="str">
        <f>IFERROR(__xludf.DUMMYFUNCTION("GOOGLETRANSLATE(A38528,""en"",""pt"")"),"sistema de menu um pouco confuso e controle joystick finicky")</f>
        <v>sistema de menu um pouco confuso e controle joystick finicky</v>
      </c>
      <c r="B38528" s="3">
        <v>0</v>
      </c>
    </row>
    <row r="38529" ht="15.75" customHeight="1" spans="1:2">
      <c r="A38529" s="3" t="str">
        <f>IFERROR(__xludf.DUMMYFUNCTION("GOOGLETRANSLATE(A38529,""en"",""pt"")"),"telefones Cingular vai funcionar em CINGULAR ESTENDAM")</f>
        <v>telefones Cingular vai funcionar em CINGULAR ESTENDAM</v>
      </c>
      <c r="B38529" s="3">
        <v>0</v>
      </c>
    </row>
    <row r="38530" ht="15.75" customHeight="1" spans="1:2">
      <c r="A38530" s="3" t="str">
        <f>IFERROR(__xludf.DUMMYFUNCTION("GOOGLETRANSLATE(A38530,""en"",""pt"")"),"botões mimado, joystick não funciona da melhor escondidos opções de menu, interface, pobre usuário")</f>
        <v>botões mimado, joystick não funciona da melhor escondidos opções de menu, interface, pobre usuário</v>
      </c>
      <c r="B38530" s="3">
        <v>0</v>
      </c>
    </row>
    <row r="38531" ht="15.75" customHeight="1" spans="1:2">
      <c r="A38531" s="3" t="str">
        <f>IFERROR(__xludf.DUMMYFUNCTION("GOOGLETRANSLATE(A38531,""en"",""pt"")"),"Confiabilidade?")</f>
        <v>Confiabilidade?</v>
      </c>
      <c r="B38531" s="3">
        <v>0</v>
      </c>
    </row>
    <row r="38532" ht="15.75" customHeight="1" spans="1:2">
      <c r="A38532" s="3" t="str">
        <f>IFERROR(__xludf.DUMMYFUNCTION("GOOGLETRANSLATE(A38532,""en"",""pt"")"),"difícil encontrar acessórios localmente")</f>
        <v>difícil encontrar acessórios localmente</v>
      </c>
      <c r="B38532" s="3">
        <v>0</v>
      </c>
    </row>
    <row r="38533" ht="15.75" customHeight="1" spans="1:2">
      <c r="A38533" s="3" t="str">
        <f>IFERROR(__xludf.DUMMYFUNCTION("GOOGLETRANSLATE(A38533,""en"",""pt"")"),"navegação medíocre")</f>
        <v>navegação medíocre</v>
      </c>
      <c r="B38533" s="3">
        <v>0</v>
      </c>
    </row>
    <row r="38534" ht="15.75" customHeight="1" spans="1:2">
      <c r="A38534" s="3" t="str">
        <f>IFERROR(__xludf.DUMMYFUNCTION("GOOGLETRANSLATE(A38534,""en"",""pt"")"),"OS lento, travamentos do sistema operacional, acessórios desconectar-se demasiado fácil, funcionalidade enterrado")</f>
        <v>OS lento, travamentos do sistema operacional, acessórios desconectar-se demasiado fácil, funcionalidade enterrado</v>
      </c>
      <c r="B38534" s="3">
        <v>0</v>
      </c>
    </row>
    <row r="38535" ht="15.75" customHeight="1" spans="1:2">
      <c r="A38535" s="3" t="str">
        <f>IFERROR(__xludf.DUMMYFUNCTION("GOOGLETRANSLATE(A38535,""en"",""pt"")"),"Ele suga como um telefone!")</f>
        <v>Ele suga como um telefone!</v>
      </c>
      <c r="B38535" s="3">
        <v>0</v>
      </c>
    </row>
    <row r="38536" ht="15.75" customHeight="1" spans="1:2">
      <c r="A38536" s="3" t="str">
        <f>IFERROR(__xludf.DUMMYFUNCTION("GOOGLETRANSLATE(A38536,""en"",""pt"")"),"HORRÍVEL botões, terríveis para mensagens de texto")</f>
        <v>HORRÍVEL botões, terríveis para mensagens de texto</v>
      </c>
      <c r="B38536" s="3">
        <v>0</v>
      </c>
    </row>
    <row r="38537" ht="15.75" customHeight="1" spans="1:2">
      <c r="A38537" s="3" t="str">
        <f>IFERROR(__xludf.DUMMYFUNCTION("GOOGLETRANSLATE(A38537,""en"",""pt"")"),"vida útil da bateria !!!")</f>
        <v>vida útil da bateria !!!</v>
      </c>
      <c r="B38537" s="3">
        <v>0</v>
      </c>
    </row>
    <row r="38538" ht="15.75" customHeight="1" spans="1:2">
      <c r="A38538" s="3" t="str">
        <f>IFERROR(__xludf.DUMMYFUNCTION("GOOGLETRANSLATE(A38538,""en"",""pt"")"),"Um pouco pesado. Interface um pouco lento.")</f>
        <v>Um pouco pesado. Interface um pouco lento.</v>
      </c>
      <c r="B38538" s="3">
        <v>0</v>
      </c>
    </row>
    <row r="38539" ht="15.75" customHeight="1" spans="1:2">
      <c r="A38539" s="3" t="str">
        <f>IFERROR(__xludf.DUMMYFUNCTION("GOOGLETRANSLATE(A38539,""en"",""pt"")"),"salvar números é uma tarefa")</f>
        <v>salvar números é uma tarefa</v>
      </c>
      <c r="B38539" s="3">
        <v>0</v>
      </c>
    </row>
    <row r="38540" ht="15.75" customHeight="1" spans="1:2">
      <c r="A38540" s="3" t="str">
        <f>IFERROR(__xludf.DUMMYFUNCTION("GOOGLETRANSLATE(A38540,""en"",""pt"")"),"Qualidade e vida útil da bateria")</f>
        <v>Qualidade e vida útil da bateria</v>
      </c>
      <c r="B38540" s="3">
        <v>0</v>
      </c>
    </row>
    <row r="38541" ht="15.75" customHeight="1" spans="1:2">
      <c r="A38541" s="3" t="str">
        <f>IFERROR(__xludf.DUMMYFUNCTION("GOOGLETRANSLATE(A38541,""en"",""pt"")"),"Menu do sistema, Short Vida útil da bateria, Monochrome Display.")</f>
        <v>Menu do sistema, Short Vida útil da bateria, Monochrome Display.</v>
      </c>
      <c r="B38541" s="3">
        <v>0</v>
      </c>
    </row>
    <row r="38542" ht="15.75" customHeight="1" spans="1:2">
      <c r="A38542" s="3" t="str">
        <f>IFERROR(__xludf.DUMMYFUNCTION("GOOGLETRANSLATE(A38542,""en"",""pt"")"),"qualidade de som inferior.")</f>
        <v>qualidade de som inferior.</v>
      </c>
      <c r="B38542" s="3">
        <v>0</v>
      </c>
    </row>
    <row r="38543" ht="15.75" customHeight="1" spans="1:2">
      <c r="A38543" s="3" t="str">
        <f>IFERROR(__xludf.DUMMYFUNCTION("GOOGLETRANSLATE(A38543,""en"",""pt"")"),"na verdade não funciona")</f>
        <v>na verdade não funciona</v>
      </c>
      <c r="B38543" s="3">
        <v>0</v>
      </c>
    </row>
    <row r="38544" ht="15.75" customHeight="1" spans="1:2">
      <c r="A38544" s="3" t="str">
        <f>IFERROR(__xludf.DUMMYFUNCTION("GOOGLETRANSLATE(A38544,""en"",""pt"")"),"É feio e lentamente vai fazer você def.")</f>
        <v>É feio e lentamente vai fazer você def.</v>
      </c>
      <c r="B38544" s="3">
        <v>0</v>
      </c>
    </row>
    <row r="38545" ht="15.75" customHeight="1" spans="1:2">
      <c r="A38545" s="3" t="str">
        <f>IFERROR(__xludf.DUMMYFUNCTION("GOOGLETRANSLATE(A38545,""en"",""pt"")"),"Big, a vida da bateria, teclas sensíveis, a falta de recursos avançados.")</f>
        <v>Big, a vida da bateria, teclas sensíveis, a falta de recursos avançados.</v>
      </c>
      <c r="B38545" s="3">
        <v>0</v>
      </c>
    </row>
    <row r="38546" ht="15.75" customHeight="1" spans="1:2">
      <c r="A38546" s="3" t="str">
        <f>IFERROR(__xludf.DUMMYFUNCTION("GOOGLETRANSLATE(A38546,""en"",""pt"")"),"A vida da bateria, recepção, durabilidade, nenhum navegador web")</f>
        <v>A vida da bateria, recepção, durabilidade, nenhum navegador web</v>
      </c>
      <c r="B38546" s="3">
        <v>0</v>
      </c>
    </row>
    <row r="38547" ht="15.75" customHeight="1" spans="1:2">
      <c r="A38547" s="3" t="str">
        <f>IFERROR(__xludf.DUMMYFUNCTION("GOOGLETRANSLATE(A38547,""en"",""pt"")"),"Não muda de digital para analógico bem.")</f>
        <v>Não muda de digital para analógico bem.</v>
      </c>
      <c r="B38547" s="3">
        <v>0</v>
      </c>
    </row>
    <row r="38548" ht="15.75" customHeight="1" spans="1:2">
      <c r="A38548" s="3" t="str">
        <f>IFERROR(__xludf.DUMMYFUNCTION("GOOGLETRANSLATE(A38548,""en"",""pt"")"),"No viva-voz ou navegador web")</f>
        <v>No viva-voz ou navegador web</v>
      </c>
      <c r="B38548" s="3">
        <v>0</v>
      </c>
    </row>
    <row r="38549" ht="15.75" customHeight="1" spans="1:2">
      <c r="A38549" s="3" t="str">
        <f>IFERROR(__xludf.DUMMYFUNCTION("GOOGLETRANSLATE(A38549,""en"",""pt"")"),"Má qualidade, medíocre recepção, falta de acessórios")</f>
        <v>Má qualidade, medíocre recepção, falta de acessórios</v>
      </c>
      <c r="B38549" s="3">
        <v>0</v>
      </c>
    </row>
    <row r="38550" ht="15.75" customHeight="1" spans="1:2">
      <c r="A38550" s="3" t="str">
        <f>IFERROR(__xludf.DUMMYFUNCTION("GOOGLETRANSLATE(A38550,""en"",""pt"")"),"botão de orelha única, longa Menu para percorrer")</f>
        <v>botão de orelha única, longa Menu para percorrer</v>
      </c>
      <c r="B38550" s="3">
        <v>0</v>
      </c>
    </row>
    <row r="38551" ht="15.75" customHeight="1" spans="1:2">
      <c r="A38551" s="3" t="str">
        <f>IFERROR(__xludf.DUMMYFUNCTION("GOOGLETRANSLATE(A38551,""en"",""pt"")"),"Sistema de Menu Brutal")</f>
        <v>Sistema de Menu Brutal</v>
      </c>
      <c r="B38551" s="3">
        <v>0</v>
      </c>
    </row>
    <row r="38552" ht="15.75" customHeight="1" spans="1:2">
      <c r="A38552" s="3" t="str">
        <f>IFERROR(__xludf.DUMMYFUNCTION("GOOGLETRANSLATE(A38552,""en"",""pt"")"),"Grandes, volumosos, sem frescuras")</f>
        <v>Grandes, volumosos, sem frescuras</v>
      </c>
      <c r="B38552" s="3">
        <v>0</v>
      </c>
    </row>
    <row r="38553" ht="15.75" customHeight="1" spans="1:2">
      <c r="A38553" s="3" t="str">
        <f>IFERROR(__xludf.DUMMYFUNCTION("GOOGLETRANSLATE(A38553,""en"",""pt"")"),"Pouca memória, caro, sem limites de distância, etc etc")</f>
        <v>Pouca memória, caro, sem limites de distância, etc etc</v>
      </c>
      <c r="B38553" s="3">
        <v>0</v>
      </c>
    </row>
    <row r="38554" ht="15.75" customHeight="1" spans="1:2">
      <c r="A38554" s="3" t="str">
        <f>IFERROR(__xludf.DUMMYFUNCTION("GOOGLETRANSLATE(A38554,""en"",""pt"")"),"Li-Ion 650 mAh, alguns menus e opções (ou a falta deles).")</f>
        <v>Li-Ion 650 mAh, alguns menus e opções (ou a falta deles).</v>
      </c>
      <c r="B38554" s="3">
        <v>0</v>
      </c>
    </row>
    <row r="38555" ht="15.75" customHeight="1" spans="1:2">
      <c r="A38555" s="3" t="str">
        <f>IFERROR(__xludf.DUMMYFUNCTION("GOOGLETRANSLATE(A38555,""en"",""pt"")"),"Grande bateria ... Pobre construção.")</f>
        <v>Grande bateria ... Pobre construção.</v>
      </c>
      <c r="B38555" s="3">
        <v>0</v>
      </c>
    </row>
    <row r="38556" ht="15.75" customHeight="1" spans="1:2">
      <c r="A38556" s="3" t="str">
        <f>IFERROR(__xludf.DUMMYFUNCTION("GOOGLETRANSLATE(A38556,""en"",""pt"")"),"Sem características web, difícil de usar")</f>
        <v>Sem características web, difícil de usar</v>
      </c>
      <c r="B38556" s="3">
        <v>0</v>
      </c>
    </row>
    <row r="38557" ht="15.75" customHeight="1" spans="1:2">
      <c r="A38557" s="3" t="str">
        <f>IFERROR(__xludf.DUMMYFUNCTION("GOOGLETRANSLATE(A38557,""en"",""pt"")"),"Talvez um pouco pequeno para dedos hubbies maiores.")</f>
        <v>Talvez um pouco pequeno para dedos hubbies maiores.</v>
      </c>
      <c r="B38557" s="3">
        <v>0</v>
      </c>
    </row>
    <row r="38558" ht="15.75" customHeight="1" spans="1:2">
      <c r="A38558" s="3" t="str">
        <f>IFERROR(__xludf.DUMMYFUNCTION("GOOGLETRANSLATE(A38558,""en"",""pt"")"),"não muito boa qualidade de som para chamadas, pequenos botões no teclado de discagem de roaming")</f>
        <v>não muito boa qualidade de som para chamadas, pequenos botões no teclado de discagem de roaming</v>
      </c>
      <c r="B38558" s="3">
        <v>0</v>
      </c>
    </row>
    <row r="38559" ht="15.75" customHeight="1" spans="1:2">
      <c r="A38559" s="3" t="str">
        <f>IFERROR(__xludf.DUMMYFUNCTION("GOOGLETRANSLATE(A38559,""en"",""pt"")"),"Pequenos botões, sensação um pouco barato, display e botões de hardware para ler sem luz de fundo")</f>
        <v>Pequenos botões, sensação um pouco barato, display e botões de hardware para ler sem luz de fundo</v>
      </c>
      <c r="B38559" s="3">
        <v>0</v>
      </c>
    </row>
    <row r="38560" ht="15.75" customHeight="1" spans="1:2">
      <c r="A38560" s="3" t="str">
        <f>IFERROR(__xludf.DUMMYFUNCTION("GOOGLETRANSLATE(A38560,""en"",""pt"")"),"Exibir difícil de ler, campainha e alto-falante não tão alto, resposta lenta em menus")</f>
        <v>Exibir difícil de ler, campainha e alto-falante não tão alto, resposta lenta em menus</v>
      </c>
      <c r="B38560" s="3">
        <v>0</v>
      </c>
    </row>
    <row r="38561" ht="15.75" customHeight="1" spans="1:2">
      <c r="A38561" s="3" t="str">
        <f>IFERROR(__xludf.DUMMYFUNCTION("GOOGLETRANSLATE(A38561,""en"",""pt"")"),"zumbido luz ocasional")</f>
        <v>zumbido luz ocasional</v>
      </c>
      <c r="B38561" s="3">
        <v>0</v>
      </c>
    </row>
    <row r="38562" ht="15.75" customHeight="1" spans="1:2">
      <c r="A38562" s="3" t="str">
        <f>IFERROR(__xludf.DUMMYFUNCTION("GOOGLETRANSLATE(A38562,""en"",""pt"")"),"não pode desligar saudação e saída de som. baixo fone de ouvido. Alguns anéis de baixo.")</f>
        <v>não pode desligar saudação e saída de som. baixo fone de ouvido. Alguns anéis de baixo.</v>
      </c>
      <c r="B38562" s="3">
        <v>0</v>
      </c>
    </row>
    <row r="38563" ht="15.75" customHeight="1" spans="1:2">
      <c r="A38563" s="3" t="str">
        <f>IFERROR(__xludf.DUMMYFUNCTION("GOOGLETRANSLATE(A38563,""en"",""pt"")"),"medidor de bateria, botões, fonte")</f>
        <v>medidor de bateria, botões, fonte</v>
      </c>
      <c r="B38563" s="3">
        <v>0</v>
      </c>
    </row>
    <row r="38564" ht="15.75" customHeight="1" spans="1:2">
      <c r="A38564" s="3" t="str">
        <f>IFERROR(__xludf.DUMMYFUNCTION("GOOGLETRANSLATE(A38564,""en"",""pt"")"),"o desempenho da bateria pobres, terrible recepção")</f>
        <v>o desempenho da bateria pobres, terrible recepção</v>
      </c>
      <c r="B38564" s="3">
        <v>0</v>
      </c>
    </row>
    <row r="38565" ht="15.75" customHeight="1" spans="1:2">
      <c r="A38565" s="3" t="str">
        <f>IFERROR(__xludf.DUMMYFUNCTION("GOOGLETRANSLATE(A38565,""en"",""pt"")"),"muitos para lista; consulte a revisão")</f>
        <v>muitos para lista; consulte a revisão</v>
      </c>
      <c r="B38565" s="3">
        <v>0</v>
      </c>
    </row>
    <row r="38566" ht="15.75" customHeight="1" spans="1:2">
      <c r="A38566" s="3" t="str">
        <f>IFERROR(__xludf.DUMMYFUNCTION("GOOGLETRANSLATE(A38566,""en"",""pt"")"),"mal fabricados (sente frágil), menus / software desorganizada, a vida de bateria fraca")</f>
        <v>mal fabricados (sente frágil), menus / software desorganizada, a vida de bateria fraca</v>
      </c>
      <c r="B38566" s="3">
        <v>0</v>
      </c>
    </row>
    <row r="38567" ht="15.75" customHeight="1" spans="1:2">
      <c r="A38567" s="3" t="str">
        <f>IFERROR(__xludf.DUMMYFUNCTION("GOOGLETRANSLATE(A38567,""en"",""pt"")"),"vida pobre da bateria, recepção poderia ser melhor")</f>
        <v>vida pobre da bateria, recepção poderia ser melhor</v>
      </c>
      <c r="B38567" s="3">
        <v>0</v>
      </c>
    </row>
    <row r="38568" ht="15.75" customHeight="1" spans="1:2">
      <c r="A38568" s="3" t="str">
        <f>IFERROR(__xludf.DUMMYFUNCTION("GOOGLETRANSLATE(A38568,""en"",""pt"")"),"teclado pequeno, a qualidade do som, a capacidade da bateria")</f>
        <v>teclado pequeno, a qualidade do som, a capacidade da bateria</v>
      </c>
      <c r="B38568" s="3">
        <v>0</v>
      </c>
    </row>
    <row r="38569" ht="15.75" customHeight="1" spans="1:2">
      <c r="A38569" s="3" t="str">
        <f>IFERROR(__xludf.DUMMYFUNCTION("GOOGLETRANSLATE(A38569,""en"",""pt"")"),"problemas conhecidos com a vida da bateria, às vezes má recepção, construção barata, botões ficar fora longe demais.")</f>
        <v>problemas conhecidos com a vida da bateria, às vezes má recepção, construção barata, botões ficar fora longe demais.</v>
      </c>
      <c r="B38569" s="3">
        <v>0</v>
      </c>
    </row>
    <row r="38570" ht="15.75" customHeight="1" spans="1:2">
      <c r="A38570" s="3" t="str">
        <f>IFERROR(__xludf.DUMMYFUNCTION("GOOGLETRANSLATE(A38570,""en"",""pt"")"),"Vida útil da bateria !, pequeno Botões pequenos (grandes mãos grandes), AOL para o telefone é impossível de usar.")</f>
        <v>Vida útil da bateria !, pequeno Botões pequenos (grandes mãos grandes), AOL para o telefone é impossível de usar.</v>
      </c>
      <c r="B38570" s="3">
        <v>0</v>
      </c>
    </row>
    <row r="38571" ht="15.75" customHeight="1" spans="1:2">
      <c r="A38571" s="3" t="str">
        <f>IFERROR(__xludf.DUMMYFUNCTION("GOOGLETRANSLATE(A38571,""en"",""pt"")"),"vida pobre da bateria, usabilidade confuso")</f>
        <v>vida pobre da bateria, usabilidade confuso</v>
      </c>
      <c r="B38571" s="3">
        <v>0</v>
      </c>
    </row>
    <row r="38572" ht="15.75" customHeight="1" spans="1:2">
      <c r="A38572" s="3" t="str">
        <f>IFERROR(__xludf.DUMMYFUNCTION("GOOGLETRANSLATE(A38572,""en"",""pt"")"),"Digitação de mensagens com iTap não é suficiente inteligente. Pequenos botões.")</f>
        <v>Digitação de mensagens com iTap não é suficiente inteligente. Pequenos botões.</v>
      </c>
      <c r="B38572" s="3">
        <v>0</v>
      </c>
    </row>
    <row r="38573" ht="15.75" customHeight="1" spans="1:2">
      <c r="A38573" s="3" t="str">
        <f>IFERROR(__xludf.DUMMYFUNCTION("GOOGLETRANSLATE(A38573,""en"",""pt"")"),"Má recepção, duração da bateria, toques e Carcaça barata")</f>
        <v>Má recepção, duração da bateria, toques e Carcaça barata</v>
      </c>
      <c r="B38573" s="3">
        <v>0</v>
      </c>
    </row>
    <row r="38574" ht="15.75" customHeight="1" spans="1:2">
      <c r="A38574" s="3" t="str">
        <f>IFERROR(__xludf.DUMMYFUNCTION("GOOGLETRANSLATE(A38574,""en"",""pt"")"),"Curta vida útil da bateria, Long-Run Desempenho")</f>
        <v>Curta vida útil da bateria, Long-Run Desempenho</v>
      </c>
      <c r="B38574" s="3">
        <v>0</v>
      </c>
    </row>
    <row r="38575" ht="15.75" customHeight="1" spans="1:2">
      <c r="A38575" s="3" t="str">
        <f>IFERROR(__xludf.DUMMYFUNCTION("GOOGLETRANSLATE(A38575,""en"",""pt"")"),"banda única, sinto meio barato.")</f>
        <v>banda única, sinto meio barato.</v>
      </c>
      <c r="B38575" s="3">
        <v>0</v>
      </c>
    </row>
    <row r="38576" ht="15.75" customHeight="1" spans="1:2">
      <c r="A38576" s="3" t="str">
        <f>IFERROR(__xludf.DUMMYFUNCTION("GOOGLETRANSLATE(A38576,""en"",""pt"")"),"anéis musicais não alto o suficiente")</f>
        <v>anéis musicais não alto o suficiente</v>
      </c>
      <c r="B38576" s="3">
        <v>0</v>
      </c>
    </row>
    <row r="38577" ht="15.75" customHeight="1" spans="1:2">
      <c r="A38577" s="3" t="str">
        <f>IFERROR(__xludf.DUMMYFUNCTION("GOOGLETRANSLATE(A38577,""en"",""pt"")"),"Os botões podem ser um pouco complicado, bateria facilmente sobrecarregado.")</f>
        <v>Os botões podem ser um pouco complicado, bateria facilmente sobrecarregado.</v>
      </c>
      <c r="B38577" s="3">
        <v>0</v>
      </c>
    </row>
    <row r="38578" ht="15.75" customHeight="1" spans="1:2">
      <c r="A38578" s="3" t="str">
        <f>IFERROR(__xludf.DUMMYFUNCTION("GOOGLETRANSLATE(A38578,""en"",""pt"")"),"resposta lenta em menus, teclado, sons de baixa alto-falante e de anel, bateria interna, etc.")</f>
        <v>resposta lenta em menus, teclado, sons de baixa alto-falante e de anel, bateria interna, etc.</v>
      </c>
      <c r="B38578" s="3">
        <v>0</v>
      </c>
    </row>
    <row r="38579" ht="15.75" customHeight="1" spans="1:2">
      <c r="A38579" s="3" t="str">
        <f>IFERROR(__xludf.DUMMYFUNCTION("GOOGLETRANSLATE(A38579,""en"",""pt"")"),"construção barato, a duração da bateria terrível, conexões pobres")</f>
        <v>construção barato, a duração da bateria terrível, conexões pobres</v>
      </c>
      <c r="B38579" s="3">
        <v>0</v>
      </c>
    </row>
    <row r="38580" ht="15.75" customHeight="1" spans="1:2">
      <c r="A38580" s="3" t="str">
        <f>IFERROR(__xludf.DUMMYFUNCTION("GOOGLETRANSLATE(A38580,""en"",""pt"")"),"Má qualidade, vida útil da bateria ruim, mau funcionamento.")</f>
        <v>Má qualidade, vida útil da bateria ruim, mau funcionamento.</v>
      </c>
      <c r="B38580" s="3">
        <v>0</v>
      </c>
    </row>
    <row r="38581" ht="15.75" customHeight="1" spans="1:2">
      <c r="A38581" s="3" t="str">
        <f>IFERROR(__xludf.DUMMYFUNCTION("GOOGLETRANSLATE(A38581,""en"",""pt"")"),"A vida da bateria")</f>
        <v>A vida da bateria</v>
      </c>
      <c r="B38581" s="3">
        <v>0</v>
      </c>
    </row>
    <row r="38582" ht="15.75" customHeight="1" spans="1:2">
      <c r="A38582" s="3" t="str">
        <f>IFERROR(__xludf.DUMMYFUNCTION("GOOGLETRANSLATE(A38582,""en"",""pt"")"),"Bateria precisa ser recarregada por dia, se você usa o telefone em tudo. não o backup de bateria")</f>
        <v>Bateria precisa ser recarregada por dia, se você usa o telefone em tudo. não o backup de bateria</v>
      </c>
      <c r="B38582" s="3">
        <v>0</v>
      </c>
    </row>
    <row r="38583" ht="15.75" customHeight="1" spans="1:2">
      <c r="A38583" s="3" t="str">
        <f>IFERROR(__xludf.DUMMYFUNCTION("GOOGLETRANSLATE(A38583,""en"",""pt"")"),"A vida da bateria; hora de conversar; o volume do receptor;")</f>
        <v>A vida da bateria; hora de conversar; o volume do receptor;</v>
      </c>
      <c r="B38583" s="3">
        <v>0</v>
      </c>
    </row>
    <row r="38584" ht="15.75" customHeight="1" spans="1:2">
      <c r="A38584" s="3" t="str">
        <f>IFERROR(__xludf.DUMMYFUNCTION("GOOGLETRANSLATE(A38584,""en"",""pt"")"),"toques não são altos o suficiente, bateria interna")</f>
        <v>toques não são altos o suficiente, bateria interna</v>
      </c>
      <c r="B38584" s="3">
        <v>0</v>
      </c>
    </row>
    <row r="38585" ht="15.75" customHeight="1" spans="1:2">
      <c r="A38585" s="3" t="str">
        <f>IFERROR(__xludf.DUMMYFUNCTION("GOOGLETRANSLATE(A38585,""en"",""pt"")"),"vida útil da bateria, toque eo volume da voz baixa e sensação barato,")</f>
        <v>vida útil da bateria, toque eo volume da voz baixa e sensação barato,</v>
      </c>
      <c r="B38585" s="3">
        <v>0</v>
      </c>
    </row>
    <row r="38586" ht="15.75" customHeight="1" spans="1:2">
      <c r="A38586" s="3" t="str">
        <f>IFERROR(__xludf.DUMMYFUNCTION("GOOGLETRANSLATE(A38586,""en"",""pt"")"),"som e bateria")</f>
        <v>som e bateria</v>
      </c>
      <c r="B38586" s="3">
        <v>0</v>
      </c>
    </row>
    <row r="38587" ht="15.75" customHeight="1" spans="1:2">
      <c r="A38587" s="3" t="str">
        <f>IFERROR(__xludf.DUMMYFUNCTION("GOOGLETRANSLATE(A38587,""en"",""pt"")"),"Vida útil da bateria, anéis baixos, e muito mais coisas ...")</f>
        <v>Vida útil da bateria, anéis baixos, e muito mais coisas ...</v>
      </c>
      <c r="B38587" s="3">
        <v>0</v>
      </c>
    </row>
    <row r="38588" ht="15.75" customHeight="1" spans="1:2">
      <c r="A38588" s="3" t="str">
        <f>IFERROR(__xludf.DUMMYFUNCTION("GOOGLETRANSLATE(A38588,""en"",""pt"")"),"Algo se passa com as baterias?")</f>
        <v>Algo se passa com as baterias?</v>
      </c>
      <c r="B38588" s="3">
        <v>0</v>
      </c>
    </row>
    <row r="38589" ht="15.75" customHeight="1" spans="1:2">
      <c r="A38589" s="3" t="str">
        <f>IFERROR(__xludf.DUMMYFUNCTION("GOOGLETRANSLATE(A38589,""en"",""pt"")"),"pobre bateria e volume de anel")</f>
        <v>pobre bateria e volume de anel</v>
      </c>
      <c r="B38589" s="3">
        <v>0</v>
      </c>
    </row>
    <row r="38590" ht="15.75" customHeight="1" spans="1:2">
      <c r="A38590" s="3" t="str">
        <f>IFERROR(__xludf.DUMMYFUNCTION("GOOGLETRANSLATE(A38590,""en"",""pt"")"),"frágil plástico barato, vida da bateria é uma porcaria !!, tela mantém congelamento !!!")</f>
        <v>frágil plástico barato, vida da bateria é uma porcaria !!, tela mantém congelamento !!!</v>
      </c>
      <c r="B38590" s="3">
        <v>0</v>
      </c>
    </row>
    <row r="38591" ht="15.75" customHeight="1" spans="1:2">
      <c r="A38591" s="3" t="str">
        <f>IFERROR(__xludf.DUMMYFUNCTION("GOOGLETRANSLATE(A38591,""en"",""pt"")"),"muito pequeno, difícil de navegar em comparação com outros telefones, tela difícil de ler, anéis baixos")</f>
        <v>muito pequeno, difícil de navegar em comparação com outros telefones, tela difícil de ler, anéis baixos</v>
      </c>
      <c r="B38591" s="3">
        <v>0</v>
      </c>
    </row>
    <row r="38592" ht="15.75" customHeight="1" spans="1:2">
      <c r="A38592" s="3" t="str">
        <f>IFERROR(__xludf.DUMMYFUNCTION("GOOGLETRANSLATE(A38592,""en"",""pt"")"),"Pequenos botões, cópia Difícil números de cartão SIM para o telefone, a vida da bateria poderia ser melhor.")</f>
        <v>Pequenos botões, cópia Difícil números de cartão SIM para o telefone, a vida da bateria poderia ser melhor.</v>
      </c>
      <c r="B38592" s="3">
        <v>0</v>
      </c>
    </row>
    <row r="38593" ht="15.75" customHeight="1" spans="1:2">
      <c r="A38593" s="3" t="str">
        <f>IFERROR(__xludf.DUMMYFUNCTION("GOOGLETRANSLATE(A38593,""en"",""pt"")"),"baixa vida útil da bateria, o volume terrível, campainha soa bruta")</f>
        <v>baixa vida útil da bateria, o volume terrível, campainha soa bruta</v>
      </c>
      <c r="B38593" s="3">
        <v>0</v>
      </c>
    </row>
    <row r="38594" ht="15.75" customHeight="1" spans="1:2">
      <c r="A38594" s="3" t="str">
        <f>IFERROR(__xludf.DUMMYFUNCTION("GOOGLETRANSLATE(A38594,""en"",""pt"")"),"A bateria é uma porcaria, pode muito bem viajar com quartos para o telefone público")</f>
        <v>A bateria é uma porcaria, pode muito bem viajar com quartos para o telefone público</v>
      </c>
      <c r="B38594" s="3">
        <v>0</v>
      </c>
    </row>
    <row r="38595" ht="15.75" customHeight="1" spans="1:2">
      <c r="A38595" s="3" t="str">
        <f>IFERROR(__xludf.DUMMYFUNCTION("GOOGLETRANSLATE(A38595,""en"",""pt"")"),"terrível capacidade de carga da bateria interna auricular e da campainha quase inaudível")</f>
        <v>terrível capacidade de carga da bateria interna auricular e da campainha quase inaudível</v>
      </c>
      <c r="B38595" s="3">
        <v>0</v>
      </c>
    </row>
    <row r="38596" ht="15.75" customHeight="1" spans="1:2">
      <c r="A38596" s="3" t="str">
        <f>IFERROR(__xludf.DUMMYFUNCTION("GOOGLETRANSLATE(A38596,""en"",""pt"")"),"Eu não acho que há qualquer contras.")</f>
        <v>Eu não acho que há qualquer contras.</v>
      </c>
      <c r="B38596" s="3">
        <v>0</v>
      </c>
    </row>
    <row r="38597" ht="15.75" customHeight="1" spans="1:2">
      <c r="A38597" s="3" t="str">
        <f>IFERROR(__xludf.DUMMYFUNCTION("GOOGLETRANSLATE(A38597,""en"",""pt"")"),"Não é um bom celular.")</f>
        <v>Não é um bom celular.</v>
      </c>
      <c r="B38597" s="3">
        <v>0</v>
      </c>
    </row>
    <row r="38598" ht="15.75" customHeight="1" spans="1:2">
      <c r="A38598" s="3" t="str">
        <f>IFERROR(__xludf.DUMMYFUNCTION("GOOGLETRANSLATE(A38598,""en"",""pt"")"),"stregth sinal fraco em áreas marginais. bateria não substituível.")</f>
        <v>stregth sinal fraco em áreas marginais. bateria não substituível.</v>
      </c>
      <c r="B38598" s="3">
        <v>0</v>
      </c>
    </row>
    <row r="38599" ht="15.75" customHeight="1" spans="1:2">
      <c r="A38599" s="3" t="str">
        <f>IFERROR(__xludf.DUMMYFUNCTION("GOOGLETRANSLATE(A38599,""en"",""pt"")"),"Bem, praticamente tudo o resto.")</f>
        <v>Bem, praticamente tudo o resto.</v>
      </c>
      <c r="B38599" s="3">
        <v>0</v>
      </c>
    </row>
    <row r="38600" ht="15.75" customHeight="1" spans="1:2">
      <c r="A38600" s="3" t="str">
        <f>IFERROR(__xludf.DUMMYFUNCTION("GOOGLETRANSLATE(A38600,""en"",""pt"")"),"Pequenos botões, Bad recepção, gotas chamadas, problemas Non Stop")</f>
        <v>Pequenos botões, Bad recepção, gotas chamadas, problemas Non Stop</v>
      </c>
      <c r="B38600" s="3">
        <v>0</v>
      </c>
    </row>
    <row r="38601" ht="15.75" customHeight="1" spans="1:2">
      <c r="A38601" s="3" t="str">
        <f>IFERROR(__xludf.DUMMYFUNCTION("GOOGLETRANSLATE(A38601,""en"",""pt"")"),"Volume do toque, extensão curta vida, baterias, má recepção, barato lixo plástico.")</f>
        <v>Volume do toque, extensão curta vida, baterias, má recepção, barato lixo plástico.</v>
      </c>
      <c r="B38601" s="3">
        <v>0</v>
      </c>
    </row>
    <row r="38602" ht="15.75" customHeight="1" spans="1:2">
      <c r="A38602" s="3" t="str">
        <f>IFERROR(__xludf.DUMMYFUNCTION("GOOGLETRANSLATE(A38602,""en"",""pt"")"),"A duração da bateria é menor do que o seu dedo mindinho. Volume em anéis personalizados é pobre.")</f>
        <v>A duração da bateria é menor do que o seu dedo mindinho. Volume em anéis personalizados é pobre.</v>
      </c>
      <c r="B38602" s="3">
        <v>0</v>
      </c>
    </row>
    <row r="38603" ht="15.75" customHeight="1" spans="1:2">
      <c r="A38603" s="3" t="str">
        <f>IFERROR(__xludf.DUMMYFUNCTION("GOOGLETRANSLATE(A38603,""en"",""pt"")"),"Pequeno, bateria ruim")</f>
        <v>Pequeno, bateria ruim</v>
      </c>
      <c r="B38603" s="3">
        <v>0</v>
      </c>
    </row>
    <row r="38604" ht="15.75" customHeight="1" spans="1:2">
      <c r="A38604" s="3" t="str">
        <f>IFERROR(__xludf.DUMMYFUNCTION("GOOGLETRANSLATE(A38604,""en"",""pt"")"),"Não rádio.")</f>
        <v>Não rádio.</v>
      </c>
      <c r="B38604" s="3">
        <v>0</v>
      </c>
    </row>
    <row r="38605" ht="15.75" customHeight="1" spans="1:2">
      <c r="A38605" s="3" t="str">
        <f>IFERROR(__xludf.DUMMYFUNCTION("GOOGLETRANSLATE(A38605,""en"",""pt"")"),"A vida da bateria, volume da campainha")</f>
        <v>A vida da bateria, volume da campainha</v>
      </c>
      <c r="B38605" s="3">
        <v>0</v>
      </c>
    </row>
    <row r="38606" ht="15.75" customHeight="1" spans="1:2">
      <c r="A38606" s="3" t="str">
        <f>IFERROR(__xludf.DUMMYFUNCTION("GOOGLETRANSLATE(A38606,""en"",""pt"")"),"vida útil da bateria horrendo, qualidade frágil.")</f>
        <v>vida útil da bateria horrendo, qualidade frágil.</v>
      </c>
      <c r="B38606" s="3">
        <v>0</v>
      </c>
    </row>
    <row r="38607" ht="15.75" customHeight="1" spans="1:2">
      <c r="A38607" s="3" t="str">
        <f>IFERROR(__xludf.DUMMYFUNCTION("GOOGLETRANSLATE(A38607,""en"",""pt"")"),"carregamento problemas, problemas de memória (#s telefone perdido) -frequently perde energia, frágil")</f>
        <v>carregamento problemas, problemas de memória (#s telefone perdido) -frequently perde energia, frágil</v>
      </c>
      <c r="B38607" s="3">
        <v>0</v>
      </c>
    </row>
    <row r="38608" ht="15.75" customHeight="1" spans="1:2">
      <c r="A38608" s="3" t="str">
        <f>IFERROR(__xludf.DUMMYFUNCTION("GOOGLETRANSLATE(A38608,""en"",""pt"")"),"a vida da bateria pobres. Os problemas de software. Barato.")</f>
        <v>a vida da bateria pobres. Os problemas de software. Barato.</v>
      </c>
      <c r="B38608" s="3">
        <v>0</v>
      </c>
    </row>
    <row r="38609" ht="15.75" customHeight="1" spans="1:2">
      <c r="A38609" s="3" t="str">
        <f>IFERROR(__xludf.DUMMYFUNCTION("GOOGLETRANSLATE(A38609,""en"",""pt"")"),"Muitos para listar.")</f>
        <v>Muitos para listar.</v>
      </c>
      <c r="B38609" s="3">
        <v>0</v>
      </c>
    </row>
    <row r="38610" ht="15.75" customHeight="1" spans="1:2">
      <c r="A38610" s="3" t="str">
        <f>IFERROR(__xludf.DUMMYFUNCTION("GOOGLETRANSLATE(A38610,""en"",""pt"")"),"bateria fraca, a qualidade barato, recepção ruim, muito pequeno")</f>
        <v>bateria fraca, a qualidade barato, recepção ruim, muito pequeno</v>
      </c>
      <c r="B38610" s="3">
        <v>0</v>
      </c>
    </row>
    <row r="38611" ht="15.75" customHeight="1" spans="1:2">
      <c r="A38611" s="3" t="str">
        <f>IFERROR(__xludf.DUMMYFUNCTION("GOOGLETRANSLATE(A38611,""en"",""pt"")"),"frágil, mau software, 4 de 4 telefones com defeito dentro de 6 meses")</f>
        <v>frágil, mau software, 4 de 4 telefones com defeito dentro de 6 meses</v>
      </c>
      <c r="B38611" s="3">
        <v>0</v>
      </c>
    </row>
    <row r="38612" ht="15.75" customHeight="1" spans="1:2">
      <c r="A38612" s="3" t="str">
        <f>IFERROR(__xludf.DUMMYFUNCTION("GOOGLETRANSLATE(A38612,""en"",""pt"")"),"Extremamente vida pobre da bateria, toques não pode ser ouvido, questões técnicas, quadro barato / tampa.")</f>
        <v>Extremamente vida pobre da bateria, toques não pode ser ouvido, questões técnicas, quadro barato / tampa.</v>
      </c>
      <c r="B38612" s="3">
        <v>0</v>
      </c>
    </row>
    <row r="38613" ht="15.75" customHeight="1" spans="1:2">
      <c r="A38613" s="3" t="str">
        <f>IFERROR(__xludf.DUMMYFUNCTION("GOOGLETRANSLATE(A38613,""en"",""pt"")"),"Conjunto para rangidos aleta na minha, não um monte de recursos.")</f>
        <v>Conjunto para rangidos aleta na minha, não um monte de recursos.</v>
      </c>
      <c r="B38613" s="3">
        <v>0</v>
      </c>
    </row>
    <row r="38614" ht="15.75" customHeight="1" spans="1:2">
      <c r="A38614" s="3" t="str">
        <f>IFERROR(__xludf.DUMMYFUNCTION("GOOGLETRANSLATE(A38614,""en"",""pt"")"),"top-pesado e estranho às vezes")</f>
        <v>top-pesado e estranho às vezes</v>
      </c>
      <c r="B38614" s="3">
        <v>0</v>
      </c>
    </row>
    <row r="38615" ht="15.75" customHeight="1" spans="1:2">
      <c r="A38615" s="3" t="str">
        <f>IFERROR(__xludf.DUMMYFUNCTION("GOOGLETRANSLATE(A38615,""en"",""pt"")"),"má recepção")</f>
        <v>má recepção</v>
      </c>
      <c r="B38615" s="3">
        <v>0</v>
      </c>
    </row>
    <row r="38616" ht="15.75" customHeight="1" spans="1:2">
      <c r="A38616" s="3" t="str">
        <f>IFERROR(__xludf.DUMMYFUNCTION("GOOGLETRANSLATE(A38616,""en"",""pt"")"),"nenhuma tela fora LCD, muito básico")</f>
        <v>nenhuma tela fora LCD, muito básico</v>
      </c>
      <c r="B38616" s="3">
        <v>0</v>
      </c>
    </row>
    <row r="38617" ht="15.75" customHeight="1" spans="1:2">
      <c r="A38617" s="3" t="str">
        <f>IFERROR(__xludf.DUMMYFUNCTION("GOOGLETRANSLATE(A38617,""en"",""pt"")"),"Muitos para listar, mas vou tentar.")</f>
        <v>Muitos para listar, mas vou tentar.</v>
      </c>
      <c r="B38617" s="3">
        <v>0</v>
      </c>
    </row>
    <row r="38618" ht="15.75" customHeight="1" spans="1:2">
      <c r="A38618" s="3" t="str">
        <f>IFERROR(__xludf.DUMMYFUNCTION("GOOGLETRANSLATE(A38618,""en"",""pt"")"),"qualidade de viva-voz e controle de volume poderia ser melhor")</f>
        <v>qualidade de viva-voz e controle de volume poderia ser melhor</v>
      </c>
      <c r="B38618" s="3">
        <v>0</v>
      </c>
    </row>
    <row r="38619" ht="15.75" customHeight="1" spans="1:2">
      <c r="A38619" s="3" t="str">
        <f>IFERROR(__xludf.DUMMYFUNCTION("GOOGLETRANSLATE(A38619,""en"",""pt"")"),"Você recebe o que você paga. características muito mal executados")</f>
        <v>Você recebe o que você paga. características muito mal executados</v>
      </c>
      <c r="B38619" s="3">
        <v>0</v>
      </c>
    </row>
    <row r="38620" ht="15.75" customHeight="1" spans="1:2">
      <c r="A38620" s="3" t="str">
        <f>IFERROR(__xludf.DUMMYFUNCTION("GOOGLETRANSLATE(A38620,""en"",""pt"")"),"modo de completação T9En para programador terrível. qualidade viva-voz poderia ser melhor, mas é adequada.")</f>
        <v>modo de completação T9En para programador terrível. qualidade viva-voz poderia ser melhor, mas é adequada.</v>
      </c>
      <c r="B38620" s="3">
        <v>0</v>
      </c>
    </row>
    <row r="38621" ht="15.75" customHeight="1" spans="1:2">
      <c r="A38621" s="3" t="str">
        <f>IFERROR(__xludf.DUMMYFUNCTION("GOOGLETRANSLATE(A38621,""en"",""pt"")"),"Limite de 11 caracteres para visualização da lista de entrada da lista telefónica.")</f>
        <v>Limite de 11 caracteres para visualização da lista de entrada da lista telefónica.</v>
      </c>
      <c r="B38621" s="3">
        <v>0</v>
      </c>
    </row>
    <row r="38622" ht="15.75" customHeight="1" spans="1:2">
      <c r="A38622" s="3" t="str">
        <f>IFERROR(__xludf.DUMMYFUNCTION("GOOGLETRANSLATE(A38622,""en"",""pt"")"),"Menus poderia ser mais intuitiva. Muito poucos caracteres permitidos para nomes da lista telefónica.")</f>
        <v>Menus poderia ser mais intuitiva. Muito poucos caracteres permitidos para nomes da lista telefónica.</v>
      </c>
      <c r="B38622" s="3">
        <v>0</v>
      </c>
    </row>
    <row r="38623" ht="15.75" customHeight="1" spans="1:2">
      <c r="A38623" s="3" t="str">
        <f>IFERROR(__xludf.DUMMYFUNCTION("GOOGLETRANSLATE(A38623,""en"",""pt"")"),"ringtones nenhum download ou jogos")</f>
        <v>ringtones nenhum download ou jogos</v>
      </c>
      <c r="B38623" s="3">
        <v>0</v>
      </c>
    </row>
    <row r="38624" ht="15.75" customHeight="1" spans="1:2">
      <c r="A38624" s="3" t="str">
        <f>IFERROR(__xludf.DUMMYFUNCTION("GOOGLETRANSLATE(A38624,""en"",""pt"")"),"barato")</f>
        <v>barato</v>
      </c>
      <c r="B38624" s="3">
        <v>0</v>
      </c>
    </row>
    <row r="38625" ht="15.75" customHeight="1" spans="1:2">
      <c r="A38625" s="3" t="str">
        <f>IFERROR(__xludf.DUMMYFUNCTION("GOOGLETRANSLATE(A38625,""en"",""pt"")"),"Desatualizado agora, nenhuma fantasia apresenta")</f>
        <v>Desatualizado agora, nenhuma fantasia apresenta</v>
      </c>
      <c r="B38625" s="3">
        <v>0</v>
      </c>
    </row>
    <row r="38626" ht="15.75" customHeight="1" spans="1:2">
      <c r="A38626" s="3" t="str">
        <f>IFERROR(__xludf.DUMMYFUNCTION("GOOGLETRANSLATE(A38626,""en"",""pt"")"),"organização livro de telefone (embora possa ser apenas me)")</f>
        <v>organização livro de telefone (embora possa ser apenas me)</v>
      </c>
      <c r="B38626" s="3">
        <v>0</v>
      </c>
    </row>
    <row r="38627" ht="15.75" customHeight="1" spans="1:2">
      <c r="A38627" s="3" t="str">
        <f>IFERROR(__xludf.DUMMYFUNCTION("GOOGLETRANSLATE(A38627,""en"",""pt"")"),"Não é possível baixar ringtones")</f>
        <v>Não é possível baixar ringtones</v>
      </c>
      <c r="B38627" s="3">
        <v>0</v>
      </c>
    </row>
    <row r="38628" ht="15.75" customHeight="1" spans="1:2">
      <c r="A38628" s="3" t="str">
        <f>IFERROR(__xludf.DUMMYFUNCTION("GOOGLETRANSLATE(A38628,""en"",""pt"")"),"não o moderno telefone mais olhando, sem tela colorida, a vida média da bateria")</f>
        <v>não o moderno telefone mais olhando, sem tela colorida, a vida média da bateria</v>
      </c>
      <c r="B38628" s="3">
        <v>0</v>
      </c>
    </row>
    <row r="38629" ht="15.75" customHeight="1" spans="1:2">
      <c r="A38629" s="3" t="str">
        <f>IFERROR(__xludf.DUMMYFUNCTION("GOOGLETRANSLATE(A38629,""en"",""pt"")"),"Não sinos e assobios, se você realmente precisa dessas coisas. ""Lembre-se que é um telefone!""")</f>
        <v>Não sinos e assobios, se você realmente precisa dessas coisas. "Lembre-se que é um telefone!"</v>
      </c>
      <c r="B38629" s="3">
        <v>0</v>
      </c>
    </row>
    <row r="38630" ht="15.75" customHeight="1" spans="1:2">
      <c r="A38630" s="3" t="str">
        <f>IFERROR(__xludf.DUMMYFUNCTION("GOOGLETRANSLATE(A38630,""en"",""pt"")"),"Nenhum.")</f>
        <v>Nenhum.</v>
      </c>
      <c r="B38630" s="3">
        <v>0</v>
      </c>
    </row>
    <row r="38631" ht="15.75" customHeight="1" spans="1:2">
      <c r="A38631" s="3" t="str">
        <f>IFERROR(__xludf.DUMMYFUNCTION("GOOGLETRANSLATE(A38631,""en"",""pt"")"),"Sem vibrador interno. durabilidade medíocre.")</f>
        <v>Sem vibrador interno. durabilidade medíocre.</v>
      </c>
      <c r="B38631" s="3">
        <v>0</v>
      </c>
    </row>
    <row r="38632" ht="15.75" customHeight="1" spans="1:2">
      <c r="A38632" s="3" t="str">
        <f>IFERROR(__xludf.DUMMYFUNCTION("GOOGLETRANSLATE(A38632,""en"",""pt"")"),"Bem, é barato.")</f>
        <v>Bem, é barato.</v>
      </c>
      <c r="B38632" s="3">
        <v>0</v>
      </c>
    </row>
    <row r="38633" ht="15.75" customHeight="1" spans="1:2">
      <c r="A38633" s="3" t="str">
        <f>IFERROR(__xludf.DUMMYFUNCTION("GOOGLETRANSLATE(A38633,""en"",""pt"")"),"vida pobre da bateria, baixa confiabilidade, nenhuma placa de bate-papo e FEIO !!")</f>
        <v>vida pobre da bateria, baixa confiabilidade, nenhuma placa de bate-papo e FEIO !!</v>
      </c>
      <c r="B38633" s="3">
        <v>0</v>
      </c>
    </row>
    <row r="38634" ht="15.75" customHeight="1" spans="1:2">
      <c r="A38634" s="3" t="str">
        <f>IFERROR(__xludf.DUMMYFUNCTION("GOOGLETRANSLATE(A38634,""en"",""pt"")"),"Características reivindicadas do fabricante Não Funcional")</f>
        <v>Características reivindicadas do fabricante Não Funcional</v>
      </c>
      <c r="B38634" s="3">
        <v>0</v>
      </c>
    </row>
    <row r="38635" ht="15.75" customHeight="1" spans="1:2">
      <c r="A38635" s="3" t="str">
        <f>IFERROR(__xludf.DUMMYFUNCTION("GOOGLETRANSLATE(A38635,""en"",""pt"")"),"""Web-ready"" no único nome; Web não está pronto para telefones celulares, mas boa tentativa!")</f>
        <v>"Web-ready" no único nome; Web não está pronto para telefones celulares, mas boa tentativa!</v>
      </c>
      <c r="B38635" s="3">
        <v>0</v>
      </c>
    </row>
    <row r="38636" ht="15.75" customHeight="1" spans="1:2">
      <c r="A38636" s="3" t="str">
        <f>IFERROR(__xludf.DUMMYFUNCTION("GOOGLETRANSLATE(A38636,""en"",""pt"")"),"De texto e correio de voz alertas não são altos o suficiente.")</f>
        <v>De texto e correio de voz alertas não são altos o suficiente.</v>
      </c>
      <c r="B38636" s="3">
        <v>0</v>
      </c>
    </row>
    <row r="38637" ht="15.75" customHeight="1" spans="1:2">
      <c r="A38637" s="3" t="str">
        <f>IFERROR(__xludf.DUMMYFUNCTION("GOOGLETRANSLATE(A38637,""en"",""pt"")"),"chamadas de queda, design ruim, os números se perder nela")</f>
        <v>chamadas de queda, design ruim, os números se perder nela</v>
      </c>
      <c r="B38637" s="3">
        <v>0</v>
      </c>
    </row>
    <row r="38638" ht="15.75" customHeight="1" spans="1:2">
      <c r="A38638" s="3" t="str">
        <f>IFERROR(__xludf.DUMMYFUNCTION("GOOGLETRANSLATE(A38638,""en"",""pt"")"),"Nenhum ainda.")</f>
        <v>Nenhum ainda.</v>
      </c>
      <c r="B38638" s="3">
        <v>0</v>
      </c>
    </row>
    <row r="38639" ht="15.75" customHeight="1" spans="1:2">
      <c r="A38639" s="3" t="str">
        <f>IFERROR(__xludf.DUMMYFUNCTION("GOOGLETRANSLATE(A38639,""en"",""pt"")"),"Má recepção (?), Resposta lenta, longa ""arrancar"", câmera não built-in")</f>
        <v>Má recepção (?), Resposta lenta, longa "arrancar", câmera não built-in</v>
      </c>
      <c r="B38639" s="3">
        <v>0</v>
      </c>
    </row>
    <row r="38640" ht="15.75" customHeight="1" spans="1:2">
      <c r="A38640" s="3" t="str">
        <f>IFERROR(__xludf.DUMMYFUNCTION("GOOGLETRANSLATE(A38640,""en"",""pt"")"),"projeto de pouco inspirador, bastante curto nub navegação, 256 cores não é suficiente")</f>
        <v>projeto de pouco inspirador, bastante curto nub navegação, 256 cores não é suficiente</v>
      </c>
      <c r="B38640" s="3">
        <v>0</v>
      </c>
    </row>
    <row r="38641" ht="15.75" customHeight="1" spans="1:2">
      <c r="A38641" s="3" t="str">
        <f>IFERROR(__xludf.DUMMYFUNCTION("GOOGLETRANSLATE(A38641,""en"",""pt"")"),"recepção Subpar, questões de e-mail, caso sentimento frágil, a resposta apoio lenta")</f>
        <v>recepção Subpar, questões de e-mail, caso sentimento frágil, a resposta apoio lenta</v>
      </c>
      <c r="B38641" s="3">
        <v>0</v>
      </c>
    </row>
    <row r="38642" ht="15.75" customHeight="1" spans="1:2">
      <c r="A38642" s="3" t="str">
        <f>IFERROR(__xludf.DUMMYFUNCTION("GOOGLETRANSLATE(A38642,""en"",""pt"")"),"um pouco volumoso em tamanho, joypad controlada pelo polegar, apenas a 256 cores.")</f>
        <v>um pouco volumoso em tamanho, joypad controlada pelo polegar, apenas a 256 cores.</v>
      </c>
      <c r="B38642" s="3">
        <v>0</v>
      </c>
    </row>
    <row r="38643" ht="15.75" customHeight="1" spans="1:2">
      <c r="A38643" s="3" t="str">
        <f>IFERROR(__xludf.DUMMYFUNCTION("GOOGLETRANSLATE(A38643,""en"",""pt"")"),"campainha silencioso, alto-falante tranquila, má recepção, não intuitiva")</f>
        <v>campainha silencioso, alto-falante tranquila, má recepção, não intuitiva</v>
      </c>
      <c r="B38643" s="3">
        <v>0</v>
      </c>
    </row>
    <row r="38644" ht="15.75" customHeight="1" spans="1:2">
      <c r="A38644" s="3" t="str">
        <f>IFERROR(__xludf.DUMMYFUNCTION("GOOGLETRANSLATE(A38644,""en"",""pt"")"),"Má recepção, design Bad menus, resposta lenta do teclado")</f>
        <v>Má recepção, design Bad menus, resposta lenta do teclado</v>
      </c>
      <c r="B38644" s="3">
        <v>0</v>
      </c>
    </row>
    <row r="38645" ht="15.75" customHeight="1" spans="1:2">
      <c r="A38645" s="3" t="str">
        <f>IFERROR(__xludf.DUMMYFUNCTION("GOOGLETRANSLATE(A38645,""en"",""pt"")"),"Interface é apenas média, confuso, lento, Memory Limited, a vida da bateria")</f>
        <v>Interface é apenas média, confuso, lento, Memory Limited, a vida da bateria</v>
      </c>
      <c r="B38645" s="3">
        <v>0</v>
      </c>
    </row>
    <row r="38646" ht="15.75" customHeight="1" spans="1:2">
      <c r="A38646" s="3" t="str">
        <f>IFERROR(__xludf.DUMMYFUNCTION("GOOGLETRANSLATE(A38646,""en"",""pt"")"),"tempo de resposta lento, com menus, recepção, símbolos esfregar fora")</f>
        <v>tempo de resposta lento, com menus, recepção, símbolos esfregar fora</v>
      </c>
      <c r="B38646" s="3">
        <v>0</v>
      </c>
    </row>
    <row r="38647" ht="15.75" customHeight="1" spans="1:2">
      <c r="A38647" s="3" t="str">
        <f>IFERROR(__xludf.DUMMYFUNCTION("GOOGLETRANSLATE(A38647,""en"",""pt"")"),"Má recepção, má qualidade, controles lentos. Falha miseravelmente em todas as funções do telefone.")</f>
        <v>Má recepção, má qualidade, controles lentos. Falha miseravelmente em todas as funções do telefone.</v>
      </c>
      <c r="B38647" s="3">
        <v>0</v>
      </c>
    </row>
    <row r="38648" ht="15.75" customHeight="1" spans="1:2">
      <c r="A38648" s="3" t="str">
        <f>IFERROR(__xludf.DUMMYFUNCTION("GOOGLETRANSLATE(A38648,""en"",""pt"")"),"volume da campainha é baixa e má qualidade de imagem.")</f>
        <v>volume da campainha é baixa e má qualidade de imagem.</v>
      </c>
      <c r="B38648" s="3">
        <v>0</v>
      </c>
    </row>
    <row r="38649" ht="15.75" customHeight="1" spans="1:2">
      <c r="A38649" s="3" t="str">
        <f>IFERROR(__xludf.DUMMYFUNCTION("GOOGLETRANSLATE(A38649,""en"",""pt"")"),"A recepção é de baixa qualidade")</f>
        <v>A recepção é de baixa qualidade</v>
      </c>
      <c r="B38649" s="3">
        <v>0</v>
      </c>
    </row>
    <row r="38650" ht="15.75" customHeight="1" spans="1:2">
      <c r="A38650" s="3" t="str">
        <f>IFERROR(__xludf.DUMMYFUNCTION("GOOGLETRANSLATE(A38650,""en"",""pt"")"),"Construção pobre, pobre de som para pessoas chamadas. Difícil de usar.")</f>
        <v>Construção pobre, pobre de som para pessoas chamadas. Difícil de usar.</v>
      </c>
      <c r="B38650" s="3">
        <v>0</v>
      </c>
    </row>
    <row r="38651" ht="15.75" customHeight="1" spans="1:2">
      <c r="A38651" s="3" t="str">
        <f>IFERROR(__xludf.DUMMYFUNCTION("GOOGLETRANSLATE(A38651,""en"",""pt"")"),"resolução de tela ruim, não é fácil para transferir fotos")</f>
        <v>resolução de tela ruim, não é fácil para transferir fotos</v>
      </c>
      <c r="B38651" s="3">
        <v>0</v>
      </c>
    </row>
    <row r="38652" ht="15.75" customHeight="1" spans="1:2">
      <c r="A38652" s="3" t="str">
        <f>IFERROR(__xludf.DUMMYFUNCTION("GOOGLETRANSLATE(A38652,""en"",""pt"")"),"Botões ilegível em algumas condições de luz. Responder quando receber mensagens ou nenhuma rede.")</f>
        <v>Botões ilegível em algumas condições de luz. Responder quando receber mensagens ou nenhuma rede.</v>
      </c>
      <c r="B38652" s="3">
        <v>0</v>
      </c>
    </row>
    <row r="38653" ht="15.75" customHeight="1" spans="1:2">
      <c r="A38653" s="3" t="str">
        <f>IFERROR(__xludf.DUMMYFUNCTION("GOOGLETRANSLATE(A38653,""en"",""pt"")"),"Você não pode realmente usá-lo para fazer uma chamada de telefone")</f>
        <v>Você não pode realmente usá-lo para fazer uma chamada de telefone</v>
      </c>
      <c r="B38653" s="3">
        <v>0</v>
      </c>
    </row>
    <row r="38654" ht="15.75" customHeight="1" spans="1:2">
      <c r="A38654" s="3" t="str">
        <f>IFERROR(__xludf.DUMMYFUNCTION("GOOGLETRANSLATE(A38654,""en"",""pt"")"),"diga. ""Recepção"", bateria, menus tolas, fragilidade, alto-falante, etc ...")</f>
        <v>diga. "Recepção", bateria, menus tolas, fragilidade, alto-falante, etc ...</v>
      </c>
      <c r="B38654" s="3">
        <v>0</v>
      </c>
    </row>
    <row r="38655" ht="15.75" customHeight="1" spans="1:2">
      <c r="A38655" s="3" t="str">
        <f>IFERROR(__xludf.DUMMYFUNCTION("GOOGLETRANSLATE(A38655,""en"",""pt"")"),"Não é possível concluir uma conversa devido à queda outs.")</f>
        <v>Não é possível concluir uma conversa devido à queda outs.</v>
      </c>
      <c r="B38655" s="3">
        <v>0</v>
      </c>
    </row>
    <row r="38656" ht="15.75" customHeight="1" spans="1:2">
      <c r="A38656" s="3" t="str">
        <f>IFERROR(__xludf.DUMMYFUNCTION("GOOGLETRANSLATE(A38656,""en"",""pt"")"),"aplicações estendidas (como a foto) área pouco lento")</f>
        <v>aplicações estendidas (como a foto) área pouco lento</v>
      </c>
      <c r="B38656" s="3">
        <v>0</v>
      </c>
    </row>
    <row r="38657" ht="15.75" customHeight="1" spans="1:2">
      <c r="A38657" s="3" t="str">
        <f>IFERROR(__xludf.DUMMYFUNCTION("GOOGLETRANSLATE(A38657,""en"",""pt"")"),"Recepção, volume de toque, momentos chave")</f>
        <v>Recepção, volume de toque, momentos chave</v>
      </c>
      <c r="B38657" s="3">
        <v>0</v>
      </c>
    </row>
    <row r="38658" ht="15.75" customHeight="1" spans="1:2">
      <c r="A38658" s="3" t="str">
        <f>IFERROR(__xludf.DUMMYFUNCTION("GOOGLETRANSLATE(A38658,""en"",""pt"")"),"Muito má recepção, pequenas chaves, bateria é a localização, a resolução Pic")</f>
        <v>Muito má recepção, pequenas chaves, bateria é a localização, a resolução Pic</v>
      </c>
      <c r="B38658" s="3">
        <v>0</v>
      </c>
    </row>
    <row r="38659" ht="15.75" customHeight="1" spans="1:2">
      <c r="A38659" s="3" t="str">
        <f>IFERROR(__xludf.DUMMYFUNCTION("GOOGLETRANSLATE(A38659,""en"",""pt"")"),"T-Mobile tem uma rede ok, recepção poderia ser melhor")</f>
        <v>T-Mobile tem uma rede ok, recepção poderia ser melhor</v>
      </c>
      <c r="B38659" s="3">
        <v>0</v>
      </c>
    </row>
    <row r="38660" ht="15.75" customHeight="1" spans="1:2">
      <c r="A38660" s="3" t="str">
        <f>IFERROR(__xludf.DUMMYFUNCTION("GOOGLETRANSLATE(A38660,""en"",""pt"")"),"Muitos queda de chamadas,, anéis polifônicos tranquilos lentos e reinicia aleatórios, 1995 telefone celular confiabilidade.")</f>
        <v>Muitos queda de chamadas,, anéis polifônicos tranquilos lentos e reinicia aleatórios, 1995 telefone celular confiabilidade.</v>
      </c>
      <c r="B38660" s="3">
        <v>0</v>
      </c>
    </row>
    <row r="38661" ht="15.75" customHeight="1" spans="1:2">
      <c r="A38661" s="3" t="str">
        <f>IFERROR(__xludf.DUMMYFUNCTION("GOOGLETRANSLATE(A38661,""en"",""pt"")"),"Pior interface Ever, Consistantly Gotas chamadas")</f>
        <v>Pior interface Ever, Consistantly Gotas chamadas</v>
      </c>
      <c r="B38661" s="3">
        <v>0</v>
      </c>
    </row>
    <row r="38662" ht="15.75" customHeight="1" spans="1:2">
      <c r="A38662" s="3" t="str">
        <f>IFERROR(__xludf.DUMMYFUNCTION("GOOGLETRANSLATE(A38662,""en"",""pt"")"),"recepção inexistente, recepção inexistente, e também recepção inexistente !!!!")</f>
        <v>recepção inexistente, recepção inexistente, e também recepção inexistente !!!!</v>
      </c>
      <c r="B38662" s="3">
        <v>0</v>
      </c>
    </row>
    <row r="38663" ht="15.75" customHeight="1" spans="1:2">
      <c r="A38663" s="3" t="str">
        <f>IFERROR(__xludf.DUMMYFUNCTION("GOOGLETRANSLATE(A38663,""en"",""pt"")"),"acessórios padrão não funcionam bem, não há muitos acessórios de reposição disponíveis.")</f>
        <v>acessórios padrão não funcionam bem, não há muitos acessórios de reposição disponíveis.</v>
      </c>
      <c r="B38663" s="3">
        <v>0</v>
      </c>
    </row>
    <row r="38664" ht="15.75" customHeight="1" spans="1:2">
      <c r="A38664" s="3" t="str">
        <f>IFERROR(__xludf.DUMMYFUNCTION("GOOGLETRANSLATE(A38664,""en"",""pt"")"),"recepção horrível, joystick difícil de usar, tempos de atraso em tudo")</f>
        <v>recepção horrível, joystick difícil de usar, tempos de atraso em tudo</v>
      </c>
      <c r="B38664" s="3">
        <v>0</v>
      </c>
    </row>
    <row r="38665" ht="15.75" customHeight="1" spans="1:2">
      <c r="A38665" s="3" t="str">
        <f>IFERROR(__xludf.DUMMYFUNCTION("GOOGLETRANSLATE(A38665,""en"",""pt"")"),"Muito má recepção e clareza de som. O ecrã a cores não é visível na luz solar.")</f>
        <v>Muito má recepção e clareza de som. O ecrã a cores não é visível na luz solar.</v>
      </c>
      <c r="B38665" s="3">
        <v>0</v>
      </c>
    </row>
    <row r="38666" ht="15.75" customHeight="1" spans="1:2">
      <c r="A38666" s="3" t="str">
        <f>IFERROR(__xludf.DUMMYFUNCTION("GOOGLETRANSLATE(A38666,""en"",""pt"")"),"recepção, que está recepção. o volume precisa de grandes melhorias. precisa ter campainha separado.")</f>
        <v>recepção, que está recepção. o volume precisa de grandes melhorias. precisa ter campainha separado.</v>
      </c>
      <c r="B38666" s="3">
        <v>0</v>
      </c>
    </row>
    <row r="38667" ht="15.75" customHeight="1" spans="1:2">
      <c r="A38667" s="3" t="str">
        <f>IFERROR(__xludf.DUMMYFUNCTION("GOOGLETRANSLATE(A38667,""en"",""pt"")"),"Não pode ouvi-lo tocar, Arranhado fácil")</f>
        <v>Não pode ouvi-lo tocar, Arranhado fácil</v>
      </c>
      <c r="B38667" s="3">
        <v>0</v>
      </c>
    </row>
    <row r="38668" ht="15.75" customHeight="1" spans="1:2">
      <c r="A38668" s="3" t="str">
        <f>IFERROR(__xludf.DUMMYFUNCTION("GOOGLETRANSLATE(A38668,""en"",""pt"")"),"mensagem alertando sistema horrível, o problema de marcação inerente, ....")</f>
        <v>mensagem alertando sistema horrível, o problema de marcação inerente, ....</v>
      </c>
      <c r="B38668" s="3">
        <v>0</v>
      </c>
    </row>
    <row r="38669" ht="15.75" customHeight="1" spans="1:2">
      <c r="A38669" s="3" t="str">
        <f>IFERROR(__xludf.DUMMYFUNCTION("GOOGLETRANSLATE(A38669,""en"",""pt"")"),"tela colorida é v. baixa resolução (101x80) e apenas 256 cores assim pode aparecer Liney.")</f>
        <v>tela colorida é v. baixa resolução (101x80) e apenas 256 cores assim pode aparecer Liney.</v>
      </c>
      <c r="B38669" s="3">
        <v>0</v>
      </c>
    </row>
    <row r="38670" ht="15.75" customHeight="1" spans="1:2">
      <c r="A38670" s="3" t="str">
        <f>IFERROR(__xludf.DUMMYFUNCTION("GOOGLETRANSLATE(A38670,""en"",""pt"")"),"não pode trabalhar em TDMA ou CDMA de rede em roaming")</f>
        <v>não pode trabalhar em TDMA ou CDMA de rede em roaming</v>
      </c>
      <c r="B38670" s="3">
        <v>0</v>
      </c>
    </row>
    <row r="38671" ht="15.75" customHeight="1" spans="1:2">
      <c r="A38671" s="3" t="str">
        <f>IFERROR(__xludf.DUMMYFUNCTION("GOOGLETRANSLATE(A38671,""en"",""pt"")"),"Apoio, recursos Acessórios")</f>
        <v>Apoio, recursos Acessórios</v>
      </c>
      <c r="B38671" s="3">
        <v>0</v>
      </c>
    </row>
    <row r="38672" ht="15.75" customHeight="1" spans="1:2">
      <c r="A38672" s="3" t="str">
        <f>IFERROR(__xludf.DUMMYFUNCTION("GOOGLETRANSLATE(A38672,""en"",""pt"")"),"Sem qualquer lugar recepção. fechaduras para cima, tem que remover a bateria para desbloquear.")</f>
        <v>Sem qualquer lugar recepção. fechaduras para cima, tem que remover a bateria para desbloquear.</v>
      </c>
      <c r="B38672" s="3">
        <v>0</v>
      </c>
    </row>
    <row r="38673" ht="15.75" customHeight="1" spans="1:2">
      <c r="A38673" s="3" t="str">
        <f>IFERROR(__xludf.DUMMYFUNCTION("GOOGLETRANSLATE(A38673,""en"",""pt"")"),"Sem bluetooth.")</f>
        <v>Sem bluetooth.</v>
      </c>
      <c r="B38673" s="3">
        <v>0</v>
      </c>
    </row>
    <row r="38674" ht="15.75" customHeight="1" spans="1:2">
      <c r="A38674" s="3" t="str">
        <f>IFERROR(__xludf.DUMMYFUNCTION("GOOGLETRANSLATE(A38674,""en"",""pt"")"),"câmera doodad suga, lento, frustrante, adaptador de bateria é uma porcaria")</f>
        <v>câmera doodad suga, lento, frustrante, adaptador de bateria é uma porcaria</v>
      </c>
      <c r="B38674" s="3">
        <v>0</v>
      </c>
    </row>
    <row r="38675" ht="15.75" customHeight="1" spans="1:2">
      <c r="A38675" s="3" t="str">
        <f>IFERROR(__xludf.DUMMYFUNCTION("GOOGLETRANSLATE(A38675,""en"",""pt"")"),"Camera deixa um pouco a desejar")</f>
        <v>Camera deixa um pouco a desejar</v>
      </c>
      <c r="B38675" s="3">
        <v>0</v>
      </c>
    </row>
    <row r="38676" ht="15.75" customHeight="1" spans="1:2">
      <c r="A38676" s="3" t="str">
        <f>IFERROR(__xludf.DUMMYFUNCTION("GOOGLETRANSLATE(A38676,""en"",""pt"")"),"Tela poderia ser melhor")</f>
        <v>Tela poderia ser melhor</v>
      </c>
      <c r="B38676" s="3">
        <v>0</v>
      </c>
    </row>
    <row r="38677" ht="15.75" customHeight="1" spans="1:2">
      <c r="A38677" s="3" t="str">
        <f>IFERROR(__xludf.DUMMYFUNCTION("GOOGLETRANSLATE(A38677,""en"",""pt"")"),"recepção ruim, os tempos de inicialização longos, de software ""trava"", simplesmente um telefone celular não confiável")</f>
        <v>recepção ruim, os tempos de inicialização longos, de software "trava", simplesmente um telefone celular não confiável</v>
      </c>
      <c r="B38677" s="3">
        <v>0</v>
      </c>
    </row>
    <row r="38678" ht="15.75" customHeight="1" spans="1:2">
      <c r="A38678" s="3" t="str">
        <f>IFERROR(__xludf.DUMMYFUNCTION("GOOGLETRANSLATE(A38678,""en"",""pt"")"),"Má recepção em algumas áreas")</f>
        <v>Má recepção em algumas áreas</v>
      </c>
      <c r="B38678" s="3">
        <v>0</v>
      </c>
    </row>
    <row r="38679" ht="15.75" customHeight="1" spans="1:2">
      <c r="A38679" s="3" t="str">
        <f>IFERROR(__xludf.DUMMYFUNCTION("GOOGLETRANSLATE(A38679,""en"",""pt"")"),"Não muitos faceplates para escolher, Lotes de brilho no sol, difícil de encontrar acessórios.")</f>
        <v>Não muitos faceplates para escolher, Lotes de brilho no sol, difícil de encontrar acessórios.</v>
      </c>
      <c r="B38679" s="3">
        <v>0</v>
      </c>
    </row>
    <row r="38680" ht="15.75" customHeight="1" spans="1:2">
      <c r="A38680" s="3" t="str">
        <f>IFERROR(__xludf.DUMMYFUNCTION("GOOGLETRANSLATE(A38680,""en"",""pt"")"),"Eu não recomendaria comprar este móvel.")</f>
        <v>Eu não recomendaria comprar este móvel.</v>
      </c>
      <c r="B38680" s="3">
        <v>0</v>
      </c>
    </row>
    <row r="38681" ht="15.75" customHeight="1" spans="1:2">
      <c r="A38681" s="3" t="str">
        <f>IFERROR(__xludf.DUMMYFUNCTION("GOOGLETRANSLATE(A38681,""en"",""pt"")"),"Má recepção, tempo de boot muito tempo, cai chamadas, volumosos, interface de usuário não intuitiva")</f>
        <v>Má recepção, tempo de boot muito tempo, cai chamadas, volumosos, interface de usuário não intuitiva</v>
      </c>
      <c r="B38681" s="3">
        <v>0</v>
      </c>
    </row>
    <row r="38682" ht="15.75" customHeight="1" spans="1:2">
      <c r="A38682" s="3" t="str">
        <f>IFERROR(__xludf.DUMMYFUNCTION("GOOGLETRANSLATE(A38682,""en"",""pt"")"),"muito lento, botões acabará por desaparecer, a durabilidade é não bom para todos")</f>
        <v>muito lento, botões acabará por desaparecer, a durabilidade é não bom para todos</v>
      </c>
      <c r="B38682" s="3">
        <v>0</v>
      </c>
    </row>
    <row r="38683" ht="15.75" customHeight="1" spans="1:2">
      <c r="A38683" s="3" t="str">
        <f>IFERROR(__xludf.DUMMYFUNCTION("GOOGLETRANSLATE(A38683,""en"",""pt"")"),"às vezes ele doesnt mesmo marcar!")</f>
        <v>às vezes ele doesnt mesmo marcar!</v>
      </c>
      <c r="B38683" s="3">
        <v>0</v>
      </c>
    </row>
    <row r="38684" ht="15.75" customHeight="1" spans="1:2">
      <c r="A38684" s="3" t="str">
        <f>IFERROR(__xludf.DUMMYFUNCTION("GOOGLETRANSLATE(A38684,""en"",""pt"")"),"Baixo volume, mau pic &amp; resolução de tela, não muito confiável.")</f>
        <v>Baixo volume, mau pic &amp; resolução de tela, não muito confiável.</v>
      </c>
      <c r="B38684" s="3">
        <v>0</v>
      </c>
    </row>
    <row r="38685" ht="15.75" customHeight="1" spans="1:2">
      <c r="A38685" s="3" t="str">
        <f>IFERROR(__xludf.DUMMYFUNCTION("GOOGLETRANSLATE(A38685,""en"",""pt"")"),"Terrível recepção, sistema de menu lento insuportavelmente")</f>
        <v>Terrível recepção, sistema de menu lento insuportavelmente</v>
      </c>
      <c r="B38685" s="3">
        <v>0</v>
      </c>
    </row>
    <row r="38686" ht="15.75" customHeight="1" spans="1:2">
      <c r="A38686" s="3" t="str">
        <f>IFERROR(__xludf.DUMMYFUNCTION("GOOGLETRANSLATE(A38686,""en"",""pt"")"),"chamadas abandonadas, respondendo adiada, as chamadas não passando pela primeira vez.")</f>
        <v>chamadas abandonadas, respondendo adiada, as chamadas não passando pela primeira vez.</v>
      </c>
      <c r="B38686" s="3">
        <v>0</v>
      </c>
    </row>
    <row r="38687" ht="15.75" customHeight="1" spans="1:2">
      <c r="A38687" s="3" t="str">
        <f>IFERROR(__xludf.DUMMYFUNCTION("GOOGLETRANSLATE(A38687,""en"",""pt"")"),"Não é o melhor para adultos")</f>
        <v>Não é o melhor para adultos</v>
      </c>
      <c r="B38687" s="3">
        <v>0</v>
      </c>
    </row>
    <row r="38688" ht="15.75" customHeight="1" spans="1:2">
      <c r="A38688" s="3" t="str">
        <f>IFERROR(__xludf.DUMMYFUNCTION("GOOGLETRANSLATE(A38688,""en"",""pt"")"),"Um bit no lado do girlie")</f>
        <v>Um bit no lado do girlie</v>
      </c>
      <c r="B38688" s="3">
        <v>0</v>
      </c>
    </row>
    <row r="38689" ht="15.75" customHeight="1" spans="1:2">
      <c r="A38689" s="3" t="str">
        <f>IFERROR(__xludf.DUMMYFUNCTION("GOOGLETRANSLATE(A38689,""en"",""pt"")"),"Nenhum encontrado")</f>
        <v>Nenhum encontrado</v>
      </c>
      <c r="B38689" s="3">
        <v>0</v>
      </c>
    </row>
    <row r="38690" ht="15.75" customHeight="1" spans="1:2">
      <c r="A38690" s="3" t="str">
        <f>IFERROR(__xludf.DUMMYFUNCTION("GOOGLETRANSLATE(A38690,""en"",""pt"")"),"curta duração da bateria, fraca alerta vibratório")</f>
        <v>curta duração da bateria, fraca alerta vibratório</v>
      </c>
      <c r="B38690" s="3">
        <v>0</v>
      </c>
    </row>
    <row r="38691" ht="15.75" customHeight="1" spans="1:2">
      <c r="A38691" s="3" t="str">
        <f>IFERROR(__xludf.DUMMYFUNCTION("GOOGLETRANSLATE(A38691,""en"",""pt"")"),"vida útil da bateria, toques, clareza.")</f>
        <v>vida útil da bateria, toques, clareza.</v>
      </c>
      <c r="B38691" s="3">
        <v>0</v>
      </c>
    </row>
    <row r="38692" ht="15.75" customHeight="1" spans="1:2">
      <c r="A38692" s="3" t="str">
        <f>IFERROR(__xludf.DUMMYFUNCTION("GOOGLETRANSLATE(A38692,""en"",""pt"")"),"força do sinal, som &amp; OS terrível")</f>
        <v>força do sinal, som &amp; OS terrível</v>
      </c>
      <c r="B38692" s="3">
        <v>0</v>
      </c>
    </row>
    <row r="38693" ht="15.75" customHeight="1" spans="1:2">
      <c r="A38693" s="3" t="str">
        <f>IFERROR(__xludf.DUMMYFUNCTION("GOOGLETRANSLATE(A38693,""en"",""pt"")"),"vida útil da bateria, Menus, sons malignos.")</f>
        <v>vida útil da bateria, Menus, sons malignos.</v>
      </c>
      <c r="B38693" s="3">
        <v>0</v>
      </c>
    </row>
    <row r="38694" ht="15.75" customHeight="1" spans="1:2">
      <c r="A38694" s="3" t="str">
        <f>IFERROR(__xludf.DUMMYFUNCTION("GOOGLETRANSLATE(A38694,""en"",""pt"")"),"Anel é um pouco mais baixo (Eu nem sempre ouvi-lo na minha bolsa).")</f>
        <v>Anel é um pouco mais baixo (Eu nem sempre ouvi-lo na minha bolsa).</v>
      </c>
      <c r="B38694" s="3">
        <v>0</v>
      </c>
    </row>
    <row r="38695" ht="15.75" customHeight="1" spans="1:2">
      <c r="A38695" s="3" t="str">
        <f>IFERROR(__xludf.DUMMYFUNCTION("GOOGLETRANSLATE(A38695,""en"",""pt"")"),"Muito difícil de usar, faltam muitas funções básicas encontrado em telefones Nokia.")</f>
        <v>Muito difícil de usar, faltam muitas funções básicas encontrado em telefones Nokia.</v>
      </c>
      <c r="B38695" s="3">
        <v>0</v>
      </c>
    </row>
    <row r="38696" ht="15.75" customHeight="1" spans="1:2">
      <c r="A38696" s="3" t="str">
        <f>IFERROR(__xludf.DUMMYFUNCTION("GOOGLETRANSLATE(A38696,""en"",""pt"")"),"recursos não suficientes")</f>
        <v>recursos não suficientes</v>
      </c>
      <c r="B38696" s="3">
        <v>0</v>
      </c>
    </row>
    <row r="38697" ht="15.75" customHeight="1" spans="1:2">
      <c r="A38697" s="3" t="str">
        <f>IFERROR(__xludf.DUMMYFUNCTION("GOOGLETRANSLATE(A38697,""en"",""pt"")"),"força do sinal, som, suporte Samsung, a vida da bateria")</f>
        <v>força do sinal, som, suporte Samsung, a vida da bateria</v>
      </c>
      <c r="B38697" s="3">
        <v>0</v>
      </c>
    </row>
    <row r="38698" ht="15.75" customHeight="1" spans="1:2">
      <c r="A38698" s="3" t="str">
        <f>IFERROR(__xludf.DUMMYFUNCTION("GOOGLETRANSLATE(A38698,""en"",""pt"")"),"Não é possível obter novos toques / gráficos sem mMode, não apresentar tão vibrante como outros telefones")</f>
        <v>Não é possível obter novos toques / gráficos sem mMode, não apresentar tão vibrante como outros telefones</v>
      </c>
      <c r="B38698" s="3">
        <v>0</v>
      </c>
    </row>
    <row r="38699" ht="15.75" customHeight="1" spans="1:2">
      <c r="A38699" s="3" t="str">
        <f>IFERROR(__xludf.DUMMYFUNCTION("GOOGLETRANSLATE(A38699,""en"",""pt"")"),"No viva-voz, não um monte de fantasia características (mas quem se importa?).")</f>
        <v>No viva-voz, não um monte de fantasia características (mas quem se importa?).</v>
      </c>
      <c r="B38699" s="3">
        <v>0</v>
      </c>
    </row>
    <row r="38700" ht="15.75" customHeight="1" spans="1:2">
      <c r="A38700" s="3" t="str">
        <f>IFERROR(__xludf.DUMMYFUNCTION("GOOGLETRANSLATE(A38700,""en"",""pt"")"),"OS não confiável / hardware")</f>
        <v>OS não confiável / hardware</v>
      </c>
      <c r="B38700" s="3">
        <v>0</v>
      </c>
    </row>
    <row r="38701" ht="15.75" customHeight="1" spans="1:2">
      <c r="A38701" s="3" t="str">
        <f>IFERROR(__xludf.DUMMYFUNCTION("GOOGLETRANSLATE(A38701,""en"",""pt"")"),"O tempo de carga, navegação")</f>
        <v>O tempo de carga, navegação</v>
      </c>
      <c r="B38701" s="3">
        <v>0</v>
      </c>
    </row>
    <row r="38702" ht="15.75" customHeight="1" spans="1:2">
      <c r="A38702" s="3" t="str">
        <f>IFERROR(__xludf.DUMMYFUNCTION("GOOGLETRANSLATE(A38702,""en"",""pt"")"),"sem tons ""reais"", não alto-falante")</f>
        <v>sem tons "reais", não alto-falante</v>
      </c>
      <c r="B38702" s="3">
        <v>0</v>
      </c>
    </row>
    <row r="38703" ht="15.75" customHeight="1" spans="1:2">
      <c r="A38703" s="3" t="str">
        <f>IFERROR(__xludf.DUMMYFUNCTION("GOOGLETRANSLATE(A38703,""en"",""pt"")"),"Às vezes, desliga-se sozinho")</f>
        <v>Às vezes, desliga-se sozinho</v>
      </c>
      <c r="B38703" s="3">
        <v>0</v>
      </c>
    </row>
    <row r="38704" ht="15.75" customHeight="1" spans="1:2">
      <c r="A38704" s="3" t="str">
        <f>IFERROR(__xludf.DUMMYFUNCTION("GOOGLETRANSLATE(A38704,""en"",""pt"")"),"precisa horas de carregamento; recepção muito ruim; o display colorido é maçante")</f>
        <v>precisa horas de carregamento; recepção muito ruim; o display colorido é maçante</v>
      </c>
      <c r="B38704" s="3">
        <v>0</v>
      </c>
    </row>
    <row r="38705" ht="15.75" customHeight="1" spans="1:2">
      <c r="A38705" s="3" t="str">
        <f>IFERROR(__xludf.DUMMYFUNCTION("GOOGLETRANSLATE(A38705,""en"",""pt"")"),"No ecrã a cores, alguns difícil de descobrir recursos, problema de controle fora do toque")</f>
        <v>No ecrã a cores, alguns difícil de descobrir recursos, problema de controle fora do toque</v>
      </c>
      <c r="B38705" s="3">
        <v>0</v>
      </c>
    </row>
    <row r="38706" ht="15.75" customHeight="1" spans="1:2">
      <c r="A38706" s="3" t="str">
        <f>IFERROR(__xludf.DUMMYFUNCTION("GOOGLETRANSLATE(A38706,""en"",""pt"")"),"Todo o resto.")</f>
        <v>Todo o resto.</v>
      </c>
      <c r="B38706" s="3">
        <v>0</v>
      </c>
    </row>
    <row r="38707" ht="15.75" customHeight="1" spans="1:2">
      <c r="A38707" s="3" t="str">
        <f>IFERROR(__xludf.DUMMYFUNCTION("GOOGLETRANSLATE(A38707,""en"",""pt"")"),"Má recepção, a vida da bateria, e durabilidade. Não posso acreditar que é um Motorola!")</f>
        <v>Má recepção, a vida da bateria, e durabilidade. Não posso acreditar que é um Motorola!</v>
      </c>
      <c r="B38707" s="3">
        <v>0</v>
      </c>
    </row>
    <row r="38708" ht="15.75" customHeight="1" spans="1:2">
      <c r="A38708" s="3" t="str">
        <f>IFERROR(__xludf.DUMMYFUNCTION("GOOGLETRANSLATE(A38708,""en"",""pt"")"),"A vida da bateria, difícil navegação, nenhum relógio.")</f>
        <v>A vida da bateria, difícil navegação, nenhum relógio.</v>
      </c>
      <c r="B38708" s="3">
        <v>0</v>
      </c>
    </row>
    <row r="38709" ht="15.75" customHeight="1" spans="1:2">
      <c r="A38709" s="3" t="str">
        <f>IFERROR(__xludf.DUMMYFUNCTION("GOOGLETRANSLATE(A38709,""en"",""pt"")"),"Tudo.")</f>
        <v>Tudo.</v>
      </c>
      <c r="B38709" s="3">
        <v>0</v>
      </c>
    </row>
    <row r="38710" ht="15.75" customHeight="1" spans="1:2">
      <c r="A38710" s="3" t="str">
        <f>IFERROR(__xludf.DUMMYFUNCTION("GOOGLETRANSLATE(A38710,""en"",""pt"")"),"tudo: navegação, a vida da bateria, a falta de RELÓGIO")</f>
        <v>tudo: navegação, a vida da bateria, a falta de RELÓGIO</v>
      </c>
      <c r="B38710" s="3">
        <v>0</v>
      </c>
    </row>
    <row r="38711" ht="15.75" customHeight="1" spans="1:2">
      <c r="A38711" s="3" t="str">
        <f>IFERROR(__xludf.DUMMYFUNCTION("GOOGLETRANSLATE(A38711,""en"",""pt"")"),"Não rádio, menus são uma dor, sem vibrar, chamadas abandonadas consistentes")</f>
        <v>Não rádio, menus são uma dor, sem vibrar, chamadas abandonadas consistentes</v>
      </c>
      <c r="B38711" s="3">
        <v>0</v>
      </c>
    </row>
    <row r="38712" ht="15.75" customHeight="1" spans="1:2">
      <c r="A38712" s="3" t="str">
        <f>IFERROR(__xludf.DUMMYFUNCTION("GOOGLETRANSLATE(A38712,""en"",""pt"")"),"Não é possível baixar anéis ou logotipos, nenhuma vibração, nenhum relógio, medidores imprecisos, menus convuluted.")</f>
        <v>Não é possível baixar anéis ou logotipos, nenhuma vibração, nenhum relógio, medidores imprecisos, menus convuluted.</v>
      </c>
      <c r="B38712" s="3">
        <v>0</v>
      </c>
    </row>
    <row r="38713" ht="15.75" customHeight="1" spans="1:2">
      <c r="A38713" s="3" t="str">
        <f>IFERROR(__xludf.DUMMYFUNCTION("GOOGLETRANSLATE(A38713,""en"",""pt"")"),"No relógio (o que eles estavam pensando?)")</f>
        <v>No relógio (o que eles estavam pensando?)</v>
      </c>
      <c r="B38713" s="3">
        <v>0</v>
      </c>
    </row>
    <row r="38714" ht="15.75" customHeight="1" spans="1:2">
      <c r="A38714" s="3" t="str">
        <f>IFERROR(__xludf.DUMMYFUNCTION("GOOGLETRANSLATE(A38714,""en"",""pt"")"),"navegador Awful WAP, ecrã sensível, sem vibração, sem logotipos / mensagens de imagens, processador lento, curta duração da bateria.")</f>
        <v>navegador Awful WAP, ecrã sensível, sem vibração, sem logotipos / mensagens de imagens, processador lento, curta duração da bateria.</v>
      </c>
      <c r="B38714" s="3">
        <v>0</v>
      </c>
    </row>
    <row r="38715" ht="15.75" customHeight="1" spans="1:2">
      <c r="A38715" s="3" t="str">
        <f>IFERROR(__xludf.DUMMYFUNCTION("GOOGLETRANSLATE(A38715,""en"",""pt"")"),"Não rádio, tamanho grande, cartão SIM desloca facilmente.")</f>
        <v>Não rádio, tamanho grande, cartão SIM desloca facilmente.</v>
      </c>
      <c r="B38715" s="3">
        <v>0</v>
      </c>
    </row>
    <row r="38716" ht="15.75" customHeight="1" spans="1:2">
      <c r="A38716" s="3" t="str">
        <f>IFERROR(__xludf.DUMMYFUNCTION("GOOGLETRANSLATE(A38716,""en"",""pt"")"),"relógio não")</f>
        <v>relógio não</v>
      </c>
      <c r="B38716" s="3">
        <v>0</v>
      </c>
    </row>
    <row r="38717" ht="15.75" customHeight="1" spans="1:2">
      <c r="A38717" s="3" t="str">
        <f>IFERROR(__xludf.DUMMYFUNCTION("GOOGLETRANSLATE(A38717,""en"",""pt"")"),"envoltórios de telefone inúteis, teclado horrível, nenhum relógio, qualidade de áudio abaixo da média")</f>
        <v>envoltórios de telefone inúteis, teclado horrível, nenhum relógio, qualidade de áudio abaixo da média</v>
      </c>
      <c r="B38717" s="3">
        <v>0</v>
      </c>
    </row>
    <row r="38718" ht="15.75" customHeight="1" spans="1:2">
      <c r="A38718" s="3" t="str">
        <f>IFERROR(__xludf.DUMMYFUNCTION("GOOGLETRANSLATE(A38718,""en"",""pt"")"),"Bastante grande, nenhuma função de relógio, rádio só está disponível através kit mãos livres")</f>
        <v>Bastante grande, nenhuma função de relógio, rádio só está disponível através kit mãos livres</v>
      </c>
      <c r="B38718" s="3">
        <v>0</v>
      </c>
    </row>
    <row r="38719" ht="15.75" customHeight="1" spans="1:2">
      <c r="A38719" s="3" t="str">
        <f>IFERROR(__xludf.DUMMYFUNCTION("GOOGLETRANSLATE(A38719,""en"",""pt"")"),"No relógio (o que eles estavam pensando?)")</f>
        <v>No relógio (o que eles estavam pensando?)</v>
      </c>
      <c r="B38719" s="3">
        <v>0</v>
      </c>
    </row>
    <row r="38720" ht="15.75" customHeight="1" spans="1:2">
      <c r="A38720" s="3" t="str">
        <f>IFERROR(__xludf.DUMMYFUNCTION("GOOGLETRANSLATE(A38720,""en"",""pt"")"),"Não rádio, quem se importa, pegue um relógio!")</f>
        <v>Não rádio, quem se importa, pegue um relógio!</v>
      </c>
      <c r="B38720" s="3">
        <v>0</v>
      </c>
    </row>
    <row r="38721" ht="15.75" customHeight="1" spans="1:2">
      <c r="A38721" s="3" t="str">
        <f>IFERROR(__xludf.DUMMYFUNCTION("GOOGLETRANSLATE(A38721,""en"",""pt"")"),"Não é o melhor dos melhores!")</f>
        <v>Não é o melhor dos melhores!</v>
      </c>
      <c r="B38721" s="3">
        <v>0</v>
      </c>
    </row>
    <row r="38722" ht="15.75" customHeight="1" spans="1:2">
      <c r="A38722" s="3" t="str">
        <f>IFERROR(__xludf.DUMMYFUNCTION("GOOGLETRANSLATE(A38722,""en"",""pt"")"),"relógio não")</f>
        <v>relógio não</v>
      </c>
      <c r="B38722" s="3">
        <v>0</v>
      </c>
    </row>
    <row r="38723" ht="15.75" customHeight="1" spans="1:2">
      <c r="A38723" s="3" t="str">
        <f>IFERROR(__xludf.DUMMYFUNCTION("GOOGLETRANSLATE(A38723,""en"",""pt"")"),"sem relógio, sem toques, pobre de navegação, sem jogos, etc ...")</f>
        <v>sem relógio, sem toques, pobre de navegação, sem jogos, etc ...</v>
      </c>
      <c r="B38723" s="3">
        <v>0</v>
      </c>
    </row>
    <row r="38724" ht="15.75" customHeight="1" spans="1:2">
      <c r="A38724" s="3" t="str">
        <f>IFERROR(__xludf.DUMMYFUNCTION("GOOGLETRANSLATE(A38724,""en"",""pt"")"),"Não rádio ou alarme. complicado menu.")</f>
        <v>Não rádio ou alarme. complicado menu.</v>
      </c>
      <c r="B38724" s="3">
        <v>0</v>
      </c>
    </row>
    <row r="38725" ht="15.75" customHeight="1" spans="1:2">
      <c r="A38725" s="3" t="str">
        <f>IFERROR(__xludf.DUMMYFUNCTION("GOOGLETRANSLATE(A38725,""en"",""pt"")"),"exibição é pequeno, nenhum relógio")</f>
        <v>exibição é pequeno, nenhum relógio</v>
      </c>
      <c r="B38725" s="3">
        <v>0</v>
      </c>
    </row>
    <row r="38726" ht="15.75" customHeight="1" spans="1:2">
      <c r="A38726" s="3" t="str">
        <f>IFERROR(__xludf.DUMMYFUNCTION("GOOGLETRANSLATE(A38726,""en"",""pt"")"),"Onde está o relógio")</f>
        <v>Onde está o relógio</v>
      </c>
      <c r="B38726" s="3">
        <v>0</v>
      </c>
    </row>
    <row r="38727" ht="15.75" customHeight="1" spans="1:2">
      <c r="A38727" s="3" t="str">
        <f>IFERROR(__xludf.DUMMYFUNCTION("GOOGLETRANSLATE(A38727,""en"",""pt"")"),"sem relógio, telas de menu mau, mau de rádio, conexão, essas tampas de borracha.")</f>
        <v>sem relógio, telas de menu mau, mau de rádio, conexão, essas tampas de borracha.</v>
      </c>
      <c r="B38727" s="3">
        <v>0</v>
      </c>
    </row>
    <row r="38728" ht="15.75" customHeight="1" spans="1:2">
      <c r="A38728" s="3" t="str">
        <f>IFERROR(__xludf.DUMMYFUNCTION("GOOGLETRANSLATE(A38728,""en"",""pt"")"),"Cortes dentro e fora como você falar, difícil de usar controles")</f>
        <v>Cortes dentro e fora como você falar, difícil de usar controles</v>
      </c>
      <c r="B38728" s="3">
        <v>0</v>
      </c>
    </row>
    <row r="38729" ht="15.75" customHeight="1" spans="1:2">
      <c r="A38729" s="3" t="str">
        <f>IFERROR(__xludf.DUMMYFUNCTION("GOOGLETRANSLATE(A38729,""en"",""pt"")"),"Barato construção, cai por terra e tem problemas técnicos")</f>
        <v>Barato construção, cai por terra e tem problemas técnicos</v>
      </c>
      <c r="B38729" s="3">
        <v>0</v>
      </c>
    </row>
    <row r="38730" ht="15.75" customHeight="1" spans="1:2">
      <c r="A38730" s="3" t="str">
        <f>IFERROR(__xludf.DUMMYFUNCTION("GOOGLETRANSLATE(A38730,""en"",""pt"")"),"Não leste para encontrar bons acessórios.")</f>
        <v>Não leste para encontrar bons acessórios.</v>
      </c>
      <c r="B38730" s="3">
        <v>0</v>
      </c>
    </row>
    <row r="38731" ht="15.75" customHeight="1" spans="1:2">
      <c r="A38731" s="3" t="str">
        <f>IFERROR(__xludf.DUMMYFUNCTION("GOOGLETRANSLATE(A38731,""en"",""pt"")"),"Caso muito frágil, obter um estojo de couro,")</f>
        <v>Caso muito frágil, obter um estojo de couro,</v>
      </c>
      <c r="B38731" s="3">
        <v>0</v>
      </c>
    </row>
    <row r="38732" ht="15.75" customHeight="1" spans="1:2">
      <c r="A38732" s="3" t="str">
        <f>IFERROR(__xludf.DUMMYFUNCTION("GOOGLETRANSLATE(A38732,""en"",""pt"")"),"NADA")</f>
        <v>NADA</v>
      </c>
      <c r="B38732" s="3">
        <v>0</v>
      </c>
    </row>
    <row r="38733" ht="15.75" customHeight="1" spans="1:2">
      <c r="A38733" s="3" t="str">
        <f>IFERROR(__xludf.DUMMYFUNCTION("GOOGLETRANSLATE(A38733,""en"",""pt"")"),"botões pequenos demais para os meus dedos pequenos, não intuitiva, difícil navegação, confundindo nidificação de menu")</f>
        <v>botões pequenos demais para os meus dedos pequenos, não intuitiva, difícil navegação, confundindo nidificação de menu</v>
      </c>
      <c r="B38733" s="3">
        <v>0</v>
      </c>
    </row>
    <row r="38734" ht="15.75" customHeight="1" spans="1:2">
      <c r="A38734" s="3" t="str">
        <f>IFERROR(__xludf.DUMMYFUNCTION("GOOGLETRANSLATE(A38734,""en"",""pt"")"),"Sem serviço ao cliente a falar de")</f>
        <v>Sem serviço ao cliente a falar de</v>
      </c>
      <c r="B38734" s="3">
        <v>0</v>
      </c>
    </row>
    <row r="38735" ht="15.75" customHeight="1" spans="1:2">
      <c r="A38735" s="3" t="str">
        <f>IFERROR(__xludf.DUMMYFUNCTION("GOOGLETRANSLATE(A38735,""en"",""pt"")"),"Termos de mudança de serviço sem aviso prévio.")</f>
        <v>Termos de mudança de serviço sem aviso prévio.</v>
      </c>
      <c r="B38735" s="3">
        <v>0</v>
      </c>
    </row>
    <row r="38736" ht="15.75" customHeight="1" spans="1:2">
      <c r="A38736" s="3" t="str">
        <f>IFERROR(__xludf.DUMMYFUNCTION("GOOGLETRANSLATE(A38736,""en"",""pt"")"),"problemas com o serviço ao cliente")</f>
        <v>problemas com o serviço ao cliente</v>
      </c>
      <c r="B38736" s="3">
        <v>0</v>
      </c>
    </row>
    <row r="38737" ht="15.75" customHeight="1" spans="1:2">
      <c r="A38737" s="3" t="str">
        <f>IFERROR(__xludf.DUMMYFUNCTION("GOOGLETRANSLATE(A38737,""en"",""pt"")"),"Requer diligência para comprar e minutos de recarga regularmente.")</f>
        <v>Requer diligência para comprar e minutos de recarga regularmente.</v>
      </c>
      <c r="B38737" s="3">
        <v>0</v>
      </c>
    </row>
    <row r="38738" ht="15.75" customHeight="1" spans="1:2">
      <c r="A38738" s="3" t="str">
        <f>IFERROR(__xludf.DUMMYFUNCTION("GOOGLETRANSLATE(A38738,""en"",""pt"")"),"Deturpação, desonestas práticas e táticas.")</f>
        <v>Deturpação, desonestas práticas e táticas.</v>
      </c>
      <c r="B38738" s="3">
        <v>0</v>
      </c>
    </row>
    <row r="38739" ht="15.75" customHeight="1" spans="1:2">
      <c r="A38739" s="3" t="str">
        <f>IFERROR(__xludf.DUMMYFUNCTION("GOOGLETRANSLATE(A38739,""en"",""pt"")"),"serviço ao cliente são liminarmente rude e desagradável.")</f>
        <v>serviço ao cliente são liminarmente rude e desagradável.</v>
      </c>
      <c r="B38739" s="3">
        <v>0</v>
      </c>
    </row>
    <row r="38740" ht="15.75" customHeight="1" spans="1:2">
      <c r="A38740" s="3" t="str">
        <f>IFERROR(__xludf.DUMMYFUNCTION("GOOGLETRANSLATE(A38740,""en"",""pt"")"),"Não use Cingular. Eles não vão se comunicar com você.")</f>
        <v>Não use Cingular. Eles não vão se comunicar com você.</v>
      </c>
      <c r="B38740" s="3">
        <v>0</v>
      </c>
    </row>
    <row r="38741" ht="15.75" customHeight="1" spans="1:2">
      <c r="A38741" s="3" t="str">
        <f>IFERROR(__xludf.DUMMYFUNCTION("GOOGLETRANSLATE(A38741,""en"",""pt"")"),"Contratos são escritos para a empresa, e não o comprador.")</f>
        <v>Contratos são escritos para a empresa, e não o comprador.</v>
      </c>
      <c r="B38741" s="3">
        <v>0</v>
      </c>
    </row>
    <row r="38742" ht="15.75" customHeight="1" spans="1:2">
      <c r="A38742" s="3" t="str">
        <f>IFERROR(__xludf.DUMMYFUNCTION("GOOGLETRANSLATE(A38742,""en"",""pt"")"),"Menu um pouco confuso no início.")</f>
        <v>Menu um pouco confuso no início.</v>
      </c>
      <c r="B38742" s="3">
        <v>0</v>
      </c>
    </row>
    <row r="38743" ht="15.75" customHeight="1" spans="1:2">
      <c r="A38743" s="3" t="str">
        <f>IFERROR(__xludf.DUMMYFUNCTION("GOOGLETRANSLATE(A38743,""en"",""pt"")"),"interface de usuário horrendo")</f>
        <v>interface de usuário horrendo</v>
      </c>
      <c r="B38743" s="3">
        <v>0</v>
      </c>
    </row>
    <row r="38744" ht="15.75" customHeight="1" spans="1:2">
      <c r="A38744" s="3" t="str">
        <f>IFERROR(__xludf.DUMMYFUNCTION("GOOGLETRANSLATE(A38744,""en"",""pt"")"),"Pequenas marcas fator de forma bater os botões difícil se você não está prestando atenção.")</f>
        <v>Pequenas marcas fator de forma bater os botões difícil se você não está prestando atenção.</v>
      </c>
      <c r="B38744" s="3">
        <v>0</v>
      </c>
    </row>
    <row r="38745" ht="15.75" customHeight="1" spans="1:2">
      <c r="A38745" s="3" t="str">
        <f>IFERROR(__xludf.DUMMYFUNCTION("GOOGLETRANSLATE(A38745,""en"",""pt"")"),"sinal fraco, resposta lenta, resolução de tela horrível, não um comm. ferramenta. mais de um show-off !!!!")</f>
        <v>sinal fraco, resposta lenta, resolução de tela horrível, não um comm. ferramenta. mais de um show-off !!!!</v>
      </c>
      <c r="B38745" s="3">
        <v>0</v>
      </c>
    </row>
    <row r="38746" ht="15.75" customHeight="1" spans="1:2">
      <c r="A38746" s="3" t="str">
        <f>IFERROR(__xludf.DUMMYFUNCTION("GOOGLETRANSLATE(A38746,""en"",""pt"")"),"Não há memória expansível. Muito pobres suite.Uses software formato de música proprietária (NÃO mp3)")</f>
        <v>Não há memória expansível. Muito pobres suite.Uses software formato de música proprietária (NÃO mp3)</v>
      </c>
      <c r="B38746" s="3">
        <v>0</v>
      </c>
    </row>
    <row r="38747" ht="15.75" customHeight="1" spans="1:2">
      <c r="A38747" s="3" t="str">
        <f>IFERROR(__xludf.DUMMYFUNCTION("GOOGLETRANSLATE(A38747,""en"",""pt"")"),"Interface feio para o rádio e MP3 &amp; # 13; &amp; # 10; realmente desconfortável carregamento MP3 software &amp; # 13; &amp; # 10; fones frágeis")</f>
        <v>Interface feio para o rádio e MP3 &amp; # 13; &amp; # 10; realmente desconfortável carregamento MP3 software &amp; # 13; &amp; # 10; fones frágeis</v>
      </c>
      <c r="B38747" s="3">
        <v>0</v>
      </c>
    </row>
    <row r="38748" ht="15.75" customHeight="1" spans="1:2">
      <c r="A38748" s="3" t="str">
        <f>IFERROR(__xludf.DUMMYFUNCTION("GOOGLETRANSLATE(A38748,""en"",""pt"")"),"caro, a interface")</f>
        <v>caro, a interface</v>
      </c>
      <c r="B38748" s="3">
        <v>0</v>
      </c>
    </row>
    <row r="38749" ht="15.75" customHeight="1" spans="1:2">
      <c r="A38749" s="3" t="str">
        <f>IFERROR(__xludf.DUMMYFUNCTION("GOOGLETRANSLATE(A38749,""en"",""pt"")"),"tamanho grande, coberturas olhando frágeis, formato proprietry música.")</f>
        <v>tamanho grande, coberturas olhando frágeis, formato proprietry música.</v>
      </c>
      <c r="B38749" s="3">
        <v>0</v>
      </c>
    </row>
    <row r="38750" ht="15.75" customHeight="1" spans="1:2">
      <c r="A38750" s="3" t="str">
        <f>IFERROR(__xludf.DUMMYFUNCTION("GOOGLETRANSLATE(A38750,""en"",""pt"")"),"Gestão de áudio é desnecessariamente doloroso")</f>
        <v>Gestão de áudio é desnecessariamente doloroso</v>
      </c>
      <c r="B38750" s="3">
        <v>0</v>
      </c>
    </row>
    <row r="38751" ht="15.75" customHeight="1" spans="1:2">
      <c r="A38751" s="3" t="str">
        <f>IFERROR(__xludf.DUMMYFUNCTION("GOOGLETRANSLATE(A38751,""en"",""pt"")"),"Má qualidade da fabricação, problemas de bateria e fraco rec sinal.")</f>
        <v>Má qualidade da fabricação, problemas de bateria e fraco rec sinal.</v>
      </c>
      <c r="B38751" s="3">
        <v>0</v>
      </c>
    </row>
    <row r="38752" ht="15.75" customHeight="1" spans="1:2">
      <c r="A38752" s="3" t="str">
        <f>IFERROR(__xludf.DUMMYFUNCTION("GOOGLETRANSLATE(A38752,""en"",""pt"")"),"luz cenário antiquate, preto e branco, jogos ruins")</f>
        <v>luz cenário antiquate, preto e branco, jogos ruins</v>
      </c>
      <c r="B38752" s="3">
        <v>0</v>
      </c>
    </row>
    <row r="38753" ht="15.75" customHeight="1" spans="1:2">
      <c r="A38753" s="3" t="str">
        <f>IFERROR(__xludf.DUMMYFUNCTION("GOOGLETRANSLATE(A38753,""en"",""pt"")"),"alto-falantes horríveis, indicador de bateria, características bloqueio do teclado, discagem ativada por voz ...")</f>
        <v>alto-falantes horríveis, indicador de bateria, características bloqueio do teclado, discagem ativada por voz ...</v>
      </c>
      <c r="B38753" s="3">
        <v>0</v>
      </c>
    </row>
    <row r="38754" ht="15.75" customHeight="1" spans="1:2">
      <c r="A38754" s="3" t="str">
        <f>IFERROR(__xludf.DUMMYFUNCTION("GOOGLETRANSLATE(A38754,""en"",""pt"")"),"Lento boot-up, algumas funções do menu são irritantes e pesado.")</f>
        <v>Lento boot-up, algumas funções do menu são irritantes e pesado.</v>
      </c>
      <c r="B38754" s="3">
        <v>0</v>
      </c>
    </row>
    <row r="38755" ht="15.75" customHeight="1" spans="1:2">
      <c r="A38755" s="3" t="str">
        <f>IFERROR(__xludf.DUMMYFUNCTION("GOOGLETRANSLATE(A38755,""en"",""pt"")"),"Ringer não alto o suficiente, bloqueio do teclado é uma piada, não é possível encontrar acessórios, cobrando questões.")</f>
        <v>Ringer não alto o suficiente, bloqueio do teclado é uma piada, não é possível encontrar acessórios, cobrando questões.</v>
      </c>
      <c r="B38755" s="3">
        <v>0</v>
      </c>
    </row>
    <row r="38756" ht="15.75" customHeight="1" spans="1:2">
      <c r="A38756" s="3" t="str">
        <f>IFERROR(__xludf.DUMMYFUNCTION("GOOGLETRANSLATE(A38756,""en"",""pt"")"),"Como funciona o alto-falante polifônico? Não é um muito bom Manual do Utilizador.")</f>
        <v>Como funciona o alto-falante polifônico? Não é um muito bom Manual do Utilizador.</v>
      </c>
      <c r="B38756" s="3">
        <v>0</v>
      </c>
    </row>
    <row r="38757" ht="15.75" customHeight="1" spans="1:2">
      <c r="A38757" s="3" t="str">
        <f>IFERROR(__xludf.DUMMYFUNCTION("GOOGLETRANSLATE(A38757,""en"",""pt"")"),"terrible recepção e transmissão")</f>
        <v>terrible recepção e transmissão</v>
      </c>
      <c r="B38757" s="3">
        <v>0</v>
      </c>
    </row>
    <row r="38758" ht="15.75" customHeight="1" spans="1:2">
      <c r="A38758" s="3" t="str">
        <f>IFERROR(__xludf.DUMMYFUNCTION("GOOGLETRANSLATE(A38758,""en"",""pt"")"),"Baixo Volume, cai chamadas, difícil encontrar acessórios, minúsculo teclado, caso se desfaz com facilidade")</f>
        <v>Baixo Volume, cai chamadas, difícil encontrar acessórios, minúsculo teclado, caso se desfaz com facilidade</v>
      </c>
      <c r="B38758" s="3">
        <v>0</v>
      </c>
    </row>
    <row r="38759" ht="15.75" customHeight="1" spans="1:2">
      <c r="A38759" s="3" t="str">
        <f>IFERROR(__xludf.DUMMYFUNCTION("GOOGLETRANSLATE(A38759,""en"",""pt"")"),"problemas de sinal com defeito. baixo volume do fone de ouvido. problemas de sincronização irritantes com Vibrar e tocar.")</f>
        <v>problemas de sinal com defeito. baixo volume do fone de ouvido. problemas de sincronização irritantes com Vibrar e tocar.</v>
      </c>
      <c r="B38759" s="3">
        <v>0</v>
      </c>
    </row>
    <row r="38760" ht="15.75" customHeight="1" spans="1:2">
      <c r="A38760" s="3" t="str">
        <f>IFERROR(__xludf.DUMMYFUNCTION("GOOGLETRANSLATE(A38760,""en"",""pt"")"),"teclas pequenas, a vida média da bateria")</f>
        <v>teclas pequenas, a vida média da bateria</v>
      </c>
      <c r="B38760" s="3">
        <v>0</v>
      </c>
    </row>
    <row r="38761" ht="15.75" customHeight="1" spans="1:2">
      <c r="A38761" s="3" t="str">
        <f>IFERROR(__xludf.DUMMYFUNCTION("GOOGLETRANSLATE(A38761,""en"",""pt"")"),"Pobre faixa de recepção, má vida útil da bateria, bateria permanente, única banda")</f>
        <v>Pobre faixa de recepção, má vida útil da bateria, bateria permanente, única banda</v>
      </c>
      <c r="B38761" s="3">
        <v>0</v>
      </c>
    </row>
    <row r="38762" ht="15.75" customHeight="1" spans="1:2">
      <c r="A38762" s="3" t="str">
        <f>IFERROR(__xludf.DUMMYFUNCTION("GOOGLETRANSLATE(A38762,""en"",""pt"")"),"A campainha é waaaay muito suave, mesmo em suas configurações mais altas.")</f>
        <v>A campainha é waaaay muito suave, mesmo em suas configurações mais altas.</v>
      </c>
      <c r="B38762" s="3">
        <v>0</v>
      </c>
    </row>
    <row r="38763" ht="15.75" customHeight="1" spans="1:2">
      <c r="A38763" s="3" t="str">
        <f>IFERROR(__xludf.DUMMYFUNCTION("GOOGLETRANSLATE(A38763,""en"",""pt"")"),"Recursos limitados")</f>
        <v>Recursos limitados</v>
      </c>
      <c r="B38763" s="3">
        <v>0</v>
      </c>
    </row>
    <row r="38764" ht="15.75" customHeight="1" spans="1:2">
      <c r="A38764" s="3" t="str">
        <f>IFERROR(__xludf.DUMMYFUNCTION("GOOGLETRANSLATE(A38764,""en"",""pt"")"),"única GSM (para c331g) e pode perder o sinal")</f>
        <v>única GSM (para c331g) e pode perder o sinal</v>
      </c>
      <c r="B38764" s="3">
        <v>0</v>
      </c>
    </row>
    <row r="38765" ht="15.75" customHeight="1" spans="1:2">
      <c r="A38765" s="3" t="str">
        <f>IFERROR(__xludf.DUMMYFUNCTION("GOOGLETRANSLATE(A38765,""en"",""pt"")"),"o volume tranquila Speaker, o tempo Baixa conversa, fraca na clareza de som.")</f>
        <v>o volume tranquila Speaker, o tempo Baixa conversa, fraca na clareza de som.</v>
      </c>
      <c r="B38765" s="3">
        <v>0</v>
      </c>
    </row>
    <row r="38766" ht="15.75" customHeight="1" spans="1:2">
      <c r="A38766" s="3" t="str">
        <f>IFERROR(__xludf.DUMMYFUNCTION("GOOGLETRANSLATE(A38766,""en"",""pt"")"),"Recepção, nível de volume, indicador de bateria")</f>
        <v>Recepção, nível de volume, indicador de bateria</v>
      </c>
      <c r="B38766" s="3">
        <v>0</v>
      </c>
    </row>
    <row r="38767" ht="15.75" customHeight="1" spans="1:2">
      <c r="A38767" s="3" t="str">
        <f>IFERROR(__xludf.DUMMYFUNCTION("GOOGLETRANSLATE(A38767,""en"",""pt"")"),"Novos assim não muitas Acessórios")</f>
        <v>Novos assim não muitas Acessórios</v>
      </c>
      <c r="B38767" s="3">
        <v>0</v>
      </c>
    </row>
    <row r="38768" ht="15.75" customHeight="1" spans="1:2">
      <c r="A38768" s="3" t="str">
        <f>IFERROR(__xludf.DUMMYFUNCTION("GOOGLETRANSLATE(A38768,""en"",""pt"")"),"Prós negadas pelo som terrível no fim de recepção de telefone. ""Abafado""")</f>
        <v>Prós negadas pelo som terrível no fim de recepção de telefone. "Abafado"</v>
      </c>
      <c r="B38768" s="3">
        <v>0</v>
      </c>
    </row>
    <row r="38769" ht="15.75" customHeight="1" spans="1:2">
      <c r="A38769" s="3" t="str">
        <f>IFERROR(__xludf.DUMMYFUNCTION("GOOGLETRANSLATE(A38769,""en"",""pt"")"),"sem vida útil da bateria; mau sinal")</f>
        <v>sem vida útil da bateria; mau sinal</v>
      </c>
      <c r="B38769" s="3">
        <v>0</v>
      </c>
    </row>
    <row r="38770" ht="15.75" customHeight="1" spans="1:2">
      <c r="A38770" s="3" t="str">
        <f>IFERROR(__xludf.DUMMYFUNCTION("GOOGLETRANSLATE(A38770,""en"",""pt"")"),"a vida da bateria pobres, má qualidade de som, zumbido constante no fundo")</f>
        <v>a vida da bateria pobres, má qualidade de som, zumbido constante no fundo</v>
      </c>
      <c r="B38770" s="3">
        <v>0</v>
      </c>
    </row>
    <row r="38771" ht="15.75" customHeight="1" spans="1:2">
      <c r="A38771" s="3" t="str">
        <f>IFERROR(__xludf.DUMMYFUNCTION("GOOGLETRANSLATE(A38771,""en"",""pt"")"),"Não sei por onde começar!")</f>
        <v>Não sei por onde começar!</v>
      </c>
      <c r="B38771" s="3">
        <v>0</v>
      </c>
    </row>
    <row r="38772" ht="15.75" customHeight="1" spans="1:2">
      <c r="A38772" s="3" t="str">
        <f>IFERROR(__xludf.DUMMYFUNCTION("GOOGLETRANSLATE(A38772,""en"",""pt"")"),"defeito de concepção séria com bateria, também silencioso, menus são lentos")</f>
        <v>defeito de concepção séria com bateria, também silencioso, menus são lentos</v>
      </c>
      <c r="B38772" s="3">
        <v>0</v>
      </c>
    </row>
    <row r="38773" ht="15.75" customHeight="1" spans="1:2">
      <c r="A38773" s="3" t="str">
        <f>IFERROR(__xludf.DUMMYFUNCTION("GOOGLETRANSLATE(A38773,""en"",""pt"")"),"Queda de chamadas, Bad Battery Life")</f>
        <v>Queda de chamadas, Bad Battery Life</v>
      </c>
      <c r="B38773" s="3">
        <v>0</v>
      </c>
    </row>
    <row r="38774" ht="15.75" customHeight="1" spans="1:2">
      <c r="A38774" s="3" t="str">
        <f>IFERROR(__xludf.DUMMYFUNCTION("GOOGLETRANSLATE(A38774,""en"",""pt"")"),"recepção horrível. Muito vida pobre da bateria, morre após uma chamada, após o carregamento completo.")</f>
        <v>recepção horrível. Muito vida pobre da bateria, morre após uma chamada, após o carregamento completo.</v>
      </c>
      <c r="B38774" s="3">
        <v>0</v>
      </c>
    </row>
    <row r="38775" ht="15.75" customHeight="1" spans="1:2">
      <c r="A38775" s="3" t="str">
        <f>IFERROR(__xludf.DUMMYFUNCTION("GOOGLETRANSLATE(A38775,""en"",""pt"")"),"vida útil da bateria porcaria, tela pequena")</f>
        <v>vida útil da bateria porcaria, tela pequena</v>
      </c>
      <c r="B38775" s="3">
        <v>0</v>
      </c>
    </row>
    <row r="38776" ht="15.75" customHeight="1" spans="1:2">
      <c r="A38776" s="3" t="str">
        <f>IFERROR(__xludf.DUMMYFUNCTION("GOOGLETRANSLATE(A38776,""en"",""pt"")"),"aquisição de sinal pobre.")</f>
        <v>aquisição de sinal pobre.</v>
      </c>
      <c r="B38776" s="3">
        <v>0</v>
      </c>
    </row>
    <row r="38777" ht="15.75" customHeight="1" spans="1:2">
      <c r="A38777" s="3" t="str">
        <f>IFERROR(__xludf.DUMMYFUNCTION("GOOGLETRANSLATE(A38777,""en"",""pt"")"),"Falho, lacunas no invólucro.")</f>
        <v>Falho, lacunas no invólucro.</v>
      </c>
      <c r="B38777" s="3">
        <v>0</v>
      </c>
    </row>
    <row r="38778" ht="15.75" customHeight="1" spans="1:2">
      <c r="A38778" s="3" t="str">
        <f>IFERROR(__xludf.DUMMYFUNCTION("GOOGLETRANSLATE(A38778,""en"",""pt"")"),"não a vida da bateria vibrar, Short.")</f>
        <v>não a vida da bateria vibrar, Short.</v>
      </c>
      <c r="B38778" s="3">
        <v>0</v>
      </c>
    </row>
    <row r="38779" ht="15.75" customHeight="1" spans="1:2">
      <c r="A38779" s="3" t="str">
        <f>IFERROR(__xludf.DUMMYFUNCTION("GOOGLETRANSLATE(A38779,""en"",""pt"")"),"Chamadas ficar cortada, aviso chato ""não pode lugar chamada"" frequência")</f>
        <v>Chamadas ficar cortada, aviso chato "não pode lugar chamada" frequência</v>
      </c>
      <c r="B38779" s="3">
        <v>0</v>
      </c>
    </row>
    <row r="38780" ht="15.75" customHeight="1" spans="1:2">
      <c r="A38780" s="3" t="str">
        <f>IFERROR(__xludf.DUMMYFUNCTION("GOOGLETRANSLATE(A38780,""en"",""pt"")"),"Não muito amigável, muita estática.")</f>
        <v>Não muito amigável, muita estática.</v>
      </c>
      <c r="B38780" s="3">
        <v>0</v>
      </c>
    </row>
    <row r="38781" ht="15.75" customHeight="1" spans="1:2">
      <c r="A38781" s="3" t="str">
        <f>IFERROR(__xludf.DUMMYFUNCTION("GOOGLETRANSLATE(A38781,""en"",""pt"")"),"curta duração da bateria, muitas características que não vai usar, o anel é muito baixo")</f>
        <v>curta duração da bateria, muitas características que não vai usar, o anel é muito baixo</v>
      </c>
      <c r="B38781" s="3">
        <v>0</v>
      </c>
    </row>
    <row r="38782" ht="15.75" customHeight="1" spans="1:2">
      <c r="A38782" s="3" t="str">
        <f>IFERROR(__xludf.DUMMYFUNCTION("GOOGLETRANSLATE(A38782,""en"",""pt"")"),"viva-voz, não do usuário Cobertura Friendly, Serviço, contrato de 2 anos.")</f>
        <v>viva-voz, não do usuário Cobertura Friendly, Serviço, contrato de 2 anos.</v>
      </c>
      <c r="B38782" s="3">
        <v>0</v>
      </c>
    </row>
    <row r="38783" ht="15.75" customHeight="1" spans="1:2">
      <c r="A38783" s="3" t="str">
        <f>IFERROR(__xludf.DUMMYFUNCTION("GOOGLETRANSLATE(A38783,""en"",""pt"")"),"vida útil da bateria, recepção")</f>
        <v>vida útil da bateria, recepção</v>
      </c>
      <c r="B38783" s="3">
        <v>0</v>
      </c>
    </row>
    <row r="38784" ht="15.75" customHeight="1" spans="1:2">
      <c r="A38784" s="3" t="str">
        <f>IFERROR(__xludf.DUMMYFUNCTION("GOOGLETRANSLATE(A38784,""en"",""pt"")"),"telefone de qualidade ruim, difícil de navegar, botões expostos, atendimento ao cliente Sprint")</f>
        <v>telefone de qualidade ruim, difícil de navegar, botões expostos, atendimento ao cliente Sprint</v>
      </c>
      <c r="B38784" s="3">
        <v>0</v>
      </c>
    </row>
    <row r="38785" ht="15.75" customHeight="1" spans="1:2">
      <c r="A38785" s="3" t="str">
        <f>IFERROR(__xludf.DUMMYFUNCTION("GOOGLETRANSLATE(A38785,""en"",""pt"")"),"Congela vez em quando, não muitos novos recursos.")</f>
        <v>Congela vez em quando, não muitos novos recursos.</v>
      </c>
      <c r="B38785" s="3">
        <v>0</v>
      </c>
    </row>
    <row r="38786" ht="15.75" customHeight="1" spans="1:2">
      <c r="A38786" s="3" t="str">
        <f>IFERROR(__xludf.DUMMYFUNCTION("GOOGLETRANSLATE(A38786,""en"",""pt"")"),"Terrível telefone! má vida da bateria, não notifica de mensagens, por vezes, não toca em tudo.")</f>
        <v>Terrível telefone! má vida da bateria, não notifica de mensagens, por vezes, não toca em tudo.</v>
      </c>
      <c r="B38786" s="3">
        <v>0</v>
      </c>
    </row>
    <row r="38787" ht="15.75" customHeight="1" spans="1:2">
      <c r="A38787" s="3" t="str">
        <f>IFERROR(__xludf.DUMMYFUNCTION("GOOGLETRANSLATE(A38787,""en"",""pt"")"),"recepção medíocre, a vida da bateria poderia ser melhor.")</f>
        <v>recepção medíocre, a vida da bateria poderia ser melhor.</v>
      </c>
      <c r="B38787" s="3">
        <v>0</v>
      </c>
    </row>
    <row r="38788" ht="15.75" customHeight="1" spans="1:2">
      <c r="A38788" s="3" t="str">
        <f>IFERROR(__xludf.DUMMYFUNCTION("GOOGLETRANSLATE(A38788,""en"",""pt"")"),"A tela pode ficar riscado, características complicadas e som alto-falante claro quando alto.")</f>
        <v>A tela pode ficar riscado, características complicadas e som alto-falante claro quando alto.</v>
      </c>
      <c r="B38788" s="3">
        <v>0</v>
      </c>
    </row>
    <row r="38789" ht="15.75" customHeight="1" spans="1:2">
      <c r="A38789" s="3" t="str">
        <f>IFERROR(__xludf.DUMMYFUNCTION("GOOGLETRANSLATE(A38789,""en"",""pt"")"),"um telefone flip que não tem proteção para a tela principal.")</f>
        <v>um telefone flip que não tem proteção para a tela principal.</v>
      </c>
      <c r="B38789" s="3">
        <v>0</v>
      </c>
    </row>
    <row r="38790" ht="15.75" customHeight="1" spans="1:2">
      <c r="A38790" s="3" t="str">
        <f>IFERROR(__xludf.DUMMYFUNCTION("GOOGLETRANSLATE(A38790,""en"",""pt"")"),"Sinal, vida útil da bateria")</f>
        <v>Sinal, vida útil da bateria</v>
      </c>
      <c r="B38790" s="3">
        <v>0</v>
      </c>
    </row>
    <row r="38791" ht="15.75" customHeight="1" spans="1:2">
      <c r="A38791" s="3" t="str">
        <f>IFERROR(__xludf.DUMMYFUNCTION("GOOGLETRANSLATE(A38791,""en"",""pt"")"),"terrível vida útil da bateria, serviço terrível, queda de chamadas")</f>
        <v>terrível vida útil da bateria, serviço terrível, queda de chamadas</v>
      </c>
      <c r="B38791" s="3">
        <v>0</v>
      </c>
    </row>
    <row r="38792" ht="15.75" customHeight="1" spans="1:2">
      <c r="A38792" s="3" t="str">
        <f>IFERROR(__xludf.DUMMYFUNCTION("GOOGLETRANSLATE(A38792,""en"",""pt"")"),"CRAP CRAP CRAP")</f>
        <v>CRAP CRAP CRAP</v>
      </c>
      <c r="B38792" s="3">
        <v>0</v>
      </c>
    </row>
    <row r="38793" ht="15.75" customHeight="1" spans="1:2">
      <c r="A38793" s="3" t="str">
        <f>IFERROR(__xludf.DUMMYFUNCTION("GOOGLETRANSLATE(A38793,""en"",""pt"")"),"Datados, visor de 2 linhas, não é ótimo com as redes de nós, não ""diversão"" extras")</f>
        <v>Datados, visor de 2 linhas, não é ótimo com as redes de nós, não "diversão" extras</v>
      </c>
      <c r="B38793" s="3">
        <v>0</v>
      </c>
    </row>
    <row r="38794" ht="15.75" customHeight="1" spans="1:2">
      <c r="A38794" s="3" t="str">
        <f>IFERROR(__xludf.DUMMYFUNCTION("GOOGLETRANSLATE(A38794,""en"",""pt"")"),"curta duração da bateria, muitas características que não vai usar, o anel é muito baixo")</f>
        <v>curta duração da bateria, muitas características que não vai usar, o anel é muito baixo</v>
      </c>
      <c r="B38794" s="3">
        <v>0</v>
      </c>
    </row>
    <row r="38795" ht="15.75" customHeight="1" spans="1:2">
      <c r="A38795" s="3" t="str">
        <f>IFERROR(__xludf.DUMMYFUNCTION("GOOGLETRANSLATE(A38795,""en"",""pt"")"),"viva-voz, não do usuário Cobertura Friendly, Serviço, contrato de 2 anos.")</f>
        <v>viva-voz, não do usuário Cobertura Friendly, Serviço, contrato de 2 anos.</v>
      </c>
      <c r="B38795" s="3">
        <v>0</v>
      </c>
    </row>
    <row r="38796" ht="15.75" customHeight="1" spans="1:2">
      <c r="A38796" s="3" t="str">
        <f>IFERROR(__xludf.DUMMYFUNCTION("GOOGLETRANSLATE(A38796,""en"",""pt"")"),"vida útil da bateria, recepção")</f>
        <v>vida útil da bateria, recepção</v>
      </c>
      <c r="B38796" s="3">
        <v>0</v>
      </c>
    </row>
    <row r="38797" ht="15.75" customHeight="1" spans="1:2">
      <c r="A38797" s="3" t="str">
        <f>IFERROR(__xludf.DUMMYFUNCTION("GOOGLETRANSLATE(A38797,""en"",""pt"")"),"telefone de qualidade ruim, difícil de navegar, botões expostos, atendimento ao cliente Sprint")</f>
        <v>telefone de qualidade ruim, difícil de navegar, botões expostos, atendimento ao cliente Sprint</v>
      </c>
      <c r="B38797" s="3">
        <v>0</v>
      </c>
    </row>
    <row r="38798" ht="15.75" customHeight="1" spans="1:2">
      <c r="A38798" s="3" t="str">
        <f>IFERROR(__xludf.DUMMYFUNCTION("GOOGLETRANSLATE(A38798,""en"",""pt"")"),"Congela vez em quando, não muitos novos recursos.")</f>
        <v>Congela vez em quando, não muitos novos recursos.</v>
      </c>
      <c r="B38798" s="3">
        <v>0</v>
      </c>
    </row>
    <row r="38799" ht="15.75" customHeight="1" spans="1:2">
      <c r="A38799" s="3" t="str">
        <f>IFERROR(__xludf.DUMMYFUNCTION("GOOGLETRANSLATE(A38799,""en"",""pt"")"),"Terrível telefone! má vida da bateria, não notifica de mensagens, por vezes, não toca em tudo.")</f>
        <v>Terrível telefone! má vida da bateria, não notifica de mensagens, por vezes, não toca em tudo.</v>
      </c>
      <c r="B38799" s="3">
        <v>0</v>
      </c>
    </row>
    <row r="38800" ht="15.75" customHeight="1" spans="1:2">
      <c r="A38800" s="3" t="str">
        <f>IFERROR(__xludf.DUMMYFUNCTION("GOOGLETRANSLATE(A38800,""en"",""pt"")"),"recepção medíocre, a vida da bateria poderia ser melhor.")</f>
        <v>recepção medíocre, a vida da bateria poderia ser melhor.</v>
      </c>
      <c r="B38800" s="3">
        <v>0</v>
      </c>
    </row>
    <row r="38801" ht="15.75" customHeight="1" spans="1:2">
      <c r="A38801" s="3" t="str">
        <f>IFERROR(__xludf.DUMMYFUNCTION("GOOGLETRANSLATE(A38801,""en"",""pt"")"),"A tela pode ficar riscado, características complicadas e som alto-falante claro quando alto.")</f>
        <v>A tela pode ficar riscado, características complicadas e som alto-falante claro quando alto.</v>
      </c>
      <c r="B38801" s="3">
        <v>0</v>
      </c>
    </row>
    <row r="38802" ht="15.75" customHeight="1" spans="1:2">
      <c r="A38802" s="3" t="str">
        <f>IFERROR(__xludf.DUMMYFUNCTION("GOOGLETRANSLATE(A38802,""en"",""pt"")"),"um telefone flip que não tem proteção para a tela principal.")</f>
        <v>um telefone flip que não tem proteção para a tela principal.</v>
      </c>
      <c r="B38802" s="3">
        <v>0</v>
      </c>
    </row>
    <row r="38803" ht="15.75" customHeight="1" spans="1:2">
      <c r="A38803" s="3" t="str">
        <f>IFERROR(__xludf.DUMMYFUNCTION("GOOGLETRANSLATE(A38803,""en"",""pt"")"),"Sinal, vida útil da bateria")</f>
        <v>Sinal, vida útil da bateria</v>
      </c>
      <c r="B38803" s="3">
        <v>0</v>
      </c>
    </row>
    <row r="38804" ht="15.75" customHeight="1" spans="1:2">
      <c r="A38804" s="3" t="str">
        <f>IFERROR(__xludf.DUMMYFUNCTION("GOOGLETRANSLATE(A38804,""en"",""pt"")"),"terrível vida útil da bateria, serviço terrível, queda de chamadas")</f>
        <v>terrível vida útil da bateria, serviço terrível, queda de chamadas</v>
      </c>
      <c r="B38804" s="3">
        <v>0</v>
      </c>
    </row>
    <row r="38805" ht="15.75" customHeight="1" spans="1:2">
      <c r="A38805" s="3" t="str">
        <f>IFERROR(__xludf.DUMMYFUNCTION("GOOGLETRANSLATE(A38805,""en"",""pt"")"),"CRAP CRAP CRAP")</f>
        <v>CRAP CRAP CRAP</v>
      </c>
      <c r="B38805" s="3">
        <v>0</v>
      </c>
    </row>
    <row r="38806" ht="15.75" customHeight="1" spans="1:2">
      <c r="A38806" s="3" t="str">
        <f>IFERROR(__xludf.DUMMYFUNCTION("GOOGLETRANSLATE(A38806,""en"",""pt"")"),"Datados, visor de 2 linhas, não é ótimo com as redes de nós, não ""diversão"" extras")</f>
        <v>Datados, visor de 2 linhas, não é ótimo com as redes de nós, não "diversão" extras</v>
      </c>
      <c r="B38806" s="3">
        <v>0</v>
      </c>
    </row>
    <row r="38807" ht="15.75" customHeight="1" spans="1:2">
      <c r="A38807" s="3" t="str">
        <f>IFERROR(__xludf.DUMMYFUNCTION("GOOGLETRANSLATE(A38807,""en"",""pt"")"),"Bateria foi constantemente morrendo")</f>
        <v>Bateria foi constantemente morrendo</v>
      </c>
      <c r="B38807" s="3">
        <v>0</v>
      </c>
    </row>
    <row r="38808" ht="15.75" customHeight="1" spans="1:2">
      <c r="A38808" s="3" t="str">
        <f>IFERROR(__xludf.DUMMYFUNCTION("GOOGLETRANSLATE(A38808,""en"",""pt"")"),"1) Não Speakerphone")</f>
        <v>1) Não Speakerphone</v>
      </c>
      <c r="B38808" s="3">
        <v>0</v>
      </c>
    </row>
    <row r="38809" ht="15.75" customHeight="1" spans="1:2">
      <c r="A38809" s="3" t="str">
        <f>IFERROR(__xludf.DUMMYFUNCTION("GOOGLETRANSLATE(A38809,""en"",""pt"")"),"feito barata")</f>
        <v>feito barata</v>
      </c>
      <c r="B38809" s="3">
        <v>0</v>
      </c>
    </row>
    <row r="38810" ht="15.75" customHeight="1" spans="1:2">
      <c r="A38810" s="3" t="str">
        <f>IFERROR(__xludf.DUMMYFUNCTION("GOOGLETRANSLATE(A38810,""en"",""pt"")"),"Não muitos acessórios compatíveis")</f>
        <v>Não muitos acessórios compatíveis</v>
      </c>
      <c r="B38810" s="3">
        <v>0</v>
      </c>
    </row>
    <row r="38811" ht="15.75" customHeight="1" spans="1:2">
      <c r="A38811" s="3" t="str">
        <f>IFERROR(__xludf.DUMMYFUNCTION("GOOGLETRANSLATE(A38811,""en"",""pt"")"),"A lista telefónica desapareceu em dois telefones diferentes.")</f>
        <v>A lista telefónica desapareceu em dois telefones diferentes.</v>
      </c>
      <c r="B38811" s="3">
        <v>0</v>
      </c>
    </row>
    <row r="38812" ht="15.75" customHeight="1" spans="1:2">
      <c r="A38812" s="3" t="str">
        <f>IFERROR(__xludf.DUMMYFUNCTION("GOOGLETRANSLATE(A38812,""en"",""pt"")"),"Processador parece ter algumas falhas de software.")</f>
        <v>Processador parece ter algumas falhas de software.</v>
      </c>
      <c r="B38812" s="3">
        <v>0</v>
      </c>
    </row>
    <row r="38813" ht="15.75" customHeight="1" spans="1:2">
      <c r="A38813" s="3" t="str">
        <f>IFERROR(__xludf.DUMMYFUNCTION("GOOGLETRANSLATE(A38813,""en"",""pt"")"),"principais problemas de software, má recepção, problemas de rede")</f>
        <v>principais problemas de software, má recepção, problemas de rede</v>
      </c>
      <c r="B38813" s="3">
        <v>0</v>
      </c>
    </row>
    <row r="38814" ht="15.75" customHeight="1" spans="1:2">
      <c r="A38814" s="3" t="str">
        <f>IFERROR(__xludf.DUMMYFUNCTION("GOOGLETRANSLATE(A38814,""en"",""pt"")"),"Lançado muito cedo, ainda tem muito muitos bugs.")</f>
        <v>Lançado muito cedo, ainda tem muito muitos bugs.</v>
      </c>
      <c r="B38814" s="3">
        <v>0</v>
      </c>
    </row>
    <row r="38815" ht="15.75" customHeight="1" spans="1:2">
      <c r="A38815" s="3" t="str">
        <f>IFERROR(__xludf.DUMMYFUNCTION("GOOGLETRANSLATE(A38815,""en"",""pt"")"),"Telefone é construído muito mal.")</f>
        <v>Telefone é construído muito mal.</v>
      </c>
      <c r="B38815" s="3">
        <v>0</v>
      </c>
    </row>
    <row r="38816" ht="15.75" customHeight="1" spans="1:2">
      <c r="A38816" s="3" t="str">
        <f>IFERROR(__xludf.DUMMYFUNCTION("GOOGLETRANSLATE(A38816,""en"",""pt"")"),"arranjo ligeiramente o botão de menu difícil")</f>
        <v>arranjo ligeiramente o botão de menu difícil</v>
      </c>
      <c r="B38816" s="3">
        <v>0</v>
      </c>
    </row>
    <row r="38817" ht="15.75" customHeight="1" spans="1:2">
      <c r="A38817" s="3" t="str">
        <f>IFERROR(__xludf.DUMMYFUNCTION("GOOGLETRANSLATE(A38817,""en"",""pt"")"),"acessórios são muito caro")</f>
        <v>acessórios são muito caro</v>
      </c>
      <c r="B38817" s="3">
        <v>0</v>
      </c>
    </row>
    <row r="38818" ht="15.75" customHeight="1" spans="1:2">
      <c r="A38818" s="3" t="str">
        <f>IFERROR(__xludf.DUMMYFUNCTION("GOOGLETRANSLATE(A38818,""en"",""pt"")"),"esperados mais recursos")</f>
        <v>esperados mais recursos</v>
      </c>
      <c r="B38818" s="3">
        <v>0</v>
      </c>
    </row>
    <row r="38819" ht="15.75" customHeight="1" spans="1:2">
      <c r="A38819" s="3" t="str">
        <f>IFERROR(__xludf.DUMMYFUNCTION("GOOGLETRANSLATE(A38819,""en"",""pt"")"),"Não muito durável ao contrário de outros telefones, anteriormente propriedade.")</f>
        <v>Não muito durável ao contrário de outros telefones, anteriormente propriedade.</v>
      </c>
      <c r="B38819" s="3">
        <v>0</v>
      </c>
    </row>
    <row r="38820" ht="15.75" customHeight="1" spans="1:2">
      <c r="A38820" s="3" t="str">
        <f>IFERROR(__xludf.DUMMYFUNCTION("GOOGLETRANSLATE(A38820,""en"",""pt"")"),"botões são pequenos")</f>
        <v>botões são pequenos</v>
      </c>
      <c r="B38820" s="3">
        <v>0</v>
      </c>
    </row>
    <row r="38821" ht="15.75" customHeight="1" spans="1:2">
      <c r="A38821" s="3" t="str">
        <f>IFERROR(__xludf.DUMMYFUNCTION("GOOGLETRANSLATE(A38821,""en"",""pt"")"),"Recepção, recepção, recepção. A qualidade do som marginal quando muito longe de torres.")</f>
        <v>Recepção, recepção, recepção. A qualidade do som marginal quando muito longe de torres.</v>
      </c>
      <c r="B38821" s="3">
        <v>0</v>
      </c>
    </row>
    <row r="38822" ht="15.75" customHeight="1" spans="1:2">
      <c r="A38822" s="3" t="str">
        <f>IFERROR(__xludf.DUMMYFUNCTION("GOOGLETRANSLATE(A38822,""en"",""pt"")"),"não pode fazer chamadas, não pode manter uma chamada no telefone ...")</f>
        <v>não pode fazer chamadas, não pode manter uma chamada no telefone ...</v>
      </c>
      <c r="B38822" s="3">
        <v>0</v>
      </c>
    </row>
    <row r="38823" ht="15.75" customHeight="1" spans="1:2">
      <c r="A38823" s="3" t="str">
        <f>IFERROR(__xludf.DUMMYFUNCTION("GOOGLETRANSLATE(A38823,""en"",""pt"")"),"Sem Downloadable Ringers")</f>
        <v>Sem Downloadable Ringers</v>
      </c>
      <c r="B38823" s="3">
        <v>0</v>
      </c>
    </row>
    <row r="38824" ht="15.75" customHeight="1" spans="1:2">
      <c r="A38824" s="3" t="str">
        <f>IFERROR(__xludf.DUMMYFUNCTION("GOOGLETRANSLATE(A38824,""en"",""pt"")"),"Todo o resto")</f>
        <v>Todo o resto</v>
      </c>
      <c r="B38824" s="3">
        <v>0</v>
      </c>
    </row>
    <row r="38825" ht="15.75" customHeight="1" spans="1:2">
      <c r="A38825" s="3" t="str">
        <f>IFERROR(__xludf.DUMMYFUNCTION("GOOGLETRANSLATE(A38825,""en"",""pt"")"),"Tipo de feio")</f>
        <v>Tipo de feio</v>
      </c>
      <c r="B38825" s="3">
        <v>0</v>
      </c>
    </row>
    <row r="38826" ht="15.75" customHeight="1" spans="1:2">
      <c r="A38826" s="3" t="str">
        <f>IFERROR(__xludf.DUMMYFUNCTION("GOOGLETRANSLATE(A38826,""en"",""pt"")"),"recepção pobre, clareza, interface e vida útil da bateria / durabilidade.")</f>
        <v>recepção pobre, clareza, interface e vida útil da bateria / durabilidade.</v>
      </c>
      <c r="B38826" s="3">
        <v>0</v>
      </c>
    </row>
    <row r="38827" ht="15.75" customHeight="1" spans="1:2">
      <c r="A38827" s="3" t="str">
        <f>IFERROR(__xludf.DUMMYFUNCTION("GOOGLETRANSLATE(A38827,""en"",""pt"")"),"Má qualidade de som, fraco Vibra-Call, a vida pobre da bateria, complicado menu")</f>
        <v>Má qualidade de som, fraco Vibra-Call, a vida pobre da bateria, complicado menu</v>
      </c>
      <c r="B38827" s="3">
        <v>0</v>
      </c>
    </row>
    <row r="38828" ht="15.75" customHeight="1" spans="1:2">
      <c r="A38828" s="3" t="str">
        <f>IFERROR(__xludf.DUMMYFUNCTION("GOOGLETRANSLATE(A38828,""en"",""pt"")"),"O que não é ruim sobre este telefone? tudo!")</f>
        <v>O que não é ruim sobre este telefone? tudo!</v>
      </c>
      <c r="B38828" s="3">
        <v>0</v>
      </c>
    </row>
    <row r="38829" ht="15.75" customHeight="1" spans="1:2">
      <c r="A38829" s="3" t="str">
        <f>IFERROR(__xludf.DUMMYFUNCTION("GOOGLETRANSLATE(A38829,""en"",""pt"")"),"vida útil da bateria")</f>
        <v>vida útil da bateria</v>
      </c>
      <c r="B38829" s="3">
        <v>0</v>
      </c>
    </row>
    <row r="38830" ht="15.75" customHeight="1" spans="1:2">
      <c r="A38830" s="3" t="str">
        <f>IFERROR(__xludf.DUMMYFUNCTION("GOOGLETRANSLATE(A38830,""en"",""pt"")"),"Muito fraco signals-- não funciona bem em ambientes fechados")</f>
        <v>Muito fraco signals-- não funciona bem em ambientes fechados</v>
      </c>
      <c r="B38830" s="3">
        <v>0</v>
      </c>
    </row>
    <row r="38831" ht="15.75" customHeight="1" spans="1:2">
      <c r="A38831" s="3" t="str">
        <f>IFERROR(__xludf.DUMMYFUNCTION("GOOGLETRANSLATE(A38831,""en"",""pt"")"),"curta vida útil da bateria, recepção questionável")</f>
        <v>curta vida útil da bateria, recepção questionável</v>
      </c>
      <c r="B38831" s="3">
        <v>0</v>
      </c>
    </row>
    <row r="38832" ht="15.75" customHeight="1" spans="1:2">
      <c r="A38832" s="3" t="str">
        <f>IFERROR(__xludf.DUMMYFUNCTION("GOOGLETRANSLATE(A38832,""en"",""pt"")"),"nenhuma antena, você pode dizer radiação?")</f>
        <v>nenhuma antena, você pode dizer radiação?</v>
      </c>
      <c r="B38832" s="3">
        <v>0</v>
      </c>
    </row>
    <row r="38833" ht="15.75" customHeight="1" spans="1:2">
      <c r="A38833" s="3" t="str">
        <f>IFERROR(__xludf.DUMMYFUNCTION("GOOGLETRANSLATE(A38833,""en"",""pt"")"),"vida pobre da bateria. queda de chamadas quando stading ainda e desliga-se inesperadamente")</f>
        <v>vida pobre da bateria. queda de chamadas quando stading ainda e desliga-se inesperadamente</v>
      </c>
      <c r="B38833" s="3">
        <v>0</v>
      </c>
    </row>
    <row r="38834" ht="15.75" customHeight="1" spans="1:2">
      <c r="A38834" s="3" t="str">
        <f>IFERROR(__xludf.DUMMYFUNCTION("GOOGLETRANSLATE(A38834,""en"",""pt"")"),"Curta vida útil da bateria, a qualidade do som ruim")</f>
        <v>Curta vida útil da bateria, a qualidade do som ruim</v>
      </c>
      <c r="B38834" s="3">
        <v>0</v>
      </c>
    </row>
    <row r="38835" ht="15.75" customHeight="1" spans="1:2">
      <c r="A38835" s="3" t="str">
        <f>IFERROR(__xludf.DUMMYFUNCTION("GOOGLETRANSLATE(A38835,""en"",""pt"")"),"Todo o resto!")</f>
        <v>Todo o resto!</v>
      </c>
      <c r="B38835" s="3">
        <v>0</v>
      </c>
    </row>
    <row r="38836" ht="15.75" customHeight="1" spans="1:2">
      <c r="A38836" s="3" t="str">
        <f>IFERROR(__xludf.DUMMYFUNCTION("GOOGLETRANSLATE(A38836,""en"",""pt"")"),"vida útil da bateria")</f>
        <v>vida útil da bateria</v>
      </c>
      <c r="B38836" s="3">
        <v>0</v>
      </c>
    </row>
    <row r="38837" ht="15.75" customHeight="1" spans="1:2">
      <c r="A38837" s="3" t="str">
        <f>IFERROR(__xludf.DUMMYFUNCTION("GOOGLETRANSLATE(A38837,""en"",""pt"")"),"força do sinal, mas pode ser atribuível a T-mobile, não o telefone, nunca vai saber.")</f>
        <v>força do sinal, mas pode ser atribuível a T-mobile, não o telefone, nunca vai saber.</v>
      </c>
      <c r="B38837" s="3">
        <v>0</v>
      </c>
    </row>
    <row r="38838" ht="15.75" customHeight="1" spans="1:2">
      <c r="A38838" s="3" t="str">
        <f>IFERROR(__xludf.DUMMYFUNCTION("GOOGLETRANSLATE(A38838,""en"",""pt"")"),"Vida útil da bateria é uma porcaria, leva muito tempo para carga para nuttin, não muito tempo de conversação")</f>
        <v>Vida útil da bateria é uma porcaria, leva muito tempo para carga para nuttin, não muito tempo de conversação</v>
      </c>
      <c r="B38838" s="3">
        <v>0</v>
      </c>
    </row>
    <row r="38839" ht="15.75" customHeight="1" spans="1:2">
      <c r="A38839" s="3" t="str">
        <f>IFERROR(__xludf.DUMMYFUNCTION("GOOGLETRANSLATE(A38839,""en"",""pt"")"),"vida de bateria fraca")</f>
        <v>vida de bateria fraca</v>
      </c>
      <c r="B38839" s="3">
        <v>0</v>
      </c>
    </row>
    <row r="38840" ht="15.75" customHeight="1" spans="1:2">
      <c r="A38840" s="3" t="str">
        <f>IFERROR(__xludf.DUMMYFUNCTION("GOOGLETRANSLATE(A38840,""en"",""pt"")"),"vida útil da bateria é terrível")</f>
        <v>vida útil da bateria é terrível</v>
      </c>
      <c r="B38840" s="3">
        <v>0</v>
      </c>
    </row>
    <row r="38841" ht="15.75" customHeight="1" spans="1:2">
      <c r="A38841" s="3" t="str">
        <f>IFERROR(__xludf.DUMMYFUNCTION("GOOGLETRANSLATE(A38841,""en"",""pt"")"),"má recepção, má vida útil da bateria, defeitos de fábrica")</f>
        <v>má recepção, má vida útil da bateria, defeitos de fábrica</v>
      </c>
      <c r="B38841" s="3">
        <v>0</v>
      </c>
    </row>
    <row r="38842" ht="15.75" customHeight="1" spans="1:2">
      <c r="A38842" s="3" t="str">
        <f>IFERROR(__xludf.DUMMYFUNCTION("GOOGLETRANSLATE(A38842,""en"",""pt"")"),"É um telefone muito simples.")</f>
        <v>É um telefone muito simples.</v>
      </c>
      <c r="B38842" s="3">
        <v>0</v>
      </c>
    </row>
    <row r="38843" ht="15.75" customHeight="1" spans="1:2">
      <c r="A38843" s="3" t="str">
        <f>IFERROR(__xludf.DUMMYFUNCTION("GOOGLETRANSLATE(A38843,""en"",""pt"")"),"No carregador de mesa para carregar uma bateria sobressalente. Telefone deve estar fora de carga.")</f>
        <v>No carregador de mesa para carregar uma bateria sobressalente. Telefone deve estar fora de carga.</v>
      </c>
      <c r="B38843" s="3">
        <v>0</v>
      </c>
    </row>
    <row r="38844" ht="15.75" customHeight="1" spans="1:2">
      <c r="A38844" s="3" t="str">
        <f>IFERROR(__xludf.DUMMYFUNCTION("GOOGLETRANSLATE(A38844,""en"",""pt"")"),"Vida útil da bateria, feita de má plástico, não pode jogar jogos de internet sobre este assunto.")</f>
        <v>Vida útil da bateria, feita de má plástico, não pode jogar jogos de internet sobre este assunto.</v>
      </c>
      <c r="B38844" s="3">
        <v>0</v>
      </c>
    </row>
    <row r="38845" ht="15.75" customHeight="1" spans="1:2">
      <c r="A38845" s="3" t="str">
        <f>IFERROR(__xludf.DUMMYFUNCTION("GOOGLETRANSLATE(A38845,""en"",""pt"")"),"invólucro de titânio, resistente teclado, características carregadas")</f>
        <v>invólucro de titânio, resistente teclado, características carregadas</v>
      </c>
      <c r="B38845" s="3">
        <v>0</v>
      </c>
    </row>
    <row r="38846" ht="15.75" customHeight="1" spans="1:2">
      <c r="A38846" s="3" t="str">
        <f>IFERROR(__xludf.DUMMYFUNCTION("GOOGLETRANSLATE(A38846,""en"",""pt"")"),"Má qualidade de construção")</f>
        <v>Má qualidade de construção</v>
      </c>
      <c r="B38846" s="3">
        <v>0</v>
      </c>
    </row>
    <row r="38847" ht="15.75" customHeight="1" spans="1:2">
      <c r="A38847" s="3" t="str">
        <f>IFERROR(__xludf.DUMMYFUNCTION("GOOGLETRANSLATE(A38847,""en"",""pt"")"),"mecanismo deslizante pobres")</f>
        <v>mecanismo deslizante pobres</v>
      </c>
      <c r="B38847" s="3">
        <v>0</v>
      </c>
    </row>
    <row r="38848" ht="15.75" customHeight="1" spans="1:2">
      <c r="A38848" s="3" t="str">
        <f>IFERROR(__xludf.DUMMYFUNCTION("GOOGLETRANSLATE(A38848,""en"",""pt"")"),"veja op")</f>
        <v>veja op</v>
      </c>
      <c r="B38848" s="3">
        <v>0</v>
      </c>
    </row>
    <row r="38849" ht="15.75" customHeight="1" spans="1:2">
      <c r="A38849" s="3" t="str">
        <f>IFERROR(__xludf.DUMMYFUNCTION("GOOGLETRANSLATE(A38849,""en"",""pt"")"),"tudo")</f>
        <v>tudo</v>
      </c>
      <c r="B38849" s="3">
        <v>0</v>
      </c>
    </row>
    <row r="38850" ht="15.75" customHeight="1" spans="1:2">
      <c r="A38850" s="3" t="str">
        <f>IFERROR(__xludf.DUMMYFUNCTION("GOOGLETRANSLATE(A38850,""en"",""pt"")"),"média de vida da bateria, pequenos ícones")</f>
        <v>média de vida da bateria, pequenos ícones</v>
      </c>
      <c r="B38850" s="3">
        <v>0</v>
      </c>
    </row>
    <row r="38851" ht="15.75" customHeight="1" spans="1:2">
      <c r="A38851" s="3" t="str">
        <f>IFERROR(__xludf.DUMMYFUNCTION("GOOGLETRANSLATE(A38851,""en"",""pt"")"),"intuitiva interface gráfica, a vida da bateria 1 dia, acidentes, quebras quando você deixa cair")</f>
        <v>intuitiva interface gráfica, a vida da bateria 1 dia, acidentes, quebras quando você deixa cair</v>
      </c>
      <c r="B38851" s="3">
        <v>0</v>
      </c>
    </row>
    <row r="38852" ht="15.75" customHeight="1" spans="1:2">
      <c r="A38852" s="3" t="str">
        <f>IFERROR(__xludf.DUMMYFUNCTION("GOOGLETRANSLATE(A38852,""en"",""pt"")"),"Não é muito robusto, a vida da bateria poderia ser melhor, bateria estendida torna unidade muito grosso.")</f>
        <v>Não é muito robusto, a vida da bateria poderia ser melhor, bateria estendida torna unidade muito grosso.</v>
      </c>
      <c r="B38852" s="3">
        <v>0</v>
      </c>
    </row>
    <row r="38853" ht="15.75" customHeight="1" spans="1:2">
      <c r="A38853" s="3" t="str">
        <f>IFERROR(__xludf.DUMMYFUNCTION("GOOGLETRANSLATE(A38853,""en"",""pt"")"),"às vezes falha, conector de alimentação nem sempre situado, a interface desajeitado em lugares")</f>
        <v>às vezes falha, conector de alimentação nem sempre situado, a interface desajeitado em lugares</v>
      </c>
      <c r="B38853" s="3">
        <v>0</v>
      </c>
    </row>
    <row r="38854" ht="15.75" customHeight="1" spans="1:2">
      <c r="A38854" s="3" t="str">
        <f>IFERROR(__xludf.DUMMYFUNCTION("GOOGLETRANSLATE(A38854,""en"",""pt"")"),"Horrível acessório carregador, inicialização barulhento / shutdown")</f>
        <v>Horrível acessório carregador, inicialização barulhento / shutdown</v>
      </c>
      <c r="B38854" s="3">
        <v>0</v>
      </c>
    </row>
    <row r="38855" ht="15.75" customHeight="1" spans="1:2">
      <c r="A38855" s="3" t="str">
        <f>IFERROR(__xludf.DUMMYFUNCTION("GOOGLETRANSLATE(A38855,""en"",""pt"")"),"Recepção, UI, irritantes características ""gamey""")</f>
        <v>Recepção, UI, irritantes características "gamey"</v>
      </c>
      <c r="B38855" s="3">
        <v>0</v>
      </c>
    </row>
    <row r="38856" ht="15.75" customHeight="1" spans="1:2">
      <c r="A38856" s="3" t="str">
        <f>IFERROR(__xludf.DUMMYFUNCTION("GOOGLETRANSLATE(A38856,""en"",""pt"")"),"A vida útil da bateria está faltando, há outros problemas reais")</f>
        <v>A vida útil da bateria está faltando, há outros problemas reais</v>
      </c>
      <c r="B38856" s="3">
        <v>0</v>
      </c>
    </row>
    <row r="38857" ht="15.75" customHeight="1" spans="1:2">
      <c r="A38857" s="3" t="str">
        <f>IFERROR(__xludf.DUMMYFUNCTION("GOOGLETRANSLATE(A38857,""en"",""pt"")"),"Não duráveis ​​interface, intuitiva, não é possível ajustar o volume do toque com o telefone fechado")</f>
        <v>Não duráveis ​​interface, intuitiva, não é possível ajustar o volume do toque com o telefone fechado</v>
      </c>
      <c r="B38857" s="3">
        <v>0</v>
      </c>
    </row>
    <row r="38858" ht="15.75" customHeight="1" spans="1:2">
      <c r="A38858" s="3" t="str">
        <f>IFERROR(__xludf.DUMMYFUNCTION("GOOGLETRANSLATE(A38858,""en"",""pt"")"),"curta duração da bateria, desligar, porta de carregamento vai mal e telefone não irá cobrar.")</f>
        <v>curta duração da bateria, desligar, porta de carregamento vai mal e telefone não irá cobrar.</v>
      </c>
      <c r="B38858" s="3">
        <v>0</v>
      </c>
    </row>
    <row r="38859" ht="15.75" customHeight="1" spans="1:2">
      <c r="A38859" s="3" t="str">
        <f>IFERROR(__xludf.DUMMYFUNCTION("GOOGLETRANSLATE(A38859,""en"",""pt"")"),"Reeks de serviço.")</f>
        <v>Reeks de serviço.</v>
      </c>
      <c r="B38859" s="3">
        <v>0</v>
      </c>
    </row>
    <row r="38860" ht="15.75" customHeight="1" spans="1:2">
      <c r="A38860" s="3" t="str">
        <f>IFERROR(__xludf.DUMMYFUNCTION("GOOGLETRANSLATE(A38860,""en"",""pt"")"),"Operação, a força do sinal, cabo de alimentação, o consumo de energia.")</f>
        <v>Operação, a força do sinal, cabo de alimentação, o consumo de energia.</v>
      </c>
      <c r="B38860" s="3">
        <v>0</v>
      </c>
    </row>
    <row r="38861" ht="15.75" customHeight="1" spans="1:2">
      <c r="A38861" s="3" t="str">
        <f>IFERROR(__xludf.DUMMYFUNCTION("GOOGLETRANSLATE(A38861,""en"",""pt"")"),"Às vezes é difícil ver a tela, animações levar muito tempo")</f>
        <v>Às vezes é difícil ver a tela, animações levar muito tempo</v>
      </c>
      <c r="B38861" s="3">
        <v>0</v>
      </c>
    </row>
    <row r="38862" ht="15.75" customHeight="1" spans="1:2">
      <c r="A38862" s="3" t="str">
        <f>IFERROR(__xludf.DUMMYFUNCTION("GOOGLETRANSLATE(A38862,""en"",""pt"")"),"Má recepção, embalagem durabilidade pobre corpo")</f>
        <v>Má recepção, embalagem durabilidade pobre corpo</v>
      </c>
      <c r="B38862" s="3">
        <v>0</v>
      </c>
    </row>
    <row r="38863" ht="15.75" customHeight="1" spans="1:2">
      <c r="A38863" s="3" t="str">
        <f>IFERROR(__xludf.DUMMYFUNCTION("GOOGLETRANSLATE(A38863,""en"",""pt"")"),"Má qualidade, clareza é horrível, tanto ends.Poor reception.Too longo de uma lista.")</f>
        <v>Má qualidade, clareza é horrível, tanto ends.Poor reception.Too longo de uma lista.</v>
      </c>
      <c r="B38863" s="3">
        <v>0</v>
      </c>
    </row>
    <row r="38864" ht="15.75" customHeight="1" spans="1:2">
      <c r="A38864" s="3" t="str">
        <f>IFERROR(__xludf.DUMMYFUNCTION("GOOGLETRANSLATE(A38864,""en"",""pt"")"),"Pobre &amp; recepção cheia de estática, a vida curta da bateria")</f>
        <v>Pobre &amp; recepção cheia de estática, a vida curta da bateria</v>
      </c>
      <c r="B38864" s="3">
        <v>0</v>
      </c>
    </row>
    <row r="38865" ht="15.75" customHeight="1" spans="1:2">
      <c r="A38865" s="3" t="str">
        <f>IFERROR(__xludf.DUMMYFUNCTION("GOOGLETRANSLATE(A38865,""en"",""pt"")"),"Muitos para mencionar aqui")</f>
        <v>Muitos para mencionar aqui</v>
      </c>
      <c r="B38865" s="3">
        <v>0</v>
      </c>
    </row>
    <row r="38866" ht="15.75" customHeight="1" spans="1:2">
      <c r="A38866" s="3" t="str">
        <f>IFERROR(__xludf.DUMMYFUNCTION("GOOGLETRANSLATE(A38866,""en"",""pt"")"),"não a melhor recepção")</f>
        <v>não a melhor recepção</v>
      </c>
      <c r="B38866" s="3">
        <v>0</v>
      </c>
    </row>
    <row r="38867" ht="15.75" customHeight="1" spans="1:2">
      <c r="A38867" s="3" t="str">
        <f>IFERROR(__xludf.DUMMYFUNCTION("GOOGLETRANSLATE(A38867,""en"",""pt"")"),"Extremamente curta duração da bateria, receptáculo carregador frágil, difícil de ver display.")</f>
        <v>Extremamente curta duração da bateria, receptáculo carregador frágil, difícil de ver display.</v>
      </c>
      <c r="B38867" s="3">
        <v>0</v>
      </c>
    </row>
    <row r="38868" ht="15.75" customHeight="1" spans="1:2">
      <c r="A38868" s="3" t="str">
        <f>IFERROR(__xludf.DUMMYFUNCTION("GOOGLETRANSLATE(A38868,""en"",""pt"")"),"Feito barata.")</f>
        <v>Feito barata.</v>
      </c>
      <c r="B38868" s="3">
        <v>0</v>
      </c>
    </row>
    <row r="38869" ht="15.75" customHeight="1" spans="1:2">
      <c r="A38869" s="3" t="str">
        <f>IFERROR(__xludf.DUMMYFUNCTION("GOOGLETRANSLATE(A38869,""en"",""pt"")"),"A qualidade do som é terrível,")</f>
        <v>A qualidade do som é terrível,</v>
      </c>
      <c r="B38869" s="3">
        <v>0</v>
      </c>
    </row>
    <row r="38870" ht="15.75" customHeight="1" spans="1:2">
      <c r="A38870" s="3" t="str">
        <f>IFERROR(__xludf.DUMMYFUNCTION("GOOGLETRANSLATE(A38870,""en"",""pt"")"),"Um pouco mais pesado do que alguns outros telefones modernos, fraca seleção de anéis")</f>
        <v>Um pouco mais pesado do que alguns outros telefones modernos, fraca seleção de anéis</v>
      </c>
      <c r="B38870" s="3">
        <v>0</v>
      </c>
    </row>
    <row r="38871" ht="15.75" customHeight="1" spans="1:2">
      <c r="A38871" s="3" t="str">
        <f>IFERROR(__xludf.DUMMYFUNCTION("GOOGLETRANSLATE(A38871,""en"",""pt"")"),"difícil de descobrir como baixar imagens para o fundo. precisa cabo especial usb")</f>
        <v>difícil de descobrir como baixar imagens para o fundo. precisa cabo especial usb</v>
      </c>
      <c r="B38871" s="3">
        <v>0</v>
      </c>
    </row>
    <row r="38872" ht="15.75" customHeight="1" spans="1:2">
      <c r="A38872" s="3" t="str">
        <f>IFERROR(__xludf.DUMMYFUNCTION("GOOGLETRANSLATE(A38872,""en"",""pt"")"),"-End escamosa chave")</f>
        <v>-End escamosa chave</v>
      </c>
      <c r="B38872" s="3">
        <v>0</v>
      </c>
    </row>
    <row r="38873" ht="15.75" customHeight="1" spans="1:2">
      <c r="A38873" s="3" t="str">
        <f>IFERROR(__xludf.DUMMYFUNCTION("GOOGLETRANSLATE(A38873,""en"",""pt"")"),"Suporte Reparação abismal")</f>
        <v>Suporte Reparação abismal</v>
      </c>
      <c r="B38873" s="3">
        <v>0</v>
      </c>
    </row>
    <row r="38874" ht="15.75" customHeight="1" spans="1:2">
      <c r="A38874" s="3" t="str">
        <f>IFERROR(__xludf.DUMMYFUNCTION("GOOGLETRANSLATE(A38874,""en"",""pt"")"),"Vibra, mas não tão forte como os outros")</f>
        <v>Vibra, mas não tão forte como os outros</v>
      </c>
      <c r="B38874" s="3">
        <v>0</v>
      </c>
    </row>
    <row r="38875" ht="15.75" customHeight="1" spans="1:2">
      <c r="A38875" s="3" t="str">
        <f>IFERROR(__xludf.DUMMYFUNCTION("GOOGLETRANSLATE(A38875,""en"",""pt"")"),"A Nokia não estão por sua garantia. O telefone quebrou em cinco meses.")</f>
        <v>A Nokia não estão por sua garantia. O telefone quebrou em cinco meses.</v>
      </c>
      <c r="B38875" s="3">
        <v>0</v>
      </c>
    </row>
    <row r="38876" ht="15.75" customHeight="1" spans="1:2">
      <c r="A38876" s="3" t="str">
        <f>IFERROR(__xludf.DUMMYFUNCTION("GOOGLETRANSLATE(A38876,""en"",""pt"")"),"Alguns soluços bastante menores")</f>
        <v>Alguns soluços bastante menores</v>
      </c>
      <c r="B38876" s="3">
        <v>0</v>
      </c>
    </row>
    <row r="38877" ht="15.75" customHeight="1" spans="1:2">
      <c r="A38877" s="3" t="str">
        <f>IFERROR(__xludf.DUMMYFUNCTION("GOOGLETRANSLATE(A38877,""en"",""pt"")"),"Algumas pequenas peculiaridades detalhado na revisão")</f>
        <v>Algumas pequenas peculiaridades detalhado na revisão</v>
      </c>
      <c r="B38877" s="3">
        <v>0</v>
      </c>
    </row>
    <row r="38878" ht="15.75" customHeight="1" spans="1:2">
      <c r="A38878" s="3" t="str">
        <f>IFERROR(__xludf.DUMMYFUNCTION("GOOGLETRANSLATE(A38878,""en"",""pt"")"),"vibrar, flash, antena longa stub, formato Transflash fraco")</f>
        <v>vibrar, flash, antena longa stub, formato Transflash fraco</v>
      </c>
      <c r="B38878" s="3">
        <v>0</v>
      </c>
    </row>
    <row r="38879" ht="15.75" customHeight="1" spans="1:2">
      <c r="A38879" s="3" t="str">
        <f>IFERROR(__xludf.DUMMYFUNCTION("GOOGLETRANSLATE(A38879,""en"",""pt"")"),"aparência frágil, maior do que a maioria de telefone, alguns recursos inúteis")</f>
        <v>aparência frágil, maior do que a maioria de telefone, alguns recursos inúteis</v>
      </c>
      <c r="B38879" s="3">
        <v>0</v>
      </c>
    </row>
    <row r="38880" ht="15.75" customHeight="1" spans="1:2">
      <c r="A38880" s="3" t="str">
        <f>IFERROR(__xludf.DUMMYFUNCTION("GOOGLETRANSLATE(A38880,""en"",""pt"")"),"nenhum modo analógico, modo de vibração fraca, sensação de plástico, deficientes transferências de arquivos Bluetooth, câmera fraca")</f>
        <v>nenhum modo analógico, modo de vibração fraca, sensação de plástico, deficientes transferências de arquivos Bluetooth, câmera fraca</v>
      </c>
      <c r="B38880" s="3">
        <v>0</v>
      </c>
    </row>
    <row r="38881" ht="15.75" customHeight="1" spans="1:2">
      <c r="A38881" s="3" t="str">
        <f>IFERROR(__xludf.DUMMYFUNCTION("GOOGLETRANSLATE(A38881,""en"",""pt"")"),"Telefone é um pouco pesado e não se encaixa em um bolso!")</f>
        <v>Telefone é um pouco pesado e não se encaixa em um bolso!</v>
      </c>
      <c r="B38881" s="3">
        <v>0</v>
      </c>
    </row>
    <row r="38882" ht="15.75" customHeight="1" spans="1:2">
      <c r="A38882" s="3" t="str">
        <f>IFERROR(__xludf.DUMMYFUNCTION("GOOGLETRANSLATE(A38882,""en"",""pt"")"),"Algumas características castrados, problemas de navegação pequenos e planejamento monitor externo pobres.")</f>
        <v>Algumas características castrados, problemas de navegação pequenos e planejamento monitor externo pobres.</v>
      </c>
      <c r="B38882" s="3">
        <v>0</v>
      </c>
    </row>
    <row r="38883" ht="15.75" customHeight="1" spans="1:2">
      <c r="A38883" s="3" t="str">
        <f>IFERROR(__xludf.DUMMYFUNCTION("GOOGLETRANSLATE(A38883,""en"",""pt"")"),"não pode usá-lo como um modem ou de transferência de toques ou papel de parede, tela externa fraca")</f>
        <v>não pode usá-lo como um modem ou de transferência de toques ou papel de parede, tela externa fraca</v>
      </c>
      <c r="B38883" s="3">
        <v>0</v>
      </c>
    </row>
    <row r="38884" ht="15.75" customHeight="1" spans="1:2">
      <c r="A38884" s="3" t="str">
        <f>IFERROR(__xludf.DUMMYFUNCTION("GOOGLETRANSLATE(A38884,""en"",""pt"")"),"Ambas as câmeras são de má qualidade (nada de novo para telefones celulares), carregador Motorola, vibrar fraco")</f>
        <v>Ambas as câmeras são de má qualidade (nada de novo para telefones celulares), carregador Motorola, vibrar fraco</v>
      </c>
      <c r="B38884" s="3">
        <v>0</v>
      </c>
    </row>
    <row r="38885" ht="15.75" customHeight="1" spans="1:2">
      <c r="A38885" s="3" t="str">
        <f>IFERROR(__xludf.DUMMYFUNCTION("GOOGLETRANSLATE(A38885,""en"",""pt"")"),"Perdeu a função de chamada', baixa vibração e de telefone grande / pesado")</f>
        <v>Perdeu a função de chamada', baixa vibração e de telefone grande / pesado</v>
      </c>
      <c r="B38885" s="3">
        <v>0</v>
      </c>
    </row>
    <row r="38886" ht="15.75" customHeight="1" spans="1:2">
      <c r="A38886" s="3" t="str">
        <f>IFERROR(__xludf.DUMMYFUNCTION("GOOGLETRANSLATE(A38886,""en"",""pt"")"),"Tipo de grande.")</f>
        <v>Tipo de grande.</v>
      </c>
      <c r="B38886" s="3">
        <v>0</v>
      </c>
    </row>
    <row r="38887" ht="15.75" customHeight="1" spans="1:2">
      <c r="A38887" s="3" t="str">
        <f>IFERROR(__xludf.DUMMYFUNCTION("GOOGLETRANSLATE(A38887,""en"",""pt"")"),"Ilegível, variando de Nível de Áudio, Soft Vibrar")</f>
        <v>Ilegível, variando de Nível de Áudio, Soft Vibrar</v>
      </c>
      <c r="B38887" s="3">
        <v>0</v>
      </c>
    </row>
    <row r="38888" ht="15.75" customHeight="1" spans="1:2">
      <c r="A38888" s="3" t="str">
        <f>IFERROR(__xludf.DUMMYFUNCTION("GOOGLETRANSLATE(A38888,""en"",""pt"")"),"discagem Finicky (voz / Remarcação / bluetooth) que poderia levar a momentos muito embaraçoso, não enviada para VM.")</f>
        <v>discagem Finicky (voz / Remarcação / bluetooth) que poderia levar a momentos muito embaraçoso, não enviada para VM.</v>
      </c>
      <c r="B38888" s="3">
        <v>0</v>
      </c>
    </row>
    <row r="38889" ht="15.75" customHeight="1" spans="1:2">
      <c r="A38889" s="3" t="str">
        <f>IFERROR(__xludf.DUMMYFUNCTION("GOOGLETRANSLATE(A38889,""en"",""pt"")"),"Camera é suficiente.")</f>
        <v>Camera é suficiente.</v>
      </c>
      <c r="B38889" s="3">
        <v>0</v>
      </c>
    </row>
    <row r="38890" ht="15.75" customHeight="1" spans="1:2">
      <c r="A38890" s="3" t="str">
        <f>IFERROR(__xludf.DUMMYFUNCTION("GOOGLETRANSLATE(A38890,""en"",""pt"")"),"Olha e sente barato, tempo de conversação menos do que o prometido, medidor de bateria é enganosa")</f>
        <v>Olha e sente barato, tempo de conversação menos do que o prometido, medidor de bateria é enganosa</v>
      </c>
      <c r="B38890" s="3">
        <v>0</v>
      </c>
    </row>
    <row r="38891" ht="15.75" customHeight="1" spans="1:2">
      <c r="A38891" s="3" t="str">
        <f>IFERROR(__xludf.DUMMYFUNCTION("GOOGLETRANSLATE(A38891,""en"",""pt"")"),"Requer botão excessiva empurrando para tarefas simples, como mensagens de texto. qualidade de som distorcido com fasttalkers.")</f>
        <v>Requer botão excessiva empurrando para tarefas simples, como mensagens de texto. qualidade de som distorcido com fasttalkers.</v>
      </c>
      <c r="B38891" s="3">
        <v>0</v>
      </c>
    </row>
    <row r="38892" ht="15.75" customHeight="1" spans="1:2">
      <c r="A38892" s="3" t="str">
        <f>IFERROR(__xludf.DUMMYFUNCTION("GOOGLETRANSLATE(A38892,""en"",""pt"")"),"Assista que a força da bateria se você usar o Bluetooth.")</f>
        <v>Assista que a força da bateria se você usar o Bluetooth.</v>
      </c>
      <c r="B38892" s="3">
        <v>0</v>
      </c>
    </row>
    <row r="38893" ht="15.75" customHeight="1" spans="1:2">
      <c r="A38893" s="3" t="str">
        <f>IFERROR(__xludf.DUMMYFUNCTION("GOOGLETRANSLATE(A38893,""en"",""pt"")"),"configurações do usuário; itens do menu; segurando sinal; a falta de e-mail")</f>
        <v>configurações do usuário; itens do menu; segurando sinal; a falta de e-mail</v>
      </c>
      <c r="B38893" s="3">
        <v>0</v>
      </c>
    </row>
    <row r="38894" ht="15.75" customHeight="1" spans="1:2">
      <c r="A38894" s="3" t="str">
        <f>IFERROR(__xludf.DUMMYFUNCTION("GOOGLETRANSLATE(A38894,""en"",""pt"")"),"A qualidade do som é horrível")</f>
        <v>A qualidade do som é horrível</v>
      </c>
      <c r="B38894" s="3">
        <v>0</v>
      </c>
    </row>
    <row r="38895" ht="15.75" customHeight="1" spans="1:2">
      <c r="A38895" s="3" t="str">
        <f>IFERROR(__xludf.DUMMYFUNCTION("GOOGLETRANSLATE(A38895,""en"",""pt"")"),"problemas de bateria crônicas com este modelo")</f>
        <v>problemas de bateria crônicas com este modelo</v>
      </c>
      <c r="B38895" s="3">
        <v>0</v>
      </c>
    </row>
    <row r="38896" ht="15.75" customHeight="1" spans="1:2">
      <c r="A38896" s="3" t="str">
        <f>IFERROR(__xludf.DUMMYFUNCTION("GOOGLETRANSLATE(A38896,""en"",""pt"")"),"Este modelo de telefone da Motorola não é o seu melhor, gotas chamadas.")</f>
        <v>Este modelo de telefone da Motorola não é o seu melhor, gotas chamadas.</v>
      </c>
      <c r="B38896" s="3">
        <v>0</v>
      </c>
    </row>
    <row r="38897" ht="15.75" customHeight="1" spans="1:2">
      <c r="A38897" s="3" t="str">
        <f>IFERROR(__xludf.DUMMYFUNCTION("GOOGLETRANSLATE(A38897,""en"",""pt"")"),"Pena que você não pode usar 40GB Flash para MP3.")</f>
        <v>Pena que você não pode usar 40GB Flash para MP3.</v>
      </c>
      <c r="B38897" s="3">
        <v>0</v>
      </c>
    </row>
    <row r="38898" ht="15.75" customHeight="1" spans="1:2">
      <c r="A38898" s="3" t="str">
        <f>IFERROR(__xludf.DUMMYFUNCTION("GOOGLETRANSLATE(A38898,""en"",""pt"")"),"vibrar, nome da discagem por voz")</f>
        <v>vibrar, nome da discagem por voz</v>
      </c>
      <c r="B38898" s="3">
        <v>0</v>
      </c>
    </row>
    <row r="38899" ht="15.75" customHeight="1" spans="1:2">
      <c r="A38899" s="3" t="str">
        <f>IFERROR(__xludf.DUMMYFUNCTION("GOOGLETRANSLATE(A38899,""en"",""pt"")"),"menu de congelamento, controle de toque do telefone exterior, chamadas falhadas, suga sobre tudo")</f>
        <v>menu de congelamento, controle de toque do telefone exterior, chamadas falhadas, suga sobre tudo</v>
      </c>
      <c r="B38899" s="3">
        <v>0</v>
      </c>
    </row>
    <row r="38900" ht="15.75" customHeight="1" spans="1:2">
      <c r="A38900" s="3" t="str">
        <f>IFERROR(__xludf.DUMMYFUNCTION("GOOGLETRANSLATE(A38900,""en"",""pt"")"),"confiabilidade geral, a tela parece confuso.")</f>
        <v>confiabilidade geral, a tela parece confuso.</v>
      </c>
      <c r="B38900" s="3">
        <v>0</v>
      </c>
    </row>
    <row r="38901" ht="15.75" customHeight="1" spans="1:2">
      <c r="A38901" s="3" t="str">
        <f>IFERROR(__xludf.DUMMYFUNCTION("GOOGLETRANSLATE(A38901,""en"",""pt"")"),"Características Verizon pessoas com mobilidade condicionada")</f>
        <v>Características Verizon pessoas com mobilidade condicionada</v>
      </c>
      <c r="B38901" s="3">
        <v>0</v>
      </c>
    </row>
    <row r="38902" ht="15.75" customHeight="1" spans="1:2">
      <c r="A38902" s="3" t="str">
        <f>IFERROR(__xludf.DUMMYFUNCTION("GOOGLETRANSLATE(A38902,""en"",""pt"")"),"telinha para web móvel")</f>
        <v>telinha para web móvel</v>
      </c>
      <c r="B38902" s="3">
        <v>0</v>
      </c>
    </row>
    <row r="38903" ht="15.75" customHeight="1" spans="1:2">
      <c r="A38903" s="3" t="str">
        <f>IFERROR(__xludf.DUMMYFUNCTION("GOOGLETRANSLATE(A38903,""en"",""pt"")"),"Minha operadora desativado o conjunto completo de recursos (OBEX). campo ""LOCATION"" está faltando no calendário.")</f>
        <v>Minha operadora desativado o conjunto completo de recursos (OBEX). campo "LOCATION" está faltando no calendário.</v>
      </c>
      <c r="B38903" s="3">
        <v>0</v>
      </c>
    </row>
    <row r="38904" ht="15.75" customHeight="1" spans="1:2">
      <c r="A38904" s="3" t="str">
        <f>IFERROR(__xludf.DUMMYFUNCTION("GOOGLETRANSLATE(A38904,""en"",""pt"")"),"Bluetooth não tão poderoso quanto poderia ser. cabo de dados difíceis de encontrar.")</f>
        <v>Bluetooth não tão poderoso quanto poderia ser. cabo de dados difíceis de encontrar.</v>
      </c>
      <c r="B38904" s="3">
        <v>0</v>
      </c>
    </row>
    <row r="38905" ht="15.75" customHeight="1" spans="1:2">
      <c r="A38905" s="3" t="str">
        <f>IFERROR(__xludf.DUMMYFUNCTION("GOOGLETRANSLATE(A38905,""en"",""pt"")"),"TUDO MAIS: bateria, eco, facilidade de uso ...")</f>
        <v>TUDO MAIS: bateria, eco, facilidade de uso ...</v>
      </c>
      <c r="B38905" s="3">
        <v>0</v>
      </c>
    </row>
    <row r="38906" ht="15.75" customHeight="1" spans="1:2">
      <c r="A38906" s="3" t="str">
        <f>IFERROR(__xludf.DUMMYFUNCTION("GOOGLETRANSLATE(A38906,""en"",""pt"")"),"as chaves começam a skuff o corpo, mau design.")</f>
        <v>as chaves começam a skuff o corpo, mau design.</v>
      </c>
      <c r="B38906" s="3">
        <v>0</v>
      </c>
    </row>
    <row r="38907" ht="15.75" customHeight="1" spans="1:2">
      <c r="A38907" s="3" t="str">
        <f>IFERROR(__xludf.DUMMYFUNCTION("GOOGLETRANSLATE(A38907,""en"",""pt"")"),"Má recepção, tela ruim, a vida da bateria horrível.")</f>
        <v>Má recepção, tela ruim, a vida da bateria horrível.</v>
      </c>
      <c r="B38907" s="3">
        <v>0</v>
      </c>
    </row>
    <row r="38908" ht="15.75" customHeight="1" spans="1:2">
      <c r="A38908" s="3" t="str">
        <f>IFERROR(__xludf.DUMMYFUNCTION("GOOGLETRANSLATE(A38908,""en"",""pt"")"),"Fácil de quebrar / design desgaste carregador, telefone congela e atrasos, por vezes,")</f>
        <v>Fácil de quebrar / design desgaste carregador, telefone congela e atrasos, por vezes,</v>
      </c>
      <c r="B38908" s="3">
        <v>0</v>
      </c>
    </row>
    <row r="38909" ht="15.75" customHeight="1" spans="1:2">
      <c r="A38909" s="3" t="str">
        <f>IFERROR(__xludf.DUMMYFUNCTION("GOOGLETRANSLATE(A38909,""en"",""pt"")"),"VIBRATE FRACO! Eu nunca pode sentir a vibração neste telefone!")</f>
        <v>VIBRATE FRACO! Eu nunca pode sentir a vibração neste telefone!</v>
      </c>
      <c r="B38909" s="3">
        <v>0</v>
      </c>
    </row>
    <row r="38910" ht="15.75" customHeight="1" spans="1:2">
      <c r="A38910" s="3" t="str">
        <f>IFERROR(__xludf.DUMMYFUNCTION("GOOGLETRANSLATE(A38910,""en"",""pt"")"),"A vida da bateria, o tamanho do telefone LG, frágil quando aberta, muitos recursos")</f>
        <v>A vida da bateria, o tamanho do telefone LG, frágil quando aberta, muitos recursos</v>
      </c>
      <c r="B38910" s="3">
        <v>0</v>
      </c>
    </row>
    <row r="38911" ht="15.75" customHeight="1" spans="1:2">
      <c r="A38911" s="3" t="str">
        <f>IFERROR(__xludf.DUMMYFUNCTION("GOOGLETRANSLATE(A38911,""en"",""pt"")"),"Apenas carregador incluído, Vibrar é fraco,")</f>
        <v>Apenas carregador incluído, Vibrar é fraco,</v>
      </c>
      <c r="B38911" s="3">
        <v>0</v>
      </c>
    </row>
    <row r="38912" ht="15.75" customHeight="1" spans="1:2">
      <c r="A38912" s="3" t="str">
        <f>IFERROR(__xludf.DUMMYFUNCTION("GOOGLETRANSLATE(A38912,""en"",""pt"")"),"Veja o comentário Acima")</f>
        <v>Veja o comentário Acima</v>
      </c>
      <c r="B38912" s="3">
        <v>0</v>
      </c>
    </row>
    <row r="38913" ht="15.75" customHeight="1" spans="1:2">
      <c r="A38913" s="3" t="str">
        <f>IFERROR(__xludf.DUMMYFUNCTION("GOOGLETRANSLATE(A38913,""en"",""pt"")"),"A volumosa bit. Eu realmente não consigo pensar em muito mais!")</f>
        <v>A volumosa bit. Eu realmente não consigo pensar em muito mais!</v>
      </c>
      <c r="B38913" s="3">
        <v>0</v>
      </c>
    </row>
    <row r="38914" ht="15.75" customHeight="1" spans="1:2">
      <c r="A38914" s="3" t="str">
        <f>IFERROR(__xludf.DUMMYFUNCTION("GOOGLETRANSLATE(A38914,""en"",""pt"")"),"Pouco volumoso, mas cabe facilmente no bolso .... outras que nada mais")</f>
        <v>Pouco volumoso, mas cabe facilmente no bolso .... outras que nada mais</v>
      </c>
      <c r="B38914" s="3">
        <v>0</v>
      </c>
    </row>
    <row r="38915" ht="15.75" customHeight="1" spans="1:2">
      <c r="A38915" s="3" t="str">
        <f>IFERROR(__xludf.DUMMYFUNCTION("GOOGLETRANSLATE(A38915,""en"",""pt"")"),"LEMONNNNNNN. tamanho, peso, tudo o que eu mencionei na revisão.")</f>
        <v>LEMONNNNNNN. tamanho, peso, tudo o que eu mencionei na revisão.</v>
      </c>
      <c r="B38915" s="3">
        <v>0</v>
      </c>
    </row>
    <row r="38916" ht="15.75" customHeight="1" spans="1:2">
      <c r="A38916" s="3" t="str">
        <f>IFERROR(__xludf.DUMMYFUNCTION("GOOGLETRANSLATE(A38916,""en"",""pt"")"),"Medíocre mediocridade, mal pensado através do design.")</f>
        <v>Medíocre mediocridade, mal pensado através do design.</v>
      </c>
      <c r="B38916" s="3">
        <v>0</v>
      </c>
    </row>
    <row r="38917" ht="15.75" customHeight="1" spans="1:2">
      <c r="A38917" s="3" t="str">
        <f>IFERROR(__xludf.DUMMYFUNCTION("GOOGLETRANSLATE(A38917,""en"",""pt"")"),"tamanho grande, falhas de projeto menor (não ergonômico)")</f>
        <v>tamanho grande, falhas de projeto menor (não ergonômico)</v>
      </c>
      <c r="B38917" s="3">
        <v>0</v>
      </c>
    </row>
    <row r="38918" ht="15.75" customHeight="1" spans="1:2">
      <c r="A38918" s="3" t="str">
        <f>IFERROR(__xludf.DUMMYFUNCTION("GOOGLETRANSLATE(A38918,""en"",""pt"")"),"Volumoso, nenhuma câmera de vídeo, sistema de mensagens de texto")</f>
        <v>Volumoso, nenhuma câmera de vídeo, sistema de mensagens de texto</v>
      </c>
      <c r="B38918" s="3">
        <v>0</v>
      </c>
    </row>
    <row r="38919" ht="15.75" customHeight="1" spans="1:2">
      <c r="A38919" s="3" t="str">
        <f>IFERROR(__xludf.DUMMYFUNCTION("GOOGLETRANSLATE(A38919,""en"",""pt"")"),"Um pouco volumosos e pesados, mas a sua espera com tantos recursos.")</f>
        <v>Um pouco volumosos e pesados, mas a sua espera com tantos recursos.</v>
      </c>
      <c r="B38919" s="3">
        <v>0</v>
      </c>
    </row>
    <row r="38920" ht="15.75" customHeight="1" spans="1:2">
      <c r="A38920" s="3" t="str">
        <f>IFERROR(__xludf.DUMMYFUNCTION("GOOGLETRANSLATE(A38920,""en"",""pt"")"),"Um pouco mais difícil de transportar.")</f>
        <v>Um pouco mais difícil de transportar.</v>
      </c>
      <c r="B38920" s="3">
        <v>0</v>
      </c>
    </row>
    <row r="38921" ht="15.75" customHeight="1" spans="1:2">
      <c r="A38921" s="3" t="str">
        <f>IFERROR(__xludf.DUMMYFUNCTION("GOOGLETRANSLATE(A38921,""en"",""pt"")"),", características um pouco volumosos imaturos sem fio de sincronização, má integração de calendário, ergonomia medíocres")</f>
        <v>, características um pouco volumosos imaturos sem fio de sincronização, má integração de calendário, ergonomia medíocres</v>
      </c>
      <c r="B38921" s="3">
        <v>0</v>
      </c>
    </row>
    <row r="38922" ht="15.75" customHeight="1" spans="1:2">
      <c r="A38922" s="3" t="str">
        <f>IFERROR(__xludf.DUMMYFUNCTION("GOOGLETRANSLATE(A38922,""en"",""pt"")"),"Pequenos botões ""Telefone"", dentro teclas inábeis")</f>
        <v>Pequenos botões "Telefone", dentro teclas inábeis</v>
      </c>
      <c r="B38922" s="3">
        <v>0</v>
      </c>
    </row>
    <row r="38923" ht="15.75" customHeight="1" spans="1:2">
      <c r="A38923" s="3" t="str">
        <f>IFERROR(__xludf.DUMMYFUNCTION("GOOGLETRANSLATE(A38923,""en"",""pt"")"),"Ele não tem uma boa câmera.")</f>
        <v>Ele não tem uma boa câmera.</v>
      </c>
      <c r="B38923" s="3">
        <v>0</v>
      </c>
    </row>
    <row r="38924" ht="15.75" customHeight="1" spans="1:2">
      <c r="A38924" s="3" t="str">
        <f>IFERROR(__xludf.DUMMYFUNCTION("GOOGLETRANSLATE(A38924,""en"",""pt"")"),"Tamanho, teclado frontal, necessidade de acessórios")</f>
        <v>Tamanho, teclado frontal, necessidade de acessórios</v>
      </c>
      <c r="B38924" s="3">
        <v>0</v>
      </c>
    </row>
    <row r="38925" ht="15.75" customHeight="1" spans="1:2">
      <c r="A38925" s="3" t="str">
        <f>IFERROR(__xludf.DUMMYFUNCTION("GOOGLETRANSLATE(A38925,""en"",""pt"")"),"Tamanho, software de buggy")</f>
        <v>Tamanho, software de buggy</v>
      </c>
      <c r="B38925" s="3">
        <v>0</v>
      </c>
    </row>
    <row r="38926" ht="15.75" customHeight="1" spans="1:2">
      <c r="A38926" s="3" t="str">
        <f>IFERROR(__xludf.DUMMYFUNCTION("GOOGLETRANSLATE(A38926,""en"",""pt"")"),"Layout da câmera é ruim")</f>
        <v>Layout da câmera é ruim</v>
      </c>
      <c r="B38926" s="3">
        <v>0</v>
      </c>
    </row>
    <row r="38927" ht="15.75" customHeight="1" spans="1:2">
      <c r="A38927" s="3" t="str">
        <f>IFERROR(__xludf.DUMMYFUNCTION("GOOGLETRANSLATE(A38927,""en"",""pt"")"),"tela frontal pequeno, botões um pouco perto, mas ainda perfeitamente utilizável. Ainda não sencientes.")</f>
        <v>tela frontal pequeno, botões um pouco perto, mas ainda perfeitamente utilizável. Ainda não sencientes.</v>
      </c>
      <c r="B38927" s="3">
        <v>0</v>
      </c>
    </row>
    <row r="38928" ht="15.75" customHeight="1" spans="1:2">
      <c r="A38928" s="3" t="str">
        <f>IFERROR(__xludf.DUMMYFUNCTION("GOOGLETRANSLATE(A38928,""en"",""pt"")"),"Muitos pagar para usar-características, provavelmente, grandes e volumosos para a maioria dos usuários.")</f>
        <v>Muitos pagar para usar-características, provavelmente, grandes e volumosos para a maioria dos usuários.</v>
      </c>
      <c r="B38928" s="3">
        <v>0</v>
      </c>
    </row>
    <row r="38929" ht="15.75" customHeight="1" spans="1:2">
      <c r="A38929" s="3" t="str">
        <f>IFERROR(__xludf.DUMMYFUNCTION("GOOGLETRANSLATE(A38929,""en"",""pt"")"),"Não suporta a transferência de dados Bluetooth. Manual do Usuário é extremamente inadequada.")</f>
        <v>Não suporta a transferência de dados Bluetooth. Manual do Usuário é extremamente inadequada.</v>
      </c>
      <c r="B38929" s="3">
        <v>0</v>
      </c>
    </row>
    <row r="38930" ht="15.75" customHeight="1" spans="1:2">
      <c r="A38930" s="3" t="str">
        <f>IFERROR(__xludf.DUMMYFUNCTION("GOOGLETRANSLATE(A38930,""en"",""pt"")"),"Não que ótimo para além de mensagens de texto coisas")</f>
        <v>Não que ótimo para além de mensagens de texto coisas</v>
      </c>
      <c r="B38930" s="3">
        <v>0</v>
      </c>
    </row>
    <row r="38931" ht="15.75" customHeight="1" spans="1:2">
      <c r="A38931" s="3" t="str">
        <f>IFERROR(__xludf.DUMMYFUNCTION("GOOGLETRANSLATE(A38931,""en"",""pt"")"),"Volumoso, Ringer não alto o suficiente, a tela frontal é pequeno e não muito afiada / clear")</f>
        <v>Volumoso, Ringer não alto o suficiente, a tela frontal é pequeno e não muito afiada / clear</v>
      </c>
      <c r="B38931" s="3">
        <v>0</v>
      </c>
    </row>
    <row r="38932" ht="15.75" customHeight="1" spans="1:2">
      <c r="A38932" s="3" t="str">
        <f>IFERROR(__xludf.DUMMYFUNCTION("GOOGLETRANSLATE(A38932,""en"",""pt"")"),"Volumoso, após um ano de uso, parece um ran caminhão sobre ele.")</f>
        <v>Volumoso, após um ano de uso, parece um ran caminhão sobre ele.</v>
      </c>
      <c r="B38932" s="3">
        <v>0</v>
      </c>
    </row>
    <row r="38933" ht="15.75" customHeight="1" spans="1:2">
      <c r="A38933" s="3" t="str">
        <f>IFERROR(__xludf.DUMMYFUNCTION("GOOGLETRANSLATE(A38933,""en"",""pt"")"),"A vida da bateria e durabilidade.")</f>
        <v>A vida da bateria e durabilidade.</v>
      </c>
      <c r="B38933" s="3">
        <v>0</v>
      </c>
    </row>
    <row r="38934" ht="15.75" customHeight="1" spans="1:2">
      <c r="A38934" s="3" t="str">
        <f>IFERROR(__xludf.DUMMYFUNCTION("GOOGLETRANSLATE(A38934,""en"",""pt"")"),"tamanho invulgarmente grande")</f>
        <v>tamanho invulgarmente grande</v>
      </c>
      <c r="B38934" s="3">
        <v>0</v>
      </c>
    </row>
    <row r="38935" ht="15.75" customHeight="1" spans="1:2">
      <c r="A38935" s="3" t="str">
        <f>IFERROR(__xludf.DUMMYFUNCTION("GOOGLETRANSLATE(A38935,""en"",""pt"")"),"volumoso, o volume defeituoso, bluetooth suga")</f>
        <v>volumoso, o volume defeituoso, bluetooth suga</v>
      </c>
      <c r="B38935" s="3">
        <v>0</v>
      </c>
    </row>
    <row r="38936" ht="15.75" customHeight="1" spans="1:2">
      <c r="A38936" s="3" t="str">
        <f>IFERROR(__xludf.DUMMYFUNCTION("GOOGLETRANSLATE(A38936,""en"",""pt"")"),"Preço se você comprar de varejo, mas é realmente vale a pena.")</f>
        <v>Preço se você comprar de varejo, mas é realmente vale a pena.</v>
      </c>
      <c r="B38936" s="3">
        <v>0</v>
      </c>
    </row>
    <row r="38937" ht="15.75" customHeight="1" spans="1:2">
      <c r="A38937" s="3" t="str">
        <f>IFERROR(__xludf.DUMMYFUNCTION("GOOGLETRANSLATE(A38937,""en"",""pt"")"),"A vida da bateria é média, câmera de baixa resolução")</f>
        <v>A vida da bateria é média, câmera de baixa resolução</v>
      </c>
      <c r="B38937" s="3">
        <v>0</v>
      </c>
    </row>
    <row r="38938" ht="15.75" customHeight="1" spans="1:2">
      <c r="A38938" s="3" t="str">
        <f>IFERROR(__xludf.DUMMYFUNCTION("GOOGLETRANSLATE(A38938,""en"",""pt"")"),"O tamanho pequeno, medíocre viva-voz, sem Bluetooth, videoclips, câmera-flash, leitor de MP3, etc.")</f>
        <v>O tamanho pequeno, medíocre viva-voz, sem Bluetooth, videoclips, câmera-flash, leitor de MP3, etc.</v>
      </c>
      <c r="B38938" s="3">
        <v>0</v>
      </c>
    </row>
    <row r="38939" ht="15.75" customHeight="1" spans="1:2">
      <c r="A38939" s="3" t="str">
        <f>IFERROR(__xludf.DUMMYFUNCTION("GOOGLETRANSLATE(A38939,""en"",""pt"")"),"Extremamente pobre qualidade de construção e serviço ao cliente. sinal fraco e recepção.")</f>
        <v>Extremamente pobre qualidade de construção e serviço ao cliente. sinal fraco e recepção.</v>
      </c>
      <c r="B38939" s="3">
        <v>0</v>
      </c>
    </row>
    <row r="38940" ht="15.75" customHeight="1" spans="1:2">
      <c r="A38940" s="3" t="str">
        <f>IFERROR(__xludf.DUMMYFUNCTION("GOOGLETRANSLATE(A38940,""en"",""pt"")"),"Não confiável, desliga-se aleatoriamente, exclui mensagens de texto em seu próprio")</f>
        <v>Não confiável, desliga-se aleatoriamente, exclui mensagens de texto em seu próprio</v>
      </c>
      <c r="B38940" s="3">
        <v>0</v>
      </c>
    </row>
    <row r="38941" ht="15.75" customHeight="1" spans="1:2">
      <c r="A38941" s="3" t="str">
        <f>IFERROR(__xludf.DUMMYFUNCTION("GOOGLETRANSLATE(A38941,""en"",""pt"")"),"tamanho de tela muito pequena, speakerphone-barrenta soando, armazenamento de informação limitada para contatos, cobrando sistema falho.")</f>
        <v>tamanho de tela muito pequena, speakerphone-barrenta soando, armazenamento de informação limitada para contatos, cobrando sistema falho.</v>
      </c>
      <c r="B38941" s="3">
        <v>0</v>
      </c>
    </row>
    <row r="38942" ht="15.75" customHeight="1" spans="1:2">
      <c r="A38942" s="3" t="str">
        <f>IFERROR(__xludf.DUMMYFUNCTION("GOOGLETRANSLATE(A38942,""en"",""pt"")"),"Bateria, antena, o alto-falante é inútil, eo recurso de fone de ouvido é lixo.")</f>
        <v>Bateria, antena, o alto-falante é inútil, eo recurso de fone de ouvido é lixo.</v>
      </c>
      <c r="B38942" s="3">
        <v>0</v>
      </c>
    </row>
    <row r="38943" ht="15.75" customHeight="1" spans="1:2">
      <c r="A38943" s="3" t="str">
        <f>IFERROR(__xludf.DUMMYFUNCTION("GOOGLETRANSLATE(A38943,""en"",""pt"")"),"Nada grande ... mas, a tela faz lag de vez em quando e hum chato do carregador.")</f>
        <v>Nada grande ... mas, a tela faz lag de vez em quando e hum chato do carregador.</v>
      </c>
      <c r="B38943" s="3">
        <v>0</v>
      </c>
    </row>
    <row r="38944" ht="15.75" customHeight="1" spans="1:2">
      <c r="A38944" s="3" t="str">
        <f>IFERROR(__xludf.DUMMYFUNCTION("GOOGLETRANSLATE(A38944,""en"",""pt"")"),"Espirrar um pouco de água sobre ele, ele morre.")</f>
        <v>Espirrar um pouco de água sobre ele, ele morre.</v>
      </c>
      <c r="B38944" s="3">
        <v>0</v>
      </c>
    </row>
    <row r="38945" ht="15.75" customHeight="1" spans="1:2">
      <c r="A38945" s="3" t="str">
        <f>IFERROR(__xludf.DUMMYFUNCTION("GOOGLETRANSLATE(A38945,""en"",""pt"")"),"Veja acima. Eu nunca vou pela Motorola novamente por causa disso.")</f>
        <v>Veja acima. Eu nunca vou pela Motorola novamente por causa disso.</v>
      </c>
      <c r="B38945" s="3">
        <v>0</v>
      </c>
    </row>
    <row r="38946" ht="15.75" customHeight="1" spans="1:2">
      <c r="A38946" s="3" t="str">
        <f>IFERROR(__xludf.DUMMYFUNCTION("GOOGLETRANSLATE(A38946,""en"",""pt"")"),"Nenhum")</f>
        <v>Nenhum</v>
      </c>
      <c r="B38946" s="3">
        <v>0</v>
      </c>
    </row>
    <row r="38947" ht="15.75" customHeight="1" spans="1:2">
      <c r="A38947" s="3" t="str">
        <f>IFERROR(__xludf.DUMMYFUNCTION("GOOGLETRANSLATE(A38947,""en"",""pt"")"),"Baixa resolução, backlight propenso para falir, rede da Sprint é uma porcaria, não pode ser usado em outras redes.")</f>
        <v>Baixa resolução, backlight propenso para falir, rede da Sprint é uma porcaria, não pode ser usado em outras redes.</v>
      </c>
      <c r="B38947" s="3">
        <v>0</v>
      </c>
    </row>
    <row r="38948" ht="15.75" customHeight="1" spans="1:2">
      <c r="A38948" s="3" t="str">
        <f>IFERROR(__xludf.DUMMYFUNCTION("GOOGLETRANSLATE(A38948,""en"",""pt"")"),"Demasiado grande para alguns e muito pequeno para os outros, devido um pouco obsoleto para telefones mais novos")</f>
        <v>Demasiado grande para alguns e muito pequeno para os outros, devido um pouco obsoleto para telefones mais novos</v>
      </c>
      <c r="B38948" s="3">
        <v>0</v>
      </c>
    </row>
    <row r="38949" ht="15.75" customHeight="1" spans="1:2">
      <c r="A38949" s="3" t="str">
        <f>IFERROR(__xludf.DUMMYFUNCTION("GOOGLETRANSLATE(A38949,""en"",""pt"")"),"não pode personalizar toques ou papel de parede. Nenhuma câmera, internet, ou design elegante.")</f>
        <v>não pode personalizar toques ou papel de parede. Nenhuma câmera, internet, ou design elegante.</v>
      </c>
      <c r="B38949" s="3">
        <v>0</v>
      </c>
    </row>
    <row r="38950" ht="15.75" customHeight="1" spans="1:2">
      <c r="A38950" s="3" t="str">
        <f>IFERROR(__xludf.DUMMYFUNCTION("GOOGLETRANSLATE(A38950,""en"",""pt"")"),"Ringtones não descarregável, não um telefone com câmera.")</f>
        <v>Ringtones não descarregável, não um telefone com câmera.</v>
      </c>
      <c r="B38950" s="3">
        <v>0</v>
      </c>
    </row>
    <row r="38951" ht="15.75" customHeight="1" spans="1:2">
      <c r="A38951" s="3" t="str">
        <f>IFERROR(__xludf.DUMMYFUNCTION("GOOGLETRANSLATE(A38951,""en"",""pt"")"),"?")</f>
        <v>?</v>
      </c>
      <c r="B38951" s="3">
        <v>0</v>
      </c>
    </row>
    <row r="38952" ht="15.75" customHeight="1" spans="1:2">
      <c r="A38952" s="3" t="str">
        <f>IFERROR(__xludf.DUMMYFUNCTION("GOOGLETRANSLATE(A38952,""en"",""pt"")"),"Você pode obter um telefone e uma câmera muito melhor hoje para o preço de varejo")</f>
        <v>Você pode obter um telefone e uma câmera muito melhor hoje para o preço de varejo</v>
      </c>
      <c r="B38952" s="3">
        <v>0</v>
      </c>
    </row>
    <row r="38953" ht="15.75" customHeight="1" spans="1:2">
      <c r="A38953" s="3" t="str">
        <f>IFERROR(__xludf.DUMMYFUNCTION("GOOGLETRANSLATE(A38953,""en"",""pt"")"),"sistema de menu lento e desajeitado. Nem sempre é fácil encontrar o seu caminho em torno de suas características.")</f>
        <v>sistema de menu lento e desajeitado. Nem sempre é fácil encontrar o seu caminho em torno de suas características.</v>
      </c>
      <c r="B38953" s="3">
        <v>0</v>
      </c>
    </row>
    <row r="38954" ht="15.75" customHeight="1" spans="1:2">
      <c r="A38954" s="3" t="str">
        <f>IFERROR(__xludf.DUMMYFUNCTION("GOOGLETRANSLATE(A38954,""en"",""pt"")"),"os carregadores de chupar e o telefone pára de carregar depois de alguns meses de uso.")</f>
        <v>os carregadores de chupar e o telefone pára de carregar depois de alguns meses de uso.</v>
      </c>
      <c r="B38954" s="3">
        <v>0</v>
      </c>
    </row>
    <row r="38955" ht="15.75" customHeight="1" spans="1:2">
      <c r="A38955" s="3" t="str">
        <f>IFERROR(__xludf.DUMMYFUNCTION("GOOGLETRANSLATE(A38955,""en"",""pt"")"),"pobre interface, colocação de botões, funcionalidade geral.")</f>
        <v>pobre interface, colocação de botões, funcionalidade geral.</v>
      </c>
      <c r="B38955" s="3">
        <v>0</v>
      </c>
    </row>
    <row r="38956" ht="15.75" customHeight="1" spans="1:2">
      <c r="A38956" s="3" t="str">
        <f>IFERROR(__xludf.DUMMYFUNCTION("GOOGLETRANSLATE(A38956,""en"",""pt"")"),"Sem slot de expansão, fone de ouvido, display de tempo limite / colocações de screensaver não funcionam, assim-assim a vida da bateria")</f>
        <v>Sem slot de expansão, fone de ouvido, display de tempo limite / colocações de screensaver não funcionam, assim-assim a vida da bateria</v>
      </c>
      <c r="B38956" s="3">
        <v>0</v>
      </c>
    </row>
    <row r="38957" ht="15.75" customHeight="1" spans="1:2">
      <c r="A38957" s="3" t="str">
        <f>IFERROR(__xludf.DUMMYFUNCTION("GOOGLETRANSLATE(A38957,""en"",""pt"")"),"botões frustrante, má qualidade de som, interface de usuário frustrante, carregador irritante")</f>
        <v>botões frustrante, má qualidade de som, interface de usuário frustrante, carregador irritante</v>
      </c>
      <c r="B38957" s="3">
        <v>0</v>
      </c>
    </row>
    <row r="38958" ht="15.75" customHeight="1" spans="1:2">
      <c r="A38958" s="3" t="str">
        <f>IFERROR(__xludf.DUMMYFUNCTION("GOOGLETRANSLATE(A38958,""en"",""pt"")"),"Um pouco volumoso, quando aberto, exibição, um pouco confuso círculo de navegação")</f>
        <v>Um pouco volumoso, quando aberto, exibição, um pouco confuso círculo de navegação</v>
      </c>
      <c r="B38958" s="3">
        <v>0</v>
      </c>
    </row>
    <row r="38959" ht="15.75" customHeight="1" spans="1:2">
      <c r="A38959" s="3" t="str">
        <f>IFERROR(__xludf.DUMMYFUNCTION("GOOGLETRANSLATE(A38959,""en"",""pt"")"),"Teclado não é o maior e os botões são muito próximos uns dos outros")</f>
        <v>Teclado não é o maior e os botões são muito próximos uns dos outros</v>
      </c>
      <c r="B38959" s="3">
        <v>0</v>
      </c>
    </row>
    <row r="38960" ht="15.75" customHeight="1" spans="1:2">
      <c r="A38960" s="3" t="str">
        <f>IFERROR(__xludf.DUMMYFUNCTION("GOOGLETRANSLATE(A38960,""en"",""pt"")"),"Bateria ligeiramente sub par, mais espessa do que GSM irmão, Verizon é aleijada")</f>
        <v>Bateria ligeiramente sub par, mais espessa do que GSM irmão, Verizon é aleijada</v>
      </c>
      <c r="B38960" s="3">
        <v>0</v>
      </c>
    </row>
    <row r="38961" ht="15.75" customHeight="1" spans="1:2">
      <c r="A38961" s="3" t="str">
        <f>IFERROR(__xludf.DUMMYFUNCTION("GOOGLETRANSLATE(A38961,""en"",""pt"")"),"No caso incluído")</f>
        <v>No caso incluído</v>
      </c>
      <c r="B38961" s="3">
        <v>0</v>
      </c>
    </row>
    <row r="38962" ht="15.75" customHeight="1" spans="1:2">
      <c r="A38962" s="3" t="str">
        <f>IFERROR(__xludf.DUMMYFUNCTION("GOOGLETRANSLATE(A38962,""en"",""pt"")"),"No Anel + Vibrar, Verizon Interface, nenhum modo silencioso verdade, pode ser lento")</f>
        <v>No Anel + Vibrar, Verizon Interface, nenhum modo silencioso verdade, pode ser lento</v>
      </c>
      <c r="B38962" s="3">
        <v>0</v>
      </c>
    </row>
    <row r="38963" ht="15.75" customHeight="1" spans="1:2">
      <c r="A38963" s="3" t="str">
        <f>IFERROR(__xludf.DUMMYFUNCTION("GOOGLETRANSLATE(A38963,""en"",""pt"")"),"procurando no livro de endereços pobres, má qualidade de voz, não de power-on indicador, tela função do botão blankenned")</f>
        <v>procurando no livro de endereços pobres, má qualidade de voz, não de power-on indicador, tela função do botão blankenned</v>
      </c>
      <c r="B38963" s="3">
        <v>0</v>
      </c>
    </row>
    <row r="38964" ht="15.75" customHeight="1" spans="1:2">
      <c r="A38964" s="3" t="str">
        <f>IFERROR(__xludf.DUMMYFUNCTION("GOOGLETRANSLATE(A38964,""en"",""pt"")"),"-Modo duplo")</f>
        <v>-Modo duplo</v>
      </c>
      <c r="B38964" s="3">
        <v>0</v>
      </c>
    </row>
    <row r="38965" ht="15.75" customHeight="1" spans="1:2">
      <c r="A38965" s="3" t="str">
        <f>IFERROR(__xludf.DUMMYFUNCTION("GOOGLETRANSLATE(A38965,""en"",""pt"")"),"construção teclado, software de buggy (tempo), não pode mudar de entrada de texto padrão, muitos pressiona o botão necessário, ""intuitiva""")</f>
        <v>construção teclado, software de buggy (tempo), não pode mudar de entrada de texto padrão, muitos pressiona o botão necessário, "intuitiva"</v>
      </c>
      <c r="B38965" s="3">
        <v>0</v>
      </c>
    </row>
    <row r="38966" ht="15.75" customHeight="1" spans="1:2">
      <c r="A38966" s="3" t="str">
        <f>IFERROR(__xludf.DUMMYFUNCTION("GOOGLETRANSLATE(A38966,""en"",""pt"")"),"botões laterais podem ser uma dor")</f>
        <v>botões laterais podem ser uma dor</v>
      </c>
      <c r="B38966" s="3">
        <v>0</v>
      </c>
    </row>
    <row r="38967" ht="15.75" customHeight="1" spans="1:2">
      <c r="A38967" s="3" t="str">
        <f>IFERROR(__xludf.DUMMYFUNCTION("GOOGLETRANSLATE(A38967,""en"",""pt"")"),"problemas de atualização de tempo, pequenos botões, vida útil da bateria tempo de conversação, erros de viva-voz, blocos Verizon")</f>
        <v>problemas de atualização de tempo, pequenos botões, vida útil da bateria tempo de conversação, erros de viva-voz, blocos Verizon</v>
      </c>
      <c r="B38967" s="3">
        <v>0</v>
      </c>
    </row>
    <row r="38968" ht="15.75" customHeight="1" spans="1:2">
      <c r="A38968" s="3" t="str">
        <f>IFERROR(__xludf.DUMMYFUNCTION("GOOGLETRANSLATE(A38968,""en"",""pt"")"),"cada corpo é fazê-los, fator originalidade minimizado.")</f>
        <v>cada corpo é fazê-los, fator originalidade minimizado.</v>
      </c>
      <c r="B38968" s="3">
        <v>0</v>
      </c>
    </row>
    <row r="38969" ht="15.75" customHeight="1" spans="1:2">
      <c r="A38969" s="3" t="str">
        <f>IFERROR(__xludf.DUMMYFUNCTION("GOOGLETRANSLATE(A38969,""en"",""pt"")"),"sem fone de ouvido ou de expansão de memória slot.")</f>
        <v>sem fone de ouvido ou de expansão de memória slot.</v>
      </c>
      <c r="B38969" s="3">
        <v>0</v>
      </c>
    </row>
    <row r="38970" ht="15.75" customHeight="1" spans="1:2">
      <c r="A38970" s="3" t="str">
        <f>IFERROR(__xludf.DUMMYFUNCTION("GOOGLETRANSLATE(A38970,""en"",""pt"")"),"ergonomia pobre, pobre de som.")</f>
        <v>ergonomia pobre, pobre de som.</v>
      </c>
      <c r="B38970" s="3">
        <v>0</v>
      </c>
    </row>
    <row r="38971" ht="15.75" customHeight="1" spans="1:2">
      <c r="A38971" s="3" t="str">
        <f>IFERROR(__xludf.DUMMYFUNCTION("GOOGLETRANSLATE(A38971,""en"",""pt"")"),"Sem memória expansível, não Mp3, não Obex")</f>
        <v>Sem memória expansível, não Mp3, não Obex</v>
      </c>
      <c r="B38971" s="3">
        <v>0</v>
      </c>
    </row>
    <row r="38972" ht="15.75" customHeight="1" spans="1:2">
      <c r="A38972" s="3" t="str">
        <f>IFERROR(__xludf.DUMMYFUNCTION("GOOGLETRANSLATE(A38972,""en"",""pt"")"),"mantém frio! Brrrr ....")</f>
        <v>mantém frio! Brrrr ....</v>
      </c>
      <c r="B38972" s="3">
        <v>0</v>
      </c>
    </row>
    <row r="38973" ht="15.75" customHeight="1" spans="1:2">
      <c r="A38973" s="3" t="str">
        <f>IFERROR(__xludf.DUMMYFUNCTION("GOOGLETRANSLATE(A38973,""en"",""pt"")"),"iTAP suga, exibição fora é pequena, a vida da bateria é medíocre.")</f>
        <v>iTAP suga, exibição fora é pequena, a vida da bateria é medíocre.</v>
      </c>
      <c r="B38973" s="3">
        <v>0</v>
      </c>
    </row>
    <row r="38974" ht="15.75" customHeight="1" spans="1:2">
      <c r="A38974" s="3" t="str">
        <f>IFERROR(__xludf.DUMMYFUNCTION("GOOGLETRANSLATE(A38974,""en"",""pt"")"),"Irritantes chamadas não atendidas e mensagens lembretes.")</f>
        <v>Irritantes chamadas não atendidas e mensagens lembretes.</v>
      </c>
      <c r="B38974" s="3">
        <v>0</v>
      </c>
    </row>
    <row r="38975" ht="15.75" customHeight="1" spans="1:2">
      <c r="A38975" s="3" t="str">
        <f>IFERROR(__xludf.DUMMYFUNCTION("GOOGLETRANSLATE(A38975,""en"",""pt"")"),"volume de viva-voz e vida útil da bateria")</f>
        <v>volume de viva-voz e vida útil da bateria</v>
      </c>
      <c r="B38975" s="3">
        <v>0</v>
      </c>
    </row>
    <row r="38976" ht="15.75" customHeight="1" spans="1:2">
      <c r="A38976" s="3" t="str">
        <f>IFERROR(__xludf.DUMMYFUNCTION("GOOGLETRANSLATE(A38976,""en"",""pt"")"),"Sem OBEX / suporte Bluetooth File Transfer")</f>
        <v>Sem OBEX / suporte Bluetooth File Transfer</v>
      </c>
      <c r="B38976" s="3">
        <v>0</v>
      </c>
    </row>
    <row r="38977" ht="15.75" customHeight="1" spans="1:2">
      <c r="A38977" s="3" t="str">
        <f>IFERROR(__xludf.DUMMYFUNCTION("GOOGLETRANSLATE(A38977,""en"",""pt"")"),"preço, não a longevidade, qualidade de som")</f>
        <v>preço, não a longevidade, qualidade de som</v>
      </c>
      <c r="B38977" s="3">
        <v>0</v>
      </c>
    </row>
    <row r="38978" ht="15.75" customHeight="1" spans="1:2">
      <c r="A38978" s="3" t="str">
        <f>IFERROR(__xludf.DUMMYFUNCTION("GOOGLETRANSLATE(A38978,""en"",""pt"")"),"viva-voz e fora botões são difíceis.")</f>
        <v>viva-voz e fora botões são difíceis.</v>
      </c>
      <c r="B38978" s="3">
        <v>0</v>
      </c>
    </row>
    <row r="38979" ht="15.75" customHeight="1" spans="1:2">
      <c r="A38979" s="3" t="str">
        <f>IFERROR(__xludf.DUMMYFUNCTION("GOOGLETRANSLATE(A38979,""en"",""pt"")"),"Alto-falantes não muito claro. Nenhum buraco plugue de orelha. botões laterais são difíceis. No coldre.")</f>
        <v>Alto-falantes não muito claro. Nenhum buraco plugue de orelha. botões laterais são difíceis. No coldre.</v>
      </c>
      <c r="B38979" s="3">
        <v>0</v>
      </c>
    </row>
    <row r="38980" ht="15.75" customHeight="1" spans="1:2">
      <c r="A38980" s="3" t="str">
        <f>IFERROR(__xludf.DUMMYFUNCTION("GOOGLETRANSLATE(A38980,""en"",""pt"")"),"Caro, a vida da bateria, não pode remover imagens predefinidas")</f>
        <v>Caro, a vida da bateria, não pode remover imagens predefinidas</v>
      </c>
      <c r="B38980" s="3">
        <v>0</v>
      </c>
    </row>
    <row r="38981" ht="15.75" customHeight="1" spans="1:2">
      <c r="A38981" s="3" t="str">
        <f>IFERROR(__xludf.DUMMYFUNCTION("GOOGLETRANSLATE(A38981,""en"",""pt"")"),"Arranha facilmente.")</f>
        <v>Arranha facilmente.</v>
      </c>
      <c r="B38981" s="3">
        <v>0</v>
      </c>
    </row>
    <row r="38982" ht="15.75" customHeight="1" spans="1:2">
      <c r="A38982" s="3" t="str">
        <f>IFERROR(__xludf.DUMMYFUNCTION("GOOGLETRANSLATE(A38982,""en"",""pt"")"),"processador muito lento, desajeitado de segurar, má qualidade geral")</f>
        <v>processador muito lento, desajeitado de segurar, má qualidade geral</v>
      </c>
      <c r="B38982" s="3">
        <v>0</v>
      </c>
    </row>
    <row r="38983" ht="15.75" customHeight="1" spans="1:2">
      <c r="A38983" s="3" t="str">
        <f>IFERROR(__xludf.DUMMYFUNCTION("GOOGLETRANSLATE(A38983,""en"",""pt"")"),"A vida da bateria é drenada rapidamente no tempo frio - coisa boa que eu estou movendo para a Flórida")</f>
        <v>A vida da bateria é drenada rapidamente no tempo frio - coisa boa que eu estou movendo para a Flórida</v>
      </c>
      <c r="B38983" s="3">
        <v>0</v>
      </c>
    </row>
    <row r="38984" ht="15.75" customHeight="1" spans="1:2">
      <c r="A38984" s="3" t="str">
        <f>IFERROR(__xludf.DUMMYFUNCTION("GOOGLETRANSLATE(A38984,""en"",""pt"")"),"aplicações lag, telefone congela, não vibrar / anel de toque combinação, má qualidade de imagem")</f>
        <v>aplicações lag, telefone congela, não vibrar / anel de toque combinação, má qualidade de imagem</v>
      </c>
      <c r="B38984" s="3">
        <v>0</v>
      </c>
    </row>
    <row r="38985" ht="15.75" customHeight="1" spans="1:2">
      <c r="A38985" s="3" t="str">
        <f>IFERROR(__xludf.DUMMYFUNCTION("GOOGLETRANSLATE(A38985,""en"",""pt"")"),"bateria, bateria, bateria, bateria, onde está o coelhinho da Energizer?")</f>
        <v>bateria, bateria, bateria, bateria, onde está o coelhinho da Energizer?</v>
      </c>
      <c r="B38985" s="3">
        <v>0</v>
      </c>
    </row>
    <row r="38986" ht="15.75" customHeight="1" spans="1:2">
      <c r="A38986" s="3" t="str">
        <f>IFERROR(__xludf.DUMMYFUNCTION("GOOGLETRANSLATE(A38986,""en"",""pt"")"),"** demasiados a lista - veja acima **")</f>
        <v>** demasiados a lista - veja acima **</v>
      </c>
      <c r="B38986" s="3">
        <v>0</v>
      </c>
    </row>
    <row r="38987" ht="15.75" customHeight="1" spans="1:2">
      <c r="A38987" s="3" t="str">
        <f>IFERROR(__xludf.DUMMYFUNCTION("GOOGLETRANSLATE(A38987,""en"",""pt"")"),"botões laterais muito fácil para pressionar acidentalmente, fazendo com que as chamadas não atendidas.")</f>
        <v>botões laterais muito fácil para pressionar acidentalmente, fazendo com que as chamadas não atendidas.</v>
      </c>
      <c r="B38987" s="3">
        <v>0</v>
      </c>
    </row>
    <row r="38988" ht="15.75" customHeight="1" spans="1:2">
      <c r="A38988" s="3" t="str">
        <f>IFERROR(__xludf.DUMMYFUNCTION("GOOGLETRANSLATE(A38988,""en"",""pt"")"),"pobre da bateria, software de buggy que congela-se")</f>
        <v>pobre da bateria, software de buggy que congela-se</v>
      </c>
      <c r="B38988" s="3">
        <v>0</v>
      </c>
    </row>
    <row r="38989" ht="15.75" customHeight="1" spans="1:2">
      <c r="A38989" s="3" t="str">
        <f>IFERROR(__xludf.DUMMYFUNCTION("GOOGLETRANSLATE(A38989,""en"",""pt"")"),"timeouts / congela-se")</f>
        <v>timeouts / congela-se</v>
      </c>
      <c r="B38989" s="3">
        <v>0</v>
      </c>
    </row>
    <row r="38990" ht="15.75" customHeight="1" spans="1:2">
      <c r="A38990" s="3" t="str">
        <f>IFERROR(__xludf.DUMMYFUNCTION("GOOGLETRANSLATE(A38990,""en"",""pt"")"),"Antena neste telefone isnt qualquer bom.")</f>
        <v>Antena neste telefone isnt qualquer bom.</v>
      </c>
      <c r="B38990" s="3">
        <v>0</v>
      </c>
    </row>
    <row r="38991" ht="15.75" customHeight="1" spans="1:2">
      <c r="A38991" s="3" t="str">
        <f>IFERROR(__xludf.DUMMYFUNCTION("GOOGLETRANSLATE(A38991,""en"",""pt"")"),"Apenas uma porta, duro para caber sua cabeça, fácil de perder.")</f>
        <v>Apenas uma porta, duro para caber sua cabeça, fácil de perder.</v>
      </c>
      <c r="B38991" s="3">
        <v>0</v>
      </c>
    </row>
    <row r="38992" ht="15.75" customHeight="1" spans="1:2">
      <c r="A38992" s="3" t="str">
        <f>IFERROR(__xludf.DUMMYFUNCTION("GOOGLETRANSLATE(A38992,""en"",""pt"")"),"Cuidado com queda telefone cedo")</f>
        <v>Cuidado com queda telefone cedo</v>
      </c>
      <c r="B38992" s="3">
        <v>0</v>
      </c>
    </row>
    <row r="38993" ht="15.75" customHeight="1" spans="1:2">
      <c r="A38993" s="3" t="str">
        <f>IFERROR(__xludf.DUMMYFUNCTION("GOOGLETRANSLATE(A38993,""en"",""pt"")"),"Lag, não durável, qualidade de voz não é bom")</f>
        <v>Lag, não durável, qualidade de voz não é bom</v>
      </c>
      <c r="B38993" s="3">
        <v>0</v>
      </c>
    </row>
    <row r="38994" ht="15.75" customHeight="1" spans="1:2">
      <c r="A38994" s="3" t="str">
        <f>IFERROR(__xludf.DUMMYFUNCTION("GOOGLETRANSLATE(A38994,""en"",""pt"")"),"Display é quase impossível ver a luz do dia, não há maneira de aumentar o brilho.")</f>
        <v>Display é quase impossível ver a luz do dia, não há maneira de aumentar o brilho.</v>
      </c>
      <c r="B38994" s="3">
        <v>0</v>
      </c>
    </row>
    <row r="38995" ht="15.75" customHeight="1" spans="1:2">
      <c r="A38995" s="3" t="str">
        <f>IFERROR(__xludf.DUMMYFUNCTION("GOOGLETRANSLATE(A38995,""en"",""pt"")"),"Frustrando a uma extensão.")</f>
        <v>Frustrando a uma extensão.</v>
      </c>
      <c r="B38995" s="3">
        <v>0</v>
      </c>
    </row>
    <row r="38996" ht="15.75" customHeight="1" spans="1:2">
      <c r="A38996" s="3" t="str">
        <f>IFERROR(__xludf.DUMMYFUNCTION("GOOGLETRANSLATE(A38996,""en"",""pt"")"),"Até agora, não tenho nada de negativo a dizer sobre o telefone.")</f>
        <v>Até agora, não tenho nada de negativo a dizer sobre o telefone.</v>
      </c>
      <c r="B38996" s="3">
        <v>0</v>
      </c>
    </row>
    <row r="38997" ht="15.75" customHeight="1" spans="1:2">
      <c r="A38997" s="3" t="str">
        <f>IFERROR(__xludf.DUMMYFUNCTION("GOOGLETRANSLATE(A38997,""en"",""pt"")"),"Demais para contar. todos eles têm a ver com a durabilidade e qualidade.")</f>
        <v>Demais para contar. todos eles têm a ver com a durabilidade e qualidade.</v>
      </c>
      <c r="B38997" s="3">
        <v>0</v>
      </c>
    </row>
    <row r="38998" ht="15.75" customHeight="1" spans="1:2">
      <c r="A38998" s="3" t="str">
        <f>IFERROR(__xludf.DUMMYFUNCTION("GOOGLETRANSLATE(A38998,""en"",""pt"")"),"-Software é um pouco lento, versão de software .03 é suposto para corrigir isso.")</f>
        <v>-Software é um pouco lento, versão de software .03 é suposto para corrigir isso.</v>
      </c>
      <c r="B38998" s="3">
        <v>0</v>
      </c>
    </row>
    <row r="38999" ht="15.75" customHeight="1" spans="1:2">
      <c r="A38999" s="3" t="str">
        <f>IFERROR(__xludf.DUMMYFUNCTION("GOOGLETRANSLATE(A38999,""en"",""pt"")"),"qualidade de som horrível. viva-voz ruim. quando as chamadas são descartados não vai desligar.")</f>
        <v>qualidade de som horrível. viva-voz ruim. quando as chamadas são descartados não vai desligar.</v>
      </c>
      <c r="B38999" s="3">
        <v>0</v>
      </c>
    </row>
    <row r="39000" ht="15.75" customHeight="1" spans="1:2">
      <c r="A39000" s="3" t="str">
        <f>IFERROR(__xludf.DUMMYFUNCTION("GOOGLETRANSLATE(A39000,""en"",""pt"")"),"Difícil de encontrar uma tampa. Todas as tampas são uma pressão em plástico.")</f>
        <v>Difícil de encontrar uma tampa. Todas as tampas são uma pressão em plástico.</v>
      </c>
      <c r="B39000" s="3">
        <v>0</v>
      </c>
    </row>
    <row r="39001" ht="15.75" customHeight="1" spans="1:2">
      <c r="A39001" s="3" t="str">
        <f>IFERROR(__xludf.DUMMYFUNCTION("GOOGLETRANSLATE(A39001,""en"",""pt"")"),"16MB, a memória não expansível; 0.3 Megapixels sobre a câmara; Nenhum jogo versão completa.")</f>
        <v>16MB, a memória não expansível; 0.3 Megapixels sobre a câmara; Nenhum jogo versão completa.</v>
      </c>
      <c r="B39001" s="3">
        <v>0</v>
      </c>
    </row>
    <row r="39002" ht="15.75" customHeight="1" spans="1:2">
      <c r="A39002" s="3" t="str">
        <f>IFERROR(__xludf.DUMMYFUNCTION("GOOGLETRANSLATE(A39002,""en"",""pt"")"),"má concepção de botões externos. Awful qualidade da câmera.")</f>
        <v>má concepção de botões externos. Awful qualidade da câmera.</v>
      </c>
      <c r="B39002" s="3">
        <v>0</v>
      </c>
    </row>
    <row r="39003" ht="15.75" customHeight="1" spans="1:2">
      <c r="A39003" s="3" t="str">
        <f>IFERROR(__xludf.DUMMYFUNCTION("GOOGLETRANSLATE(A39003,""en"",""pt"")"),"software Buggy. conectividade Bluetooth.")</f>
        <v>software Buggy. conectividade Bluetooth.</v>
      </c>
      <c r="B39003" s="3">
        <v>0</v>
      </c>
    </row>
    <row r="39004" ht="15.75" customHeight="1" spans="1:2">
      <c r="A39004" s="3" t="str">
        <f>IFERROR(__xludf.DUMMYFUNCTION("GOOGLETRANSLATE(A39004,""en"",""pt"")"),"Não confiável, a má qualidade da foto, irritante localização botão da câmera, problemas de conectividade Bluetooth.")</f>
        <v>Não confiável, a má qualidade da foto, irritante localização botão da câmera, problemas de conectividade Bluetooth.</v>
      </c>
      <c r="B39004" s="3">
        <v>0</v>
      </c>
    </row>
    <row r="39005" ht="15.75" customHeight="1" spans="1:2">
      <c r="A39005" s="3" t="str">
        <f>IFERROR(__xludf.DUMMYFUNCTION("GOOGLETRANSLATE(A39005,""en"",""pt"")"),"Medíocre qualidade da câmera, os pequenos botões do teclado")</f>
        <v>Medíocre qualidade da câmera, os pequenos botões do teclado</v>
      </c>
      <c r="B39005" s="3">
        <v>0</v>
      </c>
    </row>
    <row r="39006" ht="15.75" customHeight="1" spans="1:2">
      <c r="A39006" s="3" t="str">
        <f>IFERROR(__xludf.DUMMYFUNCTION("GOOGLETRANSLATE(A39006,""en"",""pt"")"),"projeto mau, mau confiabilidade, scorchingly mau serviço ao cliente.")</f>
        <v>projeto mau, mau confiabilidade, scorchingly mau serviço ao cliente.</v>
      </c>
      <c r="B39006" s="3">
        <v>0</v>
      </c>
    </row>
    <row r="39007" ht="15.75" customHeight="1" spans="1:2">
      <c r="A39007" s="3" t="str">
        <f>IFERROR(__xludf.DUMMYFUNCTION("GOOGLETRANSLATE(A39007,""en"",""pt"")"),"Caro, mas você recebe o que você paga.")</f>
        <v>Caro, mas você recebe o que você paga.</v>
      </c>
      <c r="B39007" s="3">
        <v>0</v>
      </c>
    </row>
    <row r="39008" ht="15.75" customHeight="1" spans="1:2">
      <c r="A39008" s="3" t="str">
        <f>IFERROR(__xludf.DUMMYFUNCTION("GOOGLETRANSLATE(A39008,""en"",""pt"")"),"às vezes lento, botão da câmera é irritante, discagem por voz nem sempre funciona")</f>
        <v>às vezes lento, botão da câmera é irritante, discagem por voz nem sempre funciona</v>
      </c>
      <c r="B39008" s="3">
        <v>0</v>
      </c>
    </row>
    <row r="39009" ht="15.75" customHeight="1" spans="1:2">
      <c r="A39009" s="3" t="str">
        <f>IFERROR(__xludf.DUMMYFUNCTION("GOOGLETRANSLATE(A39009,""en"",""pt"")"),"sistema operacional inadequada para gerenciar a memória, ups Freeze, desligando o telefone diária")</f>
        <v>sistema operacional inadequada para gerenciar a memória, ups Freeze, desligando o telefone diária</v>
      </c>
      <c r="B39009" s="3">
        <v>0</v>
      </c>
    </row>
    <row r="39010" ht="15.75" customHeight="1" spans="1:2">
      <c r="A39010" s="3" t="str">
        <f>IFERROR(__xludf.DUMMYFUNCTION("GOOGLETRANSLATE(A39010,""en"",""pt"")"),"A memória é baixo, pequenos bugs, preço (embora eu entendi livre)")</f>
        <v>A memória é baixo, pequenos bugs, preço (embora eu entendi livre)</v>
      </c>
      <c r="B39010" s="3">
        <v>0</v>
      </c>
    </row>
    <row r="39011" ht="15.75" customHeight="1" spans="1:2">
      <c r="A39011" s="3" t="str">
        <f>IFERROR(__xludf.DUMMYFUNCTION("GOOGLETRANSLATE(A39011,""en"",""pt"")"),"botão da câmera na pior localização possível!")</f>
        <v>botão da câmera na pior localização possível!</v>
      </c>
      <c r="B39011" s="3">
        <v>0</v>
      </c>
    </row>
    <row r="39012" ht="15.75" customHeight="1" spans="1:2">
      <c r="A39012" s="3" t="str">
        <f>IFERROR(__xludf.DUMMYFUNCTION("GOOGLETRANSLATE(A39012,""en"",""pt"")"),"Não é fácil de segurar enquanto fala. vida pobre da bateria.")</f>
        <v>Não é fácil de segurar enquanto fala. vida pobre da bateria.</v>
      </c>
      <c r="B39012" s="3">
        <v>0</v>
      </c>
    </row>
    <row r="39013" ht="15.75" customHeight="1" spans="1:2">
      <c r="A39013" s="3" t="str">
        <f>IFERROR(__xludf.DUMMYFUNCTION("GOOGLETRANSLATE(A39013,""en"",""pt"")"),"botão da câmera Side .... a vida da bateria ao longo estimado")</f>
        <v>botão da câmera Side .... a vida da bateria ao longo estimado</v>
      </c>
      <c r="B39013" s="3">
        <v>0</v>
      </c>
    </row>
    <row r="39014" ht="15.75" customHeight="1" spans="1:2">
      <c r="A39014" s="3" t="str">
        <f>IFERROR(__xludf.DUMMYFUNCTION("GOOGLETRANSLATE(A39014,""en"",""pt"")"),"confiabilidade, botão da câmera, a qualidade da imagem")</f>
        <v>confiabilidade, botão da câmera, a qualidade da imagem</v>
      </c>
      <c r="B39014" s="3">
        <v>0</v>
      </c>
    </row>
    <row r="39015" ht="15.75" customHeight="1" spans="1:2">
      <c r="A39015" s="3" t="str">
        <f>IFERROR(__xludf.DUMMYFUNCTION("GOOGLETRANSLATE(A39015,""en"",""pt"")"),"botão da câmera na lateral, arranjo de teclado")</f>
        <v>botão da câmera na lateral, arranjo de teclado</v>
      </c>
      <c r="B39015" s="3">
        <v>0</v>
      </c>
    </row>
    <row r="39016" ht="15.75" customHeight="1" spans="1:2">
      <c r="A39016" s="3" t="str">
        <f>IFERROR(__xludf.DUMMYFUNCTION("GOOGLETRANSLATE(A39016,""en"",""pt"")"),"não vai sobreviver a uma queda de 3 pés")</f>
        <v>não vai sobreviver a uma queda de 3 pés</v>
      </c>
      <c r="B39016" s="3">
        <v>0</v>
      </c>
    </row>
    <row r="39017" ht="15.75" customHeight="1" spans="1:2">
      <c r="A39017" s="3" t="str">
        <f>IFERROR(__xludf.DUMMYFUNCTION("GOOGLETRANSLATE(A39017,""en"",""pt"")"),"Não confiável")</f>
        <v>Não confiável</v>
      </c>
      <c r="B39017" s="3">
        <v>0</v>
      </c>
    </row>
    <row r="39018" ht="15.75" customHeight="1" spans="1:2">
      <c r="A39018" s="3" t="str">
        <f>IFERROR(__xludf.DUMMYFUNCTION("GOOGLETRANSLATE(A39018,""en"",""pt"")"),"nenhum que eu posso pensar")</f>
        <v>nenhum que eu posso pensar</v>
      </c>
      <c r="B39018" s="3">
        <v>0</v>
      </c>
    </row>
    <row r="39019" ht="15.75" customHeight="1" spans="1:2">
      <c r="A39019" s="3" t="str">
        <f>IFERROR(__xludf.DUMMYFUNCTION("GOOGLETRANSLATE(A39019,""en"",""pt"")"),"câmera, não um monte de memória para mp3")</f>
        <v>câmera, não um monte de memória para mp3</v>
      </c>
      <c r="B39019" s="3">
        <v>0</v>
      </c>
    </row>
    <row r="39020" ht="15.75" customHeight="1" spans="1:2">
      <c r="A39020" s="3" t="str">
        <f>IFERROR(__xludf.DUMMYFUNCTION("GOOGLETRANSLATE(A39020,""en"",""pt"")"),"câmera, monitor de vídeo,")</f>
        <v>câmera, monitor de vídeo,</v>
      </c>
      <c r="B39020" s="3">
        <v>0</v>
      </c>
    </row>
    <row r="39021" ht="15.75" customHeight="1" spans="1:2">
      <c r="A39021" s="3" t="str">
        <f>IFERROR(__xludf.DUMMYFUNCTION("GOOGLETRANSLATE(A39021,""en"",""pt"")"),"STINKS VOLUME")</f>
        <v>STINKS VOLUME</v>
      </c>
      <c r="B39021" s="3">
        <v>0</v>
      </c>
    </row>
    <row r="39022" ht="15.75" customHeight="1" spans="1:2">
      <c r="A39022" s="3" t="str">
        <f>IFERROR(__xludf.DUMMYFUNCTION("GOOGLETRANSLATE(A39022,""en"",""pt"")"),"Você tem que cobri-lo a cada 3 meses ou perder o número,")</f>
        <v>Você tem que cobri-lo a cada 3 meses ou perder o número,</v>
      </c>
      <c r="B39022" s="3">
        <v>0</v>
      </c>
    </row>
    <row r="39023" ht="15.75" customHeight="1" spans="1:2">
      <c r="A39023" s="3" t="str">
        <f>IFERROR(__xludf.DUMMYFUNCTION("GOOGLETRANSLATE(A39023,""en"",""pt"")"),"aparente bug pode precisar remover / substituir a bateria com pouca frequência")</f>
        <v>aparente bug pode precisar remover / substituir a bateria com pouca frequência</v>
      </c>
      <c r="B39023" s="3">
        <v>0</v>
      </c>
    </row>
    <row r="39024" ht="15.75" customHeight="1" spans="1:2">
      <c r="A39024" s="3" t="str">
        <f>IFERROR(__xludf.DUMMYFUNCTION("GOOGLETRANSLATE(A39024,""en"",""pt"")"),"nunca vou comprar outro nokia")</f>
        <v>nunca vou comprar outro nokia</v>
      </c>
      <c r="B39024" s="3">
        <v>0</v>
      </c>
    </row>
    <row r="39025" ht="15.75" customHeight="1" spans="1:2">
      <c r="A39025" s="3" t="str">
        <f>IFERROR(__xludf.DUMMYFUNCTION("GOOGLETRANSLATE(A39025,""en"",""pt"")"),"Stub Attenna não fica tão boa recepção como Attenna regular. Bateria uso às vezes irritantes.")</f>
        <v>Stub Attenna não fica tão boa recepção como Attenna regular. Bateria uso às vezes irritantes.</v>
      </c>
      <c r="B39025" s="3">
        <v>0</v>
      </c>
    </row>
    <row r="39026" ht="15.75" customHeight="1" spans="1:2">
      <c r="A39026" s="3" t="str">
        <f>IFERROR(__xludf.DUMMYFUNCTION("GOOGLETRANSLATE(A39026,""en"",""pt"")"),"nada")</f>
        <v>nada</v>
      </c>
      <c r="B39026" s="3">
        <v>0</v>
      </c>
    </row>
    <row r="39027" ht="15.75" customHeight="1" spans="1:2">
      <c r="A39027" s="3" t="str">
        <f>IFERROR(__xludf.DUMMYFUNCTION("GOOGLETRANSLATE(A39027,""en"",""pt"")"),"Alguns soluços bastante menores")</f>
        <v>Alguns soluços bastante menores</v>
      </c>
      <c r="B39027" s="3">
        <v>0</v>
      </c>
    </row>
    <row r="39028" ht="15.75" customHeight="1" spans="1:2">
      <c r="A39028" s="3" t="str">
        <f>IFERROR(__xludf.DUMMYFUNCTION("GOOGLETRANSLATE(A39028,""en"",""pt"")"),"Algumas pequenas peculiaridades detalhado na revisão")</f>
        <v>Algumas pequenas peculiaridades detalhado na revisão</v>
      </c>
      <c r="B39028" s="3">
        <v>0</v>
      </c>
    </row>
    <row r="39029" ht="15.75" customHeight="1" spans="1:2">
      <c r="A39029" s="3" t="str">
        <f>IFERROR(__xludf.DUMMYFUNCTION("GOOGLETRANSLATE(A39029,""en"",""pt"")"),"vibrar, flash, antena longa stub, formato Transflash fraco")</f>
        <v>vibrar, flash, antena longa stub, formato Transflash fraco</v>
      </c>
      <c r="B39029" s="3">
        <v>0</v>
      </c>
    </row>
    <row r="39030" ht="15.75" customHeight="1" spans="1:2">
      <c r="A39030" s="3" t="str">
        <f>IFERROR(__xludf.DUMMYFUNCTION("GOOGLETRANSLATE(A39030,""en"",""pt"")"),"aparência frágil, maior do que a maioria de telefone, alguns recursos inúteis")</f>
        <v>aparência frágil, maior do que a maioria de telefone, alguns recursos inúteis</v>
      </c>
      <c r="B39030" s="3">
        <v>0</v>
      </c>
    </row>
    <row r="39031" ht="15.75" customHeight="1" spans="1:2">
      <c r="A39031" s="3" t="str">
        <f>IFERROR(__xludf.DUMMYFUNCTION("GOOGLETRANSLATE(A39031,""en"",""pt"")"),"nenhum modo analógico, modo de vibração fraca, sensação de plástico, deficientes transferências de arquivos Bluetooth, câmera fraca")</f>
        <v>nenhum modo analógico, modo de vibração fraca, sensação de plástico, deficientes transferências de arquivos Bluetooth, câmera fraca</v>
      </c>
      <c r="B39031" s="3">
        <v>0</v>
      </c>
    </row>
    <row r="39032" ht="15.75" customHeight="1" spans="1:2">
      <c r="A39032" s="3" t="str">
        <f>IFERROR(__xludf.DUMMYFUNCTION("GOOGLETRANSLATE(A39032,""en"",""pt"")"),"Telefone é um pouco pesado e não se encaixa em um bolso!")</f>
        <v>Telefone é um pouco pesado e não se encaixa em um bolso!</v>
      </c>
      <c r="B39032" s="3">
        <v>0</v>
      </c>
    </row>
    <row r="39033" ht="15.75" customHeight="1" spans="1:2">
      <c r="A39033" s="3" t="str">
        <f>IFERROR(__xludf.DUMMYFUNCTION("GOOGLETRANSLATE(A39033,""en"",""pt"")"),"Algumas características castrados, problemas de navegação pequenos e planejamento monitor externo pobres.")</f>
        <v>Algumas características castrados, problemas de navegação pequenos e planejamento monitor externo pobres.</v>
      </c>
      <c r="B39033" s="3">
        <v>0</v>
      </c>
    </row>
    <row r="39034" ht="15.75" customHeight="1" spans="1:2">
      <c r="A39034" s="3" t="str">
        <f>IFERROR(__xludf.DUMMYFUNCTION("GOOGLETRANSLATE(A39034,""en"",""pt"")"),"não pode usá-lo como um modem ou de transferência de toques ou papel de parede, tela externa fraca")</f>
        <v>não pode usá-lo como um modem ou de transferência de toques ou papel de parede, tela externa fraca</v>
      </c>
      <c r="B39034" s="3">
        <v>0</v>
      </c>
    </row>
    <row r="39035" ht="15.75" customHeight="1" spans="1:2">
      <c r="A39035" s="3" t="str">
        <f>IFERROR(__xludf.DUMMYFUNCTION("GOOGLETRANSLATE(A39035,""en"",""pt"")"),"Ambas as câmeras são de má qualidade (nada de novo para telefones celulares), carregador Motorola, vibrar fraco")</f>
        <v>Ambas as câmeras são de má qualidade (nada de novo para telefones celulares), carregador Motorola, vibrar fraco</v>
      </c>
      <c r="B39035" s="3">
        <v>0</v>
      </c>
    </row>
    <row r="39036" ht="15.75" customHeight="1" spans="1:2">
      <c r="A39036" s="3" t="str">
        <f>IFERROR(__xludf.DUMMYFUNCTION("GOOGLETRANSLATE(A39036,""en"",""pt"")"),"Perdeu a função de chamada', baixa vibração e de telefone grande / pesado")</f>
        <v>Perdeu a função de chamada', baixa vibração e de telefone grande / pesado</v>
      </c>
      <c r="B39036" s="3">
        <v>0</v>
      </c>
    </row>
    <row r="39037" ht="15.75" customHeight="1" spans="1:2">
      <c r="A39037" s="3" t="str">
        <f>IFERROR(__xludf.DUMMYFUNCTION("GOOGLETRANSLATE(A39037,""en"",""pt"")"),"Tipo de grande.")</f>
        <v>Tipo de grande.</v>
      </c>
      <c r="B39037" s="3">
        <v>0</v>
      </c>
    </row>
    <row r="39038" ht="15.75" customHeight="1" spans="1:2">
      <c r="A39038" s="3" t="str">
        <f>IFERROR(__xludf.DUMMYFUNCTION("GOOGLETRANSLATE(A39038,""en"",""pt"")"),"Ilegível, variando de Nível de Áudio, Soft Vibrar")</f>
        <v>Ilegível, variando de Nível de Áudio, Soft Vibrar</v>
      </c>
      <c r="B39038" s="3">
        <v>0</v>
      </c>
    </row>
    <row r="39039" ht="15.75" customHeight="1" spans="1:2">
      <c r="A39039" s="3" t="s">
        <v>209</v>
      </c>
      <c r="B39039" s="3">
        <v>0</v>
      </c>
    </row>
    <row r="39040" ht="15.75" customHeight="1" spans="1:2">
      <c r="A39040" s="3" t="str">
        <f>IFERROR(__xludf.DUMMYFUNCTION("GOOGLETRANSLATE(A39040,""en"",""pt"")"),"Camera é suficiente.")</f>
        <v>Camera é suficiente.</v>
      </c>
      <c r="B39040" s="3">
        <v>0</v>
      </c>
    </row>
    <row r="39041" ht="15.75" customHeight="1" spans="1:2">
      <c r="A39041" s="3" t="str">
        <f>IFERROR(__xludf.DUMMYFUNCTION("GOOGLETRANSLATE(A39041,""en"",""pt"")"),"Olha e sente barato, tempo de conversação menos do que o prometido, medidor de bateria é enganosa")</f>
        <v>Olha e sente barato, tempo de conversação menos do que o prometido, medidor de bateria é enganosa</v>
      </c>
      <c r="B39041" s="3">
        <v>0</v>
      </c>
    </row>
    <row r="39042" ht="15.75" customHeight="1" spans="1:2">
      <c r="A39042" s="3" t="str">
        <f>IFERROR(__xludf.DUMMYFUNCTION("GOOGLETRANSLATE(A39042,""en"",""pt"")"),"Requer botão excessiva empurrando para tarefas simples, como mensagens de texto. qualidade de som distorcido com fasttalkers.")</f>
        <v>Requer botão excessiva empurrando para tarefas simples, como mensagens de texto. qualidade de som distorcido com fasttalkers.</v>
      </c>
      <c r="B39042" s="3">
        <v>0</v>
      </c>
    </row>
    <row r="39043" ht="15.75" customHeight="1" spans="1:2">
      <c r="A39043" s="3" t="str">
        <f>IFERROR(__xludf.DUMMYFUNCTION("GOOGLETRANSLATE(A39043,""en"",""pt"")"),"Assista que a força da bateria se você usar o Bluetooth.")</f>
        <v>Assista que a força da bateria se você usar o Bluetooth.</v>
      </c>
      <c r="B39043" s="3">
        <v>0</v>
      </c>
    </row>
    <row r="39044" ht="15.75" customHeight="1" spans="1:2">
      <c r="A39044" s="3" t="str">
        <f>IFERROR(__xludf.DUMMYFUNCTION("GOOGLETRANSLATE(A39044,""en"",""pt"")"),"configurações do usuário; itens do menu; segurando sinal; a falta de e-mail")</f>
        <v>configurações do usuário; itens do menu; segurando sinal; a falta de e-mail</v>
      </c>
      <c r="B39044" s="3">
        <v>0</v>
      </c>
    </row>
    <row r="39045" ht="15.75" customHeight="1" spans="1:2">
      <c r="A39045" s="3" t="str">
        <f>IFERROR(__xludf.DUMMYFUNCTION("GOOGLETRANSLATE(A39045,""en"",""pt"")"),"A qualidade do som é horrível")</f>
        <v>A qualidade do som é horrível</v>
      </c>
      <c r="B39045" s="3">
        <v>0</v>
      </c>
    </row>
    <row r="39046" ht="15.75" customHeight="1" spans="1:2">
      <c r="A39046" s="3" t="str">
        <f>IFERROR(__xludf.DUMMYFUNCTION("GOOGLETRANSLATE(A39046,""en"",""pt"")"),"problemas de bateria crônicas com este modelo")</f>
        <v>problemas de bateria crônicas com este modelo</v>
      </c>
      <c r="B39046" s="3">
        <v>0</v>
      </c>
    </row>
    <row r="39047" ht="15.75" customHeight="1" spans="1:2">
      <c r="A39047" s="3" t="str">
        <f>IFERROR(__xludf.DUMMYFUNCTION("GOOGLETRANSLATE(A39047,""en"",""pt"")"),"Este modelo de telefone da Motorola não é o seu melhor, gotas chamadas.")</f>
        <v>Este modelo de telefone da Motorola não é o seu melhor, gotas chamadas.</v>
      </c>
      <c r="B39047" s="3">
        <v>0</v>
      </c>
    </row>
    <row r="39048" ht="15.75" customHeight="1" spans="1:2">
      <c r="A39048" s="3" t="str">
        <f>IFERROR(__xludf.DUMMYFUNCTION("GOOGLETRANSLATE(A39048,""en"",""pt"")"),"Pena que você não pode usar 40GB Flash para MP3.")</f>
        <v>Pena que você não pode usar 40GB Flash para MP3.</v>
      </c>
      <c r="B39048" s="3">
        <v>0</v>
      </c>
    </row>
    <row r="39049" ht="15.75" customHeight="1" spans="1:2">
      <c r="A39049" s="3" t="str">
        <f>IFERROR(__xludf.DUMMYFUNCTION("GOOGLETRANSLATE(A39049,""en"",""pt"")"),"vibrar, nome da discagem por voz")</f>
        <v>vibrar, nome da discagem por voz</v>
      </c>
      <c r="B39049" s="3">
        <v>0</v>
      </c>
    </row>
    <row r="39050" ht="15.75" customHeight="1" spans="1:2">
      <c r="A39050" s="3" t="str">
        <f>IFERROR(__xludf.DUMMYFUNCTION("GOOGLETRANSLATE(A39050,""en"",""pt"")"),"menu de congelamento, controle de toque do telefone exterior, chamadas falhadas, suga sobre tudo")</f>
        <v>menu de congelamento, controle de toque do telefone exterior, chamadas falhadas, suga sobre tudo</v>
      </c>
      <c r="B39050" s="3">
        <v>0</v>
      </c>
    </row>
    <row r="39051" ht="15.75" customHeight="1" spans="1:2">
      <c r="A39051" s="3" t="str">
        <f>IFERROR(__xludf.DUMMYFUNCTION("GOOGLETRANSLATE(A39051,""en"",""pt"")"),"confiabilidade geral, a tela parece confuso.")</f>
        <v>confiabilidade geral, a tela parece confuso.</v>
      </c>
      <c r="B39051" s="3">
        <v>0</v>
      </c>
    </row>
    <row r="39052" ht="15.75" customHeight="1" spans="1:2">
      <c r="A39052" s="3" t="str">
        <f>IFERROR(__xludf.DUMMYFUNCTION("GOOGLETRANSLATE(A39052,""en"",""pt"")"),"Características Verizon pessoas com mobilidade condicionada")</f>
        <v>Características Verizon pessoas com mobilidade condicionada</v>
      </c>
      <c r="B39052" s="3">
        <v>0</v>
      </c>
    </row>
    <row r="39053" ht="15.75" customHeight="1" spans="1:2">
      <c r="A39053" s="3" t="str">
        <f>IFERROR(__xludf.DUMMYFUNCTION("GOOGLETRANSLATE(A39053,""en"",""pt"")"),"telinha para web móvel")</f>
        <v>telinha para web móvel</v>
      </c>
      <c r="B39053" s="3">
        <v>0</v>
      </c>
    </row>
    <row r="39054" ht="15.75" customHeight="1" spans="1:2">
      <c r="A39054" s="3" t="str">
        <f>IFERROR(__xludf.DUMMYFUNCTION("GOOGLETRANSLATE(A39054,""en"",""pt"")"),"Minha operadora desativado o conjunto completo de recursos (OBEX). campo ""LOCATION"" está faltando no calendário.")</f>
        <v>Minha operadora desativado o conjunto completo de recursos (OBEX). campo "LOCATION" está faltando no calendário.</v>
      </c>
      <c r="B39054" s="3">
        <v>0</v>
      </c>
    </row>
    <row r="39055" ht="15.75" customHeight="1" spans="1:2">
      <c r="A39055" s="3" t="str">
        <f>IFERROR(__xludf.DUMMYFUNCTION("GOOGLETRANSLATE(A39055,""en"",""pt"")"),"Bluetooth não tão poderoso quanto poderia ser. cabo de dados difíceis de encontrar.")</f>
        <v>Bluetooth não tão poderoso quanto poderia ser. cabo de dados difíceis de encontrar.</v>
      </c>
      <c r="B39055" s="3">
        <v>0</v>
      </c>
    </row>
    <row r="39056" ht="15.75" customHeight="1" spans="1:2">
      <c r="A39056" s="3" t="str">
        <f>IFERROR(__xludf.DUMMYFUNCTION("GOOGLETRANSLATE(A39056,""en"",""pt"")"),"TUDO MAIS: bateria, eco, facilidade de uso ...")</f>
        <v>TUDO MAIS: bateria, eco, facilidade de uso ...</v>
      </c>
      <c r="B39056" s="3">
        <v>0</v>
      </c>
    </row>
    <row r="39057" ht="15.75" customHeight="1" spans="1:2">
      <c r="A39057" s="3" t="str">
        <f>IFERROR(__xludf.DUMMYFUNCTION("GOOGLETRANSLATE(A39057,""en"",""pt"")"),"as chaves começam a skuff o corpo, mau design.")</f>
        <v>as chaves começam a skuff o corpo, mau design.</v>
      </c>
      <c r="B39057" s="3">
        <v>0</v>
      </c>
    </row>
    <row r="39058" ht="15.75" customHeight="1" spans="1:2">
      <c r="A39058" s="3" t="str">
        <f>IFERROR(__xludf.DUMMYFUNCTION("GOOGLETRANSLATE(A39058,""en"",""pt"")"),"Má recepção, tela ruim, a vida da bateria horrível.")</f>
        <v>Má recepção, tela ruim, a vida da bateria horrível.</v>
      </c>
      <c r="B39058" s="3">
        <v>0</v>
      </c>
    </row>
    <row r="39059" ht="15.75" customHeight="1" spans="1:2">
      <c r="A39059" s="3" t="str">
        <f>IFERROR(__xludf.DUMMYFUNCTION("GOOGLETRANSLATE(A39059,""en"",""pt"")"),"Fácil de quebrar / design desgaste carregador, telefone congela e atrasos, por vezes,")</f>
        <v>Fácil de quebrar / design desgaste carregador, telefone congela e atrasos, por vezes,</v>
      </c>
      <c r="B39059" s="3">
        <v>0</v>
      </c>
    </row>
    <row r="39060" ht="15.75" customHeight="1" spans="1:2">
      <c r="A39060" s="3" t="str">
        <f>IFERROR(__xludf.DUMMYFUNCTION("GOOGLETRANSLATE(A39060,""en"",""pt"")"),"VIBRATE FRACO! Eu nunca pode sentir a vibração neste telefone!")</f>
        <v>VIBRATE FRACO! Eu nunca pode sentir a vibração neste telefone!</v>
      </c>
      <c r="B39060" s="3">
        <v>0</v>
      </c>
    </row>
    <row r="39061" ht="15.75" customHeight="1" spans="1:2">
      <c r="A39061" s="3" t="str">
        <f>IFERROR(__xludf.DUMMYFUNCTION("GOOGLETRANSLATE(A39061,""en"",""pt"")"),"A vida da bateria, o tamanho do telefone LG, frágil quando aberta, muitos recursos")</f>
        <v>A vida da bateria, o tamanho do telefone LG, frágil quando aberta, muitos recursos</v>
      </c>
      <c r="B39061" s="3">
        <v>0</v>
      </c>
    </row>
    <row r="39062" ht="15.75" customHeight="1" spans="1:2">
      <c r="A39062" s="3" t="str">
        <f>IFERROR(__xludf.DUMMYFUNCTION("GOOGLETRANSLATE(A39062,""en"",""pt"")"),"Apenas carregador incluído, Vibrar é fraco,")</f>
        <v>Apenas carregador incluído, Vibrar é fraco,</v>
      </c>
      <c r="B39062" s="3">
        <v>0</v>
      </c>
    </row>
    <row r="39063" ht="15.75" customHeight="1" spans="1:2">
      <c r="A39063" s="3" t="str">
        <f>IFERROR(__xludf.DUMMYFUNCTION("GOOGLETRANSLATE(A39063,""en"",""pt"")"),"Veja o comentário Acima")</f>
        <v>Veja o comentário Acima</v>
      </c>
      <c r="B39063" s="3">
        <v>0</v>
      </c>
    </row>
    <row r="39064" ht="15.75" customHeight="1" spans="1:2">
      <c r="A39064" s="3" t="str">
        <f>IFERROR(__xludf.DUMMYFUNCTION("GOOGLETRANSLATE(A39064,""en"",""pt"")"),"A volumosa bit. Eu realmente não consigo pensar em muito mais!")</f>
        <v>A volumosa bit. Eu realmente não consigo pensar em muito mais!</v>
      </c>
      <c r="B39064" s="3">
        <v>0</v>
      </c>
    </row>
    <row r="39065" ht="15.75" customHeight="1" spans="1:2">
      <c r="A39065" s="3" t="str">
        <f>IFERROR(__xludf.DUMMYFUNCTION("GOOGLETRANSLATE(A39065,""en"",""pt"")"),"Pouco volumoso, mas cabe facilmente no bolso .... outras que nada mais")</f>
        <v>Pouco volumoso, mas cabe facilmente no bolso .... outras que nada mais</v>
      </c>
      <c r="B39065" s="3">
        <v>0</v>
      </c>
    </row>
    <row r="39066" ht="15.75" customHeight="1" spans="1:2">
      <c r="A39066" s="3" t="str">
        <f>IFERROR(__xludf.DUMMYFUNCTION("GOOGLETRANSLATE(A39066,""en"",""pt"")"),"LEMONNNNNNN. tamanho, peso, tudo o que eu mencionei na revisão.")</f>
        <v>LEMONNNNNNN. tamanho, peso, tudo o que eu mencionei na revisão.</v>
      </c>
      <c r="B39066" s="3">
        <v>0</v>
      </c>
    </row>
    <row r="39067" ht="15.75" customHeight="1" spans="1:2">
      <c r="A39067" s="3" t="str">
        <f>IFERROR(__xludf.DUMMYFUNCTION("GOOGLETRANSLATE(A39067,""en"",""pt"")"),"Medíocre mediocridade, mal pensado através do design.")</f>
        <v>Medíocre mediocridade, mal pensado através do design.</v>
      </c>
      <c r="B39067" s="3">
        <v>0</v>
      </c>
    </row>
    <row r="39068" ht="15.75" customHeight="1" spans="1:2">
      <c r="A39068" s="3" t="str">
        <f>IFERROR(__xludf.DUMMYFUNCTION("GOOGLETRANSLATE(A39068,""en"",""pt"")"),"tamanho grande, falhas de projeto menor (não ergonômico)")</f>
        <v>tamanho grande, falhas de projeto menor (não ergonômico)</v>
      </c>
      <c r="B39068" s="3">
        <v>0</v>
      </c>
    </row>
    <row r="39069" ht="15.75" customHeight="1" spans="1:2">
      <c r="A39069" s="3" t="str">
        <f>IFERROR(__xludf.DUMMYFUNCTION("GOOGLETRANSLATE(A39069,""en"",""pt"")"),"Volumoso, nenhuma câmera de vídeo, sistema de mensagens de texto")</f>
        <v>Volumoso, nenhuma câmera de vídeo, sistema de mensagens de texto</v>
      </c>
      <c r="B39069" s="3">
        <v>0</v>
      </c>
    </row>
    <row r="39070" ht="15.75" customHeight="1" spans="1:2">
      <c r="A39070" s="3" t="str">
        <f>IFERROR(__xludf.DUMMYFUNCTION("GOOGLETRANSLATE(A39070,""en"",""pt"")"),"Nenhum!")</f>
        <v>Nenhum!</v>
      </c>
      <c r="B39070" s="3">
        <v>0</v>
      </c>
    </row>
    <row r="39071" ht="15.75" customHeight="1" spans="1:2">
      <c r="A39071" s="3" t="str">
        <f>IFERROR(__xludf.DUMMYFUNCTION("GOOGLETRANSLATE(A39071,""en"",""pt"")"),"antena externa pode romper, câmera está por trás de padrões atuais.")</f>
        <v>antena externa pode romper, câmera está por trás de padrões atuais.</v>
      </c>
      <c r="B39071" s="3">
        <v>0</v>
      </c>
    </row>
    <row r="39072" ht="15.75" customHeight="1" spans="1:2">
      <c r="A39072" s="3" t="str">
        <f>IFERROR(__xludf.DUMMYFUNCTION("GOOGLETRANSLATE(A39072,""en"",""pt"")"),"A vida útil da bateria. A Samsung PC Studio3 não funcionar.")</f>
        <v>A vida útil da bateria. A Samsung PC Studio3 não funcionar.</v>
      </c>
      <c r="B39072" s="3">
        <v>0</v>
      </c>
    </row>
    <row r="39073" ht="15.75" customHeight="1" spans="1:2">
      <c r="A39073" s="3" t="str">
        <f>IFERROR(__xludf.DUMMYFUNCTION("GOOGLETRANSLATE(A39073,""en"",""pt"")"),"A vida da bateria")</f>
        <v>A vida da bateria</v>
      </c>
      <c r="B39073" s="3">
        <v>0</v>
      </c>
    </row>
    <row r="39074" ht="15.75" customHeight="1" spans="1:2">
      <c r="A39074" s="3" t="str">
        <f>IFERROR(__xludf.DUMMYFUNCTION("GOOGLETRANSLATE(A39074,""en"",""pt"")"),"A porta para o slot * Aparece cartão de memória * a ser frágeis.")</f>
        <v>A porta para o slot * Aparece cartão de memória * a ser frágeis.</v>
      </c>
      <c r="B39074" s="3">
        <v>0</v>
      </c>
    </row>
    <row r="39075" ht="15.75" customHeight="1" spans="1:2">
      <c r="A39075" s="3" t="str">
        <f>IFERROR(__xludf.DUMMYFUNCTION("GOOGLETRANSLATE(A39075,""en"",""pt"")"),"nenhum e-mail, slider leva tempo para se acostumar")</f>
        <v>nenhum e-mail, slider leva tempo para se acostumar</v>
      </c>
      <c r="B39075" s="3">
        <v>0</v>
      </c>
    </row>
    <row r="39076" ht="15.75" customHeight="1" spans="1:2">
      <c r="A39076" s="3" t="str">
        <f>IFERROR(__xludf.DUMMYFUNCTION("GOOGLETRANSLATE(A39076,""en"",""pt"")"),"Poeira sob a tela. Zumbindo de fonte não identificável.")</f>
        <v>Poeira sob a tela. Zumbindo de fonte não identificável.</v>
      </c>
      <c r="B39076" s="3">
        <v>0</v>
      </c>
    </row>
    <row r="39077" ht="15.75" customHeight="1" spans="1:2">
      <c r="A39077" s="3" t="str">
        <f>IFERROR(__xludf.DUMMYFUNCTION("GOOGLETRANSLATE(A39077,""en"",""pt"")"),"Pobre UI, pobre bateria, sem programação, orador pobre, pobre viva-voz.")</f>
        <v>Pobre UI, pobre bateria, sem programação, orador pobre, pobre viva-voz.</v>
      </c>
      <c r="B39077" s="3">
        <v>0</v>
      </c>
    </row>
    <row r="39078" ht="15.75" customHeight="1" spans="1:2">
      <c r="A39078" s="3" t="str">
        <f>IFERROR(__xludf.DUMMYFUNCTION("GOOGLETRANSLATE(A39078,""en"",""pt"")"),"Manual não dar informações necessárias sobre a utilização do leitor MP3.")</f>
        <v>Manual não dar informações necessárias sobre a utilização do leitor MP3.</v>
      </c>
      <c r="B39078" s="3">
        <v>0</v>
      </c>
    </row>
    <row r="39079" ht="15.75" customHeight="1" spans="1:2">
      <c r="A39079" s="3" t="str">
        <f>IFERROR(__xludf.DUMMYFUNCTION("GOOGLETRANSLATE(A39079,""en"",""pt"")"),"às vezes lento, um pouco frágil, média qualidade de recepção, a vida média da bateria em modo de espera")</f>
        <v>às vezes lento, um pouco frágil, média qualidade de recepção, a vida média da bateria em modo de espera</v>
      </c>
      <c r="B39079" s="3">
        <v>0</v>
      </c>
    </row>
    <row r="39080" ht="15.75" customHeight="1" spans="1:2">
      <c r="A39080" s="3" t="str">
        <f>IFERROR(__xludf.DUMMYFUNCTION("GOOGLETRANSLATE(A39080,""en"",""pt"")"),"Nenhuma voz de discagem (útil para Auricular Bluetooth).")</f>
        <v>Nenhuma voz de discagem (útil para Auricular Bluetooth).</v>
      </c>
      <c r="B39080" s="3">
        <v>0</v>
      </c>
    </row>
    <row r="39081" ht="15.75" customHeight="1" spans="1:2">
      <c r="A39081" s="3" t="str">
        <f>IFERROR(__xludf.DUMMYFUNCTION("GOOGLETRANSLATE(A39081,""en"",""pt"")"),"Primavera desgasta e poeira por trás do LCD.")</f>
        <v>Primavera desgasta e poeira por trás do LCD.</v>
      </c>
      <c r="B39081" s="3">
        <v>0</v>
      </c>
    </row>
    <row r="39082" ht="15.75" customHeight="1" spans="1:2">
      <c r="A39082" s="3" t="str">
        <f>IFERROR(__xludf.DUMMYFUNCTION("GOOGLETRANSLATE(A39082,""en"",""pt"")"),"POBRE Manufactuer APOIO / GARANTIA, a vida pobre da bateria, não pode usar o Bluetooth fone de ouvido para reprodução de MP3")</f>
        <v>POBRE Manufactuer APOIO / GARANTIA, a vida pobre da bateria, não pode usar o Bluetooth fone de ouvido para reprodução de MP3</v>
      </c>
      <c r="B39082" s="3">
        <v>0</v>
      </c>
    </row>
    <row r="39083" ht="15.75" customHeight="1" spans="1:2">
      <c r="A39083" s="3" t="str">
        <f>IFERROR(__xludf.DUMMYFUNCTION("GOOGLETRANSLATE(A39083,""en"",""pt"")"),"Bateria morre rapidamente")</f>
        <v>Bateria morre rapidamente</v>
      </c>
      <c r="B39083" s="3">
        <v>0</v>
      </c>
    </row>
    <row r="39084" ht="15.75" customHeight="1" spans="1:2">
      <c r="A39084" s="3" t="str">
        <f>IFERROR(__xludf.DUMMYFUNCTION("GOOGLETRANSLATE(A39084,""en"",""pt"")"),"Lint fica na tela")</f>
        <v>Lint fica na tela</v>
      </c>
      <c r="B39084" s="3">
        <v>0</v>
      </c>
    </row>
    <row r="39085" ht="15.75" customHeight="1" spans="1:2">
      <c r="A39085" s="3" t="str">
        <f>IFERROR(__xludf.DUMMYFUNCTION("GOOGLETRANSLATE(A39085,""en"",""pt"")"),"Não alto o suficiente, distorted-")</f>
        <v>Não alto o suficiente, distorted-</v>
      </c>
      <c r="B39085" s="3">
        <v>0</v>
      </c>
    </row>
    <row r="39086" ht="15.75" customHeight="1" spans="1:2">
      <c r="A39086" s="3" t="str">
        <f>IFERROR(__xludf.DUMMYFUNCTION("GOOGLETRANSLATE(A39086,""en"",""pt"")"),"aparência lisa quando fechado")</f>
        <v>aparência lisa quando fechado</v>
      </c>
      <c r="B39086" s="3">
        <v>0</v>
      </c>
    </row>
    <row r="39087" ht="15.75" customHeight="1" spans="1:2">
      <c r="A39087" s="3" t="str">
        <f>IFERROR(__xludf.DUMMYFUNCTION("GOOGLETRANSLATE(A39087,""en"",""pt"")"),"falante horrível qualidade de som telefone, a menos de grande autonomia da bateria")</f>
        <v>falante horrível qualidade de som telefone, a menos de grande autonomia da bateria</v>
      </c>
      <c r="B39087" s="3">
        <v>0</v>
      </c>
    </row>
    <row r="39088" ht="15.75" customHeight="1" spans="1:2">
      <c r="A39088" s="3" t="str">
        <f>IFERROR(__xludf.DUMMYFUNCTION("GOOGLETRANSLATE(A39088,""en"",""pt"")"),"controles de botão externos são suscetíveis de uso não intencional, bizantino e repetitous procedimentos de opção")</f>
        <v>controles de botão externos são suscetíveis de uso não intencional, bizantino e repetitous procedimentos de opção</v>
      </c>
      <c r="B39088" s="3">
        <v>0</v>
      </c>
    </row>
    <row r="39089" ht="15.75" customHeight="1" spans="1:2">
      <c r="A39089" s="3" t="str">
        <f>IFERROR(__xludf.DUMMYFUNCTION("GOOGLETRANSLATE(A39089,""en"",""pt"")"),"engenharia Bad viva-voz, poderia encontrar um telefone melhor para o mesmo dinheiro")</f>
        <v>engenharia Bad viva-voz, poderia encontrar um telefone melhor para o mesmo dinheiro</v>
      </c>
      <c r="B39089" s="3">
        <v>0</v>
      </c>
    </row>
    <row r="39090" ht="15.75" customHeight="1" spans="1:2">
      <c r="A39090" s="3" t="str">
        <f>IFERROR(__xludf.DUMMYFUNCTION("GOOGLETRANSLATE(A39090,""en"",""pt"")"),"Os ecos às vezes viva-voz.")</f>
        <v>Os ecos às vezes viva-voz.</v>
      </c>
      <c r="B39090" s="3">
        <v>0</v>
      </c>
    </row>
    <row r="39091" ht="15.75" customHeight="1" spans="1:2">
      <c r="A39091" s="3" t="str">
        <f>IFERROR(__xludf.DUMMYFUNCTION("GOOGLETRANSLATE(A39091,""en"",""pt"")"),"Nenhum vídeo conferência ao vivo. É apenas um RAZR disfarçado com algumas novas funcionalidades.")</f>
        <v>Nenhum vídeo conferência ao vivo. É apenas um RAZR disfarçado com algumas novas funcionalidades.</v>
      </c>
      <c r="B39091" s="3">
        <v>0</v>
      </c>
    </row>
    <row r="39092" ht="15.75" customHeight="1" spans="1:2">
      <c r="A39092" s="3" t="str">
        <f>IFERROR(__xludf.DUMMYFUNCTION("GOOGLETRANSLATE(A39092,""en"",""pt"")"),"Preço, cabo USB e software de sincronização vendido separadamente, comando pobre voz.")</f>
        <v>Preço, cabo USB e software de sincronização vendido separadamente, comando pobre voz.</v>
      </c>
      <c r="B39092" s="3">
        <v>0</v>
      </c>
    </row>
    <row r="39093" ht="15.75" customHeight="1" spans="1:2">
      <c r="A39093" s="3" t="str">
        <f>IFERROR(__xludf.DUMMYFUNCTION("GOOGLETRANSLATE(A39093,""en"",""pt"")"),"Caro, recursos limitados, só se realizam pela T-Mobile atualmente.")</f>
        <v>Caro, recursos limitados, só se realizam pela T-Mobile atualmente.</v>
      </c>
      <c r="B39093" s="3">
        <v>0</v>
      </c>
    </row>
    <row r="39094" ht="15.75" customHeight="1" spans="1:2">
      <c r="A39094" s="3" t="str">
        <f>IFERROR(__xludf.DUMMYFUNCTION("GOOGLETRANSLATE(A39094,""en"",""pt"")"),"Não é barato, o som poderia ser melhor, com base de imã flip aberto, propensa a manchas e arranhões")</f>
        <v>Não é barato, o som poderia ser melhor, com base de imã flip aberto, propensa a manchas e arranhões</v>
      </c>
      <c r="B39094" s="3">
        <v>0</v>
      </c>
    </row>
    <row r="39095" ht="15.75" customHeight="1" spans="1:2">
      <c r="A39095" s="3" t="str">
        <f>IFERROR(__xludf.DUMMYFUNCTION("GOOGLETRANSLATE(A39095,""en"",""pt"")"),"A vida da bateria pode ser imprevisível")</f>
        <v>A vida da bateria pode ser imprevisível</v>
      </c>
      <c r="B39095" s="3">
        <v>0</v>
      </c>
    </row>
    <row r="39096" ht="15.75" customHeight="1" spans="1:2">
      <c r="A39096" s="3" t="str">
        <f>IFERROR(__xludf.DUMMYFUNCTION("GOOGLETRANSLATE(A39096,""en"",""pt"")"),"Difícil de ver a tela sob luz forte.")</f>
        <v>Difícil de ver a tela sob luz forte.</v>
      </c>
      <c r="B39096" s="3">
        <v>0</v>
      </c>
    </row>
    <row r="39097" ht="15.75" customHeight="1" spans="1:2">
      <c r="A39097" s="3" t="str">
        <f>IFERROR(__xludf.DUMMYFUNCTION("GOOGLETRANSLATE(A39097,""en"",""pt"")"),"tons, fotos, etc são terríveis, tela de menu estão confundindo poderia ser muito melhor")</f>
        <v>tons, fotos, etc são terríveis, tela de menu estão confundindo poderia ser muito melhor</v>
      </c>
      <c r="B39097" s="3">
        <v>0</v>
      </c>
    </row>
    <row r="39098" ht="15.75" customHeight="1" spans="1:2">
      <c r="A39098" s="3" t="str">
        <f>IFERROR(__xludf.DUMMYFUNCTION("GOOGLETRANSLATE(A39098,""en"",""pt"")"),"Sticks nos bolsos, difícil de abrir, câmera VGA.")</f>
        <v>Sticks nos bolsos, difícil de abrir, câmera VGA.</v>
      </c>
      <c r="B39098" s="3">
        <v>0</v>
      </c>
    </row>
    <row r="39099" ht="15.75" customHeight="1" spans="1:2">
      <c r="A39099" s="3" t="str">
        <f>IFERROR(__xludf.DUMMYFUNCTION("GOOGLETRANSLATE(A39099,""en"",""pt"")"),"Desbloqueado Versão é peculiar e hostil")</f>
        <v>Desbloqueado Versão é peculiar e hostil</v>
      </c>
      <c r="B39099" s="3">
        <v>0</v>
      </c>
    </row>
    <row r="39100" ht="15.75" customHeight="1" spans="1:2">
      <c r="A39100" s="3" t="str">
        <f>IFERROR(__xludf.DUMMYFUNCTION("GOOGLETRANSLATE(A39100,""en"",""pt"")"),"Nenhum tanto quanto eu posso dizer.")</f>
        <v>Nenhum tanto quanto eu posso dizer.</v>
      </c>
      <c r="B39100" s="3">
        <v>0</v>
      </c>
    </row>
    <row r="39101" ht="15.75" customHeight="1" spans="1:2">
      <c r="A39101" s="3" t="str">
        <f>IFERROR(__xludf.DUMMYFUNCTION("GOOGLETRANSLATE(A39101,""en"",""pt"")"),"nada até agora. Eu amo este telefone !!!")</f>
        <v>nada até agora. Eu amo este telefone !!!</v>
      </c>
      <c r="B39101" s="3">
        <v>0</v>
      </c>
    </row>
    <row r="39102" ht="15.75" customHeight="1" spans="1:2">
      <c r="A39102" s="3" t="str">
        <f>IFERROR(__xludf.DUMMYFUNCTION("GOOGLETRANSLATE(A39102,""en"",""pt"")"),"recepção, design chave? atendimento ao cliente da Motorola")</f>
        <v>recepção, design chave? atendimento ao cliente da Motorola</v>
      </c>
      <c r="B39102" s="3">
        <v>0</v>
      </c>
    </row>
    <row r="39103" ht="15.75" customHeight="1" spans="1:2">
      <c r="A39103" s="3" t="str">
        <f>IFERROR(__xludf.DUMMYFUNCTION("GOOGLETRANSLATE(A39103,""en"",""pt"")"),"Interface de usuário, por vezes lento, Camera / Vid Camera ...")</f>
        <v>Interface de usuário, por vezes lento, Camera / Vid Camera ...</v>
      </c>
      <c r="B39103" s="3">
        <v>0</v>
      </c>
    </row>
    <row r="39104" ht="15.75" customHeight="1" spans="1:2">
      <c r="A39104" s="3" t="str">
        <f>IFERROR(__xludf.DUMMYFUNCTION("GOOGLETRANSLATE(A39104,""en"",""pt"")"),"Não é gratuito ...")</f>
        <v>Não é gratuito ...</v>
      </c>
      <c r="B39104" s="3">
        <v>0</v>
      </c>
    </row>
    <row r="39105" ht="15.75" customHeight="1" spans="1:2">
      <c r="A39105" s="3" t="str">
        <f>IFERROR(__xludf.DUMMYFUNCTION("GOOGLETRANSLATE(A39105,""en"",""pt"")"),"OS para além terrível, seus designers deve ser forçado a esvaziar uma piscina com uma peneira.")</f>
        <v>OS para além terrível, seus designers deve ser forçado a esvaziar uma piscina com uma peneira.</v>
      </c>
      <c r="B39105" s="3">
        <v>0</v>
      </c>
    </row>
    <row r="39106" ht="15.75" customHeight="1" spans="1:2">
      <c r="A39106" s="3" t="str">
        <f>IFERROR(__xludf.DUMMYFUNCTION("GOOGLETRANSLATE(A39106,""en"",""pt"")"),"botão de chamada de voz está em um lugar ruim; telefones com flip não são o melhor para mim.")</f>
        <v>botão de chamada de voz está em um lugar ruim; telefones com flip não são o melhor para mim.</v>
      </c>
      <c r="B39106" s="3">
        <v>0</v>
      </c>
    </row>
    <row r="39107" ht="15.75" customHeight="1" spans="1:2">
      <c r="A39107" s="3" t="str">
        <f>IFERROR(__xludf.DUMMYFUNCTION("GOOGLETRANSLATE(A39107,""en"",""pt"")"),"Realmente não são os que eu encontrei, software deve vir com ele e não custo extra")</f>
        <v>Realmente não são os que eu encontrei, software deve vir com ele e não custo extra</v>
      </c>
      <c r="B39107" s="3">
        <v>0</v>
      </c>
    </row>
    <row r="39108" ht="15.75" customHeight="1" spans="1:2">
      <c r="A39108" s="3" t="str">
        <f>IFERROR(__xludf.DUMMYFUNCTION("GOOGLETRANSLATE(A39108,""en"",""pt"")"),"Caro, algumas características são mais complicados de executar do que needbe")</f>
        <v>Caro, algumas características são mais complicados de executar do que needbe</v>
      </c>
      <c r="B39108" s="3">
        <v>0</v>
      </c>
    </row>
    <row r="39109" ht="15.75" customHeight="1" spans="1:2">
      <c r="A39109" s="3" t="str">
        <f>IFERROR(__xludf.DUMMYFUNCTION("GOOGLETRANSLATE(A39109,""en"",""pt"")"),"-Bugs em MP3 player")</f>
        <v>-Bugs em MP3 player</v>
      </c>
      <c r="B39109" s="3">
        <v>0</v>
      </c>
    </row>
    <row r="39110" ht="15.75" customHeight="1" spans="1:2">
      <c r="A39110" s="3" t="str">
        <f>IFERROR(__xludf.DUMMYFUNCTION("GOOGLETRANSLATE(A39110,""en"",""pt"")"),"Feio e lento.")</f>
        <v>Feio e lento.</v>
      </c>
      <c r="B39110" s="3">
        <v>0</v>
      </c>
    </row>
    <row r="39111" ht="15.75" customHeight="1" spans="1:2">
      <c r="A39111" s="3" t="str">
        <f>IFERROR(__xludf.DUMMYFUNCTION("GOOGLETRANSLATE(A39111,""en"",""pt"")"),"Não é o telefone mais elegante na mesa, marcação por voz um pouco de dor.")</f>
        <v>Não é o telefone mais elegante na mesa, marcação por voz um pouco de dor.</v>
      </c>
      <c r="B39111" s="3">
        <v>0</v>
      </c>
    </row>
    <row r="39112" ht="15.75" customHeight="1" spans="1:2">
      <c r="A39112" s="3" t="str">
        <f>IFERROR(__xludf.DUMMYFUNCTION("GOOGLETRANSLATE(A39112,""en"",""pt"")"),"Fones de ouvido Bluetooth não funcionam com leitor de áudio. Nenhuma lista ""Chamadas não atendidas"". Telefone congela-se ocasionalmente.")</f>
        <v>Fones de ouvido Bluetooth não funcionam com leitor de áudio. Nenhuma lista "Chamadas não atendidas". Telefone congela-se ocasionalmente.</v>
      </c>
      <c r="B39112" s="3">
        <v>0</v>
      </c>
    </row>
    <row r="39113" ht="15.75" customHeight="1" spans="1:2">
      <c r="A39113" s="3" t="str">
        <f>IFERROR(__xludf.DUMMYFUNCTION("GOOGLETRANSLATE(A39113,""en"",""pt"")"),"tela de desgaste, marcas de chinelo de aleta, um pouco caro")</f>
        <v>tela de desgaste, marcas de chinelo de aleta, um pouco caro</v>
      </c>
      <c r="B39113" s="3">
        <v>0</v>
      </c>
    </row>
    <row r="39114" ht="15.75" customHeight="1" spans="1:2">
      <c r="A39114" s="3" t="str">
        <f>IFERROR(__xludf.DUMMYFUNCTION("GOOGLETRANSLATE(A39114,""en"",""pt"")"),"Design, preto e branco lcd externo, qualidade de voz mau orador")</f>
        <v>Design, preto e branco lcd externo, qualidade de voz mau orador</v>
      </c>
      <c r="B39114" s="3">
        <v>0</v>
      </c>
    </row>
    <row r="39115" ht="15.75" customHeight="1" spans="1:2">
      <c r="A39115" s="3" t="str">
        <f>IFERROR(__xludf.DUMMYFUNCTION("GOOGLETRANSLATE(A39115,""en"",""pt"")"),"Apenas algumas coisas menores ... Ler descrip")</f>
        <v>Apenas algumas coisas menores ... Ler descrip</v>
      </c>
      <c r="B39115" s="3">
        <v>0</v>
      </c>
    </row>
    <row r="39116" ht="15.75" customHeight="1" spans="1:2">
      <c r="A39116" s="3" t="str">
        <f>IFERROR(__xludf.DUMMYFUNCTION("GOOGLETRANSLATE(A39116,""en"",""pt"")"),"Bluetooth não tão conveniente, por vezes, a memória MP3 Player é uma piada.")</f>
        <v>Bluetooth não tão conveniente, por vezes, a memória MP3 Player é uma piada.</v>
      </c>
      <c r="B39116" s="3">
        <v>0</v>
      </c>
    </row>
    <row r="39117" ht="15.75" customHeight="1" spans="1:2">
      <c r="A39117" s="3" t="str">
        <f>IFERROR(__xludf.DUMMYFUNCTION("GOOGLETRANSLATE(A39117,""en"",""pt"")"),"Nenhum")</f>
        <v>Nenhum</v>
      </c>
      <c r="B39117" s="3">
        <v>0</v>
      </c>
    </row>
    <row r="39118" ht="15.75" customHeight="1" spans="1:2">
      <c r="A39118" s="3" t="str">
        <f>IFERROR(__xludf.DUMMYFUNCTION("GOOGLETRANSLATE(A39118,""en"",""pt"")"),"pouca memória interna, pequeno Memory Stick fornecido, nenhum suporte EDGE,? durabilidade do slide ativo")</f>
        <v>pouca memória interna, pequeno Memory Stick fornecido, nenhum suporte EDGE,? durabilidade do slide ativo</v>
      </c>
      <c r="B39118" s="3">
        <v>0</v>
      </c>
    </row>
    <row r="39119" ht="15.75" customHeight="1" spans="1:2">
      <c r="A39119" s="3" t="str">
        <f>IFERROR(__xludf.DUMMYFUNCTION("GOOGLETRANSLATE(A39119,""en"",""pt"")"),"memory stick pequeno, tela poderia ser um pouco maior")</f>
        <v>memory stick pequeno, tela poderia ser um pouco maior</v>
      </c>
      <c r="B39119" s="3">
        <v>0</v>
      </c>
    </row>
    <row r="39120" ht="15.75" customHeight="1" spans="1:2">
      <c r="A39120" s="3" t="str">
        <f>IFERROR(__xludf.DUMMYFUNCTION("GOOGLETRANSLATE(A39120,""en"",""pt"")"),"qualidade de vídeo ruim. Ram sobrecarga causando o telefone para congelar.")</f>
        <v>qualidade de vídeo ruim. Ram sobrecarga causando o telefone para congelar.</v>
      </c>
      <c r="B39120" s="3">
        <v>0</v>
      </c>
    </row>
    <row r="39121" ht="15.75" customHeight="1" spans="1:2">
      <c r="A39121" s="3" t="str">
        <f>IFERROR(__xludf.DUMMYFUNCTION("GOOGLETRANSLATE(A39121,""en"",""pt"")"),"Toques arent muito alto. Gostaria de um alto-falante mais alto externo.")</f>
        <v>Toques arent muito alto. Gostaria de um alto-falante mais alto externo.</v>
      </c>
      <c r="B39121" s="3">
        <v>0</v>
      </c>
    </row>
    <row r="39122" ht="15.75" customHeight="1" spans="1:2">
      <c r="A39122" s="3" t="str">
        <f>IFERROR(__xludf.DUMMYFUNCTION("GOOGLETRANSLATE(A39122,""en"",""pt"")"),"má recepção w / alguns planos em algumas áreas")</f>
        <v>má recepção w / alguns planos em algumas áreas</v>
      </c>
      <c r="B39122" s="3">
        <v>0</v>
      </c>
    </row>
    <row r="39123" ht="15.75" customHeight="1" spans="1:2">
      <c r="A39123" s="3" t="str">
        <f>IFERROR(__xludf.DUMMYFUNCTION("GOOGLETRANSLATE(A39123,""en"",""pt"")"),"Necessidade de download de software extra para fazer alguns vídeos e imagens")</f>
        <v>Necessidade de download de software extra para fazer alguns vídeos e imagens</v>
      </c>
      <c r="B39123" s="3">
        <v>0</v>
      </c>
    </row>
    <row r="39124" ht="15.75" customHeight="1" spans="1:2">
      <c r="A39124" s="3" t="str">
        <f>IFERROR(__xludf.DUMMYFUNCTION("GOOGLETRANSLATE(A39124,""en"",""pt"")"),"memória integrado não expansível (48MB).")</f>
        <v>memória integrado não expansível (48MB).</v>
      </c>
      <c r="B39124" s="3">
        <v>0</v>
      </c>
    </row>
    <row r="39125" ht="15.75" customHeight="1" spans="1:2">
      <c r="A39125" s="3" t="str">
        <f>IFERROR(__xludf.DUMMYFUNCTION("GOOGLETRANSLATE(A39125,""en"",""pt"")"),"Muito pobre vida útil da bateria e memória muito limitada com nenhuma opção para expandi-lo")</f>
        <v>Muito pobre vida útil da bateria e memória muito limitada com nenhuma opção para expandi-lo</v>
      </c>
      <c r="B39125" s="3">
        <v>0</v>
      </c>
    </row>
    <row r="39126" ht="15.75" customHeight="1" spans="1:2">
      <c r="A39126" s="3" t="str">
        <f>IFERROR(__xludf.DUMMYFUNCTION("GOOGLETRANSLATE(A39126,""en"",""pt"")"),"memória não expansível, pobre bluetooth, curta duração da bateria")</f>
        <v>memória não expansível, pobre bluetooth, curta duração da bateria</v>
      </c>
      <c r="B39126" s="3">
        <v>0</v>
      </c>
    </row>
    <row r="39127" ht="15.75" customHeight="1" spans="1:2">
      <c r="A39127" s="3" t="str">
        <f>IFERROR(__xludf.DUMMYFUNCTION("GOOGLETRANSLATE(A39127,""en"",""pt"")"),"Não é possível carregar ringtones ou gráficos - Eles devem ser comprados. conector de energia estranha.")</f>
        <v>Não é possível carregar ringtones ou gráficos - Eles devem ser comprados. conector de energia estranha.</v>
      </c>
      <c r="B39127" s="3">
        <v>0</v>
      </c>
    </row>
    <row r="39128" ht="15.75" customHeight="1" spans="1:2">
      <c r="A39128" s="3" t="str">
        <f>IFERROR(__xludf.DUMMYFUNCTION("GOOGLETRANSLATE(A39128,""en"",""pt"")"),"Complicado, vida útil da bateria pobre, pobre câmera digital.")</f>
        <v>Complicado, vida útil da bateria pobre, pobre câmera digital.</v>
      </c>
      <c r="B39128" s="3">
        <v>0</v>
      </c>
    </row>
    <row r="39129" ht="15.75" customHeight="1" spans="1:2">
      <c r="A39129" s="3" t="str">
        <f>IFERROR(__xludf.DUMMYFUNCTION("GOOGLETRANSLATE(A39129,""en"",""pt"")"),"Bluetooth isvery gama limitada, quase todos os usuários de bluetooth concordar, este telefone é Bluetooth sem valor (quase)")</f>
        <v>Bluetooth isvery gama limitada, quase todos os usuários de bluetooth concordar, este telefone é Bluetooth sem valor (quase)</v>
      </c>
      <c r="B39129" s="3">
        <v>0</v>
      </c>
    </row>
    <row r="39130" ht="15.75" customHeight="1" spans="1:2">
      <c r="A39130" s="3" t="str">
        <f>IFERROR(__xludf.DUMMYFUNCTION("GOOGLETRANSLATE(A39130,""en"",""pt"")"),"Preço, taxas, freqüentam branco-screen-de-morte, a vida da bateria.")</f>
        <v>Preço, taxas, freqüentam branco-screen-de-morte, a vida da bateria.</v>
      </c>
      <c r="B39130" s="3">
        <v>0</v>
      </c>
    </row>
    <row r="39131" ht="15.75" customHeight="1" spans="1:2">
      <c r="A39131" s="3" t="str">
        <f>IFERROR(__xludf.DUMMYFUNCTION("GOOGLETRANSLATE(A39131,""en"",""pt"")"),"Leia o corpo de meu comentário")</f>
        <v>Leia o corpo de meu comentário</v>
      </c>
      <c r="B39131" s="3">
        <v>0</v>
      </c>
    </row>
    <row r="39132" ht="15.75" customHeight="1" spans="1:2">
      <c r="A39132" s="3" t="str">
        <f>IFERROR(__xludf.DUMMYFUNCTION("GOOGLETRANSLATE(A39132,""en"",""pt"")"),"confiabilidade, cor, vida útil da bateria.")</f>
        <v>confiabilidade, cor, vida útil da bateria.</v>
      </c>
      <c r="B39132" s="3">
        <v>0</v>
      </c>
    </row>
    <row r="39133" ht="15.75" customHeight="1" spans="1:2">
      <c r="A39133" s="3" t="str">
        <f>IFERROR(__xludf.DUMMYFUNCTION("GOOGLETRANSLATE(A39133,""en"",""pt"")"),"mal concebidos; quebra com muita facilidade;")</f>
        <v>mal concebidos; quebra com muita facilidade;</v>
      </c>
      <c r="B39133" s="3">
        <v>0</v>
      </c>
    </row>
    <row r="39134" ht="15.75" customHeight="1" spans="1:2">
      <c r="A39134" s="3" t="str">
        <f>IFERROR(__xludf.DUMMYFUNCTION("GOOGLETRANSLATE(A39134,""en"",""pt"")"),"Às vezes ela funciona e necessidades mal de ser reiniciado.")</f>
        <v>Às vezes ela funciona e necessidades mal de ser reiniciado.</v>
      </c>
      <c r="B39134" s="3">
        <v>0</v>
      </c>
    </row>
    <row r="39135" ht="15.75" customHeight="1" spans="1:2">
      <c r="A39135" s="3" t="str">
        <f>IFERROR(__xludf.DUMMYFUNCTION("GOOGLETRANSLATE(A39135,""en"",""pt"")"),"A tela não é tão visível como eu gostaria em sunlightShort vida útil da bateria")</f>
        <v>A tela não é tão visível como eu gostaria em sunlightShort vida útil da bateria</v>
      </c>
      <c r="B39135" s="3">
        <v>0</v>
      </c>
    </row>
    <row r="39136" ht="15.75" customHeight="1" spans="1:2">
      <c r="A39136" s="3" t="str">
        <f>IFERROR(__xludf.DUMMYFUNCTION("GOOGLETRANSLATE(A39136,""en"",""pt"")"),"A vida da bateria poderia ser um pouco mais longo. Precisa de mais memória.")</f>
        <v>A vida da bateria poderia ser um pouco mais longo. Precisa de mais memória.</v>
      </c>
      <c r="B39136" s="3">
        <v>0</v>
      </c>
    </row>
    <row r="39137" ht="15.75" customHeight="1" spans="1:2">
      <c r="A39137" s="3" t="str">
        <f>IFERROR(__xludf.DUMMYFUNCTION("GOOGLETRANSLATE(A39137,""en"",""pt"")"),"memória limitada e, claro, o telefone bug alto-falante")</f>
        <v>memória limitada e, claro, o telefone bug alto-falante</v>
      </c>
      <c r="B39137" s="3">
        <v>0</v>
      </c>
    </row>
    <row r="39138" ht="15.75" customHeight="1" spans="1:2">
      <c r="A39138" s="3" t="str">
        <f>IFERROR(__xludf.DUMMYFUNCTION("GOOGLETRANSLATE(A39138,""en"",""pt"")"),"Novo visual, tecnologia velha")</f>
        <v>Novo visual, tecnologia velha</v>
      </c>
      <c r="B39138" s="3">
        <v>0</v>
      </c>
    </row>
    <row r="39139" ht="15.75" customHeight="1" spans="1:2">
      <c r="A39139" s="3" t="str">
        <f>IFERROR(__xludf.DUMMYFUNCTION("GOOGLETRANSLATE(A39139,""en"",""pt"")"),"I é magro e tem boa tela LCD.")</f>
        <v>I é magro e tem boa tela LCD.</v>
      </c>
      <c r="B39139" s="3">
        <v>0</v>
      </c>
    </row>
    <row r="39140" ht="15.75" customHeight="1" spans="1:2">
      <c r="A39140" s="3" t="str">
        <f>IFERROR(__xludf.DUMMYFUNCTION("GOOGLETRANSLATE(A39140,""en"",""pt"")"),"vida útil da bateria.")</f>
        <v>vida útil da bateria.</v>
      </c>
      <c r="B39140" s="3">
        <v>0</v>
      </c>
    </row>
    <row r="39141" ht="15.75" customHeight="1" spans="1:2">
      <c r="A39141" s="3" t="str">
        <f>IFERROR(__xludf.DUMMYFUNCTION("GOOGLETRANSLATE(A39141,""en"",""pt"")"),"cor, vida útil da bateria, inavalability internet (pode ser apenas me embora).")</f>
        <v>cor, vida útil da bateria, inavalability internet (pode ser apenas me embora).</v>
      </c>
      <c r="B39141" s="3">
        <v>0</v>
      </c>
    </row>
    <row r="39142" ht="15.75" customHeight="1" spans="1:2">
      <c r="A39142" s="3" t="str">
        <f>IFERROR(__xludf.DUMMYFUNCTION("GOOGLETRANSLATE(A39142,""en"",""pt"")"),"projeto de cabo-conectividade pobre, incapacidade de memória aumento, incapacidade de usar o seu próprio conteúdo.")</f>
        <v>projeto de cabo-conectividade pobre, incapacidade de memória aumento, incapacidade de usar o seu próprio conteúdo.</v>
      </c>
      <c r="B39142" s="3">
        <v>0</v>
      </c>
    </row>
    <row r="39143" ht="15.75" customHeight="1" spans="1:2">
      <c r="A39143" s="3" t="str">
        <f>IFERROR(__xludf.DUMMYFUNCTION("GOOGLETRANSLATE(A39143,""en"",""pt"")"),"memória decepcionante e tamanho da tela")</f>
        <v>memória decepcionante e tamanho da tela</v>
      </c>
      <c r="B39143" s="3">
        <v>0</v>
      </c>
    </row>
    <row r="39144" ht="15.75" customHeight="1" spans="1:2">
      <c r="A39144" s="3" t="str">
        <f>IFERROR(__xludf.DUMMYFUNCTION("GOOGLETRANSLATE(A39144,""en"",""pt"")"),"Sem Bluetooth..aargh!")</f>
        <v>Sem Bluetooth..aargh!</v>
      </c>
      <c r="B39144" s="3">
        <v>0</v>
      </c>
    </row>
    <row r="39145" ht="15.75" customHeight="1" spans="1:2">
      <c r="A39145" s="3" t="str">
        <f>IFERROR(__xludf.DUMMYFUNCTION("GOOGLETRANSLATE(A39145,""en"",""pt"")"),"modo de vibração faz muito barulho; mostra a poeira no indicador fora")</f>
        <v>modo de vibração faz muito barulho; mostra a poeira no indicador fora</v>
      </c>
      <c r="B39145" s="3">
        <v>0</v>
      </c>
    </row>
    <row r="39146" ht="15.75" customHeight="1" spans="1:2">
      <c r="A39146" s="3" t="str">
        <f>IFERROR(__xludf.DUMMYFUNCTION("GOOGLETRANSLATE(A39146,""en"",""pt"")"),"texto pequeno para mensagens - nenhuma opção para ampliar.")</f>
        <v>texto pequeno para mensagens - nenhuma opção para ampliar.</v>
      </c>
      <c r="B39146" s="3">
        <v>0</v>
      </c>
    </row>
    <row r="39147" ht="15.75" customHeight="1" spans="1:2">
      <c r="A39147" s="3" t="str">
        <f>IFERROR(__xludf.DUMMYFUNCTION("GOOGLETRANSLATE(A39147,""en"",""pt"")"),"Sem flash na câmera")</f>
        <v>Sem flash na câmera</v>
      </c>
      <c r="B39147" s="3">
        <v>0</v>
      </c>
    </row>
    <row r="39148" ht="15.75" customHeight="1" spans="1:2">
      <c r="A39148" s="3" t="str">
        <f>IFERROR(__xludf.DUMMYFUNCTION("GOOGLETRANSLATE(A39148,""en"",""pt"")"),"vida pobre da bateria, câmera sem valor, não tão intuitivo como LG de")</f>
        <v>vida pobre da bateria, câmera sem valor, não tão intuitivo como LG de</v>
      </c>
      <c r="B39148" s="3">
        <v>0</v>
      </c>
    </row>
    <row r="39149" ht="15.75" customHeight="1" spans="1:2">
      <c r="A39149" s="3" t="str">
        <f>IFERROR(__xludf.DUMMYFUNCTION("GOOGLETRANSLATE(A39149,""en"",""pt"")"),"Nenhum falar de")</f>
        <v>Nenhum falar de</v>
      </c>
      <c r="B39149" s="3">
        <v>0</v>
      </c>
    </row>
    <row r="39150" ht="15.75" customHeight="1" spans="1:2">
      <c r="A39150" s="3" t="str">
        <f>IFERROR(__xludf.DUMMYFUNCTION("GOOGLETRANSLATE(A39150,""en"",""pt"")"),"a vida da bateria pobres. software de má qualidade e sujeito a falhas.")</f>
        <v>a vida da bateria pobres. software de má qualidade e sujeito a falhas.</v>
      </c>
      <c r="B39150" s="3">
        <v>0</v>
      </c>
    </row>
    <row r="39151" ht="15.75" customHeight="1" spans="1:2">
      <c r="A39151" s="3" t="str">
        <f>IFERROR(__xludf.DUMMYFUNCTION("GOOGLETRANSLATE(A39151,""en"",""pt"")"),"operação Buggy. Nunca tive um telefone com um defeito grave como este.")</f>
        <v>operação Buggy. Nunca tive um telefone com um defeito grave como este.</v>
      </c>
      <c r="B39151" s="3">
        <v>0</v>
      </c>
    </row>
    <row r="39152" ht="15.75" customHeight="1" spans="1:2">
      <c r="A39152" s="3" t="str">
        <f>IFERROR(__xludf.DUMMYFUNCTION("GOOGLETRANSLATE(A39152,""en"",""pt"")"),"texto pequeno e sem mensagens de texto T9.")</f>
        <v>texto pequeno e sem mensagens de texto T9.</v>
      </c>
      <c r="B39152" s="3">
        <v>0</v>
      </c>
    </row>
    <row r="39153" ht="15.75" customHeight="1" spans="1:2">
      <c r="A39153" s="3" t="str">
        <f>IFERROR(__xludf.DUMMYFUNCTION("GOOGLETRANSLATE(A39153,""en"",""pt"")"),"Gotas chamadas, OS lento, sem flash na câmera, câmera ruim, pequena tela do lado de fora feio ... Tudo!")</f>
        <v>Gotas chamadas, OS lento, sem flash na câmera, câmera ruim, pequena tela do lado de fora feio ... Tudo!</v>
      </c>
      <c r="B39153" s="3">
        <v>0</v>
      </c>
    </row>
    <row r="39154" ht="15.75" customHeight="1" spans="1:2">
      <c r="A39154" s="3" t="str">
        <f>IFERROR(__xludf.DUMMYFUNCTION("GOOGLETRANSLATE(A39154,""en"",""pt"")"),"No anexo blue tooth e sem flash para a câmera.")</f>
        <v>No anexo blue tooth e sem flash para a câmera.</v>
      </c>
      <c r="B39154" s="3">
        <v>0</v>
      </c>
    </row>
    <row r="39155" ht="15.75" customHeight="1" spans="1:2">
      <c r="A39155" s="3" t="str">
        <f>IFERROR(__xludf.DUMMYFUNCTION("GOOGLETRANSLATE(A39155,""en"",""pt"")"),"tempo de resposta lento e tela congela")</f>
        <v>tempo de resposta lento e tela congela</v>
      </c>
      <c r="B39155" s="3">
        <v>0</v>
      </c>
    </row>
    <row r="39156" ht="15.75" customHeight="1" spans="1:2">
      <c r="A39156" s="3" t="str">
        <f>IFERROR(__xludf.DUMMYFUNCTION("GOOGLETRANSLATE(A39156,""en"",""pt"")"),"o primeiro durou 3 semanas antes da tomada saiu")</f>
        <v>o primeiro durou 3 semanas antes da tomada saiu</v>
      </c>
      <c r="B39156" s="3">
        <v>0</v>
      </c>
    </row>
    <row r="39157" ht="15.75" customHeight="1" spans="1:2">
      <c r="A39157" s="3" t="str">
        <f>IFERROR(__xludf.DUMMYFUNCTION("GOOGLETRANSLATE(A39157,""en"",""pt"")"),"MOTOROLA V325: não vale a pena!")</f>
        <v>MOTOROLA V325: não vale a pena!</v>
      </c>
      <c r="B39157" s="3">
        <v>0</v>
      </c>
    </row>
    <row r="39158" ht="15.75" customHeight="1" spans="1:2">
      <c r="A39158" s="3" t="str">
        <f>IFERROR(__xludf.DUMMYFUNCTION("GOOGLETRANSLATE(A39158,""en"",""pt"")"),"algumas opções que eu quero, ele não tem")</f>
        <v>algumas opções que eu quero, ele não tem</v>
      </c>
      <c r="B39158" s="3">
        <v>0</v>
      </c>
    </row>
    <row r="39159" ht="15.75" customHeight="1" spans="1:2">
      <c r="A39159" s="3" t="str">
        <f>IFERROR(__xludf.DUMMYFUNCTION("GOOGLETRANSLATE(A39159,""en"",""pt"")"),"Slippery- deve ter vindo com macia capa e carregador DC. A vida da bateria questionável.")</f>
        <v>Slippery- deve ter vindo com macia capa e carregador DC. A vida da bateria questionável.</v>
      </c>
      <c r="B39159" s="3">
        <v>0</v>
      </c>
    </row>
    <row r="39160" ht="15.75" customHeight="1" spans="1:2">
      <c r="A39160" s="3" t="str">
        <f>IFERROR(__xludf.DUMMYFUNCTION("GOOGLETRANSLATE(A39160,""en"",""pt"")"),"Possivelmente a vida de carga da bateria curta. Tons e volume do auricular um pouco demasiado baixo")</f>
        <v>Possivelmente a vida de carga da bateria curta. Tons e volume do auricular um pouco demasiado baixo</v>
      </c>
      <c r="B39160" s="3">
        <v>0</v>
      </c>
    </row>
    <row r="39161" ht="15.75" customHeight="1" spans="1:2">
      <c r="A39161" s="3" t="str">
        <f>IFERROR(__xludf.DUMMYFUNCTION("GOOGLETRANSLATE(A39161,""en"",""pt"")"),"câmera abaixo da média, nenhum jogador MP3, nenhuma maneira de expandir a memória")</f>
        <v>câmera abaixo da média, nenhum jogador MP3, nenhuma maneira de expandir a memória</v>
      </c>
      <c r="B39161" s="3">
        <v>0</v>
      </c>
    </row>
    <row r="39162" ht="15.75" customHeight="1" spans="1:2">
      <c r="A39162" s="3" t="str">
        <f>IFERROR(__xludf.DUMMYFUNCTION("GOOGLETRANSLATE(A39162,""en"",""pt"")"),"Muito pouca memória, não será suficiente se você gosta clicando fotos.")</f>
        <v>Muito pouca memória, não será suficiente se você gosta clicando fotos.</v>
      </c>
      <c r="B39162" s="3">
        <v>0</v>
      </c>
    </row>
    <row r="39163" ht="15.75" customHeight="1" spans="1:2">
      <c r="A39163" s="3" t="str">
        <f>IFERROR(__xludf.DUMMYFUNCTION("GOOGLETRANSLATE(A39163,""en"",""pt"")"),"Pouca memória para fotos e ringtones.")</f>
        <v>Pouca memória para fotos e ringtones.</v>
      </c>
      <c r="B39163" s="3">
        <v>0</v>
      </c>
    </row>
    <row r="39164" ht="15.75" customHeight="1" spans="1:2">
      <c r="A39164" s="3" t="str">
        <f>IFERROR(__xludf.DUMMYFUNCTION("GOOGLETRANSLATE(A39164,""en"",""pt"")"),"cobertura de má qualidade, vida útil da bateria é curta, não MP3, nenhuma memória expansível!")</f>
        <v>cobertura de má qualidade, vida útil da bateria é curta, não MP3, nenhuma memória expansível!</v>
      </c>
      <c r="B39164" s="3">
        <v>0</v>
      </c>
    </row>
    <row r="39165" ht="15.75" customHeight="1" spans="1:2">
      <c r="A39165" s="3" t="str">
        <f>IFERROR(__xludf.DUMMYFUNCTION("GOOGLETRANSLATE(A39165,""en"",""pt"")"),"Muito frágil! Quer dizer, MUITO FRÁGIL !! FACILMENTE DESTRUÍDO. Além disso, não há memória suficiente.")</f>
        <v>Muito frágil! Quer dizer, MUITO FRÁGIL !! FACILMENTE DESTRUÍDO. Além disso, não há memória suficiente.</v>
      </c>
      <c r="B39165" s="3">
        <v>0</v>
      </c>
    </row>
    <row r="39166" ht="15.75" customHeight="1" spans="1:2">
      <c r="A39166" s="3" t="str">
        <f>IFERROR(__xludf.DUMMYFUNCTION("GOOGLETRANSLATE(A39166,""en"",""pt"")"),"Nenhum")</f>
        <v>Nenhum</v>
      </c>
      <c r="B39166" s="3">
        <v>0</v>
      </c>
    </row>
    <row r="39167" ht="15.75" customHeight="1" spans="1:2">
      <c r="A39167" s="3" t="str">
        <f>IFERROR(__xludf.DUMMYFUNCTION("GOOGLETRANSLATE(A39167,""en"",""pt"")"),"MUITO MUITO MUITO baixo volume para fone de ouvido")</f>
        <v>MUITO MUITO MUITO baixo volume para fone de ouvido</v>
      </c>
      <c r="B39167" s="3">
        <v>0</v>
      </c>
    </row>
    <row r="39168" ht="15.75" customHeight="1" spans="1:2">
      <c r="A39168" s="3" t="str">
        <f>IFERROR(__xludf.DUMMYFUNCTION("GOOGLETRANSLATE(A39168,""en"",""pt"")"),"As fotos podem ser borrada. às vezes de telefone negros fora.")</f>
        <v>As fotos podem ser borrada. às vezes de telefone negros fora.</v>
      </c>
      <c r="B39168" s="3">
        <v>0</v>
      </c>
    </row>
    <row r="39169" ht="15.75" customHeight="1" spans="1:2">
      <c r="A39169" s="3" t="str">
        <f>IFERROR(__xludf.DUMMYFUNCTION("GOOGLETRANSLATE(A39169,""en"",""pt"")"),"Chamada de qualidade muito pobre. LENTO! Camera é uma dor. Pouca memória, desliga.")</f>
        <v>Chamada de qualidade muito pobre. LENTO! Camera é uma dor. Pouca memória, desliga.</v>
      </c>
      <c r="B39169" s="3">
        <v>0</v>
      </c>
    </row>
    <row r="39170" ht="15.75" customHeight="1" spans="1:2">
      <c r="A39170" s="3" t="str">
        <f>IFERROR(__xludf.DUMMYFUNCTION("GOOGLETRANSLATE(A39170,""en"",""pt"")"),"clique alto, memória de mensagens esgota rápida")</f>
        <v>clique alto, memória de mensagens esgota rápida</v>
      </c>
      <c r="B39170" s="3">
        <v>0</v>
      </c>
    </row>
    <row r="39171" ht="15.75" customHeight="1" spans="1:2">
      <c r="A39171" s="3" t="str">
        <f>IFERROR(__xludf.DUMMYFUNCTION("GOOGLETRANSLATE(A39171,""en"",""pt"")"),"A vida da bateria poderia ser melhor")</f>
        <v>A vida da bateria poderia ser melhor</v>
      </c>
      <c r="B39171" s="3">
        <v>0</v>
      </c>
    </row>
    <row r="39172" ht="15.75" customHeight="1" spans="1:2">
      <c r="A39172" s="3" t="str">
        <f>IFERROR(__xludf.DUMMYFUNCTION("GOOGLETRANSLATE(A39172,""en"",""pt"")"),"Nenhum")</f>
        <v>Nenhum</v>
      </c>
      <c r="B39172" s="3">
        <v>0</v>
      </c>
    </row>
    <row r="39173" ht="15.75" customHeight="1" spans="1:2">
      <c r="A39173" s="3" t="str">
        <f>IFERROR(__xludf.DUMMYFUNCTION("GOOGLETRANSLATE(A39173,""en"",""pt"")"),"tempo de resposta do menu lento, correspondência contacto irritante")</f>
        <v>tempo de resposta do menu lento, correspondência contacto irritante</v>
      </c>
      <c r="B39173" s="3">
        <v>0</v>
      </c>
    </row>
    <row r="39174" ht="15.75" customHeight="1" spans="1:2">
      <c r="A39174" s="3" t="str">
        <f>IFERROR(__xludf.DUMMYFUNCTION("GOOGLETRANSLATE(A39174,""en"",""pt"")"),"Navegando através da lista de contatos é lento.")</f>
        <v>Navegando através da lista de contatos é lento.</v>
      </c>
      <c r="B39174" s="3">
        <v>0</v>
      </c>
    </row>
    <row r="39175" ht="15.75" customHeight="1" spans="1:2">
      <c r="A39175" s="3" t="str">
        <f>IFERROR(__xludf.DUMMYFUNCTION("GOOGLETRANSLATE(A39175,""en"",""pt"")"),"Tamanhos de imagem, disconection internet é eficiente")</f>
        <v>Tamanhos de imagem, disconection internet é eficiente</v>
      </c>
      <c r="B39175" s="3">
        <v>0</v>
      </c>
    </row>
    <row r="39176" ht="15.75" customHeight="1" spans="1:2">
      <c r="A39176" s="3" t="str">
        <f>IFERROR(__xludf.DUMMYFUNCTION("GOOGLETRANSLATE(A39176,""en"",""pt"")"),"problemas de durabilidade ímpar ao longo do tempo, Camera é de má qualidade, a navegação é lenta")</f>
        <v>problemas de durabilidade ímpar ao longo do tempo, Camera é de má qualidade, a navegação é lenta</v>
      </c>
      <c r="B39176" s="3">
        <v>0</v>
      </c>
    </row>
    <row r="39177" ht="15.75" customHeight="1" spans="1:2">
      <c r="A39177" s="3" t="str">
        <f>IFERROR(__xludf.DUMMYFUNCTION("GOOGLETRANSLATE(A39177,""en"",""pt"")"),"Tão bonito eu vou ser louco com o primeiro zero.")</f>
        <v>Tão bonito eu vou ser louco com o primeiro zero.</v>
      </c>
      <c r="B39177" s="3">
        <v>0</v>
      </c>
    </row>
    <row r="39178" ht="15.75" customHeight="1" spans="1:2">
      <c r="A39178" s="3" t="str">
        <f>IFERROR(__xludf.DUMMYFUNCTION("GOOGLETRANSLATE(A39178,""en"",""pt"")"),"câmera de má qualidade e controle de qualidade absolutamente terrível!")</f>
        <v>câmera de má qualidade e controle de qualidade absolutamente terrível!</v>
      </c>
      <c r="B39178" s="3">
        <v>0</v>
      </c>
    </row>
    <row r="39179" ht="15.75" customHeight="1" spans="1:2">
      <c r="A39179" s="3" t="str">
        <f>IFERROR(__xludf.DUMMYFUNCTION("GOOGLETRANSLATE(A39179,""en"",""pt"")"),"É velho agora.")</f>
        <v>É velho agora.</v>
      </c>
      <c r="B39179" s="3">
        <v>0</v>
      </c>
    </row>
    <row r="39180" ht="15.75" customHeight="1" spans="1:2">
      <c r="A39180" s="3" t="str">
        <f>IFERROR(__xludf.DUMMYFUNCTION("GOOGLETRANSLATE(A39180,""en"",""pt"")"),"qualidade de som terrível.")</f>
        <v>qualidade de som terrível.</v>
      </c>
      <c r="B39180" s="3">
        <v>0</v>
      </c>
    </row>
    <row r="39181" ht="15.75" customHeight="1" spans="1:2">
      <c r="A39181" s="3" t="str">
        <f>IFERROR(__xludf.DUMMYFUNCTION("GOOGLETRANSLATE(A39181,""en"",""pt"")"),"intensidade do sinal pode ser um pouco mais fraco do que alguns, sem clipe para cinto com o telefone.")</f>
        <v>intensidade do sinal pode ser um pouco mais fraco do que alguns, sem clipe para cinto com o telefone.</v>
      </c>
      <c r="B39181" s="3">
        <v>0</v>
      </c>
    </row>
    <row r="39182" ht="15.75" customHeight="1" spans="1:2">
      <c r="A39182" s="3" t="str">
        <f>IFERROR(__xludf.DUMMYFUNCTION("GOOGLETRANSLATE(A39182,""en"",""pt"")"),"câmera não")</f>
        <v>câmera não</v>
      </c>
      <c r="B39182" s="3">
        <v>0</v>
      </c>
    </row>
    <row r="39183" ht="15.75" customHeight="1" spans="1:2">
      <c r="A39183" s="3" t="str">
        <f>IFERROR(__xludf.DUMMYFUNCTION("GOOGLETRANSLATE(A39183,""en"",""pt"")"),"Todo o resto. Não compre este telefone!")</f>
        <v>Todo o resto. Não compre este telefone!</v>
      </c>
      <c r="B39183" s="3">
        <v>0</v>
      </c>
    </row>
    <row r="39184" ht="15.75" customHeight="1" spans="1:2">
      <c r="A39184" s="3" t="str">
        <f>IFERROR(__xludf.DUMMYFUNCTION("GOOGLETRANSLATE(A39184,""en"",""pt"")"),"construção frágil. Pouca força de compressão global.")</f>
        <v>construção frágil. Pouca força de compressão global.</v>
      </c>
      <c r="B39184" s="3">
        <v>0</v>
      </c>
    </row>
    <row r="39185" ht="15.75" customHeight="1" spans="1:2">
      <c r="A39185" s="3" t="str">
        <f>IFERROR(__xludf.DUMMYFUNCTION("GOOGLETRANSLATE(A39185,""en"",""pt"")"),"quebra facilmente")</f>
        <v>quebra facilmente</v>
      </c>
      <c r="B39185" s="3">
        <v>0</v>
      </c>
    </row>
    <row r="39186" ht="15.75" customHeight="1" spans="1:2">
      <c r="A39186" s="3" t="str">
        <f>IFERROR(__xludf.DUMMYFUNCTION("GOOGLETRANSLATE(A39186,""en"",""pt"")"),"Alguns soluços bastante menores")</f>
        <v>Alguns soluços bastante menores</v>
      </c>
      <c r="B39186" s="3">
        <v>0</v>
      </c>
    </row>
    <row r="39187" ht="15.75" customHeight="1" spans="1:2">
      <c r="A39187" s="3" t="str">
        <f>IFERROR(__xludf.DUMMYFUNCTION("GOOGLETRANSLATE(A39187,""en"",""pt"")"),"Algumas pequenas peculiaridades detalhado na revisão")</f>
        <v>Algumas pequenas peculiaridades detalhado na revisão</v>
      </c>
      <c r="B39187" s="3">
        <v>0</v>
      </c>
    </row>
    <row r="39188" ht="15.75" customHeight="1" spans="1:2">
      <c r="A39188" s="3" t="str">
        <f>IFERROR(__xludf.DUMMYFUNCTION("GOOGLETRANSLATE(A39188,""en"",""pt"")"),"vibrar, flash, antena longa stub, formato Transflash fraco")</f>
        <v>vibrar, flash, antena longa stub, formato Transflash fraco</v>
      </c>
      <c r="B39188" s="3">
        <v>0</v>
      </c>
    </row>
    <row r="39189" ht="15.75" customHeight="1" spans="1:2">
      <c r="A39189" s="3" t="str">
        <f>IFERROR(__xludf.DUMMYFUNCTION("GOOGLETRANSLATE(A39189,""en"",""pt"")"),"aparência frágil, maior do que a maioria de telefone, alguns recursos inúteis")</f>
        <v>aparência frágil, maior do que a maioria de telefone, alguns recursos inúteis</v>
      </c>
      <c r="B39189" s="3">
        <v>0</v>
      </c>
    </row>
    <row r="39190" ht="15.75" customHeight="1" spans="1:2">
      <c r="A39190" s="3" t="str">
        <f>IFERROR(__xludf.DUMMYFUNCTION("GOOGLETRANSLATE(A39190,""en"",""pt"")"),"nenhum modo analógico, modo de vibração fraca, sensação de plástico, deficientes transferências de arquivos Bluetooth, câmera fraca")</f>
        <v>nenhum modo analógico, modo de vibração fraca, sensação de plástico, deficientes transferências de arquivos Bluetooth, câmera fraca</v>
      </c>
      <c r="B39190" s="3">
        <v>0</v>
      </c>
    </row>
    <row r="39191" ht="15.75" customHeight="1" spans="1:2">
      <c r="A39191" s="3" t="str">
        <f>IFERROR(__xludf.DUMMYFUNCTION("GOOGLETRANSLATE(A39191,""en"",""pt"")"),"Telefone é um pouco pesado e não se encaixa em um bolso!")</f>
        <v>Telefone é um pouco pesado e não se encaixa em um bolso!</v>
      </c>
      <c r="B39191" s="3">
        <v>0</v>
      </c>
    </row>
    <row r="39192" ht="15.75" customHeight="1" spans="1:2">
      <c r="A39192" s="3" t="str">
        <f>IFERROR(__xludf.DUMMYFUNCTION("GOOGLETRANSLATE(A39192,""en"",""pt"")"),"Algumas características castrados, problemas de navegação pequenos e planejamento monitor externo pobres.")</f>
        <v>Algumas características castrados, problemas de navegação pequenos e planejamento monitor externo pobres.</v>
      </c>
      <c r="B39192" s="3">
        <v>0</v>
      </c>
    </row>
    <row r="39193" ht="15.75" customHeight="1" spans="1:2">
      <c r="A39193" s="3" t="str">
        <f>IFERROR(__xludf.DUMMYFUNCTION("GOOGLETRANSLATE(A39193,""en"",""pt"")"),"não pode usá-lo como um modem ou de transferência de toques ou papel de parede, tela externa fraca")</f>
        <v>não pode usá-lo como um modem ou de transferência de toques ou papel de parede, tela externa fraca</v>
      </c>
      <c r="B39193" s="3">
        <v>0</v>
      </c>
    </row>
    <row r="39194" ht="15.75" customHeight="1" spans="1:2">
      <c r="A39194" s="3" t="str">
        <f>IFERROR(__xludf.DUMMYFUNCTION("GOOGLETRANSLATE(A39194,""en"",""pt"")"),"Ambas as câmeras são de má qualidade (nada de novo para telefones celulares), carregador Motorola, vibrar fraco")</f>
        <v>Ambas as câmeras são de má qualidade (nada de novo para telefones celulares), carregador Motorola, vibrar fraco</v>
      </c>
      <c r="B39194" s="3">
        <v>0</v>
      </c>
    </row>
    <row r="39195" ht="15.75" customHeight="1" spans="1:2">
      <c r="A39195" s="3" t="str">
        <f>IFERROR(__xludf.DUMMYFUNCTION("GOOGLETRANSLATE(A39195,""en"",""pt"")"),"Perdeu a função de chamada', baixa vibração e de telefone grande / pesado")</f>
        <v>Perdeu a função de chamada', baixa vibração e de telefone grande / pesado</v>
      </c>
      <c r="B39195" s="3">
        <v>0</v>
      </c>
    </row>
    <row r="39196" ht="15.75" customHeight="1" spans="1:2">
      <c r="A39196" s="3" t="str">
        <f>IFERROR(__xludf.DUMMYFUNCTION("GOOGLETRANSLATE(A39196,""en"",""pt"")"),"Tipo de grande.")</f>
        <v>Tipo de grande.</v>
      </c>
      <c r="B39196" s="3">
        <v>0</v>
      </c>
    </row>
    <row r="39197" ht="15.75" customHeight="1" spans="1:2">
      <c r="A39197" s="3" t="str">
        <f>IFERROR(__xludf.DUMMYFUNCTION("GOOGLETRANSLATE(A39197,""en"",""pt"")"),"Ilegível, variando de Nível de Áudio, Soft Vibrar")</f>
        <v>Ilegível, variando de Nível de Áudio, Soft Vibrar</v>
      </c>
      <c r="B39197" s="3">
        <v>0</v>
      </c>
    </row>
    <row r="39198" ht="15.75" customHeight="1" spans="1:2">
      <c r="A39198" s="3" t="str">
        <f>IFERROR(__xludf.DUMMYFUNCTION("GOOGLETRANSLATE(A39198,""en"",""pt"")"),"discagem Finicky (voz / Remarcação / bluetooth) que poderia levar a momentos muito embaraçoso, não enviada para VM.")</f>
        <v>discagem Finicky (voz / Remarcação / bluetooth) que poderia levar a momentos muito embaraçoso, não enviada para VM.</v>
      </c>
      <c r="B39198" s="3">
        <v>0</v>
      </c>
    </row>
    <row r="39199" ht="15.75" customHeight="1" spans="1:2">
      <c r="A39199" s="3" t="str">
        <f>IFERROR(__xludf.DUMMYFUNCTION("GOOGLETRANSLATE(A39199,""en"",""pt"")"),"Camera é suficiente.")</f>
        <v>Camera é suficiente.</v>
      </c>
      <c r="B39199" s="3">
        <v>0</v>
      </c>
    </row>
    <row r="39200" ht="15.75" customHeight="1" spans="1:2">
      <c r="A39200" s="3" t="str">
        <f>IFERROR(__xludf.DUMMYFUNCTION("GOOGLETRANSLATE(A39200,""en"",""pt"")"),"Olha e sente barato, tempo de conversação menos do que o prometido, medidor de bateria é enganosa")</f>
        <v>Olha e sente barato, tempo de conversação menos do que o prometido, medidor de bateria é enganosa</v>
      </c>
      <c r="B39200" s="3">
        <v>0</v>
      </c>
    </row>
    <row r="39201" ht="15.75" customHeight="1" spans="1:2">
      <c r="A39201" s="3" t="str">
        <f>IFERROR(__xludf.DUMMYFUNCTION("GOOGLETRANSLATE(A39201,""en"",""pt"")"),"Requer botão excessiva empurrando para tarefas simples, como mensagens de texto. qualidade de som distorcido com fasttalkers.")</f>
        <v>Requer botão excessiva empurrando para tarefas simples, como mensagens de texto. qualidade de som distorcido com fasttalkers.</v>
      </c>
      <c r="B39201" s="3">
        <v>0</v>
      </c>
    </row>
    <row r="39202" ht="15.75" customHeight="1" spans="1:2">
      <c r="A39202" s="3" t="str">
        <f>IFERROR(__xludf.DUMMYFUNCTION("GOOGLETRANSLATE(A39202,""en"",""pt"")"),"Assista que a força da bateria se você usar o Bluetooth.")</f>
        <v>Assista que a força da bateria se você usar o Bluetooth.</v>
      </c>
      <c r="B39202" s="3">
        <v>0</v>
      </c>
    </row>
    <row r="39203" ht="15.75" customHeight="1" spans="1:2">
      <c r="A39203" s="3" t="str">
        <f>IFERROR(__xludf.DUMMYFUNCTION("GOOGLETRANSLATE(A39203,""en"",""pt"")"),"configurações do usuário; itens do menu; segurando sinal; a falta de e-mail")</f>
        <v>configurações do usuário; itens do menu; segurando sinal; a falta de e-mail</v>
      </c>
      <c r="B39203" s="3">
        <v>0</v>
      </c>
    </row>
    <row r="39204" ht="15.75" customHeight="1" spans="1:2">
      <c r="A39204" s="3" t="str">
        <f>IFERROR(__xludf.DUMMYFUNCTION("GOOGLETRANSLATE(A39204,""en"",""pt"")"),"A qualidade do som é horrível")</f>
        <v>A qualidade do som é horrível</v>
      </c>
      <c r="B39204" s="3">
        <v>0</v>
      </c>
    </row>
    <row r="39205" ht="15.75" customHeight="1" spans="1:2">
      <c r="A39205" s="3" t="str">
        <f>IFERROR(__xludf.DUMMYFUNCTION("GOOGLETRANSLATE(A39205,""en"",""pt"")"),"problemas de bateria crônicas com este modelo")</f>
        <v>problemas de bateria crônicas com este modelo</v>
      </c>
      <c r="B39205" s="3">
        <v>0</v>
      </c>
    </row>
    <row r="39206" ht="15.75" customHeight="1" spans="1:2">
      <c r="A39206" s="3" t="str">
        <f>IFERROR(__xludf.DUMMYFUNCTION("GOOGLETRANSLATE(A39206,""en"",""pt"")"),"Este modelo de telefone da Motorola não é o seu melhor, gotas chamadas.")</f>
        <v>Este modelo de telefone da Motorola não é o seu melhor, gotas chamadas.</v>
      </c>
      <c r="B39206" s="3">
        <v>0</v>
      </c>
    </row>
    <row r="39207" ht="15.75" customHeight="1" spans="1:2">
      <c r="A39207" s="3" t="str">
        <f>IFERROR(__xludf.DUMMYFUNCTION("GOOGLETRANSLATE(A39207,""en"",""pt"")"),"Pena que você não pode usar 40GB Flash para MP3.")</f>
        <v>Pena que você não pode usar 40GB Flash para MP3.</v>
      </c>
      <c r="B39207" s="3">
        <v>0</v>
      </c>
    </row>
    <row r="39208" ht="15.75" customHeight="1" spans="1:2">
      <c r="A39208" s="3" t="str">
        <f>IFERROR(__xludf.DUMMYFUNCTION("GOOGLETRANSLATE(A39208,""en"",""pt"")"),"vibrar, nome da discagem por voz")</f>
        <v>vibrar, nome da discagem por voz</v>
      </c>
      <c r="B39208" s="3">
        <v>0</v>
      </c>
    </row>
    <row r="39209" ht="15.75" customHeight="1" spans="1:2">
      <c r="A39209" s="3" t="str">
        <f>IFERROR(__xludf.DUMMYFUNCTION("GOOGLETRANSLATE(A39209,""en"",""pt"")"),"menu de congelamento, controle de toque do telefone exterior, chamadas falhadas, suga sobre tudo")</f>
        <v>menu de congelamento, controle de toque do telefone exterior, chamadas falhadas, suga sobre tudo</v>
      </c>
      <c r="B39209" s="3">
        <v>0</v>
      </c>
    </row>
    <row r="39210" ht="15.75" customHeight="1" spans="1:2">
      <c r="A39210" s="3" t="str">
        <f>IFERROR(__xludf.DUMMYFUNCTION("GOOGLETRANSLATE(A39210,""en"",""pt"")"),"confiabilidade geral, a tela parece confuso.")</f>
        <v>confiabilidade geral, a tela parece confuso.</v>
      </c>
      <c r="B39210" s="3">
        <v>0</v>
      </c>
    </row>
    <row r="39211" ht="15.75" customHeight="1" spans="1:2">
      <c r="A39211" s="3" t="str">
        <f>IFERROR(__xludf.DUMMYFUNCTION("GOOGLETRANSLATE(A39211,""en"",""pt"")"),"Características Verizon pessoas com mobilidade condicionada")</f>
        <v>Características Verizon pessoas com mobilidade condicionada</v>
      </c>
      <c r="B39211" s="3">
        <v>0</v>
      </c>
    </row>
    <row r="39212" ht="15.75" customHeight="1" spans="1:2">
      <c r="A39212" s="3" t="str">
        <f>IFERROR(__xludf.DUMMYFUNCTION("GOOGLETRANSLATE(A39212,""en"",""pt"")"),"telinha para web móvel")</f>
        <v>telinha para web móvel</v>
      </c>
      <c r="B39212" s="3">
        <v>0</v>
      </c>
    </row>
    <row r="39213" ht="15.75" customHeight="1" spans="1:2">
      <c r="A39213" s="3" t="str">
        <f>IFERROR(__xludf.DUMMYFUNCTION("GOOGLETRANSLATE(A39213,""en"",""pt"")"),"Minha operadora desativado o conjunto completo de recursos (OBEX). campo ""LOCATION"" está faltando no calendário.")</f>
        <v>Minha operadora desativado o conjunto completo de recursos (OBEX). campo "LOCATION" está faltando no calendário.</v>
      </c>
      <c r="B39213" s="3">
        <v>0</v>
      </c>
    </row>
    <row r="39214" ht="15.75" customHeight="1" spans="1:2">
      <c r="A39214" s="3" t="str">
        <f>IFERROR(__xludf.DUMMYFUNCTION("GOOGLETRANSLATE(A39214,""en"",""pt"")"),"Bluetooth não tão poderoso quanto poderia ser. cabo de dados difíceis de encontrar.")</f>
        <v>Bluetooth não tão poderoso quanto poderia ser. cabo de dados difíceis de encontrar.</v>
      </c>
      <c r="B39214" s="3">
        <v>0</v>
      </c>
    </row>
    <row r="39215" ht="15.75" customHeight="1" spans="1:2">
      <c r="A39215" s="3" t="str">
        <f>IFERROR(__xludf.DUMMYFUNCTION("GOOGLETRANSLATE(A39215,""en"",""pt"")"),"TUDO MAIS: bateria, eco, facilidade de uso ...")</f>
        <v>TUDO MAIS: bateria, eco, facilidade de uso ...</v>
      </c>
      <c r="B39215" s="3">
        <v>0</v>
      </c>
    </row>
    <row r="39216" ht="15.75" customHeight="1" spans="1:2">
      <c r="A39216" s="3" t="str">
        <f>IFERROR(__xludf.DUMMYFUNCTION("GOOGLETRANSLATE(A39216,""en"",""pt"")"),"as chaves começam a skuff o corpo, mau design.")</f>
        <v>as chaves começam a skuff o corpo, mau design.</v>
      </c>
      <c r="B39216" s="3">
        <v>0</v>
      </c>
    </row>
    <row r="39217" ht="15.75" customHeight="1" spans="1:2">
      <c r="A39217" s="3" t="str">
        <f>IFERROR(__xludf.DUMMYFUNCTION("GOOGLETRANSLATE(A39217,""en"",""pt"")"),"Má recepção, tela ruim, a vida da bateria horrível.")</f>
        <v>Má recepção, tela ruim, a vida da bateria horrível.</v>
      </c>
      <c r="B39217" s="3">
        <v>0</v>
      </c>
    </row>
    <row r="39218" ht="15.75" customHeight="1" spans="1:2">
      <c r="A39218" s="3" t="str">
        <f>IFERROR(__xludf.DUMMYFUNCTION("GOOGLETRANSLATE(A39218,""en"",""pt"")"),"Fácil de quebrar / design desgaste carregador, telefone congela e atrasos, por vezes,")</f>
        <v>Fácil de quebrar / design desgaste carregador, telefone congela e atrasos, por vezes,</v>
      </c>
      <c r="B39218" s="3">
        <v>0</v>
      </c>
    </row>
    <row r="39219" ht="15.75" customHeight="1" spans="1:2">
      <c r="A39219" s="3" t="str">
        <f>IFERROR(__xludf.DUMMYFUNCTION("GOOGLETRANSLATE(A39219,""en"",""pt"")"),"VIBRATE FRACO! Eu nunca pode sentir a vibração neste telefone!")</f>
        <v>VIBRATE FRACO! Eu nunca pode sentir a vibração neste telefone!</v>
      </c>
      <c r="B39219" s="3">
        <v>0</v>
      </c>
    </row>
    <row r="39220" ht="15.75" customHeight="1" spans="1:2">
      <c r="A39220" s="3" t="str">
        <f>IFERROR(__xludf.DUMMYFUNCTION("GOOGLETRANSLATE(A39220,""en"",""pt"")"),"A vida da bateria, o tamanho do telefone LG, frágil quando aberta, muitos recursos")</f>
        <v>A vida da bateria, o tamanho do telefone LG, frágil quando aberta, muitos recursos</v>
      </c>
      <c r="B39220" s="3">
        <v>0</v>
      </c>
    </row>
    <row r="39221" ht="15.75" customHeight="1" spans="1:2">
      <c r="A39221" s="3" t="str">
        <f>IFERROR(__xludf.DUMMYFUNCTION("GOOGLETRANSLATE(A39221,""en"",""pt"")"),"Apenas carregador incluído, Vibrar é fraco,")</f>
        <v>Apenas carregador incluído, Vibrar é fraco,</v>
      </c>
      <c r="B39221" s="3">
        <v>0</v>
      </c>
    </row>
    <row r="39222" ht="15.75" customHeight="1" spans="1:2">
      <c r="A39222" s="3" t="str">
        <f>IFERROR(__xludf.DUMMYFUNCTION("GOOGLETRANSLATE(A39222,""en"",""pt"")"),"Veja o comentário Acima")</f>
        <v>Veja o comentário Acima</v>
      </c>
      <c r="B39222" s="3">
        <v>0</v>
      </c>
    </row>
    <row r="39223" ht="15.75" customHeight="1" spans="1:2">
      <c r="A39223" s="3" t="str">
        <f>IFERROR(__xludf.DUMMYFUNCTION("GOOGLETRANSLATE(A39223,""en"",""pt"")"),"A volumosa bit. Eu realmente não consigo pensar em muito mais!")</f>
        <v>A volumosa bit. Eu realmente não consigo pensar em muito mais!</v>
      </c>
      <c r="B39223" s="3">
        <v>0</v>
      </c>
    </row>
    <row r="39224" ht="15.75" customHeight="1" spans="1:2">
      <c r="A39224" s="3" t="str">
        <f>IFERROR(__xludf.DUMMYFUNCTION("GOOGLETRANSLATE(A39224,""en"",""pt"")"),"Pouco volumoso, mas cabe facilmente no bolso .... outras que nada mais")</f>
        <v>Pouco volumoso, mas cabe facilmente no bolso .... outras que nada mais</v>
      </c>
      <c r="B39224" s="3">
        <v>0</v>
      </c>
    </row>
    <row r="39225" ht="15.75" customHeight="1" spans="1:2">
      <c r="A39225" s="3" t="str">
        <f>IFERROR(__xludf.DUMMYFUNCTION("GOOGLETRANSLATE(A39225,""en"",""pt"")"),"LEMONNNNNNN. tamanho, peso, tudo o que eu mencionei na revisão.")</f>
        <v>LEMONNNNNNN. tamanho, peso, tudo o que eu mencionei na revisão.</v>
      </c>
      <c r="B39225" s="3">
        <v>0</v>
      </c>
    </row>
    <row r="39226" ht="15.75" customHeight="1" spans="1:2">
      <c r="A39226" s="3" t="str">
        <f>IFERROR(__xludf.DUMMYFUNCTION("GOOGLETRANSLATE(A39226,""en"",""pt"")"),"Medíocre mediocridade, mal pensado através do design.")</f>
        <v>Medíocre mediocridade, mal pensado através do design.</v>
      </c>
      <c r="B39226" s="3">
        <v>0</v>
      </c>
    </row>
    <row r="39227" ht="15.75" customHeight="1" spans="1:2">
      <c r="A39227" s="3" t="str">
        <f>IFERROR(__xludf.DUMMYFUNCTION("GOOGLETRANSLATE(A39227,""en"",""pt"")"),"tamanho grande, falhas de projeto menor (não ergonômico)")</f>
        <v>tamanho grande, falhas de projeto menor (não ergonômico)</v>
      </c>
      <c r="B39227" s="3">
        <v>0</v>
      </c>
    </row>
    <row r="39228" ht="15.75" customHeight="1" spans="1:2">
      <c r="A39228" s="3" t="str">
        <f>IFERROR(__xludf.DUMMYFUNCTION("GOOGLETRANSLATE(A39228,""en"",""pt"")"),"Volumoso, nenhuma câmera de vídeo, sistema de mensagens de texto")</f>
        <v>Volumoso, nenhuma câmera de vídeo, sistema de mensagens de texto</v>
      </c>
      <c r="B39228" s="3">
        <v>0</v>
      </c>
    </row>
    <row r="39229" ht="15.75" customHeight="1" spans="1:2">
      <c r="A39229" s="3" t="str">
        <f>IFERROR(__xludf.DUMMYFUNCTION("GOOGLETRANSLATE(A39229,""en"",""pt"")"),"Um canhoto pessoa e este telefone não são compatibile.")</f>
        <v>Um canhoto pessoa e este telefone não são compatibile.</v>
      </c>
      <c r="B39229" s="3">
        <v>0</v>
      </c>
    </row>
    <row r="39230" ht="15.75" customHeight="1" spans="1:2">
      <c r="A39230" s="3" t="str">
        <f>IFERROR(__xludf.DUMMYFUNCTION("GOOGLETRANSLATE(A39230,""en"",""pt"")"),"Bateria fica quente em chamadas de longa.")</f>
        <v>Bateria fica quente em chamadas de longa.</v>
      </c>
      <c r="B39230" s="3">
        <v>0</v>
      </c>
    </row>
    <row r="39231" ht="15.75" customHeight="1" spans="1:2">
      <c r="A39231" s="3" t="str">
        <f>IFERROR(__xludf.DUMMYFUNCTION("GOOGLETRANSLATE(A39231,""en"",""pt"")"),"chamadas abandonadas. No Games. memória limitada.")</f>
        <v>chamadas abandonadas. No Games. memória limitada.</v>
      </c>
      <c r="B39231" s="3">
        <v>0</v>
      </c>
    </row>
    <row r="39232" ht="15.75" customHeight="1" spans="1:2">
      <c r="A39232" s="3" t="str">
        <f>IFERROR(__xludf.DUMMYFUNCTION("GOOGLETRANSLATE(A39232,""en"",""pt"")"),"Nenhuma câmera, não muitos recursos, sem jogos")</f>
        <v>Nenhuma câmera, não muitos recursos, sem jogos</v>
      </c>
      <c r="B39232" s="3">
        <v>0</v>
      </c>
    </row>
    <row r="39233" ht="15.75" customHeight="1" spans="1:2">
      <c r="A39233" s="3" t="str">
        <f>IFERROR(__xludf.DUMMYFUNCTION("GOOGLETRANSLATE(A39233,""en"",""pt"")"),"recepção ruim. Menu é difícil de usar. Bad localização para controle de volume da campainha.")</f>
        <v>recepção ruim. Menu é difícil de usar. Bad localização para controle de volume da campainha.</v>
      </c>
      <c r="B39233" s="3">
        <v>0</v>
      </c>
    </row>
    <row r="39234" ht="15.75" customHeight="1" spans="1:2">
      <c r="A39234" s="3" t="str">
        <f>IFERROR(__xludf.DUMMYFUNCTION("GOOGLETRANSLATE(A39234,""en"",""pt"")"),"câmera de vídeo é tão-lo, a curva de aprendizado para dominar todos os botões / opções, extras caros")</f>
        <v>câmera de vídeo é tão-lo, a curva de aprendizado para dominar todos os botões / opções, extras caros</v>
      </c>
      <c r="B39234" s="3">
        <v>0</v>
      </c>
    </row>
    <row r="39235" ht="15.75" customHeight="1" spans="1:2">
      <c r="A39235" s="3" t="str">
        <f>IFERROR(__xludf.DUMMYFUNCTION("GOOGLETRANSLATE(A39235,""en"",""pt"")"),"Não mostra o indicador de carga; caros para usar recursos V CAST")</f>
        <v>Não mostra o indicador de carga; caros para usar recursos V CAST</v>
      </c>
      <c r="B39235" s="3">
        <v>0</v>
      </c>
    </row>
    <row r="39236" ht="15.75" customHeight="1" spans="1:2">
      <c r="A39236" s="3" t="str">
        <f>IFERROR(__xludf.DUMMYFUNCTION("GOOGLETRANSLATE(A39236,""en"",""pt"")"),"não o suficiente ringtones, sem fone de ouvido blue tooth forneceu")</f>
        <v>não o suficiente ringtones, sem fone de ouvido blue tooth forneceu</v>
      </c>
      <c r="B39236" s="3">
        <v>0</v>
      </c>
    </row>
    <row r="39237" ht="15.75" customHeight="1" spans="1:2">
      <c r="A39237" s="3" t="str">
        <f>IFERROR(__xludf.DUMMYFUNCTION("GOOGLETRANSLATE(A39237,""en"",""pt"")"),"colocação do botão de viva-voz, não zoom em maior resolução")</f>
        <v>colocação do botão de viva-voz, não zoom em maior resolução</v>
      </c>
      <c r="B39237" s="3">
        <v>0</v>
      </c>
    </row>
    <row r="39238" ht="15.75" customHeight="1" spans="1:2">
      <c r="A39238" s="3" t="str">
        <f>IFERROR(__xludf.DUMMYFUNCTION("GOOGLETRANSLATE(A39238,""en"",""pt"")"),"Fones de ouvido são proprietárias")</f>
        <v>Fones de ouvido são proprietárias</v>
      </c>
      <c r="B39238" s="3">
        <v>0</v>
      </c>
    </row>
    <row r="39239" ht="15.75" customHeight="1" spans="1:2">
      <c r="A39239" s="3" t="str">
        <f>IFERROR(__xludf.DUMMYFUNCTION("GOOGLETRANSLATE(A39239,""en"",""pt"")"),"interface de usuário de substituição de Verizon.")</f>
        <v>interface de usuário de substituição de Verizon.</v>
      </c>
      <c r="B39239" s="3">
        <v>0</v>
      </c>
    </row>
    <row r="39240" ht="15.75" customHeight="1" spans="1:2">
      <c r="A39240" s="3" t="str">
        <f>IFERROR(__xludf.DUMMYFUNCTION("GOOGLETRANSLATE(A39240,""en"",""pt"")"),"botão de viva-voz, atendimento ao cliente Verizon.")</f>
        <v>botão de viva-voz, atendimento ao cliente Verizon.</v>
      </c>
      <c r="B39240" s="3">
        <v>0</v>
      </c>
    </row>
    <row r="39241" ht="15.75" customHeight="1" spans="1:2">
      <c r="A39241" s="3" t="str">
        <f>IFERROR(__xludf.DUMMYFUNCTION("GOOGLETRANSLATE(A39241,""en"",""pt"")"),"Verizon e Lg intencionalmente enfraquecido características do telefone")</f>
        <v>Verizon e Lg intencionalmente enfraquecido características do telefone</v>
      </c>
      <c r="B39241" s="3">
        <v>0</v>
      </c>
    </row>
    <row r="39242" ht="15.75" customHeight="1" spans="1:2">
      <c r="A39242" s="3" t="str">
        <f>IFERROR(__xludf.DUMMYFUNCTION("GOOGLETRANSLATE(A39242,""en"",""pt"")"),"Big, câmera medíocre, Get It Now é uma desculpa para gastar dinheiro")</f>
        <v>Big, câmera medíocre, Get It Now é uma desculpa para gastar dinheiro</v>
      </c>
      <c r="B39242" s="3">
        <v>0</v>
      </c>
    </row>
    <row r="39243" ht="15.75" customHeight="1" spans="1:2">
      <c r="A39243" s="3" t="str">
        <f>IFERROR(__xludf.DUMMYFUNCTION("GOOGLETRANSLATE(A39243,""en"",""pt"")"),"leitor de música, caras de downloads Verizon Media.")</f>
        <v>leitor de música, caras de downloads Verizon Media.</v>
      </c>
      <c r="B39243" s="3">
        <v>0</v>
      </c>
    </row>
    <row r="39244" ht="15.75" customHeight="1" spans="1:2">
      <c r="A39244" s="3" t="str">
        <f>IFERROR(__xludf.DUMMYFUNCTION("GOOGLETRANSLATE(A39244,""en"",""pt"")"),"Há alguns? A memória interna pode ser maior.")</f>
        <v>Há alguns? A memória interna pode ser maior.</v>
      </c>
      <c r="B39244" s="3">
        <v>0</v>
      </c>
    </row>
    <row r="39245" ht="15.75" customHeight="1" spans="1:2">
      <c r="A39245" s="3" t="str">
        <f>IFERROR(__xludf.DUMMYFUNCTION("GOOGLETRANSLATE(A39245,""en"",""pt"")"),"recepção irregular, má Bluetooth")</f>
        <v>recepção irregular, má Bluetooth</v>
      </c>
      <c r="B39245" s="3">
        <v>0</v>
      </c>
    </row>
    <row r="39246" ht="15.75" customHeight="1" spans="1:2">
      <c r="A39246" s="3" t="str">
        <f>IFERROR(__xludf.DUMMYFUNCTION("GOOGLETRANSLATE(A39246,""en"",""pt"")"),"VCast principalmente um gimmick, Calendar Sync para Outlook é confuso.")</f>
        <v>VCast principalmente um gimmick, Calendar Sync para Outlook é confuso.</v>
      </c>
      <c r="B39246" s="3">
        <v>0</v>
      </c>
    </row>
    <row r="39247" ht="15.75" customHeight="1" spans="1:2">
      <c r="A39247" s="3" t="str">
        <f>IFERROR(__xludf.DUMMYFUNCTION("GOOGLETRANSLATE(A39247,""en"",""pt"")"),"O telefone é muito bom, Verizon limita algumas ótimas opções POTENCIALMENTE.")</f>
        <v>O telefone é muito bom, Verizon limita algumas ótimas opções POTENCIALMENTE.</v>
      </c>
      <c r="B39247" s="3">
        <v>0</v>
      </c>
    </row>
    <row r="39248" ht="15.75" customHeight="1" spans="1:2">
      <c r="A39248" s="3" t="str">
        <f>IFERROR(__xludf.DUMMYFUNCTION("GOOGLETRANSLATE(A39248,""en"",""pt"")"),"não gsp, tem que comprar cartão micro SD para uso mp3 ou camara")</f>
        <v>não gsp, tem que comprar cartão micro SD para uso mp3 ou camara</v>
      </c>
      <c r="B39248" s="3">
        <v>0</v>
      </c>
    </row>
    <row r="39249" ht="15.75" customHeight="1" spans="1:2">
      <c r="A39249" s="3" t="str">
        <f>IFERROR(__xludf.DUMMYFUNCTION("GOOGLETRANSLATE(A39249,""en"",""pt"")"),"tenta se conectar à Internet quando não tem certeza qual menus fazer o que")</f>
        <v>tenta se conectar à Internet quando não tem certeza qual menus fazer o que</v>
      </c>
      <c r="B39249" s="3">
        <v>0</v>
      </c>
    </row>
    <row r="39250" ht="15.75" customHeight="1" spans="1:2">
      <c r="A39250" s="3" t="str">
        <f>IFERROR(__xludf.DUMMYFUNCTION("GOOGLETRANSLATE(A39250,""en"",""pt"")"),"Limitados seleções ring-tone, nenhum nome de auto texto ao adicionar contatos. extras Verizon são muito caros")</f>
        <v>Limitados seleções ring-tone, nenhum nome de auto texto ao adicionar contatos. extras Verizon são muito caros</v>
      </c>
      <c r="B39250" s="3">
        <v>0</v>
      </c>
    </row>
    <row r="39251" ht="15.75" customHeight="1" spans="1:2">
      <c r="A39251" s="3" t="str">
        <f>IFERROR(__xludf.DUMMYFUNCTION("GOOGLETRANSLATE(A39251,""en"",""pt"")"),"NÃO é verdade viva-voz estéreo, tela pequena.")</f>
        <v>NÃO é verdade viva-voz estéreo, tela pequena.</v>
      </c>
      <c r="B39251" s="3">
        <v>0</v>
      </c>
    </row>
    <row r="39252" ht="15.75" customHeight="1" spans="1:2">
      <c r="A39252" s="3" t="str">
        <f>IFERROR(__xludf.DUMMYFUNCTION("GOOGLETRANSLATE(A39252,""en"",""pt"")"),"volume do telefone às vezes é baixo, botões no rosto estão implorando para ser colidido")</f>
        <v>volume do telefone às vezes é baixo, botões no rosto estão implorando para ser colidido</v>
      </c>
      <c r="B39252" s="3">
        <v>0</v>
      </c>
    </row>
    <row r="39253" ht="15.75" customHeight="1" spans="1:2">
      <c r="A39253" s="3" t="str">
        <f>IFERROR(__xludf.DUMMYFUNCTION("GOOGLETRANSLATE(A39253,""en"",""pt"")"),"Irritatiing estrutura do menu, muitos botões para pressionar")</f>
        <v>Irritatiing estrutura do menu, muitos botões para pressionar</v>
      </c>
      <c r="B39253" s="3">
        <v>0</v>
      </c>
    </row>
    <row r="39254" ht="15.75" customHeight="1" spans="1:2">
      <c r="A39254" s="3" t="str">
        <f>IFERROR(__xludf.DUMMYFUNCTION("GOOGLETRANSLATE(A39254,""en"",""pt"")"),"Não há contras posso encontrar exceto canção cartão SD recognition.Small tampas de plástico fácil perdido.")</f>
        <v>Não há contras posso encontrar exceto canção cartão SD recognition.Small tampas de plástico fácil perdido.</v>
      </c>
      <c r="B39254" s="3">
        <v>0</v>
      </c>
    </row>
    <row r="39255" ht="15.75" customHeight="1" spans="1:2">
      <c r="A39255" s="3" t="str">
        <f>IFERROR(__xludf.DUMMYFUNCTION("GOOGLETRANSLATE(A39255,""en"",""pt"")"),"A antena stubby.")</f>
        <v>A antena stubby.</v>
      </c>
      <c r="B39255" s="3">
        <v>0</v>
      </c>
    </row>
    <row r="39256" ht="15.75" customHeight="1" spans="1:2">
      <c r="A39256" s="3" t="str">
        <f>IFERROR(__xludf.DUMMYFUNCTION("GOOGLETRANSLATE(A39256,""en"",""pt"")"),"acessórios caros; comando de voz não é muito bom")</f>
        <v>acessórios caros; comando de voz não é muito bom</v>
      </c>
      <c r="B39256" s="3">
        <v>0</v>
      </c>
    </row>
    <row r="39257" ht="15.75" customHeight="1" spans="1:2">
      <c r="A39257" s="3" t="str">
        <f>IFERROR(__xludf.DUMMYFUNCTION("GOOGLETRANSLATE(A39257,""en"",""pt"")"),"Falta de toques.")</f>
        <v>Falta de toques.</v>
      </c>
      <c r="B39257" s="3">
        <v>0</v>
      </c>
    </row>
    <row r="39258" ht="15.75" customHeight="1" spans="1:2">
      <c r="A39258" s="3" t="str">
        <f>IFERROR(__xludf.DUMMYFUNCTION("GOOGLETRANSLATE(A39258,""en"",""pt"")"),"Menor clareza, os downloads caros, ringtones horríveis, câmera de baixa qualidade.")</f>
        <v>Menor clareza, os downloads caros, ringtones horríveis, câmera de baixa qualidade.</v>
      </c>
      <c r="B39258" s="3">
        <v>0</v>
      </c>
    </row>
    <row r="39259" ht="15.75" customHeight="1" spans="1:2">
      <c r="A39259" s="3" t="str">
        <f>IFERROR(__xludf.DUMMYFUNCTION("GOOGLETRANSLATE(A39259,""en"",""pt"")"),"A forma como ele se abre. comprimento da bateria")</f>
        <v>A forma como ele se abre. comprimento da bateria</v>
      </c>
      <c r="B39259" s="3">
        <v>0</v>
      </c>
    </row>
    <row r="39260" ht="15.75" customHeight="1" spans="1:2">
      <c r="A39260" s="3" t="str">
        <f>IFERROR(__xludf.DUMMYFUNCTION("GOOGLETRANSLATE(A39260,""en"",""pt"")"),"Você não pode baixar músicas para o uso como um ringtone.")</f>
        <v>Você não pode baixar músicas para o uso como um ringtone.</v>
      </c>
      <c r="B39260" s="3">
        <v>0</v>
      </c>
    </row>
    <row r="39261" ht="15.75" customHeight="1" spans="1:2">
      <c r="A39261" s="3" t="str">
        <f>IFERROR(__xludf.DUMMYFUNCTION("GOOGLETRANSLATE(A39261,""en"",""pt"")"),"O adaptador de carregador de bateria faz um som de alta freq irritante.")</f>
        <v>O adaptador de carregador de bateria faz um som de alta freq irritante.</v>
      </c>
      <c r="B39261" s="3">
        <v>0</v>
      </c>
    </row>
    <row r="39262" ht="15.75" customHeight="1" spans="1:2">
      <c r="A39262" s="3" t="str">
        <f>IFERROR(__xludf.DUMMYFUNCTION("GOOGLETRANSLATE(A39262,""en"",""pt"")"),"Sem tempo no visor frontal")</f>
        <v>Sem tempo no visor frontal</v>
      </c>
      <c r="B39262" s="3">
        <v>0</v>
      </c>
    </row>
    <row r="39263" ht="15.75" customHeight="1" spans="1:2">
      <c r="A39263" s="3" t="str">
        <f>IFERROR(__xludf.DUMMYFUNCTION("GOOGLETRANSLATE(A39263,""en"",""pt"")"),"Toques feder.")</f>
        <v>Toques feder.</v>
      </c>
      <c r="B39263" s="3">
        <v>0</v>
      </c>
    </row>
    <row r="39264" ht="15.75" customHeight="1" spans="1:2">
      <c r="A39264" s="3" t="str">
        <f>IFERROR(__xludf.DUMMYFUNCTION("GOOGLETRANSLATE(A39264,""en"",""pt"")"),"música MP3 não suportado")</f>
        <v>música MP3 não suportado</v>
      </c>
      <c r="B39264" s="3">
        <v>0</v>
      </c>
    </row>
    <row r="39265" ht="15.75" customHeight="1" spans="1:2">
      <c r="A39265" s="3" t="str">
        <f>IFERROR(__xludf.DUMMYFUNCTION("GOOGLETRANSLATE(A39265,""en"",""pt"")"),"Built-in LED não piscar vale a pena usar.")</f>
        <v>Built-in LED não piscar vale a pena usar.</v>
      </c>
      <c r="B39265" s="3">
        <v>0</v>
      </c>
    </row>
    <row r="39266" ht="15.75" customHeight="1" spans="1:2">
      <c r="A39266" s="3" t="str">
        <f>IFERROR(__xludf.DUMMYFUNCTION("GOOGLETRANSLATE(A39266,""en"",""pt"")"),"A vida da bateria é fraco, Muitos extras.")</f>
        <v>A vida da bateria é fraco, Muitos extras.</v>
      </c>
      <c r="B39266" s="3">
        <v>0</v>
      </c>
    </row>
    <row r="39267" ht="15.75" customHeight="1" spans="1:2">
      <c r="A39267" s="3" t="str">
        <f>IFERROR(__xludf.DUMMYFUNCTION("GOOGLETRANSLATE(A39267,""en"",""pt"")"),"problemas de compatibilidade e Telus")</f>
        <v>problemas de compatibilidade e Telus</v>
      </c>
      <c r="B39267" s="3">
        <v>0</v>
      </c>
    </row>
    <row r="39268" ht="15.75" customHeight="1" spans="1:2">
      <c r="A39268" s="3" t="str">
        <f>IFERROR(__xludf.DUMMYFUNCTION("GOOGLETRANSLATE(A39268,""en"",""pt"")"),"Alto-falante não é muito crocante, Styling é bastante quadradão e volumosos")</f>
        <v>Alto-falante não é muito crocante, Styling é bastante quadradão e volumosos</v>
      </c>
      <c r="B39268" s="3">
        <v>0</v>
      </c>
    </row>
    <row r="39269" ht="15.75" customHeight="1" spans="1:2">
      <c r="A39269" s="3" t="str">
        <f>IFERROR(__xludf.DUMMYFUNCTION("GOOGLETRANSLATE(A39269,""en"",""pt"")"),"Data / Hora muito pequeno. Ouvido e volume de Viva-voz muito baixa. tempo de conversação pobre.")</f>
        <v>Data / Hora muito pequeno. Ouvido e volume de Viva-voz muito baixa. tempo de conversação pobre.</v>
      </c>
      <c r="B39269" s="3">
        <v>0</v>
      </c>
    </row>
    <row r="39270" ht="15.75" customHeight="1" spans="1:2">
      <c r="A39270" s="3" t="str">
        <f>IFERROR(__xludf.DUMMYFUNCTION("GOOGLETRANSLATE(A39270,""en"",""pt"")"),"Um pouco fácil de manusear perder de, não o suficiente ""espaço de memória"", muito grosso.")</f>
        <v>Um pouco fácil de manusear perder de, não o suficiente "espaço de memória", muito grosso.</v>
      </c>
      <c r="B39270" s="3">
        <v>0</v>
      </c>
    </row>
    <row r="39271" ht="15.75" customHeight="1" spans="1:2">
      <c r="A39271" s="3" t="str">
        <f>IFERROR(__xludf.DUMMYFUNCTION("GOOGLETRANSLATE(A39271,""en"",""pt"")"),"mau uso do espaço da tela. Não é o mais alto volume de conversação padrão. Pobre volume de mp3 varia.")</f>
        <v>mau uso do espaço da tela. Não é o mais alto volume de conversação padrão. Pobre volume de mp3 varia.</v>
      </c>
      <c r="B39271" s="3">
        <v>0</v>
      </c>
    </row>
    <row r="39272" ht="15.75" customHeight="1" spans="1:2">
      <c r="A39272" s="3" t="str">
        <f>IFERROR(__xludf.DUMMYFUNCTION("GOOGLETRANSLATE(A39272,""en"",""pt"")"),"avarias a falta de garantia de volta para a falha conhecida. volume de pobres")</f>
        <v>avarias a falta de garantia de volta para a falha conhecida. volume de pobres</v>
      </c>
      <c r="B39272" s="3">
        <v>0</v>
      </c>
    </row>
    <row r="39273" ht="15.75" customHeight="1" spans="1:2">
      <c r="A39273" s="3" t="str">
        <f>IFERROR(__xludf.DUMMYFUNCTION("GOOGLETRANSLATE(A39273,""en"",""pt"")"),"barato construído, nenhuma confiabilidade, má recepção e, claro, ele parou de funcionar.")</f>
        <v>barato construído, nenhuma confiabilidade, má recepção e, claro, ele parou de funcionar.</v>
      </c>
      <c r="B39273" s="3">
        <v>0</v>
      </c>
    </row>
    <row r="39274" ht="15.75" customHeight="1" spans="1:2">
      <c r="A39274" s="3" t="str">
        <f>IFERROR(__xludf.DUMMYFUNCTION("GOOGLETRANSLATE(A39274,""en"",""pt"")"),"É pesado e grande.")</f>
        <v>É pesado e grande.</v>
      </c>
      <c r="B39274" s="3">
        <v>0</v>
      </c>
    </row>
    <row r="39275" ht="15.75" customHeight="1" spans="1:2">
      <c r="A39275" s="3" t="str">
        <f>IFERROR(__xludf.DUMMYFUNCTION("GOOGLETRANSLATE(A39275,""en"",""pt"")"),"Cons, bem apenas Con deste telefone seria seu preço talvez.")</f>
        <v>Cons, bem apenas Con deste telefone seria seu preço talvez.</v>
      </c>
      <c r="B39275" s="3">
        <v>0</v>
      </c>
    </row>
    <row r="39276" ht="15.75" customHeight="1" spans="1:2">
      <c r="A39276" s="3" t="str">
        <f>IFERROR(__xludf.DUMMYFUNCTION("GOOGLETRANSLATE(A39276,""en"",""pt"")"),"A vida da bateria, MSRP é muito alto, dentro desempenho da câmera")</f>
        <v>A vida da bateria, MSRP é muito alto, dentro desempenho da câmera</v>
      </c>
      <c r="B39276" s="3">
        <v>0</v>
      </c>
    </row>
    <row r="39277" ht="15.75" customHeight="1" spans="1:2">
      <c r="A39277" s="3" t="str">
        <f>IFERROR(__xludf.DUMMYFUNCTION("GOOGLETRANSLATE(A39277,""en"",""pt"")"),"Ainda tem algumas torções de interface de usuário para trabalhar.")</f>
        <v>Ainda tem algumas torções de interface de usuário para trabalhar.</v>
      </c>
      <c r="B39277" s="3">
        <v>0</v>
      </c>
    </row>
    <row r="39278" ht="15.75" customHeight="1" spans="1:2">
      <c r="A39278" s="3" t="str">
        <f>IFERROR(__xludf.DUMMYFUNCTION("GOOGLETRANSLATE(A39278,""en"",""pt"")"),"capacidade de memória limitada, útil e decente, mas não a melhor música e imagens")</f>
        <v>capacidade de memória limitada, útil e decente, mas não a melhor música e imagens</v>
      </c>
      <c r="B39278" s="3">
        <v>0</v>
      </c>
    </row>
    <row r="39279" ht="15.75" customHeight="1" spans="1:2">
      <c r="A39279" s="3" t="str">
        <f>IFERROR(__xludf.DUMMYFUNCTION("GOOGLETRANSLATE(A39279,""en"",""pt"")"),"Preço, vida útil da bateria, Quirky ficha do carregador, a tela temido Branco da Morte (leia mais)")</f>
        <v>Preço, vida útil da bateria, Quirky ficha do carregador, a tela temido Branco da Morte (leia mais)</v>
      </c>
      <c r="B39279" s="3">
        <v>0</v>
      </c>
    </row>
    <row r="39280" ht="15.75" customHeight="1" spans="1:2">
      <c r="A39280" s="3" t="str">
        <f>IFERROR(__xludf.DUMMYFUNCTION("GOOGLETRANSLATE(A39280,""en"",""pt"")"),"Não como cabo do carregador, faceplates buy cativas e não há caixa para este telefone.")</f>
        <v>Não como cabo do carregador, faceplates buy cativas e não há caixa para este telefone.</v>
      </c>
      <c r="B39280" s="3">
        <v>0</v>
      </c>
    </row>
    <row r="39281" ht="15.75" customHeight="1" spans="1:2">
      <c r="A39281" s="3" t="str">
        <f>IFERROR(__xludf.DUMMYFUNCTION("GOOGLETRANSLATE(A39281,""en"",""pt"")"),"um pouco volumoso, botões pode ser um pouco confuso")</f>
        <v>um pouco volumoso, botões pode ser um pouco confuso</v>
      </c>
      <c r="B39281" s="3">
        <v>0</v>
      </c>
    </row>
    <row r="39282" ht="15.75" customHeight="1" spans="1:2">
      <c r="A39282" s="3" t="str">
        <f>IFERROR(__xludf.DUMMYFUNCTION("GOOGLETRANSLATE(A39282,""en"",""pt"")"),"No viva-voz, Proprietary fone de ouvido, deve converter MP3 para WMA")</f>
        <v>No viva-voz, Proprietary fone de ouvido, deve converter MP3 para WMA</v>
      </c>
      <c r="B39282" s="3">
        <v>0</v>
      </c>
    </row>
    <row r="39283" ht="15.75" customHeight="1" spans="1:2">
      <c r="A39283" s="3" t="str">
        <f>IFERROR(__xludf.DUMMYFUNCTION("GOOGLETRANSLATE(A39283,""en"",""pt"")"),"Odd peculiaridades com o leitor de música. Não é rentável uma vez que consideram add-ons.")</f>
        <v>Odd peculiaridades com o leitor de música. Não é rentável uma vez que consideram add-ons.</v>
      </c>
      <c r="B39283" s="3">
        <v>0</v>
      </c>
    </row>
    <row r="39284" ht="15.75" customHeight="1" spans="1:2">
      <c r="A39284" s="3" t="str">
        <f>IFERROR(__xludf.DUMMYFUNCTION("GOOGLETRANSLATE(A39284,""en"",""pt"")"),"adaptador de fone de ouvido facilmente perdidos, sem fones de ouvido, nenhum software de música, peculiar painéis de toque sensível, sem flash")</f>
        <v>adaptador de fone de ouvido facilmente perdidos, sem fones de ouvido, nenhum software de música, peculiar painéis de toque sensível, sem flash</v>
      </c>
      <c r="B39284" s="3">
        <v>0</v>
      </c>
    </row>
    <row r="39285" ht="15.75" customHeight="1" spans="1:2">
      <c r="A39285" s="3" t="str">
        <f>IFERROR(__xludf.DUMMYFUNCTION("GOOGLETRANSLATE(A39285,""en"",""pt"")"),"Mimado Botões, Bad Vida útil da bateria, Nem todos os fones de ouvido Bluetooth funcionam bem, difícil de segurar")</f>
        <v>Mimado Botões, Bad Vida útil da bateria, Nem todos os fones de ouvido Bluetooth funcionam bem, difícil de segurar</v>
      </c>
      <c r="B39285" s="3">
        <v>0</v>
      </c>
    </row>
    <row r="39286" ht="15.75" customHeight="1" spans="1:2">
      <c r="A39286" s="3" t="str">
        <f>IFERROR(__xludf.DUMMYFUNCTION("GOOGLETRANSLATE(A39286,""en"",""pt"")"),"A nova tecnologia pode ter falhas.")</f>
        <v>A nova tecnologia pode ter falhas.</v>
      </c>
      <c r="B39286" s="3">
        <v>0</v>
      </c>
    </row>
    <row r="39287" ht="15.75" customHeight="1" spans="1:2">
      <c r="A39287" s="3" t="str">
        <f>IFERROR(__xludf.DUMMYFUNCTION("GOOGLETRANSLATE(A39287,""en"",""pt"")"),"enquanto viva-voz em chamadas.")</f>
        <v>enquanto viva-voz em chamadas.</v>
      </c>
      <c r="B39287" s="3">
        <v>0</v>
      </c>
    </row>
    <row r="39288" ht="15.75" customHeight="1" spans="1:2">
      <c r="A39288" s="3" t="str">
        <f>IFERROR(__xludf.DUMMYFUNCTION("GOOGLETRANSLATE(A39288,""en"",""pt"")"),"Chaves muito juntos, tela de toque é mal-humorado, má qualidade de som")</f>
        <v>Chaves muito juntos, tela de toque é mal-humorado, má qualidade de som</v>
      </c>
      <c r="B39288" s="3">
        <v>0</v>
      </c>
    </row>
    <row r="39289" ht="15.75" customHeight="1" spans="1:2">
      <c r="A39289" s="3" t="str">
        <f>IFERROR(__xludf.DUMMYFUNCTION("GOOGLETRANSLATE(A39289,""en"",""pt"")"),"No viva-voz, não capaz de ter toques para cada uma das partes.")</f>
        <v>No viva-voz, não capaz de ter toques para cada uma das partes.</v>
      </c>
      <c r="B39289" s="3">
        <v>0</v>
      </c>
    </row>
    <row r="39290" ht="15.75" customHeight="1" spans="1:2">
      <c r="A39290" s="3" t="str">
        <f>IFERROR(__xludf.DUMMYFUNCTION("GOOGLETRANSLATE(A39290,""en"",""pt"")"),"controles frustrante, capacidades sub-par música tocando.")</f>
        <v>controles frustrante, capacidades sub-par música tocando.</v>
      </c>
      <c r="B39290" s="3">
        <v>0</v>
      </c>
    </row>
    <row r="39291" ht="15.75" customHeight="1" spans="1:2">
      <c r="A39291" s="3" t="str">
        <f>IFERROR(__xludf.DUMMYFUNCTION("GOOGLETRANSLATE(A39291,""en"",""pt"")"),"No viva-voz Feature, potencialmente frágil, pode ser muito alta tecnologia para alguns")</f>
        <v>No viva-voz Feature, potencialmente frágil, pode ser muito alta tecnologia para alguns</v>
      </c>
      <c r="B39291" s="3">
        <v>0</v>
      </c>
    </row>
    <row r="39292" ht="15.75" customHeight="1" spans="1:2">
      <c r="A39292" s="3" t="str">
        <f>IFERROR(__xludf.DUMMYFUNCTION("GOOGLETRANSLATE(A39292,""en"",""pt"")"),"A vida da bateria, fator de forma.")</f>
        <v>A vida da bateria, fator de forma.</v>
      </c>
      <c r="B39292" s="3">
        <v>0</v>
      </c>
    </row>
    <row r="39293" ht="15.75" customHeight="1" spans="1:2">
      <c r="A39293" s="3" t="str">
        <f>IFERROR(__xludf.DUMMYFUNCTION("GOOGLETRANSLATE(A39293,""en"",""pt"")"),"Frágil, compatibilidade headset")</f>
        <v>Frágil, compatibilidade headset</v>
      </c>
      <c r="B39293" s="3">
        <v>0</v>
      </c>
    </row>
    <row r="39294" ht="15.75" customHeight="1" spans="1:2">
      <c r="A39294" s="3" t="str">
        <f>IFERROR(__xludf.DUMMYFUNCTION("GOOGLETRANSLATE(A39294,""en"",""pt"")"),"BATERIA, nenhum alto-falante.")</f>
        <v>BATERIA, nenhum alto-falante.</v>
      </c>
      <c r="B39294" s="3">
        <v>0</v>
      </c>
    </row>
    <row r="39295" ht="15.75" customHeight="1" spans="1:2">
      <c r="A39295" s="3" t="str">
        <f>IFERROR(__xludf.DUMMYFUNCTION("GOOGLETRANSLATE(A39295,""en"",""pt"")"),"No viva-voz, vários outros pequenos inconvenientes")</f>
        <v>No viva-voz, vários outros pequenos inconvenientes</v>
      </c>
      <c r="B39295" s="3">
        <v>0</v>
      </c>
    </row>
    <row r="39296" ht="15.75" customHeight="1" spans="1:2">
      <c r="A39296" s="3" t="str">
        <f>IFERROR(__xludf.DUMMYFUNCTION("GOOGLETRANSLATE(A39296,""en"",""pt"")"),"falhas conhecidas, No alto-falante ainda, Música sincronização é frustrante")</f>
        <v>falhas conhecidas, No alto-falante ainda, Música sincronização é frustrante</v>
      </c>
      <c r="B39296" s="3">
        <v>0</v>
      </c>
    </row>
    <row r="39297" ht="15.75" customHeight="1" spans="1:2">
      <c r="A39297" s="3" t="str">
        <f>IFERROR(__xludf.DUMMYFUNCTION("GOOGLETRANSLATE(A39297,""en"",""pt"")"),"PC Sync é de alguma forma difícil de usar, sem portas de expansão, impressões digitais facilmente,")</f>
        <v>PC Sync é de alguma forma difícil de usar, sem portas de expansão, impressões digitais facilmente,</v>
      </c>
      <c r="B39297" s="3">
        <v>0</v>
      </c>
    </row>
    <row r="39298" ht="15.75" customHeight="1" spans="1:2">
      <c r="A39298" s="3" t="str">
        <f>IFERROR(__xludf.DUMMYFUNCTION("GOOGLETRANSLATE(A39298,""en"",""pt"")"),"roda de rolagem, funcionalidades de telefone média, tem que pagar extra para o kit de música")</f>
        <v>roda de rolagem, funcionalidades de telefone média, tem que pagar extra para o kit de música</v>
      </c>
      <c r="B39298" s="3">
        <v>0</v>
      </c>
    </row>
    <row r="39299" ht="15.75" customHeight="1" spans="1:2">
      <c r="A39299" s="3" t="str">
        <f>IFERROR(__xludf.DUMMYFUNCTION("GOOGLETRANSLATE(A39299,""en"",""pt"")"),"controles estranhamente sensative.")</f>
        <v>controles estranhamente sensative.</v>
      </c>
      <c r="B39299" s="3">
        <v>0</v>
      </c>
    </row>
    <row r="39300" ht="15.75" customHeight="1" spans="1:2">
      <c r="A39300" s="3" t="str">
        <f>IFERROR(__xludf.DUMMYFUNCTION("GOOGLETRANSLATE(A39300,""en"",""pt"")"),"durabilidade, pequenos botões físicos de usar")</f>
        <v>durabilidade, pequenos botões físicos de usar</v>
      </c>
      <c r="B39300" s="3">
        <v>0</v>
      </c>
    </row>
    <row r="39301" ht="15.75" customHeight="1" spans="1:2">
      <c r="A39301" s="3" t="str">
        <f>IFERROR(__xludf.DUMMYFUNCTION("GOOGLETRANSLATE(A39301,""en"",""pt"")"),"Sem vida da bateria, não confiável, pior no teclado classe.")</f>
        <v>Sem vida da bateria, não confiável, pior no teclado classe.</v>
      </c>
      <c r="B39301" s="3">
        <v>0</v>
      </c>
    </row>
    <row r="39302" ht="15.75" customHeight="1" spans="1:2">
      <c r="A39302" s="3" t="str">
        <f>IFERROR(__xludf.DUMMYFUNCTION("GOOGLETRANSLATE(A39302,""en"",""pt"")"),"touchpad pode ser sensível, a maioria dos acessórios vendidos separadamente")</f>
        <v>touchpad pode ser sensível, a maioria dos acessórios vendidos separadamente</v>
      </c>
      <c r="B39302" s="3">
        <v>0</v>
      </c>
    </row>
    <row r="39303" ht="15.75" customHeight="1" spans="1:2">
      <c r="A39303" s="3" t="str">
        <f>IFERROR(__xludf.DUMMYFUNCTION("GOOGLETRANSLATE(A39303,""en"",""pt"")"),"Super controles sensíveis ao toque - não funciona bem com certos dispositivos Bluetooth.")</f>
        <v>Super controles sensíveis ao toque - não funciona bem com certos dispositivos Bluetooth.</v>
      </c>
      <c r="B39303" s="3">
        <v>0</v>
      </c>
    </row>
    <row r="39304" ht="15.75" customHeight="1" spans="1:2">
      <c r="A39304" s="3" t="str">
        <f>IFERROR(__xludf.DUMMYFUNCTION("GOOGLETRANSLATE(A39304,""en"",""pt"")"),"O teclado é muito difícil de uso")</f>
        <v>O teclado é muito difícil de uso</v>
      </c>
      <c r="B39304" s="3">
        <v>0</v>
      </c>
    </row>
    <row r="39305" ht="15.75" customHeight="1" spans="1:2">
      <c r="A39305" s="3" t="str">
        <f>IFERROR(__xludf.DUMMYFUNCTION("GOOGLETRANSLATE(A39305,""en"",""pt"")"),"Telefone tem brilho-como acabamento que mostra as impressões digitais muito facilmente. A tela de toque é sensível.")</f>
        <v>Telefone tem brilho-como acabamento que mostra as impressões digitais muito facilmente. A tela de toque é sensível.</v>
      </c>
      <c r="B39305" s="3">
        <v>0</v>
      </c>
    </row>
    <row r="39306" ht="15.75" customHeight="1" spans="1:2">
      <c r="A39306" s="3" t="str">
        <f>IFERROR(__xludf.DUMMYFUNCTION("GOOGLETRANSLATE(A39306,""en"",""pt"")"),"A vida da bateria")</f>
        <v>A vida da bateria</v>
      </c>
      <c r="B39306" s="3">
        <v>0</v>
      </c>
    </row>
    <row r="39307" ht="15.75" customHeight="1" spans="1:2">
      <c r="A39307" s="3" t="str">
        <f>IFERROR(__xludf.DUMMYFUNCTION("GOOGLETRANSLATE(A39307,""en"",""pt"")"),"números não pode ser discado, mesmo com pequenos dedos Verizon é uma farsa Insurance golpe")</f>
        <v>números não pode ser discado, mesmo com pequenos dedos Verizon é uma farsa Insurance golpe</v>
      </c>
      <c r="B39307" s="3">
        <v>0</v>
      </c>
    </row>
    <row r="39308" ht="15.75" customHeight="1" spans="1:2">
      <c r="A39308" s="3" t="str">
        <f>IFERROR(__xludf.DUMMYFUNCTION("GOOGLETRANSLATE(A39308,""en"",""pt"")"),"fácil utilização para e preto elegante")</f>
        <v>fácil utilização para e preto elegante</v>
      </c>
      <c r="B39308" s="3">
        <v>0</v>
      </c>
    </row>
    <row r="39309" ht="15.75" customHeight="1" spans="1:2">
      <c r="A39309" s="3" t="str">
        <f>IFERROR(__xludf.DUMMYFUNCTION("GOOGLETRANSLATE(A39309,""en"",""pt"")"),"Eu ainda não pode raspar com ele em viagens.")</f>
        <v>Eu ainda não pode raspar com ele em viagens.</v>
      </c>
      <c r="B39309" s="3">
        <v>0</v>
      </c>
    </row>
    <row r="39310" ht="15.75" customHeight="1" spans="1:2">
      <c r="A39310" s="3" t="str">
        <f>IFERROR(__xludf.DUMMYFUNCTION("GOOGLETRANSLATE(A39310,""en"",""pt"")"),"Limite de músicas no iTunes, reconhecimento de voz podem utilizar aperfeiçoamento.")</f>
        <v>Limite de músicas no iTunes, reconhecimento de voz podem utilizar aperfeiçoamento.</v>
      </c>
      <c r="B39310" s="3">
        <v>0</v>
      </c>
    </row>
    <row r="39311" ht="15.75" customHeight="1" spans="1:2">
      <c r="A39311" s="3" t="str">
        <f>IFERROR(__xludf.DUMMYFUNCTION("GOOGLETRANSLATE(A39311,""en"",""pt"")"),"câmera lenta resposta, o utilizador Não amigável. Catálogo não diz tudo. software de baixa qualidade.")</f>
        <v>câmera lenta resposta, o utilizador Não amigável. Catálogo não diz tudo. software de baixa qualidade.</v>
      </c>
      <c r="B39311" s="3">
        <v>0</v>
      </c>
    </row>
    <row r="39312" ht="15.75" customHeight="1" spans="1:2">
      <c r="A39312" s="3" t="str">
        <f>IFERROR(__xludf.DUMMYFUNCTION("GOOGLETRANSLATE(A39312,""en"",""pt"")"),"A vida da bateria poderia ser melhorado")</f>
        <v>A vida da bateria poderia ser melhorado</v>
      </c>
      <c r="B39312" s="3">
        <v>0</v>
      </c>
    </row>
    <row r="39313" ht="15.75" customHeight="1" spans="1:2">
      <c r="A39313" s="3" t="str">
        <f>IFERROR(__xludf.DUMMYFUNCTION("GOOGLETRANSLATE(A39313,""en"",""pt"")"),"Sem frescuras; formato slim pode levar tempo para se acostumar")</f>
        <v>Sem frescuras; formato slim pode levar tempo para se acostumar</v>
      </c>
      <c r="B39313" s="3">
        <v>0</v>
      </c>
    </row>
    <row r="39314" ht="15.75" customHeight="1" spans="1:2">
      <c r="A39314" s="3" t="str">
        <f>IFERROR(__xludf.DUMMYFUNCTION("GOOGLETRANSLATE(A39314,""en"",""pt"")"),"un-muito amigável botões, má recepção, o meu marido odeia!")</f>
        <v>un-muito amigável botões, má recepção, o meu marido odeia!</v>
      </c>
      <c r="B39314" s="3">
        <v>0</v>
      </c>
    </row>
    <row r="39315" ht="15.75" customHeight="1" spans="1:2">
      <c r="A39315" s="3" t="str">
        <f>IFERROR(__xludf.DUMMYFUNCTION("GOOGLETRANSLATE(A39315,""en"",""pt"")"),"Camera é uma piada, problemas com o Bluetooth")</f>
        <v>Camera é uma piada, problemas com o Bluetooth</v>
      </c>
      <c r="B39315" s="3">
        <v>0</v>
      </c>
    </row>
    <row r="39316" ht="15.75" customHeight="1" spans="1:2">
      <c r="A39316" s="3" t="str">
        <f>IFERROR(__xludf.DUMMYFUNCTION("GOOGLETRANSLATE(A39316,""en"",""pt"")"),"Camera é horrível, e menus precisa séria reformulação.")</f>
        <v>Camera é horrível, e menus precisa séria reformulação.</v>
      </c>
      <c r="B39316" s="3">
        <v>0</v>
      </c>
    </row>
    <row r="39317" ht="15.75" customHeight="1" spans="1:2">
      <c r="A39317" s="3" t="str">
        <f>IFERROR(__xludf.DUMMYFUNCTION("GOOGLETRANSLATE(A39317,""en"",""pt"")"),"Nada até agora")</f>
        <v>Nada até agora</v>
      </c>
      <c r="B39317" s="3">
        <v>0</v>
      </c>
    </row>
    <row r="39318" ht="15.75" customHeight="1" spans="1:2">
      <c r="A39318" s="3" t="str">
        <f>IFERROR(__xludf.DUMMYFUNCTION("GOOGLETRANSLATE(A39318,""en"",""pt"")"),"Não Bluetooth!")</f>
        <v>Não Bluetooth!</v>
      </c>
      <c r="B39318" s="3">
        <v>0</v>
      </c>
    </row>
    <row r="39319" ht="15.75" customHeight="1" spans="1:2">
      <c r="A39319" s="3" t="str">
        <f>IFERROR(__xludf.DUMMYFUNCTION("GOOGLETRANSLATE(A39319,""en"",""pt"")"),"Não é uma ótima câmera, mas quem se importa.")</f>
        <v>Não é uma ótima câmera, mas quem se importa.</v>
      </c>
      <c r="B39319" s="3">
        <v>0</v>
      </c>
    </row>
    <row r="39320" ht="15.75" customHeight="1" spans="1:2">
      <c r="A39320" s="3" t="str">
        <f>IFERROR(__xludf.DUMMYFUNCTION("GOOGLETRANSLATE(A39320,""en"",""pt"")"),"Sem bluetooth, baixo volume do toque, qualidade da câmera")</f>
        <v>Sem bluetooth, baixo volume do toque, qualidade da câmera</v>
      </c>
      <c r="B39320" s="3">
        <v>0</v>
      </c>
    </row>
    <row r="39321" ht="15.75" customHeight="1" spans="1:2">
      <c r="A39321" s="3" t="str">
        <f>IFERROR(__xludf.DUMMYFUNCTION("GOOGLETRANSLATE(A39321,""en"",""pt"")"),"modelo básico faltando muitas características que eu quero.")</f>
        <v>modelo básico faltando muitas características que eu quero.</v>
      </c>
      <c r="B39321" s="3">
        <v>0</v>
      </c>
    </row>
    <row r="39322" ht="15.75" customHeight="1" spans="1:2">
      <c r="A39322" s="3" t="str">
        <f>IFERROR(__xludf.DUMMYFUNCTION("GOOGLETRANSLATE(A39322,""en"",""pt"")"),"Morre a cada duas semanas")</f>
        <v>Morre a cada duas semanas</v>
      </c>
      <c r="B39322" s="3">
        <v>0</v>
      </c>
    </row>
    <row r="39323" ht="15.75" customHeight="1" spans="1:2">
      <c r="A39323" s="3" t="str">
        <f>IFERROR(__xludf.DUMMYFUNCTION("GOOGLETRANSLATE(A39323,""en"",""pt"")"),"O manual de instruções é um pouco vague.what as teclas de função são para ..")</f>
        <v>O manual de instruções é um pouco vague.what as teclas de função são para ..</v>
      </c>
      <c r="B39323" s="3">
        <v>0</v>
      </c>
    </row>
    <row r="39324" ht="15.75" customHeight="1" spans="1:2">
      <c r="A39324" s="3" t="str">
        <f>IFERROR(__xludf.DUMMYFUNCTION("GOOGLETRANSLATE(A39324,""en"",""pt"")"),"No exterior on / off botões para iniciar o leitor de MP3.")</f>
        <v>No exterior on / off botões para iniciar o leitor de MP3.</v>
      </c>
      <c r="B39324" s="3">
        <v>0</v>
      </c>
    </row>
    <row r="39325" ht="15.75" customHeight="1" spans="1:2">
      <c r="A39325" s="3" t="str">
        <f>IFERROR(__xludf.DUMMYFUNCTION("GOOGLETRANSLATE(A39325,""en"",""pt"")"),"cartão micro SD sob porta da bateria. Aprender a transferência de arquivos um pouco complicado.")</f>
        <v>cartão micro SD sob porta da bateria. Aprender a transferência de arquivos um pouco complicado.</v>
      </c>
      <c r="B39325" s="3">
        <v>0</v>
      </c>
    </row>
    <row r="39326" ht="15.75" customHeight="1" spans="1:2">
      <c r="A39326" s="3" t="str">
        <f>IFERROR(__xludf.DUMMYFUNCTION("GOOGLETRANSLATE(A39326,""en"",""pt"")"),"interface de Verizon, Vcast, campainha e música apps, localização microSD")</f>
        <v>interface de Verizon, Vcast, campainha e música apps, localização microSD</v>
      </c>
      <c r="B39326" s="3">
        <v>0</v>
      </c>
    </row>
    <row r="39327" ht="15.75" customHeight="1" spans="1:2">
      <c r="A39327" s="3" t="str">
        <f>IFERROR(__xludf.DUMMYFUNCTION("GOOGLETRANSLATE(A39327,""en"",""pt"")"),"lag Menu, Custo, erros Web / Música, média resolução pequeno display /, sem flash, nenhum LED externo, câmera de baixa qualidade")</f>
        <v>lag Menu, Custo, erros Web / Música, média resolução pequeno display /, sem flash, nenhum LED externo, câmera de baixa qualidade</v>
      </c>
      <c r="B39327" s="3">
        <v>0</v>
      </c>
    </row>
    <row r="39328" ht="15.75" customHeight="1" spans="1:2">
      <c r="A39328" s="3" t="str">
        <f>IFERROR(__xludf.DUMMYFUNCTION("GOOGLETRANSLATE(A39328,""en"",""pt"")"),"flash, opções de tema")</f>
        <v>flash, opções de tema</v>
      </c>
      <c r="B39328" s="3">
        <v>0</v>
      </c>
    </row>
    <row r="39329" ht="15.75" customHeight="1" spans="1:2">
      <c r="A39329" s="3" t="str">
        <f>IFERROR(__xludf.DUMMYFUNCTION("GOOGLETRANSLATE(A39329,""en"",""pt"")"),"um pouco caro, como acaba de ser lançado,")</f>
        <v>um pouco caro, como acaba de ser lançado,</v>
      </c>
      <c r="B39329" s="3">
        <v>0</v>
      </c>
    </row>
    <row r="39330" ht="15.75" customHeight="1" spans="1:2">
      <c r="A39330" s="3" t="str">
        <f>IFERROR(__xludf.DUMMYFUNCTION("GOOGLETRANSLATE(A39330,""en"",""pt"")"),"não executa bem como um telefone celular, sem intervalo ou volume.")</f>
        <v>não executa bem como um telefone celular, sem intervalo ou volume.</v>
      </c>
      <c r="B39330" s="3">
        <v>0</v>
      </c>
    </row>
    <row r="39331" ht="15.75" customHeight="1" spans="1:2">
      <c r="A39331" s="3" t="str">
        <f>IFERROR(__xludf.DUMMYFUNCTION("GOOGLETRANSLATE(A39331,""en"",""pt"")"),"arranhões e rachaduras muito fácil")</f>
        <v>arranhões e rachaduras muito fácil</v>
      </c>
      <c r="B39331" s="3">
        <v>0</v>
      </c>
    </row>
    <row r="39332" ht="15.75" customHeight="1" spans="1:2">
      <c r="A39332" s="3" t="str">
        <f>IFERROR(__xludf.DUMMYFUNCTION("GOOGLETRANSLATE(A39332,""en"",""pt"")"),"No media player de música quando você fechar o telefone.")</f>
        <v>No media player de música quando você fechar o telefone.</v>
      </c>
      <c r="B39332" s="3">
        <v>0</v>
      </c>
    </row>
    <row r="39333" ht="15.75" customHeight="1" spans="1:2">
      <c r="A39333" s="3" t="str">
        <f>IFERROR(__xludf.DUMMYFUNCTION("GOOGLETRANSLATE(A39333,""en"",""pt"")"),"não é uma grande função de vibração")</f>
        <v>não é uma grande função de vibração</v>
      </c>
      <c r="B39333" s="3">
        <v>0</v>
      </c>
    </row>
    <row r="39334" ht="15.75" customHeight="1" spans="1:2">
      <c r="A39334" s="3" t="str">
        <f>IFERROR(__xludf.DUMMYFUNCTION("GOOGLETRANSLATE(A39334,""en"",""pt"")"),"exibição, menus, sem jogos pré-carregados, há unidades de conversor, controles de volume, alto-falante.")</f>
        <v>exibição, menus, sem jogos pré-carregados, há unidades de conversor, controles de volume, alto-falante.</v>
      </c>
      <c r="B39334" s="3">
        <v>0</v>
      </c>
    </row>
    <row r="39335" ht="15.75" customHeight="1" spans="1:2">
      <c r="A39335" s="3" t="str">
        <f>IFERROR(__xludf.DUMMYFUNCTION("GOOGLETRANSLATE(A39335,""en"",""pt"")"),"clareza de chamadas, bloqueio de sinal, a vida da bateria, sensação chave")</f>
        <v>clareza de chamadas, bloqueio de sinal, a vida da bateria, sensação chave</v>
      </c>
      <c r="B39335" s="3">
        <v>0</v>
      </c>
    </row>
    <row r="39336" ht="15.75" customHeight="1" spans="1:2">
      <c r="A39336" s="3" t="str">
        <f>IFERROR(__xludf.DUMMYFUNCTION("GOOGLETRANSLATE(A39336,""en"",""pt"")"),"vibração não é forte em tudo")</f>
        <v>vibração não é forte em tudo</v>
      </c>
      <c r="B39336" s="3">
        <v>0</v>
      </c>
    </row>
    <row r="39337" ht="15.75" customHeight="1" spans="1:2">
      <c r="A39337" s="3" t="str">
        <f>IFERROR(__xludf.DUMMYFUNCTION("GOOGLETRANSLATE(A39337,""en"",""pt"")"),"Manual - As funções do telefone - botões - ementa")</f>
        <v>Manual - As funções do telefone - botões - ementa</v>
      </c>
      <c r="B39337" s="3">
        <v>0</v>
      </c>
    </row>
    <row r="39338" ht="15.75" customHeight="1" spans="1:2">
      <c r="A39338" s="3" t="str">
        <f>IFERROR(__xludf.DUMMYFUNCTION("GOOGLETRANSLATE(A39338,""en"",""pt"")"),"vibrar, lavado para fora da tela, sem volume rocker, nenhuma câmara.")</f>
        <v>vibrar, lavado para fora da tela, sem volume rocker, nenhuma câmara.</v>
      </c>
      <c r="B39338" s="3">
        <v>0</v>
      </c>
    </row>
    <row r="39339" ht="15.75" customHeight="1" spans="1:2">
      <c r="A39339" s="3" t="str">
        <f>IFERROR(__xludf.DUMMYFUNCTION("GOOGLETRANSLATE(A39339,""en"",""pt"")"),"Sem suporte embutido MP3.")</f>
        <v>Sem suporte embutido MP3.</v>
      </c>
      <c r="B39339" s="3">
        <v>0</v>
      </c>
    </row>
    <row r="39340" ht="15.75" customHeight="1" spans="1:2">
      <c r="A39340" s="3" t="str">
        <f>IFERROR(__xludf.DUMMYFUNCTION("GOOGLETRANSLATE(A39340,""en"",""pt"")"),"Alguns soluços bastante menores")</f>
        <v>Alguns soluços bastante menores</v>
      </c>
      <c r="B39340" s="3">
        <v>0</v>
      </c>
    </row>
    <row r="39341" ht="15.75" customHeight="1" spans="1:2">
      <c r="A39341" s="3" t="str">
        <f>IFERROR(__xludf.DUMMYFUNCTION("GOOGLETRANSLATE(A39341,""en"",""pt"")"),"Algumas pequenas peculiaridades detalhado na revisão")</f>
        <v>Algumas pequenas peculiaridades detalhado na revisão</v>
      </c>
      <c r="B39341" s="3">
        <v>0</v>
      </c>
    </row>
    <row r="39342" ht="15.75" customHeight="1" spans="1:2">
      <c r="A39342" s="3" t="str">
        <f>IFERROR(__xludf.DUMMYFUNCTION("GOOGLETRANSLATE(A39342,""en"",""pt"")"),"vibrar, flash, antena longa stub, formato Transflash fraco")</f>
        <v>vibrar, flash, antena longa stub, formato Transflash fraco</v>
      </c>
      <c r="B39342" s="3">
        <v>0</v>
      </c>
    </row>
    <row r="39343" ht="15.75" customHeight="1" spans="1:2">
      <c r="A39343" s="3" t="str">
        <f>IFERROR(__xludf.DUMMYFUNCTION("GOOGLETRANSLATE(A39343,""en"",""pt"")"),"aparência frágil, maior do que a maioria de telefone, alguns recursos inúteis")</f>
        <v>aparência frágil, maior do que a maioria de telefone, alguns recursos inúteis</v>
      </c>
      <c r="B39343" s="3">
        <v>0</v>
      </c>
    </row>
    <row r="39344" ht="15.75" customHeight="1" spans="1:2">
      <c r="A39344" s="3" t="str">
        <f>IFERROR(__xludf.DUMMYFUNCTION("GOOGLETRANSLATE(A39344,""en"",""pt"")"),"nenhum modo analógico, modo de vibração fraca, sensação de plástico, deficientes transferências de arquivos Bluetooth, câmera fraca")</f>
        <v>nenhum modo analógico, modo de vibração fraca, sensação de plástico, deficientes transferências de arquivos Bluetooth, câmera fraca</v>
      </c>
      <c r="B39344" s="3">
        <v>0</v>
      </c>
    </row>
    <row r="39345" ht="15.75" customHeight="1" spans="1:2">
      <c r="A39345" s="3" t="str">
        <f>IFERROR(__xludf.DUMMYFUNCTION("GOOGLETRANSLATE(A39345,""en"",""pt"")"),"Telefone é um pouco pesado e não se encaixa em um bolso!")</f>
        <v>Telefone é um pouco pesado e não se encaixa em um bolso!</v>
      </c>
      <c r="B39345" s="3">
        <v>0</v>
      </c>
    </row>
    <row r="39346" ht="15.75" customHeight="1" spans="1:2">
      <c r="A39346" s="3" t="str">
        <f>IFERROR(__xludf.DUMMYFUNCTION("GOOGLETRANSLATE(A39346,""en"",""pt"")"),"Algumas características castrados, problemas de navegação pequenos e planejamento monitor externo pobres.")</f>
        <v>Algumas características castrados, problemas de navegação pequenos e planejamento monitor externo pobres.</v>
      </c>
      <c r="B39346" s="3">
        <v>0</v>
      </c>
    </row>
    <row r="39347" ht="15.75" customHeight="1" spans="1:2">
      <c r="A39347" s="3" t="str">
        <f>IFERROR(__xludf.DUMMYFUNCTION("GOOGLETRANSLATE(A39347,""en"",""pt"")"),"não pode usá-lo como um modem ou de transferência de toques ou papel de parede, tela externa fraca")</f>
        <v>não pode usá-lo como um modem ou de transferência de toques ou papel de parede, tela externa fraca</v>
      </c>
      <c r="B39347" s="3">
        <v>0</v>
      </c>
    </row>
    <row r="39348" ht="15.75" customHeight="1" spans="1:2">
      <c r="A39348" s="3" t="str">
        <f>IFERROR(__xludf.DUMMYFUNCTION("GOOGLETRANSLATE(A39348,""en"",""pt"")"),"Ambas as câmeras são de má qualidade (nada de novo para telefones celulares), carregador Motorola, vibrar fraco")</f>
        <v>Ambas as câmeras são de má qualidade (nada de novo para telefones celulares), carregador Motorola, vibrar fraco</v>
      </c>
      <c r="B39348" s="3">
        <v>0</v>
      </c>
    </row>
    <row r="39349" ht="15.75" customHeight="1" spans="1:2">
      <c r="A39349" s="3" t="str">
        <f>IFERROR(__xludf.DUMMYFUNCTION("GOOGLETRANSLATE(A39349,""en"",""pt"")"),"Perdeu a função de chamada', baixa vibração e de telefone grande / pesado")</f>
        <v>Perdeu a função de chamada', baixa vibração e de telefone grande / pesado</v>
      </c>
      <c r="B39349" s="3">
        <v>0</v>
      </c>
    </row>
    <row r="39350" ht="15.75" customHeight="1" spans="1:2">
      <c r="A39350" s="3" t="str">
        <f>IFERROR(__xludf.DUMMYFUNCTION("GOOGLETRANSLATE(A39350,""en"",""pt"")"),"Tipo de grande.")</f>
        <v>Tipo de grande.</v>
      </c>
      <c r="B39350" s="3">
        <v>0</v>
      </c>
    </row>
    <row r="39351" ht="15.75" customHeight="1" spans="1:2">
      <c r="A39351" s="3" t="str">
        <f>IFERROR(__xludf.DUMMYFUNCTION("GOOGLETRANSLATE(A39351,""en"",""pt"")"),"Ilegível, variando de Nível de Áudio, Soft Vibrar")</f>
        <v>Ilegível, variando de Nível de Áudio, Soft Vibrar</v>
      </c>
      <c r="B39351" s="3">
        <v>0</v>
      </c>
    </row>
    <row r="39352" ht="15.75" customHeight="1" spans="1:2">
      <c r="A39352" s="3" t="str">
        <f>IFERROR(__xludf.DUMMYFUNCTION("GOOGLETRANSLATE(A39352,""en"",""pt"")"),"discagem Finicky (voz / Remarcação / bluetooth) que poderia levar a momentos muito embaraçoso, não enviada para VM.")</f>
        <v>discagem Finicky (voz / Remarcação / bluetooth) que poderia levar a momentos muito embaraçoso, não enviada para VM.</v>
      </c>
      <c r="B39352" s="3">
        <v>0</v>
      </c>
    </row>
    <row r="39353" ht="15.75" customHeight="1" spans="1:2">
      <c r="A39353" s="3" t="str">
        <f>IFERROR(__xludf.DUMMYFUNCTION("GOOGLETRANSLATE(A39353,""en"",""pt"")"),"Camera é suficiente.")</f>
        <v>Camera é suficiente.</v>
      </c>
      <c r="B39353" s="3">
        <v>0</v>
      </c>
    </row>
    <row r="39354" ht="15.75" customHeight="1" spans="1:2">
      <c r="A39354" s="3" t="str">
        <f>IFERROR(__xludf.DUMMYFUNCTION("GOOGLETRANSLATE(A39354,""en"",""pt"")"),"Olha e sente barato, tempo de conversação menos do que o prometido, medidor de bateria é enganosa")</f>
        <v>Olha e sente barato, tempo de conversação menos do que o prometido, medidor de bateria é enganosa</v>
      </c>
      <c r="B39354" s="3">
        <v>0</v>
      </c>
    </row>
    <row r="39355" ht="15.75" customHeight="1" spans="1:2">
      <c r="A39355" s="3" t="str">
        <f>IFERROR(__xludf.DUMMYFUNCTION("GOOGLETRANSLATE(A39355,""en"",""pt"")"),"Requer botão excessiva empurrando para tarefas simples, como mensagens de texto. qualidade de som distorcido com fasttalkers.")</f>
        <v>Requer botão excessiva empurrando para tarefas simples, como mensagens de texto. qualidade de som distorcido com fasttalkers.</v>
      </c>
      <c r="B39355" s="3">
        <v>0</v>
      </c>
    </row>
    <row r="39356" ht="15.75" customHeight="1" spans="1:2">
      <c r="A39356" s="3" t="s">
        <v>210</v>
      </c>
      <c r="B39356" s="3">
        <v>0</v>
      </c>
    </row>
    <row r="39357" ht="15.75" customHeight="1" spans="1:2">
      <c r="A39357" s="3" t="str">
        <f>IFERROR(__xludf.DUMMYFUNCTION("GOOGLETRANSLATE(A39357,""en"",""pt"")"),"configurações do usuário; itens do menu; segurando sinal; a falta de e-mail")</f>
        <v>configurações do usuário; itens do menu; segurando sinal; a falta de e-mail</v>
      </c>
      <c r="B39357" s="3">
        <v>0</v>
      </c>
    </row>
    <row r="39358" ht="15.75" customHeight="1" spans="1:2">
      <c r="A39358" s="3" t="str">
        <f>IFERROR(__xludf.DUMMYFUNCTION("GOOGLETRANSLATE(A39358,""en"",""pt"")"),"A qualidade do som é horrível")</f>
        <v>A qualidade do som é horrível</v>
      </c>
      <c r="B39358" s="3">
        <v>0</v>
      </c>
    </row>
    <row r="39359" ht="15.75" customHeight="1" spans="1:2">
      <c r="A39359" s="3" t="str">
        <f>IFERROR(__xludf.DUMMYFUNCTION("GOOGLETRANSLATE(A39359,""en"",""pt"")"),"problemas de bateria crônicas com este modelo")</f>
        <v>problemas de bateria crônicas com este modelo</v>
      </c>
      <c r="B39359" s="3">
        <v>0</v>
      </c>
    </row>
    <row r="39360" ht="15.75" customHeight="1" spans="1:2">
      <c r="A39360" s="3" t="str">
        <f>IFERROR(__xludf.DUMMYFUNCTION("GOOGLETRANSLATE(A39360,""en"",""pt"")"),"Este modelo de telefone da Motorola não é o seu melhor, gotas chamadas.")</f>
        <v>Este modelo de telefone da Motorola não é o seu melhor, gotas chamadas.</v>
      </c>
      <c r="B39360" s="3">
        <v>0</v>
      </c>
    </row>
    <row r="39361" ht="15.75" customHeight="1" spans="1:2">
      <c r="A39361" s="3" t="str">
        <f>IFERROR(__xludf.DUMMYFUNCTION("GOOGLETRANSLATE(A39361,""en"",""pt"")"),"Pena que você não pode usar 40GB Flash para MP3.")</f>
        <v>Pena que você não pode usar 40GB Flash para MP3.</v>
      </c>
      <c r="B39361" s="3">
        <v>0</v>
      </c>
    </row>
    <row r="39362" ht="15.75" customHeight="1" spans="1:2">
      <c r="A39362" s="3" t="str">
        <f>IFERROR(__xludf.DUMMYFUNCTION("GOOGLETRANSLATE(A39362,""en"",""pt"")"),"vibrar, nome da discagem por voz")</f>
        <v>vibrar, nome da discagem por voz</v>
      </c>
      <c r="B39362" s="3">
        <v>0</v>
      </c>
    </row>
    <row r="39363" ht="15.75" customHeight="1" spans="1:2">
      <c r="A39363" s="3" t="str">
        <f>IFERROR(__xludf.DUMMYFUNCTION("GOOGLETRANSLATE(A39363,""en"",""pt"")"),"menu de congelamento, controle de toque do telefone exterior, chamadas falhadas, suga sobre tudo")</f>
        <v>menu de congelamento, controle de toque do telefone exterior, chamadas falhadas, suga sobre tudo</v>
      </c>
      <c r="B39363" s="3">
        <v>0</v>
      </c>
    </row>
    <row r="39364" ht="15.75" customHeight="1" spans="1:2">
      <c r="A39364" s="3" t="str">
        <f>IFERROR(__xludf.DUMMYFUNCTION("GOOGLETRANSLATE(A39364,""en"",""pt"")"),"confiabilidade geral, a tela parece confuso.")</f>
        <v>confiabilidade geral, a tela parece confuso.</v>
      </c>
      <c r="B39364" s="3">
        <v>0</v>
      </c>
    </row>
    <row r="39365" ht="15.75" customHeight="1" spans="1:2">
      <c r="A39365" s="3" t="str">
        <f>IFERROR(__xludf.DUMMYFUNCTION("GOOGLETRANSLATE(A39365,""en"",""pt"")"),"Características Verizon pessoas com mobilidade condicionada")</f>
        <v>Características Verizon pessoas com mobilidade condicionada</v>
      </c>
      <c r="B39365" s="3">
        <v>0</v>
      </c>
    </row>
    <row r="39366" ht="15.75" customHeight="1" spans="1:2">
      <c r="A39366" s="3" t="str">
        <f>IFERROR(__xludf.DUMMYFUNCTION("GOOGLETRANSLATE(A39366,""en"",""pt"")"),"telinha para web móvel")</f>
        <v>telinha para web móvel</v>
      </c>
      <c r="B39366" s="3">
        <v>0</v>
      </c>
    </row>
    <row r="39367" ht="15.75" customHeight="1" spans="1:2">
      <c r="A39367" s="3" t="str">
        <f>IFERROR(__xludf.DUMMYFUNCTION("GOOGLETRANSLATE(A39367,""en"",""pt"")"),"Minha operadora desativado o conjunto completo de recursos (OBEX). campo ""LOCATION"" está faltando no calendário.")</f>
        <v>Minha operadora desativado o conjunto completo de recursos (OBEX). campo "LOCATION" está faltando no calendário.</v>
      </c>
      <c r="B39367" s="3">
        <v>0</v>
      </c>
    </row>
    <row r="39368" ht="15.75" customHeight="1" spans="1:2">
      <c r="A39368" s="3" t="str">
        <f>IFERROR(__xludf.DUMMYFUNCTION("GOOGLETRANSLATE(A39368,""en"",""pt"")"),"Bluetooth não tão poderoso quanto poderia ser. cabo de dados difíceis de encontrar.")</f>
        <v>Bluetooth não tão poderoso quanto poderia ser. cabo de dados difíceis de encontrar.</v>
      </c>
      <c r="B39368" s="3">
        <v>0</v>
      </c>
    </row>
    <row r="39369" ht="15.75" customHeight="1" spans="1:2">
      <c r="A39369" s="3" t="str">
        <f>IFERROR(__xludf.DUMMYFUNCTION("GOOGLETRANSLATE(A39369,""en"",""pt"")"),"TUDO MAIS: bateria, eco, facilidade de uso ...")</f>
        <v>TUDO MAIS: bateria, eco, facilidade de uso ...</v>
      </c>
      <c r="B39369" s="3">
        <v>0</v>
      </c>
    </row>
    <row r="39370" ht="15.75" customHeight="1" spans="1:2">
      <c r="A39370" s="3" t="str">
        <f>IFERROR(__xludf.DUMMYFUNCTION("GOOGLETRANSLATE(A39370,""en"",""pt"")"),"as chaves começam a skuff o corpo, mau design.")</f>
        <v>as chaves começam a skuff o corpo, mau design.</v>
      </c>
      <c r="B39370" s="3">
        <v>0</v>
      </c>
    </row>
    <row r="39371" ht="15.75" customHeight="1" spans="1:2">
      <c r="A39371" s="3" t="str">
        <f>IFERROR(__xludf.DUMMYFUNCTION("GOOGLETRANSLATE(A39371,""en"",""pt"")"),"Má recepção, tela ruim, a vida da bateria horrível.")</f>
        <v>Má recepção, tela ruim, a vida da bateria horrível.</v>
      </c>
      <c r="B39371" s="3">
        <v>0</v>
      </c>
    </row>
    <row r="39372" ht="15.75" customHeight="1" spans="1:2">
      <c r="A39372" s="3" t="str">
        <f>IFERROR(__xludf.DUMMYFUNCTION("GOOGLETRANSLATE(A39372,""en"",""pt"")"),"Fácil de quebrar / design desgaste carregador, telefone congela e atrasos, por vezes,")</f>
        <v>Fácil de quebrar / design desgaste carregador, telefone congela e atrasos, por vezes,</v>
      </c>
      <c r="B39372" s="3">
        <v>0</v>
      </c>
    </row>
    <row r="39373" ht="15.75" customHeight="1" spans="1:2">
      <c r="A39373" s="3" t="str">
        <f>IFERROR(__xludf.DUMMYFUNCTION("GOOGLETRANSLATE(A39373,""en"",""pt"")"),"VIBRATE FRACO! Eu nunca pode sentir a vibração neste telefone!")</f>
        <v>VIBRATE FRACO! Eu nunca pode sentir a vibração neste telefone!</v>
      </c>
      <c r="B39373" s="3">
        <v>0</v>
      </c>
    </row>
    <row r="39374" ht="15.75" customHeight="1" spans="1:2">
      <c r="A39374" s="3" t="str">
        <f>IFERROR(__xludf.DUMMYFUNCTION("GOOGLETRANSLATE(A39374,""en"",""pt"")"),"A vida da bateria, o tamanho do telefone LG, frágil quando aberta, muitos recursos")</f>
        <v>A vida da bateria, o tamanho do telefone LG, frágil quando aberta, muitos recursos</v>
      </c>
      <c r="B39374" s="3">
        <v>0</v>
      </c>
    </row>
    <row r="39375" ht="15.75" customHeight="1" spans="1:2">
      <c r="A39375" s="3" t="str">
        <f>IFERROR(__xludf.DUMMYFUNCTION("GOOGLETRANSLATE(A39375,""en"",""pt"")"),"Apenas carregador incluído, Vibrar é fraco,")</f>
        <v>Apenas carregador incluído, Vibrar é fraco,</v>
      </c>
      <c r="B39375" s="3">
        <v>0</v>
      </c>
    </row>
    <row r="39376" ht="15.75" customHeight="1" spans="1:2">
      <c r="A39376" s="3" t="str">
        <f>IFERROR(__xludf.DUMMYFUNCTION("GOOGLETRANSLATE(A39376,""en"",""pt"")"),"Veja o comentário Acima")</f>
        <v>Veja o comentário Acima</v>
      </c>
      <c r="B39376" s="3">
        <v>0</v>
      </c>
    </row>
    <row r="39377" ht="15.75" customHeight="1" spans="1:2">
      <c r="A39377" s="3" t="str">
        <f>IFERROR(__xludf.DUMMYFUNCTION("GOOGLETRANSLATE(A39377,""en"",""pt"")"),"A volumosa bit. Eu realmente não consigo pensar em muito mais!")</f>
        <v>A volumosa bit. Eu realmente não consigo pensar em muito mais!</v>
      </c>
      <c r="B39377" s="3">
        <v>0</v>
      </c>
    </row>
    <row r="39378" ht="15.75" customHeight="1" spans="1:2">
      <c r="A39378" s="3" t="str">
        <f>IFERROR(__xludf.DUMMYFUNCTION("GOOGLETRANSLATE(A39378,""en"",""pt"")"),"Pouco volumoso, mas cabe facilmente no bolso .... outras que nada mais")</f>
        <v>Pouco volumoso, mas cabe facilmente no bolso .... outras que nada mais</v>
      </c>
      <c r="B39378" s="3">
        <v>0</v>
      </c>
    </row>
    <row r="39379" ht="15.75" customHeight="1" spans="1:2">
      <c r="A39379" s="3" t="str">
        <f>IFERROR(__xludf.DUMMYFUNCTION("GOOGLETRANSLATE(A39379,""en"",""pt"")"),"LEMONNNNNNN. tamanho, peso, tudo o que eu mencionei na revisão.")</f>
        <v>LEMONNNNNNN. tamanho, peso, tudo o que eu mencionei na revisão.</v>
      </c>
      <c r="B39379" s="3">
        <v>0</v>
      </c>
    </row>
    <row r="39380" ht="15.75" customHeight="1" spans="1:2">
      <c r="A39380" s="3" t="str">
        <f>IFERROR(__xludf.DUMMYFUNCTION("GOOGLETRANSLATE(A39380,""en"",""pt"")"),"Medíocre mediocridade, mal pensado através do design.")</f>
        <v>Medíocre mediocridade, mal pensado através do design.</v>
      </c>
      <c r="B39380" s="3">
        <v>0</v>
      </c>
    </row>
    <row r="39381" ht="15.75" customHeight="1" spans="1:2">
      <c r="A39381" s="3" t="str">
        <f>IFERROR(__xludf.DUMMYFUNCTION("GOOGLETRANSLATE(A39381,""en"",""pt"")"),"tamanho grande, falhas de projeto menor (não ergonômico)")</f>
        <v>tamanho grande, falhas de projeto menor (não ergonômico)</v>
      </c>
      <c r="B39381" s="3">
        <v>0</v>
      </c>
    </row>
    <row r="39382" ht="15.75" customHeight="1" spans="1:2">
      <c r="A39382" s="3" t="str">
        <f>IFERROR(__xludf.DUMMYFUNCTION("GOOGLETRANSLATE(A39382,""en"",""pt"")"),"Volumoso, nenhuma câmera de vídeo, sistema de mensagens de texto")</f>
        <v>Volumoso, nenhuma câmera de vídeo, sistema de mensagens de texto</v>
      </c>
      <c r="B39382" s="3">
        <v>0</v>
      </c>
    </row>
    <row r="39383" ht="15.75" customHeight="1" spans="1:2">
      <c r="A39383" s="3" t="str">
        <f>IFERROR(__xludf.DUMMYFUNCTION("GOOGLETRANSLATE(A39383,""en"",""pt"")"),"Tamanho, a vida da bateria, BAD, software BAD.")</f>
        <v>Tamanho, a vida da bateria, BAD, software BAD.</v>
      </c>
      <c r="B39383" s="3">
        <v>0</v>
      </c>
    </row>
    <row r="39384" ht="15.75" customHeight="1" spans="1:2">
      <c r="A39384" s="3" t="str">
        <f>IFERROR(__xludf.DUMMYFUNCTION("GOOGLETRANSLATE(A39384,""en"",""pt"")"),"Não há perfis programáveis, implementação voicetag extremamente pobre, a vida da bateria, a falta de UMTS 1900 (US).")</f>
        <v>Não há perfis programáveis, implementação voicetag extremamente pobre, a vida da bateria, a falta de UMTS 1900 (US).</v>
      </c>
      <c r="B39384" s="3">
        <v>0</v>
      </c>
    </row>
    <row r="39385" ht="15.75" customHeight="1" spans="1:2">
      <c r="A39385" s="3" t="str">
        <f>IFERROR(__xludf.DUMMYFUNCTION("GOOGLETRANSLATE(A39385,""en"",""pt"")"),"Camera não é perfeito, a vida da bateria é boa, mas não é grande, é lento às vezes")</f>
        <v>Camera não é perfeito, a vida da bateria é boa, mas não é grande, é lento às vezes</v>
      </c>
      <c r="B39385" s="3">
        <v>0</v>
      </c>
    </row>
    <row r="39386" ht="15.75" customHeight="1" spans="1:2">
      <c r="A39386" s="3" t="str">
        <f>IFERROR(__xludf.DUMMYFUNCTION("GOOGLETRANSLATE(A39386,""en"",""pt"")"),"Congela-se, Par vida útil da bateria, o aborto da cronometrado-profile")</f>
        <v>Congela-se, Par vida útil da bateria, o aborto da cronometrado-profile</v>
      </c>
      <c r="B39386" s="3">
        <v>0</v>
      </c>
    </row>
    <row r="39387" ht="15.75" customHeight="1" spans="1:2">
      <c r="A39387" s="3" t="str">
        <f>IFERROR(__xludf.DUMMYFUNCTION("GOOGLETRANSLATE(A39387,""en"",""pt"")"),"Lentidão, serviço inadequada, flash péssimo, curta duração da bateria")</f>
        <v>Lentidão, serviço inadequada, flash péssimo, curta duração da bateria</v>
      </c>
      <c r="B39387" s="3">
        <v>0</v>
      </c>
    </row>
    <row r="39388" ht="15.75" customHeight="1" spans="1:2">
      <c r="A39388" s="3" t="str">
        <f>IFERROR(__xludf.DUMMYFUNCTION("GOOGLETRANSLATE(A39388,""en"",""pt"")"),"desempenho Lowlight câmera, menu de navegação lenta, a qualidade do modo de filme, deslizando tampa da câmera, a vida da bateria")</f>
        <v>desempenho Lowlight câmera, menu de navegação lenta, a qualidade do modo de filme, deslizando tampa da câmera, a vida da bateria</v>
      </c>
      <c r="B39388" s="3">
        <v>0</v>
      </c>
    </row>
    <row r="39389" ht="15.75" customHeight="1" spans="1:2">
      <c r="A39389" s="3" t="str">
        <f>IFERROR(__xludf.DUMMYFUNCTION("GOOGLETRANSLATE(A39389,""en"",""pt"")"),"Fácil de usar, econômico!")</f>
        <v>Fácil de usar, econômico!</v>
      </c>
      <c r="B39389" s="3">
        <v>1</v>
      </c>
    </row>
    <row r="39390" ht="15.75" customHeight="1" spans="1:2">
      <c r="A39390" s="3" t="str">
        <f>IFERROR(__xludf.DUMMYFUNCTION("GOOGLETRANSLATE(A39390,""en"",""pt"")"),"Digital é onde está ... se com o desenvolvimento de filme!")</f>
        <v>Digital é onde está ... se com o desenvolvimento de filme!</v>
      </c>
      <c r="B39390" s="3">
        <v>1</v>
      </c>
    </row>
    <row r="39391" ht="15.75" customHeight="1" spans="1:2">
      <c r="A39391" s="3" t="str">
        <f>IFERROR(__xludf.DUMMYFUNCTION("GOOGLETRANSLATE(A39391,""en"",""pt"")"),"Boa qualidade de imagem, zoom óptico 3x, modo macro, barato")</f>
        <v>Boa qualidade de imagem, zoom óptico 3x, modo macro, barato</v>
      </c>
      <c r="B39391" s="3">
        <v>1</v>
      </c>
    </row>
    <row r="39392" ht="15.75" customHeight="1" spans="1:2">
      <c r="A39392" s="3" t="str">
        <f>IFERROR(__xludf.DUMMYFUNCTION("GOOGLETRANSLATE(A39392,""en"",""pt"")"),"características impressionantes / fácil de usar / fun / versátil preço / baixo / Cust SVS 2 2 nenhum!")</f>
        <v>características impressionantes / fácil de usar / fun / versátil preço / baixo / Cust SVS 2 2 nenhum!</v>
      </c>
      <c r="B39392" s="3">
        <v>1</v>
      </c>
    </row>
    <row r="39393" ht="15.75" customHeight="1" spans="1:2">
      <c r="A39393" s="3" t="str">
        <f>IFERROR(__xludf.DUMMYFUNCTION("GOOGLETRANSLATE(A39393,""en"",""pt"")"),"intuitivo, fácil de usar")</f>
        <v>intuitivo, fácil de usar</v>
      </c>
      <c r="B39393" s="3">
        <v>1</v>
      </c>
    </row>
    <row r="39394" ht="15.75" customHeight="1" spans="1:2">
      <c r="A39394" s="3" t="str">
        <f>IFERROR(__xludf.DUMMYFUNCTION("GOOGLETRANSLATE(A39394,""en"",""pt"")"),"Simples, Flexable, Confiável")</f>
        <v>Simples, Flexable, Confiável</v>
      </c>
      <c r="B39394" s="3">
        <v>1</v>
      </c>
    </row>
    <row r="39395" ht="15.75" customHeight="1" spans="1:2">
      <c r="A39395" s="3" t="str">
        <f>IFERROR(__xludf.DUMMYFUNCTION("GOOGLETRANSLATE(A39395,""en"",""pt"")"),"vida útil da bateria, velocidade de download")</f>
        <v>vida útil da bateria, velocidade de download</v>
      </c>
      <c r="B39395" s="3">
        <v>1</v>
      </c>
    </row>
    <row r="39396" ht="15.75" customHeight="1" spans="1:2">
      <c r="A39396" s="3" t="str">
        <f>IFERROR(__xludf.DUMMYFUNCTION("GOOGLETRANSLATE(A39396,""en"",""pt"")"),"qualidade Agfa em uma pequena caixa, ótimo para tampo da mesa e testes")</f>
        <v>qualidade Agfa em uma pequena caixa, ótimo para tampo da mesa e testes</v>
      </c>
      <c r="B39396" s="3">
        <v>1</v>
      </c>
    </row>
    <row r="39397" ht="15.75" customHeight="1" spans="1:2">
      <c r="A39397" s="3" t="str">
        <f>IFERROR(__xludf.DUMMYFUNCTION("GOOGLETRANSLATE(A39397,""en"",""pt"")"),"A qualidade da imagem, preço, link de vídeo")</f>
        <v>A qualidade da imagem, preço, link de vídeo</v>
      </c>
      <c r="B39397" s="3">
        <v>1</v>
      </c>
    </row>
    <row r="39398" ht="15.75" customHeight="1" spans="1:2">
      <c r="A39398" s="3" t="str">
        <f>IFERROR(__xludf.DUMMYFUNCTION("GOOGLETRANSLATE(A39398,""en"",""pt"")"),"Não extras para comprar, muito flexível, de alta qualidade Imagens, Bom Software")</f>
        <v>Não extras para comprar, muito flexível, de alta qualidade Imagens, Bom Software</v>
      </c>
      <c r="B39398" s="3">
        <v>1</v>
      </c>
    </row>
    <row r="39399" ht="15.75" customHeight="1" spans="1:2">
      <c r="A39399" s="3" t="str">
        <f>IFERROR(__xludf.DUMMYFUNCTION("GOOGLETRANSLATE(A39399,""en"",""pt"")"),"simplicidade")</f>
        <v>simplicidade</v>
      </c>
      <c r="B39399" s="3">
        <v>1</v>
      </c>
    </row>
    <row r="39400" ht="15.75" customHeight="1" spans="1:2">
      <c r="A39400" s="3" t="str">
        <f>IFERROR(__xludf.DUMMYFUNCTION("GOOGLETRANSLATE(A39400,""en"",""pt"")"),"Vem com software, bom preço, excelente imagens.")</f>
        <v>Vem com software, bom preço, excelente imagens.</v>
      </c>
      <c r="B39400" s="3">
        <v>1</v>
      </c>
    </row>
    <row r="39401" ht="15.75" customHeight="1" spans="1:2">
      <c r="A39401" s="3" t="str">
        <f>IFERROR(__xludf.DUMMYFUNCTION("GOOGLETRANSLATE(A39401,""en"",""pt"")"),"Limpar as fotos")</f>
        <v>Limpar as fotos</v>
      </c>
      <c r="B39401" s="3">
        <v>1</v>
      </c>
    </row>
    <row r="39402" ht="15.75" customHeight="1" spans="1:2">
      <c r="A39402" s="3" t="str">
        <f>IFERROR(__xludf.DUMMYFUNCTION("GOOGLETRANSLATE(A39402,""en"",""pt"")"),"Preço, Acima de tudo Desempenho, Características do Zoom")</f>
        <v>Preço, Acima de tudo Desempenho, Características do Zoom</v>
      </c>
      <c r="B39402" s="3">
        <v>1</v>
      </c>
    </row>
    <row r="39403" ht="15.75" customHeight="1" spans="1:2">
      <c r="A39403" s="3" t="str">
        <f>IFERROR(__xludf.DUMMYFUNCTION("GOOGLETRANSLATE(A39403,""en"",""pt"")"),"claro, imagem srisp, câmera durável, boa desing, características agradáveis")</f>
        <v>claro, imagem srisp, câmera durável, boa desing, características agradáveis</v>
      </c>
      <c r="B39403" s="3">
        <v>1</v>
      </c>
    </row>
    <row r="39404" ht="15.75" customHeight="1" spans="1:2">
      <c r="A39404" s="3" t="str">
        <f>IFERROR(__xludf.DUMMYFUNCTION("GOOGLETRANSLATE(A39404,""en"",""pt"")"),"Barato em comparação com alguns")</f>
        <v>Barato em comparação com alguns</v>
      </c>
      <c r="B39404" s="3">
        <v>1</v>
      </c>
    </row>
    <row r="39405" ht="15.75" customHeight="1" spans="1:2">
      <c r="A39405" s="3" t="str">
        <f>IFERROR(__xludf.DUMMYFUNCTION("GOOGLETRANSLATE(A39405,""en"",""pt"")"),"Excelente qualidade de imagem, lente giratória, muitas opções")</f>
        <v>Excelente qualidade de imagem, lente giratória, muitas opções</v>
      </c>
      <c r="B39405" s="3">
        <v>1</v>
      </c>
    </row>
    <row r="39406" ht="15.75" customHeight="1" spans="1:2">
      <c r="A39406" s="3" t="str">
        <f>IFERROR(__xludf.DUMMYFUNCTION("GOOGLETRANSLATE(A39406,""en"",""pt"")"),"controles muito simples e uma ampla gama de recursos")</f>
        <v>controles muito simples e uma ampla gama de recursos</v>
      </c>
      <c r="B39406" s="3">
        <v>1</v>
      </c>
    </row>
    <row r="39407" ht="15.75" customHeight="1" spans="1:2">
      <c r="A39407" s="3" t="str">
        <f>IFERROR(__xludf.DUMMYFUNCTION("GOOGLETRANSLATE(A39407,""en"",""pt"")"),"Ótima câmera, fácil de usar, boa aparência, imagens de alta qualidade.")</f>
        <v>Ótima câmera, fácil de usar, boa aparência, imagens de alta qualidade.</v>
      </c>
      <c r="B39407" s="3">
        <v>1</v>
      </c>
    </row>
    <row r="39408" ht="15.75" customHeight="1" spans="1:2">
      <c r="A39408" s="3" t="str">
        <f>IFERROR(__xludf.DUMMYFUNCTION("GOOGLETRANSLATE(A39408,""en"",""pt"")"),"qualidade megapixel, fácil de usar")</f>
        <v>qualidade megapixel, fácil de usar</v>
      </c>
      <c r="B39408" s="3">
        <v>1</v>
      </c>
    </row>
    <row r="39409" ht="15.75" customHeight="1" spans="1:2">
      <c r="A39409" s="3" t="str">
        <f>IFERROR(__xludf.DUMMYFUNCTION("GOOGLETRANSLATE(A39409,""en"",""pt"")"),"durável, fácil de usar")</f>
        <v>durável, fácil de usar</v>
      </c>
      <c r="B39409" s="3">
        <v>1</v>
      </c>
    </row>
    <row r="39410" ht="15.75" customHeight="1" spans="1:2">
      <c r="A39410" s="3" t="str">
        <f>IFERROR(__xludf.DUMMYFUNCTION("GOOGLETRANSLATE(A39410,""en"",""pt"")"),"Nítidas, as imagens.")</f>
        <v>Nítidas, as imagens.</v>
      </c>
      <c r="B39410" s="3">
        <v>1</v>
      </c>
    </row>
    <row r="39411" ht="15.75" customHeight="1" spans="1:2">
      <c r="A39411" s="3" t="str">
        <f>IFERROR(__xludf.DUMMYFUNCTION("GOOGLETRANSLATE(A39411,""en"",""pt"")"),"Facilidade de uso, imagens de qualidade.")</f>
        <v>Facilidade de uso, imagens de qualidade.</v>
      </c>
      <c r="B39411" s="3">
        <v>1</v>
      </c>
    </row>
    <row r="39412" ht="15.75" customHeight="1" spans="1:2">
      <c r="A39412" s="3" t="str">
        <f>IFERROR(__xludf.DUMMYFUNCTION("GOOGLETRANSLATE(A39412,""en"",""pt"")"),"qualidade pic, meios espertos, preço")</f>
        <v>qualidade pic, meios espertos, preço</v>
      </c>
      <c r="B39412" s="3">
        <v>1</v>
      </c>
    </row>
    <row r="39413" ht="15.75" customHeight="1" spans="1:2">
      <c r="A39413" s="3" t="str">
        <f>IFERROR(__xludf.DUMMYFUNCTION("GOOGLETRANSLATE(A39413,""en"",""pt"")"),"qualidade megapixel, fácil de usar")</f>
        <v>qualidade megapixel, fácil de usar</v>
      </c>
      <c r="B39413" s="3">
        <v>1</v>
      </c>
    </row>
    <row r="39414" ht="15.75" customHeight="1" spans="1:2">
      <c r="A39414" s="3" t="str">
        <f>IFERROR(__xludf.DUMMYFUNCTION("GOOGLETRANSLATE(A39414,""en"",""pt"")"),"Fácil de usar, tem grandes figuras, cheio de recursos.")</f>
        <v>Fácil de usar, tem grandes figuras, cheio de recursos.</v>
      </c>
      <c r="B39414" s="3">
        <v>1</v>
      </c>
    </row>
    <row r="39415" ht="15.75" customHeight="1" spans="1:2">
      <c r="A39415" s="3" t="str">
        <f>IFERROR(__xludf.DUMMYFUNCTION("GOOGLETRANSLATE(A39415,""en"",""pt"")"),"Saturada, imagens nítidas em todas as resoluções, corpo toque de estilo")</f>
        <v>Saturada, imagens nítidas em todas as resoluções, corpo toque de estilo</v>
      </c>
      <c r="B39415" s="3">
        <v>1</v>
      </c>
    </row>
    <row r="39416" ht="15.75" customHeight="1" spans="1:2">
      <c r="A39416" s="3" t="str">
        <f>IFERROR(__xludf.DUMMYFUNCTION("GOOGLETRANSLATE(A39416,""en"",""pt"")"),"fotos muito claras")</f>
        <v>fotos muito claras</v>
      </c>
      <c r="B39416" s="3">
        <v>1</v>
      </c>
    </row>
    <row r="39417" ht="15.75" customHeight="1" spans="1:2">
      <c r="A39417" s="3" t="str">
        <f>IFERROR(__xludf.DUMMYFUNCTION("GOOGLETRANSLATE(A39417,""en"",""pt"")"),"baterias Nickle hidreto, facilidade de uso, excelente reprodução de cores")</f>
        <v>baterias Nickle hidreto, facilidade de uso, excelente reprodução de cores</v>
      </c>
      <c r="B39417" s="3">
        <v>1</v>
      </c>
    </row>
    <row r="39418" ht="15.75" customHeight="1" spans="1:2">
      <c r="A39418" s="3" t="str">
        <f>IFERROR(__xludf.DUMMYFUNCTION("GOOGLETRANSLATE(A39418,""en"",""pt"")"),"A qualidade da imagem, o corpo de torção")</f>
        <v>A qualidade da imagem, o corpo de torção</v>
      </c>
      <c r="B39418" s="3">
        <v>1</v>
      </c>
    </row>
    <row r="39419" ht="15.75" customHeight="1" spans="1:2">
      <c r="A39419" s="3" t="str">
        <f>IFERROR(__xludf.DUMMYFUNCTION("GOOGLETRANSLATE(A39419,""en"",""pt"")"),"fotos perfeitas, longa-focus, fácil de usar, um monte de recursos, um bom software")</f>
        <v>fotos perfeitas, longa-focus, fácil de usar, um monte de recursos, um bom software</v>
      </c>
      <c r="B39419" s="3">
        <v>1</v>
      </c>
    </row>
    <row r="39420" ht="15.75" customHeight="1" spans="1:2">
      <c r="A39420" s="3" t="str">
        <f>IFERROR(__xludf.DUMMYFUNCTION("GOOGLETRANSLATE(A39420,""en"",""pt"")"),"Fácil de usar, elegante, boa qualidade de imagem, bom preço, boa companhia.")</f>
        <v>Fácil de usar, elegante, boa qualidade de imagem, bom preço, boa companhia.</v>
      </c>
      <c r="B39420" s="3">
        <v>1</v>
      </c>
    </row>
    <row r="39421" ht="15.75" customHeight="1" spans="1:2">
      <c r="A39421" s="3" t="str">
        <f>IFERROR(__xludf.DUMMYFUNCTION("GOOGLETRANSLATE(A39421,""en"",""pt"")"),"Boas fotos de qualidade por um preço baixo, grande primeira câmera")</f>
        <v>Boas fotos de qualidade por um preço baixo, grande primeira câmera</v>
      </c>
      <c r="B39421" s="3">
        <v>1</v>
      </c>
    </row>
    <row r="39422" ht="15.75" customHeight="1" spans="1:2">
      <c r="A39422" s="3" t="str">
        <f>IFERROR(__xludf.DUMMYFUNCTION("GOOGLETRANSLATE(A39422,""en"",""pt"")"),"Esta câmara é um bom fácil de câmera uso.")</f>
        <v>Esta câmara é um bom fácil de câmera uso.</v>
      </c>
      <c r="B39422" s="3">
        <v>1</v>
      </c>
    </row>
    <row r="39423" ht="15.75" customHeight="1" spans="1:2">
      <c r="A39423" s="3" t="str">
        <f>IFERROR(__xludf.DUMMYFUNCTION("GOOGLETRANSLATE(A39423,""en"",""pt"")"),"Tem grandes figuras")</f>
        <v>Tem grandes figuras</v>
      </c>
      <c r="B39423" s="3">
        <v>1</v>
      </c>
    </row>
    <row r="39424" ht="15.75" customHeight="1" spans="1:2">
      <c r="A39424" s="3" t="str">
        <f>IFERROR(__xludf.DUMMYFUNCTION("GOOGLETRANSLATE(A39424,""en"",""pt"")"),"fotos de baixo custo e claras")</f>
        <v>fotos de baixo custo e claras</v>
      </c>
      <c r="B39424" s="3">
        <v>1</v>
      </c>
    </row>
    <row r="39425" ht="15.75" customHeight="1" spans="1:2">
      <c r="A39425" s="3" t="str">
        <f>IFERROR(__xludf.DUMMYFUNCTION("GOOGLETRANSLATE(A39425,""en"",""pt"")"),"Câmera é muito fácil de aprender e usar.")</f>
        <v>Câmera é muito fácil de aprender e usar.</v>
      </c>
      <c r="B39425" s="3">
        <v>1</v>
      </c>
    </row>
    <row r="39426" ht="15.75" customHeight="1" spans="1:2">
      <c r="A39426" s="3" t="str">
        <f>IFERROR(__xludf.DUMMYFUNCTION("GOOGLETRANSLATE(A39426,""en"",""pt"")"),"filme extra, levou para visualização de imagens, o software é fácil de usar, design elegante")</f>
        <v>filme extra, levou para visualização de imagens, o software é fácil de usar, design elegante</v>
      </c>
      <c r="B39426" s="3">
        <v>1</v>
      </c>
    </row>
    <row r="39427" ht="15.75" customHeight="1" spans="1:2">
      <c r="A39427" s="3" t="str">
        <f>IFERROR(__xludf.DUMMYFUNCTION("GOOGLETRANSLATE(A39427,""en"",""pt"")"),"Fácil de usar, ótimas fotos")</f>
        <v>Fácil de usar, ótimas fotos</v>
      </c>
      <c r="B39427" s="3">
        <v>1</v>
      </c>
    </row>
    <row r="39428" ht="15.75" customHeight="1" spans="1:2">
      <c r="A39428" s="3" t="str">
        <f>IFERROR(__xludf.DUMMYFUNCTION("GOOGLETRANSLATE(A39428,""en"",""pt"")"),"Fácil de usar; revisão instantânea; barato")</f>
        <v>Fácil de usar; revisão instantânea; barato</v>
      </c>
      <c r="B39428" s="3">
        <v>1</v>
      </c>
    </row>
    <row r="39429" ht="15.75" customHeight="1" spans="1:2">
      <c r="A39429" s="3" t="str">
        <f>IFERROR(__xludf.DUMMYFUNCTION("GOOGLETRANSLATE(A39429,""en"",""pt"")"),"barato")</f>
        <v>barato</v>
      </c>
      <c r="B39429" s="3">
        <v>1</v>
      </c>
    </row>
    <row r="39430" ht="15.75" customHeight="1" spans="1:2">
      <c r="A39430" s="3" t="str">
        <f>IFERROR(__xludf.DUMMYFUNCTION("GOOGLETRANSLATE(A39430,""en"",""pt"")"),"Barato, de boa qualidade, fácil de usar")</f>
        <v>Barato, de boa qualidade, fácil de usar</v>
      </c>
      <c r="B39430" s="3">
        <v>1</v>
      </c>
    </row>
    <row r="39431" ht="15.75" customHeight="1" spans="1:2">
      <c r="A39431" s="3" t="str">
        <f>IFERROR(__xludf.DUMMYFUNCTION("GOOGLETRANSLATE(A39431,""en"",""pt"")"),"Pictures qualidade aceitável. quantidade razoável de opções.")</f>
        <v>Pictures qualidade aceitável. quantidade razoável de opções.</v>
      </c>
      <c r="B39431" s="3">
        <v>1</v>
      </c>
    </row>
    <row r="39432" ht="15.75" customHeight="1" spans="1:2">
      <c r="A39432" s="3" t="str">
        <f>IFERROR(__xludf.DUMMYFUNCTION("GOOGLETRANSLATE(A39432,""en"",""pt"")"),"Baixo preço, fácil de usar. fotos de qualidade.")</f>
        <v>Baixo preço, fácil de usar. fotos de qualidade.</v>
      </c>
      <c r="B39432" s="3">
        <v>1</v>
      </c>
    </row>
    <row r="39433" ht="15.75" customHeight="1" spans="1:2">
      <c r="A39433" s="3" t="str">
        <f>IFERROR(__xludf.DUMMYFUNCTION("GOOGLETRANSLATE(A39433,""en"",""pt"")"),"Baixo preço, 4 níveis de resolução, EZ para uso")</f>
        <v>Baixo preço, 4 níveis de resolução, EZ para uso</v>
      </c>
      <c r="B39433" s="3">
        <v>1</v>
      </c>
    </row>
    <row r="39434" ht="15.75" customHeight="1" spans="1:2">
      <c r="A39434" s="3" t="str">
        <f>IFERROR(__xludf.DUMMYFUNCTION("GOOGLETRANSLATE(A39434,""en"",""pt"")"),"Nenhum")</f>
        <v>Nenhum</v>
      </c>
      <c r="B39434" s="3">
        <v>1</v>
      </c>
    </row>
    <row r="39435" ht="15.75" customHeight="1" spans="1:2">
      <c r="A39435" s="3" t="str">
        <f>IFERROR(__xludf.DUMMYFUNCTION("GOOGLETRANSLATE(A39435,""en"",""pt"")"),"Fácil de usar, fabuloso qualidade de imagem, muitos recursos")</f>
        <v>Fácil de usar, fabuloso qualidade de imagem, muitos recursos</v>
      </c>
      <c r="B39435" s="3">
        <v>1</v>
      </c>
    </row>
    <row r="39436" ht="15.75" customHeight="1" spans="1:2">
      <c r="A39436" s="3" t="str">
        <f>IFERROR(__xludf.DUMMYFUNCTION("GOOGLETRANSLATE(A39436,""en"",""pt"")"),"robusto, fácil de usar,")</f>
        <v>robusto, fácil de usar,</v>
      </c>
      <c r="B39436" s="3">
        <v>1</v>
      </c>
    </row>
    <row r="39437" ht="15.75" customHeight="1" spans="1:2">
      <c r="A39437" s="3" t="str">
        <f>IFERROR(__xludf.DUMMYFUNCTION("GOOGLETRANSLATE(A39437,""en"",""pt"")"),"Forte, corpo bem construído")</f>
        <v>Forte, corpo bem construído</v>
      </c>
      <c r="B39437" s="3">
        <v>1</v>
      </c>
    </row>
    <row r="39438" ht="15.75" customHeight="1" spans="1:2">
      <c r="A39438" s="3" t="str">
        <f>IFERROR(__xludf.DUMMYFUNCTION("GOOGLETRANSLATE(A39438,""en"",""pt"")"),"Atraente, fácil de usar, grande valor")</f>
        <v>Atraente, fácil de usar, grande valor</v>
      </c>
      <c r="B39438" s="3">
        <v>1</v>
      </c>
    </row>
    <row r="39439" ht="15.75" customHeight="1" spans="1:2">
      <c r="A39439" s="3" t="str">
        <f>IFERROR(__xludf.DUMMYFUNCTION("GOOGLETRANSLATE(A39439,""en"",""pt"")"),"Sem memória interna (usa cartões), leve, compacto, fácil de usar")</f>
        <v>Sem memória interna (usa cartões), leve, compacto, fácil de usar</v>
      </c>
      <c r="B39439" s="3">
        <v>1</v>
      </c>
    </row>
    <row r="39440" ht="15.75" customHeight="1" spans="1:2">
      <c r="A39440" s="3" t="str">
        <f>IFERROR(__xludf.DUMMYFUNCTION("GOOGLETRANSLATE(A39440,""en"",""pt"")"),"buy Swell para o preço,")</f>
        <v>buy Swell para o preço,</v>
      </c>
      <c r="B39440" s="3">
        <v>1</v>
      </c>
    </row>
    <row r="39441" ht="15.75" customHeight="1" spans="1:2">
      <c r="A39441" s="3" t="str">
        <f>IFERROR(__xludf.DUMMYFUNCTION("GOOGLETRANSLATE(A39441,""en"",""pt"")"),"Barato, versátil, divertido, resistente, e fresco.")</f>
        <v>Barato, versátil, divertido, resistente, e fresco.</v>
      </c>
      <c r="B39441" s="3">
        <v>1</v>
      </c>
    </row>
    <row r="39442" ht="15.75" customHeight="1" spans="1:2">
      <c r="A39442" s="3" t="str">
        <f>IFERROR(__xludf.DUMMYFUNCTION("GOOGLETRANSLATE(A39442,""en"",""pt"")"),"Facilidade de utilização, cabo de conexão de TV, software decente, intercambiáveis ​​cartões compact flash em vários tamanhos")</f>
        <v>Facilidade de utilização, cabo de conexão de TV, software decente, intercambiáveis ​​cartões compact flash em vários tamanhos</v>
      </c>
      <c r="B39442" s="3">
        <v>1</v>
      </c>
    </row>
    <row r="39443" ht="15.75" customHeight="1" spans="1:2">
      <c r="A39443" s="3" t="str">
        <f>IFERROR(__xludf.DUMMYFUNCTION("GOOGLETRANSLATE(A39443,""en"",""pt"")"),"Preço, qualidade, capacidade de armazenamento")</f>
        <v>Preço, qualidade, capacidade de armazenamento</v>
      </c>
      <c r="B39443" s="3">
        <v>1</v>
      </c>
    </row>
    <row r="39444" ht="15.75" customHeight="1" spans="1:2">
      <c r="A39444" s="3" t="str">
        <f>IFERROR(__xludf.DUMMYFUNCTION("GOOGLETRANSLATE(A39444,""en"",""pt"")"),"Preço, facilidade de utilização, pacote de software maravilhoso, com apoio de fábrica")</f>
        <v>Preço, facilidade de utilização, pacote de software maravilhoso, com apoio de fábrica</v>
      </c>
      <c r="B39444" s="3">
        <v>1</v>
      </c>
    </row>
    <row r="39445" ht="15.75" customHeight="1" spans="1:2">
      <c r="A39445" s="3" t="str">
        <f>IFERROR(__xludf.DUMMYFUNCTION("GOOGLETRANSLATE(A39445,""en"",""pt"")"),"Grandes Pictures para o custo.")</f>
        <v>Grandes Pictures para o custo.</v>
      </c>
      <c r="B39445" s="3">
        <v>1</v>
      </c>
    </row>
    <row r="39446" ht="15.75" customHeight="1" spans="1:2">
      <c r="A39446" s="3" t="str">
        <f>IFERROR(__xludf.DUMMYFUNCTION("GOOGLETRANSLATE(A39446,""en"",""pt"")"),"Fácil de usar - divertido no início")</f>
        <v>Fácil de usar - divertido no início</v>
      </c>
      <c r="B39446" s="3">
        <v>1</v>
      </c>
    </row>
    <row r="39447" ht="15.75" customHeight="1" spans="1:2">
      <c r="A39447" s="3" t="str">
        <f>IFERROR(__xludf.DUMMYFUNCTION("GOOGLETRANSLATE(A39447,""en"",""pt"")"),"barato, fácil de usar")</f>
        <v>barato, fácil de usar</v>
      </c>
      <c r="B39447" s="3">
        <v>1</v>
      </c>
    </row>
    <row r="39448" ht="15.75" customHeight="1" spans="1:2">
      <c r="A39448" s="3" t="str">
        <f>IFERROR(__xludf.DUMMYFUNCTION("GOOGLETRANSLATE(A39448,""en"",""pt"")"),"mais barato do que o filme de compra")</f>
        <v>mais barato do que o filme de compra</v>
      </c>
      <c r="B39448" s="3">
        <v>1</v>
      </c>
    </row>
    <row r="39449" ht="15.75" customHeight="1" spans="1:2">
      <c r="A39449" s="3" t="str">
        <f>IFERROR(__xludf.DUMMYFUNCTION("GOOGLETRANSLATE(A39449,""en"",""pt"")"),"Fácil de usar")</f>
        <v>Fácil de usar</v>
      </c>
      <c r="B39449" s="3">
        <v>1</v>
      </c>
    </row>
    <row r="39450" ht="15.75" customHeight="1" spans="1:2">
      <c r="A39450" s="3" t="str">
        <f>IFERROR(__xludf.DUMMYFUNCTION("GOOGLETRANSLATE(A39450,""en"",""pt"")"),"Bom valor para o dinheiro, simples de aprender / uso")</f>
        <v>Bom valor para o dinheiro, simples de aprender / uso</v>
      </c>
      <c r="B39450" s="3">
        <v>1</v>
      </c>
    </row>
    <row r="39451" ht="15.75" customHeight="1" spans="1:2">
      <c r="A39451" s="3" t="str">
        <f>IFERROR(__xludf.DUMMYFUNCTION("GOOGLETRANSLATE(A39451,""en"",""pt"")"),"Rápido e fácil de usar.")</f>
        <v>Rápido e fácil de usar.</v>
      </c>
      <c r="B39451" s="3">
        <v>1</v>
      </c>
    </row>
    <row r="39452" ht="15.75" customHeight="1" spans="1:2">
      <c r="A39452" s="3" t="str">
        <f>IFERROR(__xludf.DUMMYFUNCTION("GOOGLETRANSLATE(A39452,""en"",""pt"")"),"Tira ótimas fotos em quatro resoluções")</f>
        <v>Tira ótimas fotos em quatro resoluções</v>
      </c>
      <c r="B39452" s="3">
        <v>1</v>
      </c>
    </row>
    <row r="39453" ht="15.75" customHeight="1" spans="1:2">
      <c r="A39453" s="3" t="str">
        <f>IFERROR(__xludf.DUMMYFUNCTION("GOOGLETRANSLATE(A39453,""en"",""pt"")"),"resolução decente")</f>
        <v>resolução decente</v>
      </c>
      <c r="B39453" s="3">
        <v>1</v>
      </c>
    </row>
    <row r="39454" ht="15.75" customHeight="1" spans="1:2">
      <c r="A39454" s="3" t="str">
        <f>IFERROR(__xludf.DUMMYFUNCTION("GOOGLETRANSLATE(A39454,""en"",""pt"")"),"Valor fantástica, grandes imagens, câmera sólida, grande empresa, excelente serviço ao cliente (leia meu atualização 2000/05/20)")</f>
        <v>Valor fantástica, grandes imagens, câmera sólida, grande empresa, excelente serviço ao cliente (leia meu atualização 2000/05/20)</v>
      </c>
      <c r="B39454" s="3">
        <v>1</v>
      </c>
    </row>
    <row r="39455" ht="15.75" customHeight="1" spans="1:2">
      <c r="A39455" s="3" t="str">
        <f>IFERROR(__xludf.DUMMYFUNCTION("GOOGLETRANSLATE(A39455,""en"",""pt"")"),"robusto, ótimo preço, fácil de usar")</f>
        <v>robusto, ótimo preço, fácil de usar</v>
      </c>
      <c r="B39455" s="3">
        <v>1</v>
      </c>
    </row>
    <row r="39456" ht="15.75" customHeight="1" spans="1:2">
      <c r="A39456" s="3" t="str">
        <f>IFERROR(__xludf.DUMMYFUNCTION("GOOGLETRANSLATE(A39456,""en"",""pt"")"),"Boa qualidade barato inicialmente")</f>
        <v>Boa qualidade barato inicialmente</v>
      </c>
      <c r="B39456" s="3">
        <v>1</v>
      </c>
    </row>
    <row r="39457" ht="15.75" customHeight="1" spans="1:2">
      <c r="A39457" s="3" t="str">
        <f>IFERROR(__xludf.DUMMYFUNCTION("GOOGLETRANSLATE(A39457,""en"",""pt"")"),"custo")</f>
        <v>custo</v>
      </c>
      <c r="B39457" s="3">
        <v>1</v>
      </c>
    </row>
    <row r="39458" ht="15.75" customHeight="1" spans="1:2">
      <c r="A39458" s="3" t="str">
        <f>IFERROR(__xludf.DUMMYFUNCTION("GOOGLETRANSLATE(A39458,""en"",""pt"")"),"Fácil de usar, de boa qualidade, ótimo preço")</f>
        <v>Fácil de usar, de boa qualidade, ótimo preço</v>
      </c>
      <c r="B39458" s="3">
        <v>1</v>
      </c>
    </row>
    <row r="39459" ht="15.75" customHeight="1" spans="1:2">
      <c r="A39459" s="3" t="str">
        <f>IFERROR(__xludf.DUMMYFUNCTION("GOOGLETRANSLATE(A39459,""en"",""pt"")"),"Fácil, transferência rápida de imagens para PC ou impressora")</f>
        <v>Fácil, transferência rápida de imagens para PC ou impressora</v>
      </c>
      <c r="B39459" s="3">
        <v>1</v>
      </c>
    </row>
    <row r="39460" ht="15.75" customHeight="1" spans="1:2">
      <c r="A39460" s="3" t="str">
        <f>IFERROR(__xludf.DUMMYFUNCTION("GOOGLETRANSLATE(A39460,""en"",""pt"")"),"Alterar a resolução")</f>
        <v>Alterar a resolução</v>
      </c>
      <c r="B39460" s="3">
        <v>1</v>
      </c>
    </row>
    <row r="39461" ht="15.75" customHeight="1" spans="1:2">
      <c r="A39461" s="3" t="str">
        <f>IFERROR(__xludf.DUMMYFUNCTION("GOOGLETRANSLATE(A39461,""en"",""pt"")"),"preço razoável Este características que você esperaria de uma câmera muito caro")</f>
        <v>preço razoável Este características que você esperaria de uma câmera muito caro</v>
      </c>
      <c r="B39461" s="3">
        <v>1</v>
      </c>
    </row>
    <row r="39462" ht="15.75" customHeight="1" spans="1:2">
      <c r="A39462" s="3" t="str">
        <f>IFERROR(__xludf.DUMMYFUNCTION("GOOGLETRANSLATE(A39462,""en"",""pt"")"),"Fácil de usar, ótimo ao ar livre fotos.")</f>
        <v>Fácil de usar, ótimo ao ar livre fotos.</v>
      </c>
      <c r="B39462" s="3">
        <v>1</v>
      </c>
    </row>
    <row r="39463" ht="15.75" customHeight="1" spans="1:2">
      <c r="A39463" s="3" t="str">
        <f>IFERROR(__xludf.DUMMYFUNCTION("GOOGLETRANSLATE(A39463,""en"",""pt"")"),"Simples de usar")</f>
        <v>Simples de usar</v>
      </c>
      <c r="B39463" s="3">
        <v>1</v>
      </c>
    </row>
    <row r="39464" ht="15.75" customHeight="1" spans="1:2">
      <c r="A39464" s="3" t="str">
        <f>IFERROR(__xludf.DUMMYFUNCTION("GOOGLETRANSLATE(A39464,""en"",""pt"")"),"Bom preço")</f>
        <v>Bom preço</v>
      </c>
      <c r="B39464" s="3">
        <v>1</v>
      </c>
    </row>
    <row r="39465" ht="15.75" customHeight="1" spans="1:2">
      <c r="A39465" s="3" t="str">
        <f>IFERROR(__xludf.DUMMYFUNCTION("GOOGLETRANSLATE(A39465,""en"",""pt"")"),"acessíveis, imagens de alta qualidade")</f>
        <v>acessíveis, imagens de alta qualidade</v>
      </c>
      <c r="B39465" s="3">
        <v>1</v>
      </c>
    </row>
    <row r="39466" ht="15.75" customHeight="1" spans="1:2">
      <c r="A39466" s="3" t="str">
        <f>IFERROR(__xludf.DUMMYFUNCTION("GOOGLETRANSLATE(A39466,""en"",""pt"")"),"Melhor câmera tivemos")</f>
        <v>Melhor câmera tivemos</v>
      </c>
      <c r="B39466" s="3">
        <v>1</v>
      </c>
    </row>
    <row r="39467" ht="15.75" customHeight="1" spans="1:2">
      <c r="A39467" s="3" t="str">
        <f>IFERROR(__xludf.DUMMYFUNCTION("GOOGLETRANSLATE(A39467,""en"",""pt"")"),"Grande software, fácil de usar câmera")</f>
        <v>Grande software, fácil de usar câmera</v>
      </c>
      <c r="B39467" s="3">
        <v>1</v>
      </c>
    </row>
    <row r="39468" ht="15.75" customHeight="1" spans="1:2">
      <c r="A39468" s="3" t="str">
        <f>IFERROR(__xludf.DUMMYFUNCTION("GOOGLETRANSLATE(A39468,""en"",""pt"")"),"user friendly preço à direita")</f>
        <v>user friendly preço à direita</v>
      </c>
      <c r="B39468" s="3">
        <v>1</v>
      </c>
    </row>
    <row r="39469" ht="15.75" customHeight="1" spans="1:2">
      <c r="A39469" s="3" t="str">
        <f>IFERROR(__xludf.DUMMYFUNCTION("GOOGLETRANSLATE(A39469,""en"",""pt"")"),"Fácil de usar, compacto")</f>
        <v>Fácil de usar, compacto</v>
      </c>
      <c r="B39469" s="3">
        <v>1</v>
      </c>
    </row>
    <row r="39470" ht="15.75" customHeight="1" spans="1:2">
      <c r="A39470" s="3" t="str">
        <f>IFERROR(__xludf.DUMMYFUNCTION("GOOGLETRANSLATE(A39470,""en"",""pt"")"),"Fácil de usar, galerias de fotos, flash auto-ajustável")</f>
        <v>Fácil de usar, galerias de fotos, flash auto-ajustável</v>
      </c>
      <c r="B39470" s="3">
        <v>1</v>
      </c>
    </row>
    <row r="39471" ht="15.75" customHeight="1" spans="1:2">
      <c r="A39471" s="3" t="str">
        <f>IFERROR(__xludf.DUMMYFUNCTION("GOOGLETRANSLATE(A39471,""en"",""pt"")"),"Bonito, barato, ninguém poderia usá-lo")</f>
        <v>Bonito, barato, ninguém poderia usá-lo</v>
      </c>
      <c r="B39471" s="3">
        <v>1</v>
      </c>
    </row>
    <row r="39472" ht="15.75" customHeight="1" spans="1:2">
      <c r="A39472" s="3" t="str">
        <f>IFERROR(__xludf.DUMMYFUNCTION("GOOGLETRANSLATE(A39472,""en"",""pt"")"),"Barato, bonito, resistente, confiável")</f>
        <v>Barato, bonito, resistente, confiável</v>
      </c>
      <c r="B39472" s="3">
        <v>1</v>
      </c>
    </row>
    <row r="39473" ht="15.75" customHeight="1" spans="1:2">
      <c r="A39473" s="3" t="str">
        <f>IFERROR(__xludf.DUMMYFUNCTION("GOOGLETRANSLATE(A39473,""en"",""pt"")"),"bom para iniciantes, design azul funky, barato")</f>
        <v>bom para iniciantes, design azul funky, barato</v>
      </c>
      <c r="B39473" s="3">
        <v>1</v>
      </c>
    </row>
    <row r="39474" ht="15.75" customHeight="1" spans="1:2">
      <c r="A39474" s="3" t="str">
        <f>IFERROR(__xludf.DUMMYFUNCTION("GOOGLETRANSLATE(A39474,""en"",""pt"")"),"Bom preço para resolução e facilidade de uso")</f>
        <v>Bom preço para resolução e facilidade de uso</v>
      </c>
      <c r="B39474" s="3">
        <v>1</v>
      </c>
    </row>
    <row r="39475" ht="15.75" customHeight="1" spans="1:2">
      <c r="A39475" s="3" t="str">
        <f>IFERROR(__xludf.DUMMYFUNCTION("GOOGLETRANSLATE(A39475,""en"",""pt"")"),"Baixo custo, fácil de usar, muito boas fotos, bem para ebay")</f>
        <v>Baixo custo, fácil de usar, muito boas fotos, bem para ebay</v>
      </c>
      <c r="B39475" s="3">
        <v>1</v>
      </c>
    </row>
    <row r="39476" ht="15.75" customHeight="1" spans="1:2">
      <c r="A39476" s="3" t="str">
        <f>IFERROR(__xludf.DUMMYFUNCTION("GOOGLETRANSLATE(A39476,""en"",""pt"")"),"barato")</f>
        <v>barato</v>
      </c>
      <c r="B39476" s="3">
        <v>1</v>
      </c>
    </row>
    <row r="39477" ht="15.75" customHeight="1" spans="1:2">
      <c r="A39477" s="3" t="str">
        <f>IFERROR(__xludf.DUMMYFUNCTION("GOOGLETRANSLATE(A39477,""en"",""pt"")"),"Preço")</f>
        <v>Preço</v>
      </c>
      <c r="B39477" s="3">
        <v>1</v>
      </c>
    </row>
    <row r="39478" ht="15.75" customHeight="1" spans="1:2">
      <c r="A39478" s="3" t="str">
        <f>IFERROR(__xludf.DUMMYFUNCTION("GOOGLETRANSLATE(A39478,""en"",""pt"")"),"Preço, Estilo - é azul :)")</f>
        <v>Preço, Estilo - é azul :)</v>
      </c>
      <c r="B39478" s="3">
        <v>1</v>
      </c>
    </row>
    <row r="39479" ht="15.75" customHeight="1" spans="1:2">
      <c r="A39479" s="3" t="str">
        <f>IFERROR(__xludf.DUMMYFUNCTION("GOOGLETRANSLATE(A39479,""en"",""pt"")"),"FUN azul design! Leva boas fotos para mim, LCD e visor óptico, fácil de usar")</f>
        <v>FUN azul design! Leva boas fotos para mim, LCD e visor óptico, fácil de usar</v>
      </c>
      <c r="B39479" s="3">
        <v>1</v>
      </c>
    </row>
    <row r="39480" ht="15.75" customHeight="1" spans="1:2">
      <c r="A39480" s="3" t="str">
        <f>IFERROR(__xludf.DUMMYFUNCTION("GOOGLETRANSLATE(A39480,""en"",""pt"")"),"Muito fácil câmera para uso")</f>
        <v>Muito fácil câmera para uso</v>
      </c>
      <c r="B39480" s="3">
        <v>1</v>
      </c>
    </row>
    <row r="39481" ht="15.75" customHeight="1" spans="1:2">
      <c r="A39481" s="3" t="str">
        <f>IFERROR(__xludf.DUMMYFUNCTION("GOOGLETRANSLATE(A39481,""en"",""pt"")"),"Fácil de usar. Grande variedade de definições para o flash, a resolução e o comprimento focal. A câmera em si parece muito legal danado também.")</f>
        <v>Fácil de usar. Grande variedade de definições para o flash, a resolução e o comprimento focal. A câmera em si parece muito legal danado também.</v>
      </c>
      <c r="B39481" s="3">
        <v>1</v>
      </c>
    </row>
    <row r="39482" ht="15.75" customHeight="1" spans="1:2">
      <c r="A39482" s="3" t="str">
        <f>IFERROR(__xludf.DUMMYFUNCTION("GOOGLETRANSLATE(A39482,""en"",""pt"")"),"apoio ao cliente, valor para o dólar")</f>
        <v>apoio ao cliente, valor para o dólar</v>
      </c>
      <c r="B39482" s="3">
        <v>1</v>
      </c>
    </row>
    <row r="39483" ht="15.75" customHeight="1" spans="1:2">
      <c r="A39483" s="3" t="str">
        <f>IFERROR(__xludf.DUMMYFUNCTION("GOOGLETRANSLATE(A39483,""en"",""pt"")"),"Preço")</f>
        <v>Preço</v>
      </c>
      <c r="B39483" s="3">
        <v>1</v>
      </c>
    </row>
    <row r="39484" ht="15.75" customHeight="1" spans="1:2">
      <c r="A39484" s="3" t="str">
        <f>IFERROR(__xludf.DUMMYFUNCTION("GOOGLETRANSLATE(A39484,""en"",""pt"")"),"Preço, facilidade de utilização, Monitor LCD")</f>
        <v>Preço, facilidade de utilização, Monitor LCD</v>
      </c>
      <c r="B39484" s="3">
        <v>1</v>
      </c>
    </row>
    <row r="39485" ht="15.75" customHeight="1" spans="1:2">
      <c r="A39485" s="3" t="str">
        <f>IFERROR(__xludf.DUMMYFUNCTION("GOOGLETRANSLATE(A39485,""en"",""pt"")"),"Alta Qualidade Fotos, confiável, fácil de usar")</f>
        <v>Alta Qualidade Fotos, confiável, fácil de usar</v>
      </c>
      <c r="B39485" s="3">
        <v>1</v>
      </c>
    </row>
    <row r="39486" ht="15.75" customHeight="1" spans="1:2">
      <c r="A39486" s="3" t="str">
        <f>IFERROR(__xludf.DUMMYFUNCTION("GOOGLETRANSLATE(A39486,""en"",""pt"")"),"amigáveis")</f>
        <v>amigáveis</v>
      </c>
      <c r="B39486" s="3">
        <v>1</v>
      </c>
    </row>
    <row r="39487" ht="15.75" customHeight="1" spans="1:2">
      <c r="A39487" s="3" t="str">
        <f>IFERROR(__xludf.DUMMYFUNCTION("GOOGLETRANSLATE(A39487,""en"",""pt"")"),"barato, fácil de usar")</f>
        <v>barato, fácil de usar</v>
      </c>
      <c r="B39487" s="3">
        <v>1</v>
      </c>
    </row>
    <row r="39488" ht="15.75" customHeight="1" spans="1:2">
      <c r="A39488" s="3" t="str">
        <f>IFERROR(__xludf.DUMMYFUNCTION("GOOGLETRANSLATE(A39488,""en"",""pt"")"),"Preço, Grandes fotos, Smart Media ranhura")</f>
        <v>Preço, Grandes fotos, Smart Media ranhura</v>
      </c>
      <c r="B39488" s="3">
        <v>1</v>
      </c>
    </row>
    <row r="39489" ht="15.75" customHeight="1" spans="1:2">
      <c r="A39489" s="3" t="str">
        <f>IFERROR(__xludf.DUMMYFUNCTION("GOOGLETRANSLATE(A39489,""en"",""pt"")"),"custo, fácil de usar")</f>
        <v>custo, fácil de usar</v>
      </c>
      <c r="B39489" s="3">
        <v>1</v>
      </c>
    </row>
    <row r="39490" ht="15.75" customHeight="1" spans="1:2">
      <c r="A39490" s="3" t="str">
        <f>IFERROR(__xludf.DUMMYFUNCTION("GOOGLETRANSLATE(A39490,""en"",""pt"")"),"compacto, elegante, imagens de boa qualidade")</f>
        <v>compacto, elegante, imagens de boa qualidade</v>
      </c>
      <c r="B39490" s="3">
        <v>1</v>
      </c>
    </row>
    <row r="39491" ht="15.75" customHeight="1" spans="1:2">
      <c r="A39491" s="3" t="str">
        <f>IFERROR(__xludf.DUMMYFUNCTION("GOOGLETRANSLATE(A39491,""en"",""pt"")"),"Facilidade de uso, claro &amp; amp; amp; nítidas imagens, LCD")</f>
        <v>Facilidade de uso, claro &amp; amp; amp; nítidas imagens, LCD</v>
      </c>
      <c r="B39491" s="3">
        <v>1</v>
      </c>
    </row>
    <row r="39492" ht="15.75" customHeight="1" spans="1:2">
      <c r="A39492" s="3" t="str">
        <f>IFERROR(__xludf.DUMMYFUNCTION("GOOGLETRANSLATE(A39492,""en"",""pt"")"),"Você chegar muito para o que pagar")</f>
        <v>Você chegar muito para o que pagar</v>
      </c>
      <c r="B39492" s="3">
        <v>1</v>
      </c>
    </row>
    <row r="39493" ht="15.75" customHeight="1" spans="1:2">
      <c r="A39493" s="3" t="str">
        <f>IFERROR(__xludf.DUMMYFUNCTION("GOOGLETRANSLATE(A39493,""en"",""pt"")"),"Ótima câmera, ótimo preço!")</f>
        <v>Ótima câmera, ótimo preço!</v>
      </c>
      <c r="B39493" s="3">
        <v>1</v>
      </c>
    </row>
    <row r="39494" ht="15.75" customHeight="1" spans="1:2">
      <c r="A39494" s="3" t="str">
        <f>IFERROR(__xludf.DUMMYFUNCTION("GOOGLETRANSLATE(A39494,""en"",""pt"")"),"Boas imagens, uploadable, fácil de usar, LCD, tudo")</f>
        <v>Boas imagens, uploadable, fácil de usar, LCD, tudo</v>
      </c>
      <c r="B39494" s="3">
        <v>1</v>
      </c>
    </row>
    <row r="39495" ht="15.75" customHeight="1" spans="1:2">
      <c r="A39495" s="3" t="str">
        <f>IFERROR(__xludf.DUMMYFUNCTION("GOOGLETRANSLATE(A39495,""en"",""pt"")"),"fácil de usar, acessíveis e várias características interessantes")</f>
        <v>fácil de usar, acessíveis e várias características interessantes</v>
      </c>
      <c r="B39495" s="3">
        <v>1</v>
      </c>
    </row>
    <row r="39496" ht="15.75" customHeight="1" spans="1:2">
      <c r="A39496" s="3" t="str">
        <f>IFERROR(__xludf.DUMMYFUNCTION("GOOGLETRANSLATE(A39496,""en"",""pt"")"),"Wonderful Software incluído; Fácil de usar; Excelente qualidade de imagem; Lotes das características; Baixo custo")</f>
        <v>Wonderful Software incluído; Fácil de usar; Excelente qualidade de imagem; Lotes das características; Baixo custo</v>
      </c>
      <c r="B39496" s="3">
        <v>1</v>
      </c>
    </row>
    <row r="39497" ht="15.75" customHeight="1" spans="1:2">
      <c r="A39497" s="3" t="str">
        <f>IFERROR(__xludf.DUMMYFUNCTION("GOOGLETRANSLATE(A39497,""en"",""pt"")"),"Galeria, Visualizando Lense, de alta capacidade de armazenamento de imagens, nice design, alta resolução / fotos de boa qualidade.")</f>
        <v>Galeria, Visualizando Lense, de alta capacidade de armazenamento de imagens, nice design, alta resolução / fotos de boa qualidade.</v>
      </c>
      <c r="B39497" s="3">
        <v>1</v>
      </c>
    </row>
    <row r="39498" ht="15.75" customHeight="1" spans="1:2">
      <c r="A39498" s="3" t="str">
        <f>IFERROR(__xludf.DUMMYFUNCTION("GOOGLETRANSLATE(A39498,""en"",""pt"")"),"Relativamente de baixo custo, qualidade de imagem decente e simples de usar")</f>
        <v>Relativamente de baixo custo, qualidade de imagem decente e simples de usar</v>
      </c>
      <c r="B39498" s="3">
        <v>1</v>
      </c>
    </row>
    <row r="39499" ht="15.75" customHeight="1" spans="1:2">
      <c r="A39499" s="3" t="str">
        <f>IFERROR(__xludf.DUMMYFUNCTION("GOOGLETRANSLATE(A39499,""en"",""pt"")"),"aparência legal. decentes fotos. como as opções de flash e tamanho.")</f>
        <v>aparência legal. decentes fotos. como as opções de flash e tamanho.</v>
      </c>
      <c r="B39499" s="3">
        <v>1</v>
      </c>
    </row>
    <row r="39500" ht="15.75" customHeight="1" spans="1:2">
      <c r="A39500" s="3" t="str">
        <f>IFERROR(__xludf.DUMMYFUNCTION("GOOGLETRANSLATE(A39500,""en"",""pt"")"),"Fácil de usar; relativamente barato; qualidade muito boa; Maravilhoso serviço ao cliente")</f>
        <v>Fácil de usar; relativamente barato; qualidade muito boa; Maravilhoso serviço ao cliente</v>
      </c>
      <c r="B39500" s="3">
        <v>1</v>
      </c>
    </row>
    <row r="39501" ht="15.75" customHeight="1" spans="1:2">
      <c r="A39501" s="3" t="str">
        <f>IFERROR(__xludf.DUMMYFUNCTION("GOOGLETRANSLATE(A39501,""en"",""pt"")"),"muito baratos, imagens de boa qualidade")</f>
        <v>muito baratos, imagens de boa qualidade</v>
      </c>
      <c r="B39501" s="3">
        <v>1</v>
      </c>
    </row>
    <row r="39502" ht="15.75" customHeight="1" spans="1:2">
      <c r="A39502" s="3" t="str">
        <f>IFERROR(__xludf.DUMMYFUNCTION("GOOGLETRANSLATE(A39502,""en"",""pt"")"),"GREAT DIGITAL 1º CAMERA")</f>
        <v>GREAT DIGITAL 1º CAMERA</v>
      </c>
      <c r="B39502" s="3">
        <v>1</v>
      </c>
    </row>
    <row r="39503" ht="15.75" customHeight="1" spans="1:2">
      <c r="A39503" s="3" t="str">
        <f>IFERROR(__xludf.DUMMYFUNCTION("GOOGLETRANSLATE(A39503,""en"",""pt"")"),"Muito simples de usar, o software é bastante auto-explicativo.")</f>
        <v>Muito simples de usar, o software é bastante auto-explicativo.</v>
      </c>
      <c r="B39503" s="3">
        <v>1</v>
      </c>
    </row>
    <row r="39504" ht="15.75" customHeight="1" spans="1:2">
      <c r="A39504" s="3" t="str">
        <f>IFERROR(__xludf.DUMMYFUNCTION("GOOGLETRANSLATE(A39504,""en"",""pt"")"),"fotos compactas e razoáveis")</f>
        <v>fotos compactas e razoáveis</v>
      </c>
      <c r="B39504" s="3">
        <v>1</v>
      </c>
    </row>
    <row r="39505" ht="15.75" customHeight="1" spans="1:2">
      <c r="A39505" s="3" t="str">
        <f>IFERROR(__xludf.DUMMYFUNCTION("GOOGLETRANSLATE(A39505,""en"",""pt"")"),"zero")</f>
        <v>zero</v>
      </c>
      <c r="B39505" s="3">
        <v>1</v>
      </c>
    </row>
    <row r="39506" ht="15.75" customHeight="1" spans="1:2">
      <c r="A39506" s="3" t="str">
        <f>IFERROR(__xludf.DUMMYFUNCTION("GOOGLETRANSLATE(A39506,""en"",""pt"")"),"É tecnologia de luz e baixa.")</f>
        <v>É tecnologia de luz e baixa.</v>
      </c>
      <c r="B39506" s="3">
        <v>1</v>
      </c>
    </row>
    <row r="39507" ht="15.75" customHeight="1" spans="1:2">
      <c r="A39507" s="3" t="str">
        <f>IFERROR(__xludf.DUMMYFUNCTION("GOOGLETRANSLATE(A39507,""en"",""pt"")"),"A empresa honrou a minha garantia.")</f>
        <v>A empresa honrou a minha garantia.</v>
      </c>
      <c r="B39507" s="3">
        <v>1</v>
      </c>
    </row>
    <row r="39508" ht="15.75" customHeight="1" spans="1:2">
      <c r="A39508" s="3" t="str">
        <f>IFERROR(__xludf.DUMMYFUNCTION("GOOGLETRANSLATE(A39508,""en"",""pt"")"),"Barato, fácil de operar")</f>
        <v>Barato, fácil de operar</v>
      </c>
      <c r="B39508" s="3">
        <v>1</v>
      </c>
    </row>
    <row r="39509" ht="15.75" customHeight="1" spans="1:2">
      <c r="A39509" s="3" t="str">
        <f>IFERROR(__xludf.DUMMYFUNCTION("GOOGLETRANSLATE(A39509,""en"",""pt"")"),"NENHUM")</f>
        <v>NENHUM</v>
      </c>
      <c r="B39509" s="3">
        <v>1</v>
      </c>
    </row>
    <row r="39510" ht="15.75" customHeight="1" spans="1:2">
      <c r="A39510" s="3" t="str">
        <f>IFERROR(__xludf.DUMMYFUNCTION("GOOGLETRANSLATE(A39510,""en"",""pt"")"),"custo")</f>
        <v>custo</v>
      </c>
      <c r="B39510" s="3">
        <v>1</v>
      </c>
    </row>
    <row r="39511" ht="15.75" customHeight="1" spans="1:2">
      <c r="A39511" s="3" t="str">
        <f>IFERROR(__xludf.DUMMYFUNCTION("GOOGLETRANSLATE(A39511,""en"",""pt"")"),"barato, conversão de webcam incluído, fácil de usar")</f>
        <v>barato, conversão de webcam incluído, fácil de usar</v>
      </c>
      <c r="B39511" s="3">
        <v>1</v>
      </c>
    </row>
    <row r="39512" ht="15.75" customHeight="1" spans="1:2">
      <c r="A39512" s="3" t="str">
        <f>IFERROR(__xludf.DUMMYFUNCTION("GOOGLETRANSLATE(A39512,""en"",""pt"")"),"Fotos com bom aspecto na TV")</f>
        <v>Fotos com bom aspecto na TV</v>
      </c>
      <c r="B39512" s="3">
        <v>1</v>
      </c>
    </row>
    <row r="39513" ht="15.75" customHeight="1" spans="1:2">
      <c r="A39513" s="3" t="str">
        <f>IFERROR(__xludf.DUMMYFUNCTION("GOOGLETRANSLATE(A39513,""en"",""pt"")"),"Preço. Tudo está incluído.")</f>
        <v>Preço. Tudo está incluído.</v>
      </c>
      <c r="B39513" s="3">
        <v>1</v>
      </c>
    </row>
    <row r="39514" ht="15.75" customHeight="1" spans="1:2">
      <c r="A39514" s="3" t="str">
        <f>IFERROR(__xludf.DUMMYFUNCTION("GOOGLETRANSLATE(A39514,""en"",""pt"")"),"A câmara para levar com você em todos os momentos.")</f>
        <v>A câmara para levar com você em todos os momentos.</v>
      </c>
      <c r="B39514" s="3">
        <v>1</v>
      </c>
    </row>
    <row r="39515" ht="15.75" customHeight="1" spans="1:2">
      <c r="A39515" s="3" t="str">
        <f>IFERROR(__xludf.DUMMYFUNCTION("GOOGLETRANSLATE(A39515,""en"",""pt"")"),"Bom para instantâneos de baixo custo")</f>
        <v>Bom para instantâneos de baixo custo</v>
      </c>
      <c r="B39515" s="3">
        <v>1</v>
      </c>
    </row>
    <row r="39516" ht="15.75" customHeight="1" spans="1:2">
      <c r="A39516" s="3" t="str">
        <f>IFERROR(__xludf.DUMMYFUNCTION("GOOGLETRANSLATE(A39516,""en"",""pt"")"),"- pequena baixo consumo de energia, decentes fotos ao ar livre, conexão, rápida USB")</f>
        <v>- pequena baixo consumo de energia, decentes fotos ao ar livre, conexão, rápida USB</v>
      </c>
      <c r="B39516" s="3">
        <v>1</v>
      </c>
    </row>
    <row r="39517" ht="15.75" customHeight="1" spans="1:2">
      <c r="A39517" s="3" t="str">
        <f>IFERROR(__xludf.DUMMYFUNCTION("GOOGLETRANSLATE(A39517,""en"",""pt"")"),"Pequeno, leve, simples, pockatable")</f>
        <v>Pequeno, leve, simples, pockatable</v>
      </c>
      <c r="B39517" s="3">
        <v>1</v>
      </c>
    </row>
    <row r="39518" ht="15.75" customHeight="1" spans="1:2">
      <c r="A39518" s="3" t="str">
        <f>IFERROR(__xludf.DUMMYFUNCTION("GOOGLETRANSLATE(A39518,""en"",""pt"")"),"Barato. Completo. Interface USB.")</f>
        <v>Barato. Completo. Interface USB.</v>
      </c>
      <c r="B39518" s="3">
        <v>1</v>
      </c>
    </row>
    <row r="39519" ht="15.75" customHeight="1" spans="1:2">
      <c r="A39519" s="3" t="str">
        <f>IFERROR(__xludf.DUMMYFUNCTION("GOOGLETRANSLATE(A39519,""en"",""pt"")"),"boa qualidade para o preço")</f>
        <v>boa qualidade para o preço</v>
      </c>
      <c r="B39519" s="3">
        <v>1</v>
      </c>
    </row>
    <row r="39520" ht="15.75" customHeight="1" spans="1:2">
      <c r="A39520" s="3" t="str">
        <f>IFERROR(__xludf.DUMMYFUNCTION("GOOGLETRANSLATE(A39520,""en"",""pt"")"),"câmera minúscula com muitas das grandes características.")</f>
        <v>câmera minúscula com muitas das grandes características.</v>
      </c>
      <c r="B39520" s="3">
        <v>1</v>
      </c>
    </row>
    <row r="39521" ht="15.75" customHeight="1" spans="1:2">
      <c r="A39521" s="3" t="str">
        <f>IFERROR(__xludf.DUMMYFUNCTION("GOOGLETRANSLATE(A39521,""en"",""pt"")"),"É feito para videoconferência e fotografia ainda com fotos de qualidade.")</f>
        <v>É feito para videoconferência e fotografia ainda com fotos de qualidade.</v>
      </c>
      <c r="B39521" s="3">
        <v>1</v>
      </c>
    </row>
    <row r="39522" ht="15.75" customHeight="1" spans="1:2">
      <c r="A39522" s="3" t="str">
        <f>IFERROR(__xludf.DUMMYFUNCTION("GOOGLETRANSLATE(A39522,""en"",""pt"")"),"Ótima câmera digital barata")</f>
        <v>Ótima câmera digital barata</v>
      </c>
      <c r="B39522" s="3">
        <v>1</v>
      </c>
    </row>
    <row r="39523" ht="15.75" customHeight="1" spans="1:2">
      <c r="A39523" s="3" t="str">
        <f>IFERROR(__xludf.DUMMYFUNCTION("GOOGLETRANSLATE(A39523,""en"",""pt"")"),"Barato, supostos recursos de ""dual"", capacidade de exibir fotos na TV com cabo incluído, extras incluídos.")</f>
        <v>Barato, supostos recursos de "dual", capacidade de exibir fotos na TV com cabo incluído, extras incluídos.</v>
      </c>
      <c r="B39523" s="3">
        <v>1</v>
      </c>
    </row>
    <row r="39524" ht="15.75" customHeight="1" spans="1:2">
      <c r="A39524" s="3" t="str">
        <f>IFERROR(__xludf.DUMMYFUNCTION("GOOGLETRANSLATE(A39524,""en"",""pt"")"),"Bom valor, boas fotos, simples de usar")</f>
        <v>Bom valor, boas fotos, simples de usar</v>
      </c>
      <c r="B39524" s="3">
        <v>1</v>
      </c>
    </row>
    <row r="39525" ht="15.75" customHeight="1" spans="1:2">
      <c r="A39525" s="3" t="str">
        <f>IFERROR(__xludf.DUMMYFUNCTION("GOOGLETRANSLATE(A39525,""en"",""pt"")"),"Retrato agradável como uma câmera web quando a iluminação é boa.")</f>
        <v>Retrato agradável como uma câmera web quando a iluminação é boa.</v>
      </c>
      <c r="B39525" s="3">
        <v>1</v>
      </c>
    </row>
    <row r="39526" ht="15.75" customHeight="1" spans="1:2">
      <c r="A39526" s="3" t="str">
        <f>IFERROR(__xludf.DUMMYFUNCTION("GOOGLETRANSLATE(A39526,""en"",""pt"")"),"acessíveis, imagens de alta qualidade, tem um monte de imagens, porta USB, de bolso, por isso é fácil de transportar.")</f>
        <v>acessíveis, imagens de alta qualidade, tem um monte de imagens, porta USB, de bolso, por isso é fácil de transportar.</v>
      </c>
      <c r="B39526" s="3">
        <v>1</v>
      </c>
    </row>
    <row r="39527" ht="15.75" customHeight="1" spans="1:2">
      <c r="A39527" s="3" t="str">
        <f>IFERROR(__xludf.DUMMYFUNCTION("GOOGLETRANSLATE(A39527,""en"",""pt"")"),"Preço, qualidade de imagem, dimensões, porta USB, CF-slot, Flash, WebCam")</f>
        <v>Preço, qualidade de imagem, dimensões, porta USB, CF-slot, Flash, WebCam</v>
      </c>
      <c r="B39527" s="3">
        <v>1</v>
      </c>
    </row>
    <row r="39528" ht="15.75" customHeight="1" spans="1:2">
      <c r="A39528" s="3" t="str">
        <f>IFERROR(__xludf.DUMMYFUNCTION("GOOGLETRANSLATE(A39528,""en"",""pt"")"),"Pequeno, barato, fácil")</f>
        <v>Pequeno, barato, fácil</v>
      </c>
      <c r="B39528" s="3">
        <v>1</v>
      </c>
    </row>
    <row r="39529" ht="15.75" customHeight="1" spans="1:2">
      <c r="A39529" s="3" t="str">
        <f>IFERROR(__xludf.DUMMYFUNCTION("GOOGLETRANSLATE(A39529,""en"",""pt"")"),"Fácil manuseio, boa qualidade com bastante luz, câmara web também.")</f>
        <v>Fácil manuseio, boa qualidade com bastante luz, câmara web também.</v>
      </c>
      <c r="B39529" s="3">
        <v>1</v>
      </c>
    </row>
    <row r="39530" ht="15.75" customHeight="1" spans="1:2">
      <c r="A39530" s="3" t="str">
        <f>IFERROR(__xludf.DUMMYFUNCTION("GOOGLETRANSLATE(A39530,""en"",""pt"")"),"Boas fotos, preço e fácil de usar.")</f>
        <v>Boas fotos, preço e fácil de usar.</v>
      </c>
      <c r="B39530" s="3">
        <v>1</v>
      </c>
    </row>
    <row r="39531" ht="15.75" customHeight="1" spans="1:2">
      <c r="A39531" s="3" t="str">
        <f>IFERROR(__xludf.DUMMYFUNCTION("GOOGLETRANSLATE(A39531,""en"",""pt"")"),"Leve, pequeno, grande na webcam")</f>
        <v>Leve, pequeno, grande na webcam</v>
      </c>
      <c r="B39531" s="3">
        <v>1</v>
      </c>
    </row>
    <row r="39532" ht="15.75" customHeight="1" spans="1:2">
      <c r="A39532" s="3" t="str">
        <f>IFERROR(__xludf.DUMMYFUNCTION("GOOGLETRANSLATE(A39532,""en"",""pt"")"),"Qualidade de imagem, CF Slot para cartão, Flash, USB")</f>
        <v>Qualidade de imagem, CF Slot para cartão, Flash, USB</v>
      </c>
      <c r="B39532" s="3">
        <v>1</v>
      </c>
    </row>
    <row r="39533" ht="15.75" customHeight="1" spans="1:2">
      <c r="A39533" s="3" t="str">
        <f>IFERROR(__xludf.DUMMYFUNCTION("GOOGLETRANSLATE(A39533,""en"",""pt"")"),"você pode encontrar algo melhor por este preço?")</f>
        <v>você pode encontrar algo melhor por este preço?</v>
      </c>
      <c r="B39533" s="3">
        <v>1</v>
      </c>
    </row>
    <row r="39534" ht="15.75" customHeight="1" spans="1:2">
      <c r="A39534" s="3" t="str">
        <f>IFERROR(__xludf.DUMMYFUNCTION("GOOGLETRANSLATE(A39534,""en"",""pt"")"),"Preço, facilidade de uso, tamanho.")</f>
        <v>Preço, facilidade de uso, tamanho.</v>
      </c>
      <c r="B39534" s="3">
        <v>1</v>
      </c>
    </row>
    <row r="39535" ht="15.75" customHeight="1" spans="1:2">
      <c r="A39535" s="3" t="str">
        <f>IFERROR(__xludf.DUMMYFUNCTION("GOOGLETRANSLATE(A39535,""en"",""pt"")"),"CompactFlash, USB, tem flash, excelente qualidade de imagem ao ar livre, bom para web ou iniciante")</f>
        <v>CompactFlash, USB, tem flash, excelente qualidade de imagem ao ar livre, bom para web ou iniciante</v>
      </c>
      <c r="B39535" s="3">
        <v>1</v>
      </c>
    </row>
    <row r="39536" ht="15.75" customHeight="1" spans="1:2">
      <c r="A39536" s="3" t="str">
        <f>IFERROR(__xludf.DUMMYFUNCTION("GOOGLETRANSLATE(A39536,""en"",""pt"")"),"Flash, Digital, USB, alta ou baixa qualidade, WEB CAM,")</f>
        <v>Flash, Digital, USB, alta ou baixa qualidade, WEB CAM,</v>
      </c>
      <c r="B39536" s="3">
        <v>1</v>
      </c>
    </row>
    <row r="39537" ht="15.75" customHeight="1" spans="1:2">
      <c r="A39537" s="3" t="str">
        <f>IFERROR(__xludf.DUMMYFUNCTION("GOOGLETRANSLATE(A39537,""en"",""pt"")"),"Preço / Qualidade, impressões agfanet, tamanho, pacote de software, versatilidade")</f>
        <v>Preço / Qualidade, impressões agfanet, tamanho, pacote de software, versatilidade</v>
      </c>
      <c r="B39537" s="3">
        <v>1</v>
      </c>
    </row>
    <row r="39538" ht="15.75" customHeight="1" spans="1:2">
      <c r="A39538" s="3" t="str">
        <f>IFERROR(__xludf.DUMMYFUNCTION("GOOGLETRANSLATE(A39538,""en"",""pt"")"),"Barato, boas fotos em boas condições de iluminação")</f>
        <v>Barato, boas fotos em boas condições de iluminação</v>
      </c>
      <c r="B39538" s="3">
        <v>1</v>
      </c>
    </row>
    <row r="39539" ht="15.75" customHeight="1" spans="1:2">
      <c r="A39539" s="3" t="str">
        <f>IFERROR(__xludf.DUMMYFUNCTION("GOOGLETRANSLATE(A39539,""en"",""pt"")"),"tela LCD, Clik! unidade, navegação nob, software fácil")</f>
        <v>tela LCD, Clik! unidade, navegação nob, software fácil</v>
      </c>
      <c r="B39539" s="3">
        <v>1</v>
      </c>
    </row>
    <row r="39540" ht="15.75" customHeight="1" spans="1:2">
      <c r="A39540" s="3" t="str">
        <f>IFERROR(__xludf.DUMMYFUNCTION("GOOGLETRANSLATE(A39540,""en"",""pt"")"),"Fácil de usar, 1 Megapixel")</f>
        <v>Fácil de usar, 1 Megapixel</v>
      </c>
      <c r="B39540" s="3">
        <v>1</v>
      </c>
    </row>
    <row r="39541" ht="15.75" customHeight="1" spans="1:2">
      <c r="A39541" s="3" t="str">
        <f>IFERROR(__xludf.DUMMYFUNCTION("GOOGLETRANSLATE(A39541,""en"",""pt"")"),"boa qualidade pic &amp; amp; amp; preço")</f>
        <v>boa qualidade pic &amp; amp; amp; preço</v>
      </c>
      <c r="B39541" s="3">
        <v>1</v>
      </c>
    </row>
    <row r="39542" ht="15.75" customHeight="1" spans="1:2">
      <c r="A39542" s="3" t="str">
        <f>IFERROR(__xludf.DUMMYFUNCTION("GOOGLETRANSLATE(A39542,""en"",""pt"")"),"leve, fácil de usar")</f>
        <v>leve, fácil de usar</v>
      </c>
      <c r="B39542" s="3">
        <v>1</v>
      </c>
    </row>
    <row r="39543" ht="15.75" customHeight="1" spans="1:2">
      <c r="A39543" s="3" t="str">
        <f>IFERROR(__xludf.DUMMYFUNCTION("GOOGLETRANSLATE(A39543,""en"",""pt"")"),"Simplicidade, feixe do cabo, Qualidade Fotográfica")</f>
        <v>Simplicidade, feixe do cabo, Qualidade Fotográfica</v>
      </c>
      <c r="B39543" s="3">
        <v>1</v>
      </c>
    </row>
    <row r="39544" ht="15.75" customHeight="1" spans="1:2">
      <c r="A39544" s="3" t="str">
        <f>IFERROR(__xludf.DUMMYFUNCTION("GOOGLETRANSLATE(A39544,""en"",""pt"")"),"Fácil de usar, excelente qualidade de imagem")</f>
        <v>Fácil de usar, excelente qualidade de imagem</v>
      </c>
      <c r="B39544" s="3">
        <v>1</v>
      </c>
    </row>
    <row r="39545" ht="15.75" customHeight="1" spans="1:2">
      <c r="A39545" s="3" t="str">
        <f>IFERROR(__xludf.DUMMYFUNCTION("GOOGLETRANSLATE(A39545,""en"",""pt"")"),"barato Clik! media, 1,5 resolução MP, zoom digital 2x")</f>
        <v>barato Clik! media, 1,5 resolução MP, zoom digital 2x</v>
      </c>
      <c r="B39545" s="3">
        <v>1</v>
      </c>
    </row>
    <row r="39546" ht="15.75" customHeight="1" spans="1:2">
      <c r="A39546" s="3" t="str">
        <f>IFERROR(__xludf.DUMMYFUNCTION("GOOGLETRANSLATE(A39546,""en"",""pt"")"),"boa qualidade de imagem, a preços acessíveis")</f>
        <v>boa qualidade de imagem, a preços acessíveis</v>
      </c>
      <c r="B39546" s="3">
        <v>1</v>
      </c>
    </row>
    <row r="39547" ht="15.75" customHeight="1" spans="1:2">
      <c r="A39547" s="3" t="str">
        <f>IFERROR(__xludf.DUMMYFUNCTION("GOOGLETRANSLATE(A39547,""en"",""pt"")"),"Nao muitos.")</f>
        <v>Nao muitos.</v>
      </c>
      <c r="B39547" s="3">
        <v>1</v>
      </c>
    </row>
    <row r="39548" ht="15.75" customHeight="1" spans="1:2">
      <c r="A39548" s="3" t="str">
        <f>IFERROR(__xludf.DUMMYFUNCTION("GOOGLETRANSLATE(A39548,""en"",""pt"")"),"boa $")</f>
        <v>boa $</v>
      </c>
      <c r="B39548" s="3">
        <v>1</v>
      </c>
    </row>
    <row r="39549" ht="15.75" customHeight="1" spans="1:2">
      <c r="A39549" s="3" t="str">
        <f>IFERROR(__xludf.DUMMYFUNCTION("GOOGLETRANSLATE(A39549,""en"",""pt"")"),"facilidade de uso, tamanho compacto")</f>
        <v>facilidade de uso, tamanho compacto</v>
      </c>
      <c r="B39549" s="3">
        <v>1</v>
      </c>
    </row>
    <row r="39550" ht="15.75" customHeight="1" spans="1:2">
      <c r="A39550" s="3" t="str">
        <f>IFERROR(__xludf.DUMMYFUNCTION("GOOGLETRANSLATE(A39550,""en"",""pt"")"),"Bonita, leve, barato")</f>
        <v>Bonita, leve, barato</v>
      </c>
      <c r="B39550" s="3">
        <v>1</v>
      </c>
    </row>
    <row r="39551" ht="15.75" customHeight="1" spans="1:2">
      <c r="A39551" s="3" t="str">
        <f>IFERROR(__xludf.DUMMYFUNCTION("GOOGLETRANSLATE(A39551,""en"",""pt"")"),"leva boas imagens")</f>
        <v>leva boas imagens</v>
      </c>
      <c r="B39551" s="3">
        <v>1</v>
      </c>
    </row>
    <row r="39552" ht="15.75" customHeight="1" spans="1:2">
      <c r="A39552" s="3" t="str">
        <f>IFERROR(__xludf.DUMMYFUNCTION("GOOGLETRANSLATE(A39552,""en"",""pt"")"),"Valor")</f>
        <v>Valor</v>
      </c>
      <c r="B39552" s="3">
        <v>1</v>
      </c>
    </row>
    <row r="39553" ht="15.75" customHeight="1" spans="1:2">
      <c r="A39553" s="3" t="str">
        <f>IFERROR(__xludf.DUMMYFUNCTION("GOOGLETRANSLATE(A39553,""en"",""pt"")"),"Transfira fotos da câmera para o software de forma rápida, fácil começar com")</f>
        <v>Transfira fotos da câmera para o software de forma rápida, fácil começar com</v>
      </c>
      <c r="B39553" s="3">
        <v>1</v>
      </c>
    </row>
    <row r="39554" ht="15.75" customHeight="1" spans="1:2">
      <c r="A39554" s="3" t="str">
        <f>IFERROR(__xludf.DUMMYFUNCTION("GOOGLETRANSLATE(A39554,""en"",""pt"")"),"Bom preço, fotos de boa qualidade.")</f>
        <v>Bom preço, fotos de boa qualidade.</v>
      </c>
      <c r="B39554" s="3">
        <v>1</v>
      </c>
    </row>
    <row r="39555" ht="15.75" customHeight="1" spans="1:2">
      <c r="A39555" s="3" t="str">
        <f>IFERROR(__xludf.DUMMYFUNCTION("GOOGLETRANSLATE(A39555,""en"",""pt"")"),"Barato, fácil, bom para o fotógrafo amador")</f>
        <v>Barato, fácil, bom para o fotógrafo amador</v>
      </c>
      <c r="B39555" s="3">
        <v>1</v>
      </c>
    </row>
    <row r="39556" ht="15.75" customHeight="1" spans="1:2">
      <c r="A39556" s="3" t="str">
        <f>IFERROR(__xludf.DUMMYFUNCTION("GOOGLETRANSLATE(A39556,""en"",""pt"")"),"Facilidade de uso, imagens de grande qualidade, custo")</f>
        <v>Facilidade de uso, imagens de grande qualidade, custo</v>
      </c>
      <c r="B39556" s="3">
        <v>1</v>
      </c>
    </row>
    <row r="39557" ht="15.75" customHeight="1" spans="1:2">
      <c r="A39557" s="3" t="str">
        <f>IFERROR(__xludf.DUMMYFUNCTION("GOOGLETRANSLATE(A39557,""en"",""pt"")"),"pode ser usado como uma unidade, USB compatível, excelente qualidade de imagem, mídia mais barata.")</f>
        <v>pode ser usado como uma unidade, USB compatível, excelente qualidade de imagem, mídia mais barata.</v>
      </c>
      <c r="B39557" s="3">
        <v>1</v>
      </c>
    </row>
    <row r="39558" ht="15.75" customHeight="1" spans="1:2">
      <c r="A39558" s="3" t="str">
        <f>IFERROR(__xludf.DUMMYFUNCTION("GOOGLETRANSLATE(A39558,""en"",""pt"")"),"qualidade")</f>
        <v>qualidade</v>
      </c>
      <c r="B39558" s="3">
        <v>1</v>
      </c>
    </row>
    <row r="39559" ht="15.75" customHeight="1" spans="1:2">
      <c r="A39559" s="3" t="str">
        <f>IFERROR(__xludf.DUMMYFUNCTION("GOOGLETRANSLATE(A39559,""en"",""pt"")"),"Excelente Qualidade, barato, fácil de usar")</f>
        <v>Excelente Qualidade, barato, fácil de usar</v>
      </c>
      <c r="B39559" s="3">
        <v>1</v>
      </c>
    </row>
    <row r="39560" ht="15.75" customHeight="1" spans="1:2">
      <c r="A39560" s="3" t="str">
        <f>IFERROR(__xludf.DUMMYFUNCTION("GOOGLETRANSLATE(A39560,""en"",""pt"")"),"opções de conectividade: PCMIA, USB, serial")</f>
        <v>opções de conectividade: PCMIA, USB, serial</v>
      </c>
      <c r="B39560" s="3">
        <v>1</v>
      </c>
    </row>
    <row r="39561" ht="15.75" customHeight="1" spans="1:2">
      <c r="A39561" s="3" t="str">
        <f>IFERROR(__xludf.DUMMYFUNCTION("GOOGLETRANSLATE(A39561,""en"",""pt"")"),"Bom controle de recurso, bom recurso macro, boa qualidade de imagem")</f>
        <v>Bom controle de recurso, bom recurso macro, boa qualidade de imagem</v>
      </c>
      <c r="B39561" s="3">
        <v>1</v>
      </c>
    </row>
    <row r="39562" ht="15.75" customHeight="1" spans="1:2">
      <c r="A39562" s="3" t="str">
        <f>IFERROR(__xludf.DUMMYFUNCTION("GOOGLETRANSLATE(A39562,""en"",""pt"")"),"USB, megapixel, armazenamento em massa, visualização LCD")</f>
        <v>USB, megapixel, armazenamento em massa, visualização LCD</v>
      </c>
      <c r="B39562" s="3">
        <v>1</v>
      </c>
    </row>
    <row r="39563" ht="15.75" customHeight="1" spans="1:2">
      <c r="A39563" s="3" t="str">
        <f>IFERROR(__xludf.DUMMYFUNCTION("GOOGLETRANSLATE(A39563,""en"",""pt"")"),"Barato Media, Optical View Finder, Switchable LCD, LCD Cover")</f>
        <v>Barato Media, Optical View Finder, Switchable LCD, LCD Cover</v>
      </c>
      <c r="B39563" s="3">
        <v>1</v>
      </c>
    </row>
    <row r="39564" ht="15.75" customHeight="1" spans="1:2">
      <c r="A39564" s="3" t="str">
        <f>IFERROR(__xludf.DUMMYFUNCTION("GOOGLETRANSLATE(A39564,""en"",""pt"")"),"Preço, Foto qualidade, peso")</f>
        <v>Preço, Foto qualidade, peso</v>
      </c>
      <c r="B39564" s="3">
        <v>1</v>
      </c>
    </row>
    <row r="39565" ht="15.75" customHeight="1" spans="1:2">
      <c r="A39565" s="3" t="str">
        <f>IFERROR(__xludf.DUMMYFUNCTION("GOOGLETRANSLATE(A39565,""en"",""pt"")"),"Photowise 1,7; LCD selecionável; tampa do LCD; visor óptico")</f>
        <v>Photowise 1,7; LCD selecionável; tampa do LCD; visor óptico</v>
      </c>
      <c r="B39565" s="3">
        <v>1</v>
      </c>
    </row>
    <row r="39566" ht="15.75" customHeight="1" spans="1:2">
      <c r="A39566" s="3" t="str">
        <f>IFERROR(__xludf.DUMMYFUNCTION("GOOGLETRANSLATE(A39566,""en"",""pt"")"),"Fácil de usar o software e câmera, veio com tudo o necessário para começar imediatamente.")</f>
        <v>Fácil de usar o software e câmera, veio com tudo o necessário para começar imediatamente.</v>
      </c>
      <c r="B39566" s="3">
        <v>1</v>
      </c>
    </row>
    <row r="39567" ht="15.75" customHeight="1" spans="1:2">
      <c r="A39567" s="3" t="str">
        <f>IFERROR(__xludf.DUMMYFUNCTION("GOOGLETRANSLATE(A39567,""en"",""pt"")"),"Fácil de usar, barato")</f>
        <v>Fácil de usar, barato</v>
      </c>
      <c r="B39567" s="3">
        <v>1</v>
      </c>
    </row>
    <row r="39568" ht="15.75" customHeight="1" spans="1:2">
      <c r="A39568" s="3" t="str">
        <f>IFERROR(__xludf.DUMMYFUNCTION("GOOGLETRANSLATE(A39568,""en"",""pt"")"),"Excelente qualidade de imagem e espaço de armazenamento expandida")</f>
        <v>Excelente qualidade de imagem e espaço de armazenamento expandida</v>
      </c>
      <c r="B39568" s="3">
        <v>1</v>
      </c>
    </row>
    <row r="39569" ht="15.75" customHeight="1" spans="1:2">
      <c r="A39569" s="3" t="str">
        <f>IFERROR(__xludf.DUMMYFUNCTION("GOOGLETRANSLATE(A39569,""en"",""pt"")"),"belas fotos")</f>
        <v>belas fotos</v>
      </c>
      <c r="B39569" s="3">
        <v>1</v>
      </c>
    </row>
    <row r="39570" ht="15.75" customHeight="1" spans="1:2">
      <c r="A39570" s="3" t="str">
        <f>IFERROR(__xludf.DUMMYFUNCTION("GOOGLETRANSLATE(A39570,""en"",""pt"")"),"acessórios")</f>
        <v>acessórios</v>
      </c>
      <c r="B39570" s="3">
        <v>1</v>
      </c>
    </row>
    <row r="39571" ht="15.75" customHeight="1" spans="1:2">
      <c r="A39571" s="3" t="str">
        <f>IFERROR(__xludf.DUMMYFUNCTION("GOOGLETRANSLATE(A39571,""en"",""pt"")"),"Nenhum")</f>
        <v>Nenhum</v>
      </c>
      <c r="B39571" s="3">
        <v>1</v>
      </c>
    </row>
    <row r="39572" ht="15.75" customHeight="1" spans="1:2">
      <c r="A39572" s="3" t="str">
        <f>IFERROR(__xludf.DUMMYFUNCTION("GOOGLETRANSLATE(A39572,""en"",""pt"")"),"Você pode tomar todas as imagens de alta resolução sem se preocupar com o espaço!")</f>
        <v>Você pode tomar todas as imagens de alta resolução sem se preocupar com o espaço!</v>
      </c>
      <c r="B39572" s="3">
        <v>1</v>
      </c>
    </row>
    <row r="39573" ht="15.75" customHeight="1" spans="1:2">
      <c r="A39573" s="3" t="str">
        <f>IFERROR(__xludf.DUMMYFUNCTION("GOOGLETRANSLATE(A39573,""en"",""pt"")"),"imagens claras, muito espaço de memória (40MB cada clik! disco)")</f>
        <v>imagens claras, muito espaço de memória (40MB cada clik! disco)</v>
      </c>
      <c r="B39573" s="3">
        <v>1</v>
      </c>
    </row>
    <row r="39574" ht="15.75" customHeight="1" spans="1:2">
      <c r="A39574" s="3" t="str">
        <f>IFERROR(__xludf.DUMMYFUNCTION("GOOGLETRANSLATE(A39574,""en"",""pt"")"),"câmera azul pequeno bonito")</f>
        <v>câmera azul pequeno bonito</v>
      </c>
      <c r="B39574" s="3">
        <v>1</v>
      </c>
    </row>
    <row r="39575" ht="15.75" customHeight="1" spans="1:2">
      <c r="A39575" s="3" t="str">
        <f>IFERROR(__xludf.DUMMYFUNCTION("GOOGLETRANSLATE(A39575,""en"",""pt"")"),"embalagem bonita")</f>
        <v>embalagem bonita</v>
      </c>
      <c r="B39575" s="3">
        <v>1</v>
      </c>
    </row>
    <row r="39576" ht="15.75" customHeight="1" spans="1:2">
      <c r="A39576" s="3" t="str">
        <f>IFERROR(__xludf.DUMMYFUNCTION("GOOGLETRANSLATE(A39576,""en"",""pt"")"),"Era de graça!")</f>
        <v>Era de graça!</v>
      </c>
      <c r="B39576" s="3">
        <v>1</v>
      </c>
    </row>
    <row r="39577" ht="15.75" customHeight="1" spans="1:2">
      <c r="A39577" s="3" t="str">
        <f>IFERROR(__xludf.DUMMYFUNCTION("GOOGLETRANSLATE(A39577,""en"",""pt"")"),"Facilidade de uso, preço")</f>
        <v>Facilidade de uso, preço</v>
      </c>
      <c r="B39577" s="3">
        <v>1</v>
      </c>
    </row>
    <row r="39578" ht="15.75" customHeight="1" spans="1:2">
      <c r="A39578" s="3" t="str">
        <f>IFERROR(__xludf.DUMMYFUNCTION("GOOGLETRANSLATE(A39578,""en"",""pt"")"),"pequeno, barato, construído em flash")</f>
        <v>pequeno, barato, construído em flash</v>
      </c>
      <c r="B39578" s="3">
        <v>1</v>
      </c>
    </row>
    <row r="39579" ht="15.75" customHeight="1" spans="1:2">
      <c r="A39579" s="3" t="str">
        <f>IFERROR(__xludf.DUMMYFUNCTION("GOOGLETRANSLATE(A39579,""en"",""pt"")"),"Barato, funcional")</f>
        <v>Barato, funcional</v>
      </c>
      <c r="B39579" s="3">
        <v>1</v>
      </c>
    </row>
    <row r="39580" ht="15.75" customHeight="1" spans="1:2">
      <c r="A39580" s="3" t="str">
        <f>IFERROR(__xludf.DUMMYFUNCTION("GOOGLETRANSLATE(A39580,""en"",""pt"")"),"pequeno, leve, pode visualizar imagens na televisão")</f>
        <v>pequeno, leve, pode visualizar imagens na televisão</v>
      </c>
      <c r="B39580" s="3">
        <v>1</v>
      </c>
    </row>
    <row r="39581" ht="15.75" customHeight="1" spans="1:2">
      <c r="A39581" s="3" t="str">
        <f>IFERROR(__xludf.DUMMYFUNCTION("GOOGLETRANSLATE(A39581,""en"",""pt"")"),"barato, bonito, fácil de usar")</f>
        <v>barato, bonito, fácil de usar</v>
      </c>
      <c r="B39581" s="3">
        <v>1</v>
      </c>
    </row>
    <row r="39582" ht="15.75" customHeight="1" spans="1:2">
      <c r="A39582" s="3" t="str">
        <f>IFERROR(__xludf.DUMMYFUNCTION("GOOGLETRANSLATE(A39582,""en"",""pt"")"),"preço, Flash, fácil de usar")</f>
        <v>preço, Flash, fácil de usar</v>
      </c>
      <c r="B39582" s="3">
        <v>1</v>
      </c>
    </row>
    <row r="39583" ht="15.75" customHeight="1" spans="1:2">
      <c r="A39583" s="3" t="str">
        <f>IFERROR(__xludf.DUMMYFUNCTION("GOOGLETRANSLATE(A39583,""en"",""pt"")"),"barato, E-Z para uso")</f>
        <v>barato, E-Z para uso</v>
      </c>
      <c r="B39583" s="3">
        <v>1</v>
      </c>
    </row>
    <row r="39584" ht="15.75" customHeight="1" spans="1:2">
      <c r="A39584" s="3" t="str">
        <f>IFERROR(__xludf.DUMMYFUNCTION("GOOGLETRANSLATE(A39584,""en"",""pt"")"),"Vendi-o novamente no Ebay.")</f>
        <v>Vendi-o novamente no Ebay.</v>
      </c>
      <c r="B39584" s="3">
        <v>1</v>
      </c>
    </row>
    <row r="39585" ht="15.75" customHeight="1" spans="1:2">
      <c r="A39585" s="3" t="str">
        <f>IFERROR(__xludf.DUMMYFUNCTION("GOOGLETRANSLATE(A39585,""en"",""pt"")"),"Nenhum")</f>
        <v>Nenhum</v>
      </c>
      <c r="B39585" s="3">
        <v>1</v>
      </c>
    </row>
    <row r="39586" ht="15.75" customHeight="1" spans="1:2">
      <c r="A39586" s="3" t="str">
        <f>IFERROR(__xludf.DUMMYFUNCTION("GOOGLETRANSLATE(A39586,""en"",""pt"")"),"Preço certo para um iniciante.")</f>
        <v>Preço certo para um iniciante.</v>
      </c>
      <c r="B39586" s="3">
        <v>1</v>
      </c>
    </row>
    <row r="39587" ht="15.75" customHeight="1" spans="1:2">
      <c r="A39587" s="3" t="str">
        <f>IFERROR(__xludf.DUMMYFUNCTION("GOOGLETRANSLATE(A39587,""en"",""pt"")"),"tv-out, a webcam capaz")</f>
        <v>tv-out, a webcam capaz</v>
      </c>
      <c r="B39587" s="3">
        <v>1</v>
      </c>
    </row>
    <row r="39588" ht="15.75" customHeight="1" spans="1:2">
      <c r="A39588" s="3" t="str">
        <f>IFERROR(__xludf.DUMMYFUNCTION("GOOGLETRANSLATE(A39588,""en"",""pt"")"),"Barato, menor do que o de bolso")</f>
        <v>Barato, menor do que o de bolso</v>
      </c>
      <c r="B39588" s="3">
        <v>1</v>
      </c>
    </row>
    <row r="39589" ht="15.75" customHeight="1" spans="1:2">
      <c r="A39589" s="3" t="str">
        <f>IFERROR(__xludf.DUMMYFUNCTION("GOOGLETRANSLATE(A39589,""en"",""pt"")"),"Barato, pequena.")</f>
        <v>Barato, pequena.</v>
      </c>
      <c r="B39589" s="3">
        <v>1</v>
      </c>
    </row>
    <row r="39590" ht="15.75" customHeight="1" spans="1:2">
      <c r="A39590" s="3" t="str">
        <f>IFERROR(__xludf.DUMMYFUNCTION("GOOGLETRANSLATE(A39590,""en"",""pt"")"),"amigo do usuário")</f>
        <v>amigo do usuário</v>
      </c>
      <c r="B39590" s="3">
        <v>1</v>
      </c>
    </row>
    <row r="39591" ht="15.75" customHeight="1" spans="1:2">
      <c r="A39591" s="3" t="str">
        <f>IFERROR(__xludf.DUMMYFUNCTION("GOOGLETRANSLATE(A39591,""en"",""pt"")"),"resolução e preço")</f>
        <v>resolução e preço</v>
      </c>
      <c r="B39591" s="3">
        <v>1</v>
      </c>
    </row>
    <row r="39592" ht="15.75" customHeight="1" spans="1:2">
      <c r="A39592" s="3" t="str">
        <f>IFERROR(__xludf.DUMMYFUNCTION("GOOGLETRANSLATE(A39592,""en"",""pt"")"),"tamanho pequeno")</f>
        <v>tamanho pequeno</v>
      </c>
      <c r="B39592" s="3">
        <v>1</v>
      </c>
    </row>
    <row r="39593" ht="15.75" customHeight="1" spans="1:2">
      <c r="A39593" s="3" t="str">
        <f>IFERROR(__xludf.DUMMYFUNCTION("GOOGLETRANSLATE(A39593,""en"",""pt"")"),"que tem um flash")</f>
        <v>que tem um flash</v>
      </c>
      <c r="B39593" s="3">
        <v>1</v>
      </c>
    </row>
    <row r="39594" ht="15.75" customHeight="1" spans="1:2">
      <c r="A39594" s="3" t="str">
        <f>IFERROR(__xludf.DUMMYFUNCTION("GOOGLETRANSLATE(A39594,""en"",""pt"")"),"Barato, elegante procurando")</f>
        <v>Barato, elegante procurando</v>
      </c>
      <c r="B39594" s="3">
        <v>1</v>
      </c>
    </row>
    <row r="39595" ht="15.75" customHeight="1" spans="1:2">
      <c r="A39595" s="3" t="str">
        <f>IFERROR(__xludf.DUMMYFUNCTION("GOOGLETRANSLATE(A39595,""en"",""pt"")"),"não gosta,")</f>
        <v>não gosta,</v>
      </c>
      <c r="B39595" s="3">
        <v>1</v>
      </c>
    </row>
    <row r="39596" ht="15.75" customHeight="1" spans="1:2">
      <c r="A39596" s="3" t="str">
        <f>IFERROR(__xludf.DUMMYFUNCTION("GOOGLETRANSLATE(A39596,""en"",""pt"")"),"Nenhum")</f>
        <v>Nenhum</v>
      </c>
      <c r="B39596" s="3">
        <v>1</v>
      </c>
    </row>
    <row r="39597" ht="15.75" customHeight="1" spans="1:2">
      <c r="A39597" s="3" t="str">
        <f>IFERROR(__xludf.DUMMYFUNCTION("GOOGLETRANSLATE(A39597,""en"",""pt"")"),"peso leve; tem funções; tirar fotos")</f>
        <v>peso leve; tem funções; tirar fotos</v>
      </c>
      <c r="B39597" s="3">
        <v>1</v>
      </c>
    </row>
    <row r="39598" ht="15.75" customHeight="1" spans="1:2">
      <c r="A39598" s="3" t="str">
        <f>IFERROR(__xludf.DUMMYFUNCTION("GOOGLETRANSLATE(A39598,""en"",""pt"")"),"Preço")</f>
        <v>Preço</v>
      </c>
      <c r="B39598" s="3">
        <v>1</v>
      </c>
    </row>
    <row r="39599" ht="15.75" customHeight="1" spans="1:2">
      <c r="A39599" s="3" t="str">
        <f>IFERROR(__xludf.DUMMYFUNCTION("GOOGLETRANSLATE(A39599,""en"",""pt"")"),"Ótimo preço")</f>
        <v>Ótimo preço</v>
      </c>
      <c r="B39599" s="3">
        <v>1</v>
      </c>
    </row>
    <row r="39600" ht="15.75" customHeight="1" spans="1:2">
      <c r="A39600" s="3" t="str">
        <f>IFERROR(__xludf.DUMMYFUNCTION("GOOGLETRANSLATE(A39600,""en"",""pt"")"),"É uma cor bonita e é muito compacto")</f>
        <v>É uma cor bonita e é muito compacto</v>
      </c>
      <c r="B39600" s="3">
        <v>1</v>
      </c>
    </row>
    <row r="39601" ht="15.75" customHeight="1" spans="1:2">
      <c r="A39601" s="3" t="str">
        <f>IFERROR(__xludf.DUMMYFUNCTION("GOOGLETRANSLATE(A39601,""en"",""pt"")"),"toma fotos")</f>
        <v>toma fotos</v>
      </c>
      <c r="B39601" s="3">
        <v>1</v>
      </c>
    </row>
    <row r="39602" ht="15.75" customHeight="1" spans="1:2">
      <c r="A39602" s="3" t="str">
        <f>IFERROR(__xludf.DUMMYFUNCTION("GOOGLETRANSLATE(A39602,""en"",""pt"")"),"É barato")</f>
        <v>É barato</v>
      </c>
      <c r="B39602" s="3">
        <v>1</v>
      </c>
    </row>
    <row r="39603" ht="15.75" customHeight="1" spans="1:2">
      <c r="A39603" s="3" t="str">
        <f>IFERROR(__xludf.DUMMYFUNCTION("GOOGLETRANSLATE(A39603,""en"",""pt"")"),"fácil, compacto, temporizador")</f>
        <v>fácil, compacto, temporizador</v>
      </c>
      <c r="B39603" s="3">
        <v>1</v>
      </c>
    </row>
    <row r="39604" ht="15.75" customHeight="1" spans="1:2">
      <c r="A39604" s="3" t="str">
        <f>IFERROR(__xludf.DUMMYFUNCTION("GOOGLETRANSLATE(A39604,""en"",""pt"")"),"NÃO")</f>
        <v>NÃO</v>
      </c>
      <c r="B39604" s="3">
        <v>1</v>
      </c>
    </row>
    <row r="39605" ht="15.75" customHeight="1" spans="1:2">
      <c r="A39605" s="3" t="str">
        <f>IFERROR(__xludf.DUMMYFUNCTION("GOOGLETRANSLATE(A39605,""en"",""pt"")"),"pequeno, leve, brilhante, azul, barato")</f>
        <v>pequeno, leve, brilhante, azul, barato</v>
      </c>
      <c r="B39605" s="3">
        <v>1</v>
      </c>
    </row>
    <row r="39606" ht="15.75" customHeight="1" spans="1:2">
      <c r="A39606" s="3" t="str">
        <f>IFERROR(__xludf.DUMMYFUNCTION("GOOGLETRANSLATE(A39606,""en"",""pt"")"),"Parece muito, tem funções extras")</f>
        <v>Parece muito, tem funções extras</v>
      </c>
      <c r="B39606" s="3">
        <v>1</v>
      </c>
    </row>
    <row r="39607" ht="15.75" customHeight="1" spans="1:2">
      <c r="A39607" s="3" t="str">
        <f>IFERROR(__xludf.DUMMYFUNCTION("GOOGLETRANSLATE(A39607,""en"",""pt"")"),"pelo menos não foi tomar caro")</f>
        <v>pelo menos não foi tomar caro</v>
      </c>
      <c r="B39607" s="3">
        <v>1</v>
      </c>
    </row>
    <row r="39608" ht="15.75" customHeight="1" spans="1:2">
      <c r="A39608" s="3" t="str">
        <f>IFERROR(__xludf.DUMMYFUNCTION("GOOGLETRANSLATE(A39608,""en"",""pt"")"),"Barato, fácil de usar. Bom para web fotos.")</f>
        <v>Barato, fácil de usar. Bom para web fotos.</v>
      </c>
      <c r="B39608" s="3">
        <v>1</v>
      </c>
    </row>
    <row r="39609" ht="15.75" customHeight="1" spans="1:2">
      <c r="A39609" s="3" t="str">
        <f>IFERROR(__xludf.DUMMYFUNCTION("GOOGLETRANSLATE(A39609,""en"",""pt"")"),"Era de graça")</f>
        <v>Era de graça</v>
      </c>
      <c r="B39609" s="3">
        <v>1</v>
      </c>
    </row>
    <row r="39610" ht="15.75" customHeight="1" spans="1:2">
      <c r="A39610" s="3" t="str">
        <f>IFERROR(__xludf.DUMMYFUNCTION("GOOGLETRANSLATE(A39610,""en"",""pt"")"),"Barato, pequeno.")</f>
        <v>Barato, pequeno.</v>
      </c>
      <c r="B39610" s="3">
        <v>1</v>
      </c>
    </row>
    <row r="39611" ht="15.75" customHeight="1" spans="1:2">
      <c r="A39611" s="3" t="str">
        <f>IFERROR(__xludf.DUMMYFUNCTION("GOOGLETRANSLATE(A39611,""en"",""pt"")"),"Baixo custo, peso leve, funcional")</f>
        <v>Baixo custo, peso leve, funcional</v>
      </c>
      <c r="B39611" s="3">
        <v>1</v>
      </c>
    </row>
    <row r="39612" ht="15.75" customHeight="1" spans="1:2">
      <c r="A39612" s="3" t="str">
        <f>IFERROR(__xludf.DUMMYFUNCTION("GOOGLETRANSLATE(A39612,""en"",""pt"")"),"barato, leve, pequeno")</f>
        <v>barato, leve, pequeno</v>
      </c>
      <c r="B39612" s="3">
        <v>1</v>
      </c>
    </row>
    <row r="39613" ht="15.75" customHeight="1" spans="1:2">
      <c r="A39613" s="3" t="str">
        <f>IFERROR(__xludf.DUMMYFUNCTION("GOOGLETRANSLATE(A39613,""en"",""pt"")"),"tamanho, facilidade de uso")</f>
        <v>tamanho, facilidade de uso</v>
      </c>
      <c r="B39613" s="3">
        <v>1</v>
      </c>
    </row>
    <row r="39614" ht="15.75" customHeight="1" spans="1:2">
      <c r="A39614" s="3" t="str">
        <f>IFERROR(__xludf.DUMMYFUNCTION("GOOGLETRANSLATE(A39614,""en"",""pt"")"),"Nenhum, período.")</f>
        <v>Nenhum, período.</v>
      </c>
      <c r="B39614" s="3">
        <v>1</v>
      </c>
    </row>
    <row r="39615" ht="15.75" customHeight="1" spans="1:2">
      <c r="A39615" s="3" t="str">
        <f>IFERROR(__xludf.DUMMYFUNCTION("GOOGLETRANSLATE(A39615,""en"",""pt"")"),"Nenhum")</f>
        <v>Nenhum</v>
      </c>
      <c r="B39615" s="3">
        <v>1</v>
      </c>
    </row>
    <row r="39616" ht="15.75" customHeight="1" spans="1:2">
      <c r="A39616" s="3" t="str">
        <f>IFERROR(__xludf.DUMMYFUNCTION("GOOGLETRANSLATE(A39616,""en"",""pt"")"),"Eu ainda estou procurando um")</f>
        <v>Eu ainda estou procurando um</v>
      </c>
      <c r="B39616" s="3">
        <v>1</v>
      </c>
    </row>
    <row r="39617" ht="15.75" customHeight="1" spans="1:2">
      <c r="A39617" s="3" t="str">
        <f>IFERROR(__xludf.DUMMYFUNCTION("GOOGLETRANSLATE(A39617,""en"",""pt"")"),"bonito, fácil de usar")</f>
        <v>bonito, fácil de usar</v>
      </c>
      <c r="B39617" s="3">
        <v>1</v>
      </c>
    </row>
    <row r="39618" ht="15.75" customHeight="1" spans="1:2">
      <c r="A39618" s="3" t="str">
        <f>IFERROR(__xludf.DUMMYFUNCTION("GOOGLETRANSLATE(A39618,""en"",""pt"")"),"Barato, tem muitas características câmeras mais caras não, interface intuitiva")</f>
        <v>Barato, tem muitas características câmeras mais caras não, interface intuitiva</v>
      </c>
      <c r="B39618" s="3">
        <v>1</v>
      </c>
    </row>
    <row r="39619" ht="15.75" customHeight="1" spans="1:2">
      <c r="A39619" s="3" t="str">
        <f>IFERROR(__xludf.DUMMYFUNCTION("GOOGLETRANSLATE(A39619,""en"",""pt"")"),"Specs som bom (melhor do que a realidade)")</f>
        <v>Specs som bom (melhor do que a realidade)</v>
      </c>
      <c r="B39619" s="3">
        <v>1</v>
      </c>
    </row>
    <row r="39620" ht="15.75" customHeight="1" spans="1:2">
      <c r="A39620" s="3" t="str">
        <f>IFERROR(__xludf.DUMMYFUNCTION("GOOGLETRANSLATE(A39620,""en"",""pt"")"),"Faz um bom peso de papel")</f>
        <v>Faz um bom peso de papel</v>
      </c>
      <c r="B39620" s="3">
        <v>1</v>
      </c>
    </row>
    <row r="39621" ht="15.75" customHeight="1" spans="1:2">
      <c r="A39621" s="3" t="str">
        <f>IFERROR(__xludf.DUMMYFUNCTION("GOOGLETRANSLATE(A39621,""en"",""pt"")"),"NENHUM")</f>
        <v>NENHUM</v>
      </c>
      <c r="B39621" s="3">
        <v>1</v>
      </c>
    </row>
    <row r="39622" ht="15.75" customHeight="1" spans="1:2">
      <c r="A39622" s="3" t="str">
        <f>IFERROR(__xludf.DUMMYFUNCTION("GOOGLETRANSLATE(A39622,""en"",""pt"")"),"Barato")</f>
        <v>Barato</v>
      </c>
      <c r="B39622" s="3">
        <v>1</v>
      </c>
    </row>
    <row r="39623" ht="15.75" customHeight="1" spans="1:2">
      <c r="A39623" s="3" t="str">
        <f>IFERROR(__xludf.DUMMYFUNCTION("GOOGLETRANSLATE(A39623,""en"",""pt"")"),"barato, compacto e parece legal")</f>
        <v>barato, compacto e parece legal</v>
      </c>
      <c r="B39623" s="3">
        <v>1</v>
      </c>
    </row>
    <row r="39624" ht="15.75" customHeight="1" spans="1:2">
      <c r="A39624" s="3" t="str">
        <f>IFERROR(__xludf.DUMMYFUNCTION("GOOGLETRANSLATE(A39624,""en"",""pt"")"),"design bonito &amp; amp; amp; controles óbvias")</f>
        <v>design bonito &amp; amp; amp; controles óbvias</v>
      </c>
      <c r="B39624" s="3">
        <v>1</v>
      </c>
    </row>
    <row r="39625" ht="15.75" customHeight="1" spans="1:2">
      <c r="A39625" s="3" t="str">
        <f>IFERROR(__xludf.DUMMYFUNCTION("GOOGLETRANSLATE(A39625,""en"",""pt"")"),"Barato, bonito.")</f>
        <v>Barato, bonito.</v>
      </c>
      <c r="B39625" s="3">
        <v>1</v>
      </c>
    </row>
    <row r="39626" ht="15.75" customHeight="1" spans="1:2">
      <c r="A39626" s="3" t="str">
        <f>IFERROR(__xludf.DUMMYFUNCTION("GOOGLETRANSLATE(A39626,""en"",""pt"")"),"preço para o valor")</f>
        <v>preço para o valor</v>
      </c>
      <c r="B39626" s="3">
        <v>1</v>
      </c>
    </row>
    <row r="39627" ht="15.75" customHeight="1" spans="1:2">
      <c r="A39627" s="3" t="str">
        <f>IFERROR(__xludf.DUMMYFUNCTION("GOOGLETRANSLATE(A39627,""en"",""pt"")"),"SMALL fácil de transportar")</f>
        <v>SMALL fácil de transportar</v>
      </c>
      <c r="B39627" s="3">
        <v>1</v>
      </c>
    </row>
    <row r="39628" ht="15.75" customHeight="1" spans="1:2">
      <c r="A39628" s="3" t="str">
        <f>IFERROR(__xludf.DUMMYFUNCTION("GOOGLETRANSLATE(A39628,""en"",""pt"")"),"Nenhum")</f>
        <v>Nenhum</v>
      </c>
      <c r="B39628" s="3">
        <v>1</v>
      </c>
    </row>
    <row r="39629" ht="15.75" customHeight="1" spans="1:2">
      <c r="A39629" s="3" t="str">
        <f>IFERROR(__xludf.DUMMYFUNCTION("GOOGLETRANSLATE(A39629,""en"",""pt"")"),"Preço baixo")</f>
        <v>Preço baixo</v>
      </c>
      <c r="B39629" s="3">
        <v>1</v>
      </c>
    </row>
    <row r="39630" ht="15.75" customHeight="1" spans="1:2">
      <c r="A39630" s="3" t="str">
        <f>IFERROR(__xludf.DUMMYFUNCTION("GOOGLETRANSLATE(A39630,""en"",""pt"")"),"bom preço, interface fácil, muitos recursos")</f>
        <v>bom preço, interface fácil, muitos recursos</v>
      </c>
      <c r="B39630" s="3">
        <v>1</v>
      </c>
    </row>
    <row r="39631" ht="15.75" customHeight="1" spans="1:2">
      <c r="A39631" s="3" t="str">
        <f>IFERROR(__xludf.DUMMYFUNCTION("GOOGLETRANSLATE(A39631,""en"",""pt"")"),"Leve, simples de usar")</f>
        <v>Leve, simples de usar</v>
      </c>
      <c r="B39631" s="3">
        <v>1</v>
      </c>
    </row>
    <row r="39632" ht="15.75" customHeight="1" spans="1:2">
      <c r="A39632" s="3" t="str">
        <f>IFERROR(__xludf.DUMMYFUNCTION("GOOGLETRANSLATE(A39632,""en"",""pt"")"),"preço baixo")</f>
        <v>preço baixo</v>
      </c>
      <c r="B39632" s="3">
        <v>1</v>
      </c>
    </row>
    <row r="39633" ht="15.75" customHeight="1" spans="1:2">
      <c r="A39633" s="3" t="str">
        <f>IFERROR(__xludf.DUMMYFUNCTION("GOOGLETRANSLATE(A39633,""en"",""pt"")"),"Nenhum")</f>
        <v>Nenhum</v>
      </c>
      <c r="B39633" s="3">
        <v>1</v>
      </c>
    </row>
    <row r="39634" ht="15.75" customHeight="1" spans="1:2">
      <c r="A39634" s="3" t="str">
        <f>IFERROR(__xludf.DUMMYFUNCTION("GOOGLETRANSLATE(A39634,""en"",""pt"")"),"Nenhum")</f>
        <v>Nenhum</v>
      </c>
      <c r="B39634" s="3">
        <v>1</v>
      </c>
    </row>
    <row r="39635" ht="15.75" customHeight="1" spans="1:2">
      <c r="A39635" s="3" t="str">
        <f>IFERROR(__xludf.DUMMYFUNCTION("GOOGLETRANSLATE(A39635,""en"",""pt"")"),"peso, boa construção")</f>
        <v>peso, boa construção</v>
      </c>
      <c r="B39635" s="3">
        <v>1</v>
      </c>
    </row>
    <row r="39636" ht="15.75" customHeight="1" spans="1:2">
      <c r="A39636" s="3" t="str">
        <f>IFERROR(__xludf.DUMMYFUNCTION("GOOGLETRANSLATE(A39636,""en"",""pt"")"),"Barato")</f>
        <v>Barato</v>
      </c>
      <c r="B39636" s="3">
        <v>1</v>
      </c>
    </row>
    <row r="39637" ht="15.75" customHeight="1" spans="1:2">
      <c r="A39637" s="3" t="str">
        <f>IFERROR(__xludf.DUMMYFUNCTION("GOOGLETRANSLATE(A39637,""en"",""pt"")"),"muito barato, pequeno, bem rotulada")</f>
        <v>muito barato, pequeno, bem rotulada</v>
      </c>
      <c r="B39637" s="3">
        <v>1</v>
      </c>
    </row>
    <row r="39638" ht="15.75" customHeight="1" spans="1:2">
      <c r="A39638" s="3" t="str">
        <f>IFERROR(__xludf.DUMMYFUNCTION("GOOGLETRANSLATE(A39638,""en"",""pt"")"),"Absolutamente nada")</f>
        <v>Absolutamente nada</v>
      </c>
      <c r="B39638" s="3">
        <v>1</v>
      </c>
    </row>
    <row r="39639" ht="15.75" customHeight="1" spans="1:2">
      <c r="A39639" s="3" t="str">
        <f>IFERROR(__xludf.DUMMYFUNCTION("GOOGLETRANSLATE(A39639,""en"",""pt"")"),"O tamanho pequeno, design atraente")</f>
        <v>O tamanho pequeno, design atraente</v>
      </c>
      <c r="B39639" s="3">
        <v>1</v>
      </c>
    </row>
    <row r="39640" ht="15.75" customHeight="1" spans="1:2">
      <c r="A39640" s="3" t="str">
        <f>IFERROR(__xludf.DUMMYFUNCTION("GOOGLETRANSLATE(A39640,""en"",""pt"")"),"Foi barato")</f>
        <v>Foi barato</v>
      </c>
      <c r="B39640" s="3">
        <v>1</v>
      </c>
    </row>
    <row r="39641" ht="15.75" customHeight="1" spans="1:2">
      <c r="A39641" s="3" t="str">
        <f>IFERROR(__xludf.DUMMYFUNCTION("GOOGLETRANSLATE(A39641,""en"",""pt"")"),"Barato e fácil de usar")</f>
        <v>Barato e fácil de usar</v>
      </c>
      <c r="B39641" s="3">
        <v>1</v>
      </c>
    </row>
    <row r="39642" ht="15.75" customHeight="1" spans="1:2">
      <c r="A39642" s="3" t="str">
        <f>IFERROR(__xludf.DUMMYFUNCTION("GOOGLETRANSLATE(A39642,""en"",""pt"")"),"Camera é barato e funcional, com um par de opções.")</f>
        <v>Camera é barato e funcional, com um par de opções.</v>
      </c>
      <c r="B39642" s="3">
        <v>1</v>
      </c>
    </row>
    <row r="39643" ht="15.75" customHeight="1" spans="1:2">
      <c r="A39643" s="3" t="str">
        <f>IFERROR(__xludf.DUMMYFUNCTION("GOOGLETRANSLATE(A39643,""en"",""pt"")"),"Nada")</f>
        <v>Nada</v>
      </c>
      <c r="B39643" s="3">
        <v>1</v>
      </c>
    </row>
    <row r="39644" ht="15.75" customHeight="1" spans="1:2">
      <c r="A39644" s="3" t="str">
        <f>IFERROR(__xludf.DUMMYFUNCTION("GOOGLETRANSLATE(A39644,""en"",""pt"")"),"Bom para assustar crianças pequenas e um bom presente da mordaça.")</f>
        <v>Bom para assustar crianças pequenas e um bom presente da mordaça.</v>
      </c>
      <c r="B39644" s="3">
        <v>1</v>
      </c>
    </row>
    <row r="39645" ht="15.75" customHeight="1" spans="1:2">
      <c r="A39645" s="3" t="str">
        <f>IFERROR(__xludf.DUMMYFUNCTION("GOOGLETRANSLATE(A39645,""en"",""pt"")"),"Nenhum")</f>
        <v>Nenhum</v>
      </c>
      <c r="B39645" s="3">
        <v>1</v>
      </c>
    </row>
    <row r="39646" ht="15.75" customHeight="1" spans="1:2">
      <c r="A39646" s="3" t="str">
        <f>IFERROR(__xludf.DUMMYFUNCTION("GOOGLETRANSLATE(A39646,""en"",""pt"")"),"Compacto, barato, cor, milagrosamente o software não é buggy")</f>
        <v>Compacto, barato, cor, milagrosamente o software não é buggy</v>
      </c>
      <c r="B39646" s="3">
        <v>1</v>
      </c>
    </row>
    <row r="39647" ht="15.75" customHeight="1" spans="1:2">
      <c r="A39647" s="3" t="str">
        <f>IFERROR(__xludf.DUMMYFUNCTION("GOOGLETRANSLATE(A39647,""en"",""pt"")"),"Fácil de usar ...")</f>
        <v>Fácil de usar ...</v>
      </c>
      <c r="B39647" s="3">
        <v>1</v>
      </c>
    </row>
    <row r="39648" ht="15.75" customHeight="1" spans="1:2">
      <c r="A39648" s="3" t="str">
        <f>IFERROR(__xludf.DUMMYFUNCTION("GOOGLETRANSLATE(A39648,""en"",""pt"")"),"pequeno, leve, boa resolução, bem preço")</f>
        <v>pequeno, leve, boa resolução, bem preço</v>
      </c>
      <c r="B39648" s="3">
        <v>1</v>
      </c>
    </row>
    <row r="39649" ht="15.75" customHeight="1" spans="1:2">
      <c r="A39649" s="3" t="str">
        <f>IFERROR(__xludf.DUMMYFUNCTION("GOOGLETRANSLATE(A39649,""en"",""pt"")"),"muito pequena ferramenta portátil simples e muito agradável para estudantes gráficos")</f>
        <v>muito pequena ferramenta portátil simples e muito agradável para estudantes gráficos</v>
      </c>
      <c r="B39649" s="3">
        <v>1</v>
      </c>
    </row>
    <row r="39650" ht="15.75" customHeight="1" spans="1:2">
      <c r="A39650" s="3" t="str">
        <f>IFERROR(__xludf.DUMMYFUNCTION("GOOGLETRANSLATE(A39650,""en"",""pt"")"),"Excelente Qualidade Pictures, BAIXO BAIXO PREÇO, 1.3megapixel TRUE, super portátil")</f>
        <v>Excelente Qualidade Pictures, BAIXO BAIXO PREÇO, 1.3megapixel TRUE, super portátil</v>
      </c>
      <c r="B39650" s="3">
        <v>1</v>
      </c>
    </row>
    <row r="39651" ht="15.75" customHeight="1" spans="1:2">
      <c r="A39651" s="3" t="str">
        <f>IFERROR(__xludf.DUMMYFUNCTION("GOOGLETRANSLATE(A39651,""en"",""pt"")"),"Pequeno e muito leve.")</f>
        <v>Pequeno e muito leve.</v>
      </c>
      <c r="B39651" s="3">
        <v>1</v>
      </c>
    </row>
    <row r="39652" ht="15.75" customHeight="1" spans="1:2">
      <c r="A39652" s="3" t="str">
        <f>IFERROR(__xludf.DUMMYFUNCTION("GOOGLETRANSLATE(A39652,""en"",""pt"")"),"1.3MP câmera digital webcam, tamanho extremamente pequeno, simples de usar.")</f>
        <v>1.3MP câmera digital webcam, tamanho extremamente pequeno, simples de usar.</v>
      </c>
      <c r="B39652" s="3">
        <v>1</v>
      </c>
    </row>
    <row r="39653" ht="15.75" customHeight="1" spans="1:2">
      <c r="A39653" s="3" t="str">
        <f>IFERROR(__xludf.DUMMYFUNCTION("GOOGLETRANSLATE(A39653,""en"",""pt"")"),"Leve &amp; amp; # 13; &amp; amp; # 10; Bom valor &amp; amp; # 13; &amp; amp; # 10; divertido Ultra")</f>
        <v>Leve &amp; amp; # 13; &amp; amp; # 10; Bom valor &amp; amp; # 13; &amp; amp; # 10; divertido Ultra</v>
      </c>
      <c r="B39653" s="3">
        <v>1</v>
      </c>
    </row>
    <row r="39654" ht="15.75" customHeight="1" spans="1:2">
      <c r="A39654" s="3" t="str">
        <f>IFERROR(__xludf.DUMMYFUNCTION("GOOGLETRANSLATE(A39654,""en"",""pt"")"),"Surpreendentemente boas fotos e vídeo a partir desta pequena câmera barata.")</f>
        <v>Surpreendentemente boas fotos e vídeo a partir desta pequena câmera barata.</v>
      </c>
      <c r="B39654" s="3">
        <v>1</v>
      </c>
    </row>
    <row r="39655" ht="15.75" customHeight="1" spans="1:2">
      <c r="A39655" s="3" t="str">
        <f>IFERROR(__xludf.DUMMYFUNCTION("GOOGLETRANSLATE(A39655,""en"",""pt"")"),"Grandes fotos de qualidade.")</f>
        <v>Grandes fotos de qualidade.</v>
      </c>
      <c r="B39655" s="3">
        <v>1</v>
      </c>
    </row>
    <row r="39656" ht="15.75" customHeight="1" spans="1:2">
      <c r="A39656" s="3" t="str">
        <f>IFERROR(__xludf.DUMMYFUNCTION("GOOGLETRANSLATE(A39656,""en"",""pt"")"),"Ótimo para e-mail, vídeos curtos &amp; amp; A chamada de conferência")</f>
        <v>Ótimo para e-mail, vídeos curtos &amp; amp; A chamada de conferência</v>
      </c>
      <c r="B39656" s="3">
        <v>1</v>
      </c>
    </row>
    <row r="39657" ht="15.75" customHeight="1" spans="1:2">
      <c r="A39657" s="3" t="str">
        <f>IFERROR(__xludf.DUMMYFUNCTION("GOOGLETRANSLATE(A39657,""en"",""pt"")"),"""Câmera Spy"" tamanho. Pode ir a qualquer lugar.,, Imagens de boa qualidade.")</f>
        <v>"Câmera Spy" tamanho. Pode ir a qualquer lugar.,, Imagens de boa qualidade.</v>
      </c>
      <c r="B39657" s="3">
        <v>1</v>
      </c>
    </row>
    <row r="39658" ht="15.75" customHeight="1" spans="1:2">
      <c r="A39658" s="3" t="str">
        <f>IFERROR(__xludf.DUMMYFUNCTION("GOOGLETRANSLATE(A39658,""en"",""pt"")"),"Minúsculo, fotos decentes, fácil de usar.")</f>
        <v>Minúsculo, fotos decentes, fácil de usar.</v>
      </c>
      <c r="B39658" s="3">
        <v>1</v>
      </c>
    </row>
    <row r="39659" ht="15.75" customHeight="1" spans="1:2">
      <c r="A39659" s="3" t="str">
        <f>IFERROR(__xludf.DUMMYFUNCTION("GOOGLETRANSLATE(A39659,""en"",""pt"")"),"Tamanho minúsculo, barato, Picture and Video Capture, mais de 1 MP, fácil de usar software")</f>
        <v>Tamanho minúsculo, barato, Picture and Video Capture, mais de 1 MP, fácil de usar software</v>
      </c>
      <c r="B39659" s="3">
        <v>1</v>
      </c>
    </row>
    <row r="39660" ht="15.75" customHeight="1" spans="1:2">
      <c r="A39660" s="3" t="str">
        <f>IFERROR(__xludf.DUMMYFUNCTION("GOOGLETRANSLATE(A39660,""en"",""pt"")"),"fácil de usar, barato, compacto, qualidade de imagem marginal")</f>
        <v>fácil de usar, barato, compacto, qualidade de imagem marginal</v>
      </c>
      <c r="B39660" s="3">
        <v>1</v>
      </c>
    </row>
    <row r="39661" ht="15.75" customHeight="1" spans="1:2">
      <c r="A39661" s="3" t="str">
        <f>IFERROR(__xludf.DUMMYFUNCTION("GOOGLETRANSLATE(A39661,""en"",""pt"")"),"Excelente qualidade de imagem, perfeitamente portátil.")</f>
        <v>Excelente qualidade de imagem, perfeitamente portátil.</v>
      </c>
      <c r="B39661" s="3">
        <v>1</v>
      </c>
    </row>
    <row r="39662" ht="15.75" customHeight="1" spans="1:2">
      <c r="A39662" s="3" t="str">
        <f>IFERROR(__xludf.DUMMYFUNCTION("GOOGLETRANSLATE(A39662,""en"",""pt"")"),"capacidade camcorder digital, barato, divertido")</f>
        <v>capacidade camcorder digital, barato, divertido</v>
      </c>
      <c r="B39662" s="3">
        <v>1</v>
      </c>
    </row>
    <row r="39663" ht="15.75" customHeight="1" spans="1:2">
      <c r="A39663" s="3" t="str">
        <f>IFERROR(__xludf.DUMMYFUNCTION("GOOGLETRANSLATE(A39663,""en"",""pt"")"),"Cabe no seu bolso, de baixo custo, fotos coloridas, funciona independente do computador, software adequado incluído.")</f>
        <v>Cabe no seu bolso, de baixo custo, fotos coloridas, funciona independente do computador, software adequado incluído.</v>
      </c>
      <c r="B39663" s="3">
        <v>1</v>
      </c>
    </row>
    <row r="39664" ht="15.75" customHeight="1" spans="1:2">
      <c r="A39664" s="3" t="str">
        <f>IFERROR(__xludf.DUMMYFUNCTION("GOOGLETRANSLATE(A39664,""en"",""pt"")"),"Altamente portátil, funciona com 2 pilhas AAA, boa para instantâneos kitsch ou mini-filmes.")</f>
        <v>Altamente portátil, funciona com 2 pilhas AAA, boa para instantâneos kitsch ou mini-filmes.</v>
      </c>
      <c r="B39664" s="3">
        <v>1</v>
      </c>
    </row>
    <row r="39665" ht="15.75" customHeight="1" spans="1:2">
      <c r="A39665" s="3" t="str">
        <f>IFERROR(__xludf.DUMMYFUNCTION("GOOGLETRANSLATE(A39665,""en"",""pt"")"),"Tão pequeno como um grande marcador mágico, bom, e-câmera simples de realizar o tempo todo.")</f>
        <v>Tão pequeno como um grande marcador mágico, bom, e-câmera simples de realizar o tempo todo.</v>
      </c>
      <c r="B39665" s="3">
        <v>1</v>
      </c>
    </row>
    <row r="39666" ht="15.75" customHeight="1" spans="1:2">
      <c r="A39666" s="3" t="str">
        <f>IFERROR(__xludf.DUMMYFUNCTION("GOOGLETRANSLATE(A39666,""en"",""pt"")"),"Pequeno, fácil de usar, barato, divertido de usar, o software incluído, Três Funções")</f>
        <v>Pequeno, fácil de usar, barato, divertido de usar, o software incluído, Três Funções</v>
      </c>
      <c r="B39666" s="3">
        <v>1</v>
      </c>
    </row>
    <row r="39667" ht="15.75" customHeight="1" spans="1:2">
      <c r="A39667" s="3" t="str">
        <f>IFERROR(__xludf.DUMMYFUNCTION("GOOGLETRANSLATE(A39667,""en"",""pt"")"),"Divertido e fácil de usar. Variedade de modos.")</f>
        <v>Divertido e fácil de usar. Variedade de modos.</v>
      </c>
      <c r="B39667" s="3">
        <v>1</v>
      </c>
    </row>
    <row r="39668" ht="15.75" customHeight="1" spans="1:2">
      <c r="A39668" s="3" t="str">
        <f>IFERROR(__xludf.DUMMYFUNCTION("GOOGLETRANSLATE(A39668,""en"",""pt"")"),"pequeno, convinent, fácil de usar, de alta qualidade Imagez ao vivo &amp; amp; picturez")</f>
        <v>pequeno, convinent, fácil de usar, de alta qualidade Imagez ao vivo &amp; amp; picturez</v>
      </c>
      <c r="B39668" s="3">
        <v>1</v>
      </c>
    </row>
    <row r="39669" ht="15.75" customHeight="1" spans="1:2">
      <c r="A39669" s="3" t="str">
        <f>IFERROR(__xludf.DUMMYFUNCTION("GOOGLETRANSLATE(A39669,""en"",""pt"")"),"Fácil de usar, boa interface &amp; amp; # 13; &amp; amp; # 10; grande ""gadgets"" apelo &amp; amp; # 13; &amp; amp; # 10;")</f>
        <v>Fácil de usar, boa interface &amp; amp; # 13; &amp; amp; # 10; grande "gadgets" apelo &amp; amp; # 13; &amp; amp; # 10;</v>
      </c>
      <c r="B39669" s="3">
        <v>1</v>
      </c>
    </row>
    <row r="39670" ht="15.75" customHeight="1" spans="1:2">
      <c r="A39670" s="3" t="str">
        <f>IFERROR(__xludf.DUMMYFUNCTION("GOOGLETRANSLATE(A39670,""en"",""pt"")"),"muito pequeno, brinquedo legal")</f>
        <v>muito pequeno, brinquedo legal</v>
      </c>
      <c r="B39670" s="3">
        <v>1</v>
      </c>
    </row>
    <row r="39671" ht="15.75" customHeight="1" spans="1:2">
      <c r="A39671" s="3" t="str">
        <f>IFERROR(__xludf.DUMMYFUNCTION("GOOGLETRANSLATE(A39671,""en"",""pt"")"),"Grande software e fácil de usar.")</f>
        <v>Grande software e fácil de usar.</v>
      </c>
      <c r="B39671" s="3">
        <v>1</v>
      </c>
    </row>
    <row r="39672" ht="15.75" customHeight="1" spans="1:2">
      <c r="A39672" s="3" t="str">
        <f>IFERROR(__xludf.DUMMYFUNCTION("GOOGLETRANSLATE(A39672,""en"",""pt"")"),"pequeno e fácil de usar, de preço")</f>
        <v>pequeno e fácil de usar, de preço</v>
      </c>
      <c r="B39672" s="3">
        <v>1</v>
      </c>
    </row>
    <row r="39673" ht="15.75" customHeight="1" spans="1:2">
      <c r="A39673" s="3" t="str">
        <f>IFERROR(__xludf.DUMMYFUNCTION("GOOGLETRANSLATE(A39673,""en"",""pt"")"),"Tamanho compacto, fácil de usar, preço, excelente pacote de software. Parece que você está James Bond.")</f>
        <v>Tamanho compacto, fácil de usar, preço, excelente pacote de software. Parece que você está James Bond.</v>
      </c>
      <c r="B39673" s="3">
        <v>1</v>
      </c>
    </row>
    <row r="39674" ht="15.75" customHeight="1" spans="1:2">
      <c r="A39674" s="3" t="str">
        <f>IFERROR(__xludf.DUMMYFUNCTION("GOOGLETRANSLATE(A39674,""en"",""pt"")"),"O modo 'Disparo contínuo'; tamanho compacto; snapshots instantâneas.")</f>
        <v>O modo 'Disparo contínuo'; tamanho compacto; snapshots instantâneas.</v>
      </c>
      <c r="B39674" s="3">
        <v>1</v>
      </c>
    </row>
    <row r="39675" ht="15.75" customHeight="1" spans="1:2">
      <c r="A39675" s="3" t="str">
        <f>IFERROR(__xludf.DUMMYFUNCTION("GOOGLETRANSLATE(A39675,""en"",""pt"")"),"Compacto, fácil de usar, barato")</f>
        <v>Compacto, fácil de usar, barato</v>
      </c>
      <c r="B39675" s="3">
        <v>1</v>
      </c>
    </row>
    <row r="39676" ht="15.75" customHeight="1" spans="1:2">
      <c r="A39676" s="3" t="str">
        <f>IFERROR(__xludf.DUMMYFUNCTION("GOOGLETRANSLATE(A39676,""en"",""pt"")"),"é pequeno")</f>
        <v>é pequeno</v>
      </c>
      <c r="B39676" s="3">
        <v>1</v>
      </c>
    </row>
    <row r="39677" ht="15.75" customHeight="1" spans="1:2">
      <c r="A39677" s="3" t="str">
        <f>IFERROR(__xludf.DUMMYFUNCTION("GOOGLETRANSLATE(A39677,""en"",""pt"")"),"ótima câmera altamente recomendado para todos. fácil de usar, impressionante fotos")</f>
        <v>ótima câmera altamente recomendado para todos. fácil de usar, impressionante fotos</v>
      </c>
      <c r="B39677" s="3">
        <v>1</v>
      </c>
    </row>
    <row r="39678" ht="15.75" customHeight="1" spans="1:2">
      <c r="A39678" s="3" t="str">
        <f>IFERROR(__xludf.DUMMYFUNCTION("GOOGLETRANSLATE(A39678,""en"",""pt"")"),"É pequeno e é barato")</f>
        <v>É pequeno e é barato</v>
      </c>
      <c r="B39678" s="3">
        <v>1</v>
      </c>
    </row>
    <row r="39679" ht="15.75" customHeight="1" spans="1:2">
      <c r="A39679" s="3" t="str">
        <f>IFERROR(__xludf.DUMMYFUNCTION("GOOGLETRANSLATE(A39679,""en"",""pt"")"),"preço barato para o que ele pode fazer.")</f>
        <v>preço barato para o que ele pode fazer.</v>
      </c>
      <c r="B39679" s="3">
        <v>1</v>
      </c>
    </row>
    <row r="39680" ht="15.75" customHeight="1" spans="1:2">
      <c r="A39680" s="3" t="str">
        <f>IFERROR(__xludf.DUMMYFUNCTION("GOOGLETRANSLATE(A39680,""en"",""pt"")"),"pequeno, pode ser usado como ainda, filme ou web câmera, baixo preço")</f>
        <v>pequeno, pode ser usado como ainda, filme ou web câmera, baixo preço</v>
      </c>
      <c r="B39680" s="3">
        <v>1</v>
      </c>
    </row>
    <row r="39681" ht="15.75" customHeight="1" spans="1:2">
      <c r="A39681" s="3" t="str">
        <f>IFERROR(__xludf.DUMMYFUNCTION("GOOGLETRANSLATE(A39681,""en"",""pt"")"),"Leve, fácil de usar, barato, ótimo para iniciantes.")</f>
        <v>Leve, fácil de usar, barato, ótimo para iniciantes.</v>
      </c>
      <c r="B39681" s="3">
        <v>1</v>
      </c>
    </row>
    <row r="39682" ht="15.75" customHeight="1" spans="1:2">
      <c r="A39682" s="3" t="str">
        <f>IFERROR(__xludf.DUMMYFUNCTION("GOOGLETRANSLATE(A39682,""en"",""pt"")"),"Foto qualidade de saída, rápidas velocidades de impressão, boa confiabilidade")</f>
        <v>Foto qualidade de saída, rápidas velocidades de impressão, boa confiabilidade</v>
      </c>
      <c r="B39682" s="3">
        <v>1</v>
      </c>
    </row>
    <row r="39683" ht="15.75" customHeight="1" spans="1:2">
      <c r="A39683" s="3" t="str">
        <f>IFERROR(__xludf.DUMMYFUNCTION("GOOGLETRANSLATE(A39683,""en"",""pt"")"),"Grande foto qualidade de impressão, Confiável, compacto, fácil de usar e configurar")</f>
        <v>Grande foto qualidade de impressão, Confiável, compacto, fácil de usar e configurar</v>
      </c>
      <c r="B39683" s="3">
        <v>1</v>
      </c>
    </row>
    <row r="39684" ht="15.75" customHeight="1" spans="1:2">
      <c r="A39684" s="3" t="str">
        <f>IFERROR(__xludf.DUMMYFUNCTION("GOOGLETRANSLATE(A39684,""en"",""pt"")"),"impressora rápida, muito boa qualidade")</f>
        <v>impressora rápida, muito boa qualidade</v>
      </c>
      <c r="B39684" s="3">
        <v>1</v>
      </c>
    </row>
    <row r="39685" ht="15.75" customHeight="1" spans="1:2">
      <c r="A39685" s="3" t="str">
        <f>IFERROR(__xludf.DUMMYFUNCTION("GOOGLETRANSLATE(A39685,""en"",""pt"")"),"saída de Bonito mesmo em baixa resolução, rápido, fácil configuração")</f>
        <v>saída de Bonito mesmo em baixa resolução, rápido, fácil configuração</v>
      </c>
      <c r="B39685" s="3">
        <v>1</v>
      </c>
    </row>
    <row r="39686" ht="15.75" customHeight="1" spans="1:2">
      <c r="A39686" s="3" t="str">
        <f>IFERROR(__xludf.DUMMYFUNCTION("GOOGLETRANSLATE(A39686,""en"",""pt"")"),"grande qualidade e velocidade, bom valor consumível")</f>
        <v>grande qualidade e velocidade, bom valor consumível</v>
      </c>
      <c r="B39686" s="3">
        <v>1</v>
      </c>
    </row>
    <row r="39687" ht="15.75" customHeight="1" spans="1:2">
      <c r="A39687" s="3" t="str">
        <f>IFERROR(__xludf.DUMMYFUNCTION("GOOGLETRANSLATE(A39687,""en"",""pt"")"),"Speedy, de excelente qualidade")</f>
        <v>Speedy, de excelente qualidade</v>
      </c>
      <c r="B39687" s="3">
        <v>1</v>
      </c>
    </row>
    <row r="39688" ht="15.75" customHeight="1" spans="1:2">
      <c r="A39688" s="3" t="str">
        <f>IFERROR(__xludf.DUMMYFUNCTION("GOOGLETRANSLATE(A39688,""en"",""pt"")"),"Rápido, há congestionamentos de papel, imprime claramente")</f>
        <v>Rápido, há congestionamentos de papel, imprime claramente</v>
      </c>
      <c r="B39688" s="3">
        <v>1</v>
      </c>
    </row>
    <row r="39689" ht="15.75" customHeight="1" spans="1:2">
      <c r="A39689" s="3" t="str">
        <f>IFERROR(__xludf.DUMMYFUNCTION("GOOGLETRANSLATE(A39689,""en"",""pt"")"),"PPM rápido, Easy Set-up, de saída é seco, grande Manual")</f>
        <v>PPM rápido, Easy Set-up, de saída é seco, grande Manual</v>
      </c>
      <c r="B39689" s="3">
        <v>1</v>
      </c>
    </row>
    <row r="39690" ht="15.75" customHeight="1" spans="1:2">
      <c r="A39690" s="3" t="str">
        <f>IFERROR(__xludf.DUMMYFUNCTION("GOOGLETRANSLATE(A39690,""en"",""pt"")"),"Olá Hewlett Packard")</f>
        <v>Olá Hewlett Packard</v>
      </c>
      <c r="B39690" s="3">
        <v>1</v>
      </c>
    </row>
    <row r="39691" ht="15.75" customHeight="1" spans="1:2">
      <c r="A39691" s="3" t="str">
        <f>IFERROR(__xludf.DUMMYFUNCTION("GOOGLETRANSLATE(A39691,""en"",""pt"")"),"Grande qualidade e velocidade")</f>
        <v>Grande qualidade e velocidade</v>
      </c>
      <c r="B39691" s="3">
        <v>1</v>
      </c>
    </row>
    <row r="39692" ht="15.75" customHeight="1" spans="1:2">
      <c r="A39692" s="3" t="str">
        <f>IFERROR(__xludf.DUMMYFUNCTION("GOOGLETRANSLATE(A39692,""en"",""pt"")"),"Rápido, afiado, confiável.")</f>
        <v>Rápido, afiado, confiável.</v>
      </c>
      <c r="B39692" s="3">
        <v>1</v>
      </c>
    </row>
    <row r="39693" ht="15.75" customHeight="1" spans="1:2">
      <c r="A39693" s="3" t="str">
        <f>IFERROR(__xludf.DUMMYFUNCTION("GOOGLETRANSLATE(A39693,""en"",""pt"")"),"Rápido, excelente qualidade de impressão.")</f>
        <v>Rápido, excelente qualidade de impressão.</v>
      </c>
      <c r="B39693" s="3">
        <v>1</v>
      </c>
    </row>
    <row r="39694" ht="15.75" customHeight="1" spans="1:2">
      <c r="A39694" s="3" t="str">
        <f>IFERROR(__xludf.DUMMYFUNCTION("GOOGLETRANSLATE(A39694,""en"",""pt"")"),"claro, texto nítido e profundo, cor rica")</f>
        <v>claro, texto nítido e profundo, cor rica</v>
      </c>
      <c r="B39694" s="3">
        <v>1</v>
      </c>
    </row>
    <row r="39695" ht="15.75" customHeight="1" spans="1:2">
      <c r="A39695" s="3" t="str">
        <f>IFERROR(__xludf.DUMMYFUNCTION("GOOGLETRANSLATE(A39695,""en"",""pt"")"),"Impressões de grande qualidade, Super Rápido")</f>
        <v>Impressões de grande qualidade, Super Rápido</v>
      </c>
      <c r="B39695" s="3">
        <v>1</v>
      </c>
    </row>
    <row r="39696" ht="15.75" customHeight="1" spans="1:2">
      <c r="A39696" s="3" t="str">
        <f>IFERROR(__xludf.DUMMYFUNCTION("GOOGLETRANSLATE(A39696,""en"",""pt"")"),"boa cor e muito rápido")</f>
        <v>boa cor e muito rápido</v>
      </c>
      <c r="B39696" s="3">
        <v>1</v>
      </c>
    </row>
    <row r="39697" ht="15.75" customHeight="1" spans="1:2">
      <c r="A39697" s="3" t="str">
        <f>IFERROR(__xludf.DUMMYFUNCTION("GOOGLETRANSLATE(A39697,""en"",""pt"")"),"excelente Qualidade")</f>
        <v>excelente Qualidade</v>
      </c>
      <c r="B39697" s="3">
        <v>1</v>
      </c>
    </row>
    <row r="39698" ht="15.75" customHeight="1" spans="1:2">
      <c r="A39698" s="3" t="str">
        <f>IFERROR(__xludf.DUMMYFUNCTION("GOOGLETRANSLATE(A39698,""en"",""pt"")"),"Imprimir é a vida")</f>
        <v>Imprimir é a vida</v>
      </c>
      <c r="B39698" s="3">
        <v>1</v>
      </c>
    </row>
    <row r="39699" ht="15.75" customHeight="1" spans="1:2">
      <c r="A39699" s="3" t="str">
        <f>IFERROR(__xludf.DUMMYFUNCTION("GOOGLETRANSLATE(A39699,""en"",""pt"")"),"Boa velocidade, impressora de boa qualidade")</f>
        <v>Boa velocidade, impressora de boa qualidade</v>
      </c>
      <c r="B39699" s="3">
        <v>1</v>
      </c>
    </row>
    <row r="39700" ht="15.75" customHeight="1" spans="1:2">
      <c r="A39700" s="3" t="str">
        <f>IFERROR(__xludf.DUMMYFUNCTION("GOOGLETRANSLATE(A39700,""en"",""pt"")"),"Qualidade Superior, Razor-como nitidez, VELOCIDADE BEBÊ !!!!!")</f>
        <v>Qualidade Superior, Razor-como nitidez, VELOCIDADE BEBÊ !!!!!</v>
      </c>
      <c r="B39700" s="3">
        <v>1</v>
      </c>
    </row>
    <row r="39701" ht="15.75" customHeight="1" spans="1:2">
      <c r="A39701" s="3" t="str">
        <f>IFERROR(__xludf.DUMMYFUNCTION("GOOGLETRANSLATE(A39701,""en"",""pt"")"),"Boas fotos")</f>
        <v>Boas fotos</v>
      </c>
      <c r="B39701" s="3">
        <v>1</v>
      </c>
    </row>
    <row r="39702" ht="15.75" customHeight="1" spans="1:2">
      <c r="A39702" s="3" t="str">
        <f>IFERROR(__xludf.DUMMYFUNCTION("GOOGLETRANSLATE(A39702,""en"",""pt"")"),"impressão de qualidade fotográfica em papel fotográfico")</f>
        <v>impressão de qualidade fotográfica em papel fotográfico</v>
      </c>
      <c r="B39702" s="3">
        <v>1</v>
      </c>
    </row>
    <row r="39703" ht="15.75" customHeight="1" spans="1:2">
      <c r="A39703" s="3" t="str">
        <f>IFERROR(__xludf.DUMMYFUNCTION("GOOGLETRANSLATE(A39703,""en"",""pt"")"),"impressão geral bom")</f>
        <v>impressão geral bom</v>
      </c>
      <c r="B39703" s="3">
        <v>1</v>
      </c>
    </row>
    <row r="39704" ht="15.75" customHeight="1" spans="1:2">
      <c r="A39704" s="3" t="str">
        <f>IFERROR(__xludf.DUMMYFUNCTION("GOOGLETRANSLATE(A39704,""en"",""pt"")"),"Rápido, muito alta resolução")</f>
        <v>Rápido, muito alta resolução</v>
      </c>
      <c r="B39704" s="3">
        <v>1</v>
      </c>
    </row>
    <row r="39705" ht="15.75" customHeight="1" spans="1:2">
      <c r="A39705" s="3" t="str">
        <f>IFERROR(__xludf.DUMMYFUNCTION("GOOGLETRANSLATE(A39705,""en"",""pt"")"),"saída imbatível")</f>
        <v>saída imbatível</v>
      </c>
      <c r="B39705" s="3">
        <v>1</v>
      </c>
    </row>
    <row r="39706" ht="15.75" customHeight="1" spans="1:2">
      <c r="A39706" s="3" t="str">
        <f>IFERROR(__xludf.DUMMYFUNCTION("GOOGLETRANSLATE(A39706,""en"",""pt"")"),"velozes")</f>
        <v>velozes</v>
      </c>
      <c r="B39706" s="3">
        <v>1</v>
      </c>
    </row>
    <row r="39707" ht="15.75" customHeight="1" spans="1:2">
      <c r="A39707" s="3" t="str">
        <f>IFERROR(__xludf.DUMMYFUNCTION("GOOGLETRANSLATE(A39707,""en"",""pt"")"),"Muitos para listar")</f>
        <v>Muitos para listar</v>
      </c>
      <c r="B39707" s="3">
        <v>1</v>
      </c>
    </row>
    <row r="39708" ht="15.75" customHeight="1" spans="1:2">
      <c r="A39708" s="3" t="str">
        <f>IFERROR(__xludf.DUMMYFUNCTION("GOOGLETRANSLATE(A39708,""en"",""pt"")"),"de volume elevado de tinta, extremamente rápido")</f>
        <v>de volume elevado de tinta, extremamente rápido</v>
      </c>
      <c r="B39708" s="3">
        <v>1</v>
      </c>
    </row>
    <row r="39709" ht="15.75" customHeight="1" spans="1:2">
      <c r="A39709" s="3" t="str">
        <f>IFERROR(__xludf.DUMMYFUNCTION("GOOGLETRANSLATE(A39709,""en"",""pt"")"),"grande qualidade da foto, rápido, crisp b &amp; amp; amp; w")</f>
        <v>grande qualidade da foto, rápido, crisp b &amp; amp; amp; w</v>
      </c>
      <c r="B39709" s="3">
        <v>1</v>
      </c>
    </row>
    <row r="39710" ht="15.75" customHeight="1" spans="1:2">
      <c r="A39710" s="3" t="str">
        <f>IFERROR(__xludf.DUMMYFUNCTION("GOOGLETRANSLATE(A39710,""en"",""pt"")"),"Excelente qualidade de impressão, rápida, interfaces de confiança, de modo economia, Mac série, PC paralelas e USB.")</f>
        <v>Excelente qualidade de impressão, rápida, interfaces de confiança, de modo economia, Mac série, PC paralelas e USB.</v>
      </c>
      <c r="B39710" s="3">
        <v>1</v>
      </c>
    </row>
    <row r="39711" ht="15.75" customHeight="1" spans="1:2">
      <c r="A39711" s="3" t="str">
        <f>IFERROR(__xludf.DUMMYFUNCTION("GOOGLETRANSLATE(A39711,""en"",""pt"")"),"Muito rápido, e verasitile ... Foto resultados de qualidade")</f>
        <v>Muito rápido, e verasitile ... Foto resultados de qualidade</v>
      </c>
      <c r="B39711" s="3">
        <v>1</v>
      </c>
    </row>
    <row r="39712" ht="15.75" customHeight="1" spans="1:2">
      <c r="A39712" s="3" t="str">
        <f>IFERROR(__xludf.DUMMYFUNCTION("GOOGLETRANSLATE(A39712,""en"",""pt"")"),"Rápido, boa cor, pequenas margens.")</f>
        <v>Rápido, boa cor, pequenas margens.</v>
      </c>
      <c r="B39712" s="3">
        <v>1</v>
      </c>
    </row>
    <row r="39713" ht="15.75" customHeight="1" spans="1:2">
      <c r="A39713" s="3" t="str">
        <f>IFERROR(__xludf.DUMMYFUNCTION("GOOGLETRANSLATE(A39713,""en"",""pt"")"),"Rápido, fácil, USB, de grande qualidade")</f>
        <v>Rápido, fácil, USB, de grande qualidade</v>
      </c>
      <c r="B39713" s="3">
        <v>1</v>
      </c>
    </row>
    <row r="39714" ht="15.75" customHeight="1" spans="1:2">
      <c r="A39714" s="3" t="str">
        <f>IFERROR(__xludf.DUMMYFUNCTION("GOOGLETRANSLATE(A39714,""en"",""pt"")"),"Rápido; qualidade fotográfica; configurações de software personalizáveis")</f>
        <v>Rápido; qualidade fotográfica; configurações de software personalizáveis</v>
      </c>
      <c r="B39714" s="3">
        <v>1</v>
      </c>
    </row>
    <row r="39715" ht="15.75" customHeight="1" spans="1:2">
      <c r="A39715" s="3" t="str">
        <f>IFERROR(__xludf.DUMMYFUNCTION("GOOGLETRANSLATE(A39715,""en"",""pt"")"),"Velocidade de impressão rápida. Alta resolução. Excelente reprodução de tom morno - baixo exaltação.")</f>
        <v>Velocidade de impressão rápida. Alta resolução. Excelente reprodução de tom morno - baixo exaltação.</v>
      </c>
      <c r="B39715" s="3">
        <v>1</v>
      </c>
    </row>
    <row r="39716" ht="15.75" customHeight="1" spans="1:2">
      <c r="A39716" s="3" t="str">
        <f>IFERROR(__xludf.DUMMYFUNCTION("GOOGLETRANSLATE(A39716,""en"",""pt"")"),"Belas imagens, econômico, uma empresa que eu confio")</f>
        <v>Belas imagens, econômico, uma empresa que eu confio</v>
      </c>
      <c r="B39716" s="3">
        <v>1</v>
      </c>
    </row>
    <row r="39717" ht="15.75" customHeight="1" spans="1:2">
      <c r="A39717" s="3" t="str">
        <f>IFERROR(__xludf.DUMMYFUNCTION("GOOGLETRANSLATE(A39717,""en"",""pt"")"),"Rápido, imprime grande texto, funciona bem com fotos digitais")</f>
        <v>Rápido, imprime grande texto, funciona bem com fotos digitais</v>
      </c>
      <c r="B39717" s="3">
        <v>1</v>
      </c>
    </row>
    <row r="39718" ht="15.75" customHeight="1" spans="1:2">
      <c r="A39718" s="3" t="str">
        <f>IFERROR(__xludf.DUMMYFUNCTION("GOOGLETRANSLATE(A39718,""en"",""pt"")"),"rápido, compacto, leste para carga / descarga de tinta")</f>
        <v>rápido, compacto, leste para carga / descarga de tinta</v>
      </c>
      <c r="B39718" s="3">
        <v>1</v>
      </c>
    </row>
    <row r="39719" ht="15.75" customHeight="1" spans="1:2">
      <c r="A39719" s="3" t="str">
        <f>IFERROR(__xludf.DUMMYFUNCTION("GOOGLETRANSLATE(A39719,""en"",""pt"")"),"Rápido, de alta qualidade, e uma boa impressora pequena empresa")</f>
        <v>Rápido, de alta qualidade, e uma boa impressora pequena empresa</v>
      </c>
      <c r="B39719" s="3">
        <v>1</v>
      </c>
    </row>
    <row r="39720" ht="15.75" customHeight="1" spans="1:2">
      <c r="A39720" s="3" t="str">
        <f>IFERROR(__xludf.DUMMYFUNCTION("GOOGLETRANSLATE(A39720,""en"",""pt"")"),"Terrific cópias da foto, mais rápido do que o meu 1000c HP e muito menos dinheiro.")</f>
        <v>Terrific cópias da foto, mais rápido do que o meu 1000c HP e muito menos dinheiro.</v>
      </c>
      <c r="B39720" s="3">
        <v>1</v>
      </c>
    </row>
    <row r="39721" ht="15.75" customHeight="1" spans="1:2">
      <c r="A39721" s="3" t="str">
        <f>IFERROR(__xludf.DUMMYFUNCTION("GOOGLETRANSLATE(A39721,""en"",""pt"")"),"grande qualidade de impressão e velocidade para o seu tamanho")</f>
        <v>grande qualidade de impressão e velocidade para o seu tamanho</v>
      </c>
      <c r="B39721" s="3">
        <v>1</v>
      </c>
    </row>
    <row r="39722" ht="15.75" customHeight="1" spans="1:2">
      <c r="A39722" s="3" t="str">
        <f>IFERROR(__xludf.DUMMYFUNCTION("GOOGLETRANSLATE(A39722,""en"",""pt"")"),"Fácil de ligar")</f>
        <v>Fácil de ligar</v>
      </c>
      <c r="B39722" s="3">
        <v>1</v>
      </c>
    </row>
    <row r="39723" ht="15.75" customHeight="1" spans="1:2">
      <c r="A39723" s="3" t="str">
        <f>IFERROR(__xludf.DUMMYFUNCTION("GOOGLETRANSLATE(A39723,""en"",""pt"")"),"Fácil de instalar, de grande qualidade, durabilidade HP")</f>
        <v>Fácil de instalar, de grande qualidade, durabilidade HP</v>
      </c>
      <c r="B39723" s="3">
        <v>1</v>
      </c>
    </row>
    <row r="39724" ht="15.75" customHeight="1" spans="1:2">
      <c r="A39724" s="3" t="str">
        <f>IFERROR(__xludf.DUMMYFUNCTION("GOOGLETRANSLATE(A39724,""en"",""pt"")"),"capaz, rápido, saída de Ethernet de alta resolução")</f>
        <v>capaz, rápido, saída de Ethernet de alta resolução</v>
      </c>
      <c r="B39724" s="3">
        <v>1</v>
      </c>
    </row>
    <row r="39725" ht="15.75" customHeight="1" spans="1:2">
      <c r="A39725" s="3" t="str">
        <f>IFERROR(__xludf.DUMMYFUNCTION("GOOGLETRANSLATE(A39725,""en"",""pt"")"),"Muito pouca manutenção")</f>
        <v>Muito pouca manutenção</v>
      </c>
      <c r="B39725" s="3">
        <v>1</v>
      </c>
    </row>
    <row r="39726" ht="15.75" customHeight="1" spans="1:2">
      <c r="A39726" s="3" t="str">
        <f>IFERROR(__xludf.DUMMYFUNCTION("GOOGLETRANSLATE(A39726,""en"",""pt"")"),"Boa qualidade, rápido e quet")</f>
        <v>Boa qualidade, rápido e quet</v>
      </c>
      <c r="B39726" s="3">
        <v>1</v>
      </c>
    </row>
    <row r="39727" ht="15.75" customHeight="1" spans="1:2">
      <c r="A39727" s="3" t="str">
        <f>IFERROR(__xludf.DUMMYFUNCTION("GOOGLETRANSLATE(A39727,""en"",""pt"")"),"saída rápida de alta qualidade")</f>
        <v>saída rápida de alta qualidade</v>
      </c>
      <c r="B39727" s="3">
        <v>1</v>
      </c>
    </row>
    <row r="39728" ht="15.75" customHeight="1" spans="1:2">
      <c r="A39728" s="3" t="str">
        <f>IFERROR(__xludf.DUMMYFUNCTION("GOOGLETRANSLATE(A39728,""en"",""pt"")"),"facilidade de uso, rápida B / W impressões, pequeno driver pegada")</f>
        <v>facilidade de uso, rápida B / W impressões, pequeno driver pegada</v>
      </c>
      <c r="B39728" s="3">
        <v>1</v>
      </c>
    </row>
    <row r="39729" ht="15.75" customHeight="1" spans="1:2">
      <c r="A39729" s="3" t="str">
        <f>IFERROR(__xludf.DUMMYFUNCTION("GOOGLETRANSLATE(A39729,""en"",""pt"")"),"Custo e Software incluído")</f>
        <v>Custo e Software incluído</v>
      </c>
      <c r="B39729" s="3">
        <v>1</v>
      </c>
    </row>
    <row r="39730" ht="15.75" customHeight="1" spans="1:2">
      <c r="A39730" s="3" t="str">
        <f>IFERROR(__xludf.DUMMYFUNCTION("GOOGLETRANSLATE(A39730,""en"",""pt"")"),"Bom para o desafiado eletronicamente, Baixo Custo, Grande Software,")</f>
        <v>Bom para o desafiado eletronicamente, Baixo Custo, Grande Software,</v>
      </c>
      <c r="B39730" s="3">
        <v>1</v>
      </c>
    </row>
    <row r="39731" ht="15.75" customHeight="1" spans="1:2">
      <c r="A39731" s="3" t="str">
        <f>IFERROR(__xludf.DUMMYFUNCTION("GOOGLETRANSLATE(A39731,""en"",""pt"")"),"Bom para o desafiado eletronicamente, Baixo Custo, Grande Software,")</f>
        <v>Bom para o desafiado eletronicamente, Baixo Custo, Grande Software,</v>
      </c>
      <c r="B39731" s="3">
        <v>1</v>
      </c>
    </row>
    <row r="39732" ht="15.75" customHeight="1" spans="1:2">
      <c r="A39732" s="3" t="str">
        <f>IFERROR(__xludf.DUMMYFUNCTION("GOOGLETRANSLATE(A39732,""en"",""pt"")"),"Um barato, fácil de usar câmera.")</f>
        <v>Um barato, fácil de usar câmera.</v>
      </c>
      <c r="B39732" s="3">
        <v>1</v>
      </c>
    </row>
    <row r="39733" ht="15.75" customHeight="1" spans="1:2">
      <c r="A39733" s="3" t="str">
        <f>IFERROR(__xludf.DUMMYFUNCTION("GOOGLETRANSLATE(A39733,""en"",""pt"")"),"Um barato, fácil de usar câmera.")</f>
        <v>Um barato, fácil de usar câmera.</v>
      </c>
      <c r="B39733" s="3">
        <v>1</v>
      </c>
    </row>
    <row r="39734" ht="15.75" customHeight="1" spans="1:2">
      <c r="A39734" s="3" t="str">
        <f>IFERROR(__xludf.DUMMYFUNCTION("GOOGLETRANSLATE(A39734,""en"",""pt"")"),"Não há qualquer.")</f>
        <v>Não há qualquer.</v>
      </c>
      <c r="B39734" s="3">
        <v>1</v>
      </c>
    </row>
    <row r="39735" ht="15.75" customHeight="1" spans="1:2">
      <c r="A39735" s="3" t="str">
        <f>IFERROR(__xludf.DUMMYFUNCTION("GOOGLETRANSLATE(A39735,""en"",""pt"")"),"O pacote de software tem algumas boas capacidades de edição.")</f>
        <v>O pacote de software tem algumas boas capacidades de edição.</v>
      </c>
      <c r="B39735" s="3">
        <v>1</v>
      </c>
    </row>
    <row r="39736" ht="15.75" customHeight="1" spans="1:2">
      <c r="A39736" s="3" t="str">
        <f>IFERROR(__xludf.DUMMYFUNCTION("GOOGLETRANSLATE(A39736,""en"",""pt"")"),"Barato, pacote de software agradável.")</f>
        <v>Barato, pacote de software agradável.</v>
      </c>
      <c r="B39736" s="3">
        <v>1</v>
      </c>
    </row>
    <row r="39737" ht="15.75" customHeight="1" spans="1:2">
      <c r="A39737" s="3" t="str">
        <f>IFERROR(__xludf.DUMMYFUNCTION("GOOGLETRANSLATE(A39737,""en"",""pt"")"),"Boa câmera de partida para uma criança mais velha, muito barato")</f>
        <v>Boa câmera de partida para uma criança mais velha, muito barato</v>
      </c>
      <c r="B39737" s="3">
        <v>1</v>
      </c>
    </row>
    <row r="39738" ht="15.75" customHeight="1" spans="1:2">
      <c r="A39738" s="3" t="str">
        <f>IFERROR(__xludf.DUMMYFUNCTION("GOOGLETRANSLATE(A39738,""en"",""pt"")"),"Barato, excelente para crianças ou e-bay imagens, etc. Software vem com ele.")</f>
        <v>Barato, excelente para crianças ou e-bay imagens, etc. Software vem com ele.</v>
      </c>
      <c r="B39738" s="3">
        <v>1</v>
      </c>
    </row>
    <row r="39739" ht="15.75" customHeight="1" spans="1:2">
      <c r="A39739" s="3" t="str">
        <f>IFERROR(__xludf.DUMMYFUNCTION("GOOGLETRANSLATE(A39739,""en"",""pt"")"),"Trabalhou uma vez")</f>
        <v>Trabalhou uma vez</v>
      </c>
      <c r="B39739" s="3">
        <v>1</v>
      </c>
    </row>
    <row r="39740" ht="15.75" customHeight="1" spans="1:2">
      <c r="A39740" s="3" t="str">
        <f>IFERROR(__xludf.DUMMYFUNCTION("GOOGLETRANSLATE(A39740,""en"",""pt"")"),"Fácil de usar, acessível e faz exatamente o que eu queria fazer!")</f>
        <v>Fácil de usar, acessível e faz exatamente o que eu queria fazer!</v>
      </c>
      <c r="B39740" s="3">
        <v>1</v>
      </c>
    </row>
    <row r="39741" ht="15.75" customHeight="1" spans="1:2">
      <c r="A39741" s="3" t="str">
        <f>IFERROR(__xludf.DUMMYFUNCTION("GOOGLETRANSLATE(A39741,""en"",""pt"")"),"Barato, bom para as crianças")</f>
        <v>Barato, bom para as crianças</v>
      </c>
      <c r="B39741" s="3">
        <v>1</v>
      </c>
    </row>
    <row r="39742" ht="15.75" customHeight="1" spans="1:2">
      <c r="A39742" s="3" t="str">
        <f>IFERROR(__xludf.DUMMYFUNCTION("GOOGLETRANSLATE(A39742,""en"",""pt"")"),"Fácil de usar. Nao muito caro.")</f>
        <v>Fácil de usar. Nao muito caro.</v>
      </c>
      <c r="B39742" s="3">
        <v>1</v>
      </c>
    </row>
    <row r="39743" ht="15.75" customHeight="1" spans="1:2">
      <c r="A39743" s="3" t="str">
        <f>IFERROR(__xludf.DUMMYFUNCTION("GOOGLETRANSLATE(A39743,""en"",""pt"")"),"Barato, fácil de usar, divertido, faz vídeos")</f>
        <v>Barato, fácil de usar, divertido, faz vídeos</v>
      </c>
      <c r="B39743" s="3">
        <v>1</v>
      </c>
    </row>
    <row r="39744" ht="15.75" customHeight="1" spans="1:2">
      <c r="A39744" s="3" t="str">
        <f>IFERROR(__xludf.DUMMYFUNCTION("GOOGLETRANSLATE(A39744,""en"",""pt"")"),"barato")</f>
        <v>barato</v>
      </c>
      <c r="B39744" s="3">
        <v>1</v>
      </c>
    </row>
    <row r="39745" ht="15.75" customHeight="1" spans="1:2">
      <c r="A39745" s="3" t="str">
        <f>IFERROR(__xludf.DUMMYFUNCTION("GOOGLETRANSLATE(A39745,""en"",""pt"")"),"acessível,")</f>
        <v>acessível,</v>
      </c>
      <c r="B39745" s="3">
        <v>1</v>
      </c>
    </row>
    <row r="39746" ht="15.75" customHeight="1" spans="1:2">
      <c r="A39746" s="3" t="str">
        <f>IFERROR(__xludf.DUMMYFUNCTION("GOOGLETRANSLATE(A39746,""en"",""pt"")"),"Ele estava à venda por US $ 20.")</f>
        <v>Ele estava à venda por US $ 20.</v>
      </c>
      <c r="B39746" s="3">
        <v>1</v>
      </c>
    </row>
    <row r="39747" ht="15.75" customHeight="1" spans="1:2">
      <c r="A39747" s="3" t="str">
        <f>IFERROR(__xludf.DUMMYFUNCTION("GOOGLETRANSLATE(A39747,""en"",""pt"")"),"É barato e simples de usar")</f>
        <v>É barato e simples de usar</v>
      </c>
      <c r="B39747" s="3">
        <v>1</v>
      </c>
    </row>
    <row r="39748" ht="15.75" customHeight="1" spans="1:2">
      <c r="A39748" s="3" t="str">
        <f>IFERROR(__xludf.DUMMYFUNCTION("GOOGLETRANSLATE(A39748,""en"",""pt"")"),"barato, muito portátil, em caso de quebra que se importa.")</f>
        <v>barato, muito portátil, em caso de quebra que se importa.</v>
      </c>
      <c r="B39748" s="3">
        <v>1</v>
      </c>
    </row>
    <row r="39749" ht="15.75" customHeight="1" spans="1:2">
      <c r="A39749" s="3" t="str">
        <f>IFERROR(__xludf.DUMMYFUNCTION("GOOGLETRANSLATE(A39749,""en"",""pt"")"),"Um barato, fácil de usar câmera.")</f>
        <v>Um barato, fácil de usar câmera.</v>
      </c>
      <c r="B39749" s="3">
        <v>1</v>
      </c>
    </row>
    <row r="39750" ht="15.75" customHeight="1" spans="1:2">
      <c r="A39750" s="3" t="str">
        <f>IFERROR(__xludf.DUMMYFUNCTION("GOOGLETRANSLATE(A39750,""en"",""pt"")"),"Barato")</f>
        <v>Barato</v>
      </c>
      <c r="B39750" s="3">
        <v>1</v>
      </c>
    </row>
    <row r="39751" ht="15.75" customHeight="1" spans="1:2">
      <c r="A39751" s="3" t="str">
        <f>IFERROR(__xludf.DUMMYFUNCTION("GOOGLETRANSLATE(A39751,""en"",""pt"")"),"Detém cerca de 80 fotos na memória interna na configuração mais baixa.")</f>
        <v>Detém cerca de 80 fotos na memória interna na configuração mais baixa.</v>
      </c>
      <c r="B39751" s="3">
        <v>1</v>
      </c>
    </row>
    <row r="39752" ht="15.75" customHeight="1" spans="1:2">
      <c r="A39752" s="3" t="str">
        <f>IFERROR(__xludf.DUMMYFUNCTION("GOOGLETRANSLATE(A39752,""en"",""pt"")"),"Barato")</f>
        <v>Barato</v>
      </c>
      <c r="B39752" s="3">
        <v>1</v>
      </c>
    </row>
    <row r="39753" ht="15.75" customHeight="1" spans="1:2">
      <c r="A39753" s="3" t="str">
        <f>IFERROR(__xludf.DUMMYFUNCTION("GOOGLETRANSLATE(A39753,""en"",""pt"")"),"muito barato")</f>
        <v>muito barato</v>
      </c>
      <c r="B39753" s="3">
        <v>1</v>
      </c>
    </row>
    <row r="39754" ht="15.75" customHeight="1" spans="1:2">
      <c r="A39754" s="3" t="str">
        <f>IFERROR(__xludf.DUMMYFUNCTION("GOOGLETRANSLATE(A39754,""en"",""pt"")"),"Barato .. umm .. é uma câmera digital")</f>
        <v>Barato .. umm .. é uma câmera digital</v>
      </c>
      <c r="B39754" s="3">
        <v>1</v>
      </c>
    </row>
    <row r="39755" ht="15.75" customHeight="1" spans="1:2">
      <c r="A39755" s="3" t="str">
        <f>IFERROR(__xludf.DUMMYFUNCTION("GOOGLETRANSLATE(A39755,""en"",""pt"")"),"Excelente câmera extremidade inferior, fácil de operar, boas fotos também.")</f>
        <v>Excelente câmera extremidade inferior, fácil de operar, boas fotos também.</v>
      </c>
      <c r="B39755" s="3">
        <v>1</v>
      </c>
    </row>
    <row r="39756" ht="15.75" customHeight="1" spans="1:2">
      <c r="A39756" s="3" t="str">
        <f>IFERROR(__xludf.DUMMYFUNCTION("GOOGLETRANSLATE(A39756,""en"",""pt"")"),"Preço Baixo, imagem 1.3MP, facilidade de uso,")</f>
        <v>Preço Baixo, imagem 1.3MP, facilidade de uso,</v>
      </c>
      <c r="B39756" s="3">
        <v>1</v>
      </c>
    </row>
    <row r="39757" ht="15.75" customHeight="1" spans="1:2">
      <c r="A39757" s="3" t="str">
        <f>IFERROR(__xludf.DUMMYFUNCTION("GOOGLETRANSLATE(A39757,""en"",""pt"")"),"Preço w descontos / uma oferta que você não pode recusar")</f>
        <v>Preço w descontos / uma oferta que você não pode recusar</v>
      </c>
      <c r="B39757" s="3">
        <v>1</v>
      </c>
    </row>
    <row r="39758" ht="15.75" customHeight="1" spans="1:2">
      <c r="A39758" s="3" t="str">
        <f>IFERROR(__xludf.DUMMYFUNCTION("GOOGLETRANSLATE(A39758,""en"",""pt"")"),"Barato")</f>
        <v>Barato</v>
      </c>
      <c r="B39758" s="3">
        <v>1</v>
      </c>
    </row>
    <row r="39759" ht="15.75" customHeight="1" spans="1:2">
      <c r="A39759" s="3" t="str">
        <f>IFERROR(__xludf.DUMMYFUNCTION("GOOGLETRANSLATE(A39759,""en"",""pt"")"),"Preços razoáveis, fácil de usar, aceita crianças")</f>
        <v>Preços razoáveis, fácil de usar, aceita crianças</v>
      </c>
      <c r="B39759" s="3">
        <v>1</v>
      </c>
    </row>
    <row r="39760" ht="15.75" customHeight="1" spans="1:2">
      <c r="A39760" s="3" t="str">
        <f>IFERROR(__xludf.DUMMYFUNCTION("GOOGLETRANSLATE(A39760,""en"",""pt"")"),"Flash forte, conexão de TV direta, foto software livre edição, qualidade acima da média pic")</f>
        <v>Flash forte, conexão de TV direta, foto software livre edição, qualidade acima da média pic</v>
      </c>
      <c r="B39760" s="3">
        <v>1</v>
      </c>
    </row>
    <row r="39761" ht="15.75" customHeight="1" spans="1:2">
      <c r="A39761" s="3" t="str">
        <f>IFERROR(__xludf.DUMMYFUNCTION("GOOGLETRANSLATE(A39761,""en"",""pt"")"),"fácil instalar e cheeeeeep")</f>
        <v>fácil instalar e cheeeeeep</v>
      </c>
      <c r="B39761" s="3">
        <v>1</v>
      </c>
    </row>
    <row r="39762" ht="15.75" customHeight="1" spans="1:2">
      <c r="A39762" s="3" t="str">
        <f>IFERROR(__xludf.DUMMYFUNCTION("GOOGLETRANSLATE(A39762,""en"",""pt"")"),"Preço barato")</f>
        <v>Preço barato</v>
      </c>
      <c r="B39762" s="3">
        <v>1</v>
      </c>
    </row>
    <row r="39763" ht="15.75" customHeight="1" spans="1:2">
      <c r="A39763" s="3" t="str">
        <f>IFERROR(__xludf.DUMMYFUNCTION("GOOGLETRANSLATE(A39763,""en"",""pt"")"),"converte-se facilmente, meu bebê se encaixa comfertably!")</f>
        <v>converte-se facilmente, meu bebê se encaixa comfertably!</v>
      </c>
      <c r="B39763" s="3">
        <v>1</v>
      </c>
    </row>
    <row r="39764" ht="15.75" customHeight="1" spans="1:2">
      <c r="A39764" s="3" t="str">
        <f>IFERROR(__xludf.DUMMYFUNCTION("GOOGLETRANSLATE(A39764,""en"",""pt"")"),"Alças lindamente, leves")</f>
        <v>Alças lindamente, leves</v>
      </c>
      <c r="B39764" s="3">
        <v>1</v>
      </c>
    </row>
    <row r="39765" ht="15.75" customHeight="1" spans="1:2">
      <c r="A39765" s="3" t="str">
        <f>IFERROR(__xludf.DUMMYFUNCTION("GOOGLETRANSLATE(A39765,""en"",""pt"")"),"Leve, durável, divertido")</f>
        <v>Leve, durável, divertido</v>
      </c>
      <c r="B39765" s="3">
        <v>1</v>
      </c>
    </row>
    <row r="39766" ht="15.75" customHeight="1" spans="1:2">
      <c r="A39766" s="3" t="str">
        <f>IFERROR(__xludf.DUMMYFUNCTION("GOOGLETRANSLATE(A39766,""en"",""pt"")"),"Se você quer um carrinho de criança para uma vida ativa este é o primeiro e único")</f>
        <v>Se você quer um carrinho de criança para uma vida ativa este é o primeiro e único</v>
      </c>
      <c r="B39766" s="3">
        <v>1</v>
      </c>
    </row>
    <row r="39767" ht="15.75" customHeight="1" spans="1:2">
      <c r="A39767" s="3" t="str">
        <f>IFERROR(__xludf.DUMMYFUNCTION("GOOGLETRANSLATE(A39767,""en"",""pt"")"),"great item")</f>
        <v>great item</v>
      </c>
      <c r="B39767" s="3">
        <v>1</v>
      </c>
    </row>
    <row r="39768" ht="15.75" customHeight="1" spans="1:2">
      <c r="A39768" s="3" t="str">
        <f>IFERROR(__xludf.DUMMYFUNCTION("GOOGLETRANSLATE(A39768,""en"",""pt"")"),"Leve, confortável para correr atrás, resistente, fácil de limpar")</f>
        <v>Leve, confortável para correr atrás, resistente, fácil de limpar</v>
      </c>
      <c r="B39768" s="3">
        <v>1</v>
      </c>
    </row>
    <row r="39769" ht="15.75" customHeight="1" spans="1:2">
      <c r="A39769" s="3" t="str">
        <f>IFERROR(__xludf.DUMMYFUNCTION("GOOGLETRANSLATE(A39769,""en"",""pt"")"),"Facilidade de utilização sobre uma variedade de superfícies.")</f>
        <v>Facilidade de utilização sobre uma variedade de superfícies.</v>
      </c>
      <c r="B39769" s="3">
        <v>1</v>
      </c>
    </row>
    <row r="39770" ht="15.75" customHeight="1" spans="1:2">
      <c r="A39770" s="3" t="str">
        <f>IFERROR(__xludf.DUMMYFUNCTION("GOOGLETRANSLATE(A39770,""en"",""pt"")"),"Muito fácil de andar com. Minha filha adora")</f>
        <v>Muito fácil de andar com. Minha filha adora</v>
      </c>
      <c r="B39770" s="3">
        <v>1</v>
      </c>
    </row>
    <row r="39771" ht="15.75" customHeight="1" spans="1:2">
      <c r="A39771" s="3" t="str">
        <f>IFERROR(__xludf.DUMMYFUNCTION("GOOGLETRANSLATE(A39771,""en"",""pt"")"),"De alta qualidade, suave Ride, lavável, confortável")</f>
        <v>De alta qualidade, suave Ride, lavável, confortável</v>
      </c>
      <c r="B39771" s="3">
        <v>1</v>
      </c>
    </row>
    <row r="39772" ht="15.75" customHeight="1" spans="1:2">
      <c r="A39772" s="3" t="str">
        <f>IFERROR(__xludf.DUMMYFUNCTION("GOOGLETRANSLATE(A39772,""en"",""pt"")"),"durável e fácil de manobra")</f>
        <v>durável e fácil de manobra</v>
      </c>
      <c r="B39772" s="3">
        <v>1</v>
      </c>
    </row>
    <row r="39773" ht="15.75" customHeight="1" spans="1:2">
      <c r="A39773" s="3" t="str">
        <f>IFERROR(__xludf.DUMMYFUNCTION("GOOGLETRANSLATE(A39773,""en"",""pt"")"),"Super suave, fácil de montar, confortável para o bebê")</f>
        <v>Super suave, fácil de montar, confortável para o bebê</v>
      </c>
      <c r="B39773" s="3">
        <v>1</v>
      </c>
    </row>
    <row r="39774" ht="15.75" customHeight="1" spans="1:2">
      <c r="A39774" s="3" t="str">
        <f>IFERROR(__xludf.DUMMYFUNCTION("GOOGLETRANSLATE(A39774,""en"",""pt"")"),"passeio smoooooth. Grande sistema de retenção.")</f>
        <v>passeio smoooooth. Grande sistema de retenção.</v>
      </c>
      <c r="B39774" s="3">
        <v>1</v>
      </c>
    </row>
    <row r="39775" ht="15.75" customHeight="1" spans="1:2">
      <c r="A39775" s="3" t="str">
        <f>IFERROR(__xludf.DUMMYFUNCTION("GOOGLETRANSLATE(A39775,""en"",""pt"")"),"Grande projeto, e rodas, confortável, fácil de empurrar")</f>
        <v>Grande projeto, e rodas, confortável, fácil de empurrar</v>
      </c>
      <c r="B39775" s="3">
        <v>1</v>
      </c>
    </row>
    <row r="39776" ht="15.75" customHeight="1" spans="1:2">
      <c r="A39776" s="3" t="str">
        <f>IFERROR(__xludf.DUMMYFUNCTION("GOOGLETRANSLATE(A39776,""en"",""pt"")"),"Este carrinho é lavável e fácil de usar.")</f>
        <v>Este carrinho é lavável e fácil de usar.</v>
      </c>
      <c r="B39776" s="3">
        <v>1</v>
      </c>
    </row>
    <row r="39777" ht="15.75" customHeight="1" spans="1:2">
      <c r="A39777" s="3" t="str">
        <f>IFERROR(__xludf.DUMMYFUNCTION("GOOGLETRANSLATE(A39777,""en"",""pt"")"),"Excelente para segurar. passeio confortável. A copa é perfeito para aqueles dias muito ensolarados.")</f>
        <v>Excelente para segurar. passeio confortável. A copa é perfeito para aqueles dias muito ensolarados.</v>
      </c>
      <c r="B39777" s="3">
        <v>1</v>
      </c>
    </row>
    <row r="39778" ht="15.75" customHeight="1" spans="1:2">
      <c r="A39778" s="3" t="str">
        <f>IFERROR(__xludf.DUMMYFUNCTION("GOOGLETRANSLATE(A39778,""en"",""pt"")"),"Excelente para correr com bebés / crianças. Bem feito, excelente em terrenos acidentados")</f>
        <v>Excelente para correr com bebés / crianças. Bem feito, excelente em terrenos acidentados</v>
      </c>
      <c r="B39778" s="3">
        <v>1</v>
      </c>
    </row>
    <row r="39779" ht="15.75" customHeight="1" spans="1:2">
      <c r="A39779" s="3" t="str">
        <f>IFERROR(__xludf.DUMMYFUNCTION("GOOGLETRANSLATE(A39779,""en"",""pt"")"),"rodas tripé, fácil de empurrar em todos os terrenos.")</f>
        <v>rodas tripé, fácil de empurrar em todos os terrenos.</v>
      </c>
      <c r="B39779" s="3">
        <v>1</v>
      </c>
    </row>
    <row r="39780" ht="15.75" customHeight="1" spans="1:2">
      <c r="A39780" s="3" t="str">
        <f>IFERROR(__xludf.DUMMYFUNCTION("GOOGLETRANSLATE(A39780,""en"",""pt"")"),"Grande projeto, seguro, durável e confortável")</f>
        <v>Grande projeto, seguro, durável e confortável</v>
      </c>
      <c r="B39780" s="3">
        <v>1</v>
      </c>
    </row>
    <row r="39781" ht="15.75" customHeight="1" spans="1:2">
      <c r="A39781" s="3" t="str">
        <f>IFERROR(__xludf.DUMMYFUNCTION("GOOGLETRANSLATE(A39781,""en"",""pt"")"),"o melhor carrinho de criança para correr e correr, período.")</f>
        <v>o melhor carrinho de criança para correr e correr, período.</v>
      </c>
      <c r="B39781" s="3">
        <v>1</v>
      </c>
    </row>
    <row r="39782" ht="15.75" customHeight="1" spans="1:2">
      <c r="A39782" s="3" t="str">
        <f>IFERROR(__xludf.DUMMYFUNCTION("GOOGLETRANSLATE(A39782,""en"",""pt"")"),"É fácil de usar e funciona em todos os tipos de superfícies.")</f>
        <v>É fácil de usar e funciona em todos os tipos de superfícies.</v>
      </c>
      <c r="B39782" s="3">
        <v>1</v>
      </c>
    </row>
    <row r="39783" ht="15.75" customHeight="1" spans="1:2">
      <c r="A39783" s="3" t="str">
        <f>IFERROR(__xludf.DUMMYFUNCTION("GOOGLETRANSLATE(A39783,""en"",""pt"")"),"Rolls facilmente sobre praticamente todo o terreno, parece bom!")</f>
        <v>Rolls facilmente sobre praticamente todo o terreno, parece bom!</v>
      </c>
      <c r="B39783" s="3">
        <v>1</v>
      </c>
    </row>
    <row r="39784" ht="15.75" customHeight="1" spans="1:2">
      <c r="A39784" s="3" t="str">
        <f>IFERROR(__xludf.DUMMYFUNCTION("GOOGLETRANSLATE(A39784,""en"",""pt"")"),"Solidamente construído, bom passeio, dobras bem")</f>
        <v>Solidamente construído, bom passeio, dobras bem</v>
      </c>
      <c r="B39784" s="3">
        <v>1</v>
      </c>
    </row>
    <row r="39785" ht="15.75" customHeight="1" spans="1:2">
      <c r="A39785" s="3" t="str">
        <f>IFERROR(__xludf.DUMMYFUNCTION("GOOGLETRANSLATE(A39785,""en"",""pt"")"),"durabilidade")</f>
        <v>durabilidade</v>
      </c>
      <c r="B39785" s="3">
        <v>1</v>
      </c>
    </row>
    <row r="39786" ht="15.75" customHeight="1" spans="1:2">
      <c r="A39786" s="3" t="str">
        <f>IFERROR(__xludf.DUMMYFUNCTION("GOOGLETRANSLATE(A39786,""en"",""pt"")"),"Muito confortável de usar")</f>
        <v>Muito confortável de usar</v>
      </c>
      <c r="B39786" s="3">
        <v>1</v>
      </c>
    </row>
    <row r="39787" ht="15.75" customHeight="1" spans="1:2">
      <c r="A39787" s="3" t="str">
        <f>IFERROR(__xludf.DUMMYFUNCTION("GOOGLETRANSLATE(A39787,""en"",""pt"")"),"Funciona...")</f>
        <v>Funciona...</v>
      </c>
      <c r="B39787" s="3">
        <v>1</v>
      </c>
    </row>
    <row r="39788" ht="15.75" customHeight="1" spans="1:2">
      <c r="A39788" s="3" t="str">
        <f>IFERROR(__xludf.DUMMYFUNCTION("GOOGLETRANSLATE(A39788,""en"",""pt"")"),"grande carrinho de criança")</f>
        <v>grande carrinho de criança</v>
      </c>
      <c r="B39788" s="3">
        <v>1</v>
      </c>
    </row>
    <row r="39789" ht="15.75" customHeight="1" spans="1:2">
      <c r="A39789" s="3" t="str">
        <f>IFERROR(__xludf.DUMMYFUNCTION("GOOGLETRANSLATE(A39789,""en"",""pt"")"),"16"" rodas = suavizar passeio, fácil de empurrar até mesmo para uma pessoa pequena")</f>
        <v>16" rodas = suavizar passeio, fácil de empurrar até mesmo para uma pessoa pequena</v>
      </c>
      <c r="B39789" s="3">
        <v>1</v>
      </c>
    </row>
    <row r="39790" ht="15.75" customHeight="1" spans="1:2">
      <c r="A39790" s="3" t="str">
        <f>IFERROR(__xludf.DUMMYFUNCTION("GOOGLETRANSLATE(A39790,""en"",""pt"")"),"Ideal para fazer jogging e ficando em terrenos acidentados")</f>
        <v>Ideal para fazer jogging e ficando em terrenos acidentados</v>
      </c>
      <c r="B39790" s="3">
        <v>1</v>
      </c>
    </row>
    <row r="39791" ht="15.75" customHeight="1" spans="1:2">
      <c r="A39791" s="3" t="str">
        <f>IFERROR(__xludf.DUMMYFUNCTION("GOOGLETRANSLATE(A39791,""en"",""pt"")"),"bom passeio")</f>
        <v>bom passeio</v>
      </c>
      <c r="B39791" s="3">
        <v>1</v>
      </c>
    </row>
    <row r="39792" ht="15.75" customHeight="1" spans="1:2">
      <c r="A39792" s="3" t="str">
        <f>IFERROR(__xludf.DUMMYFUNCTION("GOOGLETRANSLATE(A39792,""en"",""pt"")"),"Você pode executar com um bebê!")</f>
        <v>Você pode executar com um bebê!</v>
      </c>
      <c r="B39792" s="3">
        <v>1</v>
      </c>
    </row>
    <row r="39793" ht="15.75" customHeight="1" spans="1:2">
      <c r="A39793" s="3" t="str">
        <f>IFERROR(__xludf.DUMMYFUNCTION("GOOGLETRANSLATE(A39793,""en"",""pt"")"),"Resistente, durável, fácil de usar")</f>
        <v>Resistente, durável, fácil de usar</v>
      </c>
      <c r="B39793" s="3">
        <v>1</v>
      </c>
    </row>
    <row r="39794" ht="15.75" customHeight="1" spans="1:2">
      <c r="A39794" s="3" t="str">
        <f>IFERROR(__xludf.DUMMYFUNCTION("GOOGLETRANSLATE(A39794,""en"",""pt"")"),"Tudo")</f>
        <v>Tudo</v>
      </c>
      <c r="B39794" s="3">
        <v>1</v>
      </c>
    </row>
    <row r="39795" ht="15.75" customHeight="1" spans="1:2">
      <c r="A39795" s="3" t="str">
        <f>IFERROR(__xludf.DUMMYFUNCTION("GOOGLETRANSLATE(A39795,""en"",""pt"")"),"Desliza suavemente sobre a terra, grama, pequenas pedras, etc.")</f>
        <v>Desliza suavemente sobre a terra, grama, pequenas pedras, etc.</v>
      </c>
      <c r="B39795" s="3">
        <v>1</v>
      </c>
    </row>
    <row r="39796" ht="15.75" customHeight="1" spans="1:2">
      <c r="A39796" s="3" t="str">
        <f>IFERROR(__xludf.DUMMYFUNCTION("GOOGLETRANSLATE(A39796,""en"",""pt"")"),"Bom funcionamento estilo")</f>
        <v>Bom funcionamento estilo</v>
      </c>
      <c r="B39796" s="3">
        <v>1</v>
      </c>
    </row>
    <row r="39797" ht="15.75" customHeight="1" spans="1:2">
      <c r="A39797" s="3" t="str">
        <f>IFERROR(__xludf.DUMMYFUNCTION("GOOGLETRANSLATE(A39797,""en"",""pt"")"),"Grande Concept, Use simples, bom armazenamento, Comfy Fit")</f>
        <v>Grande Concept, Use simples, bom armazenamento, Comfy Fit</v>
      </c>
      <c r="B39797" s="3">
        <v>1</v>
      </c>
    </row>
    <row r="39798" ht="15.75" customHeight="1" spans="1:2">
      <c r="A39798" s="3" t="str">
        <f>IFERROR(__xludf.DUMMYFUNCTION("GOOGLETRANSLATE(A39798,""en"",""pt"")"),"Impressionante para tomar criança com você para exercício!")</f>
        <v>Impressionante para tomar criança com você para exercício!</v>
      </c>
      <c r="B39798" s="3">
        <v>1</v>
      </c>
    </row>
    <row r="39799" ht="15.75" customHeight="1" spans="1:2">
      <c r="A39799" s="3" t="str">
        <f>IFERROR(__xludf.DUMMYFUNCTION("GOOGLETRANSLATE(A39799,""en"",""pt"")"),"Obtê-lo se você tiver mais filhos")</f>
        <v>Obtê-lo se você tiver mais filhos</v>
      </c>
      <c r="B39799" s="3">
        <v>1</v>
      </c>
    </row>
    <row r="39800" ht="15.75" customHeight="1" spans="1:2">
      <c r="A39800" s="3" t="str">
        <f>IFERROR(__xludf.DUMMYFUNCTION("GOOGLETRANSLATE(A39800,""en"",""pt"")"),"Realmente grande carrinho de criança")</f>
        <v>Realmente grande carrinho de criança</v>
      </c>
      <c r="B39800" s="3">
        <v>1</v>
      </c>
    </row>
    <row r="39801" ht="15.75" customHeight="1" spans="1:2">
      <c r="A39801" s="3" t="str">
        <f>IFERROR(__xludf.DUMMYFUNCTION("GOOGLETRANSLATE(A39801,""en"",""pt"")"),"Muito fácil de manobrar por causa dos pneus grandes.")</f>
        <v>Muito fácil de manobrar por causa dos pneus grandes.</v>
      </c>
      <c r="B39801" s="3">
        <v>1</v>
      </c>
    </row>
    <row r="39802" ht="15.75" customHeight="1" spans="1:2">
      <c r="A39802" s="3" t="str">
        <f>IFERROR(__xludf.DUMMYFUNCTION("GOOGLETRANSLATE(A39802,""en"",""pt"")"),"não puxa para o lado, corre em linha reta como uma seta, super leve")</f>
        <v>não puxa para o lado, corre em linha reta como uma seta, super leve</v>
      </c>
      <c r="B39802" s="3">
        <v>1</v>
      </c>
    </row>
    <row r="39803" ht="15.75" customHeight="1" spans="1:2">
      <c r="A39803" s="3" t="str">
        <f>IFERROR(__xludf.DUMMYFUNCTION("GOOGLETRANSLATE(A39803,""en"",""pt"")"),"luz, passeio suave")</f>
        <v>luz, passeio suave</v>
      </c>
      <c r="B39803" s="3">
        <v>1</v>
      </c>
    </row>
    <row r="39804" ht="15.75" customHeight="1" spans="1:2">
      <c r="A39804" s="3" t="str">
        <f>IFERROR(__xludf.DUMMYFUNCTION("GOOGLETRANSLATE(A39804,""en"",""pt"")"),"Steady, equitação lisa, bom correr espaço stride")</f>
        <v>Steady, equitação lisa, bom correr espaço stride</v>
      </c>
      <c r="B39804" s="3">
        <v>1</v>
      </c>
    </row>
    <row r="39805" ht="15.75" customHeight="1" spans="1:2">
      <c r="A39805" s="3" t="str">
        <f>IFERROR(__xludf.DUMMYFUNCTION("GOOGLETRANSLATE(A39805,""en"",""pt"")"),"passeia lindamente, muitas opções diferentes")</f>
        <v>passeia lindamente, muitas opções diferentes</v>
      </c>
      <c r="B39805" s="3">
        <v>1</v>
      </c>
    </row>
    <row r="39806" ht="15.75" customHeight="1" spans="1:2">
      <c r="A39806" s="3" t="str">
        <f>IFERROR(__xludf.DUMMYFUNCTION("GOOGLETRANSLATE(A39806,""en"",""pt"")"),"Corra bem, acidentado.")</f>
        <v>Corra bem, acidentado.</v>
      </c>
      <c r="B39806" s="3">
        <v>1</v>
      </c>
    </row>
    <row r="39807" ht="15.75" customHeight="1" spans="1:2">
      <c r="A39807" s="3" t="str">
        <f>IFERROR(__xludf.DUMMYFUNCTION("GOOGLETRANSLATE(A39807,""en"",""pt"")"),"Extremamente fácil de quebrar")</f>
        <v>Extremamente fácil de quebrar</v>
      </c>
      <c r="B39807" s="3">
        <v>1</v>
      </c>
    </row>
    <row r="39808" ht="15.75" customHeight="1" spans="1:2">
      <c r="A39808" s="3" t="str">
        <f>IFERROR(__xludf.DUMMYFUNCTION("GOOGLETRANSLATE(A39808,""en"",""pt"")"),"É tão leve e fácil de usar.")</f>
        <v>É tão leve e fácil de usar.</v>
      </c>
      <c r="B39808" s="3">
        <v>1</v>
      </c>
    </row>
    <row r="39809" ht="15.75" customHeight="1" spans="1:2">
      <c r="A39809" s="3" t="str">
        <f>IFERROR(__xludf.DUMMYFUNCTION("GOOGLETRANSLATE(A39809,""en"",""pt"")"),"3 rodas são melhores do que quatro")</f>
        <v>3 rodas são melhores do que quatro</v>
      </c>
      <c r="B39809" s="3">
        <v>1</v>
      </c>
    </row>
    <row r="39810" ht="15.75" customHeight="1" spans="1:2">
      <c r="A39810" s="3" t="str">
        <f>IFERROR(__xludf.DUMMYFUNCTION("GOOGLETRANSLATE(A39810,""en"",""pt"")"),"pneus grandes, durabilidade, conforto")</f>
        <v>pneus grandes, durabilidade, conforto</v>
      </c>
      <c r="B39810" s="3">
        <v>1</v>
      </c>
    </row>
    <row r="39811" ht="15.75" customHeight="1" spans="1:2">
      <c r="A39811" s="3" t="str">
        <f>IFERROR(__xludf.DUMMYFUNCTION("GOOGLETRANSLATE(A39811,""en"",""pt"")"),"Fácil de empurrar. Obtém você lá fora.")</f>
        <v>Fácil de empurrar. Obtém você lá fora.</v>
      </c>
      <c r="B39811" s="3">
        <v>1</v>
      </c>
    </row>
    <row r="39812" ht="15.75" customHeight="1" spans="1:2">
      <c r="A39812" s="3" t="str">
        <f>IFERROR(__xludf.DUMMYFUNCTION("GOOGLETRANSLATE(A39812,""en"",""pt"")"),"Leve, fácil de montar, literalmente deslizes")</f>
        <v>Leve, fácil de montar, literalmente deslizes</v>
      </c>
      <c r="B39812" s="3">
        <v>1</v>
      </c>
    </row>
    <row r="39813" ht="15.75" customHeight="1" spans="1:2">
      <c r="A39813" s="3" t="str">
        <f>IFERROR(__xludf.DUMMYFUNCTION("GOOGLETRANSLATE(A39813,""en"",""pt"")"),"Facilidade de uso, strudy, Convient")</f>
        <v>Facilidade de uso, strudy, Convient</v>
      </c>
      <c r="B39813" s="3">
        <v>1</v>
      </c>
    </row>
    <row r="39814" ht="15.75" customHeight="1" spans="1:2">
      <c r="A39814" s="3" t="str">
        <f>IFERROR(__xludf.DUMMYFUNCTION("GOOGLETRANSLATE(A39814,""en"",""pt"")"),"Manobrabilidade, Lightweight")</f>
        <v>Manobrabilidade, Lightweight</v>
      </c>
      <c r="B39814" s="3">
        <v>1</v>
      </c>
    </row>
    <row r="39815" ht="15.75" customHeight="1" spans="1:2">
      <c r="A39815" s="3" t="str">
        <f>IFERROR(__xludf.DUMMYFUNCTION("GOOGLETRANSLATE(A39815,""en"",""pt"")"),"Leve, fácil de manobra, fácil de montar.")</f>
        <v>Leve, fácil de manobra, fácil de montar.</v>
      </c>
      <c r="B39815" s="3">
        <v>1</v>
      </c>
    </row>
    <row r="39816" ht="15.75" customHeight="1" spans="1:2">
      <c r="A39816" s="3" t="str">
        <f>IFERROR(__xludf.DUMMYFUNCTION("GOOGLETRANSLATE(A39816,""en"",""pt"")"),"Estabilidade, conforto")</f>
        <v>Estabilidade, conforto</v>
      </c>
      <c r="B39816" s="3">
        <v>1</v>
      </c>
    </row>
    <row r="39817" ht="15.75" customHeight="1" spans="1:2">
      <c r="A39817" s="3" t="str">
        <f>IFERROR(__xludf.DUMMYFUNCTION("GOOGLETRANSLATE(A39817,""en"",""pt"")"),"Muitos para listar")</f>
        <v>Muitos para listar</v>
      </c>
      <c r="B39817" s="3">
        <v>1</v>
      </c>
    </row>
    <row r="39818" ht="15.75" customHeight="1" spans="1:2">
      <c r="A39818" s="3" t="str">
        <f>IFERROR(__xludf.DUMMYFUNCTION("GOOGLETRANSLATE(A39818,""en"",""pt"")"),"Sólido, simples, muito boa rolo")</f>
        <v>Sólido, simples, muito boa rolo</v>
      </c>
      <c r="B39818" s="3">
        <v>1</v>
      </c>
    </row>
    <row r="39819" ht="15.75" customHeight="1" spans="1:2">
      <c r="A39819" s="3" t="str">
        <f>IFERROR(__xludf.DUMMYFUNCTION("GOOGLETRANSLATE(A39819,""en"",""pt"")"),"Durável, leve, de fácil configuração")</f>
        <v>Durável, leve, de fácil configuração</v>
      </c>
      <c r="B39819" s="3">
        <v>1</v>
      </c>
    </row>
    <row r="39820" ht="15.75" customHeight="1" spans="1:2">
      <c r="A39820" s="3" t="str">
        <f>IFERROR(__xludf.DUMMYFUNCTION("GOOGLETRANSLATE(A39820,""en"",""pt"")"),"extremamente fácil de empurrar sobre todas as superfícies, dobra-se facilmente")</f>
        <v>extremamente fácil de empurrar sobre todas as superfícies, dobra-se facilmente</v>
      </c>
      <c r="B39820" s="3">
        <v>1</v>
      </c>
    </row>
    <row r="39821" ht="15.75" customHeight="1" spans="1:2">
      <c r="A39821" s="3" t="str">
        <f>IFERROR(__xludf.DUMMYFUNCTION("GOOGLETRANSLATE(A39821,""en"",""pt"")"),"Leve, fácil de boi")</f>
        <v>Leve, fácil de boi</v>
      </c>
      <c r="B39821" s="3">
        <v>1</v>
      </c>
    </row>
    <row r="39822" ht="15.75" customHeight="1" spans="1:2">
      <c r="A39822" s="3" t="str">
        <f>IFERROR(__xludf.DUMMYFUNCTION("GOOGLETRANSLATE(A39822,""en"",""pt"")"),"Leve e fácil de empurrar, grande empresa, grande garantia")</f>
        <v>Leve e fácil de empurrar, grande empresa, grande garantia</v>
      </c>
      <c r="B39822" s="3">
        <v>1</v>
      </c>
    </row>
    <row r="39823" ht="15.75" customHeight="1" spans="1:2">
      <c r="A39823" s="3" t="str">
        <f>IFERROR(__xludf.DUMMYFUNCTION("GOOGLETRANSLATE(A39823,""en"",""pt"")"),"fácil de montar e usar, atraente, todo-terreno")</f>
        <v>fácil de montar e usar, atraente, todo-terreno</v>
      </c>
      <c r="B39823" s="3">
        <v>1</v>
      </c>
    </row>
    <row r="39824" ht="15.75" customHeight="1" spans="1:2">
      <c r="A39824" s="3" t="str">
        <f>IFERROR(__xludf.DUMMYFUNCTION("GOOGLETRANSLATE(A39824,""en"",""pt"")"),"ótimo para aquelas aventuras.")</f>
        <v>ótimo para aquelas aventuras.</v>
      </c>
      <c r="B39824" s="3">
        <v>1</v>
      </c>
    </row>
    <row r="39825" ht="15.75" customHeight="1" spans="1:2">
      <c r="A39825" s="3" t="str">
        <f>IFERROR(__xludf.DUMMYFUNCTION("GOOGLETRANSLATE(A39825,""en"",""pt"")"),"peso confortável e leve")</f>
        <v>peso confortável e leve</v>
      </c>
      <c r="B39825" s="3">
        <v>1</v>
      </c>
    </row>
    <row r="39826" ht="15.75" customHeight="1" spans="1:2">
      <c r="A39826" s="3" t="str">
        <f>IFERROR(__xludf.DUMMYFUNCTION("GOOGLETRANSLATE(A39826,""en"",""pt"")"),"fácil de boi, passa sobre qualquer superfície, tem um freio de mão e uma &amp; amp; quot; trela &amp; amp; quot;")</f>
        <v>fácil de boi, passa sobre qualquer superfície, tem um freio de mão e uma &amp; amp; quot; trela &amp; amp; quot;</v>
      </c>
      <c r="B39826" s="3">
        <v>1</v>
      </c>
    </row>
    <row r="39827" ht="15.75" customHeight="1" spans="1:2">
      <c r="A39827" s="3" t="str">
        <f>IFERROR(__xludf.DUMMYFUNCTION("GOOGLETRANSLATE(A39827,""en"",""pt"")"),"funciona bem nos primeiros meses")</f>
        <v>funciona bem nos primeiros meses</v>
      </c>
      <c r="B39827" s="3">
        <v>1</v>
      </c>
    </row>
    <row r="39828" ht="15.75" customHeight="1" spans="1:2">
      <c r="A39828" s="3" t="str">
        <f>IFERROR(__xludf.DUMMYFUNCTION("GOOGLETRANSLATE(A39828,""en"",""pt"")"),"muito divertido, acessível, sob medida para a mãe de entrar em forma")</f>
        <v>muito divertido, acessível, sob medida para a mãe de entrar em forma</v>
      </c>
      <c r="B39828" s="3">
        <v>1</v>
      </c>
    </row>
    <row r="39829" ht="15.75" customHeight="1" spans="1:2">
      <c r="A39829" s="3" t="str">
        <f>IFERROR(__xludf.DUMMYFUNCTION("GOOGLETRANSLATE(A39829,""en"",""pt"")"),"leve, confortável para a criança")</f>
        <v>leve, confortável para a criança</v>
      </c>
      <c r="B39829" s="3">
        <v>1</v>
      </c>
    </row>
    <row r="39830" ht="15.75" customHeight="1" spans="1:2">
      <c r="A39830" s="3" t="str">
        <f>IFERROR(__xludf.DUMMYFUNCTION("GOOGLETRANSLATE(A39830,""en"",""pt"")"),"Muito útil.")</f>
        <v>Muito útil.</v>
      </c>
      <c r="B39830" s="3">
        <v>1</v>
      </c>
    </row>
    <row r="39831" ht="15.75" customHeight="1" spans="1:2">
      <c r="A39831" s="3" t="str">
        <f>IFERROR(__xludf.DUMMYFUNCTION("GOOGLETRANSLATE(A39831,""en"",""pt"")"),"três rodas")</f>
        <v>três rodas</v>
      </c>
      <c r="B39831" s="3">
        <v>1</v>
      </c>
    </row>
    <row r="39832" ht="15.75" customHeight="1" spans="1:2">
      <c r="A39832" s="3" t="str">
        <f>IFERROR(__xludf.DUMMYFUNCTION("GOOGLETRANSLATE(A39832,""en"",""pt"")"),"Muito leve, fácil de usar, grandes tiras de segurança, construído para durar.")</f>
        <v>Muito leve, fácil de usar, grandes tiras de segurança, construído para durar.</v>
      </c>
      <c r="B39832" s="3">
        <v>1</v>
      </c>
    </row>
    <row r="39833" ht="15.75" customHeight="1" spans="1:2">
      <c r="A39833" s="3" t="str">
        <f>IFERROR(__xludf.DUMMYFUNCTION("GOOGLETRANSLATE(A39833,""en"",""pt"")"),"Muito leve, resistente, garantia de vida, seguro, de fabricação americana")</f>
        <v>Muito leve, resistente, garantia de vida, seguro, de fabricação americana</v>
      </c>
      <c r="B39833" s="3">
        <v>1</v>
      </c>
    </row>
    <row r="39834" ht="15.75" customHeight="1" spans="1:2">
      <c r="A39834" s="3" t="str">
        <f>IFERROR(__xludf.DUMMYFUNCTION("GOOGLETRANSLATE(A39834,""en"",""pt"")"),"fácil de usar")</f>
        <v>fácil de usar</v>
      </c>
      <c r="B39834" s="3">
        <v>1</v>
      </c>
    </row>
    <row r="39835" ht="15.75" customHeight="1" spans="1:2">
      <c r="A39835" s="3" t="str">
        <f>IFERROR(__xludf.DUMMYFUNCTION("GOOGLETRANSLATE(A39835,""en"",""pt"")"),"Extremamente fácil de empurrar, bem construído")</f>
        <v>Extremamente fácil de empurrar, bem construído</v>
      </c>
      <c r="B39835" s="3">
        <v>1</v>
      </c>
    </row>
    <row r="39836" ht="15.75" customHeight="1" spans="1:2">
      <c r="A39836" s="3" t="str">
        <f>IFERROR(__xludf.DUMMYFUNCTION("GOOGLETRANSLATE(A39836,""en"",""pt"")"),"Dobra-se facilmente, é executado sem problemas, permite que o meu filho olhar em volta para a paisagem.")</f>
        <v>Dobra-se facilmente, é executado sem problemas, permite que o meu filho olhar em volta para a paisagem.</v>
      </c>
      <c r="B39836" s="3">
        <v>1</v>
      </c>
    </row>
    <row r="39837" ht="15.75" customHeight="1" spans="1:2">
      <c r="A39837" s="3" t="str">
        <f>IFERROR(__xludf.DUMMYFUNCTION("GOOGLETRANSLATE(A39837,""en"",""pt"")"),"5 pontos arnês. Fácil dobragem. Ótimo para crianças pequenas por todo o caminho até pré-adolescentes!")</f>
        <v>5 pontos arnês. Fácil dobragem. Ótimo para crianças pequenas por todo o caminho até pré-adolescentes!</v>
      </c>
      <c r="B39837" s="3">
        <v>1</v>
      </c>
    </row>
    <row r="39838" ht="15.75" customHeight="1" spans="1:2">
      <c r="A39838" s="3" t="str">
        <f>IFERROR(__xludf.DUMMYFUNCTION("GOOGLETRANSLATE(A39838,""en"",""pt"")"),"O peso leve.")</f>
        <v>O peso leve.</v>
      </c>
      <c r="B39838" s="3">
        <v>1</v>
      </c>
    </row>
    <row r="39839" ht="15.75" customHeight="1" spans="1:2">
      <c r="A39839" s="3" t="str">
        <f>IFERROR(__xludf.DUMMYFUNCTION("GOOGLETRANSLATE(A39839,""en"",""pt"")"),"Ótimo para caminhada / corrida em todos os terrenos; leve; diferenças de peso das crianças não jogue o carrinho fora.")</f>
        <v>Ótimo para caminhada / corrida em todos os terrenos; leve; diferenças de peso das crianças não jogue o carrinho fora.</v>
      </c>
      <c r="B39839" s="3">
        <v>1</v>
      </c>
    </row>
    <row r="39840" ht="15.75" customHeight="1" spans="1:2">
      <c r="A39840" s="3" t="str">
        <f>IFERROR(__xludf.DUMMYFUNCTION("GOOGLETRANSLATE(A39840,""en"",""pt"")"),"Muito alta qualidade, versátil e útil.")</f>
        <v>Muito alta qualidade, versátil e útil.</v>
      </c>
      <c r="B39840" s="3">
        <v>1</v>
      </c>
    </row>
    <row r="39841" ht="15.75" customHeight="1" spans="1:2">
      <c r="A39841" s="3" t="str">
        <f>IFERROR(__xludf.DUMMYFUNCTION("GOOGLETRANSLATE(A39841,""en"",""pt"")"),"Perfeito para on-the-go")</f>
        <v>Perfeito para on-the-go</v>
      </c>
      <c r="B39841" s="3">
        <v>1</v>
      </c>
    </row>
    <row r="39842" ht="15.75" customHeight="1" spans="1:2">
      <c r="A39842" s="3" t="str">
        <f>IFERROR(__xludf.DUMMYFUNCTION("GOOGLETRANSLATE(A39842,""en"",""pt"")"),"Leve, boa qualidade, fácil de manobrar")</f>
        <v>Leve, boa qualidade, fácil de manobrar</v>
      </c>
      <c r="B39842" s="3">
        <v>1</v>
      </c>
    </row>
    <row r="39843" ht="15.75" customHeight="1" spans="1:2">
      <c r="A39843" s="3" t="str">
        <f>IFERROR(__xludf.DUMMYFUNCTION("GOOGLETRANSLATE(A39843,""en"",""pt"")"),"Veja comentário para comparações de produtos")</f>
        <v>Veja comentário para comparações de produtos</v>
      </c>
      <c r="B39843" s="3">
        <v>1</v>
      </c>
    </row>
    <row r="39844" ht="15.75" customHeight="1" spans="1:2">
      <c r="A39844" s="3" t="str">
        <f>IFERROR(__xludf.DUMMYFUNCTION("GOOGLETRANSLATE(A39844,""en"",""pt"")"),"robusto, estável, fácil de colapso, leve,")</f>
        <v>robusto, estável, fácil de colapso, leve,</v>
      </c>
      <c r="B39844" s="3">
        <v>1</v>
      </c>
    </row>
    <row r="39845" ht="15.75" customHeight="1" spans="1:2">
      <c r="A39845" s="3" t="str">
        <f>IFERROR(__xludf.DUMMYFUNCTION("GOOGLETRANSLATE(A39845,""en"",""pt"")"),"O SUV de carrinhos. Vai passar por qualquer coisa.")</f>
        <v>O SUV de carrinhos. Vai passar por qualquer coisa.</v>
      </c>
      <c r="B39845" s="3">
        <v>1</v>
      </c>
    </row>
    <row r="39846" ht="15.75" customHeight="1" spans="1:2">
      <c r="A39846" s="3" t="str">
        <f>IFERROR(__xludf.DUMMYFUNCTION("GOOGLETRANSLATE(A39846,""en"",""pt"")"),"Leve para a execução, durável e grande em trilhas.")</f>
        <v>Leve para a execução, durável e grande em trilhas.</v>
      </c>
      <c r="B39846" s="3">
        <v>1</v>
      </c>
    </row>
    <row r="39847" ht="15.75" customHeight="1" spans="1:2">
      <c r="A39847" s="3" t="str">
        <f>IFERROR(__xludf.DUMMYFUNCTION("GOOGLETRANSLATE(A39847,""en"",""pt"")"),"Absolutamente maravilhoso para acomodar gêmeos e seus assentos de carro com bar anexo especial!")</f>
        <v>Absolutamente maravilhoso para acomodar gêmeos e seus assentos de carro com bar anexo especial!</v>
      </c>
      <c r="B39847" s="3">
        <v>1</v>
      </c>
    </row>
    <row r="39848" ht="15.75" customHeight="1" spans="1:2">
      <c r="A39848" s="3" t="str">
        <f>IFERROR(__xludf.DUMMYFUNCTION("GOOGLETRANSLATE(A39848,""en"",""pt"")"),"Manobras bem, muito boa ração e olha grande viragem")</f>
        <v>Manobras bem, muito boa ração e olha grande viragem</v>
      </c>
      <c r="B39848" s="3">
        <v>1</v>
      </c>
    </row>
    <row r="39849" ht="15.75" customHeight="1" spans="1:2">
      <c r="A39849" s="3" t="str">
        <f>IFERROR(__xludf.DUMMYFUNCTION("GOOGLETRANSLATE(A39849,""en"",""pt"")"),"fácil de dirigir, assentos espaçosos")</f>
        <v>fácil de dirigir, assentos espaçosos</v>
      </c>
      <c r="B39849" s="3">
        <v>1</v>
      </c>
    </row>
    <row r="39850" ht="15.75" customHeight="1" spans="1:2">
      <c r="A39850" s="3" t="str">
        <f>IFERROR(__xludf.DUMMYFUNCTION("GOOGLETRANSLATE(A39850,""en"",""pt"")"),"Você pode colocar um assento de bebê no banco de trás, é fácil de empurrar, é muito leve")</f>
        <v>Você pode colocar um assento de bebê no banco de trás, é fácil de empurrar, é muito leve</v>
      </c>
      <c r="B39850" s="3">
        <v>1</v>
      </c>
    </row>
    <row r="39851" ht="15.75" customHeight="1" spans="1:2">
      <c r="A39851" s="3" t="str">
        <f>IFERROR(__xludf.DUMMYFUNCTION("GOOGLETRANSLATE(A39851,""en"",""pt"")"),"Realmente durável, leva o abuso muito bem, permanece comfy.Outstanding manobrabilidade")</f>
        <v>Realmente durável, leva o abuso muito bem, permanece comfy.Outstanding manobrabilidade</v>
      </c>
      <c r="B39851" s="3">
        <v>1</v>
      </c>
    </row>
    <row r="39852" ht="15.75" customHeight="1" spans="1:2">
      <c r="A39852" s="3" t="str">
        <f>IFERROR(__xludf.DUMMYFUNCTION("GOOGLETRANSLATE(A39852,""en"",""pt"")"),"fácil de empurrar e rodar, espaço de sobra para 2 crianças")</f>
        <v>fácil de empurrar e rodar, espaço de sobra para 2 crianças</v>
      </c>
      <c r="B39852" s="3">
        <v>1</v>
      </c>
    </row>
    <row r="39853" ht="15.75" customHeight="1" spans="1:2">
      <c r="A39853" s="3" t="str">
        <f>IFERROR(__xludf.DUMMYFUNCTION("GOOGLETRANSLATE(A39853,""en"",""pt"")"),"grandes bancos e cesta, leve")</f>
        <v>grandes bancos e cesta, leve</v>
      </c>
      <c r="B39853" s="3">
        <v>1</v>
      </c>
    </row>
    <row r="39854" ht="15.75" customHeight="1" spans="1:2">
      <c r="A39854" s="3" t="str">
        <f>IFERROR(__xludf.DUMMYFUNCTION("GOOGLETRANSLATE(A39854,""en"",""pt"")"),"durabilidade, leve")</f>
        <v>durabilidade, leve</v>
      </c>
      <c r="B39854" s="3">
        <v>1</v>
      </c>
    </row>
    <row r="39855" ht="15.75" customHeight="1" spans="1:2">
      <c r="A39855" s="3" t="str">
        <f>IFERROR(__xludf.DUMMYFUNCTION("GOOGLETRANSLATE(A39855,""en"",""pt"")"),"projeto óptimo, carrega assento de carro infantil")</f>
        <v>projeto óptimo, carrega assento de carro infantil</v>
      </c>
      <c r="B39855" s="3">
        <v>1</v>
      </c>
    </row>
    <row r="39856" ht="15.75" customHeight="1" spans="1:2">
      <c r="A39856" s="3" t="str">
        <f>IFERROR(__xludf.DUMMYFUNCTION("GOOGLETRANSLATE(A39856,""en"",""pt"")"),"Fácil de empurrar e vira grande.")</f>
        <v>Fácil de empurrar e vira grande.</v>
      </c>
      <c r="B39856" s="3">
        <v>1</v>
      </c>
    </row>
    <row r="39857" ht="15.75" customHeight="1" spans="1:2">
      <c r="A39857" s="3" t="str">
        <f>IFERROR(__xludf.DUMMYFUNCTION("GOOGLETRANSLATE(A39857,""en"",""pt"")"),"pode usar como um sistema de viagem, fácil de dirigir")</f>
        <v>pode usar como um sistema de viagem, fácil de dirigir</v>
      </c>
      <c r="B39857" s="3">
        <v>1</v>
      </c>
    </row>
    <row r="39858" ht="15.75" customHeight="1" spans="1:2">
      <c r="A39858" s="3" t="str">
        <f>IFERROR(__xludf.DUMMYFUNCTION("GOOGLETRANSLATE(A39858,""en"",""pt"")"),"custo eficaz, durável, fiável, de base ampla roda, grandes bancos, peso leve.")</f>
        <v>custo eficaz, durável, fiável, de base ampla roda, grandes bancos, peso leve.</v>
      </c>
      <c r="B39858" s="3">
        <v>1</v>
      </c>
    </row>
    <row r="39859" ht="15.75" customHeight="1" spans="1:2">
      <c r="A39859" s="3" t="str">
        <f>IFERROR(__xludf.DUMMYFUNCTION("GOOGLETRANSLATE(A39859,""en"",""pt"")"),"Fácil de manobra")</f>
        <v>Fácil de manobra</v>
      </c>
      <c r="B39859" s="3">
        <v>1</v>
      </c>
    </row>
    <row r="39860" ht="15.75" customHeight="1" spans="1:2">
      <c r="A39860" s="3" t="str">
        <f>IFERROR(__xludf.DUMMYFUNCTION("GOOGLETRANSLATE(A39860,""en"",""pt"")"),"desenhar")</f>
        <v>desenhar</v>
      </c>
      <c r="B39860" s="3">
        <v>1</v>
      </c>
    </row>
    <row r="39861" ht="15.75" customHeight="1" spans="1:2">
      <c r="A39861" s="3" t="str">
        <f>IFERROR(__xludf.DUMMYFUNCTION("GOOGLETRANSLATE(A39861,""en"",""pt"")"),"Pode conter dois assentos de carro infantis!")</f>
        <v>Pode conter dois assentos de carro infantis!</v>
      </c>
      <c r="B39861" s="3">
        <v>1</v>
      </c>
    </row>
    <row r="39862" ht="15.75" customHeight="1" spans="1:2">
      <c r="A39862" s="3" t="str">
        <f>IFERROR(__xludf.DUMMYFUNCTION("GOOGLETRANSLATE(A39862,""en"",""pt"")"),"Luz, pelúcia, durável")</f>
        <v>Luz, pelúcia, durável</v>
      </c>
      <c r="B39862" s="3">
        <v>1</v>
      </c>
    </row>
    <row r="39863" ht="15.75" customHeight="1" spans="1:2">
      <c r="A39863" s="3" t="str">
        <f>IFERROR(__xludf.DUMMYFUNCTION("GOOGLETRANSLATE(A39863,""en"",""pt"")"),"Confortável e funcional")</f>
        <v>Confortável e funcional</v>
      </c>
      <c r="B39863" s="3">
        <v>1</v>
      </c>
    </row>
    <row r="39864" ht="15.75" customHeight="1" spans="1:2">
      <c r="A39864" s="3" t="str">
        <f>IFERROR(__xludf.DUMMYFUNCTION("GOOGLETRANSLATE(A39864,""en"",""pt"")"),"ok armazenamento, como o carseat bebê snap-in recurso")</f>
        <v>ok armazenamento, como o carseat bebê snap-in recurso</v>
      </c>
      <c r="B39864" s="3">
        <v>1</v>
      </c>
    </row>
    <row r="39865" ht="15.75" customHeight="1" spans="1:2">
      <c r="A39865" s="3" t="str">
        <f>IFERROR(__xludf.DUMMYFUNCTION("GOOGLETRANSLATE(A39865,""en"",""pt"")"),"Trabalha com uma variedade de carros come, convertidos para crianças mais velhas")</f>
        <v>Trabalha com uma variedade de carros come, convertidos para crianças mais velhas</v>
      </c>
      <c r="B39865" s="3">
        <v>1</v>
      </c>
    </row>
    <row r="39866" ht="15.75" customHeight="1" spans="1:2">
      <c r="A39866" s="3" t="str">
        <f>IFERROR(__xludf.DUMMYFUNCTION("GOOGLETRANSLATE(A39866,""en"",""pt"")"),"passeio muito suave")</f>
        <v>passeio muito suave</v>
      </c>
      <c r="B39866" s="3">
        <v>1</v>
      </c>
    </row>
    <row r="39867" ht="15.75" customHeight="1" spans="1:2">
      <c r="A39867" s="3" t="str">
        <f>IFERROR(__xludf.DUMMYFUNCTION("GOOGLETRANSLATE(A39867,""en"",""pt"")"),"Pode usar com uma variedade de carseat infantil / portadores")</f>
        <v>Pode usar com uma variedade de carseat infantil / portadores</v>
      </c>
      <c r="B39867" s="3">
        <v>1</v>
      </c>
    </row>
    <row r="39868" ht="15.75" customHeight="1" spans="1:2">
      <c r="A39868" s="3" t="str">
        <f>IFERROR(__xludf.DUMMYFUNCTION("GOOGLETRANSLATE(A39868,""en"",""pt"")"),", dobra-se facilmente, materiais de luz agradável, assentos plushy, unidades bem")</f>
        <v>, dobra-se facilmente, materiais de luz agradável, assentos plushy, unidades bem</v>
      </c>
      <c r="B39868" s="3">
        <v>1</v>
      </c>
    </row>
    <row r="39869" ht="15.75" customHeight="1" spans="1:2">
      <c r="A39869" s="3" t="str">
        <f>IFERROR(__xludf.DUMMYFUNCTION("GOOGLETRANSLATE(A39869,""en"",""pt"")"),"Muito confortável para uma combinação criança / criança.")</f>
        <v>Muito confortável para uma combinação criança / criança.</v>
      </c>
      <c r="B39869" s="3">
        <v>1</v>
      </c>
    </row>
    <row r="39870" ht="15.75" customHeight="1" spans="1:2">
      <c r="A39870" s="3" t="str">
        <f>IFERROR(__xludf.DUMMYFUNCTION("GOOGLETRANSLATE(A39870,""en"",""pt"")"),"Inteligente idéia, menor do que muitos carrinhos de criança em tandem")</f>
        <v>Inteligente idéia, menor do que muitos carrinhos de criança em tandem</v>
      </c>
      <c r="B39870" s="3">
        <v>1</v>
      </c>
    </row>
    <row r="39871" ht="15.75" customHeight="1" spans="1:2">
      <c r="A39871" s="3" t="str">
        <f>IFERROR(__xludf.DUMMYFUNCTION("GOOGLETRANSLATE(A39871,""en"",""pt"")"),"Realmente útil, ótimo para a família")</f>
        <v>Realmente útil, ótimo para a família</v>
      </c>
      <c r="B39871" s="3">
        <v>1</v>
      </c>
    </row>
    <row r="39872" ht="15.75" customHeight="1" spans="1:2">
      <c r="A39872" s="3" t="str">
        <f>IFERROR(__xludf.DUMMYFUNCTION("GOOGLETRANSLATE(A39872,""en"",""pt"")"),"Versátil, fácil de manobrar e fácil de abrir e fechar.")</f>
        <v>Versátil, fácil de manobrar e fácil de abrir e fechar.</v>
      </c>
      <c r="B39872" s="3">
        <v>1</v>
      </c>
    </row>
    <row r="39873" ht="15.75" customHeight="1" spans="1:2">
      <c r="A39873" s="3" t="str">
        <f>IFERROR(__xludf.DUMMYFUNCTION("GOOGLETRANSLATE(A39873,""en"",""pt"")"),". Ótimo para o não em movimento e o que é &amp; amp; # 13; &amp; amp; # 10;")</f>
        <v>. Ótimo para o não em movimento e o que é &amp; amp; # 13; &amp; amp; # 10;</v>
      </c>
      <c r="B39873" s="3">
        <v>1</v>
      </c>
    </row>
    <row r="39874" ht="15.75" customHeight="1" spans="1:2">
      <c r="A39874" s="3" t="str">
        <f>IFERROR(__xludf.DUMMYFUNCTION("GOOGLETRANSLATE(A39874,""en"",""pt"")"),"Grande ideia para 2 crianças pequenas; podem ser utilizados com o suporte infantil")</f>
        <v>Grande ideia para 2 crianças pequenas; podem ser utilizados com o suporte infantil</v>
      </c>
      <c r="B39874" s="3">
        <v>1</v>
      </c>
    </row>
    <row r="39875" ht="15.75" customHeight="1" spans="1:2">
      <c r="A39875" s="3" t="str">
        <f>IFERROR(__xludf.DUMMYFUNCTION("GOOGLETRANSLATE(A39875,""en"",""pt"")"),"Ótimo para bebê e criança")</f>
        <v>Ótimo para bebê e criança</v>
      </c>
      <c r="B39875" s="3">
        <v>1</v>
      </c>
    </row>
    <row r="39876" ht="15.75" customHeight="1" spans="1:2">
      <c r="A39876" s="3" t="str">
        <f>IFERROR(__xludf.DUMMYFUNCTION("GOOGLETRANSLATE(A39876,""en"",""pt"")"),"&amp; Amp; quot; grande kid &amp; amp; quot; e recém-nascido podem andar juntos")</f>
        <v>&amp; Amp; quot; grande kid &amp; amp; quot; e recém-nascido podem andar juntos</v>
      </c>
      <c r="B39876" s="3">
        <v>1</v>
      </c>
    </row>
    <row r="39877" ht="15.75" customHeight="1" spans="1:2">
      <c r="A39877" s="3" t="str">
        <f>IFERROR(__xludf.DUMMYFUNCTION("GOOGLETRANSLATE(A39877,""en"",""pt"")"),"não volumosos como carrinhos duplos, não constritivas para crianças mais velhas")</f>
        <v>não volumosos como carrinhos duplos, não constritivas para crianças mais velhas</v>
      </c>
      <c r="B39877" s="3">
        <v>1</v>
      </c>
    </row>
    <row r="39878" ht="15.75" customHeight="1" spans="1:2">
      <c r="A39878" s="3" t="str">
        <f>IFERROR(__xludf.DUMMYFUNCTION("GOOGLETRANSLATE(A39878,""en"",""pt"")"),"Oferece conveniência se você tem filhos mais velhos")</f>
        <v>Oferece conveniência se você tem filhos mais velhos</v>
      </c>
      <c r="B39878" s="3">
        <v>1</v>
      </c>
    </row>
    <row r="39879" ht="15.75" customHeight="1" spans="1:2">
      <c r="A39879" s="3" t="str">
        <f>IFERROR(__xludf.DUMMYFUNCTION("GOOGLETRANSLATE(A39879,""en"",""pt"")"),"O stand up recurso")</f>
        <v>O stand up recurso</v>
      </c>
      <c r="B39879" s="3">
        <v>1</v>
      </c>
    </row>
    <row r="39880" ht="15.75" customHeight="1" spans="1:2">
      <c r="A39880" s="3" t="str">
        <f>IFERROR(__xludf.DUMMYFUNCTION("GOOGLETRANSLATE(A39880,""en"",""pt"")"),"aparência, velocidade, dobrar hoody-coisa")</f>
        <v>aparência, velocidade, dobrar hoody-coisa</v>
      </c>
      <c r="B39880" s="3">
        <v>1</v>
      </c>
    </row>
    <row r="39881" ht="15.75" customHeight="1" spans="1:2">
      <c r="A39881" s="3" t="str">
        <f>IFERROR(__xludf.DUMMYFUNCTION("GOOGLETRANSLATE(A39881,""en"",""pt"")"),"acomoda 2 crianças, fácil de dobrar e desdobrar")</f>
        <v>acomoda 2 crianças, fácil de dobrar e desdobrar</v>
      </c>
      <c r="B39881" s="3">
        <v>1</v>
      </c>
    </row>
    <row r="39882" ht="15.75" customHeight="1" spans="1:2">
      <c r="A39882" s="3" t="str">
        <f>IFERROR(__xludf.DUMMYFUNCTION("GOOGLETRANSLATE(A39882,""en"",""pt"")"),"responde a uma necessidade única de famílias")</f>
        <v>responde a uma necessidade única de famílias</v>
      </c>
      <c r="B39882" s="3">
        <v>1</v>
      </c>
    </row>
    <row r="39883" ht="15.75" customHeight="1" spans="1:2">
      <c r="A39883" s="3" t="str">
        <f>IFERROR(__xludf.DUMMYFUNCTION("GOOGLETRANSLATE(A39883,""en"",""pt"")"),"Durável")</f>
        <v>Durável</v>
      </c>
      <c r="B39883" s="3">
        <v>1</v>
      </c>
    </row>
    <row r="39884" ht="15.75" customHeight="1" spans="1:2">
      <c r="A39884" s="3" t="str">
        <f>IFERROR(__xludf.DUMMYFUNCTION("GOOGLETRANSLATE(A39884,""en"",""pt"")"),"A pé / recurso sentado na parte de trás, baixo preço")</f>
        <v>A pé / recurso sentado na parte de trás, baixo preço</v>
      </c>
      <c r="B39884" s="3">
        <v>1</v>
      </c>
    </row>
    <row r="39885" ht="15.75" customHeight="1" spans="1:2">
      <c r="A39885" s="3" t="str">
        <f>IFERROR(__xludf.DUMMYFUNCTION("GOOGLETRANSLATE(A39885,""en"",""pt"")"),"Bom para caminhadas tomada")</f>
        <v>Bom para caminhadas tomada</v>
      </c>
      <c r="B39885" s="3">
        <v>1</v>
      </c>
    </row>
    <row r="39886" ht="15.75" customHeight="1" spans="1:2">
      <c r="A39886" s="3" t="str">
        <f>IFERROR(__xludf.DUMMYFUNCTION("GOOGLETRANSLATE(A39886,""en"",""pt"")"),"Excelente para essa criança que acha que ela é grande demais para um carrinho de criança")</f>
        <v>Excelente para essa criança que acha que ela é grande demais para um carrinho de criança</v>
      </c>
      <c r="B39886" s="3">
        <v>1</v>
      </c>
    </row>
    <row r="39887" ht="15.75" customHeight="1" spans="1:2">
      <c r="A39887" s="3" t="str">
        <f>IFERROR(__xludf.DUMMYFUNCTION("GOOGLETRANSLATE(A39887,""en"",""pt"")"),"2 Para uma")</f>
        <v>2 Para uma</v>
      </c>
      <c r="B39887" s="3">
        <v>1</v>
      </c>
    </row>
    <row r="39888" ht="15.75" customHeight="1" spans="1:2">
      <c r="A39888" s="3" t="str">
        <f>IFERROR(__xludf.DUMMYFUNCTION("GOOGLETRANSLATE(A39888,""en"",""pt"")"),"Boa ideia!")</f>
        <v>Boa ideia!</v>
      </c>
      <c r="B39888" s="3">
        <v>1</v>
      </c>
    </row>
    <row r="39889" ht="15.75" customHeight="1" spans="1:2">
      <c r="A39889" s="3" t="str">
        <f>IFERROR(__xludf.DUMMYFUNCTION("GOOGLETRANSLATE(A39889,""en"",""pt"")"),"grande conceito")</f>
        <v>grande conceito</v>
      </c>
      <c r="B39889" s="3">
        <v>1</v>
      </c>
    </row>
    <row r="39890" ht="15.75" customHeight="1" spans="1:2">
      <c r="A39890" s="3" t="str">
        <f>IFERROR(__xludf.DUMMYFUNCTION("GOOGLETRANSLATE(A39890,""en"",""pt"")"),"manobrabilidade, versatilidade")</f>
        <v>manobrabilidade, versatilidade</v>
      </c>
      <c r="B39890" s="3">
        <v>1</v>
      </c>
    </row>
    <row r="39891" ht="15.75" customHeight="1" spans="1:2">
      <c r="A39891" s="3" t="str">
        <f>IFERROR(__xludf.DUMMYFUNCTION("GOOGLETRANSLATE(A39891,""en"",""pt"")"),"resistente durável fácil montar")</f>
        <v>resistente durável fácil montar</v>
      </c>
      <c r="B39891" s="3">
        <v>1</v>
      </c>
    </row>
    <row r="39892" ht="15.75" customHeight="1" spans="1:2">
      <c r="A39892" s="3" t="str">
        <f>IFERROR(__xludf.DUMMYFUNCTION("GOOGLETRANSLATE(A39892,""en"",""pt"")"),"Tamanho, fácil dobrar, preço")</f>
        <v>Tamanho, fácil dobrar, preço</v>
      </c>
      <c r="B39892" s="3">
        <v>1</v>
      </c>
    </row>
    <row r="39893" ht="15.75" customHeight="1" spans="1:2">
      <c r="A39893" s="3" t="str">
        <f>IFERROR(__xludf.DUMMYFUNCTION("GOOGLETRANSLATE(A39893,""en"",""pt"")"),"Acessível, fácil de empurrar, agradável e suave passeio")</f>
        <v>Acessível, fácil de empurrar, agradável e suave passeio</v>
      </c>
      <c r="B39893" s="3">
        <v>1</v>
      </c>
    </row>
    <row r="39894" ht="15.75" customHeight="1" spans="1:2">
      <c r="A39894" s="3" t="str">
        <f>IFERROR(__xludf.DUMMYFUNCTION("GOOGLETRANSLATE(A39894,""en"",""pt"")"),"ótima idéia, fácil de dobrar")</f>
        <v>ótima idéia, fácil de dobrar</v>
      </c>
      <c r="B39894" s="3">
        <v>1</v>
      </c>
    </row>
    <row r="39895" ht="15.75" customHeight="1" spans="1:2">
      <c r="A39895" s="3" t="str">
        <f>IFERROR(__xludf.DUMMYFUNCTION("GOOGLETRANSLATE(A39895,""en"",""pt"")"),"ótimo para pré-escolares")</f>
        <v>ótimo para pré-escolares</v>
      </c>
      <c r="B39895" s="3">
        <v>1</v>
      </c>
    </row>
    <row r="39896" ht="15.75" customHeight="1" spans="1:2">
      <c r="A39896" s="3" t="str">
        <f>IFERROR(__xludf.DUMMYFUNCTION("GOOGLETRANSLATE(A39896,""en"",""pt"")"),"permite uma outra pequena criança a andar (sem assento de carro em anexo)")</f>
        <v>permite uma outra pequena criança a andar (sem assento de carro em anexo)</v>
      </c>
      <c r="B39896" s="3">
        <v>1</v>
      </c>
    </row>
    <row r="39897" ht="15.75" customHeight="1" spans="1:2">
      <c r="A39897" s="3" t="str">
        <f>IFERROR(__xludf.DUMMYFUNCTION("GOOGLETRANSLATE(A39897,""en"",""pt"")"),"bom carrinho de criança para dentro de casa, 2 crianças leves, nenhum levantamento de uma criança dentro e fora")</f>
        <v>bom carrinho de criança para dentro de casa, 2 crianças leves, nenhum levantamento de uma criança dentro e fora</v>
      </c>
      <c r="B39897" s="3">
        <v>1</v>
      </c>
    </row>
    <row r="39898" ht="15.75" customHeight="1" spans="1:2">
      <c r="A39898" s="3" t="str">
        <f>IFERROR(__xludf.DUMMYFUNCTION("GOOGLETRANSLATE(A39898,""en"",""pt"")"),"tamanho, capacidade para crianças mais velhas para ficar")</f>
        <v>tamanho, capacidade para crianças mais velhas para ficar</v>
      </c>
      <c r="B39898" s="3">
        <v>1</v>
      </c>
    </row>
    <row r="39899" ht="15.75" customHeight="1" spans="1:2">
      <c r="A39899" s="3" t="str">
        <f>IFERROR(__xludf.DUMMYFUNCTION("GOOGLETRANSLATE(A39899,""en"",""pt"")"),"Tudo")</f>
        <v>Tudo</v>
      </c>
      <c r="B39899" s="3">
        <v>1</v>
      </c>
    </row>
    <row r="39900" ht="15.75" customHeight="1" spans="1:2">
      <c r="A39900" s="3" t="str">
        <f>IFERROR(__xludf.DUMMYFUNCTION("GOOGLETRANSLATE(A39900,""en"",""pt"")"),"tamanho compacto")</f>
        <v>tamanho compacto</v>
      </c>
      <c r="B39900" s="3">
        <v>1</v>
      </c>
    </row>
    <row r="39901" ht="15.75" customHeight="1" spans="1:2">
      <c r="A39901" s="3" t="str">
        <f>IFERROR(__xludf.DUMMYFUNCTION("GOOGLETRANSLATE(A39901,""en"",""pt"")"),"ocupam menos espaço do que um carrinho duplo regulares")</f>
        <v>ocupam menos espaço do que um carrinho duplo regulares</v>
      </c>
      <c r="B39901" s="3">
        <v>1</v>
      </c>
    </row>
    <row r="39902" ht="15.75" customHeight="1" spans="1:2">
      <c r="A39902" s="3" t="str">
        <f>IFERROR(__xludf.DUMMYFUNCTION("GOOGLETRANSLATE(A39902,""en"",""pt"")"),"Pequeno, compacto, Senta 2 crianças, entretenimento de crianças mais velhas")</f>
        <v>Pequeno, compacto, Senta 2 crianças, entretenimento de crianças mais velhas</v>
      </c>
      <c r="B39902" s="3">
        <v>1</v>
      </c>
    </row>
    <row r="39903" ht="15.75" customHeight="1" spans="1:2">
      <c r="A39903" s="3" t="str">
        <f>IFERROR(__xludf.DUMMYFUNCTION("GOOGLETRANSLATE(A39903,""en"",""pt"")"),"lugar para assento infantil, assento reclinável, cintos de segurança em cada posição")</f>
        <v>lugar para assento infantil, assento reclinável, cintos de segurança em cada posição</v>
      </c>
      <c r="B39903" s="3">
        <v>1</v>
      </c>
    </row>
    <row r="39904" ht="15.75" customHeight="1" spans="1:2">
      <c r="A39904" s="3" t="str">
        <f>IFERROR(__xludf.DUMMYFUNCTION("GOOGLETRANSLATE(A39904,""en"",""pt"")"),"leve")</f>
        <v>leve</v>
      </c>
      <c r="B39904" s="3">
        <v>1</v>
      </c>
    </row>
    <row r="39905" ht="15.75" customHeight="1" spans="1:2">
      <c r="A39905" s="3" t="str">
        <f>IFERROR(__xludf.DUMMYFUNCTION("GOOGLETRANSLATE(A39905,""en"",""pt"")"),"Criança de segurança ainda a liberdade!")</f>
        <v>Criança de segurança ainda a liberdade!</v>
      </c>
      <c r="B39905" s="3">
        <v>1</v>
      </c>
    </row>
    <row r="39906" ht="15.75" customHeight="1" spans="1:2">
      <c r="A39906" s="3" t="str">
        <f>IFERROR(__xludf.DUMMYFUNCTION("GOOGLETRANSLATE(A39906,""en"",""pt"")"),"assento traseiro facilmente acessível para pré-escolar")</f>
        <v>assento traseiro facilmente acessível para pré-escolar</v>
      </c>
      <c r="B39906" s="3">
        <v>1</v>
      </c>
    </row>
    <row r="39907" ht="15.75" customHeight="1" spans="1:2">
      <c r="A39907" s="3" t="str">
        <f>IFERROR(__xludf.DUMMYFUNCTION("GOOGLETRANSLATE(A39907,""en"",""pt"")"),"Conveniência")</f>
        <v>Conveniência</v>
      </c>
      <c r="B39907" s="3">
        <v>1</v>
      </c>
    </row>
    <row r="39908" ht="15.75" customHeight="1" spans="1:2">
      <c r="A39908" s="3" t="str">
        <f>IFERROR(__xludf.DUMMYFUNCTION("GOOGLETRANSLATE(A39908,""en"",""pt"")"),"menor do que outros carrinhos duplos.")</f>
        <v>menor do que outros carrinhos duplos.</v>
      </c>
      <c r="B39908" s="3">
        <v>1</v>
      </c>
    </row>
    <row r="39909" ht="15.75" customHeight="1" spans="1:2">
      <c r="A39909" s="3" t="str">
        <f>IFERROR(__xludf.DUMMYFUNCTION("GOOGLETRANSLATE(A39909,""en"",""pt"")"),"Nao muitos....")</f>
        <v>Nao muitos....</v>
      </c>
      <c r="B39909" s="3">
        <v>1</v>
      </c>
    </row>
    <row r="39910" ht="15.75" customHeight="1" spans="1:2">
      <c r="A39910" s="3" t="str">
        <f>IFERROR(__xludf.DUMMYFUNCTION("GOOGLETRANSLATE(A39910,""en"",""pt"")"),"Boa ideia")</f>
        <v>Boa ideia</v>
      </c>
      <c r="B39910" s="3">
        <v>1</v>
      </c>
    </row>
    <row r="39911" ht="15.75" customHeight="1" spans="1:2">
      <c r="A39911" s="3" t="str">
        <f>IFERROR(__xludf.DUMMYFUNCTION("GOOGLETRANSLATE(A39911,""en"",""pt"")"),"adidos assento de carro infantil facilmente")</f>
        <v>adidos assento de carro infantil facilmente</v>
      </c>
      <c r="B39911" s="3">
        <v>1</v>
      </c>
    </row>
    <row r="39912" ht="15.75" customHeight="1" spans="1:2">
      <c r="A39912" s="3" t="str">
        <f>IFERROR(__xludf.DUMMYFUNCTION("GOOGLETRANSLATE(A39912,""en"",""pt"")"),"Nenhum")</f>
        <v>Nenhum</v>
      </c>
      <c r="B39912" s="3">
        <v>1</v>
      </c>
    </row>
    <row r="39913" ht="15.75" customHeight="1" spans="1:2">
      <c r="A39913" s="3" t="str">
        <f>IFERROR(__xludf.DUMMYFUNCTION("GOOGLETRANSLATE(A39913,""en"",""pt"")"),"Fun, prático, Easy Drive")</f>
        <v>Fun, prático, Easy Drive</v>
      </c>
      <c r="B39913" s="3">
        <v>1</v>
      </c>
    </row>
    <row r="39914" ht="15.75" customHeight="1" spans="1:2">
      <c r="A39914" s="3" t="str">
        <f>IFERROR(__xludf.DUMMYFUNCTION("GOOGLETRANSLATE(A39914,""en"",""pt"")"),"fácil de usar")</f>
        <v>fácil de usar</v>
      </c>
      <c r="B39914" s="3">
        <v>1</v>
      </c>
    </row>
    <row r="39915" ht="15.75" customHeight="1" spans="1:2">
      <c r="A39915" s="3" t="str">
        <f>IFERROR(__xludf.DUMMYFUNCTION("GOOGLETRANSLATE(A39915,""en"",""pt"")"),"Perfeito para uma criança e criança mais velha")</f>
        <v>Perfeito para uma criança e criança mais velha</v>
      </c>
      <c r="B39915" s="3">
        <v>1</v>
      </c>
    </row>
    <row r="39916" ht="15.75" customHeight="1" spans="1:2">
      <c r="A39916" s="3" t="str">
        <f>IFERROR(__xludf.DUMMYFUNCTION("GOOGLETRANSLATE(A39916,""en"",""pt"")"),"Ser capaz de &amp; amp; quot; contêm &amp; amp; quot; um pré-escolar activa")</f>
        <v>Ser capaz de &amp; amp; quot; contêm &amp; amp; quot; um pré-escolar activa</v>
      </c>
      <c r="B39916" s="3">
        <v>1</v>
      </c>
    </row>
    <row r="39917" ht="15.75" customHeight="1" spans="1:2">
      <c r="A39917" s="3" t="str">
        <f>IFERROR(__xludf.DUMMYFUNCTION("GOOGLETRANSLATE(A39917,""en"",""pt"")"),"permite que uma criança grande demais para sentar-se em um carrinho de criança a chance de ter um passeio.")</f>
        <v>permite que uma criança grande demais para sentar-se em um carrinho de criança a chance de ter um passeio.</v>
      </c>
      <c r="B39917" s="3">
        <v>1</v>
      </c>
    </row>
    <row r="39918" ht="15.75" customHeight="1" spans="1:2">
      <c r="A39918" s="3" t="str">
        <f>IFERROR(__xludf.DUMMYFUNCTION("GOOGLETRANSLATE(A39918,""en"",""pt"")"),"características únicas, tem vários filhos, se necessário")</f>
        <v>características únicas, tem vários filhos, se necessário</v>
      </c>
      <c r="B39918" s="3">
        <v>1</v>
      </c>
    </row>
    <row r="39919" ht="15.75" customHeight="1" spans="1:2">
      <c r="A39919" s="3" t="str">
        <f>IFERROR(__xludf.DUMMYFUNCTION("GOOGLETRANSLATE(A39919,""en"",""pt"")"),"crianças mais velhas podem sentar ou ficar")</f>
        <v>crianças mais velhas podem sentar ou ficar</v>
      </c>
      <c r="B39919" s="3">
        <v>1</v>
      </c>
    </row>
    <row r="39920" ht="15.75" customHeight="1" spans="1:2">
      <c r="A39920" s="3" t="str">
        <f>IFERROR(__xludf.DUMMYFUNCTION("GOOGLETRANSLATE(A39920,""en"",""pt"")"),"alto valor de revenda")</f>
        <v>alto valor de revenda</v>
      </c>
      <c r="B39920" s="3">
        <v>1</v>
      </c>
    </row>
    <row r="39921" ht="15.75" customHeight="1" spans="1:2">
      <c r="A39921" s="3" t="str">
        <f>IFERROR(__xludf.DUMMYFUNCTION("GOOGLETRANSLATE(A39921,""en"",""pt"")"),"Grande para transportar a criança e o bebê")</f>
        <v>Grande para transportar a criança e o bebê</v>
      </c>
      <c r="B39921" s="3">
        <v>1</v>
      </c>
    </row>
    <row r="39922" ht="15.75" customHeight="1" spans="1:2">
      <c r="A39922" s="3" t="str">
        <f>IFERROR(__xludf.DUMMYFUNCTION("GOOGLETRANSLATE(A39922,""en"",""pt"")"),"Muito durável e fácil de manobra")</f>
        <v>Muito durável e fácil de manobra</v>
      </c>
      <c r="B39922" s="3">
        <v>1</v>
      </c>
    </row>
    <row r="39923" ht="15.75" customHeight="1" spans="1:2">
      <c r="A39923" s="3" t="str">
        <f>IFERROR(__xludf.DUMMYFUNCTION("GOOGLETRANSLATE(A39923,""en"",""pt"")"),"estreitar, fácil de obter através de portas e corredores")</f>
        <v>estreitar, fácil de obter através de portas e corredores</v>
      </c>
      <c r="B39923" s="3">
        <v>1</v>
      </c>
    </row>
    <row r="39924" ht="15.75" customHeight="1" spans="1:2">
      <c r="A39924" s="3" t="str">
        <f>IFERROR(__xludf.DUMMYFUNCTION("GOOGLETRANSLATE(A39924,""en"",""pt"")"),"Facilidade de uso, sem necessidade de montagem, preço")</f>
        <v>Facilidade de uso, sem necessidade de montagem, preço</v>
      </c>
      <c r="B39924" s="3">
        <v>1</v>
      </c>
    </row>
    <row r="39925" ht="15.75" customHeight="1" spans="1:2">
      <c r="A39925" s="3" t="str">
        <f>IFERROR(__xludf.DUMMYFUNCTION("GOOGLETRANSLATE(A39925,""en"",""pt"")"),"leve, resistente, fácil de empurrar, opções para crianças mais velhas")</f>
        <v>leve, resistente, fácil de empurrar, opções para crianças mais velhas</v>
      </c>
      <c r="B39925" s="3">
        <v>1</v>
      </c>
    </row>
    <row r="39926" ht="15.75" customHeight="1" spans="1:2">
      <c r="A39926" s="3" t="str">
        <f>IFERROR(__xludf.DUMMYFUNCTION("GOOGLETRANSLATE(A39926,""en"",""pt"")"),"se encaixa dois com liberdade para o mais velho!")</f>
        <v>se encaixa dois com liberdade para o mais velho!</v>
      </c>
      <c r="B39926" s="3">
        <v>1</v>
      </c>
    </row>
    <row r="39927" ht="15.75" customHeight="1" spans="1:2">
      <c r="A39927" s="3" t="str">
        <f>IFERROR(__xludf.DUMMYFUNCTION("GOOGLETRANSLATE(A39927,""en"",""pt"")"),"Empurra fácil, permite que o seu filho tem uma escolha, uso desde o nascimento até 5 anos de idade.")</f>
        <v>Empurra fácil, permite que o seu filho tem uma escolha, uso desde o nascimento até 5 anos de idade.</v>
      </c>
      <c r="B39927" s="3">
        <v>1</v>
      </c>
    </row>
    <row r="39928" ht="15.75" customHeight="1" spans="1:2">
      <c r="A39928" s="3" t="str">
        <f>IFERROR(__xludf.DUMMYFUNCTION("GOOGLETRANSLATE(A39928,""en"",""pt"")"),"Pode caber 2 crianças")</f>
        <v>Pode caber 2 crianças</v>
      </c>
      <c r="B39928" s="3">
        <v>1</v>
      </c>
    </row>
    <row r="39929" ht="15.75" customHeight="1" spans="1:2">
      <c r="A39929" s="3" t="str">
        <f>IFERROR(__xludf.DUMMYFUNCTION("GOOGLETRANSLATE(A39929,""en"",""pt"")"),"ADF, impressão rápida, excelente qualidade de impressão")</f>
        <v>ADF, impressão rápida, excelente qualidade de impressão</v>
      </c>
      <c r="B39929" s="3">
        <v>1</v>
      </c>
    </row>
    <row r="39930" ht="15.75" customHeight="1" spans="1:2">
      <c r="A39930" s="3" t="str">
        <f>IFERROR(__xludf.DUMMYFUNCTION("GOOGLETRANSLATE(A39930,""en"",""pt"")"),"Grande preço e desempenho. copiadora rápida real de boa qualidade para o dinheiro.")</f>
        <v>Grande preço e desempenho. copiadora rápida real de boa qualidade para o dinheiro.</v>
      </c>
      <c r="B39930" s="3">
        <v>1</v>
      </c>
    </row>
    <row r="39931" ht="15.75" customHeight="1" spans="1:2">
      <c r="A39931" s="3" t="str">
        <f>IFERROR(__xludf.DUMMYFUNCTION("GOOGLETRANSLATE(A39931,""en"",""pt"")"),"Impressão rápida, impressora grande, boa qualidade, Trabalho no Windows XP, Toner dura um longo tempo.")</f>
        <v>Impressão rápida, impressora grande, boa qualidade, Trabalho no Windows XP, Toner dura um longo tempo.</v>
      </c>
      <c r="B39931" s="3">
        <v>1</v>
      </c>
    </row>
    <row r="39932" ht="15.75" customHeight="1" spans="1:2">
      <c r="A39932" s="3" t="str">
        <f>IFERROR(__xludf.DUMMYFUNCTION("GOOGLETRANSLATE(A39932,""en"",""pt"")"),"Uma impressora copiadora e de laser rápido digitais")</f>
        <v>Uma impressora copiadora e de laser rápido digitais</v>
      </c>
      <c r="B39932" s="3">
        <v>1</v>
      </c>
    </row>
    <row r="39933" ht="15.75" customHeight="1" spans="1:2">
      <c r="A39933" s="3" t="str">
        <f>IFERROR(__xludf.DUMMYFUNCTION("GOOGLETRANSLATE(A39933,""en"",""pt"")"),"Nenhum!")</f>
        <v>Nenhum!</v>
      </c>
      <c r="B39933" s="3">
        <v>1</v>
      </c>
    </row>
    <row r="39934" ht="15.75" customHeight="1" spans="1:2">
      <c r="A39934" s="3" t="str">
        <f>IFERROR(__xludf.DUMMYFUNCTION("GOOGLETRANSLATE(A39934,""en"",""pt"")"),"Cópias rápidas digitais, cartuchos baratos, muito confiável")</f>
        <v>Cópias rápidas digitais, cartuchos baratos, muito confiável</v>
      </c>
      <c r="B39934" s="3">
        <v>1</v>
      </c>
    </row>
    <row r="39935" ht="15.75" customHeight="1" spans="1:2">
      <c r="A39935" s="3" t="str">
        <f>IFERROR(__xludf.DUMMYFUNCTION("GOOGLETRANSLATE(A39935,""en"",""pt"")"),"É imbatível para o dinheiro.")</f>
        <v>É imbatível para o dinheiro.</v>
      </c>
      <c r="B39935" s="3">
        <v>1</v>
      </c>
    </row>
    <row r="39936" ht="15.75" customHeight="1" spans="1:2">
      <c r="A39936" s="3" t="str">
        <f>IFERROR(__xludf.DUMMYFUNCTION("GOOGLETRANSLATE(A39936,""en"",""pt"")"),"Facilidade de uso, preço de toner, Qualidade de cópias")</f>
        <v>Facilidade de uso, preço de toner, Qualidade de cópias</v>
      </c>
      <c r="B39936" s="3">
        <v>1</v>
      </c>
    </row>
    <row r="39937" ht="15.75" customHeight="1" spans="1:2">
      <c r="A39937" s="3" t="str">
        <f>IFERROR(__xludf.DUMMYFUNCTION("GOOGLETRANSLATE(A39937,""en"",""pt"")"),"O tamanho pequeno, de baixo custo, facilidade de uso")</f>
        <v>O tamanho pequeno, de baixo custo, facilidade de uso</v>
      </c>
      <c r="B39937" s="3">
        <v>1</v>
      </c>
    </row>
    <row r="39938" ht="15.75" customHeight="1" spans="1:2">
      <c r="A39938" s="3" t="str">
        <f>IFERROR(__xludf.DUMMYFUNCTION("GOOGLETRANSLATE(A39938,""en"",""pt"")"),"Bom preço, imprime rápido")</f>
        <v>Bom preço, imprime rápido</v>
      </c>
      <c r="B39938" s="3">
        <v>1</v>
      </c>
    </row>
    <row r="39939" ht="15.75" customHeight="1" spans="1:2">
      <c r="A39939" s="3" t="str">
        <f>IFERROR(__xludf.DUMMYFUNCTION("GOOGLETRANSLATE(A39939,""en"",""pt"")"),"2 seg tempo de aquecimento. Não há congestionamentos de papel. duradouro toner. bordas nítidas.")</f>
        <v>2 seg tempo de aquecimento. Não há congestionamentos de papel. duradouro toner. bordas nítidas.</v>
      </c>
      <c r="B39939" s="3">
        <v>1</v>
      </c>
    </row>
    <row r="39940" ht="15.75" customHeight="1" spans="1:2">
      <c r="A39940" s="3" t="str">
        <f>IFERROR(__xludf.DUMMYFUNCTION("GOOGLETRANSLATE(A39940,""en"",""pt"")"),"velocidade, preço")</f>
        <v>velocidade, preço</v>
      </c>
      <c r="B39940" s="3">
        <v>1</v>
      </c>
    </row>
    <row r="39941" ht="15.75" customHeight="1" spans="1:2">
      <c r="A39941" s="3" t="str">
        <f>IFERROR(__xludf.DUMMYFUNCTION("GOOGLETRANSLATE(A39941,""en"",""pt"")"),"barato, fácil de usar, confiáveis")</f>
        <v>barato, fácil de usar, confiáveis</v>
      </c>
      <c r="B39941" s="3">
        <v>1</v>
      </c>
    </row>
    <row r="39942" ht="15.75" customHeight="1" spans="1:2">
      <c r="A39942" s="3" t="str">
        <f>IFERROR(__xludf.DUMMYFUNCTION("GOOGLETRANSLATE(A39942,""en"",""pt"")"),"Excelente valor ..... barato não é barato")</f>
        <v>Excelente valor ..... barato não é barato</v>
      </c>
      <c r="B39942" s="3">
        <v>1</v>
      </c>
    </row>
    <row r="39943" ht="15.75" customHeight="1" spans="1:2">
      <c r="A39943" s="3" t="str">
        <f>IFERROR(__xludf.DUMMYFUNCTION("GOOGLETRANSLATE(A39943,""en"",""pt"")"),"Rápido, confiável, não muito caro")</f>
        <v>Rápido, confiável, não muito caro</v>
      </c>
      <c r="B39943" s="3">
        <v>1</v>
      </c>
    </row>
    <row r="39944" ht="15.75" customHeight="1" spans="1:2">
      <c r="A39944" s="3" t="str">
        <f>IFERROR(__xludf.DUMMYFUNCTION("GOOGLETRANSLATE(A39944,""en"",""pt"")"),"Great Value, 12ppm, qualidade decente")</f>
        <v>Great Value, 12ppm, qualidade decente</v>
      </c>
      <c r="B39944" s="3">
        <v>1</v>
      </c>
    </row>
    <row r="39945" ht="15.75" customHeight="1" spans="1:2">
      <c r="A39945" s="3" t="str">
        <f>IFERROR(__xludf.DUMMYFUNCTION("GOOGLETRANSLATE(A39945,""en"",""pt"")"),"Rápido, confiável, barata, a produção de boa qualidade.")</f>
        <v>Rápido, confiável, barata, a produção de boa qualidade.</v>
      </c>
      <c r="B39945" s="3">
        <v>1</v>
      </c>
    </row>
    <row r="39946" ht="15.75" customHeight="1" spans="1:2">
      <c r="A39946" s="3" t="str">
        <f>IFERROR(__xludf.DUMMYFUNCTION("GOOGLETRANSLATE(A39946,""en"",""pt"")"),"Rápido, excelente qualidade e preços acessíveis.")</f>
        <v>Rápido, excelente qualidade e preços acessíveis.</v>
      </c>
      <c r="B39946" s="3">
        <v>1</v>
      </c>
    </row>
    <row r="39947" ht="15.75" customHeight="1" spans="1:2">
      <c r="A39947" s="3" t="str">
        <f>IFERROR(__xludf.DUMMYFUNCTION("GOOGLETRANSLATE(A39947,""en"",""pt"")"),"Bom suporte técnico (se necessário); cópias de Nice; preço")</f>
        <v>Bom suporte técnico (se necessário); cópias de Nice; preço</v>
      </c>
      <c r="B39947" s="3">
        <v>1</v>
      </c>
    </row>
    <row r="39948" ht="15.75" customHeight="1" spans="1:2">
      <c r="A39948" s="3" t="str">
        <f>IFERROR(__xludf.DUMMYFUNCTION("GOOGLETRANSLATE(A39948,""en"",""pt"")"),"Barato, ótimo desempenho, user-friendly.")</f>
        <v>Barato, ótimo desempenho, user-friendly.</v>
      </c>
      <c r="B39948" s="3">
        <v>1</v>
      </c>
    </row>
    <row r="39949" ht="15.75" customHeight="1" spans="1:2">
      <c r="A39949" s="3" t="str">
        <f>IFERROR(__xludf.DUMMYFUNCTION("GOOGLETRANSLATE(A39949,""en"",""pt"")"),"Boa velocidade, saída agradável, não pode bater o preço")</f>
        <v>Boa velocidade, saída agradável, não pode bater o preço</v>
      </c>
      <c r="B39949" s="3">
        <v>1</v>
      </c>
    </row>
    <row r="39950" ht="15.75" customHeight="1" spans="1:2">
      <c r="A39950" s="3" t="str">
        <f>IFERROR(__xludf.DUMMYFUNCTION("GOOGLETRANSLATE(A39950,""en"",""pt"")"),"Baixo custo, design atraente, fácil da instalação, fácil de uso")</f>
        <v>Baixo custo, design atraente, fácil da instalação, fácil de uso</v>
      </c>
      <c r="B39950" s="3">
        <v>1</v>
      </c>
    </row>
    <row r="39951" ht="15.75" customHeight="1" spans="1:2">
      <c r="A39951" s="3" t="str">
        <f>IFERROR(__xludf.DUMMYFUNCTION("GOOGLETRANSLATE(A39951,""en"",""pt"")"),"Rápido, fácil, sólida. toner muito barato.")</f>
        <v>Rápido, fácil, sólida. toner muito barato.</v>
      </c>
      <c r="B39951" s="3">
        <v>1</v>
      </c>
    </row>
    <row r="39952" ht="15.75" customHeight="1" spans="1:2">
      <c r="A39952" s="3" t="str">
        <f>IFERROR(__xludf.DUMMYFUNCTION("GOOGLETRANSLATE(A39952,""en"",""pt"")"),"Preço, Set-up, Qualidade")</f>
        <v>Preço, Set-up, Qualidade</v>
      </c>
      <c r="B39952" s="3">
        <v>1</v>
      </c>
    </row>
    <row r="39953" ht="15.75" customHeight="1" spans="1:2">
      <c r="A39953" s="3" t="str">
        <f>IFERROR(__xludf.DUMMYFUNCTION("GOOGLETRANSLATE(A39953,""en"",""pt"")"),"Preço, velocidade, custo de manutenção, desempenho")</f>
        <v>Preço, velocidade, custo de manutenção, desempenho</v>
      </c>
      <c r="B39953" s="3">
        <v>1</v>
      </c>
    </row>
    <row r="39954" ht="15.75" customHeight="1" spans="1:2">
      <c r="A39954" s="3" t="str">
        <f>IFERROR(__xludf.DUMMYFUNCTION("GOOGLETRANSLATE(A39954,""en"",""pt"")"),"Baixo preço e custo operacional, texto muito bom, rápido")</f>
        <v>Baixo preço e custo operacional, texto muito bom, rápido</v>
      </c>
      <c r="B39954" s="3">
        <v>1</v>
      </c>
    </row>
    <row r="39955" ht="15.75" customHeight="1" spans="1:2">
      <c r="A39955" s="3" t="str">
        <f>IFERROR(__xludf.DUMMYFUNCTION("GOOGLETRANSLATE(A39955,""en"",""pt"")"),"100 páginas por dia sem nenhum problema, barato, rápido, negócio incrível!")</f>
        <v>100 páginas por dia sem nenhum problema, barato, rápido, negócio incrível!</v>
      </c>
      <c r="B39955" s="3">
        <v>1</v>
      </c>
    </row>
    <row r="39956" ht="15.75" customHeight="1" spans="1:2">
      <c r="A39956" s="3" t="str">
        <f>IFERROR(__xludf.DUMMYFUNCTION("GOOGLETRANSLATE(A39956,""en"",""pt"")"),"velocidade rápida, baixo custo por página.")</f>
        <v>velocidade rápida, baixo custo por página.</v>
      </c>
      <c r="B39956" s="3">
        <v>1</v>
      </c>
    </row>
    <row r="39957" ht="15.75" customHeight="1" spans="1:2">
      <c r="A39957" s="3" t="str">
        <f>IFERROR(__xludf.DUMMYFUNCTION("GOOGLETRANSLATE(A39957,""en"",""pt"")"),"Econômica, grande qualidade de impressão, rápido, modo de suspensão automática user-friendly, compatível com Mac, grande apoio, USB, grande manipulação de papel, grande saída, Quieto,")</f>
        <v>Econômica, grande qualidade de impressão, rápido, modo de suspensão automática user-friendly, compatível com Mac, grande apoio, USB, grande manipulação de papel, grande saída, Quieto,</v>
      </c>
      <c r="B39957" s="3">
        <v>1</v>
      </c>
    </row>
    <row r="39958" ht="15.75" customHeight="1" spans="1:2">
      <c r="A39958" s="3" t="str">
        <f>IFERROR(__xludf.DUMMYFUNCTION("GOOGLETRANSLATE(A39958,""en"",""pt"")"),"Incrivelmente barato e incrivelmente rápido.")</f>
        <v>Incrivelmente barato e incrivelmente rápido.</v>
      </c>
      <c r="B39958" s="3">
        <v>1</v>
      </c>
    </row>
    <row r="39959" ht="15.75" customHeight="1" spans="1:2">
      <c r="A39959" s="3" t="str">
        <f>IFERROR(__xludf.DUMMYFUNCTION("GOOGLETRANSLATE(A39959,""en"",""pt"")"),"rápida, abertura de alimentação manual compacto, preço")</f>
        <v>rápida, abertura de alimentação manual compacto, preço</v>
      </c>
      <c r="B39959" s="3">
        <v>1</v>
      </c>
    </row>
    <row r="39960" ht="15.75" customHeight="1" spans="1:2">
      <c r="A39960" s="3" t="str">
        <f>IFERROR(__xludf.DUMMYFUNCTION("GOOGLETRANSLATE(A39960,""en"",""pt"")"),"USB, facilidade de utilização, velocidade, apoio")</f>
        <v>USB, facilidade de utilização, velocidade, apoio</v>
      </c>
      <c r="B39960" s="3">
        <v>1</v>
      </c>
    </row>
    <row r="39961" ht="15.75" customHeight="1" spans="1:2">
      <c r="A39961" s="3" t="str">
        <f>IFERROR(__xludf.DUMMYFUNCTION("GOOGLETRANSLATE(A39961,""en"",""pt"")"),"barato, rápido e excelente impressão")</f>
        <v>barato, rápido e excelente impressão</v>
      </c>
      <c r="B39961" s="3">
        <v>1</v>
      </c>
    </row>
    <row r="39962" ht="15.75" customHeight="1" spans="1:2">
      <c r="A39962" s="3" t="str">
        <f>IFERROR(__xludf.DUMMYFUNCTION("GOOGLETRANSLATE(A39962,""en"",""pt"")"),"12 ppm, 600x 600 resolução, acessível!")</f>
        <v>12 ppm, 600x 600 resolução, acessível!</v>
      </c>
      <c r="B39962" s="3">
        <v>1</v>
      </c>
    </row>
    <row r="39963" ht="15.75" customHeight="1" spans="1:2">
      <c r="A39963" s="3" t="str">
        <f>IFERROR(__xludf.DUMMYFUNCTION("GOOGLETRANSLATE(A39963,""en"",""pt"")"),"impressão rápida, resultados de alta qualidade, muito fácil de configurar")</f>
        <v>impressão rápida, resultados de alta qualidade, muito fácil de configurar</v>
      </c>
      <c r="B39963" s="3">
        <v>1</v>
      </c>
    </row>
    <row r="39964" ht="15.75" customHeight="1" spans="1:2">
      <c r="A39964" s="3" t="str">
        <f>IFERROR(__xludf.DUMMYFUNCTION("GOOGLETRANSLATE(A39964,""en"",""pt"")"),"Super de impressora")</f>
        <v>Super de impressora</v>
      </c>
      <c r="B39964" s="3">
        <v>1</v>
      </c>
    </row>
    <row r="39965" ht="15.75" customHeight="1" spans="1:2">
      <c r="A39965" s="3" t="str">
        <f>IFERROR(__xludf.DUMMYFUNCTION("GOOGLETRANSLATE(A39965,""en"",""pt"")"),"Custo, sai grande")</f>
        <v>Custo, sai grande</v>
      </c>
      <c r="B39965" s="3">
        <v>1</v>
      </c>
    </row>
    <row r="39966" ht="15.75" customHeight="1" spans="1:2">
      <c r="A39966" s="3" t="str">
        <f>IFERROR(__xludf.DUMMYFUNCTION("GOOGLETRANSLATE(A39966,""en"",""pt"")"),"Rápido; acessível; saída de texto de alta qualidade")</f>
        <v>Rápido; acessível; saída de texto de alta qualidade</v>
      </c>
      <c r="B39966" s="3">
        <v>1</v>
      </c>
    </row>
    <row r="39967" ht="15.75" customHeight="1" spans="1:2">
      <c r="A39967" s="3" t="str">
        <f>IFERROR(__xludf.DUMMYFUNCTION("GOOGLETRANSLATE(A39967,""en"",""pt"")"),"Barato, multiplataforma, saída do tipo de qualidade")</f>
        <v>Barato, multiplataforma, saída do tipo de qualidade</v>
      </c>
      <c r="B39967" s="3">
        <v>1</v>
      </c>
    </row>
    <row r="39968" ht="15.75" customHeight="1" spans="1:2">
      <c r="A39968" s="3" t="str">
        <f>IFERROR(__xludf.DUMMYFUNCTION("GOOGLETRANSLATE(A39968,""en"",""pt"")"),"Rápido e acessível; com uma bandeja de papel adequado")</f>
        <v>Rápido e acessível; com uma bandeja de papel adequado</v>
      </c>
      <c r="B39968" s="3">
        <v>1</v>
      </c>
    </row>
    <row r="39969" ht="15.75" customHeight="1" spans="1:2">
      <c r="A39969" s="3" t="str">
        <f>IFERROR(__xludf.DUMMYFUNCTION("GOOGLETRANSLATE(A39969,""en"",""pt"")"),"Impressão rápida e clara")</f>
        <v>Impressão rápida e clara</v>
      </c>
      <c r="B39969" s="3">
        <v>1</v>
      </c>
    </row>
    <row r="39970" ht="15.75" customHeight="1" spans="1:2">
      <c r="A39970" s="3" t="str">
        <f>IFERROR(__xludf.DUMMYFUNCTION("GOOGLETRANSLATE(A39970,""en"",""pt"")"),"Bom preço, fácil de configurar e usar, confiável, rápido, de boa qualidade")</f>
        <v>Bom preço, fácil de configurar e usar, confiável, rápido, de boa qualidade</v>
      </c>
      <c r="B39970" s="3">
        <v>1</v>
      </c>
    </row>
    <row r="39971" ht="15.75" customHeight="1" spans="1:2">
      <c r="A39971" s="3" t="str">
        <f>IFERROR(__xludf.DUMMYFUNCTION("GOOGLETRANSLATE(A39971,""en"",""pt"")"),"Quase Jam-Free, quase livre de problemas, rápido, ultra-confiável, grande qualidade de impressão")</f>
        <v>Quase Jam-Free, quase livre de problemas, rápido, ultra-confiável, grande qualidade de impressão</v>
      </c>
      <c r="B39971" s="3">
        <v>1</v>
      </c>
    </row>
    <row r="39972" ht="15.75" customHeight="1" spans="1:2">
      <c r="A39972" s="3" t="str">
        <f>IFERROR(__xludf.DUMMYFUNCTION("GOOGLETRANSLATE(A39972,""en"",""pt"")"),"Barato, funciona bem para um único usuário")</f>
        <v>Barato, funciona bem para um único usuário</v>
      </c>
      <c r="B39972" s="3">
        <v>1</v>
      </c>
    </row>
    <row r="39973" ht="15.75" customHeight="1" spans="1:2">
      <c r="A39973" s="3" t="str">
        <f>IFERROR(__xludf.DUMMYFUNCTION("GOOGLETRANSLATE(A39973,""en"",""pt"")"),"Baixa manutenção, leva uma surra, ótimo para um escritório em casa")</f>
        <v>Baixa manutenção, leva uma surra, ótimo para um escritório em casa</v>
      </c>
      <c r="B39973" s="3">
        <v>1</v>
      </c>
    </row>
    <row r="39974" ht="15.75" customHeight="1" spans="1:2">
      <c r="A39974" s="3" t="str">
        <f>IFERROR(__xludf.DUMMYFUNCTION("GOOGLETRANSLATE(A39974,""en"",""pt"")"),"Um bom negócio; upgradrable e com preços razoáveis.")</f>
        <v>Um bom negócio; upgradrable e com preços razoáveis.</v>
      </c>
      <c r="B39974" s="3">
        <v>1</v>
      </c>
    </row>
    <row r="39975" ht="15.75" customHeight="1" spans="1:2">
      <c r="A39975" s="3" t="str">
        <f>IFERROR(__xludf.DUMMYFUNCTION("GOOGLETRANSLATE(A39975,""en"",""pt"")"),"aquecimento rápido, impressão rápida, tanto USB &amp; amp; portas paralelas, RAM expansível.")</f>
        <v>aquecimento rápido, impressão rápida, tanto USB &amp; amp; portas paralelas, RAM expansível.</v>
      </c>
      <c r="B39975" s="3">
        <v>1</v>
      </c>
    </row>
    <row r="39976" ht="15.75" customHeight="1" spans="1:2">
      <c r="A39976" s="3" t="str">
        <f>IFERROR(__xludf.DUMMYFUNCTION("GOOGLETRANSLATE(A39976,""en"",""pt"")"),"A velocidade de impressão, qualidade, capacidade de actualização, preço, confiabilidade, muito pequeno, fácil de imprimir em envelopes / papel pequeno")</f>
        <v>A velocidade de impressão, qualidade, capacidade de actualização, preço, confiabilidade, muito pequeno, fácil de imprimir em envelopes / papel pequeno</v>
      </c>
      <c r="B39976" s="3">
        <v>1</v>
      </c>
    </row>
    <row r="39977" ht="15.75" customHeight="1" spans="1:2">
      <c r="A39977" s="3" t="str">
        <f>IFERROR(__xludf.DUMMYFUNCTION("GOOGLETRANSLATE(A39977,""en"",""pt"")"),"Rápido, de alta qualidade, boa vida toner, grande suporte técnico, Windows / Mac compatível")</f>
        <v>Rápido, de alta qualidade, boa vida toner, grande suporte técnico, Windows / Mac compatível</v>
      </c>
      <c r="B39977" s="3">
        <v>1</v>
      </c>
    </row>
    <row r="39978" ht="15.75" customHeight="1" spans="1:2">
      <c r="A39978" s="3" t="str">
        <f>IFERROR(__xludf.DUMMYFUNCTION("GOOGLETRANSLATE(A39978,""en"",""pt"")"),"Fácil de configurar. Alta peformance. Excelente custo. Batidas concorrentes.")</f>
        <v>Fácil de configurar. Alta peformance. Excelente custo. Batidas concorrentes.</v>
      </c>
      <c r="B39978" s="3">
        <v>1</v>
      </c>
    </row>
    <row r="39979" ht="15.75" customHeight="1" spans="1:2">
      <c r="A39979" s="3" t="str">
        <f>IFERROR(__xludf.DUMMYFUNCTION("GOOGLETRANSLATE(A39979,""en"",""pt"")"),"Velocidade, preço")</f>
        <v>Velocidade, preço</v>
      </c>
      <c r="B39979" s="3">
        <v>1</v>
      </c>
    </row>
    <row r="39980" ht="15.75" customHeight="1" spans="1:2">
      <c r="A39980" s="3" t="str">
        <f>IFERROR(__xludf.DUMMYFUNCTION("GOOGLETRANSLATE(A39980,""en"",""pt"")"),"Rápido, silencioso, de baixo custo.")</f>
        <v>Rápido, silencioso, de baixo custo.</v>
      </c>
      <c r="B39980" s="3">
        <v>1</v>
      </c>
    </row>
    <row r="39981" ht="15.75" customHeight="1" spans="1:2">
      <c r="A39981" s="3" t="str">
        <f>IFERROR(__xludf.DUMMYFUNCTION("GOOGLETRANSLATE(A39981,""en"",""pt"")"),"Rápido, de boa qualidade e acessível.")</f>
        <v>Rápido, de boa qualidade e acessível.</v>
      </c>
      <c r="B39981" s="3">
        <v>1</v>
      </c>
    </row>
    <row r="39982" ht="15.75" customHeight="1" spans="1:2">
      <c r="A39982" s="3" t="str">
        <f>IFERROR(__xludf.DUMMYFUNCTION("GOOGLETRANSLATE(A39982,""en"",""pt"")"),"Acessível. Rápido. Grande suporte técnico.")</f>
        <v>Acessível. Rápido. Grande suporte técnico.</v>
      </c>
      <c r="B39982" s="3">
        <v>1</v>
      </c>
    </row>
    <row r="39983" ht="15.75" customHeight="1" spans="1:2">
      <c r="A39983" s="3" t="str">
        <f>IFERROR(__xludf.DUMMYFUNCTION("GOOGLETRANSLATE(A39983,""en"",""pt"")"),"Excelente qualidade, velocidades extremamente rápidas")</f>
        <v>Excelente qualidade, velocidades extremamente rápidas</v>
      </c>
      <c r="B39983" s="3">
        <v>1</v>
      </c>
    </row>
    <row r="39984" ht="15.75" customHeight="1" spans="1:2">
      <c r="A39984" s="3" t="str">
        <f>IFERROR(__xludf.DUMMYFUNCTION("GOOGLETRANSLATE(A39984,""en"",""pt"")"),"Baixo custo, boa qualidade de impressão, trabalha com D-Link DI-713P Router / Servidor de Impressão")</f>
        <v>Baixo custo, boa qualidade de impressão, trabalha com D-Link DI-713P Router / Servidor de Impressão</v>
      </c>
      <c r="B39984" s="3">
        <v>1</v>
      </c>
    </row>
    <row r="39985" ht="15.75" customHeight="1" spans="1:2">
      <c r="A39985" s="3" t="str">
        <f>IFERROR(__xludf.DUMMYFUNCTION("GOOGLETRANSLATE(A39985,""en"",""pt"")"),"pegada pequena, fácil configuração, a velocidade decente e qualidade de impressão.")</f>
        <v>pegada pequena, fácil configuração, a velocidade decente e qualidade de impressão.</v>
      </c>
      <c r="B39985" s="3">
        <v>1</v>
      </c>
    </row>
    <row r="39986" ht="15.75" customHeight="1" spans="1:2">
      <c r="A39986" s="3" t="str">
        <f>IFERROR(__xludf.DUMMYFUNCTION("GOOGLETRANSLATE(A39986,""en"",""pt"")"),"Baixo preço, fácil configuração, funciona bem com o Mac OS 10.2")</f>
        <v>Baixo preço, fácil configuração, funciona bem com o Mac OS 10.2</v>
      </c>
      <c r="B39986" s="3">
        <v>1</v>
      </c>
    </row>
    <row r="39987" ht="15.75" customHeight="1" spans="1:2">
      <c r="A39987" s="3" t="str">
        <f>IFERROR(__xludf.DUMMYFUNCTION("GOOGLETRANSLATE(A39987,""en"",""pt"")"),"A grande qualidade, preço baixo, fácil configuração")</f>
        <v>A grande qualidade, preço baixo, fácil configuração</v>
      </c>
      <c r="B39987" s="3">
        <v>1</v>
      </c>
    </row>
    <row r="39988" ht="15.75" customHeight="1" spans="1:2">
      <c r="A39988" s="3" t="str">
        <f>IFERROR(__xludf.DUMMYFUNCTION("GOOGLETRANSLATE(A39988,""en"",""pt"")"),"Baixo preço, pegada pequena, simples.")</f>
        <v>Baixo preço, pegada pequena, simples.</v>
      </c>
      <c r="B39988" s="3">
        <v>1</v>
      </c>
    </row>
    <row r="39989" ht="15.75" customHeight="1" spans="1:2">
      <c r="A39989" s="3" t="str">
        <f>IFERROR(__xludf.DUMMYFUNCTION("GOOGLETRANSLATE(A39989,""en"",""pt"")"),"Preço, velocidade, qualidade de impressão")</f>
        <v>Preço, velocidade, qualidade de impressão</v>
      </c>
      <c r="B39989" s="3">
        <v>1</v>
      </c>
    </row>
    <row r="39990" ht="15.75" customHeight="1" spans="1:2">
      <c r="A39990" s="3" t="str">
        <f>IFERROR(__xludf.DUMMYFUNCTION("GOOGLETRANSLATE(A39990,""en"",""pt"")"),"a laser Crisp; relativa facilidade de utilização; baixo custo.")</f>
        <v>a laser Crisp; relativa facilidade de utilização; baixo custo.</v>
      </c>
      <c r="B39990" s="3">
        <v>1</v>
      </c>
    </row>
    <row r="39991" ht="15.75" customHeight="1" spans="1:2">
      <c r="A39991" s="3" t="str">
        <f>IFERROR(__xludf.DUMMYFUNCTION("GOOGLETRANSLATE(A39991,""en"",""pt"")"),"custos baratos operacionais, excelente modo de espera, boa qualidade de impressão.")</f>
        <v>custos baratos operacionais, excelente modo de espera, boa qualidade de impressão.</v>
      </c>
      <c r="B39991" s="3">
        <v>1</v>
      </c>
    </row>
    <row r="39992" ht="15.75" customHeight="1" spans="1:2">
      <c r="A39992" s="3" t="str">
        <f>IFERROR(__xludf.DUMMYFUNCTION("GOOGLETRANSLATE(A39992,""en"",""pt"")"),"Tem um monte de papel, imprime rápido, material de alta qualidade; raramente congestionamentos.")</f>
        <v>Tem um monte de papel, imprime rápido, material de alta qualidade; raramente congestionamentos.</v>
      </c>
      <c r="B39992" s="3">
        <v>1</v>
      </c>
    </row>
    <row r="39993" ht="15.75" customHeight="1" spans="1:2">
      <c r="A39993" s="3" t="str">
        <f>IFERROR(__xludf.DUMMYFUNCTION("GOOGLETRANSLATE(A39993,""en"",""pt"")"),"Rápido, impressões de qualidade b &amp; amp; w impressões a um bom preço.")</f>
        <v>Rápido, impressões de qualidade b &amp; amp; w impressões a um bom preço.</v>
      </c>
      <c r="B39993" s="3">
        <v>1</v>
      </c>
    </row>
    <row r="39994" ht="15.75" customHeight="1" spans="1:2">
      <c r="A39994" s="3" t="str">
        <f>IFERROR(__xludf.DUMMYFUNCTION("GOOGLETRANSLATE(A39994,""en"",""pt"")"),"Ultra-fast e nítidas, o modo de economia de energia, fácil duplex, alimentação de folha avulsa")</f>
        <v>Ultra-fast e nítidas, o modo de economia de energia, fácil duplex, alimentação de folha avulsa</v>
      </c>
      <c r="B39994" s="3">
        <v>1</v>
      </c>
    </row>
    <row r="39995" ht="15.75" customHeight="1" spans="1:2">
      <c r="A39995" s="3" t="str">
        <f>IFERROR(__xludf.DUMMYFUNCTION("GOOGLETRANSLATE(A39995,""en"",""pt"")"),"preço razoável, ele faz bem o que foi projetado para fazer")</f>
        <v>preço razoável, ele faz bem o que foi projetado para fazer</v>
      </c>
      <c r="B39995" s="3">
        <v>1</v>
      </c>
    </row>
    <row r="39996" ht="15.75" customHeight="1" spans="1:2">
      <c r="A39996" s="3" t="str">
        <f>IFERROR(__xludf.DUMMYFUNCTION("GOOGLETRANSLATE(A39996,""en"",""pt"")"),"velocidade moderada, boa qualidade de impressão, recurso de hibernação")</f>
        <v>velocidade moderada, boa qualidade de impressão, recurso de hibernação</v>
      </c>
      <c r="B39996" s="3">
        <v>1</v>
      </c>
    </row>
    <row r="39997" ht="15.75" customHeight="1" spans="1:2">
      <c r="A39997" s="3" t="str">
        <f>IFERROR(__xludf.DUMMYFUNCTION("GOOGLETRANSLATE(A39997,""en"",""pt"")"),"impressão clara, o papel não jam, com preços razoáveis ​​toner &amp; amp; tambor, fácil de usar")</f>
        <v>impressão clara, o papel não jam, com preços razoáveis ​​toner &amp; amp; tambor, fácil de usar</v>
      </c>
      <c r="B39997" s="3">
        <v>1</v>
      </c>
    </row>
    <row r="39998" ht="15.75" customHeight="1" spans="1:2">
      <c r="A39998" s="3" t="str">
        <f>IFERROR(__xludf.DUMMYFUNCTION("GOOGLETRANSLATE(A39998,""en"",""pt"")"),"User Friendly, laser compacta e econômica para pequeno escritório em casa")</f>
        <v>User Friendly, laser compacta e econômica para pequeno escritório em casa</v>
      </c>
      <c r="B39998" s="3">
        <v>1</v>
      </c>
    </row>
    <row r="39999" ht="15.75" customHeight="1" spans="1:2">
      <c r="A39999" s="3" t="str">
        <f>IFERROR(__xludf.DUMMYFUNCTION("GOOGLETRANSLATE(A39999,""en"",""pt"")"),"Rápido, boa qualidade de impressão, papel de manipulação confiável e barato")</f>
        <v>Rápido, boa qualidade de impressão, papel de manipulação confiável e barato</v>
      </c>
      <c r="B39999" s="3">
        <v>1</v>
      </c>
    </row>
    <row r="40000" ht="15.75" customHeight="1" spans="1:2">
      <c r="A40000" s="3" t="str">
        <f>IFERROR(__xludf.DUMMYFUNCTION("GOOGLETRANSLATE(A40000,""en"",""pt"")"),"Excelentes impressões a preto e branco. NO manchas. gráficos precisos. Longa duração toner.")</f>
        <v>Excelentes impressões a preto e branco. NO manchas. gráficos precisos. Longa duração toner.</v>
      </c>
      <c r="B40000" s="3">
        <v>1</v>
      </c>
    </row>
    <row r="40001" ht="15.75" customHeight="1" spans="1:2">
      <c r="A40001" s="3" t="str">
        <f>IFERROR(__xludf.DUMMYFUNCTION("GOOGLETRANSLATE(A40001,""en"",""pt"")"),"HL 1440 tem rápido 15p velocidade de impressão, grande texto de qualidade, pequeno footfrint.")</f>
        <v>HL 1440 tem rápido 15p velocidade de impressão, grande texto de qualidade, pequeno footfrint.</v>
      </c>
      <c r="B40001" s="3">
        <v>1</v>
      </c>
    </row>
    <row r="40002" ht="15.75" customHeight="1" spans="1:2">
      <c r="A40002" s="3" t="str">
        <f>IFERROR(__xludf.DUMMYFUNCTION("GOOGLETRANSLATE(A40002,""en"",""pt"")"),"A no-nonsense, fácil de usar, impressora laser barato.")</f>
        <v>A no-nonsense, fácil de usar, impressora laser barato.</v>
      </c>
      <c r="B40002" s="3">
        <v>1</v>
      </c>
    </row>
    <row r="40003" ht="15.75" customHeight="1" spans="1:2">
      <c r="A40003" s="3" t="str">
        <f>IFERROR(__xludf.DUMMYFUNCTION("GOOGLETRANSLATE(A40003,""en"",""pt"")"),"Rápido, fácil de rede, impressão clara, bom preço")</f>
        <v>Rápido, fácil de rede, impressão clara, bom preço</v>
      </c>
      <c r="B40003" s="3">
        <v>1</v>
      </c>
    </row>
    <row r="40004" ht="15.75" customHeight="1" spans="1:2">
      <c r="A40004" s="3" t="str">
        <f>IFERROR(__xludf.DUMMYFUNCTION("GOOGLETRANSLATE(A40004,""en"",""pt"")"),"Rápido, sem faixas")</f>
        <v>Rápido, sem faixas</v>
      </c>
      <c r="B40004" s="3">
        <v>1</v>
      </c>
    </row>
    <row r="40005" ht="15.75" customHeight="1" spans="1:2">
      <c r="A40005" s="3" t="str">
        <f>IFERROR(__xludf.DUMMYFUNCTION("GOOGLETRANSLATE(A40005,""en"",""pt"")"),"impressão rápida, bons motoristas, preço muito razoável.")</f>
        <v>impressão rápida, bons motoristas, preço muito razoável.</v>
      </c>
      <c r="B40005" s="3">
        <v>1</v>
      </c>
    </row>
    <row r="40006" ht="15.75" customHeight="1" spans="1:2">
      <c r="A40006" s="3" t="str">
        <f>IFERROR(__xludf.DUMMYFUNCTION("GOOGLETRANSLATE(A40006,""en"",""pt"")"),"bandeja de papel grande, de saída rápido e nítido")</f>
        <v>bandeja de papel grande, de saída rápido e nítido</v>
      </c>
      <c r="B40006" s="3">
        <v>1</v>
      </c>
    </row>
    <row r="40007" ht="15.75" customHeight="1" spans="1:2">
      <c r="A40007" s="3" t="str">
        <f>IFERROR(__xludf.DUMMYFUNCTION("GOOGLETRANSLATE(A40007,""en"",""pt"")"),"protetor de hibernação de energia; preço")</f>
        <v>protetor de hibernação de energia; preço</v>
      </c>
      <c r="B40007" s="3">
        <v>1</v>
      </c>
    </row>
    <row r="40008" ht="15.75" customHeight="1" spans="1:2">
      <c r="A40008" s="3" t="str">
        <f>IFERROR(__xludf.DUMMYFUNCTION("GOOGLETRANSLATE(A40008,""en"",""pt"")"),"Preço, qualidade de impressão")</f>
        <v>Preço, qualidade de impressão</v>
      </c>
      <c r="B40008" s="3">
        <v>1</v>
      </c>
    </row>
    <row r="40009" ht="15.75" customHeight="1" spans="1:2">
      <c r="A40009" s="3" t="str">
        <f>IFERROR(__xludf.DUMMYFUNCTION("GOOGLETRANSLATE(A40009,""en"",""pt"")"),"solução de baixo custo")</f>
        <v>solução de baixo custo</v>
      </c>
      <c r="B40009" s="3">
        <v>1</v>
      </c>
    </row>
    <row r="40010" ht="15.75" customHeight="1" spans="1:2">
      <c r="A40010" s="3" t="str">
        <f>IFERROR(__xludf.DUMMYFUNCTION("GOOGLETRANSLATE(A40010,""en"",""pt"")"),"Elegante, pequeno pé impressão, preço certo")</f>
        <v>Elegante, pequeno pé impressão, preço certo</v>
      </c>
      <c r="B40010" s="3">
        <v>1</v>
      </c>
    </row>
    <row r="40011" ht="15.75" customHeight="1" spans="1:2">
      <c r="A40011" s="3" t="str">
        <f>IFERROR(__xludf.DUMMYFUNCTION("GOOGLETRANSLATE(A40011,""en"",""pt"")"),"Muito rápido, silencioso, extremamente fácil de configurar e usar. Toner é mais barato do que HP.")</f>
        <v>Muito rápido, silencioso, extremamente fácil de configurar e usar. Toner é mais barato do que HP.</v>
      </c>
      <c r="B40011" s="3">
        <v>1</v>
      </c>
    </row>
    <row r="40012" ht="15.75" customHeight="1" spans="1:2">
      <c r="A40012" s="3" t="str">
        <f>IFERROR(__xludf.DUMMYFUNCTION("GOOGLETRANSLATE(A40012,""en"",""pt"")"),"características muito baixo preço, mas foi necessário")</f>
        <v>características muito baixo preço, mas foi necessário</v>
      </c>
      <c r="B40012" s="3">
        <v>1</v>
      </c>
    </row>
    <row r="40013" ht="15.75" customHeight="1" spans="1:2">
      <c r="A40013" s="3" t="str">
        <f>IFERROR(__xludf.DUMMYFUNCTION("GOOGLETRANSLATE(A40013,""en"",""pt"")"),"rápido, barato")</f>
        <v>rápido, barato</v>
      </c>
      <c r="B40013" s="3">
        <v>1</v>
      </c>
    </row>
    <row r="40014" ht="15.75" customHeight="1" spans="1:2">
      <c r="A40014" s="3" t="str">
        <f>IFERROR(__xludf.DUMMYFUNCTION("GOOGLETRANSLATE(A40014,""en"",""pt"")"),"Muito confiável, impressão decente, boa cor. Um bom all-around máquina para casa ou escritório.")</f>
        <v>Muito confiável, impressão decente, boa cor. Um bom all-around máquina para casa ou escritório.</v>
      </c>
      <c r="B40014" s="3">
        <v>1</v>
      </c>
    </row>
    <row r="40015" ht="15.75" customHeight="1" spans="1:2">
      <c r="A40015" s="3" t="str">
        <f>IFERROR(__xludf.DUMMYFUNCTION("GOOGLETRANSLATE(A40015,""en"",""pt"")"),"Barato; multi-funções.")</f>
        <v>Barato; multi-funções.</v>
      </c>
      <c r="B40015" s="3">
        <v>1</v>
      </c>
    </row>
    <row r="40016" ht="15.75" customHeight="1" spans="1:2">
      <c r="A40016" s="3" t="str">
        <f>IFERROR(__xludf.DUMMYFUNCTION("GOOGLETRANSLATE(A40016,""en"",""pt"")"),"Boa qualidade de impressão, rápido e eficiente")</f>
        <v>Boa qualidade de impressão, rápido e eficiente</v>
      </c>
      <c r="B40016" s="3">
        <v>1</v>
      </c>
    </row>
    <row r="40017" ht="15.75" customHeight="1" spans="1:2">
      <c r="A40017" s="3" t="str">
        <f>IFERROR(__xludf.DUMMYFUNCTION("GOOGLETRANSLATE(A40017,""en"",""pt"")"),"Faz tudo bem. Works, tem documentação clara.")</f>
        <v>Faz tudo bem. Works, tem documentação clara.</v>
      </c>
      <c r="B40017" s="3">
        <v>1</v>
      </c>
    </row>
    <row r="40018" ht="15.75" customHeight="1" spans="1:2">
      <c r="A40018" s="3" t="str">
        <f>IFERROR(__xludf.DUMMYFUNCTION("GOOGLETRANSLATE(A40018,""en"",""pt"")"),"Melhor para o dinheiro")</f>
        <v>Melhor para o dinheiro</v>
      </c>
      <c r="B40018" s="3">
        <v>1</v>
      </c>
    </row>
    <row r="40019" ht="15.75" customHeight="1" spans="1:2">
      <c r="A40019" s="3" t="str">
        <f>IFERROR(__xludf.DUMMYFUNCTION("GOOGLETRANSLATE(A40019,""en"",""pt"")"),"NENHUM")</f>
        <v>NENHUM</v>
      </c>
      <c r="B40019" s="3">
        <v>1</v>
      </c>
    </row>
    <row r="40020" ht="15.75" customHeight="1" spans="1:2">
      <c r="A40020" s="3" t="str">
        <f>IFERROR(__xludf.DUMMYFUNCTION("GOOGLETRANSLATE(A40020,""en"",""pt"")"),"Grande fotos de qualidade de fax da impressora scanner de pequeno peso leve")</f>
        <v>Grande fotos de qualidade de fax da impressora scanner de pequeno peso leve</v>
      </c>
      <c r="B40020" s="3">
        <v>1</v>
      </c>
    </row>
    <row r="40021" ht="15.75" customHeight="1" spans="1:2">
      <c r="A40021" s="3" t="str">
        <f>IFERROR(__xludf.DUMMYFUNCTION("GOOGLETRANSLATE(A40021,""en"",""pt"")"),"tudo em um, PCFAX é grande.")</f>
        <v>tudo em um, PCFAX é grande.</v>
      </c>
      <c r="B40021" s="3">
        <v>1</v>
      </c>
    </row>
    <row r="40022" ht="15.75" customHeight="1" spans="1:2">
      <c r="A40022" s="3" t="str">
        <f>IFERROR(__xludf.DUMMYFUNCTION("GOOGLETRANSLATE(A40022,""en"",""pt"")"),"ADF (alimentador automático de documentos) Texto")</f>
        <v>ADF (alimentador automático de documentos) Texto</v>
      </c>
      <c r="B40022" s="3">
        <v>1</v>
      </c>
    </row>
    <row r="40023" ht="15.75" customHeight="1" spans="1:2">
      <c r="A40023" s="3" t="str">
        <f>IFERROR(__xludf.DUMMYFUNCTION("GOOGLETRANSLATE(A40023,""en"",""pt"")"),"Photo Quality. Ink dura um longo tempo. Fácil de usar.")</f>
        <v>Photo Quality. Ink dura um longo tempo. Fácil de usar.</v>
      </c>
      <c r="B40023" s="3">
        <v>1</v>
      </c>
    </row>
    <row r="40024" ht="15.75" customHeight="1" spans="1:2">
      <c r="A40024" s="3" t="str">
        <f>IFERROR(__xludf.DUMMYFUNCTION("GOOGLETRANSLATE(A40024,""en"",""pt"")"),"Barato, fácil de usar. Rápido")</f>
        <v>Barato, fácil de usar. Rápido</v>
      </c>
      <c r="B40024" s="3">
        <v>1</v>
      </c>
    </row>
    <row r="40025" ht="15.75" customHeight="1" spans="1:2">
      <c r="A40025" s="3" t="str">
        <f>IFERROR(__xludf.DUMMYFUNCTION("GOOGLETRANSLATE(A40025,""en"",""pt"")"),"A sua impressora de uma cor, scanner, fax &amp; amp; copiadora tudo pelo preço de um!")</f>
        <v>A sua impressora de uma cor, scanner, fax &amp; amp; copiadora tudo pelo preço de um!</v>
      </c>
      <c r="B40025" s="3">
        <v>1</v>
      </c>
    </row>
    <row r="40026" ht="15.75" customHeight="1" spans="1:2">
      <c r="A40026" s="3" t="str">
        <f>IFERROR(__xludf.DUMMYFUNCTION("GOOGLETRANSLATE(A40026,""en"",""pt"")"),"Impressora, fax, scanner, tudo-em-um!")</f>
        <v>Impressora, fax, scanner, tudo-em-um!</v>
      </c>
      <c r="B40026" s="3">
        <v>1</v>
      </c>
    </row>
    <row r="40027" ht="15.75" customHeight="1" spans="1:2">
      <c r="A40027" s="3" t="str">
        <f>IFERROR(__xludf.DUMMYFUNCTION("GOOGLETRANSLATE(A40027,""en"",""pt"")"),"fácil de instalar, impressão rápida")</f>
        <v>fácil de instalar, impressão rápida</v>
      </c>
      <c r="B40027" s="3">
        <v>1</v>
      </c>
    </row>
    <row r="40028" ht="15.75" customHeight="1" spans="1:2">
      <c r="A40028" s="3" t="str">
        <f>IFERROR(__xludf.DUMMYFUNCTION("GOOGLETRANSLATE(A40028,""en"",""pt"")"),"Se você não tem um monte de quarto Este é o produto para você")</f>
        <v>Se você não tem um monte de quarto Este é o produto para você</v>
      </c>
      <c r="B40028" s="3">
        <v>1</v>
      </c>
    </row>
    <row r="40029" ht="15.75" customHeight="1" spans="1:2">
      <c r="A40029" s="3" t="str">
        <f>IFERROR(__xludf.DUMMYFUNCTION("GOOGLETRANSLATE(A40029,""en"",""pt"")"),"Múltiplas funções que ocupa menos espaço na mesa.")</f>
        <v>Múltiplas funções que ocupa menos espaço na mesa.</v>
      </c>
      <c r="B40029" s="3">
        <v>1</v>
      </c>
    </row>
    <row r="40030" ht="15.75" customHeight="1" spans="1:2">
      <c r="A40030" s="3" t="str">
        <f>IFERROR(__xludf.DUMMYFUNCTION("GOOGLETRANSLATE(A40030,""en"",""pt"")"),"Fácil de configurar e usar. Grande versatilidade para pequeno preço.")</f>
        <v>Fácil de configurar e usar. Grande versatilidade para pequeno preço.</v>
      </c>
      <c r="B40030" s="3">
        <v>1</v>
      </c>
    </row>
    <row r="40031" ht="15.75" customHeight="1" spans="1:2">
      <c r="A40031" s="3" t="str">
        <f>IFERROR(__xludf.DUMMYFUNCTION("GOOGLETRANSLATE(A40031,""en"",""pt"")"),"Ótimo produto")</f>
        <v>Ótimo produto</v>
      </c>
      <c r="B40031" s="3">
        <v>1</v>
      </c>
    </row>
    <row r="40032" ht="15.75" customHeight="1" spans="1:2">
      <c r="A40032" s="3" t="str">
        <f>IFERROR(__xludf.DUMMYFUNCTION("GOOGLETRANSLATE(A40032,""en"",""pt"")"),"Baixo custo, fácil de usar")</f>
        <v>Baixo custo, fácil de usar</v>
      </c>
      <c r="B40032" s="3">
        <v>1</v>
      </c>
    </row>
    <row r="40033" ht="15.75" customHeight="1" spans="1:2">
      <c r="A40033" s="3" t="str">
        <f>IFERROR(__xludf.DUMMYFUNCTION("GOOGLETRANSLATE(A40033,""en"",""pt"")"),"Excelente qualidade de impressão; configurar facilmente.")</f>
        <v>Excelente qualidade de impressão; configurar facilmente.</v>
      </c>
      <c r="B40033" s="3">
        <v>1</v>
      </c>
    </row>
    <row r="40034" ht="15.75" customHeight="1" spans="1:2">
      <c r="A40034" s="3" t="str">
        <f>IFERROR(__xludf.DUMMYFUNCTION("GOOGLETRANSLATE(A40034,""en"",""pt"")"),"confiável, imprime bem, alterna entre fax e modo de impressora sem problemas")</f>
        <v>confiável, imprime bem, alterna entre fax e modo de impressora sem problemas</v>
      </c>
      <c r="B40034" s="3">
        <v>1</v>
      </c>
    </row>
    <row r="40035" ht="15.75" customHeight="1" spans="1:2">
      <c r="A40035" s="3" t="str">
        <f>IFERROR(__xludf.DUMMYFUNCTION("GOOGLETRANSLATE(A40035,""en"",""pt"")"),"Preço, Resolução de saída")</f>
        <v>Preço, Resolução de saída</v>
      </c>
      <c r="B40035" s="3">
        <v>1</v>
      </c>
    </row>
    <row r="40036" ht="15.75" customHeight="1" spans="1:2">
      <c r="A40036" s="3" t="str">
        <f>IFERROR(__xludf.DUMMYFUNCTION("GOOGLETRANSLATE(A40036,""en"",""pt"")"),"Todas as funções de trabalho")</f>
        <v>Todas as funções de trabalho</v>
      </c>
      <c r="B40036" s="3">
        <v>1</v>
      </c>
    </row>
    <row r="40037" ht="15.75" customHeight="1" spans="1:2">
      <c r="A40037" s="3" t="str">
        <f>IFERROR(__xludf.DUMMYFUNCTION("GOOGLETRANSLATE(A40037,""en"",""pt"")"),"Rápido de operar, grande impressão, fácil de instalar no computador, maravilhoso para fax")</f>
        <v>Rápido de operar, grande impressão, fácil de instalar no computador, maravilhoso para fax</v>
      </c>
      <c r="B40037" s="3">
        <v>1</v>
      </c>
    </row>
    <row r="40038" ht="15.75" customHeight="1" spans="1:2">
      <c r="A40038" s="3" t="str">
        <f>IFERROR(__xludf.DUMMYFUNCTION("GOOGLETRANSLATE(A40038,""en"",""pt"")"),"fácil de configurar e usar")</f>
        <v>fácil de configurar e usar</v>
      </c>
      <c r="B40038" s="3">
        <v>1</v>
      </c>
    </row>
    <row r="40039" ht="15.75" customHeight="1" spans="1:2">
      <c r="A40039" s="3" t="str">
        <f>IFERROR(__xludf.DUMMYFUNCTION("GOOGLETRANSLATE(A40039,""en"",""pt"")"),"Obter para Empresas")</f>
        <v>Obter para Empresas</v>
      </c>
      <c r="B40039" s="3">
        <v>1</v>
      </c>
    </row>
    <row r="40040" ht="15.75" customHeight="1" spans="1:2">
      <c r="A40040" s="3" t="str">
        <f>IFERROR(__xludf.DUMMYFUNCTION("GOOGLETRANSLATE(A40040,""en"",""pt"")"),"Botões estão bem colocados em exposição. Funções fáceis de classificar através.")</f>
        <v>Botões estão bem colocados em exposição. Funções fáceis de classificar através.</v>
      </c>
      <c r="B40040" s="3">
        <v>1</v>
      </c>
    </row>
    <row r="40041" ht="15.75" customHeight="1" spans="1:2">
      <c r="A40041" s="3" t="str">
        <f>IFERROR(__xludf.DUMMYFUNCTION("GOOGLETRANSLATE(A40041,""en"",""pt"")"),"Lotes de funções")</f>
        <v>Lotes de funções</v>
      </c>
      <c r="B40041" s="3">
        <v>1</v>
      </c>
    </row>
    <row r="40042" ht="15.75" customHeight="1" spans="1:2">
      <c r="A40042" s="3" t="str">
        <f>IFERROR(__xludf.DUMMYFUNCTION("GOOGLETRANSLATE(A40042,""en"",""pt"")"),"faz tudo. 30 página alimentador é muito útil para cópias casa")</f>
        <v>faz tudo. 30 página alimentador é muito útil para cópias casa</v>
      </c>
      <c r="B40042" s="3">
        <v>1</v>
      </c>
    </row>
    <row r="40043" ht="15.75" customHeight="1" spans="1:2">
      <c r="A40043" s="3" t="str">
        <f>IFERROR(__xludf.DUMMYFUNCTION("GOOGLETRANSLATE(A40043,""en"",""pt"")"),"Funciona bem com o Windows XP")</f>
        <v>Funciona bem com o Windows XP</v>
      </c>
      <c r="B40043" s="3">
        <v>1</v>
      </c>
    </row>
    <row r="40044" ht="15.75" customHeight="1" spans="1:2">
      <c r="A40044" s="3" t="str">
        <f>IFERROR(__xludf.DUMMYFUNCTION("GOOGLETRANSLATE(A40044,""en"",""pt"")"),"Muitos recursos por um preço baixo, operação silenciosa.")</f>
        <v>Muitos recursos por um preço baixo, operação silenciosa.</v>
      </c>
      <c r="B40044" s="3">
        <v>1</v>
      </c>
    </row>
    <row r="40045" ht="15.75" customHeight="1" spans="1:2">
      <c r="A40045" s="3" t="str">
        <f>IFERROR(__xludf.DUMMYFUNCTION("GOOGLETRANSLATE(A40045,""en"",""pt"")"),"Compacto, scanner de mesa, Flatbed copiadora, cartuchos jato de tinta grandes")</f>
        <v>Compacto, scanner de mesa, Flatbed copiadora, cartuchos jato de tinta grandes</v>
      </c>
      <c r="B40045" s="3">
        <v>1</v>
      </c>
    </row>
    <row r="40046" ht="15.75" customHeight="1" spans="1:2">
      <c r="A40046" s="3" t="str">
        <f>IFERROR(__xludf.DUMMYFUNCTION("GOOGLETRANSLATE(A40046,""en"",""pt"")"),"fácil de usar; rápido cópia e fax; o uso de pouca tinta")</f>
        <v>fácil de usar; rápido cópia e fax; o uso de pouca tinta</v>
      </c>
      <c r="B40046" s="3">
        <v>1</v>
      </c>
    </row>
    <row r="40047" ht="15.75" customHeight="1" spans="1:2">
      <c r="A40047" s="3" t="str">
        <f>IFERROR(__xludf.DUMMYFUNCTION("GOOGLETRANSLATE(A40047,""en"",""pt"")"),"Não many.It ser bom scanner")</f>
        <v>Não many.It ser bom scanner</v>
      </c>
      <c r="B40047" s="3">
        <v>1</v>
      </c>
    </row>
    <row r="40048" ht="15.75" customHeight="1" spans="1:2">
      <c r="A40048" s="3" t="str">
        <f>IFERROR(__xludf.DUMMYFUNCTION("GOOGLETRANSLATE(A40048,""en"",""pt"")"),"Muito bom desempenho quality.Quick impressão inicial enviar e receber fax.")</f>
        <v>Muito bom desempenho quality.Quick impressão inicial enviar e receber fax.</v>
      </c>
      <c r="B40048" s="3">
        <v>1</v>
      </c>
    </row>
    <row r="40049" ht="15.75" customHeight="1" spans="1:2">
      <c r="A40049" s="3" t="str">
        <f>IFERROR(__xludf.DUMMYFUNCTION("GOOGLETRANSLATE(A40049,""en"",""pt"")"),"Multifuncionalidade, mas silenciado por problemas")</f>
        <v>Multifuncionalidade, mas silenciado por problemas</v>
      </c>
      <c r="B40049" s="3">
        <v>1</v>
      </c>
    </row>
    <row r="40050" ht="15.75" customHeight="1" spans="1:2">
      <c r="A40050" s="3" t="str">
        <f>IFERROR(__xludf.DUMMYFUNCTION("GOOGLETRANSLATE(A40050,""en"",""pt"")"),"Barato")</f>
        <v>Barato</v>
      </c>
      <c r="B40050" s="3">
        <v>1</v>
      </c>
    </row>
    <row r="40051" ht="15.75" customHeight="1" spans="1:2">
      <c r="A40051" s="3" t="str">
        <f>IFERROR(__xludf.DUMMYFUNCTION("GOOGLETRANSLATE(A40051,""en"",""pt"")"),"fácil e conveniente de usar")</f>
        <v>fácil e conveniente de usar</v>
      </c>
      <c r="B40051" s="3">
        <v>1</v>
      </c>
    </row>
    <row r="40052" ht="15.75" customHeight="1" spans="1:2">
      <c r="A40052" s="3" t="str">
        <f>IFERROR(__xludf.DUMMYFUNCTION("GOOGLETRANSLATE(A40052,""en"",""pt"")"),"Tudo em um")</f>
        <v>Tudo em um</v>
      </c>
      <c r="B40052" s="3">
        <v>1</v>
      </c>
    </row>
    <row r="40053" ht="15.75" customHeight="1" spans="1:2">
      <c r="A40053" s="3" t="str">
        <f>IFERROR(__xludf.DUMMYFUNCTION("GOOGLETRANSLATE(A40053,""en"",""pt"")"),"Velocidade, precisão, simplicidade")</f>
        <v>Velocidade, precisão, simplicidade</v>
      </c>
      <c r="B40053" s="3">
        <v>1</v>
      </c>
    </row>
    <row r="40054" ht="15.75" customHeight="1" spans="1:2">
      <c r="A40054" s="3" t="str">
        <f>IFERROR(__xludf.DUMMYFUNCTION("GOOGLETRANSLATE(A40054,""en"",""pt"")"),"Muito boa tudo unidade em torno, antes de a cabeça de impressão sai")</f>
        <v>Muito boa tudo unidade em torno, antes de a cabeça de impressão sai</v>
      </c>
      <c r="B40054" s="3">
        <v>1</v>
      </c>
    </row>
    <row r="40055" ht="15.75" customHeight="1" spans="1:2">
      <c r="A40055" s="3" t="str">
        <f>IFERROR(__xludf.DUMMYFUNCTION("GOOGLETRANSLATE(A40055,""en"",""pt"")"),"imprime, digitaliza")</f>
        <v>imprime, digitaliza</v>
      </c>
      <c r="B40055" s="3">
        <v>1</v>
      </c>
    </row>
    <row r="40056" ht="15.75" customHeight="1" spans="1:2">
      <c r="A40056" s="3" t="str">
        <f>IFERROR(__xludf.DUMMYFUNCTION("GOOGLETRANSLATE(A40056,""en"",""pt"")"),"Faz tudo muito bem.")</f>
        <v>Faz tudo muito bem.</v>
      </c>
      <c r="B40056" s="3">
        <v>1</v>
      </c>
    </row>
    <row r="40057" ht="15.75" customHeight="1" spans="1:2">
      <c r="A40057" s="3" t="str">
        <f>IFERROR(__xludf.DUMMYFUNCTION("GOOGLETRANSLATE(A40057,""en"",""pt"")"),"confiável, rápido, bom comutação entre as funções de telefone / fax")</f>
        <v>confiável, rápido, bom comutação entre as funções de telefone / fax</v>
      </c>
      <c r="B40057" s="3">
        <v>1</v>
      </c>
    </row>
    <row r="40058" ht="15.75" customHeight="1" spans="1:2">
      <c r="A40058" s="3" t="str">
        <f>IFERROR(__xludf.DUMMYFUNCTION("GOOGLETRANSLATE(A40058,""en"",""pt"")"),"Ainda é uma boa ideia!")</f>
        <v>Ainda é uma boa ideia!</v>
      </c>
      <c r="B40058" s="3">
        <v>1</v>
      </c>
    </row>
    <row r="40059" ht="15.75" customHeight="1" spans="1:2">
      <c r="A40059" s="3" t="str">
        <f>IFERROR(__xludf.DUMMYFUNCTION("GOOGLETRANSLATE(A40059,""en"",""pt"")"),"Boa qualidade de impressão")</f>
        <v>Boa qualidade de impressão</v>
      </c>
      <c r="B40059" s="3">
        <v>1</v>
      </c>
    </row>
    <row r="40060" ht="15.75" customHeight="1" spans="1:2">
      <c r="A40060" s="3" t="str">
        <f>IFERROR(__xludf.DUMMYFUNCTION("GOOGLETRANSLATE(A40060,""en"",""pt"")"),"6 em uma unidade, não ocupam muito espaço.")</f>
        <v>6 em uma unidade, não ocupam muito espaço.</v>
      </c>
      <c r="B40060" s="3">
        <v>1</v>
      </c>
    </row>
    <row r="40061" ht="15.75" customHeight="1" spans="1:2">
      <c r="A40061" s="3" t="str">
        <f>IFERROR(__xludf.DUMMYFUNCTION("GOOGLETRANSLATE(A40061,""en"",""pt"")"),"quatro cartuchos separados, preço, Photo Capture Centre, 250 capacidade de papel, scanner colorido cama plana")</f>
        <v>quatro cartuchos separados, preço, Photo Capture Centre, 250 capacidade de papel, scanner colorido cama plana</v>
      </c>
      <c r="B40061" s="3">
        <v>1</v>
      </c>
    </row>
    <row r="40062" ht="15.75" customHeight="1" spans="1:2">
      <c r="A40062" s="3" t="str">
        <f>IFERROR(__xludf.DUMMYFUNCTION("GOOGLETRANSLATE(A40062,""en"",""pt"")"),"tudo em um")</f>
        <v>tudo em um</v>
      </c>
      <c r="B40062" s="3">
        <v>1</v>
      </c>
    </row>
    <row r="40063" ht="15.75" customHeight="1" spans="1:2">
      <c r="A40063" s="3" t="str">
        <f>IFERROR(__xludf.DUMMYFUNCTION("GOOGLETRANSLATE(A40063,""en"",""pt"")"),"Tudo em uma máquina")</f>
        <v>Tudo em uma máquina</v>
      </c>
      <c r="B40063" s="3">
        <v>1</v>
      </c>
    </row>
    <row r="40064" ht="15.75" customHeight="1" spans="1:2">
      <c r="A40064" s="3" t="str">
        <f>IFERROR(__xludf.DUMMYFUNCTION("GOOGLETRANSLATE(A40064,""en"",""pt"")"),"multifuncional")</f>
        <v>multifuncional</v>
      </c>
      <c r="B40064" s="3">
        <v>1</v>
      </c>
    </row>
    <row r="40065" ht="15.75" customHeight="1" spans="1:2">
      <c r="A40065" s="3" t="str">
        <f>IFERROR(__xludf.DUMMYFUNCTION("GOOGLETRANSLATE(A40065,""en"",""pt"")"),"Nenhum - Pedaço de lixo. E mantém-se pior!")</f>
        <v>Nenhum - Pedaço de lixo. E mantém-se pior!</v>
      </c>
      <c r="B40065" s="3">
        <v>1</v>
      </c>
    </row>
    <row r="40066" ht="15.75" customHeight="1" spans="1:2">
      <c r="A40066" s="3" t="str">
        <f>IFERROR(__xludf.DUMMYFUNCTION("GOOGLETRANSLATE(A40066,""en"",""pt"")"),"All-In-One, quatro cartuchos de impressora separadas, preço acessível, 250 capacidade de papel")</f>
        <v>All-In-One, quatro cartuchos de impressora separadas, preço acessível, 250 capacidade de papel</v>
      </c>
      <c r="B40066" s="3">
        <v>1</v>
      </c>
    </row>
    <row r="40067" ht="15.75" customHeight="1" spans="1:2">
      <c r="A40067" s="3" t="str">
        <f>IFERROR(__xludf.DUMMYFUNCTION("GOOGLETRANSLATE(A40067,""en"",""pt"")"),"Tudo em um, quando ele funciona")</f>
        <v>Tudo em um, quando ele funciona</v>
      </c>
      <c r="B40067" s="3">
        <v>1</v>
      </c>
    </row>
    <row r="40068" ht="15.75" customHeight="1" spans="1:2">
      <c r="A40068" s="3" t="str">
        <f>IFERROR(__xludf.DUMMYFUNCTION("GOOGLETRANSLATE(A40068,""en"",""pt"")"),"Aftermarket tinta disponível a preços excelentes ... Grande variedade de qualidade de impressão")</f>
        <v>Aftermarket tinta disponível a preços excelentes ... Grande variedade de qualidade de impressão</v>
      </c>
      <c r="B40068" s="3">
        <v>1</v>
      </c>
    </row>
    <row r="40069" ht="15.75" customHeight="1" spans="1:2">
      <c r="A40069" s="3" t="str">
        <f>IFERROR(__xludf.DUMMYFUNCTION("GOOGLETRANSLATE(A40069,""en"",""pt"")"),"Boa qualidade de impressão a preto; fácil configuração, fácil enviar fax / receber.")</f>
        <v>Boa qualidade de impressão a preto; fácil configuração, fácil enviar fax / receber.</v>
      </c>
      <c r="B40069" s="3">
        <v>1</v>
      </c>
    </row>
    <row r="40070" ht="15.75" customHeight="1" spans="1:2">
      <c r="A40070" s="3" t="str">
        <f>IFERROR(__xludf.DUMMYFUNCTION("GOOGLETRANSLATE(A40070,""en"",""pt"")"),"Inicialmente foi ótimo multifuncional para o nosso pequeno negócio. Ele substituiu um HP3000")</f>
        <v>Inicialmente foi ótimo multifuncional para o nosso pequeno negócio. Ele substituiu um HP3000</v>
      </c>
      <c r="B40070" s="3">
        <v>1</v>
      </c>
    </row>
    <row r="40071" ht="15.75" customHeight="1" spans="1:2">
      <c r="A40071" s="3" t="str">
        <f>IFERROR(__xludf.DUMMYFUNCTION("GOOGLETRANSLATE(A40071,""en"",""pt"")"),"permite a impressão de fotos a partir do MFC")</f>
        <v>permite a impressão de fotos a partir do MFC</v>
      </c>
      <c r="B40071" s="3">
        <v>1</v>
      </c>
    </row>
    <row r="40072" ht="15.75" customHeight="1" spans="1:2">
      <c r="A40072" s="3" t="str">
        <f>IFERROR(__xludf.DUMMYFUNCTION("GOOGLETRANSLATE(A40072,""en"",""pt"")"),"Great todos em máquina multifunções um laser; Irmão um bom nome.")</f>
        <v>Great todos em máquina multifunções um laser; Irmão um bom nome.</v>
      </c>
      <c r="B40072" s="3">
        <v>1</v>
      </c>
    </row>
    <row r="40073" ht="15.75" customHeight="1" spans="1:2">
      <c r="A40073" s="3" t="str">
        <f>IFERROR(__xludf.DUMMYFUNCTION("GOOGLETRANSLATE(A40073,""en"",""pt"")"),"O mais capacidade para o custo; menor custo por página, alimentador automático de folha, scanner embutido, capacidade de utilizar apenas uma porta paralela.")</f>
        <v>O mais capacidade para o custo; menor custo por página, alimentador automático de folha, scanner embutido, capacidade de utilizar apenas uma porta paralela.</v>
      </c>
      <c r="B40073" s="3">
        <v>1</v>
      </c>
    </row>
    <row r="40074" ht="15.75" customHeight="1" spans="1:2">
      <c r="A40074" s="3" t="str">
        <f>IFERROR(__xludf.DUMMYFUNCTION("GOOGLETRANSLATE(A40074,""en"",""pt"")"),"impressão moderadamente rápido, multifuncionalidade")</f>
        <v>impressão moderadamente rápido, multifuncionalidade</v>
      </c>
      <c r="B40074" s="3">
        <v>1</v>
      </c>
    </row>
    <row r="40075" ht="15.75" customHeight="1" spans="1:2">
      <c r="A40075" s="3" t="str">
        <f>IFERROR(__xludf.DUMMYFUNCTION("GOOGLETRANSLATE(A40075,""en"",""pt"")"),"Bons recursos e design")</f>
        <v>Bons recursos e design</v>
      </c>
      <c r="B40075" s="3">
        <v>1</v>
      </c>
    </row>
    <row r="40076" ht="15.75" customHeight="1" spans="1:2">
      <c r="A40076" s="3" t="str">
        <f>IFERROR(__xludf.DUMMYFUNCTION("GOOGLETRANSLATE(A40076,""en"",""pt"")"),"grande funcionalidade")</f>
        <v>grande funcionalidade</v>
      </c>
      <c r="B40076" s="3">
        <v>1</v>
      </c>
    </row>
    <row r="40077" ht="15.75" customHeight="1" spans="1:2">
      <c r="A40077" s="3" t="str">
        <f>IFERROR(__xludf.DUMMYFUNCTION("GOOGLETRANSLATE(A40077,""en"",""pt"")"),"veja Principais Características")</f>
        <v>veja Principais Características</v>
      </c>
      <c r="B40077" s="3">
        <v>1</v>
      </c>
    </row>
    <row r="40078" ht="15.75" customHeight="1" spans="1:2">
      <c r="A40078" s="3" t="str">
        <f>IFERROR(__xludf.DUMMYFUNCTION("GOOGLETRANSLATE(A40078,""en"",""pt"")"),"Apenas um grande MFC em todos os sentidos, os custos por página muito baixo")</f>
        <v>Apenas um grande MFC em todos os sentidos, os custos por página muito baixo</v>
      </c>
      <c r="B40078" s="3">
        <v>1</v>
      </c>
    </row>
    <row r="40079" ht="15.75" customHeight="1" spans="1:2">
      <c r="A40079" s="3" t="str">
        <f>IFERROR(__xludf.DUMMYFUNCTION("GOOGLETRANSLATE(A40079,""en"",""pt"")"),"Excelente impressora a laser e Fax, Bom Copier, excelente serviço ao cliente")</f>
        <v>Excelente impressora a laser e Fax, Bom Copier, excelente serviço ao cliente</v>
      </c>
      <c r="B40079" s="3">
        <v>1</v>
      </c>
    </row>
    <row r="40080" ht="15.75" customHeight="1" spans="1:2">
      <c r="A40080" s="3" t="str">
        <f>IFERROR(__xludf.DUMMYFUNCTION("GOOGLETRANSLATE(A40080,""en"",""pt"")"),"fax a laser é mais barato, a qualidade feira, fax flatbed")</f>
        <v>fax a laser é mais barato, a qualidade feira, fax flatbed</v>
      </c>
      <c r="B40080" s="3">
        <v>1</v>
      </c>
    </row>
    <row r="40081" ht="15.75" customHeight="1" spans="1:2">
      <c r="A40081" s="3" t="str">
        <f>IFERROR(__xludf.DUMMYFUNCTION("GOOGLETRANSLATE(A40081,""en"",""pt"")"),"configuração simples, rápido, bem desenhado")</f>
        <v>configuração simples, rápido, bem desenhado</v>
      </c>
      <c r="B40081" s="3">
        <v>1</v>
      </c>
    </row>
    <row r="40082" ht="15.75" customHeight="1" spans="1:2">
      <c r="A40082" s="3" t="str">
        <f>IFERROR(__xludf.DUMMYFUNCTION("GOOGLETRANSLATE(A40082,""en"",""pt"")"),"Acessível, fácil configuração, nenhuma manutenção.")</f>
        <v>Acessível, fácil configuração, nenhuma manutenção.</v>
      </c>
      <c r="B40082" s="3">
        <v>1</v>
      </c>
    </row>
    <row r="40083" ht="15.75" customHeight="1" spans="1:2">
      <c r="A40083" s="3" t="str">
        <f>IFERROR(__xludf.DUMMYFUNCTION("GOOGLETRANSLATE(A40083,""en"",""pt"")"),"Fácil de usar, rápido")</f>
        <v>Fácil de usar, rápido</v>
      </c>
      <c r="B40083" s="3">
        <v>1</v>
      </c>
    </row>
    <row r="40084" ht="15.75" customHeight="1" spans="1:2">
      <c r="A40084" s="3" t="str">
        <f>IFERROR(__xludf.DUMMYFUNCTION("GOOGLETRANSLATE(A40084,""en"",""pt"")"),"Barato, extremamente fácil de operar e instalar")</f>
        <v>Barato, extremamente fácil de operar e instalar</v>
      </c>
      <c r="B40084" s="3">
        <v>1</v>
      </c>
    </row>
    <row r="40085" ht="15.75" customHeight="1" spans="1:2">
      <c r="A40085" s="3" t="str">
        <f>IFERROR(__xludf.DUMMYFUNCTION("GOOGLETRANSLATE(A40085,""en"",""pt"")"),"Foi barato")</f>
        <v>Foi barato</v>
      </c>
      <c r="B40085" s="3">
        <v>1</v>
      </c>
    </row>
    <row r="40086" ht="15.75" customHeight="1" spans="1:2">
      <c r="A40086" s="3" t="str">
        <f>IFERROR(__xludf.DUMMYFUNCTION("GOOGLETRANSLATE(A40086,""en"",""pt"")"),"Barato, boa qualidade de impressão e geralmente eficiente. para não mencionar pequena.")</f>
        <v>Barato, boa qualidade de impressão e geralmente eficiente. para não mencionar pequena.</v>
      </c>
      <c r="B40086" s="3">
        <v>1</v>
      </c>
    </row>
    <row r="40087" ht="15.75" customHeight="1" spans="1:2">
      <c r="A40087" s="3" t="str">
        <f>IFERROR(__xludf.DUMMYFUNCTION("GOOGLETRANSLATE(A40087,""en"",""pt"")"),"Compacto e barato, sem atolamentos de papel, fácil de usar, impressões em envelopes bem, caso resistente")</f>
        <v>Compacto e barato, sem atolamentos de papel, fácil de usar, impressões em envelopes bem, caso resistente</v>
      </c>
      <c r="B40087" s="3">
        <v>1</v>
      </c>
    </row>
    <row r="40088" ht="15.75" customHeight="1" spans="1:2">
      <c r="A40088" s="3" t="str">
        <f>IFERROR(__xludf.DUMMYFUNCTION("GOOGLETRANSLATE(A40088,""en"",""pt"")"),"de impressora é barato, e bom para o texto, fácil de usar")</f>
        <v>de impressora é barato, e bom para o texto, fácil de usar</v>
      </c>
      <c r="B40088" s="3">
        <v>1</v>
      </c>
    </row>
    <row r="40089" ht="15.75" customHeight="1" spans="1:2">
      <c r="A40089" s="3" t="str">
        <f>IFERROR(__xludf.DUMMYFUNCTION("GOOGLETRANSLATE(A40089,""en"",""pt"")"),"Baixo custo")</f>
        <v>Baixo custo</v>
      </c>
      <c r="B40089" s="3">
        <v>1</v>
      </c>
    </row>
    <row r="40090" ht="15.75" customHeight="1" spans="1:2">
      <c r="A40090" s="3" t="str">
        <f>IFERROR(__xludf.DUMMYFUNCTION("GOOGLETRANSLATE(A40090,""en"",""pt"")"),"Barato e simples")</f>
        <v>Barato e simples</v>
      </c>
      <c r="B40090" s="3">
        <v>1</v>
      </c>
    </row>
    <row r="40091" ht="15.75" customHeight="1" spans="1:2">
      <c r="A40091" s="3" t="str">
        <f>IFERROR(__xludf.DUMMYFUNCTION("GOOGLETRANSLATE(A40091,""en"",""pt"")"),"compactar")</f>
        <v>compactar</v>
      </c>
      <c r="B40091" s="3">
        <v>1</v>
      </c>
    </row>
    <row r="40092" ht="15.75" customHeight="1" spans="1:2">
      <c r="A40092" s="3" t="str">
        <f>IFERROR(__xludf.DUMMYFUNCTION("GOOGLETRANSLATE(A40092,""en"",""pt"")"),"barato")</f>
        <v>barato</v>
      </c>
      <c r="B40092" s="3">
        <v>1</v>
      </c>
    </row>
    <row r="40093" ht="15.75" customHeight="1" spans="1:2">
      <c r="A40093" s="3" t="str">
        <f>IFERROR(__xludf.DUMMYFUNCTION("GOOGLETRANSLATE(A40093,""en"",""pt"")"),"todos os aspectos sobre o assunto")</f>
        <v>todos os aspectos sobre o assunto</v>
      </c>
      <c r="B40093" s="3">
        <v>1</v>
      </c>
    </row>
    <row r="40094" ht="15.75" customHeight="1" spans="1:2">
      <c r="A40094" s="3" t="str">
        <f>IFERROR(__xludf.DUMMYFUNCTION("GOOGLETRANSLATE(A40094,""en"",""pt"")"),"Pequeno, leve .... Low Cost")</f>
        <v>Pequeno, leve .... Low Cost</v>
      </c>
      <c r="B40094" s="3">
        <v>1</v>
      </c>
    </row>
    <row r="40095" ht="15.75" customHeight="1" spans="1:2">
      <c r="A40095" s="3" t="str">
        <f>IFERROR(__xludf.DUMMYFUNCTION("GOOGLETRANSLATE(A40095,""en"",""pt"")"),"Compacto, fácil de usar e barato")</f>
        <v>Compacto, fácil de usar e barato</v>
      </c>
      <c r="B40095" s="3">
        <v>1</v>
      </c>
    </row>
    <row r="40096" ht="15.75" customHeight="1" spans="1:2">
      <c r="A40096" s="3" t="str">
        <f>IFERROR(__xludf.DUMMYFUNCTION("GOOGLETRANSLATE(A40096,""en"",""pt"")"),"Printer barato")</f>
        <v>Printer barato</v>
      </c>
      <c r="B40096" s="3">
        <v>1</v>
      </c>
    </row>
    <row r="40097" ht="15.75" customHeight="1" spans="1:2">
      <c r="A40097" s="3" t="str">
        <f>IFERROR(__xludf.DUMMYFUNCTION("GOOGLETRANSLATE(A40097,""en"",""pt"")"),"Boa qualidade de impressão, ótimo preço")</f>
        <v>Boa qualidade de impressão, ótimo preço</v>
      </c>
      <c r="B40097" s="3">
        <v>1</v>
      </c>
    </row>
    <row r="40098" ht="15.75" customHeight="1" spans="1:2">
      <c r="A40098" s="3" t="str">
        <f>IFERROR(__xludf.DUMMYFUNCTION("GOOGLETRANSLATE(A40098,""en"",""pt"")"),"valor, qualidade, de fácil instalação")</f>
        <v>valor, qualidade, de fácil instalação</v>
      </c>
      <c r="B40098" s="3">
        <v>1</v>
      </c>
    </row>
    <row r="40099" ht="15.75" customHeight="1" spans="1:2">
      <c r="A40099" s="3" t="str">
        <f>IFERROR(__xludf.DUMMYFUNCTION("GOOGLETRANSLATE(A40099,""en"",""pt"")"),"barato, de boa qualidade para o preço que você paga.")</f>
        <v>barato, de boa qualidade para o preço que você paga.</v>
      </c>
      <c r="B40099" s="3">
        <v>1</v>
      </c>
    </row>
    <row r="40100" ht="15.75" customHeight="1" spans="1:2">
      <c r="A40100" s="3" t="str">
        <f>IFERROR(__xludf.DUMMYFUNCTION("GOOGLETRANSLATE(A40100,""en"",""pt"")"),"Extremamente fácil processo de configuração")</f>
        <v>Extremamente fácil processo de configuração</v>
      </c>
      <c r="B40100" s="3">
        <v>1</v>
      </c>
    </row>
    <row r="40101" ht="15.75" customHeight="1" spans="1:2">
      <c r="A40101" s="3" t="str">
        <f>IFERROR(__xludf.DUMMYFUNCTION("GOOGLETRANSLATE(A40101,""en"",""pt"")"),"poupança compacto e espaço")</f>
        <v>poupança compacto e espaço</v>
      </c>
      <c r="B40101" s="3">
        <v>1</v>
      </c>
    </row>
    <row r="40102" ht="15.75" customHeight="1" spans="1:2">
      <c r="A40102" s="3" t="str">
        <f>IFERROR(__xludf.DUMMYFUNCTION("GOOGLETRANSLATE(A40102,""en"",""pt"")"),"Barato, fácil de usar")</f>
        <v>Barato, fácil de usar</v>
      </c>
      <c r="B40102" s="3">
        <v>1</v>
      </c>
    </row>
    <row r="40103" ht="15.75" customHeight="1" spans="1:2">
      <c r="A40103" s="3" t="str">
        <f>IFERROR(__xludf.DUMMYFUNCTION("GOOGLETRANSLATE(A40103,""en"",""pt"")"),"Compacto e barato")</f>
        <v>Compacto e barato</v>
      </c>
      <c r="B40103" s="3">
        <v>1</v>
      </c>
    </row>
    <row r="40104" ht="15.75" customHeight="1" spans="1:2">
      <c r="A40104" s="3" t="str">
        <f>IFERROR(__xludf.DUMMYFUNCTION("GOOGLETRANSLATE(A40104,""en"",""pt"")"),"Nenhum")</f>
        <v>Nenhum</v>
      </c>
      <c r="B40104" s="3">
        <v>1</v>
      </c>
    </row>
    <row r="40105" ht="15.75" customHeight="1" spans="1:2">
      <c r="A40105" s="3" t="str">
        <f>IFERROR(__xludf.DUMMYFUNCTION("GOOGLETRANSLATE(A40105,""en"",""pt"")"),"Fácil de transportar, fácil de usar. cor agradável.")</f>
        <v>Fácil de transportar, fácil de usar. cor agradável.</v>
      </c>
      <c r="B40105" s="3">
        <v>1</v>
      </c>
    </row>
    <row r="40106" ht="15.75" customHeight="1" spans="1:2">
      <c r="A40106" s="3" t="str">
        <f>IFERROR(__xludf.DUMMYFUNCTION("GOOGLETRANSLATE(A40106,""en"",""pt"")"),"Preço e um nome que você pode confiar")</f>
        <v>Preço e um nome que você pode confiar</v>
      </c>
      <c r="B40106" s="3">
        <v>1</v>
      </c>
    </row>
    <row r="40107" ht="15.75" customHeight="1" spans="1:2">
      <c r="A40107" s="3" t="str">
        <f>IFERROR(__xludf.DUMMYFUNCTION("GOOGLETRANSLATE(A40107,""en"",""pt"")"),"pequeno, compacto, leve, fácil de instalar")</f>
        <v>pequeno, compacto, leve, fácil de instalar</v>
      </c>
      <c r="B40107" s="3">
        <v>1</v>
      </c>
    </row>
    <row r="40108" ht="15.75" customHeight="1" spans="1:2">
      <c r="A40108" s="3" t="str">
        <f>IFERROR(__xludf.DUMMYFUNCTION("GOOGLETRANSLATE(A40108,""en"",""pt"")"),"barato, fácil de configurar, fácil de usar, de qualidade aceitável")</f>
        <v>barato, fácil de configurar, fácil de usar, de qualidade aceitável</v>
      </c>
      <c r="B40108" s="3">
        <v>1</v>
      </c>
    </row>
    <row r="40109" ht="15.75" customHeight="1" spans="1:2">
      <c r="A40109" s="3" t="str">
        <f>IFERROR(__xludf.DUMMYFUNCTION("GOOGLETRANSLATE(A40109,""en"",""pt"")"),"Baixo custo, boa saída.")</f>
        <v>Baixo custo, boa saída.</v>
      </c>
      <c r="B40109" s="3">
        <v>1</v>
      </c>
    </row>
    <row r="40110" ht="15.75" customHeight="1" spans="1:2">
      <c r="A40110" s="3" t="str">
        <f>IFERROR(__xludf.DUMMYFUNCTION("GOOGLETRANSLATE(A40110,""en"",""pt"")"),"Barato, fácil de instalar e usar")</f>
        <v>Barato, fácil de instalar e usar</v>
      </c>
      <c r="B40110" s="3">
        <v>1</v>
      </c>
    </row>
    <row r="40111" ht="15.75" customHeight="1" spans="1:2">
      <c r="A40111" s="3" t="str">
        <f>IFERROR(__xludf.DUMMYFUNCTION("GOOGLETRANSLATE(A40111,""en"",""pt"")"),"boa cor")</f>
        <v>boa cor</v>
      </c>
      <c r="B40111" s="3">
        <v>1</v>
      </c>
    </row>
    <row r="40112" ht="15.75" customHeight="1" spans="1:2">
      <c r="A40112" s="3" t="str">
        <f>IFERROR(__xludf.DUMMYFUNCTION("GOOGLETRANSLATE(A40112,""en"",""pt"")"),"Fácil de instalar. Fácil de usar &amp; amp; gt;")</f>
        <v>Fácil de instalar. Fácil de usar &amp; amp; gt;</v>
      </c>
      <c r="B40112" s="3">
        <v>1</v>
      </c>
    </row>
    <row r="40113" ht="15.75" customHeight="1" spans="1:2">
      <c r="A40113" s="3" t="str">
        <f>IFERROR(__xludf.DUMMYFUNCTION("GOOGLETRANSLATE(A40113,""en"",""pt"")"),"impressão de boa qualidade")</f>
        <v>impressão de boa qualidade</v>
      </c>
      <c r="B40113" s="3">
        <v>1</v>
      </c>
    </row>
    <row r="40114" ht="15.75" customHeight="1" spans="1:2">
      <c r="A40114" s="3" t="str">
        <f>IFERROR(__xludf.DUMMYFUNCTION("GOOGLETRANSLATE(A40114,""en"",""pt"")"),"tranquila, qualidade, eficiente")</f>
        <v>tranquila, qualidade, eficiente</v>
      </c>
      <c r="B40114" s="3">
        <v>1</v>
      </c>
    </row>
    <row r="40115" ht="15.75" customHeight="1" spans="1:2">
      <c r="A40115" s="3" t="str">
        <f>IFERROR(__xludf.DUMMYFUNCTION("GOOGLETRANSLATE(A40115,""en"",""pt"")"),"LIVRE!!")</f>
        <v>LIVRE!!</v>
      </c>
      <c r="B40115" s="3">
        <v>1</v>
      </c>
    </row>
    <row r="40116" ht="15.75" customHeight="1" spans="1:2">
      <c r="A40116" s="3" t="str">
        <f>IFERROR(__xludf.DUMMYFUNCTION("GOOGLETRANSLATE(A40116,""en"",""pt"")"),"preço imbatível, configuração fácil e confiável")</f>
        <v>preço imbatível, configuração fácil e confiável</v>
      </c>
      <c r="B40116" s="3">
        <v>1</v>
      </c>
    </row>
    <row r="40117" ht="15.75" customHeight="1" spans="1:2">
      <c r="A40117" s="3" t="str">
        <f>IFERROR(__xludf.DUMMYFUNCTION("GOOGLETRANSLATE(A40117,""en"",""pt"")"),"lento")</f>
        <v>lento</v>
      </c>
      <c r="B40117" s="3">
        <v>1</v>
      </c>
    </row>
    <row r="40118" ht="15.75" customHeight="1" spans="1:2">
      <c r="A40118" s="3" t="str">
        <f>IFERROR(__xludf.DUMMYFUNCTION("GOOGLETRANSLATE(A40118,""en"",""pt"")"),"Qualidade")</f>
        <v>Qualidade</v>
      </c>
      <c r="B40118" s="3">
        <v>1</v>
      </c>
    </row>
    <row r="40119" ht="15.75" customHeight="1" spans="1:2">
      <c r="A40119" s="3" t="str">
        <f>IFERROR(__xludf.DUMMYFUNCTION("GOOGLETRANSLATE(A40119,""en"",""pt"")"),"hmmmm .... segurar, eu estou pensando")</f>
        <v>hmmmm .... segurar, eu estou pensando</v>
      </c>
      <c r="B40119" s="3">
        <v>1</v>
      </c>
    </row>
    <row r="40120" ht="15.75" customHeight="1" spans="1:2">
      <c r="A40120" s="3" t="str">
        <f>IFERROR(__xludf.DUMMYFUNCTION("GOOGLETRANSLATE(A40120,""en"",""pt"")"),"Durável, fácil de usar")</f>
        <v>Durável, fácil de usar</v>
      </c>
      <c r="B40120" s="3">
        <v>1</v>
      </c>
    </row>
    <row r="40121" ht="15.75" customHeight="1" spans="1:2">
      <c r="A40121" s="3" t="str">
        <f>IFERROR(__xludf.DUMMYFUNCTION("GOOGLETRANSLATE(A40121,""en"",""pt"")"),"impressoras de baixo custo")</f>
        <v>impressoras de baixo custo</v>
      </c>
      <c r="B40121" s="3">
        <v>1</v>
      </c>
    </row>
    <row r="40122" ht="15.75" customHeight="1" spans="1:2">
      <c r="A40122" s="3" t="str">
        <f>IFERROR(__xludf.DUMMYFUNCTION("GOOGLETRANSLATE(A40122,""en"",""pt"")"),"Grande Quailty com tudo")</f>
        <v>Grande Quailty com tudo</v>
      </c>
      <c r="B40122" s="3">
        <v>1</v>
      </c>
    </row>
    <row r="40123" ht="15.75" customHeight="1" spans="1:2">
      <c r="A40123" s="3" t="str">
        <f>IFERROR(__xludf.DUMMYFUNCTION("GOOGLETRANSLATE(A40123,""en"",""pt"")"),", Trabalho barato confiável, decente para o dinheiro.")</f>
        <v>, Trabalho barato confiável, decente para o dinheiro.</v>
      </c>
      <c r="B40123" s="3">
        <v>1</v>
      </c>
    </row>
    <row r="40124" ht="15.75" customHeight="1" spans="1:2">
      <c r="A40124" s="3" t="str">
        <f>IFERROR(__xludf.DUMMYFUNCTION("GOOGLETRANSLATE(A40124,""en"",""pt"")"),"configuração rápida ótima qualidade de impressão")</f>
        <v>configuração rápida ótima qualidade de impressão</v>
      </c>
      <c r="B40124" s="3">
        <v>1</v>
      </c>
    </row>
    <row r="40125" ht="15.75" customHeight="1" spans="1:2">
      <c r="A40125" s="3" t="str">
        <f>IFERROR(__xludf.DUMMYFUNCTION("GOOGLETRANSLATE(A40125,""en"",""pt"")"),"Preço")</f>
        <v>Preço</v>
      </c>
      <c r="B40125" s="3">
        <v>1</v>
      </c>
    </row>
    <row r="40126" ht="15.75" customHeight="1" spans="1:2">
      <c r="A40126" s="3" t="str">
        <f>IFERROR(__xludf.DUMMYFUNCTION("GOOGLETRANSLATE(A40126,""en"",""pt"")"),"Ele estendeu materiais impressos")</f>
        <v>Ele estendeu materiais impressos</v>
      </c>
      <c r="B40126" s="3">
        <v>1</v>
      </c>
    </row>
    <row r="40127" ht="15.75" customHeight="1" spans="1:2">
      <c r="A40127" s="3" t="str">
        <f>IFERROR(__xludf.DUMMYFUNCTION("GOOGLETRANSLATE(A40127,""en"",""pt"")"),"O realibilty, o custo,")</f>
        <v>O realibilty, o custo,</v>
      </c>
      <c r="B40127" s="3">
        <v>1</v>
      </c>
    </row>
    <row r="40128" ht="15.75" customHeight="1" spans="1:2">
      <c r="A40128" s="3" t="str">
        <f>IFERROR(__xludf.DUMMYFUNCTION("GOOGLETRANSLATE(A40128,""en"",""pt"")"),"veio com software livre")</f>
        <v>veio com software livre</v>
      </c>
      <c r="B40128" s="3">
        <v>1</v>
      </c>
    </row>
    <row r="40129" ht="15.75" customHeight="1" spans="1:2">
      <c r="A40129" s="3" t="str">
        <f>IFERROR(__xludf.DUMMYFUNCTION("GOOGLETRANSLATE(A40129,""en"",""pt"")"),"Boa qualidade de impressão")</f>
        <v>Boa qualidade de impressão</v>
      </c>
      <c r="B40129" s="3">
        <v>1</v>
      </c>
    </row>
    <row r="40130" ht="15.75" customHeight="1" spans="1:2">
      <c r="A40130" s="3" t="str">
        <f>IFERROR(__xludf.DUMMYFUNCTION("GOOGLETRANSLATE(A40130,""en"",""pt"")"),"Facilidade de uso, preço")</f>
        <v>Facilidade de uso, preço</v>
      </c>
      <c r="B40130" s="3">
        <v>1</v>
      </c>
    </row>
    <row r="40131" ht="15.75" customHeight="1" spans="1:2">
      <c r="A40131" s="3" t="str">
        <f>IFERROR(__xludf.DUMMYFUNCTION("GOOGLETRANSLATE(A40131,""en"",""pt"")"),"Barato, perfeito para impressão de texto")</f>
        <v>Barato, perfeito para impressão de texto</v>
      </c>
      <c r="B40131" s="3">
        <v>1</v>
      </c>
    </row>
    <row r="40132" ht="15.75" customHeight="1" spans="1:2">
      <c r="A40132" s="3" t="str">
        <f>IFERROR(__xludf.DUMMYFUNCTION("GOOGLETRANSLATE(A40132,""en"",""pt"")"),"Bom preço, Acima qualidade de impressão média.")</f>
        <v>Bom preço, Acima qualidade de impressão média.</v>
      </c>
      <c r="B40132" s="3">
        <v>1</v>
      </c>
    </row>
    <row r="40133" ht="15.75" customHeight="1" spans="1:2">
      <c r="A40133" s="3" t="str">
        <f>IFERROR(__xludf.DUMMYFUNCTION("GOOGLETRANSLATE(A40133,""en"",""pt"")"),"Muito barato!")</f>
        <v>Muito barato!</v>
      </c>
      <c r="B40133" s="3">
        <v>1</v>
      </c>
    </row>
    <row r="40134" ht="15.75" customHeight="1" spans="1:2">
      <c r="A40134" s="3" t="str">
        <f>IFERROR(__xludf.DUMMYFUNCTION("GOOGLETRANSLATE(A40134,""en"",""pt"")"),"ótimo para crianças e trabalhos de impressão pequenos")</f>
        <v>ótimo para crianças e trabalhos de impressão pequenos</v>
      </c>
      <c r="B40134" s="3">
        <v>1</v>
      </c>
    </row>
    <row r="40135" ht="15.75" customHeight="1" spans="1:2">
      <c r="A40135" s="3" t="str">
        <f>IFERROR(__xludf.DUMMYFUNCTION("GOOGLETRANSLATE(A40135,""en"",""pt"")"),"Boa qualidade para Preço")</f>
        <v>Boa qualidade para Preço</v>
      </c>
      <c r="B40135" s="3">
        <v>1</v>
      </c>
    </row>
    <row r="40136" ht="15.75" customHeight="1" spans="1:2">
      <c r="A40136" s="3" t="str">
        <f>IFERROR(__xludf.DUMMYFUNCTION("GOOGLETRANSLATE(A40136,""en"",""pt"")"),"preço da impressora de")</f>
        <v>preço da impressora de</v>
      </c>
      <c r="B40136" s="3">
        <v>1</v>
      </c>
    </row>
    <row r="40137" ht="15.75" customHeight="1" spans="1:2">
      <c r="A40137" s="3" t="str">
        <f>IFERROR(__xludf.DUMMYFUNCTION("GOOGLETRANSLATE(A40137,""en"",""pt"")"),"Tamanho")</f>
        <v>Tamanho</v>
      </c>
      <c r="B40137" s="3">
        <v>1</v>
      </c>
    </row>
    <row r="40138" ht="15.75" customHeight="1" spans="1:2">
      <c r="A40138" s="3" t="str">
        <f>IFERROR(__xludf.DUMMYFUNCTION("GOOGLETRANSLATE(A40138,""en"",""pt"")"),"Barato, confiável, preciso, excelente qualidade de impressão")</f>
        <v>Barato, confiável, preciso, excelente qualidade de impressão</v>
      </c>
      <c r="B40138" s="3">
        <v>1</v>
      </c>
    </row>
    <row r="40139" ht="15.75" customHeight="1" spans="1:2">
      <c r="A40139" s="3" t="str">
        <f>IFERROR(__xludf.DUMMYFUNCTION("GOOGLETRANSLATE(A40139,""en"",""pt"")"),"photoprint nonbad, baixo nível de ruído")</f>
        <v>photoprint nonbad, baixo nível de ruído</v>
      </c>
      <c r="B40139" s="3">
        <v>1</v>
      </c>
    </row>
    <row r="40140" ht="15.75" customHeight="1" spans="1:2">
      <c r="A40140" s="3" t="str">
        <f>IFERROR(__xludf.DUMMYFUNCTION("GOOGLETRANSLATE(A40140,""en"",""pt"")"),"qualidade de impressão decente veio com meu PC para livre fácil de usar")</f>
        <v>qualidade de impressão decente veio com meu PC para livre fácil de usar</v>
      </c>
      <c r="B40140" s="3">
        <v>1</v>
      </c>
    </row>
    <row r="40141" ht="15.75" customHeight="1" spans="1:2">
      <c r="A40141" s="3" t="str">
        <f>IFERROR(__xludf.DUMMYFUNCTION("GOOGLETRANSLATE(A40141,""en"",""pt"")"),"boa qualidade &amp; amp; # 13; &amp; amp; # 10; pequeno, ocupa pouco espaço, &amp; amp; # 13; &amp; amp; # 10; barato &amp; amp; # 13; &amp; amp; # 10; fácil hook up / instruções &amp; amp; # 13; &amp; amp; # 10; visual elegante")</f>
        <v>boa qualidade &amp; amp; # 13; &amp; amp; # 10; pequeno, ocupa pouco espaço, &amp; amp; # 13; &amp; amp; # 10; barato &amp; amp; # 13; &amp; amp; # 10; fácil hook up / instruções &amp; amp; # 13; &amp; amp; # 10; visual elegante</v>
      </c>
      <c r="B40141" s="3">
        <v>1</v>
      </c>
    </row>
    <row r="40142" ht="15.75" customHeight="1" spans="1:2">
      <c r="A40142" s="3" t="str">
        <f>IFERROR(__xludf.DUMMYFUNCTION("GOOGLETRANSLATE(A40142,""en"",""pt"")"),"absolutamente Nenhum")</f>
        <v>absolutamente Nenhum</v>
      </c>
      <c r="B40142" s="3">
        <v>1</v>
      </c>
    </row>
    <row r="40143" ht="15.75" customHeight="1" spans="1:2">
      <c r="A40143" s="3" t="str">
        <f>IFERROR(__xludf.DUMMYFUNCTION("GOOGLETRANSLATE(A40143,""en"",""pt"")"),"impressora barata para uso pessoal simples.")</f>
        <v>impressora barata para uso pessoal simples.</v>
      </c>
      <c r="B40143" s="3">
        <v>1</v>
      </c>
    </row>
    <row r="40144" ht="15.75" customHeight="1" spans="1:2">
      <c r="A40144" s="3" t="str">
        <f>IFERROR(__xludf.DUMMYFUNCTION("GOOGLETRANSLATE(A40144,""en"",""pt"")"),"Para o seu preço imprime bem")</f>
        <v>Para o seu preço imprime bem</v>
      </c>
      <c r="B40144" s="3">
        <v>1</v>
      </c>
    </row>
    <row r="40145" ht="15.75" customHeight="1" spans="1:2">
      <c r="A40145" s="3" t="str">
        <f>IFERROR(__xludf.DUMMYFUNCTION("GOOGLETRANSLATE(A40145,""en"",""pt"")"),"Muito amigável &amp; amp; # 13; &amp; amp; # 10; Design compacto &amp; amp; # 13; &amp; amp; # 10; bastante acessíveis 2ª mão")</f>
        <v>Muito amigável &amp; amp; # 13; &amp; amp; # 10; Design compacto &amp; amp; # 13; &amp; amp; # 10; bastante acessíveis 2ª mão</v>
      </c>
      <c r="B40145" s="3">
        <v>1</v>
      </c>
    </row>
    <row r="40146" ht="15.75" customHeight="1" spans="1:2">
      <c r="A40146" s="3" t="str">
        <f>IFERROR(__xludf.DUMMYFUNCTION("GOOGLETRANSLATE(A40146,""en"",""pt"")"),"Fácil de usar")</f>
        <v>Fácil de usar</v>
      </c>
      <c r="B40146" s="3">
        <v>1</v>
      </c>
    </row>
    <row r="40147" ht="15.75" customHeight="1" spans="1:2">
      <c r="A40147" s="3" t="str">
        <f>IFERROR(__xludf.DUMMYFUNCTION("GOOGLETRANSLATE(A40147,""en"",""pt"")"),"É barato, faz o trabalho para mim")</f>
        <v>É barato, faz o trabalho para mim</v>
      </c>
      <c r="B40147" s="3">
        <v>1</v>
      </c>
    </row>
    <row r="40148" ht="15.75" customHeight="1" spans="1:2">
      <c r="A40148" s="3" t="str">
        <f>IFERROR(__xludf.DUMMYFUNCTION("GOOGLETRANSLATE(A40148,""en"",""pt"")"),"Small / compactas, gravuras rápido precisas, proprietários leitor manual do amigável")</f>
        <v>Small / compactas, gravuras rápido precisas, proprietários leitor manual do amigável</v>
      </c>
      <c r="B40148" s="3">
        <v>1</v>
      </c>
    </row>
    <row r="40149" ht="15.75" customHeight="1" spans="1:2">
      <c r="A40149" s="3" t="str">
        <f>IFERROR(__xludf.DUMMYFUNCTION("GOOGLETRANSLATE(A40149,""en"",""pt"")"),"pequeno")</f>
        <v>pequeno</v>
      </c>
      <c r="B40149" s="3">
        <v>1</v>
      </c>
    </row>
    <row r="40150" ht="15.75" customHeight="1" spans="1:2">
      <c r="A40150" s="3" t="str">
        <f>IFERROR(__xludf.DUMMYFUNCTION("GOOGLETRANSLATE(A40150,""en"",""pt"")"),"Tamanho e facilidade de uso")</f>
        <v>Tamanho e facilidade de uso</v>
      </c>
      <c r="B40150" s="3">
        <v>1</v>
      </c>
    </row>
    <row r="40151" ht="15.75" customHeight="1" spans="1:2">
      <c r="A40151" s="3" t="str">
        <f>IFERROR(__xludf.DUMMYFUNCTION("GOOGLETRANSLATE(A40151,""en"",""pt"")"),"Baixo custo, tinta não é executado quando molhado")</f>
        <v>Baixo custo, tinta não é executado quando molhado</v>
      </c>
      <c r="B40151" s="3">
        <v>1</v>
      </c>
    </row>
    <row r="40152" ht="15.75" customHeight="1" spans="1:2">
      <c r="A40152" s="3" t="str">
        <f>IFERROR(__xludf.DUMMYFUNCTION("GOOGLETRANSLATE(A40152,""en"",""pt"")"),"Muito barato, bom B / impressão W, cartucho de scanner opcional")</f>
        <v>Muito barato, bom B / impressão W, cartucho de scanner opcional</v>
      </c>
      <c r="B40152" s="3">
        <v>1</v>
      </c>
    </row>
    <row r="40153" ht="15.75" customHeight="1" spans="1:2">
      <c r="A40153" s="3" t="str">
        <f>IFERROR(__xludf.DUMMYFUNCTION("GOOGLETRANSLATE(A40153,""en"",""pt"")"),"barato")</f>
        <v>barato</v>
      </c>
      <c r="B40153" s="3">
        <v>1</v>
      </c>
    </row>
    <row r="40154" ht="15.75" customHeight="1" spans="1:2">
      <c r="A40154" s="3" t="str">
        <f>IFERROR(__xludf.DUMMYFUNCTION("GOOGLETRANSLATE(A40154,""en"",""pt"")"),"Baixo custo")</f>
        <v>Baixo custo</v>
      </c>
      <c r="B40154" s="3">
        <v>1</v>
      </c>
    </row>
    <row r="40155" ht="15.75" customHeight="1" spans="1:2">
      <c r="A40155" s="3" t="str">
        <f>IFERROR(__xludf.DUMMYFUNCTION("GOOGLETRANSLATE(A40155,""en"",""pt"")"),", De confiança, grande apoio ao cliente muito simples, luz transporte, fácil de se mover e, fácil de configurar, versátil")</f>
        <v>, De confiança, grande apoio ao cliente muito simples, luz transporte, fácil de se mover e, fácil de configurar, versátil</v>
      </c>
      <c r="B40155" s="3">
        <v>1</v>
      </c>
    </row>
    <row r="40156" ht="15.75" customHeight="1" spans="1:2">
      <c r="A40156" s="3" t="str">
        <f>IFERROR(__xludf.DUMMYFUNCTION("GOOGLETRANSLATE(A40156,""en"",""pt"")"),"imprime em silêncio e rápido")</f>
        <v>imprime em silêncio e rápido</v>
      </c>
      <c r="B40156" s="3">
        <v>1</v>
      </c>
    </row>
    <row r="40157" ht="15.75" customHeight="1" spans="1:2">
      <c r="A40157" s="3" t="str">
        <f>IFERROR(__xludf.DUMMYFUNCTION("GOOGLETRANSLATE(A40157,""en"",""pt"")"),"Impressora boa, ótimos preços.")</f>
        <v>Impressora boa, ótimos preços.</v>
      </c>
      <c r="B40157" s="3">
        <v>1</v>
      </c>
    </row>
    <row r="40158" ht="15.75" customHeight="1" spans="1:2">
      <c r="A40158" s="3" t="str">
        <f>IFERROR(__xludf.DUMMYFUNCTION("GOOGLETRANSLATE(A40158,""en"",""pt"")"),"impressão rápida, boa qualidade de impressão, bom preço,")</f>
        <v>impressão rápida, boa qualidade de impressão, bom preço,</v>
      </c>
      <c r="B40158" s="3">
        <v>1</v>
      </c>
    </row>
    <row r="40159" ht="15.75" customHeight="1" spans="1:2">
      <c r="A40159" s="3" t="str">
        <f>IFERROR(__xludf.DUMMYFUNCTION("GOOGLETRANSLATE(A40159,""en"",""pt"")"),"Versatilidade - fax, cópia, digitalização com o cartucho de scanner disponíveis.")</f>
        <v>Versatilidade - fax, cópia, digitalização com o cartucho de scanner disponíveis.</v>
      </c>
      <c r="B40159" s="3">
        <v>1</v>
      </c>
    </row>
    <row r="40160" ht="15.75" customHeight="1" spans="1:2">
      <c r="A40160" s="3" t="str">
        <f>IFERROR(__xludf.DUMMYFUNCTION("GOOGLETRANSLATE(A40160,""en"",""pt"")"),"Nada, excepto talvez seja barato.")</f>
        <v>Nada, excepto talvez seja barato.</v>
      </c>
      <c r="B40160" s="3">
        <v>1</v>
      </c>
    </row>
    <row r="40161" ht="15.75" customHeight="1" spans="1:2">
      <c r="A40161" s="3" t="str">
        <f>IFERROR(__xludf.DUMMYFUNCTION("GOOGLETRANSLATE(A40161,""en"",""pt"")"),"qualidade de impressão decente")</f>
        <v>qualidade de impressão decente</v>
      </c>
      <c r="B40161" s="3">
        <v>1</v>
      </c>
    </row>
    <row r="40162" ht="15.75" customHeight="1" spans="1:2">
      <c r="A40162" s="3" t="str">
        <f>IFERROR(__xludf.DUMMYFUNCTION("GOOGLETRANSLATE(A40162,""en"",""pt"")"),"impressora muito barato e tinta")</f>
        <v>impressora muito barato e tinta</v>
      </c>
      <c r="B40162" s="3">
        <v>1</v>
      </c>
    </row>
    <row r="40163" ht="15.75" customHeight="1" spans="1:2">
      <c r="A40163" s="3" t="str">
        <f>IFERROR(__xludf.DUMMYFUNCTION("GOOGLETRANSLATE(A40163,""en"",""pt"")"),"Excelente desempenho ... impressão de Crisp ... Prints 5 ppm")</f>
        <v>Excelente desempenho ... impressão de Crisp ... Prints 5 ppm</v>
      </c>
      <c r="B40163" s="3">
        <v>1</v>
      </c>
    </row>
    <row r="40164" ht="15.75" customHeight="1" spans="1:2">
      <c r="A40164" s="3" t="str">
        <f>IFERROR(__xludf.DUMMYFUNCTION("GOOGLETRANSLATE(A40164,""en"",""pt"")"),"impressão rápida, impressão de boa qualidade")</f>
        <v>impressão rápida, impressão de boa qualidade</v>
      </c>
      <c r="B40164" s="3">
        <v>1</v>
      </c>
    </row>
    <row r="40165" ht="15.75" customHeight="1" spans="1:2">
      <c r="A40165" s="3" t="str">
        <f>IFERROR(__xludf.DUMMYFUNCTION("GOOGLETRANSLATE(A40165,""en"",""pt"")"),"boa impressora orçamento para atender às necessidades básicas de impressão")</f>
        <v>boa impressora orçamento para atender às necessidades básicas de impressão</v>
      </c>
      <c r="B40165" s="3">
        <v>1</v>
      </c>
    </row>
    <row r="40166" ht="15.75" customHeight="1" spans="1:2">
      <c r="A40166" s="3" t="str">
        <f>IFERROR(__xludf.DUMMYFUNCTION("GOOGLETRANSLATE(A40166,""en"",""pt"")"),"preço, qualidade de impressão, facilidade de uso")</f>
        <v>preço, qualidade de impressão, facilidade de uso</v>
      </c>
      <c r="B40166" s="3">
        <v>1</v>
      </c>
    </row>
    <row r="40167" ht="15.75" customHeight="1" spans="1:2">
      <c r="A40167" s="3" t="str">
        <f>IFERROR(__xludf.DUMMYFUNCTION("GOOGLETRANSLATE(A40167,""en"",""pt"")"),"Barato, boa qualidade de impressão 70% do tempo, pequeno e leve")</f>
        <v>Barato, boa qualidade de impressão 70% do tempo, pequeno e leve</v>
      </c>
      <c r="B40167" s="3">
        <v>1</v>
      </c>
    </row>
    <row r="40168" ht="15.75" customHeight="1" spans="1:2">
      <c r="A40168" s="3" t="str">
        <f>IFERROR(__xludf.DUMMYFUNCTION("GOOGLETRANSLATE(A40168,""en"",""pt"")"),"cartuchos não vai colocar um todo em sua carteira, é pequeno, sistema dual cartrage")</f>
        <v>cartuchos não vai colocar um todo em sua carteira, é pequeno, sistema dual cartrage</v>
      </c>
      <c r="B40168" s="3">
        <v>1</v>
      </c>
    </row>
    <row r="40169" ht="15.75" customHeight="1" spans="1:2">
      <c r="A40169" s="3" t="str">
        <f>IFERROR(__xludf.DUMMYFUNCTION("GOOGLETRANSLATE(A40169,""en"",""pt"")"),"Impressora boa qualidade")</f>
        <v>Impressora boa qualidade</v>
      </c>
      <c r="B40169" s="3">
        <v>1</v>
      </c>
    </row>
    <row r="40170" ht="15.75" customHeight="1" spans="1:2">
      <c r="A40170" s="3" t="str">
        <f>IFERROR(__xludf.DUMMYFUNCTION("GOOGLETRANSLATE(A40170,""en"",""pt"")"),"baixo preço unitário")</f>
        <v>baixo preço unitário</v>
      </c>
      <c r="B40170" s="3">
        <v>1</v>
      </c>
    </row>
    <row r="40171" ht="15.75" customHeight="1" spans="1:2">
      <c r="A40171" s="3" t="str">
        <f>IFERROR(__xludf.DUMMYFUNCTION("GOOGLETRANSLATE(A40171,""en"",""pt"")"),"O IS-22 Anexo Scanner é grande")</f>
        <v>O IS-22 Anexo Scanner é grande</v>
      </c>
      <c r="B40171" s="3">
        <v>1</v>
      </c>
    </row>
    <row r="40172" ht="15.75" customHeight="1" spans="1:2">
      <c r="A40172" s="3" t="str">
        <f>IFERROR(__xludf.DUMMYFUNCTION("GOOGLETRANSLATE(A40172,""en"",""pt"")"),"Barato, facilmente cartuchos substituíveis, de baixo custo para substituir os cartuchos")</f>
        <v>Barato, facilmente cartuchos substituíveis, de baixo custo para substituir os cartuchos</v>
      </c>
      <c r="B40172" s="3">
        <v>1</v>
      </c>
    </row>
    <row r="40173" ht="15.75" customHeight="1" spans="1:2">
      <c r="A40173" s="3" t="str">
        <f>IFERROR(__xludf.DUMMYFUNCTION("GOOGLETRANSLATE(A40173,""en"",""pt"")"),"preço efetivo, muito barato")</f>
        <v>preço efetivo, muito barato</v>
      </c>
      <c r="B40173" s="3">
        <v>1</v>
      </c>
    </row>
    <row r="40174" ht="15.75" customHeight="1" spans="1:2">
      <c r="A40174" s="3" t="str">
        <f>IFERROR(__xludf.DUMMYFUNCTION("GOOGLETRANSLATE(A40174,""en"",""pt"")"),"Software incluído, qualidade de impressão, scanner")</f>
        <v>Software incluído, qualidade de impressão, scanner</v>
      </c>
      <c r="B40174" s="3">
        <v>1</v>
      </c>
    </row>
    <row r="40175" ht="15.75" customHeight="1" spans="1:2">
      <c r="A40175" s="3" t="str">
        <f>IFERROR(__xludf.DUMMYFUNCTION("GOOGLETRANSLATE(A40175,""en"",""pt"")"),"Boa qualidade de impressão")</f>
        <v>Boa qualidade de impressão</v>
      </c>
      <c r="B40175" s="3">
        <v>1</v>
      </c>
    </row>
    <row r="40176" ht="15.75" customHeight="1" spans="1:2">
      <c r="A40176" s="3" t="str">
        <f>IFERROR(__xludf.DUMMYFUNCTION("GOOGLETRANSLATE(A40176,""en"",""pt"")"),"barato")</f>
        <v>barato</v>
      </c>
      <c r="B40176" s="3">
        <v>1</v>
      </c>
    </row>
    <row r="40177" ht="15.75" customHeight="1" spans="1:2">
      <c r="A40177" s="3" t="str">
        <f>IFERROR(__xludf.DUMMYFUNCTION("GOOGLETRANSLATE(A40177,""en"",""pt"")"),"Baixo preço, fácil de configurar e usar.")</f>
        <v>Baixo preço, fácil de configurar e usar.</v>
      </c>
      <c r="B40177" s="3">
        <v>1</v>
      </c>
    </row>
    <row r="40178" ht="15.75" customHeight="1" spans="1:2">
      <c r="A40178" s="3" t="str">
        <f>IFERROR(__xludf.DUMMYFUNCTION("GOOGLETRANSLATE(A40178,""en"",""pt"")"),"boa impressora, IS-22 compatível")</f>
        <v>boa impressora, IS-22 compatível</v>
      </c>
      <c r="B40178" s="3">
        <v>1</v>
      </c>
    </row>
    <row r="40179" ht="15.75" customHeight="1" spans="1:2">
      <c r="A40179" s="3" t="str">
        <f>IFERROR(__xludf.DUMMYFUNCTION("GOOGLETRANSLATE(A40179,""en"",""pt"")"),"preço baixo, a saída decente")</f>
        <v>preço baixo, a saída decente</v>
      </c>
      <c r="B40179" s="3">
        <v>1</v>
      </c>
    </row>
    <row r="40180" ht="15.75" customHeight="1" spans="1:2">
      <c r="A40180" s="3" t="str">
        <f>IFERROR(__xludf.DUMMYFUNCTION("GOOGLETRANSLATE(A40180,""en"",""pt"")"),"barato")</f>
        <v>barato</v>
      </c>
      <c r="B40180" s="3">
        <v>1</v>
      </c>
    </row>
    <row r="40181" ht="15.75" customHeight="1" spans="1:2">
      <c r="A40181" s="3" t="str">
        <f>IFERROR(__xludf.DUMMYFUNCTION("GOOGLETRANSLATE(A40181,""en"",""pt"")"),"Impressão rápida - GREAT PRICE")</f>
        <v>Impressão rápida - GREAT PRICE</v>
      </c>
      <c r="B40181" s="3">
        <v>1</v>
      </c>
    </row>
    <row r="40182" ht="15.75" customHeight="1" spans="1:2">
      <c r="A40182" s="3" t="str">
        <f>IFERROR(__xludf.DUMMYFUNCTION("GOOGLETRANSLATE(A40182,""en"",""pt"")"),"preço barato e os tanques de tinta")</f>
        <v>preço barato e os tanques de tinta</v>
      </c>
      <c r="B40182" s="3">
        <v>1</v>
      </c>
    </row>
    <row r="40183" ht="15.75" customHeight="1" spans="1:2">
      <c r="A40183" s="3" t="str">
        <f>IFERROR(__xludf.DUMMYFUNCTION("GOOGLETRANSLATE(A40183,""en"",""pt"")"),"PRODUTO faz e DUPLICATE")</f>
        <v>PRODUTO faz e DUPLICATE</v>
      </c>
      <c r="B40183" s="3">
        <v>1</v>
      </c>
    </row>
    <row r="40184" ht="15.75" customHeight="1" spans="1:2">
      <c r="A40184" s="3" t="str">
        <f>IFERROR(__xludf.DUMMYFUNCTION("GOOGLETRANSLATE(A40184,""en"",""pt"")"),"Baixa manutenção, baixo preço, confiável")</f>
        <v>Baixa manutenção, baixo preço, confiável</v>
      </c>
      <c r="B40184" s="3">
        <v>1</v>
      </c>
    </row>
    <row r="40185" ht="15.75" customHeight="1" spans="1:2">
      <c r="A40185" s="3" t="str">
        <f>IFERROR(__xludf.DUMMYFUNCTION("GOOGLETRANSLATE(A40185,""en"",""pt"")"),"De alta qualidade, documentos puro-olhando")</f>
        <v>De alta qualidade, documentos puro-olhando</v>
      </c>
      <c r="B40185" s="3">
        <v>1</v>
      </c>
    </row>
    <row r="40186" ht="15.75" customHeight="1" spans="1:2">
      <c r="A40186" s="3" t="str">
        <f>IFERROR(__xludf.DUMMYFUNCTION("GOOGLETRANSLATE(A40186,""en"",""pt"")"),"barato")</f>
        <v>barato</v>
      </c>
      <c r="B40186" s="3">
        <v>1</v>
      </c>
    </row>
    <row r="40187" ht="15.75" customHeight="1" spans="1:2">
      <c r="A40187" s="3" t="str">
        <f>IFERROR(__xludf.DUMMYFUNCTION("GOOGLETRANSLATE(A40187,""en"",""pt"")"),"Fácil de usar")</f>
        <v>Fácil de usar</v>
      </c>
      <c r="B40187" s="3">
        <v>1</v>
      </c>
    </row>
    <row r="40188" ht="15.75" customHeight="1" spans="1:2">
      <c r="A40188" s="3" t="str">
        <f>IFERROR(__xludf.DUMMYFUNCTION("GOOGLETRANSLATE(A40188,""en"",""pt"")"),"PERFEITO")</f>
        <v>PERFEITO</v>
      </c>
      <c r="B40188" s="3">
        <v>1</v>
      </c>
    </row>
    <row r="40189" ht="15.75" customHeight="1" spans="1:2">
      <c r="A40189" s="3" t="str">
        <f>IFERROR(__xludf.DUMMYFUNCTION("GOOGLETRANSLATE(A40189,""en"",""pt"")"),"Preço, qualidade de saída")</f>
        <v>Preço, qualidade de saída</v>
      </c>
      <c r="B40189" s="3">
        <v>1</v>
      </c>
    </row>
    <row r="40190" ht="15.75" customHeight="1" spans="1:2">
      <c r="A40190" s="3" t="str">
        <f>IFERROR(__xludf.DUMMYFUNCTION("GOOGLETRANSLATE(A40190,""en"",""pt"")"),"Barato, pequeno tamanho, design")</f>
        <v>Barato, pequeno tamanho, design</v>
      </c>
      <c r="B40190" s="3">
        <v>1</v>
      </c>
    </row>
    <row r="40191" ht="15.75" customHeight="1" spans="1:2">
      <c r="A40191" s="3" t="str">
        <f>IFERROR(__xludf.DUMMYFUNCTION("GOOGLETRANSLATE(A40191,""en"",""pt"")"),"Incrível cores, tamanho pequeno, fácil cartucho de carregamento, bom preço")</f>
        <v>Incrível cores, tamanho pequeno, fácil cartucho de carregamento, bom preço</v>
      </c>
      <c r="B40191" s="3">
        <v>1</v>
      </c>
    </row>
    <row r="40192" ht="15.75" customHeight="1" spans="1:2">
      <c r="A40192" s="3" t="str">
        <f>IFERROR(__xludf.DUMMYFUNCTION("GOOGLETRANSLATE(A40192,""en"",""pt"")"),"Ligeiras e de pequeno")</f>
        <v>Ligeiras e de pequeno</v>
      </c>
      <c r="B40192" s="3">
        <v>1</v>
      </c>
    </row>
    <row r="40193" ht="15.75" customHeight="1" spans="1:2">
      <c r="A40193" s="3" t="str">
        <f>IFERROR(__xludf.DUMMYFUNCTION("GOOGLETRANSLATE(A40193,""en"",""pt"")"),"o som")</f>
        <v>o som</v>
      </c>
      <c r="B40193" s="3">
        <v>1</v>
      </c>
    </row>
    <row r="40194" ht="15.75" customHeight="1" spans="1:2">
      <c r="A40194" s="3" t="str">
        <f>IFERROR(__xludf.DUMMYFUNCTION("GOOGLETRANSLATE(A40194,""en"",""pt"")"),"Barato, fácil de usar, a qualidade justo.")</f>
        <v>Barato, fácil de usar, a qualidade justo.</v>
      </c>
      <c r="B40194" s="3">
        <v>1</v>
      </c>
    </row>
    <row r="40195" ht="15.75" customHeight="1" spans="1:2">
      <c r="A40195" s="3" t="str">
        <f>IFERROR(__xludf.DUMMYFUNCTION("GOOGLETRANSLATE(A40195,""en"",""pt"")"),"A função de scanner funciona bem, é barato, ele imprime documentos OK")</f>
        <v>A função de scanner funciona bem, é barato, ele imprime documentos OK</v>
      </c>
      <c r="B40195" s="3">
        <v>1</v>
      </c>
    </row>
    <row r="40196" ht="15.75" customHeight="1" spans="1:2">
      <c r="A40196" s="3" t="str">
        <f>IFERROR(__xludf.DUMMYFUNCTION("GOOGLETRANSLATE(A40196,""en"",""pt"")"),"Baixo custo, design compacto")</f>
        <v>Baixo custo, design compacto</v>
      </c>
      <c r="B40196" s="3">
        <v>1</v>
      </c>
    </row>
    <row r="40197" ht="15.75" customHeight="1" spans="1:2">
      <c r="A40197" s="3" t="str">
        <f>IFERROR(__xludf.DUMMYFUNCTION("GOOGLETRANSLATE(A40197,""en"",""pt"")"),"Muito pequeno e boa qualidade de impressão")</f>
        <v>Muito pequeno e boa qualidade de impressão</v>
      </c>
      <c r="B40197" s="3">
        <v>1</v>
      </c>
    </row>
    <row r="40198" ht="15.75" customHeight="1" spans="1:2">
      <c r="A40198" s="3" t="str">
        <f>IFERROR(__xludf.DUMMYFUNCTION("GOOGLETRANSLATE(A40198,""en"",""pt"")"),"Barato (se você não pode permitir que qualquer outra coisa)")</f>
        <v>Barato (se você não pode permitir que qualquer outra coisa)</v>
      </c>
      <c r="B40198" s="3">
        <v>1</v>
      </c>
    </row>
    <row r="40199" ht="15.75" customHeight="1" spans="1:2">
      <c r="A40199" s="3" t="str">
        <f>IFERROR(__xludf.DUMMYFUNCTION("GOOGLETRANSLATE(A40199,""en"",""pt"")"),"É barato")</f>
        <v>É barato</v>
      </c>
      <c r="B40199" s="3">
        <v>1</v>
      </c>
    </row>
    <row r="40200" ht="15.75" customHeight="1" spans="1:2">
      <c r="A40200" s="3" t="str">
        <f>IFERROR(__xludf.DUMMYFUNCTION("GOOGLETRANSLATE(A40200,""en"",""pt"")"),"Acessibilidade, fácil de instalar e usar, sem problemas até agora")</f>
        <v>Acessibilidade, fácil de instalar e usar, sem problemas até agora</v>
      </c>
      <c r="B40200" s="3">
        <v>1</v>
      </c>
    </row>
    <row r="40201" ht="15.75" customHeight="1" spans="1:2">
      <c r="A40201" s="3" t="str">
        <f>IFERROR(__xludf.DUMMYFUNCTION("GOOGLETRANSLATE(A40201,""en"",""pt"")"),"Cor, velocidade, custo e espaço na mesa.")</f>
        <v>Cor, velocidade, custo e espaço na mesa.</v>
      </c>
      <c r="B40201" s="3">
        <v>1</v>
      </c>
    </row>
    <row r="40202" ht="15.75" customHeight="1" spans="1:2">
      <c r="A40202" s="3" t="str">
        <f>IFERROR(__xludf.DUMMYFUNCTION("GOOGLETRANSLATE(A40202,""en"",""pt"")"),"Barato, tinta barata")</f>
        <v>Barato, tinta barata</v>
      </c>
      <c r="B40202" s="3">
        <v>1</v>
      </c>
    </row>
    <row r="40203" ht="15.75" customHeight="1" spans="1:2">
      <c r="A40203" s="3" t="str">
        <f>IFERROR(__xludf.DUMMYFUNCTION("GOOGLETRANSLATE(A40203,""en"",""pt"")"),"cabeças de impressão substituível, alternativas de tinta de baixo custo, baixo custo de partida")</f>
        <v>cabeças de impressão substituível, alternativas de tinta de baixo custo, baixo custo de partida</v>
      </c>
      <c r="B40203" s="3">
        <v>1</v>
      </c>
    </row>
    <row r="40204" ht="15.75" customHeight="1" spans="1:2">
      <c r="A40204" s="3" t="str">
        <f>IFERROR(__xludf.DUMMYFUNCTION("GOOGLETRANSLATE(A40204,""en"",""pt"")"),"grande qualidade de impressão")</f>
        <v>grande qualidade de impressão</v>
      </c>
      <c r="B40204" s="3">
        <v>1</v>
      </c>
    </row>
    <row r="40205" ht="15.75" customHeight="1" spans="1:2">
      <c r="A40205" s="3" t="str">
        <f>IFERROR(__xludf.DUMMYFUNCTION("GOOGLETRANSLATE(A40205,""en"",""pt"")"),"cartucho de impressora dupla, pode usar um cartucho fotográfico.")</f>
        <v>cartucho de impressora dupla, pode usar um cartucho fotográfico.</v>
      </c>
      <c r="B40205" s="3">
        <v>1</v>
      </c>
    </row>
    <row r="40206" ht="15.75" customHeight="1" spans="1:2">
      <c r="A40206" s="3" t="str">
        <f>IFERROR(__xludf.DUMMYFUNCTION("GOOGLETRANSLATE(A40206,""en"",""pt"")"),"qualidade compacta e agradável para o preço")</f>
        <v>qualidade compacta e agradável para o preço</v>
      </c>
      <c r="B40206" s="3">
        <v>1</v>
      </c>
    </row>
    <row r="40207" ht="15.75" customHeight="1" spans="1:2">
      <c r="A40207" s="3" t="str">
        <f>IFERROR(__xludf.DUMMYFUNCTION("GOOGLETRANSLATE(A40207,""en"",""pt"")"),"Preço. Rebate = $ 30")</f>
        <v>Preço. Rebate = $ 30</v>
      </c>
      <c r="B40207" s="3">
        <v>1</v>
      </c>
    </row>
    <row r="40208" ht="15.75" customHeight="1" spans="1:2">
      <c r="A40208" s="3" t="str">
        <f>IFERROR(__xludf.DUMMYFUNCTION("GOOGLETRANSLATE(A40208,""en"",""pt"")"),"impressora barata boa")</f>
        <v>impressora barata boa</v>
      </c>
      <c r="B40208" s="3">
        <v>1</v>
      </c>
    </row>
    <row r="40209" ht="15.75" customHeight="1" spans="1:2">
      <c r="A40209" s="3" t="str">
        <f>IFERROR(__xludf.DUMMYFUNCTION("GOOGLETRANSLATE(A40209,""en"",""pt"")"),"Custo efetivo, de boa qualidade")</f>
        <v>Custo efetivo, de boa qualidade</v>
      </c>
      <c r="B40209" s="3">
        <v>1</v>
      </c>
    </row>
    <row r="40210" ht="15.75" customHeight="1" spans="1:2">
      <c r="A40210" s="3" t="str">
        <f>IFERROR(__xludf.DUMMYFUNCTION("GOOGLETRANSLATE(A40210,""en"",""pt"")"),"Impressão rápida e tranquila")</f>
        <v>Impressão rápida e tranquila</v>
      </c>
      <c r="B40210" s="3">
        <v>1</v>
      </c>
    </row>
    <row r="40211" ht="15.75" customHeight="1" spans="1:2">
      <c r="A40211" s="3" t="str">
        <f>IFERROR(__xludf.DUMMYFUNCTION("GOOGLETRANSLATE(A40211,""en"",""pt"")"),"Boa qualidade de impressão")</f>
        <v>Boa qualidade de impressão</v>
      </c>
      <c r="B40211" s="3">
        <v>1</v>
      </c>
    </row>
    <row r="40212" ht="15.75" customHeight="1" spans="1:2">
      <c r="A40212" s="3" t="str">
        <f>IFERROR(__xludf.DUMMYFUNCTION("GOOGLETRANSLATE(A40212,""en"",""pt"")"),"cartucho de digitalização, tinta de cor dura um longo tempo")</f>
        <v>cartucho de digitalização, tinta de cor dura um longo tempo</v>
      </c>
      <c r="B40212" s="3">
        <v>1</v>
      </c>
    </row>
    <row r="40213" ht="15.75" customHeight="1" spans="1:2">
      <c r="A40213" s="3" t="str">
        <f>IFERROR(__xludf.DUMMYFUNCTION("GOOGLETRANSLATE(A40213,""en"",""pt"")"),"Econômico, Does the Job")</f>
        <v>Econômico, Does the Job</v>
      </c>
      <c r="B40213" s="3">
        <v>1</v>
      </c>
    </row>
    <row r="40214" ht="15.75" customHeight="1" spans="1:2">
      <c r="A40214" s="3" t="str">
        <f>IFERROR(__xludf.DUMMYFUNCTION("GOOGLETRANSLATE(A40214,""en"",""pt"")"),"Pequeno deskspace .... ótimo preço")</f>
        <v>Pequeno deskspace .... ótimo preço</v>
      </c>
      <c r="B40214" s="3">
        <v>1</v>
      </c>
    </row>
    <row r="40215" ht="15.75" customHeight="1" spans="1:2">
      <c r="A40215" s="3" t="str">
        <f>IFERROR(__xludf.DUMMYFUNCTION("GOOGLETRANSLATE(A40215,""en"",""pt"")"),", Grande impressão, conversão scanner compacto")</f>
        <v>, Grande impressão, conversão scanner compacto</v>
      </c>
      <c r="B40215" s="3">
        <v>1</v>
      </c>
    </row>
    <row r="40216" ht="15.75" customHeight="1" spans="1:2">
      <c r="A40216" s="3" t="str">
        <f>IFERROR(__xludf.DUMMYFUNCTION("GOOGLETRANSLATE(A40216,""en"",""pt"")"),"barato, confiável, fácil de encontrar e cartuchos baratos, tinta seca rápido")</f>
        <v>barato, confiável, fácil de encontrar e cartuchos baratos, tinta seca rápido</v>
      </c>
      <c r="B40216" s="3">
        <v>1</v>
      </c>
    </row>
    <row r="40217" ht="15.75" customHeight="1" spans="1:2">
      <c r="A40217" s="3" t="str">
        <f>IFERROR(__xludf.DUMMYFUNCTION("GOOGLETRANSLATE(A40217,""en"",""pt"")"),"velocidade de impressão rápida, de boa qualidade, durável")</f>
        <v>velocidade de impressão rápida, de boa qualidade, durável</v>
      </c>
      <c r="B40217" s="3">
        <v>1</v>
      </c>
    </row>
    <row r="40218" ht="15.75" customHeight="1" spans="1:2">
      <c r="A40218" s="3" t="str">
        <f>IFERROR(__xludf.DUMMYFUNCTION("GOOGLETRANSLATE(A40218,""en"",""pt"")"),"Barato")</f>
        <v>Barato</v>
      </c>
      <c r="B40218" s="3">
        <v>1</v>
      </c>
    </row>
    <row r="40219" ht="15.75" customHeight="1" spans="1:2">
      <c r="A40219" s="3" t="str">
        <f>IFERROR(__xludf.DUMMYFUNCTION("GOOGLETRANSLATE(A40219,""en"",""pt"")"),"é leve, pequeno e justo boa qualidade de impressão")</f>
        <v>é leve, pequeno e justo boa qualidade de impressão</v>
      </c>
      <c r="B40219" s="3">
        <v>1</v>
      </c>
    </row>
    <row r="40220" ht="15.75" customHeight="1" spans="1:2">
      <c r="A40220" s="3" t="str">
        <f>IFERROR(__xludf.DUMMYFUNCTION("GOOGLETRANSLATE(A40220,""en"",""pt"")"),"Um valor bom")</f>
        <v>Um valor bom</v>
      </c>
      <c r="B40220" s="3">
        <v>1</v>
      </c>
    </row>
    <row r="40221" ht="15.75" customHeight="1" spans="1:2">
      <c r="A40221" s="3" t="str">
        <f>IFERROR(__xludf.DUMMYFUNCTION("GOOGLETRANSLATE(A40221,""en"",""pt"")"),"Bom preço, qualidade de impressão justo, compacto")</f>
        <v>Bom preço, qualidade de impressão justo, compacto</v>
      </c>
      <c r="B40221" s="3">
        <v>1</v>
      </c>
    </row>
    <row r="40222" ht="15.75" customHeight="1" spans="1:2">
      <c r="A40222" s="3" t="str">
        <f>IFERROR(__xludf.DUMMYFUNCTION("GOOGLETRANSLATE(A40222,""en"",""pt"")"),"Excelente para as crianças Schoolwork")</f>
        <v>Excelente para as crianças Schoolwork</v>
      </c>
      <c r="B40222" s="3">
        <v>1</v>
      </c>
    </row>
    <row r="40223" ht="15.75" customHeight="1" spans="1:2">
      <c r="A40223" s="3" t="str">
        <f>IFERROR(__xludf.DUMMYFUNCTION("GOOGLETRANSLATE(A40223,""en"",""pt"")"),"rápido, barato, pequeno")</f>
        <v>rápido, barato, pequeno</v>
      </c>
      <c r="B40223" s="3">
        <v>1</v>
      </c>
    </row>
    <row r="40224" ht="15.75" customHeight="1" spans="1:2">
      <c r="A40224" s="3" t="str">
        <f>IFERROR(__xludf.DUMMYFUNCTION("GOOGLETRANSLATE(A40224,""en"",""pt"")"),"É pequeno e barato")</f>
        <v>É pequeno e barato</v>
      </c>
      <c r="B40224" s="3">
        <v>1</v>
      </c>
    </row>
    <row r="40225" ht="15.75" customHeight="1" spans="1:2">
      <c r="A40225" s="3" t="str">
        <f>IFERROR(__xludf.DUMMYFUNCTION("GOOGLETRANSLATE(A40225,""en"",""pt"")"),"supostamente uma muito boa impressora")</f>
        <v>supostamente uma muito boa impressora</v>
      </c>
      <c r="B40225" s="3">
        <v>1</v>
      </c>
    </row>
    <row r="40226" ht="15.75" customHeight="1" spans="1:2">
      <c r="A40226" s="3" t="str">
        <f>IFERROR(__xludf.DUMMYFUNCTION("GOOGLETRANSLATE(A40226,""en"",""pt"")"),"grande versatilidade")</f>
        <v>grande versatilidade</v>
      </c>
      <c r="B40226" s="3">
        <v>1</v>
      </c>
    </row>
    <row r="40227" ht="15.75" customHeight="1" spans="1:2">
      <c r="A40227" s="3" t="str">
        <f>IFERROR(__xludf.DUMMYFUNCTION("GOOGLETRANSLATE(A40227,""en"",""pt"")"),"Confiável, compacto, barato")</f>
        <v>Confiável, compacto, barato</v>
      </c>
      <c r="B40227" s="3">
        <v>1</v>
      </c>
    </row>
    <row r="40228" ht="15.75" customHeight="1" spans="1:2">
      <c r="A40228" s="3" t="str">
        <f>IFERROR(__xludf.DUMMYFUNCTION("GOOGLETRANSLATE(A40228,""en"",""pt"")"),"Nenhum")</f>
        <v>Nenhum</v>
      </c>
      <c r="B40228" s="3">
        <v>1</v>
      </c>
    </row>
    <row r="40229" ht="15.75" customHeight="1" spans="1:2">
      <c r="A40229" s="3" t="str">
        <f>IFERROR(__xludf.DUMMYFUNCTION("GOOGLETRANSLATE(A40229,""en"",""pt"")"),"ele funciona, é barato, é pequeno, a tinta é barato")</f>
        <v>ele funciona, é barato, é pequeno, a tinta é barato</v>
      </c>
      <c r="B40229" s="3">
        <v>1</v>
      </c>
    </row>
    <row r="40230" ht="15.75" customHeight="1" spans="1:2">
      <c r="A40230" s="3" t="str">
        <f>IFERROR(__xludf.DUMMYFUNCTION("GOOGLETRANSLATE(A40230,""en"",""pt"")"),"Fácil de usar, confiável")</f>
        <v>Fácil de usar, confiável</v>
      </c>
      <c r="B40230" s="3">
        <v>1</v>
      </c>
    </row>
    <row r="40231" ht="15.75" customHeight="1" spans="1:2">
      <c r="A40231" s="3" t="str">
        <f>IFERROR(__xludf.DUMMYFUNCTION("GOOGLETRANSLATE(A40231,""en"",""pt"")"),"Boa qualidade pelo preço")</f>
        <v>Boa qualidade pelo preço</v>
      </c>
      <c r="B40231" s="3">
        <v>1</v>
      </c>
    </row>
    <row r="40232" ht="15.75" customHeight="1" spans="1:2">
      <c r="A40232" s="3" t="str">
        <f>IFERROR(__xludf.DUMMYFUNCTION("GOOGLETRANSLATE(A40232,""en"",""pt"")"),"Fácil de usar e instalar, de boa qualidade.")</f>
        <v>Fácil de usar e instalar, de boa qualidade.</v>
      </c>
      <c r="B40232" s="3">
        <v>1</v>
      </c>
    </row>
    <row r="40233" ht="15.75" customHeight="1" spans="1:2">
      <c r="A40233" s="3" t="str">
        <f>IFERROR(__xludf.DUMMYFUNCTION("GOOGLETRANSLATE(A40233,""en"",""pt"")"),"confiabilidade absoluta. Virtualmente &amp; lt; i &amp; gt; Nunca &amp; lt; / i &amp; gt; compotas, mesmo quando sucatas alimentado. Disponibilidade de cartuchos de tinta barata incrivelmente!")</f>
        <v>confiabilidade absoluta. Virtualmente &amp; lt; i &amp; gt; Nunca &amp; lt; / i &amp; gt; compotas, mesmo quando sucatas alimentado. Disponibilidade de cartuchos de tinta barata incrivelmente!</v>
      </c>
      <c r="B40233" s="3">
        <v>1</v>
      </c>
    </row>
    <row r="40234" ht="15.75" customHeight="1" spans="1:2">
      <c r="A40234" s="3" t="str">
        <f>IFERROR(__xludf.DUMMYFUNCTION("GOOGLETRANSLATE(A40234,""en"",""pt"")"),"Acessível")</f>
        <v>Acessível</v>
      </c>
      <c r="B40234" s="3">
        <v>1</v>
      </c>
    </row>
    <row r="40235" ht="15.75" customHeight="1" spans="1:2">
      <c r="A40235" s="3" t="str">
        <f>IFERROR(__xludf.DUMMYFUNCTION("GOOGLETRANSLATE(A40235,""en"",""pt"")"),"Não muito.")</f>
        <v>Não muito.</v>
      </c>
      <c r="B40235" s="3">
        <v>1</v>
      </c>
    </row>
    <row r="40236" ht="15.75" customHeight="1" spans="1:2">
      <c r="A40236" s="3" t="str">
        <f>IFERROR(__xludf.DUMMYFUNCTION("GOOGLETRANSLATE(A40236,""en"",""pt"")"),"boa qualidade de imagem, baixo preço")</f>
        <v>boa qualidade de imagem, baixo preço</v>
      </c>
      <c r="B40236" s="3">
        <v>1</v>
      </c>
    </row>
    <row r="40237" ht="15.75" customHeight="1" spans="1:2">
      <c r="A40237" s="3" t="str">
        <f>IFERROR(__xludf.DUMMYFUNCTION("GOOGLETRANSLATE(A40237,""en"",""pt"")"),"Ele veio livre com o nosso computador")</f>
        <v>Ele veio livre com o nosso computador</v>
      </c>
      <c r="B40237" s="3">
        <v>1</v>
      </c>
    </row>
    <row r="40238" ht="15.75" customHeight="1" spans="1:2">
      <c r="A40238" s="3" t="str">
        <f>IFERROR(__xludf.DUMMYFUNCTION("GOOGLETRANSLATE(A40238,""en"",""pt"")"),"Barato, pequeno, fácil de usar")</f>
        <v>Barato, pequeno, fácil de usar</v>
      </c>
      <c r="B40238" s="3">
        <v>1</v>
      </c>
    </row>
    <row r="40239" ht="15.75" customHeight="1" spans="1:2">
      <c r="A40239" s="3" t="str">
        <f>IFERROR(__xludf.DUMMYFUNCTION("GOOGLETRANSLATE(A40239,""en"",""pt"")"),"Pequeno, imprime cores claras e bonitas.")</f>
        <v>Pequeno, imprime cores claras e bonitas.</v>
      </c>
      <c r="B40239" s="3">
        <v>1</v>
      </c>
    </row>
    <row r="40240" ht="15.75" customHeight="1" spans="1:2">
      <c r="A40240" s="3" t="str">
        <f>IFERROR(__xludf.DUMMYFUNCTION("GOOGLETRANSLATE(A40240,""en"",""pt"")"),"Ink última bastante longo")</f>
        <v>Ink última bastante longo</v>
      </c>
      <c r="B40240" s="3">
        <v>1</v>
      </c>
    </row>
    <row r="40241" ht="15.75" customHeight="1" spans="1:2">
      <c r="A40241" s="3" t="str">
        <f>IFERROR(__xludf.DUMMYFUNCTION("GOOGLETRANSLATE(A40241,""en"",""pt"")"),"Para o seu preço imprime bem")</f>
        <v>Para o seu preço imprime bem</v>
      </c>
      <c r="B40241" s="3">
        <v>1</v>
      </c>
    </row>
    <row r="40242" ht="15.75" customHeight="1" spans="1:2">
      <c r="A40242" s="3" t="str">
        <f>IFERROR(__xludf.DUMMYFUNCTION("GOOGLETRANSLATE(A40242,""en"",""pt"")"),"Preço barato, baratos de tinta preta Recargas")</f>
        <v>Preço barato, baratos de tinta preta Recargas</v>
      </c>
      <c r="B40242" s="3">
        <v>1</v>
      </c>
    </row>
    <row r="40243" ht="15.75" customHeight="1" spans="1:2">
      <c r="A40243" s="3" t="str">
        <f>IFERROR(__xludf.DUMMYFUNCTION("GOOGLETRANSLATE(A40243,""en"",""pt"")"),"Barato, fácil de usar")</f>
        <v>Barato, fácil de usar</v>
      </c>
      <c r="B40243" s="3">
        <v>1</v>
      </c>
    </row>
    <row r="40244" ht="15.75" customHeight="1" spans="1:2">
      <c r="A40244" s="3" t="str">
        <f>IFERROR(__xludf.DUMMYFUNCTION("GOOGLETRANSLATE(A40244,""en"",""pt"")"),"leve, não ocupa muito espaço, barato")</f>
        <v>leve, não ocupa muito espaço, barato</v>
      </c>
      <c r="B40244" s="3">
        <v>1</v>
      </c>
    </row>
    <row r="40245" ht="15.75" customHeight="1" spans="1:2">
      <c r="A40245" s="3" t="str">
        <f>IFERROR(__xludf.DUMMYFUNCTION("GOOGLETRANSLATE(A40245,""en"",""pt"")"),"Ainda olhando para alguns.")</f>
        <v>Ainda olhando para alguns.</v>
      </c>
      <c r="B40245" s="3">
        <v>1</v>
      </c>
    </row>
    <row r="40246" ht="15.75" customHeight="1" spans="1:2">
      <c r="A40246" s="3" t="str">
        <f>IFERROR(__xludf.DUMMYFUNCTION("GOOGLETRANSLATE(A40246,""en"",""pt"")"),"5 páginas por minuto em preto amp &amp;; # 13; &amp; amp; # 10; e 2 na cor")</f>
        <v>5 páginas por minuto em preto amp &amp;; # 13; &amp; amp; # 10; e 2 na cor</v>
      </c>
      <c r="B40246" s="3">
        <v>1</v>
      </c>
    </row>
    <row r="40247" ht="15.75" customHeight="1" spans="1:2">
      <c r="A40247" s="3" t="str">
        <f>IFERROR(__xludf.DUMMYFUNCTION("GOOGLETRANSLATE(A40247,""en"",""pt"")"),"Boa qualidade de impressão, tamanho barato, pequeno, tinta muito acessível.")</f>
        <v>Boa qualidade de impressão, tamanho barato, pequeno, tinta muito acessível.</v>
      </c>
      <c r="B40247" s="3">
        <v>1</v>
      </c>
    </row>
    <row r="40248" ht="15.75" customHeight="1" spans="1:2">
      <c r="A40248" s="3" t="str">
        <f>IFERROR(__xludf.DUMMYFUNCTION("GOOGLETRANSLATE(A40248,""en"",""pt"")"),"ótima resolução, tintas mais baratas, preço barato")</f>
        <v>ótima resolução, tintas mais baratas, preço barato</v>
      </c>
      <c r="B40248" s="3">
        <v>1</v>
      </c>
    </row>
    <row r="40249" ht="15.75" customHeight="1" spans="1:2">
      <c r="A40249" s="3" t="str">
        <f>IFERROR(__xludf.DUMMYFUNCTION("GOOGLETRANSLATE(A40249,""en"",""pt"")"),"Barata, tinta é barato, de boa qualidade")</f>
        <v>Barata, tinta é barato, de boa qualidade</v>
      </c>
      <c r="B40249" s="3">
        <v>1</v>
      </c>
    </row>
    <row r="40250" ht="15.75" customHeight="1" spans="1:2">
      <c r="A40250" s="3" t="str">
        <f>IFERROR(__xludf.DUMMYFUNCTION("GOOGLETRANSLATE(A40250,""en"",""pt"")"),"Barato para comprar e usar, a impressão de boa qualidade para casa.")</f>
        <v>Barato para comprar e usar, a impressão de boa qualidade para casa.</v>
      </c>
      <c r="B40250" s="3">
        <v>1</v>
      </c>
    </row>
    <row r="40251" ht="15.75" customHeight="1" spans="1:2">
      <c r="A40251" s="3" t="str">
        <f>IFERROR(__xludf.DUMMYFUNCTION("GOOGLETRANSLATE(A40251,""en"",""pt"")"),"compacto, tinta barato, se transforma em um digitalizador")</f>
        <v>compacto, tinta barato, se transforma em um digitalizador</v>
      </c>
      <c r="B40251" s="3">
        <v>1</v>
      </c>
    </row>
    <row r="40252" ht="15.75" customHeight="1" spans="1:2">
      <c r="A40252" s="3" t="str">
        <f>IFERROR(__xludf.DUMMYFUNCTION("GOOGLETRANSLATE(A40252,""en"",""pt"")"),"Muito barato - fácil de usar")</f>
        <v>Muito barato - fácil de usar</v>
      </c>
      <c r="B40252" s="3">
        <v>1</v>
      </c>
    </row>
    <row r="40253" ht="15.75" customHeight="1" spans="1:2">
      <c r="A40253" s="3" t="str">
        <f>IFERROR(__xludf.DUMMYFUNCTION("GOOGLETRANSLATE(A40253,""en"",""pt"")"),"Difícil de bater para o dinheiro.")</f>
        <v>Difícil de bater para o dinheiro.</v>
      </c>
      <c r="B40253" s="3">
        <v>1</v>
      </c>
    </row>
    <row r="40254" ht="15.75" customHeight="1" spans="1:2">
      <c r="A40254" s="3" t="str">
        <f>IFERROR(__xludf.DUMMYFUNCTION("GOOGLETRANSLATE(A40254,""en"",""pt"")"),"Facilidade de uso, instalação, tamanho, preço.")</f>
        <v>Facilidade de uso, instalação, tamanho, preço.</v>
      </c>
      <c r="B40254" s="3">
        <v>1</v>
      </c>
    </row>
    <row r="40255" ht="15.75" customHeight="1" spans="1:2">
      <c r="A40255" s="3" t="str">
        <f>IFERROR(__xludf.DUMMYFUNCTION("GOOGLETRANSLATE(A40255,""en"",""pt"")"),"Barato, silencioso, pequeno")</f>
        <v>Barato, silencioso, pequeno</v>
      </c>
      <c r="B40255" s="3">
        <v>1</v>
      </c>
    </row>
    <row r="40256" ht="15.75" customHeight="1" spans="1:2">
      <c r="A40256" s="3" t="str">
        <f>IFERROR(__xludf.DUMMYFUNCTION("GOOGLETRANSLATE(A40256,""en"",""pt"")"),"Calmo, barato, pequeno, fácil de encontrar tinta.")</f>
        <v>Calmo, barato, pequeno, fácil de encontrar tinta.</v>
      </c>
      <c r="B40256" s="3">
        <v>1</v>
      </c>
    </row>
    <row r="40257" ht="15.75" customHeight="1" spans="1:2">
      <c r="A40257" s="3" t="str">
        <f>IFERROR(__xludf.DUMMYFUNCTION("GOOGLETRANSLATE(A40257,""en"",""pt"")"),"baixo preço, a qualidade de impressão de texto")</f>
        <v>baixo preço, a qualidade de impressão de texto</v>
      </c>
      <c r="B40257" s="3">
        <v>1</v>
      </c>
    </row>
    <row r="40258" ht="15.75" customHeight="1" spans="1:2">
      <c r="A40258" s="3" t="str">
        <f>IFERROR(__xludf.DUMMYFUNCTION("GOOGLETRANSLATE(A40258,""en"",""pt"")"),"Barato")</f>
        <v>Barato</v>
      </c>
      <c r="B40258" s="3">
        <v>1</v>
      </c>
    </row>
    <row r="40259" ht="15.75" customHeight="1" spans="1:2">
      <c r="A40259" s="3" t="str">
        <f>IFERROR(__xludf.DUMMYFUNCTION("GOOGLETRANSLATE(A40259,""en"",""pt"")"),"Fácil de usar, de grande qualidade")</f>
        <v>Fácil de usar, de grande qualidade</v>
      </c>
      <c r="B40259" s="3">
        <v>1</v>
      </c>
    </row>
    <row r="40260" ht="15.75" customHeight="1" spans="1:2">
      <c r="A40260" s="3" t="str">
        <f>IFERROR(__xludf.DUMMYFUNCTION("GOOGLETRANSLATE(A40260,""en"",""pt"")"),"preço")</f>
        <v>preço</v>
      </c>
      <c r="B40260" s="3">
        <v>1</v>
      </c>
    </row>
    <row r="40261" ht="15.75" customHeight="1" spans="1:2">
      <c r="A40261" s="3" t="str">
        <f>IFERROR(__xludf.DUMMYFUNCTION("GOOGLETRANSLATE(A40261,""en"",""pt"")"),"Pequeno e fácil de usar")</f>
        <v>Pequeno e fácil de usar</v>
      </c>
      <c r="B40261" s="3">
        <v>1</v>
      </c>
    </row>
    <row r="40262" ht="15.75" customHeight="1" spans="1:2">
      <c r="A40262" s="3" t="str">
        <f>IFERROR(__xludf.DUMMYFUNCTION("GOOGLETRANSLATE(A40262,""en"",""pt"")"),"barato")</f>
        <v>barato</v>
      </c>
      <c r="B40262" s="3">
        <v>1</v>
      </c>
    </row>
    <row r="40263" ht="15.75" customHeight="1" spans="1:2">
      <c r="A40263" s="3" t="str">
        <f>IFERROR(__xludf.DUMMYFUNCTION("GOOGLETRANSLATE(A40263,""en"",""pt"")"),"Para o seu preço imprime bem")</f>
        <v>Para o seu preço imprime bem</v>
      </c>
      <c r="B40263" s="3">
        <v>1</v>
      </c>
    </row>
    <row r="40264" ht="15.75" customHeight="1" spans="1:2">
      <c r="A40264" s="3" t="str">
        <f>IFERROR(__xludf.DUMMYFUNCTION("GOOGLETRANSLATE(A40264,""en"",""pt"")"),"fiável e muito fácil de usar")</f>
        <v>fiável e muito fácil de usar</v>
      </c>
      <c r="B40264" s="3">
        <v>1</v>
      </c>
    </row>
    <row r="40265" ht="15.75" customHeight="1" spans="1:2">
      <c r="A40265" s="3" t="str">
        <f>IFERROR(__xludf.DUMMYFUNCTION("GOOGLETRANSLATE(A40265,""en"",""pt"")"),"utilização fácil, tranquila")</f>
        <v>utilização fácil, tranquila</v>
      </c>
      <c r="B40265" s="3">
        <v>1</v>
      </c>
    </row>
    <row r="40266" ht="15.75" customHeight="1" spans="1:2">
      <c r="A40266" s="3" t="str">
        <f>IFERROR(__xludf.DUMMYFUNCTION("GOOGLETRANSLATE(A40266,""en"",""pt"")"),"Grande para o uso de papel todos os dias, a preços acessíveis")</f>
        <v>Grande para o uso de papel todos os dias, a preços acessíveis</v>
      </c>
      <c r="B40266" s="3">
        <v>1</v>
      </c>
    </row>
    <row r="40267" ht="15.75" customHeight="1" spans="1:2">
      <c r="A40267" s="3" t="str">
        <f>IFERROR(__xludf.DUMMYFUNCTION("GOOGLETRANSLATE(A40267,""en"",""pt"")"),"impressão Boa localização, peso leve, muito durável!")</f>
        <v>impressão Boa localização, peso leve, muito durável!</v>
      </c>
      <c r="B40267" s="3">
        <v>1</v>
      </c>
    </row>
    <row r="40268" ht="15.75" customHeight="1" spans="1:2">
      <c r="A40268" s="3" t="str">
        <f>IFERROR(__xludf.DUMMYFUNCTION("GOOGLETRANSLATE(A40268,""en"",""pt"")"),"Barato, durável configuração, fácil")</f>
        <v>Barato, durável configuração, fácil</v>
      </c>
      <c r="B40268" s="3">
        <v>1</v>
      </c>
    </row>
    <row r="40269" ht="15.75" customHeight="1" spans="1:2">
      <c r="A40269" s="3" t="str">
        <f>IFERROR(__xludf.DUMMYFUNCTION("GOOGLETRANSLATE(A40269,""en"",""pt"")"),"fácil de usar")</f>
        <v>fácil de usar</v>
      </c>
      <c r="B40269" s="3">
        <v>1</v>
      </c>
    </row>
    <row r="40270" ht="15.75" customHeight="1" spans="1:2">
      <c r="A40270" s="3" t="str">
        <f>IFERROR(__xludf.DUMMYFUNCTION("GOOGLETRANSLATE(A40270,""en"",""pt"")"),"preço")</f>
        <v>preço</v>
      </c>
      <c r="B40270" s="3">
        <v>1</v>
      </c>
    </row>
    <row r="40271" ht="15.75" customHeight="1" spans="1:2">
      <c r="A40271" s="3" t="str">
        <f>IFERROR(__xludf.DUMMYFUNCTION("GOOGLETRANSLATE(A40271,""en"",""pt"")"),"Nítida e clara gráficos e texto; Barato")</f>
        <v>Nítida e clara gráficos e texto; Barato</v>
      </c>
      <c r="B40271" s="3">
        <v>1</v>
      </c>
    </row>
    <row r="40272" ht="15.75" customHeight="1" spans="1:2">
      <c r="A40272" s="3" t="str">
        <f>IFERROR(__xludf.DUMMYFUNCTION("GOOGLETRANSLATE(A40272,""en"",""pt"")"),"Grande preço, pode dobrar de Scanner, boa resolução, bom pacote de software")</f>
        <v>Grande preço, pode dobrar de Scanner, boa resolução, bom pacote de software</v>
      </c>
      <c r="B40272" s="3">
        <v>1</v>
      </c>
    </row>
    <row r="40273" ht="15.75" customHeight="1" spans="1:2">
      <c r="A40273" s="3" t="str">
        <f>IFERROR(__xludf.DUMMYFUNCTION("GOOGLETRANSLATE(A40273,""en"",""pt"")"),"muito barato")</f>
        <v>muito barato</v>
      </c>
      <c r="B40273" s="3">
        <v>1</v>
      </c>
    </row>
    <row r="40274" ht="15.75" customHeight="1" spans="1:2">
      <c r="A40274" s="3" t="str">
        <f>IFERROR(__xludf.DUMMYFUNCTION("GOOGLETRANSLATE(A40274,""en"",""pt"")"),"Barato, bom para ensaios / relatórios")</f>
        <v>Barato, bom para ensaios / relatórios</v>
      </c>
      <c r="B40274" s="3">
        <v>1</v>
      </c>
    </row>
    <row r="40275" ht="15.75" customHeight="1" spans="1:2">
      <c r="A40275" s="3" t="str">
        <f>IFERROR(__xludf.DUMMYFUNCTION("GOOGLETRANSLATE(A40275,""en"",""pt"")"),"Acima de impressora média; ótimo preço!")</f>
        <v>Acima de impressora média; ótimo preço!</v>
      </c>
      <c r="B40275" s="3">
        <v>1</v>
      </c>
    </row>
    <row r="40276" ht="15.75" customHeight="1" spans="1:2">
      <c r="A40276" s="3" t="str">
        <f>IFERROR(__xludf.DUMMYFUNCTION("GOOGLETRANSLATE(A40276,""en"",""pt"")"),"Barato, pequeno")</f>
        <v>Barato, pequeno</v>
      </c>
      <c r="B40276" s="3">
        <v>1</v>
      </c>
    </row>
    <row r="40277" ht="15.75" customHeight="1" spans="1:2">
      <c r="A40277" s="3" t="str">
        <f>IFERROR(__xludf.DUMMYFUNCTION("GOOGLETRANSLATE(A40277,""en"",""pt"")"),"Muito barato, pequeno footprint")</f>
        <v>Muito barato, pequeno footprint</v>
      </c>
      <c r="B40277" s="3">
        <v>1</v>
      </c>
    </row>
    <row r="40278" ht="15.75" customHeight="1" spans="1:2">
      <c r="A40278" s="3" t="str">
        <f>IFERROR(__xludf.DUMMYFUNCTION("GOOGLETRANSLATE(A40278,""en"",""pt"")"),"Funciona!")</f>
        <v>Funciona!</v>
      </c>
      <c r="B40278" s="3">
        <v>1</v>
      </c>
    </row>
    <row r="40279" ht="15.75" customHeight="1" spans="1:2">
      <c r="A40279" s="3" t="str">
        <f>IFERROR(__xludf.DUMMYFUNCTION("GOOGLETRANSLATE(A40279,""en"",""pt"")"),"Custo de baixa")</f>
        <v>Custo de baixa</v>
      </c>
      <c r="B40279" s="3">
        <v>1</v>
      </c>
    </row>
    <row r="40280" ht="15.75" customHeight="1" spans="1:2">
      <c r="A40280" s="3" t="str">
        <f>IFERROR(__xludf.DUMMYFUNCTION("GOOGLETRANSLATE(A40280,""en"",""pt"")"),"Barato")</f>
        <v>Barato</v>
      </c>
      <c r="B40280" s="3">
        <v>1</v>
      </c>
    </row>
    <row r="40281" ht="15.75" customHeight="1" spans="1:2">
      <c r="A40281" s="3" t="str">
        <f>IFERROR(__xludf.DUMMYFUNCTION("GOOGLETRANSLATE(A40281,""en"",""pt"")"),"confiável")</f>
        <v>confiável</v>
      </c>
      <c r="B40281" s="3">
        <v>1</v>
      </c>
    </row>
    <row r="40282" ht="15.75" customHeight="1" spans="1:2">
      <c r="A40282" s="3" t="str">
        <f>IFERROR(__xludf.DUMMYFUNCTION("GOOGLETRANSLATE(A40282,""en"",""pt"")"),"Barato")</f>
        <v>Barato</v>
      </c>
      <c r="B40282" s="3">
        <v>1</v>
      </c>
    </row>
    <row r="40283" ht="15.75" customHeight="1" spans="1:2">
      <c r="A40283" s="3" t="str">
        <f>IFERROR(__xludf.DUMMYFUNCTION("GOOGLETRANSLATE(A40283,""en"",""pt"")"),"pequeno, leve, compacto, boa qualidade de impressão")</f>
        <v>pequeno, leve, compacto, boa qualidade de impressão</v>
      </c>
      <c r="B40283" s="3">
        <v>1</v>
      </c>
    </row>
    <row r="40284" ht="15.75" customHeight="1" spans="1:2">
      <c r="A40284" s="3" t="str">
        <f>IFERROR(__xludf.DUMMYFUNCTION("GOOGLETRANSLATE(A40284,""en"",""pt"")"),"Barato, fácil de usar, muitas opções, suporta grande variedade de tamanhos de papel")</f>
        <v>Barato, fácil de usar, muitas opções, suporta grande variedade de tamanhos de papel</v>
      </c>
      <c r="B40284" s="3">
        <v>1</v>
      </c>
    </row>
    <row r="40285" ht="15.75" customHeight="1" spans="1:2">
      <c r="A40285" s="3" t="str">
        <f>IFERROR(__xludf.DUMMYFUNCTION("GOOGLETRANSLATE(A40285,""en"",""pt"")"),"Rápido, fácil de instalar e usar")</f>
        <v>Rápido, fácil de instalar e usar</v>
      </c>
      <c r="B40285" s="3">
        <v>1</v>
      </c>
    </row>
    <row r="40286" ht="15.75" customHeight="1" spans="1:2">
      <c r="A40286" s="3" t="str">
        <f>IFERROR(__xludf.DUMMYFUNCTION("GOOGLETRANSLATE(A40286,""en"",""pt"")"),"Grande impressão de boa qualidade, não ocupam muito espaço, dificilmente custa nada.")</f>
        <v>Grande impressão de boa qualidade, não ocupam muito espaço, dificilmente custa nada.</v>
      </c>
      <c r="B40286" s="3">
        <v>1</v>
      </c>
    </row>
    <row r="40287" ht="15.75" customHeight="1" spans="1:2">
      <c r="A40287" s="3" t="str">
        <f>IFERROR(__xludf.DUMMYFUNCTION("GOOGLETRANSLATE(A40287,""en"",""pt"")"),"Preço")</f>
        <v>Preço</v>
      </c>
      <c r="B40287" s="3">
        <v>1</v>
      </c>
    </row>
    <row r="40288" ht="15.75" customHeight="1" spans="1:2">
      <c r="A40288" s="3" t="str">
        <f>IFERROR(__xludf.DUMMYFUNCTION("GOOGLETRANSLATE(A40288,""en"",""pt"")"),"Barato, há atolamentos de papel, verdadeiro desempenho de cores, estampas uniformemente e rapidamente")</f>
        <v>Barato, há atolamentos de papel, verdadeiro desempenho de cores, estampas uniformemente e rapidamente</v>
      </c>
      <c r="B40288" s="3">
        <v>1</v>
      </c>
    </row>
    <row r="40289" ht="15.75" customHeight="1" spans="1:2">
      <c r="A40289" s="3" t="str">
        <f>IFERROR(__xludf.DUMMYFUNCTION("GOOGLETRANSLATE(A40289,""en"",""pt"")"),"barato, pequeno e arrumado, tranquila")</f>
        <v>barato, pequeno e arrumado, tranquila</v>
      </c>
      <c r="B40289" s="3">
        <v>1</v>
      </c>
    </row>
    <row r="40290" ht="15.75" customHeight="1" spans="1:2">
      <c r="A40290" s="3" t="str">
        <f>IFERROR(__xludf.DUMMYFUNCTION("GOOGLETRANSLATE(A40290,""en"",""pt"")"),"A sua pequena e confiável, que vai se encaixar em qualquer desktop.")</f>
        <v>A sua pequena e confiável, que vai se encaixar em qualquer desktop.</v>
      </c>
      <c r="B40290" s="3">
        <v>1</v>
      </c>
    </row>
    <row r="40291" ht="15.75" customHeight="1" spans="1:2">
      <c r="A40291" s="3" t="str">
        <f>IFERROR(__xludf.DUMMYFUNCTION("GOOGLETRANSLATE(A40291,""en"",""pt"")"),"impressão nítida. Muito acessível.")</f>
        <v>impressão nítida. Muito acessível.</v>
      </c>
      <c r="B40291" s="3">
        <v>1</v>
      </c>
    </row>
    <row r="40292" ht="15.75" customHeight="1" spans="1:2">
      <c r="A40292" s="3" t="str">
        <f>IFERROR(__xludf.DUMMYFUNCTION("GOOGLETRANSLATE(A40292,""en"",""pt"")"),"Fácil de usar, boa alimentação de papel.")</f>
        <v>Fácil de usar, boa alimentação de papel.</v>
      </c>
      <c r="B40292" s="3">
        <v>1</v>
      </c>
    </row>
    <row r="40293" ht="15.75" customHeight="1" spans="1:2">
      <c r="A40293" s="3" t="str">
        <f>IFERROR(__xludf.DUMMYFUNCTION("GOOGLETRANSLATE(A40293,""en"",""pt"")"),"Bom preço")</f>
        <v>Bom preço</v>
      </c>
      <c r="B40293" s="3">
        <v>1</v>
      </c>
    </row>
    <row r="40294" ht="15.75" customHeight="1" spans="1:2">
      <c r="A40294" s="3" t="str">
        <f>IFERROR(__xludf.DUMMYFUNCTION("GOOGLETRANSLATE(A40294,""en"",""pt"")"),"grande para o uso de texto simples, barato, durável")</f>
        <v>grande para o uso de texto simples, barato, durável</v>
      </c>
      <c r="B40294" s="3">
        <v>1</v>
      </c>
    </row>
    <row r="40295" ht="15.75" customHeight="1" spans="1:2">
      <c r="A40295" s="3" t="str">
        <f>IFERROR(__xludf.DUMMYFUNCTION("GOOGLETRANSLATE(A40295,""en"",""pt"")"),"Baixo custo, qualidade de impressão bem, pequena.")</f>
        <v>Baixo custo, qualidade de impressão bem, pequena.</v>
      </c>
      <c r="B40295" s="3">
        <v>1</v>
      </c>
    </row>
    <row r="40296" ht="15.75" customHeight="1" spans="1:2">
      <c r="A40296" s="3" t="str">
        <f>IFERROR(__xludf.DUMMYFUNCTION("GOOGLETRANSLATE(A40296,""en"",""pt"")"),"Barato !, rápido, fácil de encontrar cartuchos de tinta")</f>
        <v>Barato !, rápido, fácil de encontrar cartuchos de tinta</v>
      </c>
      <c r="B40296" s="3">
        <v>1</v>
      </c>
    </row>
    <row r="40297" ht="15.75" customHeight="1" spans="1:2">
      <c r="A40297" s="3" t="str">
        <f>IFERROR(__xludf.DUMMYFUNCTION("GOOGLETRANSLATE(A40297,""en"",""pt"")"),"A tinta é independente, tornando mais barato para substituir a tinta apenas preto. Versátil.")</f>
        <v>A tinta é independente, tornando mais barato para substituir a tinta apenas preto. Versátil.</v>
      </c>
      <c r="B40297" s="3">
        <v>1</v>
      </c>
    </row>
    <row r="40298" ht="15.75" customHeight="1" spans="1:2">
      <c r="A40298" s="3" t="str">
        <f>IFERROR(__xludf.DUMMYFUNCTION("GOOGLETRANSLATE(A40298,""en"",""pt"")"),"Tem uma forma agradável e se encaixa em quase qualquer lugar")</f>
        <v>Tem uma forma agradável e se encaixa em quase qualquer lugar</v>
      </c>
      <c r="B40298" s="3">
        <v>1</v>
      </c>
    </row>
    <row r="40299" ht="15.75" customHeight="1" spans="1:2">
      <c r="A40299" s="3" t="str">
        <f>IFERROR(__xludf.DUMMYFUNCTION("GOOGLETRANSLATE(A40299,""en"",""pt"")"),"Barato, boa qualidade geral para o dinheiro, pegada pequena, atraente, opção usb built-in")</f>
        <v>Barato, boa qualidade geral para o dinheiro, pegada pequena, atraente, opção usb built-in</v>
      </c>
      <c r="B40299" s="3">
        <v>1</v>
      </c>
    </row>
    <row r="40300" ht="15.75" customHeight="1" spans="1:2">
      <c r="A40300" s="3" t="str">
        <f>IFERROR(__xludf.DUMMYFUNCTION("GOOGLETRANSLATE(A40300,""en"",""pt"")"),"Menor, e ocupa menos espaço do que os modelos concorrentes.")</f>
        <v>Menor, e ocupa menos espaço do que os modelos concorrentes.</v>
      </c>
      <c r="B40300" s="3">
        <v>1</v>
      </c>
    </row>
    <row r="40301" ht="15.75" customHeight="1" spans="1:2">
      <c r="A40301" s="3" t="str">
        <f>IFERROR(__xludf.DUMMYFUNCTION("GOOGLETRANSLATE(A40301,""en"",""pt"")"),"Muito barato, transforma-se on / off,, Quieto, sistema de tinta pequena, cabo USB livre, marca.")</f>
        <v>Muito barato, transforma-se on / off,, Quieto, sistema de tinta pequena, cabo USB livre, marca.</v>
      </c>
      <c r="B40301" s="3">
        <v>1</v>
      </c>
    </row>
    <row r="40302" ht="15.75" customHeight="1" spans="1:2">
      <c r="A40302" s="3" t="str">
        <f>IFERROR(__xludf.DUMMYFUNCTION("GOOGLETRANSLATE(A40302,""en"",""pt"")"),"BARATO")</f>
        <v>BARATO</v>
      </c>
      <c r="B40302" s="3">
        <v>1</v>
      </c>
    </row>
    <row r="40303" ht="15.75" customHeight="1" spans="1:2">
      <c r="A40303" s="3" t="str">
        <f>IFERROR(__xludf.DUMMYFUNCTION("GOOGLETRANSLATE(A40303,""en"",""pt"")"),"pegada pequena, auto on / off")</f>
        <v>pegada pequena, auto on / off</v>
      </c>
      <c r="B40303" s="3">
        <v>1</v>
      </c>
    </row>
    <row r="40304" ht="15.75" customHeight="1" spans="1:2">
      <c r="A40304" s="3" t="str">
        <f>IFERROR(__xludf.DUMMYFUNCTION("GOOGLETRANSLATE(A40304,""en"",""pt"")"),"Preço baixo. Cópias de qualidade decente. Bom pacote de software. Confiável.")</f>
        <v>Preço baixo. Cópias de qualidade decente. Bom pacote de software. Confiável.</v>
      </c>
      <c r="B40304" s="3">
        <v>1</v>
      </c>
    </row>
    <row r="40305" ht="15.75" customHeight="1" spans="1:2">
      <c r="A40305" s="3" t="str">
        <f>IFERROR(__xludf.DUMMYFUNCTION("GOOGLETRANSLATE(A40305,""en"",""pt"")"),"Compactos, de baixo custo, confiável, fácil de encontrar depósitos de tinta")</f>
        <v>Compactos, de baixo custo, confiável, fácil de encontrar depósitos de tinta</v>
      </c>
      <c r="B40305" s="3">
        <v>1</v>
      </c>
    </row>
    <row r="40306" ht="15.75" customHeight="1" spans="1:2">
      <c r="A40306" s="3" t="str">
        <f>IFERROR(__xludf.DUMMYFUNCTION("GOOGLETRANSLATE(A40306,""en"",""pt"")"),"barato / faz o trabalho / pequeno em tamanho")</f>
        <v>barato / faz o trabalho / pequeno em tamanho</v>
      </c>
      <c r="B40306" s="3">
        <v>1</v>
      </c>
    </row>
    <row r="40307" ht="15.75" customHeight="1" spans="1:2">
      <c r="A40307" s="3" t="str">
        <f>IFERROR(__xludf.DUMMYFUNCTION("GOOGLETRANSLATE(A40307,""en"",""pt"")"),"Ink barato, cartucho de fácil substituição")</f>
        <v>Ink barato, cartucho de fácil substituição</v>
      </c>
      <c r="B40307" s="3">
        <v>1</v>
      </c>
    </row>
    <row r="40308" ht="15.75" customHeight="1" spans="1:2">
      <c r="A40308" s="3" t="str">
        <f>IFERROR(__xludf.DUMMYFUNCTION("GOOGLETRANSLATE(A40308,""en"",""pt"")"),"Compacto, relativamente barata Cartuchos, bastante rápido, de fácil utilização Drivers e Software")</f>
        <v>Compacto, relativamente barata Cartuchos, bastante rápido, de fácil utilização Drivers e Software</v>
      </c>
      <c r="B40308" s="3">
        <v>1</v>
      </c>
    </row>
    <row r="40309" ht="15.75" customHeight="1" spans="1:2">
      <c r="A40309" s="3" t="str">
        <f>IFERROR(__xludf.DUMMYFUNCTION("GOOGLETRANSLATE(A40309,""en"",""pt"")"),"Relativamente fácil de obter trabalho, conexão USB calhar.")</f>
        <v>Relativamente fácil de obter trabalho, conexão USB calhar.</v>
      </c>
      <c r="B40309" s="3">
        <v>1</v>
      </c>
    </row>
    <row r="40310" ht="15.75" customHeight="1" spans="1:2">
      <c r="A40310" s="3" t="str">
        <f>IFERROR(__xludf.DUMMYFUNCTION("GOOGLETRANSLATE(A40310,""en"",""pt"")"),"Barato, fácil de usar.")</f>
        <v>Barato, fácil de usar.</v>
      </c>
      <c r="B40310" s="3">
        <v>1</v>
      </c>
    </row>
    <row r="40311" ht="15.75" customHeight="1" spans="1:2">
      <c r="A40311" s="3" t="str">
        <f>IFERROR(__xludf.DUMMYFUNCTION("GOOGLETRANSLATE(A40311,""en"",""pt"")"),"Pegada pequena, velocidade, qualidade de impressão.")</f>
        <v>Pegada pequena, velocidade, qualidade de impressão.</v>
      </c>
      <c r="B40311" s="3">
        <v>1</v>
      </c>
    </row>
    <row r="40312" ht="15.75" customHeight="1" spans="1:2">
      <c r="A40312" s="3" t="str">
        <f>IFERROR(__xludf.DUMMYFUNCTION("GOOGLETRANSLATE(A40312,""en"",""pt"")"),"pequeno, leve, OK para impressões ocasionais")</f>
        <v>pequeno, leve, OK para impressões ocasionais</v>
      </c>
      <c r="B40312" s="3">
        <v>1</v>
      </c>
    </row>
    <row r="40313" ht="15.75" customHeight="1" spans="1:2">
      <c r="A40313" s="3" t="str">
        <f>IFERROR(__xludf.DUMMYFUNCTION("GOOGLETRANSLATE(A40313,""en"",""pt"")"),"barato, de longa duração")</f>
        <v>barato, de longa duração</v>
      </c>
      <c r="B40313" s="3">
        <v>1</v>
      </c>
    </row>
    <row r="40314" ht="15.75" customHeight="1" spans="1:2">
      <c r="A40314" s="3" t="str">
        <f>IFERROR(__xludf.DUMMYFUNCTION("GOOGLETRANSLATE(A40314,""en"",""pt"")"),"Printer foi configurado muito confiável fácil, configura no cabo da impressora com digitalizador Umax")</f>
        <v>Printer foi configurado muito confiável fácil, configura no cabo da impressora com digitalizador Umax</v>
      </c>
      <c r="B40314" s="3">
        <v>1</v>
      </c>
    </row>
    <row r="40315" ht="15.75" customHeight="1" spans="1:2">
      <c r="A40315" s="3" t="str">
        <f>IFERROR(__xludf.DUMMYFUNCTION("GOOGLETRANSLATE(A40315,""en"",""pt"")"),"bom preço")</f>
        <v>bom preço</v>
      </c>
      <c r="B40315" s="3">
        <v>1</v>
      </c>
    </row>
    <row r="40316" ht="15.75" customHeight="1" spans="1:2">
      <c r="A40316" s="3" t="str">
        <f>IFERROR(__xludf.DUMMYFUNCTION("GOOGLETRANSLATE(A40316,""en"",""pt"")"),"Durável, bom preço")</f>
        <v>Durável, bom preço</v>
      </c>
      <c r="B40316" s="3">
        <v>1</v>
      </c>
    </row>
    <row r="40317" ht="15.75" customHeight="1" spans="1:2">
      <c r="A40317" s="3" t="str">
        <f>IFERROR(__xludf.DUMMYFUNCTION("GOOGLETRANSLATE(A40317,""en"",""pt"")"),"ótimo preço")</f>
        <v>ótimo preço</v>
      </c>
      <c r="B40317" s="3">
        <v>1</v>
      </c>
    </row>
    <row r="40318" ht="15.75" customHeight="1" spans="1:2">
      <c r="A40318" s="3" t="str">
        <f>IFERROR(__xludf.DUMMYFUNCTION("GOOGLETRANSLATE(A40318,""en"",""pt"")"),"fácil de aprender a usar")</f>
        <v>fácil de aprender a usar</v>
      </c>
      <c r="B40318" s="3">
        <v>1</v>
      </c>
    </row>
    <row r="40319" ht="15.75" customHeight="1" spans="1:2">
      <c r="A40319" s="3" t="str">
        <f>IFERROR(__xludf.DUMMYFUNCTION("GOOGLETRANSLATE(A40319,""en"",""pt"")"),"Não imprime")</f>
        <v>Não imprime</v>
      </c>
      <c r="B40319" s="3">
        <v>1</v>
      </c>
    </row>
    <row r="40320" ht="15.75" customHeight="1" spans="1:2">
      <c r="A40320" s="3" t="str">
        <f>IFERROR(__xludf.DUMMYFUNCTION("GOOGLETRANSLATE(A40320,""en"",""pt"")"),"Fácil de tinta Find substituição, fácil de usar")</f>
        <v>Fácil de tinta Find substituição, fácil de usar</v>
      </c>
      <c r="B40320" s="3">
        <v>1</v>
      </c>
    </row>
    <row r="40321" ht="15.75" customHeight="1" spans="1:2">
      <c r="A40321" s="3" t="str">
        <f>IFERROR(__xludf.DUMMYFUNCTION("GOOGLETRANSLATE(A40321,""en"",""pt"")"),"Bom para as crianças")</f>
        <v>Bom para as crianças</v>
      </c>
      <c r="B40321" s="3">
        <v>1</v>
      </c>
    </row>
    <row r="40322" ht="15.75" customHeight="1" spans="1:2">
      <c r="A40322" s="3" t="str">
        <f>IFERROR(__xludf.DUMMYFUNCTION("GOOGLETRANSLATE(A40322,""en"",""pt"")"),"excelente preço, boa qualidade de impressão")</f>
        <v>excelente preço, boa qualidade de impressão</v>
      </c>
      <c r="B40322" s="3">
        <v>1</v>
      </c>
    </row>
    <row r="40323" ht="15.75" customHeight="1" spans="1:2">
      <c r="A40323" s="3" t="str">
        <f>IFERROR(__xludf.DUMMYFUNCTION("GOOGLETRANSLATE(A40323,""en"",""pt"")"),"Preço, Qualidade de Impressão")</f>
        <v>Preço, Qualidade de Impressão</v>
      </c>
      <c r="B40323" s="3">
        <v>1</v>
      </c>
    </row>
    <row r="40324" ht="15.75" customHeight="1" spans="1:2">
      <c r="A40324" s="3" t="str">
        <f>IFERROR(__xludf.DUMMYFUNCTION("GOOGLETRANSLATE(A40324,""en"",""pt"")"),"Preço, bom para coisas simples, a qualidade é decente.")</f>
        <v>Preço, bom para coisas simples, a qualidade é decente.</v>
      </c>
      <c r="B40324" s="3">
        <v>1</v>
      </c>
    </row>
    <row r="40325" ht="15.75" customHeight="1" spans="1:2">
      <c r="A40325" s="3" t="str">
        <f>IFERROR(__xludf.DUMMYFUNCTION("GOOGLETRANSLATE(A40325,""en"",""pt"")"),"bastante confiável")</f>
        <v>bastante confiável</v>
      </c>
      <c r="B40325" s="3">
        <v>1</v>
      </c>
    </row>
    <row r="40326" ht="15.75" customHeight="1" spans="1:2">
      <c r="A40326" s="3" t="str">
        <f>IFERROR(__xludf.DUMMYFUNCTION("GOOGLETRANSLATE(A40326,""en"",""pt"")"),"Foto legal")</f>
        <v>Foto legal</v>
      </c>
      <c r="B40326" s="3">
        <v>1</v>
      </c>
    </row>
    <row r="40327" ht="15.75" customHeight="1" spans="1:2">
      <c r="A40327" s="3" t="str">
        <f>IFERROR(__xludf.DUMMYFUNCTION("GOOGLETRANSLATE(A40327,""en"",""pt"")"),"Para o seu preço imprime bem")</f>
        <v>Para o seu preço imprime bem</v>
      </c>
      <c r="B40327" s="3">
        <v>1</v>
      </c>
    </row>
    <row r="40328" ht="15.75" customHeight="1" spans="1:2">
      <c r="A40328" s="3" t="str">
        <f>IFERROR(__xludf.DUMMYFUNCTION("GOOGLETRANSLATE(A40328,""en"",""pt"")"),"pequeno, leve, fácil de usar, bom como um backup ou segunda impressora")</f>
        <v>pequeno, leve, fácil de usar, bom como um backup ou segunda impressora</v>
      </c>
      <c r="B40328" s="3">
        <v>1</v>
      </c>
    </row>
    <row r="40329" ht="15.75" customHeight="1" spans="1:2">
      <c r="A40329" s="3" t="str">
        <f>IFERROR(__xludf.DUMMYFUNCTION("GOOGLETRANSLATE(A40329,""en"",""pt"")"),"impressão de boa qualidade, cor agradável, preço, oferta de desconto")</f>
        <v>impressão de boa qualidade, cor agradável, preço, oferta de desconto</v>
      </c>
      <c r="B40329" s="3">
        <v>1</v>
      </c>
    </row>
    <row r="40330" ht="15.75" customHeight="1" spans="1:2">
      <c r="A40330" s="3" t="str">
        <f>IFERROR(__xludf.DUMMYFUNCTION("GOOGLETRANSLATE(A40330,""en"",""pt"")"),"compacta e acessível")</f>
        <v>compacta e acessível</v>
      </c>
      <c r="B40330" s="3">
        <v>1</v>
      </c>
    </row>
    <row r="40331" ht="15.75" customHeight="1" spans="1:2">
      <c r="A40331" s="3" t="str">
        <f>IFERROR(__xludf.DUMMYFUNCTION("GOOGLETRANSLATE(A40331,""en"",""pt"")"),"Barato, boa qualidade de impressão, facilidade de uso")</f>
        <v>Barato, boa qualidade de impressão, facilidade de uso</v>
      </c>
      <c r="B40331" s="3">
        <v>1</v>
      </c>
    </row>
    <row r="40332" ht="15.75" customHeight="1" spans="1:2">
      <c r="A40332" s="3" t="str">
        <f>IFERROR(__xludf.DUMMYFUNCTION("GOOGLETRANSLATE(A40332,""en"",""pt"")"),"tamanho e custo")</f>
        <v>tamanho e custo</v>
      </c>
      <c r="B40332" s="3">
        <v>1</v>
      </c>
    </row>
    <row r="40333" ht="15.75" customHeight="1" spans="1:2">
      <c r="A40333" s="3" t="str">
        <f>IFERROR(__xludf.DUMMYFUNCTION("GOOGLETRANSLATE(A40333,""en"",""pt"")"),"Barato e simples")</f>
        <v>Barato e simples</v>
      </c>
      <c r="B40333" s="3">
        <v>1</v>
      </c>
    </row>
    <row r="40334" ht="15.75" customHeight="1" spans="1:2">
      <c r="A40334" s="3" t="str">
        <f>IFERROR(__xludf.DUMMYFUNCTION("GOOGLETRANSLATE(A40334,""en"",""pt"")"),"Preço")</f>
        <v>Preço</v>
      </c>
      <c r="B40334" s="3">
        <v>1</v>
      </c>
    </row>
    <row r="40335" ht="15.75" customHeight="1" spans="1:2">
      <c r="A40335" s="3" t="str">
        <f>IFERROR(__xludf.DUMMYFUNCTION("GOOGLETRANSLATE(A40335,""en"",""pt"")"),"pegada pequena, economiza espaço, relativamente barato.")</f>
        <v>pegada pequena, economiza espaço, relativamente barato.</v>
      </c>
      <c r="B40335" s="3">
        <v>1</v>
      </c>
    </row>
    <row r="40336" ht="15.75" customHeight="1" spans="1:2">
      <c r="A40336" s="3" t="str">
        <f>IFERROR(__xludf.DUMMYFUNCTION("GOOGLETRANSLATE(A40336,""en"",""pt"")"),"Preço, tamanho, peso, software, cartuchos de cor recarregáveis")</f>
        <v>Preço, tamanho, peso, software, cartuchos de cor recarregáveis</v>
      </c>
      <c r="B40336" s="3">
        <v>1</v>
      </c>
    </row>
    <row r="40337" ht="15.75" customHeight="1" spans="1:2">
      <c r="A40337" s="3" t="str">
        <f>IFERROR(__xludf.DUMMYFUNCTION("GOOGLETRANSLATE(A40337,""en"",""pt"")"),"Barato (veio com computador &amp; amp; quot; pacote &amp; amp; quot;)")</f>
        <v>Barato (veio com computador &amp; amp; quot; pacote &amp; amp; quot;)</v>
      </c>
      <c r="B40337" s="3">
        <v>1</v>
      </c>
    </row>
    <row r="40338" ht="15.75" customHeight="1" spans="1:2">
      <c r="A40338" s="3" t="str">
        <f>IFERROR(__xludf.DUMMYFUNCTION("GOOGLETRANSLATE(A40338,""en"",""pt"")"),"modelo de ajuste fácil e elegante na área apertada")</f>
        <v>modelo de ajuste fácil e elegante na área apertada</v>
      </c>
      <c r="B40338" s="3">
        <v>1</v>
      </c>
    </row>
    <row r="40339" ht="15.75" customHeight="1" spans="1:2">
      <c r="A40339" s="3" t="str">
        <f>IFERROR(__xludf.DUMMYFUNCTION("GOOGLETRANSLATE(A40339,""en"",""pt"")"),"Funciona bem para coisas básicas")</f>
        <v>Funciona bem para coisas básicas</v>
      </c>
      <c r="B40339" s="3">
        <v>1</v>
      </c>
    </row>
    <row r="40340" ht="15.75" customHeight="1" spans="1:2">
      <c r="A40340" s="3" t="str">
        <f>IFERROR(__xludf.DUMMYFUNCTION("GOOGLETRANSLATE(A40340,""en"",""pt"")"),"qualidade de impressão adequada")</f>
        <v>qualidade de impressão adequada</v>
      </c>
      <c r="B40340" s="3">
        <v>1</v>
      </c>
    </row>
    <row r="40341" ht="15.75" customHeight="1" spans="1:2">
      <c r="A40341" s="3" t="str">
        <f>IFERROR(__xludf.DUMMYFUNCTION("GOOGLETRANSLATE(A40341,""en"",""pt"")"),"Ela imprime grande detalhe nas minhas fotos")</f>
        <v>Ela imprime grande detalhe nas minhas fotos</v>
      </c>
      <c r="B40341" s="3">
        <v>1</v>
      </c>
    </row>
    <row r="40342" ht="15.75" customHeight="1" spans="1:2">
      <c r="A40342" s="3" t="str">
        <f>IFERROR(__xludf.DUMMYFUNCTION("GOOGLETRANSLATE(A40342,""en"",""pt"")"),"preço")</f>
        <v>preço</v>
      </c>
      <c r="B40342" s="3">
        <v>1</v>
      </c>
    </row>
    <row r="40343" ht="15.75" customHeight="1" spans="1:2">
      <c r="A40343" s="3" t="str">
        <f>IFERROR(__xludf.DUMMYFUNCTION("GOOGLETRANSLATE(A40343,""en"",""pt"")"),"Nice, qualidade de impressão, a preços acessíveis")</f>
        <v>Nice, qualidade de impressão, a preços acessíveis</v>
      </c>
      <c r="B40343" s="3">
        <v>1</v>
      </c>
    </row>
    <row r="40344" ht="15.75" customHeight="1" spans="1:2">
      <c r="A40344" s="3" t="str">
        <f>IFERROR(__xludf.DUMMYFUNCTION("GOOGLETRANSLATE(A40344,""en"",""pt"")"),"barato, mas funciona bem")</f>
        <v>barato, mas funciona bem</v>
      </c>
      <c r="B40344" s="3">
        <v>1</v>
      </c>
    </row>
    <row r="40345" ht="15.75" customHeight="1" spans="1:2">
      <c r="A40345" s="3" t="str">
        <f>IFERROR(__xludf.DUMMYFUNCTION("GOOGLETRANSLATE(A40345,""en"",""pt"")"),"Cheap fiável")</f>
        <v>Cheap fiável</v>
      </c>
      <c r="B40345" s="3">
        <v>1</v>
      </c>
    </row>
    <row r="40346" ht="15.75" customHeight="1" spans="1:2">
      <c r="A40346" s="3" t="str">
        <f>IFERROR(__xludf.DUMMYFUNCTION("GOOGLETRANSLATE(A40346,""en"",""pt"")"),"grande quando a impressão com tinta preta; grandes promoções em cartuchos, se você olhar em volta")</f>
        <v>grande quando a impressão com tinta preta; grandes promoções em cartuchos, se você olhar em volta</v>
      </c>
      <c r="B40346" s="3">
        <v>1</v>
      </c>
    </row>
    <row r="40347" ht="15.75" customHeight="1" spans="1:2">
      <c r="A40347" s="3" t="str">
        <f>IFERROR(__xludf.DUMMYFUNCTION("GOOGLETRANSLATE(A40347,""en"",""pt"")"),"Nenhum")</f>
        <v>Nenhum</v>
      </c>
      <c r="B40347" s="3">
        <v>1</v>
      </c>
    </row>
    <row r="40348" ht="15.75" customHeight="1" spans="1:2">
      <c r="A40348" s="3" t="str">
        <f>IFERROR(__xludf.DUMMYFUNCTION("GOOGLETRANSLATE(A40348,""en"",""pt"")"),"Boa impressão de texto &amp; amp; amp; há congestionamentos")</f>
        <v>Boa impressão de texto &amp; amp; amp; há congestionamentos</v>
      </c>
      <c r="B40348" s="3">
        <v>1</v>
      </c>
    </row>
    <row r="40349" ht="15.75" customHeight="1" spans="1:2">
      <c r="A40349" s="3" t="str">
        <f>IFERROR(__xludf.DUMMYFUNCTION("GOOGLETRANSLATE(A40349,""en"",""pt"")"),"qualidade de impressão decente, preço baixo")</f>
        <v>qualidade de impressão decente, preço baixo</v>
      </c>
      <c r="B40349" s="3">
        <v>1</v>
      </c>
    </row>
    <row r="40350" ht="15.75" customHeight="1" spans="1:2">
      <c r="A40350" s="3" t="str">
        <f>IFERROR(__xludf.DUMMYFUNCTION("GOOGLETRANSLATE(A40350,""en"",""pt"")"),"Compacto, Cor, Qualidade")</f>
        <v>Compacto, Cor, Qualidade</v>
      </c>
      <c r="B40350" s="3">
        <v>1</v>
      </c>
    </row>
    <row r="40351" ht="15.75" customHeight="1" spans="1:2">
      <c r="A40351" s="3" t="str">
        <f>IFERROR(__xludf.DUMMYFUNCTION("GOOGLETRANSLATE(A40351,""en"",""pt"")"),"Compacto e barato")</f>
        <v>Compacto e barato</v>
      </c>
      <c r="B40351" s="3">
        <v>1</v>
      </c>
    </row>
    <row r="40352" ht="15.75" customHeight="1" spans="1:2">
      <c r="A40352" s="3" t="str">
        <f>IFERROR(__xludf.DUMMYFUNCTION("GOOGLETRANSLATE(A40352,""en"",""pt"")"),"Ótimo produto")</f>
        <v>Ótimo produto</v>
      </c>
      <c r="B40352" s="3">
        <v>1</v>
      </c>
    </row>
    <row r="40353" ht="15.75" customHeight="1" spans="1:2">
      <c r="A40353" s="3" t="str">
        <f>IFERROR(__xludf.DUMMYFUNCTION("GOOGLETRANSLATE(A40353,""en"",""pt"")"),"Baixo custo, boa qualidade, confiável")</f>
        <v>Baixo custo, boa qualidade, confiável</v>
      </c>
      <c r="B40353" s="3">
        <v>1</v>
      </c>
    </row>
    <row r="40354" ht="15.75" customHeight="1" spans="1:2">
      <c r="A40354" s="3" t="str">
        <f>IFERROR(__xludf.DUMMYFUNCTION("GOOGLETRANSLATE(A40354,""en"",""pt"")"),"bom preço, fácil de usar")</f>
        <v>bom preço, fácil de usar</v>
      </c>
      <c r="B40354" s="3">
        <v>1</v>
      </c>
    </row>
    <row r="40355" ht="15.75" customHeight="1" spans="1:2">
      <c r="A40355" s="3" t="str">
        <f>IFERROR(__xludf.DUMMYFUNCTION("GOOGLETRANSLATE(A40355,""en"",""pt"")"),"Parece legal")</f>
        <v>Parece legal</v>
      </c>
      <c r="B40355" s="3">
        <v>1</v>
      </c>
    </row>
    <row r="40356" ht="15.75" customHeight="1" spans="1:2">
      <c r="A40356" s="3" t="str">
        <f>IFERROR(__xludf.DUMMYFUNCTION("GOOGLETRANSLATE(A40356,""en"",""pt"")"),"barato")</f>
        <v>barato</v>
      </c>
      <c r="B40356" s="3">
        <v>1</v>
      </c>
    </row>
    <row r="40357" ht="15.75" customHeight="1" spans="1:2">
      <c r="A40357" s="3" t="str">
        <f>IFERROR(__xludf.DUMMYFUNCTION("GOOGLETRANSLATE(A40357,""en"",""pt"")"),"Muito Acessível e Compacto")</f>
        <v>Muito Acessível e Compacto</v>
      </c>
      <c r="B40357" s="3">
        <v>1</v>
      </c>
    </row>
    <row r="40358" ht="15.75" customHeight="1" spans="1:2">
      <c r="A40358" s="3" t="str">
        <f>IFERROR(__xludf.DUMMYFUNCTION("GOOGLETRANSLATE(A40358,""en"",""pt"")"),"Versátil, boas imagens a cores de qualidade, barato")</f>
        <v>Versátil, boas imagens a cores de qualidade, barato</v>
      </c>
      <c r="B40358" s="3">
        <v>1</v>
      </c>
    </row>
    <row r="40359" ht="15.75" customHeight="1" spans="1:2">
      <c r="A40359" s="3" t="str">
        <f>IFERROR(__xludf.DUMMYFUNCTION("GOOGLETRANSLATE(A40359,""en"",""pt"")"),"valor")</f>
        <v>valor</v>
      </c>
      <c r="B40359" s="3">
        <v>1</v>
      </c>
    </row>
    <row r="40360" ht="15.75" customHeight="1" spans="1:2">
      <c r="A40360" s="3" t="str">
        <f>IFERROR(__xludf.DUMMYFUNCTION("GOOGLETRANSLATE(A40360,""en"",""pt"")"),"unidade de baixo custo, qualidade de impressão excelente cor")</f>
        <v>unidade de baixo custo, qualidade de impressão excelente cor</v>
      </c>
      <c r="B40360" s="3">
        <v>1</v>
      </c>
    </row>
    <row r="40361" ht="15.75" customHeight="1" spans="1:2">
      <c r="A40361" s="3" t="str">
        <f>IFERROR(__xludf.DUMMYFUNCTION("GOOGLETRANSLATE(A40361,""en"",""pt"")"),"Barato, Boa preto e branco de qualidade de impressão, Ok cores a qualidade de impressão")</f>
        <v>Barato, Boa preto e branco de qualidade de impressão, Ok cores a qualidade de impressão</v>
      </c>
      <c r="B40361" s="3">
        <v>1</v>
      </c>
    </row>
    <row r="40362" ht="15.75" customHeight="1" spans="1:2">
      <c r="A40362" s="3" t="str">
        <f>IFERROR(__xludf.DUMMYFUNCTION("GOOGLETRANSLATE(A40362,""en"",""pt"")"),"preço de compra inicial boa")</f>
        <v>preço de compra inicial boa</v>
      </c>
      <c r="B40362" s="3">
        <v>1</v>
      </c>
    </row>
    <row r="40363" ht="15.75" customHeight="1" spans="1:2">
      <c r="A40363" s="3" t="str">
        <f>IFERROR(__xludf.DUMMYFUNCTION("GOOGLETRANSLATE(A40363,""en"",""pt"")"),"Um bom produto para o preço.")</f>
        <v>Um bom produto para o preço.</v>
      </c>
      <c r="B40363" s="3">
        <v>1</v>
      </c>
    </row>
    <row r="40364" ht="15.75" customHeight="1" spans="1:2">
      <c r="A40364" s="3" t="str">
        <f>IFERROR(__xludf.DUMMYFUNCTION("GOOGLETRANSLATE(A40364,""en"",""pt"")"),"baixo custo, fácil de usar")</f>
        <v>baixo custo, fácil de usar</v>
      </c>
      <c r="B40364" s="3">
        <v>1</v>
      </c>
    </row>
    <row r="40365" ht="15.75" customHeight="1" spans="1:2">
      <c r="A40365" s="3" t="str">
        <f>IFERROR(__xludf.DUMMYFUNCTION("GOOGLETRANSLATE(A40365,""en"",""pt"")"),"Livre")</f>
        <v>Livre</v>
      </c>
      <c r="B40365" s="3">
        <v>1</v>
      </c>
    </row>
    <row r="40366" ht="15.75" customHeight="1" spans="1:2">
      <c r="A40366" s="3" t="str">
        <f>IFERROR(__xludf.DUMMYFUNCTION("GOOGLETRANSLATE(A40366,""en"",""pt"")"),"Fácil de usar, barato, durável, boa qualidade de impressão, impressão rápida a preto e branco, a compatibilidade de cor ...")</f>
        <v>Fácil de usar, barato, durável, boa qualidade de impressão, impressão rápida a preto e branco, a compatibilidade de cor ...</v>
      </c>
      <c r="B40366" s="3">
        <v>1</v>
      </c>
    </row>
    <row r="40367" ht="15.75" customHeight="1" spans="1:2">
      <c r="A40367" s="3" t="str">
        <f>IFERROR(__xludf.DUMMYFUNCTION("GOOGLETRANSLATE(A40367,""en"",""pt"")"),"Excelente qualidade de impressão por um preço baixo")</f>
        <v>Excelente qualidade de impressão por um preço baixo</v>
      </c>
      <c r="B40367" s="3">
        <v>1</v>
      </c>
    </row>
    <row r="40368" ht="15.75" customHeight="1" spans="1:2">
      <c r="A40368" s="3" t="str">
        <f>IFERROR(__xludf.DUMMYFUNCTION("GOOGLETRANSLATE(A40368,""en"",""pt"")"),"meu Nojo")</f>
        <v>meu Nojo</v>
      </c>
      <c r="B40368" s="3">
        <v>1</v>
      </c>
    </row>
    <row r="40369" ht="15.75" customHeight="1" spans="1:2">
      <c r="A40369" s="3" t="str">
        <f>IFERROR(__xludf.DUMMYFUNCTION("GOOGLETRANSLATE(A40369,""en"",""pt"")"),"impressão de qualidade, ótimo preço")</f>
        <v>impressão de qualidade, ótimo preço</v>
      </c>
      <c r="B40369" s="3">
        <v>1</v>
      </c>
    </row>
    <row r="40370" ht="15.75" customHeight="1" spans="1:2">
      <c r="A40370" s="3" t="str">
        <f>IFERROR(__xludf.DUMMYFUNCTION("GOOGLETRANSLATE(A40370,""en"",""pt"")"),", A qualidade aceitável de impressão, máquina fiável barato")</f>
        <v>, A qualidade aceitável de impressão, máquina fiável barato</v>
      </c>
      <c r="B40370" s="3">
        <v>1</v>
      </c>
    </row>
    <row r="40371" ht="15.75" customHeight="1" spans="1:2">
      <c r="A40371" s="3" t="str">
        <f>IFERROR(__xludf.DUMMYFUNCTION("GOOGLETRANSLATE(A40371,""en"",""pt"")"),"Leve e compacto")</f>
        <v>Leve e compacto</v>
      </c>
      <c r="B40371" s="3">
        <v>1</v>
      </c>
    </row>
    <row r="40372" ht="15.75" customHeight="1" spans="1:2">
      <c r="A40372" s="3" t="str">
        <f>IFERROR(__xludf.DUMMYFUNCTION("GOOGLETRANSLATE(A40372,""en"",""pt"")"),"Nunca um problema, tamanho pequeno")</f>
        <v>Nunca um problema, tamanho pequeno</v>
      </c>
      <c r="B40372" s="3">
        <v>1</v>
      </c>
    </row>
    <row r="40373" ht="15.75" customHeight="1" spans="1:2">
      <c r="A40373" s="3" t="str">
        <f>IFERROR(__xludf.DUMMYFUNCTION("GOOGLETRANSLATE(A40373,""en"",""pt"")"),"Pequeno, barato, garantia decente, barato ...")</f>
        <v>Pequeno, barato, garantia decente, barato ...</v>
      </c>
      <c r="B40373" s="3">
        <v>1</v>
      </c>
    </row>
    <row r="40374" ht="15.75" customHeight="1" spans="1:2">
      <c r="A40374" s="3" t="str">
        <f>IFERROR(__xludf.DUMMYFUNCTION("GOOGLETRANSLATE(A40374,""en"",""pt"")"),"Compacto, leve e fácil de usar.")</f>
        <v>Compacto, leve e fácil de usar.</v>
      </c>
      <c r="B40374" s="3">
        <v>1</v>
      </c>
    </row>
    <row r="40375" ht="15.75" customHeight="1" spans="1:2">
      <c r="A40375" s="3" t="str">
        <f>IFERROR(__xludf.DUMMYFUNCTION("GOOGLETRANSLATE(A40375,""en"",""pt"")"),"Tamanho compacto, estilo vertical. Fácil substituição de carrinhos. Funciona w / diferentes tipos de papel.")</f>
        <v>Tamanho compacto, estilo vertical. Fácil substituição de carrinhos. Funciona w / diferentes tipos de papel.</v>
      </c>
      <c r="B40375" s="3">
        <v>1</v>
      </c>
    </row>
    <row r="40376" ht="15.75" customHeight="1" spans="1:2">
      <c r="A40376" s="3" t="str">
        <f>IFERROR(__xludf.DUMMYFUNCTION("GOOGLETRANSLATE(A40376,""en"",""pt"")"),"Dirt Cheap, motoristas simples, unidade compacta")</f>
        <v>Dirt Cheap, motoristas simples, unidade compacta</v>
      </c>
      <c r="B40376" s="3">
        <v>1</v>
      </c>
    </row>
    <row r="40377" ht="15.75" customHeight="1" spans="1:2">
      <c r="A40377" s="3" t="str">
        <f>IFERROR(__xludf.DUMMYFUNCTION("GOOGLETRANSLATE(A40377,""en"",""pt"")"),"fácil de usar e instalar, preço barato")</f>
        <v>fácil de usar e instalar, preço barato</v>
      </c>
      <c r="B40377" s="3">
        <v>1</v>
      </c>
    </row>
    <row r="40378" ht="15.75" customHeight="1" spans="1:2">
      <c r="A40378" s="3" t="str">
        <f>IFERROR(__xludf.DUMMYFUNCTION("GOOGLETRANSLATE(A40378,""en"",""pt"")"),"Boa qualidade de impressão, fácil de usar")</f>
        <v>Boa qualidade de impressão, fácil de usar</v>
      </c>
      <c r="B40378" s="3">
        <v>1</v>
      </c>
    </row>
    <row r="40379" ht="15.75" customHeight="1" spans="1:2">
      <c r="A40379" s="3" t="str">
        <f>IFERROR(__xludf.DUMMYFUNCTION("GOOGLETRANSLATE(A40379,""en"",""pt"")"),"Nunca Jams, configuração rápida, Grande Bundle")</f>
        <v>Nunca Jams, configuração rápida, Grande Bundle</v>
      </c>
      <c r="B40379" s="3">
        <v>1</v>
      </c>
    </row>
    <row r="40380" ht="15.75" customHeight="1" spans="1:2">
      <c r="A40380" s="3" t="str">
        <f>IFERROR(__xludf.DUMMYFUNCTION("GOOGLETRANSLATE(A40380,""en"",""pt"")"),"poweron automática / desligamento, que é sobre ele")</f>
        <v>poweron automática / desligamento, que é sobre ele</v>
      </c>
      <c r="B40380" s="3">
        <v>1</v>
      </c>
    </row>
    <row r="40381" ht="15.75" customHeight="1" spans="1:2">
      <c r="A40381" s="3" t="str">
        <f>IFERROR(__xludf.DUMMYFUNCTION("GOOGLETRANSLATE(A40381,""en"",""pt"")"),"pequeno e compacto")</f>
        <v>pequeno e compacto</v>
      </c>
      <c r="B40381" s="3">
        <v>1</v>
      </c>
    </row>
    <row r="40382" ht="15.75" customHeight="1" spans="1:2">
      <c r="A40382" s="3" t="str">
        <f>IFERROR(__xludf.DUMMYFUNCTION("GOOGLETRANSLATE(A40382,""en"",""pt"")"),"Boa qualidade de texto e imagens, razoavelmente rápido para um jato de tinta")</f>
        <v>Boa qualidade de texto e imagens, razoavelmente rápido para um jato de tinta</v>
      </c>
      <c r="B40382" s="3">
        <v>1</v>
      </c>
    </row>
    <row r="40383" ht="15.75" customHeight="1" spans="1:2">
      <c r="A40383" s="3" t="str">
        <f>IFERROR(__xludf.DUMMYFUNCTION("GOOGLETRANSLATE(A40383,""en"",""pt"")"),"os cartuchos de tinta separados")</f>
        <v>os cartuchos de tinta separados</v>
      </c>
      <c r="B40383" s="3">
        <v>1</v>
      </c>
    </row>
    <row r="40384" ht="15.75" customHeight="1" spans="1:2">
      <c r="A40384" s="3" t="str">
        <f>IFERROR(__xludf.DUMMYFUNCTION("GOOGLETRANSLATE(A40384,""en"",""pt"")"),"Excelente para uso em casa, boa cor, confiáveis ​​como qualquer lá fora, cores de tinta individuais.")</f>
        <v>Excelente para uso em casa, boa cor, confiáveis ​​como qualquer lá fora, cores de tinta individuais.</v>
      </c>
      <c r="B40384" s="3">
        <v>1</v>
      </c>
    </row>
    <row r="40385" ht="15.75" customHeight="1" spans="1:2">
      <c r="A40385" s="3" t="str">
        <f>IFERROR(__xludf.DUMMYFUNCTION("GOOGLETRANSLATE(A40385,""en"",""pt"")"),"Boa qualidade de impressão. Baixo custo.")</f>
        <v>Boa qualidade de impressão. Baixo custo.</v>
      </c>
      <c r="B40385" s="3">
        <v>1</v>
      </c>
    </row>
    <row r="40386" ht="15.75" customHeight="1" spans="1:2">
      <c r="A40386" s="3" t="str">
        <f>IFERROR(__xludf.DUMMYFUNCTION("GOOGLETRANSLATE(A40386,""en"",""pt"")"),"Capacidade de compra de cartuchos de impressora separadas.")</f>
        <v>Capacidade de compra de cartuchos de impressora separadas.</v>
      </c>
      <c r="B40386" s="3">
        <v>1</v>
      </c>
    </row>
    <row r="40387" ht="15.75" customHeight="1" spans="1:2">
      <c r="A40387" s="3" t="str">
        <f>IFERROR(__xludf.DUMMYFUNCTION("GOOGLETRANSLATE(A40387,""en"",""pt"")"),"Fácil de usar, Ink Desde que, uma impressora de casa forte")</f>
        <v>Fácil de usar, Ink Desde que, uma impressora de casa forte</v>
      </c>
      <c r="B40387" s="3">
        <v>1</v>
      </c>
    </row>
    <row r="40388" ht="15.75" customHeight="1" spans="1:2">
      <c r="A40388" s="3" t="str">
        <f>IFERROR(__xludf.DUMMYFUNCTION("GOOGLETRANSLATE(A40388,""en"",""pt"")"),"tinta barata, boa velocidade e resolução")</f>
        <v>tinta barata, boa velocidade e resolução</v>
      </c>
      <c r="B40388" s="3">
        <v>1</v>
      </c>
    </row>
    <row r="40389" ht="15.75" customHeight="1" spans="1:2">
      <c r="A40389" s="3" t="str">
        <f>IFERROR(__xludf.DUMMYFUNCTION("GOOGLETRANSLATE(A40389,""en"",""pt"")"),"Impressão rápida de boa qualidade")</f>
        <v>Impressão rápida de boa qualidade</v>
      </c>
      <c r="B40389" s="3">
        <v>1</v>
      </c>
    </row>
    <row r="40390" ht="15.75" customHeight="1" spans="1:2">
      <c r="A40390" s="3" t="str">
        <f>IFERROR(__xludf.DUMMYFUNCTION("GOOGLETRANSLATE(A40390,""en"",""pt"")"),"A qualidade de impressão, de pouca tinta, fácil set-up, ótimo preço")</f>
        <v>A qualidade de impressão, de pouca tinta, fácil set-up, ótimo preço</v>
      </c>
      <c r="B40390" s="3">
        <v>1</v>
      </c>
    </row>
    <row r="40391" ht="15.75" customHeight="1" spans="1:2">
      <c r="A40391" s="3" t="str">
        <f>IFERROR(__xludf.DUMMYFUNCTION("GOOGLETRANSLATE(A40391,""en"",""pt"")"),"Boa qualidade de impressão")</f>
        <v>Boa qualidade de impressão</v>
      </c>
      <c r="B40391" s="3">
        <v>1</v>
      </c>
    </row>
    <row r="40392" ht="15.75" customHeight="1" spans="1:2">
      <c r="A40392" s="3" t="str">
        <f>IFERROR(__xludf.DUMMYFUNCTION("GOOGLETRANSLATE(A40392,""en"",""pt"")"),"impressão de grande qualidade")</f>
        <v>impressão de grande qualidade</v>
      </c>
      <c r="B40392" s="3">
        <v>1</v>
      </c>
    </row>
    <row r="40393" ht="15.75" customHeight="1" spans="1:2">
      <c r="A40393" s="3" t="str">
        <f>IFERROR(__xludf.DUMMYFUNCTION("GOOGLETRANSLATE(A40393,""en"",""pt"")"),"opções de impressão extensos e de alta qualidade de impressão, tecnologia drop-modulação, reservatórios de tinta individuais, impressão bi-direcional, função de scanner, lida com vários papel tipos / tamanhos e é barato.")</f>
        <v>opções de impressão extensos e de alta qualidade de impressão, tecnologia drop-modulação, reservatórios de tinta individuais, impressão bi-direcional, função de scanner, lida com vários papel tipos / tamanhos e é barato.</v>
      </c>
      <c r="B40393" s="3">
        <v>1</v>
      </c>
    </row>
    <row r="40394" ht="15.75" customHeight="1" spans="1:2">
      <c r="A40394" s="3" t="str">
        <f>IFERROR(__xludf.DUMMYFUNCTION("GOOGLETRANSLATE(A40394,""en"",""pt"")"),"manuseio de papel, preço")</f>
        <v>manuseio de papel, preço</v>
      </c>
      <c r="B40394" s="3">
        <v>1</v>
      </c>
    </row>
    <row r="40395" ht="15.75" customHeight="1" spans="1:2">
      <c r="A40395" s="3" t="str">
        <f>IFERROR(__xludf.DUMMYFUNCTION("GOOGLETRANSLATE(A40395,""en"",""pt"")"),"Impressora grande, boas funções, fácil de usar, muito rápido")</f>
        <v>Impressora grande, boas funções, fácil de usar, muito rápido</v>
      </c>
      <c r="B40395" s="3">
        <v>1</v>
      </c>
    </row>
    <row r="40396" ht="15.75" customHeight="1" spans="1:2">
      <c r="A40396" s="3" t="str">
        <f>IFERROR(__xludf.DUMMYFUNCTION("GOOGLETRANSLATE(A40396,""en"",""pt"")"),"Soberbas fotos de qualidade imagens, depósitos de tinta separados para tinta econômica substituindo.")</f>
        <v>Soberbas fotos de qualidade imagens, depósitos de tinta separados para tinta econômica substituindo.</v>
      </c>
      <c r="B40396" s="3">
        <v>1</v>
      </c>
    </row>
    <row r="40397" ht="15.75" customHeight="1" spans="1:2">
      <c r="A40397" s="3" t="str">
        <f>IFERROR(__xludf.DUMMYFUNCTION("GOOGLETRANSLATE(A40397,""en"",""pt"")"),"Excelente qualidade de impressão em preto e branco, bem como de cor")</f>
        <v>Excelente qualidade de impressão em preto e branco, bem como de cor</v>
      </c>
      <c r="B40397" s="3">
        <v>1</v>
      </c>
    </row>
    <row r="40398" ht="15.75" customHeight="1" spans="1:2">
      <c r="A40398" s="3" t="str">
        <f>IFERROR(__xludf.DUMMYFUNCTION("GOOGLETRANSLATE(A40398,""en"",""pt"")"),"Usa o sistema de tanque de tinta, impressões olhando agradável produtos &amp; amp; # 13; &amp; amp; # 10;")</f>
        <v>Usa o sistema de tanque de tinta, impressões olhando agradável produtos &amp; amp; # 13; &amp; amp; # 10;</v>
      </c>
      <c r="B40398" s="3">
        <v>1</v>
      </c>
    </row>
    <row r="40399" ht="15.75" customHeight="1" spans="1:2">
      <c r="A40399" s="3" t="str">
        <f>IFERROR(__xludf.DUMMYFUNCTION("GOOGLETRANSLATE(A40399,""en"",""pt"")"),"Menor Preço, de boa qualidade")</f>
        <v>Menor Preço, de boa qualidade</v>
      </c>
      <c r="B40399" s="3">
        <v>1</v>
      </c>
    </row>
    <row r="40400" ht="15.75" customHeight="1" spans="1:2">
      <c r="A40400" s="3" t="str">
        <f>IFERROR(__xludf.DUMMYFUNCTION("GOOGLETRANSLATE(A40400,""en"",""pt"")"),"Tanques indivíduo cor, tamanho, preço Printer")</f>
        <v>Tanques indivíduo cor, tamanho, preço Printer</v>
      </c>
      <c r="B40400" s="3">
        <v>1</v>
      </c>
    </row>
    <row r="40401" ht="15.75" customHeight="1" spans="1:2">
      <c r="A40401" s="3" t="str">
        <f>IFERROR(__xludf.DUMMYFUNCTION("GOOGLETRANSLATE(A40401,""en"",""pt"")"),"Windows 2000 compatibilidade; Fácil Configuração / Uso; Preço")</f>
        <v>Windows 2000 compatibilidade; Fácil Configuração / Uso; Preço</v>
      </c>
      <c r="B40401" s="3">
        <v>1</v>
      </c>
    </row>
    <row r="40402" ht="15.75" customHeight="1" spans="1:2">
      <c r="A40402" s="3" t="str">
        <f>IFERROR(__xludf.DUMMYFUNCTION("GOOGLETRANSLATE(A40402,""en"",""pt"")"),"tinteiros individuais, ótima qualidade de impressão, velocidade decente")</f>
        <v>tinteiros individuais, ótima qualidade de impressão, velocidade decente</v>
      </c>
      <c r="B40402" s="3">
        <v>1</v>
      </c>
    </row>
    <row r="40403" ht="15.75" customHeight="1" spans="1:2">
      <c r="A40403" s="3" t="str">
        <f>IFERROR(__xludf.DUMMYFUNCTION("GOOGLETRANSLATE(A40403,""en"",""pt"")"),"Ótimo preço; ótimo preço!")</f>
        <v>Ótimo preço; ótimo preço!</v>
      </c>
      <c r="B40403" s="3">
        <v>1</v>
      </c>
    </row>
    <row r="40404" ht="15.75" customHeight="1" spans="1:2">
      <c r="A40404" s="3" t="str">
        <f>IFERROR(__xludf.DUMMYFUNCTION("GOOGLETRANSLATE(A40404,""en"",""pt"")"),"Relativamente tranqüila, fácil de cartuchos de recarga, boa saída em papel revestido caro. manipulação de tons de cinza Fair.")</f>
        <v>Relativamente tranqüila, fácil de cartuchos de recarga, boa saída em papel revestido caro. manipulação de tons de cinza Fair.</v>
      </c>
      <c r="B40404" s="3">
        <v>1</v>
      </c>
    </row>
    <row r="40405" ht="15.75" customHeight="1" spans="1:2">
      <c r="A40405" s="3" t="str">
        <f>IFERROR(__xludf.DUMMYFUNCTION("GOOGLETRANSLATE(A40405,""en"",""pt"")"),"impressora a cores visual elegante")</f>
        <v>impressora a cores visual elegante</v>
      </c>
      <c r="B40405" s="3">
        <v>1</v>
      </c>
    </row>
    <row r="40406" ht="15.75" customHeight="1" spans="1:2">
      <c r="A40406" s="3" t="str">
        <f>IFERROR(__xludf.DUMMYFUNCTION("GOOGLETRANSLATE(A40406,""en"",""pt"")"),"Barato, resistente, boa qualidade de impressão,")</f>
        <v>Barato, resistente, boa qualidade de impressão,</v>
      </c>
      <c r="B40406" s="3">
        <v>1</v>
      </c>
    </row>
    <row r="40407" ht="15.75" customHeight="1" spans="1:2">
      <c r="A40407" s="3" t="str">
        <f>IFERROR(__xludf.DUMMYFUNCTION("GOOGLETRANSLATE(A40407,""en"",""pt"")"),"Ind. Tanques de cor, de baixo custo, rápida impressão ..")</f>
        <v>Ind. Tanques de cor, de baixo custo, rápida impressão ..</v>
      </c>
      <c r="B40407" s="3">
        <v>1</v>
      </c>
    </row>
    <row r="40408" ht="15.75" customHeight="1" spans="1:2">
      <c r="A40408" s="3" t="str">
        <f>IFERROR(__xludf.DUMMYFUNCTION("GOOGLETRANSLATE(A40408,""en"",""pt"")"),"grande qualidade, detalhes surpreendentes")</f>
        <v>grande qualidade, detalhes surpreendentes</v>
      </c>
      <c r="B40408" s="3">
        <v>1</v>
      </c>
    </row>
    <row r="40409" ht="15.75" customHeight="1" spans="1:2">
      <c r="A40409" s="3" t="str">
        <f>IFERROR(__xludf.DUMMYFUNCTION("GOOGLETRANSLATE(A40409,""en"",""pt"")"),"Impressões rápidas e baratas em tinta")</f>
        <v>Impressões rápidas e baratas em tinta</v>
      </c>
      <c r="B40409" s="3">
        <v>1</v>
      </c>
    </row>
    <row r="40410" ht="15.75" customHeight="1" spans="1:2">
      <c r="A40410" s="3" t="str">
        <f>IFERROR(__xludf.DUMMYFUNCTION("GOOGLETRANSLATE(A40410,""en"",""pt"")"),"Grande configuração tinta. Excelente cor e velocidade.")</f>
        <v>Grande configuração tinta. Excelente cor e velocidade.</v>
      </c>
      <c r="B40410" s="3">
        <v>1</v>
      </c>
    </row>
    <row r="40411" ht="15.75" customHeight="1" spans="1:2">
      <c r="A40411" s="3" t="str">
        <f>IFERROR(__xludf.DUMMYFUNCTION("GOOGLETRANSLATE(A40411,""en"",""pt"")"),"tinta de baixo custo, de recarga cartuchos prontamente disponível.")</f>
        <v>tinta de baixo custo, de recarga cartuchos prontamente disponível.</v>
      </c>
      <c r="B40411" s="3">
        <v>1</v>
      </c>
    </row>
    <row r="40412" ht="15.75" customHeight="1" spans="1:2">
      <c r="A40412" s="3" t="str">
        <f>IFERROR(__xludf.DUMMYFUNCTION("GOOGLETRANSLATE(A40412,""en"",""pt"")"),"reservatórios de tinta individuais, USB, rápido, silencioso, US $ 20USD rebate fábrica")</f>
        <v>reservatórios de tinta individuais, USB, rápido, silencioso, US $ 20USD rebate fábrica</v>
      </c>
      <c r="B40412" s="3">
        <v>1</v>
      </c>
    </row>
    <row r="40413" ht="15.75" customHeight="1" spans="1:2">
      <c r="A40413" s="3" t="str">
        <f>IFERROR(__xludf.DUMMYFUNCTION("GOOGLETRANSLATE(A40413,""en"",""pt"")"),"Cartuchos baratos")</f>
        <v>Cartuchos baratos</v>
      </c>
      <c r="B40413" s="3">
        <v>1</v>
      </c>
    </row>
    <row r="40414" ht="15.75" customHeight="1" spans="1:2">
      <c r="A40414" s="3" t="str">
        <f>IFERROR(__xludf.DUMMYFUNCTION("GOOGLETRANSLATE(A40414,""en"",""pt"")"),"Relativamente barata; os cartuchos de tinta separados")</f>
        <v>Relativamente barata; os cartuchos de tinta separados</v>
      </c>
      <c r="B40414" s="3">
        <v>1</v>
      </c>
    </row>
    <row r="40415" ht="15.75" customHeight="1" spans="1:2">
      <c r="A40415" s="3" t="str">
        <f>IFERROR(__xludf.DUMMYFUNCTION("GOOGLETRANSLATE(A40415,""en"",""pt"")"),"rápido, de boa qualidade, luz, infravermelho")</f>
        <v>rápido, de boa qualidade, luz, infravermelho</v>
      </c>
      <c r="B40415" s="3">
        <v>1</v>
      </c>
    </row>
    <row r="40416" ht="15.75" customHeight="1" spans="1:2">
      <c r="A40416" s="3" t="str">
        <f>IFERROR(__xludf.DUMMYFUNCTION("GOOGLETRANSLATE(A40416,""en"",""pt"")"),"Muito leve, portátil, simples de operar")</f>
        <v>Muito leve, portátil, simples de operar</v>
      </c>
      <c r="B40416" s="3">
        <v>1</v>
      </c>
    </row>
    <row r="40417" ht="15.75" customHeight="1" spans="1:2">
      <c r="A40417" s="3" t="str">
        <f>IFERROR(__xludf.DUMMYFUNCTION("GOOGLETRANSLATE(A40417,""en"",""pt"")"),"LEVE")</f>
        <v>LEVE</v>
      </c>
      <c r="B40417" s="3">
        <v>1</v>
      </c>
    </row>
    <row r="40418" ht="15.75" customHeight="1" spans="1:2">
      <c r="A40418" s="3" t="str">
        <f>IFERROR(__xludf.DUMMYFUNCTION("GOOGLETRANSLATE(A40418,""en"",""pt"")"),"Lite e fácil de transportar. Útil para ter ao longo")</f>
        <v>Lite e fácil de transportar. Útil para ter ao longo</v>
      </c>
      <c r="B40418" s="3">
        <v>1</v>
      </c>
    </row>
    <row r="40419" ht="15.75" customHeight="1" spans="1:2">
      <c r="A40419" s="3" t="str">
        <f>IFERROR(__xludf.DUMMYFUNCTION("GOOGLETRANSLATE(A40419,""en"",""pt"")"),"bateria estendida, excelente compatibilidade, resultado documento de qualidade, portabilidade sem fio")</f>
        <v>bateria estendida, excelente compatibilidade, resultado documento de qualidade, portabilidade sem fio</v>
      </c>
      <c r="B40419" s="3">
        <v>1</v>
      </c>
    </row>
    <row r="40420" ht="15.75" customHeight="1" spans="1:2">
      <c r="A40420" s="3" t="str">
        <f>IFERROR(__xludf.DUMMYFUNCTION("GOOGLETRANSLATE(A40420,""en"",""pt"")"),"extremamente versátil, melhor qualidade de impressão no mercado impressora portátil, pequeno e leve")</f>
        <v>extremamente versátil, melhor qualidade de impressão no mercado impressora portátil, pequeno e leve</v>
      </c>
      <c r="B40420" s="3">
        <v>1</v>
      </c>
    </row>
    <row r="40421" ht="15.75" customHeight="1" spans="1:2">
      <c r="A40421" s="3" t="str">
        <f>IFERROR(__xludf.DUMMYFUNCTION("GOOGLETRANSLATE(A40421,""en"",""pt"")"),"muito compacto e móvel")</f>
        <v>muito compacto e móvel</v>
      </c>
      <c r="B40421" s="3">
        <v>1</v>
      </c>
    </row>
    <row r="40422" ht="15.75" customHeight="1" spans="1:2">
      <c r="A40422" s="3" t="str">
        <f>IFERROR(__xludf.DUMMYFUNCTION("GOOGLETRANSLATE(A40422,""en"",""pt"")"),"Leve, pequeno, bateria, rápido, IR, os motoristas WinCE ...")</f>
        <v>Leve, pequeno, bateria, rápido, IR, os motoristas WinCE ...</v>
      </c>
      <c r="B40422" s="3">
        <v>1</v>
      </c>
    </row>
    <row r="40423" ht="15.75" customHeight="1" spans="1:2">
      <c r="A40423" s="3" t="str">
        <f>IFERROR(__xludf.DUMMYFUNCTION("GOOGLETRANSLATE(A40423,""en"",""pt"")"),"rápido para equipamentos portáteis, muito boa qualidade, pequeno, leve")</f>
        <v>rápido para equipamentos portáteis, muito boa qualidade, pequeno, leve</v>
      </c>
      <c r="B40423" s="3">
        <v>1</v>
      </c>
    </row>
    <row r="40424" ht="15.75" customHeight="1" spans="1:2">
      <c r="A40424" s="3" t="str">
        <f>IFERROR(__xludf.DUMMYFUNCTION("GOOGLETRANSLATE(A40424,""en"",""pt"")"),"Minha Canon 600 e 610 foram bons.")</f>
        <v>Minha Canon 600 e 610 foram bons.</v>
      </c>
      <c r="B40424" s="3">
        <v>1</v>
      </c>
    </row>
    <row r="40425" ht="15.75" customHeight="1" spans="1:2">
      <c r="A40425" s="3" t="str">
        <f>IFERROR(__xludf.DUMMYFUNCTION("GOOGLETRANSLATE(A40425,""en"",""pt"")"),"Ele só falha quando eu ligá-lo.")</f>
        <v>Ele só falha quando eu ligá-lo.</v>
      </c>
      <c r="B40425" s="3">
        <v>1</v>
      </c>
    </row>
    <row r="40426" ht="15.75" customHeight="1" spans="1:2">
      <c r="A40426" s="3" t="str">
        <f>IFERROR(__xludf.DUMMYFUNCTION("GOOGLETRANSLATE(A40426,""en"",""pt"")"),"Baixo custo.")</f>
        <v>Baixo custo.</v>
      </c>
      <c r="B40426" s="3">
        <v>1</v>
      </c>
    </row>
    <row r="40427" ht="15.75" customHeight="1" spans="1:2">
      <c r="A40427" s="3" t="str">
        <f>IFERROR(__xludf.DUMMYFUNCTION("GOOGLETRANSLATE(A40427,""en"",""pt"")"),"Quando funciona, ele funciona OK.")</f>
        <v>Quando funciona, ele funciona OK.</v>
      </c>
      <c r="B40427" s="3">
        <v>1</v>
      </c>
    </row>
    <row r="40428" ht="15.75" customHeight="1" spans="1:2">
      <c r="A40428" s="3" t="str">
        <f>IFERROR(__xludf.DUMMYFUNCTION("GOOGLETRANSLATE(A40428,""en"",""pt"")"),"Mais barato do que os outros")</f>
        <v>Mais barato do que os outros</v>
      </c>
      <c r="B40428" s="3">
        <v>1</v>
      </c>
    </row>
    <row r="40429" ht="15.75" customHeight="1" spans="1:2">
      <c r="A40429" s="3" t="str">
        <f>IFERROR(__xludf.DUMMYFUNCTION("GOOGLETRANSLATE(A40429,""en"",""pt"")"),"Muito boa cor. impressão de texto preto rico")</f>
        <v>Muito boa cor. impressão de texto preto rico</v>
      </c>
      <c r="B40429" s="3">
        <v>1</v>
      </c>
    </row>
    <row r="40430" ht="15.75" customHeight="1" spans="1:2">
      <c r="A40430" s="3" t="str">
        <f>IFERROR(__xludf.DUMMYFUNCTION("GOOGLETRANSLATE(A40430,""en"",""pt"")"),"Boa qualidade, excelente suporte ao cliente.")</f>
        <v>Boa qualidade, excelente suporte ao cliente.</v>
      </c>
      <c r="B40430" s="3">
        <v>1</v>
      </c>
    </row>
    <row r="40431" ht="15.75" customHeight="1" spans="1:2">
      <c r="A40431" s="3" t="s">
        <v>211</v>
      </c>
      <c r="B40431" s="3">
        <v>1</v>
      </c>
    </row>
    <row r="40432" ht="15.75" customHeight="1" spans="1:2">
      <c r="A40432" s="3" t="str">
        <f>IFERROR(__xludf.DUMMYFUNCTION("GOOGLETRANSLATE(A40432,""en"",""pt"")"),"Fácil de instalar, usar, qualidade razoável")</f>
        <v>Fácil de instalar, usar, qualidade razoável</v>
      </c>
      <c r="B40432" s="3">
        <v>1</v>
      </c>
    </row>
    <row r="40433" ht="15.75" customHeight="1" spans="1:2">
      <c r="A40433" s="3" t="str">
        <f>IFERROR(__xludf.DUMMYFUNCTION("GOOGLETRANSLATE(A40433,""en"",""pt"")"),"Qualidade da produção")</f>
        <v>Qualidade da produção</v>
      </c>
      <c r="B40433" s="3">
        <v>1</v>
      </c>
    </row>
    <row r="40434" ht="15.75" customHeight="1" spans="1:2">
      <c r="A40434" s="3" t="str">
        <f>IFERROR(__xludf.DUMMYFUNCTION("GOOGLETRANSLATE(A40434,""en"",""pt"")"),"Qualidade de imagem, velocidade")</f>
        <v>Qualidade de imagem, velocidade</v>
      </c>
      <c r="B40434" s="3">
        <v>1</v>
      </c>
    </row>
    <row r="40435" ht="15.75" customHeight="1" spans="1:2">
      <c r="A40435" s="3" t="str">
        <f>IFERROR(__xludf.DUMMYFUNCTION("GOOGLETRANSLATE(A40435,""en"",""pt"")"),"Você pode obtê-lo muito barato agora ...")</f>
        <v>Você pode obtê-lo muito barato agora ...</v>
      </c>
      <c r="B40435" s="3">
        <v>1</v>
      </c>
    </row>
    <row r="40436" ht="15.75" customHeight="1" spans="1:2">
      <c r="A40436" s="3" t="str">
        <f>IFERROR(__xludf.DUMMYFUNCTION("GOOGLETRANSLATE(A40436,""en"",""pt"")"),"barato,")</f>
        <v>barato,</v>
      </c>
      <c r="B40436" s="3">
        <v>1</v>
      </c>
    </row>
    <row r="40437" ht="15.75" customHeight="1" spans="1:2">
      <c r="A40437" s="3" t="str">
        <f>IFERROR(__xludf.DUMMYFUNCTION("GOOGLETRANSLATE(A40437,""en"",""pt"")"),"Preço barato")</f>
        <v>Preço barato</v>
      </c>
      <c r="B40437" s="3">
        <v>1</v>
      </c>
    </row>
    <row r="40438" ht="15.75" customHeight="1" spans="1:2">
      <c r="A40438" s="3" t="str">
        <f>IFERROR(__xludf.DUMMYFUNCTION("GOOGLETRANSLATE(A40438,""en"",""pt"")"),"faz um bom peso de papel, parece impressionante")</f>
        <v>faz um bom peso de papel, parece impressionante</v>
      </c>
      <c r="B40438" s="3">
        <v>1</v>
      </c>
    </row>
    <row r="40439" ht="15.75" customHeight="1" spans="1:2">
      <c r="A40439" s="3" t="str">
        <f>IFERROR(__xludf.DUMMYFUNCTION("GOOGLETRANSLATE(A40439,""en"",""pt"")"),"qualidade de impressão decente, grande formato, algum software interessante")</f>
        <v>qualidade de impressão decente, grande formato, algum software interessante</v>
      </c>
      <c r="B40439" s="3">
        <v>1</v>
      </c>
    </row>
    <row r="40440" ht="15.75" customHeight="1" spans="1:2">
      <c r="A40440" s="3" t="str">
        <f>IFERROR(__xludf.DUMMYFUNCTION("GOOGLETRANSLATE(A40440,""en"",""pt"")"),"baixo custo, pacote de software, agradável velocidade e qualidade")</f>
        <v>baixo custo, pacote de software, agradável velocidade e qualidade</v>
      </c>
      <c r="B40440" s="3">
        <v>1</v>
      </c>
    </row>
    <row r="40441" ht="15.75" customHeight="1" spans="1:2">
      <c r="A40441" s="3" t="str">
        <f>IFERROR(__xludf.DUMMYFUNCTION("GOOGLETRANSLATE(A40441,""en"",""pt"")"),"Boa qualidade para b / w")</f>
        <v>Boa qualidade para b / w</v>
      </c>
      <c r="B40441" s="3">
        <v>1</v>
      </c>
    </row>
    <row r="40442" ht="15.75" customHeight="1" spans="1:2">
      <c r="A40442" s="3" t="str">
        <f>IFERROR(__xludf.DUMMYFUNCTION("GOOGLETRANSLATE(A40442,""en"",""pt"")"),"velocidade, qualidade")</f>
        <v>velocidade, qualidade</v>
      </c>
      <c r="B40442" s="3">
        <v>1</v>
      </c>
    </row>
    <row r="40443" ht="15.75" customHeight="1" spans="1:2">
      <c r="A40443" s="3" t="str">
        <f>IFERROR(__xludf.DUMMYFUNCTION("GOOGLETRANSLATE(A40443,""en"",""pt"")"),"grande máquina HP")</f>
        <v>grande máquina HP</v>
      </c>
      <c r="B40443" s="3">
        <v>1</v>
      </c>
    </row>
    <row r="40444" ht="15.75" customHeight="1" spans="1:2">
      <c r="A40444" s="3" t="str">
        <f>IFERROR(__xludf.DUMMYFUNCTION("GOOGLETRANSLATE(A40444,""en"",""pt"")"),"Faz tudo: imprime, copia &amp; amp; amp; FAX")</f>
        <v>Faz tudo: imprime, copia &amp; amp; amp; FAX</v>
      </c>
      <c r="B40444" s="3">
        <v>1</v>
      </c>
    </row>
    <row r="40445" ht="15.75" customHeight="1" spans="1:2">
      <c r="A40445" s="3" t="str">
        <f>IFERROR(__xludf.DUMMYFUNCTION("GOOGLETRANSLATE(A40445,""en"",""pt"")"),"Foto legal")</f>
        <v>Foto legal</v>
      </c>
      <c r="B40445" s="3">
        <v>1</v>
      </c>
    </row>
    <row r="40446" ht="15.75" customHeight="1" spans="1:2">
      <c r="A40446" s="3" t="str">
        <f>IFERROR(__xludf.DUMMYFUNCTION("GOOGLETRANSLATE(A40446,""en"",""pt"")"),"baixo custo de manutenção")</f>
        <v>baixo custo de manutenção</v>
      </c>
      <c r="B40446" s="3">
        <v>1</v>
      </c>
    </row>
    <row r="40447" ht="15.75" customHeight="1" spans="1:2">
      <c r="A40447" s="3" t="str">
        <f>IFERROR(__xludf.DUMMYFUNCTION("GOOGLETRANSLATE(A40447,""en"",""pt"")"),"foto grelha em papel brilhante.")</f>
        <v>foto grelha em papel brilhante.</v>
      </c>
      <c r="B40447" s="3">
        <v>1</v>
      </c>
    </row>
    <row r="40448" ht="15.75" customHeight="1" spans="1:2">
      <c r="A40448" s="3" t="str">
        <f>IFERROR(__xludf.DUMMYFUNCTION("GOOGLETRANSLATE(A40448,""en"",""pt"")"),"Impressão mais rápida, capaz de imprimir grandes itens, tais como cartazes")</f>
        <v>Impressão mais rápida, capaz de imprimir grandes itens, tais como cartazes</v>
      </c>
      <c r="B40448" s="3">
        <v>1</v>
      </c>
    </row>
    <row r="40449" ht="15.75" customHeight="1" spans="1:2">
      <c r="A40449" s="3" t="str">
        <f>IFERROR(__xludf.DUMMYFUNCTION("GOOGLETRANSLATE(A40449,""en"",""pt"")"),"nada")</f>
        <v>nada</v>
      </c>
      <c r="B40449" s="3">
        <v>1</v>
      </c>
    </row>
    <row r="40450" ht="15.75" customHeight="1" spans="1:2">
      <c r="A40450" s="3" t="str">
        <f>IFERROR(__xludf.DUMMYFUNCTION("GOOGLETRANSLATE(A40450,""en"",""pt"")"),"4 em 1 tudo que você precisa .........")</f>
        <v>4 em 1 tudo que você precisa .........</v>
      </c>
      <c r="B40450" s="3">
        <v>1</v>
      </c>
    </row>
    <row r="40451" ht="15.75" customHeight="1" spans="1:2">
      <c r="A40451" s="3" t="str">
        <f>IFERROR(__xludf.DUMMYFUNCTION("GOOGLETRANSLATE(A40451,""en"",""pt"")"),"Alta velocidade, Grande Cor !!")</f>
        <v>Alta velocidade, Grande Cor !!</v>
      </c>
      <c r="B40451" s="3">
        <v>1</v>
      </c>
    </row>
    <row r="40452" ht="15.75" customHeight="1" spans="1:2">
      <c r="A40452" s="3" t="str">
        <f>IFERROR(__xludf.DUMMYFUNCTION("GOOGLETRANSLATE(A40452,""en"",""pt"")"),"grande variedade de tipos de impressão e papéis")</f>
        <v>grande variedade de tipos de impressão e papéis</v>
      </c>
      <c r="B40452" s="3">
        <v>1</v>
      </c>
    </row>
    <row r="40453" ht="15.75" customHeight="1" spans="1:2">
      <c r="A40453" s="3" t="str">
        <f>IFERROR(__xludf.DUMMYFUNCTION("GOOGLETRANSLATE(A40453,""en"",""pt"")"),"Parece bom eu acho")</f>
        <v>Parece bom eu acho</v>
      </c>
      <c r="B40453" s="3">
        <v>1</v>
      </c>
    </row>
    <row r="40454" ht="15.75" customHeight="1" spans="1:2">
      <c r="A40454" s="3" t="str">
        <f>IFERROR(__xludf.DUMMYFUNCTION("GOOGLETRANSLATE(A40454,""en"",""pt"")"),"A qualidade de impressão, durável")</f>
        <v>A qualidade de impressão, durável</v>
      </c>
      <c r="B40454" s="3">
        <v>1</v>
      </c>
    </row>
    <row r="40455" ht="15.75" customHeight="1" spans="1:2">
      <c r="A40455" s="3" t="str">
        <f>IFERROR(__xludf.DUMMYFUNCTION("GOOGLETRANSLATE(A40455,""en"",""pt"")"),"Quando funciona, é muito agradável.")</f>
        <v>Quando funciona, é muito agradável.</v>
      </c>
      <c r="B40455" s="3">
        <v>1</v>
      </c>
    </row>
    <row r="40456" ht="15.75" customHeight="1" spans="1:2">
      <c r="A40456" s="3" t="str">
        <f>IFERROR(__xludf.DUMMYFUNCTION("GOOGLETRANSLATE(A40456,""en"",""pt"")"),"barato")</f>
        <v>barato</v>
      </c>
      <c r="B40456" s="3">
        <v>1</v>
      </c>
    </row>
    <row r="40457" ht="15.75" customHeight="1" spans="1:2">
      <c r="A40457" s="3" t="str">
        <f>IFERROR(__xludf.DUMMYFUNCTION("GOOGLETRANSLATE(A40457,""en"",""pt"")"),"Barato, qualidade agradável")</f>
        <v>Barato, qualidade agradável</v>
      </c>
      <c r="B40457" s="3">
        <v>1</v>
      </c>
    </row>
    <row r="40458" ht="15.75" customHeight="1" spans="1:2">
      <c r="A40458" s="3" t="str">
        <f>IFERROR(__xludf.DUMMYFUNCTION("GOOGLETRANSLATE(A40458,""en"",""pt"")"),"Ele lida com 11x17 papel, imprime rápido em preto e branco")</f>
        <v>Ele lida com 11x17 papel, imprime rápido em preto e branco</v>
      </c>
      <c r="B40458" s="3">
        <v>1</v>
      </c>
    </row>
    <row r="40459" ht="15.75" customHeight="1" spans="1:2">
      <c r="A40459" s="3" t="str">
        <f>IFERROR(__xludf.DUMMYFUNCTION("GOOGLETRANSLATE(A40459,""en"",""pt"")"),"Bom preço, boa qualidade")</f>
        <v>Bom preço, boa qualidade</v>
      </c>
      <c r="B40459" s="3">
        <v>1</v>
      </c>
    </row>
    <row r="40460" ht="15.75" customHeight="1" spans="1:2">
      <c r="A40460" s="3" t="str">
        <f>IFERROR(__xludf.DUMMYFUNCTION("GOOGLETRANSLATE(A40460,""en"",""pt"")"),"Confiabilidade, baixo custo")</f>
        <v>Confiabilidade, baixo custo</v>
      </c>
      <c r="B40460" s="3">
        <v>1</v>
      </c>
    </row>
    <row r="40461" ht="15.75" customHeight="1" spans="1:2">
      <c r="A40461" s="3" t="str">
        <f>IFERROR(__xludf.DUMMYFUNCTION("GOOGLETRANSLATE(A40461,""en"",""pt"")"),"impressão a preto rápida")</f>
        <v>impressão a preto rápida</v>
      </c>
      <c r="B40461" s="3">
        <v>1</v>
      </c>
    </row>
    <row r="40462" ht="15.75" customHeight="1" spans="1:2">
      <c r="A40462" s="3" t="str">
        <f>IFERROR(__xludf.DUMMYFUNCTION("GOOGLETRANSLATE(A40462,""en"",""pt"")"),"Nenhum")</f>
        <v>Nenhum</v>
      </c>
      <c r="B40462" s="3">
        <v>1</v>
      </c>
    </row>
    <row r="40463" ht="15.75" customHeight="1" spans="1:2">
      <c r="A40463" s="3" t="str">
        <f>IFERROR(__xludf.DUMMYFUNCTION("GOOGLETRANSLATE(A40463,""en"",""pt"")"),"acessíveis configuração, fácil")</f>
        <v>acessíveis configuração, fácil</v>
      </c>
      <c r="B40463" s="3">
        <v>1</v>
      </c>
    </row>
    <row r="40464" ht="15.75" customHeight="1" spans="1:2">
      <c r="A40464" s="3" t="str">
        <f>IFERROR(__xludf.DUMMYFUNCTION("GOOGLETRANSLATE(A40464,""en"",""pt"")"),"Características boa soou na loja")</f>
        <v>Características boa soou na loja</v>
      </c>
      <c r="B40464" s="3">
        <v>1</v>
      </c>
    </row>
    <row r="40465" ht="15.75" customHeight="1" spans="1:2">
      <c r="A40465" s="3" t="str">
        <f>IFERROR(__xludf.DUMMYFUNCTION("GOOGLETRANSLATE(A40465,""en"",""pt"")"),"Mais rápido do que o nosso antigo")</f>
        <v>Mais rápido do que o nosso antigo</v>
      </c>
      <c r="B40465" s="3">
        <v>1</v>
      </c>
    </row>
    <row r="40466" ht="15.75" customHeight="1" spans="1:2">
      <c r="A40466" s="3" t="str">
        <f>IFERROR(__xludf.DUMMYFUNCTION("GOOGLETRANSLATE(A40466,""en"",""pt"")"),"impressão rápida")</f>
        <v>impressão rápida</v>
      </c>
      <c r="B40466" s="3">
        <v>1</v>
      </c>
    </row>
    <row r="40467" ht="15.75" customHeight="1" spans="1:2">
      <c r="A40467" s="3" t="str">
        <f>IFERROR(__xludf.DUMMYFUNCTION("GOOGLETRANSLATE(A40467,""en"",""pt"")"),"Às vezes ele põe para fora realmente bonitas imagens")</f>
        <v>Às vezes ele põe para fora realmente bonitas imagens</v>
      </c>
      <c r="B40467" s="3">
        <v>1</v>
      </c>
    </row>
    <row r="40468" ht="15.75" customHeight="1" spans="1:2">
      <c r="A40468" s="3" t="str">
        <f>IFERROR(__xludf.DUMMYFUNCTION("GOOGLETRANSLATE(A40468,""en"",""pt"")"),"Nao muitos")</f>
        <v>Nao muitos</v>
      </c>
      <c r="B40468" s="3">
        <v>1</v>
      </c>
    </row>
    <row r="40469" ht="15.75" customHeight="1" spans="1:2">
      <c r="A40469" s="3" t="str">
        <f>IFERROR(__xludf.DUMMYFUNCTION("GOOGLETRANSLATE(A40469,""en"",""pt"")"),"Innexpensive, Bom B &amp; amp; amp; W Printer")</f>
        <v>Innexpensive, Bom B &amp; amp; amp; W Printer</v>
      </c>
      <c r="B40469" s="3">
        <v>1</v>
      </c>
    </row>
    <row r="40470" ht="15.75" customHeight="1" spans="1:2">
      <c r="A40470" s="3" t="str">
        <f>IFERROR(__xludf.DUMMYFUNCTION("GOOGLETRANSLATE(A40470,""en"",""pt"")"),"caixa colorida bom se você gosta de bege")</f>
        <v>caixa colorida bom se você gosta de bege</v>
      </c>
      <c r="B40470" s="3">
        <v>1</v>
      </c>
    </row>
    <row r="40471" ht="15.75" customHeight="1" spans="1:2">
      <c r="A40471" s="3" t="str">
        <f>IFERROR(__xludf.DUMMYFUNCTION("GOOGLETRANSLATE(A40471,""en"",""pt"")"),"Preço e qualidade")</f>
        <v>Preço e qualidade</v>
      </c>
      <c r="B40471" s="3">
        <v>1</v>
      </c>
    </row>
    <row r="40472" ht="15.75" customHeight="1" spans="1:2">
      <c r="A40472" s="3" t="str">
        <f>IFERROR(__xludf.DUMMYFUNCTION("GOOGLETRANSLATE(A40472,""en"",""pt"")"),"Ótimo preço, impressão de grande formato")</f>
        <v>Ótimo preço, impressão de grande formato</v>
      </c>
      <c r="B40472" s="3">
        <v>1</v>
      </c>
    </row>
    <row r="40473" ht="15.75" customHeight="1" spans="1:2">
      <c r="A40473" s="3" t="str">
        <f>IFERROR(__xludf.DUMMYFUNCTION("GOOGLETRANSLATE(A40473,""en"",""pt"")"),"Absolutamente NONE para mim !!!")</f>
        <v>Absolutamente NONE para mim !!!</v>
      </c>
      <c r="B40473" s="3">
        <v>1</v>
      </c>
    </row>
    <row r="40474" ht="15.75" customHeight="1" spans="1:2">
      <c r="A40474" s="3" t="str">
        <f>IFERROR(__xludf.DUMMYFUNCTION("GOOGLETRANSLATE(A40474,""en"",""pt"")"),"set-up direções manuais e bem feito agradável do usuário")</f>
        <v>set-up direções manuais e bem feito agradável do usuário</v>
      </c>
      <c r="B40474" s="3">
        <v>1</v>
      </c>
    </row>
    <row r="40475" ht="15.75" customHeight="1" spans="1:2">
      <c r="A40475" s="3" t="str">
        <f>IFERROR(__xludf.DUMMYFUNCTION("GOOGLETRANSLATE(A40475,""en"",""pt"")"),"Baixo preço, grandes impressões a cores, até 11 x 17!")</f>
        <v>Baixo preço, grandes impressões a cores, até 11 x 17!</v>
      </c>
      <c r="B40475" s="3">
        <v>1</v>
      </c>
    </row>
    <row r="40476" ht="15.75" customHeight="1" spans="1:2">
      <c r="A40476" s="3" t="str">
        <f>IFERROR(__xludf.DUMMYFUNCTION("GOOGLETRANSLATE(A40476,""en"",""pt"")"),"Hmm. Nenhum que vêm à mente.")</f>
        <v>Hmm. Nenhum que vêm à mente.</v>
      </c>
      <c r="B40476" s="3">
        <v>1</v>
      </c>
    </row>
    <row r="40477" ht="15.75" customHeight="1" spans="1:2">
      <c r="A40477" s="3" t="str">
        <f>IFERROR(__xludf.DUMMYFUNCTION("GOOGLETRANSLATE(A40477,""en"",""pt"")"),"Pode lidar com papel 11x17; poucos ou nenhuns problemas de driver / software")</f>
        <v>Pode lidar com papel 11x17; poucos ou nenhuns problemas de driver / software</v>
      </c>
      <c r="B40477" s="3">
        <v>1</v>
      </c>
    </row>
    <row r="40478" ht="15.75" customHeight="1" spans="1:2">
      <c r="A40478" s="3" t="str">
        <f>IFERROR(__xludf.DUMMYFUNCTION("GOOGLETRANSLATE(A40478,""en"",""pt"")"),"grande formato, uma grande quantidade de capacidade para o dinheiro, barato para ser executado.")</f>
        <v>grande formato, uma grande quantidade de capacidade para o dinheiro, barato para ser executado.</v>
      </c>
      <c r="B40478" s="3">
        <v>1</v>
      </c>
    </row>
    <row r="40479" ht="15.75" customHeight="1" spans="1:2">
      <c r="A40479" s="3" t="str">
        <f>IFERROR(__xludf.DUMMYFUNCTION("GOOGLETRANSLATE(A40479,""en"",""pt"")"),"impressão relativamente rápido")</f>
        <v>impressão relativamente rápido</v>
      </c>
      <c r="B40479" s="3">
        <v>1</v>
      </c>
    </row>
    <row r="40480" ht="15.75" customHeight="1" spans="1:2">
      <c r="A40480" s="3" t="str">
        <f>IFERROR(__xludf.DUMMYFUNCTION("GOOGLETRANSLATE(A40480,""en"",""pt"")"),"Não consigo pensar em um!")</f>
        <v>Não consigo pensar em um!</v>
      </c>
      <c r="B40480" s="3">
        <v>1</v>
      </c>
    </row>
    <row r="40481" ht="15.75" customHeight="1" spans="1:2">
      <c r="A40481" s="3" t="str">
        <f>IFERROR(__xludf.DUMMYFUNCTION("GOOGLETRANSLATE(A40481,""en"",""pt"")"),"custo inicial, a qualidade de impressão, velocidade de impressão.")</f>
        <v>custo inicial, a qualidade de impressão, velocidade de impressão.</v>
      </c>
      <c r="B40481" s="3">
        <v>1</v>
      </c>
    </row>
    <row r="40482" ht="15.75" customHeight="1" spans="1:2">
      <c r="A40482" s="3" t="str">
        <f>IFERROR(__xludf.DUMMYFUNCTION("GOOGLETRANSLATE(A40482,""en"",""pt"")"),"barato")</f>
        <v>barato</v>
      </c>
      <c r="B40482" s="3">
        <v>1</v>
      </c>
    </row>
    <row r="40483" ht="15.75" customHeight="1" spans="1:2">
      <c r="A40483" s="3" t="str">
        <f>IFERROR(__xludf.DUMMYFUNCTION("GOOGLETRANSLATE(A40483,""en"",""pt"")"),"Qualidade, velocidade e preço")</f>
        <v>Qualidade, velocidade e preço</v>
      </c>
      <c r="B40483" s="3">
        <v>1</v>
      </c>
    </row>
    <row r="40484" ht="15.75" customHeight="1" spans="1:2">
      <c r="A40484" s="3" t="str">
        <f>IFERROR(__xludf.DUMMYFUNCTION("GOOGLETRANSLATE(A40484,""en"",""pt"")"),"impressão rápida, 11x17 impressão, baixo custo unitário")</f>
        <v>impressão rápida, 11x17 impressão, baixo custo unitário</v>
      </c>
      <c r="B40484" s="3">
        <v>1</v>
      </c>
    </row>
    <row r="40485" ht="15.75" customHeight="1" spans="1:2">
      <c r="A40485" s="3" t="str">
        <f>IFERROR(__xludf.DUMMYFUNCTION("GOOGLETRANSLATE(A40485,""en"",""pt"")"),"Gráficos impressões de alta qualidade para 11X17")</f>
        <v>Gráficos impressões de alta qualidade para 11X17</v>
      </c>
      <c r="B40485" s="3">
        <v>1</v>
      </c>
    </row>
    <row r="40486" ht="15.75" customHeight="1" spans="1:2">
      <c r="A40486" s="3" t="str">
        <f>IFERROR(__xludf.DUMMYFUNCTION("GOOGLETRANSLATE(A40486,""en"",""pt"")"),"de impressão de qualidade, rápido, cartuchos baratos")</f>
        <v>de impressão de qualidade, rápido, cartuchos baratos</v>
      </c>
      <c r="B40486" s="3">
        <v>1</v>
      </c>
    </row>
    <row r="40487" ht="15.75" customHeight="1" spans="1:2">
      <c r="A40487" s="3" t="str">
        <f>IFERROR(__xludf.DUMMYFUNCTION("GOOGLETRANSLATE(A40487,""en"",""pt"")"),"Rápido, versátil e econômica")</f>
        <v>Rápido, versátil e econômica</v>
      </c>
      <c r="B40487" s="3">
        <v>1</v>
      </c>
    </row>
    <row r="40488" ht="15.75" customHeight="1" spans="1:2">
      <c r="A40488" s="3" t="str">
        <f>IFERROR(__xludf.DUMMYFUNCTION("GOOGLETRANSLATE(A40488,""en"",""pt"")"),"tempo de impressão bastante rápido")</f>
        <v>tempo de impressão bastante rápido</v>
      </c>
      <c r="B40488" s="3">
        <v>1</v>
      </c>
    </row>
    <row r="40489" ht="15.75" customHeight="1" spans="1:2">
      <c r="A40489" s="3" t="str">
        <f>IFERROR(__xludf.DUMMYFUNCTION("GOOGLETRANSLATE(A40489,""en"",""pt"")"),"Bom para uso doméstico. Mais rápido do que alguns outros")</f>
        <v>Bom para uso doméstico. Mais rápido do que alguns outros</v>
      </c>
      <c r="B40489" s="3">
        <v>1</v>
      </c>
    </row>
    <row r="40490" ht="15.75" customHeight="1" spans="1:2">
      <c r="A40490" s="3" t="str">
        <f>IFERROR(__xludf.DUMMYFUNCTION("GOOGLETRANSLATE(A40490,""en"",""pt"")"),"grandes cópias coloridas / fácil de usar / muito confiável")</f>
        <v>grandes cópias coloridas / fácil de usar / muito confiável</v>
      </c>
      <c r="B40490" s="3">
        <v>1</v>
      </c>
    </row>
    <row r="40491" ht="15.75" customHeight="1" spans="1:2">
      <c r="A40491" s="3" t="str">
        <f>IFERROR(__xludf.DUMMYFUNCTION("GOOGLETRANSLATE(A40491,""en"",""pt"")"),"Eu honestamente não consigo pensar em uma !!!")</f>
        <v>Eu honestamente não consigo pensar em uma !!!</v>
      </c>
      <c r="B40491" s="3">
        <v>1</v>
      </c>
    </row>
    <row r="40492" ht="15.75" customHeight="1" spans="1:2">
      <c r="A40492" s="3" t="str">
        <f>IFERROR(__xludf.DUMMYFUNCTION("GOOGLETRANSLATE(A40492,""en"",""pt"")"),"Bom preço, boa qualidade de impressão, cartuchos fáceis de encontrar")</f>
        <v>Bom preço, boa qualidade de impressão, cartuchos fáceis de encontrar</v>
      </c>
      <c r="B40492" s="3">
        <v>1</v>
      </c>
    </row>
    <row r="40493" ht="15.75" customHeight="1" spans="1:2">
      <c r="A40493" s="3" t="str">
        <f>IFERROR(__xludf.DUMMYFUNCTION("GOOGLETRANSLATE(A40493,""en"",""pt"")"),"fácil de tinta mudança, imprime clara, rápida (após ser aquecido)")</f>
        <v>fácil de tinta mudança, imprime clara, rápida (após ser aquecido)</v>
      </c>
      <c r="B40493" s="3">
        <v>1</v>
      </c>
    </row>
    <row r="40494" ht="15.75" customHeight="1" spans="1:2">
      <c r="A40494" s="3" t="str">
        <f>IFERROR(__xludf.DUMMYFUNCTION("GOOGLETRANSLATE(A40494,""en"",""pt"")"),"Ele foi barato e veio com um desconto.")</f>
        <v>Ele foi barato e veio com um desconto.</v>
      </c>
      <c r="B40494" s="3">
        <v>1</v>
      </c>
    </row>
    <row r="40495" ht="15.75" customHeight="1" spans="1:2">
      <c r="A40495" s="3" t="str">
        <f>IFERROR(__xludf.DUMMYFUNCTION("GOOGLETRANSLATE(A40495,""en"",""pt"")"),"barato, Adobe PhotoDeluxe incluído")</f>
        <v>barato, Adobe PhotoDeluxe incluído</v>
      </c>
      <c r="B40495" s="3">
        <v>1</v>
      </c>
    </row>
    <row r="40496" ht="15.75" customHeight="1" spans="1:2">
      <c r="A40496" s="3" t="str">
        <f>IFERROR(__xludf.DUMMYFUNCTION("GOOGLETRANSLATE(A40496,""en"",""pt"")"),"duas cartucho usado de uma só vez")</f>
        <v>duas cartucho usado de uma só vez</v>
      </c>
      <c r="B40496" s="3">
        <v>1</v>
      </c>
    </row>
    <row r="40497" ht="15.75" customHeight="1" spans="1:2">
      <c r="A40497" s="3" t="str">
        <f>IFERROR(__xludf.DUMMYFUNCTION("GOOGLETRANSLATE(A40497,""en"",""pt"")"),"A saída é grande")</f>
        <v>A saída é grande</v>
      </c>
      <c r="B40497" s="3">
        <v>1</v>
      </c>
    </row>
    <row r="40498" ht="15.75" customHeight="1" spans="1:2">
      <c r="A40498" s="3" t="str">
        <f>IFERROR(__xludf.DUMMYFUNCTION("GOOGLETRANSLATE(A40498,""en"",""pt"")"),"10 ppm em preto, muito versátil, interface simples, muito fácil de usar, bastante pequena, impressão 11x14 papel")</f>
        <v>10 ppm em preto, muito versátil, interface simples, muito fácil de usar, bastante pequena, impressão 11x14 papel</v>
      </c>
      <c r="B40498" s="3">
        <v>1</v>
      </c>
    </row>
    <row r="40499" ht="15.75" customHeight="1" spans="1:2">
      <c r="A40499" s="3" t="str">
        <f>IFERROR(__xludf.DUMMYFUNCTION("GOOGLETRANSLATE(A40499,""en"",""pt"")"),"Facilidade de uso, qualidade de impressão, software adicional")</f>
        <v>Facilidade de uso, qualidade de impressão, software adicional</v>
      </c>
      <c r="B40499" s="3">
        <v>1</v>
      </c>
    </row>
    <row r="40500" ht="15.75" customHeight="1" spans="1:2">
      <c r="A40500" s="3" t="str">
        <f>IFERROR(__xludf.DUMMYFUNCTION("GOOGLETRANSLATE(A40500,""en"",""pt"")"),"versatilidade")</f>
        <v>versatilidade</v>
      </c>
      <c r="B40500" s="3">
        <v>1</v>
      </c>
    </row>
    <row r="40501" ht="15.75" customHeight="1" spans="1:2">
      <c r="A40501" s="3" t="str">
        <f>IFERROR(__xludf.DUMMYFUNCTION("GOOGLETRANSLATE(A40501,""en"",""pt"")"),"pequeno, barato")</f>
        <v>pequeno, barato</v>
      </c>
      <c r="B40501" s="3">
        <v>1</v>
      </c>
    </row>
    <row r="40502" ht="15.75" customHeight="1" spans="1:2">
      <c r="A40502" s="3" t="str">
        <f>IFERROR(__xludf.DUMMYFUNCTION("GOOGLETRANSLATE(A40502,""en"",""pt"")"),"Rápido, excelente qualidade, e muito barato.")</f>
        <v>Rápido, excelente qualidade, e muito barato.</v>
      </c>
      <c r="B40502" s="3">
        <v>1</v>
      </c>
    </row>
    <row r="40503" ht="15.75" customHeight="1" spans="1:2">
      <c r="A40503" s="3" t="str">
        <f>IFERROR(__xludf.DUMMYFUNCTION("GOOGLETRANSLATE(A40503,""en"",""pt"")"),"Relâmpago velocidade rápida")</f>
        <v>Relâmpago velocidade rápida</v>
      </c>
      <c r="B40503" s="3">
        <v>1</v>
      </c>
    </row>
    <row r="40504" ht="15.75" customHeight="1" spans="1:2">
      <c r="A40504" s="3" t="str">
        <f>IFERROR(__xludf.DUMMYFUNCTION("GOOGLETRANSLATE(A40504,""en"",""pt"")"),"Pequeno, útil, boa qualidade de impressão, barato")</f>
        <v>Pequeno, útil, boa qualidade de impressão, barato</v>
      </c>
      <c r="B40504" s="3">
        <v>1</v>
      </c>
    </row>
    <row r="40505" ht="15.75" customHeight="1" spans="1:2">
      <c r="A40505" s="3" t="str">
        <f>IFERROR(__xludf.DUMMYFUNCTION("GOOGLETRANSLATE(A40505,""en"",""pt"")"),"barato, de boa qualidade, fácil de usar")</f>
        <v>barato, de boa qualidade, fácil de usar</v>
      </c>
      <c r="B40505" s="3">
        <v>1</v>
      </c>
    </row>
    <row r="40506" ht="15.75" customHeight="1" spans="1:2">
      <c r="A40506" s="3" t="str">
        <f>IFERROR(__xludf.DUMMYFUNCTION("GOOGLETRANSLATE(A40506,""en"",""pt"")"),"Barato, fácil de configurar e usar, bons resultados em vários tamanhos de papel.")</f>
        <v>Barato, fácil de configurar e usar, bons resultados em vários tamanhos de papel.</v>
      </c>
      <c r="B40506" s="3">
        <v>1</v>
      </c>
    </row>
    <row r="40507" ht="15.75" customHeight="1" spans="1:2">
      <c r="A40507" s="3" t="str">
        <f>IFERROR(__xludf.DUMMYFUNCTION("GOOGLETRANSLATE(A40507,""en"",""pt"")"),"Rápido, barato, de boa qualidade")</f>
        <v>Rápido, barato, de boa qualidade</v>
      </c>
      <c r="B40507" s="3">
        <v>1</v>
      </c>
    </row>
    <row r="40508" ht="15.75" customHeight="1" spans="1:2">
      <c r="A40508" s="3" t="str">
        <f>IFERROR(__xludf.DUMMYFUNCTION("GOOGLETRANSLATE(A40508,""en"",""pt"")"),"Barato, 11x17 impressão, tinta barata")</f>
        <v>Barato, 11x17 impressão, tinta barata</v>
      </c>
      <c r="B40508" s="3">
        <v>1</v>
      </c>
    </row>
    <row r="40509" ht="15.75" customHeight="1" spans="1:2">
      <c r="A40509" s="3" t="str">
        <f>IFERROR(__xludf.DUMMYFUNCTION("GOOGLETRANSLATE(A40509,""en"",""pt"")"),"Preço, qualidade, confiabilidade")</f>
        <v>Preço, qualidade, confiabilidade</v>
      </c>
      <c r="B40509" s="3">
        <v>1</v>
      </c>
    </row>
    <row r="40510" ht="15.75" customHeight="1" spans="1:2">
      <c r="A40510" s="3" t="str">
        <f>IFERROR(__xludf.DUMMYFUNCTION("GOOGLETRANSLATE(A40510,""en"",""pt"")"),"Nenhum")</f>
        <v>Nenhum</v>
      </c>
      <c r="B40510" s="3">
        <v>1</v>
      </c>
    </row>
    <row r="40511" ht="15.75" customHeight="1" spans="1:2">
      <c r="A40511" s="3" t="str">
        <f>IFERROR(__xludf.DUMMYFUNCTION("GOOGLETRANSLATE(A40511,""en"",""pt"")"),"impressora grande geral")</f>
        <v>impressora grande geral</v>
      </c>
      <c r="B40511" s="3">
        <v>1</v>
      </c>
    </row>
    <row r="40512" ht="15.75" customHeight="1" spans="1:2">
      <c r="A40512" s="3" t="str">
        <f>IFERROR(__xludf.DUMMYFUNCTION("GOOGLETRANSLATE(A40512,""en"",""pt"")"),"impressão de alta qualidade, rápido, confiável, barata, geralmente rebate, econômico para uso")</f>
        <v>impressão de alta qualidade, rápido, confiável, barata, geralmente rebate, econômico para uso</v>
      </c>
      <c r="B40512" s="3">
        <v>1</v>
      </c>
    </row>
    <row r="40513" ht="15.75" customHeight="1" spans="1:2">
      <c r="A40513" s="3" t="str">
        <f>IFERROR(__xludf.DUMMYFUNCTION("GOOGLETRANSLATE(A40513,""en"",""pt"")"),"qualidade de impressão Feira")</f>
        <v>qualidade de impressão Feira</v>
      </c>
      <c r="B40513" s="3">
        <v>1</v>
      </c>
    </row>
    <row r="40514" ht="15.75" customHeight="1" spans="1:2">
      <c r="A40514" s="3" t="str">
        <f>IFERROR(__xludf.DUMMYFUNCTION("GOOGLETRANSLATE(A40514,""en"",""pt"")"),"formato 11 x 17 impressão")</f>
        <v>formato 11 x 17 impressão</v>
      </c>
      <c r="B40514" s="3">
        <v>1</v>
      </c>
    </row>
    <row r="40515" ht="15.75" customHeight="1" spans="1:2">
      <c r="A40515" s="3" t="str">
        <f>IFERROR(__xludf.DUMMYFUNCTION("GOOGLETRANSLATE(A40515,""en"",""pt"")"),"Pelo menos há um desconto no caso de você já comprou!")</f>
        <v>Pelo menos há um desconto no caso de você já comprou!</v>
      </c>
      <c r="B40515" s="3">
        <v>1</v>
      </c>
    </row>
    <row r="40516" ht="15.75" customHeight="1" spans="1:2">
      <c r="A40516" s="3" t="str">
        <f>IFERROR(__xludf.DUMMYFUNCTION("GOOGLETRANSLATE(A40516,""en"",""pt"")"),"reprodução de boa qualidade, sem manchas ou blotching.")</f>
        <v>reprodução de boa qualidade, sem manchas ou blotching.</v>
      </c>
      <c r="B40516" s="3">
        <v>1</v>
      </c>
    </row>
    <row r="40517" ht="15.75" customHeight="1" spans="1:2">
      <c r="A40517" s="3" t="str">
        <f>IFERROR(__xludf.DUMMYFUNCTION("GOOGLETRANSLATE(A40517,""en"",""pt"")"),"impressão agradável se você tem tempo para esperar.")</f>
        <v>impressão agradável se você tem tempo para esperar.</v>
      </c>
      <c r="B40517" s="3">
        <v>1</v>
      </c>
    </row>
    <row r="40518" ht="15.75" customHeight="1" spans="1:2">
      <c r="A40518" s="3" t="str">
        <f>IFERROR(__xludf.DUMMYFUNCTION("GOOGLETRANSLATE(A40518,""en"",""pt"")"),"investimento inicial barato")</f>
        <v>investimento inicial barato</v>
      </c>
      <c r="B40518" s="3">
        <v>1</v>
      </c>
    </row>
    <row r="40519" ht="15.75" customHeight="1" spans="1:2">
      <c r="A40519" s="3" t="str">
        <f>IFERROR(__xludf.DUMMYFUNCTION("GOOGLETRANSLATE(A40519,""en"",""pt"")"),"barato")</f>
        <v>barato</v>
      </c>
      <c r="B40519" s="3">
        <v>1</v>
      </c>
    </row>
    <row r="40520" ht="15.75" customHeight="1" spans="1:2">
      <c r="A40520" s="3" t="str">
        <f>IFERROR(__xludf.DUMMYFUNCTION("GOOGLETRANSLATE(A40520,""en"",""pt"")"),"valor muito bom")</f>
        <v>valor muito bom</v>
      </c>
      <c r="B40520" s="3">
        <v>1</v>
      </c>
    </row>
    <row r="40521" ht="15.75" customHeight="1" spans="1:2">
      <c r="A40521" s="3" t="str">
        <f>IFERROR(__xludf.DUMMYFUNCTION("GOOGLETRANSLATE(A40521,""en"",""pt"")"),"Rápido (no modo de rascunho apenas)")</f>
        <v>Rápido (no modo de rascunho apenas)</v>
      </c>
      <c r="B40521" s="3">
        <v>1</v>
      </c>
    </row>
    <row r="40522" ht="15.75" customHeight="1" spans="1:2">
      <c r="A40522" s="3" t="str">
        <f>IFERROR(__xludf.DUMMYFUNCTION("GOOGLETRANSLATE(A40522,""en"",""pt"")"),"Vai funcionar. Não é muito bom, mas ele vai trabalhar.")</f>
        <v>Vai funcionar. Não é muito bom, mas ele vai trabalhar.</v>
      </c>
      <c r="B40522" s="3">
        <v>1</v>
      </c>
    </row>
    <row r="40523" ht="15.75" customHeight="1" spans="1:2">
      <c r="A40523" s="3" t="str">
        <f>IFERROR(__xludf.DUMMYFUNCTION("GOOGLETRANSLATE(A40523,""en"",""pt"")"),"A3, muito rápido")</f>
        <v>A3, muito rápido</v>
      </c>
      <c r="B40523" s="3">
        <v>1</v>
      </c>
    </row>
    <row r="40524" ht="15.75" customHeight="1" spans="1:2">
      <c r="A40524" s="3" t="str">
        <f>IFERROR(__xludf.DUMMYFUNCTION("GOOGLETRANSLATE(A40524,""en"",""pt"")"),"Hmm...")</f>
        <v>Hmm...</v>
      </c>
      <c r="B40524" s="3">
        <v>1</v>
      </c>
    </row>
    <row r="40525" ht="15.75" customHeight="1" spans="1:2">
      <c r="A40525" s="3" t="str">
        <f>IFERROR(__xludf.DUMMYFUNCTION("GOOGLETRANSLATE(A40525,""en"",""pt"")"),"Barato.")</f>
        <v>Barato.</v>
      </c>
      <c r="B40525" s="3">
        <v>1</v>
      </c>
    </row>
    <row r="40526" ht="15.75" customHeight="1" spans="1:2">
      <c r="A40526" s="3" t="str">
        <f>IFERROR(__xludf.DUMMYFUNCTION("GOOGLETRANSLATE(A40526,""en"",""pt"")"),"Boa saída, os cartuchos de cor individuais.")</f>
        <v>Boa saída, os cartuchos de cor individuais.</v>
      </c>
      <c r="B40526" s="3">
        <v>1</v>
      </c>
    </row>
    <row r="40527" ht="15.75" customHeight="1" spans="1:2">
      <c r="A40527" s="3" t="str">
        <f>IFERROR(__xludf.DUMMYFUNCTION("GOOGLETRANSLATE(A40527,""en"",""pt"")"),"De alta qualidade da impressão")</f>
        <v>De alta qualidade da impressão</v>
      </c>
      <c r="B40527" s="3">
        <v>1</v>
      </c>
    </row>
    <row r="40528" ht="15.75" customHeight="1" spans="1:2">
      <c r="A40528" s="3" t="str">
        <f>IFERROR(__xludf.DUMMYFUNCTION("GOOGLETRANSLATE(A40528,""en"",""pt"")"),"Grande impressão e qualidade da foto, fácil de usar.")</f>
        <v>Grande impressão e qualidade da foto, fácil de usar.</v>
      </c>
      <c r="B40528" s="3">
        <v>1</v>
      </c>
    </row>
    <row r="40529" ht="15.75" customHeight="1" spans="1:2">
      <c r="A40529" s="3" t="str">
        <f>IFERROR(__xludf.DUMMYFUNCTION("GOOGLETRANSLATE(A40529,""en"",""pt"")"),"alta velocidade de impressão em preto e branco.")</f>
        <v>alta velocidade de impressão em preto e branco.</v>
      </c>
      <c r="B40529" s="3">
        <v>1</v>
      </c>
    </row>
    <row r="40530" ht="15.75" customHeight="1" spans="1:2">
      <c r="A40530" s="3" t="str">
        <f>IFERROR(__xludf.DUMMYFUNCTION("GOOGLETRANSLATE(A40530,""en"",""pt"")"),"saída espetacular, cartuchos baratos, impressão rápida.")</f>
        <v>saída espetacular, cartuchos baratos, impressão rápida.</v>
      </c>
      <c r="B40530" s="3">
        <v>1</v>
      </c>
    </row>
    <row r="40531" ht="15.75" customHeight="1" spans="1:2">
      <c r="A40531" s="3" t="str">
        <f>IFERROR(__xludf.DUMMYFUNCTION("GOOGLETRANSLATE(A40531,""en"",""pt"")"),"Fácil de usar, excelente qualidade de impressão, bons condutores")</f>
        <v>Fácil de usar, excelente qualidade de impressão, bons condutores</v>
      </c>
      <c r="B40531" s="3">
        <v>1</v>
      </c>
    </row>
    <row r="40532" ht="15.75" customHeight="1" spans="1:2">
      <c r="A40532" s="3" t="str">
        <f>IFERROR(__xludf.DUMMYFUNCTION("GOOGLETRANSLATE(A40532,""en"",""pt"")"),"4 tanques de tinta seprate")</f>
        <v>4 tanques de tinta seprate</v>
      </c>
      <c r="B40532" s="3">
        <v>1</v>
      </c>
    </row>
    <row r="40533" ht="15.75" customHeight="1" spans="1:2">
      <c r="A40533" s="3" t="str">
        <f>IFERROR(__xludf.DUMMYFUNCTION("GOOGLETRANSLATE(A40533,""en"",""pt"")"),"impressão rápida, cores nítidas")</f>
        <v>impressão rápida, cores nítidas</v>
      </c>
      <c r="B40533" s="3">
        <v>1</v>
      </c>
    </row>
    <row r="40534" ht="15.75" customHeight="1" spans="1:2">
      <c r="A40534" s="3" t="str">
        <f>IFERROR(__xludf.DUMMYFUNCTION("GOOGLETRANSLATE(A40534,""en"",""pt"")"),"B &amp; amp; amp; W Velocidade de impressão, baixo custo, alimentação de papel")</f>
        <v>B &amp; amp; amp; W Velocidade de impressão, baixo custo, alimentação de papel</v>
      </c>
      <c r="B40534" s="3">
        <v>1</v>
      </c>
    </row>
    <row r="40535" ht="15.75" customHeight="1" spans="1:2">
      <c r="A40535" s="3" t="str">
        <f>IFERROR(__xludf.DUMMYFUNCTION("GOOGLETRANSLATE(A40535,""en"",""pt"")"),"sem congestionamentos, qualidade")</f>
        <v>sem congestionamentos, qualidade</v>
      </c>
      <c r="B40535" s="3">
        <v>1</v>
      </c>
    </row>
    <row r="40536" ht="15.75" customHeight="1" spans="1:2">
      <c r="A40536" s="3" t="str">
        <f>IFERROR(__xludf.DUMMYFUNCTION("GOOGLETRANSLATE(A40536,""en"",""pt"")"),"melhor cor, substituição de tinta mais barata")</f>
        <v>melhor cor, substituição de tinta mais barata</v>
      </c>
      <c r="B40536" s="3">
        <v>1</v>
      </c>
    </row>
    <row r="40537" ht="15.75" customHeight="1" spans="1:2">
      <c r="A40537" s="3" t="str">
        <f>IFERROR(__xludf.DUMMYFUNCTION("GOOGLETRANSLATE(A40537,""en"",""pt"")"),"rápido claro fotos e cartões impressos; os cartuchos de tinta individuais; muito econômico para usar.")</f>
        <v>rápido claro fotos e cartões impressos; os cartuchos de tinta individuais; muito econômico para usar.</v>
      </c>
      <c r="B40537" s="3">
        <v>1</v>
      </c>
    </row>
    <row r="40538" ht="15.75" customHeight="1" spans="1:2">
      <c r="A40538" s="3" t="str">
        <f>IFERROR(__xludf.DUMMYFUNCTION("GOOGLETRANSLATE(A40538,""en"",""pt"")"),"tanques individuais de tinta,")</f>
        <v>tanques individuais de tinta,</v>
      </c>
      <c r="B40538" s="3">
        <v>1</v>
      </c>
    </row>
    <row r="40539" ht="15.75" customHeight="1" spans="1:2">
      <c r="A40539" s="3" t="str">
        <f>IFERROR(__xludf.DUMMYFUNCTION("GOOGLETRANSLATE(A40539,""en"",""pt"")"),"impressão muito rápido, valor excepcional.")</f>
        <v>impressão muito rápido, valor excepcional.</v>
      </c>
      <c r="B40539" s="3">
        <v>1</v>
      </c>
    </row>
    <row r="40540" ht="15.75" customHeight="1" spans="1:2">
      <c r="A40540" s="3" t="str">
        <f>IFERROR(__xludf.DUMMYFUNCTION("GOOGLETRANSLATE(A40540,""en"",""pt"")"),"qualidade Laser @ preço não laser!")</f>
        <v>qualidade Laser @ preço não laser!</v>
      </c>
      <c r="B40540" s="3">
        <v>1</v>
      </c>
    </row>
    <row r="40541" ht="15.75" customHeight="1" spans="1:2">
      <c r="A40541" s="3" t="str">
        <f>IFERROR(__xludf.DUMMYFUNCTION("GOOGLETRANSLATE(A40541,""en"",""pt"")"),"boa qualidade de impressão")</f>
        <v>boa qualidade de impressão</v>
      </c>
      <c r="B40541" s="3">
        <v>1</v>
      </c>
    </row>
    <row r="40542" ht="15.75" customHeight="1" spans="1:2">
      <c r="A40542" s="3" t="str">
        <f>IFERROR(__xludf.DUMMYFUNCTION("GOOGLETRANSLATE(A40542,""en"",""pt"")"),"empregos de boa qualidade de impressão, cartuchos de impressão separados para cada cor, relativamente baratos")</f>
        <v>empregos de boa qualidade de impressão, cartuchos de impressão separados para cada cor, relativamente baratos</v>
      </c>
      <c r="B40542" s="3">
        <v>1</v>
      </c>
    </row>
    <row r="40543" ht="15.75" customHeight="1" spans="1:2">
      <c r="A40543" s="3" t="str">
        <f>IFERROR(__xludf.DUMMYFUNCTION("GOOGLETRANSLATE(A40543,""en"",""pt"")"),"preço, 4 cartuchos, tinta barata")</f>
        <v>preço, 4 cartuchos, tinta barata</v>
      </c>
      <c r="B40543" s="3">
        <v>1</v>
      </c>
    </row>
    <row r="40544" ht="15.75" customHeight="1" spans="1:2">
      <c r="A40544" s="3" t="str">
        <f>IFERROR(__xludf.DUMMYFUNCTION("GOOGLETRANSLATE(A40544,""en"",""pt"")"),"Rápido, barato, Grandes cores")</f>
        <v>Rápido, barato, Grandes cores</v>
      </c>
      <c r="B40544" s="3">
        <v>1</v>
      </c>
    </row>
    <row r="40545" ht="15.75" customHeight="1" spans="1:2">
      <c r="A40545" s="3" t="str">
        <f>IFERROR(__xludf.DUMMYFUNCTION("GOOGLETRANSLATE(A40545,""en"",""pt"")"),"rápido, a qualidade de impressão a laser-like, pequeno e fácil de usar")</f>
        <v>rápido, a qualidade de impressão a laser-like, pequeno e fácil de usar</v>
      </c>
      <c r="B40545" s="3">
        <v>1</v>
      </c>
    </row>
    <row r="40546" ht="15.75" customHeight="1" spans="1:2">
      <c r="A40546" s="3" t="str">
        <f>IFERROR(__xludf.DUMMYFUNCTION("GOOGLETRANSLATE(A40546,""en"",""pt"")"),"Baratas, cartuchos separados para cores, cartuchos de tinta de fotos separados")</f>
        <v>Baratas, cartuchos separados para cores, cartuchos de tinta de fotos separados</v>
      </c>
      <c r="B40546" s="3">
        <v>1</v>
      </c>
    </row>
    <row r="40547" ht="15.75" customHeight="1" spans="1:2">
      <c r="A40547" s="3" t="str">
        <f>IFERROR(__xludf.DUMMYFUNCTION("GOOGLETRANSLATE(A40547,""en"",""pt"")"),"Rápido, de boa qualidade")</f>
        <v>Rápido, de boa qualidade</v>
      </c>
      <c r="B40547" s="3">
        <v>1</v>
      </c>
    </row>
    <row r="40548" ht="15.75" customHeight="1" spans="1:2">
      <c r="A40548" s="3" t="str">
        <f>IFERROR(__xludf.DUMMYFUNCTION("GOOGLETRANSLATE(A40548,""en"",""pt"")"),"Custo, cartuchos de tinta separados")</f>
        <v>Custo, cartuchos de tinta separados</v>
      </c>
      <c r="B40548" s="3">
        <v>1</v>
      </c>
    </row>
    <row r="40549" ht="15.75" customHeight="1" spans="1:2">
      <c r="A40549" s="3" t="str">
        <f>IFERROR(__xludf.DUMMYFUNCTION("GOOGLETRANSLATE(A40549,""en"",""pt"")"),", Impressão de tinta preta rápida e fiável")</f>
        <v>, Impressão de tinta preta rápida e fiável</v>
      </c>
      <c r="B40549" s="3">
        <v>1</v>
      </c>
    </row>
    <row r="40550" ht="15.75" customHeight="1" spans="1:2">
      <c r="A40550" s="3" t="str">
        <f>IFERROR(__xludf.DUMMYFUNCTION("GOOGLETRANSLATE(A40550,""en"",""pt"")"),"Veio com um bom software 3rd party; trabalhou muito bem no início.")</f>
        <v>Veio com um bom software 3rd party; trabalhou muito bem no início.</v>
      </c>
      <c r="B40550" s="3">
        <v>1</v>
      </c>
    </row>
    <row r="40551" ht="15.75" customHeight="1" spans="1:2">
      <c r="A40551" s="3" t="str">
        <f>IFERROR(__xludf.DUMMYFUNCTION("GOOGLETRANSLATE(A40551,""en"",""pt"")"),"depósitos de tinta separados, velocidade rápida, barata")</f>
        <v>depósitos de tinta separados, velocidade rápida, barata</v>
      </c>
      <c r="B40551" s="3">
        <v>1</v>
      </c>
    </row>
    <row r="40552" ht="15.75" customHeight="1" spans="1:2">
      <c r="A40552" s="3" t="str">
        <f>IFERROR(__xludf.DUMMYFUNCTION("GOOGLETRANSLATE(A40552,""en"",""pt"")"),"cartuchos de tinta separados, ótima qualidade de cor, impressão silenciosa, muitas opções, user-friendly")</f>
        <v>cartuchos de tinta separados, ótima qualidade de cor, impressão silenciosa, muitas opções, user-friendly</v>
      </c>
      <c r="B40552" s="3">
        <v>1</v>
      </c>
    </row>
    <row r="40553" ht="15.75" customHeight="1" spans="1:2">
      <c r="A40553" s="3" t="str">
        <f>IFERROR(__xludf.DUMMYFUNCTION("GOOGLETRANSLATE(A40553,""en"",""pt"")"),"qualidade decente, cartuchos de tinta separados podem poupar dinheiro, mas ver Contras")</f>
        <v>qualidade decente, cartuchos de tinta separados podem poupar dinheiro, mas ver Contras</v>
      </c>
      <c r="B40553" s="3">
        <v>1</v>
      </c>
    </row>
    <row r="40554" ht="15.75" customHeight="1" spans="1:2">
      <c r="A40554" s="3" t="str">
        <f>IFERROR(__xludf.DUMMYFUNCTION("GOOGLETRANSLATE(A40554,""en"",""pt"")"),"grande texto, bom preço")</f>
        <v>grande texto, bom preço</v>
      </c>
      <c r="B40554" s="3">
        <v>1</v>
      </c>
    </row>
    <row r="40555" ht="15.75" customHeight="1" spans="1:2">
      <c r="A40555" s="3" t="str">
        <f>IFERROR(__xludf.DUMMYFUNCTION("GOOGLETRANSLATE(A40555,""en"",""pt"")"),"cartidges individuais e alta resolução")</f>
        <v>cartidges individuais e alta resolução</v>
      </c>
      <c r="B40555" s="3">
        <v>1</v>
      </c>
    </row>
    <row r="40556" ht="15.75" customHeight="1" spans="1:2">
      <c r="A40556" s="3" t="str">
        <f>IFERROR(__xludf.DUMMYFUNCTION("GOOGLETRANSLATE(A40556,""en"",""pt"")"),"Individual Tintas, Speedy, Tinta Sensor, Capaz de 6 impressão a cores")</f>
        <v>Individual Tintas, Speedy, Tinta Sensor, Capaz de 6 impressão a cores</v>
      </c>
      <c r="B40556" s="3">
        <v>1</v>
      </c>
    </row>
    <row r="40557" ht="15.75" customHeight="1" spans="1:2">
      <c r="A40557" s="3" t="str">
        <f>IFERROR(__xludf.DUMMYFUNCTION("GOOGLETRANSLATE(A40557,""en"",""pt"")"),"Pessoa cartuchos de tinta")</f>
        <v>Pessoa cartuchos de tinta</v>
      </c>
      <c r="B40557" s="3">
        <v>1</v>
      </c>
    </row>
    <row r="40558" ht="15.75" customHeight="1" spans="1:2">
      <c r="A40558" s="3" t="str">
        <f>IFERROR(__xludf.DUMMYFUNCTION("GOOGLETRANSLATE(A40558,""en"",""pt"")"),"estrondo excelente para o fanfarrão, barato, rápido e grande saída.")</f>
        <v>estrondo excelente para o fanfarrão, barato, rápido e grande saída.</v>
      </c>
      <c r="B40558" s="3">
        <v>1</v>
      </c>
    </row>
    <row r="40559" ht="15.75" customHeight="1" spans="1:2">
      <c r="A40559" s="3" t="str">
        <f>IFERROR(__xludf.DUMMYFUNCTION("GOOGLETRANSLATE(A40559,""en"",""pt"")"),"Boa qualidade, cores 6 de tinta")</f>
        <v>Boa qualidade, cores 6 de tinta</v>
      </c>
      <c r="B40559" s="3">
        <v>1</v>
      </c>
    </row>
    <row r="40560" ht="15.75" customHeight="1" spans="1:2">
      <c r="A40560" s="3" t="str">
        <f>IFERROR(__xludf.DUMMYFUNCTION("GOOGLETRANSLATE(A40560,""en"",""pt"")"),"Óptimos resultados!")</f>
        <v>Óptimos resultados!</v>
      </c>
      <c r="B40560" s="3">
        <v>1</v>
      </c>
    </row>
    <row r="40561" ht="15.75" customHeight="1" spans="1:2">
      <c r="A40561" s="3" t="str">
        <f>IFERROR(__xludf.DUMMYFUNCTION("GOOGLETRANSLATE(A40561,""en"",""pt"")"),"Rápido Cartuchos de Substituição de Impressão, baratos")</f>
        <v>Rápido Cartuchos de Substituição de Impressão, baratos</v>
      </c>
      <c r="B40561" s="3">
        <v>1</v>
      </c>
    </row>
    <row r="40562" ht="15.75" customHeight="1" spans="1:2">
      <c r="A40562" s="3" t="str">
        <f>IFERROR(__xludf.DUMMYFUNCTION("GOOGLETRANSLATE(A40562,""en"",""pt"")"),"Qualidade excelente")</f>
        <v>Qualidade excelente</v>
      </c>
      <c r="B40562" s="3">
        <v>1</v>
      </c>
    </row>
    <row r="40563" ht="15.75" customHeight="1" spans="1:2">
      <c r="A40563" s="3" t="str">
        <f>IFERROR(__xludf.DUMMYFUNCTION("GOOGLETRANSLATE(A40563,""en"",""pt"")"),"Velocidade e impressão a cores")</f>
        <v>Velocidade e impressão a cores</v>
      </c>
      <c r="B40563" s="3">
        <v>1</v>
      </c>
    </row>
    <row r="40564" ht="15.75" customHeight="1" spans="1:2">
      <c r="A40564" s="3" t="str">
        <f>IFERROR(__xludf.DUMMYFUNCTION("GOOGLETRANSLATE(A40564,""en"",""pt"")"),"tinteiros individuais, suporta diferentes tamanhos de papel, tinta de substituição é barato")</f>
        <v>tinteiros individuais, suporta diferentes tamanhos de papel, tinta de substituição é barato</v>
      </c>
      <c r="B40564" s="3">
        <v>1</v>
      </c>
    </row>
    <row r="40565" ht="15.75" customHeight="1" spans="1:2">
      <c r="A40565" s="3" t="str">
        <f>IFERROR(__xludf.DUMMYFUNCTION("GOOGLETRANSLATE(A40565,""en"",""pt"")"),"Nenhum")</f>
        <v>Nenhum</v>
      </c>
      <c r="B40565" s="3">
        <v>1</v>
      </c>
    </row>
    <row r="40566" ht="15.75" customHeight="1" spans="1:2">
      <c r="A40566" s="3" t="str">
        <f>IFERROR(__xludf.DUMMYFUNCTION("GOOGLETRANSLATE(A40566,""en"",""pt"")"),"Velocidade de impressão, excelente resolução, configurar uma brisa.")</f>
        <v>Velocidade de impressão, excelente resolução, configurar uma brisa.</v>
      </c>
      <c r="B40566" s="3">
        <v>1</v>
      </c>
    </row>
    <row r="40567" ht="15.75" customHeight="1" spans="1:2">
      <c r="A40567" s="3" t="str">
        <f>IFERROR(__xludf.DUMMYFUNCTION("GOOGLETRANSLATE(A40567,""en"",""pt"")"),"Excelente saída de texto preto")</f>
        <v>Excelente saída de texto preto</v>
      </c>
      <c r="B40567" s="3">
        <v>1</v>
      </c>
    </row>
    <row r="40568" ht="15.75" customHeight="1" spans="1:2">
      <c r="A40568" s="3" t="str">
        <f>IFERROR(__xludf.DUMMYFUNCTION("GOOGLETRANSLATE(A40568,""en"",""pt"")"),"Recarga Salva $$$$$$")</f>
        <v>Recarga Salva $$$$$$</v>
      </c>
      <c r="B40568" s="3">
        <v>1</v>
      </c>
    </row>
    <row r="40569" ht="15.75" customHeight="1" spans="1:2">
      <c r="A40569" s="3" t="str">
        <f>IFERROR(__xludf.DUMMYFUNCTION("GOOGLETRANSLATE(A40569,""en"",""pt"")"),"Salva-lo $$$$$$$")</f>
        <v>Salva-lo $$$$$$$</v>
      </c>
      <c r="B40569" s="3">
        <v>1</v>
      </c>
    </row>
    <row r="40570" ht="15.75" customHeight="1" spans="1:2">
      <c r="A40570" s="3" t="str">
        <f>IFERROR(__xludf.DUMMYFUNCTION("GOOGLETRANSLATE(A40570,""en"",""pt"")"),"tanques de tinta individuais, a qualidade e velocidade")</f>
        <v>tanques de tinta individuais, a qualidade e velocidade</v>
      </c>
      <c r="B40570" s="3">
        <v>1</v>
      </c>
    </row>
    <row r="40571" ht="15.75" customHeight="1" spans="1:2">
      <c r="A40571" s="3" t="str">
        <f>IFERROR(__xludf.DUMMYFUNCTION("GOOGLETRANSLATE(A40571,""en"",""pt"")"),"Preço, Velocidade, 7 Tanques de tinta")</f>
        <v>Preço, Velocidade, 7 Tanques de tinta</v>
      </c>
      <c r="B40571" s="3">
        <v>1</v>
      </c>
    </row>
    <row r="40572" ht="15.75" customHeight="1" spans="1:2">
      <c r="A40572" s="3" t="str">
        <f>IFERROR(__xludf.DUMMYFUNCTION("GOOGLETRANSLATE(A40572,""en"",""pt"")"),"4 tanques de tinta individuais, sem resíduos, rápido 8+ ppm")</f>
        <v>4 tanques de tinta individuais, sem resíduos, rápido 8+ ppm</v>
      </c>
      <c r="B40572" s="3">
        <v>1</v>
      </c>
    </row>
    <row r="40573" ht="15.75" customHeight="1" spans="1:2">
      <c r="A40573" s="3" t="str">
        <f>IFERROR(__xludf.DUMMYFUNCTION("GOOGLETRANSLATE(A40573,""en"",""pt"")"),"ótima resolução, rápida B &amp; amp; amp; a impressão W, acessível")</f>
        <v>ótima resolução, rápida B &amp; amp; amp; a impressão W, acessível</v>
      </c>
      <c r="B40573" s="3">
        <v>1</v>
      </c>
    </row>
    <row r="40574" ht="15.75" customHeight="1" spans="1:2">
      <c r="A40574" s="3" t="str">
        <f>IFERROR(__xludf.DUMMYFUNCTION("GOOGLETRANSLATE(A40574,""en"",""pt"")"),"Alta resolução para 1440x720, cartuchos de tinta de fotografia, de alta velocidade (cerca de 8 ppm de b / w, 2-4 cor ppm, 1 ppm ou menos com qualidade foto), baixo preço em comparação com modelos comparáveis, depósitos de tinta separados (quando vermelho "&amp;"é seca, mas não azul ou o amarelo, substituir o onl vermelho")</f>
        <v>Alta resolução para 1440x720, cartuchos de tinta de fotografia, de alta velocidade (cerca de 8 ppm de b / w, 2-4 cor ppm, 1 ppm ou menos com qualidade foto), baixo preço em comparação com modelos comparáveis, depósitos de tinta separados (quando vermelho é seca, mas não azul ou o amarelo, substituir o onl vermelho</v>
      </c>
      <c r="B40574" s="3">
        <v>1</v>
      </c>
    </row>
    <row r="40575" ht="15.75" customHeight="1" spans="1:2">
      <c r="A40575" s="3" t="str">
        <f>IFERROR(__xludf.DUMMYFUNCTION("GOOGLETRANSLATE(A40575,""en"",""pt"")"),"Nenhum")</f>
        <v>Nenhum</v>
      </c>
      <c r="B40575" s="3">
        <v>1</v>
      </c>
    </row>
    <row r="40576" ht="15.75" customHeight="1" spans="1:2">
      <c r="A40576" s="3" t="str">
        <f>IFERROR(__xludf.DUMMYFUNCTION("GOOGLETRANSLATE(A40576,""en"",""pt"")"),"tecnologia de cartucho de tinta única!")</f>
        <v>tecnologia de cartucho de tinta única!</v>
      </c>
      <c r="B40576" s="3">
        <v>1</v>
      </c>
    </row>
    <row r="40577" ht="15.75" customHeight="1" spans="1:2">
      <c r="A40577" s="3" t="str">
        <f>IFERROR(__xludf.DUMMYFUNCTION("GOOGLETRANSLATE(A40577,""en"",""pt"")"),"Ainda pensando aqui")</f>
        <v>Ainda pensando aqui</v>
      </c>
      <c r="B40577" s="3">
        <v>1</v>
      </c>
    </row>
    <row r="40578" ht="15.75" customHeight="1" spans="1:2">
      <c r="A40578" s="3" t="str">
        <f>IFERROR(__xludf.DUMMYFUNCTION("GOOGLETRANSLATE(A40578,""en"",""pt"")"),"Preço, velocidade, qualidade")</f>
        <v>Preço, velocidade, qualidade</v>
      </c>
      <c r="B40578" s="3">
        <v>1</v>
      </c>
    </row>
    <row r="40579" ht="15.75" customHeight="1" spans="1:2">
      <c r="A40579" s="3" t="str">
        <f>IFERROR(__xludf.DUMMYFUNCTION("GOOGLETRANSLATE(A40579,""en"",""pt"")"),"Secar fora da impressora, imagens impressionantes")</f>
        <v>Secar fora da impressora, imagens impressionantes</v>
      </c>
      <c r="B40579" s="3">
        <v>1</v>
      </c>
    </row>
    <row r="40580" ht="15.75" customHeight="1" spans="1:2">
      <c r="A40580" s="3" t="str">
        <f>IFERROR(__xludf.DUMMYFUNCTION("GOOGLETRANSLATE(A40580,""en"",""pt"")"),"rápido, confiável e barata")</f>
        <v>rápido, confiável e barata</v>
      </c>
      <c r="B40580" s="3">
        <v>1</v>
      </c>
    </row>
    <row r="40581" ht="15.75" customHeight="1" spans="1:2">
      <c r="A40581" s="3" t="str">
        <f>IFERROR(__xludf.DUMMYFUNCTION("GOOGLETRANSLATE(A40581,""en"",""pt"")"),"melhor qualidade de impressão fantástica, super velocidade.")</f>
        <v>melhor qualidade de impressão fantástica, super velocidade.</v>
      </c>
      <c r="B40581" s="3">
        <v>1</v>
      </c>
    </row>
    <row r="40582" ht="15.75" customHeight="1" spans="1:2">
      <c r="A40582" s="3" t="str">
        <f>IFERROR(__xludf.DUMMYFUNCTION("GOOGLETRANSLATE(A40582,""en"",""pt"")"),"preços, impressões de qualidade")</f>
        <v>preços, impressões de qualidade</v>
      </c>
      <c r="B40582" s="3">
        <v>1</v>
      </c>
    </row>
    <row r="40583" ht="15.75" customHeight="1" spans="1:2">
      <c r="A40583" s="3" t="str">
        <f>IFERROR(__xludf.DUMMYFUNCTION("GOOGLETRANSLATE(A40583,""en"",""pt"")"),"Fácil instalação, fácil conexão, ótimo preço")</f>
        <v>Fácil instalação, fácil conexão, ótimo preço</v>
      </c>
      <c r="B40583" s="3">
        <v>1</v>
      </c>
    </row>
    <row r="40584" ht="15.75" customHeight="1" spans="1:2">
      <c r="A40584" s="3" t="str">
        <f>IFERROR(__xludf.DUMMYFUNCTION("GOOGLETRANSLATE(A40584,""en"",""pt"")"),"tanques de tinta individuais, menos caro")</f>
        <v>tanques de tinta individuais, menos caro</v>
      </c>
      <c r="B40584" s="3">
        <v>1</v>
      </c>
    </row>
    <row r="40585" ht="15.75" customHeight="1" spans="1:2">
      <c r="A40585" s="3" t="str">
        <f>IFERROR(__xludf.DUMMYFUNCTION("GOOGLETRANSLATE(A40585,""en"",""pt"")"),"carregado com características, cartuchos de tinta individuais, de alta qualidade / velocidade")</f>
        <v>carregado com características, cartuchos de tinta individuais, de alta qualidade / velocidade</v>
      </c>
      <c r="B40585" s="3">
        <v>1</v>
      </c>
    </row>
    <row r="40586" ht="15.75" customHeight="1" spans="1:2">
      <c r="A40586" s="3" t="str">
        <f>IFERROR(__xludf.DUMMYFUNCTION("GOOGLETRANSLATE(A40586,""en"",""pt"")"),"Grande qualidade, ótimo preço")</f>
        <v>Grande qualidade, ótimo preço</v>
      </c>
      <c r="B40586" s="3">
        <v>1</v>
      </c>
    </row>
    <row r="40587" ht="15.75" customHeight="1" spans="1:2">
      <c r="A40587" s="3" t="str">
        <f>IFERROR(__xludf.DUMMYFUNCTION("GOOGLETRANSLATE(A40587,""en"",""pt"")"),"velocidade, $ para recargas de tinta e preço")</f>
        <v>velocidade, $ para recargas de tinta e preço</v>
      </c>
      <c r="B40587" s="3">
        <v>1</v>
      </c>
    </row>
    <row r="40588" ht="15.75" customHeight="1" spans="1:2">
      <c r="A40588" s="3" t="str">
        <f>IFERROR(__xludf.DUMMYFUNCTION("GOOGLETRANSLATE(A40588,""en"",""pt"")"),"grande qualidade, allignment, economia de dinheiro características, impressão de fotos")</f>
        <v>grande qualidade, allignment, economia de dinheiro características, impressão de fotos</v>
      </c>
      <c r="B40588" s="3">
        <v>1</v>
      </c>
    </row>
    <row r="40589" ht="15.75" customHeight="1" spans="1:2">
      <c r="A40589" s="3" t="str">
        <f>IFERROR(__xludf.DUMMYFUNCTION("GOOGLETRANSLATE(A40589,""en"",""pt"")"),"Ótima qualidade pelo o preço")</f>
        <v>Ótima qualidade pelo o preço</v>
      </c>
      <c r="B40589" s="3">
        <v>1</v>
      </c>
    </row>
    <row r="40590" ht="15.75" customHeight="1" spans="1:2">
      <c r="A40590" s="3" t="str">
        <f>IFERROR(__xludf.DUMMYFUNCTION("GOOGLETRANSLATE(A40590,""en"",""pt"")"),"Fácil de usar, grande qualidade de documentos")</f>
        <v>Fácil de usar, grande qualidade de documentos</v>
      </c>
      <c r="B40590" s="3">
        <v>1</v>
      </c>
    </row>
    <row r="40591" ht="15.75" customHeight="1" spans="1:2">
      <c r="A40591" s="3" t="str">
        <f>IFERROR(__xludf.DUMMYFUNCTION("GOOGLETRANSLATE(A40591,""en"",""pt"")"),"Muito razoáveis, excelente qualidade de impressão, a espessura do papel ajustável, cartuchos de tinta separados para reduzir o desperdício")</f>
        <v>Muito razoáveis, excelente qualidade de impressão, a espessura do papel ajustável, cartuchos de tinta separados para reduzir o desperdício</v>
      </c>
      <c r="B40591" s="3">
        <v>1</v>
      </c>
    </row>
    <row r="40592" ht="15.75" customHeight="1" spans="1:2">
      <c r="A40592" s="3" t="str">
        <f>IFERROR(__xludf.DUMMYFUNCTION("GOOGLETRANSLATE(A40592,""en"",""pt"")"),"Um monte de impressora para o dinheiro.")</f>
        <v>Um monte de impressora para o dinheiro.</v>
      </c>
      <c r="B40592" s="3">
        <v>1</v>
      </c>
    </row>
    <row r="40593" ht="15.75" customHeight="1" spans="1:2">
      <c r="A40593" s="3" t="str">
        <f>IFERROR(__xludf.DUMMYFUNCTION("GOOGLETRANSLATE(A40593,""en"",""pt"")"),"Ótimo para impressão de imagens! Os cartuchos individuais de tinta!")</f>
        <v>Ótimo para impressão de imagens! Os cartuchos individuais de tinta!</v>
      </c>
      <c r="B40593" s="3">
        <v>1</v>
      </c>
    </row>
    <row r="40594" ht="15.75" customHeight="1" spans="1:2">
      <c r="A40594" s="3" t="str">
        <f>IFERROR(__xludf.DUMMYFUNCTION("GOOGLETRANSLATE(A40594,""en"",""pt"")"),"boa aparência fotos quando eles iriam imprimir")</f>
        <v>boa aparência fotos quando eles iriam imprimir</v>
      </c>
      <c r="B40594" s="3">
        <v>1</v>
      </c>
    </row>
    <row r="40595" ht="15.75" customHeight="1" spans="1:2">
      <c r="A40595" s="3" t="str">
        <f>IFERROR(__xludf.DUMMYFUNCTION("GOOGLETRANSLATE(A40595,""en"",""pt"")"),"velocidade, clareza")</f>
        <v>velocidade, clareza</v>
      </c>
      <c r="B40595" s="3">
        <v>1</v>
      </c>
    </row>
    <row r="40596" ht="15.75" customHeight="1" spans="1:2">
      <c r="A40596" s="3" t="str">
        <f>IFERROR(__xludf.DUMMYFUNCTION("GOOGLETRANSLATE(A40596,""en"",""pt"")"),"Grande preço, impressão, velocidade")</f>
        <v>Grande preço, impressão, velocidade</v>
      </c>
      <c r="B40596" s="3">
        <v>1</v>
      </c>
    </row>
    <row r="40597" ht="15.75" customHeight="1" spans="1:2">
      <c r="A40597" s="3" t="str">
        <f>IFERROR(__xludf.DUMMYFUNCTION("GOOGLETRANSLATE(A40597,""en"",""pt"")"),"Custo")</f>
        <v>Custo</v>
      </c>
      <c r="B40597" s="3">
        <v>1</v>
      </c>
    </row>
    <row r="40598" ht="15.75" customHeight="1" spans="1:2">
      <c r="A40598" s="3" t="str">
        <f>IFERROR(__xludf.DUMMYFUNCTION("GOOGLETRANSLATE(A40598,""en"",""pt"")"),"bons programas, e faz ótimas fotos, US $ 50 de desconto dólar")</f>
        <v>bons programas, e faz ótimas fotos, US $ 50 de desconto dólar</v>
      </c>
      <c r="B40598" s="3">
        <v>1</v>
      </c>
    </row>
    <row r="40599" ht="15.75" customHeight="1" spans="1:2">
      <c r="A40599" s="3" t="str">
        <f>IFERROR(__xludf.DUMMYFUNCTION("GOOGLETRANSLATE(A40599,""en"",""pt"")"),"facilidade de instalação, utilização, muito boa qualidade")</f>
        <v>facilidade de instalação, utilização, muito boa qualidade</v>
      </c>
      <c r="B40599" s="3">
        <v>1</v>
      </c>
    </row>
    <row r="40600" ht="15.75" customHeight="1" spans="1:2">
      <c r="A40600" s="3" t="str">
        <f>IFERROR(__xludf.DUMMYFUNCTION("GOOGLETRANSLATE(A40600,""en"",""pt"")"),"É rápido e preciso.")</f>
        <v>É rápido e preciso.</v>
      </c>
      <c r="B40600" s="3">
        <v>1</v>
      </c>
    </row>
    <row r="40601" ht="15.75" customHeight="1" spans="1:2">
      <c r="A40601" s="3" t="str">
        <f>IFERROR(__xludf.DUMMYFUNCTION("GOOGLETRANSLATE(A40601,""en"",""pt"")"),"imagens de grande qualidade fácil de aprender e usar")</f>
        <v>imagens de grande qualidade fácil de aprender e usar</v>
      </c>
      <c r="B40601" s="3">
        <v>1</v>
      </c>
    </row>
    <row r="40602" ht="15.75" customHeight="1" spans="1:2">
      <c r="A40602" s="3" t="str">
        <f>IFERROR(__xludf.DUMMYFUNCTION("GOOGLETRANSLATE(A40602,""en"",""pt"")"),"Nenhum")</f>
        <v>Nenhum</v>
      </c>
      <c r="B40602" s="3">
        <v>1</v>
      </c>
    </row>
    <row r="40603" ht="15.75" customHeight="1" spans="1:2">
      <c r="A40603" s="3" t="str">
        <f>IFERROR(__xludf.DUMMYFUNCTION("GOOGLETRANSLATE(A40603,""en"",""pt"")"),"barato, tanques de tinta indivual, rápido")</f>
        <v>barato, tanques de tinta indivual, rápido</v>
      </c>
      <c r="B40603" s="3">
        <v>1</v>
      </c>
    </row>
    <row r="40604" ht="15.75" customHeight="1" spans="1:2">
      <c r="A40604" s="3" t="str">
        <f>IFERROR(__xludf.DUMMYFUNCTION("GOOGLETRANSLATE(A40604,""en"",""pt"")"),"bom preço")</f>
        <v>bom preço</v>
      </c>
      <c r="B40604" s="3">
        <v>1</v>
      </c>
    </row>
    <row r="40605" ht="15.75" customHeight="1" spans="1:2">
      <c r="A40605" s="3" t="str">
        <f>IFERROR(__xludf.DUMMYFUNCTION("GOOGLETRANSLATE(A40605,""en"",""pt"")"),"Leia!")</f>
        <v>Leia!</v>
      </c>
      <c r="B40605" s="3">
        <v>1</v>
      </c>
    </row>
    <row r="40606" ht="15.75" customHeight="1" spans="1:2">
      <c r="A40606" s="3" t="str">
        <f>IFERROR(__xludf.DUMMYFUNCTION("GOOGLETRANSLATE(A40606,""en"",""pt"")"),"qualidade de cor")</f>
        <v>qualidade de cor</v>
      </c>
      <c r="B40606" s="3">
        <v>1</v>
      </c>
    </row>
    <row r="40607" ht="15.75" customHeight="1" spans="1:2">
      <c r="A40607" s="3" t="str">
        <f>IFERROR(__xludf.DUMMYFUNCTION("GOOGLETRANSLATE(A40607,""en"",""pt"")"),"Boa qualidade, rápido, silencioso, confiável")</f>
        <v>Boa qualidade, rápido, silencioso, confiável</v>
      </c>
      <c r="B40607" s="3">
        <v>1</v>
      </c>
    </row>
    <row r="40608" ht="15.75" customHeight="1" spans="1:2">
      <c r="A40608" s="3" t="str">
        <f>IFERROR(__xludf.DUMMYFUNCTION("GOOGLETRANSLATE(A40608,""en"",""pt"")"),"Imprimir qualidade, preço")</f>
        <v>Imprimir qualidade, preço</v>
      </c>
      <c r="B40608" s="3">
        <v>1</v>
      </c>
    </row>
    <row r="40609" ht="15.75" customHeight="1" spans="1:2">
      <c r="A40609" s="3" t="str">
        <f>IFERROR(__xludf.DUMMYFUNCTION("GOOGLETRANSLATE(A40609,""en"",""pt"")"),"Impressora grande; grande desconto!")</f>
        <v>Impressora grande; grande desconto!</v>
      </c>
      <c r="B40609" s="3">
        <v>1</v>
      </c>
    </row>
    <row r="40610" ht="15.75" customHeight="1" spans="1:2">
      <c r="A40610" s="3" t="str">
        <f>IFERROR(__xludf.DUMMYFUNCTION("GOOGLETRANSLATE(A40610,""en"",""pt"")"),"tanques individuais")</f>
        <v>tanques individuais</v>
      </c>
      <c r="B40610" s="3">
        <v>1</v>
      </c>
    </row>
    <row r="40611" ht="15.75" customHeight="1" spans="1:2">
      <c r="A40611" s="3" t="str">
        <f>IFERROR(__xludf.DUMMYFUNCTION("GOOGLETRANSLATE(A40611,""en"",""pt"")"),"Fácil de usar, econômico, rápido")</f>
        <v>Fácil de usar, econômico, rápido</v>
      </c>
      <c r="B40611" s="3">
        <v>1</v>
      </c>
    </row>
    <row r="40612" ht="15.75" customHeight="1" spans="1:2">
      <c r="A40612" s="3" t="str">
        <f>IFERROR(__xludf.DUMMYFUNCTION("GOOGLETRANSLATE(A40612,""en"",""pt"")"),"Tem muitas características boas")</f>
        <v>Tem muitas características boas</v>
      </c>
      <c r="B40612" s="3">
        <v>1</v>
      </c>
    </row>
    <row r="40613" ht="15.75" customHeight="1" spans="1:2">
      <c r="A40613" s="3" t="str">
        <f>IFERROR(__xludf.DUMMYFUNCTION("GOOGLETRANSLATE(A40613,""en"",""pt"")"),"Saída de texto agradável, saída Foto decente em Canon Papel")</f>
        <v>Saída de texto agradável, saída Foto decente em Canon Papel</v>
      </c>
      <c r="B40613" s="3">
        <v>1</v>
      </c>
    </row>
    <row r="40614" ht="15.75" customHeight="1" spans="1:2">
      <c r="A40614" s="3" t="str">
        <f>IFERROR(__xludf.DUMMYFUNCTION("GOOGLETRANSLATE(A40614,""en"",""pt"")"),"Preço")</f>
        <v>Preço</v>
      </c>
      <c r="B40614" s="3">
        <v>1</v>
      </c>
    </row>
    <row r="40615" ht="15.75" customHeight="1" spans="1:2">
      <c r="A40615" s="3" t="str">
        <f>IFERROR(__xludf.DUMMYFUNCTION("GOOGLETRANSLATE(A40615,""en"",""pt"")"),"Grande qualidade de texto e foto em papel revestido e foto")</f>
        <v>Grande qualidade de texto e foto em papel revestido e foto</v>
      </c>
      <c r="B40615" s="3">
        <v>1</v>
      </c>
    </row>
    <row r="40616" ht="15.75" customHeight="1" spans="1:2">
      <c r="A40616" s="3" t="str">
        <f>IFERROR(__xludf.DUMMYFUNCTION("GOOGLETRANSLATE(A40616,""en"",""pt"")"),"Barato")</f>
        <v>Barato</v>
      </c>
      <c r="B40616" s="3">
        <v>1</v>
      </c>
    </row>
    <row r="40617" ht="15.75" customHeight="1" spans="1:2">
      <c r="A40617" s="3" t="str">
        <f>IFERROR(__xludf.DUMMYFUNCTION("GOOGLETRANSLATE(A40617,""en"",""pt"")"),"qualidade e, velocidade")</f>
        <v>qualidade e, velocidade</v>
      </c>
      <c r="B40617" s="3">
        <v>1</v>
      </c>
    </row>
    <row r="40618" ht="15.75" customHeight="1" spans="1:2">
      <c r="A40618" s="3" t="str">
        <f>IFERROR(__xludf.DUMMYFUNCTION("GOOGLETRANSLATE(A40618,""en"",""pt"")"),"qualidade, velocidade")</f>
        <v>qualidade, velocidade</v>
      </c>
      <c r="B40618" s="3">
        <v>1</v>
      </c>
    </row>
    <row r="40619" ht="15.75" customHeight="1" spans="1:2">
      <c r="A40619" s="3" t="str">
        <f>IFERROR(__xludf.DUMMYFUNCTION("GOOGLETRANSLATE(A40619,""en"",""pt"")"),"tanques de tinta individuais")</f>
        <v>tanques de tinta individuais</v>
      </c>
      <c r="B40619" s="3">
        <v>1</v>
      </c>
    </row>
    <row r="40620" ht="15.75" customHeight="1" spans="1:2">
      <c r="A40620" s="3" t="s">
        <v>212</v>
      </c>
      <c r="B40620" s="3">
        <v>1</v>
      </c>
    </row>
    <row r="40621" ht="15.75" customHeight="1" spans="1:2">
      <c r="A40621" s="3" t="str">
        <f>IFERROR(__xludf.DUMMYFUNCTION("GOOGLETRANSLATE(A40621,""en"",""pt"")"),"Barato, cor, boa resolução, Vasilhas de tinta separados")</f>
        <v>Barato, cor, boa resolução, Vasilhas de tinta separados</v>
      </c>
      <c r="B40621" s="3">
        <v>1</v>
      </c>
    </row>
    <row r="40622" ht="15.75" customHeight="1" spans="1:2">
      <c r="A40622" s="3" t="str">
        <f>IFERROR(__xludf.DUMMYFUNCTION("GOOGLETRANSLATE(A40622,""en"",""pt"")"),"Tem bons impressos quando funciona")</f>
        <v>Tem bons impressos quando funciona</v>
      </c>
      <c r="B40622" s="3">
        <v>1</v>
      </c>
    </row>
    <row r="40623" ht="15.75" customHeight="1" spans="1:2">
      <c r="A40623" s="3" t="str">
        <f>IFERROR(__xludf.DUMMYFUNCTION("GOOGLETRANSLATE(A40623,""en"",""pt"")"),"Fácil instalação do driver, resistente e confiável.")</f>
        <v>Fácil instalação do driver, resistente e confiável.</v>
      </c>
      <c r="B40623" s="3">
        <v>1</v>
      </c>
    </row>
    <row r="40624" ht="15.75" customHeight="1" spans="1:2">
      <c r="A40624" s="3" t="str">
        <f>IFERROR(__xludf.DUMMYFUNCTION("GOOGLETRANSLATE(A40624,""en"",""pt"")"),"Ótimo preço, boas fotos")</f>
        <v>Ótimo preço, boas fotos</v>
      </c>
      <c r="B40624" s="3">
        <v>1</v>
      </c>
    </row>
    <row r="40625" ht="15.75" customHeight="1" spans="1:2">
      <c r="A40625" s="3" t="str">
        <f>IFERROR(__xludf.DUMMYFUNCTION("GOOGLETRANSLATE(A40625,""en"",""pt"")"),"O Nice, fácil de usar a impressora")</f>
        <v>O Nice, fácil de usar a impressora</v>
      </c>
      <c r="B40625" s="3">
        <v>1</v>
      </c>
    </row>
    <row r="40626" ht="15.75" customHeight="1" spans="1:2">
      <c r="A40626" s="3" t="str">
        <f>IFERROR(__xludf.DUMMYFUNCTION("GOOGLETRANSLATE(A40626,""en"",""pt"")"),"Rápido, de boa qualidade, fácil de usar")</f>
        <v>Rápido, de boa qualidade, fácil de usar</v>
      </c>
      <c r="B40626" s="3">
        <v>1</v>
      </c>
    </row>
    <row r="40627" ht="15.75" customHeight="1" spans="1:2">
      <c r="A40627" s="3" t="str">
        <f>IFERROR(__xludf.DUMMYFUNCTION("GOOGLETRANSLATE(A40627,""en"",""pt"")"),"Tudo impressora de volta boa &amp; amp;. # 13; &amp; amp; # 10; &amp; amp; # 13; &amp; amp; # 10;")</f>
        <v>Tudo impressora de volta boa &amp; amp;. # 13; &amp; amp; # 10; &amp; amp; # 13; &amp; amp; # 10;</v>
      </c>
      <c r="B40627" s="3">
        <v>1</v>
      </c>
    </row>
    <row r="40628" ht="15.75" customHeight="1" spans="1:2">
      <c r="A40628" s="3" t="str">
        <f>IFERROR(__xludf.DUMMYFUNCTION("GOOGLETRANSLATE(A40628,""en"",""pt"")"),"Boa qualidade de impressão nas duas primeiras impressões. É isso aí!!!")</f>
        <v>Boa qualidade de impressão nas duas primeiras impressões. É isso aí!!!</v>
      </c>
      <c r="B40628" s="3">
        <v>1</v>
      </c>
    </row>
    <row r="40629" ht="15.75" customHeight="1" spans="1:2">
      <c r="A40629" s="3" t="str">
        <f>IFERROR(__xludf.DUMMYFUNCTION("GOOGLETRANSLATE(A40629,""en"",""pt"")"),"uma vez aquecido, relativamente rápido para uso doméstico")</f>
        <v>uma vez aquecido, relativamente rápido para uso doméstico</v>
      </c>
      <c r="B40629" s="3">
        <v>1</v>
      </c>
    </row>
    <row r="40630" ht="15.75" customHeight="1" spans="1:2">
      <c r="A40630" s="3" t="str">
        <f>IFERROR(__xludf.DUMMYFUNCTION("GOOGLETRANSLATE(A40630,""en"",""pt"")"),"tanques de cores separadas")</f>
        <v>tanques de cores separadas</v>
      </c>
      <c r="B40630" s="3">
        <v>1</v>
      </c>
    </row>
    <row r="40631" ht="15.75" customHeight="1" spans="1:2">
      <c r="A40631" s="3" t="str">
        <f>IFERROR(__xludf.DUMMYFUNCTION("GOOGLETRANSLATE(A40631,""en"",""pt"")"),"carrinho de tinta separado. Rápido. Fácil instalar. Imprime fotos boas, ótimos gráficos.")</f>
        <v>carrinho de tinta separado. Rápido. Fácil instalar. Imprime fotos boas, ótimos gráficos.</v>
      </c>
      <c r="B40631" s="3">
        <v>1</v>
      </c>
    </row>
    <row r="40632" ht="15.75" customHeight="1" spans="1:2">
      <c r="A40632" s="3" t="str">
        <f>IFERROR(__xludf.DUMMYFUNCTION("GOOGLETRANSLATE(A40632,""en"",""pt"")"),"Rápido, preciso, boa cor, fácil de configurar")</f>
        <v>Rápido, preciso, boa cor, fácil de configurar</v>
      </c>
      <c r="B40632" s="3">
        <v>1</v>
      </c>
    </row>
    <row r="40633" ht="15.75" customHeight="1" spans="1:2">
      <c r="A40633" s="3" t="str">
        <f>IFERROR(__xludf.DUMMYFUNCTION("GOOGLETRANSLATE(A40633,""en"",""pt"")"),"saída de impressão agradável, cartuchos separados para cada cor")</f>
        <v>saída de impressão agradável, cartuchos separados para cada cor</v>
      </c>
      <c r="B40633" s="3">
        <v>1</v>
      </c>
    </row>
    <row r="40634" ht="15.75" customHeight="1" spans="1:2">
      <c r="A40634" s="3" t="str">
        <f>IFERROR(__xludf.DUMMYFUNCTION("GOOGLETRANSLATE(A40634,""en"",""pt"")"),"Baixo preço original")</f>
        <v>Baixo preço original</v>
      </c>
      <c r="B40634" s="3">
        <v>1</v>
      </c>
    </row>
    <row r="40635" ht="15.75" customHeight="1" spans="1:2">
      <c r="A40635" s="3" t="str">
        <f>IFERROR(__xludf.DUMMYFUNCTION("GOOGLETRANSLATE(A40635,""en"",""pt"")"),"&amp; Lt; b &amp; gt; amores &amp; lt; / B &amp; gt; para imprimir texto ... eu consegui barato ... inclui um bom software")</f>
        <v>&amp; Lt; b &amp; gt; amores &amp; lt; / B &amp; gt; para imprimir texto ... eu consegui barato ... inclui um bom software</v>
      </c>
      <c r="B40635" s="3">
        <v>1</v>
      </c>
    </row>
    <row r="40636" ht="15.75" customHeight="1" spans="1:2">
      <c r="A40636" s="3" t="str">
        <f>IFERROR(__xludf.DUMMYFUNCTION("GOOGLETRANSLATE(A40636,""en"",""pt"")"),"fotos muito claras")</f>
        <v>fotos muito claras</v>
      </c>
      <c r="B40636" s="3">
        <v>1</v>
      </c>
    </row>
    <row r="40637" ht="15.75" customHeight="1" spans="1:2">
      <c r="A40637" s="3" t="str">
        <f>IFERROR(__xludf.DUMMYFUNCTION("GOOGLETRANSLATE(A40637,""en"",""pt"")"),"preços competitivos, excelente qualidade de impressão")</f>
        <v>preços competitivos, excelente qualidade de impressão</v>
      </c>
      <c r="B40637" s="3">
        <v>1</v>
      </c>
    </row>
    <row r="40638" ht="15.75" customHeight="1" spans="1:2">
      <c r="A40638" s="3" t="str">
        <f>IFERROR(__xludf.DUMMYFUNCTION("GOOGLETRANSLATE(A40638,""en"",""pt"")"),"Pendentes fotos / text")</f>
        <v>Pendentes fotos / text</v>
      </c>
      <c r="B40638" s="3">
        <v>1</v>
      </c>
    </row>
    <row r="40639" ht="15.75" customHeight="1" spans="1:2">
      <c r="A40639" s="3" t="str">
        <f>IFERROR(__xludf.DUMMYFUNCTION("GOOGLETRANSLATE(A40639,""en"",""pt"")"),"Ultra Qualidade agradável, impressão flexível Media, de Longa Duração Tanques de tinta")</f>
        <v>Ultra Qualidade agradável, impressão flexível Media, de Longa Duração Tanques de tinta</v>
      </c>
      <c r="B40639" s="3">
        <v>1</v>
      </c>
    </row>
    <row r="40640" ht="15.75" customHeight="1" spans="1:2">
      <c r="A40640" s="3" t="str">
        <f>IFERROR(__xludf.DUMMYFUNCTION("GOOGLETRANSLATE(A40640,""en"",""pt"")"),"boa qualidade, bastante tranquilo")</f>
        <v>boa qualidade, bastante tranquilo</v>
      </c>
      <c r="B40640" s="3">
        <v>1</v>
      </c>
    </row>
    <row r="40641" ht="15.75" customHeight="1" spans="1:2">
      <c r="A40641" s="3" t="str">
        <f>IFERROR(__xludf.DUMMYFUNCTION("GOOGLETRANSLATE(A40641,""en"",""pt"")"),"Cópia agradável limpo.")</f>
        <v>Cópia agradável limpo.</v>
      </c>
      <c r="B40641" s="3">
        <v>1</v>
      </c>
    </row>
    <row r="40642" ht="15.75" customHeight="1" spans="1:2">
      <c r="A40642" s="3" t="str">
        <f>IFERROR(__xludf.DUMMYFUNCTION("GOOGLETRANSLATE(A40642,""en"",""pt"")"),"excelentes impressões de texto, cor decente, bastante rápido")</f>
        <v>excelentes impressões de texto, cor decente, bastante rápido</v>
      </c>
      <c r="B40642" s="3">
        <v>1</v>
      </c>
    </row>
    <row r="40643" ht="15.75" customHeight="1" spans="1:2">
      <c r="A40643" s="3" t="str">
        <f>IFERROR(__xludf.DUMMYFUNCTION("GOOGLETRANSLATE(A40643,""en"",""pt"")"),"pequeno e portátil")</f>
        <v>pequeno e portátil</v>
      </c>
      <c r="B40643" s="3">
        <v>1</v>
      </c>
    </row>
    <row r="40644" ht="15.75" customHeight="1" spans="1:2">
      <c r="A40644" s="3" t="str">
        <f>IFERROR(__xludf.DUMMYFUNCTION("GOOGLETRANSLATE(A40644,""en"",""pt"")"),"Tamanho, desempenho, qualidade de impressão")</f>
        <v>Tamanho, desempenho, qualidade de impressão</v>
      </c>
      <c r="B40644" s="3">
        <v>1</v>
      </c>
    </row>
    <row r="40645" ht="15.75" customHeight="1" spans="1:2">
      <c r="A40645" s="3" t="str">
        <f>IFERROR(__xludf.DUMMYFUNCTION("GOOGLETRANSLATE(A40645,""en"",""pt"")"),"Tamanho, Desempenho e Qualidade de impressão")</f>
        <v>Tamanho, Desempenho e Qualidade de impressão</v>
      </c>
      <c r="B40645" s="3">
        <v>1</v>
      </c>
    </row>
    <row r="40646" ht="15.75" customHeight="1" spans="1:2">
      <c r="A40646" s="3" t="str">
        <f>IFERROR(__xludf.DUMMYFUNCTION("GOOGLETRANSLATE(A40646,""en"",""pt"")"),"Grande impressora portátil, rápido")</f>
        <v>Grande impressora portátil, rápido</v>
      </c>
      <c r="B40646" s="3">
        <v>1</v>
      </c>
    </row>
    <row r="40647" ht="15.75" customHeight="1" spans="1:2">
      <c r="A40647" s="3" t="str">
        <f>IFERROR(__xludf.DUMMYFUNCTION("GOOGLETRANSLATE(A40647,""en"",""pt"")"),"Muito portátil, rápido, impressão de texto de alta resolução, impressão boa cor")</f>
        <v>Muito portátil, rápido, impressão de texto de alta resolução, impressão boa cor</v>
      </c>
      <c r="B40647" s="3">
        <v>1</v>
      </c>
    </row>
    <row r="40648" ht="15.75" customHeight="1" spans="1:2">
      <c r="A40648" s="3" t="str">
        <f>IFERROR(__xludf.DUMMYFUNCTION("GOOGLETRANSLATE(A40648,""en"",""pt"")"),"Portabilidade, Built-In alimentador de folhas")</f>
        <v>Portabilidade, Built-In alimentador de folhas</v>
      </c>
      <c r="B40648" s="3">
        <v>1</v>
      </c>
    </row>
    <row r="40649" ht="15.75" customHeight="1" spans="1:2">
      <c r="A40649" s="3" t="str">
        <f>IFERROR(__xludf.DUMMYFUNCTION("GOOGLETRANSLATE(A40649,""en"",""pt"")"),"impressão de qualidade, bom tamanho / formato")</f>
        <v>impressão de qualidade, bom tamanho / formato</v>
      </c>
      <c r="B40649" s="3">
        <v>1</v>
      </c>
    </row>
    <row r="40650" ht="15.75" customHeight="1" spans="1:2">
      <c r="A40650" s="3" t="str">
        <f>IFERROR(__xludf.DUMMYFUNCTION("GOOGLETRANSLATE(A40650,""en"",""pt"")"),"boa impressora peso leve")</f>
        <v>boa impressora peso leve</v>
      </c>
      <c r="B40650" s="3">
        <v>1</v>
      </c>
    </row>
    <row r="40651" ht="15.75" customHeight="1" spans="1:2">
      <c r="A40651" s="3" t="str">
        <f>IFERROR(__xludf.DUMMYFUNCTION("GOOGLETRANSLATE(A40651,""en"",""pt"")"),"bom para viajar com")</f>
        <v>bom para viajar com</v>
      </c>
      <c r="B40651" s="3">
        <v>1</v>
      </c>
    </row>
    <row r="40652" ht="15.75" customHeight="1" spans="1:2">
      <c r="A40652" s="3" t="str">
        <f>IFERROR(__xludf.DUMMYFUNCTION("GOOGLETRANSLATE(A40652,""en"",""pt"")"),"Compacto, qualidade, versatilidade, Mobile")</f>
        <v>Compacto, qualidade, versatilidade, Mobile</v>
      </c>
      <c r="B40652" s="3">
        <v>1</v>
      </c>
    </row>
    <row r="40653" ht="15.75" customHeight="1" spans="1:2">
      <c r="A40653" s="3" t="str">
        <f>IFERROR(__xludf.DUMMYFUNCTION("GOOGLETRANSLATE(A40653,""en"",""pt"")"),"Tudo")</f>
        <v>Tudo</v>
      </c>
      <c r="B40653" s="3">
        <v>1</v>
      </c>
    </row>
    <row r="40654" ht="15.75" customHeight="1" spans="1:2">
      <c r="A40654" s="3" t="str">
        <f>IFERROR(__xludf.DUMMYFUNCTION("GOOGLETRANSLATE(A40654,""en"",""pt"")"),"Pequeno ... imprime bem, tem a opção para digitalizar e para ser usado remotamente")</f>
        <v>Pequeno ... imprime bem, tem a opção para digitalizar e para ser usado remotamente</v>
      </c>
      <c r="B40654" s="3">
        <v>1</v>
      </c>
    </row>
    <row r="40655" ht="15.75" customHeight="1" spans="1:2">
      <c r="A40655" s="3" t="str">
        <f>IFERROR(__xludf.DUMMYFUNCTION("GOOGLETRANSLATE(A40655,""en"",""pt"")"),"Grande, impressora portátil com melhor do que os resultados médios")</f>
        <v>Grande, impressora portátil com melhor do que os resultados médios</v>
      </c>
      <c r="B40655" s="3">
        <v>1</v>
      </c>
    </row>
    <row r="40656" ht="15.75" customHeight="1" spans="1:2">
      <c r="A40656" s="3" t="str">
        <f>IFERROR(__xludf.DUMMYFUNCTION("GOOGLETRANSLATE(A40656,""en"",""pt"")"),"módulos disponíveis como licenças de dinheiro, digitaliza, copia, imprime cor / b &amp; amp; amp; w; opção de bateria")</f>
        <v>módulos disponíveis como licenças de dinheiro, digitaliza, copia, imprime cor / b &amp; amp; amp; w; opção de bateria</v>
      </c>
      <c r="B40656" s="3">
        <v>1</v>
      </c>
    </row>
    <row r="40657" ht="15.75" customHeight="1" spans="1:2">
      <c r="A40657" s="3" t="str">
        <f>IFERROR(__xludf.DUMMYFUNCTION("GOOGLETRANSLATE(A40657,""en"",""pt"")"),"pegada pequena, fácil de usar, extremamente portátil, convertidos ao scanner com cartucho de digitalização")</f>
        <v>pegada pequena, fácil de usar, extremamente portátil, convertidos ao scanner com cartucho de digitalização</v>
      </c>
      <c r="B40657" s="3">
        <v>1</v>
      </c>
    </row>
    <row r="40658" ht="15.75" customHeight="1" spans="1:2">
      <c r="A40658" s="3" t="str">
        <f>IFERROR(__xludf.DUMMYFUNCTION("GOOGLETRANSLATE(A40658,""en"",""pt"")"),"tamanho, peso")</f>
        <v>tamanho, peso</v>
      </c>
      <c r="B40658" s="3">
        <v>1</v>
      </c>
    </row>
    <row r="40659" ht="15.75" customHeight="1" spans="1:2">
      <c r="A40659" s="3" t="str">
        <f>IFERROR(__xludf.DUMMYFUNCTION("GOOGLETRANSLATE(A40659,""en"",""pt"")"),"qualidade superior do entalhe")</f>
        <v>qualidade superior do entalhe</v>
      </c>
      <c r="B40659" s="3">
        <v>1</v>
      </c>
    </row>
    <row r="40660" ht="15.75" customHeight="1" spans="1:2">
      <c r="A40660" s="3" t="str">
        <f>IFERROR(__xludf.DUMMYFUNCTION("GOOGLETRANSLATE(A40660,""en"",""pt"")"),"Grande saída, Quiet")</f>
        <v>Grande saída, Quiet</v>
      </c>
      <c r="B40660" s="3">
        <v>1</v>
      </c>
    </row>
    <row r="40661" ht="15.75" customHeight="1" spans="1:2">
      <c r="A40661" s="3" t="str">
        <f>IFERROR(__xludf.DUMMYFUNCTION("GOOGLETRANSLATE(A40661,""en"",""pt"")"),"Grande cor, tanques de tinta individuais")</f>
        <v>Grande cor, tanques de tinta individuais</v>
      </c>
      <c r="B40661" s="3">
        <v>1</v>
      </c>
    </row>
    <row r="40662" ht="15.75" customHeight="1" spans="1:2">
      <c r="A40662" s="3" t="str">
        <f>IFERROR(__xludf.DUMMYFUNCTION("GOOGLETRANSLATE(A40662,""en"",""pt"")"),"Qualidade de impressão")</f>
        <v>Qualidade de impressão</v>
      </c>
      <c r="B40662" s="3">
        <v>1</v>
      </c>
    </row>
    <row r="40663" ht="15.75" customHeight="1" spans="1:2">
      <c r="A40663" s="3" t="str">
        <f>IFERROR(__xludf.DUMMYFUNCTION("GOOGLETRANSLATE(A40663,""en"",""pt"")"),"Astounding cores, Tanques 7 de tinta")</f>
        <v>Astounding cores, Tanques 7 de tinta</v>
      </c>
      <c r="B40663" s="3">
        <v>1</v>
      </c>
    </row>
    <row r="40664" ht="15.75" customHeight="1" spans="1:2">
      <c r="A40664" s="3" t="str">
        <f>IFERROR(__xludf.DUMMYFUNCTION("GOOGLETRANSLATE(A40664,""en"",""pt"")"),"- excelente qualidade de imagem - USB e porta paralela - tons boa pele")</f>
        <v>- excelente qualidade de imagem - USB e porta paralela - tons boa pele</v>
      </c>
      <c r="B40664" s="3">
        <v>1</v>
      </c>
    </row>
    <row r="40665" ht="15.75" customHeight="1" spans="1:2">
      <c r="A40665" s="3" t="str">
        <f>IFERROR(__xludf.DUMMYFUNCTION("GOOGLETRANSLATE(A40665,""en"",""pt"")"),"6 cartuchos, a impressão a cores de alta qualidade,")</f>
        <v>6 cartuchos, a impressão a cores de alta qualidade,</v>
      </c>
      <c r="B40665" s="3">
        <v>1</v>
      </c>
    </row>
    <row r="40666" ht="15.75" customHeight="1" spans="1:2">
      <c r="A40666" s="3" t="str">
        <f>IFERROR(__xludf.DUMMYFUNCTION("GOOGLETRANSLATE(A40666,""en"",""pt"")"),"Grande saída foto, sem pontos")</f>
        <v>Grande saída foto, sem pontos</v>
      </c>
      <c r="B40666" s="3">
        <v>1</v>
      </c>
    </row>
    <row r="40667" ht="15.75" customHeight="1" spans="1:2">
      <c r="A40667" s="3" t="str">
        <f>IFERROR(__xludf.DUMMYFUNCTION("GOOGLETRANSLATE(A40667,""en"",""pt"")"),"Imprimir qualidade, preço, cartuchos de tinta separados")</f>
        <v>Imprimir qualidade, preço, cartuchos de tinta separados</v>
      </c>
      <c r="B40667" s="3">
        <v>1</v>
      </c>
    </row>
    <row r="40668" ht="15.75" customHeight="1" spans="1:2">
      <c r="A40668" s="3" t="str">
        <f>IFERROR(__xludf.DUMMYFUNCTION("GOOGLETRANSLATE(A40668,""en"",""pt"")"),"Imprimir qualidade, baixo nível de ruído, custo de Uso")</f>
        <v>Imprimir qualidade, baixo nível de ruído, custo de Uso</v>
      </c>
      <c r="B40668" s="3">
        <v>1</v>
      </c>
    </row>
    <row r="40669" ht="15.75" customHeight="1" spans="1:2">
      <c r="A40669" s="3" t="str">
        <f>IFERROR(__xludf.DUMMYFUNCTION("GOOGLETRANSLATE(A40669,""en"",""pt"")"),"Excelente qualidade fotográfica.")</f>
        <v>Excelente qualidade fotográfica.</v>
      </c>
      <c r="B40669" s="3">
        <v>1</v>
      </c>
    </row>
    <row r="40670" ht="15.75" customHeight="1" spans="1:2">
      <c r="A40670" s="3" t="str">
        <f>IFERROR(__xludf.DUMMYFUNCTION("GOOGLETRANSLATE(A40670,""en"",""pt"")"),"saída de alta qualidade, 6 cartuchos, boa &amp; amp; # 13; &amp; amp; # 10;. software &amp; amp; # 9;")</f>
        <v>saída de alta qualidade, 6 cartuchos, boa &amp; amp; # 13; &amp; amp; # 10;. software &amp; amp; # 9;</v>
      </c>
      <c r="B40670" s="3">
        <v>1</v>
      </c>
    </row>
    <row r="40671" ht="15.75" customHeight="1" spans="1:2">
      <c r="A40671" s="3" t="str">
        <f>IFERROR(__xludf.DUMMYFUNCTION("GOOGLETRANSLATE(A40671,""en"",""pt"")"),"impressões de qualidade bom. 6 tanques de tinta separados economiza custos de tinta.")</f>
        <v>impressões de qualidade bom. 6 tanques de tinta separados economiza custos de tinta.</v>
      </c>
      <c r="B40671" s="3">
        <v>1</v>
      </c>
    </row>
    <row r="40672" ht="15.75" customHeight="1" spans="1:2">
      <c r="A40672" s="3" t="str">
        <f>IFERROR(__xludf.DUMMYFUNCTION("GOOGLETRANSLATE(A40672,""en"",""pt"")"),"Uma impressora ideal para o viajante e tão fácil de usar")</f>
        <v>Uma impressora ideal para o viajante e tão fácil de usar</v>
      </c>
      <c r="B40672" s="3">
        <v>1</v>
      </c>
    </row>
    <row r="40673" ht="15.75" customHeight="1" spans="1:2">
      <c r="A40673" s="3" t="str">
        <f>IFERROR(__xludf.DUMMYFUNCTION("GOOGLETRANSLATE(A40673,""en"",""pt"")"),"Muito compacto, silencioso, qualidade decente para o preço barato e fácil de usar.")</f>
        <v>Muito compacto, silencioso, qualidade decente para o preço barato e fácil de usar.</v>
      </c>
      <c r="B40673" s="3">
        <v>1</v>
      </c>
    </row>
    <row r="40674" ht="15.75" customHeight="1" spans="1:2">
      <c r="A40674" s="3" t="str">
        <f>IFERROR(__xludf.DUMMYFUNCTION("GOOGLETRANSLATE(A40674,""en"",""pt"")"),"Boa impressão limpa. cópias de qualidade. Não há congestionamentos.")</f>
        <v>Boa impressão limpa. cópias de qualidade. Não há congestionamentos.</v>
      </c>
      <c r="B40674" s="3">
        <v>1</v>
      </c>
    </row>
    <row r="40675" ht="15.75" customHeight="1" spans="1:2">
      <c r="A40675" s="3" t="str">
        <f>IFERROR(__xludf.DUMMYFUNCTION("GOOGLETRANSLATE(A40675,""en"",""pt"")"),"boa qualidade, durável, preços razoáveis")</f>
        <v>boa qualidade, durável, preços razoáveis</v>
      </c>
      <c r="B40675" s="3">
        <v>1</v>
      </c>
    </row>
    <row r="40676" ht="15.75" customHeight="1" spans="1:2">
      <c r="A40676" s="3" t="str">
        <f>IFERROR(__xludf.DUMMYFUNCTION("GOOGLETRANSLATE(A40676,""en"",""pt"")"),"Boa resolução, pequeno, portátil")</f>
        <v>Boa resolução, pequeno, portátil</v>
      </c>
      <c r="B40676" s="3">
        <v>1</v>
      </c>
    </row>
    <row r="40677" ht="15.75" customHeight="1" spans="1:2">
      <c r="A40677" s="3" t="str">
        <f>IFERROR(__xludf.DUMMYFUNCTION("GOOGLETRANSLATE(A40677,""en"",""pt"")"),"Boa qualidade de impressão, a opção scanner, IrDA integrada, construída no alimentador,")</f>
        <v>Boa qualidade de impressão, a opção scanner, IrDA integrada, construída no alimentador,</v>
      </c>
      <c r="B40677" s="3">
        <v>1</v>
      </c>
    </row>
    <row r="40678" ht="15.75" customHeight="1" spans="1:2">
      <c r="A40678" s="3" t="str">
        <f>IFERROR(__xludf.DUMMYFUNCTION("GOOGLETRANSLATE(A40678,""en"",""pt"")"),"É leve e compacto e estampas bem. A opção do scanner é uma idéia legal.")</f>
        <v>É leve e compacto e estampas bem. A opção do scanner é uma idéia legal.</v>
      </c>
      <c r="B40678" s="3">
        <v>1</v>
      </c>
    </row>
    <row r="40679" ht="15.75" customHeight="1" spans="1:2">
      <c r="A40679" s="3" t="str">
        <f>IFERROR(__xludf.DUMMYFUNCTION("GOOGLETRANSLATE(A40679,""en"",""pt"")"),"Pequeno, leve, portátil")</f>
        <v>Pequeno, leve, portátil</v>
      </c>
      <c r="B40679" s="3">
        <v>1</v>
      </c>
    </row>
    <row r="40680" ht="15.75" customHeight="1" spans="1:2">
      <c r="A40680" s="3" t="str">
        <f>IFERROR(__xludf.DUMMYFUNCTION("GOOGLETRANSLATE(A40680,""en"",""pt"")"),"Pequeno, infravermelho compatível")</f>
        <v>Pequeno, infravermelho compatível</v>
      </c>
      <c r="B40680" s="3">
        <v>1</v>
      </c>
    </row>
    <row r="40681" ht="15.75" customHeight="1" spans="1:2">
      <c r="A40681" s="3" t="str">
        <f>IFERROR(__xludf.DUMMYFUNCTION("GOOGLETRANSLATE(A40681,""en"",""pt"")"),"Muito portátil, economia de espaço, qualidade de impressão, facilidade de uso.")</f>
        <v>Muito portátil, economia de espaço, qualidade de impressão, facilidade de uso.</v>
      </c>
      <c r="B40681" s="3">
        <v>1</v>
      </c>
    </row>
    <row r="40682" ht="15.75" customHeight="1" spans="1:2">
      <c r="A40682" s="3" t="str">
        <f>IFERROR(__xludf.DUMMYFUNCTION("GOOGLETRANSLATE(A40682,""en"",""pt"")"),"detalhe magnífico da impressão, preço razoável, muitos recursos")</f>
        <v>detalhe magnífico da impressão, preço razoável, muitos recursos</v>
      </c>
      <c r="B40682" s="3">
        <v>1</v>
      </c>
    </row>
    <row r="40683" ht="15.75" customHeight="1" spans="1:2">
      <c r="A40683" s="3" t="str">
        <f>IFERROR(__xludf.DUMMYFUNCTION("GOOGLETRANSLATE(A40683,""en"",""pt"")"),"Acessível")</f>
        <v>Acessível</v>
      </c>
      <c r="B40683" s="3">
        <v>1</v>
      </c>
    </row>
    <row r="40684" ht="15.75" customHeight="1" spans="1:2">
      <c r="A40684" s="3" t="str">
        <f>IFERROR(__xludf.DUMMYFUNCTION("GOOGLETRANSLATE(A40684,""en"",""pt"")"),"Barato, foi muito acessíveis")</f>
        <v>Barato, foi muito acessíveis</v>
      </c>
      <c r="B40684" s="3">
        <v>1</v>
      </c>
    </row>
    <row r="40685" ht="15.75" customHeight="1" spans="1:2">
      <c r="A40685" s="3" t="str">
        <f>IFERROR(__xludf.DUMMYFUNCTION("GOOGLETRANSLATE(A40685,""en"",""pt"")"),"Ótimo preço para a qualidade Canon. poderoso software de gestão.")</f>
        <v>Ótimo preço para a qualidade Canon. poderoso software de gestão.</v>
      </c>
      <c r="B40685" s="3">
        <v>1</v>
      </c>
    </row>
    <row r="40686" ht="15.75" customHeight="1" spans="1:2">
      <c r="A40686" s="3" t="str">
        <f>IFERROR(__xludf.DUMMYFUNCTION("GOOGLETRANSLATE(A40686,""en"",""pt"")"),"tanques de tinta separados")</f>
        <v>tanques de tinta separados</v>
      </c>
      <c r="B40686" s="3">
        <v>1</v>
      </c>
    </row>
    <row r="40687" ht="15.75" customHeight="1" spans="1:2">
      <c r="A40687" s="3" t="str">
        <f>IFERROR(__xludf.DUMMYFUNCTION("GOOGLETRANSLATE(A40687,""en"",""pt"")"),"impressão clara rápido, fácil de usar")</f>
        <v>impressão clara rápido, fácil de usar</v>
      </c>
      <c r="B40687" s="3">
        <v>1</v>
      </c>
    </row>
    <row r="40688" ht="15.75" customHeight="1" spans="1:2">
      <c r="A40688" s="3" t="str">
        <f>IFERROR(__xludf.DUMMYFUNCTION("GOOGLETRANSLATE(A40688,""en"",""pt"")"),"Excelente qualidade e de baixo custo")</f>
        <v>Excelente qualidade e de baixo custo</v>
      </c>
      <c r="B40688" s="3">
        <v>1</v>
      </c>
    </row>
    <row r="40689" ht="15.75" customHeight="1" spans="1:2">
      <c r="A40689" s="3" t="str">
        <f>IFERROR(__xludf.DUMMYFUNCTION("GOOGLETRANSLATE(A40689,""en"",""pt"")"),"Looks, tamanho, qualidade")</f>
        <v>Looks, tamanho, qualidade</v>
      </c>
      <c r="B40689" s="3">
        <v>1</v>
      </c>
    </row>
    <row r="40690" ht="15.75" customHeight="1" spans="1:2">
      <c r="A40690" s="3" t="str">
        <f>IFERROR(__xludf.DUMMYFUNCTION("GOOGLETRANSLATE(A40690,""en"",""pt"")"),"Boa qualidade, barato, versátil")</f>
        <v>Boa qualidade, barato, versátil</v>
      </c>
      <c r="B40690" s="3">
        <v>1</v>
      </c>
    </row>
    <row r="40691" ht="15.75" customHeight="1" spans="1:2">
      <c r="A40691" s="3" t="str">
        <f>IFERROR(__xludf.DUMMYFUNCTION("GOOGLETRANSLATE(A40691,""en"",""pt"")"),"Não alto preço, de boa qualidade, fácil de instalar e usar.")</f>
        <v>Não alto preço, de boa qualidade, fácil de instalar e usar.</v>
      </c>
      <c r="B40691" s="3">
        <v>1</v>
      </c>
    </row>
    <row r="40692" ht="15.75" customHeight="1" spans="1:2">
      <c r="A40692" s="3" t="str">
        <f>IFERROR(__xludf.DUMMYFUNCTION("GOOGLETRANSLATE(A40692,""en"",""pt"")"),"uma grande impressora para uso em casa, quatro tintas de cores separadas")</f>
        <v>uma grande impressora para uso em casa, quatro tintas de cores separadas</v>
      </c>
      <c r="B40692" s="3">
        <v>1</v>
      </c>
    </row>
    <row r="40693" ht="15.75" customHeight="1" spans="1:2">
      <c r="A40693" s="3" t="str">
        <f>IFERROR(__xludf.DUMMYFUNCTION("GOOGLETRANSLATE(A40693,""en"",""pt"")"),"Cheap custo por página, rápido o suficiente, cartuchos separados")</f>
        <v>Cheap custo por página, rápido o suficiente, cartuchos separados</v>
      </c>
      <c r="B40693" s="3">
        <v>1</v>
      </c>
    </row>
    <row r="40694" ht="15.75" customHeight="1" spans="1:2">
      <c r="A40694" s="3" t="str">
        <f>IFERROR(__xludf.DUMMYFUNCTION("GOOGLETRANSLATE(A40694,""en"",""pt"")"),"Acessível, impressora de boa qualidade")</f>
        <v>Acessível, impressora de boa qualidade</v>
      </c>
      <c r="B40694" s="3">
        <v>1</v>
      </c>
    </row>
    <row r="40695" ht="15.75" customHeight="1" spans="1:2">
      <c r="A40695" s="3" t="str">
        <f>IFERROR(__xludf.DUMMYFUNCTION("GOOGLETRANSLATE(A40695,""en"",""pt"")"),"Acessíveis, qualidade impressões boas quando funciona, tinteiros individuais.")</f>
        <v>Acessíveis, qualidade impressões boas quando funciona, tinteiros individuais.</v>
      </c>
      <c r="B40695" s="3">
        <v>1</v>
      </c>
    </row>
    <row r="40696" ht="15.75" customHeight="1" spans="1:2">
      <c r="A40696" s="3" t="str">
        <f>IFERROR(__xludf.DUMMYFUNCTION("GOOGLETRANSLATE(A40696,""en"",""pt"")"),"tanques de tinta substituíveis; Fácil de usar; Excelente valor;")</f>
        <v>tanques de tinta substituíveis; Fácil de usar; Excelente valor;</v>
      </c>
      <c r="B40696" s="3">
        <v>1</v>
      </c>
    </row>
    <row r="40697" ht="15.75" customHeight="1" spans="1:2">
      <c r="A40697" s="3" t="str">
        <f>IFERROR(__xludf.DUMMYFUNCTION("GOOGLETRANSLATE(A40697,""en"",""pt"")"),"qualidade de saída, consumíveis separados, muitas opções de impressão")</f>
        <v>qualidade de saída, consumíveis separados, muitas opções de impressão</v>
      </c>
      <c r="B40697" s="3">
        <v>1</v>
      </c>
    </row>
    <row r="40698" ht="15.75" customHeight="1" spans="1:2">
      <c r="A40698" s="3" t="str">
        <f>IFERROR(__xludf.DUMMYFUNCTION("GOOGLETRANSLATE(A40698,""en"",""pt"")"),"greetingcard maravilhoso, impressão de fotos. Minha segunda impressora Canon.")</f>
        <v>greetingcard maravilhoso, impressão de fotos. Minha segunda impressora Canon.</v>
      </c>
      <c r="B40698" s="3">
        <v>1</v>
      </c>
    </row>
    <row r="40699" ht="15.75" customHeight="1" spans="1:2">
      <c r="A40699" s="3" t="str">
        <f>IFERROR(__xludf.DUMMYFUNCTION("GOOGLETRANSLATE(A40699,""en"",""pt"")"),"cartuchos de tinta fácil de encher salvar $$$. trabalha rápido. Este é um devorador de trabalho.")</f>
        <v>cartuchos de tinta fácil de encher salvar $$$. trabalha rápido. Este é um devorador de trabalho.</v>
      </c>
      <c r="B40699" s="3">
        <v>1</v>
      </c>
    </row>
    <row r="40700" ht="15.75" customHeight="1" spans="1:2">
      <c r="A40700" s="3" t="str">
        <f>IFERROR(__xludf.DUMMYFUNCTION("GOOGLETRANSLATE(A40700,""en"",""pt"")"),"boa reprodução de cores, mesmo em papel comum, preço razoável")</f>
        <v>boa reprodução de cores, mesmo em papel comum, preço razoável</v>
      </c>
      <c r="B40700" s="3">
        <v>1</v>
      </c>
    </row>
    <row r="40701" ht="15.75" customHeight="1" spans="1:2">
      <c r="A40701" s="3" t="str">
        <f>IFERROR(__xludf.DUMMYFUNCTION("GOOGLETRANSLATE(A40701,""en"",""pt"")"),"Não mais")</f>
        <v>Não mais</v>
      </c>
      <c r="B40701" s="3">
        <v>1</v>
      </c>
    </row>
    <row r="40702" ht="15.75" customHeight="1" spans="1:2">
      <c r="A40702" s="3" t="str">
        <f>IFERROR(__xludf.DUMMYFUNCTION("GOOGLETRANSLATE(A40702,""en"",""pt"")"),"Simples,, auto-energia limpa apresenta um plus, tinteiros individuais")</f>
        <v>Simples,, auto-energia limpa apresenta um plus, tinteiros individuais</v>
      </c>
      <c r="B40702" s="3">
        <v>1</v>
      </c>
    </row>
    <row r="40703" ht="15.75" customHeight="1" spans="1:2">
      <c r="A40703" s="3" t="str">
        <f>IFERROR(__xludf.DUMMYFUNCTION("GOOGLETRANSLATE(A40703,""en"",""pt"")"),"Serviço excelente, fácil de encontrar suprimentos, impressora rápido, barato sujeira")</f>
        <v>Serviço excelente, fácil de encontrar suprimentos, impressora rápido, barato sujeira</v>
      </c>
      <c r="B40703" s="3">
        <v>1</v>
      </c>
    </row>
    <row r="40704" ht="15.75" customHeight="1" spans="1:2">
      <c r="A40704" s="3" t="str">
        <f>IFERROR(__xludf.DUMMYFUNCTION("GOOGLETRANSLATE(A40704,""en"",""pt"")"),"ACESSÍVEL!!! cartuchos de cores separadas")</f>
        <v>ACESSÍVEL!!! cartuchos de cores separadas</v>
      </c>
      <c r="B40704" s="3">
        <v>1</v>
      </c>
    </row>
    <row r="40705" ht="15.75" customHeight="1" spans="1:2">
      <c r="A40705" s="3" t="str">
        <f>IFERROR(__xludf.DUMMYFUNCTION("GOOGLETRANSLATE(A40705,""en"",""pt"")"),"Velocidade, qualidade de cores")</f>
        <v>Velocidade, qualidade de cores</v>
      </c>
      <c r="B40705" s="3">
        <v>1</v>
      </c>
    </row>
    <row r="40706" ht="15.75" customHeight="1" spans="1:2">
      <c r="A40706" s="3" t="str">
        <f>IFERROR(__xludf.DUMMYFUNCTION("GOOGLETRANSLATE(A40706,""en"",""pt"")"),"velocidade, facilidade de uso, clareza de cores")</f>
        <v>velocidade, facilidade de uso, clareza de cores</v>
      </c>
      <c r="B40706" s="3">
        <v>1</v>
      </c>
    </row>
    <row r="40707" ht="15.75" customHeight="1" spans="1:2">
      <c r="A40707" s="3" t="str">
        <f>IFERROR(__xludf.DUMMYFUNCTION("GOOGLETRANSLATE(A40707,""en"",""pt"")"),"cores separadamente substituíveis, rápido, silencioso, qualidade de saída")</f>
        <v>cores separadamente substituíveis, rápido, silencioso, qualidade de saída</v>
      </c>
      <c r="B40707" s="3">
        <v>1</v>
      </c>
    </row>
    <row r="40708" ht="15.75" customHeight="1" spans="1:2">
      <c r="A40708" s="3" t="str">
        <f>IFERROR(__xludf.DUMMYFUNCTION("GOOGLETRANSLATE(A40708,""en"",""pt"")"),"Bom guia rápido. Software não é mau.")</f>
        <v>Bom guia rápido. Software não é mau.</v>
      </c>
      <c r="B40708" s="3">
        <v>1</v>
      </c>
    </row>
    <row r="40709" ht="15.75" customHeight="1" spans="1:2">
      <c r="A40709" s="3" t="str">
        <f>IFERROR(__xludf.DUMMYFUNCTION("GOOGLETRANSLATE(A40709,""en"",""pt"")"),"Boa qualidade, bom na tinta, RÁPIDO!")</f>
        <v>Boa qualidade, bom na tinta, RÁPIDO!</v>
      </c>
      <c r="B40709" s="3">
        <v>1</v>
      </c>
    </row>
    <row r="40710" ht="15.75" customHeight="1" spans="1:2">
      <c r="A40710" s="3" t="str">
        <f>IFERROR(__xludf.DUMMYFUNCTION("GOOGLETRANSLATE(A40710,""en"",""pt"")"),"Rápido, qualidade de impressão clara, cartucho de scanner!")</f>
        <v>Rápido, qualidade de impressão clara, cartucho de scanner!</v>
      </c>
      <c r="B40710" s="3">
        <v>1</v>
      </c>
    </row>
    <row r="40711" ht="15.75" customHeight="1" spans="1:2">
      <c r="A40711" s="3" t="str">
        <f>IFERROR(__xludf.DUMMYFUNCTION("GOOGLETRANSLATE(A40711,""en"",""pt"")"),"impressões de boa qualidade, rápidas, relativamente barato &amp; amp; # 9;")</f>
        <v>impressões de boa qualidade, rápidas, relativamente barato &amp; amp; # 9;</v>
      </c>
      <c r="B40711" s="3">
        <v>1</v>
      </c>
    </row>
    <row r="40712" ht="15.75" customHeight="1" spans="1:2">
      <c r="A40712" s="3" t="str">
        <f>IFERROR(__xludf.DUMMYFUNCTION("GOOGLETRANSLATE(A40712,""en"",""pt"")"),"Rápido, de boa qualidade, não muito barulhento. cartuchos de cor separado.")</f>
        <v>Rápido, de boa qualidade, não muito barulhento. cartuchos de cor separado.</v>
      </c>
      <c r="B40712" s="3">
        <v>1</v>
      </c>
    </row>
    <row r="40713" ht="15.75" customHeight="1" spans="1:2">
      <c r="A40713" s="3" t="str">
        <f>IFERROR(__xludf.DUMMYFUNCTION("GOOGLETRANSLATE(A40713,""en"",""pt"")"),"impressoras Canon BJC produzir impressões claras e limpas. Sua política de descontos é confiável.")</f>
        <v>impressoras Canon BJC produzir impressões claras e limpas. Sua política de descontos é confiável.</v>
      </c>
      <c r="B40713" s="3">
        <v>1</v>
      </c>
    </row>
    <row r="40714" ht="15.75" customHeight="1" spans="1:2">
      <c r="A40714" s="3" t="str">
        <f>IFERROR(__xludf.DUMMYFUNCTION("GOOGLETRANSLATE(A40714,""en"",""pt"")"),"impressões de qualidade, a vida Ink, rápido")</f>
        <v>impressões de qualidade, a vida Ink, rápido</v>
      </c>
      <c r="B40714" s="3">
        <v>1</v>
      </c>
    </row>
    <row r="40715" ht="15.75" customHeight="1" spans="1:2">
      <c r="A40715" s="3" t="str">
        <f>IFERROR(__xludf.DUMMYFUNCTION("GOOGLETRANSLATE(A40715,""en"",""pt"")"),"tinta-tanques separados, económico, qualidade")</f>
        <v>tinta-tanques separados, económico, qualidade</v>
      </c>
      <c r="B40715" s="3">
        <v>1</v>
      </c>
    </row>
    <row r="40716" ht="15.75" customHeight="1" spans="1:2">
      <c r="A40716" s="3" t="str">
        <f>IFERROR(__xludf.DUMMYFUNCTION("GOOGLETRANSLATE(A40716,""en"",""pt"")"),"impressão rápida, grandes impressões a cores - qualidade da foto, econômico")</f>
        <v>impressão rápida, grandes impressões a cores - qualidade da foto, econômico</v>
      </c>
      <c r="B40716" s="3">
        <v>1</v>
      </c>
    </row>
    <row r="40717" ht="15.75" customHeight="1" spans="1:2">
      <c r="A40717" s="3" t="str">
        <f>IFERROR(__xludf.DUMMYFUNCTION("GOOGLETRANSLATE(A40717,""en"",""pt"")"),"impressão rápida, grandes impressões a cores - qualidade da foto, econômico")</f>
        <v>impressão rápida, grandes impressões a cores - qualidade da foto, econômico</v>
      </c>
      <c r="B40717" s="3">
        <v>1</v>
      </c>
    </row>
    <row r="40718" ht="15.75" customHeight="1" spans="1:2">
      <c r="A40718" s="3" t="str">
        <f>IFERROR(__xludf.DUMMYFUNCTION("GOOGLETRANSLATE(A40718,""en"",""pt"")"),"qualidade de impressão impressionante em uma velocidade rápida")</f>
        <v>qualidade de impressão impressionante em uma velocidade rápida</v>
      </c>
      <c r="B40718" s="3">
        <v>1</v>
      </c>
    </row>
    <row r="40719" ht="15.75" customHeight="1" spans="1:2">
      <c r="A40719" s="3" t="str">
        <f>IFERROR(__xludf.DUMMYFUNCTION("GOOGLETRANSLATE(A40719,""en"",""pt"")"),"É uma impressora Canon, que para mim sempre significou qualidade")</f>
        <v>É uma impressora Canon, que para mim sempre significou qualidade</v>
      </c>
      <c r="B40719" s="3">
        <v>1</v>
      </c>
    </row>
    <row r="40720" ht="15.75" customHeight="1" spans="1:2">
      <c r="A40720" s="3" t="str">
        <f>IFERROR(__xludf.DUMMYFUNCTION("GOOGLETRANSLATE(A40720,""en"",""pt"")"),"velocidade, cores, resolução, design compacto.")</f>
        <v>velocidade, cores, resolução, design compacto.</v>
      </c>
      <c r="B40720" s="3">
        <v>1</v>
      </c>
    </row>
    <row r="40721" ht="15.75" customHeight="1" spans="1:2">
      <c r="A40721" s="3" t="str">
        <f>IFERROR(__xludf.DUMMYFUNCTION("GOOGLETRANSLATE(A40721,""en"",""pt"")"),"Barato para uso, excelente qualidade de impressão, silencioso, rápido")</f>
        <v>Barato para uso, excelente qualidade de impressão, silencioso, rápido</v>
      </c>
      <c r="B40721" s="3">
        <v>1</v>
      </c>
    </row>
    <row r="40722" ht="15.75" customHeight="1" spans="1:2">
      <c r="A40722" s="3" t="str">
        <f>IFERROR(__xludf.DUMMYFUNCTION("GOOGLETRANSLATE(A40722,""en"",""pt"")"),"qualidade de fotografias, impressões de alta cartuchos de tinta separados")</f>
        <v>qualidade de fotografias, impressões de alta cartuchos de tinta separados</v>
      </c>
      <c r="B40722" s="3">
        <v>1</v>
      </c>
    </row>
    <row r="40723" ht="15.75" customHeight="1" spans="1:2">
      <c r="A40723" s="3" t="str">
        <f>IFERROR(__xludf.DUMMYFUNCTION("GOOGLETRANSLATE(A40723,""en"",""pt"")"),"velocidade decente e cor para o preço.")</f>
        <v>velocidade decente e cor para o preço.</v>
      </c>
      <c r="B40723" s="3">
        <v>1</v>
      </c>
    </row>
    <row r="40724" ht="15.75" customHeight="1" spans="1:2">
      <c r="A40724" s="3" t="str">
        <f>IFERROR(__xludf.DUMMYFUNCTION("GOOGLETRANSLATE(A40724,""en"",""pt"")"),"Rápido e sem complicações Printing gratuito")</f>
        <v>Rápido e sem complicações Printing gratuito</v>
      </c>
      <c r="B40724" s="3">
        <v>1</v>
      </c>
    </row>
    <row r="40725" ht="15.75" customHeight="1" spans="1:2">
      <c r="A40725" s="3" t="str">
        <f>IFERROR(__xludf.DUMMYFUNCTION("GOOGLETRANSLATE(A40725,""en"",""pt"")"),"Grande qualidade de impressão, barato para comprar, tinta barata.")</f>
        <v>Grande qualidade de impressão, barato para comprar, tinta barata.</v>
      </c>
      <c r="B40725" s="3">
        <v>1</v>
      </c>
    </row>
    <row r="40726" ht="15.75" customHeight="1" spans="1:2">
      <c r="A40726" s="3" t="str">
        <f>IFERROR(__xludf.DUMMYFUNCTION("GOOGLETRANSLATE(A40726,""en"",""pt"")"),"Muito barato, de boa qualidade, Impressão Rápida")</f>
        <v>Muito barato, de boa qualidade, Impressão Rápida</v>
      </c>
      <c r="B40726" s="3">
        <v>1</v>
      </c>
    </row>
    <row r="40727" ht="15.75" customHeight="1" spans="1:2">
      <c r="A40727" s="3" t="str">
        <f>IFERROR(__xludf.DUMMYFUNCTION("GOOGLETRANSLATE(A40727,""en"",""pt"")"),"Facilidade de utilização &amp; amp;. # 13; &amp; amp; # 10; Três frascos separados de tinta de cor, além de um preto &amp; amp;. # 13; &amp; amp; # 10; Muito.")</f>
        <v>Facilidade de utilização &amp; amp;. # 13; &amp; amp; # 10; Três frascos separados de tinta de cor, além de um preto &amp; amp;. # 13; &amp; amp; # 10; Muito.</v>
      </c>
      <c r="B40727" s="3">
        <v>1</v>
      </c>
    </row>
    <row r="40728" ht="15.75" customHeight="1" spans="1:2">
      <c r="A40728" s="3" t="str">
        <f>IFERROR(__xludf.DUMMYFUNCTION("GOOGLETRANSLATE(A40728,""en"",""pt"")"),"A qualidade de impressão é excelente, a instalação foi fácil")</f>
        <v>A qualidade de impressão é excelente, a instalação foi fácil</v>
      </c>
      <c r="B40728" s="3">
        <v>1</v>
      </c>
    </row>
    <row r="40729" ht="15.75" customHeight="1" spans="1:2">
      <c r="A40729" s="3" t="str">
        <f>IFERROR(__xludf.DUMMYFUNCTION("GOOGLETRANSLATE(A40729,""en"",""pt"")"),"reservatórios de tinta individuais, USB ou conectividade serial, um bom software para ir com ele.")</f>
        <v>reservatórios de tinta individuais, USB ou conectividade serial, um bom software para ir com ele.</v>
      </c>
      <c r="B40729" s="3">
        <v>1</v>
      </c>
    </row>
    <row r="40730" ht="15.75" customHeight="1" spans="1:2">
      <c r="A40730" s="3" t="str">
        <f>IFERROR(__xludf.DUMMYFUNCTION("GOOGLETRANSLATE(A40730,""en"",""pt"")"),"tanques de tinta individuais, USB ou paralelo")</f>
        <v>tanques de tinta individuais, USB ou paralelo</v>
      </c>
      <c r="B40730" s="3">
        <v>1</v>
      </c>
    </row>
    <row r="40731" ht="15.75" customHeight="1" spans="1:2">
      <c r="A40731" s="3" t="str">
        <f>IFERROR(__xludf.DUMMYFUNCTION("GOOGLETRANSLATE(A40731,""en"",""pt"")"),"Rápido! Great Picture, tinteiros quatro")</f>
        <v>Rápido! Great Picture, tinteiros quatro</v>
      </c>
      <c r="B40731" s="3">
        <v>1</v>
      </c>
    </row>
    <row r="40732" ht="15.75" customHeight="1" spans="1:2">
      <c r="A40732" s="3" t="str">
        <f>IFERROR(__xludf.DUMMYFUNCTION("GOOGLETRANSLATE(A40732,""en"",""pt"")"),"Velocidade, qualidade, nível de ruído, Construção")</f>
        <v>Velocidade, qualidade, nível de ruído, Construção</v>
      </c>
      <c r="B40732" s="3">
        <v>1</v>
      </c>
    </row>
    <row r="40733" ht="15.75" customHeight="1" spans="1:2">
      <c r="A40733" s="3" t="str">
        <f>IFERROR(__xludf.DUMMYFUNCTION("GOOGLETRANSLATE(A40733,""en"",""pt"")"),"Tudo! Você não vai acreditar a qualidade!")</f>
        <v>Tudo! Você não vai acreditar a qualidade!</v>
      </c>
      <c r="B40733" s="3">
        <v>1</v>
      </c>
    </row>
    <row r="40734" ht="15.75" customHeight="1" spans="1:2">
      <c r="A40734" s="3" t="str">
        <f>IFERROR(__xludf.DUMMYFUNCTION("GOOGLETRANSLATE(A40734,""en"",""pt"")"),"Muito excelente impressão e rápido")</f>
        <v>Muito excelente impressão e rápido</v>
      </c>
      <c r="B40734" s="3">
        <v>1</v>
      </c>
    </row>
    <row r="40735" ht="15.75" customHeight="1" spans="1:2">
      <c r="A40735" s="3" t="str">
        <f>IFERROR(__xludf.DUMMYFUNCTION("GOOGLETRANSLATE(A40735,""en"",""pt"")"),"Facilidade de utilização, em substituição de tinta menos caro")</f>
        <v>Facilidade de utilização, em substituição de tinta menos caro</v>
      </c>
      <c r="B40735" s="3">
        <v>1</v>
      </c>
    </row>
    <row r="40736" ht="15.75" customHeight="1" spans="1:2">
      <c r="A40736" s="3" t="str">
        <f>IFERROR(__xludf.DUMMYFUNCTION("GOOGLETRANSLATE(A40736,""en"",""pt"")"),"sistema extremamente rápido a alimentação do papel, cartuchos de tinta individuais, a qualidade da foto, auto shut off")</f>
        <v>sistema extremamente rápido a alimentação do papel, cartuchos de tinta individuais, a qualidade da foto, auto shut off</v>
      </c>
      <c r="B40736" s="3">
        <v>1</v>
      </c>
    </row>
    <row r="40737" ht="15.75" customHeight="1" spans="1:2">
      <c r="A40737" s="3" t="str">
        <f>IFERROR(__xludf.DUMMYFUNCTION("GOOGLETRANSLATE(A40737,""en"",""pt"")"),"tanques de tintas distintas, uma operação silenciosa")</f>
        <v>tanques de tintas distintas, uma operação silenciosa</v>
      </c>
      <c r="B40737" s="3">
        <v>1</v>
      </c>
    </row>
    <row r="40738" ht="15.75" customHeight="1" spans="1:2">
      <c r="A40738" s="3" t="str">
        <f>IFERROR(__xludf.DUMMYFUNCTION("GOOGLETRANSLATE(A40738,""en"",""pt"")"),"Para o dinheiro este foto da impressora é o melhor que eu encontrei, eu adoro isso")</f>
        <v>Para o dinheiro este foto da impressora é o melhor que eu encontrei, eu adoro isso</v>
      </c>
      <c r="B40738" s="3">
        <v>1</v>
      </c>
    </row>
    <row r="40739" ht="15.75" customHeight="1" spans="1:2">
      <c r="A40739" s="3" t="str">
        <f>IFERROR(__xludf.DUMMYFUNCTION("GOOGLETRANSLATE(A40739,""en"",""pt"")"),"Imprime fotos bonitas, excelente desempenho.")</f>
        <v>Imprime fotos bonitas, excelente desempenho.</v>
      </c>
      <c r="B40739" s="3">
        <v>1</v>
      </c>
    </row>
    <row r="40740" ht="15.75" customHeight="1" spans="1:2">
      <c r="A40740" s="3" t="str">
        <f>IFERROR(__xludf.DUMMYFUNCTION("GOOGLETRANSLATE(A40740,""en"",""pt"")"),"Seis tintas do cartucho, de grande qualidade, detalhes magníficos, bom software")</f>
        <v>Seis tintas do cartucho, de grande qualidade, detalhes magníficos, bom software</v>
      </c>
      <c r="B40740" s="3">
        <v>1</v>
      </c>
    </row>
    <row r="40741" ht="15.75" customHeight="1" spans="1:2">
      <c r="A40741" s="3" t="str">
        <f>IFERROR(__xludf.DUMMYFUNCTION("GOOGLETRANSLATE(A40741,""en"",""pt"")"),"rápido, impressionante qualidade de imagem, 6 cartuchos de tinta individuais, conexão USB")</f>
        <v>rápido, impressionante qualidade de imagem, 6 cartuchos de tinta individuais, conexão USB</v>
      </c>
      <c r="B40741" s="3">
        <v>1</v>
      </c>
    </row>
    <row r="40742" ht="15.75" customHeight="1" spans="1:2">
      <c r="A40742" s="3" t="str">
        <f>IFERROR(__xludf.DUMMYFUNCTION("GOOGLETRANSLATE(A40742,""en"",""pt"")"),"qualidade de laboratório fotográfico")</f>
        <v>qualidade de laboratório fotográfico</v>
      </c>
      <c r="B40742" s="3">
        <v>1</v>
      </c>
    </row>
    <row r="40743" ht="15.75" customHeight="1" spans="1:2">
      <c r="A40743" s="3" t="str">
        <f>IFERROR(__xludf.DUMMYFUNCTION("GOOGLETRANSLATE(A40743,""en"",""pt"")"),"impressões excelentes de qualidade fotográfica, rápido, silencioso, tanques de tinta individuais, pode usar qualquer papel")</f>
        <v>impressões excelentes de qualidade fotográfica, rápido, silencioso, tanques de tinta individuais, pode usar qualquer papel</v>
      </c>
      <c r="B40743" s="3">
        <v>1</v>
      </c>
    </row>
    <row r="40744" ht="15.75" customHeight="1" spans="1:2">
      <c r="A40744" s="3" t="str">
        <f>IFERROR(__xludf.DUMMYFUNCTION("GOOGLETRANSLATE(A40744,""en"",""pt"")"),"Grandes resultados, tintas durar muito tempo!")</f>
        <v>Grandes resultados, tintas durar muito tempo!</v>
      </c>
      <c r="B40744" s="3">
        <v>1</v>
      </c>
    </row>
    <row r="40745" ht="15.75" customHeight="1" spans="1:2">
      <c r="A40745" s="3" t="str">
        <f>IFERROR(__xludf.DUMMYFUNCTION("GOOGLETRANSLATE(A40745,""en"",""pt"")"),"Fácil instalação, utilização fácil, fantásticas impressões de fotos!")</f>
        <v>Fácil instalação, utilização fácil, fantásticas impressões de fotos!</v>
      </c>
      <c r="B40745" s="3">
        <v>1</v>
      </c>
    </row>
    <row r="40746" ht="15.75" customHeight="1" spans="1:2">
      <c r="A40746" s="3" t="str">
        <f>IFERROR(__xludf.DUMMYFUNCTION("GOOGLETRANSLATE(A40746,""en"",""pt"")"),"Excelente qualidade de cores e detalhes da foto.")</f>
        <v>Excelente qualidade de cores e detalhes da foto.</v>
      </c>
      <c r="B40746" s="3">
        <v>1</v>
      </c>
    </row>
    <row r="40747" ht="15.75" customHeight="1" spans="1:2">
      <c r="A40747" s="3" t="str">
        <f>IFERROR(__xludf.DUMMYFUNCTION("GOOGLETRANSLATE(A40747,""en"",""pt"")"),"nada digno")</f>
        <v>nada digno</v>
      </c>
      <c r="B40747" s="3">
        <v>1</v>
      </c>
    </row>
    <row r="40748" ht="15.75" customHeight="1" spans="1:2">
      <c r="A40748" s="3" t="str">
        <f>IFERROR(__xludf.DUMMYFUNCTION("GOOGLETRANSLATE(A40748,""en"",""pt"")"),"boa trabalhou em idade Win98 PC")</f>
        <v>boa trabalhou em idade Win98 PC</v>
      </c>
      <c r="B40748" s="3">
        <v>1</v>
      </c>
    </row>
    <row r="40749" ht="15.75" customHeight="1" spans="1:2">
      <c r="A40749" s="3" t="str">
        <f>IFERROR(__xludf.DUMMYFUNCTION("GOOGLETRANSLATE(A40749,""en"",""pt"")"),"Top qualidade de impressão entalhe em pouco tempo!")</f>
        <v>Top qualidade de impressão entalhe em pouco tempo!</v>
      </c>
      <c r="B40749" s="3">
        <v>1</v>
      </c>
    </row>
    <row r="40750" ht="15.75" customHeight="1" spans="1:2">
      <c r="A40750" s="3" t="str">
        <f>IFERROR(__xludf.DUMMYFUNCTION("GOOGLETRANSLATE(A40750,""en"",""pt"")"),"rápido, impressionante qualidade de imagem, 6 cartuchos de tinta individuais, conexão USB")</f>
        <v>rápido, impressionante qualidade de imagem, 6 cartuchos de tinta individuais, conexão USB</v>
      </c>
      <c r="B40750" s="3">
        <v>1</v>
      </c>
    </row>
    <row r="40751" ht="15.75" customHeight="1" spans="1:2">
      <c r="A40751" s="3" t="str">
        <f>IFERROR(__xludf.DUMMYFUNCTION("GOOGLETRANSLATE(A40751,""en"",""pt"")"),"tanques individuais de tinta. 6 impressão a cores. Saída excelente fotografia.")</f>
        <v>tanques individuais de tinta. 6 impressão a cores. Saída excelente fotografia.</v>
      </c>
      <c r="B40751" s="3">
        <v>1</v>
      </c>
    </row>
    <row r="40752" ht="15.75" customHeight="1" spans="1:2">
      <c r="A40752" s="3" t="str">
        <f>IFERROR(__xludf.DUMMYFUNCTION("GOOGLETRANSLATE(A40752,""en"",""pt"")"),"Fácil de configurar e executar com XP. Saída inicialmente excelente.")</f>
        <v>Fácil de configurar e executar com XP. Saída inicialmente excelente.</v>
      </c>
      <c r="B40752" s="3">
        <v>1</v>
      </c>
    </row>
    <row r="40753" ht="15.75" customHeight="1" spans="1:2">
      <c r="A40753" s="3" t="str">
        <f>IFERROR(__xludf.DUMMYFUNCTION("GOOGLETRANSLATE(A40753,""en"",""pt"")"),"Nada mais chega perto para o dinheiro, uma verdadeira câmera digital SLR")</f>
        <v>Nada mais chega perto para o dinheiro, uma verdadeira câmera digital SLR</v>
      </c>
      <c r="B40753" s="3">
        <v>1</v>
      </c>
    </row>
    <row r="40754" ht="15.75" customHeight="1" spans="1:2">
      <c r="A40754" s="3" t="str">
        <f>IFERROR(__xludf.DUMMYFUNCTION("GOOGLETRANSLATE(A40754,""en"",""pt"")"),"Alta qualidade cores e não muito chamativo.")</f>
        <v>Alta qualidade cores e não muito chamativo.</v>
      </c>
      <c r="B40754" s="3">
        <v>1</v>
      </c>
    </row>
    <row r="40755" ht="15.75" customHeight="1" spans="1:2">
      <c r="A40755" s="3" t="str">
        <f>IFERROR(__xludf.DUMMYFUNCTION("GOOGLETRANSLATE(A40755,""en"",""pt"")"),"Excelente qualidade de imagem, construção robusta, preview de profundidade de campo, e muito mais!")</f>
        <v>Excelente qualidade de imagem, construção robusta, preview de profundidade de campo, e muito mais!</v>
      </c>
      <c r="B40755" s="3">
        <v>1</v>
      </c>
    </row>
    <row r="40756" ht="15.75" customHeight="1" spans="1:2">
      <c r="A40756" s="3" t="str">
        <f>IFERROR(__xludf.DUMMYFUNCTION("GOOGLETRANSLATE(A40756,""en"",""pt"")"),"características incríveis. Incrível resolução. incrível flexibilidade")</f>
        <v>características incríveis. Incrível resolução. incrível flexibilidade</v>
      </c>
      <c r="B40756" s="3">
        <v>1</v>
      </c>
    </row>
    <row r="40757" ht="15.75" customHeight="1" spans="1:2">
      <c r="A40757" s="3" t="str">
        <f>IFERROR(__xludf.DUMMYFUNCTION("GOOGLETRANSLATE(A40757,""en"",""pt"")"),"design sólido, excelente ergonomia, extremamente fácil fazer a transição para fora da fotografia do filme.")</f>
        <v>design sólido, excelente ergonomia, extremamente fácil fazer a transição para fora da fotografia do filme.</v>
      </c>
      <c r="B40757" s="3">
        <v>1</v>
      </c>
    </row>
    <row r="40758" ht="15.75" customHeight="1" spans="1:2">
      <c r="A40758" s="3" t="str">
        <f>IFERROR(__xludf.DUMMYFUNCTION("GOOGLETRANSLATE(A40758,""en"",""pt"")"),"A EOS D30 vem carregado com características de alta encontradas em câmeras mais caras.")</f>
        <v>A EOS D30 vem carregado com características de alta encontradas em câmeras mais caras.</v>
      </c>
      <c r="B40758" s="3">
        <v>1</v>
      </c>
    </row>
    <row r="40759" ht="15.75" customHeight="1" spans="1:2">
      <c r="A40759" s="3" t="str">
        <f>IFERROR(__xludf.DUMMYFUNCTION("GOOGLETRANSLATE(A40759,""en"",""pt"")"),"excelente preço agora que ele caiu abaixo de 2000 dólares nos")</f>
        <v>excelente preço agora que ele caiu abaixo de 2000 dólares nos</v>
      </c>
      <c r="B40759" s="3">
        <v>1</v>
      </c>
    </row>
    <row r="40760" ht="15.75" customHeight="1" spans="1:2">
      <c r="A40760" s="3" t="str">
        <f>IFERROR(__xludf.DUMMYFUNCTION("GOOGLETRANSLATE(A40760,""en"",""pt"")"),"Tudo!")</f>
        <v>Tudo!</v>
      </c>
      <c r="B40760" s="3">
        <v>1</v>
      </c>
    </row>
    <row r="40761" ht="15.75" customHeight="1" spans="1:2">
      <c r="A40761" s="3" t="str">
        <f>IFERROR(__xludf.DUMMYFUNCTION("GOOGLETRANSLATE(A40761,""en"",""pt"")"),"Excelente qualidade de construção, grandes resultados")</f>
        <v>Excelente qualidade de construção, grandes resultados</v>
      </c>
      <c r="B40761" s="3">
        <v>1</v>
      </c>
    </row>
    <row r="40762" ht="15.75" customHeight="1" spans="1:2">
      <c r="A40762" s="3" t="str">
        <f>IFERROR(__xludf.DUMMYFUNCTION("GOOGLETRANSLATE(A40762,""en"",""pt"")"),"Solid-construção, grande imagem, familiarizado canon interface, 1,6x a distância focal eficaz dá grande telefoto!")</f>
        <v>Solid-construção, grande imagem, familiarizado canon interface, 1,6x a distância focal eficaz dá grande telefoto!</v>
      </c>
      <c r="B40762" s="3">
        <v>1</v>
      </c>
    </row>
    <row r="40763" ht="15.75" customHeight="1" spans="1:2">
      <c r="A40763" s="3" t="str">
        <f>IFERROR(__xludf.DUMMYFUNCTION("GOOGLETRANSLATE(A40763,""en"",""pt"")"),"Totalmente compatível com lentes Canon e acessórios, bem-engenharia")</f>
        <v>Totalmente compatível com lentes Canon e acessórios, bem-engenharia</v>
      </c>
      <c r="B40763" s="3">
        <v>1</v>
      </c>
    </row>
    <row r="40764" ht="15.75" customHeight="1" spans="1:2">
      <c r="A40764" s="3" t="str">
        <f>IFERROR(__xludf.DUMMYFUNCTION("GOOGLETRANSLATE(A40764,""en"",""pt"")"),"lentes intercambiáveis. formato compact flash. Lotes de sinos e assobios.")</f>
        <v>lentes intercambiáveis. formato compact flash. Lotes de sinos e assobios.</v>
      </c>
      <c r="B40764" s="3">
        <v>1</v>
      </c>
    </row>
    <row r="40765" ht="15.75" customHeight="1" spans="1:2">
      <c r="A40765" s="3" t="str">
        <f>IFERROR(__xludf.DUMMYFUNCTION("GOOGLETRANSLATE(A40765,""en"",""pt"")"),"Impressionante baixo ruído / imagens suaves; grande autonomia da bateria; razoavelmente operação rápida (exceto inicialização)")</f>
        <v>Impressionante baixo ruído / imagens suaves; grande autonomia da bateria; razoavelmente operação rápida (exceto inicialização)</v>
      </c>
      <c r="B40765" s="3">
        <v>1</v>
      </c>
    </row>
    <row r="40766" ht="15.75" customHeight="1" spans="1:2">
      <c r="A40766" s="3" t="str">
        <f>IFERROR(__xludf.DUMMYFUNCTION("GOOGLETRANSLATE(A40766,""en"",""pt"")"),"Preço, qualidade de imagem em uma classe por si só, formato RAW fora da caixa, bateria de longa duração (mesmo com um Microdrive), carregador de bateria duplo fora da caixa, e muito mais!")</f>
        <v>Preço, qualidade de imagem em uma classe por si só, formato RAW fora da caixa, bateria de longa duração (mesmo com um Microdrive), carregador de bateria duplo fora da caixa, e muito mais!</v>
      </c>
      <c r="B40766" s="3">
        <v>1</v>
      </c>
    </row>
    <row r="40767" ht="15.75" customHeight="1" spans="1:2">
      <c r="A40767" s="3" t="str">
        <f>IFERROR(__xludf.DUMMYFUNCTION("GOOGLETRANSLATE(A40767,""en"",""pt"")"),"3.1 Megapixel CMOS Sensor, Trava de Espelho, Exposição Longa redução de ruído, Bracketing de Exposição Automática")</f>
        <v>3.1 Megapixel CMOS Sensor, Trava de Espelho, Exposição Longa redução de ruído, Bracketing de Exposição Automática</v>
      </c>
      <c r="B40767" s="3">
        <v>1</v>
      </c>
    </row>
    <row r="40768" ht="15.75" customHeight="1" spans="1:2">
      <c r="A40768" s="3" t="str">
        <f>IFERROR(__xludf.DUMMYFUNCTION("GOOGLETRANSLATE(A40768,""en"",""pt"")"),"Boa qualidade de imagem, bom conjunto de funcionalidades")</f>
        <v>Boa qualidade de imagem, bom conjunto de funcionalidades</v>
      </c>
      <c r="B40768" s="3">
        <v>1</v>
      </c>
    </row>
    <row r="40769" ht="15.75" customHeight="1" spans="1:2">
      <c r="A40769" s="3" t="str">
        <f>IFERROR(__xludf.DUMMYFUNCTION("GOOGLETRANSLATE(A40769,""en"",""pt"")"),"Ergonomicamente familiar para proprietários Canon EOS SLR &amp; amp;. # 13; &amp; amp; # 10; câmera é capaz de imagens absolutamente deslumbrantes.")</f>
        <v>Ergonomicamente familiar para proprietários Canon EOS SLR &amp; amp;. # 13; &amp; amp; # 10; câmera é capaz de imagens absolutamente deslumbrantes.</v>
      </c>
      <c r="B40769" s="3">
        <v>1</v>
      </c>
    </row>
    <row r="40770" ht="15.75" customHeight="1" spans="1:2">
      <c r="A40770" s="3" t="str">
        <f>IFERROR(__xludf.DUMMYFUNCTION("GOOGLETRANSLATE(A40770,""en"",""pt"")"),"Acessível, usa lentes EOS padrão, qualidade de imagem quase insuperável, características.")</f>
        <v>Acessível, usa lentes EOS padrão, qualidade de imagem quase insuperável, características.</v>
      </c>
      <c r="B40770" s="3">
        <v>1</v>
      </c>
    </row>
    <row r="40771" ht="15.75" customHeight="1" spans="1:2">
      <c r="A40771" s="3" t="str">
        <f>IFERROR(__xludf.DUMMYFUNCTION("GOOGLETRANSLATE(A40771,""en"",""pt"")"),"foco rápido, bem construído, bom preço!")</f>
        <v>foco rápido, bem construído, bom preço!</v>
      </c>
      <c r="B40771" s="3">
        <v>1</v>
      </c>
    </row>
    <row r="40772" ht="15.75" customHeight="1" spans="1:2">
      <c r="A40772" s="3" t="str">
        <f>IFERROR(__xludf.DUMMYFUNCTION("GOOGLETRANSLATE(A40772,""en"",""pt"")"),"Alta resolução, baixo ruído, melhorou significativamente AF, mais silenciosos.")</f>
        <v>Alta resolução, baixo ruído, melhorou significativamente AF, mais silenciosos.</v>
      </c>
      <c r="B40772" s="3">
        <v>1</v>
      </c>
    </row>
    <row r="40773" ht="15.75" customHeight="1" spans="1:2">
      <c r="A40773" s="3" t="str">
        <f>IFERROR(__xludf.DUMMYFUNCTION("GOOGLETRANSLATE(A40773,""en"",""pt"")"),"Fácil de usar. Fotos excelentes. Flexibilidade com lentes EF.")</f>
        <v>Fácil de usar. Fotos excelentes. Flexibilidade com lentes EF.</v>
      </c>
      <c r="B40773" s="3">
        <v>1</v>
      </c>
    </row>
    <row r="40774" ht="15.75" customHeight="1" spans="1:2">
      <c r="A40774" s="3" t="str">
        <f>IFERROR(__xludf.DUMMYFUNCTION("GOOGLETRANSLATE(A40774,""en"",""pt"")"),"excelente qualidade de imagem, fácil de usar, estabelece novos padrões de baixo preço")</f>
        <v>excelente qualidade de imagem, fácil de usar, estabelece novos padrões de baixo preço</v>
      </c>
      <c r="B40774" s="3">
        <v>1</v>
      </c>
    </row>
    <row r="40775" ht="15.75" customHeight="1" spans="1:2">
      <c r="A40775" s="3" t="str">
        <f>IFERROR(__xludf.DUMMYFUNCTION("GOOGLETRANSLATE(A40775,""en"",""pt"")"),"Ótimo preço, excelente desempenho")</f>
        <v>Ótimo preço, excelente desempenho</v>
      </c>
      <c r="B40775" s="3">
        <v>1</v>
      </c>
    </row>
    <row r="40776" ht="15.75" customHeight="1" spans="1:2">
      <c r="A40776" s="3" t="str">
        <f>IFERROR(__xludf.DUMMYFUNCTION("GOOGLETRANSLATE(A40776,""en"",""pt"")"),"Apto para usos profissionais")</f>
        <v>Apto para usos profissionais</v>
      </c>
      <c r="B40776" s="3">
        <v>1</v>
      </c>
    </row>
    <row r="40777" ht="15.75" customHeight="1" spans="1:2">
      <c r="A40777" s="3" t="str">
        <f>IFERROR(__xludf.DUMMYFUNCTION("GOOGLETRANSLATE(A40777,""en"",""pt"")"),"excelente a cores")</f>
        <v>excelente a cores</v>
      </c>
      <c r="B40777" s="3">
        <v>1</v>
      </c>
    </row>
    <row r="40778" ht="15.75" customHeight="1" spans="1:2">
      <c r="A40778" s="3" t="str">
        <f>IFERROR(__xludf.DUMMYFUNCTION("GOOGLETRANSLATE(A40778,""en"",""pt"")"),"Desempenho excepcional! Fácil de usar! 6 megapixels Clareza e Canon reputação ...")</f>
        <v>Desempenho excepcional! Fácil de usar! 6 megapixels Clareza e Canon reputação ...</v>
      </c>
      <c r="B40778" s="3">
        <v>1</v>
      </c>
    </row>
    <row r="40779" ht="15.75" customHeight="1" spans="1:2">
      <c r="A40779" s="3" t="str">
        <f>IFERROR(__xludf.DUMMYFUNCTION("GOOGLETRANSLATE(A40779,""en"",""pt"")"),"Excelente preço, melhor foco, melhorou bastante a qualidade de imagem, ISO 3200")</f>
        <v>Excelente preço, melhor foco, melhorou bastante a qualidade de imagem, ISO 3200</v>
      </c>
      <c r="B40779" s="3">
        <v>1</v>
      </c>
    </row>
    <row r="40780" ht="15.75" customHeight="1" spans="1:2">
      <c r="A40780" s="3" t="str">
        <f>IFERROR(__xludf.DUMMYFUNCTION("GOOGLETRANSLATE(A40780,""en"",""pt"")"),"SLR, facilidade de uso, cores precisas, recursos profissionais, 3 fps, profundidade de cor 36bit, multi-ponto de foco")</f>
        <v>SLR, facilidade de uso, cores precisas, recursos profissionais, 3 fps, profundidade de cor 36bit, multi-ponto de foco</v>
      </c>
      <c r="B40780" s="3">
        <v>1</v>
      </c>
    </row>
    <row r="40781" ht="15.75" customHeight="1" spans="1:2">
      <c r="A40781" s="3" t="str">
        <f>IFERROR(__xludf.DUMMYFUNCTION("GOOGLETRANSLATE(A40781,""en"",""pt"")"),"Grande autonomia da bateria. Realmente baixo ruído.")</f>
        <v>Grande autonomia da bateria. Realmente baixo ruído.</v>
      </c>
      <c r="B40781" s="3">
        <v>1</v>
      </c>
    </row>
    <row r="40782" ht="15.75" customHeight="1" spans="1:2">
      <c r="A40782" s="3" t="str">
        <f>IFERROR(__xludf.DUMMYFUNCTION("GOOGLETRANSLATE(A40782,""en"",""pt"")"),"Excelente qualidade de imagem, fácil de usar o painel de controle - Muitas funções personalizadas")</f>
        <v>Excelente qualidade de imagem, fácil de usar o painel de controle - Muitas funções personalizadas</v>
      </c>
      <c r="B40782" s="3">
        <v>1</v>
      </c>
    </row>
    <row r="40783" ht="15.75" customHeight="1" spans="1:2">
      <c r="A40783" s="3" t="str">
        <f>IFERROR(__xludf.DUMMYFUNCTION("GOOGLETRANSLATE(A40783,""en"",""pt"")"),"lentes intercambiáveis, grandes imagens")</f>
        <v>lentes intercambiáveis, grandes imagens</v>
      </c>
      <c r="B40783" s="3">
        <v>1</v>
      </c>
    </row>
    <row r="40784" ht="15.75" customHeight="1" spans="1:2">
      <c r="A40784" s="3" t="str">
        <f>IFERROR(__xludf.DUMMYFUNCTION("GOOGLETRANSLATE(A40784,""en"",""pt"")"),"Grandes fotos, rápido, características para permitir que toneladas de criatividade que só uma SLR pode oferecer.")</f>
        <v>Grandes fotos, rápido, características para permitir que toneladas de criatividade que só uma SLR pode oferecer.</v>
      </c>
      <c r="B40784" s="3">
        <v>1</v>
      </c>
    </row>
    <row r="40785" ht="15.75" customHeight="1" spans="1:2">
      <c r="A40785" s="3" t="str">
        <f>IFERROR(__xludf.DUMMYFUNCTION("GOOGLETRANSLATE(A40785,""en"",""pt"")"),"Preço Baixo, Imagem excelente e confiável")</f>
        <v>Preço Baixo, Imagem excelente e confiável</v>
      </c>
      <c r="B40785" s="3">
        <v>1</v>
      </c>
    </row>
    <row r="40786" ht="15.75" customHeight="1" spans="1:2">
      <c r="A40786" s="3" t="str">
        <f>IFERROR(__xludf.DUMMYFUNCTION("GOOGLETRANSLATE(A40786,""en"",""pt"")"),"Versátil, facilidade de uso dado o poder")</f>
        <v>Versátil, facilidade de uso dado o poder</v>
      </c>
      <c r="B40786" s="3">
        <v>1</v>
      </c>
    </row>
    <row r="40787" ht="15.75" customHeight="1" spans="1:2">
      <c r="A40787" s="3" t="str">
        <f>IFERROR(__xludf.DUMMYFUNCTION("GOOGLETRANSLATE(A40787,""en"",""pt"")"),"perto de nível profissional no preço de nível do consumidor. excelente qualidade de imagem")</f>
        <v>perto de nível profissional no preço de nível do consumidor. excelente qualidade de imagem</v>
      </c>
      <c r="B40787" s="3">
        <v>1</v>
      </c>
    </row>
    <row r="40788" ht="15.75" customHeight="1" spans="1:2">
      <c r="A40788" s="3" t="str">
        <f>IFERROR(__xludf.DUMMYFUNCTION("GOOGLETRANSLATE(A40788,""en"",""pt"")"),"Ótimas fotos. Fácil de usar. Bom preço.")</f>
        <v>Ótimas fotos. Fácil de usar. Bom preço.</v>
      </c>
      <c r="B40788" s="3">
        <v>1</v>
      </c>
    </row>
    <row r="40789" ht="15.75" customHeight="1" spans="1:2">
      <c r="A40789" s="3" t="str">
        <f>IFERROR(__xludf.DUMMYFUNCTION("GOOGLETRANSLATE(A40789,""en"",""pt"")"),"SLR profissional de qualidade, lentes intercambiáveis, 6.5 Megapixel de baixo ruído sensor CMOS, funções personalizadas, o corpo de metal.")</f>
        <v>SLR profissional de qualidade, lentes intercambiáveis, 6.5 Megapixel de baixo ruído sensor CMOS, funções personalizadas, o corpo de metal.</v>
      </c>
      <c r="B40789" s="3">
        <v>1</v>
      </c>
    </row>
    <row r="40790" ht="15.75" customHeight="1" spans="1:2">
      <c r="A40790" s="3" t="str">
        <f>IFERROR(__xludf.DUMMYFUNCTION("GOOGLETRANSLATE(A40790,""en"",""pt"")"),"bom preço, do cartucho de tinta de baixo custo, o tamanho compacto")</f>
        <v>bom preço, do cartucho de tinta de baixo custo, o tamanho compacto</v>
      </c>
      <c r="B40790" s="3">
        <v>1</v>
      </c>
    </row>
    <row r="40791" ht="15.75" customHeight="1" spans="1:2">
      <c r="A40791" s="3" t="str">
        <f>IFERROR(__xludf.DUMMYFUNCTION("GOOGLETRANSLATE(A40791,""en"",""pt"")"),"Grande impressora para muito poucos dólares")</f>
        <v>Grande impressora para muito poucos dólares</v>
      </c>
      <c r="B40791" s="3">
        <v>1</v>
      </c>
    </row>
    <row r="40792" ht="15.75" customHeight="1" spans="1:2">
      <c r="A40792" s="3" t="str">
        <f>IFERROR(__xludf.DUMMYFUNCTION("GOOGLETRANSLATE(A40792,""en"",""pt"")"),"Pequenas dimensões, laser texto de qualidade, barato")</f>
        <v>Pequenas dimensões, laser texto de qualidade, barato</v>
      </c>
      <c r="B40792" s="3">
        <v>1</v>
      </c>
    </row>
    <row r="40793" ht="15.75" customHeight="1" spans="1:2">
      <c r="A40793" s="3" t="str">
        <f>IFERROR(__xludf.DUMMYFUNCTION("GOOGLETRANSLATE(A40793,""en"",""pt"")"),"Quality &amp; amp; preço torna este vale a compra.")</f>
        <v>Quality &amp; amp; preço torna este vale a compra.</v>
      </c>
      <c r="B40793" s="3">
        <v>1</v>
      </c>
    </row>
    <row r="40794" ht="15.75" customHeight="1" spans="1:2">
      <c r="A40794" s="3" t="str">
        <f>IFERROR(__xludf.DUMMYFUNCTION("GOOGLETRANSLATE(A40794,""en"",""pt"")"),"Fast &amp; amp; impressões decentes, fácil configuração, bom valor para o dinheiro ..")</f>
        <v>Fast &amp; amp; impressões decentes, fácil configuração, bom valor para o dinheiro ..</v>
      </c>
      <c r="B40794" s="3">
        <v>1</v>
      </c>
    </row>
    <row r="40795" ht="15.75" customHeight="1" spans="1:2">
      <c r="A40795" s="3" t="str">
        <f>IFERROR(__xludf.DUMMYFUNCTION("GOOGLETRANSLATE(A40795,""en"",""pt"")"),"Excelente qualidade B / impressão W, muito pequeno em tamanho, baixo ruído, rápido")</f>
        <v>Excelente qualidade B / impressão W, muito pequeno em tamanho, baixo ruído, rápido</v>
      </c>
      <c r="B40795" s="3">
        <v>1</v>
      </c>
    </row>
    <row r="40796" ht="15.75" customHeight="1" spans="1:2">
      <c r="A40796" s="3" t="str">
        <f>IFERROR(__xludf.DUMMYFUNCTION("GOOGLETRANSLATE(A40796,""en"",""pt"")"),"Grande serviço ao cliente, mas gostaria que fosse toll-free")</f>
        <v>Grande serviço ao cliente, mas gostaria que fosse toll-free</v>
      </c>
      <c r="B40796" s="3">
        <v>1</v>
      </c>
    </row>
    <row r="40797" ht="15.75" customHeight="1" spans="1:2">
      <c r="A40797" s="3" t="str">
        <f>IFERROR(__xludf.DUMMYFUNCTION("GOOGLETRANSLATE(A40797,""en"",""pt"")"),"substituição barata tinta, tamanho compacto pequeno, muito, muito boa foto imagens (usando papel de qualidade fotográfica)")</f>
        <v>substituição barata tinta, tamanho compacto pequeno, muito, muito boa foto imagens (usando papel de qualidade fotográfica)</v>
      </c>
      <c r="B40797" s="3">
        <v>1</v>
      </c>
    </row>
    <row r="40798" ht="15.75" customHeight="1" spans="1:2">
      <c r="A40798" s="3" t="str">
        <f>IFERROR(__xludf.DUMMYFUNCTION("GOOGLETRANSLATE(A40798,""en"",""pt"")"),"Rápida e muito boa cor e b / w impressões, simples de usar, $$ amigável")</f>
        <v>Rápida e muito boa cor e b / w impressões, simples de usar, $$ amigável</v>
      </c>
      <c r="B40798" s="3">
        <v>1</v>
      </c>
    </row>
    <row r="40799" ht="15.75" customHeight="1" spans="1:2">
      <c r="A40799" s="3" t="str">
        <f>IFERROR(__xludf.DUMMYFUNCTION("GOOGLETRANSLATE(A40799,""en"",""pt"")"),"Rápido, imagens nítidas e fontes claras em qualquer tamanho, enquanto fácil e barato para reabastecer.")</f>
        <v>Rápido, imagens nítidas e fontes claras em qualquer tamanho, enquanto fácil e barato para reabastecer.</v>
      </c>
      <c r="B40799" s="3">
        <v>1</v>
      </c>
    </row>
    <row r="40800" ht="15.75" customHeight="1" spans="1:2">
      <c r="A40800" s="3" t="str">
        <f>IFERROR(__xludf.DUMMYFUNCTION("GOOGLETRANSLATE(A40800,""en"",""pt"")"),"Preço Baixo, barato funcionar, boa qualidade de impressão")</f>
        <v>Preço Baixo, barato funcionar, boa qualidade de impressão</v>
      </c>
      <c r="B40800" s="3">
        <v>1</v>
      </c>
    </row>
    <row r="40801" ht="15.75" customHeight="1" spans="1:2">
      <c r="A40801" s="3" t="str">
        <f>IFERROR(__xludf.DUMMYFUNCTION("GOOGLETRANSLATE(A40801,""en"",""pt"")"),"impressão, silencioso, agradável conservador Styling, Tanques de tinta relativamente rápido")</f>
        <v>impressão, silencioso, agradável conservador Styling, Tanques de tinta relativamente rápido</v>
      </c>
      <c r="B40801" s="3">
        <v>1</v>
      </c>
    </row>
    <row r="40802" ht="15.75" customHeight="1" spans="1:2">
      <c r="A40802" s="3" t="str">
        <f>IFERROR(__xludf.DUMMYFUNCTION("GOOGLETRANSLATE(A40802,""en"",""pt"")"),"USB 2.0, preço, qualidade, tinteiros separados.")</f>
        <v>USB 2.0, preço, qualidade, tinteiros separados.</v>
      </c>
      <c r="B40802" s="3">
        <v>1</v>
      </c>
    </row>
    <row r="40803" ht="15.75" customHeight="1" spans="1:2">
      <c r="A40803" s="3" t="str">
        <f>IFERROR(__xludf.DUMMYFUNCTION("GOOGLETRANSLATE(A40803,""en"",""pt"")"),"A grande qualidade, bom preço, boa marca!")</f>
        <v>A grande qualidade, bom preço, boa marca!</v>
      </c>
      <c r="B40803" s="3">
        <v>1</v>
      </c>
    </row>
    <row r="40804" ht="15.75" customHeight="1" spans="1:2">
      <c r="A40804" s="3" t="str">
        <f>IFERROR(__xludf.DUMMYFUNCTION("GOOGLETRANSLATE(A40804,""en"",""pt"")"),"Rápido, de alta qualidade, saída de foto atraente, estabilidade motorista, de substituição de tinta de baixo custo")</f>
        <v>Rápido, de alta qualidade, saída de foto atraente, estabilidade motorista, de substituição de tinta de baixo custo</v>
      </c>
      <c r="B40804" s="3">
        <v>1</v>
      </c>
    </row>
    <row r="40805" ht="15.75" customHeight="1" spans="1:2">
      <c r="A40805" s="3" t="str">
        <f>IFERROR(__xludf.DUMMYFUNCTION("GOOGLETRANSLATE(A40805,""en"",""pt"")"),"Calmo (muito silencioso). os cartuchos de tinta separados")</f>
        <v>Calmo (muito silencioso). os cartuchos de tinta separados</v>
      </c>
      <c r="B40805" s="3">
        <v>1</v>
      </c>
    </row>
    <row r="40806" ht="15.75" customHeight="1" spans="1:2">
      <c r="A40806" s="3" t="str">
        <f>IFERROR(__xludf.DUMMYFUNCTION("GOOGLETRANSLATE(A40806,""en"",""pt"")"),"Calmo, rápido, compacto, individuais Cor cartuchos de tinta.")</f>
        <v>Calmo, rápido, compacto, individuais Cor cartuchos de tinta.</v>
      </c>
      <c r="B40806" s="3">
        <v>1</v>
      </c>
    </row>
    <row r="40807" ht="15.75" customHeight="1" spans="1:2">
      <c r="A40807" s="3" t="str">
        <f>IFERROR(__xludf.DUMMYFUNCTION("GOOGLETRANSLATE(A40807,""en"",""pt"")"),"cartuchos separados / barato de tinta, a saída rápida preto, tamanho compacto, de suporte.")</f>
        <v>cartuchos separados / barato de tinta, a saída rápida preto, tamanho compacto, de suporte.</v>
      </c>
      <c r="B40807" s="3">
        <v>1</v>
      </c>
    </row>
    <row r="40808" ht="15.75" customHeight="1" spans="1:2">
      <c r="A40808" s="3" t="str">
        <f>IFERROR(__xludf.DUMMYFUNCTION("GOOGLETRANSLATE(A40808,""en"",""pt"")"),"Grande qualidade da foto, tinta barata, boa velocidade, bastante tranquilo, uso econômico de tinta")</f>
        <v>Grande qualidade da foto, tinta barata, boa velocidade, bastante tranquilo, uso econômico de tinta</v>
      </c>
      <c r="B40808" s="3">
        <v>1</v>
      </c>
    </row>
    <row r="40809" ht="15.75" customHeight="1" spans="1:2">
      <c r="A40809" s="3" t="str">
        <f>IFERROR(__xludf.DUMMYFUNCTION("GOOGLETRANSLATE(A40809,""en"",""pt"")"),"Acessibilidade. Rapidez. Simplicidade. Qualidade de impressão. Tranqüilidade. facilidade de tinta de substituição, acessibilidade. Parallel-port / opções USB.")</f>
        <v>Acessibilidade. Rapidez. Simplicidade. Qualidade de impressão. Tranqüilidade. facilidade de tinta de substituição, acessibilidade. Parallel-port / opções USB.</v>
      </c>
      <c r="B40809" s="3">
        <v>1</v>
      </c>
    </row>
    <row r="40810" ht="15.75" customHeight="1" spans="1:2">
      <c r="A40810" s="3" t="str">
        <f>IFERROR(__xludf.DUMMYFUNCTION("GOOGLETRANSLATE(A40810,""en"",""pt"")"),", impressões de grande qualidade, de três cores em separado cartuchos de tinta de baixo preço barato")</f>
        <v>, impressões de grande qualidade, de três cores em separado cartuchos de tinta de baixo preço barato</v>
      </c>
      <c r="B40810" s="3">
        <v>1</v>
      </c>
    </row>
    <row r="40811" ht="15.75" customHeight="1" spans="1:2">
      <c r="A40811" s="3" t="str">
        <f>IFERROR(__xludf.DUMMYFUNCTION("GOOGLETRANSLATE(A40811,""en"",""pt"")"),"Muito rápido, custa tinta barata.")</f>
        <v>Muito rápido, custa tinta barata.</v>
      </c>
      <c r="B40811" s="3">
        <v>1</v>
      </c>
    </row>
    <row r="40812" ht="15.75" customHeight="1" spans="1:2">
      <c r="A40812" s="3" t="str">
        <f>IFERROR(__xludf.DUMMYFUNCTION("GOOGLETRANSLATE(A40812,""en"",""pt"")"),"Rápido. baixo uso de tinta, Fácil de configurar, Looks, impressão silenciosa. preço razoável, Rebate!")</f>
        <v>Rápido. baixo uso de tinta, Fácil de configurar, Looks, impressão silenciosa. preço razoável, Rebate!</v>
      </c>
      <c r="B40812" s="3">
        <v>1</v>
      </c>
    </row>
    <row r="40813" ht="15.75" customHeight="1" spans="1:2">
      <c r="A40813" s="3" t="str">
        <f>IFERROR(__xludf.DUMMYFUNCTION("GOOGLETRANSLATE(A40813,""en"",""pt"")"),"cartuchos separados para cada cor, imprime belas fotos sem bordas.")</f>
        <v>cartuchos separados para cada cor, imprime belas fotos sem bordas.</v>
      </c>
      <c r="B40813" s="3">
        <v>1</v>
      </c>
    </row>
    <row r="40814" ht="15.75" customHeight="1" spans="1:2">
      <c r="A40814" s="3" t="str">
        <f>IFERROR(__xludf.DUMMYFUNCTION("GOOGLETRANSLATE(A40814,""en"",""pt"")"),"Resultados surpreendentes, fácil configuração, ótimo preço")</f>
        <v>Resultados surpreendentes, fácil configuração, ótimo preço</v>
      </c>
      <c r="B40814" s="3">
        <v>1</v>
      </c>
    </row>
    <row r="40815" ht="15.75" customHeight="1" spans="1:2">
      <c r="A40815" s="3" t="str">
        <f>IFERROR(__xludf.DUMMYFUNCTION("GOOGLETRANSLATE(A40815,""en"",""pt"")"),"Velocidade, clareza, velocidade, facilidade de utilização, velocidade, reservatórios de tinta individuais, velocidade.")</f>
        <v>Velocidade, clareza, velocidade, facilidade de utilização, velocidade, reservatórios de tinta individuais, velocidade.</v>
      </c>
      <c r="B40815" s="3">
        <v>1</v>
      </c>
    </row>
    <row r="40816" ht="15.75" customHeight="1" spans="1:2">
      <c r="A40816" s="3" t="str">
        <f>IFERROR(__xludf.DUMMYFUNCTION("GOOGLETRANSLATE(A40816,""en"",""pt"")"),"apoio EXIF, depósitos de tinta separados, a cabeça separada de impressão cerâmica, ou USB interface paralela")</f>
        <v>apoio EXIF, depósitos de tinta separados, a cabeça separada de impressão cerâmica, ou USB interface paralela</v>
      </c>
      <c r="B40816" s="3">
        <v>1</v>
      </c>
    </row>
    <row r="40817" ht="15.75" customHeight="1" spans="1:2">
      <c r="A40817" s="3" t="str">
        <f>IFERROR(__xludf.DUMMYFUNCTION("GOOGLETRANSLATE(A40817,""en"",""pt"")"),"Excelente impressão de fotos")</f>
        <v>Excelente impressão de fotos</v>
      </c>
      <c r="B40817" s="3">
        <v>1</v>
      </c>
    </row>
    <row r="40818" ht="15.75" customHeight="1" spans="1:2">
      <c r="A40818" s="3" t="str">
        <f>IFERROR(__xludf.DUMMYFUNCTION("GOOGLETRANSLATE(A40818,""en"",""pt"")"),"trabalha com xp, facilmente ajustável para a espessura do papel, qualidade de impressão perfeita texto e foto")</f>
        <v>trabalha com xp, facilmente ajustável para a espessura do papel, qualidade de impressão perfeita texto e foto</v>
      </c>
      <c r="B40818" s="3">
        <v>1</v>
      </c>
    </row>
    <row r="40819" ht="15.75" customHeight="1" spans="1:2">
      <c r="A40819" s="3" t="str">
        <f>IFERROR(__xludf.DUMMYFUNCTION("GOOGLETRANSLATE(A40819,""en"",""pt"")"),"Esta impressora produz wet-lab fotos de qualidade. É rápido e econômico.")</f>
        <v>Esta impressora produz wet-lab fotos de qualidade. É rápido e econômico.</v>
      </c>
      <c r="B40819" s="3">
        <v>1</v>
      </c>
    </row>
    <row r="40820" ht="15.75" customHeight="1" spans="1:2">
      <c r="A40820" s="3" t="str">
        <f>IFERROR(__xludf.DUMMYFUNCTION("GOOGLETRANSLATE(A40820,""en"",""pt"")"),"imprimir texto extremamente rápido; Separe menos caro cartuchos de tinta; Completamente fecha quando não em uso")</f>
        <v>imprimir texto extremamente rápido; Separe menos caro cartuchos de tinta; Completamente fecha quando não em uso</v>
      </c>
      <c r="B40820" s="3">
        <v>1</v>
      </c>
    </row>
    <row r="40821" ht="15.75" customHeight="1" spans="1:2">
      <c r="A40821" s="3" t="str">
        <f>IFERROR(__xludf.DUMMYFUNCTION("GOOGLETRANSLATE(A40821,""en"",""pt"")"),"Excelente impressão é bastante, rápido e trabalhos de impressão são grandes.")</f>
        <v>Excelente impressão é bastante, rápido e trabalhos de impressão são grandes.</v>
      </c>
      <c r="B40821" s="3">
        <v>1</v>
      </c>
    </row>
    <row r="40822" ht="15.75" customHeight="1" spans="1:2">
      <c r="A40822" s="3" t="str">
        <f>IFERROR(__xludf.DUMMYFUNCTION("GOOGLETRANSLATE(A40822,""en"",""pt"")"),"Excelente Qualidade Foto, Muito bom 4x6 Borderless, Muito bom texto e gráficos")</f>
        <v>Excelente Qualidade Foto, Muito bom 4x6 Borderless, Muito bom texto e gráficos</v>
      </c>
      <c r="B40822" s="3">
        <v>1</v>
      </c>
    </row>
    <row r="40823" ht="15.75" customHeight="1" spans="1:2">
      <c r="A40823" s="3" t="str">
        <f>IFERROR(__xludf.DUMMYFUNCTION("GOOGLETRANSLATE(A40823,""en"",""pt"")"),"Extremamente rápido impressão, configuração bastante fácil, olhando agradável design, bom preço.")</f>
        <v>Extremamente rápido impressão, configuração bastante fácil, olhando agradável design, bom preço.</v>
      </c>
      <c r="B40823" s="3">
        <v>1</v>
      </c>
    </row>
    <row r="40824" ht="15.75" customHeight="1" spans="1:2">
      <c r="A40824" s="3" t="str">
        <f>IFERROR(__xludf.DUMMYFUNCTION("GOOGLETRANSLATE(A40824,""en"",""pt"")"),"Grande saída, impressão muito rápido, e baixo custo de tinta.")</f>
        <v>Grande saída, impressão muito rápido, e baixo custo de tinta.</v>
      </c>
      <c r="B40824" s="3">
        <v>1</v>
      </c>
    </row>
    <row r="40825" ht="15.75" customHeight="1" spans="1:2">
      <c r="A40825" s="3" t="str">
        <f>IFERROR(__xludf.DUMMYFUNCTION("GOOGLETRANSLATE(A40825,""en"",""pt"")"),"Excelente Impressão de fotografias. uso incrivelmente baixo de tinta!")</f>
        <v>Excelente Impressão de fotografias. uso incrivelmente baixo de tinta!</v>
      </c>
      <c r="B40825" s="3">
        <v>1</v>
      </c>
    </row>
    <row r="40826" ht="15.75" customHeight="1" spans="1:2">
      <c r="A40826" s="3" t="str">
        <f>IFERROR(__xludf.DUMMYFUNCTION("GOOGLETRANSLATE(A40826,""en"",""pt"")"),"excelente qualidade de imagem, peso leve, tinta barata, silencioso.")</f>
        <v>excelente qualidade de imagem, peso leve, tinta barata, silencioso.</v>
      </c>
      <c r="B40826" s="3">
        <v>1</v>
      </c>
    </row>
    <row r="40827" ht="15.75" customHeight="1" spans="1:2">
      <c r="A40827" s="3" t="str">
        <f>IFERROR(__xludf.DUMMYFUNCTION("GOOGLETRANSLATE(A40827,""en"",""pt"")"),"Foto qualidade de laboratório impressões rápido, barato ... e bom texto também.")</f>
        <v>Foto qualidade de laboratório impressões rápido, barato ... e bom texto também.</v>
      </c>
      <c r="B40827" s="3">
        <v>1</v>
      </c>
    </row>
    <row r="40828" ht="15.75" customHeight="1" spans="1:2">
      <c r="A40828" s="3" t="str">
        <f>IFERROR(__xludf.DUMMYFUNCTION("GOOGLETRANSLATE(A40828,""en"",""pt"")"),"Bom atendimento ao cliente")</f>
        <v>Bom atendimento ao cliente</v>
      </c>
      <c r="B40828" s="3">
        <v>1</v>
      </c>
    </row>
    <row r="40829" ht="15.75" customHeight="1" spans="1:2">
      <c r="A40829" s="3" t="str">
        <f>IFERROR(__xludf.DUMMYFUNCTION("GOOGLETRANSLATE(A40829,""en"",""pt"")"),"Excelentes impressões a cores, os cartuchos de cores separadas")</f>
        <v>Excelentes impressões a cores, os cartuchos de cores separadas</v>
      </c>
      <c r="B40829" s="3">
        <v>1</v>
      </c>
    </row>
    <row r="40830" ht="15.75" customHeight="1" spans="1:2">
      <c r="A40830" s="3" t="str">
        <f>IFERROR(__xludf.DUMMYFUNCTION("GOOGLETRANSLATE(A40830,""en"",""pt"")"),"Barato, rápido, baixos custos de tinta")</f>
        <v>Barato, rápido, baixos custos de tinta</v>
      </c>
      <c r="B40830" s="3">
        <v>1</v>
      </c>
    </row>
    <row r="40831" ht="15.75" customHeight="1" spans="1:2">
      <c r="A40831" s="3" t="str">
        <f>IFERROR(__xludf.DUMMYFUNCTION("GOOGLETRANSLATE(A40831,""en"",""pt"")"),"Velocidade, calma, impressões sem margens, depósitos de tinta separados, excelente saída, preço")</f>
        <v>Velocidade, calma, impressões sem margens, depósitos de tinta separados, excelente saída, preço</v>
      </c>
      <c r="B40831" s="3">
        <v>1</v>
      </c>
    </row>
    <row r="40832" ht="15.75" customHeight="1" spans="1:2">
      <c r="A40832" s="3" t="str">
        <f>IFERROR(__xludf.DUMMYFUNCTION("GOOGLETRANSLATE(A40832,""en"",""pt"")"),"Bom preço e esteticamente agradável")</f>
        <v>Bom preço e esteticamente agradável</v>
      </c>
      <c r="B40832" s="3">
        <v>1</v>
      </c>
    </row>
    <row r="40833" ht="15.75" customHeight="1" spans="1:2">
      <c r="A40833" s="3" t="str">
        <f>IFERROR(__xludf.DUMMYFUNCTION("GOOGLETRANSLATE(A40833,""en"",""pt"")"),"Velocidade, facilidade de uso, raramente compotas, preço")</f>
        <v>Velocidade, facilidade de uso, raramente compotas, preço</v>
      </c>
      <c r="B40833" s="3">
        <v>1</v>
      </c>
    </row>
    <row r="40834" ht="15.75" customHeight="1" spans="1:2">
      <c r="A40834" s="3" t="str">
        <f>IFERROR(__xludf.DUMMYFUNCTION("GOOGLETRANSLATE(A40834,""en"",""pt"")"),"Muito rápido, excelente qualidade de foto, texto muito bom, reservatórios de tinta cor única, user cabeça substituível.")</f>
        <v>Muito rápido, excelente qualidade de foto, texto muito bom, reservatórios de tinta cor única, user cabeça substituível.</v>
      </c>
      <c r="B40834" s="3">
        <v>1</v>
      </c>
    </row>
    <row r="40835" ht="15.75" customHeight="1" spans="1:2">
      <c r="A40835" s="3" t="str">
        <f>IFERROR(__xludf.DUMMYFUNCTION("GOOGLETRANSLATE(A40835,""en"",""pt"")"),"Extremamente fotos de alta qualidade, texto rápido, verdadeira cor, tinta barata.")</f>
        <v>Extremamente fotos de alta qualidade, texto rápido, verdadeira cor, tinta barata.</v>
      </c>
      <c r="B40835" s="3">
        <v>1</v>
      </c>
    </row>
    <row r="40836" ht="15.75" customHeight="1" spans="1:2">
      <c r="A40836" s="3" t="str">
        <f>IFERROR(__xludf.DUMMYFUNCTION("GOOGLETRANSLATE(A40836,""en"",""pt"")"),"design agradável, cor neutra, ótimas fotos, Boa memória tamanho, USB")</f>
        <v>design agradável, cor neutra, ótimas fotos, Boa memória tamanho, USB</v>
      </c>
      <c r="B40836" s="3">
        <v>1</v>
      </c>
    </row>
    <row r="40837" ht="15.75" customHeight="1" spans="1:2">
      <c r="A40837" s="3" t="str">
        <f>IFERROR(__xludf.DUMMYFUNCTION("GOOGLETRANSLATE(A40837,""en"",""pt"")"),"Nitidez, velocidade, tranquila, tintas separadas")</f>
        <v>Nitidez, velocidade, tranquila, tintas separadas</v>
      </c>
      <c r="B40837" s="3">
        <v>1</v>
      </c>
    </row>
    <row r="40838" ht="15.75" customHeight="1" spans="1:2">
      <c r="A40838" s="3" t="str">
        <f>IFERROR(__xludf.DUMMYFUNCTION("GOOGLETRANSLATE(A40838,""en"",""pt"")"),"impressora de Fabuloso na minha opinião")</f>
        <v>impressora de Fabuloso na minha opinião</v>
      </c>
      <c r="B40838" s="3">
        <v>1</v>
      </c>
    </row>
    <row r="40839" ht="15.75" customHeight="1" spans="1:2">
      <c r="A40839" s="3" t="str">
        <f>IFERROR(__xludf.DUMMYFUNCTION("GOOGLETRANSLATE(A40839,""en"",""pt"")"),"os cartuchos de tinta separados, rápido")</f>
        <v>os cartuchos de tinta separados, rápido</v>
      </c>
      <c r="B40839" s="3">
        <v>1</v>
      </c>
    </row>
    <row r="40840" ht="15.75" customHeight="1" spans="1:2">
      <c r="A40840" s="3" t="str">
        <f>IFERROR(__xludf.DUMMYFUNCTION("GOOGLETRANSLATE(A40840,""en"",""pt"")"),"Confiabilidade, qualidade de cor de impressão e velocidade, aparência, tamanho pequeno, fácil manutenção")</f>
        <v>Confiabilidade, qualidade de cor de impressão e velocidade, aparência, tamanho pequeno, fácil manutenção</v>
      </c>
      <c r="B40840" s="3">
        <v>1</v>
      </c>
    </row>
    <row r="40841" ht="15.75" customHeight="1" spans="1:2">
      <c r="A40841" s="3" t="str">
        <f>IFERROR(__xludf.DUMMYFUNCTION("GOOGLETRANSLATE(A40841,""en"",""pt"")"),"Incrível qualidade de imagem, velocidade de impressão rápida,")</f>
        <v>Incrível qualidade de imagem, velocidade de impressão rápida,</v>
      </c>
      <c r="B40841" s="3">
        <v>1</v>
      </c>
    </row>
    <row r="40842" ht="15.75" customHeight="1" spans="1:2">
      <c r="A40842" s="3" t="str">
        <f>IFERROR(__xludf.DUMMYFUNCTION("GOOGLETRANSLATE(A40842,""en"",""pt"")"),"Rápido, silencioso, estampas incríveis")</f>
        <v>Rápido, silencioso, estampas incríveis</v>
      </c>
      <c r="B40842" s="3">
        <v>1</v>
      </c>
    </row>
    <row r="40843" ht="15.75" customHeight="1" spans="1:2">
      <c r="A40843" s="3" t="str">
        <f>IFERROR(__xludf.DUMMYFUNCTION("GOOGLETRANSLATE(A40843,""en"",""pt"")"),"Fácil de instalar, imprime fotos belíssimas, texto em papel comum bastante nítidas.")</f>
        <v>Fácil de instalar, imprime fotos belíssimas, texto em papel comum bastante nítidas.</v>
      </c>
      <c r="B40843" s="3">
        <v>1</v>
      </c>
    </row>
    <row r="40844" ht="15.75" customHeight="1" spans="1:2">
      <c r="A40844" s="3" t="str">
        <f>IFERROR(__xludf.DUMMYFUNCTION("GOOGLETRANSLATE(A40844,""en"",""pt"")"),"Grandes fotos, rápido, silencioso, USB 2, tanques de tinta individuais, cabeças de impressão separadas")</f>
        <v>Grandes fotos, rápido, silencioso, USB 2, tanques de tinta individuais, cabeças de impressão separadas</v>
      </c>
      <c r="B40844" s="3">
        <v>1</v>
      </c>
    </row>
    <row r="40845" ht="15.75" customHeight="1" spans="1:2">
      <c r="A40845" s="3" t="str">
        <f>IFERROR(__xludf.DUMMYFUNCTION("GOOGLETRANSLATE(A40845,""en"",""pt"")"),"A melhor qualidade, enquanto você usar o papel e software certo")</f>
        <v>A melhor qualidade, enquanto você usar o papel e software certo</v>
      </c>
      <c r="B40845" s="3">
        <v>1</v>
      </c>
    </row>
    <row r="40846" ht="15.75" customHeight="1" spans="1:2">
      <c r="A40846" s="3" t="str">
        <f>IFERROR(__xludf.DUMMYFUNCTION("GOOGLETRANSLATE(A40846,""en"",""pt"")"),"Impressão rápida e de alta qualidade sem margens Foto Prints &amp; amp; Mac OS X Compatível")</f>
        <v>Impressão rápida e de alta qualidade sem margens Foto Prints &amp; amp; Mac OS X Compatível</v>
      </c>
      <c r="B40846" s="3">
        <v>1</v>
      </c>
    </row>
    <row r="40847" ht="15.75" customHeight="1" spans="1:2">
      <c r="A40847" s="3" t="str">
        <f>IFERROR(__xludf.DUMMYFUNCTION("GOOGLETRANSLATE(A40847,""en"",""pt"")"),"Ela imprime rápido e produz algumas impressões agradáveis ​​Photo!")</f>
        <v>Ela imprime rápido e produz algumas impressões agradáveis ​​Photo!</v>
      </c>
      <c r="B40847" s="3">
        <v>1</v>
      </c>
    </row>
    <row r="40848" ht="15.75" customHeight="1" spans="1:2">
      <c r="A40848" s="3" t="str">
        <f>IFERROR(__xludf.DUMMYFUNCTION("GOOGLETRANSLATE(A40848,""en"",""pt"")"),"Verdadeiramente excelente qualidade de impressão")</f>
        <v>Verdadeiramente excelente qualidade de impressão</v>
      </c>
      <c r="B40848" s="3">
        <v>1</v>
      </c>
    </row>
    <row r="40849" ht="15.75" customHeight="1" spans="1:2">
      <c r="A40849" s="3" t="str">
        <f>IFERROR(__xludf.DUMMYFUNCTION("GOOGLETRANSLATE(A40849,""en"",""pt"")"),"Baixo preço, cor Soberbo, tintas de seis cores, barato e fácil de operar")</f>
        <v>Baixo preço, cor Soberbo, tintas de seis cores, barato e fácil de operar</v>
      </c>
      <c r="B40849" s="3">
        <v>1</v>
      </c>
    </row>
    <row r="40850" ht="15.75" customHeight="1" spans="1:2">
      <c r="A40850" s="3" t="str">
        <f>IFERROR(__xludf.DUMMYFUNCTION("GOOGLETRANSLATE(A40850,""en"",""pt"")"),"Foto de qualidade loja de fotos produzidas em menos de 1 minuto., Fácil de instalar,")</f>
        <v>Foto de qualidade loja de fotos produzidas em menos de 1 minuto., Fácil de instalar,</v>
      </c>
      <c r="B40850" s="3">
        <v>1</v>
      </c>
    </row>
    <row r="40851" ht="15.75" customHeight="1" spans="1:2">
      <c r="A40851" s="3" t="str">
        <f>IFERROR(__xludf.DUMMYFUNCTION("GOOGLETRANSLATE(A40851,""en"",""pt"")"),"Cópias de qualidade 35mm, rápido e silencioso, confiável.")</f>
        <v>Cópias de qualidade 35mm, rápido e silencioso, confiável.</v>
      </c>
      <c r="B40851" s="3">
        <v>1</v>
      </c>
    </row>
    <row r="40852" ht="15.75" customHeight="1" spans="1:2">
      <c r="A40852" s="3" t="str">
        <f>IFERROR(__xludf.DUMMYFUNCTION("GOOGLETRANSLATE(A40852,""en"",""pt"")"),"alta resolução, velocidade, silencioso, tamanho compacto, fácil de usar")</f>
        <v>alta resolução, velocidade, silencioso, tamanho compacto, fácil de usar</v>
      </c>
      <c r="B40852" s="3">
        <v>1</v>
      </c>
    </row>
    <row r="40853" ht="15.75" customHeight="1" spans="1:2">
      <c r="A40853" s="3" t="str">
        <f>IFERROR(__xludf.DUMMYFUNCTION("GOOGLETRANSLATE(A40853,""en"",""pt"")"),"Qualidade, velocidade, preço, custo")</f>
        <v>Qualidade, velocidade, preço, custo</v>
      </c>
      <c r="B40853" s="3">
        <v>1</v>
      </c>
    </row>
    <row r="40854" ht="15.75" customHeight="1" spans="1:2">
      <c r="A40854" s="3" t="str">
        <f>IFERROR(__xludf.DUMMYFUNCTION("GOOGLETRANSLATE(A40854,""en"",""pt"")"),"Rápido, qualidade, sangramento completo foto de saída! Muito amigável na carteira.")</f>
        <v>Rápido, qualidade, sangramento completo foto de saída! Muito amigável na carteira.</v>
      </c>
      <c r="B40854" s="3">
        <v>1</v>
      </c>
    </row>
    <row r="40855" ht="15.75" customHeight="1" spans="1:2">
      <c r="A40855" s="3" t="str">
        <f>IFERROR(__xludf.DUMMYFUNCTION("GOOGLETRANSLATE(A40855,""en"",""pt"")"),"precisão de cor (EXIF 2.2) e saturação, rápido, tranquilo, tanques de tinta individuais, impressões sem margens")</f>
        <v>precisão de cor (EXIF 2.2) e saturação, rápido, tranquilo, tanques de tinta individuais, impressões sem margens</v>
      </c>
      <c r="B40855" s="3">
        <v>1</v>
      </c>
    </row>
    <row r="40856" ht="15.75" customHeight="1" spans="1:2">
      <c r="A40856" s="3" t="str">
        <f>IFERROR(__xludf.DUMMYFUNCTION("GOOGLETRANSLATE(A40856,""en"",""pt"")"),"Grandes funções, fácil de instalar, enche-propósito.")</f>
        <v>Grandes funções, fácil de instalar, enche-propósito.</v>
      </c>
      <c r="B40856" s="3">
        <v>1</v>
      </c>
    </row>
    <row r="40857" ht="15.75" customHeight="1" spans="1:2">
      <c r="A40857" s="3" t="str">
        <f>IFERROR(__xludf.DUMMYFUNCTION("GOOGLETRANSLATE(A40857,""en"",""pt"")"),"Ele faz uma parada boa porta")</f>
        <v>Ele faz uma parada boa porta</v>
      </c>
      <c r="B40857" s="3">
        <v>1</v>
      </c>
    </row>
    <row r="40858" ht="15.75" customHeight="1" spans="1:2">
      <c r="A40858" s="3" t="str">
        <f>IFERROR(__xludf.DUMMYFUNCTION("GOOGLETRANSLATE(A40858,""en"",""pt"")"),"Fácil de instalar, cor grande, faxes na perfeição.")</f>
        <v>Fácil de instalar, cor grande, faxes na perfeição.</v>
      </c>
      <c r="B40858" s="3">
        <v>1</v>
      </c>
    </row>
    <row r="40859" ht="15.75" customHeight="1" spans="1:2">
      <c r="A40859" s="3" t="str">
        <f>IFERROR(__xludf.DUMMYFUNCTION("GOOGLETRANSLATE(A40859,""en"",""pt"")"),"fácil de instalar e usar, multifuncionais: digitalização, cópia, fax e cor / impressora de preto branco. Imprimir de boa qualidade. papel comum")</f>
        <v>fácil de instalar e usar, multifuncionais: digitalização, cópia, fax e cor / impressora de preto branco. Imprimir de boa qualidade. papel comum</v>
      </c>
      <c r="B40859" s="3">
        <v>1</v>
      </c>
    </row>
    <row r="40860" ht="15.75" customHeight="1" spans="1:2">
      <c r="A40860" s="3" t="str">
        <f>IFERROR(__xludf.DUMMYFUNCTION("GOOGLETRANSLATE(A40860,""en"",""pt"")"),"all-in-one - impressora, copiadora, scanner de escala de cinza")</f>
        <v>all-in-one - impressora, copiadora, scanner de escala de cinza</v>
      </c>
      <c r="B40860" s="3">
        <v>1</v>
      </c>
    </row>
    <row r="40861" ht="15.75" customHeight="1" spans="1:2">
      <c r="A40861" s="3" t="str">
        <f>IFERROR(__xludf.DUMMYFUNCTION("GOOGLETRANSLATE(A40861,""en"",""pt"")"),"qualidade de impressão decente, uma boa cópia / qualidade de digitalização")</f>
        <v>qualidade de impressão decente, uma boa cópia / qualidade de digitalização</v>
      </c>
      <c r="B40861" s="3">
        <v>1</v>
      </c>
    </row>
    <row r="40862" ht="15.75" customHeight="1" spans="1:2">
      <c r="A40862" s="3" t="str">
        <f>IFERROR(__xludf.DUMMYFUNCTION("GOOGLETRANSLATE(A40862,""en"",""pt"")"),"vida tinta, confiabilidade hardware")</f>
        <v>vida tinta, confiabilidade hardware</v>
      </c>
      <c r="B40862" s="3">
        <v>1</v>
      </c>
    </row>
    <row r="40863" ht="15.75" customHeight="1" spans="1:2">
      <c r="A40863" s="3" t="str">
        <f>IFERROR(__xludf.DUMMYFUNCTION("GOOGLETRANSLATE(A40863,""en"",""pt"")"),"economia multifuncional e espaço")</f>
        <v>economia multifuncional e espaço</v>
      </c>
      <c r="B40863" s="3">
        <v>1</v>
      </c>
    </row>
    <row r="40864" ht="15.75" customHeight="1" spans="1:2">
      <c r="A40864" s="3" t="str">
        <f>IFERROR(__xludf.DUMMYFUNCTION("GOOGLETRANSLATE(A40864,""en"",""pt"")"),"Preço razoável.")</f>
        <v>Preço razoável.</v>
      </c>
      <c r="B40864" s="3">
        <v>1</v>
      </c>
    </row>
    <row r="40865" ht="15.75" customHeight="1" spans="1:2">
      <c r="A40865" s="3" t="str">
        <f>IFERROR(__xludf.DUMMYFUNCTION("GOOGLETRANSLATE(A40865,""en"",""pt"")"),"Boa ideia")</f>
        <v>Boa ideia</v>
      </c>
      <c r="B40865" s="3">
        <v>1</v>
      </c>
    </row>
    <row r="40866" ht="15.75" customHeight="1" spans="1:2">
      <c r="A40866" s="3" t="str">
        <f>IFERROR(__xludf.DUMMYFUNCTION("GOOGLETRANSLATE(A40866,""en"",""pt"")"),"dimensões reduzidas e menor número de cabos")</f>
        <v>dimensões reduzidas e menor número de cabos</v>
      </c>
      <c r="B40866" s="3">
        <v>1</v>
      </c>
    </row>
    <row r="40867" ht="15.75" customHeight="1" spans="1:2">
      <c r="A40867" s="3" t="str">
        <f>IFERROR(__xludf.DUMMYFUNCTION("GOOGLETRANSLATE(A40867,""en"",""pt"")"),"parece ótimo, soa bem")</f>
        <v>parece ótimo, soa bem</v>
      </c>
      <c r="B40867" s="3">
        <v>1</v>
      </c>
    </row>
    <row r="40868" ht="15.75" customHeight="1" spans="1:2">
      <c r="A40868" s="3" t="str">
        <f>IFERROR(__xludf.DUMMYFUNCTION("GOOGLETRANSLATE(A40868,""en"",""pt"")"),"Hey, o fax funciona")</f>
        <v>Hey, o fax funciona</v>
      </c>
      <c r="B40868" s="3">
        <v>1</v>
      </c>
    </row>
    <row r="40869" ht="15.75" customHeight="1" spans="1:2">
      <c r="A40869" s="3" t="str">
        <f>IFERROR(__xludf.DUMMYFUNCTION("GOOGLETRANSLATE(A40869,""en"",""pt"")"),"Multi-funcional, fácil de operar")</f>
        <v>Multi-funcional, fácil de operar</v>
      </c>
      <c r="B40869" s="3">
        <v>1</v>
      </c>
    </row>
    <row r="40870" ht="15.75" customHeight="1" spans="1:2">
      <c r="A40870" s="3" t="str">
        <f>IFERROR(__xludf.DUMMYFUNCTION("GOOGLETRANSLATE(A40870,""en"",""pt"")"),"muitos produtos")</f>
        <v>muitos produtos</v>
      </c>
      <c r="B40870" s="3">
        <v>1</v>
      </c>
    </row>
    <row r="40871" ht="15.75" customHeight="1" spans="1:2">
      <c r="A40871" s="3" t="str">
        <f>IFERROR(__xludf.DUMMYFUNCTION("GOOGLETRANSLATE(A40871,""en"",""pt"")"),"Impressão, cópia")</f>
        <v>Impressão, cópia</v>
      </c>
      <c r="B40871" s="3">
        <v>1</v>
      </c>
    </row>
    <row r="40872" ht="15.75" customHeight="1" spans="1:2">
      <c r="A40872" s="3" t="str">
        <f>IFERROR(__xludf.DUMMYFUNCTION("GOOGLETRANSLATE(A40872,""en"",""pt"")"),"Barato")</f>
        <v>Barato</v>
      </c>
      <c r="B40872" s="3">
        <v>1</v>
      </c>
    </row>
    <row r="40873" ht="15.75" customHeight="1" spans="1:2">
      <c r="A40873" s="3" t="str">
        <f>IFERROR(__xludf.DUMMYFUNCTION("GOOGLETRANSLATE(A40873,""en"",""pt"")"),"Múltiplas funções, pacote de software")</f>
        <v>Múltiplas funções, pacote de software</v>
      </c>
      <c r="B40873" s="3">
        <v>1</v>
      </c>
    </row>
    <row r="40874" ht="15.75" customHeight="1" spans="1:2">
      <c r="A40874" s="3" t="str">
        <f>IFERROR(__xludf.DUMMYFUNCTION("GOOGLETRANSLATE(A40874,""en"",""pt"")"),"Muitas funções diferentes de uma máquina")</f>
        <v>Muitas funções diferentes de uma máquina</v>
      </c>
      <c r="B40874" s="3">
        <v>1</v>
      </c>
    </row>
    <row r="40875" ht="15.75" customHeight="1" spans="1:2">
      <c r="A40875" s="3" t="str">
        <f>IFERROR(__xludf.DUMMYFUNCTION("GOOGLETRANSLATE(A40875,""en"",""pt"")"),"1. fácil de instalar, opções e qualidade")</f>
        <v>1. fácil de instalar, opções e qualidade</v>
      </c>
      <c r="B40875" s="3">
        <v>1</v>
      </c>
    </row>
    <row r="40876" ht="15.75" customHeight="1" spans="1:2">
      <c r="A40876" s="3" t="str">
        <f>IFERROR(__xludf.DUMMYFUNCTION("GOOGLETRANSLATE(A40876,""en"",""pt"")"),"múltiplas funções (impressora, fax, copiadora), fáceis de instalar e usar")</f>
        <v>múltiplas funções (impressora, fax, copiadora), fáceis de instalar e usar</v>
      </c>
      <c r="B40876" s="3">
        <v>1</v>
      </c>
    </row>
    <row r="40877" ht="15.75" customHeight="1" spans="1:2">
      <c r="A40877" s="3" t="str">
        <f>IFERROR(__xludf.DUMMYFUNCTION("GOOGLETRANSLATE(A40877,""en"",""pt"")"),"all-in-one funções, cartuchos intercambiáveis ​​com a maioria dos outros jatos de tinta Canon")</f>
        <v>all-in-one funções, cartuchos intercambiáveis ​​com a maioria dos outros jatos de tinta Canon</v>
      </c>
      <c r="B40877" s="3">
        <v>1</v>
      </c>
    </row>
    <row r="40878" ht="15.75" customHeight="1" spans="1:2">
      <c r="A40878" s="3" t="str">
        <f>IFERROR(__xludf.DUMMYFUNCTION("GOOGLETRANSLATE(A40878,""en"",""pt"")"),"Bom valor e boas características.")</f>
        <v>Bom valor e boas características.</v>
      </c>
      <c r="B40878" s="3">
        <v>1</v>
      </c>
    </row>
    <row r="40879" ht="15.75" customHeight="1" spans="1:2">
      <c r="A40879" s="3" t="str">
        <f>IFERROR(__xludf.DUMMYFUNCTION("GOOGLETRANSLATE(A40879,""en"",""pt"")"),"Nice Price, começa o trabalho feito, o tamanho pequeno para uma tarefa tão grande")</f>
        <v>Nice Price, começa o trabalho feito, o tamanho pequeno para uma tarefa tão grande</v>
      </c>
      <c r="B40879" s="3">
        <v>1</v>
      </c>
    </row>
    <row r="40880" ht="15.75" customHeight="1" spans="1:2">
      <c r="A40880" s="3" t="str">
        <f>IFERROR(__xludf.DUMMYFUNCTION("GOOGLETRANSLATE(A40880,""en"",""pt"")"),"nenhum para mac")</f>
        <v>nenhum para mac</v>
      </c>
      <c r="B40880" s="3">
        <v>1</v>
      </c>
    </row>
    <row r="40881" ht="15.75" customHeight="1" spans="1:2">
      <c r="A40881" s="3" t="str">
        <f>IFERROR(__xludf.DUMMYFUNCTION("GOOGLETRANSLATE(A40881,""en"",""pt"")"),"Às vezes poupa-lhe uma viagem para Kinko")</f>
        <v>Às vezes poupa-lhe uma viagem para Kinko</v>
      </c>
      <c r="B40881" s="3">
        <v>1</v>
      </c>
    </row>
    <row r="40882" ht="15.75" customHeight="1" spans="1:2">
      <c r="A40882" s="3" t="str">
        <f>IFERROR(__xludf.DUMMYFUNCTION("GOOGLETRANSLATE(A40882,""en"",""pt"")"),"Ocupa pouco espaço na mesa, instale fácil")</f>
        <v>Ocupa pouco espaço na mesa, instale fácil</v>
      </c>
      <c r="B40882" s="3">
        <v>1</v>
      </c>
    </row>
    <row r="40883" ht="15.75" customHeight="1" spans="1:2">
      <c r="A40883" s="3" t="str">
        <f>IFERROR(__xludf.DUMMYFUNCTION("GOOGLETRANSLATE(A40883,""en"",""pt"")"),"Ótimo preço e qualidade")</f>
        <v>Ótimo preço e qualidade</v>
      </c>
      <c r="B40883" s="3">
        <v>1</v>
      </c>
    </row>
    <row r="40884" ht="15.75" customHeight="1" spans="1:2">
      <c r="A40884" s="3" t="str">
        <f>IFERROR(__xludf.DUMMYFUNCTION("GOOGLETRANSLATE(A40884,""en"",""pt"")"),", Capacidade de fax barato")</f>
        <v>, Capacidade de fax barato</v>
      </c>
      <c r="B40884" s="3">
        <v>1</v>
      </c>
    </row>
    <row r="40885" ht="15.75" customHeight="1" spans="1:2">
      <c r="A40885" s="3" t="str">
        <f>IFERROR(__xludf.DUMMYFUNCTION("GOOGLETRANSLATE(A40885,""en"",""pt"")"),"Tamanho compacto, stand Capacidade Sozinho")</f>
        <v>Tamanho compacto, stand Capacidade Sozinho</v>
      </c>
      <c r="B40885" s="3">
        <v>1</v>
      </c>
    </row>
    <row r="40886" ht="15.75" customHeight="1" spans="1:2">
      <c r="A40886" s="3" t="str">
        <f>IFERROR(__xludf.DUMMYFUNCTION("GOOGLETRANSLATE(A40886,""en"",""pt"")"),"preço, facilidade de uso, tamanho compacto")</f>
        <v>preço, facilidade de uso, tamanho compacto</v>
      </c>
      <c r="B40886" s="3">
        <v>1</v>
      </c>
    </row>
    <row r="40887" ht="15.75" customHeight="1" spans="1:2">
      <c r="A40887" s="3" t="str">
        <f>IFERROR(__xludf.DUMMYFUNCTION("GOOGLETRANSLATE(A40887,""en"",""pt"")"),"Fácil de usar e versátil")</f>
        <v>Fácil de usar e versátil</v>
      </c>
      <c r="B40887" s="3">
        <v>1</v>
      </c>
    </row>
    <row r="40888" ht="15.75" customHeight="1" spans="1:2">
      <c r="A40888" s="3" t="str">
        <f>IFERROR(__xludf.DUMMYFUNCTION("GOOGLETRANSLATE(A40888,""en"",""pt"")"),"BARATO")</f>
        <v>BARATO</v>
      </c>
      <c r="B40888" s="3">
        <v>1</v>
      </c>
    </row>
    <row r="40889" ht="15.75" customHeight="1" spans="1:2">
      <c r="A40889" s="3" t="str">
        <f>IFERROR(__xludf.DUMMYFUNCTION("GOOGLETRANSLATE(A40889,""en"",""pt"")"),"Uma máquina de escritório multifuncional fácil de operar que os faxes, impressões, digitalizações e cópias.")</f>
        <v>Uma máquina de escritório multifuncional fácil de operar que os faxes, impressões, digitalizações e cópias.</v>
      </c>
      <c r="B40889" s="3">
        <v>1</v>
      </c>
    </row>
    <row r="40890" ht="15.75" customHeight="1" spans="1:2">
      <c r="A40890" s="3" t="str">
        <f>IFERROR(__xludf.DUMMYFUNCTION("GOOGLETRANSLATE(A40890,""en"",""pt"")"),"4 em 1, barato, confiável, amigável, fácil de usar,")</f>
        <v>4 em 1, barato, confiável, amigável, fácil de usar,</v>
      </c>
      <c r="B40890" s="3">
        <v>1</v>
      </c>
    </row>
    <row r="40891" ht="15.75" customHeight="1" spans="1:2">
      <c r="A40891" s="3" t="str">
        <f>IFERROR(__xludf.DUMMYFUNCTION("GOOGLETRANSLATE(A40891,""en"",""pt"")"),"não é grande fraqueza")</f>
        <v>não é grande fraqueza</v>
      </c>
      <c r="B40891" s="3">
        <v>1</v>
      </c>
    </row>
    <row r="40892" ht="15.75" customHeight="1" spans="1:2">
      <c r="A40892" s="3" t="str">
        <f>IFERROR(__xludf.DUMMYFUNCTION("GOOGLETRANSLATE(A40892,""en"",""pt"")"),"Baixo preço, impressora média, scanner e copiadora função com boas capacidades de fax, fácil de painel de controle de uso e de fácil leitura LCD, boa quantidade de memória para receber o fax da memória")</f>
        <v>Baixo preço, impressora média, scanner e copiadora função com boas capacidades de fax, fácil de painel de controle de uso e de fácil leitura LCD, boa quantidade de memória para receber o fax da memória</v>
      </c>
      <c r="B40892" s="3">
        <v>1</v>
      </c>
    </row>
    <row r="40893" ht="15.75" customHeight="1" spans="1:2">
      <c r="A40893" s="3" t="str">
        <f>IFERROR(__xludf.DUMMYFUNCTION("GOOGLETRANSLATE(A40893,""en"",""pt"")"),"Tudo em um fax, copiadora, scanner e uma impressora, faz todos eles relativamente bem, bom valor.")</f>
        <v>Tudo em um fax, copiadora, scanner e uma impressora, faz todos eles relativamente bem, bom valor.</v>
      </c>
      <c r="B40893" s="3">
        <v>1</v>
      </c>
    </row>
    <row r="40894" ht="15.75" customHeight="1" spans="1:2">
      <c r="A40894" s="3" t="str">
        <f>IFERROR(__xludf.DUMMYFUNCTION("GOOGLETRANSLATE(A40894,""en"",""pt"")"),"bom conceito")</f>
        <v>bom conceito</v>
      </c>
      <c r="B40894" s="3">
        <v>1</v>
      </c>
    </row>
    <row r="40895" ht="15.75" customHeight="1" spans="1:2">
      <c r="A40895" s="3" t="str">
        <f>IFERROR(__xludf.DUMMYFUNCTION("GOOGLETRANSLATE(A40895,""en"",""pt"")"),"Fax, digitalização, cópia, impressão a cores tudo em uma unidade acessível")</f>
        <v>Fax, digitalização, cópia, impressão a cores tudo em uma unidade acessível</v>
      </c>
      <c r="B40895" s="3">
        <v>1</v>
      </c>
    </row>
    <row r="40896" ht="15.75" customHeight="1" spans="1:2">
      <c r="A40896" s="3" t="str">
        <f>IFERROR(__xludf.DUMMYFUNCTION("GOOGLETRANSLATE(A40896,""en"",""pt"")"),"Conveniência de uma máquina, a substituição do cartucho barato.")</f>
        <v>Conveniência de uma máquina, a substituição do cartucho barato.</v>
      </c>
      <c r="B40896" s="3">
        <v>1</v>
      </c>
    </row>
    <row r="40897" ht="15.75" customHeight="1" spans="1:2">
      <c r="A40897" s="3" t="str">
        <f>IFERROR(__xludf.DUMMYFUNCTION("GOOGLETRANSLATE(A40897,""en"",""pt"")"),"Barato, cores, multifunções, conveniência")</f>
        <v>Barato, cores, multifunções, conveniência</v>
      </c>
      <c r="B40897" s="3">
        <v>1</v>
      </c>
    </row>
    <row r="40898" ht="15.75" customHeight="1" spans="1:2">
      <c r="A40898" s="3" t="str">
        <f>IFERROR(__xludf.DUMMYFUNCTION("GOOGLETRANSLATE(A40898,""en"",""pt"")"),"úteis, várias máquinas em um, sem problemas")</f>
        <v>úteis, várias máquinas em um, sem problemas</v>
      </c>
      <c r="B40898" s="3">
        <v>1</v>
      </c>
    </row>
    <row r="40899" ht="15.75" customHeight="1" spans="1:2">
      <c r="A40899" s="3" t="str">
        <f>IFERROR(__xludf.DUMMYFUNCTION("GOOGLETRANSLATE(A40899,""en"",""pt"")"),"cópias limpas, boa impressão a cores de qualidade, fácil de usar, preço razoável")</f>
        <v>cópias limpas, boa impressão a cores de qualidade, fácil de usar, preço razoável</v>
      </c>
      <c r="B40899" s="3">
        <v>1</v>
      </c>
    </row>
    <row r="40900" ht="15.75" customHeight="1" spans="1:2">
      <c r="A40900" s="3" t="str">
        <f>IFERROR(__xludf.DUMMYFUNCTION("GOOGLETRANSLATE(A40900,""en"",""pt"")"),"multifunções a cores copiadora / scanner / fax / impressora")</f>
        <v>multifunções a cores copiadora / scanner / fax / impressora</v>
      </c>
      <c r="B40900" s="3">
        <v>1</v>
      </c>
    </row>
    <row r="40901" ht="15.75" customHeight="1" spans="1:2">
      <c r="A40901" s="3" t="str">
        <f>IFERROR(__xludf.DUMMYFUNCTION("GOOGLETRANSLATE(A40901,""en"",""pt"")"),"Tudo em um, ótimo preço para tanta coisa")</f>
        <v>Tudo em um, ótimo preço para tanta coisa</v>
      </c>
      <c r="B40901" s="3">
        <v>1</v>
      </c>
    </row>
    <row r="40902" ht="15.75" customHeight="1" spans="1:2">
      <c r="A40902" s="3" t="str">
        <f>IFERROR(__xludf.DUMMYFUNCTION("GOOGLETRANSLATE(A40902,""en"",""pt"")"),"Grande software, excelente qualidade de impressão")</f>
        <v>Grande software, excelente qualidade de impressão</v>
      </c>
      <c r="B40902" s="3">
        <v>1</v>
      </c>
    </row>
    <row r="40903" ht="15.75" customHeight="1" spans="1:2">
      <c r="A40903" s="3" t="str">
        <f>IFERROR(__xludf.DUMMYFUNCTION("GOOGLETRANSLATE(A40903,""en"",""pt"")"),"Impressão rápida e preto e branco")</f>
        <v>Impressão rápida e preto e branco</v>
      </c>
      <c r="B40903" s="3">
        <v>1</v>
      </c>
    </row>
    <row r="40904" ht="15.75" customHeight="1" spans="1:2">
      <c r="A40904" s="3" t="str">
        <f>IFERROR(__xludf.DUMMYFUNCTION("GOOGLETRANSLATE(A40904,""en"",""pt"")"),"produto muito útil")</f>
        <v>produto muito útil</v>
      </c>
      <c r="B40904" s="3">
        <v>1</v>
      </c>
    </row>
    <row r="40905" ht="15.75" customHeight="1" spans="1:2">
      <c r="A40905" s="3" t="str">
        <f>IFERROR(__xludf.DUMMYFUNCTION("GOOGLETRANSLATE(A40905,""en"",""pt"")"),"qualidade de impressão clara, multifuncional")</f>
        <v>qualidade de impressão clara, multifuncional</v>
      </c>
      <c r="B40905" s="3">
        <v>1</v>
      </c>
    </row>
    <row r="40906" ht="15.75" customHeight="1" spans="1:2">
      <c r="A40906" s="3" t="str">
        <f>IFERROR(__xludf.DUMMYFUNCTION("GOOGLETRANSLATE(A40906,""en"",""pt"")"),"Grande qualidade de impressão")</f>
        <v>Grande qualidade de impressão</v>
      </c>
      <c r="B40906" s="3">
        <v>1</v>
      </c>
    </row>
    <row r="40907" ht="15.75" customHeight="1" spans="1:2">
      <c r="A40907" s="3" t="str">
        <f>IFERROR(__xludf.DUMMYFUNCTION("GOOGLETRANSLATE(A40907,""en"",""pt"")"),"faz quase qualquer coisa")</f>
        <v>faz quase qualquer coisa</v>
      </c>
      <c r="B40907" s="3">
        <v>1</v>
      </c>
    </row>
    <row r="40908" ht="15.75" customHeight="1" spans="1:2">
      <c r="A40908" s="3" t="str">
        <f>IFERROR(__xludf.DUMMYFUNCTION("GOOGLETRANSLATE(A40908,""en"",""pt"")"),"Preço, qualidade de impressão")</f>
        <v>Preço, qualidade de impressão</v>
      </c>
      <c r="B40908" s="3">
        <v>1</v>
      </c>
    </row>
    <row r="40909" ht="15.75" customHeight="1" spans="1:2">
      <c r="A40909" s="3" t="str">
        <f>IFERROR(__xludf.DUMMYFUNCTION("GOOGLETRANSLATE(A40909,""en"",""pt"")"),"Barato, multifunções")</f>
        <v>Barato, multifunções</v>
      </c>
      <c r="B40909" s="3">
        <v>1</v>
      </c>
    </row>
    <row r="40910" ht="15.75" customHeight="1" spans="1:2">
      <c r="A40910" s="3" t="str">
        <f>IFERROR(__xludf.DUMMYFUNCTION("GOOGLETRANSLATE(A40910,""en"",""pt"")"),"Tudo em uma unidade.")</f>
        <v>Tudo em uma unidade.</v>
      </c>
      <c r="B40910" s="3">
        <v>1</v>
      </c>
    </row>
    <row r="40911" ht="15.75" customHeight="1" spans="1:2">
      <c r="A40911" s="3" t="str">
        <f>IFERROR(__xludf.DUMMYFUNCTION("GOOGLETRANSLATE(A40911,""en"",""pt"")"),"Fácil de usar")</f>
        <v>Fácil de usar</v>
      </c>
      <c r="B40911" s="3">
        <v>1</v>
      </c>
    </row>
    <row r="40912" ht="15.75" customHeight="1" spans="1:2">
      <c r="A40912" s="3" t="str">
        <f>IFERROR(__xludf.DUMMYFUNCTION("GOOGLETRANSLATE(A40912,""en"",""pt"")"),"rápida e impressão bem feito")</f>
        <v>rápida e impressão bem feito</v>
      </c>
      <c r="B40912" s="3">
        <v>1</v>
      </c>
    </row>
    <row r="40913" ht="15.75" customHeight="1" spans="1:2">
      <c r="A40913" s="3" t="str">
        <f>IFERROR(__xludf.DUMMYFUNCTION("GOOGLETRANSLATE(A40913,""en"",""pt"")"),"Lotes de capacidades, se você tem portas legadas no seu PC")</f>
        <v>Lotes de capacidades, se você tem portas legadas no seu PC</v>
      </c>
      <c r="B40913" s="3">
        <v>1</v>
      </c>
    </row>
    <row r="40914" ht="15.75" customHeight="1" spans="1:2">
      <c r="A40914" s="3" t="str">
        <f>IFERROR(__xludf.DUMMYFUNCTION("GOOGLETRANSLATE(A40914,""en"",""pt"")"),"poupa espaço em sua mesa")</f>
        <v>poupa espaço em sua mesa</v>
      </c>
      <c r="B40914" s="3">
        <v>1</v>
      </c>
    </row>
    <row r="40915" ht="15.75" customHeight="1" spans="1:2">
      <c r="A40915" s="3" t="str">
        <f>IFERROR(__xludf.DUMMYFUNCTION("GOOGLETRANSLATE(A40915,""en"",""pt"")"),"Relativamente boa impressão a cores, multi-função útil")</f>
        <v>Relativamente boa impressão a cores, multi-função útil</v>
      </c>
      <c r="B40915" s="3">
        <v>1</v>
      </c>
    </row>
    <row r="40916" ht="15.75" customHeight="1" spans="1:2">
      <c r="A40916" s="3" t="str">
        <f>IFERROR(__xludf.DUMMYFUNCTION("GOOGLETRANSLATE(A40916,""en"",""pt"")"),"recepção impecável Fax, grandes cópias coloridas, e uma impressora decente.")</f>
        <v>recepção impecável Fax, grandes cópias coloridas, e uma impressora decente.</v>
      </c>
      <c r="B40916" s="3">
        <v>1</v>
      </c>
    </row>
    <row r="40917" ht="15.75" customHeight="1" spans="1:2">
      <c r="A40917" s="3" t="str">
        <f>IFERROR(__xludf.DUMMYFUNCTION("GOOGLETRANSLATE(A40917,""en"",""pt"")"),"multifuncional")</f>
        <v>multifuncional</v>
      </c>
      <c r="B40917" s="3">
        <v>1</v>
      </c>
    </row>
    <row r="40918" ht="15.75" customHeight="1" spans="1:2">
      <c r="A40918" s="3" t="str">
        <f>IFERROR(__xludf.DUMMYFUNCTION("GOOGLETRANSLATE(A40918,""en"",""pt"")"),"Barato, tem impressora / scanner / fax tudo em uma unidade")</f>
        <v>Barato, tem impressora / scanner / fax tudo em uma unidade</v>
      </c>
      <c r="B40918" s="3">
        <v>1</v>
      </c>
    </row>
    <row r="40919" ht="15.75" customHeight="1" spans="1:2">
      <c r="A40919" s="3" t="str">
        <f>IFERROR(__xludf.DUMMYFUNCTION("GOOGLETRANSLATE(A40919,""en"",""pt"")"),"Boa Cor digitalização e impressão. Características Grande Fax.")</f>
        <v>Boa Cor digitalização e impressão. Características Grande Fax.</v>
      </c>
      <c r="B40919" s="3">
        <v>1</v>
      </c>
    </row>
    <row r="40920" ht="15.75" customHeight="1" spans="1:2">
      <c r="A40920" s="3" t="str">
        <f>IFERROR(__xludf.DUMMYFUNCTION("GOOGLETRANSLATE(A40920,""en"",""pt"")"),"Multi-funcional, qualidade de impressão.")</f>
        <v>Multi-funcional, qualidade de impressão.</v>
      </c>
      <c r="B40920" s="3">
        <v>1</v>
      </c>
    </row>
    <row r="40921" ht="15.75" customHeight="1" spans="1:2">
      <c r="A40921" s="3" t="str">
        <f>IFERROR(__xludf.DUMMYFUNCTION("GOOGLETRANSLATE(A40921,""en"",""pt"")"),"econômica, impressão de boa qualidade, fax e digitalização")</f>
        <v>econômica, impressão de boa qualidade, fax e digitalização</v>
      </c>
      <c r="B40921" s="3">
        <v>1</v>
      </c>
    </row>
    <row r="40922" ht="15.75" customHeight="1" spans="1:2">
      <c r="A40922" s="3" t="str">
        <f>IFERROR(__xludf.DUMMYFUNCTION("GOOGLETRANSLATE(A40922,""en"",""pt"")"),"O tamanho pequeno, saída decente")</f>
        <v>O tamanho pequeno, saída decente</v>
      </c>
      <c r="B40922" s="3">
        <v>1</v>
      </c>
    </row>
    <row r="40923" ht="15.75" customHeight="1" spans="1:2">
      <c r="A40923" s="3" t="str">
        <f>IFERROR(__xludf.DUMMYFUNCTION("GOOGLETRANSLATE(A40923,""en"",""pt"")"),"Ele faz o trabalho, não ocupa muito espaço, e é relativamente livre de cabos.")</f>
        <v>Ele faz o trabalho, não ocupa muito espaço, e é relativamente livre de cabos.</v>
      </c>
      <c r="B40923" s="3">
        <v>1</v>
      </c>
    </row>
    <row r="40924" ht="15.75" customHeight="1" spans="1:2">
      <c r="A40924" s="3" t="str">
        <f>IFERROR(__xludf.DUMMYFUNCTION("GOOGLETRANSLATE(A40924,""en"",""pt"")"),"Fácil de configurar fora da caixa, funcionalidade plus, para o preço. Não há congestionamentos.")</f>
        <v>Fácil de configurar fora da caixa, funcionalidade plus, para o preço. Não há congestionamentos.</v>
      </c>
      <c r="B40924" s="3">
        <v>1</v>
      </c>
    </row>
    <row r="40925" ht="15.75" customHeight="1" spans="1:2">
      <c r="A40925" s="3" t="str">
        <f>IFERROR(__xludf.DUMMYFUNCTION("GOOGLETRANSLATE(A40925,""en"",""pt"")"),"All-in-one, Preço")</f>
        <v>All-in-one, Preço</v>
      </c>
      <c r="B40925" s="3">
        <v>1</v>
      </c>
    </row>
    <row r="40926" ht="15.75" customHeight="1" spans="1:2">
      <c r="A40926" s="3" t="str">
        <f>IFERROR(__xludf.DUMMYFUNCTION("GOOGLETRANSLATE(A40926,""en"",""pt"")"),"relativamente Compact")</f>
        <v>relativamente Compact</v>
      </c>
      <c r="B40926" s="3">
        <v>1</v>
      </c>
    </row>
    <row r="40927" ht="15.75" customHeight="1" spans="1:2">
      <c r="A40927" s="3" t="str">
        <f>IFERROR(__xludf.DUMMYFUNCTION("GOOGLETRANSLATE(A40927,""en"",""pt"")"),"Boa qualidade de impressão")</f>
        <v>Boa qualidade de impressão</v>
      </c>
      <c r="B40927" s="3">
        <v>1</v>
      </c>
    </row>
    <row r="40928" ht="15.75" customHeight="1" spans="1:2">
      <c r="A40928" s="3" t="str">
        <f>IFERROR(__xludf.DUMMYFUNCTION("GOOGLETRANSLATE(A40928,""en"",""pt"")"),"NENHUM ENCONTRADO")</f>
        <v>NENHUM ENCONTRADO</v>
      </c>
      <c r="B40928" s="3">
        <v>1</v>
      </c>
    </row>
    <row r="40929" ht="15.75" customHeight="1" spans="1:2">
      <c r="A40929" s="3" t="str">
        <f>IFERROR(__xludf.DUMMYFUNCTION("GOOGLETRANSLATE(A40929,""en"",""pt"")"),"A caixa pode ser usado para armazenar outras coisas.")</f>
        <v>A caixa pode ser usado para armazenar outras coisas.</v>
      </c>
      <c r="B40929" s="3">
        <v>1</v>
      </c>
    </row>
    <row r="40930" ht="15.75" customHeight="1" spans="1:2">
      <c r="A40930" s="3" t="str">
        <f>IFERROR(__xludf.DUMMYFUNCTION("GOOGLETRANSLATE(A40930,""en"",""pt"")"),"Boa aparência, cartuchos de tinta separados, digitalização rápida")</f>
        <v>Boa aparência, cartuchos de tinta separados, digitalização rápida</v>
      </c>
      <c r="B40930" s="3">
        <v>1</v>
      </c>
    </row>
    <row r="40931" ht="15.75" customHeight="1" spans="1:2">
      <c r="A40931" s="3" t="str">
        <f>IFERROR(__xludf.DUMMYFUNCTION("GOOGLETRANSLATE(A40931,""en"",""pt"")"),"generosa quantidade de tinta no preço barato.")</f>
        <v>generosa quantidade de tinta no preço barato.</v>
      </c>
      <c r="B40931" s="3">
        <v>1</v>
      </c>
    </row>
    <row r="40932" ht="15.75" customHeight="1" spans="1:2">
      <c r="A40932" s="3" t="str">
        <f>IFERROR(__xludf.DUMMYFUNCTION("GOOGLETRANSLATE(A40932,""en"",""pt"")"),"barato")</f>
        <v>barato</v>
      </c>
      <c r="B40932" s="3">
        <v>1</v>
      </c>
    </row>
    <row r="40933" ht="15.75" customHeight="1" spans="1:2">
      <c r="A40933" s="3" t="str">
        <f>IFERROR(__xludf.DUMMYFUNCTION("GOOGLETRANSLATE(A40933,""en"",""pt"")"),"Bom preço, funciona razoavelmente bem. Comprou 3 anos de garantia.")</f>
        <v>Bom preço, funciona razoavelmente bem. Comprou 3 anos de garantia.</v>
      </c>
      <c r="B40933" s="3">
        <v>1</v>
      </c>
    </row>
    <row r="40934" ht="15.75" customHeight="1" spans="1:2">
      <c r="A40934" s="3" t="str">
        <f>IFERROR(__xludf.DUMMYFUNCTION("GOOGLETRANSLATE(A40934,""en"",""pt"")"),"copiadora, fax, impressora a cores, digitalização")</f>
        <v>copiadora, fax, impressora a cores, digitalização</v>
      </c>
      <c r="B40934" s="3">
        <v>1</v>
      </c>
    </row>
    <row r="40935" ht="15.75" customHeight="1" spans="1:2">
      <c r="A40935" s="3" t="str">
        <f>IFERROR(__xludf.DUMMYFUNCTION("GOOGLETRANSLATE(A40935,""en"",""pt"")"),"Esta impressora faz tudo o que você poderia querer.")</f>
        <v>Esta impressora faz tudo o que você poderia querer.</v>
      </c>
      <c r="B40935" s="3">
        <v>1</v>
      </c>
    </row>
    <row r="40936" ht="15.75" customHeight="1" spans="1:2">
      <c r="A40936" s="3" t="str">
        <f>IFERROR(__xludf.DUMMYFUNCTION("GOOGLETRANSLATE(A40936,""en"",""pt"")"),"Velocidade e características.")</f>
        <v>Velocidade e características.</v>
      </c>
      <c r="B40936" s="3">
        <v>1</v>
      </c>
    </row>
    <row r="40937" ht="15.75" customHeight="1" spans="1:2">
      <c r="A40937" s="3" t="str">
        <f>IFERROR(__xludf.DUMMYFUNCTION("GOOGLETRANSLATE(A40937,""en"",""pt"")"),"Cópia, digitalização, envio de fax todo o trabalho bem ... bom preço também.")</f>
        <v>Cópia, digitalização, envio de fax todo o trabalho bem ... bom preço também.</v>
      </c>
      <c r="B40937" s="3">
        <v>1</v>
      </c>
    </row>
    <row r="40938" ht="15.75" customHeight="1" spans="1:2">
      <c r="A40938" s="3" t="str">
        <f>IFERROR(__xludf.DUMMYFUNCTION("GOOGLETRANSLATE(A40938,""en"",""pt"")"),"funciona esporadicamente")</f>
        <v>funciona esporadicamente</v>
      </c>
      <c r="B40938" s="3">
        <v>1</v>
      </c>
    </row>
    <row r="40939" ht="15.75" customHeight="1" spans="1:2">
      <c r="A40939" s="3" t="str">
        <f>IFERROR(__xludf.DUMMYFUNCTION("GOOGLETRANSLATE(A40939,""en"",""pt"")"),"Produz digitalizações de alta qualidade, impressões e cópias, baixos custos operacionais, fácil de configurar e instalar")</f>
        <v>Produz digitalizações de alta qualidade, impressões e cópias, baixos custos operacionais, fácil de configurar e instalar</v>
      </c>
      <c r="B40939" s="3">
        <v>1</v>
      </c>
    </row>
    <row r="40940" ht="15.75" customHeight="1" spans="1:2">
      <c r="A40940" s="3" t="str">
        <f>IFERROR(__xludf.DUMMYFUNCTION("GOOGLETRANSLATE(A40940,""en"",""pt"")"),"Fácil de usar, grande impressão, &amp; amp; bem designed.Ink podem ser recarregados economizando $.")</f>
        <v>Fácil de usar, grande impressão, &amp; amp; bem designed.Ink podem ser recarregados economizando $.</v>
      </c>
      <c r="B40940" s="3">
        <v>1</v>
      </c>
    </row>
    <row r="40941" ht="15.75" customHeight="1" spans="1:2">
      <c r="A40941" s="3" t="str">
        <f>IFERROR(__xludf.DUMMYFUNCTION("GOOGLETRANSLATE(A40941,""en"",""pt"")"),"A qualidade de impressão muito boa, velocidade de impressão decente")</f>
        <v>A qualidade de impressão muito boa, velocidade de impressão decente</v>
      </c>
      <c r="B40941" s="3">
        <v>1</v>
      </c>
    </row>
    <row r="40942" ht="15.75" customHeight="1" spans="1:2">
      <c r="A40942" s="3" t="str">
        <f>IFERROR(__xludf.DUMMYFUNCTION("GOOGLETRANSLATE(A40942,""en"",""pt"")"),"Boa cor, saída rápida, fácil de operar.")</f>
        <v>Boa cor, saída rápida, fácil de operar.</v>
      </c>
      <c r="B40942" s="3">
        <v>1</v>
      </c>
    </row>
    <row r="40943" ht="15.75" customHeight="1" spans="1:2">
      <c r="A40943" s="3" t="str">
        <f>IFERROR(__xludf.DUMMYFUNCTION("GOOGLETRANSLATE(A40943,""en"",""pt"")"),"Rápido e eficiente, com grandes varreduras e cores ricas.")</f>
        <v>Rápido e eficiente, com grandes varreduras e cores ricas.</v>
      </c>
      <c r="B40943" s="3">
        <v>1</v>
      </c>
    </row>
    <row r="40944" ht="15.75" customHeight="1" spans="1:2">
      <c r="A40944" s="3" t="str">
        <f>IFERROR(__xludf.DUMMYFUNCTION("GOOGLETRANSLATE(A40944,""en"",""pt"")"),"boas cópias coloridas, fast preto &amp; amp; impressão branco")</f>
        <v>boas cópias coloridas, fast preto &amp; amp; impressão branco</v>
      </c>
      <c r="B40944" s="3">
        <v>1</v>
      </c>
    </row>
    <row r="40945" ht="15.75" customHeight="1" spans="1:2">
      <c r="A40945" s="3" t="str">
        <f>IFERROR(__xludf.DUMMYFUNCTION("GOOGLETRANSLATE(A40945,""en"",""pt"")"),"Fácil de usar, impressora colorida, copiadora e scanner. impressão relativamente rápido.")</f>
        <v>Fácil de usar, impressora colorida, copiadora e scanner. impressão relativamente rápido.</v>
      </c>
      <c r="B40945" s="3">
        <v>1</v>
      </c>
    </row>
    <row r="40946" ht="15.75" customHeight="1" spans="1:2">
      <c r="A40946" s="3" t="str">
        <f>IFERROR(__xludf.DUMMYFUNCTION("GOOGLETRANSLATE(A40946,""en"",""pt"")"),"fotografias maravilhosas")</f>
        <v>fotografias maravilhosas</v>
      </c>
      <c r="B40946" s="3">
        <v>1</v>
      </c>
    </row>
    <row r="40947" ht="15.75" customHeight="1" spans="1:2">
      <c r="A40947" s="3" t="str">
        <f>IFERROR(__xludf.DUMMYFUNCTION("GOOGLETRANSLATE(A40947,""en"",""pt"")"),"Simples de usar, de impressão é muito clara em preto e cor.")</f>
        <v>Simples de usar, de impressão é muito clara em preto e cor.</v>
      </c>
      <c r="B40947" s="3">
        <v>1</v>
      </c>
    </row>
    <row r="40948" ht="15.75" customHeight="1" spans="1:2">
      <c r="A40948" s="3" t="str">
        <f>IFERROR(__xludf.DUMMYFUNCTION("GOOGLETRANSLATE(A40948,""en"",""pt"")"),"resultados nítidos; multi-funcional; tinteiros individuais economizar dinheiro.")</f>
        <v>resultados nítidos; multi-funcional; tinteiros individuais economizar dinheiro.</v>
      </c>
      <c r="B40948" s="3">
        <v>1</v>
      </c>
    </row>
    <row r="40949" ht="15.75" customHeight="1" spans="1:2">
      <c r="A40949" s="3" t="str">
        <f>IFERROR(__xludf.DUMMYFUNCTION("GOOGLETRANSLATE(A40949,""en"",""pt"")"),"Ocupa pouco espaço. Impressões rápidas!")</f>
        <v>Ocupa pouco espaço. Impressões rápidas!</v>
      </c>
      <c r="B40949" s="3">
        <v>1</v>
      </c>
    </row>
    <row r="40950" ht="15.75" customHeight="1" spans="1:2">
      <c r="A40950" s="3" t="str">
        <f>IFERROR(__xludf.DUMMYFUNCTION("GOOGLETRANSLATE(A40950,""en"",""pt"")"),"Excelente serviço, boa qualidade de impressão")</f>
        <v>Excelente serviço, boa qualidade de impressão</v>
      </c>
      <c r="B40950" s="3">
        <v>1</v>
      </c>
    </row>
    <row r="40951" ht="15.75" customHeight="1" spans="1:2">
      <c r="A40951" s="3" t="str">
        <f>IFERROR(__xludf.DUMMYFUNCTION("GOOGLETRANSLATE(A40951,""en"",""pt"")"),"A impressora é grande em fazer a cor e B &amp; amp; W impressões.")</f>
        <v>A impressora é grande em fazer a cor e B &amp; amp; W impressões.</v>
      </c>
      <c r="B40951" s="3">
        <v>1</v>
      </c>
    </row>
    <row r="40952" ht="15.75" customHeight="1" spans="1:2">
      <c r="A40952" s="3" t="str">
        <f>IFERROR(__xludf.DUMMYFUNCTION("GOOGLETRANSLATE(A40952,""en"",""pt"")"),"Uma máquina muito bonito, silencioso e eficiente.")</f>
        <v>Uma máquina muito bonito, silencioso e eficiente.</v>
      </c>
      <c r="B40952" s="3">
        <v>1</v>
      </c>
    </row>
    <row r="40953" ht="15.75" customHeight="1" spans="1:2">
      <c r="A40953" s="3" t="str">
        <f>IFERROR(__xludf.DUMMYFUNCTION("GOOGLETRANSLATE(A40953,""en"",""pt"")"),"Imprimir qualidade, facilidade de uso e configuração, recursos")</f>
        <v>Imprimir qualidade, facilidade de uso e configuração, recursos</v>
      </c>
      <c r="B40953" s="3">
        <v>1</v>
      </c>
    </row>
    <row r="40954" ht="15.75" customHeight="1" spans="1:2">
      <c r="A40954" s="3" t="str">
        <f>IFERROR(__xludf.DUMMYFUNCTION("GOOGLETRANSLATE(A40954,""en"",""pt"")"),"Grandes recursos para um grande preço; fácil de segurar e leve.")</f>
        <v>Grandes recursos para um grande preço; fácil de segurar e leve.</v>
      </c>
      <c r="B40954" s="3">
        <v>1</v>
      </c>
    </row>
    <row r="40955" ht="15.75" customHeight="1" spans="1:2">
      <c r="A40955" s="3" t="str">
        <f>IFERROR(__xludf.DUMMYFUNCTION("GOOGLETRANSLATE(A40955,""en"",""pt"")"),"Barato, muito boa qualidade, divertido, fácil de usar.")</f>
        <v>Barato, muito boa qualidade, divertido, fácil de usar.</v>
      </c>
      <c r="B40955" s="3">
        <v>1</v>
      </c>
    </row>
    <row r="40956" ht="15.75" customHeight="1" spans="1:2">
      <c r="A40956" s="3" t="str">
        <f>IFERROR(__xludf.DUMMYFUNCTION("GOOGLETRANSLATE(A40956,""en"",""pt"")"),"Baratas com cargas de opções")</f>
        <v>Baratas com cargas de opções</v>
      </c>
      <c r="B40956" s="3">
        <v>1</v>
      </c>
    </row>
    <row r="40957" ht="15.75" customHeight="1" spans="1:2">
      <c r="A40957" s="3" t="str">
        <f>IFERROR(__xludf.DUMMYFUNCTION("GOOGLETRANSLATE(A40957,""en"",""pt"")"),"Fácil de usar. Excelente qualidade de imagem. Forte procura câmera.")</f>
        <v>Fácil de usar. Excelente qualidade de imagem. Forte procura câmera.</v>
      </c>
      <c r="B40957" s="3">
        <v>1</v>
      </c>
    </row>
    <row r="40958" ht="15.75" customHeight="1" spans="1:2">
      <c r="A40958" s="3" t="str">
        <f>IFERROR(__xludf.DUMMYFUNCTION("GOOGLETRANSLATE(A40958,""en"",""pt"")"),"Zoom Óptico 3x por menos de $ 200, boa qualidade de imagem")</f>
        <v>Zoom Óptico 3x por menos de $ 200, boa qualidade de imagem</v>
      </c>
      <c r="B40958" s="3">
        <v>1</v>
      </c>
    </row>
    <row r="40959" ht="15.75" customHeight="1" spans="1:2">
      <c r="A40959" s="3" t="str">
        <f>IFERROR(__xludf.DUMMYFUNCTION("GOOGLETRANSLATE(A40959,""en"",""pt"")"),"grandes características, preço baixo.")</f>
        <v>grandes características, preço baixo.</v>
      </c>
      <c r="B40959" s="3">
        <v>1</v>
      </c>
    </row>
    <row r="40960" ht="15.75" customHeight="1" spans="1:2">
      <c r="A40960" s="3" t="str">
        <f>IFERROR(__xludf.DUMMYFUNCTION("GOOGLETRANSLATE(A40960,""en"",""pt"")"),"Barato, grandes características, bateria de longa duração, e excelentes fotos de qualidade.")</f>
        <v>Barato, grandes características, bateria de longa duração, e excelentes fotos de qualidade.</v>
      </c>
      <c r="B40960" s="3">
        <v>1</v>
      </c>
    </row>
    <row r="40961" ht="15.75" customHeight="1" spans="1:2">
      <c r="A40961" s="3" t="str">
        <f>IFERROR(__xludf.DUMMYFUNCTION("GOOGLETRANSLATE(A40961,""en"",""pt"")"),"Acessível, compacto, ecrã LCD detalhado")</f>
        <v>Acessível, compacto, ecrã LCD detalhado</v>
      </c>
      <c r="B40961" s="3">
        <v>1</v>
      </c>
    </row>
    <row r="40962" ht="15.75" customHeight="1" spans="1:2">
      <c r="A40962" s="3" t="str">
        <f>IFERROR(__xludf.DUMMYFUNCTION("GOOGLETRANSLATE(A40962,""en"",""pt"")"),"baixo preço, grandes óptica, facilidade de uso, compatibilidade")</f>
        <v>baixo preço, grandes óptica, facilidade de uso, compatibilidade</v>
      </c>
      <c r="B40962" s="3">
        <v>1</v>
      </c>
    </row>
    <row r="40963" ht="15.75" customHeight="1" spans="1:2">
      <c r="A40963" s="3" t="str">
        <f>IFERROR(__xludf.DUMMYFUNCTION("GOOGLETRANSLATE(A40963,""en"",""pt"")"),"obter fotos")</f>
        <v>obter fotos</v>
      </c>
      <c r="B40963" s="3">
        <v>1</v>
      </c>
    </row>
    <row r="40964" ht="15.75" customHeight="1" spans="1:2">
      <c r="A40964" s="3" t="s">
        <v>213</v>
      </c>
      <c r="B40964" s="3">
        <v>1</v>
      </c>
    </row>
    <row r="40965" ht="15.75" customHeight="1" spans="1:2">
      <c r="A40965" s="3" t="str">
        <f>IFERROR(__xludf.DUMMYFUNCTION("GOOGLETRANSLATE(A40965,""en"",""pt"")"),"Baixo preço com boas características. Difícil de bater na faixa de classe-preço")</f>
        <v>Baixo preço com boas características. Difícil de bater na faixa de classe-preço</v>
      </c>
      <c r="B40965" s="3">
        <v>1</v>
      </c>
    </row>
    <row r="40966" ht="15.75" customHeight="1" spans="1:2">
      <c r="A40966" s="3" t="str">
        <f>IFERROR(__xludf.DUMMYFUNCTION("GOOGLETRANSLATE(A40966,""en"",""pt"")"),"Muitas opções, qualidade excelente imagem")</f>
        <v>Muitas opções, qualidade excelente imagem</v>
      </c>
      <c r="B40966" s="3">
        <v>1</v>
      </c>
    </row>
    <row r="40967" ht="15.75" customHeight="1" spans="1:2">
      <c r="A40967" s="3" t="str">
        <f>IFERROR(__xludf.DUMMYFUNCTION("GOOGLETRANSLATE(A40967,""en"",""pt"")"),"Rápido, competente, com todos os recursos, resultados de qualidade, excelente custo-benefício, extensível.")</f>
        <v>Rápido, competente, com todos os recursos, resultados de qualidade, excelente custo-benefício, extensível.</v>
      </c>
      <c r="B40967" s="3">
        <v>1</v>
      </c>
    </row>
    <row r="40968" ht="15.75" customHeight="1" spans="1:2">
      <c r="A40968" s="3" t="str">
        <f>IFERROR(__xludf.DUMMYFUNCTION("GOOGLETRANSLATE(A40968,""en"",""pt"")"),"Se você tomar um monte de tiros, alguns serão expostos adequadamente e talvez afiada.")</f>
        <v>Se você tomar um monte de tiros, alguns serão expostos adequadamente e talvez afiada.</v>
      </c>
      <c r="B40968" s="3">
        <v>1</v>
      </c>
    </row>
    <row r="40969" ht="15.75" customHeight="1" spans="1:2">
      <c r="A40969" s="3" t="str">
        <f>IFERROR(__xludf.DUMMYFUNCTION("GOOGLETRANSLATE(A40969,""en"",""pt"")"),"Fácil de usar")</f>
        <v>Fácil de usar</v>
      </c>
      <c r="B40969" s="3">
        <v>1</v>
      </c>
    </row>
    <row r="40970" ht="15.75" customHeight="1" spans="1:2">
      <c r="A40970" s="3" t="str">
        <f>IFERROR(__xludf.DUMMYFUNCTION("GOOGLETRANSLATE(A40970,""en"",""pt"")"),"fotos nítidas com boa cor. Canon lente zoom de qualidade.")</f>
        <v>fotos nítidas com boa cor. Canon lente zoom de qualidade.</v>
      </c>
      <c r="B40970" s="3">
        <v>1</v>
      </c>
    </row>
    <row r="40971" ht="15.75" customHeight="1" spans="1:2">
      <c r="A40971" s="3" t="str">
        <f>IFERROR(__xludf.DUMMYFUNCTION("GOOGLETRANSLATE(A40971,""en"",""pt"")"),"Ergonômico, barato, nome de marca, grande zoom, muitas características!")</f>
        <v>Ergonômico, barato, nome de marca, grande zoom, muitas características!</v>
      </c>
      <c r="B40971" s="3">
        <v>1</v>
      </c>
    </row>
    <row r="40972" ht="15.75" customHeight="1" spans="1:2">
      <c r="A40972" s="3" t="str">
        <f>IFERROR(__xludf.DUMMYFUNCTION("GOOGLETRANSLATE(A40972,""en"",""pt"")"),"Divertido de usar, boa relação preço / desempenho, fácil de se olhar.")</f>
        <v>Divertido de usar, boa relação preço / desempenho, fácil de se olhar.</v>
      </c>
      <c r="B40972" s="3">
        <v>1</v>
      </c>
    </row>
    <row r="40973" ht="15.75" customHeight="1" spans="1:2">
      <c r="A40973" s="3" t="str">
        <f>IFERROR(__xludf.DUMMYFUNCTION("GOOGLETRANSLATE(A40973,""en"",""pt"")"),"Photo Quality, qualidade de construção, tamanho, usa pilhas AA, facilidade de uso, construído em tampa da lente")</f>
        <v>Photo Quality, qualidade de construção, tamanho, usa pilhas AA, facilidade de uso, construído em tampa da lente</v>
      </c>
      <c r="B40973" s="3">
        <v>1</v>
      </c>
    </row>
    <row r="40974" ht="15.75" customHeight="1" spans="1:2">
      <c r="A40974" s="3" t="str">
        <f>IFERROR(__xludf.DUMMYFUNCTION("GOOGLETRANSLATE(A40974,""en"",""pt"")"),"Optical &amp; amp; Zoom Digital, até 1600/1200 Res., Conectividade USB")</f>
        <v>Optical &amp; amp; Zoom Digital, até 1600/1200 Res., Conectividade USB</v>
      </c>
      <c r="B40974" s="3">
        <v>1</v>
      </c>
    </row>
    <row r="40975" ht="15.75" customHeight="1" spans="1:2">
      <c r="A40975" s="3" t="str">
        <f>IFERROR(__xludf.DUMMYFUNCTION("GOOGLETRANSLATE(A40975,""en"",""pt"")"),"Grande conjunto global de recurso a um preço atraente, usa CF.")</f>
        <v>Grande conjunto global de recurso a um preço atraente, usa CF.</v>
      </c>
      <c r="B40975" s="3">
        <v>1</v>
      </c>
    </row>
    <row r="40976" ht="15.75" customHeight="1" spans="1:2">
      <c r="A40976" s="3" t="str">
        <f>IFERROR(__xludf.DUMMYFUNCTION("GOOGLETRANSLATE(A40976,""en"",""pt"")"),"qualidade compacta, grande imagem 1600x1200")</f>
        <v>qualidade compacta, grande imagem 1600x1200</v>
      </c>
      <c r="B40976" s="3">
        <v>1</v>
      </c>
    </row>
    <row r="40977" ht="15.75" customHeight="1" spans="1:2">
      <c r="A40977" s="3" t="str">
        <f>IFERROR(__xludf.DUMMYFUNCTION("GOOGLETRANSLATE(A40977,""en"",""pt"")"),"Grande resolução, sentir de uma 35mm, zoom mostra através de visor para compor")</f>
        <v>Grande resolução, sentir de uma 35mm, zoom mostra através de visor para compor</v>
      </c>
      <c r="B40977" s="3">
        <v>1</v>
      </c>
    </row>
    <row r="40978" ht="15.75" customHeight="1" spans="1:2">
      <c r="A40978" s="3" t="str">
        <f>IFERROR(__xludf.DUMMYFUNCTION("GOOGLETRANSLATE(A40978,""en"",""pt"")"),"Tamanho, peso, qualidade de imagem, preço")</f>
        <v>Tamanho, peso, qualidade de imagem, preço</v>
      </c>
      <c r="B40978" s="3">
        <v>1</v>
      </c>
    </row>
    <row r="40979" ht="15.75" customHeight="1" spans="1:2">
      <c r="A40979" s="3" t="str">
        <f>IFERROR(__xludf.DUMMYFUNCTION("GOOGLETRANSLATE(A40979,""en"",""pt"")"),"Grande autonomia da bateria (Ni-MH), fotos de boa qualidade, relativamente pequena")</f>
        <v>Grande autonomia da bateria (Ni-MH), fotos de boa qualidade, relativamente pequena</v>
      </c>
      <c r="B40979" s="3">
        <v>1</v>
      </c>
    </row>
    <row r="40980" ht="15.75" customHeight="1" spans="1:2">
      <c r="A40980" s="3" t="str">
        <f>IFERROR(__xludf.DUMMYFUNCTION("GOOGLETRANSLATE(A40980,""en"",""pt"")"),"Fácil de usar, Menos Shutter Lag, Grande imagem de qualidade, Acessórios disponíveis")</f>
        <v>Fácil de usar, Menos Shutter Lag, Grande imagem de qualidade, Acessórios disponíveis</v>
      </c>
      <c r="B40980" s="3">
        <v>1</v>
      </c>
    </row>
    <row r="40981" ht="15.75" customHeight="1" spans="1:2">
      <c r="A40981" s="3" t="str">
        <f>IFERROR(__xludf.DUMMYFUNCTION("GOOGLETRANSLATE(A40981,""en"",""pt"")"),"qualidade superior de imagem, fácil de usar, boa documentação e software")</f>
        <v>qualidade superior de imagem, fácil de usar, boa documentação e software</v>
      </c>
      <c r="B40981" s="3">
        <v>1</v>
      </c>
    </row>
    <row r="40982" ht="15.75" customHeight="1" spans="1:2">
      <c r="A40982" s="3" t="str">
        <f>IFERROR(__xludf.DUMMYFUNCTION("GOOGLETRANSLATE(A40982,""en"",""pt"")"),"2 importante modos-manual do &amp; amp; automático")</f>
        <v>2 importante modos-manual do &amp; amp; automático</v>
      </c>
      <c r="B40982" s="3">
        <v>1</v>
      </c>
    </row>
    <row r="40983" ht="15.75" customHeight="1" spans="1:2">
      <c r="A40983" s="3" t="str">
        <f>IFERROR(__xludf.DUMMYFUNCTION("GOOGLETRANSLATE(A40983,""en"",""pt"")"),"Fácil de começar, bom valor para o preço, claro LCD")</f>
        <v>Fácil de começar, bom valor para o preço, claro LCD</v>
      </c>
      <c r="B40983" s="3">
        <v>1</v>
      </c>
    </row>
    <row r="40984" ht="15.75" customHeight="1" spans="1:2">
      <c r="A40984" s="3" t="str">
        <f>IFERROR(__xludf.DUMMYFUNCTION("GOOGLETRANSLATE(A40984,""en"",""pt"")"),"Grandes imagens, design confortável, bom preço, software fácil / menus")</f>
        <v>Grandes imagens, design confortável, bom preço, software fácil / menus</v>
      </c>
      <c r="B40984" s="3">
        <v>1</v>
      </c>
    </row>
    <row r="40985" ht="15.75" customHeight="1" spans="1:2">
      <c r="A40985" s="3" t="str">
        <f>IFERROR(__xludf.DUMMYFUNCTION("GOOGLETRANSLATE(A40985,""en"",""pt"")"),"Bom preço; Fácil de usar; Grande Software; design elegante")</f>
        <v>Bom preço; Fácil de usar; Grande Software; design elegante</v>
      </c>
      <c r="B40985" s="3">
        <v>1</v>
      </c>
    </row>
    <row r="40986" ht="15.75" customHeight="1" spans="1:2">
      <c r="A40986" s="3" t="str">
        <f>IFERROR(__xludf.DUMMYFUNCTION("GOOGLETRANSLATE(A40986,""en"",""pt"")"),"Muito boa qualidade de imagem, bom valor, boa qualidade de construção / ergonomia, usa pilhas AA, USB &amp; amp;. # 13; &amp; amp; # 10;")</f>
        <v>Muito boa qualidade de imagem, bom valor, boa qualidade de construção / ergonomia, usa pilhas AA, USB &amp; amp;. # 13; &amp; amp; # 10;</v>
      </c>
      <c r="B40986" s="3">
        <v>1</v>
      </c>
    </row>
    <row r="40987" ht="15.75" customHeight="1" spans="1:2">
      <c r="A40987" s="3" t="str">
        <f>IFERROR(__xludf.DUMMYFUNCTION("GOOGLETRANSLATE(A40987,""en"",""pt"")"),"O tiro Canon Power é a melhor câmera &amp; amp; # 13; &amp; amp; # 10; você pode comprar.")</f>
        <v>O tiro Canon Power é a melhor câmera &amp; amp; # 13; &amp; amp; # 10; você pode comprar.</v>
      </c>
      <c r="B40987" s="3">
        <v>1</v>
      </c>
    </row>
    <row r="40988" ht="15.75" customHeight="1" spans="1:2">
      <c r="A40988" s="3" t="str">
        <f>IFERROR(__xludf.DUMMYFUNCTION("GOOGLETRANSLATE(A40988,""en"",""pt"")"),"de uma imagem excelente Quality &amp; amp; # 13; &amp; amp; # 10; Fácil de usar &amp; amp; # 13; &amp; amp; # 10; preço razoável")</f>
        <v>de uma imagem excelente Quality &amp; amp; # 13; &amp; amp; # 10; Fácil de usar &amp; amp; # 13; &amp; amp; # 10; preço razoável</v>
      </c>
      <c r="B40988" s="3">
        <v>1</v>
      </c>
    </row>
    <row r="40989" ht="15.75" customHeight="1" spans="1:2">
      <c r="A40989" s="3" t="str">
        <f>IFERROR(__xludf.DUMMYFUNCTION("GOOGLETRANSLATE(A40989,""en"",""pt"")"),"Imagem clara. Fácil de usar. Tira fotos panorâmicas.")</f>
        <v>Imagem clara. Fácil de usar. Tira fotos panorâmicas.</v>
      </c>
      <c r="B40989" s="3">
        <v>1</v>
      </c>
    </row>
    <row r="40990" ht="15.75" customHeight="1" spans="1:2">
      <c r="A40990" s="3" t="str">
        <f>IFERROR(__xludf.DUMMYFUNCTION("GOOGLETRANSLATE(A40990,""en"",""pt"")"),"Imagem de qualidade, facilidade de uso, qualidade de construção, OS X / suporte do Windows XP")</f>
        <v>Imagem de qualidade, facilidade de uso, qualidade de construção, OS X / suporte do Windows XP</v>
      </c>
      <c r="B40990" s="3">
        <v>1</v>
      </c>
    </row>
    <row r="40991" ht="15.75" customHeight="1" spans="1:2">
      <c r="A40991" s="3" t="str">
        <f>IFERROR(__xludf.DUMMYFUNCTION("GOOGLETRANSLATE(A40991,""en"",""pt"")"),"Muito fácil de usar e a qualidade da foto é incrível.")</f>
        <v>Muito fácil de usar e a qualidade da foto é incrível.</v>
      </c>
      <c r="B40991" s="3">
        <v>1</v>
      </c>
    </row>
    <row r="40992" ht="15.75" customHeight="1" spans="1:2">
      <c r="A40992" s="3" t="str">
        <f>IFERROR(__xludf.DUMMYFUNCTION("GOOGLETRANSLATE(A40992,""en"",""pt"")"),"Para aqueles que querem um não-pensar, just-shoot câmera, não procure mais")</f>
        <v>Para aqueles que querem um não-pensar, just-shoot câmera, não procure mais</v>
      </c>
      <c r="B40992" s="3">
        <v>1</v>
      </c>
    </row>
    <row r="40993" ht="15.75" customHeight="1" spans="1:2">
      <c r="A40993" s="3" t="str">
        <f>IFERROR(__xludf.DUMMYFUNCTION("GOOGLETRANSLATE(A40993,""en"",""pt"")"),"vida útil da bateria razoável, armazenamento Compact Flash, boas fotos, zoom")</f>
        <v>vida útil da bateria razoável, armazenamento Compact Flash, boas fotos, zoom</v>
      </c>
      <c r="B40993" s="3">
        <v>1</v>
      </c>
    </row>
    <row r="40994" ht="15.75" customHeight="1" spans="1:2">
      <c r="A40994" s="3" t="str">
        <f>IFERROR(__xludf.DUMMYFUNCTION("GOOGLETRANSLATE(A40994,""en"",""pt"")"),"estrelas 4 e meio, a facilidade de utilização, durabilidade, qualidade da foto, boas fotos")</f>
        <v>estrelas 4 e meio, a facilidade de utilização, durabilidade, qualidade da foto, boas fotos</v>
      </c>
      <c r="B40994" s="3">
        <v>1</v>
      </c>
    </row>
    <row r="40995" ht="15.75" customHeight="1" spans="1:2">
      <c r="A40995" s="3" t="str">
        <f>IFERROR(__xludf.DUMMYFUNCTION("GOOGLETRANSLATE(A40995,""en"",""pt"")"),"bom corpo, compacto, elegante e fácil de usar acessível.")</f>
        <v>bom corpo, compacto, elegante e fácil de usar acessível.</v>
      </c>
      <c r="B40995" s="3">
        <v>1</v>
      </c>
    </row>
    <row r="40996" ht="15.75" customHeight="1" spans="1:2">
      <c r="A40996" s="3" t="str">
        <f>IFERROR(__xludf.DUMMYFUNCTION("GOOGLETRANSLATE(A40996,""en"",""pt"")"),"Bom preço, boas fotos, fácil de usar")</f>
        <v>Bom preço, boas fotos, fácil de usar</v>
      </c>
      <c r="B40996" s="3">
        <v>1</v>
      </c>
    </row>
    <row r="40997" ht="15.75" customHeight="1" spans="1:2">
      <c r="A40997" s="3" t="str">
        <f>IFERROR(__xludf.DUMMYFUNCTION("GOOGLETRANSLATE(A40997,""en"",""pt"")"),"bom valor, fácil de usar hardware")</f>
        <v>bom valor, fácil de usar hardware</v>
      </c>
      <c r="B40997" s="3">
        <v>1</v>
      </c>
    </row>
    <row r="40998" ht="15.75" customHeight="1" spans="1:2">
      <c r="A40998" s="3" t="str">
        <f>IFERROR(__xludf.DUMMYFUNCTION("GOOGLETRANSLATE(A40998,""en"",""pt"")"),"Fácil, rápido, de alta qualidade usa cartão CFlash Padrão, excelente interação win2k")</f>
        <v>Fácil, rápido, de alta qualidade usa cartão CFlash Padrão, excelente interação win2k</v>
      </c>
      <c r="B40998" s="3">
        <v>1</v>
      </c>
    </row>
    <row r="40999" ht="15.75" customHeight="1" spans="1:2">
      <c r="A40999" s="3" t="str">
        <f>IFERROR(__xludf.DUMMYFUNCTION("GOOGLETRANSLATE(A40999,""en"",""pt"")"),"Excelente qualidade de imagem, boa bateria, fácil de usar, zoom óptico, NTSC fora.")</f>
        <v>Excelente qualidade de imagem, boa bateria, fácil de usar, zoom óptico, NTSC fora.</v>
      </c>
      <c r="B40999" s="3">
        <v>1</v>
      </c>
    </row>
    <row r="41000" ht="15.75" customHeight="1" spans="1:2">
      <c r="A41000" s="3" t="str">
        <f>IFERROR(__xludf.DUMMYFUNCTION("GOOGLETRANSLATE(A41000,""en"",""pt"")"),"O produto tem um ótimo software e qualidade de imagem.")</f>
        <v>O produto tem um ótimo software e qualidade de imagem.</v>
      </c>
      <c r="B41000" s="3">
        <v>1</v>
      </c>
    </row>
    <row r="41001" ht="15.75" customHeight="1" spans="1:2">
      <c r="A41001" s="3" t="str">
        <f>IFERROR(__xludf.DUMMYFUNCTION("GOOGLETRANSLATE(A41001,""en"",""pt"")"),"Qualidade de imagem, facilidade de uso.")</f>
        <v>Qualidade de imagem, facilidade de uso.</v>
      </c>
      <c r="B41001" s="3">
        <v>1</v>
      </c>
    </row>
    <row r="41002" ht="15.75" customHeight="1" spans="1:2">
      <c r="A41002" s="3" t="str">
        <f>IFERROR(__xludf.DUMMYFUNCTION("GOOGLETRANSLATE(A41002,""en"",""pt"")"),"Rápido!")</f>
        <v>Rápido!</v>
      </c>
      <c r="B41002" s="3">
        <v>1</v>
      </c>
    </row>
    <row r="41003" ht="15.75" customHeight="1" spans="1:2">
      <c r="A41003" s="3" t="str">
        <f>IFERROR(__xludf.DUMMYFUNCTION("GOOGLETRANSLATE(A41003,""en"",""pt"")"),"excelente qualidade de imagem")</f>
        <v>excelente qualidade de imagem</v>
      </c>
      <c r="B41003" s="3">
        <v>1</v>
      </c>
    </row>
    <row r="41004" ht="15.75" customHeight="1" spans="1:2">
      <c r="A41004" s="3" t="str">
        <f>IFERROR(__xludf.DUMMYFUNCTION("GOOGLETRANSLATE(A41004,""en"",""pt"")"),"Pequeno, Qualidade pics, gosto muito e é menos recheio.")</f>
        <v>Pequeno, Qualidade pics, gosto muito e é menos recheio.</v>
      </c>
      <c r="B41004" s="3">
        <v>1</v>
      </c>
    </row>
    <row r="41005" ht="15.75" customHeight="1" spans="1:2">
      <c r="A41005" s="3" t="str">
        <f>IFERROR(__xludf.DUMMYFUNCTION("GOOGLETRANSLATE(A41005,""en"",""pt"")"),"Fácil de usar, pilhas AA (recarregável grande trabalho! médio Compact Flash é grande armazenamento")</f>
        <v>Fácil de usar, pilhas AA (recarregável grande trabalho! médio Compact Flash é grande armazenamento</v>
      </c>
      <c r="B41005" s="3">
        <v>1</v>
      </c>
    </row>
    <row r="41006" ht="15.75" customHeight="1" spans="1:2">
      <c r="A41006" s="3" t="str">
        <f>IFERROR(__xludf.DUMMYFUNCTION("GOOGLETRANSLATE(A41006,""en"",""pt"")"),"O tamanho pequeno, grande qualidade, aceita pilhas AA.")</f>
        <v>O tamanho pequeno, grande qualidade, aceita pilhas AA.</v>
      </c>
      <c r="B41006" s="3">
        <v>1</v>
      </c>
    </row>
    <row r="41007" ht="15.75" customHeight="1" spans="1:2">
      <c r="A41007" s="3" t="str">
        <f>IFERROR(__xludf.DUMMYFUNCTION("GOOGLETRANSLATE(A41007,""en"",""pt"")"),"qualidade de imagem, confiabilidade, design")</f>
        <v>qualidade de imagem, confiabilidade, design</v>
      </c>
      <c r="B41007" s="3">
        <v>1</v>
      </c>
    </row>
    <row r="41008" ht="15.75" customHeight="1" spans="1:2">
      <c r="A41008" s="3" t="str">
        <f>IFERROR(__xludf.DUMMYFUNCTION("GOOGLETRANSLATE(A41008,""en"",""pt"")"),"Muito fácil de usar, resistente, muito boa qualidade de imagem.")</f>
        <v>Muito fácil de usar, resistente, muito boa qualidade de imagem.</v>
      </c>
      <c r="B41008" s="3">
        <v>1</v>
      </c>
    </row>
    <row r="41009" ht="15.75" customHeight="1" spans="1:2">
      <c r="A41009" s="3" t="str">
        <f>IFERROR(__xludf.DUMMYFUNCTION("GOOGLETRANSLATE(A41009,""en"",""pt"")"),"Pequeno, fácil de usar, Grande LCD")</f>
        <v>Pequeno, fácil de usar, Grande LCD</v>
      </c>
      <c r="B41009" s="3">
        <v>1</v>
      </c>
    </row>
    <row r="41010" ht="15.75" customHeight="1" spans="1:2">
      <c r="A41010" s="3" t="str">
        <f>IFERROR(__xludf.DUMMYFUNCTION("GOOGLETRANSLATE(A41010,""en"",""pt"")"),"O tamanho pequeno, se encaixa na minha mão, visor LCD, fácil para um primeiro-temporizador para uso")</f>
        <v>O tamanho pequeno, se encaixa na minha mão, visor LCD, fácil para um primeiro-temporizador para uso</v>
      </c>
      <c r="B41010" s="3">
        <v>1</v>
      </c>
    </row>
    <row r="41011" ht="15.75" customHeight="1" spans="1:2">
      <c r="A41011" s="3" t="str">
        <f>IFERROR(__xludf.DUMMYFUNCTION("GOOGLETRANSLATE(A41011,""en"",""pt"")"),"Qualidade de Imagem, &amp; amp; # 13; &amp; amp; # 10; Facilidade de uso, &amp; amp; # 13; &amp; amp; # 10; a vida da bateria, &amp; amp; # 13; &amp; amp; # 10; Features (e não apenas apontar e disparar)")</f>
        <v>Qualidade de Imagem, &amp; amp; # 13; &amp; amp; # 10; Facilidade de uso, &amp; amp; # 13; &amp; amp; # 10; a vida da bateria, &amp; amp; # 13; &amp; amp; # 10; Features (e não apenas apontar e disparar)</v>
      </c>
      <c r="B41011" s="3">
        <v>1</v>
      </c>
    </row>
    <row r="41012" ht="15.75" customHeight="1" spans="1:2">
      <c r="A41012" s="3" t="str">
        <f>IFERROR(__xludf.DUMMYFUNCTION("GOOGLETRANSLATE(A41012,""en"",""pt"")"),"Perfeito para o fotógrafo da família começando com o digital, um ponto simples e atirar")</f>
        <v>Perfeito para o fotógrafo da família começando com o digital, um ponto simples e atirar</v>
      </c>
      <c r="B41012" s="3">
        <v>1</v>
      </c>
    </row>
    <row r="41013" ht="15.75" customHeight="1" spans="1:2">
      <c r="A41013" s="3" t="str">
        <f>IFERROR(__xludf.DUMMYFUNCTION("GOOGLETRANSLATE(A41013,""en"",""pt"")"),"Fácil de usar ... luz ... compacto ... só manter as fotos que você quer ... idiot-proof!")</f>
        <v>Fácil de usar ... luz ... compacto ... só manter as fotos que você quer ... idiot-proof!</v>
      </c>
      <c r="B41013" s="3">
        <v>1</v>
      </c>
    </row>
    <row r="41014" ht="15.75" customHeight="1" spans="1:2">
      <c r="A41014" s="3" t="str">
        <f>IFERROR(__xludf.DUMMYFUNCTION("GOOGLETRANSLATE(A41014,""en"",""pt"")"),"Rocha sólida, grande saída, características, tamanho.")</f>
        <v>Rocha sólida, grande saída, características, tamanho.</v>
      </c>
      <c r="B41014" s="3">
        <v>1</v>
      </c>
    </row>
    <row r="41015" ht="15.75" customHeight="1" spans="1:2">
      <c r="A41015" s="3" t="str">
        <f>IFERROR(__xludf.DUMMYFUNCTION("GOOGLETRANSLATE(A41015,""en"",""pt"")"),"A grande qualidade, excelente software")</f>
        <v>A grande qualidade, excelente software</v>
      </c>
      <c r="B41015" s="3">
        <v>1</v>
      </c>
    </row>
    <row r="41016" ht="15.75" customHeight="1" spans="1:2">
      <c r="A41016" s="3" t="str">
        <f>IFERROR(__xludf.DUMMYFUNCTION("GOOGLETRANSLATE(A41016,""en"",""pt"")"),"Leva ótimas fotos. recurso de zoom é super fácil de usar.")</f>
        <v>Leva ótimas fotos. recurso de zoom é super fácil de usar.</v>
      </c>
      <c r="B41016" s="3">
        <v>1</v>
      </c>
    </row>
    <row r="41017" ht="15.75" customHeight="1" spans="1:2">
      <c r="A41017" s="3" t="str">
        <f>IFERROR(__xludf.DUMMYFUNCTION("GOOGLETRANSLATE(A41017,""en"",""pt"")"),"belas fotos, tamanho compacto, 3x de zoom, pilhas AA!")</f>
        <v>belas fotos, tamanho compacto, 3x de zoom, pilhas AA!</v>
      </c>
      <c r="B41017" s="3">
        <v>1</v>
      </c>
    </row>
    <row r="41018" ht="15.75" customHeight="1" spans="1:2">
      <c r="A41018" s="3" t="str">
        <f>IFERROR(__xludf.DUMMYFUNCTION("GOOGLETRANSLATE(A41018,""en"",""pt"")"),"Pequeno e portátil, tem zoom!")</f>
        <v>Pequeno e portátil, tem zoom!</v>
      </c>
      <c r="B41018" s="3">
        <v>1</v>
      </c>
    </row>
    <row r="41019" ht="15.75" customHeight="1" spans="1:2">
      <c r="A41019" s="3" t="str">
        <f>IFERROR(__xludf.DUMMYFUNCTION("GOOGLETRANSLATE(A41019,""en"",""pt"")"),"Fácil de usar, ótimas fotos!")</f>
        <v>Fácil de usar, ótimas fotos!</v>
      </c>
      <c r="B41019" s="3">
        <v>1</v>
      </c>
    </row>
    <row r="41020" ht="15.75" customHeight="1" spans="1:2">
      <c r="A41020" s="3" t="str">
        <f>IFERROR(__xludf.DUMMYFUNCTION("GOOGLETRANSLATE(A41020,""en"",""pt"")"),"Pequeno, fácil de usar, mas com grande qualidade e características da imagem.")</f>
        <v>Pequeno, fácil de usar, mas com grande qualidade e características da imagem.</v>
      </c>
      <c r="B41020" s="3">
        <v>1</v>
      </c>
    </row>
    <row r="41021" ht="15.75" customHeight="1" spans="1:2">
      <c r="A41021" s="3" t="str">
        <f>IFERROR(__xludf.DUMMYFUNCTION("GOOGLETRANSLATE(A41021,""en"",""pt"")"),"Claras de alta resolução imagens, fácil de usar, recursos avançados")</f>
        <v>Claras de alta resolução imagens, fácil de usar, recursos avançados</v>
      </c>
      <c r="B41021" s="3">
        <v>1</v>
      </c>
    </row>
    <row r="41022" ht="15.75" customHeight="1" spans="1:2">
      <c r="A41022" s="3" t="str">
        <f>IFERROR(__xludf.DUMMYFUNCTION("GOOGLETRANSLATE(A41022,""en"",""pt"")"),"Boa câmera MAS !!!")</f>
        <v>Boa câmera MAS !!!</v>
      </c>
      <c r="B41022" s="3">
        <v>1</v>
      </c>
    </row>
    <row r="41023" ht="15.75" customHeight="1" spans="1:2">
      <c r="A41023" s="3" t="str">
        <f>IFERROR(__xludf.DUMMYFUNCTION("GOOGLETRANSLATE(A41023,""en"",""pt"")"),"Preço, qualidade de imagem, NiMH vida útil da bateria")</f>
        <v>Preço, qualidade de imagem, NiMH vida útil da bateria</v>
      </c>
      <c r="B41023" s="3">
        <v>1</v>
      </c>
    </row>
    <row r="41024" ht="15.75" customHeight="1" spans="1:2">
      <c r="A41024" s="3" t="str">
        <f>IFERROR(__xludf.DUMMYFUNCTION("GOOGLETRANSLATE(A41024,""en"",""pt"")"),"Limpar display. Fácil de usar menus. , As imagens de 2.0 megapixels são de boa qualidade")</f>
        <v>Limpar display. Fácil de usar menus. , As imagens de 2.0 megapixels são de boa qualidade</v>
      </c>
      <c r="B41024" s="3">
        <v>1</v>
      </c>
    </row>
    <row r="41025" ht="15.75" customHeight="1" spans="1:2">
      <c r="A41025" s="3" t="str">
        <f>IFERROR(__xludf.DUMMYFUNCTION("GOOGLETRANSLATE(A41025,""en"",""pt"")"),"Cargas de funções e efeitos, Tudo que você precisa de uma câmera por um preço iniciantes")</f>
        <v>Cargas de funções e efeitos, Tudo que você precisa de uma câmera por um preço iniciantes</v>
      </c>
      <c r="B41025" s="3">
        <v>1</v>
      </c>
    </row>
    <row r="41026" ht="15.75" customHeight="1" spans="1:2">
      <c r="A41026" s="3" t="str">
        <f>IFERROR(__xludf.DUMMYFUNCTION("GOOGLETRANSLATE(A41026,""en"",""pt"")"),"imagem, custo, um ponto mão &amp; amp; shoot, bateria AA, Compact Flash, modo de filme, caso SCUBA")</f>
        <v>imagem, custo, um ponto mão &amp; amp; shoot, bateria AA, Compact Flash, modo de filme, caso SCUBA</v>
      </c>
      <c r="B41026" s="3">
        <v>1</v>
      </c>
    </row>
    <row r="41027" ht="15.75" customHeight="1" spans="1:2">
      <c r="A41027" s="3" t="str">
        <f>IFERROR(__xludf.DUMMYFUNCTION("GOOGLETRANSLATE(A41027,""en"",""pt"")"),"unidade de nível de entrada impressionante. Fácil de usar.")</f>
        <v>unidade de nível de entrada impressionante. Fácil de usar.</v>
      </c>
      <c r="B41027" s="3">
        <v>1</v>
      </c>
    </row>
    <row r="41028" ht="15.75" customHeight="1" spans="1:2">
      <c r="A41028" s="3" t="str">
        <f>IFERROR(__xludf.DUMMYFUNCTION("GOOGLETRANSLATE(A41028,""en"",""pt"")"),"Barato, confortável e compacto")</f>
        <v>Barato, confortável e compacto</v>
      </c>
      <c r="B41028" s="3">
        <v>1</v>
      </c>
    </row>
    <row r="41029" ht="15.75" customHeight="1" spans="1:2">
      <c r="A41029" s="3" t="str">
        <f>IFERROR(__xludf.DUMMYFUNCTION("GOOGLETRANSLATE(A41029,""en"",""pt"")"),"cores nítidas, autofocus confiante, uma operação de mão, controles manuais, resistente")</f>
        <v>cores nítidas, autofocus confiante, uma operação de mão, controles manuais, resistente</v>
      </c>
      <c r="B41029" s="3">
        <v>1</v>
      </c>
    </row>
    <row r="41030" ht="15.75" customHeight="1" spans="1:2">
      <c r="A41030" s="3" t="str">
        <f>IFERROR(__xludf.DUMMYFUNCTION("GOOGLETRANSLATE(A41030,""en"",""pt"")"),"imagens perfeitas, simples de usar.")</f>
        <v>imagens perfeitas, simples de usar.</v>
      </c>
      <c r="B41030" s="3">
        <v>1</v>
      </c>
    </row>
    <row r="41031" ht="15.75" customHeight="1" spans="1:2">
      <c r="A41031" s="3" t="str">
        <f>IFERROR(__xludf.DUMMYFUNCTION("GOOGLETRANSLATE(A41031,""en"",""pt"")"),"Grandes imagens, grandes recursos, ótimo preço")</f>
        <v>Grandes imagens, grandes recursos, ótimo preço</v>
      </c>
      <c r="B41031" s="3">
        <v>1</v>
      </c>
    </row>
    <row r="41032" ht="15.75" customHeight="1" spans="1:2">
      <c r="A41032" s="3" t="str">
        <f>IFERROR(__xludf.DUMMYFUNCTION("GOOGLETRANSLATE(A41032,""en"",""pt"")"),"Boa qualidade de imagem. Modo de clipe de filme Superior. Compactar.")</f>
        <v>Boa qualidade de imagem. Modo de clipe de filme Superior. Compactar.</v>
      </c>
      <c r="B41032" s="3">
        <v>1</v>
      </c>
    </row>
    <row r="41033" ht="15.75" customHeight="1" spans="1:2">
      <c r="A41033" s="3" t="str">
        <f>IFERROR(__xludf.DUMMYFUNCTION("GOOGLETRANSLATE(A41033,""en"",""pt"")"),"Valor ao dinheiro e gama de funções")</f>
        <v>Valor ao dinheiro e gama de funções</v>
      </c>
      <c r="B41033" s="3">
        <v>1</v>
      </c>
    </row>
    <row r="41034" ht="15.75" customHeight="1" spans="1:2">
      <c r="A41034" s="3" t="str">
        <f>IFERROR(__xludf.DUMMYFUNCTION("GOOGLETRANSLATE(A41034,""en"",""pt"")"),"grande primeira câmera, um bom negócio")</f>
        <v>grande primeira câmera, um bom negócio</v>
      </c>
      <c r="B41034" s="3">
        <v>1</v>
      </c>
    </row>
    <row r="41035" ht="15.75" customHeight="1" spans="1:2">
      <c r="A41035" s="3" t="str">
        <f>IFERROR(__xludf.DUMMYFUNCTION("GOOGLETRANSLATE(A41035,""en"",""pt"")"),"Fabuloso qualidade pic, muitos recursos manuais")</f>
        <v>Fabuloso qualidade pic, muitos recursos manuais</v>
      </c>
      <c r="B41035" s="3">
        <v>1</v>
      </c>
    </row>
    <row r="41036" ht="15.75" customHeight="1" spans="1:2">
      <c r="A41036" s="3" t="str">
        <f>IFERROR(__xludf.DUMMYFUNCTION("GOOGLETRANSLATE(A41036,""en"",""pt"")"),"Excelente qualidade de imagem, grande valor, capacidade de fotografia de controlo no modo manual.")</f>
        <v>Excelente qualidade de imagem, grande valor, capacidade de fotografia de controlo no modo manual.</v>
      </c>
      <c r="B41036" s="3">
        <v>1</v>
      </c>
    </row>
    <row r="41037" ht="15.75" customHeight="1" spans="1:2">
      <c r="A41037" s="3" t="str">
        <f>IFERROR(__xludf.DUMMYFUNCTION("GOOGLETRANSLATE(A41037,""en"",""pt"")"),"Compacta, layout de bons controles, incrível qualidade de foto, vídeo com som")</f>
        <v>Compacta, layout de bons controles, incrível qualidade de foto, vídeo com som</v>
      </c>
      <c r="B41037" s="3">
        <v>1</v>
      </c>
    </row>
    <row r="41038" ht="15.75" customHeight="1" spans="1:2">
      <c r="A41038" s="3" t="str">
        <f>IFERROR(__xludf.DUMMYFUNCTION("GOOGLETRANSLATE(A41038,""en"",""pt"")"),"megapixels baratos")</f>
        <v>megapixels baratos</v>
      </c>
      <c r="B41038" s="3">
        <v>1</v>
      </c>
    </row>
    <row r="41039" ht="15.75" customHeight="1" spans="1:2">
      <c r="A41039" s="3" t="str">
        <f>IFERROR(__xludf.DUMMYFUNCTION("GOOGLETRANSLATE(A41039,""en"",""pt"")"),"pequeno, bonito, preço")</f>
        <v>pequeno, bonito, preço</v>
      </c>
      <c r="B41039" s="3">
        <v>1</v>
      </c>
    </row>
    <row r="41040" ht="15.75" customHeight="1" spans="1:2">
      <c r="A41040" s="3" t="str">
        <f>IFERROR(__xludf.DUMMYFUNCTION("GOOGLETRANSLATE(A41040,""en"",""pt"")"),"Fácil apontar e disparar sobre as configurações de fábrica.")</f>
        <v>Fácil apontar e disparar sobre as configurações de fábrica.</v>
      </c>
      <c r="B41040" s="3">
        <v>1</v>
      </c>
    </row>
    <row r="41041" ht="15.75" customHeight="1" spans="1:2">
      <c r="A41041" s="3" t="str">
        <f>IFERROR(__xludf.DUMMYFUNCTION("GOOGLETRANSLATE(A41041,""en"",""pt"")"),"Incrível qualidade de imagem, filmes W de som /, Pequeno - Fácil de transportar, fácil de usar")</f>
        <v>Incrível qualidade de imagem, filmes W de som /, Pequeno - Fácil de transportar, fácil de usar</v>
      </c>
      <c r="B41041" s="3">
        <v>1</v>
      </c>
    </row>
    <row r="41042" ht="15.75" customHeight="1" spans="1:2">
      <c r="A41042" s="3" t="str">
        <f>IFERROR(__xludf.DUMMYFUNCTION("GOOGLETRANSLATE(A41042,""en"",""pt"")"),"muitas opções úteis")</f>
        <v>muitas opções úteis</v>
      </c>
      <c r="B41042" s="3">
        <v>1</v>
      </c>
    </row>
    <row r="41043" ht="15.75" customHeight="1" spans="1:2">
      <c r="A41043" s="3" t="str">
        <f>IFERROR(__xludf.DUMMYFUNCTION("GOOGLETRANSLATE(A41043,""en"",""pt"")"),"Excelentes imagens de baixa luminosidade. bateria de longa duração com boa NiMH de. Zoom óptico 3x. Modo manual.")</f>
        <v>Excelentes imagens de baixa luminosidade. bateria de longa duração com boa NiMH de. Zoom óptico 3x. Modo manual.</v>
      </c>
      <c r="B41043" s="3">
        <v>1</v>
      </c>
    </row>
    <row r="41044" ht="15.75" customHeight="1" spans="1:2">
      <c r="A41044" s="3" t="str">
        <f>IFERROR(__xludf.DUMMYFUNCTION("GOOGLETRANSLATE(A41044,""en"",""pt"")"),"Preço, Simplicidade, Qualidade")</f>
        <v>Preço, Simplicidade, Qualidade</v>
      </c>
      <c r="B41044" s="3">
        <v>1</v>
      </c>
    </row>
    <row r="41045" ht="15.75" customHeight="1" spans="1:2">
      <c r="A41045" s="3" t="str">
        <f>IFERROR(__xludf.DUMMYFUNCTION("GOOGLETRANSLATE(A41045,""en"",""pt"")"),"Recursos em abundância. Imagens de alta qualidade.")</f>
        <v>Recursos em abundância. Imagens de alta qualidade.</v>
      </c>
      <c r="B41045" s="3">
        <v>1</v>
      </c>
    </row>
    <row r="41046" ht="15.75" customHeight="1" spans="1:2">
      <c r="A41046" s="3" t="str">
        <f>IFERROR(__xludf.DUMMYFUNCTION("GOOGLETRANSLATE(A41046,""en"",""pt"")"),"imagens de alta qualidade, fácil de usar, vídeos com som, TV out, a vida da bateria, modo manual")</f>
        <v>imagens de alta qualidade, fácil de usar, vídeos com som, TV out, a vida da bateria, modo manual</v>
      </c>
      <c r="B41046" s="3">
        <v>1</v>
      </c>
    </row>
    <row r="41047" ht="15.75" customHeight="1" spans="1:2">
      <c r="A41047" s="3" t="str">
        <f>IFERROR(__xludf.DUMMYFUNCTION("GOOGLETRANSLATE(A41047,""en"",""pt"")"),"modo manual, ISO selecionável pelo usuário, modo de filme &amp; amp; # 13; &amp; amp; # 10;")</f>
        <v>modo manual, ISO selecionável pelo usuário, modo de filme &amp; amp; # 13; &amp; amp; # 10;</v>
      </c>
      <c r="B41047" s="3">
        <v>1</v>
      </c>
    </row>
    <row r="41048" ht="15.75" customHeight="1" spans="1:2">
      <c r="A41048" s="3" t="str">
        <f>IFERROR(__xludf.DUMMYFUNCTION("GOOGLETRANSLATE(A41048,""en"",""pt"")"),"Grandes imagens claras, fáceis de usar.")</f>
        <v>Grandes imagens claras, fáceis de usar.</v>
      </c>
      <c r="B41048" s="3">
        <v>1</v>
      </c>
    </row>
    <row r="41049" ht="15.75" customHeight="1" spans="1:2">
      <c r="A41049" s="3" t="str">
        <f>IFERROR(__xludf.DUMMYFUNCTION("GOOGLETRANSLATE(A41049,""en"",""pt"")"),"Facilidade de uso, qualidade de imagem, valor")</f>
        <v>Facilidade de uso, qualidade de imagem, valor</v>
      </c>
      <c r="B41049" s="3">
        <v>1</v>
      </c>
    </row>
    <row r="41050" ht="15.75" customHeight="1" spans="1:2">
      <c r="A41050" s="3" t="str">
        <f>IFERROR(__xludf.DUMMYFUNCTION("GOOGLETRANSLATE(A41050,""en"",""pt"")"),"Boa qualidade de imagem, fácil de manusear, leve, bom preço.")</f>
        <v>Boa qualidade de imagem, fácil de manusear, leve, bom preço.</v>
      </c>
      <c r="B41050" s="3">
        <v>1</v>
      </c>
    </row>
    <row r="41051" ht="15.75" customHeight="1" spans="1:2">
      <c r="A41051" s="3" t="str">
        <f>IFERROR(__xludf.DUMMYFUNCTION("GOOGLETRANSLATE(A41051,""en"",""pt"")"),"Qualidade de imagem, controles manuais")</f>
        <v>Qualidade de imagem, controles manuais</v>
      </c>
      <c r="B41051" s="3">
        <v>1</v>
      </c>
    </row>
    <row r="41052" ht="15.75" customHeight="1" spans="1:2">
      <c r="A41052" s="3" t="str">
        <f>IFERROR(__xludf.DUMMYFUNCTION("GOOGLETRANSLATE(A41052,""en"",""pt"")"),"qualidade de construção, modo manual, exposição longa, expansível, pode usar a bateria AA")</f>
        <v>qualidade de construção, modo manual, exposição longa, expansível, pode usar a bateria AA</v>
      </c>
      <c r="B41052" s="3">
        <v>1</v>
      </c>
    </row>
    <row r="41053" ht="15.75" customHeight="1" spans="1:2">
      <c r="A41053" s="3" t="str">
        <f>IFERROR(__xludf.DUMMYFUNCTION("GOOGLETRANSLATE(A41053,""en"",""pt"")"),"fotos de qualidade, controles manuais, modo de filme com som.")</f>
        <v>fotos de qualidade, controles manuais, modo de filme com som.</v>
      </c>
      <c r="B41053" s="3">
        <v>1</v>
      </c>
    </row>
    <row r="41054" ht="15.75" customHeight="1" spans="1:2">
      <c r="A41054" s="3" t="str">
        <f>IFERROR(__xludf.DUMMYFUNCTION("GOOGLETRANSLATE(A41054,""en"",""pt"")"),"Fácil de usar no modo automático, bem como o modo manual. Grande acho fotos gratuitas.")</f>
        <v>Fácil de usar no modo automático, bem como o modo manual. Grande acho fotos gratuitas.</v>
      </c>
      <c r="B41054" s="3">
        <v>1</v>
      </c>
    </row>
    <row r="41055" ht="15.75" customHeight="1" spans="1:2">
      <c r="A41055" s="3" t="str">
        <f>IFERROR(__xludf.DUMMYFUNCTION("GOOGLETRANSLATE(A41055,""en"",""pt"")"),"Excelente qualidade de imagem, capacidade de, ajustar as configurações manualmente, e não mais filme para desenvolver !!!!")</f>
        <v>Excelente qualidade de imagem, capacidade de, ajustar as configurações manualmente, e não mais filme para desenvolver !!!!</v>
      </c>
      <c r="B41055" s="3">
        <v>1</v>
      </c>
    </row>
    <row r="41056" ht="15.75" customHeight="1" spans="1:2">
      <c r="A41056" s="3" t="str">
        <f>IFERROR(__xludf.DUMMYFUNCTION("GOOGLETRANSLATE(A41056,""en"",""pt"")"),"Duas palavras: o modo manual.")</f>
        <v>Duas palavras: o modo manual.</v>
      </c>
      <c r="B41056" s="3">
        <v>1</v>
      </c>
    </row>
    <row r="41057" ht="15.75" customHeight="1" spans="1:2">
      <c r="A41057" s="3" t="str">
        <f>IFERROR(__xludf.DUMMYFUNCTION("GOOGLETRANSLATE(A41057,""en"",""pt"")"),"Valor, o controle manual, qualidade de construção, modo panorama e software, qualidade de imagem")</f>
        <v>Valor, o controle manual, qualidade de construção, modo panorama e software, qualidade de imagem</v>
      </c>
      <c r="B41057" s="3">
        <v>1</v>
      </c>
    </row>
    <row r="41058" ht="15.75" customHeight="1" spans="1:2">
      <c r="A41058" s="3" t="str">
        <f>IFERROR(__xludf.DUMMYFUNCTION("GOOGLETRANSLATE(A41058,""en"",""pt"")"),"Um maravilhosamente concebido e fácil de usar câmera digital de alta qualidade.")</f>
        <v>Um maravilhosamente concebido e fácil de usar câmera digital de alta qualidade.</v>
      </c>
      <c r="B41058" s="3">
        <v>1</v>
      </c>
    </row>
    <row r="41059" ht="15.75" customHeight="1" spans="1:2">
      <c r="A41059" s="3" t="str">
        <f>IFERROR(__xludf.DUMMYFUNCTION("GOOGLETRANSLATE(A41059,""en"",""pt"")"),"Boa duração da bateria, bem construído, tem grande fotos, fácil de usar")</f>
        <v>Boa duração da bateria, bem construído, tem grande fotos, fácil de usar</v>
      </c>
      <c r="B41059" s="3">
        <v>1</v>
      </c>
    </row>
    <row r="41060" ht="15.75" customHeight="1" spans="1:2">
      <c r="A41060" s="3" t="str">
        <f>IFERROR(__xludf.DUMMYFUNCTION("GOOGLETRANSLATE(A41060,""en"",""pt"")"),"Para o dinheiro imagens de boa qualidade.")</f>
        <v>Para o dinheiro imagens de boa qualidade.</v>
      </c>
      <c r="B41060" s="3">
        <v>1</v>
      </c>
    </row>
    <row r="41061" ht="15.75" customHeight="1" spans="1:2">
      <c r="A41061" s="3" t="str">
        <f>IFERROR(__xludf.DUMMYFUNCTION("GOOGLETRANSLATE(A41061,""en"",""pt"")"),"Extremamente fácil de começar a fotografar para a direita fora da caixa.")</f>
        <v>Extremamente fácil de começar a fotografar para a direita fora da caixa.</v>
      </c>
      <c r="B41061" s="3">
        <v>1</v>
      </c>
    </row>
    <row r="41062" ht="15.75" customHeight="1" spans="1:2">
      <c r="A41062" s="3" t="str">
        <f>IFERROR(__xludf.DUMMYFUNCTION("GOOGLETRANSLATE(A41062,""en"",""pt"")"),"invólucro sólido. Afiada, imagens claras. Fácil de usar. Uma boa documentação. Não há componentes proprietários caro.")</f>
        <v>invólucro sólido. Afiada, imagens claras. Fácil de usar. Uma boa documentação. Não há componentes proprietários caro.</v>
      </c>
      <c r="B41062" s="3">
        <v>1</v>
      </c>
    </row>
    <row r="41063" ht="15.75" customHeight="1" spans="1:2">
      <c r="A41063" s="3" t="str">
        <f>IFERROR(__xludf.DUMMYFUNCTION("GOOGLETRANSLATE(A41063,""en"",""pt"")"),"Excelente qualidade de imagem, boa vida útil da bateria.")</f>
        <v>Excelente qualidade de imagem, boa vida útil da bateria.</v>
      </c>
      <c r="B41063" s="3">
        <v>1</v>
      </c>
    </row>
    <row r="41064" ht="15.75" customHeight="1" spans="1:2">
      <c r="A41064" s="3" t="str">
        <f>IFERROR(__xludf.DUMMYFUNCTION("GOOGLETRANSLATE(A41064,""en"",""pt"")"),"Qualidade de imagem, facilidade de uso, zoom.")</f>
        <v>Qualidade de imagem, facilidade de uso, zoom.</v>
      </c>
      <c r="B41064" s="3">
        <v>1</v>
      </c>
    </row>
    <row r="41065" ht="15.75" customHeight="1" spans="1:2">
      <c r="A41065" s="3" t="str">
        <f>IFERROR(__xludf.DUMMYFUNCTION("GOOGLETRANSLATE(A41065,""en"",""pt"")"),"opções poderosas, excelente qualidade, bom preço.")</f>
        <v>opções poderosas, excelente qualidade, bom preço.</v>
      </c>
      <c r="B41065" s="3">
        <v>1</v>
      </c>
    </row>
    <row r="41066" ht="15.75" customHeight="1" spans="1:2">
      <c r="A41066" s="3" t="str">
        <f>IFERROR(__xludf.DUMMYFUNCTION("GOOGLETRANSLATE(A41066,""en"",""pt"")"),"melhor relação preço / desempenho, usa armazenamento CF, acessórios especiais disponíveis")</f>
        <v>melhor relação preço / desempenho, usa armazenamento CF, acessórios especiais disponíveis</v>
      </c>
      <c r="B41066" s="3">
        <v>1</v>
      </c>
    </row>
    <row r="41067" ht="15.75" customHeight="1" spans="1:2">
      <c r="A41067" s="3" t="str">
        <f>IFERROR(__xludf.DUMMYFUNCTION("GOOGLETRANSLATE(A41067,""en"",""pt"")"),"Elegante, acomoda ambos os especialistas e novatos, grande valor")</f>
        <v>Elegante, acomoda ambos os especialistas e novatos, grande valor</v>
      </c>
      <c r="B41067" s="3">
        <v>1</v>
      </c>
    </row>
    <row r="41068" ht="15.75" customHeight="1" spans="1:2">
      <c r="A41068" s="3" t="str">
        <f>IFERROR(__xludf.DUMMYFUNCTION("GOOGLETRANSLATE(A41068,""en"",""pt"")"),"ricos recursos., fácil de usar., Modo de vídeo com som !, grande qualidade., Não é muito pesado.")</f>
        <v>ricos recursos., fácil de usar., Modo de vídeo com som !, grande qualidade., Não é muito pesado.</v>
      </c>
      <c r="B41068" s="3">
        <v>1</v>
      </c>
    </row>
    <row r="41069" ht="15.75" customHeight="1" spans="1:2">
      <c r="A41069" s="3" t="str">
        <f>IFERROR(__xludf.DUMMYFUNCTION("GOOGLETRANSLATE(A41069,""en"",""pt"")"),"Manual e Stitch Mode, excelente qualidade de imagem e redução de ruído, Grande Software Bundle Assist")</f>
        <v>Manual e Stitch Mode, excelente qualidade de imagem e redução de ruído, Grande Software Bundle Assist</v>
      </c>
      <c r="B41069" s="3">
        <v>1</v>
      </c>
    </row>
    <row r="41070" ht="15.75" customHeight="1" spans="1:2">
      <c r="A41070" s="3" t="str">
        <f>IFERROR(__xludf.DUMMYFUNCTION("GOOGLETRANSLATE(A41070,""en"",""pt"")"),"imagens de boa qualidade, fácil de usar, pixels e resolução.")</f>
        <v>imagens de boa qualidade, fácil de usar, pixels e resolução.</v>
      </c>
      <c r="B41070" s="3">
        <v>1</v>
      </c>
    </row>
    <row r="41071" ht="15.75" customHeight="1" spans="1:2">
      <c r="A41071" s="3" t="str">
        <f>IFERROR(__xludf.DUMMYFUNCTION("GOOGLETRANSLATE(A41071,""en"",""pt"")"),"Excelente facilidade de utilização, Compact Flash, Grande Qualidade de Imagem")</f>
        <v>Excelente facilidade de utilização, Compact Flash, Grande Qualidade de Imagem</v>
      </c>
      <c r="B41071" s="3">
        <v>1</v>
      </c>
    </row>
    <row r="41072" ht="15.75" customHeight="1" spans="1:2">
      <c r="A41072" s="3" t="str">
        <f>IFERROR(__xludf.DUMMYFUNCTION("GOOGLETRANSLATE(A41072,""en"",""pt"")"),"Incrível qualidade de imagem, Grandes previews na TV, excelente apoio da Canon")</f>
        <v>Incrível qualidade de imagem, Grandes previews na TV, excelente apoio da Canon</v>
      </c>
      <c r="B41072" s="3">
        <v>1</v>
      </c>
    </row>
    <row r="41073" ht="15.75" customHeight="1" spans="1:2">
      <c r="A41073" s="3" t="str">
        <f>IFERROR(__xludf.DUMMYFUNCTION("GOOGLETRANSLATE(A41073,""en"",""pt"")"),"Você controla o quão simples ou complexo como você quer que a câmera.")</f>
        <v>Você controla o quão simples ou complexo como você quer que a câmera.</v>
      </c>
      <c r="B41073" s="3">
        <v>1</v>
      </c>
    </row>
    <row r="41074" ht="15.75" customHeight="1" spans="1:2">
      <c r="A41074" s="3" t="str">
        <f>IFERROR(__xludf.DUMMYFUNCTION("GOOGLETRANSLATE(A41074,""en"",""pt"")"),"Valor e características")</f>
        <v>Valor e características</v>
      </c>
      <c r="B41074" s="3">
        <v>1</v>
      </c>
    </row>
    <row r="41075" ht="15.75" customHeight="1" spans="1:2">
      <c r="A41075" s="3" t="str">
        <f>IFERROR(__xludf.DUMMYFUNCTION("GOOGLETRANSLATE(A41075,""en"",""pt"")"),"Grandes recursos, opções simples e amigável do usuário para o fotógrafo avançado. Soberbas fotos.")</f>
        <v>Grandes recursos, opções simples e amigável do usuário para o fotógrafo avançado. Soberbas fotos.</v>
      </c>
      <c r="B41075" s="3">
        <v>1</v>
      </c>
    </row>
    <row r="41076" ht="15.75" customHeight="1" spans="1:2">
      <c r="A41076" s="3" t="str">
        <f>IFERROR(__xludf.DUMMYFUNCTION("GOOGLETRANSLATE(A41076,""en"",""pt"")"),"felicidade foto. Extremamente fácil, muitas opções de controle, recursos de ponta a um preço inferior rock.")</f>
        <v>felicidade foto. Extremamente fácil, muitas opções de controle, recursos de ponta a um preço inferior rock.</v>
      </c>
      <c r="B41076" s="3">
        <v>1</v>
      </c>
    </row>
    <row r="41077" ht="15.75" customHeight="1" spans="1:2">
      <c r="A41077" s="3" t="str">
        <f>IFERROR(__xludf.DUMMYFUNCTION("GOOGLETRANSLATE(A41077,""en"",""pt"")"),"Fácil de usar! A qualidade da imagem, grande valor.")</f>
        <v>Fácil de usar! A qualidade da imagem, grande valor.</v>
      </c>
      <c r="B41077" s="3">
        <v>1</v>
      </c>
    </row>
    <row r="41078" ht="15.75" customHeight="1" spans="1:2">
      <c r="A41078" s="3" t="str">
        <f>IFERROR(__xludf.DUMMYFUNCTION("GOOGLETRANSLATE(A41078,""en"",""pt"")"),"Fácil de usar para iniciantes.")</f>
        <v>Fácil de usar para iniciantes.</v>
      </c>
      <c r="B41078" s="3">
        <v>1</v>
      </c>
    </row>
    <row r="41079" ht="15.75" customHeight="1" spans="1:2">
      <c r="A41079" s="3" t="str">
        <f>IFERROR(__xludf.DUMMYFUNCTION("GOOGLETRANSLATE(A41079,""en"",""pt"")"),"Rico em recursos, tamanho compacto")</f>
        <v>Rico em recursos, tamanho compacto</v>
      </c>
      <c r="B41079" s="3">
        <v>1</v>
      </c>
    </row>
    <row r="41080" ht="15.75" customHeight="1" spans="1:2">
      <c r="A41080" s="3" t="str">
        <f>IFERROR(__xludf.DUMMYFUNCTION("GOOGLETRANSLATE(A41080,""en"",""pt"")"),"Durável, fácil de usar, de qualidade fotos")</f>
        <v>Durável, fácil de usar, de qualidade fotos</v>
      </c>
      <c r="B41080" s="3">
        <v>1</v>
      </c>
    </row>
    <row r="41081" ht="15.75" customHeight="1" spans="1:2">
      <c r="A41081" s="3" t="str">
        <f>IFERROR(__xludf.DUMMYFUNCTION("GOOGLETRANSLATE(A41081,""en"",""pt"")"),"Crisp, imagens claras, leve e compacto. Cargas de recursos. Grava filmes curtos. 2 megapixels")</f>
        <v>Crisp, imagens claras, leve e compacto. Cargas de recursos. Grava filmes curtos. 2 megapixels</v>
      </c>
      <c r="B41081" s="3">
        <v>1</v>
      </c>
    </row>
    <row r="41082" ht="15.75" customHeight="1" spans="1:2">
      <c r="A41082" s="3" t="str">
        <f>IFERROR(__xludf.DUMMYFUNCTION("GOOGLETRANSLATE(A41082,""en"",""pt"")"),"Fotos excelentes, modo automático funciona muito bem, e tem comando manual")</f>
        <v>Fotos excelentes, modo automático funciona muito bem, e tem comando manual</v>
      </c>
      <c r="B41082" s="3">
        <v>1</v>
      </c>
    </row>
    <row r="41083" ht="15.75" customHeight="1" spans="1:2">
      <c r="A41083" s="3" t="str">
        <f>IFERROR(__xludf.DUMMYFUNCTION("GOOGLETRANSLATE(A41083,""en"",""pt"")"),"Impressionante qualidade fotográfica, grandes recursos, Modo de Filme, Recursos avançados de câmera")</f>
        <v>Impressionante qualidade fotográfica, grandes recursos, Modo de Filme, Recursos avançados de câmera</v>
      </c>
      <c r="B41083" s="3">
        <v>1</v>
      </c>
    </row>
    <row r="41084" ht="15.75" customHeight="1" spans="1:2">
      <c r="A41084" s="3" t="str">
        <f>IFERROR(__xludf.DUMMYFUNCTION("GOOGLETRANSLATE(A41084,""en"",""pt"")"),"Excelente qualidade de imagem, modo manual, modo de filme w som /, muito bem construído")</f>
        <v>Excelente qualidade de imagem, modo manual, modo de filme w som /, muito bem construído</v>
      </c>
      <c r="B41084" s="3">
        <v>1</v>
      </c>
    </row>
    <row r="41085" ht="15.75" customHeight="1" spans="1:2">
      <c r="A41085" s="3" t="str">
        <f>IFERROR(__xludf.DUMMYFUNCTION("GOOGLETRANSLATE(A41085,""en"",""pt"")"),"Fácil de usar o flash compacto, de boa qualidade suporte de software, modo de filme w / áudio, facilidade de uso")</f>
        <v>Fácil de usar o flash compacto, de boa qualidade suporte de software, modo de filme w / áudio, facilidade de uso</v>
      </c>
      <c r="B41085" s="3">
        <v>1</v>
      </c>
    </row>
    <row r="41086" ht="15.75" customHeight="1" spans="1:2">
      <c r="A41086" s="3" t="str">
        <f>IFERROR(__xludf.DUMMYFUNCTION("GOOGLETRANSLATE(A41086,""en"",""pt"")"),"Mais recursos do que você necessitará sempre para um ponto e atirar.")</f>
        <v>Mais recursos do que você necessitará sempre para um ponto e atirar.</v>
      </c>
      <c r="B41086" s="3">
        <v>1</v>
      </c>
    </row>
    <row r="41087" ht="15.75" customHeight="1" spans="1:2">
      <c r="A41087" s="3" t="str">
        <f>IFERROR(__xludf.DUMMYFUNCTION("GOOGLETRANSLATE(A41087,""en"",""pt"")"),"Facilidade de uso, a função do menu, as configurações automáticas e conectividade USB.")</f>
        <v>Facilidade de uso, a função do menu, as configurações automáticas e conectividade USB.</v>
      </c>
      <c r="B41087" s="3">
        <v>1</v>
      </c>
    </row>
    <row r="41088" ht="15.75" customHeight="1" spans="1:2">
      <c r="A41088" s="3" t="str">
        <f>IFERROR(__xludf.DUMMYFUNCTION("GOOGLETRANSLATE(A41088,""en"",""pt"")"),"Recursos, fora de vídeo, software, preço.")</f>
        <v>Recursos, fora de vídeo, software, preço.</v>
      </c>
      <c r="B41088" s="3">
        <v>1</v>
      </c>
    </row>
    <row r="41089" ht="15.75" customHeight="1" spans="1:2">
      <c r="A41089" s="3" t="str">
        <f>IFERROR(__xludf.DUMMYFUNCTION("GOOGLETRANSLATE(A41089,""en"",""pt"")"),"Excelentes Cores, pilhas AA, de baixo ruído de imagem")</f>
        <v>Excelentes Cores, pilhas AA, de baixo ruído de imagem</v>
      </c>
      <c r="B41089" s="3">
        <v>1</v>
      </c>
    </row>
    <row r="41090" ht="15.75" customHeight="1" spans="1:2">
      <c r="A41090" s="3" t="str">
        <f>IFERROR(__xludf.DUMMYFUNCTION("GOOGLETRANSLATE(A41090,""en"",""pt"")"),"Fácil de usar, muitas configurações")</f>
        <v>Fácil de usar, muitas configurações</v>
      </c>
      <c r="B41090" s="3">
        <v>1</v>
      </c>
    </row>
    <row r="41091" ht="15.75" customHeight="1" spans="1:2">
      <c r="A41091" s="3" t="str">
        <f>IFERROR(__xludf.DUMMYFUNCTION("GOOGLETRANSLATE(A41091,""en"",""pt"")"),"O design compacto e sólido &amp; amp; # 13; &amp; amp; # 10; o contraste da imagem impressionante")</f>
        <v>O design compacto e sólido &amp; amp; # 13; &amp; amp; # 10; o contraste da imagem impressionante</v>
      </c>
      <c r="B41091" s="3">
        <v>1</v>
      </c>
    </row>
    <row r="41092" ht="15.75" customHeight="1" spans="1:2">
      <c r="A41092" s="3" t="str">
        <f>IFERROR(__xludf.DUMMYFUNCTION("GOOGLETRANSLATE(A41092,""en"",""pt"")"),"imagens de alta qualidade, muitas opções")</f>
        <v>imagens de alta qualidade, muitas opções</v>
      </c>
      <c r="B41092" s="3">
        <v>1</v>
      </c>
    </row>
    <row r="41093" ht="15.75" customHeight="1" spans="1:2">
      <c r="A41093" s="3" t="str">
        <f>IFERROR(__xludf.DUMMYFUNCTION("GOOGLETRANSLATE(A41093,""en"",""pt"")"),"Ele dispara fotos")</f>
        <v>Ele dispara fotos</v>
      </c>
      <c r="B41093" s="3">
        <v>1</v>
      </c>
    </row>
    <row r="41094" ht="15.75" customHeight="1" spans="1:2">
      <c r="A41094" s="3" t="str">
        <f>IFERROR(__xludf.DUMMYFUNCTION("GOOGLETRANSLATE(A41094,""en"",""pt"")"),"Ótimas fotos")</f>
        <v>Ótimas fotos</v>
      </c>
      <c r="B41094" s="3">
        <v>1</v>
      </c>
    </row>
    <row r="41095" ht="15.75" customHeight="1" spans="1:2">
      <c r="A41095" s="3" t="str">
        <f>IFERROR(__xludf.DUMMYFUNCTION("GOOGLETRANSLATE(A41095,""en"",""pt"")"),"Rápido, imagens pequenas detalhados")</f>
        <v>Rápido, imagens pequenas detalhados</v>
      </c>
      <c r="B41095" s="3">
        <v>1</v>
      </c>
    </row>
    <row r="41096" ht="15.75" customHeight="1" spans="1:2">
      <c r="A41096" s="3" t="str">
        <f>IFERROR(__xludf.DUMMYFUNCTION("GOOGLETRANSLATE(A41096,""en"",""pt"")"),"Tamanho, robustez, preço")</f>
        <v>Tamanho, robustez, preço</v>
      </c>
      <c r="B41096" s="3">
        <v>1</v>
      </c>
    </row>
    <row r="41097" ht="15.75" customHeight="1" spans="1:2">
      <c r="A41097" s="3" t="str">
        <f>IFERROR(__xludf.DUMMYFUNCTION("GOOGLETRANSLATE(A41097,""en"",""pt"")"),"peso leve")</f>
        <v>peso leve</v>
      </c>
      <c r="B41097" s="3">
        <v>1</v>
      </c>
    </row>
    <row r="41098" ht="15.75" customHeight="1" spans="1:2">
      <c r="A41098" s="3" t="str">
        <f>IFERROR(__xludf.DUMMYFUNCTION("GOOGLETRANSLATE(A41098,""en"",""pt"")"),"pequeno, leve, barato")</f>
        <v>pequeno, leve, barato</v>
      </c>
      <c r="B41098" s="3">
        <v>1</v>
      </c>
    </row>
    <row r="41099" ht="15.75" customHeight="1" spans="1:2">
      <c r="A41099" s="3" t="str">
        <f>IFERROR(__xludf.DUMMYFUNCTION("GOOGLETRANSLATE(A41099,""en"",""pt"")"),"pequenas, boas fotos")</f>
        <v>pequenas, boas fotos</v>
      </c>
      <c r="B41099" s="3">
        <v>1</v>
      </c>
    </row>
    <row r="41100" ht="15.75" customHeight="1" spans="1:2">
      <c r="A41100" s="3" t="str">
        <f>IFERROR(__xludf.DUMMYFUNCTION("GOOGLETRANSLATE(A41100,""en"",""pt"")"),"Excelente cor e clareza ina pacote asmall")</f>
        <v>Excelente cor e clareza ina pacote asmall</v>
      </c>
      <c r="B41100" s="3">
        <v>1</v>
      </c>
    </row>
    <row r="41101" ht="15.75" customHeight="1" spans="1:2">
      <c r="A41101" s="3" t="str">
        <f>IFERROR(__xludf.DUMMYFUNCTION("GOOGLETRANSLATE(A41101,""en"",""pt"")"),"Amigo do usuário")</f>
        <v>Amigo do usuário</v>
      </c>
      <c r="B41101" s="3">
        <v>1</v>
      </c>
    </row>
    <row r="41102" ht="15.75" customHeight="1" spans="1:2">
      <c r="A41102" s="3" t="str">
        <f>IFERROR(__xludf.DUMMYFUNCTION("GOOGLETRANSLATE(A41102,""en"",""pt"")"),"tiros ao ar livre, facilidade de uso, tamanho, ZOOM, conector de TV incluído")</f>
        <v>tiros ao ar livre, facilidade de uso, tamanho, ZOOM, conector de TV incluído</v>
      </c>
      <c r="B41102" s="3">
        <v>1</v>
      </c>
    </row>
    <row r="41103" ht="15.75" customHeight="1" spans="1:2">
      <c r="A41103" s="3" t="str">
        <f>IFERROR(__xludf.DUMMYFUNCTION("GOOGLETRANSLATE(A41103,""en"",""pt"")"),"Krishna")</f>
        <v>Krishna</v>
      </c>
      <c r="B41103" s="3">
        <v>1</v>
      </c>
    </row>
    <row r="41104" ht="15.75" customHeight="1" spans="1:2">
      <c r="A41104" s="3" t="str">
        <f>IFERROR(__xludf.DUMMYFUNCTION("GOOGLETRANSLATE(A41104,""en"",""pt"")"),"Preço; Tamanho")</f>
        <v>Preço; Tamanho</v>
      </c>
      <c r="B41104" s="3">
        <v>1</v>
      </c>
    </row>
    <row r="41105" ht="15.75" customHeight="1" spans="1:2">
      <c r="A41105" s="3" t="str">
        <f>IFERROR(__xludf.DUMMYFUNCTION("GOOGLETRANSLATE(A41105,""en"",""pt"")"),"De alta qualidade a um preço razoável")</f>
        <v>De alta qualidade a um preço razoável</v>
      </c>
      <c r="B41105" s="3">
        <v>1</v>
      </c>
    </row>
    <row r="41106" ht="15.75" customHeight="1" spans="1:2">
      <c r="A41106" s="3" t="str">
        <f>IFERROR(__xludf.DUMMYFUNCTION("GOOGLETRANSLATE(A41106,""en"",""pt"")"),"Durável, pequena, tem muitas imagens, fácil de usar")</f>
        <v>Durável, pequena, tem muitas imagens, fácil de usar</v>
      </c>
      <c r="B41106" s="3">
        <v>1</v>
      </c>
    </row>
    <row r="41107" ht="15.75" customHeight="1" spans="1:2">
      <c r="A41107" s="3" t="str">
        <f>IFERROR(__xludf.DUMMYFUNCTION("GOOGLETRANSLATE(A41107,""en"",""pt"")"),"Muito pequeno .... tamanho de bolso, tira ótimas fotos em distâncias mais curtas, pacote de software Grande")</f>
        <v>Muito pequeno .... tamanho de bolso, tira ótimas fotos em distâncias mais curtas, pacote de software Grande</v>
      </c>
      <c r="B41107" s="3">
        <v>1</v>
      </c>
    </row>
    <row r="41108" ht="15.75" customHeight="1" spans="1:2">
      <c r="A41108" s="3" t="str">
        <f>IFERROR(__xludf.DUMMYFUNCTION("GOOGLETRANSLATE(A41108,""en"",""pt"")"),"Fácil de usar")</f>
        <v>Fácil de usar</v>
      </c>
      <c r="B41108" s="3">
        <v>1</v>
      </c>
    </row>
    <row r="41109" ht="15.75" customHeight="1" spans="1:2">
      <c r="A41109" s="3" t="str">
        <f>IFERROR(__xludf.DUMMYFUNCTION("GOOGLETRANSLATE(A41109,""en"",""pt"")"),"Tamanho, qualidade de imagem, Preço")</f>
        <v>Tamanho, qualidade de imagem, Preço</v>
      </c>
      <c r="B41109" s="3">
        <v>1</v>
      </c>
    </row>
    <row r="41110" ht="15.75" customHeight="1" spans="1:2">
      <c r="A41110" s="3" t="str">
        <f>IFERROR(__xludf.DUMMYFUNCTION("GOOGLETRANSLATE(A41110,""en"",""pt"")"),"Excelente qualidade, fácil de usar")</f>
        <v>Excelente qualidade, fácil de usar</v>
      </c>
      <c r="B41110" s="3">
        <v>1</v>
      </c>
    </row>
    <row r="41111" ht="15.75" customHeight="1" spans="1:2">
      <c r="A41111" s="3" t="str">
        <f>IFERROR(__xludf.DUMMYFUNCTION("GOOGLETRANSLATE(A41111,""en"",""pt"")"),"bom valor, fácil de usar")</f>
        <v>bom valor, fácil de usar</v>
      </c>
      <c r="B41111" s="3">
        <v>1</v>
      </c>
    </row>
    <row r="41112" ht="15.75" customHeight="1" spans="1:2">
      <c r="A41112" s="3" t="str">
        <f>IFERROR(__xludf.DUMMYFUNCTION("GOOGLETRANSLATE(A41112,""en"",""pt"")"),"ótima câmera")</f>
        <v>ótima câmera</v>
      </c>
      <c r="B41112" s="3">
        <v>1</v>
      </c>
    </row>
    <row r="41113" ht="15.75" customHeight="1" spans="1:2">
      <c r="A41113" s="3" t="str">
        <f>IFERROR(__xludf.DUMMYFUNCTION("GOOGLETRANSLATE(A41113,""en"",""pt"")"),"fotos digitais de grande qualidade a um preço muito acessível.")</f>
        <v>fotos digitais de grande qualidade a um preço muito acessível.</v>
      </c>
      <c r="B41113" s="3">
        <v>1</v>
      </c>
    </row>
    <row r="41114" ht="15.75" customHeight="1" spans="1:2">
      <c r="A41114" s="3" t="str">
        <f>IFERROR(__xludf.DUMMYFUNCTION("GOOGLETRANSLATE(A41114,""en"",""pt"")"),"Fácil, Rápida")</f>
        <v>Fácil, Rápida</v>
      </c>
      <c r="B41114" s="3">
        <v>1</v>
      </c>
    </row>
    <row r="41115" ht="15.75" customHeight="1" spans="1:2">
      <c r="A41115" s="3" t="str">
        <f>IFERROR(__xludf.DUMMYFUNCTION("GOOGLETRANSLATE(A41115,""en"",""pt"")"),"Pequeno e peso leve")</f>
        <v>Pequeno e peso leve</v>
      </c>
      <c r="B41115" s="3">
        <v>1</v>
      </c>
    </row>
    <row r="41116" ht="15.75" customHeight="1" spans="1:2">
      <c r="A41116" s="3" t="str">
        <f>IFERROR(__xludf.DUMMYFUNCTION("GOOGLETRANSLATE(A41116,""en"",""pt"")"),"tamanho pequeno, bom para fotos de família")</f>
        <v>tamanho pequeno, bom para fotos de família</v>
      </c>
      <c r="B41116" s="3">
        <v>1</v>
      </c>
    </row>
    <row r="41117" ht="15.75" customHeight="1" spans="1:2">
      <c r="A41117" s="3" t="str">
        <f>IFERROR(__xludf.DUMMYFUNCTION("GOOGLETRANSLATE(A41117,""en"",""pt"")"),"muito pequenas, grandes recursos para o preço")</f>
        <v>muito pequenas, grandes recursos para o preço</v>
      </c>
      <c r="B41117" s="3">
        <v>1</v>
      </c>
    </row>
    <row r="41118" ht="15.75" customHeight="1" spans="1:2">
      <c r="A41118" s="3" t="str">
        <f>IFERROR(__xludf.DUMMYFUNCTION("GOOGLETRANSLATE(A41118,""en"",""pt"")"),"boas fotos, mesmo com 'apontar e disparar'")</f>
        <v>boas fotos, mesmo com 'apontar e disparar'</v>
      </c>
      <c r="B41118" s="3">
        <v>1</v>
      </c>
    </row>
    <row r="41119" ht="15.75" customHeight="1" spans="1:2">
      <c r="A41119" s="3" t="str">
        <f>IFERROR(__xludf.DUMMYFUNCTION("GOOGLETRANSLATE(A41119,""en"",""pt"")"),"qualidade, preço, durabilidade")</f>
        <v>qualidade, preço, durabilidade</v>
      </c>
      <c r="B41119" s="3">
        <v>1</v>
      </c>
    </row>
    <row r="41120" ht="15.75" customHeight="1" spans="1:2">
      <c r="A41120" s="3" t="str">
        <f>IFERROR(__xludf.DUMMYFUNCTION("GOOGLETRANSLATE(A41120,""en"",""pt"")"),"pequeno tamanho, qualidade de imagem, excelente construção, muitos recursos")</f>
        <v>pequeno tamanho, qualidade de imagem, excelente construção, muitos recursos</v>
      </c>
      <c r="B41120" s="3">
        <v>1</v>
      </c>
    </row>
    <row r="41121" ht="15.75" customHeight="1" spans="1:2">
      <c r="A41121" s="3" t="str">
        <f>IFERROR(__xludf.DUMMYFUNCTION("GOOGLETRANSLATE(A41121,""en"",""pt"")"),"Muitas características em tamanho compacto.")</f>
        <v>Muitas características em tamanho compacto.</v>
      </c>
      <c r="B41121" s="3">
        <v>1</v>
      </c>
    </row>
    <row r="41122" ht="15.75" customHeight="1" spans="1:2">
      <c r="A41122" s="3" t="str">
        <f>IFERROR(__xludf.DUMMYFUNCTION("GOOGLETRANSLATE(A41122,""en"",""pt"")"),"Recursos disponíveis para o preço")</f>
        <v>Recursos disponíveis para o preço</v>
      </c>
      <c r="B41122" s="3">
        <v>1</v>
      </c>
    </row>
    <row r="41123" ht="15.75" customHeight="1" spans="1:2">
      <c r="A41123" s="3" t="str">
        <f>IFERROR(__xludf.DUMMYFUNCTION("GOOGLETRANSLATE(A41123,""en"",""pt"")"),"Bom tamanho, boa qualidade da foto, olhar na moda, capacidade de alta resolução")</f>
        <v>Bom tamanho, boa qualidade da foto, olhar na moda, capacidade de alta resolução</v>
      </c>
      <c r="B41123" s="3">
        <v>1</v>
      </c>
    </row>
    <row r="41124" ht="15.75" customHeight="1" spans="1:2">
      <c r="A41124" s="3" t="str">
        <f>IFERROR(__xludf.DUMMYFUNCTION("GOOGLETRANSLATE(A41124,""en"",""pt"")"),"pequeno tamanho, preço")</f>
        <v>pequeno tamanho, preço</v>
      </c>
      <c r="B41124" s="3">
        <v>1</v>
      </c>
    </row>
    <row r="41125" ht="15.75" customHeight="1" spans="1:2">
      <c r="A41125" s="3" t="str">
        <f>IFERROR(__xludf.DUMMYFUNCTION("GOOGLETRANSLATE(A41125,""en"",""pt"")"),"muitos recursos, de grande qualidade")</f>
        <v>muitos recursos, de grande qualidade</v>
      </c>
      <c r="B41125" s="3">
        <v>1</v>
      </c>
    </row>
    <row r="41126" ht="15.75" customHeight="1" spans="1:2">
      <c r="A41126" s="3" t="str">
        <f>IFERROR(__xludf.DUMMYFUNCTION("GOOGLETRANSLATE(A41126,""en"",""pt"")"),"Facilidade, sem desenvolver bela exibição, LCD")</f>
        <v>Facilidade, sem desenvolver bela exibição, LCD</v>
      </c>
      <c r="B41126" s="3">
        <v>1</v>
      </c>
    </row>
    <row r="41127" ht="15.75" customHeight="1" spans="1:2">
      <c r="A41127" s="3" t="str">
        <f>IFERROR(__xludf.DUMMYFUNCTION("GOOGLETRANSLATE(A41127,""en"",""pt"")"),"qualidade da foto Excellant")</f>
        <v>qualidade da foto Excellant</v>
      </c>
      <c r="B41127" s="3">
        <v>1</v>
      </c>
    </row>
    <row r="41128" ht="15.75" customHeight="1" spans="1:2">
      <c r="A41128" s="3" t="str">
        <f>IFERROR(__xludf.DUMMYFUNCTION("GOOGLETRANSLATE(A41128,""en"",""pt"")"),"Leve, portátil, econômica, de boa qualidade, forte, display LCD, capacidade")</f>
        <v>Leve, portátil, econômica, de boa qualidade, forte, display LCD, capacidade</v>
      </c>
      <c r="B41128" s="3">
        <v>1</v>
      </c>
    </row>
    <row r="41129" ht="15.75" customHeight="1" spans="1:2">
      <c r="A41129" s="3" t="str">
        <f>IFERROR(__xludf.DUMMYFUNCTION("GOOGLETRANSLATE(A41129,""en"",""pt"")"),"compactar")</f>
        <v>compactar</v>
      </c>
      <c r="B41129" s="3">
        <v>1</v>
      </c>
    </row>
    <row r="41130" ht="15.75" customHeight="1" spans="1:2">
      <c r="A41130" s="3" t="str">
        <f>IFERROR(__xludf.DUMMYFUNCTION("GOOGLETRANSLATE(A41130,""en"",""pt"")"),"Custo, qualidade das imagens, display LCD")</f>
        <v>Custo, qualidade das imagens, display LCD</v>
      </c>
      <c r="B41130" s="3">
        <v>1</v>
      </c>
    </row>
    <row r="41131" ht="15.75" customHeight="1" spans="1:2">
      <c r="A41131" s="3" t="str">
        <f>IFERROR(__xludf.DUMMYFUNCTION("GOOGLETRANSLATE(A41131,""en"",""pt"")"),"tamanho compacto, facilidade de uso, qualidade de imagem")</f>
        <v>tamanho compacto, facilidade de uso, qualidade de imagem</v>
      </c>
      <c r="B41131" s="3">
        <v>1</v>
      </c>
    </row>
    <row r="41132" ht="15.75" customHeight="1" spans="1:2">
      <c r="A41132" s="3" t="str">
        <f>IFERROR(__xludf.DUMMYFUNCTION("GOOGLETRANSLATE(A41132,""en"",""pt"")"),"Grandes tiros, ultra-pequenos, corpo de alumínio")</f>
        <v>Grandes tiros, ultra-pequenos, corpo de alumínio</v>
      </c>
      <c r="B41132" s="3">
        <v>1</v>
      </c>
    </row>
    <row r="41133" ht="15.75" customHeight="1" spans="1:2">
      <c r="A41133" s="3" t="str">
        <f>IFERROR(__xludf.DUMMYFUNCTION("GOOGLETRANSLATE(A41133,""en"",""pt"")"),"Acessível, robusto, pequeno, de alta qualidade")</f>
        <v>Acessível, robusto, pequeno, de alta qualidade</v>
      </c>
      <c r="B41133" s="3">
        <v>1</v>
      </c>
    </row>
    <row r="41134" ht="15.75" customHeight="1" spans="1:2">
      <c r="A41134" s="3" t="str">
        <f>IFERROR(__xludf.DUMMYFUNCTION("GOOGLETRANSLATE(A41134,""en"",""pt"")"),"O tamanho pequeno, boas fotos")</f>
        <v>O tamanho pequeno, boas fotos</v>
      </c>
      <c r="B41134" s="3">
        <v>1</v>
      </c>
    </row>
    <row r="41135" ht="15.75" customHeight="1" spans="1:2">
      <c r="A41135" s="3" t="str">
        <f>IFERROR(__xludf.DUMMYFUNCTION("GOOGLETRANSLATE(A41135,""en"",""pt"")"),"fácil de usar, compacto, peso leve")</f>
        <v>fácil de usar, compacto, peso leve</v>
      </c>
      <c r="B41135" s="3">
        <v>1</v>
      </c>
    </row>
    <row r="41136" ht="15.75" customHeight="1" spans="1:2">
      <c r="A41136" s="3" t="str">
        <f>IFERROR(__xludf.DUMMYFUNCTION("GOOGLETRANSLATE(A41136,""en"",""pt"")"),"razoavelmente barato, lente zoom, tampa da lente auto")</f>
        <v>razoavelmente barato, lente zoom, tampa da lente auto</v>
      </c>
      <c r="B41136" s="3">
        <v>1</v>
      </c>
    </row>
    <row r="41137" ht="15.75" customHeight="1" spans="1:2">
      <c r="A41137" s="3" t="str">
        <f>IFERROR(__xludf.DUMMYFUNCTION("GOOGLETRANSLATE(A41137,""en"",""pt"")"),"Tamanho compacto, zoom, e ótimas fotos")</f>
        <v>Tamanho compacto, zoom, e ótimas fotos</v>
      </c>
      <c r="B41137" s="3">
        <v>1</v>
      </c>
    </row>
    <row r="41138" ht="15.75" customHeight="1" spans="1:2">
      <c r="A41138" s="3" t="str">
        <f>IFERROR(__xludf.DUMMYFUNCTION("GOOGLETRANSLATE(A41138,""en"",""pt"")"),"Crisp tiros ao ar livre, tamanho compacto, Software Bundle")</f>
        <v>Crisp tiros ao ar livre, tamanho compacto, Software Bundle</v>
      </c>
      <c r="B41138" s="3">
        <v>1</v>
      </c>
    </row>
    <row r="41139" ht="15.75" customHeight="1" spans="1:2">
      <c r="A41139" s="3" t="str">
        <f>IFERROR(__xludf.DUMMYFUNCTION("GOOGLETRANSLATE(A41139,""en"",""pt"")"),"Fácil de usar, características excelentes, caindo de preço.")</f>
        <v>Fácil de usar, características excelentes, caindo de preço.</v>
      </c>
      <c r="B41139" s="3">
        <v>1</v>
      </c>
    </row>
    <row r="41140" ht="15.75" customHeight="1" spans="1:2">
      <c r="A41140" s="3" t="str">
        <f>IFERROR(__xludf.DUMMYFUNCTION("GOOGLETRANSLATE(A41140,""en"",""pt"")"),"fácil apontar e disparar; software bom o suficiente")</f>
        <v>fácil apontar e disparar; software bom o suficiente</v>
      </c>
      <c r="B41140" s="3">
        <v>1</v>
      </c>
    </row>
    <row r="41141" ht="15.75" customHeight="1" spans="1:2">
      <c r="A41141" s="3" t="str">
        <f>IFERROR(__xludf.DUMMYFUNCTION("GOOGLETRANSLATE(A41141,""en"",""pt"")"),"Bom para iniciantes")</f>
        <v>Bom para iniciantes</v>
      </c>
      <c r="B41141" s="3">
        <v>1</v>
      </c>
    </row>
    <row r="41142" ht="15.75" customHeight="1" spans="1:2">
      <c r="A41142" s="3" t="str">
        <f>IFERROR(__xludf.DUMMYFUNCTION("GOOGLETRANSLATE(A41142,""en"",""pt"")"),"Excelente qualidade e extremamente fácil de usar")</f>
        <v>Excelente qualidade e extremamente fácil de usar</v>
      </c>
      <c r="B41142" s="3">
        <v>1</v>
      </c>
    </row>
    <row r="41143" ht="15.75" customHeight="1" spans="1:2">
      <c r="A41143" s="3" t="str">
        <f>IFERROR(__xludf.DUMMYFUNCTION("GOOGLETRANSLATE(A41143,""en"",""pt"")"),"livro de instruções é difícil de entender em algumas áreas.")</f>
        <v>livro de instruções é difícil de entender em algumas áreas.</v>
      </c>
      <c r="B41143" s="3">
        <v>1</v>
      </c>
    </row>
    <row r="41144" ht="15.75" customHeight="1" spans="1:2">
      <c r="A41144" s="3" t="str">
        <f>IFERROR(__xludf.DUMMYFUNCTION("GOOGLETRANSLATE(A41144,""en"",""pt"")"),"Ótimas fotos")</f>
        <v>Ótimas fotos</v>
      </c>
      <c r="B41144" s="3">
        <v>1</v>
      </c>
    </row>
    <row r="41145" ht="15.75" customHeight="1" spans="1:2">
      <c r="A41145" s="3" t="str">
        <f>IFERROR(__xludf.DUMMYFUNCTION("GOOGLETRANSLATE(A41145,""en"",""pt"")"),"sim")</f>
        <v>sim</v>
      </c>
      <c r="B41145" s="3">
        <v>1</v>
      </c>
    </row>
    <row r="41146" ht="15.75" customHeight="1" spans="1:2">
      <c r="A41146" s="3" t="str">
        <f>IFERROR(__xludf.DUMMYFUNCTION("GOOGLETRANSLATE(A41146,""en"",""pt"")"),"BOM VALOR")</f>
        <v>BOM VALOR</v>
      </c>
      <c r="B41146" s="3">
        <v>1</v>
      </c>
    </row>
    <row r="41147" ht="15.75" customHeight="1" spans="1:2">
      <c r="A41147" s="3" t="str">
        <f>IFERROR(__xludf.DUMMYFUNCTION("GOOGLETRANSLATE(A41147,""en"",""pt"")"),"qualidade da foto, compacta, durável")</f>
        <v>qualidade da foto, compacta, durável</v>
      </c>
      <c r="B41147" s="3">
        <v>1</v>
      </c>
    </row>
    <row r="41148" ht="15.75" customHeight="1" spans="1:2">
      <c r="A41148" s="3" t="str">
        <f>IFERROR(__xludf.DUMMYFUNCTION("GOOGLETRANSLATE(A41148,""en"",""pt"")"),"bolso tamanho, resistente corpo revestido de alumínio, o maior zoom óptico da série baseada-Elph Canon")</f>
        <v>bolso tamanho, resistente corpo revestido de alumínio, o maior zoom óptico da série baseada-Elph Canon</v>
      </c>
      <c r="B41148" s="3">
        <v>1</v>
      </c>
    </row>
    <row r="41149" ht="15.75" customHeight="1" spans="1:2">
      <c r="A41149" s="3" t="str">
        <f>IFERROR(__xludf.DUMMYFUNCTION("GOOGLETRANSLATE(A41149,""en"",""pt"")"),"fotos de alta qualidade, facilidade de uso, boa documentação")</f>
        <v>fotos de alta qualidade, facilidade de uso, boa documentação</v>
      </c>
      <c r="B41149" s="3">
        <v>1</v>
      </c>
    </row>
    <row r="41150" ht="15.75" customHeight="1" spans="1:2">
      <c r="A41150" s="3" t="str">
        <f>IFERROR(__xludf.DUMMYFUNCTION("GOOGLETRANSLATE(A41150,""en"",""pt"")"),"Pequenas, resistente, de qualidade muito boa fotos")</f>
        <v>Pequenas, resistente, de qualidade muito boa fotos</v>
      </c>
      <c r="B41150" s="3">
        <v>1</v>
      </c>
    </row>
    <row r="41151" ht="15.75" customHeight="1" spans="1:2">
      <c r="A41151" s="3" t="str">
        <f>IFERROR(__xludf.DUMMYFUNCTION("GOOGLETRANSLATE(A41151,""en"",""pt"")"),"Baixo preço, qualidade fantástica de imagem, fácil de usar, muitas opções")</f>
        <v>Baixo preço, qualidade fantástica de imagem, fácil de usar, muitas opções</v>
      </c>
      <c r="B41151" s="3">
        <v>1</v>
      </c>
    </row>
    <row r="41152" ht="15.75" customHeight="1" spans="1:2">
      <c r="A41152" s="3" t="str">
        <f>IFERROR(__xludf.DUMMYFUNCTION("GOOGLETRANSLATE(A41152,""en"",""pt"")"),"qualidade de imagem, muitos recursos, habitação sólida")</f>
        <v>qualidade de imagem, muitos recursos, habitação sólida</v>
      </c>
      <c r="B41152" s="3">
        <v>1</v>
      </c>
    </row>
    <row r="41153" ht="15.75" customHeight="1" spans="1:2">
      <c r="A41153" s="3" t="str">
        <f>IFERROR(__xludf.DUMMYFUNCTION("GOOGLETRANSLATE(A41153,""en"",""pt"")"),"Lotes de ajustes manuais., Amor o novo ""Modos de Cena"", bem construído e construído,")</f>
        <v>Lotes de ajustes manuais., Amor o novo "Modos de Cena", bem construído e construído,</v>
      </c>
      <c r="B41153" s="3">
        <v>1</v>
      </c>
    </row>
    <row r="41154" ht="15.75" customHeight="1" spans="1:2">
      <c r="A41154" s="3" t="str">
        <f>IFERROR(__xludf.DUMMYFUNCTION("GOOGLETRANSLATE(A41154,""en"",""pt"")"),"Excelentes cores e qualidade fotográfica, controles manuais completos")</f>
        <v>Excelentes cores e qualidade fotográfica, controles manuais completos</v>
      </c>
      <c r="B41154" s="3">
        <v>1</v>
      </c>
    </row>
    <row r="41155" ht="15.75" customHeight="1" spans="1:2">
      <c r="A41155" s="3" t="str">
        <f>IFERROR(__xludf.DUMMYFUNCTION("GOOGLETRANSLATE(A41155,""en"",""pt"")"),"WOW! Imagens de grande qualidade!")</f>
        <v>WOW! Imagens de grande qualidade!</v>
      </c>
      <c r="B41155" s="3">
        <v>1</v>
      </c>
    </row>
    <row r="41156" ht="15.75" customHeight="1" spans="1:2">
      <c r="A41156" s="3" t="str">
        <f>IFERROR(__xludf.DUMMYFUNCTION("GOOGLETRANSLATE(A41156,""en"",""pt"")"),"Ótimo preço ~ relação de desempenho, excelente qualidade de imagem.")</f>
        <v>Ótimo preço ~ relação de desempenho, excelente qualidade de imagem.</v>
      </c>
      <c r="B41156" s="3">
        <v>1</v>
      </c>
    </row>
    <row r="41157" ht="15.75" customHeight="1" spans="1:2">
      <c r="A41157" s="3" t="str">
        <f>IFERROR(__xludf.DUMMYFUNCTION("GOOGLETRANSLATE(A41157,""en"",""pt"")"),"Fácil de tirar ótimas fotos para a direita fora da caixa, e mais para aprender mais tarde")</f>
        <v>Fácil de tirar ótimas fotos para a direita fora da caixa, e mais para aprender mais tarde</v>
      </c>
      <c r="B41157" s="3">
        <v>1</v>
      </c>
    </row>
    <row r="41158" ht="15.75" customHeight="1" spans="1:2">
      <c r="A41158" s="3" t="str">
        <f>IFERROR(__xludf.DUMMYFUNCTION("GOOGLETRANSLATE(A41158,""en"",""pt"")"),"Muito boa a qualidade da foto, os lotes de controle manual / criativo, barato, zoom óptico 3x, pilhas AA,")</f>
        <v>Muito boa a qualidade da foto, os lotes de controle manual / criativo, barato, zoom óptico 3x, pilhas AA,</v>
      </c>
      <c r="B41158" s="3">
        <v>1</v>
      </c>
    </row>
    <row r="41159" ht="15.75" customHeight="1" spans="1:2">
      <c r="A41159" s="3" t="str">
        <f>IFERROR(__xludf.DUMMYFUNCTION("GOOGLETRANSLATE(A41159,""en"",""pt"")"),"Design.Ease de uso.")</f>
        <v>Design.Ease de uso.</v>
      </c>
      <c r="B41159" s="3">
        <v>1</v>
      </c>
    </row>
    <row r="41160" ht="15.75" customHeight="1" spans="1:2">
      <c r="A41160" s="3" t="str">
        <f>IFERROR(__xludf.DUMMYFUNCTION("GOOGLETRANSLATE(A41160,""en"",""pt"")"),"-barato, -o melhor em de 2 mega, opções de Múltiplos !, -great para começar")</f>
        <v>-barato, -o melhor em de 2 mega, opções de Múltiplos !, -great para começar</v>
      </c>
      <c r="B41160" s="3">
        <v>1</v>
      </c>
    </row>
    <row r="41161" ht="15.75" customHeight="1" spans="1:2">
      <c r="A41161" s="3" t="str">
        <f>IFERROR(__xludf.DUMMYFUNCTION("GOOGLETRANSLATE(A41161,""en"",""pt"")"),"Bom preço em relação ao desempenho, fácil de usar. Boa qualidade de imagem.")</f>
        <v>Bom preço em relação ao desempenho, fácil de usar. Boa qualidade de imagem.</v>
      </c>
      <c r="B41161" s="3">
        <v>1</v>
      </c>
    </row>
    <row r="41162" ht="15.75" customHeight="1" spans="1:2">
      <c r="A41162" s="3" t="str">
        <f>IFERROR(__xludf.DUMMYFUNCTION("GOOGLETRANSLATE(A41162,""en"",""pt"")"),"excelente qualidade de imagem, som em configurações de filme, preço razoável, fácil de usar, ótimo zoom")</f>
        <v>excelente qualidade de imagem, som em configurações de filme, preço razoável, fácil de usar, ótimo zoom</v>
      </c>
      <c r="B41162" s="3">
        <v>1</v>
      </c>
    </row>
    <row r="41163" ht="15.75" customHeight="1" spans="1:2">
      <c r="A41163" s="3" t="str">
        <f>IFERROR(__xludf.DUMMYFUNCTION("GOOGLETRANSLATE(A41163,""en"",""pt"")"),"muitas opções manuais, boas fotos")</f>
        <v>muitas opções manuais, boas fotos</v>
      </c>
      <c r="B41163" s="3">
        <v>1</v>
      </c>
    </row>
    <row r="41164" ht="15.75" customHeight="1" spans="1:2">
      <c r="A41164" s="3" t="str">
        <f>IFERROR(__xludf.DUMMYFUNCTION("GOOGLETRANSLATE(A41164,""en"",""pt"")"),"vida útil da bateria")</f>
        <v>vida útil da bateria</v>
      </c>
      <c r="B41164" s="3">
        <v>1</v>
      </c>
    </row>
    <row r="41165" ht="15.75" customHeight="1" spans="1:2">
      <c r="A41165" s="3" t="str">
        <f>IFERROR(__xludf.DUMMYFUNCTION("GOOGLETRANSLATE(A41165,""en"",""pt"")"),"Relativamente leve, de melhor qualidade do que o esperado para uma câmera de 2MP")</f>
        <v>Relativamente leve, de melhor qualidade do que o esperado para uma câmera de 2MP</v>
      </c>
      <c r="B41165" s="3">
        <v>1</v>
      </c>
    </row>
    <row r="41166" ht="15.75" customHeight="1" spans="1:2">
      <c r="A41166" s="3" t="str">
        <f>IFERROR(__xludf.DUMMYFUNCTION("GOOGLETRANSLATE(A41166,""en"",""pt"")"),"bom tamanho, boa bateria, características agradáveis.")</f>
        <v>bom tamanho, boa bateria, características agradáveis.</v>
      </c>
      <c r="B41166" s="3">
        <v>1</v>
      </c>
    </row>
    <row r="41167" ht="15.75" customHeight="1" spans="1:2">
      <c r="A41167" s="3" t="str">
        <f>IFERROR(__xludf.DUMMYFUNCTION("GOOGLETRANSLATE(A41167,""en"",""pt"")"),"Preço. A qualidade da foto. Recursos.")</f>
        <v>Preço. A qualidade da foto. Recursos.</v>
      </c>
      <c r="B41167" s="3">
        <v>1</v>
      </c>
    </row>
    <row r="41168" ht="15.75" customHeight="1" spans="1:2">
      <c r="A41168" s="3" t="str">
        <f>IFERROR(__xludf.DUMMYFUNCTION("GOOGLETRANSLATE(A41168,""en"",""pt"")"),"pequena câmera poderosa, pilhas AA, qualidade de imagem")</f>
        <v>pequena câmera poderosa, pilhas AA, qualidade de imagem</v>
      </c>
      <c r="B41168" s="3">
        <v>1</v>
      </c>
    </row>
    <row r="41169" ht="15.75" customHeight="1" spans="1:2">
      <c r="A41169" s="3" t="str">
        <f>IFERROR(__xludf.DUMMYFUNCTION("GOOGLETRANSLATE(A41169,""en"",""pt"")"),"Melhor valor total, de corpo sólido, ajustes manuais para uso avançado.")</f>
        <v>Melhor valor total, de corpo sólido, ajustes manuais para uso avançado.</v>
      </c>
      <c r="B41169" s="3">
        <v>1</v>
      </c>
    </row>
    <row r="41170" ht="15.75" customHeight="1" spans="1:2">
      <c r="A41170" s="3" t="str">
        <f>IFERROR(__xludf.DUMMYFUNCTION("GOOGLETRANSLATE(A41170,""en"",""pt"")"),"3 megapixels, zoom óptico 3x, bom preço, sensação de solidez, botão FUNC")</f>
        <v>3 megapixels, zoom óptico 3x, bom preço, sensação de solidez, botão FUNC</v>
      </c>
      <c r="B41170" s="3">
        <v>1</v>
      </c>
    </row>
    <row r="41171" ht="15.75" customHeight="1" spans="1:2">
      <c r="A41171" s="3" t="str">
        <f>IFERROR(__xludf.DUMMYFUNCTION("GOOGLETRANSLATE(A41171,""en"",""pt"")"),"Preço. recursos anunciados. Tamanho.")</f>
        <v>Preço. recursos anunciados. Tamanho.</v>
      </c>
      <c r="B41171" s="3">
        <v>1</v>
      </c>
    </row>
    <row r="41172" ht="15.75" customHeight="1" spans="1:2">
      <c r="A41172" s="3" t="str">
        <f>IFERROR(__xludf.DUMMYFUNCTION("GOOGLETRANSLATE(A41172,""en"",""pt"")"),"3.2 megapixels, zoom óptico 3x, tamanho compacto, os lotes de controle criativo.")</f>
        <v>3.2 megapixels, zoom óptico 3x, tamanho compacto, os lotes de controle criativo.</v>
      </c>
      <c r="B41172" s="3">
        <v>1</v>
      </c>
    </row>
    <row r="41173" ht="15.75" customHeight="1" spans="1:2">
      <c r="A41173" s="3" t="str">
        <f>IFERROR(__xludf.DUMMYFUNCTION("GOOGLETRANSLATE(A41173,""en"",""pt"")"),"Lotes de controles personalizados, bom zoom, pequena, decente qualidade da foto")</f>
        <v>Lotes de controles personalizados, bom zoom, pequena, decente qualidade da foto</v>
      </c>
      <c r="B41173" s="3">
        <v>1</v>
      </c>
    </row>
    <row r="41174" ht="15.75" customHeight="1" spans="1:2">
      <c r="A41174" s="3" t="str">
        <f>IFERROR(__xludf.DUMMYFUNCTION("GOOGLETRANSLATE(A41174,""en"",""pt"")"),"Construção, qualidade de imagem, funções, modo manual, boa macro, 16 MB incluído compact flash")</f>
        <v>Construção, qualidade de imagem, funções, modo manual, boa macro, 16 MB incluído compact flash</v>
      </c>
      <c r="B41174" s="3">
        <v>1</v>
      </c>
    </row>
    <row r="41175" ht="15.75" customHeight="1" spans="1:2">
      <c r="A41175" s="3" t="str">
        <f>IFERROR(__xludf.DUMMYFUNCTION("GOOGLETRANSLATE(A41175,""en"",""pt"")"),"Fácil de aprender e usar, excelentes fotos de baixa luz, um grande valor.")</f>
        <v>Fácil de aprender e usar, excelentes fotos de baixa luz, um grande valor.</v>
      </c>
      <c r="B41175" s="3">
        <v>1</v>
      </c>
    </row>
    <row r="41176" ht="15.75" customHeight="1" spans="1:2">
      <c r="A41176" s="3" t="str">
        <f>IFERROR(__xludf.DUMMYFUNCTION("GOOGLETRANSLATE(A41176,""en"",""pt"")"),"A qualidade da imagem é boa. Tamanho é bom.")</f>
        <v>A qualidade da imagem é boa. Tamanho é bom.</v>
      </c>
      <c r="B41176" s="3">
        <v>1</v>
      </c>
    </row>
    <row r="41177" ht="15.75" customHeight="1" spans="1:2">
      <c r="A41177" s="3" t="str">
        <f>IFERROR(__xludf.DUMMYFUNCTION("GOOGLETRANSLATE(A41177,""en"",""pt"")"),"Preço foi boa $ 263 total. Imagem de boa qualidade com base no uso limitado.")</f>
        <v>Preço foi boa $ 263 total. Imagem de boa qualidade com base no uso limitado.</v>
      </c>
      <c r="B41177" s="3">
        <v>1</v>
      </c>
    </row>
    <row r="41178" ht="15.75" customHeight="1" spans="1:2">
      <c r="A41178" s="3" t="str">
        <f>IFERROR(__xludf.DUMMYFUNCTION("GOOGLETRANSLATE(A41178,""en"",""pt"")"),"Grande bang para o buck - opções manuais e de baixo custo")</f>
        <v>Grande bang para o buck - opções manuais e de baixo custo</v>
      </c>
      <c r="B41178" s="3">
        <v>1</v>
      </c>
    </row>
    <row r="41179" ht="15.75" customHeight="1" spans="1:2">
      <c r="A41179" s="3" t="str">
        <f>IFERROR(__xludf.DUMMYFUNCTION("GOOGLETRANSLATE(A41179,""en"",""pt"")"),"Fácil de usar e qualidade maravilhosa.")</f>
        <v>Fácil de usar e qualidade maravilhosa.</v>
      </c>
      <c r="B41179" s="3">
        <v>1</v>
      </c>
    </row>
    <row r="41180" ht="15.75" customHeight="1" spans="1:2">
      <c r="A41180" s="3" t="str">
        <f>IFERROR(__xludf.DUMMYFUNCTION("GOOGLETRANSLATE(A41180,""en"",""pt"")"),"Bom equilíbrio de cor, bom comando manual, capacidades de vídeo interessantes, interface agradável, preço razoável")</f>
        <v>Bom equilíbrio de cor, bom comando manual, capacidades de vídeo interessantes, interface agradável, preço razoável</v>
      </c>
      <c r="B41180" s="3">
        <v>1</v>
      </c>
    </row>
    <row r="41181" ht="15.75" customHeight="1" spans="1:2">
      <c r="A41181" s="3" t="str">
        <f>IFERROR(__xludf.DUMMYFUNCTION("GOOGLETRANSLATE(A41181,""en"",""pt"")"),"excelente qualidade de imagem, vídeo excelente w / som, boa bateria, durável")</f>
        <v>excelente qualidade de imagem, vídeo excelente w / som, boa bateria, durável</v>
      </c>
      <c r="B41181" s="3">
        <v>1</v>
      </c>
    </row>
    <row r="41182" ht="15.75" customHeight="1" spans="1:2">
      <c r="A41182" s="3" t="str">
        <f>IFERROR(__xludf.DUMMYFUNCTION("GOOGLETRANSLATE(A41182,""en"",""pt"")"),"relativamente barato ;, imagens de qualidade ;, pequena ;, fácil de usar")</f>
        <v>relativamente barato ;, imagens de qualidade ;, pequena ;, fácil de usar</v>
      </c>
      <c r="B41182" s="3">
        <v>1</v>
      </c>
    </row>
    <row r="41183" ht="15.75" customHeight="1" spans="1:2">
      <c r="A41183" s="3" t="str">
        <f>IFERROR(__xludf.DUMMYFUNCTION("GOOGLETRANSLATE(A41183,""en"",""pt"")"),"3 minutos de filme rochas! Agradável surprize.")</f>
        <v>3 minutos de filme rochas! Agradável surprize.</v>
      </c>
      <c r="B41183" s="3">
        <v>1</v>
      </c>
    </row>
    <row r="41184" ht="15.75" customHeight="1" spans="1:2">
      <c r="A41184" s="3" t="str">
        <f>IFERROR(__xludf.DUMMYFUNCTION("GOOGLETRANSLATE(A41184,""en"",""pt"")"),"Grandes fotos, fácil de usar, bons manuais, muitas opções, leva vídeos")</f>
        <v>Grandes fotos, fácil de usar, bons manuais, muitas opções, leva vídeos</v>
      </c>
      <c r="B41184" s="3">
        <v>1</v>
      </c>
    </row>
    <row r="41185" ht="15.75" customHeight="1" spans="1:2">
      <c r="A41185" s="3" t="str">
        <f>IFERROR(__xludf.DUMMYFUNCTION("GOOGLETRANSLATE(A41185,""en"",""pt"")"),"Cheio de recursos para o preço - facilidade de uso - usa pilhas AA regulares")</f>
        <v>Cheio de recursos para o preço - facilidade de uso - usa pilhas AA regulares</v>
      </c>
      <c r="B41185" s="3">
        <v>1</v>
      </c>
    </row>
    <row r="41186" ht="15.75" customHeight="1" spans="1:2">
      <c r="A41186" s="3" t="str">
        <f>IFERROR(__xludf.DUMMYFUNCTION("GOOGLETRANSLATE(A41186,""en"",""pt"")"),"Qualidade de imagem, controlo manual total, Bom Flash, o iluminador AF, usa pilhas AA.,")</f>
        <v>Qualidade de imagem, controlo manual total, Bom Flash, o iluminador AF, usa pilhas AA.,</v>
      </c>
      <c r="B41186" s="3">
        <v>1</v>
      </c>
    </row>
    <row r="41187" ht="15.75" customHeight="1" spans="1:2">
      <c r="A41187" s="3" t="str">
        <f>IFERROR(__xludf.DUMMYFUNCTION("GOOGLETRANSLATE(A41187,""en"",""pt"")"),"3.2MP, excelente ergonomia / usabilidade, fácil de usar, mas a funcionalidade avançada")</f>
        <v>3.2MP, excelente ergonomia / usabilidade, fácil de usar, mas a funcionalidade avançada</v>
      </c>
      <c r="B41187" s="3">
        <v>1</v>
      </c>
    </row>
    <row r="41188" ht="15.75" customHeight="1" spans="1:2">
      <c r="A41188" s="3" t="str">
        <f>IFERROR(__xludf.DUMMYFUNCTION("GOOGLETRANSLATE(A41188,""en"",""pt"")"),"Facilidade de uso, tamanho pequeno, arquivos de vídeo com som")</f>
        <v>Facilidade de uso, tamanho pequeno, arquivos de vídeo com som</v>
      </c>
      <c r="B41188" s="3">
        <v>1</v>
      </c>
    </row>
    <row r="41189" ht="15.75" customHeight="1" spans="1:2">
      <c r="A41189" s="3" t="str">
        <f>IFERROR(__xludf.DUMMYFUNCTION("GOOGLETRANSLATE(A41189,""en"",""pt"")"),"Facilidade de uso, Utiliza 4 pilhas AA, o modo Angle Wise, software Stitch,")</f>
        <v>Facilidade de uso, Utiliza 4 pilhas AA, o modo Angle Wise, software Stitch,</v>
      </c>
      <c r="B41189" s="3">
        <v>1</v>
      </c>
    </row>
    <row r="41190" ht="15.75" customHeight="1" spans="1:2">
      <c r="A41190" s="3" t="str">
        <f>IFERROR(__xludf.DUMMYFUNCTION("GOOGLETRANSLATE(A41190,""en"",""pt"")"),"Fácil de usar, agradáveis ​​fotos nítidas e boa cor, lotes de características avançadas.")</f>
        <v>Fácil de usar, agradáveis ​​fotos nítidas e boa cor, lotes de características avançadas.</v>
      </c>
      <c r="B41190" s="3">
        <v>1</v>
      </c>
    </row>
    <row r="41191" ht="15.75" customHeight="1" spans="1:2">
      <c r="A41191" s="3" t="str">
        <f>IFERROR(__xludf.DUMMYFUNCTION("GOOGLETRANSLATE(A41191,""en"",""pt"")"),"Absolutamente fotografias incríveis, extremamente ergonômico e económicas, um zilhão apresenta.")</f>
        <v>Absolutamente fotografias incríveis, extremamente ergonômico e económicas, um zilhão apresenta.</v>
      </c>
      <c r="B41191" s="3">
        <v>1</v>
      </c>
    </row>
    <row r="41192" ht="15.75" customHeight="1" spans="1:2">
      <c r="A41192" s="3" t="str">
        <f>IFERROR(__xludf.DUMMYFUNCTION("GOOGLETRANSLATE(A41192,""en"",""pt"")"),"Barato, ótimas fotos, apontar e disparar distância!")</f>
        <v>Barato, ótimas fotos, apontar e disparar distância!</v>
      </c>
      <c r="B41192" s="3">
        <v>1</v>
      </c>
    </row>
    <row r="41193" ht="15.75" customHeight="1" spans="1:2">
      <c r="A41193" s="3" t="str">
        <f>IFERROR(__xludf.DUMMYFUNCTION("GOOGLETRANSLATE(A41193,""en"",""pt"")"),"Poderoso, preciso, fácil de usar, vale cada centavo.")</f>
        <v>Poderoso, preciso, fácil de usar, vale cada centavo.</v>
      </c>
      <c r="B41193" s="3">
        <v>1</v>
      </c>
    </row>
    <row r="41194" ht="15.75" customHeight="1" spans="1:2">
      <c r="A41194" s="3" t="str">
        <f>IFERROR(__xludf.DUMMYFUNCTION("GOOGLETRANSLATE(A41194,""en"",""pt"")"),"fotos Super claros e grande característica macro, excelentes capacidades de zoom e clips de vídeo super !!")</f>
        <v>fotos Super claros e grande característica macro, excelentes capacidades de zoom e clips de vídeo super !!</v>
      </c>
      <c r="B41194" s="3">
        <v>1</v>
      </c>
    </row>
    <row r="41195" ht="15.75" customHeight="1" spans="1:2">
      <c r="A41195" s="3" t="str">
        <f>IFERROR(__xludf.DUMMYFUNCTION("GOOGLETRANSLATE(A41195,""en"",""pt"")"),"A maioria de estrondo para seu fanfarrão, lâmpada ASSIT AF, imagens excelentes, facilidade de uso.")</f>
        <v>A maioria de estrondo para seu fanfarrão, lâmpada ASSIT AF, imagens excelentes, facilidade de uso.</v>
      </c>
      <c r="B41195" s="3">
        <v>1</v>
      </c>
    </row>
    <row r="41196" ht="15.75" customHeight="1" spans="1:2">
      <c r="A41196" s="3" t="str">
        <f>IFERROR(__xludf.DUMMYFUNCTION("GOOGLETRANSLATE(A41196,""en"",""pt"")"),"- Qualidade da imagem, - Camera qualidade de construção, - Lens add-ons, caso Subaquático, - Interface Intuitiva")</f>
        <v>- Qualidade da imagem, - Camera qualidade de construção, - Lens add-ons, caso Subaquático, - Interface Intuitiva</v>
      </c>
      <c r="B41196" s="3">
        <v>1</v>
      </c>
    </row>
    <row r="41197" ht="15.75" customHeight="1" spans="1:2">
      <c r="A41197" s="3" t="str">
        <f>IFERROR(__xludf.DUMMYFUNCTION("GOOGLETRANSLATE(A41197,""en"",""pt"")"),"High End funções e lentes de vidro a bons preços.")</f>
        <v>High End funções e lentes de vidro a bons preços.</v>
      </c>
      <c r="B41197" s="3">
        <v>1</v>
      </c>
    </row>
    <row r="41198" ht="15.75" customHeight="1" spans="1:2">
      <c r="A41198" s="3" t="str">
        <f>IFERROR(__xludf.DUMMYFUNCTION("GOOGLETRANSLATE(A41198,""en"",""pt"")"),"Muito boa a qualidade da foto, os lotes de controle manual / criativo, barato,")</f>
        <v>Muito boa a qualidade da foto, os lotes de controle manual / criativo, barato,</v>
      </c>
      <c r="B41198" s="3">
        <v>1</v>
      </c>
    </row>
    <row r="41199" ht="15.75" customHeight="1" spans="1:2">
      <c r="A41199" s="3" t="str">
        <f>IFERROR(__xludf.DUMMYFUNCTION("GOOGLETRANSLATE(A41199,""en"",""pt"")"),"qualidade de imagem, design de corpo, mídia CompactFlash, Modo de Filme com som, bateria, lentes opcionais")</f>
        <v>qualidade de imagem, design de corpo, mídia CompactFlash, Modo de Filme com som, bateria, lentes opcionais</v>
      </c>
      <c r="B41199" s="3">
        <v>1</v>
      </c>
    </row>
    <row r="41200" ht="15.75" customHeight="1" spans="1:2">
      <c r="A41200" s="3" t="str">
        <f>IFERROR(__xludf.DUMMYFUNCTION("GOOGLETRANSLATE(A41200,""en"",""pt"")"),"Fácil de usar, a cor muito preciso, sistema de focagem automática inteligente, modos de disparo funcionais, excelente software")</f>
        <v>Fácil de usar, a cor muito preciso, sistema de focagem automática inteligente, modos de disparo funcionais, excelente software</v>
      </c>
      <c r="B41200" s="3">
        <v>1</v>
      </c>
    </row>
    <row r="41201" ht="15.75" customHeight="1" spans="1:2">
      <c r="A41201" s="3" t="str">
        <f>IFERROR(__xludf.DUMMYFUNCTION("GOOGLETRANSLATE(A41201,""en"",""pt"")"),"Um pequeno, leve, potência quase profissional.")</f>
        <v>Um pequeno, leve, potência quase profissional.</v>
      </c>
      <c r="B41201" s="3">
        <v>1</v>
      </c>
    </row>
    <row r="41202" ht="15.75" customHeight="1" spans="1:2">
      <c r="A41202" s="3" t="str">
        <f>IFERROR(__xludf.DUMMYFUNCTION("GOOGLETRANSLATE(A41202,""en"",""pt"")"),"Facilidade de uso, características, manual impresso")</f>
        <v>Facilidade de uso, características, manual impresso</v>
      </c>
      <c r="B41202" s="3">
        <v>1</v>
      </c>
    </row>
    <row r="41203" ht="15.75" customHeight="1" spans="1:2">
      <c r="A41203" s="3" t="str">
        <f>IFERROR(__xludf.DUMMYFUNCTION("GOOGLETRANSLATE(A41203,""en"",""pt"")"),"Modo de auto grande, mantas AA, grande valor")</f>
        <v>Modo de auto grande, mantas AA, grande valor</v>
      </c>
      <c r="B41203" s="3">
        <v>1</v>
      </c>
    </row>
    <row r="41204" ht="15.75" customHeight="1" spans="1:2">
      <c r="A41204" s="3" t="str">
        <f>IFERROR(__xludf.DUMMYFUNCTION("GOOGLETRANSLATE(A41204,""en"",""pt"")"),"3.2 MP, fotos excelentes de qualidade")</f>
        <v>3.2 MP, fotos excelentes de qualidade</v>
      </c>
      <c r="B41204" s="3">
        <v>1</v>
      </c>
    </row>
    <row r="41205" ht="15.75" customHeight="1" spans="1:2">
      <c r="A41205" s="3" t="str">
        <f>IFERROR(__xludf.DUMMYFUNCTION("GOOGLETRANSLATE(A41205,""en"",""pt"")"),"Grande Megapixel / preço, fácil de usar, muitas características, durável, Great todo")</f>
        <v>Grande Megapixel / preço, fácil de usar, muitas características, durável, Great todo</v>
      </c>
      <c r="B41205" s="3">
        <v>1</v>
      </c>
    </row>
    <row r="41206" ht="15.75" customHeight="1" spans="1:2">
      <c r="A41206" s="3" t="str">
        <f>IFERROR(__xludf.DUMMYFUNCTION("GOOGLETRANSLATE(A41206,""en"",""pt"")"),"Preço, tamanho e")</f>
        <v>Preço, tamanho e</v>
      </c>
      <c r="B41206" s="3">
        <v>1</v>
      </c>
    </row>
    <row r="41207" ht="15.75" customHeight="1" spans="1:2">
      <c r="A41207" s="3" t="str">
        <f>IFERROR(__xludf.DUMMYFUNCTION("GOOGLETRANSLATE(A41207,""en"",""pt"")"),"No geral, fotos excelentes, a vida da bateria, atualizações de internet, recursos")</f>
        <v>No geral, fotos excelentes, a vida da bateria, atualizações de internet, recursos</v>
      </c>
      <c r="B41207" s="3">
        <v>1</v>
      </c>
    </row>
    <row r="41208" ht="15.75" customHeight="1" spans="1:2">
      <c r="A41208" s="3" t="str">
        <f>IFERROR(__xludf.DUMMYFUNCTION("GOOGLETRANSLATE(A41208,""en"",""pt"")"),"Tamanho, forma câmera tradicional, a vida da bateria, recursos manuais")</f>
        <v>Tamanho, forma câmera tradicional, a vida da bateria, recursos manuais</v>
      </c>
      <c r="B41208" s="3">
        <v>1</v>
      </c>
    </row>
    <row r="41209" ht="15.75" customHeight="1" spans="1:2">
      <c r="A41209" s="3" t="str">
        <f>IFERROR(__xludf.DUMMYFUNCTION("GOOGLETRANSLATE(A41209,""en"",""pt"")"),"Uau! Uau! Uau! controle excelente e qualidade!")</f>
        <v>Uau! Uau! Uau! controle excelente e qualidade!</v>
      </c>
      <c r="B41209" s="3">
        <v>1</v>
      </c>
    </row>
    <row r="41210" ht="15.75" customHeight="1" spans="1:2">
      <c r="A41210" s="3" t="str">
        <f>IFERROR(__xludf.DUMMYFUNCTION("GOOGLETRANSLATE(A41210,""en"",""pt"")"),"Fácil de usar, excelentes imagens, serviços on-line como ofoto.com tornar isso ainda melhor")</f>
        <v>Fácil de usar, excelentes imagens, serviços on-line como ofoto.com tornar isso ainda melhor</v>
      </c>
      <c r="B41210" s="3">
        <v>1</v>
      </c>
    </row>
    <row r="41211" ht="15.75" customHeight="1" spans="1:2">
      <c r="A41211" s="3" t="str">
        <f>IFERROR(__xludf.DUMMYFUNCTION("GOOGLETRANSLATE(A41211,""en"",""pt"")"),"Grandes opções, excelente vida útil da bateria, IBM Microdrive compatível.")</f>
        <v>Grandes opções, excelente vida útil da bateria, IBM Microdrive compatível.</v>
      </c>
      <c r="B41211" s="3">
        <v>1</v>
      </c>
    </row>
    <row r="41212" ht="15.75" customHeight="1" spans="1:2">
      <c r="A41212" s="3" t="str">
        <f>IFERROR(__xludf.DUMMYFUNCTION("GOOGLETRANSLATE(A41212,""en"",""pt"")"),"Imagens de grande qualidade, o tamanho, a duração da bateria")</f>
        <v>Imagens de grande qualidade, o tamanho, a duração da bateria</v>
      </c>
      <c r="B41212" s="3">
        <v>1</v>
      </c>
    </row>
    <row r="41213" ht="15.75" customHeight="1" spans="1:2">
      <c r="A41213" s="3" t="str">
        <f>IFERROR(__xludf.DUMMYFUNCTION("GOOGLETRANSLATE(A41213,""en"",""pt"")"),"grande, 3.34 megapixels, grande resolotioun")</f>
        <v>grande, 3.34 megapixels, grande resolotioun</v>
      </c>
      <c r="B41213" s="3">
        <v>1</v>
      </c>
    </row>
    <row r="41214" ht="15.75" customHeight="1" spans="1:2">
      <c r="A41214" s="3" t="str">
        <f>IFERROR(__xludf.DUMMYFUNCTION("GOOGLETRANSLATE(A41214,""en"",""pt"")"),"fotos de alta qualidade, boa bateria, ótimas opções")</f>
        <v>fotos de alta qualidade, boa bateria, ótimas opções</v>
      </c>
      <c r="B41214" s="3">
        <v>1</v>
      </c>
    </row>
    <row r="41215" ht="15.75" customHeight="1" spans="1:2">
      <c r="A41215" s="3" t="str">
        <f>IFERROR(__xludf.DUMMYFUNCTION("GOOGLETRANSLATE(A41215,""en"",""pt"")"),"clareza, qualidade, grande autonomia da bateria (re-pago), tela de LCD giratória")</f>
        <v>clareza, qualidade, grande autonomia da bateria (re-pago), tela de LCD giratória</v>
      </c>
      <c r="B41215" s="3">
        <v>1</v>
      </c>
    </row>
    <row r="41216" ht="15.75" customHeight="1" spans="1:2">
      <c r="A41216" s="3" t="str">
        <f>IFERROR(__xludf.DUMMYFUNCTION("GOOGLETRANSLATE(A41216,""en"",""pt"")"),"Um adaptador AC e carregador de bateria com uma bateria recarregável de iões de lítio está incluído.")</f>
        <v>Um adaptador AC e carregador de bateria com uma bateria recarregável de iões de lítio está incluído.</v>
      </c>
      <c r="B41216" s="3">
        <v>1</v>
      </c>
    </row>
    <row r="41217" ht="15.75" customHeight="1" spans="1:2">
      <c r="A41217" s="3" t="str">
        <f>IFERROR(__xludf.DUMMYFUNCTION("GOOGLETRANSLATE(A41217,""en"",""pt"")"),"Boa Pics e uma câmera de boa-around tudo, exceto. . .")</f>
        <v>Boa Pics e uma câmera de boa-around tudo, exceto. . .</v>
      </c>
      <c r="B41217" s="3">
        <v>1</v>
      </c>
    </row>
    <row r="41218" ht="15.75" customHeight="1" spans="1:2">
      <c r="A41218" s="3" t="str">
        <f>IFERROR(__xludf.DUMMYFUNCTION("GOOGLETRANSLATE(A41218,""en"",""pt"")"),"qualidade de imagem, a vida da bateria, ISO 50, o formato RAW, etc.")</f>
        <v>qualidade de imagem, a vida da bateria, ISO 50, o formato RAW, etc.</v>
      </c>
      <c r="B41218" s="3">
        <v>1</v>
      </c>
    </row>
    <row r="41219" ht="15.75" customHeight="1" spans="1:2">
      <c r="A41219" s="3" t="str">
        <f>IFERROR(__xludf.DUMMYFUNCTION("GOOGLETRANSLATE(A41219,""en"",""pt"")"),"Grandes imagens, bateria, dobre in / torcer para fora LCD, ISO 50, RAW arquivos de imagem")</f>
        <v>Grandes imagens, bateria, dobre in / torcer para fora LCD, ISO 50, RAW arquivos de imagem</v>
      </c>
      <c r="B41219" s="3">
        <v>1</v>
      </c>
    </row>
    <row r="41220" ht="15.75" customHeight="1" spans="1:2">
      <c r="A41220" s="3" t="str">
        <f>IFERROR(__xludf.DUMMYFUNCTION("GOOGLETRANSLATE(A41220,""en"",""pt"")"),"tela torcendo, vida útil da bateria, o modo de ponto, microdrive, excelente construção.")</f>
        <v>tela torcendo, vida útil da bateria, o modo de ponto, microdrive, excelente construção.</v>
      </c>
      <c r="B41220" s="3">
        <v>1</v>
      </c>
    </row>
    <row r="41221" ht="15.75" customHeight="1" spans="1:2">
      <c r="A41221" s="3" t="str">
        <f>IFERROR(__xludf.DUMMYFUNCTION("GOOGLETRANSLATE(A41221,""en"",""pt"")"),"tela LCD torcer, suporte IBM MicroDrive, Flash Hot-shoe, a vida da bateria, manual múltipla e modos automáticos")</f>
        <v>tela LCD torcer, suporte IBM MicroDrive, Flash Hot-shoe, a vida da bateria, manual múltipla e modos automáticos</v>
      </c>
      <c r="B41221" s="3">
        <v>1</v>
      </c>
    </row>
    <row r="41222" ht="15.75" customHeight="1" spans="1:2">
      <c r="A41222" s="3" t="str">
        <f>IFERROR(__xludf.DUMMYFUNCTION("GOOGLETRANSLATE(A41222,""en"",""pt"")"),"qualidade de imagem, panorâmico, rechargeables incluído, controle remoto, LCD giratória.")</f>
        <v>qualidade de imagem, panorâmico, rechargeables incluído, controle remoto, LCD giratória.</v>
      </c>
      <c r="B41222" s="3">
        <v>1</v>
      </c>
    </row>
    <row r="41223" ht="15.75" customHeight="1" spans="1:2">
      <c r="A41223" s="3" t="str">
        <f>IFERROR(__xludf.DUMMYFUNCTION("GOOGLETRANSLATE(A41223,""en"",""pt"")"),"Boa óptica, bateria excelente, excelentes controles, estilo ""retro"", Built-in flash e sapata")</f>
        <v>Boa óptica, bateria excelente, excelentes controles, estilo "retro", Built-in flash e sapata</v>
      </c>
      <c r="B41223" s="3">
        <v>1</v>
      </c>
    </row>
    <row r="41224" ht="15.75" customHeight="1" spans="1:2">
      <c r="A41224" s="3" t="str">
        <f>IFERROR(__xludf.DUMMYFUNCTION("GOOGLETRANSLATE(A41224,""en"",""pt"")"),"Grandes fotos, leva 1 giga unidade micro")</f>
        <v>Grandes fotos, leva 1 giga unidade micro</v>
      </c>
      <c r="B41224" s="3">
        <v>1</v>
      </c>
    </row>
    <row r="41225" ht="15.75" customHeight="1" spans="1:2">
      <c r="A41225" s="3" t="str">
        <f>IFERROR(__xludf.DUMMYFUNCTION("GOOGLETRANSLATE(A41225,""en"",""pt"")"),"qualidade de imagem, extras que vêm na caixa (remoto sem fio, bateria), hotshoe")</f>
        <v>qualidade de imagem, extras que vêm na caixa (remoto sem fio, bateria), hotshoe</v>
      </c>
      <c r="B41225" s="3">
        <v>1</v>
      </c>
    </row>
    <row r="41226" ht="15.75" customHeight="1" spans="1:2">
      <c r="A41226" s="3" t="str">
        <f>IFERROR(__xludf.DUMMYFUNCTION("GOOGLETRANSLATE(A41226,""en"",""pt"")"),"Qualidade de imagem, design, recursos")</f>
        <v>Qualidade de imagem, design, recursos</v>
      </c>
      <c r="B41226" s="3">
        <v>1</v>
      </c>
    </row>
    <row r="41227" ht="15.75" customHeight="1" spans="1:2">
      <c r="A41227" s="3" t="str">
        <f>IFERROR(__xludf.DUMMYFUNCTION("GOOGLETRANSLATE(A41227,""en"",""pt"")"),"formidável qualidade da foto, durável, versátil")</f>
        <v>formidável qualidade da foto, durável, versátil</v>
      </c>
      <c r="B41227" s="3">
        <v>1</v>
      </c>
    </row>
    <row r="41228" ht="15.75" customHeight="1" spans="1:2">
      <c r="A41228" s="3" t="str">
        <f>IFERROR(__xludf.DUMMYFUNCTION("GOOGLETRANSLATE(A41228,""en"",""pt"")"),"excelentes fotos, rico em recursos, pesado.")</f>
        <v>excelentes fotos, rico em recursos, pesado.</v>
      </c>
      <c r="B41228" s="3">
        <v>1</v>
      </c>
    </row>
    <row r="41229" ht="15.75" customHeight="1" spans="1:2">
      <c r="A41229" s="3" t="str">
        <f>IFERROR(__xludf.DUMMYFUNCTION("GOOGLETRANSLATE(A41229,""en"",""pt"")"),"fotografar a luz baixa superior, ecrã LCD flexível, Hotshoe na câmera, mais rápido se concentrar, facilidade de uso, duração da bateria e todos os itens necessários incluído no preço de compra")</f>
        <v>fotografar a luz baixa superior, ecrã LCD flexível, Hotshoe na câmera, mais rápido se concentrar, facilidade de uso, duração da bateria e todos os itens necessários incluído no preço de compra</v>
      </c>
      <c r="B41229" s="3">
        <v>1</v>
      </c>
    </row>
    <row r="41230" ht="15.75" customHeight="1" spans="1:2">
      <c r="A41230" s="3" t="str">
        <f>IFERROR(__xludf.DUMMYFUNCTION("GOOGLETRANSLATE(A41230,""en"",""pt"")"),"A vida da bateria, grande capacidade de armazenamento, display LCD flip-out")</f>
        <v>A vida da bateria, grande capacidade de armazenamento, display LCD flip-out</v>
      </c>
      <c r="B41230" s="3">
        <v>1</v>
      </c>
    </row>
    <row r="41231" ht="15.75" customHeight="1" spans="1:2">
      <c r="A41231" s="3" t="str">
        <f>IFERROR(__xludf.DUMMYFUNCTION("GOOGLETRANSLATE(A41231,""en"",""pt"")"),"LCD giratória, opções de flash, imagens grandes")</f>
        <v>LCD giratória, opções de flash, imagens grandes</v>
      </c>
      <c r="B41231" s="3">
        <v>1</v>
      </c>
    </row>
    <row r="41232" ht="15.75" customHeight="1" spans="1:2">
      <c r="A41232" s="3" t="str">
        <f>IFERROR(__xludf.DUMMYFUNCTION("GOOGLETRANSLATE(A41232,""en"",""pt"")"),"qualidade de imagem, a vida da bateria, dispositivos de armazenamento flexíveis")</f>
        <v>qualidade de imagem, a vida da bateria, dispositivos de armazenamento flexíveis</v>
      </c>
      <c r="B41232" s="3">
        <v>1</v>
      </c>
    </row>
    <row r="41233" ht="15.75" customHeight="1" spans="1:2">
      <c r="A41233" s="3" t="str">
        <f>IFERROR(__xludf.DUMMYFUNCTION("GOOGLETRANSLATE(A41233,""en"",""pt"")"),"Grande tela, filmes com som, qualidade fantástica.")</f>
        <v>Grande tela, filmes com som, qualidade fantástica.</v>
      </c>
      <c r="B41233" s="3">
        <v>1</v>
      </c>
    </row>
    <row r="41234" ht="15.75" customHeight="1" spans="1:2">
      <c r="A41234" s="3" t="str">
        <f>IFERROR(__xludf.DUMMYFUNCTION("GOOGLETRANSLATE(A41234,""en"",""pt"")"),"Grande bateria, sapata, arquivos raw")</f>
        <v>Grande bateria, sapata, arquivos raw</v>
      </c>
      <c r="B41234" s="3">
        <v>1</v>
      </c>
    </row>
    <row r="41235" ht="15.75" customHeight="1" spans="1:2">
      <c r="A41235" s="3" t="str">
        <f>IFERROR(__xludf.DUMMYFUNCTION("GOOGLETRANSLATE(A41235,""en"",""pt"")"),"Fácil de usar e controlar ainda completa")</f>
        <v>Fácil de usar e controlar ainda completa</v>
      </c>
      <c r="B41235" s="3">
        <v>1</v>
      </c>
    </row>
    <row r="41236" ht="15.75" customHeight="1" spans="1:2">
      <c r="A41236" s="3" t="str">
        <f>IFERROR(__xludf.DUMMYFUNCTION("GOOGLETRANSLATE(A41236,""en"",""pt"")"),"design superior e qualidade, a comparação de preço.")</f>
        <v>design superior e qualidade, a comparação de preço.</v>
      </c>
      <c r="B41236" s="3">
        <v>1</v>
      </c>
    </row>
    <row r="41237" ht="15.75" customHeight="1" spans="1:2">
      <c r="A41237" s="3" t="str">
        <f>IFERROR(__xludf.DUMMYFUNCTION("GOOGLETRANSLATE(A41237,""en"",""pt"")"),"Nice oferece conjunto, o apoio microdrive, user friendly")</f>
        <v>Nice oferece conjunto, o apoio microdrive, user friendly</v>
      </c>
      <c r="B41237" s="3">
        <v>1</v>
      </c>
    </row>
    <row r="41238" ht="15.75" customHeight="1" spans="1:2">
      <c r="A41238" s="3" t="str">
        <f>IFERROR(__xludf.DUMMYFUNCTION("GOOGLETRANSLATE(A41238,""en"",""pt"")"),"lente afiado, portáteis, controlos manuais, de sapata, LCD, ISO 50, bateria")</f>
        <v>lente afiado, portáteis, controlos manuais, de sapata, LCD, ISO 50, bateria</v>
      </c>
      <c r="B41238" s="3">
        <v>1</v>
      </c>
    </row>
    <row r="41239" ht="15.75" customHeight="1" spans="1:2">
      <c r="A41239" s="3" t="str">
        <f>IFERROR(__xludf.DUMMYFUNCTION("GOOGLETRANSLATE(A41239,""en"",""pt"")"),"3.34MegaPixels, Óptico 3x, 4x Digital, + som do vídeo, lentes intercambiáveis.")</f>
        <v>3.34MegaPixels, Óptico 3x, 4x Digital, + som do vídeo, lentes intercambiáveis.</v>
      </c>
      <c r="B41239" s="3">
        <v>1</v>
      </c>
    </row>
    <row r="41240" ht="15.75" customHeight="1" spans="1:2">
      <c r="A41240" s="3" t="str">
        <f>IFERROR(__xludf.DUMMYFUNCTION("GOOGLETRANSLATE(A41240,""en"",""pt"")"),"vida útil da bateria, armazenamento maciço.")</f>
        <v>vida útil da bateria, armazenamento maciço.</v>
      </c>
      <c r="B41240" s="3">
        <v>1</v>
      </c>
    </row>
    <row r="41241" ht="15.75" customHeight="1" spans="1:2">
      <c r="A41241" s="3" t="str">
        <f>IFERROR(__xludf.DUMMYFUNCTION("GOOGLETRANSLATE(A41241,""en"",""pt"")"),"A qualidade da imagem, qualidade de construção, girando a tela LCD, grande software")</f>
        <v>A qualidade da imagem, qualidade de construção, girando a tela LCD, grande software</v>
      </c>
      <c r="B41241" s="3">
        <v>1</v>
      </c>
    </row>
    <row r="41242" ht="15.75" customHeight="1" spans="1:2">
      <c r="A41242" s="3" t="str">
        <f>IFERROR(__xludf.DUMMYFUNCTION("GOOGLETRANSLATE(A41242,""en"",""pt"")"),"Recursos, Compact Flash tipo 2, Estilo bateria filmadora")</f>
        <v>Recursos, Compact Flash tipo 2, Estilo bateria filmadora</v>
      </c>
      <c r="B41242" s="3">
        <v>1</v>
      </c>
    </row>
    <row r="41243" ht="15.75" customHeight="1" spans="1:2">
      <c r="A41243" s="3" t="str">
        <f>IFERROR(__xludf.DUMMYFUNCTION("GOOGLETRANSLATE(A41243,""en"",""pt"")"),"Ele tem todos os recursos avançados que você vai precisar &amp; amp; aceita CF Tipo II")</f>
        <v>Ele tem todos os recursos avançados que você vai precisar &amp; amp; aceita CF Tipo II</v>
      </c>
      <c r="B41243" s="3">
        <v>1</v>
      </c>
    </row>
    <row r="41244" ht="15.75" customHeight="1" spans="1:2">
      <c r="A41244" s="3" t="str">
        <f>IFERROR(__xludf.DUMMYFUNCTION("GOOGLETRANSLATE(A41244,""en"",""pt"")"),"bateria, formato de arquivo RAW, a qualidade das imagens &amp; amp; # 13; &amp; amp; # 10;")</f>
        <v>bateria, formato de arquivo RAW, a qualidade das imagens &amp; amp; # 13; &amp; amp; # 10;</v>
      </c>
      <c r="B41244" s="3">
        <v>1</v>
      </c>
    </row>
    <row r="41245" ht="15.75" customHeight="1" spans="1:2">
      <c r="A41245" s="3" t="str">
        <f>IFERROR(__xludf.DUMMYFUNCTION("GOOGLETRANSLATE(A41245,""en"",""pt"")"),"Muito boa câmera com anexos de lente versátil, construída em sistema de flash.")</f>
        <v>Muito boa câmera com anexos de lente versátil, construída em sistema de flash.</v>
      </c>
      <c r="B41245" s="3">
        <v>1</v>
      </c>
    </row>
    <row r="41246" ht="15.75" customHeight="1" spans="1:2">
      <c r="A41246" s="3" t="str">
        <f>IFERROR(__xludf.DUMMYFUNCTION("GOOGLETRANSLATE(A41246,""en"",""pt"")"),"ISO 50, grandes imagens, controles profissionais, muito rápido, grandes qualidades de construção.")</f>
        <v>ISO 50, grandes imagens, controles profissionais, muito rápido, grandes qualidades de construção.</v>
      </c>
      <c r="B41246" s="3">
        <v>1</v>
      </c>
    </row>
    <row r="41247" ht="15.75" customHeight="1" spans="1:2">
      <c r="A41247" s="3" t="str">
        <f>IFERROR(__xludf.DUMMYFUNCTION("GOOGLETRANSLATE(A41247,""en"",""pt"")"),"Usa IBM Micro-drive, a vida incrível bateria, mesmo com a unidade IBM, grandes fotos!")</f>
        <v>Usa IBM Micro-drive, a vida incrível bateria, mesmo com a unidade IBM, grandes fotos!</v>
      </c>
      <c r="B41247" s="3">
        <v>1</v>
      </c>
    </row>
    <row r="41248" ht="15.75" customHeight="1" spans="1:2">
      <c r="A41248" s="3" t="str">
        <f>IFERROR(__xludf.DUMMYFUNCTION("GOOGLETRANSLATE(A41248,""en"",""pt"")"),"imagens de qualidade, microdrive, software, super fino JPEG")</f>
        <v>imagens de qualidade, microdrive, software, super fino JPEG</v>
      </c>
      <c r="B41248" s="3">
        <v>1</v>
      </c>
    </row>
    <row r="41249" ht="15.75" customHeight="1" spans="1:2">
      <c r="A41249" s="3" t="str">
        <f>IFERROR(__xludf.DUMMYFUNCTION("GOOGLETRANSLATE(A41249,""en"",""pt"")"),"tira fotos claras")</f>
        <v>tira fotos claras</v>
      </c>
      <c r="B41249" s="3">
        <v>1</v>
      </c>
    </row>
    <row r="41250" ht="15.75" customHeight="1" spans="1:2">
      <c r="A41250" s="3" t="str">
        <f>IFERROR(__xludf.DUMMYFUNCTION("GOOGLETRANSLATE(A41250,""en"",""pt"")"),"Excelente qualidade de imagem, sapata, compacta, durável, ótimo para acessórios")</f>
        <v>Excelente qualidade de imagem, sapata, compacta, durável, ótimo para acessórios</v>
      </c>
      <c r="B41250" s="3">
        <v>1</v>
      </c>
    </row>
    <row r="41251" ht="15.75" customHeight="1" spans="1:2">
      <c r="A41251" s="3" t="str">
        <f>IFERROR(__xludf.DUMMYFUNCTION("GOOGLETRANSLATE(A41251,""en"",""pt"")"),"Wonderful qualidade de imagem, não precisa de muita experiência para começar a impressionar as pessoas")</f>
        <v>Wonderful qualidade de imagem, não precisa de muita experiência para começar a impressionar as pessoas</v>
      </c>
      <c r="B41251" s="3">
        <v>1</v>
      </c>
    </row>
    <row r="41252" ht="15.75" customHeight="1" spans="1:2">
      <c r="A41252" s="3" t="str">
        <f>IFERROR(__xludf.DUMMYFUNCTION("GOOGLETRANSLATE(A41252,""en"",""pt"")"),"Funcionalidade, características, preço")</f>
        <v>Funcionalidade, características, preço</v>
      </c>
      <c r="B41252" s="3">
        <v>1</v>
      </c>
    </row>
    <row r="41253" ht="15.75" customHeight="1" spans="1:2">
      <c r="A41253" s="3" t="str">
        <f>IFERROR(__xludf.DUMMYFUNCTION("GOOGLETRANSLATE(A41253,""en"",""pt"")"),"Fácil de usar")</f>
        <v>Fácil de usar</v>
      </c>
      <c r="B41253" s="3">
        <v>1</v>
      </c>
    </row>
    <row r="41254" ht="15.75" customHeight="1" spans="1:2">
      <c r="A41254" s="3" t="str">
        <f>IFERROR(__xludf.DUMMYFUNCTION("GOOGLETRANSLATE(A41254,""en"",""pt"")"),"Excelente qualidade de imagem, capacidade de tomar fora da câmera flash, bateria recarregável, agradavelmente robusto.")</f>
        <v>Excelente qualidade de imagem, capacidade de tomar fora da câmera flash, bateria recarregável, agradavelmente robusto.</v>
      </c>
      <c r="B41254" s="3">
        <v>1</v>
      </c>
    </row>
    <row r="41255" ht="15.75" customHeight="1" spans="1:2">
      <c r="A41255" s="3" t="str">
        <f>IFERROR(__xludf.DUMMYFUNCTION("GOOGLETRANSLATE(A41255,""en"",""pt"")"),"mídia CF Tipo II, 3 megapixels, áudio com filmes, boa bateria")</f>
        <v>mídia CF Tipo II, 3 megapixels, áudio com filmes, boa bateria</v>
      </c>
      <c r="B41255" s="3">
        <v>1</v>
      </c>
    </row>
    <row r="41256" ht="15.75" customHeight="1" spans="1:2">
      <c r="A41256" s="3" t="str">
        <f>IFERROR(__xludf.DUMMYFUNCTION("GOOGLETRANSLATE(A41256,""en"",""pt"")"),"Excelentes imagens, formato CCD RAW, grande vida útil da bateria, muitos recursos, apoio MicroDrive, fácil de usar")</f>
        <v>Excelentes imagens, formato CCD RAW, grande vida útil da bateria, muitos recursos, apoio MicroDrive, fácil de usar</v>
      </c>
      <c r="B41256" s="3">
        <v>1</v>
      </c>
    </row>
    <row r="41257" ht="15.75" customHeight="1" spans="1:2">
      <c r="A41257" s="3" t="str">
        <f>IFERROR(__xludf.DUMMYFUNCTION("GOOGLETRANSLATE(A41257,""en"",""pt"")"),"Superfun ... se sente bem na mão ... CLICKER muito rápido! As pessoas vão desfrutar das suas imagens criativo!")</f>
        <v>Superfun ... se sente bem na mão ... CLICKER muito rápido! As pessoas vão desfrutar das suas imagens criativo!</v>
      </c>
      <c r="B41257" s="3">
        <v>1</v>
      </c>
    </row>
    <row r="41258" ht="15.75" customHeight="1" spans="1:2">
      <c r="A41258" s="3" t="str">
        <f>IFERROR(__xludf.DUMMYFUNCTION("GOOGLETRANSLATE(A41258,""en"",""pt"")"),"é um tipo take qualquer lugar da câmera")</f>
        <v>é um tipo take qualquer lugar da câmera</v>
      </c>
      <c r="B41258" s="3">
        <v>1</v>
      </c>
    </row>
    <row r="41259" ht="15.75" customHeight="1" spans="1:2">
      <c r="A41259" s="3" t="str">
        <f>IFERROR(__xludf.DUMMYFUNCTION("GOOGLETRANSLATE(A41259,""en"",""pt"")"),"tamanho relativamente compacto, recursos manuais, agradável LCD, bateria recarregável incluída")</f>
        <v>tamanho relativamente compacto, recursos manuais, agradável LCD, bateria recarregável incluída</v>
      </c>
      <c r="B41259" s="3">
        <v>1</v>
      </c>
    </row>
    <row r="41260" ht="15.75" customHeight="1" spans="1:2">
      <c r="A41260" s="3" t="str">
        <f>IFERROR(__xludf.DUMMYFUNCTION("GOOGLETRANSLATE(A41260,""en"",""pt"")"),"LCD giratório, a vida da bateria, armazenamento flexível")</f>
        <v>LCD giratório, a vida da bateria, armazenamento flexível</v>
      </c>
      <c r="B41260" s="3">
        <v>1</v>
      </c>
    </row>
    <row r="41261" ht="15.75" customHeight="1" spans="1:2">
      <c r="A41261" s="3" t="str">
        <f>IFERROR(__xludf.DUMMYFUNCTION("GOOGLETRANSLATE(A41261,""en"",""pt"")"),"excelentes imagens, LCD giratória")</f>
        <v>excelentes imagens, LCD giratória</v>
      </c>
      <c r="B41261" s="3">
        <v>1</v>
      </c>
    </row>
    <row r="41262" ht="15.75" customHeight="1" spans="1:2">
      <c r="A41262" s="3" t="str">
        <f>IFERROR(__xludf.DUMMYFUNCTION("GOOGLETRANSLATE(A41262,""en"",""pt"")"),"LCD giratória, o controlo remoto, o Flash sapata, Tipo II CF compatibilidade")</f>
        <v>LCD giratória, o controlo remoto, o Flash sapata, Tipo II CF compatibilidade</v>
      </c>
      <c r="B41262" s="3">
        <v>1</v>
      </c>
    </row>
    <row r="41263" ht="15.75" customHeight="1" spans="1:2">
      <c r="A41263" s="3" t="str">
        <f>IFERROR(__xludf.DUMMYFUNCTION("GOOGLETRANSLATE(A41263,""en"",""pt"")"),"Um bom pedaço de engenharia; um grande conjunto de funcionalidades")</f>
        <v>Um bom pedaço de engenharia; um grande conjunto de funcionalidades</v>
      </c>
      <c r="B41263" s="3">
        <v>1</v>
      </c>
    </row>
    <row r="41264" ht="15.75" customHeight="1" spans="1:2">
      <c r="A41264" s="3" t="str">
        <f>IFERROR(__xludf.DUMMYFUNCTION("GOOGLETRANSLATE(A41264,""en"",""pt"")"),"Belas imagens, grande bateria, construção sólida, característica-embalada, LCD giratória")</f>
        <v>Belas imagens, grande bateria, construção sólida, característica-embalada, LCD giratória</v>
      </c>
      <c r="B41264" s="3">
        <v>1</v>
      </c>
    </row>
    <row r="41265" ht="15.75" customHeight="1" spans="1:2">
      <c r="A41265" s="3" t="str">
        <f>IFERROR(__xludf.DUMMYFUNCTION("GOOGLETRANSLATE(A41265,""en"",""pt"")"),"Grandes imagens, maravilhoso LCD flip-out, suporte MD, adicione em lentes, ISO 50, RAW")</f>
        <v>Grandes imagens, maravilhoso LCD flip-out, suporte MD, adicione em lentes, ISO 50, RAW</v>
      </c>
      <c r="B41265" s="3">
        <v>1</v>
      </c>
    </row>
    <row r="41266" ht="15.75" customHeight="1" spans="1:2">
      <c r="A41266" s="3" t="str">
        <f>IFERROR(__xludf.DUMMYFUNCTION("GOOGLETRANSLATE(A41266,""en"",""pt"")"),"Incrível qualidade de imagem! construção sólida. Longa lista de características.")</f>
        <v>Incrível qualidade de imagem! construção sólida. Longa lista de características.</v>
      </c>
      <c r="B41266" s="3">
        <v>1</v>
      </c>
    </row>
    <row r="41267" ht="15.75" customHeight="1" spans="1:2">
      <c r="A41267" s="3" t="str">
        <f>IFERROR(__xludf.DUMMYFUNCTION("GOOGLETRANSLATE(A41267,""en"",""pt"")"),"Ele tem todas as características que você realmente precisa &amp; amp; produz imagens incríveis.")</f>
        <v>Ele tem todas as características que você realmente precisa &amp; amp; produz imagens incríveis.</v>
      </c>
      <c r="B41267" s="3">
        <v>1</v>
      </c>
    </row>
    <row r="41268" ht="15.75" customHeight="1" spans="1:2">
      <c r="A41268" s="3" t="str">
        <f>IFERROR(__xludf.DUMMYFUNCTION("GOOGLETRANSLATE(A41268,""en"",""pt"")"),"Fácil de usar, as imagens nítidas com reprodução de cor bonita!")</f>
        <v>Fácil de usar, as imagens nítidas com reprodução de cor bonita!</v>
      </c>
      <c r="B41268" s="3">
        <v>1</v>
      </c>
    </row>
    <row r="41269" ht="15.75" customHeight="1" spans="1:2">
      <c r="A41269" s="3" t="str">
        <f>IFERROR(__xludf.DUMMYFUNCTION("GOOGLETRANSLATE(A41269,""en"",""pt"")"),"Afiada, imagens claras. Fácil de usar. Qualidade. Toneladas de opções.")</f>
        <v>Afiada, imagens claras. Fácil de usar. Qualidade. Toneladas de opções.</v>
      </c>
      <c r="B41269" s="3">
        <v>1</v>
      </c>
    </row>
    <row r="41270" ht="15.75" customHeight="1" spans="1:2">
      <c r="A41270" s="3" t="str">
        <f>IFERROR(__xludf.DUMMYFUNCTION("GOOGLETRANSLATE(A41270,""en"",""pt"")"),"imagens cristalinas 4MP, zoom óptico 3x, bateria de longa duração, lotes de grandes recursos.")</f>
        <v>imagens cristalinas 4MP, zoom óptico 3x, bateria de longa duração, lotes de grandes recursos.</v>
      </c>
      <c r="B41270" s="3">
        <v>1</v>
      </c>
    </row>
    <row r="41271" ht="15.75" customHeight="1" spans="1:2">
      <c r="A41271" s="3" t="str">
        <f>IFERROR(__xludf.DUMMYFUNCTION("GOOGLETRANSLATE(A41271,""en"",""pt"")"),"4.10 Megapixels, grande resolução e muito espaço para trabalhar com")</f>
        <v>4.10 Megapixels, grande resolução e muito espaço para trabalhar com</v>
      </c>
      <c r="B41271" s="3">
        <v>1</v>
      </c>
    </row>
    <row r="41272" ht="15.75" customHeight="1" spans="1:2">
      <c r="A41272" s="3" t="str">
        <f>IFERROR(__xludf.DUMMYFUNCTION("GOOGLETRANSLATE(A41272,""en"",""pt"")"),"Alta resolução de 4 MB, totalmente dedicado sapata, visor versatilidade, grandes óptica Canon!")</f>
        <v>Alta resolução de 4 MB, totalmente dedicado sapata, visor versatilidade, grandes óptica Canon!</v>
      </c>
      <c r="B41272" s="3">
        <v>1</v>
      </c>
    </row>
    <row r="41273" ht="15.75" customHeight="1" spans="1:2">
      <c r="A41273" s="3" t="str">
        <f>IFERROR(__xludf.DUMMYFUNCTION("GOOGLETRANSLATE(A41273,""en"",""pt"")"),"4MP, f2.0 zoom 3x, excelente vida útil da bateria, tilt / LCD giratória, 32 MB CF cartão.")</f>
        <v>4MP, f2.0 zoom 3x, excelente vida útil da bateria, tilt / LCD giratória, 32 MB CF cartão.</v>
      </c>
      <c r="B41273" s="3">
        <v>1</v>
      </c>
    </row>
    <row r="41274" ht="15.75" customHeight="1" spans="1:2">
      <c r="A41274" s="3" t="str">
        <f>IFERROR(__xludf.DUMMYFUNCTION("GOOGLETRANSLATE(A41274,""en"",""pt"")"),"Muito poderosa câmera, bastante pequena construção, 4.1 megapixels!")</f>
        <v>Muito poderosa câmera, bastante pequena construção, 4.1 megapixels!</v>
      </c>
      <c r="B41274" s="3">
        <v>1</v>
      </c>
    </row>
    <row r="41275" ht="15.75" customHeight="1" spans="1:2">
      <c r="A41275" s="3" t="str">
        <f>IFERROR(__xludf.DUMMYFUNCTION("GOOGLETRANSLATE(A41275,""en"",""pt"")"),"Ótima câmera, muitos se divertido, fácil de usar")</f>
        <v>Ótima câmera, muitos se divertido, fácil de usar</v>
      </c>
      <c r="B41275" s="3">
        <v>1</v>
      </c>
    </row>
    <row r="41276" ht="15.75" customHeight="1" spans="1:2">
      <c r="A41276" s="3" t="str">
        <f>IFERROR(__xludf.DUMMYFUNCTION("GOOGLETRANSLATE(A41276,""en"",""pt"")"),"batata frita,, imagens perfeitas limpas, muitas das novas funcionalidades")</f>
        <v>batata frita,, imagens perfeitas limpas, muitas das novas funcionalidades</v>
      </c>
      <c r="B41276" s="3">
        <v>1</v>
      </c>
    </row>
    <row r="41277" ht="15.75" customHeight="1" spans="1:2">
      <c r="A41277" s="3" t="str">
        <f>IFERROR(__xludf.DUMMYFUNCTION("GOOGLETRANSLATE(A41277,""en"",""pt"")"),"memória Bigtime, de alta resolução, limpas imagens claras, grande quantidade de recursos")</f>
        <v>memória Bigtime, de alta resolução, limpas imagens claras, grande quantidade de recursos</v>
      </c>
      <c r="B41277" s="3">
        <v>1</v>
      </c>
    </row>
    <row r="41278" ht="15.75" customHeight="1" spans="1:2">
      <c r="A41278" s="3" t="str">
        <f>IFERROR(__xludf.DUMMYFUNCTION("GOOGLETRANSLATE(A41278,""en"",""pt"")"),"Fotos nítidas, totalmente configurações customizáveis ​​da foto, grande exibição móvel")</f>
        <v>Fotos nítidas, totalmente configurações customizáveis ​​da foto, grande exibição móvel</v>
      </c>
      <c r="B41278" s="3">
        <v>1</v>
      </c>
    </row>
    <row r="41279" ht="15.75" customHeight="1" spans="1:2">
      <c r="A41279" s="3" t="str">
        <f>IFERROR(__xludf.DUMMYFUNCTION("GOOGLETRANSLATE(A41279,""en"",""pt"")"),"Excelente qualidade de imagem e vida útil da bateria")</f>
        <v>Excelente qualidade de imagem e vida útil da bateria</v>
      </c>
      <c r="B41279" s="3">
        <v>1</v>
      </c>
    </row>
    <row r="41280" ht="15.75" customHeight="1" spans="1:2">
      <c r="A41280" s="3" t="str">
        <f>IFERROR(__xludf.DUMMYFUNCTION("GOOGLETRANSLATE(A41280,""en"",""pt"")"),"4MP, modo de filme, excelente vida útil da bateria")</f>
        <v>4MP, modo de filme, excelente vida útil da bateria</v>
      </c>
      <c r="B41280" s="3">
        <v>1</v>
      </c>
    </row>
    <row r="41281" ht="15.75" customHeight="1" spans="1:2">
      <c r="A41281" s="3" t="str">
        <f>IFERROR(__xludf.DUMMYFUNCTION("GOOGLETRANSLATE(A41281,""en"",""pt"")"),"lente incrível. Limpar, reprodução de imagem colorida torrada. 4 mega pixels.")</f>
        <v>lente incrível. Limpar, reprodução de imagem colorida torrada. 4 mega pixels.</v>
      </c>
      <c r="B41281" s="3">
        <v>1</v>
      </c>
    </row>
    <row r="41282" ht="15.75" customHeight="1" spans="1:2">
      <c r="A41282" s="3" t="str">
        <f>IFERROR(__xludf.DUMMYFUNCTION("GOOGLETRANSLATE(A41282,""en"",""pt"")"),"Muito boa qualidade de imagem, foco automático versátil.")</f>
        <v>Muito boa qualidade de imagem, foco automático versátil.</v>
      </c>
      <c r="B41282" s="3">
        <v>1</v>
      </c>
    </row>
    <row r="41283" ht="15.75" customHeight="1" spans="1:2">
      <c r="A41283" s="3" t="str">
        <f>IFERROR(__xludf.DUMMYFUNCTION("GOOGLETRANSLATE(A41283,""en"",""pt"")"),"&amp; Lt; b &amp; gt; &amp; lt; i &amp; gt; Solidamente construído; muitos recursos; excelentes fotos; fácil de segurar &amp; lt;. / b &amp; gt; &amp; lt; / i &amp; gt;")</f>
        <v>&amp; Lt; b &amp; gt; &amp; lt; i &amp; gt; Solidamente construído; muitos recursos; excelentes fotos; fácil de segurar &amp; lt;. / b &amp; gt; &amp; lt; / i &amp; gt;</v>
      </c>
      <c r="B41283" s="3">
        <v>1</v>
      </c>
    </row>
    <row r="41284" ht="15.75" customHeight="1" spans="1:2">
      <c r="A41284" s="3" t="str">
        <f>IFERROR(__xludf.DUMMYFUNCTION("GOOGLETRANSLATE(A41284,""en"",""pt"")"),"Excelente qualidade de imagem, poderoso o suficiente para ser totalmente automático ou para permitir que você controle completo.")</f>
        <v>Excelente qualidade de imagem, poderoso o suficiente para ser totalmente automático ou para permitir que você controle completo.</v>
      </c>
      <c r="B41284" s="3">
        <v>1</v>
      </c>
    </row>
    <row r="41285" ht="15.75" customHeight="1" spans="1:2">
      <c r="A41285" s="3" t="str">
        <f>IFERROR(__xludf.DUMMYFUNCTION("GOOGLETRANSLATE(A41285,""en"",""pt"")"),"LOTES de recursos, grande autonomia da bateria, medidor de vida útil da bateria, articulada LCD, funciona bem em pouca luz")</f>
        <v>LOTES de recursos, grande autonomia da bateria, medidor de vida útil da bateria, articulada LCD, funciona bem em pouca luz</v>
      </c>
      <c r="B41285" s="3">
        <v>1</v>
      </c>
    </row>
    <row r="41286" ht="15.75" customHeight="1" spans="1:2">
      <c r="A41286" s="3" t="str">
        <f>IFERROR(__xludf.DUMMYFUNCTION("GOOGLETRANSLATE(A41286,""en"",""pt"")"),"Qualidade de imagem, controles manual, vida útil da bateria")</f>
        <v>Qualidade de imagem, controles manual, vida útil da bateria</v>
      </c>
      <c r="B41286" s="3">
        <v>1</v>
      </c>
    </row>
    <row r="41287" ht="15.75" customHeight="1" spans="1:2">
      <c r="A41287" s="3" t="str">
        <f>IFERROR(__xludf.DUMMYFUNCTION("GOOGLETRANSLATE(A41287,""en"",""pt"")"),"cor &amp; amp foto; clareza, tela LCD flip-out, remoto incluído")</f>
        <v>cor &amp; amp foto; clareza, tela LCD flip-out, remoto incluído</v>
      </c>
      <c r="B41287" s="3">
        <v>1</v>
      </c>
    </row>
    <row r="41288" ht="15.75" customHeight="1" spans="1:2">
      <c r="A41288" s="3" t="str">
        <f>IFERROR(__xludf.DUMMYFUNCTION("GOOGLETRANSLATE(A41288,""en"",""pt"")"),"Lotes das características, Grande bateria, grandes fotos ao ar livre.")</f>
        <v>Lotes das características, Grande bateria, grandes fotos ao ar livre.</v>
      </c>
      <c r="B41288" s="3">
        <v>1</v>
      </c>
    </row>
    <row r="41289" ht="15.75" customHeight="1" spans="1:2">
      <c r="A41289" s="3" t="str">
        <f>IFERROR(__xludf.DUMMYFUNCTION("GOOGLETRANSLATE(A41289,""en"",""pt"")"),"Boa lista de recurso, o modo RAW, LCD flip-out etc")</f>
        <v>Boa lista de recurso, o modo RAW, LCD flip-out etc</v>
      </c>
      <c r="B41289" s="3">
        <v>1</v>
      </c>
    </row>
    <row r="41290" ht="15.75" customHeight="1" spans="1:2">
      <c r="A41290" s="3" t="str">
        <f>IFERROR(__xludf.DUMMYFUNCTION("GOOGLETRANSLATE(A41290,""en"",""pt"")"),"Quatro Megapixel, lente rápida, inclinação e rotação display, saída RAW")</f>
        <v>Quatro Megapixel, lente rápida, inclinação e rotação display, saída RAW</v>
      </c>
      <c r="B41290" s="3">
        <v>1</v>
      </c>
    </row>
    <row r="41291" ht="15.75" customHeight="1" spans="1:2">
      <c r="A41291" s="3" t="str">
        <f>IFERROR(__xludf.DUMMYFUNCTION("GOOGLETRANSLATE(A41291,""en"",""pt"")"),"Boa Pic qualidade, fácil de usar, especialmente se você já possui uma Canon,")</f>
        <v>Boa Pic qualidade, fácil de usar, especialmente se você já possui uma Canon,</v>
      </c>
      <c r="B41291" s="3">
        <v>1</v>
      </c>
    </row>
    <row r="41292" ht="15.75" customHeight="1" spans="1:2">
      <c r="A41292" s="3" t="str">
        <f>IFERROR(__xludf.DUMMYFUNCTION("GOOGLETRANSLATE(A41292,""en"",""pt"")"),"Qualidade de imagem, lente grande; gama de recursos e os acessórios disponíveis.")</f>
        <v>Qualidade de imagem, lente grande; gama de recursos e os acessórios disponíveis.</v>
      </c>
      <c r="B41292" s="3">
        <v>1</v>
      </c>
    </row>
    <row r="41293" ht="15.75" customHeight="1" spans="1:2">
      <c r="A41293" s="3" t="str">
        <f>IFERROR(__xludf.DUMMYFUNCTION("GOOGLETRANSLATE(A41293,""en"",""pt"")"),"Excelentes imagens. Modo de Filme! Muitas opções de ajuste. bateria de longa duração.")</f>
        <v>Excelentes imagens. Modo de Filme! Muitas opções de ajuste. bateria de longa duração.</v>
      </c>
      <c r="B41293" s="3">
        <v>1</v>
      </c>
    </row>
    <row r="41294" ht="15.75" customHeight="1" spans="1:2">
      <c r="A41294" s="3" t="str">
        <f>IFERROR(__xludf.DUMMYFUNCTION("GOOGLETRANSLATE(A41294,""en"",""pt"")"),"Belas imagens, bateria de longa duração, fácil de usar, a qualidade Canon")</f>
        <v>Belas imagens, bateria de longa duração, fácil de usar, a qualidade Canon</v>
      </c>
      <c r="B41294" s="3">
        <v>1</v>
      </c>
    </row>
    <row r="41295" ht="15.75" customHeight="1" spans="1:2">
      <c r="A41295" s="3" t="str">
        <f>IFERROR(__xludf.DUMMYFUNCTION("GOOGLETRANSLATE(A41295,""en"",""pt"")"),"4 de mega pixles, a vida da bateria, imagens claras.")</f>
        <v>4 de mega pixles, a vida da bateria, imagens claras.</v>
      </c>
      <c r="B41295" s="3">
        <v>1</v>
      </c>
    </row>
    <row r="41296" ht="15.75" customHeight="1" spans="1:2">
      <c r="A41296" s="3" t="str">
        <f>IFERROR(__xludf.DUMMYFUNCTION("GOOGLETRANSLATE(A41296,""en"",""pt"")"),"controle extenso manual, de alta qualidade de imagem, excelente conjunto de pro características / avançados, ecrã LCD articulado.")</f>
        <v>controle extenso manual, de alta qualidade de imagem, excelente conjunto de pro características / avançados, ecrã LCD articulado.</v>
      </c>
      <c r="B41296" s="3">
        <v>1</v>
      </c>
    </row>
    <row r="41297" ht="15.75" customHeight="1" spans="1:2">
      <c r="A41297" s="3" t="str">
        <f>IFERROR(__xludf.DUMMYFUNCTION("GOOGLETRANSLATE(A41297,""en"",""pt"")"),"isto")</f>
        <v>isto</v>
      </c>
      <c r="B41297" s="3">
        <v>1</v>
      </c>
    </row>
    <row r="41298" ht="15.75" customHeight="1" spans="1:2">
      <c r="A41298" s="3" t="str">
        <f>IFERROR(__xludf.DUMMYFUNCTION("GOOGLETRANSLATE(A41298,""en"",""pt"")"),"Atirar para o conteúdo do seu coração, a vida Grande bateria, lente Excelente qualidade")</f>
        <v>Atirar para o conteúdo do seu coração, a vida Grande bateria, lente Excelente qualidade</v>
      </c>
      <c r="B41298" s="3">
        <v>1</v>
      </c>
    </row>
    <row r="41299" ht="15.75" customHeight="1" spans="1:2">
      <c r="A41299" s="3" t="str">
        <f>IFERROR(__xludf.DUMMYFUNCTION("GOOGLETRANSLATE(A41299,""en"",""pt"")"),"Transforma um mero mortal em um fotógrafo calibre profissional ... facilmente!")</f>
        <v>Transforma um mero mortal em um fotógrafo calibre profissional ... facilmente!</v>
      </c>
      <c r="B41299" s="3">
        <v>1</v>
      </c>
    </row>
    <row r="41300" ht="15.75" customHeight="1" spans="1:2">
      <c r="A41300" s="3" t="str">
        <f>IFERROR(__xludf.DUMMYFUNCTION("GOOGLETRANSLATE(A41300,""en"",""pt"")"),"Excelente, imagens de baixo ruído; compatibilidade com unidades de flash externo Canon; interface de usuário é fácil")</f>
        <v>Excelente, imagens de baixo ruído; compatibilidade com unidades de flash externo Canon; interface de usuário é fácil</v>
      </c>
      <c r="B41300" s="3">
        <v>1</v>
      </c>
    </row>
    <row r="41301" ht="15.75" customHeight="1" spans="1:2">
      <c r="A41301" s="3" t="str">
        <f>IFERROR(__xludf.DUMMYFUNCTION("GOOGLETRANSLATE(A41301,""en"",""pt"")"),"costurar e função de filme, modos manuais, zoom zoom digital, pacote pequeno, apoio microdrive IBM")</f>
        <v>costurar e função de filme, modos manuais, zoom zoom digital, pacote pequeno, apoio microdrive IBM</v>
      </c>
      <c r="B41301" s="3">
        <v>1</v>
      </c>
    </row>
    <row r="41302" ht="15.75" customHeight="1" spans="1:2">
      <c r="A41302" s="3" t="str">
        <f>IFERROR(__xludf.DUMMYFUNCTION("GOOGLETRANSLATE(A41302,""en"",""pt"")"),"Centenas de belas fotos. Os vários modos de fazer amigos ir Jee Whiz!")</f>
        <v>Centenas de belas fotos. Os vários modos de fazer amigos ir Jee Whiz!</v>
      </c>
      <c r="B41302" s="3">
        <v>1</v>
      </c>
    </row>
    <row r="41303" ht="15.75" customHeight="1" spans="1:2">
      <c r="A41303" s="3" t="str">
        <f>IFERROR(__xludf.DUMMYFUNCTION("GOOGLETRANSLATE(A41303,""en"",""pt"")"),"Grande tomada de imagem, controles de exposição excelente, exposição automática surpreendente")</f>
        <v>Grande tomada de imagem, controles de exposição excelente, exposição automática surpreendente</v>
      </c>
      <c r="B41303" s="3">
        <v>1</v>
      </c>
    </row>
    <row r="41304" ht="15.75" customHeight="1" spans="1:2">
      <c r="A41304" s="3" t="str">
        <f>IFERROR(__xludf.DUMMYFUNCTION("GOOGLETRANSLATE(A41304,""en"",""pt"")"),"qualidade de imagem, recursos disponíveis, bateria Li-Ion.")</f>
        <v>qualidade de imagem, recursos disponíveis, bateria Li-Ion.</v>
      </c>
      <c r="B41304" s="3">
        <v>1</v>
      </c>
    </row>
    <row r="41305" ht="15.75" customHeight="1" spans="1:2">
      <c r="A41305" s="3" t="str">
        <f>IFERROR(__xludf.DUMMYFUNCTION("GOOGLETRANSLATE(A41305,""en"",""pt"")"),"4.0MP, manual e automático controles, lag muito pouco do obturador")</f>
        <v>4.0MP, manual e automático controles, lag muito pouco do obturador</v>
      </c>
      <c r="B41305" s="3">
        <v>1</v>
      </c>
    </row>
    <row r="41306" ht="15.75" customHeight="1" spans="1:2">
      <c r="A41306" s="3" t="str">
        <f>IFERROR(__xludf.DUMMYFUNCTION("GOOGLETRANSLATE(A41306,""en"",""pt"")"),"excelente qualidade de imagem, muitas opções, e uma tela de LCD giratória")</f>
        <v>excelente qualidade de imagem, muitas opções, e uma tela de LCD giratória</v>
      </c>
      <c r="B41306" s="3">
        <v>1</v>
      </c>
    </row>
    <row r="41307" ht="15.75" customHeight="1" spans="1:2">
      <c r="A41307" s="3" t="str">
        <f>IFERROR(__xludf.DUMMYFUNCTION("GOOGLETRANSLATE(A41307,""en"",""pt"")"),"qualidade da imagem, construção, características, preços atuais após o lançamento do G3.")</f>
        <v>qualidade da imagem, construção, características, preços atuais após o lançamento do G3.</v>
      </c>
      <c r="B41307" s="3">
        <v>1</v>
      </c>
    </row>
    <row r="41308" ht="15.75" customHeight="1" spans="1:2">
      <c r="A41308" s="3" t="str">
        <f>IFERROR(__xludf.DUMMYFUNCTION("GOOGLETRANSLATE(A41308,""en"",""pt"")"),"Grandes imagens, LCD ajustável, lotes de características. bateria de longa duração")</f>
        <v>Grandes imagens, LCD ajustável, lotes de características. bateria de longa duração</v>
      </c>
      <c r="B41308" s="3">
        <v>1</v>
      </c>
    </row>
    <row r="41309" ht="15.75" customHeight="1" spans="1:2">
      <c r="A41309" s="3" t="str">
        <f>IFERROR(__xludf.DUMMYFUNCTION("GOOGLETRANSLATE(A41309,""en"",""pt"")"),"grande cor e resolução, fácil de usar, operação de controle remoto")</f>
        <v>grande cor e resolução, fácil de usar, operação de controle remoto</v>
      </c>
      <c r="B41309" s="3">
        <v>1</v>
      </c>
    </row>
    <row r="41310" ht="15.75" customHeight="1" spans="1:2">
      <c r="A41310" s="3" t="str">
        <f>IFERROR(__xludf.DUMMYFUNCTION("GOOGLETRANSLATE(A41310,""en"",""pt"")"),"Hardy, multifuncional, de boa qualidade.")</f>
        <v>Hardy, multifuncional, de boa qualidade.</v>
      </c>
      <c r="B41310" s="3">
        <v>1</v>
      </c>
    </row>
    <row r="41311" ht="15.75" customHeight="1" spans="1:2">
      <c r="A41311" s="3" t="str">
        <f>IFERROR(__xludf.DUMMYFUNCTION("GOOGLETRANSLATE(A41311,""en"",""pt"")"),"Excelente qualidade de imagens e tem muitas funções que você pode usar no modo manual")</f>
        <v>Excelente qualidade de imagens e tem muitas funções que você pode usar no modo manual</v>
      </c>
      <c r="B41311" s="3">
        <v>1</v>
      </c>
    </row>
    <row r="41312" ht="15.75" customHeight="1" spans="1:2">
      <c r="A41312" s="3" t="str">
        <f>IFERROR(__xludf.DUMMYFUNCTION("GOOGLETRANSLATE(A41312,""en"",""pt"")"),"Grande construção e excelentes resultados")</f>
        <v>Grande construção e excelentes resultados</v>
      </c>
      <c r="B41312" s="3">
        <v>1</v>
      </c>
    </row>
    <row r="41313" ht="15.75" customHeight="1" spans="1:2">
      <c r="A41313" s="3" t="str">
        <f>IFERROR(__xludf.DUMMYFUNCTION("GOOGLETRANSLATE(A41313,""en"",""pt"")"),"Excelente qualidade de imagens, robusta, boa aparência.")</f>
        <v>Excelente qualidade de imagens, robusta, boa aparência.</v>
      </c>
      <c r="B41313" s="3">
        <v>1</v>
      </c>
    </row>
    <row r="41314" ht="15.75" customHeight="1" spans="1:2">
      <c r="A41314" s="3" t="str">
        <f>IFERROR(__xludf.DUMMYFUNCTION("GOOGLETRANSLATE(A41314,""en"",""pt"")"),"ponto fácil e filmagens, GREAT cor e resolução. Muito boa bateria.")</f>
        <v>ponto fácil e filmagens, GREAT cor e resolução. Muito boa bateria.</v>
      </c>
      <c r="B41314" s="3">
        <v>1</v>
      </c>
    </row>
    <row r="41315" ht="15.75" customHeight="1" spans="1:2">
      <c r="A41315" s="3" t="str">
        <f>IFERROR(__xludf.DUMMYFUNCTION("GOOGLETRANSLATE(A41315,""en"",""pt"")"),"Grandes fotos de qualidade, mesmo em condições de pouca luz")</f>
        <v>Grandes fotos de qualidade, mesmo em condições de pouca luz</v>
      </c>
      <c r="B41315" s="3">
        <v>1</v>
      </c>
    </row>
    <row r="41316" ht="15.75" customHeight="1" spans="1:2">
      <c r="A41316" s="3" t="str">
        <f>IFERROR(__xludf.DUMMYFUNCTION("GOOGLETRANSLATE(A41316,""en"",""pt"")"),"qualidade de imagem, a vida da bateria, sapata para ext. instantâneo")</f>
        <v>qualidade de imagem, a vida da bateria, sapata para ext. instantâneo</v>
      </c>
      <c r="B41316" s="3">
        <v>1</v>
      </c>
    </row>
    <row r="41317" ht="15.75" customHeight="1" spans="1:2">
      <c r="A41317" s="3" t="str">
        <f>IFERROR(__xludf.DUMMYFUNCTION("GOOGLETRANSLATE(A41317,""en"",""pt"")"),"Multiplicidade de modos e funcionalidades, flexability, DURABILIDADE !, MÓVEL LCD de ecrã! GRANDE QUALIDADE DA IMAGEM")</f>
        <v>Multiplicidade de modos e funcionalidades, flexability, DURABILIDADE !, MÓVEL LCD de ecrã! GRANDE QUALIDADE DA IMAGEM</v>
      </c>
      <c r="B41317" s="3">
        <v>1</v>
      </c>
    </row>
    <row r="41318" ht="15.75" customHeight="1" spans="1:2">
      <c r="A41318" s="3" t="str">
        <f>IFERROR(__xludf.DUMMYFUNCTION("GOOGLETRANSLATE(A41318,""en"",""pt"")"),"Grandes imagens, fácil de usar, muitos recursos.")</f>
        <v>Grandes imagens, fácil de usar, muitos recursos.</v>
      </c>
      <c r="B41318" s="3">
        <v>1</v>
      </c>
    </row>
    <row r="41319" ht="15.75" customHeight="1" spans="1:2">
      <c r="A41319" s="3" t="str">
        <f>IFERROR(__xludf.DUMMYFUNCTION("GOOGLETRANSLATE(A41319,""en"",""pt"")")," a imagem mais próxima de filme 35mm. Simples, rápido e perfeito. Preciso dizer mais")</f>
        <v> a imagem mais próxima de filme 35mm. Simples, rápido e perfeito. Preciso dizer mais</v>
      </c>
      <c r="B41319" s="3">
        <v>1</v>
      </c>
    </row>
    <row r="41320" ht="15.75" customHeight="1" spans="1:2">
      <c r="A41320" s="3" t="str">
        <f>IFERROR(__xludf.DUMMYFUNCTION("GOOGLETRANSLATE(A41320,""en"",""pt"")"),"Bem construído, excelentes fotos de qualidade, lente 2.0F, 4 megapixels")</f>
        <v>Bem construído, excelentes fotos de qualidade, lente 2.0F, 4 megapixels</v>
      </c>
      <c r="B41320" s="3">
        <v>1</v>
      </c>
    </row>
    <row r="41321" ht="15.75" customHeight="1" spans="1:2">
      <c r="A41321" s="3" t="str">
        <f>IFERROR(__xludf.DUMMYFUNCTION("GOOGLETRANSLATE(A41321,""en"",""pt"")"),"tela LCD inovador, versátil, bem concebido e executado câmera")</f>
        <v>tela LCD inovador, versátil, bem concebido e executado câmera</v>
      </c>
      <c r="B41321" s="3">
        <v>1</v>
      </c>
    </row>
    <row r="41322" ht="15.75" customHeight="1" spans="1:2">
      <c r="A41322" s="3" t="str">
        <f>IFERROR(__xludf.DUMMYFUNCTION("GOOGLETRANSLATE(A41322,""en"",""pt"")"),"Uma boa ergonomia, muitos recursos, mas ainda fácil de usar.")</f>
        <v>Uma boa ergonomia, muitos recursos, mas ainda fácil de usar.</v>
      </c>
      <c r="B41322" s="3">
        <v>1</v>
      </c>
    </row>
    <row r="41323" ht="15.75" customHeight="1" spans="1:2">
      <c r="A41323" s="3" t="str">
        <f>IFERROR(__xludf.DUMMYFUNCTION("GOOGLETRANSLATE(A41323,""en"",""pt"")"),"i levá-lo em todos os lugares comigo")</f>
        <v>i levá-lo em todos os lugares comigo</v>
      </c>
      <c r="B41323" s="3">
        <v>1</v>
      </c>
    </row>
    <row r="41324" ht="15.75" customHeight="1" spans="1:2">
      <c r="A41324" s="3" t="str">
        <f>IFERROR(__xludf.DUMMYFUNCTION("GOOGLETRANSLATE(A41324,""en"",""pt"")"),"Imagens cristalinas de alta qualidade, bateria de longa duração, muitas além de recursos. COMPRE!")</f>
        <v>Imagens cristalinas de alta qualidade, bateria de longa duração, muitas além de recursos. COMPRE!</v>
      </c>
      <c r="B41324" s="3">
        <v>1</v>
      </c>
    </row>
    <row r="41325" ht="15.75" customHeight="1" spans="1:2">
      <c r="A41325" s="3" t="str">
        <f>IFERROR(__xludf.DUMMYFUNCTION("GOOGLETRANSLATE(A41325,""en"",""pt"")"),"Grande estilo, fotos de alta qualidade, bom tempo de bateria, os lotes de recursos manuais, construção sólida.")</f>
        <v>Grande estilo, fotos de alta qualidade, bom tempo de bateria, os lotes de recursos manuais, construção sólida.</v>
      </c>
      <c r="B41325" s="3">
        <v>1</v>
      </c>
    </row>
    <row r="41326" ht="15.75" customHeight="1" spans="1:2">
      <c r="A41326" s="3" t="str">
        <f>IFERROR(__xludf.DUMMYFUNCTION("GOOGLETRANSLATE(A41326,""en"",""pt"")"),"Grandes óptica e interface de usuário")</f>
        <v>Grandes óptica e interface de usuário</v>
      </c>
      <c r="B41326" s="3">
        <v>1</v>
      </c>
    </row>
    <row r="41327" ht="15.75" customHeight="1" spans="1:2">
      <c r="A41327" s="3" t="str">
        <f>IFERROR(__xludf.DUMMYFUNCTION("GOOGLETRANSLATE(A41327,""en"",""pt"")"),"Grandes imagens, boa construção, controles sólidos, aleta LCD.")</f>
        <v>Grandes imagens, boa construção, controles sólidos, aleta LCD.</v>
      </c>
      <c r="B41327" s="3">
        <v>1</v>
      </c>
    </row>
    <row r="41328" ht="15.75" customHeight="1" spans="1:2">
      <c r="A41328" s="3" t="str">
        <f>IFERROR(__xludf.DUMMYFUNCTION("GOOGLETRANSLATE(A41328,""en"",""pt"")"),"fácil como apontar e disparar, imagens de alta qualidade, muitas muitas opções.")</f>
        <v>fácil como apontar e disparar, imagens de alta qualidade, muitas muitas opções.</v>
      </c>
      <c r="B41328" s="3">
        <v>1</v>
      </c>
    </row>
    <row r="41329" ht="15.75" customHeight="1" spans="1:2">
      <c r="A41329" s="3" t="str">
        <f>IFERROR(__xludf.DUMMYFUNCTION("GOOGLETRANSLATE(A41329,""en"",""pt"")"),"Muito fácil de usar e fazer download de fotos com o software fornecido")</f>
        <v>Muito fácil de usar e fazer download de fotos com o software fornecido</v>
      </c>
      <c r="B41329" s="3">
        <v>1</v>
      </c>
    </row>
    <row r="41330" ht="15.75" customHeight="1" spans="1:2">
      <c r="A41330" s="3" t="str">
        <f>IFERROR(__xludf.DUMMYFUNCTION("GOOGLETRANSLATE(A41330,""en"",""pt"")"),"4.10 Megapixels, qualidade muito boa imagem")</f>
        <v>4.10 Megapixels, qualidade muito boa imagem</v>
      </c>
      <c r="B41330" s="3">
        <v>1</v>
      </c>
    </row>
    <row r="41331" ht="15.75" customHeight="1" spans="1:2">
      <c r="A41331" s="3" t="str">
        <f>IFERROR(__xludf.DUMMYFUNCTION("GOOGLETRANSLATE(A41331,""en"",""pt"")"),"Embalado com características e tira ótimas fotos!")</f>
        <v>Embalado com características e tira ótimas fotos!</v>
      </c>
      <c r="B41331" s="3">
        <v>1</v>
      </c>
    </row>
    <row r="41332" ht="15.75" customHeight="1" spans="1:2">
      <c r="A41332" s="3" t="str">
        <f>IFERROR(__xludf.DUMMYFUNCTION("GOOGLETRANSLATE(A41332,""en"",""pt"")"),"Facilidade de uso, fácil de transportar, qualidade de imagem diretamente da câmera")</f>
        <v>Facilidade de uso, fácil de transportar, qualidade de imagem diretamente da câmera</v>
      </c>
      <c r="B41332" s="3">
        <v>1</v>
      </c>
    </row>
    <row r="41333" ht="15.75" customHeight="1" spans="1:2">
      <c r="A41333" s="3" t="str">
        <f>IFERROR(__xludf.DUMMYFUNCTION("GOOGLETRANSLATE(A41333,""en"",""pt"")"),"Muitos para listar ... a G3 quase faz o mau G2 look!")</f>
        <v>Muitos para listar ... a G3 quase faz o mau G2 look!</v>
      </c>
      <c r="B41333" s="3">
        <v>1</v>
      </c>
    </row>
    <row r="41334" ht="15.75" customHeight="1" spans="1:2">
      <c r="A41334" s="3" t="str">
        <f>IFERROR(__xludf.DUMMYFUNCTION("GOOGLETRANSLATE(A41334,""en"",""pt"")"),"mais rápido do que G2, usa CompactFlash, bateria de longa duração")</f>
        <v>mais rápido do que G2, usa CompactFlash, bateria de longa duração</v>
      </c>
      <c r="B41334" s="3">
        <v>1</v>
      </c>
    </row>
    <row r="41335" ht="15.75" customHeight="1" spans="1:2">
      <c r="A41335" s="3" t="str">
        <f>IFERROR(__xludf.DUMMYFUNCTION("GOOGLETRANSLATE(A41335,""en"",""pt"")"),"incrível variedade de controles, grande autonomia da bateria, fotos Sharp &amp; amp; grandes cores")</f>
        <v>incrível variedade de controles, grande autonomia da bateria, fotos Sharp &amp; amp; grandes cores</v>
      </c>
      <c r="B41335" s="3">
        <v>1</v>
      </c>
    </row>
    <row r="41336" ht="15.75" customHeight="1" spans="1:2">
      <c r="A41336" s="3" t="str">
        <f>IFERROR(__xludf.DUMMYFUNCTION("GOOGLETRANSLATE(A41336,""en"",""pt"")"),"apoio FAT32 para CF, boa coloração, rápido, flash 2ª cortina, lente rápida, bateria de longa duração")</f>
        <v>apoio FAT32 para CF, boa coloração, rápido, flash 2ª cortina, lente rápida, bateria de longa duração</v>
      </c>
      <c r="B41336" s="3">
        <v>1</v>
      </c>
    </row>
    <row r="41337" ht="15.75" customHeight="1" spans="1:2">
      <c r="A41337" s="3" t="str">
        <f>IFERROR(__xludf.DUMMYFUNCTION("GOOGLETRANSLATE(A41337,""en"",""pt"")"),"Fácil de usar, bom tamanho e peso, e muito mais")</f>
        <v>Fácil de usar, bom tamanho e peso, e muito mais</v>
      </c>
      <c r="B41337" s="3">
        <v>1</v>
      </c>
    </row>
    <row r="41338" ht="15.75" customHeight="1" spans="1:2">
      <c r="A41338" s="3" t="str">
        <f>IFERROR(__xludf.DUMMYFUNCTION("GOOGLETRANSLATE(A41338,""en"",""pt"")"),"Melhor Digital Camera que tenho usado até agora.")</f>
        <v>Melhor Digital Camera que tenho usado até agora.</v>
      </c>
      <c r="B41338" s="3">
        <v>1</v>
      </c>
    </row>
    <row r="41339" ht="15.75" customHeight="1" spans="1:2">
      <c r="A41339" s="3" t="str">
        <f>IFERROR(__xludf.DUMMYFUNCTION("GOOGLETRANSLATE(A41339,""en"",""pt"")"),"&amp; Lt; b &amp; gt;. Provavelmente a câmera mais versátil e quase perfeito para o não-profissional &amp; lt; / b &amp; gt;")</f>
        <v>&amp; Lt; b &amp; gt;. Provavelmente a câmera mais versátil e quase perfeito para o não-profissional &amp; lt; / b &amp; gt;</v>
      </c>
      <c r="B41339" s="3">
        <v>1</v>
      </c>
    </row>
    <row r="41340" ht="15.75" customHeight="1" spans="1:2">
      <c r="A41340" s="3" t="str">
        <f>IFERROR(__xludf.DUMMYFUNCTION("GOOGLETRANSLATE(A41340,""en"",""pt"")"),"LCD, 4x zoom, inicialização rápida")</f>
        <v>LCD, 4x zoom, inicialização rápida</v>
      </c>
      <c r="B41340" s="3">
        <v>1</v>
      </c>
    </row>
    <row r="41341" ht="15.75" customHeight="1" spans="1:2">
      <c r="A41341" s="3" t="str">
        <f>IFERROR(__xludf.DUMMYFUNCTION("GOOGLETRANSLATE(A41341,""en"",""pt"")"),"extensa lista de funções para satisfazer todos os entusiastas, excelente qualidade de imagem")</f>
        <v>extensa lista de funções para satisfazer todos os entusiastas, excelente qualidade de imagem</v>
      </c>
      <c r="B41341" s="3">
        <v>1</v>
      </c>
    </row>
    <row r="41342" ht="15.75" customHeight="1" spans="1:2">
      <c r="A41342" s="3" t="str">
        <f>IFERROR(__xludf.DUMMYFUNCTION("GOOGLETRANSLATE(A41342,""en"",""pt"")"),"Fácil de usar, ótimas fotos, bem em pouca luz")</f>
        <v>Fácil de usar, ótimas fotos, bem em pouca luz</v>
      </c>
      <c r="B41342" s="3">
        <v>1</v>
      </c>
    </row>
    <row r="41343" ht="15.75" customHeight="1" spans="1:2">
      <c r="A41343" s="3" t="str">
        <f>IFERROR(__xludf.DUMMYFUNCTION("GOOGLETRANSLATE(A41343,""en"",""pt"")"),"totalmente automático ou o controle de fotografias com uma qualidade impressionante")</f>
        <v>totalmente automático ou o controle de fotografias com uma qualidade impressionante</v>
      </c>
      <c r="B41343" s="3">
        <v>1</v>
      </c>
    </row>
    <row r="41344" ht="15.75" customHeight="1" spans="1:2">
      <c r="A41344" s="3" t="str">
        <f>IFERROR(__xludf.DUMMYFUNCTION("GOOGLETRANSLATE(A41344,""en"",""pt"")"),"lente rápida, faixa de zoom, flexibilidade, facilidade de uso, sapata")</f>
        <v>lente rápida, faixa de zoom, flexibilidade, facilidade de uso, sapata</v>
      </c>
      <c r="B41344" s="3">
        <v>1</v>
      </c>
    </row>
    <row r="41345" ht="15.75" customHeight="1" spans="1:2">
      <c r="A41345" s="3" t="str">
        <f>IFERROR(__xludf.DUMMYFUNCTION("GOOGLETRANSLATE(A41345,""en"",""pt"")"),"4 mega pixel, excelente qualidade, excelente vida útil da bateria")</f>
        <v>4 mega pixel, excelente qualidade, excelente vida útil da bateria</v>
      </c>
      <c r="B41345" s="3">
        <v>1</v>
      </c>
    </row>
    <row r="41346" ht="15.75" customHeight="1" spans="1:2">
      <c r="A41346" s="3" t="str">
        <f>IFERROR(__xludf.DUMMYFUNCTION("GOOGLETRANSLATE(A41346,""en"",""pt"")"),"Grandes óptica, 4x lente zoom óptico, as capacidades do sistema.")</f>
        <v>Grandes óptica, 4x lente zoom óptico, as capacidades do sistema.</v>
      </c>
      <c r="B41346" s="3">
        <v>1</v>
      </c>
    </row>
    <row r="41347" ht="15.75" customHeight="1" spans="1:2">
      <c r="A41347" s="3" t="str">
        <f>IFERROR(__xludf.DUMMYFUNCTION("GOOGLETRANSLATE(A41347,""en"",""pt"")"),"excelentes dentro de câmaras G3 um")</f>
        <v>excelentes dentro de câmaras G3 um</v>
      </c>
      <c r="B41347" s="3">
        <v>1</v>
      </c>
    </row>
    <row r="41348" ht="15.75" customHeight="1" spans="1:2">
      <c r="A41348" s="3" t="str">
        <f>IFERROR(__xludf.DUMMYFUNCTION("GOOGLETRANSLATE(A41348,""en"",""pt"")"),"controles melhorado ao longo Powershots anteriores, bateria de longa duração.")</f>
        <v>controles melhorado ao longo Powershots anteriores, bateria de longa duração.</v>
      </c>
      <c r="B41348" s="3">
        <v>1</v>
      </c>
    </row>
    <row r="41349" ht="15.75" customHeight="1" spans="1:2">
      <c r="A41349" s="3" t="str">
        <f>IFERROR(__xludf.DUMMYFUNCTION("GOOGLETRANSLATE(A41349,""en"",""pt"")"),"Capaz de altíssima qualidade de imagem,, Muito curta obturador atraso de liberação")</f>
        <v>Capaz de altíssima qualidade de imagem,, Muito curta obturador atraso de liberação</v>
      </c>
      <c r="B41349" s="3">
        <v>1</v>
      </c>
    </row>
    <row r="41350" ht="15.75" customHeight="1" spans="1:2">
      <c r="A41350" s="3" t="str">
        <f>IFERROR(__xludf.DUMMYFUNCTION("GOOGLETRANSLATE(A41350,""en"",""pt"")"),"vida útil da bateria excelente e grandes controles manuais")</f>
        <v>vida útil da bateria excelente e grandes controles manuais</v>
      </c>
      <c r="B41350" s="3">
        <v>1</v>
      </c>
    </row>
    <row r="41351" ht="15.75" customHeight="1" spans="1:2">
      <c r="A41351" s="3" t="str">
        <f>IFERROR(__xludf.DUMMYFUNCTION("GOOGLETRANSLATE(A41351,""en"",""pt"")"),"Afiada, imagens claras. interface intuitiva. Boa reprodução de cores.")</f>
        <v>Afiada, imagens claras. interface intuitiva. Boa reprodução de cores.</v>
      </c>
      <c r="B41351" s="3">
        <v>1</v>
      </c>
    </row>
    <row r="41352" ht="15.75" customHeight="1" spans="1:2">
      <c r="A41352" s="3" t="str">
        <f>IFERROR(__xludf.DUMMYFUNCTION("GOOGLETRANSLATE(A41352,""en"",""pt"")"),"bastante rápido, incrível qualidade de imagem, controle conveniente")</f>
        <v>bastante rápido, incrível qualidade de imagem, controle conveniente</v>
      </c>
      <c r="B41352" s="3">
        <v>1</v>
      </c>
    </row>
    <row r="41353" ht="15.75" customHeight="1" spans="1:2">
      <c r="A41353" s="3" t="str">
        <f>IFERROR(__xludf.DUMMYFUNCTION("GOOGLETRANSLATE(A41353,""en"",""pt"")"),"versatilidade incrível e conjunto de recursos para o preço ($ 470 7/03)")</f>
        <v>versatilidade incrível e conjunto de recursos para o preço ($ 470 7/03)</v>
      </c>
      <c r="B41353" s="3">
        <v>1</v>
      </c>
    </row>
    <row r="41354" ht="15.75" customHeight="1" spans="1:2">
      <c r="A41354" s="3" t="str">
        <f>IFERROR(__xludf.DUMMYFUNCTION("GOOGLETRANSLATE(A41354,""en"",""pt"")"),"Impressionante câmera. Muitos extras. Ótimas fotos e filmes.")</f>
        <v>Impressionante câmera. Muitos extras. Ótimas fotos e filmes.</v>
      </c>
      <c r="B41354" s="3">
        <v>1</v>
      </c>
    </row>
    <row r="41355" ht="15.75" customHeight="1" spans="1:2">
      <c r="A41355" s="3" t="str">
        <f>IFERROR(__xludf.DUMMYFUNCTION("GOOGLETRANSLATE(A41355,""en"",""pt"")"),"imagens altamente detalhadas. Cores vivas e precisas. Grande autonomia da bateria.")</f>
        <v>imagens altamente detalhadas. Cores vivas e precisas. Grande autonomia da bateria.</v>
      </c>
      <c r="B41355" s="3">
        <v>1</v>
      </c>
    </row>
    <row r="41356" ht="15.75" customHeight="1" spans="1:2">
      <c r="A41356" s="3" t="str">
        <f>IFERROR(__xludf.DUMMYFUNCTION("GOOGLETRANSLATE(A41356,""en"",""pt"")"),"câmera avançada, boa qualidade de imagem, modos de exposição flexíveis, muitos, muitos recursos")</f>
        <v>câmera avançada, boa qualidade de imagem, modos de exposição flexíveis, muitos, muitos recursos</v>
      </c>
      <c r="B41356" s="3">
        <v>1</v>
      </c>
    </row>
    <row r="41357" ht="15.75" customHeight="1" spans="1:2">
      <c r="A41357" s="3" t="str">
        <f>IFERROR(__xludf.DUMMYFUNCTION("GOOGLETRANSLATE(A41357,""en"",""pt"")"),"construção sólida, boa zoom")</f>
        <v>construção sólida, boa zoom</v>
      </c>
      <c r="B41357" s="3">
        <v>1</v>
      </c>
    </row>
    <row r="41358" ht="15.75" customHeight="1" spans="1:2">
      <c r="A41358" s="3" t="str">
        <f>IFERROR(__xludf.DUMMYFUNCTION("GOOGLETRANSLATE(A41358,""en"",""pt"")"),"Muitas melhorias inovadoras sobre a Canon Powershot G2,")</f>
        <v>Muitas melhorias inovadoras sobre a Canon Powershot G2,</v>
      </c>
      <c r="B41358" s="3">
        <v>1</v>
      </c>
    </row>
    <row r="41359" ht="15.75" customHeight="1" spans="1:2">
      <c r="A41359" s="3" t="str">
        <f>IFERROR(__xludf.DUMMYFUNCTION("GOOGLETRANSLATE(A41359,""en"",""pt"")"),"Excelente qualidade de imagem, rica em funções, muitas melhorias do G2")</f>
        <v>Excelente qualidade de imagem, rica em funções, muitas melhorias do G2</v>
      </c>
      <c r="B41359" s="3">
        <v>1</v>
      </c>
    </row>
    <row r="41360" ht="15.75" customHeight="1" spans="1:2">
      <c r="A41360" s="3" t="str">
        <f>IFERROR(__xludf.DUMMYFUNCTION("GOOGLETRANSLATE(A41360,""en"",""pt"")"),"Pequeno, leve e excelentes fotos")</f>
        <v>Pequeno, leve e excelentes fotos</v>
      </c>
      <c r="B41360" s="3">
        <v>1</v>
      </c>
    </row>
    <row r="41361" ht="15.75" customHeight="1" spans="1:2">
      <c r="A41361" s="3" t="str">
        <f>IFERROR(__xludf.DUMMYFUNCTION("GOOGLETRANSLATE(A41361,""en"",""pt"")"),"Rico em recursos! Toma fotografias impressionantes! bateria de longa duração!")</f>
        <v>Rico em recursos! Toma fotografias impressionantes! bateria de longa duração!</v>
      </c>
      <c r="B41361" s="3">
        <v>1</v>
      </c>
    </row>
    <row r="41362" ht="15.75" customHeight="1" spans="1:2">
      <c r="A41362" s="3" t="str">
        <f>IFERROR(__xludf.DUMMYFUNCTION("GOOGLETRANSLATE(A41362,""en"",""pt"")"),"Controle total, lente rápida 4X, qualidade superior de imagem, Compact Flash I / II de mídia")</f>
        <v>Controle total, lente rápida 4X, qualidade superior de imagem, Compact Flash I / II de mídia</v>
      </c>
      <c r="B41362" s="3">
        <v>1</v>
      </c>
    </row>
    <row r="41363" ht="15.75" customHeight="1" spans="1:2">
      <c r="A41363" s="3" t="str">
        <f>IFERROR(__xludf.DUMMYFUNCTION("GOOGLETRANSLATE(A41363,""en"",""pt"")"),"qualidade de imagem, a vida da bateria, monitor LCD, a manipulação, o valor. controle manual, agradável lense")</f>
        <v>qualidade de imagem, a vida da bateria, monitor LCD, a manipulação, o valor. controle manual, agradável lense</v>
      </c>
      <c r="B41363" s="3">
        <v>1</v>
      </c>
    </row>
    <row r="41364" ht="15.75" customHeight="1" spans="1:2">
      <c r="A41364" s="3" t="str">
        <f>IFERROR(__xludf.DUMMYFUNCTION("GOOGLETRANSLATE(A41364,""en"",""pt"")"),"Photo Quality, LCD flip-out tela")</f>
        <v>Photo Quality, LCD flip-out tela</v>
      </c>
      <c r="B41364" s="3">
        <v>1</v>
      </c>
    </row>
    <row r="41365" ht="15.75" customHeight="1" spans="1:2">
      <c r="A41365" s="3" t="str">
        <f>IFERROR(__xludf.DUMMYFUNCTION("GOOGLETRANSLATE(A41365,""en"",""pt"")"),"Ótimas fotos")</f>
        <v>Ótimas fotos</v>
      </c>
      <c r="B41365" s="3">
        <v>1</v>
      </c>
    </row>
    <row r="41366" ht="15.75" customHeight="1" spans="1:2">
      <c r="A41366" s="3" t="str">
        <f>IFERROR(__xludf.DUMMYFUNCTION("GOOGLETRANSLATE(A41366,""en"",""pt"")"),"ótima câmera")</f>
        <v>ótima câmera</v>
      </c>
      <c r="B41366" s="3">
        <v>1</v>
      </c>
    </row>
    <row r="41367" ht="15.75" customHeight="1" spans="1:2">
      <c r="A41367" s="3" t="str">
        <f>IFERROR(__xludf.DUMMYFUNCTION("GOOGLETRANSLATE(A41367,""en"",""pt"")"),"Jogo é muito divertido. Grande com multy-player ou com single-player!")</f>
        <v>Jogo é muito divertido. Grande com multy-player ou com single-player!</v>
      </c>
      <c r="B41367" s="3">
        <v>1</v>
      </c>
    </row>
    <row r="41368" ht="15.75" customHeight="1" spans="1:2">
      <c r="A41368" s="3" t="str">
        <f>IFERROR(__xludf.DUMMYFUNCTION("GOOGLETRANSLATE(A41368,""en"",""pt"")"),"Accurate Cor")</f>
        <v>Accurate Cor</v>
      </c>
      <c r="B41368" s="3">
        <v>1</v>
      </c>
    </row>
    <row r="41369" ht="15.75" customHeight="1" spans="1:2">
      <c r="A41369" s="3" t="str">
        <f>IFERROR(__xludf.DUMMYFUNCTION("GOOGLETRANSLATE(A41369,""en"",""pt"")"),"preço barato.......")</f>
        <v>preço barato.......</v>
      </c>
      <c r="B41369" s="3">
        <v>1</v>
      </c>
    </row>
    <row r="41370" ht="15.75" customHeight="1" spans="1:2">
      <c r="A41370" s="3" t="str">
        <f>IFERROR(__xludf.DUMMYFUNCTION("GOOGLETRANSLATE(A41370,""en"",""pt"")"),"facilidade de operação, o conjunto de recursos e preço")</f>
        <v>facilidade de operação, o conjunto de recursos e preço</v>
      </c>
      <c r="B41370" s="3">
        <v>1</v>
      </c>
    </row>
    <row r="41371" ht="15.75" customHeight="1" spans="1:2">
      <c r="A41371" s="3" t="str">
        <f>IFERROR(__xludf.DUMMYFUNCTION("GOOGLETRANSLATE(A41371,""en"",""pt"")"),"câmera grat")</f>
        <v>câmera grat</v>
      </c>
      <c r="B41371" s="3">
        <v>1</v>
      </c>
    </row>
    <row r="41372" ht="15.75" customHeight="1" spans="1:2">
      <c r="A41372" s="3" t="str">
        <f>IFERROR(__xludf.DUMMYFUNCTION("GOOGLETRANSLATE(A41372,""en"",""pt"")"),"Grande resolução - Precisa de um Melhoria Pouco")</f>
        <v>Grande resolução - Precisa de um Melhoria Pouco</v>
      </c>
      <c r="B41372" s="3">
        <v>1</v>
      </c>
    </row>
    <row r="41373" ht="15.75" customHeight="1" spans="1:2">
      <c r="A41373" s="3" t="str">
        <f>IFERROR(__xludf.DUMMYFUNCTION("GOOGLETRANSLATE(A41373,""en"",""pt"")"),"bateria de longa duração, zoom grande angular, flash hotshoe externa on-board da câmera, lente excelente")</f>
        <v>bateria de longa duração, zoom grande angular, flash hotshoe externa on-board da câmera, lente excelente</v>
      </c>
      <c r="B41373" s="3">
        <v>1</v>
      </c>
    </row>
    <row r="41374" ht="15.75" customHeight="1" spans="1:2">
      <c r="A41374" s="3" t="str">
        <f>IFERROR(__xludf.DUMMYFUNCTION("GOOGLETRANSLATE(A41374,""en"",""pt"")"),"tiros de qualidade / 2 slots CompactFlash")</f>
        <v>tiros de qualidade / 2 slots CompactFlash</v>
      </c>
      <c r="B41374" s="3">
        <v>1</v>
      </c>
    </row>
    <row r="41375" ht="15.75" customHeight="1" spans="1:2">
      <c r="A41375" s="3" t="str">
        <f>IFERROR(__xludf.DUMMYFUNCTION("GOOGLETRANSLATE(A41375,""en"",""pt"")"),"Feche acima dos tiros.")</f>
        <v>Feche acima dos tiros.</v>
      </c>
      <c r="B41375" s="3">
        <v>1</v>
      </c>
    </row>
    <row r="41376" ht="15.75" customHeight="1" spans="1:2">
      <c r="A41376" s="3" t="str">
        <f>IFERROR(__xludf.DUMMYFUNCTION("GOOGLETRANSLATE(A41376,""en"",""pt"")"),"Ruptura de preço porque o Pro70 não é de ponta. Microdrive pronto.")</f>
        <v>Ruptura de preço porque o Pro70 não é de ponta. Microdrive pronto.</v>
      </c>
      <c r="B41376" s="3">
        <v>1</v>
      </c>
    </row>
    <row r="41377" ht="15.75" customHeight="1" spans="1:2">
      <c r="A41377" s="3" t="str">
        <f>IFERROR(__xludf.DUMMYFUNCTION("GOOGLETRANSLATE(A41377,""en"",""pt"")"),"ergonómico, fácil de usar, grande lente, foco decente, suporte a flash decente")</f>
        <v>ergonómico, fácil de usar, grande lente, foco decente, suporte a flash decente</v>
      </c>
      <c r="B41377" s="3">
        <v>1</v>
      </c>
    </row>
    <row r="41378" ht="15.75" customHeight="1" spans="1:2">
      <c r="A41378" s="3" t="str">
        <f>IFERROR(__xludf.DUMMYFUNCTION("GOOGLETRANSLATE(A41378,""en"",""pt"")"),"Grande faixa de zoom (10X), carregado com características, sharpnesss Imagem")</f>
        <v>Grande faixa de zoom (10X), carregado com características, sharpnesss Imagem</v>
      </c>
      <c r="B41378" s="3">
        <v>1</v>
      </c>
    </row>
    <row r="41379" ht="15.75" customHeight="1" spans="1:2">
      <c r="A41379" s="3" t="str">
        <f>IFERROR(__xludf.DUMMYFUNCTION("GOOGLETRANSLATE(A41379,""en"",""pt"")"),"fator de forma estilo SLR, flash hotshoe, 10x zoom, a qualidade da imagem")</f>
        <v>fator de forma estilo SLR, flash hotshoe, 10x zoom, a qualidade da imagem</v>
      </c>
      <c r="B41379" s="3">
        <v>1</v>
      </c>
    </row>
    <row r="41380" ht="15.75" customHeight="1" spans="1:2">
      <c r="A41380" s="3" t="str">
        <f>IFERROR(__xludf.DUMMYFUNCTION("GOOGLETRANSLATE(A41380,""en"",""pt"")"),"lente incrível capacidade de zoom 10x. Carregado com características. design sexy.")</f>
        <v>lente incrível capacidade de zoom 10x. Carregado com características. design sexy.</v>
      </c>
      <c r="B41380" s="3">
        <v>1</v>
      </c>
    </row>
    <row r="41381" ht="15.75" customHeight="1" spans="1:2">
      <c r="A41381" s="3" t="str">
        <f>IFERROR(__xludf.DUMMYFUNCTION("GOOGLETRANSLATE(A41381,""en"",""pt"")"),"10x óptico de imagem zoom estabilizado, compatível com Microdrive, Sapata")</f>
        <v>10x óptico de imagem zoom estabilizado, compatível com Microdrive, Sapata</v>
      </c>
      <c r="B41381" s="3">
        <v>1</v>
      </c>
    </row>
    <row r="41382" ht="15.75" customHeight="1" spans="1:2">
      <c r="A41382" s="3" t="str">
        <f>IFERROR(__xludf.DUMMYFUNCTION("GOOGLETRANSLATE(A41382,""en"",""pt"")"),"Estabilização de Imagem, zoom 10x, lente grande, fácil de usar SLR Digital")</f>
        <v>Estabilização de Imagem, zoom 10x, lente grande, fácil de usar SLR Digital</v>
      </c>
      <c r="B41382" s="3">
        <v>1</v>
      </c>
    </row>
    <row r="41383" ht="15.75" customHeight="1" spans="1:2">
      <c r="A41383" s="3" t="str">
        <f>IFERROR(__xludf.DUMMYFUNCTION("GOOGLETRANSLATE(A41383,""en"",""pt"")"),"Grande zoom, grandes recursos")</f>
        <v>Grande zoom, grandes recursos</v>
      </c>
      <c r="B41383" s="3">
        <v>1</v>
      </c>
    </row>
    <row r="41384" ht="15.75" customHeight="1" spans="1:2">
      <c r="A41384" s="3" t="str">
        <f>IFERROR(__xludf.DUMMYFUNCTION("GOOGLETRANSLATE(A41384,""en"",""pt"")"),"Tilt / Inverter LCD, zoom óptico de 10X, Estabilização de Imagem &amp; amp; # 13; &amp; amp; # 10;")</f>
        <v>Tilt / Inverter LCD, zoom óptico de 10X, Estabilização de Imagem &amp; amp; # 13; &amp; amp; # 10;</v>
      </c>
      <c r="B41384" s="3">
        <v>1</v>
      </c>
    </row>
    <row r="41385" ht="15.75" customHeight="1" spans="1:2">
      <c r="A41385" s="3" t="str">
        <f>IFERROR(__xludf.DUMMYFUNCTION("GOOGLETRANSLATE(A41385,""en"",""pt"")"),"Excelente qualidade, fácil de usar, muito SLR Like.")</f>
        <v>Excelente qualidade, fácil de usar, muito SLR Like.</v>
      </c>
      <c r="B41385" s="3">
        <v>1</v>
      </c>
    </row>
    <row r="41386" ht="15.75" customHeight="1" spans="1:2">
      <c r="A41386" s="3" t="str">
        <f>IFERROR(__xludf.DUMMYFUNCTION("GOOGLETRANSLATE(A41386,""en"",""pt"")"),"Grande lente, zoom 10x, flash bom, fácil de usar.")</f>
        <v>Grande lente, zoom 10x, flash bom, fácil de usar.</v>
      </c>
      <c r="B41386" s="3">
        <v>1</v>
      </c>
    </row>
    <row r="41387" ht="15.75" customHeight="1" spans="1:2">
      <c r="A41387" s="3" t="str">
        <f>IFERROR(__xludf.DUMMYFUNCTION("GOOGLETRANSLATE(A41387,""en"",""pt"")"),"Grande, rápido zoom além de lotes de controle")</f>
        <v>Grande, rápido zoom além de lotes de controle</v>
      </c>
      <c r="B41387" s="3">
        <v>1</v>
      </c>
    </row>
    <row r="41388" ht="15.75" customHeight="1" spans="1:2">
      <c r="A41388" s="3" t="str">
        <f>IFERROR(__xludf.DUMMYFUNCTION("GOOGLETRANSLATE(A41388,""en"",""pt"")"),"Tem grandes figuras")</f>
        <v>Tem grandes figuras</v>
      </c>
      <c r="B41388" s="3">
        <v>1</v>
      </c>
    </row>
    <row r="41389" ht="15.75" customHeight="1" spans="1:2">
      <c r="A41389" s="3" t="str">
        <f>IFERROR(__xludf.DUMMYFUNCTION("GOOGLETRANSLATE(A41389,""en"",""pt"")"),"Muito bom, pequeno, acessível, e de grande qualidade.")</f>
        <v>Muito bom, pequeno, acessível, e de grande qualidade.</v>
      </c>
      <c r="B41389" s="3">
        <v>1</v>
      </c>
    </row>
    <row r="41390" ht="15.75" customHeight="1" spans="1:2">
      <c r="A41390" s="3" t="str">
        <f>IFERROR(__xludf.DUMMYFUNCTION("GOOGLETRANSLATE(A41390,""en"",""pt"")"),"Compacto, fácil de usar, ótimas fotos")</f>
        <v>Compacto, fácil de usar, ótimas fotos</v>
      </c>
      <c r="B41390" s="3">
        <v>1</v>
      </c>
    </row>
    <row r="41391" ht="15.75" customHeight="1" spans="1:2">
      <c r="A41391" s="3" t="str">
        <f>IFERROR(__xludf.DUMMYFUNCTION("GOOGLETRANSLATE(A41391,""en"",""pt"")"),"Construído como um tanque")</f>
        <v>Construído como um tanque</v>
      </c>
      <c r="B41391" s="3">
        <v>1</v>
      </c>
    </row>
    <row r="41392" ht="15.75" customHeight="1" spans="1:2">
      <c r="A41392" s="3" t="str">
        <f>IFERROR(__xludf.DUMMYFUNCTION("GOOGLETRANSLATE(A41392,""en"",""pt"")"),"fácil de usar. tem grandes figuras. resistente à água!")</f>
        <v>fácil de usar. tem grandes figuras. resistente à água!</v>
      </c>
      <c r="B41392" s="3">
        <v>1</v>
      </c>
    </row>
    <row r="41393" ht="15.75" customHeight="1" spans="1:2">
      <c r="A41393" s="3" t="str">
        <f>IFERROR(__xludf.DUMMYFUNCTION("GOOGLETRANSLATE(A41393,""en"",""pt"")"),"excelente câmera")</f>
        <v>excelente câmera</v>
      </c>
      <c r="B41393" s="3">
        <v>1</v>
      </c>
    </row>
    <row r="41394" ht="15.75" customHeight="1" spans="1:2">
      <c r="A41394" s="3" t="str">
        <f>IFERROR(__xludf.DUMMYFUNCTION("GOOGLETRANSLATE(A41394,""en"",""pt"")"),"Petite, design atraente, leve e fácil de viajar com / uso, qualidade de Nice foto")</f>
        <v>Petite, design atraente, leve e fácil de viajar com / uso, qualidade de Nice foto</v>
      </c>
      <c r="B41394" s="3">
        <v>1</v>
      </c>
    </row>
    <row r="41395" ht="15.75" customHeight="1" spans="1:2">
      <c r="A41395" s="3" t="str">
        <f>IFERROR(__xludf.DUMMYFUNCTION("GOOGLETRANSLATE(A41395,""en"",""pt"")"),"QUALIDADE DA IMAGEM, SIZE")</f>
        <v>QUALIDADE DA IMAGEM, SIZE</v>
      </c>
      <c r="B41395" s="3">
        <v>1</v>
      </c>
    </row>
    <row r="41396" ht="15.75" customHeight="1" spans="1:2">
      <c r="A41396" s="3" t="str">
        <f>IFERROR(__xludf.DUMMYFUNCTION("GOOGLETRANSLATE(A41396,""en"",""pt"")"),"Tamanho pequeno, excelente qualidade de imagem, de 2 megapixels é mais que suficiente")</f>
        <v>Tamanho pequeno, excelente qualidade de imagem, de 2 megapixels é mais que suficiente</v>
      </c>
      <c r="B41396" s="3">
        <v>1</v>
      </c>
    </row>
    <row r="41397" ht="15.75" customHeight="1" spans="1:2">
      <c r="A41397" s="3" t="str">
        <f>IFERROR(__xludf.DUMMYFUNCTION("GOOGLETRANSLATE(A41397,""en"",""pt"")"),"Uma câmera divertido, tamanho de pequeno, grande na performance!")</f>
        <v>Uma câmera divertido, tamanho de pequeno, grande na performance!</v>
      </c>
      <c r="B41397" s="3">
        <v>1</v>
      </c>
    </row>
    <row r="41398" ht="15.75" customHeight="1" spans="1:2">
      <c r="A41398" s="3" t="str">
        <f>IFERROR(__xludf.DUMMYFUNCTION("GOOGLETRANSLATE(A41398,""en"",""pt"")"),"compactos, boas fotos, parece que o popular, &amp; amp; quot; Elph &amp; amp; quot;")</f>
        <v>compactos, boas fotos, parece que o popular, &amp; amp; quot; Elph &amp; amp; quot;</v>
      </c>
      <c r="B41398" s="3">
        <v>1</v>
      </c>
    </row>
    <row r="41399" ht="15.75" customHeight="1" spans="1:2">
      <c r="A41399" s="3" t="str">
        <f>IFERROR(__xludf.DUMMYFUNCTION("GOOGLETRANSLATE(A41399,""en"",""pt"")"),"É um pequeno e qualidade tomando câmera imagem")</f>
        <v>É um pequeno e qualidade tomando câmera imagem</v>
      </c>
      <c r="B41399" s="3">
        <v>1</v>
      </c>
    </row>
    <row r="41400" ht="15.75" customHeight="1" spans="1:2">
      <c r="A41400" s="3" t="str">
        <f>IFERROR(__xludf.DUMMYFUNCTION("GOOGLETRANSLATE(A41400,""en"",""pt"")"),"Fácil, ótimas fotos, muitas características")</f>
        <v>Fácil, ótimas fotos, muitas características</v>
      </c>
      <c r="B41400" s="3">
        <v>1</v>
      </c>
    </row>
    <row r="41401" ht="15.75" customHeight="1" spans="1:2">
      <c r="A41401" s="3" t="str">
        <f>IFERROR(__xludf.DUMMYFUNCTION("GOOGLETRANSLATE(A41401,""en"",""pt"")"),"excelente qualidade de imagem, fácil de usar, pode usar microdrive")</f>
        <v>excelente qualidade de imagem, fácil de usar, pode usar microdrive</v>
      </c>
      <c r="B41401" s="3">
        <v>1</v>
      </c>
    </row>
    <row r="41402" ht="15.75" customHeight="1" spans="1:2">
      <c r="A41402" s="3" t="str">
        <f>IFERROR(__xludf.DUMMYFUNCTION("GOOGLETRANSLATE(A41402,""en"",""pt"")"),"Tamanho grande, ótimas fotos, grande tudo!")</f>
        <v>Tamanho grande, ótimas fotos, grande tudo!</v>
      </c>
      <c r="B41402" s="3">
        <v>1</v>
      </c>
    </row>
    <row r="41403" ht="15.75" customHeight="1" spans="1:2">
      <c r="A41403" s="3" t="str">
        <f>IFERROR(__xludf.DUMMYFUNCTION("GOOGLETRANSLATE(A41403,""en"",""pt"")"),"imagens agradáveis, pequeno, conveniente")</f>
        <v>imagens agradáveis, pequeno, conveniente</v>
      </c>
      <c r="B41403" s="3">
        <v>1</v>
      </c>
    </row>
    <row r="41404" ht="15.75" customHeight="1" spans="1:2">
      <c r="A41404" s="3" t="str">
        <f>IFERROR(__xludf.DUMMYFUNCTION("GOOGLETRANSLATE(A41404,""en"",""pt"")"),"Great design! User friendly tira uma fotografia.")</f>
        <v>Great design! User friendly tira uma fotografia.</v>
      </c>
      <c r="B41404" s="3">
        <v>1</v>
      </c>
    </row>
    <row r="41405" ht="15.75" customHeight="1" spans="1:2">
      <c r="A41405" s="3" t="str">
        <f>IFERROR(__xludf.DUMMYFUNCTION("GOOGLETRANSLATE(A41405,""en"",""pt"")"),"construção sólida, excelente qualidade de imagem, muito fácil de usar")</f>
        <v>construção sólida, excelente qualidade de imagem, muito fácil de usar</v>
      </c>
      <c r="B41405" s="3">
        <v>1</v>
      </c>
    </row>
    <row r="41406" ht="15.75" customHeight="1" spans="1:2">
      <c r="A41406" s="3" t="str">
        <f>IFERROR(__xludf.DUMMYFUNCTION("GOOGLETRANSLATE(A41406,""en"",""pt"")"),"Compacto, qualidade fantástica, fácil de transferir fotos, grande LCD.")</f>
        <v>Compacto, qualidade fantástica, fácil de transferir fotos, grande LCD.</v>
      </c>
      <c r="B41406" s="3">
        <v>1</v>
      </c>
    </row>
    <row r="41407" ht="15.75" customHeight="1" spans="1:2">
      <c r="A41407" s="3" t="str">
        <f>IFERROR(__xludf.DUMMYFUNCTION("GOOGLETRANSLATE(A41407,""en"",""pt"")"),"Fácil de usar, ótimas fotos, ótimo software.")</f>
        <v>Fácil de usar, ótimas fotos, ótimo software.</v>
      </c>
      <c r="B41407" s="3">
        <v>1</v>
      </c>
    </row>
    <row r="41408" ht="15.75" customHeight="1" spans="1:2">
      <c r="A41408" s="3" t="str">
        <f>IFERROR(__xludf.DUMMYFUNCTION("GOOGLETRANSLATE(A41408,""en"",""pt"")"),"Ótimo")</f>
        <v>Ótimo</v>
      </c>
      <c r="B41408" s="3">
        <v>1</v>
      </c>
    </row>
    <row r="41409" ht="15.75" customHeight="1" spans="1:2">
      <c r="A41409" s="3" t="str">
        <f>IFERROR(__xludf.DUMMYFUNCTION("GOOGLETRANSLATE(A41409,""en"",""pt"")"),"Depois de dias de constante pesquisa, eu ter resolvido em um presente.")</f>
        <v>Depois de dias de constante pesquisa, eu ter resolvido em um presente.</v>
      </c>
      <c r="B41409" s="3">
        <v>1</v>
      </c>
    </row>
    <row r="41410" ht="15.75" customHeight="1" spans="1:2">
      <c r="A41410" s="3" t="str">
        <f>IFERROR(__xludf.DUMMYFUNCTION("GOOGLETRANSLATE(A41410,""en"",""pt"")"),"pequeno, fácil de usar, muitas características avançadas, aceita ibm microdrive")</f>
        <v>pequeno, fácil de usar, muitas características avançadas, aceita ibm microdrive</v>
      </c>
      <c r="B41410" s="3">
        <v>1</v>
      </c>
    </row>
    <row r="41411" ht="15.75" customHeight="1" spans="1:2">
      <c r="A41411" s="3" t="str">
        <f>IFERROR(__xludf.DUMMYFUNCTION("GOOGLETRANSLATE(A41411,""en"",""pt"")"),"Custo, tamanho, fácil de usar, usa o menor custo IBM Microdrive")</f>
        <v>Custo, tamanho, fácil de usar, usa o menor custo IBM Microdrive</v>
      </c>
      <c r="B41411" s="3">
        <v>1</v>
      </c>
    </row>
    <row r="41412" ht="15.75" customHeight="1" spans="1:2">
      <c r="A41412" s="3" t="str">
        <f>IFERROR(__xludf.DUMMYFUNCTION("GOOGLETRANSLATE(A41412,""en"",""pt"")"),"Pequeno, flexível, barato, 2.1 Megapix de")</f>
        <v>Pequeno, flexível, barato, 2.1 Megapix de</v>
      </c>
      <c r="B41412" s="3">
        <v>1</v>
      </c>
    </row>
    <row r="41413" ht="15.75" customHeight="1" spans="1:2">
      <c r="A41413" s="3" t="str">
        <f>IFERROR(__xludf.DUMMYFUNCTION("GOOGLETRANSLATE(A41413,""en"",""pt"")"),"compacto e confiável")</f>
        <v>compacto e confiável</v>
      </c>
      <c r="B41413" s="3">
        <v>1</v>
      </c>
    </row>
    <row r="41414" ht="15.75" customHeight="1" spans="1:2">
      <c r="A41414" s="3" t="str">
        <f>IFERROR(__xludf.DUMMYFUNCTION("GOOGLETRANSLATE(A41414,""en"",""pt"")"),"Tamanho compacto, fácil de transportar, 2.1 Mega Pixel")</f>
        <v>Tamanho compacto, fácil de transportar, 2.1 Mega Pixel</v>
      </c>
      <c r="B41414" s="3">
        <v>1</v>
      </c>
    </row>
    <row r="41415" ht="15.75" customHeight="1" spans="1:2">
      <c r="A41415" s="3" t="str">
        <f>IFERROR(__xludf.DUMMYFUNCTION("GOOGLETRANSLATE(A41415,""en"",""pt"")"),"Tamanho!!")</f>
        <v>Tamanho!!</v>
      </c>
      <c r="B41415" s="3">
        <v>1</v>
      </c>
    </row>
    <row r="41416" ht="15.75" customHeight="1" spans="1:2">
      <c r="A41416" s="3" t="str">
        <f>IFERROR(__xludf.DUMMYFUNCTION("GOOGLETRANSLATE(A41416,""en"",""pt"")"),"Bom, muito pequenas, grandes fotos à procura")</f>
        <v>Bom, muito pequenas, grandes fotos à procura</v>
      </c>
      <c r="B41416" s="3">
        <v>1</v>
      </c>
    </row>
    <row r="41417" ht="15.75" customHeight="1" spans="1:2">
      <c r="A41417" s="3" t="str">
        <f>IFERROR(__xludf.DUMMYFUNCTION("GOOGLETRANSLATE(A41417,""en"",""pt"")"),"Tamanho, resolução, Coolness")</f>
        <v>Tamanho, resolução, Coolness</v>
      </c>
      <c r="B41417" s="3">
        <v>1</v>
      </c>
    </row>
    <row r="41418" ht="15.75" customHeight="1" spans="1:2">
      <c r="A41418" s="3" t="str">
        <f>IFERROR(__xludf.DUMMYFUNCTION("GOOGLETRANSLATE(A41418,""en"",""pt"")"),"Fácil de usar")</f>
        <v>Fácil de usar</v>
      </c>
      <c r="B41418" s="3">
        <v>1</v>
      </c>
    </row>
    <row r="41419" ht="15.75" customHeight="1" spans="1:2">
      <c r="A41419" s="3" t="str">
        <f>IFERROR(__xludf.DUMMYFUNCTION("GOOGLETRANSLATE(A41419,""en"",""pt"")"),"sol elétrica altivo espanta os nativos")</f>
        <v>sol elétrica altivo espanta os nativos</v>
      </c>
      <c r="B41419" s="3">
        <v>1</v>
      </c>
    </row>
    <row r="41420" ht="15.75" customHeight="1" spans="1:2">
      <c r="A41420" s="3" t="str">
        <f>IFERROR(__xludf.DUMMYFUNCTION("GOOGLETRANSLATE(A41420,""en"",""pt"")"),"Portátil, de 2 megapixels, Looks altivo, faz Quicktime VR de")</f>
        <v>Portátil, de 2 megapixels, Looks altivo, faz Quicktime VR de</v>
      </c>
      <c r="B41420" s="3">
        <v>1</v>
      </c>
    </row>
    <row r="41421" ht="15.75" customHeight="1" spans="1:2">
      <c r="A41421" s="3" t="str">
        <f>IFERROR(__xludf.DUMMYFUNCTION("GOOGLETRANSLATE(A41421,""en"",""pt"")"),"Muito bom em qualidade.")</f>
        <v>Muito bom em qualidade.</v>
      </c>
      <c r="B41421" s="3">
        <v>1</v>
      </c>
    </row>
    <row r="41422" ht="15.75" customHeight="1" spans="1:2">
      <c r="A41422" s="3" t="str">
        <f>IFERROR(__xludf.DUMMYFUNCTION("GOOGLETRANSLATE(A41422,""en"",""pt"")"),"Tamanho, a vida da bateria, a qualidade da imagem")</f>
        <v>Tamanho, a vida da bateria, a qualidade da imagem</v>
      </c>
      <c r="B41422" s="3">
        <v>1</v>
      </c>
    </row>
    <row r="41423" ht="15.75" customHeight="1" spans="1:2">
      <c r="A41423" s="3" t="str">
        <f>IFERROR(__xludf.DUMMYFUNCTION("GOOGLETRANSLATE(A41423,""en"",""pt"")"),"Pequenas dimensões, bem construído e corpo rígido, controle responsivo, CCD super-baixo ruído, modo de compressão Super-Fine comparável a imagens não comprimidas TIFF a 1/4 do tamanho.")</f>
        <v>Pequenas dimensões, bem construído e corpo rígido, controle responsivo, CCD super-baixo ruído, modo de compressão Super-Fine comparável a imagens não comprimidas TIFF a 1/4 do tamanho.</v>
      </c>
      <c r="B41423" s="3">
        <v>1</v>
      </c>
    </row>
    <row r="41424" ht="15.75" customHeight="1" spans="1:2">
      <c r="A41424" s="3" t="str">
        <f>IFERROR(__xludf.DUMMYFUNCTION("GOOGLETRANSLATE(A41424,""en"",""pt"")"),"pequenos e leves, boas fotos")</f>
        <v>pequenos e leves, boas fotos</v>
      </c>
      <c r="B41424" s="3">
        <v>1</v>
      </c>
    </row>
    <row r="41425" ht="15.75" customHeight="1" spans="1:2">
      <c r="A41425" s="3" t="str">
        <f>IFERROR(__xludf.DUMMYFUNCTION("GOOGLETRANSLATE(A41425,""en"",""pt"")"),"tamanho, qualidade de imagem")</f>
        <v>tamanho, qualidade de imagem</v>
      </c>
      <c r="B41425" s="3">
        <v>1</v>
      </c>
    </row>
    <row r="41426" ht="15.75" customHeight="1" spans="1:2">
      <c r="A41426" s="3" t="str">
        <f>IFERROR(__xludf.DUMMYFUNCTION("GOOGLETRANSLATE(A41426,""en"",""pt"")"),"Melhor precisão de cor e nitidez de todas as câmeras de 2,1 Mpixel")</f>
        <v>Melhor precisão de cor e nitidez de todas as câmeras de 2,1 Mpixel</v>
      </c>
      <c r="B41426" s="3">
        <v>1</v>
      </c>
    </row>
    <row r="41427" ht="15.75" customHeight="1" spans="1:2">
      <c r="A41427" s="3" t="str">
        <f>IFERROR(__xludf.DUMMYFUNCTION("GOOGLETRANSLATE(A41427,""en"",""pt"")"),"Boa resolução, grandes recursos, pegada pequena")</f>
        <v>Boa resolução, grandes recursos, pegada pequena</v>
      </c>
      <c r="B41427" s="3">
        <v>1</v>
      </c>
    </row>
    <row r="41428" ht="15.75" customHeight="1" spans="1:2">
      <c r="A41428" s="3" t="str">
        <f>IFERROR(__xludf.DUMMYFUNCTION("GOOGLETRANSLATE(A41428,""en"",""pt"")"),"fator de forma, slot CompactFlash Tipo II, lente de zoom óptico com uma opção digital de 2X-4X, ISO 100-400, 3 tamanhos de imagem selecionáveis")</f>
        <v>fator de forma, slot CompactFlash Tipo II, lente de zoom óptico com uma opção digital de 2X-4X, ISO 100-400, 3 tamanhos de imagem selecionáveis</v>
      </c>
      <c r="B41428" s="3">
        <v>1</v>
      </c>
    </row>
    <row r="41429" ht="15.75" customHeight="1" spans="1:2">
      <c r="A41429" s="3" t="str">
        <f>IFERROR(__xludf.DUMMYFUNCTION("GOOGLETRANSLATE(A41429,""en"",""pt"")"),"imagens soberbas, construção de qualidade, aceita placas do tipo II")</f>
        <v>imagens soberbas, construção de qualidade, aceita placas do tipo II</v>
      </c>
      <c r="B41429" s="3">
        <v>1</v>
      </c>
    </row>
    <row r="41430" ht="15.75" customHeight="1" spans="1:2">
      <c r="A41430" s="3" t="str">
        <f>IFERROR(__xludf.DUMMYFUNCTION("GOOGLETRANSLATE(A41430,""en"",""pt"")"),"Pequenos, grandes funções, boas fotos")</f>
        <v>Pequenos, grandes funções, boas fotos</v>
      </c>
      <c r="B41430" s="3">
        <v>1</v>
      </c>
    </row>
    <row r="41431" ht="15.75" customHeight="1" spans="1:2">
      <c r="A41431" s="3" t="str">
        <f>IFERROR(__xludf.DUMMYFUNCTION("GOOGLETRANSLATE(A41431,""en"",""pt"")"),"O tamanho pequeno, fácil de usar, resistente, USB")</f>
        <v>O tamanho pequeno, fácil de usar, resistente, USB</v>
      </c>
      <c r="B41431" s="3">
        <v>1</v>
      </c>
    </row>
    <row r="41432" ht="15.75" customHeight="1" spans="1:2">
      <c r="A41432" s="3" t="str">
        <f>IFERROR(__xludf.DUMMYFUNCTION("GOOGLETRANSLATE(A41432,""en"",""pt"")"),"Tamanho, Qualidade, Dureza, Features")</f>
        <v>Tamanho, Qualidade, Dureza, Features</v>
      </c>
      <c r="B41432" s="3">
        <v>1</v>
      </c>
    </row>
    <row r="41433" ht="15.75" customHeight="1" spans="1:2">
      <c r="A41433" s="3" t="str">
        <f>IFERROR(__xludf.DUMMYFUNCTION("GOOGLETRANSLATE(A41433,""en"",""pt"")"),"pequeno, conveniente, fácil de usar")</f>
        <v>pequeno, conveniente, fácil de usar</v>
      </c>
      <c r="B41433" s="3">
        <v>1</v>
      </c>
    </row>
    <row r="41434" ht="15.75" customHeight="1" spans="1:2">
      <c r="A41434" s="3" t="str">
        <f>IFERROR(__xludf.DUMMYFUNCTION("GOOGLETRANSLATE(A41434,""en"",""pt"")"),"Poderosos, fotos agradáveis, produz belas impressões")</f>
        <v>Poderosos, fotos agradáveis, produz belas impressões</v>
      </c>
      <c r="B41434" s="3">
        <v>1</v>
      </c>
    </row>
    <row r="41435" ht="15.75" customHeight="1" spans="1:2">
      <c r="A41435" s="3" t="str">
        <f>IFERROR(__xludf.DUMMYFUNCTION("GOOGLETRANSLATE(A41435,""en"",""pt"")"),"Fotos excelentes, muitas opções diferentes tirar fotos, ótimo software")</f>
        <v>Fotos excelentes, muitas opções diferentes tirar fotos, ótimo software</v>
      </c>
      <c r="B41435" s="3">
        <v>1</v>
      </c>
    </row>
    <row r="41436" ht="15.75" customHeight="1" spans="1:2">
      <c r="A41436" s="3" t="str">
        <f>IFERROR(__xludf.DUMMYFUNCTION("GOOGLETRANSLATE(A41436,""en"",""pt"")"),"construção inoxidável resistente")</f>
        <v>construção inoxidável resistente</v>
      </c>
      <c r="B41436" s="3">
        <v>1</v>
      </c>
    </row>
    <row r="41437" ht="15.75" customHeight="1" spans="1:2">
      <c r="A41437" s="3" t="str">
        <f>IFERROR(__xludf.DUMMYFUNCTION("GOOGLETRANSLATE(A41437,""en"",""pt"")"),"pequena câmera, grande potência")</f>
        <v>pequena câmera, grande potência</v>
      </c>
      <c r="B41437" s="3">
        <v>1</v>
      </c>
    </row>
    <row r="41438" ht="15.75" customHeight="1" spans="1:2">
      <c r="A41438" s="3" t="str">
        <f>IFERROR(__xludf.DUMMYFUNCTION("GOOGLETRANSLATE(A41438,""en"",""pt"")"),"Barato, Grande Pictures, design muito agradável")</f>
        <v>Barato, Grande Pictures, design muito agradável</v>
      </c>
      <c r="B41438" s="3">
        <v>1</v>
      </c>
    </row>
    <row r="41439" ht="15.75" customHeight="1" spans="1:2">
      <c r="A41439" s="3" t="str">
        <f>IFERROR(__xludf.DUMMYFUNCTION("GOOGLETRANSLATE(A41439,""en"",""pt"")"),"Tamanho, peso, e fácil de usar")</f>
        <v>Tamanho, peso, e fácil de usar</v>
      </c>
      <c r="B41439" s="3">
        <v>1</v>
      </c>
    </row>
    <row r="41440" ht="15.75" customHeight="1" spans="1:2">
      <c r="A41440" s="3" t="str">
        <f>IFERROR(__xludf.DUMMYFUNCTION("GOOGLETRANSLATE(A41440,""en"",""pt"")"),"preço e facilidade de uso")</f>
        <v>preço e facilidade de uso</v>
      </c>
      <c r="B41440" s="3">
        <v>1</v>
      </c>
    </row>
    <row r="41441" ht="15.75" customHeight="1" spans="1:2">
      <c r="A41441" s="3" t="str">
        <f>IFERROR(__xludf.DUMMYFUNCTION("GOOGLETRANSLATE(A41441,""en"",""pt"")"),"qualidade de imagem, leva Microdrive, rico em recursos")</f>
        <v>qualidade de imagem, leva Microdrive, rico em recursos</v>
      </c>
      <c r="B41441" s="3">
        <v>1</v>
      </c>
    </row>
    <row r="41442" ht="15.75" customHeight="1" spans="1:2">
      <c r="A41442" s="3" t="str">
        <f>IFERROR(__xludf.DUMMYFUNCTION("GOOGLETRANSLATE(A41442,""en"",""pt"")"),"Tamanho, construção, qualidade de imagem")</f>
        <v>Tamanho, construção, qualidade de imagem</v>
      </c>
      <c r="B41442" s="3">
        <v>1</v>
      </c>
    </row>
    <row r="41443" ht="15.75" customHeight="1" spans="1:2">
      <c r="A41443" s="3" t="str">
        <f>IFERROR(__xludf.DUMMYFUNCTION("GOOGLETRANSLATE(A41443,""en"",""pt"")"),"Impressionante qualidade de imagem")</f>
        <v>Impressionante qualidade de imagem</v>
      </c>
      <c r="B41443" s="3">
        <v>1</v>
      </c>
    </row>
    <row r="41444" ht="15.75" customHeight="1" spans="1:2">
      <c r="A41444" s="3" t="str">
        <f>IFERROR(__xludf.DUMMYFUNCTION("GOOGLETRANSLATE(A41444,""en"",""pt"")"),"pequeno tamanho, capacidade de memória, recursos")</f>
        <v>pequeno tamanho, capacidade de memória, recursos</v>
      </c>
      <c r="B41444" s="3">
        <v>1</v>
      </c>
    </row>
    <row r="41445" ht="15.75" customHeight="1" spans="1:2">
      <c r="A41445" s="3" t="str">
        <f>IFERROR(__xludf.DUMMYFUNCTION("GOOGLETRANSLATE(A41445,""en"",""pt"")"),"imagens de boa qualidade, design compacto, recursos digitais, fácil transferência de fotos")</f>
        <v>imagens de boa qualidade, design compacto, recursos digitais, fácil transferência de fotos</v>
      </c>
      <c r="B41445" s="3">
        <v>1</v>
      </c>
    </row>
    <row r="41446" ht="15.75" customHeight="1" spans="1:2">
      <c r="A41446" s="3" t="str">
        <f>IFERROR(__xludf.DUMMYFUNCTION("GOOGLETRANSLATE(A41446,""en"",""pt"")"),"Camera Handy All-In-One Digital")</f>
        <v>Camera Handy All-In-One Digital</v>
      </c>
      <c r="B41446" s="3">
        <v>1</v>
      </c>
    </row>
    <row r="41447" ht="15.75" customHeight="1" spans="1:2">
      <c r="A41447" s="3" t="str">
        <f>IFERROR(__xludf.DUMMYFUNCTION("GOOGLETRANSLATE(A41447,""en"",""pt"")"),"Grande resolução, grande zoom, ele pode levar uma surra")</f>
        <v>Grande resolução, grande zoom, ele pode levar uma surra</v>
      </c>
      <c r="B41447" s="3">
        <v>1</v>
      </c>
    </row>
    <row r="41448" ht="15.75" customHeight="1" spans="1:2">
      <c r="A41448" s="3" t="str">
        <f>IFERROR(__xludf.DUMMYFUNCTION("GOOGLETRANSLATE(A41448,""en"",""pt"")"),"Tamanho")</f>
        <v>Tamanho</v>
      </c>
      <c r="B41448" s="3">
        <v>1</v>
      </c>
    </row>
    <row r="41449" ht="15.75" customHeight="1" spans="1:2">
      <c r="A41449" s="3" t="str">
        <f>IFERROR(__xludf.DUMMYFUNCTION("GOOGLETRANSLATE(A41449,""en"",""pt"")"),"...")</f>
        <v>...</v>
      </c>
      <c r="B41449" s="3">
        <v>1</v>
      </c>
    </row>
    <row r="41450" ht="15.75" customHeight="1" spans="1:2">
      <c r="A41450" s="3" t="str">
        <f>IFERROR(__xludf.DUMMYFUNCTION("GOOGLETRANSLATE(A41450,""en"",""pt"")"),"durabilidade e confiabilidade")</f>
        <v>durabilidade e confiabilidade</v>
      </c>
      <c r="B41450" s="3">
        <v>1</v>
      </c>
    </row>
    <row r="41451" ht="15.75" customHeight="1" spans="1:2">
      <c r="A41451" s="3" t="str">
        <f>IFERROR(__xludf.DUMMYFUNCTION("GOOGLETRANSLATE(A41451,""en"",""pt"")"),"Compacto, de alta qualidade, fácil de usar ponto e tiro")</f>
        <v>Compacto, de alta qualidade, fácil de usar ponto e tiro</v>
      </c>
      <c r="B41451" s="3">
        <v>1</v>
      </c>
    </row>
    <row r="41452" ht="15.75" customHeight="1" spans="1:2">
      <c r="A41452" s="3" t="str">
        <f>IFERROR(__xludf.DUMMYFUNCTION("GOOGLETRANSLATE(A41452,""en"",""pt"")"),"bastante fácil de usar")</f>
        <v>bastante fácil de usar</v>
      </c>
      <c r="B41452" s="3">
        <v>1</v>
      </c>
    </row>
    <row r="41453" ht="15.75" customHeight="1" spans="1:2">
      <c r="A41453" s="3" t="str">
        <f>IFERROR(__xludf.DUMMYFUNCTION("GOOGLETRANSLATE(A41453,""en"",""pt"")"),"pequena alta qualidade")</f>
        <v>pequena alta qualidade</v>
      </c>
      <c r="B41453" s="3">
        <v>1</v>
      </c>
    </row>
    <row r="41454" ht="15.75" customHeight="1" spans="1:2">
      <c r="A41454" s="3" t="str">
        <f>IFERROR(__xludf.DUMMYFUNCTION("GOOGLETRANSLATE(A41454,""en"",""pt"")"),"VEJA ACIMA")</f>
        <v>VEJA ACIMA</v>
      </c>
      <c r="B41454" s="3">
        <v>1</v>
      </c>
    </row>
    <row r="41455" ht="15.75" customHeight="1" spans="1:2">
      <c r="A41455" s="3" t="str">
        <f>IFERROR(__xludf.DUMMYFUNCTION("GOOGLETRANSLATE(A41455,""en"",""pt"")"),"Tiny ""ir a qualquer lugar"" câmera 2.1 megapixel com lentes soberbas")</f>
        <v>Tiny "ir a qualquer lugar" câmera 2.1 megapixel com lentes soberbas</v>
      </c>
      <c r="B41455" s="3">
        <v>1</v>
      </c>
    </row>
    <row r="41456" ht="15.75" customHeight="1" spans="1:2">
      <c r="A41456" s="3" t="str">
        <f>IFERROR(__xludf.DUMMYFUNCTION("GOOGLETRANSLATE(A41456,""en"",""pt"")"),"Uma câmera afiada com uma série de funcionalidades.")</f>
        <v>Uma câmera afiada com uma série de funcionalidades.</v>
      </c>
      <c r="B41456" s="3">
        <v>1</v>
      </c>
    </row>
    <row r="41457" ht="15.75" customHeight="1" spans="1:2">
      <c r="A41457" s="3" t="str">
        <f>IFERROR(__xludf.DUMMYFUNCTION("GOOGLETRANSLATE(A41457,""en"",""pt"")"),"Canon marca, tamanho, construção durável, qualidade de imagem, Características, Fator Uau")</f>
        <v>Canon marca, tamanho, construção durável, qualidade de imagem, Características, Fator Uau</v>
      </c>
      <c r="B41457" s="3">
        <v>1</v>
      </c>
    </row>
    <row r="41458" ht="15.75" customHeight="1" spans="1:2">
      <c r="A41458" s="3" t="str">
        <f>IFERROR(__xludf.DUMMYFUNCTION("GOOGLETRANSLATE(A41458,""en"",""pt"")"),"1600x1200 meios de resolução verdadeira 8x10"" fotos, menores do que a maioria 2.1 megapixel câmeras, tiro rápido contínua")</f>
        <v>1600x1200 meios de resolução verdadeira 8x10" fotos, menores do que a maioria 2.1 megapixel câmeras, tiro rápido contínua</v>
      </c>
      <c r="B41458" s="3">
        <v>1</v>
      </c>
    </row>
    <row r="41459" ht="15.75" customHeight="1" spans="1:2">
      <c r="A41459" s="3" t="str">
        <f>IFERROR(__xludf.DUMMYFUNCTION("GOOGLETRANSLATE(A41459,""en"",""pt"")"),"Pequeno, sólidos, Imagens bonitas, baterias recarregáveis ​​incluídas")</f>
        <v>Pequeno, sólidos, Imagens bonitas, baterias recarregáveis ​​incluídas</v>
      </c>
      <c r="B41459" s="3">
        <v>1</v>
      </c>
    </row>
    <row r="41460" ht="15.75" customHeight="1" spans="1:2">
      <c r="A41460" s="3" t="str">
        <f>IFERROR(__xludf.DUMMYFUNCTION("GOOGLETRANSLATE(A41460,""en"",""pt"")"),"Fácil de usar! imagens claras, abundância opções para me personalizar minhas fotos.")</f>
        <v>Fácil de usar! imagens claras, abundância opções para me personalizar minhas fotos.</v>
      </c>
      <c r="B41460" s="3">
        <v>1</v>
      </c>
    </row>
    <row r="41461" ht="15.75" customHeight="1" spans="1:2">
      <c r="A41461" s="3" t="str">
        <f>IFERROR(__xludf.DUMMYFUNCTION("GOOGLETRANSLATE(A41461,""en"",""pt"")"),"tamanho grande")</f>
        <v>tamanho grande</v>
      </c>
      <c r="B41461" s="3">
        <v>1</v>
      </c>
    </row>
    <row r="41462" ht="15.75" customHeight="1" spans="1:2">
      <c r="A41462" s="3" t="str">
        <f>IFERROR(__xludf.DUMMYFUNCTION("GOOGLETRANSLATE(A41462,""en"",""pt"")"),"Pequeno, fácil de usar, com preços razoáveis.")</f>
        <v>Pequeno, fácil de usar, com preços razoáveis.</v>
      </c>
      <c r="B41462" s="3">
        <v>1</v>
      </c>
    </row>
    <row r="41463" ht="15.75" customHeight="1" spans="1:2">
      <c r="A41463" s="3" t="str">
        <f>IFERROR(__xludf.DUMMYFUNCTION("GOOGLETRANSLATE(A41463,""en"",""pt"")"),"pouco, cartão Compact Flash, funções, software")</f>
        <v>pouco, cartão Compact Flash, funções, software</v>
      </c>
      <c r="B41463" s="3">
        <v>1</v>
      </c>
    </row>
    <row r="41464" ht="15.75" customHeight="1" spans="1:2">
      <c r="A41464" s="3" t="str">
        <f>IFERROR(__xludf.DUMMYFUNCTION("GOOGLETRANSLATE(A41464,""en"",""pt"")"),"Nice design, funcionalidade sólida, suporta CF I e II cartões.")</f>
        <v>Nice design, funcionalidade sólida, suporta CF I e II cartões.</v>
      </c>
      <c r="B41464" s="3">
        <v>1</v>
      </c>
    </row>
    <row r="41465" ht="15.75" customHeight="1" spans="1:2">
      <c r="A41465" s="3" t="str">
        <f>IFERROR(__xludf.DUMMYFUNCTION("GOOGLETRANSLATE(A41465,""en"",""pt"")"),"Tamanho grande, fotos nítidas")</f>
        <v>Tamanho grande, fotos nítidas</v>
      </c>
      <c r="B41465" s="3">
        <v>1</v>
      </c>
    </row>
    <row r="41466" ht="15.75" customHeight="1" spans="1:2">
      <c r="A41466" s="3" t="str">
        <f>IFERROR(__xludf.DUMMYFUNCTION("GOOGLETRANSLATE(A41466,""en"",""pt"")"),"Excelente acabamento, &amp; amp; # 13; &amp; amp; # 10; compactos, bons resultados")</f>
        <v>Excelente acabamento, &amp; amp; # 13; &amp; amp; # 10; compactos, bons resultados</v>
      </c>
      <c r="B41466" s="3">
        <v>1</v>
      </c>
    </row>
    <row r="41467" ht="15.75" customHeight="1" spans="1:2">
      <c r="A41467" s="3" t="str">
        <f>IFERROR(__xludf.DUMMYFUNCTION("GOOGLETRANSLATE(A41467,""en"",""pt"")"),"tética")</f>
        <v>tética</v>
      </c>
      <c r="B41467" s="3">
        <v>1</v>
      </c>
    </row>
    <row r="41468" ht="15.75" customHeight="1" spans="1:2">
      <c r="A41468" s="3" t="str">
        <f>IFERROR(__xludf.DUMMYFUNCTION("GOOGLETRANSLATE(A41468,""en"",""pt"")"),"Simpático e pequeno")</f>
        <v>Simpático e pequeno</v>
      </c>
      <c r="B41468" s="3">
        <v>1</v>
      </c>
    </row>
    <row r="41469" ht="15.75" customHeight="1" spans="1:2">
      <c r="A41469" s="3" t="str">
        <f>IFERROR(__xludf.DUMMYFUNCTION("GOOGLETRANSLATE(A41469,""en"",""pt"")"),"A preços razoáveis, imagens de alta qualidade, fácil de usar, robusto")</f>
        <v>A preços razoáveis, imagens de alta qualidade, fácil de usar, robusto</v>
      </c>
      <c r="B41469" s="3">
        <v>1</v>
      </c>
    </row>
    <row r="41470" ht="15.75" customHeight="1" spans="1:2">
      <c r="A41470" s="3" t="str">
        <f>IFERROR(__xludf.DUMMYFUNCTION("GOOGLETRANSLATE(A41470,""en"",""pt"")"),"Tamanho compacto, fácil de usar")</f>
        <v>Tamanho compacto, fácil de usar</v>
      </c>
      <c r="B41470" s="3">
        <v>1</v>
      </c>
    </row>
    <row r="41471" ht="15.75" customHeight="1" spans="1:2">
      <c r="A41471" s="3" t="str">
        <f>IFERROR(__xludf.DUMMYFUNCTION("GOOGLETRANSLATE(A41471,""en"",""pt"")"),"O tamanho pequeno, grande conjunto de recursos para o preço.")</f>
        <v>O tamanho pequeno, grande conjunto de recursos para o preço.</v>
      </c>
      <c r="B41471" s="3">
        <v>1</v>
      </c>
    </row>
    <row r="41472" ht="15.75" customHeight="1" spans="1:2">
      <c r="A41472" s="3" t="str">
        <f>IFERROR(__xludf.DUMMYFUNCTION("GOOGLETRANSLATE(A41472,""en"",""pt"")"),"Ótima câmera ... incrivelmente fácil de usar ... grande qualidade")</f>
        <v>Ótima câmera ... incrivelmente fácil de usar ... grande qualidade</v>
      </c>
      <c r="B41472" s="3">
        <v>1</v>
      </c>
    </row>
    <row r="41473" ht="15.75" customHeight="1" spans="1:2">
      <c r="A41473" s="3" t="str">
        <f>IFERROR(__xludf.DUMMYFUNCTION("GOOGLETRANSLATE(A41473,""en"",""pt"")"),"Compacto e intuitivo")</f>
        <v>Compacto e intuitivo</v>
      </c>
      <c r="B41473" s="3">
        <v>1</v>
      </c>
    </row>
    <row r="41474" ht="15.75" customHeight="1" spans="1:2">
      <c r="A41474" s="3" t="str">
        <f>IFERROR(__xludf.DUMMYFUNCTION("GOOGLETRANSLATE(A41474,""en"",""pt"")"),"excelente qualidade de imagem, tamanho pequeno, fácil de aprender")</f>
        <v>excelente qualidade de imagem, tamanho pequeno, fácil de aprender</v>
      </c>
      <c r="B41474" s="3">
        <v>1</v>
      </c>
    </row>
    <row r="41475" ht="15.75" customHeight="1" spans="1:2">
      <c r="A41475" s="3" t="str">
        <f>IFERROR(__xludf.DUMMYFUNCTION("GOOGLETRANSLATE(A41475,""en"",""pt"")"),"Você pode economizar dinheiro por não comprar filme para este camra")</f>
        <v>Você pode economizar dinheiro por não comprar filme para este camra</v>
      </c>
      <c r="B41475" s="3">
        <v>1</v>
      </c>
    </row>
    <row r="41476" ht="15.75" customHeight="1" spans="1:2">
      <c r="A41476" s="3" t="str">
        <f>IFERROR(__xludf.DUMMYFUNCTION("GOOGLETRANSLATE(A41476,""en"",""pt"")"),"pequeno, e BONITO")</f>
        <v>pequeno, e BONITO</v>
      </c>
      <c r="B41476" s="3">
        <v>1</v>
      </c>
    </row>
    <row r="41477" ht="15.75" customHeight="1" spans="1:2">
      <c r="A41477" s="3" t="str">
        <f>IFERROR(__xludf.DUMMYFUNCTION("GOOGLETRANSLATE(A41477,""en"",""pt"")"),"Fácil de usar, compacto, ele tem um flash")</f>
        <v>Fácil de usar, compacto, ele tem um flash</v>
      </c>
      <c r="B41477" s="3">
        <v>1</v>
      </c>
    </row>
    <row r="41478" ht="15.75" customHeight="1" spans="1:2">
      <c r="A41478" s="3" t="str">
        <f>IFERROR(__xludf.DUMMYFUNCTION("GOOGLETRANSLATE(A41478,""en"",""pt"")"),"tem grandes figuras e ainda baratos")</f>
        <v>tem grandes figuras e ainda baratos</v>
      </c>
      <c r="B41478" s="3">
        <v>1</v>
      </c>
    </row>
    <row r="41479" ht="15.75" customHeight="1" spans="1:2">
      <c r="A41479" s="3" t="str">
        <f>IFERROR(__xludf.DUMMYFUNCTION("GOOGLETRANSLATE(A41479,""en"",""pt"")"),"Portátil e fácil de usar")</f>
        <v>Portátil e fácil de usar</v>
      </c>
      <c r="B41479" s="3">
        <v>1</v>
      </c>
    </row>
    <row r="41480" ht="15.75" customHeight="1" spans="1:2">
      <c r="A41480" s="3" t="str">
        <f>IFERROR(__xludf.DUMMYFUNCTION("GOOGLETRANSLATE(A41480,""en"",""pt"")"),"TAMANHO, tamanho TAMANHO")</f>
        <v>TAMANHO, tamanho TAMANHO</v>
      </c>
      <c r="B41480" s="3">
        <v>1</v>
      </c>
    </row>
    <row r="41481" ht="15.75" customHeight="1" spans="1:2">
      <c r="A41481" s="3" t="str">
        <f>IFERROR(__xludf.DUMMYFUNCTION("GOOGLETRANSLATE(A41481,""en"",""pt"")"),"* Câmera Digital Coolest ao redor &amp; amp; # 13; &amp; amp; # 10; * Excelente qualidade de imagem &amp; amp; # 13; &amp; amp; # 10;")</f>
        <v>* Câmera Digital Coolest ao redor &amp; amp; # 13; &amp; amp; # 10; * Excelente qualidade de imagem &amp; amp; # 13; &amp; amp; # 10;</v>
      </c>
      <c r="B41481" s="3">
        <v>1</v>
      </c>
    </row>
    <row r="41482" ht="15.75" customHeight="1" spans="1:2">
      <c r="A41482" s="3" t="str">
        <f>IFERROR(__xludf.DUMMYFUNCTION("GOOGLETRANSLATE(A41482,""en"",""pt"")"),"pequeno, leve, fácil de usar")</f>
        <v>pequeno, leve, fácil de usar</v>
      </c>
      <c r="B41482" s="3">
        <v>1</v>
      </c>
    </row>
    <row r="41483" ht="15.75" customHeight="1" spans="1:2">
      <c r="A41483" s="3" t="str">
        <f>IFERROR(__xludf.DUMMYFUNCTION("GOOGLETRANSLATE(A41483,""en"",""pt"")"),"pequeno tamanho, qualidade das imagens, e é legal!")</f>
        <v>pequeno tamanho, qualidade das imagens, e é legal!</v>
      </c>
      <c r="B41483" s="3">
        <v>1</v>
      </c>
    </row>
    <row r="41484" ht="15.75" customHeight="1" spans="1:2">
      <c r="A41484" s="3" t="str">
        <f>IFERROR(__xludf.DUMMYFUNCTION("GOOGLETRANSLATE(A41484,""en"",""pt"")"),"Pequeno e portátil. Boa qualidade Pic. Durável.")</f>
        <v>Pequeno e portátil. Boa qualidade Pic. Durável.</v>
      </c>
      <c r="B41484" s="3">
        <v>1</v>
      </c>
    </row>
    <row r="41485" ht="15.75" customHeight="1" spans="1:2">
      <c r="A41485" s="3" t="str">
        <f>IFERROR(__xludf.DUMMYFUNCTION("GOOGLETRANSLATE(A41485,""en"",""pt"")"),"Pequeno, leve e tem grandes figuras")</f>
        <v>Pequeno, leve e tem grandes figuras</v>
      </c>
      <c r="B41485" s="3">
        <v>1</v>
      </c>
    </row>
    <row r="41486" ht="15.75" customHeight="1" spans="1:2">
      <c r="A41486" s="3" t="str">
        <f>IFERROR(__xludf.DUMMYFUNCTION("GOOGLETRANSLATE(A41486,""en"",""pt"")"),"Fácil de usar e produz excelentes fotos!")</f>
        <v>Fácil de usar e produz excelentes fotos!</v>
      </c>
      <c r="B41486" s="3">
        <v>1</v>
      </c>
    </row>
    <row r="41487" ht="15.75" customHeight="1" spans="1:2">
      <c r="A41487" s="3" t="str">
        <f>IFERROR(__xludf.DUMMYFUNCTION("GOOGLETRANSLATE(A41487,""en"",""pt"")"),"fácil de usar; ótimas fotos / LCD / características; fácil de download; grande valor - relação qualidade;")</f>
        <v>fácil de usar; ótimas fotos / LCD / características; fácil de download; grande valor - relação qualidade;</v>
      </c>
      <c r="B41487" s="3">
        <v>1</v>
      </c>
    </row>
    <row r="41488" ht="15.75" customHeight="1" spans="1:2">
      <c r="A41488" s="3" t="str">
        <f>IFERROR(__xludf.DUMMYFUNCTION("GOOGLETRANSLATE(A41488,""en"",""pt"")"),"Re-chargable bateria, tamanho, peso, Foto prévia, Quiet")</f>
        <v>Re-chargable bateria, tamanho, peso, Foto prévia, Quiet</v>
      </c>
      <c r="B41488" s="3">
        <v>1</v>
      </c>
    </row>
    <row r="41489" ht="15.75" customHeight="1" spans="1:2">
      <c r="A41489" s="3" t="str">
        <f>IFERROR(__xludf.DUMMYFUNCTION("GOOGLETRANSLATE(A41489,""en"",""pt"")"),"Pequeno, leve e boa qualidade de imagem")</f>
        <v>Pequeno, leve e boa qualidade de imagem</v>
      </c>
      <c r="B41489" s="3">
        <v>1</v>
      </c>
    </row>
    <row r="41490" ht="15.75" customHeight="1" spans="1:2">
      <c r="A41490" s="3" t="str">
        <f>IFERROR(__xludf.DUMMYFUNCTION("GOOGLETRANSLATE(A41490,""en"",""pt"")"),"tamanho de viagem compacto.")</f>
        <v>tamanho de viagem compacto.</v>
      </c>
      <c r="B41490" s="3">
        <v>1</v>
      </c>
    </row>
    <row r="41491" ht="15.75" customHeight="1" spans="1:2">
      <c r="A41491" s="3" t="str">
        <f>IFERROR(__xludf.DUMMYFUNCTION("GOOGLETRANSLATE(A41491,""en"",""pt"")"),"Tamanho e peso, tela clara incrível, &amp; amp; # 13; &amp; amp; # 10;")</f>
        <v>Tamanho e peso, tela clara incrível, &amp; amp; # 13; &amp; amp; # 10;</v>
      </c>
      <c r="B41491" s="3">
        <v>1</v>
      </c>
    </row>
    <row r="41492" ht="15.75" customHeight="1" spans="1:2">
      <c r="A41492" s="3" t="str">
        <f>IFERROR(__xludf.DUMMYFUNCTION("GOOGLETRANSLATE(A41492,""en"",""pt"")"),"boa DSC")</f>
        <v>boa DSC</v>
      </c>
      <c r="B41492" s="3">
        <v>1</v>
      </c>
    </row>
    <row r="41493" ht="15.75" customHeight="1" spans="1:2">
      <c r="A41493" s="3" t="str">
        <f>IFERROR(__xludf.DUMMYFUNCTION("GOOGLETRANSLATE(A41493,""en"",""pt"")"),"Tamanho pequeno")</f>
        <v>Tamanho pequeno</v>
      </c>
      <c r="B41493" s="3">
        <v>1</v>
      </c>
    </row>
    <row r="41494" ht="15.75" customHeight="1" spans="1:2">
      <c r="A41494" s="3" t="str">
        <f>IFERROR(__xludf.DUMMYFUNCTION("GOOGLETRANSLATE(A41494,""en"",""pt"")"),"compacta, durável, fácil de usar.")</f>
        <v>compacta, durável, fácil de usar.</v>
      </c>
      <c r="B41494" s="3">
        <v>1</v>
      </c>
    </row>
    <row r="41495" ht="15.75" customHeight="1" spans="1:2">
      <c r="A41495" s="3" t="str">
        <f>IFERROR(__xludf.DUMMYFUNCTION("GOOGLETRANSLATE(A41495,""en"",""pt"")"),"Minúscula, câmera rápida")</f>
        <v>Minúscula, câmera rápida</v>
      </c>
      <c r="B41495" s="3">
        <v>1</v>
      </c>
    </row>
    <row r="41496" ht="15.75" customHeight="1" spans="1:2">
      <c r="A41496" s="3" t="str">
        <f>IFERROR(__xludf.DUMMYFUNCTION("GOOGLETRANSLATE(A41496,""en"",""pt"")"),"Tamanho do maço de cigarros. imagens nítidas. Muitas funções. Excelente primeira cam digital!")</f>
        <v>Tamanho do maço de cigarros. imagens nítidas. Muitas funções. Excelente primeira cam digital!</v>
      </c>
      <c r="B41496" s="3">
        <v>1</v>
      </c>
    </row>
    <row r="41497" ht="15.75" customHeight="1" spans="1:2">
      <c r="A41497" s="3" t="str">
        <f>IFERROR(__xludf.DUMMYFUNCTION("GOOGLETRANSLATE(A41497,""en"",""pt"")"),"Pequeno, fácil de usar com fotos de qualidade")</f>
        <v>Pequeno, fácil de usar com fotos de qualidade</v>
      </c>
      <c r="B41497" s="3">
        <v>1</v>
      </c>
    </row>
    <row r="41498" ht="15.75" customHeight="1" spans="1:2">
      <c r="A41498" s="3" t="str">
        <f>IFERROR(__xludf.DUMMYFUNCTION("GOOGLETRANSLATE(A41498,""en"",""pt"")"),"Grande imagem ... agradável e compacto")</f>
        <v>Grande imagem ... agradável e compacto</v>
      </c>
      <c r="B41498" s="3">
        <v>1</v>
      </c>
    </row>
    <row r="41499" ht="15.75" customHeight="1" spans="1:2">
      <c r="A41499" s="3" t="str">
        <f>IFERROR(__xludf.DUMMYFUNCTION("GOOGLETRANSLATE(A41499,""en"",""pt"")"),"Portabilidade, qualidade acima da média imagem, construção, vida útil da bateria e LCD")</f>
        <v>Portabilidade, qualidade acima da média imagem, construção, vida útil da bateria e LCD</v>
      </c>
      <c r="B41499" s="3">
        <v>1</v>
      </c>
    </row>
    <row r="41500" ht="15.75" customHeight="1" spans="1:2">
      <c r="A41500" s="3" t="str">
        <f>IFERROR(__xludf.DUMMYFUNCTION("GOOGLETRANSLATE(A41500,""en"",""pt"")"),"pequeno tamanho, qualidade de construção")</f>
        <v>pequeno tamanho, qualidade de construção</v>
      </c>
      <c r="B41500" s="3">
        <v>1</v>
      </c>
    </row>
    <row r="41501" ht="15.75" customHeight="1" spans="1:2">
      <c r="A41501" s="3" t="str">
        <f>IFERROR(__xludf.DUMMYFUNCTION("GOOGLETRANSLATE(A41501,""en"",""pt"")"),"Pequeno, excelente qualidade de imagem, portátil, indetectável.")</f>
        <v>Pequeno, excelente qualidade de imagem, portátil, indetectável.</v>
      </c>
      <c r="B41501" s="3">
        <v>1</v>
      </c>
    </row>
    <row r="41502" ht="15.75" customHeight="1" spans="1:2">
      <c r="A41502" s="3" t="str">
        <f>IFERROR(__xludf.DUMMYFUNCTION("GOOGLETRANSLATE(A41502,""en"",""pt"")"),"boa aparência, bateria compacta e recarregável")</f>
        <v>boa aparência, bateria compacta e recarregável</v>
      </c>
      <c r="B41502" s="3">
        <v>1</v>
      </c>
    </row>
    <row r="41503" ht="15.75" customHeight="1" spans="1:2">
      <c r="A41503" s="3" t="str">
        <f>IFERROR(__xludf.DUMMYFUNCTION("GOOGLETRANSLATE(A41503,""en"",""pt"")"),"Tamanho, qualidade, usa padrão Compact Flash")</f>
        <v>Tamanho, qualidade, usa padrão Compact Flash</v>
      </c>
      <c r="B41503" s="3">
        <v>1</v>
      </c>
    </row>
    <row r="41504" ht="15.75" customHeight="1" spans="1:2">
      <c r="A41504" s="3" t="str">
        <f>IFERROR(__xludf.DUMMYFUNCTION("GOOGLETRANSLATE(A41504,""en"",""pt"")"),"Alta QLTY. fotos. O tamanho pequeno, e uma beleza!")</f>
        <v>Alta QLTY. fotos. O tamanho pequeno, e uma beleza!</v>
      </c>
      <c r="B41504" s="3">
        <v>1</v>
      </c>
    </row>
    <row r="41505" ht="15.75" customHeight="1" spans="1:2">
      <c r="A41505" s="3" t="str">
        <f>IFERROR(__xludf.DUMMYFUNCTION("GOOGLETRANSLATE(A41505,""en"",""pt"")"),"Sólido, pequeno, fácil de usar.")</f>
        <v>Sólido, pequeno, fácil de usar.</v>
      </c>
      <c r="B41505" s="3">
        <v>1</v>
      </c>
    </row>
    <row r="41506" ht="15.75" customHeight="1" spans="1:2">
      <c r="A41506" s="3" t="str">
        <f>IFERROR(__xludf.DUMMYFUNCTION("GOOGLETRANSLATE(A41506,""en"",""pt"")"),"Pequena e fácil de usar")</f>
        <v>Pequena e fácil de usar</v>
      </c>
      <c r="B41506" s="3">
        <v>1</v>
      </c>
    </row>
    <row r="41507" ht="15.75" customHeight="1" spans="1:2">
      <c r="A41507" s="3" t="str">
        <f>IFERROR(__xludf.DUMMYFUNCTION("GOOGLETRANSLATE(A41507,""en"",""pt"")"),"2.1 Megapixel, USB, Lithium Ion Battery, embalagem do metal, RCA Ligue para TV / VCR")</f>
        <v>2.1 Megapixel, USB, Lithium Ion Battery, embalagem do metal, RCA Ligue para TV / VCR</v>
      </c>
      <c r="B41507" s="3">
        <v>1</v>
      </c>
    </row>
    <row r="41508" ht="15.75" customHeight="1" spans="1:2">
      <c r="A41508" s="3" t="str">
        <f>IFERROR(__xludf.DUMMYFUNCTION("GOOGLETRANSLATE(A41508,""en"",""pt"")"),"tamanho, design, funções, compatibilidade")</f>
        <v>tamanho, design, funções, compatibilidade</v>
      </c>
      <c r="B41508" s="3">
        <v>1</v>
      </c>
    </row>
    <row r="41509" ht="15.75" customHeight="1" spans="1:2">
      <c r="A41509" s="3" t="str">
        <f>IFERROR(__xludf.DUMMYFUNCTION("GOOGLETRANSLATE(A41509,""en"",""pt"")"),"Pequeno, fácil de usar, Grande Pictures")</f>
        <v>Pequeno, fácil de usar, Grande Pictures</v>
      </c>
      <c r="B41509" s="3">
        <v>1</v>
      </c>
    </row>
    <row r="41510" ht="15.75" customHeight="1" spans="1:2">
      <c r="A41510" s="3" t="str">
        <f>IFERROR(__xludf.DUMMYFUNCTION("GOOGLETRANSLATE(A41510,""en"",""pt"")"),"preço, tamanho, facilidade de uso, qualidade das imagens, o apoio, o ""OH WOW""")</f>
        <v>preço, tamanho, facilidade de uso, qualidade das imagens, o apoio, o "OH WOW"</v>
      </c>
      <c r="B41510" s="3">
        <v>1</v>
      </c>
    </row>
    <row r="41511" ht="15.75" customHeight="1" spans="1:2">
      <c r="A41511" s="3" t="str">
        <f>IFERROR(__xludf.DUMMYFUNCTION("GOOGLETRANSLATE(A41511,""en"",""pt"")"),"Pequeno e leve; . Muito fácil de usar &amp; amp; # 13; &amp; amp; # 10;")</f>
        <v>Pequeno e leve; . Muito fácil de usar &amp; amp; # 13; &amp; amp; # 10;</v>
      </c>
      <c r="B41511" s="3">
        <v>1</v>
      </c>
    </row>
    <row r="41512" ht="15.75" customHeight="1" spans="1:2">
      <c r="A41512" s="3" t="str">
        <f>IFERROR(__xludf.DUMMYFUNCTION("GOOGLETRANSLATE(A41512,""en"",""pt"")"),"Menor câmera digital, Preço, 2.1 Megapixel")</f>
        <v>Menor câmera digital, Preço, 2.1 Megapixel</v>
      </c>
      <c r="B41512" s="3">
        <v>1</v>
      </c>
    </row>
    <row r="41513" ht="15.75" customHeight="1" spans="1:2">
      <c r="A41513" s="3" t="str">
        <f>IFERROR(__xludf.DUMMYFUNCTION("GOOGLETRANSLATE(A41513,""en"",""pt"")"),"tecnologia filmless = totalmente libertadora! Comprar acessórios!")</f>
        <v>tecnologia filmless = totalmente libertadora! Comprar acessórios!</v>
      </c>
      <c r="B41513" s="3">
        <v>1</v>
      </c>
    </row>
    <row r="41514" ht="15.75" customHeight="1" spans="1:2">
      <c r="A41514" s="3" t="str">
        <f>IFERROR(__xludf.DUMMYFUNCTION("GOOGLETRANSLATE(A41514,""en"",""pt"")"),"Minúscula (Stealth), fotos de alta qualidade.")</f>
        <v>Minúscula (Stealth), fotos de alta qualidade.</v>
      </c>
      <c r="B41514" s="3">
        <v>1</v>
      </c>
    </row>
    <row r="41515" ht="15.75" customHeight="1" spans="1:2">
      <c r="A41515" s="3" t="str">
        <f>IFERROR(__xludf.DUMMYFUNCTION("GOOGLETRANSLATE(A41515,""en"",""pt"")"),"Minúsculos, pequenos, minúsculos e fotos maravilhosas!")</f>
        <v>Minúsculos, pequenos, minúsculos e fotos maravilhosas!</v>
      </c>
      <c r="B41515" s="3">
        <v>1</v>
      </c>
    </row>
    <row r="41516" ht="15.75" customHeight="1" spans="1:2">
      <c r="A41516" s="3" t="str">
        <f>IFERROR(__xludf.DUMMYFUNCTION("GOOGLETRANSLATE(A41516,""en"",""pt"")"),"S110 que substitui o S100 &amp; amp; # 13; &amp; amp; # 10; Novo recurso:.. Modo de Filme com áudio &amp; amp; # 13; &amp; amp; # 10; Longa vida útil da bateria &amp; amp; # 13; &amp; amp; # 10;.")</f>
        <v>S110 que substitui o S100 &amp; amp; # 13; &amp; amp; # 10; Novo recurso:.. Modo de Filme com áudio &amp; amp; # 13; &amp; amp; # 10; Longa vida útil da bateria &amp; amp; # 13; &amp; amp; # 10;.</v>
      </c>
      <c r="B41516" s="3">
        <v>1</v>
      </c>
    </row>
    <row r="41517" ht="15.75" customHeight="1" spans="1:2">
      <c r="A41517" s="3" t="str">
        <f>IFERROR(__xludf.DUMMYFUNCTION("GOOGLETRANSLATE(A41517,""en"",""pt"")"),"Compacta, durável, boa resolução, capazes de tirar low-light e black &amp; amp; fotos brancas, bateria recarregável")</f>
        <v>Compacta, durável, boa resolução, capazes de tirar low-light e black &amp; amp; fotos brancas, bateria recarregável</v>
      </c>
      <c r="B41517" s="3">
        <v>1</v>
      </c>
    </row>
    <row r="41518" ht="15.75" customHeight="1" spans="1:2">
      <c r="A41518" s="3" t="str">
        <f>IFERROR(__xludf.DUMMYFUNCTION("GOOGLETRANSLATE(A41518,""en"",""pt"")"),"Tamanho, qualidade ou fotos, robustez")</f>
        <v>Tamanho, qualidade ou fotos, robustez</v>
      </c>
      <c r="B41518" s="3">
        <v>1</v>
      </c>
    </row>
    <row r="41519" ht="15.75" customHeight="1" spans="1:2">
      <c r="A41519" s="3" t="str">
        <f>IFERROR(__xludf.DUMMYFUNCTION("GOOGLETRANSLATE(A41519,""en"",""pt"")"),"Uma grande seleção como uma primeira câmera digital")</f>
        <v>Uma grande seleção como uma primeira câmera digital</v>
      </c>
      <c r="B41519" s="3">
        <v>1</v>
      </c>
    </row>
    <row r="41520" ht="15.75" customHeight="1" spans="1:2">
      <c r="A41520" s="3" t="str">
        <f>IFERROR(__xludf.DUMMYFUNCTION("GOOGLETRANSLATE(A41520,""en"",""pt"")"),"Tamanho, durabilidade, qualidade fotográfica")</f>
        <v>Tamanho, durabilidade, qualidade fotográfica</v>
      </c>
      <c r="B41520" s="3">
        <v>1</v>
      </c>
    </row>
    <row r="41521" ht="15.75" customHeight="1" spans="1:2">
      <c r="A41521" s="3" t="str">
        <f>IFERROR(__xludf.DUMMYFUNCTION("GOOGLETRANSLATE(A41521,""en"",""pt"")"),"shell acidentado, excelente qualidade de imagem a proporção de tamanho, uma câmera para transportar todos os lugares.")</f>
        <v>shell acidentado, excelente qualidade de imagem a proporção de tamanho, uma câmera para transportar todos os lugares.</v>
      </c>
      <c r="B41521" s="3">
        <v>1</v>
      </c>
    </row>
    <row r="41522" ht="15.75" customHeight="1" spans="1:2">
      <c r="A41522" s="3" t="str">
        <f>IFERROR(__xludf.DUMMYFUNCTION("GOOGLETRANSLATE(A41522,""en"",""pt"")"),"pequeno; fácil de usar")</f>
        <v>pequeno; fácil de usar</v>
      </c>
      <c r="B41522" s="3">
        <v>1</v>
      </c>
    </row>
    <row r="41523" ht="15.75" customHeight="1" spans="1:2">
      <c r="A41523" s="3" t="str">
        <f>IFERROR(__xludf.DUMMYFUNCTION("GOOGLETRANSLATE(A41523,""en"",""pt"")"),"pequeno, imagens decentes, boa qualidade de construção")</f>
        <v>pequeno, imagens decentes, boa qualidade de construção</v>
      </c>
      <c r="B41523" s="3">
        <v>1</v>
      </c>
    </row>
    <row r="41524" ht="15.75" customHeight="1" spans="1:2">
      <c r="A41524" s="3" t="str">
        <f>IFERROR(__xludf.DUMMYFUNCTION("GOOGLETRANSLATE(A41524,""en"",""pt"")"),"Pequeno, tem grandes figuras, fácil Computer Interface")</f>
        <v>Pequeno, tem grandes figuras, fácil Computer Interface</v>
      </c>
      <c r="B41524" s="3">
        <v>1</v>
      </c>
    </row>
    <row r="41525" ht="15.75" customHeight="1" spans="1:2">
      <c r="A41525" s="3" t="str">
        <f>IFERROR(__xludf.DUMMYFUNCTION("GOOGLETRANSLATE(A41525,""en"",""pt"")"),"Uma palavra descreve esta câmera - TINY. Este é, sem dúvida, a melhor característica.")</f>
        <v>Uma palavra descreve esta câmera - TINY. Este é, sem dúvida, a melhor característica.</v>
      </c>
      <c r="B41525" s="3">
        <v>1</v>
      </c>
    </row>
    <row r="41526" ht="15.75" customHeight="1" spans="1:2">
      <c r="A41526" s="3" t="str">
        <f>IFERROR(__xludf.DUMMYFUNCTION("GOOGLETRANSLATE(A41526,""en"",""pt"")"),"Tamanho pequeno")</f>
        <v>Tamanho pequeno</v>
      </c>
      <c r="B41526" s="3">
        <v>1</v>
      </c>
    </row>
    <row r="41527" ht="15.75" customHeight="1" spans="1:2">
      <c r="A41527" s="3" t="str">
        <f>IFERROR(__xludf.DUMMYFUNCTION("GOOGLETRANSLATE(A41527,""en"",""pt"")"),"Minúsculo, chassis sólido.")</f>
        <v>Minúsculo, chassis sólido.</v>
      </c>
      <c r="B41527" s="3">
        <v>1</v>
      </c>
    </row>
    <row r="41528" ht="15.75" customHeight="1" spans="1:2">
      <c r="A41528" s="3" t="str">
        <f>IFERROR(__xludf.DUMMYFUNCTION("GOOGLETRANSLATE(A41528,""en"",""pt"")"),"design ultra-compacto, fácil de usar")</f>
        <v>design ultra-compacto, fácil de usar</v>
      </c>
      <c r="B41528" s="3">
        <v>1</v>
      </c>
    </row>
    <row r="41529" ht="15.75" customHeight="1" spans="1:2">
      <c r="A41529" s="3" t="str">
        <f>IFERROR(__xludf.DUMMYFUNCTION("GOOGLETRANSLATE(A41529,""en"",""pt"")"),"tamanho, peso, duração da bateria")</f>
        <v>tamanho, peso, duração da bateria</v>
      </c>
      <c r="B41529" s="3">
        <v>1</v>
      </c>
    </row>
    <row r="41530" ht="15.75" customHeight="1" spans="1:2">
      <c r="A41530" s="3" t="str">
        <f>IFERROR(__xludf.DUMMYFUNCTION("GOOGLETRANSLATE(A41530,""en"",""pt"")"),"Pequeno, caixa inoxidável, 2 megapixel câmera de qualidade a um bom preço")</f>
        <v>Pequeno, caixa inoxidável, 2 megapixel câmera de qualidade a um bom preço</v>
      </c>
      <c r="B41530" s="3">
        <v>1</v>
      </c>
    </row>
    <row r="41531" ht="15.75" customHeight="1" spans="1:2">
      <c r="A41531" s="3" t="str">
        <f>IFERROR(__xludf.DUMMYFUNCTION("GOOGLETRANSLATE(A41531,""en"",""pt"")"),"Tamanho minúsculo! alto-res, bateria recarregável, simples de usar")</f>
        <v>Tamanho minúsculo! alto-res, bateria recarregável, simples de usar</v>
      </c>
      <c r="B41531" s="3">
        <v>1</v>
      </c>
    </row>
    <row r="41532" ht="15.75" customHeight="1" spans="1:2">
      <c r="A41532" s="3" t="str">
        <f>IFERROR(__xludf.DUMMYFUNCTION("GOOGLETRANSLATE(A41532,""en"",""pt"")"),"tamanho, qualidade de imagem, a interface com PC, ótimo software")</f>
        <v>tamanho, qualidade de imagem, a interface com PC, ótimo software</v>
      </c>
      <c r="B41532" s="3">
        <v>1</v>
      </c>
    </row>
    <row r="41533" ht="15.75" customHeight="1" spans="1:2">
      <c r="A41533" s="3" t="str">
        <f>IFERROR(__xludf.DUMMYFUNCTION("GOOGLETRANSLATE(A41533,""en"",""pt"")"),"corpo inoxidável resistente")</f>
        <v>corpo inoxidável resistente</v>
      </c>
      <c r="B41533" s="3">
        <v>1</v>
      </c>
    </row>
    <row r="41534" ht="15.75" customHeight="1" spans="1:2">
      <c r="A41534" s="3" t="str">
        <f>IFERROR(__xludf.DUMMYFUNCTION("GOOGLETRANSLATE(A41534,""en"",""pt"")"),"Tamanho, facilidade de uso, totalmente funcionou para o tamanho")</f>
        <v>Tamanho, facilidade de uso, totalmente funcionou para o tamanho</v>
      </c>
      <c r="B41534" s="3">
        <v>1</v>
      </c>
    </row>
    <row r="41535" ht="15.75" customHeight="1" spans="1:2">
      <c r="A41535" s="3" t="str">
        <f>IFERROR(__xludf.DUMMYFUNCTION("GOOGLETRANSLATE(A41535,""en"",""pt"")"),"pequeno corpo, imagens nítidas")</f>
        <v>pequeno corpo, imagens nítidas</v>
      </c>
      <c r="B41535" s="3">
        <v>1</v>
      </c>
    </row>
    <row r="41536" ht="15.75" customHeight="1" spans="1:2">
      <c r="A41536" s="3" t="str">
        <f>IFERROR(__xludf.DUMMYFUNCTION("GOOGLETRANSLATE(A41536,""en"",""pt"")"),"fabuloso tamanho e layout de controle, características agradáveis, fácil")</f>
        <v>fabuloso tamanho e layout de controle, características agradáveis, fácil</v>
      </c>
      <c r="B41536" s="3">
        <v>1</v>
      </c>
    </row>
    <row r="41537" ht="15.75" customHeight="1" spans="1:2">
      <c r="A41537" s="3" t="str">
        <f>IFERROR(__xludf.DUMMYFUNCTION("GOOGLETRANSLATE(A41537,""en"",""pt"")"),"tamanho pequeno, de grande qualidade fotos")</f>
        <v>tamanho pequeno, de grande qualidade fotos</v>
      </c>
      <c r="B41537" s="3">
        <v>1</v>
      </c>
    </row>
    <row r="41538" ht="15.75" customHeight="1" spans="1:2">
      <c r="A41538" s="3" t="str">
        <f>IFERROR(__xludf.DUMMYFUNCTION("GOOGLETRANSLATE(A41538,""en"",""pt"")"),"Compacto e funciona como um encanto")</f>
        <v>Compacto e funciona como um encanto</v>
      </c>
      <c r="B41538" s="3">
        <v>1</v>
      </c>
    </row>
    <row r="41539" ht="15.75" customHeight="1" spans="1:2">
      <c r="A41539" s="3" t="str">
        <f>IFERROR(__xludf.DUMMYFUNCTION("GOOGLETRANSLATE(A41539,""en"",""pt"")"),"Pequeno, sólidos, grandes fotos de qualidade.")</f>
        <v>Pequeno, sólidos, grandes fotos de qualidade.</v>
      </c>
      <c r="B41539" s="3">
        <v>1</v>
      </c>
    </row>
    <row r="41540" ht="15.75" customHeight="1" spans="1:2">
      <c r="A41540" s="3" t="str">
        <f>IFERROR(__xludf.DUMMYFUNCTION("GOOGLETRANSLATE(A41540,""en"",""pt"")"),"O tamanho pequeno, agradável lente, acessórios agradáveis")</f>
        <v>O tamanho pequeno, agradável lente, acessórios agradáveis</v>
      </c>
      <c r="B41540" s="3">
        <v>1</v>
      </c>
    </row>
    <row r="41541" ht="15.75" customHeight="1" spans="1:2">
      <c r="A41541" s="3" t="str">
        <f>IFERROR(__xludf.DUMMYFUNCTION("GOOGLETRANSLATE(A41541,""en"",""pt"")"),"Tamanho")</f>
        <v>Tamanho</v>
      </c>
      <c r="B41541" s="3">
        <v>1</v>
      </c>
    </row>
    <row r="41542" ht="15.75" customHeight="1" spans="1:2">
      <c r="A41542" s="3" t="str">
        <f>IFERROR(__xludf.DUMMYFUNCTION("GOOGLETRANSLATE(A41542,""en"",""pt"")"),"tamanho, detalhadamente, a construção")</f>
        <v>tamanho, detalhadamente, a construção</v>
      </c>
      <c r="B41542" s="3">
        <v>1</v>
      </c>
    </row>
    <row r="41543" ht="15.75" customHeight="1" spans="1:2">
      <c r="A41543" s="3" t="str">
        <f>IFERROR(__xludf.DUMMYFUNCTION("GOOGLETRANSLATE(A41543,""en"",""pt"")"),"TAMANHO!!!")</f>
        <v>TAMANHO!!!</v>
      </c>
      <c r="B41543" s="3">
        <v>1</v>
      </c>
    </row>
    <row r="41544" ht="15.75" customHeight="1" spans="1:2">
      <c r="A41544" s="3" t="str">
        <f>IFERROR(__xludf.DUMMYFUNCTION("GOOGLETRANSLATE(A41544,""en"",""pt"")"),"pequeno tamanho, qualidade boa imagem")</f>
        <v>pequeno tamanho, qualidade boa imagem</v>
      </c>
      <c r="B41544" s="3">
        <v>1</v>
      </c>
    </row>
    <row r="41545" ht="15.75" customHeight="1" spans="1:2">
      <c r="A41545" s="3" t="str">
        <f>IFERROR(__xludf.DUMMYFUNCTION("GOOGLETRANSLATE(A41545,""en"",""pt"")"),"Pequeno, leve, fácil de usar, atraente")</f>
        <v>Pequeno, leve, fácil de usar, atraente</v>
      </c>
      <c r="B41545" s="3">
        <v>1</v>
      </c>
    </row>
    <row r="41546" ht="15.75" customHeight="1" spans="1:2">
      <c r="A41546" s="3" t="str">
        <f>IFERROR(__xludf.DUMMYFUNCTION("GOOGLETRANSLATE(A41546,""en"",""pt"")"),"Tudo")</f>
        <v>Tudo</v>
      </c>
      <c r="B41546" s="3">
        <v>1</v>
      </c>
    </row>
    <row r="41547" ht="15.75" customHeight="1" spans="1:2">
      <c r="A41547" s="3" t="str">
        <f>IFERROR(__xludf.DUMMYFUNCTION("GOOGLETRANSLATE(A41547,""en"",""pt"")"),"O tamanho pequeno, fácil de baixar as fotos, a qualidade")</f>
        <v>O tamanho pequeno, fácil de baixar as fotos, a qualidade</v>
      </c>
      <c r="B41547" s="3">
        <v>1</v>
      </c>
    </row>
    <row r="41548" ht="15.75" customHeight="1" spans="1:2">
      <c r="A41548" s="3" t="str">
        <f>IFERROR(__xludf.DUMMYFUNCTION("GOOGLETRANSLATE(A41548,""en"",""pt"")"),"Pequeno, fotos de qualidade, bateria recarregável de Li-ion, grande LCD")</f>
        <v>Pequeno, fotos de qualidade, bateria recarregável de Li-ion, grande LCD</v>
      </c>
      <c r="B41548" s="3">
        <v>1</v>
      </c>
    </row>
    <row r="41549" ht="15.75" customHeight="1" spans="1:2">
      <c r="A41549" s="3" t="str">
        <f>IFERROR(__xludf.DUMMYFUNCTION("GOOGLETRANSLATE(A41549,""en"",""pt"")"),"Grande cor, 8x10 px, 2.11MP, reciclar RÁPIDO, Jewel minúsculo!")</f>
        <v>Grande cor, 8x10 px, 2.11MP, reciclar RÁPIDO, Jewel minúsculo!</v>
      </c>
      <c r="B41549" s="3">
        <v>1</v>
      </c>
    </row>
    <row r="41550" ht="15.75" customHeight="1" spans="1:2">
      <c r="A41550" s="3" t="str">
        <f>IFERROR(__xludf.DUMMYFUNCTION("GOOGLETRANSLATE(A41550,""en"",""pt"")"),"Tudo")</f>
        <v>Tudo</v>
      </c>
      <c r="B41550" s="3">
        <v>1</v>
      </c>
    </row>
    <row r="41551" ht="15.75" customHeight="1" spans="1:2">
      <c r="A41551" s="3" t="str">
        <f>IFERROR(__xludf.DUMMYFUNCTION("GOOGLETRANSLATE(A41551,""en"",""pt"")"),"Design moderno, tamanho pequeno, melhor câmera 2.1 Megapixel Digital para o seu tamanho &amp; amp; amp; preço. conector USB para uploads rápidos.")</f>
        <v>Design moderno, tamanho pequeno, melhor câmera 2.1 Megapixel Digital para o seu tamanho &amp; amp; amp; preço. conector USB para uploads rápidos.</v>
      </c>
      <c r="B41551" s="3">
        <v>1</v>
      </c>
    </row>
    <row r="41552" ht="15.75" customHeight="1" spans="1:2">
      <c r="A41552" s="3" t="str">
        <f>IFERROR(__xludf.DUMMYFUNCTION("GOOGLETRANSLATE(A41552,""en"",""pt"")"),"Excelente qualidade de imagem, elegante e compacto, take-em qualquer lugar, útil, impressionante")</f>
        <v>Excelente qualidade de imagem, elegante e compacto, take-em qualquer lugar, útil, impressionante</v>
      </c>
      <c r="B41552" s="3">
        <v>1</v>
      </c>
    </row>
    <row r="41553" ht="15.75" customHeight="1" spans="1:2">
      <c r="A41553" s="3" t="str">
        <f>IFERROR(__xludf.DUMMYFUNCTION("GOOGLETRANSLATE(A41553,""en"",""pt"")"),"De facil operação")</f>
        <v>De facil operação</v>
      </c>
      <c r="B41553" s="3">
        <v>1</v>
      </c>
    </row>
    <row r="41554" ht="15.75" customHeight="1" spans="1:2">
      <c r="A41554" s="3" t="str">
        <f>IFERROR(__xludf.DUMMYFUNCTION("GOOGLETRANSLATE(A41554,""en"",""pt"")"),"Pequeno, Super rápido download USB, ""A vida do partido""")</f>
        <v>Pequeno, Super rápido download USB, "A vida do partido"</v>
      </c>
      <c r="B41554" s="3">
        <v>1</v>
      </c>
    </row>
    <row r="41555" ht="15.75" customHeight="1" spans="1:2">
      <c r="A41555" s="3" t="str">
        <f>IFERROR(__xludf.DUMMYFUNCTION("GOOGLETRANSLATE(A41555,""en"",""pt"")"),"Fácil de usar, boa qualidade de imagem, tamanho incrivelmente pequeno")</f>
        <v>Fácil de usar, boa qualidade de imagem, tamanho incrivelmente pequeno</v>
      </c>
      <c r="B41555" s="3">
        <v>1</v>
      </c>
    </row>
    <row r="41556" ht="15.75" customHeight="1" spans="1:2">
      <c r="A41556" s="3" t="str">
        <f>IFERROR(__xludf.DUMMYFUNCTION("GOOGLETRANSLATE(A41556,""en"",""pt"")"),"Tamanho pequeno)")</f>
        <v>Tamanho pequeno)</v>
      </c>
      <c r="B41556" s="3">
        <v>1</v>
      </c>
    </row>
    <row r="41557" ht="15.75" customHeight="1" spans="1:2">
      <c r="A41557" s="3" t="str">
        <f>IFERROR(__xludf.DUMMYFUNCTION("GOOGLETRANSLATE(A41557,""en"",""pt"")"),"tamanho minúsculo, grande facilidade de utilização")</f>
        <v>tamanho minúsculo, grande facilidade de utilização</v>
      </c>
      <c r="B41557" s="3">
        <v>1</v>
      </c>
    </row>
    <row r="41558" ht="15.75" customHeight="1" spans="1:2">
      <c r="A41558" s="3" t="str">
        <f>IFERROR(__xludf.DUMMYFUNCTION("GOOGLETRANSLATE(A41558,""en"",""pt"")"),"Portabilidade, facilidade de uso, qualidade de fotos")</f>
        <v>Portabilidade, facilidade de uso, qualidade de fotos</v>
      </c>
      <c r="B41558" s="3">
        <v>1</v>
      </c>
    </row>
    <row r="41559" ht="15.75" customHeight="1" spans="1:2">
      <c r="A41559" s="3" t="str">
        <f>IFERROR(__xludf.DUMMYFUNCTION("GOOGLETRANSLATE(A41559,""en"",""pt"")"),"Compacto e muito durável. Qualidade das imagens são muito bons. boa tela para visualizar imagens.")</f>
        <v>Compacto e muito durável. Qualidade das imagens são muito bons. boa tela para visualizar imagens.</v>
      </c>
      <c r="B41559" s="3">
        <v>1</v>
      </c>
    </row>
    <row r="41560" ht="15.75" customHeight="1" spans="1:2">
      <c r="A41560" s="3" t="str">
        <f>IFERROR(__xludf.DUMMYFUNCTION("GOOGLETRANSLATE(A41560,""en"",""pt"")"),"menor câmera digital atualmente disponíveis, de boa qualidade pic")</f>
        <v>menor câmera digital atualmente disponíveis, de boa qualidade pic</v>
      </c>
      <c r="B41560" s="3">
        <v>1</v>
      </c>
    </row>
    <row r="41561" ht="15.75" customHeight="1" spans="1:2">
      <c r="A41561" s="3" t="str">
        <f>IFERROR(__xludf.DUMMYFUNCTION("GOOGLETRANSLATE(A41561,""en"",""pt"")"),"2 mega qualidade pixel, boa lente zoom, facilidade de uso.")</f>
        <v>2 mega qualidade pixel, boa lente zoom, facilidade de uso.</v>
      </c>
      <c r="B41561" s="3">
        <v>1</v>
      </c>
    </row>
    <row r="41562" ht="15.75" customHeight="1" spans="1:2">
      <c r="A41562" s="3" t="str">
        <f>IFERROR(__xludf.DUMMYFUNCTION("GOOGLETRANSLATE(A41562,""en"",""pt"")"),"pequeno o suficiente para ser recheado em um bolso ou bolsa, facilidade point-and-shoot ...")</f>
        <v>pequeno o suficiente para ser recheado em um bolso ou bolsa, facilidade point-and-shoot ...</v>
      </c>
      <c r="B41562" s="3">
        <v>1</v>
      </c>
    </row>
    <row r="41563" ht="15.75" customHeight="1" spans="1:2">
      <c r="A41563" s="3" t="str">
        <f>IFERROR(__xludf.DUMMYFUNCTION("GOOGLETRANSLATE(A41563,""en"",""pt"")"),"Canon, boas fotos de qualidade, pequeno, fácil de usar.")</f>
        <v>Canon, boas fotos de qualidade, pequeno, fácil de usar.</v>
      </c>
      <c r="B41563" s="3">
        <v>1</v>
      </c>
    </row>
    <row r="41564" ht="15.75" customHeight="1" spans="1:2">
      <c r="A41564" s="3" t="str">
        <f>IFERROR(__xludf.DUMMYFUNCTION("GOOGLETRANSLATE(A41564,""en"",""pt"")"),"Tamanho, estilo, conveniência, facilidade")</f>
        <v>Tamanho, estilo, conveniência, facilidade</v>
      </c>
      <c r="B41564" s="3">
        <v>1</v>
      </c>
    </row>
    <row r="41565" ht="15.75" customHeight="1" spans="1:2">
      <c r="A41565" s="3" t="str">
        <f>IFERROR(__xludf.DUMMYFUNCTION("GOOGLETRANSLATE(A41565,""en"",""pt"")"),"Tamanho grande, durável, agradável tela, vem com bateria recarregável")</f>
        <v>Tamanho grande, durável, agradável tela, vem com bateria recarregável</v>
      </c>
      <c r="B41565" s="3">
        <v>1</v>
      </c>
    </row>
    <row r="41566" ht="15.75" customHeight="1" spans="1:2">
      <c r="A41566" s="3" t="str">
        <f>IFERROR(__xludf.DUMMYFUNCTION("GOOGLETRANSLATE(A41566,""en"",""pt"")"),"Belas imagens, Small Package")</f>
        <v>Belas imagens, Small Package</v>
      </c>
      <c r="B41566" s="3">
        <v>1</v>
      </c>
    </row>
    <row r="41567" ht="15.75" customHeight="1" spans="1:2">
      <c r="A41567" s="3" t="str">
        <f>IFERROR(__xludf.DUMMYFUNCTION("GOOGLETRANSLATE(A41567,""en"",""pt"")"),"Minúsculos, características poderosas")</f>
        <v>Minúsculos, características poderosas</v>
      </c>
      <c r="B41567" s="3">
        <v>1</v>
      </c>
    </row>
    <row r="41568" ht="15.75" customHeight="1" spans="1:2">
      <c r="A41568" s="3" t="str">
        <f>IFERROR(__xludf.DUMMYFUNCTION("GOOGLETRANSLATE(A41568,""en"",""pt"")"),"uma pequena maravilha da engenharia")</f>
        <v>uma pequena maravilha da engenharia</v>
      </c>
      <c r="B41568" s="3">
        <v>1</v>
      </c>
    </row>
    <row r="41569" ht="15.75" customHeight="1" spans="1:2">
      <c r="A41569" s="3" t="str">
        <f>IFERROR(__xludf.DUMMYFUNCTION("GOOGLETRANSLATE(A41569,""en"",""pt"")"),"Muito pequeno, construção robusta, 2 megapixels, fácil de usar")</f>
        <v>Muito pequeno, construção robusta, 2 megapixels, fácil de usar</v>
      </c>
      <c r="B41569" s="3">
        <v>1</v>
      </c>
    </row>
    <row r="41570" ht="15.75" customHeight="1" spans="1:2">
      <c r="A41570" s="3" t="str">
        <f>IFERROR(__xludf.DUMMYFUNCTION("GOOGLETRANSLATE(A41570,""en"",""pt"")"),"Ultra-compacto, ultra-elegante, ultra-divertido, ultra-tudo")</f>
        <v>Ultra-compacto, ultra-elegante, ultra-divertido, ultra-tudo</v>
      </c>
      <c r="B41570" s="3">
        <v>1</v>
      </c>
    </row>
    <row r="41571" ht="15.75" customHeight="1" spans="1:2">
      <c r="A41571" s="3" t="str">
        <f>IFERROR(__xludf.DUMMYFUNCTION("GOOGLETRANSLATE(A41571,""en"",""pt"")"),"Incrivelmente pequeno, agradável destaque")</f>
        <v>Incrivelmente pequeno, agradável destaque</v>
      </c>
      <c r="B41571" s="3">
        <v>1</v>
      </c>
    </row>
    <row r="41572" ht="15.75" customHeight="1" spans="1:2">
      <c r="A41572" s="3" t="str">
        <f>IFERROR(__xludf.DUMMYFUNCTION("GOOGLETRANSLATE(A41572,""en"",""pt"")"),"tamanho minúsculo, corpo de aço, grande projeto!")</f>
        <v>tamanho minúsculo, corpo de aço, grande projeto!</v>
      </c>
      <c r="B41572" s="3">
        <v>1</v>
      </c>
    </row>
    <row r="41573" ht="15.75" customHeight="1" spans="1:2">
      <c r="A41573" s="3" t="str">
        <f>IFERROR(__xludf.DUMMYFUNCTION("GOOGLETRANSLATE(A41573,""en"",""pt"")"),"Grandes megapixels, fácil de usar e carregar, menor câmera digital no mercado")</f>
        <v>Grandes megapixels, fácil de usar e carregar, menor câmera digital no mercado</v>
      </c>
      <c r="B41573" s="3">
        <v>1</v>
      </c>
    </row>
    <row r="41574" ht="15.75" customHeight="1" spans="1:2">
      <c r="A41574" s="3" t="str">
        <f>IFERROR(__xludf.DUMMYFUNCTION("GOOGLETRANSLATE(A41574,""en"",""pt"")"),"Small Size, boas imagens, imagem, Capacidade, visual elegante, Bom software")</f>
        <v>Small Size, boas imagens, imagem, Capacidade, visual elegante, Bom software</v>
      </c>
      <c r="B41574" s="3">
        <v>1</v>
      </c>
    </row>
    <row r="41575" ht="15.75" customHeight="1" spans="1:2">
      <c r="A41575" s="3" t="str">
        <f>IFERROR(__xludf.DUMMYFUNCTION("GOOGLETRANSLATE(A41575,""en"",""pt"")"),"compacto e fácil de usar")</f>
        <v>compacto e fácil de usar</v>
      </c>
      <c r="B41575" s="3">
        <v>1</v>
      </c>
    </row>
    <row r="41576" ht="15.75" customHeight="1" spans="1:2">
      <c r="A41576" s="3" t="str">
        <f>IFERROR(__xludf.DUMMYFUNCTION("GOOGLETRANSLATE(A41576,""en"",""pt"")"),"&amp; Lt; b &amp; gt; tamanho minúsculo, GRANDE QUALIDADE DE IMAGEM &amp; lt; / B &amp; gt;")</f>
        <v>&amp; Lt; b &amp; gt; tamanho minúsculo, GRANDE QUALIDADE DE IMAGEM &amp; lt; / B &amp; gt;</v>
      </c>
      <c r="B41576" s="3">
        <v>1</v>
      </c>
    </row>
    <row r="41577" ht="15.75" customHeight="1" spans="1:2">
      <c r="A41577" s="3" t="str">
        <f>IFERROR(__xludf.DUMMYFUNCTION("GOOGLETRANSLATE(A41577,""en"",""pt"")"),"Tamanho é tudo. Esqueça clunkers. Isto vai com você em todos os lugares.")</f>
        <v>Tamanho é tudo. Esqueça clunkers. Isto vai com você em todos os lugares.</v>
      </c>
      <c r="B41577" s="3">
        <v>1</v>
      </c>
    </row>
    <row r="41578" ht="15.75" customHeight="1" spans="1:2">
      <c r="A41578" s="3" t="str">
        <f>IFERROR(__xludf.DUMMYFUNCTION("GOOGLETRANSLATE(A41578,""en"",""pt"")"),"Excelente qualidade de imagem para esse cara um pouco. Muito acidentado!")</f>
        <v>Excelente qualidade de imagem para esse cara um pouco. Muito acidentado!</v>
      </c>
      <c r="B41578" s="3">
        <v>1</v>
      </c>
    </row>
    <row r="41579" ht="15.75" customHeight="1" spans="1:2">
      <c r="A41579" s="3" t="str">
        <f>IFERROR(__xludf.DUMMYFUNCTION("GOOGLETRANSLATE(A41579,""en"",""pt"")"),"Pequeno, elegante, excelente quailty de fotos, fácil de usar, pacote muito completo")</f>
        <v>Pequeno, elegante, excelente quailty de fotos, fácil de usar, pacote muito completo</v>
      </c>
      <c r="B41579" s="3">
        <v>1</v>
      </c>
    </row>
    <row r="41580" ht="15.75" customHeight="1" spans="1:2">
      <c r="A41580" s="3" t="str">
        <f>IFERROR(__xludf.DUMMYFUNCTION("GOOGLETRANSLATE(A41580,""en"",""pt"")"),"tamanho pequeno, fácil de usar para um amador")</f>
        <v>tamanho pequeno, fácil de usar para um amador</v>
      </c>
      <c r="B41580" s="3">
        <v>1</v>
      </c>
    </row>
    <row r="41581" ht="15.75" customHeight="1" spans="1:2">
      <c r="A41581" s="3" t="str">
        <f>IFERROR(__xludf.DUMMYFUNCTION("GOOGLETRANSLATE(A41581,""en"",""pt"")"),"Você vai tirar muitas e muitas fotos. Big-time fator ""Uau"".")</f>
        <v>Você vai tirar muitas e muitas fotos. Big-time fator "Uau".</v>
      </c>
      <c r="B41581" s="3">
        <v>1</v>
      </c>
    </row>
    <row r="41582" ht="15.75" customHeight="1" spans="1:2">
      <c r="A41582" s="3" t="str">
        <f>IFERROR(__xludf.DUMMYFUNCTION("GOOGLETRANSLATE(A41582,""en"",""pt"")"),"Tamanho, cor imagem, zoom, exposição da foto (muito claro!), 2 horas. carga da bateria")</f>
        <v>Tamanho, cor imagem, zoom, exposição da foto (muito claro!), 2 horas. carga da bateria</v>
      </c>
      <c r="B41582" s="3">
        <v>1</v>
      </c>
    </row>
    <row r="41583" ht="15.75" customHeight="1" spans="1:2">
      <c r="A41583" s="3" t="str">
        <f>IFERROR(__xludf.DUMMYFUNCTION("GOOGLETRANSLATE(A41583,""en"",""pt"")"),"Minúsculo, bonito, boas fotos!")</f>
        <v>Minúsculo, bonito, boas fotos!</v>
      </c>
      <c r="B41583" s="3">
        <v>1</v>
      </c>
    </row>
    <row r="41584" ht="15.75" customHeight="1" spans="1:2">
      <c r="A41584" s="3" t="str">
        <f>IFERROR(__xludf.DUMMYFUNCTION("GOOGLETRANSLATE(A41584,""en"",""pt"")"),"&amp; Lt; B &amp; gt; Pequeno &amp; lt;! / B &amp; gt; E rápido. Imagens de boa qualidade.")</f>
        <v>&amp; Lt; B &amp; gt; Pequeno &amp; lt;! / B &amp; gt; E rápido. Imagens de boa qualidade.</v>
      </c>
      <c r="B41584" s="3">
        <v>1</v>
      </c>
    </row>
    <row r="41585" ht="15.75" customHeight="1" spans="1:2">
      <c r="A41585" s="3" t="str">
        <f>IFERROR(__xludf.DUMMYFUNCTION("GOOGLETRANSLATE(A41585,""en"",""pt"")"),"Muito compacto, boas fotos, boa exposição na maioria das circunstâncias")</f>
        <v>Muito compacto, boas fotos, boa exposição na maioria das circunstâncias</v>
      </c>
      <c r="B41585" s="3">
        <v>1</v>
      </c>
    </row>
    <row r="41586" ht="15.75" customHeight="1" spans="1:2">
      <c r="A41586" s="3" t="str">
        <f>IFERROR(__xludf.DUMMYFUNCTION("GOOGLETRANSLATE(A41586,""en"",""pt"")"),"tamanho minúsculo, portabilidade, excelentes fotos.")</f>
        <v>tamanho minúsculo, portabilidade, excelentes fotos.</v>
      </c>
      <c r="B41586" s="3">
        <v>1</v>
      </c>
    </row>
    <row r="41587" ht="15.75" customHeight="1" spans="1:2">
      <c r="A41587" s="3" t="str">
        <f>IFERROR(__xludf.DUMMYFUNCTION("GOOGLETRANSLATE(A41587,""en"",""pt"")"),"Pequeno, leve, de alta resolução, cartões de memória adicionais disponíveis, não mais foto desenvolvimento custos.")</f>
        <v>Pequeno, leve, de alta resolução, cartões de memória adicionais disponíveis, não mais foto desenvolvimento custos.</v>
      </c>
      <c r="B41587" s="3">
        <v>1</v>
      </c>
    </row>
    <row r="41588" ht="15.75" customHeight="1" spans="1:2">
      <c r="A41588" s="3" t="str">
        <f>IFERROR(__xludf.DUMMYFUNCTION("GOOGLETRANSLATE(A41588,""en"",""pt"")"),"prós")</f>
        <v>prós</v>
      </c>
      <c r="B41588" s="3">
        <v>1</v>
      </c>
    </row>
    <row r="41589" ht="15.75" customHeight="1" spans="1:2">
      <c r="A41589" s="3" t="str">
        <f>IFERROR(__xludf.DUMMYFUNCTION("GOOGLETRANSLATE(A41589,""en"",""pt"")"),"É uma câmera de tomada capaz.")</f>
        <v>É uma câmera de tomada capaz.</v>
      </c>
      <c r="B41589" s="3">
        <v>1</v>
      </c>
    </row>
    <row r="41590" ht="15.75" customHeight="1" spans="1:2">
      <c r="A41590" s="3" t="str">
        <f>IFERROR(__xludf.DUMMYFUNCTION("GOOGLETRANSLATE(A41590,""en"",""pt"")"),"Pequeno, robusto, boa qualidade de imagem, alta ""cool"" Fator")</f>
        <v>Pequeno, robusto, boa qualidade de imagem, alta "cool" Fator</v>
      </c>
      <c r="B41590" s="3">
        <v>1</v>
      </c>
    </row>
    <row r="41591" ht="15.75" customHeight="1" spans="1:2">
      <c r="A41591" s="3" t="str">
        <f>IFERROR(__xludf.DUMMYFUNCTION("GOOGLETRANSLATE(A41591,""en"",""pt"")"),"Pequeno, fácil de usar, ótimas fotos")</f>
        <v>Pequeno, fácil de usar, ótimas fotos</v>
      </c>
      <c r="B41591" s="3">
        <v>1</v>
      </c>
    </row>
    <row r="41592" ht="15.75" customHeight="1" spans="1:2">
      <c r="A41592" s="3" t="str">
        <f>IFERROR(__xludf.DUMMYFUNCTION("GOOGLETRANSLATE(A41592,""en"",""pt"")"),"Tiny ""levar"" conveniência &amp; amp; # 13; &amp; amp; # 10; belas fotos")</f>
        <v>Tiny "levar" conveniência &amp; amp; # 13; &amp; amp; # 10; belas fotos</v>
      </c>
      <c r="B41592" s="3">
        <v>1</v>
      </c>
    </row>
    <row r="41593" ht="15.75" customHeight="1" spans="1:2">
      <c r="A41593" s="3" t="str">
        <f>IFERROR(__xludf.DUMMYFUNCTION("GOOGLETRANSLATE(A41593,""en"",""pt"")"),"Muito pequeno, fácil de usar, excelente qualidade de imagem, divertido pouco brinquedo &amp; amp; # 9;")</f>
        <v>Muito pequeno, fácil de usar, excelente qualidade de imagem, divertido pouco brinquedo &amp; amp; # 9;</v>
      </c>
      <c r="B41593" s="3">
        <v>1</v>
      </c>
    </row>
    <row r="41594" ht="15.75" customHeight="1" spans="1:2">
      <c r="A41594" s="3" t="str">
        <f>IFERROR(__xludf.DUMMYFUNCTION("GOOGLETRANSLATE(A41594,""en"",""pt"")"),"Extremamente portátil &amp; amp; # 13; &amp; amp; # 10; excelente qualidade de imagem a proporção de tamanho da câmera &amp; amp; # 13; &amp; amp; # 10;")</f>
        <v>Extremamente portátil &amp; amp; # 13; &amp; amp; # 10; excelente qualidade de imagem a proporção de tamanho da câmera &amp; amp; # 13; &amp; amp; # 10;</v>
      </c>
      <c r="B41594" s="3">
        <v>1</v>
      </c>
    </row>
    <row r="41595" ht="15.75" customHeight="1" spans="1:2">
      <c r="A41595" s="3" t="str">
        <f>IFERROR(__xludf.DUMMYFUNCTION("GOOGLETRANSLATE(A41595,""en"",""pt"")"),"pequeno, fácil de usar, de grande qualidade")</f>
        <v>pequeno, fácil de usar, de grande qualidade</v>
      </c>
      <c r="B41595" s="3">
        <v>1</v>
      </c>
    </row>
    <row r="41596" ht="15.75" customHeight="1" spans="1:2">
      <c r="A41596" s="3" t="str">
        <f>IFERROR(__xludf.DUMMYFUNCTION("GOOGLETRANSLATE(A41596,""en"",""pt"")"),"Grande comodidade e capacidade em um pacote pequeno, utilizável.")</f>
        <v>Grande comodidade e capacidade em um pacote pequeno, utilizável.</v>
      </c>
      <c r="B41596" s="3">
        <v>1</v>
      </c>
    </row>
    <row r="41597" ht="15.75" customHeight="1" spans="1:2">
      <c r="A41597" s="3" t="str">
        <f>IFERROR(__xludf.DUMMYFUNCTION("GOOGLETRANSLATE(A41597,""en"",""pt"")"),"construção sólida, design elegante, imagens nítidas, muito portátil")</f>
        <v>construção sólida, design elegante, imagens nítidas, muito portátil</v>
      </c>
      <c r="B41597" s="3">
        <v>1</v>
      </c>
    </row>
    <row r="41598" ht="15.75" customHeight="1" spans="1:2">
      <c r="A41598" s="3" t="str">
        <f>IFERROR(__xludf.DUMMYFUNCTION("GOOGLETRANSLATE(A41598,""en"",""pt"")"),"O tamanho pequeno, caixa de aço inoxidável, conexão usb computador, olhares.")</f>
        <v>O tamanho pequeno, caixa de aço inoxidável, conexão usb computador, olhares.</v>
      </c>
      <c r="B41598" s="3">
        <v>1</v>
      </c>
    </row>
    <row r="41599" ht="15.75" customHeight="1" spans="1:2">
      <c r="A41599" s="3" t="str">
        <f>IFERROR(__xludf.DUMMYFUNCTION("GOOGLETRANSLATE(A41599,""en"",""pt"")"),"câmera final para seu tamanho")</f>
        <v>câmera final para seu tamanho</v>
      </c>
      <c r="B41599" s="3">
        <v>1</v>
      </c>
    </row>
    <row r="41600" ht="15.75" customHeight="1" spans="1:2">
      <c r="A41600" s="3" t="str">
        <f>IFERROR(__xludf.DUMMYFUNCTION("GOOGLETRANSLATE(A41600,""en"",""pt"")"),"O tamanho pequeno, fácil de caber no bolso ou na bolsa. Tira ótimas fotos!")</f>
        <v>O tamanho pequeno, fácil de caber no bolso ou na bolsa. Tira ótimas fotos!</v>
      </c>
      <c r="B41600" s="3">
        <v>1</v>
      </c>
    </row>
    <row r="41601" ht="15.75" customHeight="1" spans="1:2">
      <c r="A41601" s="3" t="str">
        <f>IFERROR(__xludf.DUMMYFUNCTION("GOOGLETRANSLATE(A41601,""en"",""pt"")"),"Pequenas, grandes óptica")</f>
        <v>Pequenas, grandes óptica</v>
      </c>
      <c r="B41601" s="3">
        <v>1</v>
      </c>
    </row>
    <row r="41602" ht="15.75" customHeight="1" spans="1:2">
      <c r="A41602" s="3" t="str">
        <f>IFERROR(__xludf.DUMMYFUNCTION("GOOGLETRANSLATE(A41602,""en"",""pt"")"),"O tamanho pequeno, ótimas fotos.")</f>
        <v>O tamanho pequeno, ótimas fotos.</v>
      </c>
      <c r="B41602" s="3">
        <v>1</v>
      </c>
    </row>
    <row r="41603" ht="15.75" customHeight="1" spans="1:2">
      <c r="A41603" s="3" t="str">
        <f>IFERROR(__xludf.DUMMYFUNCTION("GOOGLETRANSLATE(A41603,""en"",""pt"")"),"Tamanho, display funciona bem sob luz forte, e facilidade de uso.")</f>
        <v>Tamanho, display funciona bem sob luz forte, e facilidade de uso.</v>
      </c>
      <c r="B41603" s="3">
        <v>1</v>
      </c>
    </row>
    <row r="41604" ht="15.75" customHeight="1" spans="1:2">
      <c r="A41604" s="3" t="str">
        <f>IFERROR(__xludf.DUMMYFUNCTION("GOOGLETRANSLATE(A41604,""en"",""pt"")"),"Pequeno, Price is right")</f>
        <v>Pequeno, Price is right</v>
      </c>
      <c r="B41604" s="3">
        <v>1</v>
      </c>
    </row>
    <row r="41605" ht="15.75" customHeight="1" spans="1:2">
      <c r="A41605" s="3" t="str">
        <f>IFERROR(__xludf.DUMMYFUNCTION("GOOGLETRANSLATE(A41605,""en"",""pt"")"),"Tamanho, tamanho e tamanho. Oh, sim, muito fácil de usar e de alta qualidade")</f>
        <v>Tamanho, tamanho e tamanho. Oh, sim, muito fácil de usar e de alta qualidade</v>
      </c>
      <c r="B41605" s="3">
        <v>1</v>
      </c>
    </row>
    <row r="41606" ht="15.75" customHeight="1" spans="1:2">
      <c r="A41606" s="3" t="str">
        <f>IFERROR(__xludf.DUMMYFUNCTION("GOOGLETRANSLATE(A41606,""en"",""pt"")"),"Pequeno, 2.1 MP, Filme-mode, Decent Zoom")</f>
        <v>Pequeno, 2.1 MP, Filme-mode, Decent Zoom</v>
      </c>
      <c r="B41606" s="3">
        <v>1</v>
      </c>
    </row>
    <row r="41607" ht="15.75" customHeight="1" spans="1:2">
      <c r="A41607" s="3" t="str">
        <f>IFERROR(__xludf.DUMMYFUNCTION("GOOGLETRANSLATE(A41607,""en"",""pt"")"),"A menor câmera de seu tipo. design durável e elegante. Alta fiabilidade")</f>
        <v>A menor câmera de seu tipo. design durável e elegante. Alta fiabilidade</v>
      </c>
      <c r="B41607" s="3">
        <v>1</v>
      </c>
    </row>
    <row r="41608" ht="15.75" customHeight="1" spans="1:2">
      <c r="A41608" s="3" t="str">
        <f>IFERROR(__xludf.DUMMYFUNCTION("GOOGLETRANSLATE(A41608,""en"",""pt"")"),"Tamanho pequeno. Excelente qualidade de imagem. Grande qualidade global. Pequeno carregador &amp; amp; incluído bateria recarregável.")</f>
        <v>Tamanho pequeno. Excelente qualidade de imagem. Grande qualidade global. Pequeno carregador &amp; amp; incluído bateria recarregável.</v>
      </c>
      <c r="B41608" s="3">
        <v>1</v>
      </c>
    </row>
    <row r="41609" ht="15.75" customHeight="1" spans="1:2">
      <c r="A41609" s="3" t="str">
        <f>IFERROR(__xludf.DUMMYFUNCTION("GOOGLETRANSLATE(A41609,""en"",""pt"")"),"pequeno tamanho, qualidade de imagem 2.1 megapixel, modo de vídeo, mídia CF, controles, modo panorâmico")</f>
        <v>pequeno tamanho, qualidade de imagem 2.1 megapixel, modo de vídeo, mídia CF, controles, modo panorâmico</v>
      </c>
      <c r="B41609" s="3">
        <v>1</v>
      </c>
    </row>
    <row r="41610" ht="15.75" customHeight="1" spans="1:2">
      <c r="A41610" s="3" t="str">
        <f>IFERROR(__xludf.DUMMYFUNCTION("GOOGLETRANSLATE(A41610,""en"",""pt"")"),"Menor Digicam indo! Sexy, bem feito, grande saída.")</f>
        <v>Menor Digicam indo! Sexy, bem feito, grande saída.</v>
      </c>
      <c r="B41610" s="3">
        <v>1</v>
      </c>
    </row>
    <row r="41611" ht="15.75" customHeight="1" spans="1:2">
      <c r="A41611" s="3" t="str">
        <f>IFERROR(__xludf.DUMMYFUNCTION("GOOGLETRANSLATE(A41611,""en"",""pt"")"),"Pequeno, durável, tela brilhante, excelente qualidade de imagem, fácil de usar, em geral muito legal!")</f>
        <v>Pequeno, durável, tela brilhante, excelente qualidade de imagem, fácil de usar, em geral muito legal!</v>
      </c>
      <c r="B41611" s="3">
        <v>1</v>
      </c>
    </row>
    <row r="41612" ht="15.75" customHeight="1" spans="1:2">
      <c r="A41612" s="3" t="str">
        <f>IFERROR(__xludf.DUMMYFUNCTION("GOOGLETRANSLATE(A41612,""en"",""pt"")"),"Tamanho, peso, qualidade, PhotoStich S / W, &amp; amp; Desenhar. Eu mencionei o tamanho?")</f>
        <v>Tamanho, peso, qualidade, PhotoStich S / W, &amp; amp; Desenhar. Eu mencionei o tamanho?</v>
      </c>
      <c r="B41612" s="3">
        <v>1</v>
      </c>
    </row>
    <row r="41613" ht="15.75" customHeight="1" spans="1:2">
      <c r="A41613" s="3" t="str">
        <f>IFERROR(__xludf.DUMMYFUNCTION("GOOGLETRANSLATE(A41613,""en"",""pt"")"),"Excelentes fotos de qualidade, modo de filme, o tamanho de um cartão de crédito, largura do quarto.")</f>
        <v>Excelentes fotos de qualidade, modo de filme, o tamanho de um cartão de crédito, largura do quarto.</v>
      </c>
      <c r="B41613" s="3">
        <v>1</v>
      </c>
    </row>
    <row r="41614" ht="15.75" customHeight="1" spans="1:2">
      <c r="A41614" s="3" t="str">
        <f>IFERROR(__xludf.DUMMYFUNCTION("GOOGLETRANSLATE(A41614,""en"",""pt"")"),"Conveniente e portátil, parece ótimo, conjunto de recursos boa")</f>
        <v>Conveniente e portátil, parece ótimo, conjunto de recursos boa</v>
      </c>
      <c r="B41614" s="3">
        <v>1</v>
      </c>
    </row>
    <row r="41615" ht="15.75" customHeight="1" spans="1:2">
      <c r="A41615" s="3" t="str">
        <f>IFERROR(__xludf.DUMMYFUNCTION("GOOGLETRANSLATE(A41615,""en"",""pt"")"),"Excelente qualidade de imagem. Capacidade de gravar vídeo em movimento ao vivo w áudio /.")</f>
        <v>Excelente qualidade de imagem. Capacidade de gravar vídeo em movimento ao vivo w áudio /.</v>
      </c>
      <c r="B41615" s="3">
        <v>1</v>
      </c>
    </row>
    <row r="41616" ht="15.75" customHeight="1" spans="1:2">
      <c r="A41616" s="3" t="str">
        <f>IFERROR(__xludf.DUMMYFUNCTION("GOOGLETRANSLATE(A41616,""en"",""pt"")"),"O tamanho pequeno, parece ótimo, fotos de qualidade, lente zoom, filmes, grandes recursos!")</f>
        <v>O tamanho pequeno, parece ótimo, fotos de qualidade, lente zoom, filmes, grandes recursos!</v>
      </c>
      <c r="B41616" s="3">
        <v>1</v>
      </c>
    </row>
    <row r="41617" ht="15.75" customHeight="1" spans="1:2">
      <c r="A41617" s="3" t="str">
        <f>IFERROR(__xludf.DUMMYFUNCTION("GOOGLETRANSLATE(A41617,""en"",""pt"")"),"Muito portátil, cor exata, muito bem feito, incrível!")</f>
        <v>Muito portátil, cor exata, muito bem feito, incrível!</v>
      </c>
      <c r="B41617" s="3">
        <v>1</v>
      </c>
    </row>
    <row r="41618" ht="15.75" customHeight="1" spans="1:2">
      <c r="A41618" s="3" t="str">
        <f>IFERROR(__xludf.DUMMYFUNCTION("GOOGLETRANSLATE(A41618,""en"",""pt"")"),"Tamanho, ergonomia, software incluído, a qualidade da imagem")</f>
        <v>Tamanho, ergonomia, software incluído, a qualidade da imagem</v>
      </c>
      <c r="B41618" s="3">
        <v>1</v>
      </c>
    </row>
    <row r="41619" ht="15.75" customHeight="1" spans="1:2">
      <c r="A41619" s="3" t="str">
        <f>IFERROR(__xludf.DUMMYFUNCTION("GOOGLETRANSLATE(A41619,""en"",""pt"")"),"Compacto, excelente qualidade de imagem, elegante")</f>
        <v>Compacto, excelente qualidade de imagem, elegante</v>
      </c>
      <c r="B41619" s="3">
        <v>1</v>
      </c>
    </row>
    <row r="41620" ht="15.75" customHeight="1" spans="1:2">
      <c r="A41620" s="3" t="str">
        <f>IFERROR(__xludf.DUMMYFUNCTION("GOOGLETRANSLATE(A41620,""en"",""pt"")"),"tamanho perfeito, muito boas fotos")</f>
        <v>tamanho perfeito, muito boas fotos</v>
      </c>
      <c r="B41620" s="3">
        <v>1</v>
      </c>
    </row>
    <row r="41621" ht="15.75" customHeight="1" spans="1:2">
      <c r="A41621" s="3" t="str">
        <f>IFERROR(__xludf.DUMMYFUNCTION("GOOGLETRANSLATE(A41621,""en"",""pt"")"),"Tamanho, qualidade da foto, robustez, funcionalidade de filme, a resolução adequada, preto e modo de branco.")</f>
        <v>Tamanho, qualidade da foto, robustez, funcionalidade de filme, a resolução adequada, preto e modo de branco.</v>
      </c>
      <c r="B41621" s="3">
        <v>1</v>
      </c>
    </row>
    <row r="41622" ht="15.75" customHeight="1" spans="1:2">
      <c r="A41622" s="3" t="str">
        <f>IFERROR(__xludf.DUMMYFUNCTION("GOOGLETRANSLATE(A41622,""en"",""pt"")"),"tamanho pequeno, excelente qualidade de imagem de uma câmera de 2 megapixels, o corpo de metal resistente")</f>
        <v>tamanho pequeno, excelente qualidade de imagem de uma câmera de 2 megapixels, o corpo de metal resistente</v>
      </c>
      <c r="B41622" s="3">
        <v>1</v>
      </c>
    </row>
    <row r="41623" ht="15.75" customHeight="1" spans="1:2">
      <c r="A41623" s="3" t="str">
        <f>IFERROR(__xludf.DUMMYFUNCTION("GOOGLETRANSLATE(A41623,""en"",""pt"")"),"Boa qualidade de imagem, fácil de usar, altamente portátil, rebate (através de 1/31/02)")</f>
        <v>Boa qualidade de imagem, fácil de usar, altamente portátil, rebate (através de 1/31/02)</v>
      </c>
      <c r="B41623" s="3">
        <v>1</v>
      </c>
    </row>
    <row r="41624" ht="15.75" customHeight="1" spans="1:2">
      <c r="A41624" s="3" t="str">
        <f>IFERROR(__xludf.DUMMYFUNCTION("GOOGLETRANSLATE(A41624,""en"",""pt"")"),"Leve, compacto, fácil de usar, tem belas fotos")</f>
        <v>Leve, compacto, fácil de usar, tem belas fotos</v>
      </c>
      <c r="B41624" s="3">
        <v>1</v>
      </c>
    </row>
    <row r="41625" ht="15.75" customHeight="1" spans="1:2">
      <c r="A41625" s="3" t="str">
        <f>IFERROR(__xludf.DUMMYFUNCTION("GOOGLETRANSLATE(A41625,""en"",""pt"")"),", Robusto, grande software muito portátil ""foto do ponto"".")</f>
        <v>, Robusto, grande software muito portátil "foto do ponto".</v>
      </c>
      <c r="B41625" s="3">
        <v>1</v>
      </c>
    </row>
    <row r="41626" ht="15.75" customHeight="1" spans="1:2">
      <c r="A41626" s="3" t="str">
        <f>IFERROR(__xludf.DUMMYFUNCTION("GOOGLETRANSLATE(A41626,""en"",""pt"")"),"Bem feito, o tamanho pequeno, a qualidade da imagem, flash compacto, a vida da bateria.")</f>
        <v>Bem feito, o tamanho pequeno, a qualidade da imagem, flash compacto, a vida da bateria.</v>
      </c>
      <c r="B41626" s="3">
        <v>1</v>
      </c>
    </row>
    <row r="41627" ht="15.75" customHeight="1" spans="1:2">
      <c r="A41627" s="3" t="str">
        <f>IFERROR(__xludf.DUMMYFUNCTION("GOOGLETRANSLATE(A41627,""en"",""pt"")"),"tamanho, tamanho tamanho. e grande clareza nas imagens. Ame a caixa de metal.")</f>
        <v>tamanho, tamanho tamanho. e grande clareza nas imagens. Ame a caixa de metal.</v>
      </c>
      <c r="B41627" s="3">
        <v>1</v>
      </c>
    </row>
    <row r="41628" ht="15.75" customHeight="1" spans="1:2">
      <c r="A41628" s="3" t="str">
        <f>IFERROR(__xludf.DUMMYFUNCTION("GOOGLETRANSLATE(A41628,""en"",""pt"")"),"Tamanho, características, pixels")</f>
        <v>Tamanho, características, pixels</v>
      </c>
      <c r="B41628" s="3">
        <v>1</v>
      </c>
    </row>
    <row r="41629" ht="15.75" customHeight="1" spans="1:2">
      <c r="A41629" s="3" t="str">
        <f>IFERROR(__xludf.DUMMYFUNCTION("GOOGLETRANSLATE(A41629,""en"",""pt"")"),"A qualidade da imagem, tamanho, durabilidade")</f>
        <v>A qualidade da imagem, tamanho, durabilidade</v>
      </c>
      <c r="B41629" s="3">
        <v>1</v>
      </c>
    </row>
    <row r="41630" ht="15.75" customHeight="1" spans="1:2">
      <c r="A41630" s="3" t="str">
        <f>IFERROR(__xludf.DUMMYFUNCTION("GOOGLETRANSLATE(A41630,""en"",""pt"")"),"Compacto, resistente, sexy, muito boa qualidade de imagem, e filmes com som &amp; amp; # 13; &amp; amp; # 10;")</f>
        <v>Compacto, resistente, sexy, muito boa qualidade de imagem, e filmes com som &amp; amp; # 13; &amp; amp; # 10;</v>
      </c>
      <c r="B41630" s="3">
        <v>1</v>
      </c>
    </row>
    <row r="41631" ht="15.75" customHeight="1" spans="1:2">
      <c r="A41631" s="3" t="str">
        <f>IFERROR(__xludf.DUMMYFUNCTION("GOOGLETRANSLATE(A41631,""en"",""pt"")"),"toneladas compacto e bonito, de recursos, boa qualidade de imagem")</f>
        <v>toneladas compacto e bonito, de recursos, boa qualidade de imagem</v>
      </c>
      <c r="B41631" s="3">
        <v>1</v>
      </c>
    </row>
    <row r="41632" ht="15.75" customHeight="1" spans="1:2">
      <c r="A41632" s="3" t="str">
        <f>IFERROR(__xludf.DUMMYFUNCTION("GOOGLETRANSLATE(A41632,""en"",""pt"")"),"TAMANHO! Imagem Q, o modo de imagem do ponto, a velocidade")</f>
        <v>TAMANHO! Imagem Q, o modo de imagem do ponto, a velocidade</v>
      </c>
      <c r="B41632" s="3">
        <v>1</v>
      </c>
    </row>
    <row r="41633" ht="15.75" customHeight="1" spans="1:2">
      <c r="A41633" s="3" t="str">
        <f>IFERROR(__xludf.DUMMYFUNCTION("GOOGLETRANSLATE(A41633,""en"",""pt"")"),"minúsculas (ajustes no meu bolsa!), grande qualidade, variedade de opções &amp; amp; # 13; &amp; amp; # 10;")</f>
        <v>minúsculas (ajustes no meu bolsa!), grande qualidade, variedade de opções &amp; amp; # 13; &amp; amp; # 10;</v>
      </c>
      <c r="B41633" s="3">
        <v>1</v>
      </c>
    </row>
    <row r="41634" ht="15.75" customHeight="1" spans="1:2">
      <c r="A41634" s="3" t="str">
        <f>IFERROR(__xludf.DUMMYFUNCTION("GOOGLETRANSLATE(A41634,""en"",""pt"")"),"Tamanho, tamanho, tamanho. 2.1 megapixels é tudo que você precisa !!!")</f>
        <v>Tamanho, tamanho, tamanho. 2.1 megapixels é tudo que você precisa !!!</v>
      </c>
      <c r="B41634" s="3">
        <v>1</v>
      </c>
    </row>
    <row r="41635" ht="15.75" customHeight="1" spans="1:2">
      <c r="A41635" s="3" t="str">
        <f>IFERROR(__xludf.DUMMYFUNCTION("GOOGLETRANSLATE(A41635,""en"",""pt"")"),"Tamanho, caixa de metal, a qualidade Canon")</f>
        <v>Tamanho, caixa de metal, a qualidade Canon</v>
      </c>
      <c r="B41635" s="3">
        <v>1</v>
      </c>
    </row>
    <row r="41636" ht="15.75" customHeight="1" spans="1:2">
      <c r="A41636" s="3" t="str">
        <f>IFERROR(__xludf.DUMMYFUNCTION("GOOGLETRANSLATE(A41636,""en"",""pt"")"),"Minúscula, minúscula, TINY. melhorias enormes sobre o S100. Grande autonomia da bateria")</f>
        <v>Minúscula, minúscula, TINY. melhorias enormes sobre o S100. Grande autonomia da bateria</v>
      </c>
      <c r="B41636" s="3">
        <v>1</v>
      </c>
    </row>
    <row r="41637" ht="15.75" customHeight="1" spans="1:2">
      <c r="A41637" s="3" t="str">
        <f>IFERROR(__xludf.DUMMYFUNCTION("GOOGLETRANSLATE(A41637,""en"",""pt"")"),"pequeno, fácil de usar, astheticly agradar, multi-funções")</f>
        <v>pequeno, fácil de usar, astheticly agradar, multi-funções</v>
      </c>
      <c r="B41637" s="3">
        <v>1</v>
      </c>
    </row>
    <row r="41638" ht="15.75" customHeight="1" spans="1:2">
      <c r="A41638" s="3" t="str">
        <f>IFERROR(__xludf.DUMMYFUNCTION("GOOGLETRANSLATE(A41638,""en"",""pt"")"),"Fácil de usar, durável, excelente qualidade de imagem, alguns custos externos")</f>
        <v>Fácil de usar, durável, excelente qualidade de imagem, alguns custos externos</v>
      </c>
      <c r="B41638" s="3">
        <v>1</v>
      </c>
    </row>
    <row r="41639" ht="15.75" customHeight="1" spans="1:2">
      <c r="A41639" s="3" t="str">
        <f>IFERROR(__xludf.DUMMYFUNCTION("GOOGLETRANSLATE(A41639,""en"",""pt"")"),"Pequenos, de boa qualidade fotos")</f>
        <v>Pequenos, de boa qualidade fotos</v>
      </c>
      <c r="B41639" s="3">
        <v>1</v>
      </c>
    </row>
    <row r="41640" ht="15.75" customHeight="1" spans="1:2">
      <c r="A41640" s="3" t="str">
        <f>IFERROR(__xludf.DUMMYFUNCTION("GOOGLETRANSLATE(A41640,""en"",""pt"")"),"Leve, elegante e versátil ainda digital. amigável, com grandes óptica Canon usuário.")</f>
        <v>Leve, elegante e versátil ainda digital. amigável, com grandes óptica Canon usuário.</v>
      </c>
      <c r="B41640" s="3">
        <v>1</v>
      </c>
    </row>
    <row r="41641" ht="15.75" customHeight="1" spans="1:2">
      <c r="A41641" s="3" t="str">
        <f>IFERROR(__xludf.DUMMYFUNCTION("GOOGLETRANSLATE(A41641,""en"",""pt"")"),"Pequena o suficiente para transportar no seu bolso, boa qualidade de imagem, elegante")</f>
        <v>Pequena o suficiente para transportar no seu bolso, boa qualidade de imagem, elegante</v>
      </c>
      <c r="B41641" s="3">
        <v>1</v>
      </c>
    </row>
    <row r="41642" ht="15.75" customHeight="1" spans="1:2">
      <c r="A41642" s="3" t="str">
        <f>IFERROR(__xludf.DUMMYFUNCTION("GOOGLETRANSLATE(A41642,""en"",""pt"")"),"tão pequeno como o elph regular.")</f>
        <v>tão pequeno como o elph regular.</v>
      </c>
      <c r="B41642" s="3">
        <v>1</v>
      </c>
    </row>
    <row r="41643" ht="15.75" customHeight="1" spans="1:2">
      <c r="A41643" s="3" t="str">
        <f>IFERROR(__xludf.DUMMYFUNCTION("GOOGLETRANSLATE(A41643,""en"",""pt"")"),"O tamanho não importa, tão pequena e leve! Fácil de usar.")</f>
        <v>O tamanho não importa, tão pequena e leve! Fácil de usar.</v>
      </c>
      <c r="B41643" s="3">
        <v>1</v>
      </c>
    </row>
    <row r="41644" ht="15.75" customHeight="1" spans="1:2">
      <c r="A41644" s="3" t="str">
        <f>IFERROR(__xludf.DUMMYFUNCTION("GOOGLETRANSLATE(A41644,""en"",""pt"")"),"Compacto e fácil de usar")</f>
        <v>Compacto e fácil de usar</v>
      </c>
      <c r="B41644" s="3">
        <v>1</v>
      </c>
    </row>
    <row r="41645" ht="15.75" customHeight="1" spans="1:2">
      <c r="A41645" s="3" t="str">
        <f>IFERROR(__xludf.DUMMYFUNCTION("GOOGLETRANSLATE(A41645,""en"",""pt"")"),"Barato, grandes imagens, clipes de filme, tamanho pequeno.")</f>
        <v>Barato, grandes imagens, clipes de filme, tamanho pequeno.</v>
      </c>
      <c r="B41645" s="3">
        <v>1</v>
      </c>
    </row>
    <row r="41646" ht="15.75" customHeight="1" spans="1:2">
      <c r="A41646" s="3" t="str">
        <f>IFERROR(__xludf.DUMMYFUNCTION("GOOGLETRANSLATE(A41646,""en"",""pt"")"),"Trabalhou muito para o primeiro ano, boa bateria portátil.")</f>
        <v>Trabalhou muito para o primeiro ano, boa bateria portátil.</v>
      </c>
      <c r="B41646" s="3">
        <v>1</v>
      </c>
    </row>
    <row r="41647" ht="15.75" customHeight="1" spans="1:2">
      <c r="A41647" s="3" t="str">
        <f>IFERROR(__xludf.DUMMYFUNCTION("GOOGLETRANSLATE(A41647,""en"",""pt"")"),"Durável; compactar; boas, as fotos de qualidade limpas.")</f>
        <v>Durável; compactar; boas, as fotos de qualidade limpas.</v>
      </c>
      <c r="B41647" s="3">
        <v>1</v>
      </c>
    </row>
    <row r="41648" ht="15.75" customHeight="1" spans="1:2">
      <c r="A41648" s="3" t="str">
        <f>IFERROR(__xludf.DUMMYFUNCTION("GOOGLETRANSLATE(A41648,""en"",""pt"")"),"luz, discreta, design elegante, tem todas as características básicas, fáceis de usar, duráveis, zoom decente")</f>
        <v>luz, discreta, design elegante, tem todas as características básicas, fáceis de usar, duráveis, zoom decente</v>
      </c>
      <c r="B41648" s="3">
        <v>1</v>
      </c>
    </row>
    <row r="41649" ht="15.75" customHeight="1" spans="1:2">
      <c r="A41649" s="3" t="str">
        <f>IFERROR(__xludf.DUMMYFUNCTION("GOOGLETRANSLATE(A41649,""en"",""pt"")"),"Minúsculo! Caixa metálica. Vem w / bateria.")</f>
        <v>Minúsculo! Caixa metálica. Vem w / bateria.</v>
      </c>
      <c r="B41649" s="3">
        <v>1</v>
      </c>
    </row>
    <row r="41650" ht="15.75" customHeight="1" spans="1:2">
      <c r="A41650" s="3" t="str">
        <f>IFERROR(__xludf.DUMMYFUNCTION("GOOGLETRANSLATE(A41650,""en"",""pt"")"),"Extremamente pequenas, grandes fotos")</f>
        <v>Extremamente pequenas, grandes fotos</v>
      </c>
      <c r="B41650" s="3">
        <v>1</v>
      </c>
    </row>
    <row r="41651" ht="15.75" customHeight="1" spans="1:2">
      <c r="A41651" s="3" t="str">
        <f>IFERROR(__xludf.DUMMYFUNCTION("GOOGLETRANSLATE(A41651,""en"",""pt"")"),"Leve, cabe no bolso, grande interface de usuário, grande cor")</f>
        <v>Leve, cabe no bolso, grande interface de usuário, grande cor</v>
      </c>
      <c r="B41651" s="3">
        <v>1</v>
      </c>
    </row>
    <row r="41652" ht="15.75" customHeight="1" spans="1:2">
      <c r="A41652" s="3" t="str">
        <f>IFERROR(__xludf.DUMMYFUNCTION("GOOGLETRANSLATE(A41652,""en"",""pt"")"),"A câmera final camisa-bolso! de aço inoxidável resistente.")</f>
        <v>A câmera final camisa-bolso! de aço inoxidável resistente.</v>
      </c>
      <c r="B41652" s="3">
        <v>1</v>
      </c>
    </row>
    <row r="41653" ht="15.75" customHeight="1" spans="1:2">
      <c r="A41653" s="3" t="str">
        <f>IFERROR(__xludf.DUMMYFUNCTION("GOOGLETRANSLATE(A41653,""en"",""pt"")"),"Muito pequeno; um pouco maior do que um cartão de crédito")</f>
        <v>Muito pequeno; um pouco maior do que um cartão de crédito</v>
      </c>
      <c r="B41653" s="3">
        <v>1</v>
      </c>
    </row>
    <row r="41654" ht="15.75" customHeight="1" spans="1:2">
      <c r="A41654" s="3" t="str">
        <f>IFERROR(__xludf.DUMMYFUNCTION("GOOGLETRANSLATE(A41654,""en"",""pt"")"),"boa câmera liso. Novidade para quem o vê. Lotes de características puras.")</f>
        <v>boa câmera liso. Novidade para quem o vê. Lotes de características puras.</v>
      </c>
      <c r="B41654" s="3">
        <v>1</v>
      </c>
    </row>
    <row r="41655" ht="15.75" customHeight="1" spans="1:2">
      <c r="A41655" s="3" t="str">
        <f>IFERROR(__xludf.DUMMYFUNCTION("GOOGLETRANSLATE(A41655,""en"",""pt"")"),"Tamanho, tamanho, &amp; amp; Tamanho, Grande LCD Display, recursos, software, vida útil da bateria")</f>
        <v>Tamanho, tamanho, &amp; amp; Tamanho, Grande LCD Display, recursos, software, vida útil da bateria</v>
      </c>
      <c r="B41655" s="3">
        <v>1</v>
      </c>
    </row>
    <row r="41656" ht="15.75" customHeight="1" spans="1:2">
      <c r="A41656" s="3" t="str">
        <f>IFERROR(__xludf.DUMMYFUNCTION("GOOGLETRANSLATE(A41656,""en"",""pt"")"),"muito compacto e leve!")</f>
        <v>muito compacto e leve!</v>
      </c>
      <c r="B41656" s="3">
        <v>1</v>
      </c>
    </row>
    <row r="41657" ht="15.75" customHeight="1" spans="1:2">
      <c r="A41657" s="3" t="str">
        <f>IFERROR(__xludf.DUMMYFUNCTION("GOOGLETRANSLATE(A41657,""en"",""pt"")"),"Pequeno, pequeno, pequeno. Fácil de usar. Durável.")</f>
        <v>Pequeno, pequeno, pequeno. Fácil de usar. Durável.</v>
      </c>
      <c r="B41657" s="3">
        <v>1</v>
      </c>
    </row>
    <row r="41658" ht="15.75" customHeight="1" spans="1:2">
      <c r="A41658" s="3" t="str">
        <f>IFERROR(__xludf.DUMMYFUNCTION("GOOGLETRANSLATE(A41658,""en"",""pt"")"),"Muito pequeno e leve, de excelente qualidade, a preços acessíveis")</f>
        <v>Muito pequeno e leve, de excelente qualidade, a preços acessíveis</v>
      </c>
      <c r="B41658" s="3">
        <v>1</v>
      </c>
    </row>
    <row r="41659" ht="15.75" customHeight="1" spans="1:2">
      <c r="A41659" s="3" t="str">
        <f>IFERROR(__xludf.DUMMYFUNCTION("GOOGLETRANSLATE(A41659,""en"",""pt"")"),"Pequeno, leve, durável, elegante e divertido de usar.")</f>
        <v>Pequeno, leve, durável, elegante e divertido de usar.</v>
      </c>
      <c r="B41659" s="3">
        <v>1</v>
      </c>
    </row>
    <row r="41660" ht="15.75" customHeight="1" spans="1:2">
      <c r="A41660" s="3" t="str">
        <f>IFERROR(__xludf.DUMMYFUNCTION("GOOGLETRANSLATE(A41660,""en"",""pt"")"),"Pequeno, de bolso, aparência atraente, muitos acessórios")</f>
        <v>Pequeno, de bolso, aparência atraente, muitos acessórios</v>
      </c>
      <c r="B41660" s="3">
        <v>1</v>
      </c>
    </row>
    <row r="41661" ht="15.75" customHeight="1" spans="1:2">
      <c r="A41661" s="3" t="str">
        <f>IFERROR(__xludf.DUMMYFUNCTION("GOOGLETRANSLATE(A41661,""en"",""pt"")"),"tamanho pequeno")</f>
        <v>tamanho pequeno</v>
      </c>
      <c r="B41661" s="3">
        <v>1</v>
      </c>
    </row>
    <row r="41662" ht="15.75" customHeight="1" spans="1:2">
      <c r="A41662" s="3" t="str">
        <f>IFERROR(__xludf.DUMMYFUNCTION("GOOGLETRANSLATE(A41662,""en"",""pt"")")," lente muito forte e chip Compact Excelente software")</f>
        <v> lente muito forte e chip Compact Excelente software</v>
      </c>
      <c r="B41662" s="3">
        <v>1</v>
      </c>
    </row>
    <row r="41663" ht="15.75" customHeight="1" spans="1:2">
      <c r="A41663" s="3" t="str">
        <f>IFERROR(__xludf.DUMMYFUNCTION("GOOGLETRANSLATE(A41663,""en"",""pt"")"),"CF Tipo I / slot II, timer, disparo contínuo.")</f>
        <v>CF Tipo I / slot II, timer, disparo contínuo.</v>
      </c>
      <c r="B41663" s="3">
        <v>1</v>
      </c>
    </row>
    <row r="41664" ht="15.75" customHeight="1" spans="1:2">
      <c r="A41664" s="3" t="str">
        <f>IFERROR(__xludf.DUMMYFUNCTION("GOOGLETRANSLATE(A41664,""en"",""pt"")"),"Barato, resistente à procura e pequena câmera")</f>
        <v>Barato, resistente à procura e pequena câmera</v>
      </c>
      <c r="B41664" s="3">
        <v>1</v>
      </c>
    </row>
    <row r="41665" ht="15.75" customHeight="1" spans="1:2">
      <c r="A41665" s="3" t="str">
        <f>IFERROR(__xludf.DUMMYFUNCTION("GOOGLETRANSLATE(A41665,""en"",""pt"")"),"Fácil de usar, vem com todos os acessórios para começar, imagens de alta qualidade.")</f>
        <v>Fácil de usar, vem com todos os acessórios para começar, imagens de alta qualidade.</v>
      </c>
      <c r="B41665" s="3">
        <v>1</v>
      </c>
    </row>
    <row r="41666" ht="15.75" customHeight="1" spans="1:2">
      <c r="A41666" s="3" t="str">
        <f>IFERROR(__xludf.DUMMYFUNCTION("GOOGLETRANSLATE(A41666,""en"",""pt"")"),"Qualidade excelente. Boas configurações / funções para o usuário comum.")</f>
        <v>Qualidade excelente. Boas configurações / funções para o usuário comum.</v>
      </c>
      <c r="B41666" s="3">
        <v>1</v>
      </c>
    </row>
    <row r="41667" ht="15.75" customHeight="1" spans="1:2">
      <c r="A41667" s="3" t="str">
        <f>IFERROR(__xludf.DUMMYFUNCTION("GOOGLETRANSLATE(A41667,""en"",""pt"")"),"suporta Microdrive")</f>
        <v>suporta Microdrive</v>
      </c>
      <c r="B41667" s="3">
        <v>1</v>
      </c>
    </row>
    <row r="41668" ht="15.75" customHeight="1" spans="1:2">
      <c r="A41668" s="3" t="str">
        <f>IFERROR(__xludf.DUMMYFUNCTION("GOOGLETRANSLATE(A41668,""en"",""pt"")"),"grande resolução")</f>
        <v>grande resolução</v>
      </c>
      <c r="B41668" s="3">
        <v>1</v>
      </c>
    </row>
    <row r="41669" ht="15.75" customHeight="1" spans="1:2">
      <c r="A41669" s="3" t="str">
        <f>IFERROR(__xludf.DUMMYFUNCTION("GOOGLETRANSLATE(A41669,""en"",""pt"")"),"Compacto, de alta resolução, fácil de usar")</f>
        <v>Compacto, de alta resolução, fácil de usar</v>
      </c>
      <c r="B41669" s="3">
        <v>1</v>
      </c>
    </row>
    <row r="41670" ht="15.75" customHeight="1" spans="1:2">
      <c r="A41670" s="3" t="str">
        <f>IFERROR(__xludf.DUMMYFUNCTION("GOOGLETRANSLATE(A41670,""en"",""pt"")"),"fácil de usar, tamanho pequeno, grande qualidade de imagem")</f>
        <v>fácil de usar, tamanho pequeno, grande qualidade de imagem</v>
      </c>
      <c r="B41670" s="3">
        <v>1</v>
      </c>
    </row>
    <row r="41671" ht="15.75" customHeight="1" spans="1:2">
      <c r="A41671" s="3" t="str">
        <f>IFERROR(__xludf.DUMMYFUNCTION("GOOGLETRANSLATE(A41671,""en"",""pt"")"),"fotos muito nítidas ...")</f>
        <v>fotos muito nítidas ...</v>
      </c>
      <c r="B41671" s="3">
        <v>1</v>
      </c>
    </row>
    <row r="41672" ht="15.75" customHeight="1" spans="1:2">
      <c r="A41672" s="3" t="str">
        <f>IFERROR(__xludf.DUMMYFUNCTION("GOOGLETRANSLATE(A41672,""en"",""pt"")"),"Pequeno para uma câmera &amp; amp 3.3Mpel; # 13; &amp; amp; # 10;")</f>
        <v>Pequeno para uma câmera &amp; amp 3.3Mpel; # 13; &amp; amp; # 10;</v>
      </c>
      <c r="B41672" s="3">
        <v>1</v>
      </c>
    </row>
    <row r="41673" ht="15.75" customHeight="1" spans="1:2">
      <c r="A41673" s="3" t="str">
        <f>IFERROR(__xludf.DUMMYFUNCTION("GOOGLETRANSLATE(A41673,""en"",""pt"")"),"3.3 Megapixel resolução, tamanho, preço, qualidade de imagem. Usa a mídia padrão.")</f>
        <v>3.3 Megapixel resolução, tamanho, preço, qualidade de imagem. Usa a mídia padrão.</v>
      </c>
      <c r="B41673" s="3">
        <v>1</v>
      </c>
    </row>
    <row r="41674" ht="15.75" customHeight="1" spans="1:2">
      <c r="A41674" s="3" t="str">
        <f>IFERROR(__xludf.DUMMYFUNCTION("GOOGLETRANSLATE(A41674,""en"",""pt"")"),"imagens incrivelmente nítidas, 3,34 megapixels, menos ruído CCD do que seus antecessores, tamanho pequeno, transferências rápidas, construção sólida.")</f>
        <v>imagens incrivelmente nítidas, 3,34 megapixels, menos ruído CCD do que seus antecessores, tamanho pequeno, transferências rápidas, construção sólida.</v>
      </c>
      <c r="B41674" s="3">
        <v>1</v>
      </c>
    </row>
    <row r="41675" ht="15.75" customHeight="1" spans="1:2">
      <c r="A41675" s="3" t="str">
        <f>IFERROR(__xludf.DUMMYFUNCTION("GOOGLETRANSLATE(A41675,""en"",""pt"")"),"como isso acho que funciona")</f>
        <v>como isso acho que funciona</v>
      </c>
      <c r="B41675" s="3">
        <v>1</v>
      </c>
    </row>
    <row r="41676" ht="15.75" customHeight="1" spans="1:2">
      <c r="A41676" s="3" t="str">
        <f>IFERROR(__xludf.DUMMYFUNCTION("GOOGLETRANSLATE(A41676,""en"",""pt"")"),"Tamanho grande, muito intuitivo, bom zoom")</f>
        <v>Tamanho grande, muito intuitivo, bom zoom</v>
      </c>
      <c r="B41676" s="3">
        <v>1</v>
      </c>
    </row>
    <row r="41677" ht="15.75" customHeight="1" spans="1:2">
      <c r="A41677" s="3" t="str">
        <f>IFERROR(__xludf.DUMMYFUNCTION("GOOGLETRANSLATE(A41677,""en"",""pt"")"),"Pequenas, Microdrive capazes, imagens nítidas")</f>
        <v>Pequenas, Microdrive capazes, imagens nítidas</v>
      </c>
      <c r="B41677" s="3">
        <v>1</v>
      </c>
    </row>
    <row r="41678" ht="15.75" customHeight="1" spans="1:2">
      <c r="A41678" s="3" t="str">
        <f>IFERROR(__xludf.DUMMYFUNCTION("GOOGLETRANSLATE(A41678,""en"",""pt"")"),"3.1 MP, tamanho pequeno")</f>
        <v>3.1 MP, tamanho pequeno</v>
      </c>
      <c r="B41678" s="3">
        <v>1</v>
      </c>
    </row>
    <row r="41679" ht="15.75" customHeight="1" spans="1:2">
      <c r="A41679" s="3" t="str">
        <f>IFERROR(__xludf.DUMMYFUNCTION("GOOGLETRANSLATE(A41679,""en"",""pt"")"),"USB, 3 megapixels, slot para a unidade 340MB")</f>
        <v>USB, 3 megapixels, slot para a unidade 340MB</v>
      </c>
      <c r="B41679" s="3">
        <v>1</v>
      </c>
    </row>
    <row r="41680" ht="15.75" customHeight="1" spans="1:2">
      <c r="A41680" s="3" t="str">
        <f>IFERROR(__xludf.DUMMYFUNCTION("GOOGLETRANSLATE(A41680,""en"",""pt"")"),"esquema normal, fácil de usar, 2 tipos de baterias")</f>
        <v>esquema normal, fácil de usar, 2 tipos de baterias</v>
      </c>
      <c r="B41680" s="3">
        <v>1</v>
      </c>
    </row>
    <row r="41681" ht="15.75" customHeight="1" spans="1:2">
      <c r="A41681" s="3" t="str">
        <f>IFERROR(__xludf.DUMMYFUNCTION("GOOGLETRANSLATE(A41681,""en"",""pt"")"),"Tamanho, fácil de usar, muitas características")</f>
        <v>Tamanho, fácil de usar, muitas características</v>
      </c>
      <c r="B41681" s="3">
        <v>1</v>
      </c>
    </row>
    <row r="41682" ht="15.75" customHeight="1" spans="1:2">
      <c r="A41682" s="3" t="str">
        <f>IFERROR(__xludf.DUMMYFUNCTION("GOOGLETRANSLATE(A41682,""en"",""pt"")"),"Ótimas fotos")</f>
        <v>Ótimas fotos</v>
      </c>
      <c r="B41682" s="3">
        <v>1</v>
      </c>
    </row>
    <row r="41683" ht="15.75" customHeight="1" spans="1:2">
      <c r="A41683" s="3" t="str">
        <f>IFERROR(__xludf.DUMMYFUNCTION("GOOGLETRANSLATE(A41683,""en"",""pt"")"),"Podia ser usado como uma arma na batalha do bem contra o mal")</f>
        <v>Podia ser usado como uma arma na batalha do bem contra o mal</v>
      </c>
      <c r="B41683" s="3">
        <v>1</v>
      </c>
    </row>
    <row r="41684" ht="15.75" customHeight="1" spans="1:2">
      <c r="A41684" s="3" t="str">
        <f>IFERROR(__xludf.DUMMYFUNCTION("GOOGLETRANSLATE(A41684,""en"",""pt"")"),"- resolução de 3,3 megapixel - Excelente qualidade de imagem - ajuste automático da luz Accurate")</f>
        <v>- resolução de 3,3 megapixel - Excelente qualidade de imagem - ajuste automático da luz Accurate</v>
      </c>
      <c r="B41684" s="3">
        <v>1</v>
      </c>
    </row>
    <row r="41685" ht="15.75" customHeight="1" spans="1:2">
      <c r="A41685" s="3" t="str">
        <f>IFERROR(__xludf.DUMMYFUNCTION("GOOGLETRANSLATE(A41685,""en"",""pt"")"),"Qualidade, tamanho, totalmente auto mas permite o controle total")</f>
        <v>Qualidade, tamanho, totalmente auto mas permite o controle total</v>
      </c>
      <c r="B41685" s="3">
        <v>1</v>
      </c>
    </row>
    <row r="41686" ht="15.75" customHeight="1" spans="1:2">
      <c r="A41686" s="3" t="str">
        <f>IFERROR(__xludf.DUMMYFUNCTION("GOOGLETRANSLATE(A41686,""en"",""pt"")"),"Salvar um casal de dólares (na melhor das hipóteses)")</f>
        <v>Salvar um casal de dólares (na melhor das hipóteses)</v>
      </c>
      <c r="B41686" s="3">
        <v>1</v>
      </c>
    </row>
    <row r="41687" ht="15.75" customHeight="1" spans="1:2">
      <c r="A41687" s="3" t="str">
        <f>IFERROR(__xludf.DUMMYFUNCTION("GOOGLETRANSLATE(A41687,""en"",""pt"")"),"excelente qualidade de imagem, características awesom !!!!")</f>
        <v>excelente qualidade de imagem, características awesom !!!!</v>
      </c>
      <c r="B41687" s="3">
        <v>1</v>
      </c>
    </row>
    <row r="41688" ht="15.75" customHeight="1" spans="1:2">
      <c r="A41688" s="3" t="str">
        <f>IFERROR(__xludf.DUMMYFUNCTION("GOOGLETRANSLATE(A41688,""en"",""pt"")"),"- 3.3 megapixels de resolução, excelente qualidade de imagem, ajuste de auto-luz Accurate.")</f>
        <v>- 3.3 megapixels de resolução, excelente qualidade de imagem, ajuste de auto-luz Accurate.</v>
      </c>
      <c r="B41688" s="3">
        <v>1</v>
      </c>
    </row>
    <row r="41689" ht="15.75" customHeight="1" spans="1:2">
      <c r="A41689" s="3" t="str">
        <f>IFERROR(__xludf.DUMMYFUNCTION("GOOGLETRANSLATE(A41689,""en"",""pt"")"),"leve, pequeno, de boa qualidade, alta capacidade, de compressão")</f>
        <v>leve, pequeno, de boa qualidade, alta capacidade, de compressão</v>
      </c>
      <c r="B41689" s="3">
        <v>1</v>
      </c>
    </row>
    <row r="41690" ht="15.75" customHeight="1" spans="1:2">
      <c r="A41690" s="3" t="str">
        <f>IFERROR(__xludf.DUMMYFUNCTION("GOOGLETRANSLATE(A41690,""en"",""pt"")"),"Tamanho compacto, recursos personalizados")</f>
        <v>Tamanho compacto, recursos personalizados</v>
      </c>
      <c r="B41690" s="3">
        <v>1</v>
      </c>
    </row>
    <row r="41691" ht="15.75" customHeight="1" spans="1:2">
      <c r="A41691" s="3" t="str">
        <f>IFERROR(__xludf.DUMMYFUNCTION("GOOGLETRANSLATE(A41691,""en"",""pt"")"),"Grande tamanho e as imagens, interface intuitiva e software")</f>
        <v>Grande tamanho e as imagens, interface intuitiva e software</v>
      </c>
      <c r="B41691" s="3">
        <v>1</v>
      </c>
    </row>
    <row r="41692" ht="15.75" customHeight="1" spans="1:2">
      <c r="A41692" s="3" t="str">
        <f>IFERROR(__xludf.DUMMYFUNCTION("GOOGLETRANSLATE(A41692,""en"",""pt"")"),"pequeno tamanho, qualidade de imagem")</f>
        <v>pequeno tamanho, qualidade de imagem</v>
      </c>
      <c r="B41692" s="3">
        <v>1</v>
      </c>
    </row>
    <row r="41693" ht="15.75" customHeight="1" spans="1:2">
      <c r="A41693" s="3" t="str">
        <f>IFERROR(__xludf.DUMMYFUNCTION("GOOGLETRANSLATE(A41693,""en"",""pt"")"),"Compacto, leve, fácil de usar, IBM Microdrive Compatível")</f>
        <v>Compacto, leve, fácil de usar, IBM Microdrive Compatível</v>
      </c>
      <c r="B41693" s="3">
        <v>1</v>
      </c>
    </row>
    <row r="41694" ht="15.75" customHeight="1" spans="1:2">
      <c r="A41694" s="3" t="str">
        <f>IFERROR(__xludf.DUMMYFUNCTION("GOOGLETRANSLATE(A41694,""en"",""pt"")"),"zoom óptico, a vida útil da bateria é boa, qualidade de imagem")</f>
        <v>zoom óptico, a vida útil da bateria é boa, qualidade de imagem</v>
      </c>
      <c r="B41694" s="3">
        <v>1</v>
      </c>
    </row>
    <row r="41695" ht="15.75" customHeight="1" spans="1:2">
      <c r="A41695" s="3" t="str">
        <f>IFERROR(__xludf.DUMMYFUNCTION("GOOGLETRANSLATE(A41695,""en"",""pt"")"),"Grande Pictures, Pequeno")</f>
        <v>Grande Pictures, Pequeno</v>
      </c>
      <c r="B41695" s="3">
        <v>1</v>
      </c>
    </row>
    <row r="41696" ht="15.75" customHeight="1" spans="1:2">
      <c r="A41696" s="3" t="str">
        <f>IFERROR(__xludf.DUMMYFUNCTION("GOOGLETRANSLATE(A41696,""en"",""pt"")"),"O tamanho pequeno, funções melhoradas, corpo de aço inoxidável, opções !, e mais")</f>
        <v>O tamanho pequeno, funções melhoradas, corpo de aço inoxidável, opções !, e mais</v>
      </c>
      <c r="B41696" s="3">
        <v>1</v>
      </c>
    </row>
    <row r="41697" ht="15.75" customHeight="1" spans="1:2">
      <c r="A41697" s="3" t="str">
        <f>IFERROR(__xludf.DUMMYFUNCTION("GOOGLETRANSLATE(A41697,""en"",""pt"")"),"Mesmo características mais vistosas &amp; amp; #! 13; &amp; amp; # 10;")</f>
        <v>Mesmo características mais vistosas &amp; amp; #! 13; &amp; amp; # 10;</v>
      </c>
      <c r="B41697" s="3">
        <v>1</v>
      </c>
    </row>
    <row r="41698" ht="15.75" customHeight="1" spans="1:2">
      <c r="A41698" s="3" t="str">
        <f>IFERROR(__xludf.DUMMYFUNCTION("GOOGLETRANSLATE(A41698,""en"",""pt"")"),"pequeno, tem grandes figuras, construção sólida, ótimo preço")</f>
        <v>pequeno, tem grandes figuras, construção sólida, ótimo preço</v>
      </c>
      <c r="B41698" s="3">
        <v>1</v>
      </c>
    </row>
    <row r="41699" ht="15.75" customHeight="1" spans="1:2">
      <c r="A41699" s="3" t="str">
        <f>IFERROR(__xludf.DUMMYFUNCTION("GOOGLETRANSLATE(A41699,""en"",""pt"")"),"Tamanho, facilidade de uso, Modo de Filme Recursos versáteis, Foto Ponto Software para fazer Panoramas")</f>
        <v>Tamanho, facilidade de uso, Modo de Filme Recursos versáteis, Foto Ponto Software para fazer Panoramas</v>
      </c>
      <c r="B41699" s="3">
        <v>1</v>
      </c>
    </row>
    <row r="41700" ht="15.75" customHeight="1" spans="1:2">
      <c r="A41700" s="3" t="str">
        <f>IFERROR(__xludf.DUMMYFUNCTION("GOOGLETRANSLATE(A41700,""en"",""pt"")"),"pequenas, grandes imagens, controles manuais")</f>
        <v>pequenas, grandes imagens, controles manuais</v>
      </c>
      <c r="B41700" s="3">
        <v>1</v>
      </c>
    </row>
    <row r="41701" ht="15.75" customHeight="1" spans="1:2">
      <c r="A41701" s="3" t="str">
        <f>IFERROR(__xludf.DUMMYFUNCTION("GOOGLETRANSLATE(A41701,""en"",""pt"")"),"pequeno tamanho, peso leve, brilhante LCD e funções manuais. 1 ano de garantia.")</f>
        <v>pequeno tamanho, peso leve, brilhante LCD e funções manuais. 1 ano de garantia.</v>
      </c>
      <c r="B41701" s="3">
        <v>1</v>
      </c>
    </row>
    <row r="41702" ht="15.75" customHeight="1" spans="1:2">
      <c r="A41702" s="3" t="str">
        <f>IFERROR(__xludf.DUMMYFUNCTION("GOOGLETRANSLATE(A41702,""en"",""pt"")"),"Super pequeno, corpo de aço inoxidável e funções do menu simples.")</f>
        <v>Super pequeno, corpo de aço inoxidável e funções do menu simples.</v>
      </c>
      <c r="B41702" s="3">
        <v>1</v>
      </c>
    </row>
    <row r="41703" ht="15.75" customHeight="1" spans="1:2">
      <c r="A41703" s="3" t="str">
        <f>IFERROR(__xludf.DUMMYFUNCTION("GOOGLETRANSLATE(A41703,""en"",""pt"")"),"Tamanho pequeno")</f>
        <v>Tamanho pequeno</v>
      </c>
      <c r="B41703" s="3">
        <v>1</v>
      </c>
    </row>
    <row r="41704" ht="15.75" customHeight="1" spans="1:2">
      <c r="A41704" s="3" t="str">
        <f>IFERROR(__xludf.DUMMYFUNCTION("GOOGLETRANSLATE(A41704,""en"",""pt"")"),"Grande Pictures, bom preço, bom tamanho, caixa de metal, flash compacto")</f>
        <v>Grande Pictures, bom preço, bom tamanho, caixa de metal, flash compacto</v>
      </c>
      <c r="B41704" s="3">
        <v>1</v>
      </c>
    </row>
    <row r="41705" ht="15.75" customHeight="1" spans="1:2">
      <c r="A41705" s="3" t="str">
        <f>IFERROR(__xludf.DUMMYFUNCTION("GOOGLETRANSLATE(A41705,""en"",""pt"")"),"corpo elegante, tamanho compacto, melhora no original !!")</f>
        <v>corpo elegante, tamanho compacto, melhora no original !!</v>
      </c>
      <c r="B41705" s="3">
        <v>1</v>
      </c>
    </row>
    <row r="41706" ht="15.75" customHeight="1" spans="1:2">
      <c r="A41706" s="3" t="str">
        <f>IFERROR(__xludf.DUMMYFUNCTION("GOOGLETRANSLATE(A41706,""en"",""pt"")"),"layout de um melhor controle, ultra compacto, capacidade manual de limitado, de modo &amp; amp efeitos fotográficos; # 13; &amp; amp; # 10;")</f>
        <v>layout de um melhor controle, ultra compacto, capacidade manual de limitado, de modo &amp; amp efeitos fotográficos; # 13; &amp; amp; # 10;</v>
      </c>
      <c r="B41706" s="3">
        <v>1</v>
      </c>
    </row>
    <row r="41707" ht="15.75" customHeight="1" spans="1:2">
      <c r="A41707" s="3" t="str">
        <f>IFERROR(__xludf.DUMMYFUNCTION("GOOGLETRANSLATE(A41707,""en"",""pt"")"),"Pequeno, leve, capacidade grande, simples de usar")</f>
        <v>Pequeno, leve, capacidade grande, simples de usar</v>
      </c>
      <c r="B41707" s="3">
        <v>1</v>
      </c>
    </row>
    <row r="41708" ht="15.75" customHeight="1" spans="1:2">
      <c r="A41708" s="3" t="str">
        <f>IFERROR(__xludf.DUMMYFUNCTION("GOOGLETRANSLATE(A41708,""en"",""pt"")"),"Pequeno, rápido obturador, lotes de grandes recursos ... Eu disse pequena?")</f>
        <v>Pequeno, rápido obturador, lotes de grandes recursos ... Eu disse pequena?</v>
      </c>
      <c r="B41708" s="3">
        <v>1</v>
      </c>
    </row>
    <row r="41709" ht="15.75" customHeight="1" spans="1:2">
      <c r="A41709" s="3" t="str">
        <f>IFERROR(__xludf.DUMMYFUNCTION("GOOGLETRANSLATE(A41709,""en"",""pt"")"),"Tamanho pequeno e grandes recursos.")</f>
        <v>Tamanho pequeno e grandes recursos.</v>
      </c>
      <c r="B41709" s="3">
        <v>1</v>
      </c>
    </row>
    <row r="41710" ht="15.75" customHeight="1" spans="1:2">
      <c r="A41710" s="3" t="str">
        <f>IFERROR(__xludf.DUMMYFUNCTION("GOOGLETRANSLATE(A41710,""en"",""pt"")"),"Tamanho, qualidade de imagem, usabilidade, design")</f>
        <v>Tamanho, qualidade de imagem, usabilidade, design</v>
      </c>
      <c r="B41710" s="3">
        <v>1</v>
      </c>
    </row>
    <row r="41711" ht="15.75" customHeight="1" spans="1:2">
      <c r="A41711" s="3" t="str">
        <f>IFERROR(__xludf.DUMMYFUNCTION("GOOGLETRANSLATE(A41711,""en"",""pt"")"),"O tamanho pequeno, fácil de usar, olhar fresco")</f>
        <v>O tamanho pequeno, fácil de usar, olhar fresco</v>
      </c>
      <c r="B41711" s="3">
        <v>1</v>
      </c>
    </row>
    <row r="41712" ht="15.75" customHeight="1" spans="1:2">
      <c r="A41712" s="3" t="str">
        <f>IFERROR(__xludf.DUMMYFUNCTION("GOOGLETRANSLATE(A41712,""en"",""pt"")"),"Tem grandes figuras, é muito conveniente, e até mesmo leva clipes de vídeo com som.")</f>
        <v>Tem grandes figuras, é muito conveniente, e até mesmo leva clipes de vídeo com som.</v>
      </c>
      <c r="B41712" s="3">
        <v>1</v>
      </c>
    </row>
    <row r="41713" ht="15.75" customHeight="1" spans="1:2">
      <c r="A41713" s="3" t="str">
        <f>IFERROR(__xludf.DUMMYFUNCTION("GOOGLETRANSLATE(A41713,""en"",""pt"")"),"Pequeno, Metal")</f>
        <v>Pequeno, Metal</v>
      </c>
      <c r="B41713" s="3">
        <v>1</v>
      </c>
    </row>
    <row r="41714" ht="15.75" customHeight="1" spans="1:2">
      <c r="A41714" s="3" t="str">
        <f>IFERROR(__xludf.DUMMYFUNCTION("GOOGLETRANSLATE(A41714,""en"",""pt"")"),"O tamanho pequeno, fotos de alta qualidade, facilidade de uso, visual elegante.")</f>
        <v>O tamanho pequeno, fotos de alta qualidade, facilidade de uso, visual elegante.</v>
      </c>
      <c r="B41714" s="3">
        <v>1</v>
      </c>
    </row>
    <row r="41715" ht="15.75" customHeight="1" spans="1:2">
      <c r="A41715" s="3" t="str">
        <f>IFERROR(__xludf.DUMMYFUNCTION("GOOGLETRANSLATE(A41715,""en"",""pt"")"),"É pequeno, tem ótimas fotos, durável, excelente valor para o preço.")</f>
        <v>É pequeno, tem ótimas fotos, durável, excelente valor para o preço.</v>
      </c>
      <c r="B41715" s="3">
        <v>1</v>
      </c>
    </row>
    <row r="41716" ht="15.75" customHeight="1" spans="1:2">
      <c r="A41716" s="3" t="str">
        <f>IFERROR(__xludf.DUMMYFUNCTION("GOOGLETRANSLATE(A41716,""en"",""pt"")"),"Pequeno, portátil, recarregável, elegante")</f>
        <v>Pequeno, portátil, recarregável, elegante</v>
      </c>
      <c r="B41716" s="3">
        <v>1</v>
      </c>
    </row>
    <row r="41717" ht="15.75" customHeight="1" spans="1:2">
      <c r="A41717" s="3" t="str">
        <f>IFERROR(__xludf.DUMMYFUNCTION("GOOGLETRANSLATE(A41717,""en"",""pt"")"),"minúsculo, resistente, forte procura")</f>
        <v>minúsculo, resistente, forte procura</v>
      </c>
      <c r="B41717" s="3">
        <v>1</v>
      </c>
    </row>
    <row r="41718" ht="15.75" customHeight="1" spans="1:2">
      <c r="A41718" s="3" t="str">
        <f>IFERROR(__xludf.DUMMYFUNCTION("GOOGLETRANSLATE(A41718,""en"",""pt"")"),"Tamanho e portabilidade, ele também tem uma excelente vida útil da bateria.")</f>
        <v>Tamanho e portabilidade, ele também tem uma excelente vida útil da bateria.</v>
      </c>
      <c r="B41718" s="3">
        <v>1</v>
      </c>
    </row>
    <row r="41719" ht="15.75" customHeight="1" spans="1:2">
      <c r="A41719" s="3" t="str">
        <f>IFERROR(__xludf.DUMMYFUNCTION("GOOGLETRANSLATE(A41719,""en"",""pt"")"),"Pequeno, muito durável, Grandes fotos, Muitas substituições manuais")</f>
        <v>Pequeno, muito durável, Grandes fotos, Muitas substituições manuais</v>
      </c>
      <c r="B41719" s="3">
        <v>1</v>
      </c>
    </row>
    <row r="41720" ht="15.75" customHeight="1" spans="1:2">
      <c r="A41720" s="3" t="str">
        <f>IFERROR(__xludf.DUMMYFUNCTION("GOOGLETRANSLATE(A41720,""en"",""pt"")"),"Grande em comparação com outros como ele.")</f>
        <v>Grande em comparação com outros como ele.</v>
      </c>
      <c r="B41720" s="3">
        <v>1</v>
      </c>
    </row>
    <row r="41721" ht="15.75" customHeight="1" spans="1:2">
      <c r="A41721" s="3" t="str">
        <f>IFERROR(__xludf.DUMMYFUNCTION("GOOGLETRANSLATE(A41721,""en"",""pt"")"),"Jóia-como a beleza vai impressionar você e seus amigos. Você pode levá-lo em qualquer lugar.")</f>
        <v>Jóia-como a beleza vai impressionar você e seus amigos. Você pode levá-lo em qualquer lugar.</v>
      </c>
      <c r="B41721" s="3">
        <v>1</v>
      </c>
    </row>
    <row r="41722" ht="15.75" customHeight="1" spans="1:2">
      <c r="A41722" s="3" t="str">
        <f>IFERROR(__xludf.DUMMYFUNCTION("GOOGLETRANSLATE(A41722,""en"",""pt"")"),"Pequeno, leve, durável")</f>
        <v>Pequeno, leve, durável</v>
      </c>
      <c r="B41722" s="3">
        <v>1</v>
      </c>
    </row>
    <row r="41723" ht="15.75" customHeight="1" spans="1:2">
      <c r="A41723" s="3" t="str">
        <f>IFERROR(__xludf.DUMMYFUNCTION("GOOGLETRANSLATE(A41723,""en"",""pt"")"),"Grande sensação, fácil de operar, 12 modo de captura de vídeo em segundo lugar, boa vida útil da bateria.")</f>
        <v>Grande sensação, fácil de operar, 12 modo de captura de vídeo em segundo lugar, boa vida útil da bateria.</v>
      </c>
      <c r="B41723" s="3">
        <v>1</v>
      </c>
    </row>
    <row r="41724" ht="15.75" customHeight="1" spans="1:2">
      <c r="A41724" s="3" t="str">
        <f>IFERROR(__xludf.DUMMYFUNCTION("GOOGLETRANSLATE(A41724,""en"",""pt"")"),"o suficiente durável e elegante para a cena faculdade techy")</f>
        <v>o suficiente durável e elegante para a cena faculdade techy</v>
      </c>
      <c r="B41724" s="3">
        <v>1</v>
      </c>
    </row>
    <row r="41725" ht="15.75" customHeight="1" spans="1:2">
      <c r="A41725" s="3" t="str">
        <f>IFERROR(__xludf.DUMMYFUNCTION("GOOGLETRANSLATE(A41725,""en"",""pt"")"),"câmera ultra pequeno, mas muito ergonómico")</f>
        <v>câmera ultra pequeno, mas muito ergonómico</v>
      </c>
      <c r="B41725" s="3">
        <v>1</v>
      </c>
    </row>
    <row r="41726" ht="15.75" customHeight="1" spans="1:2">
      <c r="A41726" s="3" t="str">
        <f>IFERROR(__xludf.DUMMYFUNCTION("GOOGLETRANSLATE(A41726,""en"",""pt"")"),"Tira ótimas fotos ao ar livre em boa luz, fácil de transportar, auto operação fácil.")</f>
        <v>Tira ótimas fotos ao ar livre em boa luz, fácil de transportar, auto operação fácil.</v>
      </c>
      <c r="B41726" s="3">
        <v>1</v>
      </c>
    </row>
    <row r="41727" ht="15.75" customHeight="1" spans="1:2">
      <c r="A41727" s="3" t="str">
        <f>IFERROR(__xludf.DUMMYFUNCTION("GOOGLETRANSLATE(A41727,""en"",""pt"")"),"Muito pequeno")</f>
        <v>Muito pequeno</v>
      </c>
      <c r="B41727" s="3">
        <v>1</v>
      </c>
    </row>
    <row r="41728" ht="15.75" customHeight="1" spans="1:2">
      <c r="A41728" s="3" t="str">
        <f>IFERROR(__xludf.DUMMYFUNCTION("GOOGLETRANSLATE(A41728,""en"",""pt"")"),"Pedimos-lhe, e você disse que nós temos que tentar")</f>
        <v>Pedimos-lhe, e você disse que nós temos que tentar</v>
      </c>
      <c r="B41728" s="3">
        <v>1</v>
      </c>
    </row>
    <row r="41729" ht="15.75" customHeight="1" spans="1:2">
      <c r="A41729" s="3" t="str">
        <f>IFERROR(__xludf.DUMMYFUNCTION("GOOGLETRANSLATE(A41729,""en"",""pt"")"),",, Toda caixa de metal durável portátil, bom conjunto de recursos")</f>
        <v>,, Toda caixa de metal durável portátil, bom conjunto de recursos</v>
      </c>
      <c r="B41729" s="3">
        <v>1</v>
      </c>
    </row>
    <row r="41730" ht="15.75" customHeight="1" spans="1:2">
      <c r="A41730" s="3" t="str">
        <f>IFERROR(__xludf.DUMMYFUNCTION("GOOGLETRANSLATE(A41730,""en"",""pt"")"),"Compacto, fácil de usar, Canon")</f>
        <v>Compacto, fácil de usar, Canon</v>
      </c>
      <c r="B41730" s="3">
        <v>1</v>
      </c>
    </row>
    <row r="41731" ht="15.75" customHeight="1" spans="1:2">
      <c r="A41731" s="3" t="str">
        <f>IFERROR(__xludf.DUMMYFUNCTION("GOOGLETRANSLATE(A41731,""en"",""pt"")"),"Styling, tamanho compacto")</f>
        <v>Styling, tamanho compacto</v>
      </c>
      <c r="B41731" s="3">
        <v>1</v>
      </c>
    </row>
    <row r="41732" ht="15.75" customHeight="1" spans="1:2">
      <c r="A41732" s="3" t="str">
        <f>IFERROR(__xludf.DUMMYFUNCTION("GOOGLETRANSLATE(A41732,""en"",""pt"")"),"corpo de metal pequenas. Preço baixo. Boa qualidade de imagem.")</f>
        <v>corpo de metal pequenas. Preço baixo. Boa qualidade de imagem.</v>
      </c>
      <c r="B41732" s="3">
        <v>1</v>
      </c>
    </row>
    <row r="41733" ht="15.75" customHeight="1" spans="1:2">
      <c r="A41733" s="3" t="str">
        <f>IFERROR(__xludf.DUMMYFUNCTION("GOOGLETRANSLATE(A41733,""en"",""pt"")"),"Pequeno, parece sólido, tira boas fotos, e hey, vamos admitir isso, ele só parece legal.")</f>
        <v>Pequeno, parece sólido, tira boas fotos, e hey, vamos admitir isso, ele só parece legal.</v>
      </c>
      <c r="B41733" s="3">
        <v>1</v>
      </c>
    </row>
    <row r="41734" ht="15.75" customHeight="1" spans="1:2">
      <c r="A41734" s="3" t="str">
        <f>IFERROR(__xludf.DUMMYFUNCTION("GOOGLETRANSLATE(A41734,""en"",""pt"")"),"Tamanho compacto, qualidade de construção, qualidade fotográfica decente, cartão CF capaz")</f>
        <v>Tamanho compacto, qualidade de construção, qualidade fotográfica decente, cartão CF capaz</v>
      </c>
      <c r="B41734" s="3">
        <v>1</v>
      </c>
    </row>
    <row r="41735" ht="15.75" customHeight="1" spans="1:2">
      <c r="A41735" s="3" t="str">
        <f>IFERROR(__xludf.DUMMYFUNCTION("GOOGLETRANSLATE(A41735,""en"",""pt"")"),"Pequeno, ótimas fotos, fácil de usar.")</f>
        <v>Pequeno, ótimas fotos, fácil de usar.</v>
      </c>
      <c r="B41735" s="3">
        <v>1</v>
      </c>
    </row>
    <row r="41736" ht="15.75" customHeight="1" spans="1:2">
      <c r="A41736" s="3" t="str">
        <f>IFERROR(__xludf.DUMMYFUNCTION("GOOGLETRANSLATE(A41736,""en"",""pt"")"),"Grandes imagens, bom foco, tamanho pequeno, compacto, durável")</f>
        <v>Grandes imagens, bom foco, tamanho pequeno, compacto, durável</v>
      </c>
      <c r="B41736" s="3">
        <v>1</v>
      </c>
    </row>
    <row r="41737" ht="15.75" customHeight="1" spans="1:2">
      <c r="A41737" s="3" t="str">
        <f>IFERROR(__xludf.DUMMYFUNCTION("GOOGLETRANSLATE(A41737,""en"",""pt"")"),"O tamanho pequeno, boa bateria, facilidade de uso.")</f>
        <v>O tamanho pequeno, boa bateria, facilidade de uso.</v>
      </c>
      <c r="B41737" s="3">
        <v>1</v>
      </c>
    </row>
    <row r="41738" ht="15.75" customHeight="1" spans="1:2">
      <c r="A41738" s="3" t="str">
        <f>IFERROR(__xludf.DUMMYFUNCTION("GOOGLETRANSLATE(A41738,""en"",""pt"")"),"elegantes, pequenos, toneladas de recurso")</f>
        <v>elegantes, pequenos, toneladas de recurso</v>
      </c>
      <c r="B41738" s="3">
        <v>1</v>
      </c>
    </row>
    <row r="41739" ht="15.75" customHeight="1" spans="1:2">
      <c r="A41739" s="3" t="str">
        <f>IFERROR(__xludf.DUMMYFUNCTION("GOOGLETRANSLATE(A41739,""en"",""pt"")"),"O tamanho pequeno, grande qualidade de imagem")</f>
        <v>O tamanho pequeno, grande qualidade de imagem</v>
      </c>
      <c r="B41739" s="3">
        <v>1</v>
      </c>
    </row>
    <row r="41740" ht="15.75" customHeight="1" spans="1:2">
      <c r="A41740" s="3" t="str">
        <f>IFERROR(__xludf.DUMMYFUNCTION("GOOGLETRANSLATE(A41740,""en"",""pt"")"),"O tamanho é realmente pequeno que cabe no bolso eram quer que eu vá.")</f>
        <v>O tamanho é realmente pequeno que cabe no bolso eram quer que eu vá.</v>
      </c>
      <c r="B41740" s="3">
        <v>1</v>
      </c>
    </row>
    <row r="41741" ht="15.75" customHeight="1" spans="1:2">
      <c r="A41741" s="3" t="str">
        <f>IFERROR(__xludf.DUMMYFUNCTION("GOOGLETRANSLATE(A41741,""en"",""pt"")"),"pequeno, leve, fácil de usar")</f>
        <v>pequeno, leve, fácil de usar</v>
      </c>
      <c r="B41741" s="3">
        <v>1</v>
      </c>
    </row>
    <row r="41742" ht="15.75" customHeight="1" spans="1:2">
      <c r="A41742" s="3" t="str">
        <f>IFERROR(__xludf.DUMMYFUNCTION("GOOGLETRANSLATE(A41742,""en"",""pt"")"),"robusto e compacto, agradáveis ​​imagens nítidas")</f>
        <v>robusto e compacto, agradáveis ​​imagens nítidas</v>
      </c>
      <c r="B41742" s="3">
        <v>1</v>
      </c>
    </row>
    <row r="41743" ht="15.75" customHeight="1" spans="1:2">
      <c r="A41743" s="3" t="str">
        <f>IFERROR(__xludf.DUMMYFUNCTION("GOOGLETRANSLATE(A41743,""en"",""pt"")"),"Pequeno, durável, relativamente barato")</f>
        <v>Pequeno, durável, relativamente barato</v>
      </c>
      <c r="B41743" s="3">
        <v>1</v>
      </c>
    </row>
    <row r="41744" ht="15.75" customHeight="1" spans="1:2">
      <c r="A41744" s="3" t="str">
        <f>IFERROR(__xludf.DUMMYFUNCTION("GOOGLETRANSLATE(A41744,""en"",""pt"")"),"Muito pequeno. funcionalidade adicional para o S100 &amp; amp; S110. Auto rotação")</f>
        <v>Muito pequeno. funcionalidade adicional para o S100 &amp; amp; S110. Auto rotação</v>
      </c>
      <c r="B41744" s="3">
        <v>1</v>
      </c>
    </row>
    <row r="41745" ht="15.75" customHeight="1" spans="1:2">
      <c r="A41745" s="3" t="str">
        <f>IFERROR(__xludf.DUMMYFUNCTION("GOOGLETRANSLATE(A41745,""en"",""pt"")"),"preço justo, muitas opções, zoom, fácil de usar")</f>
        <v>preço justo, muitas opções, zoom, fácil de usar</v>
      </c>
      <c r="B41745" s="3">
        <v>1</v>
      </c>
    </row>
    <row r="41746" ht="15.75" customHeight="1" spans="1:2">
      <c r="A41746" s="3" t="str">
        <f>IFERROR(__xludf.DUMMYFUNCTION("GOOGLETRANSLATE(A41746,""en"",""pt"")")," Ele é leve, pequeno, leva ótimas fotos, e tem uma tela de visualização grande.")</f>
        <v> Ele é leve, pequeno, leva ótimas fotos, e tem uma tela de visualização grande.</v>
      </c>
      <c r="B41746" s="3">
        <v>1</v>
      </c>
    </row>
    <row r="41747" ht="15.75" customHeight="1" spans="1:2">
      <c r="A41747" s="3" t="str">
        <f>IFERROR(__xludf.DUMMYFUNCTION("GOOGLETRANSLATE(A41747,""en"",""pt"")"),"bom tamanho pequeno, ponto e facilidade shoot, os lotes de recursos extras, liso olhando câmera.")</f>
        <v>bom tamanho pequeno, ponto e facilidade shoot, os lotes de recursos extras, liso olhando câmera.</v>
      </c>
      <c r="B41747" s="3">
        <v>1</v>
      </c>
    </row>
    <row r="41748" ht="15.75" customHeight="1" spans="1:2">
      <c r="A41748" s="3" t="str">
        <f>IFERROR(__xludf.DUMMYFUNCTION("GOOGLETRANSLATE(A41748,""en"",""pt"")"),"zoom, tamanho, facilidade de uso")</f>
        <v>zoom, tamanho, facilidade de uso</v>
      </c>
      <c r="B41748" s="3">
        <v>1</v>
      </c>
    </row>
    <row r="41749" ht="15.75" customHeight="1" spans="1:2">
      <c r="A41749" s="3" t="str">
        <f>IFERROR(__xludf.DUMMYFUNCTION("GOOGLETRANSLATE(A41749,""en"",""pt"")"),"Extremamente durável, parece fantástico, ultra compacta e tem grandes figuras")</f>
        <v>Extremamente durável, parece fantástico, ultra compacta e tem grandes figuras</v>
      </c>
      <c r="B41749" s="3">
        <v>1</v>
      </c>
    </row>
    <row r="41750" ht="15.75" customHeight="1" spans="1:2">
      <c r="A41750" s="3" t="str">
        <f>IFERROR(__xludf.DUMMYFUNCTION("GOOGLETRANSLATE(A41750,""en"",""pt"")"),"caixa de metal (durável), mais do que a resolução adequada, bateria de longa duração, peso leve")</f>
        <v>caixa de metal (durável), mais do que a resolução adequada, bateria de longa duração, peso leve</v>
      </c>
      <c r="B41750" s="3">
        <v>1</v>
      </c>
    </row>
    <row r="41751" ht="15.75" customHeight="1" spans="1:2">
      <c r="A41751" s="3" t="str">
        <f>IFERROR(__xludf.DUMMYFUNCTION("GOOGLETRANSLATE(A41751,""en"",""pt"")"),"Tamanho, de 3.2MP, W / B Histograma, facilidade de uso")</f>
        <v>Tamanho, de 3.2MP, W / B Histograma, facilidade de uso</v>
      </c>
      <c r="B41751" s="3">
        <v>1</v>
      </c>
    </row>
    <row r="41752" ht="15.75" customHeight="1" spans="1:2">
      <c r="A41752" s="3" t="str">
        <f>IFERROR(__xludf.DUMMYFUNCTION("GOOGLETRANSLATE(A41752,""en"",""pt"")"),"O tamanho pequeno, de 3.2 megapixels, armação de metal, boa relação frieza, fotos excelentes, comprovada performer.")</f>
        <v>O tamanho pequeno, de 3.2 megapixels, armação de metal, boa relação frieza, fotos excelentes, comprovada performer.</v>
      </c>
      <c r="B41752" s="3">
        <v>1</v>
      </c>
    </row>
    <row r="41753" ht="15.75" customHeight="1" spans="1:2">
      <c r="A41753" s="3" t="str">
        <f>IFERROR(__xludf.DUMMYFUNCTION("GOOGLETRANSLATE(A41753,""en"",""pt"")"),"Small Size, 3.2 MegaPixels !, corpo de metal, pequenos ajustes de S200")</f>
        <v>Small Size, 3.2 MegaPixels !, corpo de metal, pequenos ajustes de S200</v>
      </c>
      <c r="B41753" s="3">
        <v>1</v>
      </c>
    </row>
    <row r="41754" ht="15.75" customHeight="1" spans="1:2">
      <c r="A41754" s="3" t="str">
        <f>IFERROR(__xludf.DUMMYFUNCTION("GOOGLETRANSLATE(A41754,""en"",""pt"")"),"3.2 Megapixels, ultra compacto, layout melhorado de controlo, corpo de metal duro,")</f>
        <v>3.2 Megapixels, ultra compacto, layout melhorado de controlo, corpo de metal duro,</v>
      </c>
      <c r="B41754" s="3">
        <v>1</v>
      </c>
    </row>
    <row r="41755" ht="15.75" customHeight="1" spans="1:2">
      <c r="A41755" s="3" t="str">
        <f>IFERROR(__xludf.DUMMYFUNCTION("GOOGLETRANSLATE(A41755,""en"",""pt"")"),"Muito compacto, excelente qualidade de imagem, tempo de filme estendido ao longo do S200")</f>
        <v>Muito compacto, excelente qualidade de imagem, tempo de filme estendido ao longo do S200</v>
      </c>
      <c r="B41755" s="3">
        <v>1</v>
      </c>
    </row>
    <row r="41756" ht="15.75" customHeight="1" spans="1:2">
      <c r="A41756" s="3" t="str">
        <f>IFERROR(__xludf.DUMMYFUNCTION("GOOGLETRANSLATE(A41756,""en"",""pt"")"),"Compacto, leve, tem grande fotos à luz do dia")</f>
        <v>Compacto, leve, tem grande fotos à luz do dia</v>
      </c>
      <c r="B41756" s="3">
        <v>1</v>
      </c>
    </row>
    <row r="41757" ht="15.75" customHeight="1" spans="1:2">
      <c r="A41757" s="3" t="str">
        <f>IFERROR(__xludf.DUMMYFUNCTION("GOOGLETRANSLATE(A41757,""en"",""pt"")"),"A menor câmera de 3MP no mercado; carregado com características; excelente qualidade de imagem!")</f>
        <v>A menor câmera de 3MP no mercado; carregado com características; excelente qualidade de imagem!</v>
      </c>
      <c r="B41757" s="3">
        <v>1</v>
      </c>
    </row>
    <row r="41758" ht="15.75" customHeight="1" spans="1:2">
      <c r="A41758" s="3" t="str">
        <f>IFERROR(__xludf.DUMMYFUNCTION("GOOGLETRANSLATE(A41758,""en"",""pt"")"),"Boa imagem &amp; amp; replicação cor, 3.2 Megapixels, tamanho pequeno, até 15 seg. tempos de exposição,")</f>
        <v>Boa imagem &amp; amp; replicação cor, 3.2 Megapixels, tamanho pequeno, até 15 seg. tempos de exposição,</v>
      </c>
      <c r="B41758" s="3">
        <v>1</v>
      </c>
    </row>
    <row r="41759" ht="15.75" customHeight="1" spans="1:2">
      <c r="A41759" s="3" t="str">
        <f>IFERROR(__xludf.DUMMYFUNCTION("GOOGLETRANSLATE(A41759,""en"",""pt"")"),"O tamanho de uma caixa de cigarro, Qualidade de Imagem")</f>
        <v>O tamanho de uma caixa de cigarro, Qualidade de Imagem</v>
      </c>
      <c r="B41759" s="3">
        <v>1</v>
      </c>
    </row>
    <row r="41760" ht="15.75" customHeight="1" spans="1:2">
      <c r="A41760" s="3" t="str">
        <f>IFERROR(__xludf.DUMMYFUNCTION("GOOGLETRANSLATE(A41760,""en"",""pt"")"),"Tamanho, facilidade de uso.")</f>
        <v>Tamanho, facilidade de uso.</v>
      </c>
      <c r="B41760" s="3">
        <v>1</v>
      </c>
    </row>
    <row r="41761" ht="15.75" customHeight="1" spans="1:2">
      <c r="A41761" s="3" t="str">
        <f>IFERROR(__xludf.DUMMYFUNCTION("GOOGLETRANSLATE(A41761,""en"",""pt"")"),"Pequeno, fácil de usar")</f>
        <v>Pequeno, fácil de usar</v>
      </c>
      <c r="B41761" s="3">
        <v>1</v>
      </c>
    </row>
    <row r="41762" ht="15.75" customHeight="1" spans="1:2">
      <c r="A41762" s="3" t="str">
        <f>IFERROR(__xludf.DUMMYFUNCTION("GOOGLETRANSLATE(A41762,""en"",""pt"")"),"pequeno tamanho, modo de filme, grande foco automático, 3.2 megapixels")</f>
        <v>pequeno tamanho, modo de filme, grande foco automático, 3.2 megapixels</v>
      </c>
      <c r="B41762" s="3">
        <v>1</v>
      </c>
    </row>
    <row r="41763" ht="15.75" customHeight="1" spans="1:2">
      <c r="A41763" s="3" t="str">
        <f>IFERROR(__xludf.DUMMYFUNCTION("GOOGLETRANSLATE(A41763,""en"",""pt"")"),"excelente captura de filme, compacto, ótimas fotos, fácil de usar, grande visor LCD")</f>
        <v>excelente captura de filme, compacto, ótimas fotos, fácil de usar, grande visor LCD</v>
      </c>
      <c r="B41763" s="3">
        <v>1</v>
      </c>
    </row>
    <row r="41764" ht="15.75" customHeight="1" spans="1:2">
      <c r="A41764" s="3" t="str">
        <f>IFERROR(__xludf.DUMMYFUNCTION("GOOGLETRANSLATE(A41764,""en"",""pt"")"),"Pequeno, boa qualidade de construção, Grande CCD! Vale a pena comprar!")</f>
        <v>Pequeno, boa qualidade de construção, Grande CCD! Vale a pena comprar!</v>
      </c>
      <c r="B41764" s="3">
        <v>1</v>
      </c>
    </row>
    <row r="41765" ht="15.75" customHeight="1" spans="1:2">
      <c r="A41765" s="3" t="str">
        <f>IFERROR(__xludf.DUMMYFUNCTION("GOOGLETRANSLATE(A41765,""en"",""pt"")"),"O tamanho pequeno, fácil de usar, ótimas fotos, carregador de bateria, elegante")</f>
        <v>O tamanho pequeno, fácil de usar, ótimas fotos, carregador de bateria, elegante</v>
      </c>
      <c r="B41765" s="3">
        <v>1</v>
      </c>
    </row>
    <row r="41766" ht="15.75" customHeight="1" spans="1:2">
      <c r="A41766" s="3" t="str">
        <f>IFERROR(__xludf.DUMMYFUNCTION("GOOGLETRANSLATE(A41766,""en"",""pt"")"),"Compacto, leve e apresentam-cheia.")</f>
        <v>Compacto, leve e apresentam-cheia.</v>
      </c>
      <c r="B41766" s="3">
        <v>1</v>
      </c>
    </row>
    <row r="41767" ht="15.75" customHeight="1" spans="1:2">
      <c r="A41767" s="3" t="str">
        <f>IFERROR(__xludf.DUMMYFUNCTION("GOOGLETRANSLATE(A41767,""en"",""pt"")"),"pequeno tamanho, facilidade de uso, características, bateria recarregável")</f>
        <v>pequeno tamanho, facilidade de uso, características, bateria recarregável</v>
      </c>
      <c r="B41767" s="3">
        <v>1</v>
      </c>
    </row>
    <row r="41768" ht="15.75" customHeight="1" spans="1:2">
      <c r="A41768" s="3" t="str">
        <f>IFERROR(__xludf.DUMMYFUNCTION("GOOGLETRANSLATE(A41768,""en"",""pt"")"),"Looks, velocidade, características, capacidades")</f>
        <v>Looks, velocidade, características, capacidades</v>
      </c>
      <c r="B41768" s="3">
        <v>1</v>
      </c>
    </row>
    <row r="41769" ht="15.75" customHeight="1" spans="1:2">
      <c r="A41769" s="3" t="str">
        <f>IFERROR(__xludf.DUMMYFUNCTION("GOOGLETRANSLATE(A41769,""en"",""pt"")"),"Pequeno, portátil, de grande qualidade pics, fácil de usar")</f>
        <v>Pequeno, portátil, de grande qualidade pics, fácil de usar</v>
      </c>
      <c r="B41769" s="3">
        <v>1</v>
      </c>
    </row>
    <row r="41770" ht="15.75" customHeight="1" spans="1:2">
      <c r="A41770" s="3" t="str">
        <f>IFERROR(__xludf.DUMMYFUNCTION("GOOGLETRANSLATE(A41770,""en"",""pt"")"),"Grande qualidade de imagem, 3.2 megapixels, pequena Real. Cabe em qualquer lugar.")</f>
        <v>Grande qualidade de imagem, 3.2 megapixels, pequena Real. Cabe em qualquer lugar.</v>
      </c>
      <c r="B41770" s="3">
        <v>1</v>
      </c>
    </row>
    <row r="41771" ht="15.75" customHeight="1" spans="1:2">
      <c r="A41771" s="3" t="str">
        <f>IFERROR(__xludf.DUMMYFUNCTION("GOOGLETRANSLATE(A41771,""en"",""pt"")"),"- Pequeno, leve, - Grande bateria, recarga rápida,")</f>
        <v>- Pequeno, leve, - Grande bateria, recarga rápida,</v>
      </c>
      <c r="B41771" s="3">
        <v>1</v>
      </c>
    </row>
    <row r="41772" ht="15.75" customHeight="1" spans="1:2">
      <c r="A41772" s="3" t="str">
        <f>IFERROR(__xludf.DUMMYFUNCTION("GOOGLETRANSLATE(A41772,""en"",""pt"")"),"tamanho elph pequeno. fotos finos. Fácil de usar. Muitas, muitas opções.")</f>
        <v>tamanho elph pequeno. fotos finos. Fácil de usar. Muitas, muitas opções.</v>
      </c>
      <c r="B41772" s="3">
        <v>1</v>
      </c>
    </row>
    <row r="41773" ht="15.75" customHeight="1" spans="1:2">
      <c r="A41773" s="3" t="str">
        <f>IFERROR(__xludf.DUMMYFUNCTION("GOOGLETRANSLATE(A41773,""en"",""pt"")"),"Pequeno, tamanho compacto; tem grandes figuras; qualidade Canon; flash bom; design atraente")</f>
        <v>Pequeno, tamanho compacto; tem grandes figuras; qualidade Canon; flash bom; design atraente</v>
      </c>
      <c r="B41773" s="3">
        <v>1</v>
      </c>
    </row>
    <row r="41774" ht="15.75" customHeight="1" spans="1:2">
      <c r="A41774" s="3" t="str">
        <f>IFERROR(__xludf.DUMMYFUNCTION("GOOGLETRANSLATE(A41774,""en"",""pt"")"),"Excelente qualidade de imagem - tamanho pequeno")</f>
        <v>Excelente qualidade de imagem - tamanho pequeno</v>
      </c>
      <c r="B41774" s="3">
        <v>1</v>
      </c>
    </row>
    <row r="41775" ht="15.75" customHeight="1" spans="1:2">
      <c r="A41775" s="3" t="str">
        <f>IFERROR(__xludf.DUMMYFUNCTION("GOOGLETRANSLATE(A41775,""en"",""pt"")"),"Pequeno, fácil de usar, tem grandes figuras! O carregamento da bateria é fácil")</f>
        <v>Pequeno, fácil de usar, tem grandes figuras! O carregamento da bateria é fácil</v>
      </c>
      <c r="B41775" s="3">
        <v>1</v>
      </c>
    </row>
    <row r="41776" ht="15.75" customHeight="1" spans="1:2">
      <c r="A41776" s="3" t="str">
        <f>IFERROR(__xludf.DUMMYFUNCTION("GOOGLETRANSLATE(A41776,""en"",""pt"")"),"Fácil de usar")</f>
        <v>Fácil de usar</v>
      </c>
      <c r="B41776" s="3">
        <v>1</v>
      </c>
    </row>
    <row r="41777" ht="15.75" customHeight="1" spans="1:2">
      <c r="A41777" s="3" t="str">
        <f>IFERROR(__xludf.DUMMYFUNCTION("GOOGLETRANSLATE(A41777,""en"",""pt"")"),"design, qualidade da foto")</f>
        <v>design, qualidade da foto</v>
      </c>
      <c r="B41777" s="3">
        <v>1</v>
      </c>
    </row>
    <row r="41778" ht="15.75" customHeight="1" spans="1:2">
      <c r="A41778" s="3" t="str">
        <f>IFERROR(__xludf.DUMMYFUNCTION("GOOGLETRANSLATE(A41778,""en"",""pt"")"),"Tamanho-Super Pequeno, 3,2 Mpix, qualidade de imagem, facilidade de uso")</f>
        <v>Tamanho-Super Pequeno, 3,2 Mpix, qualidade de imagem, facilidade de uso</v>
      </c>
      <c r="B41778" s="3">
        <v>1</v>
      </c>
    </row>
    <row r="41779" ht="15.75" customHeight="1" spans="1:2">
      <c r="A41779" s="3" t="str">
        <f>IFERROR(__xludf.DUMMYFUNCTION("GOOGLETRANSLATE(A41779,""en"",""pt"")"),"Tamanho compacto, leve, de 3,2 para impressões de até 8 * 10, clipes de filme tão clara como a minha câmara!")</f>
        <v>Tamanho compacto, leve, de 3,2 para impressões de até 8 * 10, clipes de filme tão clara como a minha câmara!</v>
      </c>
      <c r="B41779" s="3">
        <v>1</v>
      </c>
    </row>
    <row r="41780" ht="15.75" customHeight="1" spans="1:2">
      <c r="A41780" s="3" t="str">
        <f>IFERROR(__xludf.DUMMYFUNCTION("GOOGLETRANSLATE(A41780,""en"",""pt"")"),"Excelente / características, muito boa qualidade de imagem funcionalidade")</f>
        <v>Excelente / características, muito boa qualidade de imagem funcionalidade</v>
      </c>
      <c r="B41780" s="3">
        <v>1</v>
      </c>
    </row>
    <row r="41781" ht="15.75" customHeight="1" spans="1:2">
      <c r="A41781" s="3" t="str">
        <f>IFERROR(__xludf.DUMMYFUNCTION("GOOGLETRANSLATE(A41781,""en"",""pt"")"),"tamanho compacto e extremamente fácil de usar.")</f>
        <v>tamanho compacto e extremamente fácil de usar.</v>
      </c>
      <c r="B41781" s="3">
        <v>1</v>
      </c>
    </row>
    <row r="41782" ht="15.75" customHeight="1" spans="1:2">
      <c r="A41782" s="3" t="str">
        <f>IFERROR(__xludf.DUMMYFUNCTION("GOOGLETRANSLATE(A41782,""en"",""pt"")"),"compacta, sensação resistente, pequena bateria e carregador, transferências rápidas")</f>
        <v>compacta, sensação resistente, pequena bateria e carregador, transferências rápidas</v>
      </c>
      <c r="B41782" s="3">
        <v>1</v>
      </c>
    </row>
    <row r="41783" ht="15.75" customHeight="1" spans="1:2">
      <c r="A41783" s="3" t="str">
        <f>IFERROR(__xludf.DUMMYFUNCTION("GOOGLETRANSLATE(A41783,""en"",""pt"")"),"design compacto e elegante")</f>
        <v>design compacto e elegante</v>
      </c>
      <c r="B41783" s="3">
        <v>1</v>
      </c>
    </row>
    <row r="41784" ht="15.75" customHeight="1" spans="1:2">
      <c r="A41784" s="3" t="str">
        <f>IFERROR(__xludf.DUMMYFUNCTION("GOOGLETRANSLATE(A41784,""en"",""pt"")"),"Verdadeiramente compacto, 3.2 MP, Excelente captura de vídeo, Construção sólida")</f>
        <v>Verdadeiramente compacto, 3.2 MP, Excelente captura de vídeo, Construção sólida</v>
      </c>
      <c r="B41784" s="3">
        <v>1</v>
      </c>
    </row>
    <row r="41785" ht="15.75" customHeight="1" spans="1:2">
      <c r="A41785" s="3" t="str">
        <f>IFERROR(__xludf.DUMMYFUNCTION("GOOGLETRANSLATE(A41785,""en"",""pt"")"),"Leva até Filmes 3 minutos! funções manuais, pequena &amp; amp; elegante, rápido")</f>
        <v>Leva até Filmes 3 minutos! funções manuais, pequena &amp; amp; elegante, rápido</v>
      </c>
      <c r="B41785" s="3">
        <v>1</v>
      </c>
    </row>
    <row r="41786" ht="15.75" customHeight="1" spans="1:2">
      <c r="A41786" s="3" t="str">
        <f>IFERROR(__xludf.DUMMYFUNCTION("GOOGLETRANSLATE(A41786,""en"",""pt"")"),"Small Size, 3.2 megapixels, Corpo de metal, sistema de foco AiAF, memória CF, user friendly.")</f>
        <v>Small Size, 3.2 megapixels, Corpo de metal, sistema de foco AiAF, memória CF, user friendly.</v>
      </c>
      <c r="B41786" s="3">
        <v>1</v>
      </c>
    </row>
    <row r="41787" ht="15.75" customHeight="1" spans="1:2">
      <c r="A41787" s="3" t="str">
        <f>IFERROR(__xludf.DUMMYFUNCTION("GOOGLETRANSLATE(A41787,""en"",""pt"")"),"Tamanho, imagem de qualidade, aparência e estilo")</f>
        <v>Tamanho, imagem de qualidade, aparência e estilo</v>
      </c>
      <c r="B41787" s="3">
        <v>1</v>
      </c>
    </row>
    <row r="41788" ht="15.75" customHeight="1" spans="1:2">
      <c r="A41788" s="3" t="str">
        <f>IFERROR(__xludf.DUMMYFUNCTION("GOOGLETRANSLATE(A41788,""en"",""pt"")"),"Pode manter no bolso. Tem grandes figuras.")</f>
        <v>Pode manter no bolso. Tem grandes figuras.</v>
      </c>
      <c r="B41788" s="3">
        <v>1</v>
      </c>
    </row>
    <row r="41789" ht="15.75" customHeight="1" spans="1:2">
      <c r="A41789" s="3" t="str">
        <f>IFERROR(__xludf.DUMMYFUNCTION("GOOGLETRANSLATE(A41789,""en"",""pt"")"),"Tamanho (pequeno como um pacote de cigarros), 3,2 mpix, corpo de metal.")</f>
        <v>Tamanho (pequeno como um pacote de cigarros), 3,2 mpix, corpo de metal.</v>
      </c>
      <c r="B41789" s="3">
        <v>1</v>
      </c>
    </row>
    <row r="41790" ht="15.75" customHeight="1" spans="1:2">
      <c r="A41790" s="3" t="str">
        <f>IFERROR(__xludf.DUMMYFUNCTION("GOOGLETRANSLATE(A41790,""en"",""pt"")"),"Muito boa qualidade de construção e sensação. Relativamente fácil de usar e robusto.")</f>
        <v>Muito boa qualidade de construção e sensação. Relativamente fácil de usar e robusto.</v>
      </c>
      <c r="B41790" s="3">
        <v>1</v>
      </c>
    </row>
    <row r="41791" ht="15.75" customHeight="1" spans="1:2">
      <c r="A41791" s="3" t="str">
        <f>IFERROR(__xludf.DUMMYFUNCTION("GOOGLETRANSLATE(A41791,""en"",""pt"")"),"Unbelieveably pequeno e compacto, mas uma ótima câmera.")</f>
        <v>Unbelieveably pequeno e compacto, mas uma ótima câmera.</v>
      </c>
      <c r="B41791" s="3">
        <v>1</v>
      </c>
    </row>
    <row r="41792" ht="15.75" customHeight="1" spans="1:2">
      <c r="A41792" s="3" t="str">
        <f>IFERROR(__xludf.DUMMYFUNCTION("GOOGLETRANSLATE(A41792,""en"",""pt"")"),"Pequeno, resistente,, não é complicado, imagens de qualidade muito eficiente.,")</f>
        <v>Pequeno, resistente,, não é complicado, imagens de qualidade muito eficiente.,</v>
      </c>
      <c r="B41792" s="3">
        <v>1</v>
      </c>
    </row>
    <row r="41793" ht="15.75" customHeight="1" spans="1:2">
      <c r="A41793" s="3" t="str">
        <f>IFERROR(__xludf.DUMMYFUNCTION("GOOGLETRANSLATE(A41793,""en"",""pt"")"),"Pequeno e compacto, a prova está nas fotos")</f>
        <v>Pequeno e compacto, a prova está nas fotos</v>
      </c>
      <c r="B41793" s="3">
        <v>1</v>
      </c>
    </row>
    <row r="41794" ht="15.75" customHeight="1" spans="1:2">
      <c r="A41794" s="3" t="str">
        <f>IFERROR(__xludf.DUMMYFUNCTION("GOOGLETRANSLATE(A41794,""en"",""pt"")"),"Excellent_picture_quality, Funcionalmente diversificada, caixa de metal compacto, Retracting_lens with_built-in lente de cobertura, light_weight and_very_small, foto-ponto, bateria Lithium_Ion, Uncompressed_format")</f>
        <v>Excellent_picture_quality, Funcionalmente diversificada, caixa de metal compacto, Retracting_lens with_built-in lente de cobertura, light_weight and_very_small, foto-ponto, bateria Lithium_Ion, Uncompressed_format</v>
      </c>
      <c r="B41794" s="3">
        <v>1</v>
      </c>
    </row>
    <row r="41795" ht="15.75" customHeight="1" spans="1:2">
      <c r="A41795" s="3" t="str">
        <f>IFERROR(__xludf.DUMMYFUNCTION("GOOGLETRANSLATE(A41795,""en"",""pt"")"),"Ótima câmera. Compact.Compatible com elevados cartões flash padrão. Grandes modos de disparo e zoom.")</f>
        <v>Ótima câmera. Compact.Compatible com elevados cartões flash padrão. Grandes modos de disparo e zoom.</v>
      </c>
      <c r="B41795" s="3">
        <v>1</v>
      </c>
    </row>
    <row r="41796" ht="15.75" customHeight="1" spans="1:2">
      <c r="A41796" s="3" t="str">
        <f>IFERROR(__xludf.DUMMYFUNCTION("GOOGLETRANSLATE(A41796,""en"",""pt"")"),"3 megapixels, tamanho pequeno, construção sólida, excelente tomando a foto, Preço")</f>
        <v>3 megapixels, tamanho pequeno, construção sólida, excelente tomando a foto, Preço</v>
      </c>
      <c r="B41796" s="3">
        <v>1</v>
      </c>
    </row>
    <row r="41797" ht="15.75" customHeight="1" spans="1:2">
      <c r="A41797" s="3" t="str">
        <f>IFERROR(__xludf.DUMMYFUNCTION("GOOGLETRANSLATE(A41797,""en"",""pt"")"),"Imagens agradáveis, bom olhar câmera")</f>
        <v>Imagens agradáveis, bom olhar câmera</v>
      </c>
      <c r="B41797" s="3">
        <v>1</v>
      </c>
    </row>
    <row r="41798" ht="15.75" customHeight="1" spans="1:2">
      <c r="A41798" s="3" t="str">
        <f>IFERROR(__xludf.DUMMYFUNCTION("GOOGLETRANSLATE(A41798,""en"",""pt"")"),"tamanho, qualidade de imagem, software, opções, zoom, flash, 3 megapixels")</f>
        <v>tamanho, qualidade de imagem, software, opções, zoom, flash, 3 megapixels</v>
      </c>
      <c r="B41798" s="3">
        <v>1</v>
      </c>
    </row>
    <row r="41799" ht="15.75" customHeight="1" spans="1:2">
      <c r="A41799" s="3" t="str">
        <f>IFERROR(__xludf.DUMMYFUNCTION("GOOGLETRANSLATE(A41799,""en"",""pt"")"),"tamanho compacto, baixo preço, qualidade de imagem excelente medição &amp; amp;. # 13; &amp; amp; # 10;")</f>
        <v>tamanho compacto, baixo preço, qualidade de imagem excelente medição &amp; amp;. # 13; &amp; amp; # 10;</v>
      </c>
      <c r="B41799" s="3">
        <v>1</v>
      </c>
    </row>
    <row r="41800" ht="15.75" customHeight="1" spans="1:2">
      <c r="A41800" s="3" t="str">
        <f>IFERROR(__xludf.DUMMYFUNCTION("GOOGLETRANSLATE(A41800,""en"",""pt"")"),"fácil de usar, muitas características, pocket dimensionados, fotos de qualidade.")</f>
        <v>fácil de usar, muitas características, pocket dimensionados, fotos de qualidade.</v>
      </c>
      <c r="B41800" s="3">
        <v>1</v>
      </c>
    </row>
    <row r="41801" ht="15.75" customHeight="1" spans="1:2">
      <c r="A41801" s="3" t="str">
        <f>IFERROR(__xludf.DUMMYFUNCTION("GOOGLETRANSLATE(A41801,""en"",""pt"")"),"elegante, cool efeitos sonoros, e pequenas, claras imagens nítidas")</f>
        <v>elegante, cool efeitos sonoros, e pequenas, claras imagens nítidas</v>
      </c>
      <c r="B41801" s="3">
        <v>1</v>
      </c>
    </row>
    <row r="41802" ht="15.75" customHeight="1" spans="1:2">
      <c r="A41802" s="3" t="str">
        <f>IFERROR(__xludf.DUMMYFUNCTION("GOOGLETRANSLATE(A41802,""en"",""pt"")"),"Compact, Característica laden, Grande Zoom para o tamanho e preço razoável.")</f>
        <v>Compact, Característica laden, Grande Zoom para o tamanho e preço razoável.</v>
      </c>
      <c r="B41802" s="3">
        <v>1</v>
      </c>
    </row>
    <row r="41803" ht="15.75" customHeight="1" spans="1:2">
      <c r="A41803" s="3" t="str">
        <f>IFERROR(__xludf.DUMMYFUNCTION("GOOGLETRANSLATE(A41803,""en"",""pt"")"),"Grande Pictures, grande bateria, fácil de recarga, programa de fácil utilização, pode ser realizada em qualquer lugar.")</f>
        <v>Grande Pictures, grande bateria, fácil de recarga, programa de fácil utilização, pode ser realizada em qualquer lugar.</v>
      </c>
      <c r="B41803" s="3">
        <v>1</v>
      </c>
    </row>
    <row r="41804" ht="15.75" customHeight="1" spans="1:2">
      <c r="A41804" s="3" t="str">
        <f>IFERROR(__xludf.DUMMYFUNCTION("GOOGLETRANSLATE(A41804,""en"",""pt"")"),"Cheio de recursos &amp; amp; # 13; &amp; amp; # 10; cabe no bolso &amp; amp; # 13; &amp; amp; # 10; ótimas fotos")</f>
        <v>Cheio de recursos &amp; amp; # 13; &amp; amp; # 10; cabe no bolso &amp; amp; # 13; &amp; amp; # 10; ótimas fotos</v>
      </c>
      <c r="B41804" s="3">
        <v>1</v>
      </c>
    </row>
    <row r="41805" ht="15.75" customHeight="1" spans="1:2">
      <c r="A41805" s="3" t="str">
        <f>IFERROR(__xludf.DUMMYFUNCTION("GOOGLETRANSLATE(A41805,""en"",""pt"")"),"Tamanho, qualidade de imagem, manual e Controles Automáticos")</f>
        <v>Tamanho, qualidade de imagem, manual e Controles Automáticos</v>
      </c>
      <c r="B41805" s="3">
        <v>1</v>
      </c>
    </row>
    <row r="41806" ht="15.75" customHeight="1" spans="1:2">
      <c r="A41806" s="3" t="str">
        <f>IFERROR(__xludf.DUMMYFUNCTION("GOOGLETRANSLATE(A41806,""en"",""pt"")"),"Pequenos, duráveis, atraente, fácil de usar, grandes fotos")</f>
        <v>Pequenos, duráveis, atraente, fácil de usar, grandes fotos</v>
      </c>
      <c r="B41806" s="3">
        <v>1</v>
      </c>
    </row>
    <row r="41807" ht="15.75" customHeight="1" spans="1:2">
      <c r="A41807" s="3" t="str">
        <f>IFERROR(__xludf.DUMMYFUNCTION("GOOGLETRANSLATE(A41807,""en"",""pt"")"),"Pequeno, fácil de usar, o modo de gravação de filmes, zoom óptico 3x, vários modos de disparo, de alta resolução")</f>
        <v>Pequeno, fácil de usar, o modo de gravação de filmes, zoom óptico 3x, vários modos de disparo, de alta resolução</v>
      </c>
      <c r="B41807" s="3">
        <v>1</v>
      </c>
    </row>
    <row r="41808" ht="15.75" customHeight="1" spans="1:2">
      <c r="A41808" s="3" t="str">
        <f>IFERROR(__xludf.DUMMYFUNCTION("GOOGLETRANSLATE(A41808,""en"",""pt"")"),"Tamanho, qualidade, aparência, preço, bateria.")</f>
        <v>Tamanho, qualidade, aparência, preço, bateria.</v>
      </c>
      <c r="B41808" s="3">
        <v>1</v>
      </c>
    </row>
    <row r="41809" ht="15.75" customHeight="1" spans="1:2">
      <c r="A41809" s="3" t="str">
        <f>IFERROR(__xludf.DUMMYFUNCTION("GOOGLETRANSLATE(A41809,""en"",""pt"")"),"nitidez de imagem, facilidade de uso, versatilidade, modo de filme decente")</f>
        <v>nitidez de imagem, facilidade de uso, versatilidade, modo de filme decente</v>
      </c>
      <c r="B41809" s="3">
        <v>1</v>
      </c>
    </row>
    <row r="41810" ht="15.75" customHeight="1" spans="1:2">
      <c r="A41810" s="3" t="str">
        <f>IFERROR(__xludf.DUMMYFUNCTION("GOOGLETRANSLATE(A41810,""en"",""pt"")"),"Excelente design all-around, inteiramente caracterizado, muito rápido arranque para uma digicam, os tempos de atirar muito rápido")</f>
        <v>Excelente design all-around, inteiramente caracterizado, muito rápido arranque para uma digicam, os tempos de atirar muito rápido</v>
      </c>
      <c r="B41810" s="3">
        <v>1</v>
      </c>
    </row>
    <row r="41811" ht="15.75" customHeight="1" spans="1:2">
      <c r="A41811" s="3" t="str">
        <f>IFERROR(__xludf.DUMMYFUNCTION("GOOGLETRANSLATE(A41811,""en"",""pt"")"),"Excelentes fotos e funcionalidade, construído dura")</f>
        <v>Excelentes fotos e funcionalidade, construído dura</v>
      </c>
      <c r="B41811" s="3">
        <v>1</v>
      </c>
    </row>
    <row r="41812" ht="15.75" customHeight="1" spans="1:2">
      <c r="A41812" s="3" t="str">
        <f>IFERROR(__xludf.DUMMYFUNCTION("GOOGLETRANSLATE(A41812,""en"",""pt"")"),"Tamanho, qualidade e facilidade de uso.")</f>
        <v>Tamanho, qualidade e facilidade de uso.</v>
      </c>
      <c r="B41812" s="3">
        <v>1</v>
      </c>
    </row>
    <row r="41813" ht="15.75" customHeight="1" spans="1:2">
      <c r="A41813" s="3" t="str">
        <f>IFERROR(__xludf.DUMMYFUNCTION("GOOGLETRANSLATE(A41813,""en"",""pt"")"),"Compacto, grande primeira câmera digital. Muitos recursos extras. Preço razoável.")</f>
        <v>Compacto, grande primeira câmera digital. Muitos recursos extras. Preço razoável.</v>
      </c>
      <c r="B41813" s="3">
        <v>1</v>
      </c>
    </row>
    <row r="41814" ht="15.75" customHeight="1" spans="1:2">
      <c r="A41814" s="3" t="str">
        <f>IFERROR(__xludf.DUMMYFUNCTION("GOOGLETRANSLATE(A41814,""en"",""pt"")"),", Imagens nítidas,, design compacto, a portabilidade imagem em exibição cheio limpo")</f>
        <v>, Imagens nítidas,, design compacto, a portabilidade imagem em exibição cheio limpo</v>
      </c>
      <c r="B41814" s="3">
        <v>1</v>
      </c>
    </row>
    <row r="41815" ht="15.75" customHeight="1" spans="1:2">
      <c r="A41815" s="3" t="str">
        <f>IFERROR(__xludf.DUMMYFUNCTION("GOOGLETRANSLATE(A41815,""en"",""pt"")"),"Tamanho grande, excelente conjunto de recursos, fácil de usar")</f>
        <v>Tamanho grande, excelente conjunto de recursos, fácil de usar</v>
      </c>
      <c r="B41815" s="3">
        <v>1</v>
      </c>
    </row>
    <row r="41816" ht="15.75" customHeight="1" spans="1:2">
      <c r="A41816" s="3" t="str">
        <f>IFERROR(__xludf.DUMMYFUNCTION("GOOGLETRANSLATE(A41816,""en"",""pt"")"),"conjunto de recursos, a qualidade da foto, operação suave")</f>
        <v>conjunto de recursos, a qualidade da foto, operação suave</v>
      </c>
      <c r="B41816" s="3">
        <v>1</v>
      </c>
    </row>
    <row r="41817" ht="15.75" customHeight="1" spans="1:2">
      <c r="A41817" s="3" t="str">
        <f>IFERROR(__xludf.DUMMYFUNCTION("GOOGLETRANSLATE(A41817,""en"",""pt"")"),"Fácil selecionar pré-selecionados imagens de modos, grande view finder")</f>
        <v>Fácil selecionar pré-selecionados imagens de modos, grande view finder</v>
      </c>
      <c r="B41817" s="3">
        <v>1</v>
      </c>
    </row>
    <row r="41818" ht="15.75" customHeight="1" spans="1:2">
      <c r="A41818" s="3" t="str">
        <f>IFERROR(__xludf.DUMMYFUNCTION("GOOGLETRANSLATE(A41818,""en"",""pt"")"),"Pequeno, fácil de usar, tem grandes figuras !!")</f>
        <v>Pequeno, fácil de usar, tem grandes figuras !!</v>
      </c>
      <c r="B41818" s="3">
        <v>1</v>
      </c>
    </row>
    <row r="41819" ht="15.75" customHeight="1" spans="1:2">
      <c r="A41819" s="3" t="str">
        <f>IFERROR(__xludf.DUMMYFUNCTION("GOOGLETRANSLATE(A41819,""en"",""pt"")"),"TONELADAS de recursos, qualidade de imagem incrível, boa vida útil da bateria")</f>
        <v>TONELADAS de recursos, qualidade de imagem incrível, boa vida útil da bateria</v>
      </c>
      <c r="B41819" s="3">
        <v>1</v>
      </c>
    </row>
    <row r="41820" ht="15.75" customHeight="1" spans="1:2">
      <c r="A41820" s="3" t="str">
        <f>IFERROR(__xludf.DUMMYFUNCTION("GOOGLETRANSLATE(A41820,""en"",""pt"")"),"fotos dos quartos, grande conjunto de recursos, grande P &amp; amp; S resultados, sensação de solidez.")</f>
        <v>fotos dos quartos, grande conjunto de recursos, grande P &amp; amp; S resultados, sensação de solidez.</v>
      </c>
      <c r="B41820" s="3">
        <v>1</v>
      </c>
    </row>
    <row r="41821" ht="15.75" customHeight="1" spans="1:2">
      <c r="A41821" s="3" t="str">
        <f>IFERROR(__xludf.DUMMYFUNCTION("GOOGLETRANSLATE(A41821,""en"",""pt"")"),"Intuitivo, fácil de usar, excelente valor")</f>
        <v>Intuitivo, fácil de usar, excelente valor</v>
      </c>
      <c r="B41821" s="3">
        <v>1</v>
      </c>
    </row>
    <row r="41822" ht="15.75" customHeight="1" spans="1:2">
      <c r="A41822" s="3" t="str">
        <f>IFERROR(__xludf.DUMMYFUNCTION("GOOGLETRANSLATE(A41822,""en"",""pt"")"),"vida útil da bateria, a qualidade da foto, características, fator de forma")</f>
        <v>vida útil da bateria, a qualidade da foto, características, fator de forma</v>
      </c>
      <c r="B41822" s="3">
        <v>1</v>
      </c>
    </row>
    <row r="41823" ht="15.75" customHeight="1" spans="1:2">
      <c r="A41823" s="3" t="str">
        <f>IFERROR(__xludf.DUMMYFUNCTION("GOOGLETRANSLATE(A41823,""en"",""pt"")"),"para o preço embalado recurso de. Grande resolução. forma compacta. Parece bom.")</f>
        <v>para o preço embalado recurso de. Grande resolução. forma compacta. Parece bom.</v>
      </c>
      <c r="B41823" s="3">
        <v>1</v>
      </c>
    </row>
    <row r="41824" ht="15.75" customHeight="1" spans="1:2">
      <c r="A41824" s="3" t="str">
        <f>IFERROR(__xludf.DUMMYFUNCTION("GOOGLETRANSLATE(A41824,""en"",""pt"")"),"Grandes imagens, OOTS de possibilidades")</f>
        <v>Grandes imagens, OOTS de possibilidades</v>
      </c>
      <c r="B41824" s="3">
        <v>1</v>
      </c>
    </row>
    <row r="41825" ht="15.75" customHeight="1" spans="1:2">
      <c r="A41825" s="3" t="str">
        <f>IFERROR(__xludf.DUMMYFUNCTION("GOOGLETRANSLATE(A41825,""en"",""pt"")"),"excelente qualidade de imagem, fácil de controles navegar, muito robusto")</f>
        <v>excelente qualidade de imagem, fácil de controles navegar, muito robusto</v>
      </c>
      <c r="B41825" s="3">
        <v>1</v>
      </c>
    </row>
    <row r="41826" ht="15.75" customHeight="1" spans="1:2">
      <c r="A41826" s="3" t="str">
        <f>IFERROR(__xludf.DUMMYFUNCTION("GOOGLETRANSLATE(A41826,""en"",""pt"")"),"Tamanho, qualidade, flexibilidade")</f>
        <v>Tamanho, qualidade, flexibilidade</v>
      </c>
      <c r="B41826" s="3">
        <v>1</v>
      </c>
    </row>
    <row r="41827" ht="15.75" customHeight="1" spans="1:2">
      <c r="A41827" s="3" t="str">
        <f>IFERROR(__xludf.DUMMYFUNCTION("GOOGLETRANSLATE(A41827,""en"",""pt"")"),"Câmera pequena que pode caber no seu bolso, mas não tão pequena.")</f>
        <v>Câmera pequena que pode caber no seu bolso, mas não tão pequena.</v>
      </c>
      <c r="B41827" s="3">
        <v>1</v>
      </c>
    </row>
    <row r="41828" ht="15.75" customHeight="1" spans="1:2">
      <c r="A41828" s="3" t="str">
        <f>IFERROR(__xludf.DUMMYFUNCTION("GOOGLETRANSLATE(A41828,""en"",""pt"")"),"Excelente qualidade de imagem. Funções de controle Manual agradáveis.")</f>
        <v>Excelente qualidade de imagem. Funções de controle Manual agradáveis.</v>
      </c>
      <c r="B41828" s="3">
        <v>1</v>
      </c>
    </row>
    <row r="41829" ht="15.75" customHeight="1" spans="1:2">
      <c r="A41829" s="3" t="str">
        <f>IFERROR(__xludf.DUMMYFUNCTION("GOOGLETRANSLATE(A41829,""en"",""pt"")"),"Alguma coisa que você espera de um meados variou câmera para fazer. Conclua controles manuais. Áspero.")</f>
        <v>Alguma coisa que você espera de um meados variou câmera para fazer. Conclua controles manuais. Áspero.</v>
      </c>
      <c r="B41829" s="3">
        <v>1</v>
      </c>
    </row>
    <row r="41830" ht="15.75" customHeight="1" spans="1:2">
      <c r="A41830" s="3" t="str">
        <f>IFERROR(__xludf.DUMMYFUNCTION("GOOGLETRANSLATE(A41830,""en"",""pt"")"),"Grande com a caixa estanque para mergulho! Super câmera! Muitas coisas para aprender!")</f>
        <v>Grande com a caixa estanque para mergulho! Super câmera! Muitas coisas para aprender!</v>
      </c>
      <c r="B41830" s="3">
        <v>1</v>
      </c>
    </row>
    <row r="41831" ht="15.75" customHeight="1" spans="1:2">
      <c r="A41831" s="3" t="str">
        <f>IFERROR(__xludf.DUMMYFUNCTION("GOOGLETRANSLATE(A41831,""en"",""pt"")"),"tamanho pequeno, caso difícil, ótimas fotos, diversão add-ons")</f>
        <v>tamanho pequeno, caso difícil, ótimas fotos, diversão add-ons</v>
      </c>
      <c r="B41831" s="3">
        <v>1</v>
      </c>
    </row>
    <row r="41832" ht="15.75" customHeight="1" spans="1:2">
      <c r="A41832" s="3" t="str">
        <f>IFERROR(__xludf.DUMMYFUNCTION("GOOGLETRANSLATE(A41832,""en"",""pt"")"),"Eu aviso você.")</f>
        <v>Eu aviso você.</v>
      </c>
      <c r="B41832" s="3">
        <v>1</v>
      </c>
    </row>
    <row r="41833" ht="15.75" customHeight="1" spans="1:2">
      <c r="A41833" s="3" t="str">
        <f>IFERROR(__xludf.DUMMYFUNCTION("GOOGLETRANSLATE(A41833,""en"",""pt"")"),"Uma joia. excelência a preços acessíveis.")</f>
        <v>Uma joia. excelência a preços acessíveis.</v>
      </c>
      <c r="B41833" s="3">
        <v>1</v>
      </c>
    </row>
    <row r="41834" ht="15.75" customHeight="1" spans="1:2">
      <c r="A41834" s="3" t="str">
        <f>IFERROR(__xludf.DUMMYFUNCTION("GOOGLETRANSLATE(A41834,""en"",""pt"")"),"Compacto, ótimas fotos, valor")</f>
        <v>Compacto, ótimas fotos, valor</v>
      </c>
      <c r="B41834" s="3">
        <v>1</v>
      </c>
    </row>
    <row r="41835" ht="15.75" customHeight="1" spans="1:2">
      <c r="A41835" s="3" t="str">
        <f>IFERROR(__xludf.DUMMYFUNCTION("GOOGLETRANSLATE(A41835,""en"",""pt"")"),"É multi-funcional, bonito, poderoso para as necessidades de um usuário médio")</f>
        <v>É multi-funcional, bonito, poderoso para as necessidades de um usuário médio</v>
      </c>
      <c r="B41835" s="3">
        <v>1</v>
      </c>
    </row>
    <row r="41836" ht="15.75" customHeight="1" spans="1:2">
      <c r="A41836" s="3" t="str">
        <f>IFERROR(__xludf.DUMMYFUNCTION("GOOGLETRANSLATE(A41836,""en"",""pt"")"),"qualidade de imagem, apresenta.")</f>
        <v>qualidade de imagem, apresenta.</v>
      </c>
      <c r="B41836" s="3">
        <v>1</v>
      </c>
    </row>
    <row r="41837" ht="15.75" customHeight="1" spans="1:2">
      <c r="A41837" s="3" t="str">
        <f>IFERROR(__xludf.DUMMYFUNCTION("GOOGLETRANSLATE(A41837,""en"",""pt"")"),"Muito compacto, boa qualidade de imagem, bateria dura TIROS MANNY")</f>
        <v>Muito compacto, boa qualidade de imagem, bateria dura TIROS MANNY</v>
      </c>
      <c r="B41837" s="3">
        <v>1</v>
      </c>
    </row>
    <row r="41838" ht="15.75" customHeight="1" spans="1:2">
      <c r="A41838" s="3" t="str">
        <f>IFERROR(__xludf.DUMMYFUNCTION("GOOGLETRANSLATE(A41838,""en"",""pt"")"),"Toma imagens de alta qualidade. Grande Black &amp; amp; Brancos e do tom do Sepia fotos também!")</f>
        <v>Toma imagens de alta qualidade. Grande Black &amp; amp; Brancos e do tom do Sepia fotos também!</v>
      </c>
      <c r="B41838" s="3">
        <v>1</v>
      </c>
    </row>
    <row r="41839" ht="15.75" customHeight="1" spans="1:2">
      <c r="A41839" s="3" t="str">
        <f>IFERROR(__xludf.DUMMYFUNCTION("GOOGLETRANSLATE(A41839,""en"",""pt"")"),"design agradável, todos os invólucro de metal")</f>
        <v>design agradável, todos os invólucro de metal</v>
      </c>
      <c r="B41839" s="3">
        <v>1</v>
      </c>
    </row>
    <row r="41840" ht="15.75" customHeight="1" spans="1:2">
      <c r="A41840" s="3" t="str">
        <f>IFERROR(__xludf.DUMMYFUNCTION("GOOGLETRANSLATE(A41840,""en"",""pt"")"),"Compacto, design agradável, muitas opções, boas opções manuais, imagens de alta qualidade, fácil, mas poderosa")</f>
        <v>Compacto, design agradável, muitas opções, boas opções manuais, imagens de alta qualidade, fácil, mas poderosa</v>
      </c>
      <c r="B41840" s="3">
        <v>1</v>
      </c>
    </row>
    <row r="41841" ht="15.75" customHeight="1" spans="1:2">
      <c r="A41841" s="3" t="str">
        <f>IFERROR(__xludf.DUMMYFUNCTION("GOOGLETRANSLATE(A41841,""en"",""pt"")"),"Final Camera para em qualquer lugar, a qualquer momento,")</f>
        <v>Final Camera para em qualquer lugar, a qualquer momento,</v>
      </c>
      <c r="B41841" s="3">
        <v>1</v>
      </c>
    </row>
    <row r="41842" ht="15.75" customHeight="1" spans="1:2">
      <c r="A41842" s="3" t="str">
        <f>IFERROR(__xludf.DUMMYFUNCTION("GOOGLETRANSLATE(A41842,""en"",""pt"")"),"Grande Pictures, fácil de usar, compacto")</f>
        <v>Grande Pictures, fácil de usar, compacto</v>
      </c>
      <c r="B41842" s="3">
        <v>1</v>
      </c>
    </row>
    <row r="41843" ht="15.75" customHeight="1" spans="1:2">
      <c r="A41843" s="3" t="str">
        <f>IFERROR(__xludf.DUMMYFUNCTION("GOOGLETRANSLATE(A41843,""en"",""pt"")"),"Simpático e pequeno. Muito fácil de usar. bateria recarregável.")</f>
        <v>Simpático e pequeno. Muito fácil de usar. bateria recarregável.</v>
      </c>
      <c r="B41843" s="3">
        <v>1</v>
      </c>
    </row>
    <row r="41844" ht="15.75" customHeight="1" spans="1:2">
      <c r="A41844" s="3" t="str">
        <f>IFERROR(__xludf.DUMMYFUNCTION("GOOGLETRANSLATE(A41844,""en"",""pt"")"),"Compacto, resistente, versátil, boa interface.")</f>
        <v>Compacto, resistente, versátil, boa interface.</v>
      </c>
      <c r="B41844" s="3">
        <v>1</v>
      </c>
    </row>
    <row r="41845" ht="15.75" customHeight="1" spans="1:2">
      <c r="A41845" s="3" t="str">
        <f>IFERROR(__xludf.DUMMYFUNCTION("GOOGLETRANSLATE(A41845,""en"",""pt"")"),"Fácil de usar, LCD é nítida e clara")</f>
        <v>Fácil de usar, LCD é nítida e clara</v>
      </c>
      <c r="B41845" s="3">
        <v>1</v>
      </c>
    </row>
    <row r="41846" ht="15.75" customHeight="1" spans="1:2">
      <c r="A41846" s="3" t="str">
        <f>IFERROR(__xludf.DUMMYFUNCTION("GOOGLETRANSLATE(A41846,""en"",""pt"")"),"Grande interface, muitas características, fácil curva de aprendizado.")</f>
        <v>Grande interface, muitas características, fácil curva de aprendizado.</v>
      </c>
      <c r="B41846" s="3">
        <v>1</v>
      </c>
    </row>
    <row r="41847" ht="15.75" customHeight="1" spans="1:2">
      <c r="A41847" s="3" t="str">
        <f>IFERROR(__xludf.DUMMYFUNCTION("GOOGLETRANSLATE(A41847,""en"",""pt"")"),"Robusto, caso compacto. Grandes óptica, controles manuais")</f>
        <v>Robusto, caso compacto. Grandes óptica, controles manuais</v>
      </c>
      <c r="B41847" s="3">
        <v>1</v>
      </c>
    </row>
    <row r="41848" ht="15.75" customHeight="1" spans="1:2">
      <c r="A41848" s="3" t="str">
        <f>IFERROR(__xludf.DUMMYFUNCTION("GOOGLETRANSLATE(A41848,""en"",""pt"")"),"Excelentes Optics, Fácil de usar, muito poderoso, compacto.")</f>
        <v>Excelentes Optics, Fácil de usar, muito poderoso, compacto.</v>
      </c>
      <c r="B41848" s="3">
        <v>1</v>
      </c>
    </row>
    <row r="41849" ht="15.75" customHeight="1" spans="1:2">
      <c r="A41849" s="3" t="str">
        <f>IFERROR(__xludf.DUMMYFUNCTION("GOOGLETRANSLATE(A41849,""en"",""pt"")"),"Excelentes imagens, aço compacto, inoxidável, função do ponto, flash compacto, leva filmes QuickTime")</f>
        <v>Excelentes imagens, aço compacto, inoxidável, função do ponto, flash compacto, leva filmes QuickTime</v>
      </c>
      <c r="B41849" s="3">
        <v>1</v>
      </c>
    </row>
    <row r="41850" ht="15.75" customHeight="1" spans="1:2">
      <c r="A41850" s="3" t="str">
        <f>IFERROR(__xludf.DUMMYFUNCTION("GOOGLETRANSLATE(A41850,""en"",""pt"")"),"pequeno e de metal &amp; amp; # 13; &amp; amp; # 10; pequeno e metais &amp; amp; # 13; &amp; amp; # 10; &amp; amp; # 13; &amp; amp; # 10; hey, eu mencionei pequeno e metal?")</f>
        <v>pequeno e de metal &amp; amp; # 13; &amp; amp; # 10; pequeno e metais &amp; amp; # 13; &amp; amp; # 10; &amp; amp; # 13; &amp; amp; # 10; hey, eu mencionei pequeno e metal?</v>
      </c>
      <c r="B41850" s="3">
        <v>1</v>
      </c>
    </row>
    <row r="41851" ht="15.75" customHeight="1" spans="1:2">
      <c r="A41851" s="3" t="str">
        <f>IFERROR(__xludf.DUMMYFUNCTION("GOOGLETRANSLATE(A41851,""en"",""pt"")"),"Pequeno, ótimas fotos, zoom 3x, filmes e áudio.")</f>
        <v>Pequeno, ótimas fotos, zoom 3x, filmes e áudio.</v>
      </c>
      <c r="B41851" s="3">
        <v>1</v>
      </c>
    </row>
    <row r="41852" ht="15.75" customHeight="1" spans="1:2">
      <c r="A41852" s="3" t="str">
        <f>IFERROR(__xludf.DUMMYFUNCTION("GOOGLETRANSLATE(A41852,""en"",""pt"")"),"Pequeno, Grande (fora) Pictures, 3x de zoom, filmes e áudio.")</f>
        <v>Pequeno, Grande (fora) Pictures, 3x de zoom, filmes e áudio.</v>
      </c>
      <c r="B41852" s="3">
        <v>1</v>
      </c>
    </row>
    <row r="41853" ht="15.75" customHeight="1" spans="1:2">
      <c r="A41853" s="3" t="str">
        <f>IFERROR(__xludf.DUMMYFUNCTION("GOOGLETRANSLATE(A41853,""en"",""pt"")"),"Pequeno, excelente qualidade de imagem full-featured, ótimo preço")</f>
        <v>Pequeno, excelente qualidade de imagem full-featured, ótimo preço</v>
      </c>
      <c r="B41853" s="3">
        <v>1</v>
      </c>
    </row>
    <row r="41854" ht="15.75" customHeight="1" spans="1:2">
      <c r="A41854" s="3" t="str">
        <f>IFERROR(__xludf.DUMMYFUNCTION("GOOGLETRANSLATE(A41854,""en"",""pt"")"),"Pequeno, excelente qualidade de imagem full-featured, ótimo preço")</f>
        <v>Pequeno, excelente qualidade de imagem full-featured, ótimo preço</v>
      </c>
      <c r="B41854" s="3">
        <v>1</v>
      </c>
    </row>
    <row r="41855" ht="15.75" customHeight="1" spans="1:2">
      <c r="A41855" s="3" t="str">
        <f>IFERROR(__xludf.DUMMYFUNCTION("GOOGLETRANSLATE(A41855,""en"",""pt"")"),"câmera inteligente para fotos de família ou diversão, fotos amigáveis")</f>
        <v>câmera inteligente para fotos de família ou diversão, fotos amigáveis</v>
      </c>
      <c r="B41855" s="3">
        <v>1</v>
      </c>
    </row>
    <row r="41856" ht="15.75" customHeight="1" spans="1:2">
      <c r="A41856" s="3" t="str">
        <f>IFERROR(__xludf.DUMMYFUNCTION("GOOGLETRANSLATE(A41856,""en"",""pt"")"),"Pequeno, Lighweight, geralmente boas fotografias de, zoom decente")</f>
        <v>Pequeno, Lighweight, geralmente boas fotografias de, zoom decente</v>
      </c>
      <c r="B41856" s="3">
        <v>1</v>
      </c>
    </row>
    <row r="41857" ht="15.75" customHeight="1" spans="1:2">
      <c r="A41857" s="3" t="str">
        <f>IFERROR(__xludf.DUMMYFUNCTION("GOOGLETRANSLATE(A41857,""en"",""pt"")"),"Bom, pequeno e fácil de transportar!")</f>
        <v>Bom, pequeno e fácil de transportar!</v>
      </c>
      <c r="B41857" s="3">
        <v>1</v>
      </c>
    </row>
    <row r="41858" ht="15.75" customHeight="1" spans="1:2">
      <c r="A41858" s="3" t="str">
        <f>IFERROR(__xludf.DUMMYFUNCTION("GOOGLETRANSLATE(A41858,""en"",""pt"")"),"Ultra-compacto, muito rápido, durável, uma excelente qualidade de foto")</f>
        <v>Ultra-compacto, muito rápido, durável, uma excelente qualidade de foto</v>
      </c>
      <c r="B41858" s="3">
        <v>1</v>
      </c>
    </row>
    <row r="41859" ht="15.75" customHeight="1" spans="1:2">
      <c r="A41859" s="3" t="str">
        <f>IFERROR(__xludf.DUMMYFUNCTION("GOOGLETRANSLATE(A41859,""en"",""pt"")"),"corpo elegante AÇO, grande qualidade de imagem, design agradável.")</f>
        <v>corpo elegante AÇO, grande qualidade de imagem, design agradável.</v>
      </c>
      <c r="B41859" s="3">
        <v>1</v>
      </c>
    </row>
    <row r="41860" ht="15.75" customHeight="1" spans="1:2">
      <c r="A41860" s="3" t="str">
        <f>IFERROR(__xludf.DUMMYFUNCTION("GOOGLETRANSLATE(A41860,""en"",""pt"")"),"Pequeno e durável; Toma fotos grandes; 3x de zoom óptico; Fácil de usar; bateria recarregável")</f>
        <v>Pequeno e durável; Toma fotos grandes; 3x de zoom óptico; Fácil de usar; bateria recarregável</v>
      </c>
      <c r="B41860" s="3">
        <v>1</v>
      </c>
    </row>
    <row r="41861" ht="15.75" customHeight="1" spans="1:2">
      <c r="A41861" s="3" t="str">
        <f>IFERROR(__xludf.DUMMYFUNCTION("GOOGLETRANSLATE(A41861,""en"",""pt"")"),"pequeno tamanho, peso leve, fácil de usar, brotos de clipes de filmes curtos, tela LCD, bateria recarregável")</f>
        <v>pequeno tamanho, peso leve, fácil de usar, brotos de clipes de filmes curtos, tela LCD, bateria recarregável</v>
      </c>
      <c r="B41861" s="3">
        <v>1</v>
      </c>
    </row>
    <row r="41862" ht="15.75" customHeight="1" spans="1:2">
      <c r="A41862" s="3" t="str">
        <f>IFERROR(__xludf.DUMMYFUNCTION("GOOGLETRANSLATE(A41862,""en"",""pt"")"),"feedback visual, acesso 1-botão para características, a revisão fácil, som")</f>
        <v>feedback visual, acesso 1-botão para características, a revisão fácil, som</v>
      </c>
      <c r="B41862" s="3">
        <v>1</v>
      </c>
    </row>
    <row r="41863" ht="15.75" customHeight="1" spans="1:2">
      <c r="A41863" s="3" t="str">
        <f>IFERROR(__xludf.DUMMYFUNCTION("GOOGLETRANSLATE(A41863,""en"",""pt"")"),"Pequena o suficiente para tomar em toda parte, fácil de carregar para qualquer plataforma.")</f>
        <v>Pequena o suficiente para tomar em toda parte, fácil de carregar para qualquer plataforma.</v>
      </c>
      <c r="B41863" s="3">
        <v>1</v>
      </c>
    </row>
    <row r="41864" ht="15.75" customHeight="1" spans="1:2">
      <c r="A41864" s="3" t="str">
        <f>IFERROR(__xludf.DUMMYFUNCTION("GOOGLETRANSLATE(A41864,""en"",""pt"")"),"Pequeno bem construído")</f>
        <v>Pequeno bem construído</v>
      </c>
      <c r="B41864" s="3">
        <v>1</v>
      </c>
    </row>
    <row r="41865" ht="15.75" customHeight="1" spans="1:2">
      <c r="A41865" s="3" t="str">
        <f>IFERROR(__xludf.DUMMYFUNCTION("GOOGLETRANSLATE(A41865,""en"",""pt"")"),"Faz excelentes 4 x 6 cópias; tem o tamanho pequeno e, design sólido elegante.")</f>
        <v>Faz excelentes 4 x 6 cópias; tem o tamanho pequeno e, design sólido elegante.</v>
      </c>
      <c r="B41865" s="3">
        <v>1</v>
      </c>
    </row>
    <row r="41866" ht="15.75" customHeight="1" spans="1:2">
      <c r="A41866" s="3" t="str">
        <f>IFERROR(__xludf.DUMMYFUNCTION("GOOGLETRANSLATE(A41866,""en"",""pt"")"),"Habilidade excelente, fácil de usar, imagens brilhantes, rápido USB, expansível")</f>
        <v>Habilidade excelente, fácil de usar, imagens brilhantes, rápido USB, expansível</v>
      </c>
      <c r="B41866" s="3">
        <v>1</v>
      </c>
    </row>
    <row r="41867" ht="15.75" customHeight="1" spans="1:2">
      <c r="A41867" s="3" t="str">
        <f>IFERROR(__xludf.DUMMYFUNCTION("GOOGLETRANSLATE(A41867,""en"",""pt"")"),"Grandes tiros, tamanho compacto, fácil de manipular")</f>
        <v>Grandes tiros, tamanho compacto, fácil de manipular</v>
      </c>
      <c r="B41867" s="3">
        <v>1</v>
      </c>
    </row>
    <row r="41868" ht="15.75" customHeight="1" spans="1:2">
      <c r="A41868" s="3" t="str">
        <f>IFERROR(__xludf.DUMMYFUNCTION("GOOGLETRANSLATE(A41868,""en"",""pt"")"),"Minúsculo, rico em recursos, excelente zoom 3X, cool &amp; amp; à moda")</f>
        <v>Minúsculo, rico em recursos, excelente zoom 3X, cool &amp; amp; à moda</v>
      </c>
      <c r="B41868" s="3">
        <v>1</v>
      </c>
    </row>
    <row r="41869" ht="15.75" customHeight="1" spans="1:2">
      <c r="A41869" s="3" t="str">
        <f>IFERROR(__xludf.DUMMYFUNCTION("GOOGLETRANSLATE(A41869,""en"",""pt"")"),"Grande design, boa qualidade de imagem, pouco agradável zoom.")</f>
        <v>Grande design, boa qualidade de imagem, pouco agradável zoom.</v>
      </c>
      <c r="B41869" s="3">
        <v>1</v>
      </c>
    </row>
    <row r="41870" ht="15.75" customHeight="1" spans="1:2">
      <c r="A41870" s="3" t="str">
        <f>IFERROR(__xludf.DUMMYFUNCTION("GOOGLETRANSLATE(A41870,""en"",""pt"")"),"A qualidade da imagem, tamanho pequeno, boa aparência")</f>
        <v>A qualidade da imagem, tamanho pequeno, boa aparência</v>
      </c>
      <c r="B41870" s="3">
        <v>1</v>
      </c>
    </row>
    <row r="41871" ht="15.75" customHeight="1" spans="1:2">
      <c r="A41871" s="3" t="str">
        <f>IFERROR(__xludf.DUMMYFUNCTION("GOOGLETRANSLATE(A41871,""en"",""pt"")"),"Pequeno, boa qualidade da foto, modo de filme com som, bom pacote de software")</f>
        <v>Pequeno, boa qualidade da foto, modo de filme com som, bom pacote de software</v>
      </c>
      <c r="B41871" s="3">
        <v>1</v>
      </c>
    </row>
    <row r="41872" ht="15.75" customHeight="1" spans="1:2">
      <c r="A41872" s="3" t="str">
        <f>IFERROR(__xludf.DUMMYFUNCTION("GOOGLETRANSLATE(A41872,""en"",""pt"")"),"tamanho extremamente pequeno, comece rápido o tempo, facilidade de uso, interface USB")</f>
        <v>tamanho extremamente pequeno, comece rápido o tempo, facilidade de uso, interface USB</v>
      </c>
      <c r="B41872" s="3">
        <v>1</v>
      </c>
    </row>
    <row r="41873" ht="15.75" customHeight="1" spans="1:2">
      <c r="A41873" s="3" t="str">
        <f>IFERROR(__xludf.DUMMYFUNCTION("GOOGLETRANSLATE(A41873,""en"",""pt"")"),"Minúsculos, boas fotos")</f>
        <v>Minúsculos, boas fotos</v>
      </c>
      <c r="B41873" s="3">
        <v>1</v>
      </c>
    </row>
    <row r="41874" ht="15.75" customHeight="1" spans="1:2">
      <c r="A41874" s="3" t="str">
        <f>IFERROR(__xludf.DUMMYFUNCTION("GOOGLETRANSLATE(A41874,""en"",""pt"")"),"Pequeno, rápido e fácil de atirar")</f>
        <v>Pequeno, rápido e fácil de atirar</v>
      </c>
      <c r="B41874" s="3">
        <v>1</v>
      </c>
    </row>
    <row r="41875" ht="15.75" customHeight="1" spans="1:2">
      <c r="A41875" s="3" t="str">
        <f>IFERROR(__xludf.DUMMYFUNCTION("GOOGLETRANSLATE(A41875,""en"",""pt"")"),"Ultra-compacto, muito rápido, durável, uma excelente qualidade de foto")</f>
        <v>Ultra-compacto, muito rápido, durável, uma excelente qualidade de foto</v>
      </c>
      <c r="B41875" s="3">
        <v>1</v>
      </c>
    </row>
    <row r="41876" ht="15.75" customHeight="1" spans="1:2">
      <c r="A41876" s="3" t="str">
        <f>IFERROR(__xludf.DUMMYFUNCTION("GOOGLETRANSLATE(A41876,""en"",""pt"")"),"Tamanho, construído, qualidade de imagem")</f>
        <v>Tamanho, construído, qualidade de imagem</v>
      </c>
      <c r="B41876" s="3">
        <v>1</v>
      </c>
    </row>
    <row r="41877" ht="15.75" customHeight="1" spans="1:2">
      <c r="A41877" s="3" t="str">
        <f>IFERROR(__xludf.DUMMYFUNCTION("GOOGLETRANSLATE(A41877,""en"",""pt"")"),"O tamanho pequeno, boa bateria, leva videoclipes")</f>
        <v>O tamanho pequeno, boa bateria, leva videoclipes</v>
      </c>
      <c r="B41877" s="3">
        <v>1</v>
      </c>
    </row>
    <row r="41878" ht="15.75" customHeight="1" spans="1:2">
      <c r="A41878" s="3" t="str">
        <f>IFERROR(__xludf.DUMMYFUNCTION("GOOGLETRANSLATE(A41878,""en"",""pt"")"),"Fotos muito boas, leva clipes de filme, bateria recarregável.")</f>
        <v>Fotos muito boas, leva clipes de filme, bateria recarregável.</v>
      </c>
      <c r="B41878" s="3">
        <v>1</v>
      </c>
    </row>
    <row r="41879" ht="15.75" customHeight="1" spans="1:2">
      <c r="A41879" s="3" t="str">
        <f>IFERROR(__xludf.DUMMYFUNCTION("GOOGLETRANSLATE(A41879,""en"",""pt"")"),"qualidade óptica, tamanho, software, qualidade de imagem")</f>
        <v>qualidade óptica, tamanho, software, qualidade de imagem</v>
      </c>
      <c r="B41879" s="3">
        <v>1</v>
      </c>
    </row>
    <row r="41880" ht="15.75" customHeight="1" spans="1:2">
      <c r="A41880" s="3" t="str">
        <f>IFERROR(__xludf.DUMMYFUNCTION("GOOGLETRANSLATE(A41880,""en"",""pt"")"),"pequeno, peso leve, rápido, excelente qualidade de construção, tem grandes figuras, pode gravar clipes de filme")</f>
        <v>pequeno, peso leve, rápido, excelente qualidade de construção, tem grandes figuras, pode gravar clipes de filme</v>
      </c>
      <c r="B41880" s="3">
        <v>1</v>
      </c>
    </row>
    <row r="41881" ht="15.75" customHeight="1" spans="1:2">
      <c r="A41881" s="3" t="str">
        <f>IFERROR(__xludf.DUMMYFUNCTION("GOOGLETRANSLATE(A41881,""en"",""pt"")"),"Pequeno, quase total do corpo de aço, zoom óptico 3x, 2.1 megapixels, armazenamento CF, conectividade USB, bateria Lith-Ion")</f>
        <v>Pequeno, quase total do corpo de aço, zoom óptico 3x, 2.1 megapixels, armazenamento CF, conectividade USB, bateria Lith-Ion</v>
      </c>
      <c r="B41881" s="3">
        <v>1</v>
      </c>
    </row>
    <row r="41882" ht="15.75" customHeight="1" spans="1:2">
      <c r="A41882" s="3" t="str">
        <f>IFERROR(__xludf.DUMMYFUNCTION("GOOGLETRANSLATE(A41882,""en"",""pt"")"),"pequeno, peso leve, muito fácil de usar")</f>
        <v>pequeno, peso leve, muito fácil de usar</v>
      </c>
      <c r="B41882" s="3">
        <v>1</v>
      </c>
    </row>
    <row r="41883" ht="15.75" customHeight="1" spans="1:2">
      <c r="A41883" s="3" t="str">
        <f>IFERROR(__xludf.DUMMYFUNCTION("GOOGLETRANSLATE(A41883,""en"",""pt"")"),"Pequeno, pequeno, pequeno. fotos de excelente qualidade, fácil de usar, um bom software. Eu disse pequena?")</f>
        <v>Pequeno, pequeno, pequeno. fotos de excelente qualidade, fácil de usar, um bom software. Eu disse pequena?</v>
      </c>
      <c r="B41883" s="3">
        <v>1</v>
      </c>
    </row>
    <row r="41884" ht="15.75" customHeight="1" spans="1:2">
      <c r="A41884" s="3" t="str">
        <f>IFERROR(__xludf.DUMMYFUNCTION("GOOGLETRANSLATE(A41884,""en"",""pt"")"),"Tamanho compacto, Metal corpo. Zoom óptico de 3X, CF memória.")</f>
        <v>Tamanho compacto, Metal corpo. Zoom óptico de 3X, CF memória.</v>
      </c>
      <c r="B41884" s="3">
        <v>1</v>
      </c>
    </row>
    <row r="41885" ht="15.75" customHeight="1" spans="1:2">
      <c r="A41885" s="3" t="str">
        <f>IFERROR(__xludf.DUMMYFUNCTION("GOOGLETRANSLATE(A41885,""en"",""pt"")"),"tamanho, qualidade da foto e cartão de memória flash de armazenamento")</f>
        <v>tamanho, qualidade da foto e cartão de memória flash de armazenamento</v>
      </c>
      <c r="B41885" s="3">
        <v>1</v>
      </c>
    </row>
    <row r="41886" ht="15.75" customHeight="1" spans="1:2">
      <c r="A41886" s="3" t="str">
        <f>IFERROR(__xludf.DUMMYFUNCTION("GOOGLETRANSLATE(A41886,""en"",""pt"")"),"compacta, lindo, fácil de usar, toneladas de opções")</f>
        <v>compacta, lindo, fácil de usar, toneladas de opções</v>
      </c>
      <c r="B41886" s="3">
        <v>1</v>
      </c>
    </row>
    <row r="41887" ht="15.75" customHeight="1" spans="1:2">
      <c r="A41887" s="3" t="str">
        <f>IFERROR(__xludf.DUMMYFUNCTION("GOOGLETRANSLATE(A41887,""en"",""pt"")"),"O tamanho pequeno, de 2 megapixels, 3x óptico, corpo de aço inoxidável, Lotta Características, mais")</f>
        <v>O tamanho pequeno, de 2 megapixels, 3x óptico, corpo de aço inoxidável, Lotta Características, mais</v>
      </c>
      <c r="B41887" s="3">
        <v>1</v>
      </c>
    </row>
    <row r="41888" ht="15.75" customHeight="1" spans="1:2">
      <c r="A41888" s="3" t="str">
        <f>IFERROR(__xludf.DUMMYFUNCTION("GOOGLETRANSLATE(A41888,""en"",""pt"")"),"Pequeno, visor óptico, qualidade boa imagem")</f>
        <v>Pequeno, visor óptico, qualidade boa imagem</v>
      </c>
      <c r="B41888" s="3">
        <v>1</v>
      </c>
    </row>
    <row r="41889" ht="15.75" customHeight="1" spans="1:2">
      <c r="A41889" s="3" t="str">
        <f>IFERROR(__xludf.DUMMYFUNCTION("GOOGLETRANSLATE(A41889,""en"",""pt"")"),"Pequenos, os lotes de recursos, boas fotos")</f>
        <v>Pequenos, os lotes de recursos, boas fotos</v>
      </c>
      <c r="B41889" s="3">
        <v>1</v>
      </c>
    </row>
    <row r="41890" ht="15.75" customHeight="1" spans="1:2">
      <c r="A41890" s="3" t="str">
        <f>IFERROR(__xludf.DUMMYFUNCTION("GOOGLETRANSLATE(A41890,""en"",""pt"")"),"Construção resistente, tamanho pequeno, a qualidade da lente, design agradável")</f>
        <v>Construção resistente, tamanho pequeno, a qualidade da lente, design agradável</v>
      </c>
      <c r="B41890" s="3">
        <v>1</v>
      </c>
    </row>
    <row r="41891" ht="15.75" customHeight="1" spans="1:2">
      <c r="A41891" s="3" t="str">
        <f>IFERROR(__xludf.DUMMYFUNCTION("GOOGLETRANSLATE(A41891,""en"",""pt"")"),"imagens de boa qualidade com a cor excelente que eu tenho vindo a esperar de produtos Canon")</f>
        <v>imagens de boa qualidade com a cor excelente que eu tenho vindo a esperar de produtos Canon</v>
      </c>
      <c r="B41891" s="3">
        <v>1</v>
      </c>
    </row>
    <row r="41892" ht="15.75" customHeight="1" spans="1:2">
      <c r="A41892" s="3" t="str">
        <f>IFERROR(__xludf.DUMMYFUNCTION("GOOGLETRANSLATE(A41892,""en"",""pt"")"),"Pequeno, leve, fácil de usar, fácil de baixar imagens. Imagens de grande qualidade !!")</f>
        <v>Pequeno, leve, fácil de usar, fácil de baixar imagens. Imagens de grande qualidade !!</v>
      </c>
      <c r="B41892" s="3">
        <v>1</v>
      </c>
    </row>
    <row r="41893" ht="15.75" customHeight="1" spans="1:2">
      <c r="A41893" s="3" t="str">
        <f>IFERROR(__xludf.DUMMYFUNCTION("GOOGLETRANSLATE(A41893,""en"",""pt"")"),"Tamanho compacto, muito durável, excelente qualidade de imagem, interface amigável")</f>
        <v>Tamanho compacto, muito durável, excelente qualidade de imagem, interface amigável</v>
      </c>
      <c r="B41893" s="3">
        <v>1</v>
      </c>
    </row>
    <row r="41894" ht="15.75" customHeight="1" spans="1:2">
      <c r="A41894" s="3" t="str">
        <f>IFERROR(__xludf.DUMMYFUNCTION("GOOGLETRANSLATE(A41894,""en"",""pt"")"),"Esta câmera é muito fácil de usar, enquanto que a qualidade é alta.")</f>
        <v>Esta câmera é muito fácil de usar, enquanto que a qualidade é alta.</v>
      </c>
      <c r="B41894" s="3">
        <v>1</v>
      </c>
    </row>
    <row r="41895" ht="15.75" customHeight="1" spans="1:2">
      <c r="A41895" s="3" t="str">
        <f>IFERROR(__xludf.DUMMYFUNCTION("GOOGLETRANSLATE(A41895,""en"",""pt"")"),"Tamanho compacto, caso durável, muitos recursos, fácil de usar")</f>
        <v>Tamanho compacto, caso durável, muitos recursos, fácil de usar</v>
      </c>
      <c r="B41895" s="3">
        <v>1</v>
      </c>
    </row>
    <row r="41896" ht="15.75" customHeight="1" spans="1:2">
      <c r="A41896" s="3" t="str">
        <f>IFERROR(__xludf.DUMMYFUNCTION("GOOGLETRANSLATE(A41896,""en"",""pt"")"),"Tamanho pequeno, fácil de usar, boa Imagem")</f>
        <v>Tamanho pequeno, fácil de usar, boa Imagem</v>
      </c>
      <c r="B41896" s="3">
        <v>1</v>
      </c>
    </row>
    <row r="41897" ht="15.75" customHeight="1" spans="1:2">
      <c r="A41897" s="3" t="str">
        <f>IFERROR(__xludf.DUMMYFUNCTION("GOOGLETRANSLATE(A41897,""en"",""pt"")"),"fotos grandes, fácil de usar")</f>
        <v>fotos grandes, fácil de usar</v>
      </c>
      <c r="B41897" s="3">
        <v>1</v>
      </c>
    </row>
    <row r="41898" ht="15.75" customHeight="1" spans="1:2">
      <c r="A41898" s="3" t="str">
        <f>IFERROR(__xludf.DUMMYFUNCTION("GOOGLETRANSLATE(A41898,""en"",""pt"")"),"Esta câmera dá agradáveis ​​5x7 fotos.")</f>
        <v>Esta câmera dá agradáveis ​​5x7 fotos.</v>
      </c>
      <c r="B41898" s="3">
        <v>1</v>
      </c>
    </row>
    <row r="41899" ht="15.75" customHeight="1" spans="1:2">
      <c r="A41899" s="3" t="str">
        <f>IFERROR(__xludf.DUMMYFUNCTION("GOOGLETRANSLATE(A41899,""en"",""pt"")"),"Bem pequeno. Boa cor para fotos")</f>
        <v>Bem pequeno. Boa cor para fotos</v>
      </c>
      <c r="B41899" s="3">
        <v>1</v>
      </c>
    </row>
    <row r="41900" ht="15.75" customHeight="1" spans="1:2">
      <c r="A41900" s="3" t="str">
        <f>IFERROR(__xludf.DUMMYFUNCTION("GOOGLETRANSLATE(A41900,""en"",""pt"")"),"pequeno, excelente qualidade de imagem, modo de filme.")</f>
        <v>pequeno, excelente qualidade de imagem, modo de filme.</v>
      </c>
      <c r="B41900" s="3">
        <v>1</v>
      </c>
    </row>
    <row r="41901" ht="15.75" customHeight="1" spans="1:2">
      <c r="A41901" s="3" t="str">
        <f>IFERROR(__xludf.DUMMYFUNCTION("GOOGLETRANSLATE(A41901,""en"",""pt"")"),"pequeno tamanho, qualidade de construção e muitas outras coisas a lista.")</f>
        <v>pequeno tamanho, qualidade de construção e muitas outras coisas a lista.</v>
      </c>
      <c r="B41901" s="3">
        <v>1</v>
      </c>
    </row>
    <row r="41902" ht="15.75" customHeight="1" spans="1:2">
      <c r="A41902" s="3" t="str">
        <f>IFERROR(__xludf.DUMMYFUNCTION("GOOGLETRANSLATE(A41902,""en"",""pt"")"),"Compacto e portátil, leva fotografias a cores vívidas e brilhantes")</f>
        <v>Compacto e portátil, leva fotografias a cores vívidas e brilhantes</v>
      </c>
      <c r="B41902" s="3">
        <v>1</v>
      </c>
    </row>
    <row r="41903" ht="15.75" customHeight="1" spans="1:2">
      <c r="A41903" s="3" t="str">
        <f>IFERROR(__xludf.DUMMYFUNCTION("GOOGLETRANSLATE(A41903,""en"",""pt"")"),"zoom maravilhoso, grande exibição, corpo pequeno, mas grande o suficiente para manter confortavelmente.")</f>
        <v>zoom maravilhoso, grande exibição, corpo pequeno, mas grande o suficiente para manter confortavelmente.</v>
      </c>
      <c r="B41903" s="3">
        <v>1</v>
      </c>
    </row>
    <row r="41904" ht="15.75" customHeight="1" spans="1:2">
      <c r="A41904" s="3" t="str">
        <f>IFERROR(__xludf.DUMMYFUNCTION("GOOGLETRANSLATE(A41904,""en"",""pt"")"),"Grandes fotos, pequenos, características, filme de som, ponto, tela")</f>
        <v>Grandes fotos, pequenos, características, filme de som, ponto, tela</v>
      </c>
      <c r="B41904" s="3">
        <v>1</v>
      </c>
    </row>
    <row r="41905" ht="15.75" customHeight="1" spans="1:2">
      <c r="A41905" s="3" t="str">
        <f>IFERROR(__xludf.DUMMYFUNCTION("GOOGLETRANSLATE(A41905,""en"",""pt"")"),"construção sólida, boa qualidade de imagem, tela de LCD clara, sistema de menu intuitivo")</f>
        <v>construção sólida, boa qualidade de imagem, tela de LCD clara, sistema de menu intuitivo</v>
      </c>
      <c r="B41905" s="3">
        <v>1</v>
      </c>
    </row>
    <row r="41906" ht="15.75" customHeight="1" spans="1:2">
      <c r="A41906" s="3" t="str">
        <f>IFERROR(__xludf.DUMMYFUNCTION("GOOGLETRANSLATE(A41906,""en"",""pt"")"),"Compact, peso leve, brilhante LCD, facilidade de uso, suporte microdrive")</f>
        <v>Compact, peso leve, brilhante LCD, facilidade de uso, suporte microdrive</v>
      </c>
      <c r="B41906" s="3">
        <v>1</v>
      </c>
    </row>
    <row r="41907" ht="15.75" customHeight="1" spans="1:2">
      <c r="A41907" s="3" t="str">
        <f>IFERROR(__xludf.DUMMYFUNCTION("GOOGLETRANSLATE(A41907,""en"",""pt"")"),"4 megapixels, tamanho pequeno, construção sólida, boa saturação de cor")</f>
        <v>4 megapixels, tamanho pequeno, construção sólida, boa saturação de cor</v>
      </c>
      <c r="B41907" s="3">
        <v>1</v>
      </c>
    </row>
    <row r="41908" ht="15.75" customHeight="1" spans="1:2">
      <c r="A41908" s="3" t="str">
        <f>IFERROR(__xludf.DUMMYFUNCTION("GOOGLETRANSLATE(A41908,""en"",""pt"")"),"A vida da bateria, excelente sistema de medição, tamanho compacto")</f>
        <v>A vida da bateria, excelente sistema de medição, tamanho compacto</v>
      </c>
      <c r="B41908" s="3">
        <v>1</v>
      </c>
    </row>
    <row r="41909" ht="15.75" customHeight="1" spans="1:2">
      <c r="A41909" s="3" t="str">
        <f>IFERROR(__xludf.DUMMYFUNCTION("GOOGLETRANSLATE(A41909,""en"",""pt"")"),"tamanho compacto, baixo preço, qualidade de imagem excelente medição &amp; amp;. # 13; &amp; amp; # 10;")</f>
        <v>tamanho compacto, baixo preço, qualidade de imagem excelente medição &amp; amp;. # 13; &amp; amp; # 10;</v>
      </c>
      <c r="B41909" s="3">
        <v>1</v>
      </c>
    </row>
    <row r="41910" ht="15.75" customHeight="1" spans="1:2">
      <c r="A41910" s="3" t="str">
        <f>IFERROR(__xludf.DUMMYFUNCTION("GOOGLETRANSLATE(A41910,""en"",""pt"")"),"Pequeno, bem concebido, boa lente &amp; amp; acessível")</f>
        <v>Pequeno, bem concebido, boa lente &amp; amp; acessível</v>
      </c>
      <c r="B41910" s="3">
        <v>1</v>
      </c>
    </row>
    <row r="41911" ht="15.75" customHeight="1" spans="1:2">
      <c r="A41911" s="3" t="str">
        <f>IFERROR(__xludf.DUMMYFUNCTION("GOOGLETRANSLATE(A41911,""en"",""pt"")"),"Fácil de usar, boa qualidade de imagem, tamanho pequeno, design muito agradável")</f>
        <v>Fácil de usar, boa qualidade de imagem, tamanho pequeno, design muito agradável</v>
      </c>
      <c r="B41911" s="3">
        <v>1</v>
      </c>
    </row>
    <row r="41912" ht="15.75" customHeight="1" spans="1:2">
      <c r="A41912" s="3" t="str">
        <f>IFERROR(__xludf.DUMMYFUNCTION("GOOGLETRANSLATE(A41912,""en"",""pt"")"),"Tamanho compacto, imagem excelente qualidade, grandes recursos")</f>
        <v>Tamanho compacto, imagem excelente qualidade, grandes recursos</v>
      </c>
      <c r="B41912" s="3">
        <v>1</v>
      </c>
    </row>
    <row r="41913" ht="15.75" customHeight="1" spans="1:2">
      <c r="A41913" s="3" t="str">
        <f>IFERROR(__xludf.DUMMYFUNCTION("GOOGLETRANSLATE(A41913,""en"",""pt"")"),"imagens surpreendentes, fácil de usar, tamanho compacto, capacidade de mini-filme.")</f>
        <v>imagens surpreendentes, fácil de usar, tamanho compacto, capacidade de mini-filme.</v>
      </c>
      <c r="B41913" s="3">
        <v>1</v>
      </c>
    </row>
    <row r="41914" ht="15.75" customHeight="1" spans="1:2">
      <c r="A41914" s="3" t="str">
        <f>IFERROR(__xludf.DUMMYFUNCTION("GOOGLETRANSLATE(A41914,""en"",""pt"")"),"O tamanho pequeno, grande resolução, cor grande, muito portátil. Ambos os manuais e auto modos.")</f>
        <v>O tamanho pequeno, grande resolução, cor grande, muito portátil. Ambos os manuais e auto modos.</v>
      </c>
      <c r="B41914" s="3">
        <v>1</v>
      </c>
    </row>
    <row r="41915" ht="15.75" customHeight="1" spans="1:2">
      <c r="A41915" s="3" t="str">
        <f>IFERROR(__xludf.DUMMYFUNCTION("GOOGLETRANSLATE(A41915,""en"",""pt"")"),"tela brilhante, peso leve, de utilização intuitiva")</f>
        <v>tela brilhante, peso leve, de utilização intuitiva</v>
      </c>
      <c r="B41915" s="3">
        <v>1</v>
      </c>
    </row>
    <row r="41916" ht="15.75" customHeight="1" spans="1:2">
      <c r="A41916" s="3" t="str">
        <f>IFERROR(__xludf.DUMMYFUNCTION("GOOGLETRANSLATE(A41916,""en"",""pt"")"),"muito agradável imagem, atraente, boa ergonomia,")</f>
        <v>muito agradável imagem, atraente, boa ergonomia,</v>
      </c>
      <c r="B41916" s="3">
        <v>1</v>
      </c>
    </row>
    <row r="41917" ht="15.75" customHeight="1" spans="1:2">
      <c r="A41917" s="3" t="str">
        <f>IFERROR(__xludf.DUMMYFUNCTION("GOOGLETRANSLATE(A41917,""en"",""pt"")"),"Muito pequeno para o seu desempenho e durabilidade. Muito precisas e imagens nítidas.")</f>
        <v>Muito pequeno para o seu desempenho e durabilidade. Muito precisas e imagens nítidas.</v>
      </c>
      <c r="B41917" s="3">
        <v>1</v>
      </c>
    </row>
    <row r="41918" ht="15.75" customHeight="1" spans="1:2">
      <c r="A41918" s="3" t="str">
        <f>IFERROR(__xludf.DUMMYFUNCTION("GOOGLETRANSLATE(A41918,""en"",""pt"")"),"Pequeno. Ótimas fotos. Proprietário orgulhoso")</f>
        <v>Pequeno. Ótimas fotos. Proprietário orgulhoso</v>
      </c>
      <c r="B41918" s="3">
        <v>1</v>
      </c>
    </row>
    <row r="41919" ht="15.75" customHeight="1" spans="1:2">
      <c r="A41919" s="3" t="str">
        <f>IFERROR(__xludf.DUMMYFUNCTION("GOOGLETRANSLATE(A41919,""en"",""pt"")"),"design elegante e excelentes recursos, compacto")</f>
        <v>design elegante e excelentes recursos, compacto</v>
      </c>
      <c r="B41919" s="3">
        <v>1</v>
      </c>
    </row>
    <row r="41920" ht="15.75" customHeight="1" spans="1:2">
      <c r="A41920" s="3" t="str">
        <f>IFERROR(__xludf.DUMMYFUNCTION("GOOGLETRANSLATE(A41920,""en"",""pt"")"),"Relativamente pequeno, tampa da lente, baixo tempo de atraso entre as fotos")</f>
        <v>Relativamente pequeno, tampa da lente, baixo tempo de atraso entre as fotos</v>
      </c>
      <c r="B41920" s="3">
        <v>1</v>
      </c>
    </row>
    <row r="41921" ht="15.75" customHeight="1" spans="1:2">
      <c r="A41921" s="3" t="str">
        <f>IFERROR(__xludf.DUMMYFUNCTION("GOOGLETRANSLATE(A41921,""en"",""pt"")"),"Todo o corpo de Metal, Pequeno e leve &amp; amp;. # 13; &amp; amp; # 10; 4,0 megapixels")</f>
        <v>Todo o corpo de Metal, Pequeno e leve &amp; amp;. # 13; &amp; amp; # 10; 4,0 megapixels</v>
      </c>
      <c r="B41921" s="3">
        <v>1</v>
      </c>
    </row>
    <row r="41922" ht="15.75" customHeight="1" spans="1:2">
      <c r="A41922" s="3" t="str">
        <f>IFERROR(__xludf.DUMMYFUNCTION("GOOGLETRANSLATE(A41922,""en"",""pt"")"),"Compacto, imagens de alta qualidade, e muitos modos e opções de disparo.")</f>
        <v>Compacto, imagens de alta qualidade, e muitos modos e opções de disparo.</v>
      </c>
      <c r="B41922" s="3">
        <v>1</v>
      </c>
    </row>
    <row r="41923" ht="15.75" customHeight="1" spans="1:2">
      <c r="A41923" s="3" t="str">
        <f>IFERROR(__xludf.DUMMYFUNCTION("GOOGLETRANSLATE(A41923,""en"",""pt"")"),"Muito boa qualidade das imagens, muitos recursos. Muito rígido.")</f>
        <v>Muito boa qualidade das imagens, muitos recursos. Muito rígido.</v>
      </c>
      <c r="B41923" s="3">
        <v>1</v>
      </c>
    </row>
    <row r="41924" ht="15.75" customHeight="1" spans="1:2">
      <c r="A41924" s="3" t="str">
        <f>IFERROR(__xludf.DUMMYFUNCTION("GOOGLETRANSLATE(A41924,""en"",""pt"")"),"estilo global da câmera, qualidade das imagens, conveniência")</f>
        <v>estilo global da câmera, qualidade das imagens, conveniência</v>
      </c>
      <c r="B41924" s="3">
        <v>1</v>
      </c>
    </row>
    <row r="41925" ht="15.75" customHeight="1" spans="1:2">
      <c r="A41925" s="3" t="str">
        <f>IFERROR(__xludf.DUMMYFUNCTION("GOOGLETRANSLATE(A41925,""en"",""pt"")"),"Qualidade de imagem, disparo contínuo, Customizability, Pretty Good vídeo com som bom,")</f>
        <v>Qualidade de imagem, disparo contínuo, Customizability, Pretty Good vídeo com som bom,</v>
      </c>
      <c r="B41925" s="3">
        <v>1</v>
      </c>
    </row>
    <row r="41926" ht="15.75" customHeight="1" spans="1:2">
      <c r="A41926" s="3" t="str">
        <f>IFERROR(__xludf.DUMMYFUNCTION("GOOGLETRANSLATE(A41926,""en"",""pt"")"),"4 megapixels, 3x de zoom, o botão FUNC, tamanho compacto, iniciar mais rápido up!")</f>
        <v>4 megapixels, 3x de zoom, o botão FUNC, tamanho compacto, iniciar mais rápido up!</v>
      </c>
      <c r="B41926" s="3">
        <v>1</v>
      </c>
    </row>
    <row r="41927" ht="15.75" customHeight="1" spans="1:2">
      <c r="A41927" s="3" t="str">
        <f>IFERROR(__xludf.DUMMYFUNCTION("GOOGLETRANSLATE(A41927,""en"",""pt"")"),"Ultra-Compact Size, 4 megapixels, com zoom óptico 3x, modo Dial &amp; amp; botão FUNC")</f>
        <v>Ultra-Compact Size, 4 megapixels, com zoom óptico 3x, modo Dial &amp; amp; botão FUNC</v>
      </c>
      <c r="B41927" s="3">
        <v>1</v>
      </c>
    </row>
    <row r="41928" ht="15.75" customHeight="1" spans="1:2">
      <c r="A41928" s="3" t="str">
        <f>IFERROR(__xludf.DUMMYFUNCTION("GOOGLETRANSLATE(A41928,""en"",""pt"")"),"Câmera pequena com o menor caixa estanque")</f>
        <v>Câmera pequena com o menor caixa estanque</v>
      </c>
      <c r="B41928" s="3">
        <v>1</v>
      </c>
    </row>
    <row r="41929" ht="15.75" customHeight="1" spans="1:2">
      <c r="A41929" s="3" t="str">
        <f>IFERROR(__xludf.DUMMYFUNCTION("GOOGLETRANSLATE(A41929,""en"",""pt"")"),"pequena, 4 meg")</f>
        <v>pequena, 4 meg</v>
      </c>
      <c r="B41929" s="3">
        <v>1</v>
      </c>
    </row>
    <row r="41930" ht="15.75" customHeight="1" spans="1:2">
      <c r="A41930" s="3" t="str">
        <f>IFERROR(__xludf.DUMMYFUNCTION("GOOGLETRANSLATE(A41930,""en"",""pt"")"),"Compacto, robusto, imagens de alta qualidade")</f>
        <v>Compacto, robusto, imagens de alta qualidade</v>
      </c>
      <c r="B41930" s="3">
        <v>1</v>
      </c>
    </row>
    <row r="41931" ht="15.75" customHeight="1" spans="1:2">
      <c r="A41931" s="3" t="str">
        <f>IFERROR(__xludf.DUMMYFUNCTION("GOOGLETRANSLATE(A41931,""en"",""pt"")"),"resolução, o equilíbrio tonal, 4 megapixels, zoom de 3X, controles de processamento interno, excelente qualidade de construção")</f>
        <v>resolução, o equilíbrio tonal, 4 megapixels, zoom de 3X, controles de processamento interno, excelente qualidade de construção</v>
      </c>
      <c r="B41931" s="3">
        <v>1</v>
      </c>
    </row>
    <row r="41932" ht="15.75" customHeight="1" spans="1:2">
      <c r="A41932" s="3" t="str">
        <f>IFERROR(__xludf.DUMMYFUNCTION("GOOGLETRANSLATE(A41932,""en"",""pt"")"),"grande recurso de zoom, megapixels melhorou, compacto")</f>
        <v>grande recurso de zoom, megapixels melhorou, compacto</v>
      </c>
      <c r="B41932" s="3">
        <v>1</v>
      </c>
    </row>
    <row r="41933" ht="15.75" customHeight="1" spans="1:2">
      <c r="A41933" s="3" t="str">
        <f>IFERROR(__xludf.DUMMYFUNCTION("GOOGLETRANSLATE(A41933,""en"",""pt"")"),"tamanho muito pequeno, bom acabamento, tela anti-reflexo, fácil - basta point-and-shoot")</f>
        <v>tamanho muito pequeno, bom acabamento, tela anti-reflexo, fácil - basta point-and-shoot</v>
      </c>
      <c r="B41933" s="3">
        <v>1</v>
      </c>
    </row>
    <row r="41934" ht="15.75" customHeight="1" spans="1:2">
      <c r="A41934" s="3" t="str">
        <f>IFERROR(__xludf.DUMMYFUNCTION("GOOGLETRANSLATE(A41934,""en"",""pt"")"),"tamanho, poder, funções, facilidade de uso")</f>
        <v>tamanho, poder, funções, facilidade de uso</v>
      </c>
      <c r="B41934" s="3">
        <v>1</v>
      </c>
    </row>
    <row r="41935" ht="15.75" customHeight="1" spans="1:2">
      <c r="A41935" s="3" t="str">
        <f>IFERROR(__xludf.DUMMYFUNCTION("GOOGLETRANSLATE(A41935,""en"",""pt"")"),"Pequeno, sólida, bem desenhado, 4MP, 3x de zoom, excelente com pouca luz, ótimas fotos!")</f>
        <v>Pequeno, sólida, bem desenhado, 4MP, 3x de zoom, excelente com pouca luz, ótimas fotos!</v>
      </c>
      <c r="B41935" s="3">
        <v>1</v>
      </c>
    </row>
    <row r="41936" ht="15.75" customHeight="1" spans="1:2">
      <c r="A41936" s="3" t="str">
        <f>IFERROR(__xludf.DUMMYFUNCTION("GOOGLETRANSLATE(A41936,""en"",""pt"")"),"Tamanho, 4MP, fácil de usar recursos, rápido no tempo, a resposta rápida do obturador")</f>
        <v>Tamanho, 4MP, fácil de usar recursos, rápido no tempo, a resposta rápida do obturador</v>
      </c>
      <c r="B41936" s="3">
        <v>1</v>
      </c>
    </row>
    <row r="41937" ht="15.75" customHeight="1" spans="1:2">
      <c r="A41937" s="3" t="str">
        <f>IFERROR(__xludf.DUMMYFUNCTION("GOOGLETRANSLATE(A41937,""en"",""pt"")"),"imagens nítidas, grandes estampas, fácil de usar, tamanho compacto")</f>
        <v>imagens nítidas, grandes estampas, fácil de usar, tamanho compacto</v>
      </c>
      <c r="B41937" s="3">
        <v>1</v>
      </c>
    </row>
    <row r="41938" ht="15.75" customHeight="1" spans="1:2">
      <c r="A41938" s="3" t="str">
        <f>IFERROR(__xludf.DUMMYFUNCTION("GOOGLETRANSLATE(A41938,""en"",""pt"")"),"O tamanho pequeno, muito atraente, construção durável, 4 megapixels, 3x zoom.")</f>
        <v>O tamanho pequeno, muito atraente, construção durável, 4 megapixels, 3x zoom.</v>
      </c>
      <c r="B41938" s="3">
        <v>1</v>
      </c>
    </row>
    <row r="41939" ht="15.75" customHeight="1" spans="1:2">
      <c r="A41939" s="3" t="str">
        <f>IFERROR(__xludf.DUMMYFUNCTION("GOOGLETRANSLATE(A41939,""en"",""pt"")"),"excelente qualidade de imagem em 4,0 megapixels, fácil de usar, pequeno e elegante")</f>
        <v>excelente qualidade de imagem em 4,0 megapixels, fácil de usar, pequeno e elegante</v>
      </c>
      <c r="B41939" s="3">
        <v>1</v>
      </c>
    </row>
    <row r="41940" ht="15.75" customHeight="1" spans="1:2">
      <c r="A41940" s="3" t="str">
        <f>IFERROR(__xludf.DUMMYFUNCTION("GOOGLETRANSLATE(A41940,""en"",""pt"")"),"Pequeno, Luz, 4.0 MP, Prints Grande Pictures, redução Boa Red Eye, 3X zoom,,,")</f>
        <v>Pequeno, Luz, 4.0 MP, Prints Grande Pictures, redução Boa Red Eye, 3X zoom,,,</v>
      </c>
      <c r="B41940" s="3">
        <v>1</v>
      </c>
    </row>
    <row r="41941" ht="15.75" customHeight="1" spans="1:2">
      <c r="A41941" s="3" t="str">
        <f>IFERROR(__xludf.DUMMYFUNCTION("GOOGLETRANSLATE(A41941,""en"",""pt"")"),"Um grande overeall câmera")</f>
        <v>Um grande overeall câmera</v>
      </c>
      <c r="B41941" s="3">
        <v>1</v>
      </c>
    </row>
    <row r="41942" ht="15.75" customHeight="1" spans="1:2">
      <c r="A41942" s="3" t="str">
        <f>IFERROR(__xludf.DUMMYFUNCTION("GOOGLETRANSLATE(A41942,""en"",""pt"")"),"Excelente qualidade de imagem, pocketability, cânone qualidade")</f>
        <v>Excelente qualidade de imagem, pocketability, cânone qualidade</v>
      </c>
      <c r="B41942" s="3">
        <v>1</v>
      </c>
    </row>
    <row r="41943" ht="15.75" customHeight="1" spans="1:2">
      <c r="A41943" s="3" t="str">
        <f>IFERROR(__xludf.DUMMYFUNCTION("GOOGLETRANSLATE(A41943,""en"",""pt"")"),"pequeno, compacto, rápido começar, ótimas fotos, corpo de metal, grande LCD")</f>
        <v>pequeno, compacto, rápido começar, ótimas fotos, corpo de metal, grande LCD</v>
      </c>
      <c r="B41943" s="3">
        <v>1</v>
      </c>
    </row>
    <row r="41944" ht="15.75" customHeight="1" spans="1:2">
      <c r="A41944" s="3" t="str">
        <f>IFERROR(__xludf.DUMMYFUNCTION("GOOGLETRANSLATE(A41944,""en"",""pt"")"),"Pequeno, leve, construção forte")</f>
        <v>Pequeno, leve, construção forte</v>
      </c>
      <c r="B41944" s="3">
        <v>1</v>
      </c>
    </row>
    <row r="41945" ht="15.75" customHeight="1" spans="1:2">
      <c r="A41945" s="3" t="str">
        <f>IFERROR(__xludf.DUMMYFUNCTION("GOOGLETRANSLATE(A41945,""en"",""pt"")"),"Tamanho, Imagens")</f>
        <v>Tamanho, Imagens</v>
      </c>
      <c r="B41945" s="3">
        <v>1</v>
      </c>
    </row>
    <row r="41946" ht="15.75" customHeight="1" spans="1:2">
      <c r="A41946" s="3" t="str">
        <f>IFERROR(__xludf.DUMMYFUNCTION("GOOGLETRANSLATE(A41946,""en"",""pt"")"),"Muito portátil &amp; amp; durável, excelente qualidade de imagem")</f>
        <v>Muito portátil &amp; amp; durável, excelente qualidade de imagem</v>
      </c>
      <c r="B41946" s="3">
        <v>1</v>
      </c>
    </row>
    <row r="41947" ht="15.75" customHeight="1" spans="1:2">
      <c r="A41947" s="3" t="str">
        <f>IFERROR(__xludf.DUMMYFUNCTION("GOOGLETRANSLATE(A41947,""en"",""pt"")"),"Tamanho, Durabilidade, replicação de cores é excelente para o preço, algumas relíquias, filmes MPEG grande, óptico 3x")</f>
        <v>Tamanho, Durabilidade, replicação de cores é excelente para o preço, algumas relíquias, filmes MPEG grande, óptico 3x</v>
      </c>
      <c r="B41947" s="3">
        <v>1</v>
      </c>
    </row>
    <row r="41948" ht="15.75" customHeight="1" spans="1:2">
      <c r="A41948" s="3" t="str">
        <f>IFERROR(__xludf.DUMMYFUNCTION("GOOGLETRANSLATE(A41948,""en"",""pt"")"),"Compacto e pequeno, perfeito para levar em torno de um bolso, ótimas fotos,")</f>
        <v>Compacto e pequeno, perfeito para levar em torno de um bolso, ótimas fotos,</v>
      </c>
      <c r="B41948" s="3">
        <v>1</v>
      </c>
    </row>
    <row r="41949" ht="15.75" customHeight="1" spans="1:2">
      <c r="A41949" s="3" t="str">
        <f>IFERROR(__xludf.DUMMYFUNCTION("GOOGLETRANSLATE(A41949,""en"",""pt"")"),"pequeno e leve, tira boas fotos em condições adequadas")</f>
        <v>pequeno e leve, tira boas fotos em condições adequadas</v>
      </c>
      <c r="B41949" s="3">
        <v>1</v>
      </c>
    </row>
    <row r="41950" ht="15.75" customHeight="1" spans="1:2">
      <c r="A41950" s="3" t="str">
        <f>IFERROR(__xludf.DUMMYFUNCTION("GOOGLETRANSLATE(A41950,""en"",""pt"")"),"Ótima câmera diária. Ele vai quase em qualquer lugar e tira ótimas fotos")</f>
        <v>Ótima câmera diária. Ele vai quase em qualquer lugar e tira ótimas fotos</v>
      </c>
      <c r="B41950" s="3">
        <v>1</v>
      </c>
    </row>
    <row r="41951" ht="15.75" customHeight="1" spans="1:2">
      <c r="A41951" s="3" t="str">
        <f>IFERROR(__xludf.DUMMYFUNCTION("GOOGLETRANSLATE(A41951,""en"",""pt"")"),"Leve e compacto, 4 Megapixels, excelente qualidade de imagem, bom software")</f>
        <v>Leve e compacto, 4 Megapixels, excelente qualidade de imagem, bom software</v>
      </c>
      <c r="B41951" s="3">
        <v>1</v>
      </c>
    </row>
    <row r="41952" ht="15.75" customHeight="1" spans="1:2">
      <c r="A41952" s="3" t="str">
        <f>IFERROR(__xludf.DUMMYFUNCTION("GOOGLETRANSLATE(A41952,""en"",""pt"")"),"add da Costco ons (batterie extra e estojo de couro); INCONDICIONAL GARANTIA DO DINHEIRO DE VOLTA SEM restrição de tempo")</f>
        <v>add da Costco ons (batterie extra e estojo de couro); INCONDICIONAL GARANTIA DO DINHEIRO DE VOLTA SEM restrição de tempo</v>
      </c>
      <c r="B41952" s="3">
        <v>1</v>
      </c>
    </row>
    <row r="41953" ht="15.75" customHeight="1" spans="1:2">
      <c r="A41953" s="3" t="str">
        <f>IFERROR(__xludf.DUMMYFUNCTION("GOOGLETRANSLATE(A41953,""en"",""pt"")"),"Pequeno, 4 megapixels, elegante procurando, sem atraso para tirar uma foto, idiota prova")</f>
        <v>Pequeno, 4 megapixels, elegante procurando, sem atraso para tirar uma foto, idiota prova</v>
      </c>
      <c r="B41953" s="3">
        <v>1</v>
      </c>
    </row>
    <row r="41954" ht="15.75" customHeight="1" spans="1:2">
      <c r="A41954" s="3" t="str">
        <f>IFERROR(__xludf.DUMMYFUNCTION("GOOGLETRANSLATE(A41954,""en"",""pt"")"),"Pequeno, imagens fantásticas, brilhante LCD, fácil de usar!")</f>
        <v>Pequeno, imagens fantásticas, brilhante LCD, fácil de usar!</v>
      </c>
      <c r="B41954" s="3">
        <v>1</v>
      </c>
    </row>
    <row r="41955" ht="15.75" customHeight="1" spans="1:2">
      <c r="A41955" s="3" t="str">
        <f>IFERROR(__xludf.DUMMYFUNCTION("GOOGLETRANSLATE(A41955,""en"",""pt"")"),"Tamanho compacto, 4 megapixels, e uma grande conjunto de recursos")</f>
        <v>Tamanho compacto, 4 megapixels, e uma grande conjunto de recursos</v>
      </c>
      <c r="B41955" s="3">
        <v>1</v>
      </c>
    </row>
    <row r="41956" ht="15.75" customHeight="1" spans="1:2">
      <c r="A41956" s="3" t="str">
        <f>IFERROR(__xludf.DUMMYFUNCTION("GOOGLETRANSLATE(A41956,""en"",""pt"")"),"Excelente combinação de características da Canon Powershot S230 e G3")</f>
        <v>Excelente combinação de características da Canon Powershot S230 e G3</v>
      </c>
      <c r="B41956" s="3">
        <v>1</v>
      </c>
    </row>
    <row r="41957" ht="15.75" customHeight="1" spans="1:2">
      <c r="A41957" s="3" t="str">
        <f>IFERROR(__xludf.DUMMYFUNCTION("GOOGLETRANSLATE(A41957,""en"",""pt"")"),"4 megapixels. modo de filme. Ótimas fotos!")</f>
        <v>4 megapixels. modo de filme. Ótimas fotos!</v>
      </c>
      <c r="B41957" s="3">
        <v>1</v>
      </c>
    </row>
    <row r="41958" ht="15.75" customHeight="1" spans="1:2">
      <c r="A41958" s="3" t="str">
        <f>IFERROR(__xludf.DUMMYFUNCTION("GOOGLETRANSLATE(A41958,""en"",""pt"")"),"Fotos excelentes, fácil de usar, bateria de longa duração, Quick")</f>
        <v>Fotos excelentes, fácil de usar, bateria de longa duração, Quick</v>
      </c>
      <c r="B41958" s="3">
        <v>1</v>
      </c>
    </row>
    <row r="41959" ht="15.75" customHeight="1" spans="1:2">
      <c r="A41959" s="3" t="str">
        <f>IFERROR(__xludf.DUMMYFUNCTION("GOOGLETRANSLATE(A41959,""en"",""pt"")"),"O tamanho pequeno, ótimas fotos, semi-pro características.")</f>
        <v>O tamanho pequeno, ótimas fotos, semi-pro características.</v>
      </c>
      <c r="B41959" s="3">
        <v>1</v>
      </c>
    </row>
    <row r="41960" ht="15.75" customHeight="1" spans="1:2">
      <c r="A41960" s="3" t="str">
        <f>IFERROR(__xludf.DUMMYFUNCTION("GOOGLETRANSLATE(A41960,""en"",""pt"")"),"Grande qualidade da foto, fácil de usar para um novato e caso robusto.")</f>
        <v>Grande qualidade da foto, fácil de usar para um novato e caso robusto.</v>
      </c>
      <c r="B41960" s="3">
        <v>1</v>
      </c>
    </row>
    <row r="41961" ht="15.75" customHeight="1" spans="1:2">
      <c r="A41961" s="3" t="str">
        <f>IFERROR(__xludf.DUMMYFUNCTION("GOOGLETRANSLATE(A41961,""en"",""pt"")"),"Leve, caixa de metal, boa resolução de imagem, Características")</f>
        <v>Leve, caixa de metal, boa resolução de imagem, Características</v>
      </c>
      <c r="B41961" s="3">
        <v>1</v>
      </c>
    </row>
    <row r="41962" ht="15.75" customHeight="1" spans="1:2">
      <c r="A41962" s="3" t="str">
        <f>IFERROR(__xludf.DUMMYFUNCTION("GOOGLETRANSLATE(A41962,""en"",""pt"")"),"Tamanho compacto, de boa qualidade Display LCD, 4 Megapixel, todos os recursos profissionais")</f>
        <v>Tamanho compacto, de boa qualidade Display LCD, 4 Megapixel, todos os recursos profissionais</v>
      </c>
      <c r="B41962" s="3">
        <v>1</v>
      </c>
    </row>
    <row r="41963" ht="15.75" customHeight="1" spans="1:2">
      <c r="A41963" s="3" t="str">
        <f>IFERROR(__xludf.DUMMYFUNCTION("GOOGLETRANSLATE(A41963,""en"",""pt"")"),"tamanho compacto, toda caixa de metal, foco rápido")</f>
        <v>tamanho compacto, toda caixa de metal, foco rápido</v>
      </c>
      <c r="B41963" s="3">
        <v>1</v>
      </c>
    </row>
    <row r="41964" ht="15.75" customHeight="1" spans="1:2">
      <c r="A41964" s="3" t="str">
        <f>IFERROR(__xludf.DUMMYFUNCTION("GOOGLETRANSLATE(A41964,""en"",""pt"")"),"Fotos excelentes, uma abundância de controles criativos e muito iniciante-friendly demasiado")</f>
        <v>Fotos excelentes, uma abundância de controles criativos e muito iniciante-friendly demasiado</v>
      </c>
      <c r="B41964" s="3">
        <v>1</v>
      </c>
    </row>
    <row r="41965" ht="15.75" customHeight="1" spans="1:2">
      <c r="A41965" s="3" t="str">
        <f>IFERROR(__xludf.DUMMYFUNCTION("GOOGLETRANSLATE(A41965,""en"",""pt"")"),"Compacto, excelente qualidade de imagem, muitas opções, formato bruto disponível")</f>
        <v>Compacto, excelente qualidade de imagem, muitas opções, formato bruto disponível</v>
      </c>
      <c r="B41965" s="3">
        <v>1</v>
      </c>
    </row>
    <row r="41966" ht="15.75" customHeight="1" spans="1:2">
      <c r="A41966" s="3" t="str">
        <f>IFERROR(__xludf.DUMMYFUNCTION("GOOGLETRANSLATE(A41966,""en"",""pt"")"),"Toneladas de recursos interessantes. De bolso e elegante. Ótimo para iniciantes fotografia ou entusiastas.")</f>
        <v>Toneladas de recursos interessantes. De bolso e elegante. Ótimo para iniciantes fotografia ou entusiastas.</v>
      </c>
      <c r="B41966" s="3">
        <v>1</v>
      </c>
    </row>
    <row r="41967" ht="15.75" customHeight="1" spans="1:2">
      <c r="A41967" s="3" t="str">
        <f>IFERROR(__xludf.DUMMYFUNCTION("GOOGLETRANSLATE(A41967,""en"",""pt"")"),"Pequeno, se sente bem na mão, excelente qualidade de imagem, costume velocidade do obturador ea abertura controlável")</f>
        <v>Pequeno, se sente bem na mão, excelente qualidade de imagem, costume velocidade do obturador ea abertura controlável</v>
      </c>
      <c r="B41967" s="3">
        <v>1</v>
      </c>
    </row>
    <row r="41968" ht="15.75" customHeight="1" spans="1:2">
      <c r="A41968" s="3" t="str">
        <f>IFERROR(__xludf.DUMMYFUNCTION("GOOGLETRANSLATE(A41968,""en"",""pt"")"),"Tamanho compacto, resolução de 5 megapixel, facilidade de utilização, e um monte de opções de fotografia criativa,")</f>
        <v>Tamanho compacto, resolução de 5 megapixel, facilidade de utilização, e um monte de opções de fotografia criativa,</v>
      </c>
      <c r="B41968" s="3">
        <v>1</v>
      </c>
    </row>
    <row r="41969" ht="15.75" customHeight="1" spans="1:2">
      <c r="A41969" s="3" t="str">
        <f>IFERROR(__xludf.DUMMYFUNCTION("GOOGLETRANSLATE(A41969,""en"",""pt"")"),"Alta qualidade de 5MP Pictures, Body &amp; amp Sólidos; Controles fáceis")</f>
        <v>Alta qualidade de 5MP Pictures, Body &amp; amp Sólidos; Controles fáceis</v>
      </c>
      <c r="B41969" s="3">
        <v>1</v>
      </c>
    </row>
    <row r="41970" ht="15.75" customHeight="1" spans="1:2">
      <c r="A41970" s="3" t="str">
        <f>IFERROR(__xludf.DUMMYFUNCTION("GOOGLETRANSLATE(A41970,""en"",""pt"")"),"Excelente qualidade de imagem, interface de usuário fácil na câmera")</f>
        <v>Excelente qualidade de imagem, interface de usuário fácil na câmera</v>
      </c>
      <c r="B41970" s="3">
        <v>1</v>
      </c>
    </row>
    <row r="41971" ht="15.75" customHeight="1" spans="1:2">
      <c r="A41971" s="3" t="str">
        <f>IFERROR(__xludf.DUMMYFUNCTION("GOOGLETRANSLATE(A41971,""en"",""pt"")"),"rico em recursos")</f>
        <v>rico em recursos</v>
      </c>
      <c r="B41971" s="3">
        <v>1</v>
      </c>
    </row>
    <row r="41972" ht="15.75" customHeight="1" spans="1:2">
      <c r="A41972" s="3" t="str">
        <f>IFERROR(__xludf.DUMMYFUNCTION("GOOGLETRANSLATE(A41972,""en"",""pt"")"),"O Tamanho deu a limpeza de uma câmera")</f>
        <v>O Tamanho deu a limpeza de uma câmera</v>
      </c>
      <c r="B41972" s="3">
        <v>1</v>
      </c>
    </row>
    <row r="41973" ht="15.75" customHeight="1" spans="1:2">
      <c r="A41973" s="3" t="str">
        <f>IFERROR(__xludf.DUMMYFUNCTION("GOOGLETRANSLATE(A41973,""en"",""pt"")"),"5 MegaPixels, design compacto, bom número de recursos")</f>
        <v>5 MegaPixels, design compacto, bom número de recursos</v>
      </c>
      <c r="B41973" s="3">
        <v>1</v>
      </c>
    </row>
    <row r="41974" ht="15.75" customHeight="1" spans="1:2">
      <c r="A41974" s="3" t="str">
        <f>IFERROR(__xludf.DUMMYFUNCTION("GOOGLETRANSLATE(A41974,""en"",""pt"")"),"Excelente qualidade de imagem, bom sistema de focagem, versátil controles manuais, tamanho pequeno, construção de qualidade.")</f>
        <v>Excelente qualidade de imagem, bom sistema de focagem, versátil controles manuais, tamanho pequeno, construção de qualidade.</v>
      </c>
      <c r="B41974" s="3">
        <v>1</v>
      </c>
    </row>
    <row r="41975" ht="15.75" customHeight="1" spans="1:2">
      <c r="A41975" s="3" t="str">
        <f>IFERROR(__xludf.DUMMYFUNCTION("GOOGLETRANSLATE(A41975,""en"",""pt"")"),"5 MP, recursos manuais, construção, imagens de qualidade, interface de software, carregador rápido.")</f>
        <v>5 MP, recursos manuais, construção, imagens de qualidade, interface de software, carregador rápido.</v>
      </c>
      <c r="B41975" s="3">
        <v>1</v>
      </c>
    </row>
    <row r="41976" ht="15.75" customHeight="1" spans="1:2">
      <c r="A41976" s="3" t="str">
        <f>IFERROR(__xludf.DUMMYFUNCTION("GOOGLETRANSLATE(A41976,""en"",""pt"")"),"Tamanho compacto, 5 megapixels, carregador rápido")</f>
        <v>Tamanho compacto, 5 megapixels, carregador rápido</v>
      </c>
      <c r="B41976" s="3">
        <v>1</v>
      </c>
    </row>
    <row r="41977" ht="15.75" customHeight="1" spans="1:2">
      <c r="A41977" s="3" t="str">
        <f>IFERROR(__xludf.DUMMYFUNCTION("GOOGLETRANSLATE(A41977,""en"",""pt"")"),"sólida, qualidade de construção, facilidade de uso, excelente qualidade de imagem")</f>
        <v>sólida, qualidade de construção, facilidade de uso, excelente qualidade de imagem</v>
      </c>
      <c r="B41977" s="3">
        <v>1</v>
      </c>
    </row>
    <row r="41978" ht="15.75" customHeight="1" spans="1:2">
      <c r="A41978" s="3" t="str">
        <f>IFERROR(__xludf.DUMMYFUNCTION("GOOGLETRANSLATE(A41978,""en"",""pt"")"),"qualidade cânone, resolução de 5MP, essencialmente, um g5 encolhido")</f>
        <v>qualidade cânone, resolução de 5MP, essencialmente, um g5 encolhido</v>
      </c>
      <c r="B41978" s="3">
        <v>1</v>
      </c>
    </row>
    <row r="41979" ht="15.75" customHeight="1" spans="1:2">
      <c r="A41979" s="3" t="str">
        <f>IFERROR(__xludf.DUMMYFUNCTION("GOOGLETRANSLATE(A41979,""en"",""pt"")"),"Alta resolução, resistente e corpo de metal bastante compacto, recursos avançados")</f>
        <v>Alta resolução, resistente e corpo de metal bastante compacto, recursos avançados</v>
      </c>
      <c r="B41979" s="3">
        <v>1</v>
      </c>
    </row>
    <row r="41980" ht="15.75" customHeight="1" spans="1:2">
      <c r="A41980" s="3" t="str">
        <f>IFERROR(__xludf.DUMMYFUNCTION("GOOGLETRANSLATE(A41980,""en"",""pt"")"),"Tamanho compacto, cor bonita, elegante design, resolução de 5MP.")</f>
        <v>Tamanho compacto, cor bonita, elegante design, resolução de 5MP.</v>
      </c>
      <c r="B41980" s="3">
        <v>1</v>
      </c>
    </row>
    <row r="41981" ht="15.75" customHeight="1" spans="1:2">
      <c r="A41981" s="3" t="str">
        <f>IFERROR(__xludf.DUMMYFUNCTION("GOOGLETRANSLATE(A41981,""en"",""pt"")"),"todo o metal sólido corpo compacto; lente de qualidade Canon; Fácil de usar.")</f>
        <v>todo o metal sólido corpo compacto; lente de qualidade Canon; Fácil de usar.</v>
      </c>
      <c r="B41981" s="3">
        <v>1</v>
      </c>
    </row>
    <row r="41982" ht="15.75" customHeight="1" spans="1:2">
      <c r="A41982" s="3" t="str">
        <f>IFERROR(__xludf.DUMMYFUNCTION("GOOGLETRANSLATE(A41982,""en"",""pt"")"),"qualidade, imagens alargáveis; resistente; capacidade macro")</f>
        <v>qualidade, imagens alargáveis; resistente; capacidade macro</v>
      </c>
      <c r="B41982" s="3">
        <v>1</v>
      </c>
    </row>
    <row r="41983" ht="15.75" customHeight="1" spans="1:2">
      <c r="A41983" s="3" t="str">
        <f>IFERROR(__xludf.DUMMYFUNCTION("GOOGLETRANSLATE(A41983,""en"",""pt"")"),"acabamento em preto, qualidade de imagem, a 5 megapixels.")</f>
        <v>acabamento em preto, qualidade de imagem, a 5 megapixels.</v>
      </c>
      <c r="B41983" s="3">
        <v>1</v>
      </c>
    </row>
    <row r="41984" ht="15.75" customHeight="1" spans="1:2">
      <c r="A41984" s="3" t="str">
        <f>IFERROR(__xludf.DUMMYFUNCTION("GOOGLETRANSLATE(A41984,""en"",""pt"")"),"imagens nítidas e excelente cor e contraste. interface intuitiva.")</f>
        <v>imagens nítidas e excelente cor e contraste. interface intuitiva.</v>
      </c>
      <c r="B41984" s="3">
        <v>1</v>
      </c>
    </row>
    <row r="41985" ht="15.75" customHeight="1" spans="1:2">
      <c r="A41985" s="3" t="str">
        <f>IFERROR(__xludf.DUMMYFUNCTION("GOOGLETRANSLATE(A41985,""en"",""pt"")"),"Rápido, qualidade de texto e fotos, fácil configuração, ótimo preço")</f>
        <v>Rápido, qualidade de texto e fotos, fácil configuração, ótimo preço</v>
      </c>
      <c r="B41985" s="3">
        <v>1</v>
      </c>
    </row>
    <row r="41986" ht="15.75" customHeight="1" spans="1:2">
      <c r="A41986" s="3" t="str">
        <f>IFERROR(__xludf.DUMMYFUNCTION("GOOGLETRANSLATE(A41986,""en"",""pt"")"),"Bom preço. impressão de texto / cor é muito bom e rápido.")</f>
        <v>Bom preço. impressão de texto / cor é muito bom e rápido.</v>
      </c>
      <c r="B41986" s="3">
        <v>1</v>
      </c>
    </row>
    <row r="41987" ht="15.75" customHeight="1" spans="1:2">
      <c r="A41987" s="3" t="str">
        <f>IFERROR(__xludf.DUMMYFUNCTION("GOOGLETRANSLATE(A41987,""en"",""pt"")"),"Ótimo preço e olhar")</f>
        <v>Ótimo preço e olhar</v>
      </c>
      <c r="B41987" s="3">
        <v>1</v>
      </c>
    </row>
    <row r="41988" ht="15.75" customHeight="1" spans="1:2">
      <c r="A41988" s="3" t="s">
        <v>214</v>
      </c>
      <c r="B41988" s="3">
        <v>1</v>
      </c>
    </row>
    <row r="41989" ht="15.75" customHeight="1" spans="1:2">
      <c r="A41989" s="3" t="str">
        <f>IFERROR(__xludf.DUMMYFUNCTION("GOOGLETRANSLATE(A41989,""en"",""pt"")"),"compacta para pequenos espaços, fácil de usar,")</f>
        <v>compacta para pequenos espaços, fácil de usar,</v>
      </c>
      <c r="B41989" s="3">
        <v>1</v>
      </c>
    </row>
    <row r="41990" ht="15.75" customHeight="1" spans="1:2">
      <c r="A41990" s="3" t="str">
        <f>IFERROR(__xludf.DUMMYFUNCTION("GOOGLETRANSLATE(A41990,""en"",""pt"")"),"Ótimo preço, impressão de boa qualidade no texto e foto usando papel fotográfico brilho.")</f>
        <v>Ótimo preço, impressão de boa qualidade no texto e foto usando papel fotográfico brilho.</v>
      </c>
      <c r="B41990" s="3">
        <v>1</v>
      </c>
    </row>
    <row r="41991" ht="15.75" customHeight="1" spans="1:2">
      <c r="A41991" s="3" t="str">
        <f>IFERROR(__xludf.DUMMYFUNCTION("GOOGLETRANSLATE(A41991,""en"",""pt"")"),"Baixo preço para os tanques de impressora e tinta, pequeno tamanho, velocidade de impressão e qualidade")</f>
        <v>Baixo preço para os tanques de impressora e tinta, pequeno tamanho, velocidade de impressão e qualidade</v>
      </c>
      <c r="B41991" s="3">
        <v>1</v>
      </c>
    </row>
    <row r="41992" ht="15.75" customHeight="1" spans="1:2">
      <c r="A41992" s="3" t="str">
        <f>IFERROR(__xludf.DUMMYFUNCTION("GOOGLETRANSLATE(A41992,""en"",""pt"")"),"preço, qualidade de impressão")</f>
        <v>preço, qualidade de impressão</v>
      </c>
      <c r="B41992" s="3">
        <v>1</v>
      </c>
    </row>
    <row r="41993" ht="15.75" customHeight="1" spans="1:2">
      <c r="A41993" s="3" t="str">
        <f>IFERROR(__xludf.DUMMYFUNCTION("GOOGLETRANSLATE(A41993,""en"",""pt"")"),"Rápido Velocidade de impressão, Boa preto e branco a cores, tanques de tinta barata.")</f>
        <v>Rápido Velocidade de impressão, Boa preto e branco a cores, tanques de tinta barata.</v>
      </c>
      <c r="B41993" s="3">
        <v>1</v>
      </c>
    </row>
    <row r="41994" ht="15.75" customHeight="1" spans="1:2">
      <c r="A41994" s="3" t="str">
        <f>IFERROR(__xludf.DUMMYFUNCTION("GOOGLETRANSLATE(A41994,""en"",""pt"")"),"Imprime excelente qualidade de foto, compacto uso, fácil e manutenção, USB")</f>
        <v>Imprime excelente qualidade de foto, compacto uso, fácil e manutenção, USB</v>
      </c>
      <c r="B41994" s="3">
        <v>1</v>
      </c>
    </row>
    <row r="41995" ht="15.75" customHeight="1" spans="1:2">
      <c r="A41995" s="3" t="str">
        <f>IFERROR(__xludf.DUMMYFUNCTION("GOOGLETRANSLATE(A41995,""en"",""pt"")"),"excelente preço, o uso eficiente de tinta, rápida, resolução decente, texto nítido e belas fotos")</f>
        <v>excelente preço, o uso eficiente de tinta, rápida, resolução decente, texto nítido e belas fotos</v>
      </c>
      <c r="B41995" s="3">
        <v>1</v>
      </c>
    </row>
    <row r="41996" ht="15.75" customHeight="1" spans="1:2">
      <c r="A41996" s="3" t="str">
        <f>IFERROR(__xludf.DUMMYFUNCTION("GOOGLETRANSLATE(A41996,""en"",""pt"")"),"Não")</f>
        <v>Não</v>
      </c>
      <c r="B41996" s="3">
        <v>1</v>
      </c>
    </row>
    <row r="41997" ht="15.75" customHeight="1" spans="1:2">
      <c r="A41997" s="3" t="str">
        <f>IFERROR(__xludf.DUMMYFUNCTION("GOOGLETRANSLATE(A41997,""en"",""pt"")"),"É bonito, imprime fotos grandes ... tinta é barato")</f>
        <v>É bonito, imprime fotos grandes ... tinta é barato</v>
      </c>
      <c r="B41997" s="3">
        <v>1</v>
      </c>
    </row>
    <row r="41998" ht="15.75" customHeight="1" spans="1:2">
      <c r="A41998" s="3" t="str">
        <f>IFERROR(__xludf.DUMMYFUNCTION("GOOGLETRANSLATE(A41998,""en"",""pt"")"),"Baixo preço, facilidade de instalação e uso, excelente saída de texto e boa saída de cores")</f>
        <v>Baixo preço, facilidade de instalação e uso, excelente saída de texto e boa saída de cores</v>
      </c>
      <c r="B41998" s="3">
        <v>1</v>
      </c>
    </row>
    <row r="41999" ht="15.75" customHeight="1" spans="1:2">
      <c r="A41999" s="3" t="str">
        <f>IFERROR(__xludf.DUMMYFUNCTION("GOOGLETRANSLATE(A41999,""en"",""pt"")"),"qualidade do texto fotos + e preço da tinta !!!")</f>
        <v>qualidade do texto fotos + e preço da tinta !!!</v>
      </c>
      <c r="B41999" s="3">
        <v>1</v>
      </c>
    </row>
    <row r="42000" ht="15.75" customHeight="1" spans="1:2">
      <c r="A42000" s="3" t="str">
        <f>IFERROR(__xludf.DUMMYFUNCTION("GOOGLETRANSLATE(A42000,""en"",""pt"")"),"Impressões rápidas e parece bom. A preços razoáveis ​​cartuchos de tinta.")</f>
        <v>Impressões rápidas e parece bom. A preços razoáveis ​​cartuchos de tinta.</v>
      </c>
      <c r="B42000" s="3">
        <v>1</v>
      </c>
    </row>
    <row r="42001" ht="15.75" customHeight="1" spans="1:2">
      <c r="A42001" s="3" t="str">
        <f>IFERROR(__xludf.DUMMYFUNCTION("GOOGLETRANSLATE(A42001,""en"",""pt"")"),"Barato, impressão rápida e de manutenção barata, rápida USB!")</f>
        <v>Barato, impressão rápida e de manutenção barata, rápida USB!</v>
      </c>
      <c r="B42001" s="3">
        <v>1</v>
      </c>
    </row>
    <row r="42002" ht="15.75" customHeight="1" spans="1:2">
      <c r="A42002" s="3" t="str">
        <f>IFERROR(__xludf.DUMMYFUNCTION("GOOGLETRANSLATE(A42002,""en"",""pt"")"),"Fácil de instalar, velocidade decente, imprime em silêncio")</f>
        <v>Fácil de instalar, velocidade decente, imprime em silêncio</v>
      </c>
      <c r="B42002" s="3">
        <v>1</v>
      </c>
    </row>
    <row r="42003" ht="15.75" customHeight="1" spans="1:2">
      <c r="A42003" s="3" t="str">
        <f>IFERROR(__xludf.DUMMYFUNCTION("GOOGLETRANSLATE(A42003,""en"",""pt"")"),"texto e gráficos impressionantes qualidade, muito rápido, barato para comprar, barato funcionar")</f>
        <v>texto e gráficos impressionantes qualidade, muito rápido, barato para comprar, barato funcionar</v>
      </c>
      <c r="B42003" s="3">
        <v>1</v>
      </c>
    </row>
    <row r="42004" ht="15.75" customHeight="1" spans="1:2">
      <c r="A42004" s="3" t="str">
        <f>IFERROR(__xludf.DUMMYFUNCTION("GOOGLETRANSLATE(A42004,""en"",""pt"")"),"A grande qualidade, baixo custo, impressão rápida")</f>
        <v>A grande qualidade, baixo custo, impressão rápida</v>
      </c>
      <c r="B42004" s="3">
        <v>1</v>
      </c>
    </row>
    <row r="42005" ht="15.75" customHeight="1" spans="1:2">
      <c r="A42005" s="3" t="str">
        <f>IFERROR(__xludf.DUMMYFUNCTION("GOOGLETRANSLATE(A42005,""en"",""pt"")"),"Fácil de instalar &amp; amp; # 13; &amp; amp; # 10; &amp; amp; # 13; &amp; amp; # 10; instruções claras &amp; amp; # 13; &amp; amp; # 10; &amp; amp; # 13; &amp; amp; # 10; Mac &amp; amp; PC compatível incluindo OSX")</f>
        <v>Fácil de instalar &amp; amp; # 13; &amp; amp; # 10; &amp; amp; # 13; &amp; amp; # 10; instruções claras &amp; amp; # 13; &amp; amp; # 10; &amp; amp; # 13; &amp; amp; # 10; Mac &amp; amp; PC compatível incluindo OSX</v>
      </c>
      <c r="B42005" s="3">
        <v>1</v>
      </c>
    </row>
    <row r="42006" ht="15.75" customHeight="1" spans="1:2">
      <c r="A42006" s="3" t="str">
        <f>IFERROR(__xludf.DUMMYFUNCTION("GOOGLETRANSLATE(A42006,""en"",""pt"")"),"Velocidade de impressão, Software, Qualidade de impressão, &amp; amp; # 13; &amp; amp; # 10; Preço, tinteiros individuais.")</f>
        <v>Velocidade de impressão, Software, Qualidade de impressão, &amp; amp; # 13; &amp; amp; # 10; Preço, tinteiros individuais.</v>
      </c>
      <c r="B42006" s="3">
        <v>1</v>
      </c>
    </row>
    <row r="42007" ht="15.75" customHeight="1" spans="1:2">
      <c r="A42007" s="3" t="str">
        <f>IFERROR(__xludf.DUMMYFUNCTION("GOOGLETRANSLATE(A42007,""en"",""pt"")"),"Quiet &amp; amp; rápido; versátil")</f>
        <v>Quiet &amp; amp; rápido; versátil</v>
      </c>
      <c r="B42007" s="3">
        <v>1</v>
      </c>
    </row>
    <row r="42008" ht="15.75" customHeight="1" spans="1:2">
      <c r="A42008" s="3" t="str">
        <f>IFERROR(__xludf.DUMMYFUNCTION("GOOGLETRANSLATE(A42008,""en"",""pt"")"),"Boa qualidade de impressão e velocidade para uso doméstico.")</f>
        <v>Boa qualidade de impressão e velocidade para uso doméstico.</v>
      </c>
      <c r="B42008" s="3">
        <v>1</v>
      </c>
    </row>
    <row r="42009" ht="15.75" customHeight="1" spans="1:2">
      <c r="A42009" s="3" t="str">
        <f>IFERROR(__xludf.DUMMYFUNCTION("GOOGLETRANSLATE(A42009,""en"",""pt"")"),"fidelidade de cores e resolução")</f>
        <v>fidelidade de cores e resolução</v>
      </c>
      <c r="B42009" s="3">
        <v>1</v>
      </c>
    </row>
    <row r="42010" ht="15.75" customHeight="1" spans="1:2">
      <c r="A42010" s="3" t="str">
        <f>IFERROR(__xludf.DUMMYFUNCTION("GOOGLETRANSLATE(A42010,""en"",""pt"")"),"Bom valor, cartuchos de tinta individuais, fácil de usar, impressão rápida")</f>
        <v>Bom valor, cartuchos de tinta individuais, fácil de usar, impressão rápida</v>
      </c>
      <c r="B42010" s="3">
        <v>1</v>
      </c>
    </row>
    <row r="42011" ht="15.75" customHeight="1" spans="1:2">
      <c r="A42011" s="3" t="str">
        <f>IFERROR(__xludf.DUMMYFUNCTION("GOOGLETRANSLATE(A42011,""en"",""pt"")"),"Barato.")</f>
        <v>Barato.</v>
      </c>
      <c r="B42011" s="3">
        <v>1</v>
      </c>
    </row>
    <row r="42012" ht="15.75" customHeight="1" spans="1:2">
      <c r="A42012" s="3" t="str">
        <f>IFERROR(__xludf.DUMMYFUNCTION("GOOGLETRANSLATE(A42012,""en"",""pt"")"),"Excelente qualidade de impressão, de baixo custo, ótimo sistema de tinta, resistente, bem construído, parece ótimo.")</f>
        <v>Excelente qualidade de impressão, de baixo custo, ótimo sistema de tinta, resistente, bem construído, parece ótimo.</v>
      </c>
      <c r="B42012" s="3">
        <v>1</v>
      </c>
    </row>
    <row r="42013" ht="15.75" customHeight="1" spans="1:2">
      <c r="A42013" s="3" t="str">
        <f>IFERROR(__xludf.DUMMYFUNCTION("GOOGLETRANSLATE(A42013,""en"",""pt"")"),"impressão de qualidade, fácil de usar, tinta acessível")</f>
        <v>impressão de qualidade, fácil de usar, tinta acessível</v>
      </c>
      <c r="B42013" s="3">
        <v>1</v>
      </c>
    </row>
    <row r="42014" ht="15.75" customHeight="1" spans="1:2">
      <c r="A42014" s="3" t="str">
        <f>IFERROR(__xludf.DUMMYFUNCTION("GOOGLETRANSLATE(A42014,""en"",""pt"")"),"4 cartuchos de tinta separados")</f>
        <v>4 cartuchos de tinta separados</v>
      </c>
      <c r="B42014" s="3">
        <v>1</v>
      </c>
    </row>
    <row r="42015" ht="15.75" customHeight="1" spans="1:2">
      <c r="A42015" s="3" t="str">
        <f>IFERROR(__xludf.DUMMYFUNCTION("GOOGLETRANSLATE(A42015,""en"",""pt"")"),"Imprimir boa qualidade, barato preço de compra, barato cartuchos de tinta")</f>
        <v>Imprimir boa qualidade, barato preço de compra, barato cartuchos de tinta</v>
      </c>
      <c r="B42015" s="3">
        <v>1</v>
      </c>
    </row>
    <row r="42016" ht="15.75" customHeight="1" spans="1:2">
      <c r="A42016" s="3" t="str">
        <f>IFERROR(__xludf.DUMMYFUNCTION("GOOGLETRANSLATE(A42016,""en"",""pt"")"),"tinta de baixo custo. Jejuar com o texto.")</f>
        <v>tinta de baixo custo. Jejuar com o texto.</v>
      </c>
      <c r="B42016" s="3">
        <v>1</v>
      </c>
    </row>
    <row r="42017" ht="15.75" customHeight="1" spans="1:2">
      <c r="A42017" s="3" t="str">
        <f>IFERROR(__xludf.DUMMYFUNCTION("GOOGLETRANSLATE(A42017,""en"",""pt"")"),"silenciosa e rápida para um uso pessoal")</f>
        <v>silenciosa e rápida para um uso pessoal</v>
      </c>
      <c r="B42017" s="3">
        <v>1</v>
      </c>
    </row>
    <row r="42018" ht="15.75" customHeight="1" spans="1:2">
      <c r="A42018" s="3" t="str">
        <f>IFERROR(__xludf.DUMMYFUNCTION("GOOGLETRANSLATE(A42018,""en"",""pt"")"),"nível de ruído é muito tolerável, aceita cabo de impressora ou USB. As cores são de alta qualidade.")</f>
        <v>nível de ruído é muito tolerável, aceita cabo de impressora ou USB. As cores são de alta qualidade.</v>
      </c>
      <c r="B42018" s="3">
        <v>1</v>
      </c>
    </row>
    <row r="42019" ht="15.75" customHeight="1" spans="1:2">
      <c r="A42019" s="3" t="str">
        <f>IFERROR(__xludf.DUMMYFUNCTION("GOOGLETRANSLATE(A42019,""en"",""pt"")"),"grande qualidade de foto e impressão rápida")</f>
        <v>grande qualidade de foto e impressão rápida</v>
      </c>
      <c r="B42019" s="3">
        <v>1</v>
      </c>
    </row>
    <row r="42020" ht="15.75" customHeight="1" spans="1:2">
      <c r="A42020" s="3" t="str">
        <f>IFERROR(__xludf.DUMMYFUNCTION("GOOGLETRANSLATE(A42020,""en"",""pt"")"),"impressora de atraente, fácil de usar.")</f>
        <v>impressora de atraente, fácil de usar.</v>
      </c>
      <c r="B42020" s="3">
        <v>1</v>
      </c>
    </row>
    <row r="42021" ht="15.75" customHeight="1" spans="1:2">
      <c r="A42021" s="3" t="str">
        <f>IFERROR(__xludf.DUMMYFUNCTION("GOOGLETRANSLATE(A42021,""en"",""pt"")"),"Capaz de mudar suprimentos de tinta individuais.")</f>
        <v>Capaz de mudar suprimentos de tinta individuais.</v>
      </c>
      <c r="B42021" s="3">
        <v>1</v>
      </c>
    </row>
    <row r="42022" ht="15.75" customHeight="1" spans="1:2">
      <c r="A42022" s="3" t="str">
        <f>IFERROR(__xludf.DUMMYFUNCTION("GOOGLETRANSLATE(A42022,""en"",""pt"")"),"Usa muito pouca tinta tão cartuchos passado, cabeça de impressão de auto-limpeza, fácil de configurar.")</f>
        <v>Usa muito pouca tinta tão cartuchos passado, cabeça de impressão de auto-limpeza, fácil de configurar.</v>
      </c>
      <c r="B42022" s="3">
        <v>1</v>
      </c>
    </row>
    <row r="42023" ht="15.75" customHeight="1" spans="1:2">
      <c r="A42023" s="3" t="str">
        <f>IFERROR(__xludf.DUMMYFUNCTION("GOOGLETRANSLATE(A42023,""en"",""pt"")"),"Rápido, de boa qualidade, os tanques de tinta barata")</f>
        <v>Rápido, de boa qualidade, os tanques de tinta barata</v>
      </c>
      <c r="B42023" s="3">
        <v>1</v>
      </c>
    </row>
    <row r="42024" ht="15.75" customHeight="1" spans="1:2">
      <c r="A42024" s="3" t="str">
        <f>IFERROR(__xludf.DUMMYFUNCTION("GOOGLETRANSLATE(A42024,""en"",""pt"")"),"Velocidade, qualidade, nível de ruído")</f>
        <v>Velocidade, qualidade, nível de ruído</v>
      </c>
      <c r="B42024" s="3">
        <v>1</v>
      </c>
    </row>
    <row r="42025" ht="15.75" customHeight="1" spans="1:2">
      <c r="A42025" s="3" t="str">
        <f>IFERROR(__xludf.DUMMYFUNCTION("GOOGLETRANSLATE(A42025,""en"",""pt"")"),"Excelente qualidade de impressão.")</f>
        <v>Excelente qualidade de impressão.</v>
      </c>
      <c r="B42025" s="3">
        <v>1</v>
      </c>
    </row>
    <row r="42026" ht="15.75" customHeight="1" spans="1:2">
      <c r="A42026" s="3" t="str">
        <f>IFERROR(__xludf.DUMMYFUNCTION("GOOGLETRANSLATE(A42026,""en"",""pt"")"),"Excelente qualidade de impressão e velocidade.")</f>
        <v>Excelente qualidade de impressão e velocidade.</v>
      </c>
      <c r="B42026" s="3">
        <v>1</v>
      </c>
    </row>
    <row r="42027" ht="15.75" customHeight="1" spans="1:2">
      <c r="A42027" s="3" t="str">
        <f>IFERROR(__xludf.DUMMYFUNCTION("GOOGLETRANSLATE(A42027,""en"",""pt"")"),"Fácil de configurar, impressão rápida, tinteiros fáceis ... tudo!")</f>
        <v>Fácil de configurar, impressão rápida, tinteiros fáceis ... tudo!</v>
      </c>
      <c r="B42027" s="3">
        <v>1</v>
      </c>
    </row>
    <row r="42028" ht="15.75" customHeight="1" spans="1:2">
      <c r="A42028" s="3" t="str">
        <f>IFERROR(__xludf.DUMMYFUNCTION("GOOGLETRANSLATE(A42028,""en"",""pt"")"),"Incrivelmente rápido.")</f>
        <v>Incrivelmente rápido.</v>
      </c>
      <c r="B42028" s="3">
        <v>1</v>
      </c>
    </row>
    <row r="42029" ht="15.75" customHeight="1" spans="1:2">
      <c r="A42029" s="3" t="str">
        <f>IFERROR(__xludf.DUMMYFUNCTION("GOOGLETRANSLATE(A42029,""en"",""pt"")"),"qualidade da cor é grande sistema de tinta, barato, inteligente!")</f>
        <v>qualidade da cor é grande sistema de tinta, barato, inteligente!</v>
      </c>
      <c r="B42029" s="3">
        <v>1</v>
      </c>
    </row>
    <row r="42030" ht="15.75" customHeight="1" spans="1:2">
      <c r="A42030" s="3" t="str">
        <f>IFERROR(__xludf.DUMMYFUNCTION("GOOGLETRANSLATE(A42030,""en"",""pt"")"),"É incrivelmente rápido, silencioso e simples de configurar.")</f>
        <v>É incrivelmente rápido, silencioso e simples de configurar.</v>
      </c>
      <c r="B42030" s="3">
        <v>1</v>
      </c>
    </row>
    <row r="42031" ht="15.75" customHeight="1" spans="1:2">
      <c r="A42031" s="3" t="str">
        <f>IFERROR(__xludf.DUMMYFUNCTION("GOOGLETRANSLATE(A42031,""en"",""pt"")"),"Fácil de usar, impressão rápida, fotos de boa qualidade, sistema de tanque de tinta, software")</f>
        <v>Fácil de usar, impressão rápida, fotos de boa qualidade, sistema de tanque de tinta, software</v>
      </c>
      <c r="B42031" s="3">
        <v>1</v>
      </c>
    </row>
    <row r="42032" ht="15.75" customHeight="1" spans="1:2">
      <c r="A42032" s="3" t="str">
        <f>IFERROR(__xludf.DUMMYFUNCTION("GOOGLETRANSLATE(A42032,""en"",""pt"")"),"Nenhum")</f>
        <v>Nenhum</v>
      </c>
      <c r="B42032" s="3">
        <v>1</v>
      </c>
    </row>
    <row r="42033" ht="15.75" customHeight="1" spans="1:2">
      <c r="A42033" s="3" t="str">
        <f>IFERROR(__xludf.DUMMYFUNCTION("GOOGLETRANSLATE(A42033,""en"",""pt"")"),"Excelente qualidade de impressão quando funciona, Fast e muito tranquila")</f>
        <v>Excelente qualidade de impressão quando funciona, Fast e muito tranquila</v>
      </c>
      <c r="B42033" s="3">
        <v>1</v>
      </c>
    </row>
    <row r="42034" ht="15.75" customHeight="1" spans="1:2">
      <c r="A42034" s="3" t="str">
        <f>IFERROR(__xludf.DUMMYFUNCTION("GOOGLETRANSLATE(A42034,""en"",""pt"")"),"tinta não seca em impressão, silencioso, grande qualidade, ótimo preço")</f>
        <v>tinta não seca em impressão, silencioso, grande qualidade, ótimo preço</v>
      </c>
      <c r="B42034" s="3">
        <v>1</v>
      </c>
    </row>
    <row r="42035" ht="15.75" customHeight="1" spans="1:2">
      <c r="A42035" s="3" t="str">
        <f>IFERROR(__xludf.DUMMYFUNCTION("GOOGLETRANSLATE(A42035,""en"",""pt"")"),"Rápido ... super rápido! Rápido e sem erro de instalação de 10 minutos.")</f>
        <v>Rápido ... super rápido! Rápido e sem erro de instalação de 10 minutos.</v>
      </c>
      <c r="B42035" s="3">
        <v>1</v>
      </c>
    </row>
    <row r="42036" ht="15.75" customHeight="1" spans="1:2">
      <c r="A42036" s="3" t="str">
        <f>IFERROR(__xludf.DUMMYFUNCTION("GOOGLETRANSLATE(A42036,""en"",""pt"")"),"Rápido, fácil de instalar, bom texto e saída de foto")</f>
        <v>Rápido, fácil de instalar, bom texto e saída de foto</v>
      </c>
      <c r="B42036" s="3">
        <v>1</v>
      </c>
    </row>
    <row r="42037" ht="15.75" customHeight="1" spans="1:2">
      <c r="A42037" s="3" t="str">
        <f>IFERROR(__xludf.DUMMYFUNCTION("GOOGLETRANSLATE(A42037,""en"",""pt"")"),"cores deslumbrantes, texto buraco negro, fácil configuração, inktanks individuais.")</f>
        <v>cores deslumbrantes, texto buraco negro, fácil configuração, inktanks individuais.</v>
      </c>
      <c r="B42037" s="3">
        <v>1</v>
      </c>
    </row>
    <row r="42038" ht="15.75" customHeight="1" spans="1:2">
      <c r="A42038" s="3" t="str">
        <f>IFERROR(__xludf.DUMMYFUNCTION("GOOGLETRANSLATE(A42038,""en"",""pt"")"),"Mais rápida em torno de jacto de tinta de propósito geral. Excelente qualidade de saída.")</f>
        <v>Mais rápida em torno de jacto de tinta de propósito geral. Excelente qualidade de saída.</v>
      </c>
      <c r="B42038" s="3">
        <v>1</v>
      </c>
    </row>
    <row r="42039" ht="15.75" customHeight="1" spans="1:2">
      <c r="A42039" s="3" t="str">
        <f>IFERROR(__xludf.DUMMYFUNCTION("GOOGLETRANSLATE(A42039,""en"",""pt"")"),"Setup foi um piscar de olhos. Muito rápido e impressão silenciosa. Ótimas fotos. Economize em cartuchos de tinta")</f>
        <v>Setup foi um piscar de olhos. Muito rápido e impressão silenciosa. Ótimas fotos. Economize em cartuchos de tinta</v>
      </c>
      <c r="B42039" s="3">
        <v>1</v>
      </c>
    </row>
    <row r="42040" ht="15.75" customHeight="1" spans="1:2">
      <c r="A42040" s="3" t="str">
        <f>IFERROR(__xludf.DUMMYFUNCTION("GOOGLETRANSLATE(A42040,""en"",""pt"")"),"Rápido, surpreendentemente boa impressão de fotos, tranquila")</f>
        <v>Rápido, surpreendentemente boa impressão de fotos, tranquila</v>
      </c>
      <c r="B42040" s="3">
        <v>1</v>
      </c>
    </row>
    <row r="42041" ht="15.75" customHeight="1" spans="1:2">
      <c r="A42041" s="3" t="str">
        <f>IFERROR(__xludf.DUMMYFUNCTION("GOOGLETRANSLATE(A42041,""en"",""pt"")"),"É uma Canon, grande qualidade de impressão, tanques de substituição de tinta separados, fácil de configurar")</f>
        <v>É uma Canon, grande qualidade de impressão, tanques de substituição de tinta separados, fácil de configurar</v>
      </c>
      <c r="B42041" s="3">
        <v>1</v>
      </c>
    </row>
    <row r="42042" ht="15.75" customHeight="1" spans="1:2">
      <c r="A42042" s="3" t="str">
        <f>IFERROR(__xludf.DUMMYFUNCTION("GOOGLETRANSLATE(A42042,""en"",""pt"")"),"texto espantosamente nítidos. Incrivelmente rápido. Felizmente tranquila. tanques de tinta de cor individuais de baixo custo. Sólido")</f>
        <v>texto espantosamente nítidos. Incrivelmente rápido. Felizmente tranquila. tanques de tinta de cor individuais de baixo custo. Sólido</v>
      </c>
      <c r="B42042" s="3">
        <v>1</v>
      </c>
    </row>
    <row r="42043" ht="15.75" customHeight="1" spans="1:2">
      <c r="A42043" s="3" t="str">
        <f>IFERROR(__xludf.DUMMYFUNCTION("GOOGLETRANSLATE(A42043,""en"",""pt"")"),"Realmente se destaca na impressão de texto e foto. Facilmente em rede. Grande software.")</f>
        <v>Realmente se destaca na impressão de texto e foto. Facilmente em rede. Grande software.</v>
      </c>
      <c r="B42043" s="3">
        <v>1</v>
      </c>
    </row>
    <row r="42044" ht="15.75" customHeight="1" spans="1:2">
      <c r="A42044" s="3" t="str">
        <f>IFERROR(__xludf.DUMMYFUNCTION("GOOGLETRANSLATE(A42044,""en"",""pt"")"),"Este coisas voa! texto impecável!")</f>
        <v>Este coisas voa! texto impecável!</v>
      </c>
      <c r="B42044" s="3">
        <v>1</v>
      </c>
    </row>
    <row r="42045" ht="15.75" customHeight="1" spans="1:2">
      <c r="A42045" s="3" t="str">
        <f>IFERROR(__xludf.DUMMYFUNCTION("GOOGLETRANSLATE(A42045,""en"",""pt"")"),"texto nítido, deslumbrantes fotografias, alta velocidade")</f>
        <v>texto nítido, deslumbrantes fotografias, alta velocidade</v>
      </c>
      <c r="B42045" s="3">
        <v>1</v>
      </c>
    </row>
    <row r="42046" ht="15.75" customHeight="1" spans="1:2">
      <c r="A42046" s="3" t="str">
        <f>IFERROR(__xludf.DUMMYFUNCTION("GOOGLETRANSLATE(A42046,""en"",""pt"")"),"Rápido, barato com cor bonita")</f>
        <v>Rápido, barato com cor bonita</v>
      </c>
      <c r="B42046" s="3">
        <v>1</v>
      </c>
    </row>
    <row r="42047" ht="15.75" customHeight="1" spans="1:2">
      <c r="A42047" s="3" t="str">
        <f>IFERROR(__xludf.DUMMYFUNCTION("GOOGLETRANSLATE(A42047,""en"",""pt"")"),"Barato, de alta resolução, 4 sistema de cartucho economiza dinheiro, impressora rápida, de alta qualidade")</f>
        <v>Barato, de alta resolução, 4 sistema de cartucho economiza dinheiro, impressora rápida, de alta qualidade</v>
      </c>
      <c r="B42047" s="3">
        <v>1</v>
      </c>
    </row>
    <row r="42048" ht="15.75" customHeight="1" spans="1:2">
      <c r="A42048" s="3" t="str">
        <f>IFERROR(__xludf.DUMMYFUNCTION("GOOGLETRANSLATE(A42048,""en"",""pt"")"),"impressão rápida, qualidade razoável, os custos de tinta moderados")</f>
        <v>impressão rápida, qualidade razoável, os custos de tinta moderados</v>
      </c>
      <c r="B42048" s="3">
        <v>1</v>
      </c>
    </row>
    <row r="42049" ht="15.75" customHeight="1" spans="1:2">
      <c r="A42049" s="3" t="str">
        <f>IFERROR(__xludf.DUMMYFUNCTION("GOOGLETRANSLATE(A42049,""en"",""pt"")"),"Vários tanques de tinta., Preço baixo., Boarderless Printing.")</f>
        <v>Vários tanques de tinta., Preço baixo., Boarderless Printing.</v>
      </c>
      <c r="B42049" s="3">
        <v>1</v>
      </c>
    </row>
    <row r="42050" ht="15.75" customHeight="1" spans="1:2">
      <c r="A42050" s="3" t="str">
        <f>IFERROR(__xludf.DUMMYFUNCTION("GOOGLETRANSLATE(A42050,""en"",""pt"")"),"fácil instalação, impressões rápidas, excelente B &amp; amp; W e qualidade de cor")</f>
        <v>fácil instalação, impressões rápidas, excelente B &amp; amp; W e qualidade de cor</v>
      </c>
      <c r="B42050" s="3">
        <v>1</v>
      </c>
    </row>
    <row r="42051" ht="15.75" customHeight="1" spans="1:2">
      <c r="A42051" s="3" t="str">
        <f>IFERROR(__xludf.DUMMYFUNCTION("GOOGLETRANSLATE(A42051,""en"",""pt"")"),"Velocidade, qualidade, reservatórios de tinta individuais")</f>
        <v>Velocidade, qualidade, reservatórios de tinta individuais</v>
      </c>
      <c r="B42051" s="3">
        <v>1</v>
      </c>
    </row>
    <row r="42052" ht="15.75" customHeight="1" spans="1:2">
      <c r="A42052" s="3" t="str">
        <f>IFERROR(__xludf.DUMMYFUNCTION("GOOGLETRANSLATE(A42052,""en"",""pt"")"),"Silencioso, rápido, boa qualidade de impressão")</f>
        <v>Silencioso, rápido, boa qualidade de impressão</v>
      </c>
      <c r="B42052" s="3">
        <v>1</v>
      </c>
    </row>
    <row r="42053" ht="15.75" customHeight="1" spans="1:2">
      <c r="A42053" s="3" t="str">
        <f>IFERROR(__xludf.DUMMYFUNCTION("GOOGLETRANSLATE(A42053,""en"",""pt"")"),"fácil set-up, mac compatível, grande qualidade de cor no papel regular, manuseio de papel lisa")</f>
        <v>fácil set-up, mac compatível, grande qualidade de cor no papel regular, manuseio de papel lisa</v>
      </c>
      <c r="B42053" s="3">
        <v>1</v>
      </c>
    </row>
    <row r="42054" ht="15.75" customHeight="1" spans="1:2">
      <c r="A42054" s="3" t="str">
        <f>IFERROR(__xludf.DUMMYFUNCTION("GOOGLETRANSLATE(A42054,""en"",""pt"")"),"Mais rápida impressora de qualidade que eu já vi. Boa qualidade de imagem.")</f>
        <v>Mais rápida impressora de qualidade que eu já vi. Boa qualidade de imagem.</v>
      </c>
      <c r="B42054" s="3">
        <v>1</v>
      </c>
    </row>
    <row r="42055" ht="15.75" customHeight="1" spans="1:2">
      <c r="A42055" s="3" t="str">
        <f>IFERROR(__xludf.DUMMYFUNCTION("GOOGLETRANSLATE(A42055,""en"",""pt"")"),"Surpreendentemente rápida; impressão sem margens")</f>
        <v>Surpreendentemente rápida; impressão sem margens</v>
      </c>
      <c r="B42055" s="3">
        <v>1</v>
      </c>
    </row>
    <row r="42056" ht="15.75" customHeight="1" spans="1:2">
      <c r="A42056" s="3" t="str">
        <f>IFERROR(__xludf.DUMMYFUNCTION("GOOGLETRANSLATE(A42056,""en"",""pt"")"),"os cartuchos de tinta separados")</f>
        <v>os cartuchos de tinta separados</v>
      </c>
      <c r="B42056" s="3">
        <v>1</v>
      </c>
    </row>
    <row r="42057" ht="15.75" customHeight="1" spans="1:2">
      <c r="A42057" s="3" t="str">
        <f>IFERROR(__xludf.DUMMYFUNCTION("GOOGLETRANSLATE(A42057,""en"",""pt"")"),"impressões de fotos bonitas ... grande combinação de cores. Rápido!")</f>
        <v>impressões de fotos bonitas ... grande combinação de cores. Rápido!</v>
      </c>
      <c r="B42057" s="3">
        <v>1</v>
      </c>
    </row>
    <row r="42058" ht="15.75" customHeight="1" spans="1:2">
      <c r="A42058" s="3" t="str">
        <f>IFERROR(__xludf.DUMMYFUNCTION("GOOGLETRANSLATE(A42058,""en"",""pt"")"),"Thrifty operação, excelente impressão de fotografias, razoavelmente rápido, funciona com Mac OS X e OS 9")</f>
        <v>Thrifty operação, excelente impressão de fotografias, razoavelmente rápido, funciona com Mac OS X e OS 9</v>
      </c>
      <c r="B42058" s="3">
        <v>1</v>
      </c>
    </row>
    <row r="42059" ht="15.75" customHeight="1" spans="1:2">
      <c r="A42059" s="3" t="str">
        <f>IFERROR(__xludf.DUMMYFUNCTION("GOOGLETRANSLATE(A42059,""en"",""pt"")"),"fotos de alta qualidade. tanques de tinta separado. saída rápida. secagem da tinta rápida.")</f>
        <v>fotos de alta qualidade. tanques de tinta separado. saída rápida. secagem da tinta rápida.</v>
      </c>
      <c r="B42059" s="3">
        <v>1</v>
      </c>
    </row>
    <row r="42060" ht="15.75" customHeight="1" spans="1:2">
      <c r="A42060" s="3" t="str">
        <f>IFERROR(__xludf.DUMMYFUNCTION("GOOGLETRANSLATE(A42060,""en"",""pt"")"),"Excelente cor e B &amp; amp; W 8"" x 10"" impressões")</f>
        <v>Excelente cor e B &amp; amp; W 8" x 10" impressões</v>
      </c>
      <c r="B42060" s="3">
        <v>1</v>
      </c>
    </row>
    <row r="42061" ht="15.75" customHeight="1" spans="1:2">
      <c r="A42061" s="3" t="str">
        <f>IFERROR(__xludf.DUMMYFUNCTION("GOOGLETRANSLATE(A42061,""en"",""pt"")"),"Fácil instalação, ótimo preço, cartuchos separados, USB ou paralela, gravuras muito rápida, grande foto imprime")</f>
        <v>Fácil instalação, ótimo preço, cartuchos separados, USB ou paralela, gravuras muito rápida, grande foto imprime</v>
      </c>
      <c r="B42061" s="3">
        <v>1</v>
      </c>
    </row>
    <row r="42062" ht="15.75" customHeight="1" spans="1:2">
      <c r="A42062" s="3" t="str">
        <f>IFERROR(__xludf.DUMMYFUNCTION("GOOGLETRANSLATE(A42062,""en"",""pt"")"),"Barato, Thrifty com tinta, Fantastic Fotos")</f>
        <v>Barato, Thrifty com tinta, Fantastic Fotos</v>
      </c>
      <c r="B42062" s="3">
        <v>1</v>
      </c>
    </row>
    <row r="42063" ht="15.75" customHeight="1" spans="1:2">
      <c r="A42063" s="3" t="str">
        <f>IFERROR(__xludf.DUMMYFUNCTION("GOOGLETRANSLATE(A42063,""en"",""pt"")"),"alta qualidade, os tanques de tinta individuais, fácil para utilização")</f>
        <v>alta qualidade, os tanques de tinta individuais, fácil para utilização</v>
      </c>
      <c r="B42063" s="3">
        <v>1</v>
      </c>
    </row>
    <row r="42064" ht="15.75" customHeight="1" spans="1:2">
      <c r="A42064" s="3" t="str">
        <f>IFERROR(__xludf.DUMMYFUNCTION("GOOGLETRANSLATE(A42064,""en"",""pt"")"),"Mais barato que o S820D, excelentes impressões de fotografias, impressão de texto decente")</f>
        <v>Mais barato que o S820D, excelentes impressões de fotografias, impressão de texto decente</v>
      </c>
      <c r="B42064" s="3">
        <v>1</v>
      </c>
    </row>
    <row r="42065" ht="15.75" customHeight="1" spans="1:2">
      <c r="A42065" s="3" t="str">
        <f>IFERROR(__xludf.DUMMYFUNCTION("GOOGLETRANSLATE(A42065,""en"",""pt"")"),"4x6 margens e 8.5x11 &amp; amp; # 13; &amp; amp; # 10; tanques de tinta individuais &amp; amp; # 13; &amp; amp; # 10; do sistema de cor de seis &amp; amp; # 13; &amp; amp; # 10; pequeno 4 picolitros cai &amp; amp; # 13; &amp; amp; # 10 ;")</f>
        <v>4x6 margens e 8.5x11 &amp; amp; # 13; &amp; amp; # 10; tanques de tinta individuais &amp; amp; # 13; &amp; amp; # 10; do sistema de cor de seis &amp; amp; # 13; &amp; amp; # 10; pequeno 4 picolitros cai &amp; amp; # 13; &amp; amp; # 10 ;</v>
      </c>
      <c r="B42065" s="3">
        <v>1</v>
      </c>
    </row>
    <row r="42066" ht="15.75" customHeight="1" spans="1:2">
      <c r="A42066" s="3" t="str">
        <f>IFERROR(__xludf.DUMMYFUNCTION("GOOGLETRANSLATE(A42066,""en"",""pt"")"),"impressões de fotografias em circulação, rápidas na foto impressões, consumíveis econômicos")</f>
        <v>impressões de fotografias em circulação, rápidas na foto impressões, consumíveis econômicos</v>
      </c>
      <c r="B42066" s="3">
        <v>1</v>
      </c>
    </row>
    <row r="42067" ht="15.75" customHeight="1" spans="1:2">
      <c r="A42067" s="3" t="str">
        <f>IFERROR(__xludf.DUMMYFUNCTION("GOOGLETRANSLATE(A42067,""en"",""pt"")"),"Photo Quality rivaliza com as impressões tradicionais, Super saída rápida, tanques Six tinta, parece elegante")</f>
        <v>Photo Quality rivaliza com as impressões tradicionais, Super saída rápida, tanques Six tinta, parece elegante</v>
      </c>
      <c r="B42067" s="3">
        <v>1</v>
      </c>
    </row>
    <row r="42068" ht="15.75" customHeight="1" spans="1:2">
      <c r="A42068" s="3" t="str">
        <f>IFERROR(__xludf.DUMMYFUNCTION("GOOGLETRANSLATE(A42068,""en"",""pt"")"),"Absolutamente impressionante impressões fotográficas.")</f>
        <v>Absolutamente impressionante impressões fotográficas.</v>
      </c>
      <c r="B42068" s="3">
        <v>1</v>
      </c>
    </row>
    <row r="42069" ht="15.75" customHeight="1" spans="1:2">
      <c r="A42069" s="3" t="str">
        <f>IFERROR(__xludf.DUMMYFUNCTION("GOOGLETRANSLATE(A42069,""en"",""pt"")"),"Qualidade - Velocidade - Custo de tinta - a cores")</f>
        <v>Qualidade - Velocidade - Custo de tinta - a cores</v>
      </c>
      <c r="B42069" s="3">
        <v>1</v>
      </c>
    </row>
    <row r="42070" ht="15.75" customHeight="1" spans="1:2">
      <c r="A42070" s="3" t="str">
        <f>IFERROR(__xludf.DUMMYFUNCTION("GOOGLETRANSLATE(A42070,""en"",""pt"")"),"Fantástico Foto de saída, muito calmo, agradável Software Bundle")</f>
        <v>Fantástico Foto de saída, muito calmo, agradável Software Bundle</v>
      </c>
      <c r="B42070" s="3">
        <v>1</v>
      </c>
    </row>
    <row r="42071" ht="15.75" customHeight="1" spans="1:2">
      <c r="A42071" s="3" t="str">
        <f>IFERROR(__xludf.DUMMYFUNCTION("GOOGLETRANSLATE(A42071,""en"",""pt"")"),"Fotografias a cores espantosas, impressão impressionantemente rápido, excelente suporte técnico.")</f>
        <v>Fotografias a cores espantosas, impressão impressionantemente rápido, excelente suporte técnico.</v>
      </c>
      <c r="B42071" s="3">
        <v>1</v>
      </c>
    </row>
    <row r="42072" ht="15.75" customHeight="1" spans="1:2">
      <c r="A42072" s="3" t="str">
        <f>IFERROR(__xludf.DUMMYFUNCTION("GOOGLETRANSLATE(A42072,""en"",""pt"")"),"impressões a cores impressionantes sobre Canon especialidade papel, cartuchos de cor substituíveis individualmente.")</f>
        <v>impressões a cores impressionantes sobre Canon especialidade papel, cartuchos de cor substituíveis individualmente.</v>
      </c>
      <c r="B42072" s="3">
        <v>1</v>
      </c>
    </row>
    <row r="42073" ht="15.75" customHeight="1" spans="1:2">
      <c r="A42073" s="3" t="str">
        <f>IFERROR(__xludf.DUMMYFUNCTION("GOOGLETRANSLATE(A42073,""en"",""pt"")"),"Grandes fotos de qualidade, muito rápido!, Fácil conexão.")</f>
        <v>Grandes fotos de qualidade, muito rápido!, Fácil conexão.</v>
      </c>
      <c r="B42073" s="3">
        <v>1</v>
      </c>
    </row>
    <row r="42074" ht="15.75" customHeight="1" spans="1:2">
      <c r="A42074" s="3" t="str">
        <f>IFERROR(__xludf.DUMMYFUNCTION("GOOGLETRANSLATE(A42074,""en"",""pt"")"),"Excelente qualidade fotográfica, velocidade.")</f>
        <v>Excelente qualidade fotográfica, velocidade.</v>
      </c>
      <c r="B42074" s="3">
        <v>1</v>
      </c>
    </row>
    <row r="42075" ht="15.75" customHeight="1" spans="1:2">
      <c r="A42075" s="3" t="str">
        <f>IFERROR(__xludf.DUMMYFUNCTION("GOOGLETRANSLATE(A42075,""en"",""pt"")"),"Grandes fotos de qualidade, relativamente calma, rápido")</f>
        <v>Grandes fotos de qualidade, relativamente calma, rápido</v>
      </c>
      <c r="B42075" s="3">
        <v>1</v>
      </c>
    </row>
    <row r="42076" ht="15.75" customHeight="1" spans="1:2">
      <c r="A42076" s="3" t="str">
        <f>IFERROR(__xludf.DUMMYFUNCTION("GOOGLETRANSLATE(A42076,""en"",""pt"")"),"Excelente qualidade de foto em papel fotográfico brilhante, cor cartuchos de tinta separados")</f>
        <v>Excelente qualidade de foto em papel fotográfico brilhante, cor cartuchos de tinta separados</v>
      </c>
      <c r="B42076" s="3">
        <v>1</v>
      </c>
    </row>
    <row r="42077" ht="15.75" customHeight="1" spans="1:2">
      <c r="A42077" s="3" t="str">
        <f>IFERROR(__xludf.DUMMYFUNCTION("GOOGLETRANSLATE(A42077,""en"",""pt"")"),"embalagem bonita, impressão extremamente rápida")</f>
        <v>embalagem bonita, impressão extremamente rápida</v>
      </c>
      <c r="B42077" s="3">
        <v>1</v>
      </c>
    </row>
    <row r="42078" ht="15.75" customHeight="1" spans="1:2">
      <c r="A42078" s="3" t="str">
        <f>IFERROR(__xludf.DUMMYFUNCTION("GOOGLETRANSLATE(A42078,""en"",""pt"")"),"Super rápida incrível qualidade de impressão")</f>
        <v>Super rápida incrível qualidade de impressão</v>
      </c>
      <c r="B42078" s="3">
        <v>1</v>
      </c>
    </row>
    <row r="42079" ht="15.75" customHeight="1" spans="1:2">
      <c r="A42079" s="3" t="str">
        <f>IFERROR(__xludf.DUMMYFUNCTION("GOOGLETRANSLATE(A42079,""en"",""pt"")"),"afiado aparência, cor Lab qualidade, a impressão rápida, tanques de tinta individuais")</f>
        <v>afiado aparência, cor Lab qualidade, a impressão rápida, tanques de tinta individuais</v>
      </c>
      <c r="B42079" s="3">
        <v>1</v>
      </c>
    </row>
    <row r="42080" ht="15.75" customHeight="1" spans="1:2">
      <c r="A42080" s="3" t="str">
        <f>IFERROR(__xludf.DUMMYFUNCTION("GOOGLETRANSLATE(A42080,""en"",""pt"")"),"grande saída foto, brochuras profissionais, cartuchos de tinta individuais, diz-lhe quando um cartucho se esgota")</f>
        <v>grande saída foto, brochuras profissionais, cartuchos de tinta individuais, diz-lhe quando um cartucho se esgota</v>
      </c>
      <c r="B42080" s="3">
        <v>1</v>
      </c>
    </row>
    <row r="42081" ht="15.75" customHeight="1" spans="1:2">
      <c r="A42081" s="3" t="str">
        <f>IFERROR(__xludf.DUMMYFUNCTION("GOOGLETRANSLATE(A42081,""en"",""pt"")"),"Vivid fotos e impressões fotográficas")</f>
        <v>Vivid fotos e impressões fotográficas</v>
      </c>
      <c r="B42081" s="3">
        <v>1</v>
      </c>
    </row>
    <row r="42082" ht="15.75" customHeight="1" spans="1:2">
      <c r="A42082" s="3" t="str">
        <f>IFERROR(__xludf.DUMMYFUNCTION("GOOGLETRANSLATE(A42082,""en"",""pt"")"),"cor brillian. Extremamente rápido.")</f>
        <v>cor brillian. Extremamente rápido.</v>
      </c>
      <c r="B42082" s="3">
        <v>1</v>
      </c>
    </row>
    <row r="42083" ht="15.75" customHeight="1" spans="1:2">
      <c r="A42083" s="3" t="str">
        <f>IFERROR(__xludf.DUMMYFUNCTION("GOOGLETRANSLATE(A42083,""en"",""pt"")"),"Grandes e lindas estampas. Super Speedy. Tanques seis tinta. Substituível da cabeça de impressão. Até 13x19 impressões.")</f>
        <v>Grandes e lindas estampas. Super Speedy. Tanques seis tinta. Substituível da cabeça de impressão. Até 13x19 impressões.</v>
      </c>
      <c r="B42083" s="3">
        <v>1</v>
      </c>
    </row>
    <row r="42084" ht="15.75" customHeight="1" spans="1:2">
      <c r="A42084" s="3" t="str">
        <f>IFERROR(__xludf.DUMMYFUNCTION("GOOGLETRANSLATE(A42084,""en"",""pt"")"),"Ela imprime belas fotos 13 x 19 polegadas!")</f>
        <v>Ela imprime belas fotos 13 x 19 polegadas!</v>
      </c>
      <c r="B42084" s="3">
        <v>1</v>
      </c>
    </row>
    <row r="42085" ht="15.75" customHeight="1" spans="1:2">
      <c r="A42085" s="3" t="str">
        <f>IFERROR(__xludf.DUMMYFUNCTION("GOOGLETRANSLATE(A42085,""en"",""pt"")"),"Rápido, de alta qualidade, e muito Modular")</f>
        <v>Rápido, de alta qualidade, e muito Modular</v>
      </c>
      <c r="B42085" s="3">
        <v>1</v>
      </c>
    </row>
    <row r="42086" ht="15.75" customHeight="1" spans="1:2">
      <c r="A42086" s="3" t="str">
        <f>IFERROR(__xludf.DUMMYFUNCTION("GOOGLETRANSLATE(A42086,""en"",""pt"")"),"Boa qualidade de impressão, a saída consistente, rápido, Rápido, rápido.")</f>
        <v>Boa qualidade de impressão, a saída consistente, rápido, Rápido, rápido.</v>
      </c>
      <c r="B42086" s="3">
        <v>1</v>
      </c>
    </row>
    <row r="42087" ht="15.75" customHeight="1" spans="1:2">
      <c r="A42087" s="3" t="str">
        <f>IFERROR(__xludf.DUMMYFUNCTION("GOOGLETRANSLATE(A42087,""en"",""pt"")"),"Grandes perfeitos impressões de imagem formato. Super rápido.")</f>
        <v>Grandes perfeitos impressões de imagem formato. Super rápido.</v>
      </c>
      <c r="B42087" s="3">
        <v>1</v>
      </c>
    </row>
    <row r="42088" ht="15.75" customHeight="1" spans="1:2">
      <c r="A42088" s="3" t="str">
        <f>IFERROR(__xludf.DUMMYFUNCTION("GOOGLETRANSLATE(A42088,""en"",""pt"")"),"Rápido, grandes impressões de alta qualidade, fácil de instalar em um sistema Mac")</f>
        <v>Rápido, grandes impressões de alta qualidade, fácil de instalar em um sistema Mac</v>
      </c>
      <c r="B42088" s="3">
        <v>1</v>
      </c>
    </row>
    <row r="42089" ht="15.75" customHeight="1" spans="1:2">
      <c r="A42089" s="3" t="str">
        <f>IFERROR(__xludf.DUMMYFUNCTION("GOOGLETRANSLATE(A42089,""en"",""pt"")"),"excelente qualidade, impressões rápidas")</f>
        <v>excelente qualidade, impressões rápidas</v>
      </c>
      <c r="B42089" s="3">
        <v>1</v>
      </c>
    </row>
    <row r="42090" ht="15.75" customHeight="1" spans="1:2">
      <c r="A42090" s="3" t="str">
        <f>IFERROR(__xludf.DUMMYFUNCTION("GOOGLETRANSLATE(A42090,""en"",""pt"")"),"qualidade inacreditável em papel canon, super rápido, excelente gama tonal")</f>
        <v>qualidade inacreditável em papel canon, super rápido, excelente gama tonal</v>
      </c>
      <c r="B42090" s="3">
        <v>1</v>
      </c>
    </row>
    <row r="42091" ht="15.75" customHeight="1" spans="1:2">
      <c r="A42091" s="3" t="str">
        <f>IFERROR(__xludf.DUMMYFUNCTION("GOOGLETRANSLATE(A42091,""en"",""pt"")"),"velocidade inacreditável. cor deslumbrante. Facilidade de set-up")</f>
        <v>velocidade inacreditável. cor deslumbrante. Facilidade de set-up</v>
      </c>
      <c r="B42091" s="3">
        <v>1</v>
      </c>
    </row>
    <row r="42092" ht="15.75" customHeight="1" spans="1:2">
      <c r="A42092" s="3" t="str">
        <f>IFERROR(__xludf.DUMMYFUNCTION("GOOGLETRANSLATE(A42092,""en"",""pt"")"),"deslumbrando 13x19 impressões, muito, muito rápido")</f>
        <v>deslumbrando 13x19 impressões, muito, muito rápido</v>
      </c>
      <c r="B42092" s="3">
        <v>1</v>
      </c>
    </row>
    <row r="42093" ht="15.75" customHeight="1" spans="1:2">
      <c r="A42093" s="3" t="str">
        <f>IFERROR(__xludf.DUMMYFUNCTION("GOOGLETRANSLATE(A42093,""en"",""pt"")"),"Excepcional")</f>
        <v>Excepcional</v>
      </c>
      <c r="B42093" s="3">
        <v>1</v>
      </c>
    </row>
    <row r="42094" ht="15.75" customHeight="1" spans="1:2">
      <c r="A42094" s="3" t="str">
        <f>IFERROR(__xludf.DUMMYFUNCTION("GOOGLETRANSLATE(A42094,""en"",""pt"")"),"impressões perfeitas! impressão rápida")</f>
        <v>impressões perfeitas! impressão rápida</v>
      </c>
      <c r="B42094" s="3">
        <v>1</v>
      </c>
    </row>
    <row r="42095" ht="15.75" customHeight="1" spans="1:2">
      <c r="A42095" s="3" t="str">
        <f>IFERROR(__xludf.DUMMYFUNCTION("GOOGLETRANSLATE(A42095,""en"",""pt"")"),"Quando impresso, que é quando o fez, gráficos eram apenas o maior.")</f>
        <v>Quando impresso, que é quando o fez, gráficos eram apenas o maior.</v>
      </c>
      <c r="B42095" s="3">
        <v>1</v>
      </c>
    </row>
    <row r="42096" ht="15.75" customHeight="1" spans="1:2">
      <c r="A42096" s="3" t="str">
        <f>IFERROR(__xludf.DUMMYFUNCTION("GOOGLETRANSLATE(A42096,""en"",""pt"")")," Ele sai rápido e uniforme.")</f>
        <v> Ele sai rápido e uniforme.</v>
      </c>
      <c r="B42096" s="3">
        <v>1</v>
      </c>
    </row>
    <row r="42097" ht="15.75" customHeight="1" spans="1:2">
      <c r="A42097" s="3" t="str">
        <f>IFERROR(__xludf.DUMMYFUNCTION("GOOGLETRANSLATE(A42097,""en"",""pt"")"),"Cópias bonitas, muito rápido.")</f>
        <v>Cópias bonitas, muito rápido.</v>
      </c>
      <c r="B42097" s="3">
        <v>1</v>
      </c>
    </row>
    <row r="42098" ht="15.75" customHeight="1" spans="1:2">
      <c r="A42098" s="3" t="str">
        <f>IFERROR(__xludf.DUMMYFUNCTION("GOOGLETRANSLATE(A42098,""en"",""pt"")"),"Cópias bonitas para a direita fora da caixa. Fácil de configurar e se conectar.")</f>
        <v>Cópias bonitas para a direita fora da caixa. Fácil de configurar e se conectar.</v>
      </c>
      <c r="B42098" s="3">
        <v>1</v>
      </c>
    </row>
    <row r="42099" ht="15.75" customHeight="1" spans="1:2">
      <c r="A42099" s="3" t="str">
        <f>IFERROR(__xludf.DUMMYFUNCTION("GOOGLETRANSLATE(A42099,""en"",""pt"")"),"impressões de excelente qualidade")</f>
        <v>impressões de excelente qualidade</v>
      </c>
      <c r="B42099" s="3">
        <v>1</v>
      </c>
    </row>
    <row r="42100" ht="15.75" customHeight="1" spans="1:2">
      <c r="A42100" s="3" t="str">
        <f>IFERROR(__xludf.DUMMYFUNCTION("GOOGLETRANSLATE(A42100,""en"",""pt"")"),"As impressões são bonita com papel fotográfico Canon Pro.")</f>
        <v>As impressões são bonita com papel fotográfico Canon Pro.</v>
      </c>
      <c r="B42100" s="3">
        <v>1</v>
      </c>
    </row>
    <row r="42101" ht="15.75" customHeight="1" spans="1:2">
      <c r="A42101" s="3" t="str">
        <f>IFERROR(__xludf.DUMMYFUNCTION("GOOGLETRANSLATE(A42101,""en"",""pt"")"),"impressora grande, excelentes resultados")</f>
        <v>impressora grande, excelentes resultados</v>
      </c>
      <c r="B42101" s="3">
        <v>1</v>
      </c>
    </row>
    <row r="42102" ht="15.75" customHeight="1" spans="1:2">
      <c r="A42102" s="3" t="str">
        <f>IFERROR(__xludf.DUMMYFUNCTION("GOOGLETRANSLATE(A42102,""en"",""pt"")"),"O que há de melhor no seu tempo")</f>
        <v>O que há de melhor no seu tempo</v>
      </c>
      <c r="B42102" s="3">
        <v>1</v>
      </c>
    </row>
    <row r="42103" ht="15.75" customHeight="1" spans="1:2">
      <c r="A42103" s="3" t="str">
        <f>IFERROR(__xludf.DUMMYFUNCTION("GOOGLETRANSLATE(A42103,""en"",""pt"")"),"Foto impressões de qualidade; grandes 13x19"" alargamentos; cartuchos de tinta separados.")</f>
        <v>Foto impressões de qualidade; grandes 13x19" alargamentos; cartuchos de tinta separados.</v>
      </c>
      <c r="B42103" s="3">
        <v>1</v>
      </c>
    </row>
    <row r="42104" ht="15.75" customHeight="1" spans="1:2">
      <c r="A42104" s="3" t="str">
        <f>IFERROR(__xludf.DUMMYFUNCTION("GOOGLETRANSLATE(A42104,""en"",""pt"")"),"O tamanho pequeno, boas fotos. Leitor de mp3")</f>
        <v>O tamanho pequeno, boas fotos. Leitor de mp3</v>
      </c>
      <c r="B42104" s="3">
        <v>1</v>
      </c>
    </row>
    <row r="42105" ht="15.75" customHeight="1" spans="1:2">
      <c r="A42105" s="3" t="str">
        <f>IFERROR(__xludf.DUMMYFUNCTION("GOOGLETRANSLATE(A42105,""en"",""pt"")"),"Perfeito conversa inicial, grande tela principal, fácil de usar, leve, fresco Factor, 12MB de memória nativa, filmes!")</f>
        <v>Perfeito conversa inicial, grande tela principal, fácil de usar, leve, fresco Factor, 12MB de memória nativa, filmes!</v>
      </c>
      <c r="B42105" s="3">
        <v>1</v>
      </c>
    </row>
    <row r="42106" ht="15.75" customHeight="1" spans="1:2">
      <c r="A42106" s="3" t="str">
        <f>IFERROR(__xludf.DUMMYFUNCTION("GOOGLETRANSLATE(A42106,""en"",""pt"")"),"Na loja que parecia bom e funcionou bem.")</f>
        <v>Na loja que parecia bom e funcionou bem.</v>
      </c>
      <c r="B42106" s="3">
        <v>1</v>
      </c>
    </row>
    <row r="42107" ht="15.75" customHeight="1" spans="1:2">
      <c r="A42107" s="3" t="str">
        <f>IFERROR(__xludf.DUMMYFUNCTION("GOOGLETRANSLATE(A42107,""en"",""pt"")"),"fácil de usar. minúsculo. gravador de áudio, MP3 player, câmera e gravador de filme em um único dispositivo.")</f>
        <v>fácil de usar. minúsculo. gravador de áudio, MP3 player, câmera e gravador de filme em um único dispositivo.</v>
      </c>
      <c r="B42107" s="3">
        <v>1</v>
      </c>
    </row>
    <row r="42108" ht="15.75" customHeight="1" spans="1:2">
      <c r="A42108" s="3" t="str">
        <f>IFERROR(__xludf.DUMMYFUNCTION("GOOGLETRANSLATE(A42108,""en"",""pt"")"),"pequena maravilha, faz você esquecer tudo o que sabe sobre a fotografia")</f>
        <v>pequena maravilha, faz você esquecer tudo o que sabe sobre a fotografia</v>
      </c>
      <c r="B42108" s="3">
        <v>1</v>
      </c>
    </row>
    <row r="42109" ht="15.75" customHeight="1" spans="1:2">
      <c r="A42109" s="3" t="str">
        <f>IFERROR(__xludf.DUMMYFUNCTION("GOOGLETRANSLATE(A42109,""en"",""pt"")"),"TIROS muito claro")</f>
        <v>TIROS muito claro</v>
      </c>
      <c r="B42109" s="3">
        <v>1</v>
      </c>
    </row>
    <row r="42110" ht="15.75" customHeight="1" spans="1:2">
      <c r="A42110" s="3" t="str">
        <f>IFERROR(__xludf.DUMMYFUNCTION("GOOGLETRANSLATE(A42110,""en"",""pt"")"),"tamanho ultra compacto, todas as características, tela brilhante, fácil de usar menus, leitor de mp3")</f>
        <v>tamanho ultra compacto, todas as características, tela brilhante, fácil de usar menus, leitor de mp3</v>
      </c>
      <c r="B42110" s="3">
        <v>1</v>
      </c>
    </row>
    <row r="42111" ht="15.75" customHeight="1" spans="1:2">
      <c r="A42111" s="3" t="str">
        <f>IFERROR(__xludf.DUMMYFUNCTION("GOOGLETRANSLATE(A42111,""en"",""pt"")"),"Bem construído. Muito pequeno e leve. display LCD muito nítidas.")</f>
        <v>Bem construído. Muito pequeno e leve. display LCD muito nítidas.</v>
      </c>
      <c r="B42111" s="3">
        <v>1</v>
      </c>
    </row>
    <row r="42112" ht="15.75" customHeight="1" spans="1:2">
      <c r="A42112" s="3" t="str">
        <f>IFERROR(__xludf.DUMMYFUNCTION("GOOGLETRANSLATE(A42112,""en"",""pt"")"),"Super pequeno, visor LCD brilhante, 2,0 megapixels, de flash, de construção sólida,")</f>
        <v>Super pequeno, visor LCD brilhante, 2,0 megapixels, de flash, de construção sólida,</v>
      </c>
      <c r="B42112" s="3">
        <v>1</v>
      </c>
    </row>
    <row r="42113" ht="15.75" customHeight="1" spans="1:2">
      <c r="A42113" s="3" t="str">
        <f>IFERROR(__xludf.DUMMYFUNCTION("GOOGLETRANSLATE(A42113,""en"",""pt"")"),"Tamanho, Qualidade de Imagem")</f>
        <v>Tamanho, Qualidade de Imagem</v>
      </c>
      <c r="B42113" s="3">
        <v>1</v>
      </c>
    </row>
    <row r="42114" ht="15.75" customHeight="1" spans="1:2">
      <c r="A42114" s="3" t="str">
        <f>IFERROR(__xludf.DUMMYFUNCTION("GOOGLETRANSLATE(A42114,""en"",""pt"")"),"tamanho minúsculo, arranque rápido, que só se sente bem.")</f>
        <v>tamanho minúsculo, arranque rápido, que só se sente bem.</v>
      </c>
      <c r="B42114" s="3">
        <v>1</v>
      </c>
    </row>
    <row r="42115" ht="15.75" customHeight="1" spans="1:2">
      <c r="A42115" s="3" t="str">
        <f>IFERROR(__xludf.DUMMYFUNCTION("GOOGLETRANSLATE(A42115,""en"",""pt"")"),"Tamanho, facilidade de uso, poderes rapidamente.")</f>
        <v>Tamanho, facilidade de uso, poderes rapidamente.</v>
      </c>
      <c r="B42115" s="3">
        <v>1</v>
      </c>
    </row>
    <row r="42116" ht="15.75" customHeight="1" spans="1:2">
      <c r="A42116" s="3" t="str">
        <f>IFERROR(__xludf.DUMMYFUNCTION("GOOGLETRANSLATE(A42116,""en"",""pt"")"),"pequeno tamanho, carga incrível / guardar velocidade, ""espaçosa"" built-in memória.")</f>
        <v>pequeno tamanho, carga incrível / guardar velocidade, "espaçosa" built-in memória.</v>
      </c>
      <c r="B42116" s="3">
        <v>1</v>
      </c>
    </row>
    <row r="42117" ht="15.75" customHeight="1" spans="1:2">
      <c r="A42117" s="3" t="str">
        <f>IFERROR(__xludf.DUMMYFUNCTION("GOOGLETRANSLATE(A42117,""en"",""pt"")"),"Tamanho, tamanho, tamanho! Atuação.")</f>
        <v>Tamanho, tamanho, tamanho! Atuação.</v>
      </c>
      <c r="B42117" s="3">
        <v>1</v>
      </c>
    </row>
    <row r="42118" ht="15.75" customHeight="1" spans="1:2">
      <c r="A42118" s="3" t="str">
        <f>IFERROR(__xludf.DUMMYFUNCTION("GOOGLETRANSLATE(A42118,""en"",""pt"")"),"Puny! Boa qualidade, características decente e barato.")</f>
        <v>Puny! Boa qualidade, características decente e barato.</v>
      </c>
      <c r="B42118" s="3">
        <v>1</v>
      </c>
    </row>
    <row r="42119" ht="15.75" customHeight="1" spans="1:2">
      <c r="A42119" s="3" t="str">
        <f>IFERROR(__xludf.DUMMYFUNCTION("GOOGLETRANSLATE(A42119,""en"",""pt"")"),"câmera mais fino 2MP no mundo, mínimo atraso do obturador, excelente saída para Web")</f>
        <v>câmera mais fino 2MP no mundo, mínimo atraso do obturador, excelente saída para Web</v>
      </c>
      <c r="B42119" s="3">
        <v>1</v>
      </c>
    </row>
    <row r="42120" ht="15.75" customHeight="1" spans="1:2">
      <c r="A42120" s="3" t="str">
        <f>IFERROR(__xludf.DUMMYFUNCTION("GOOGLETRANSLATE(A42120,""en"",""pt"")"),"Boa qualidade de imagem. tamanho minúsculo. Muitos recursos.")</f>
        <v>Boa qualidade de imagem. tamanho minúsculo. Muitos recursos.</v>
      </c>
      <c r="B42120" s="3">
        <v>1</v>
      </c>
    </row>
    <row r="42121" ht="15.75" customHeight="1" spans="1:2">
      <c r="A42121" s="3" t="str">
        <f>IFERROR(__xludf.DUMMYFUNCTION("GOOGLETRANSLATE(A42121,""en"",""pt"")"),"TUDO!")</f>
        <v>TUDO!</v>
      </c>
      <c r="B42121" s="3">
        <v>1</v>
      </c>
    </row>
    <row r="42122" ht="15.75" customHeight="1" spans="1:2">
      <c r="A42122" s="3" t="str">
        <f>IFERROR(__xludf.DUMMYFUNCTION("GOOGLETRANSLATE(A42122,""en"",""pt"")"),"Minúsculo, Flash (muitas cardcams falta um), 2mb, Docking Station que as taxas e os envios via USB (olhando agradável também!)")</f>
        <v>Minúsculo, Flash (muitas cardcams falta um), 2mb, Docking Station que as taxas e os envios via USB (olhando agradável também!)</v>
      </c>
      <c r="B42122" s="3">
        <v>1</v>
      </c>
    </row>
    <row r="42123" ht="15.75" customHeight="1" spans="1:2">
      <c r="A42123" s="3" t="str">
        <f>IFERROR(__xludf.DUMMYFUNCTION("GOOGLETRANSLATE(A42123,""en"",""pt"")"),"Incrivelmente pequeno. LCD é muito afiada.")</f>
        <v>Incrivelmente pequeno. LCD é muito afiada.</v>
      </c>
      <c r="B42123" s="3">
        <v>1</v>
      </c>
    </row>
    <row r="42124" ht="15.75" customHeight="1" spans="1:2">
      <c r="A42124" s="3" t="str">
        <f>IFERROR(__xludf.DUMMYFUNCTION("GOOGLETRANSLATE(A42124,""en"",""pt"")"),"tamanho físico perfeito e interface do usuário.")</f>
        <v>tamanho físico perfeito e interface do usuário.</v>
      </c>
      <c r="B42124" s="3">
        <v>1</v>
      </c>
    </row>
    <row r="42125" ht="15.75" customHeight="1" spans="1:2">
      <c r="A42125" s="3" t="str">
        <f>IFERROR(__xludf.DUMMYFUNCTION("GOOGLETRANSLATE(A42125,""en"",""pt"")"),"Quase tudo")</f>
        <v>Quase tudo</v>
      </c>
      <c r="B42125" s="3">
        <v>1</v>
      </c>
    </row>
    <row r="42126" ht="15.75" customHeight="1" spans="1:2">
      <c r="A42126" s="3" t="str">
        <f>IFERROR(__xludf.DUMMYFUNCTION("GOOGLETRANSLATE(A42126,""en"",""pt"")"),"Pequena e leve, mas boa qualidade de construção. Fácil de usar, inicialização rápida, muito claro LCD.")</f>
        <v>Pequena e leve, mas boa qualidade de construção. Fácil de usar, inicialização rápida, muito claro LCD.</v>
      </c>
      <c r="B42126" s="3">
        <v>1</v>
      </c>
    </row>
    <row r="42127" ht="15.75" customHeight="1" spans="1:2">
      <c r="A42127" s="3" t="str">
        <f>IFERROR(__xludf.DUMMYFUNCTION("GOOGLETRANSLATE(A42127,""en"",""pt"")"),"compacto, leve, óptico &amp; amp; zoom digital, expansível, batata frita 2"" LCD")</f>
        <v>compacto, leve, óptico &amp; amp; zoom digital, expansível, batata frita 2" LCD</v>
      </c>
      <c r="B42127" s="3">
        <v>1</v>
      </c>
    </row>
    <row r="42128" ht="15.75" customHeight="1" spans="1:2">
      <c r="A42128" s="3" t="str">
        <f>IFERROR(__xludf.DUMMYFUNCTION("GOOGLETRANSLATE(A42128,""en"",""pt"")"),"Tamanho, facilidade de utilização, funcionalidade")</f>
        <v>Tamanho, facilidade de utilização, funcionalidade</v>
      </c>
      <c r="B42128" s="3">
        <v>1</v>
      </c>
    </row>
    <row r="42129" ht="15.75" customHeight="1" spans="1:2">
      <c r="A42129" s="3" t="str">
        <f>IFERROR(__xludf.DUMMYFUNCTION("GOOGLETRANSLATE(A42129,""en"",""pt"")"),"super leve, rápido arranque, bateria de longa duração, embalagem resistente")</f>
        <v>super leve, rápido arranque, bateria de longa duração, embalagem resistente</v>
      </c>
      <c r="B42129" s="3">
        <v>1</v>
      </c>
    </row>
    <row r="42130" ht="15.75" customHeight="1" spans="1:2">
      <c r="A42130" s="3" t="str">
        <f>IFERROR(__xludf.DUMMYFUNCTION("GOOGLETRANSLATE(A42130,""en"",""pt"")"),"Pequeno. Excelente qualidade da foto. tela LCD enorme. Chicks dig it!")</f>
        <v>Pequeno. Excelente qualidade da foto. tela LCD enorme. Chicks dig it!</v>
      </c>
      <c r="B42130" s="3">
        <v>1</v>
      </c>
    </row>
    <row r="42131" ht="15.75" customHeight="1" spans="1:2">
      <c r="A42131" s="3" t="str">
        <f>IFERROR(__xludf.DUMMYFUNCTION("GOOGLETRANSLATE(A42131,""en"",""pt"")"),"Tamanho! Obviamente. Esta câmera foi em todos os lugares que eu fui e ninguém notou.")</f>
        <v>Tamanho! Obviamente. Esta câmera foi em todos os lugares que eu fui e ninguém notou.</v>
      </c>
      <c r="B42131" s="3">
        <v>1</v>
      </c>
    </row>
    <row r="42132" ht="15.75" customHeight="1" spans="1:2">
      <c r="A42132" s="3" t="str">
        <f>IFERROR(__xludf.DUMMYFUNCTION("GOOGLETRANSLATE(A42132,""en"",""pt"")"),"Pequeno, Lite, simples de usar e muito Sheik")</f>
        <v>Pequeno, Lite, simples de usar e muito Sheik</v>
      </c>
      <c r="B42132" s="3">
        <v>1</v>
      </c>
    </row>
    <row r="42133" ht="15.75" customHeight="1" spans="1:2">
      <c r="A42133" s="3" t="str">
        <f>IFERROR(__xludf.DUMMYFUNCTION("GOOGLETRANSLATE(A42133,""en"",""pt"")"),"tamanho pequeno !, usabilidade conveniente e fácil, sólido desempenho razoável")</f>
        <v>tamanho pequeno !, usabilidade conveniente e fácil, sólido desempenho razoável</v>
      </c>
      <c r="B42133" s="3">
        <v>1</v>
      </c>
    </row>
    <row r="42134" ht="15.75" customHeight="1" spans="1:2">
      <c r="A42134" s="3" t="str">
        <f>IFERROR(__xludf.DUMMYFUNCTION("GOOGLETRANSLATE(A42134,""en"",""pt"")"),"Fácil de transportar - Eu sempre tenho comigo.")</f>
        <v>Fácil de transportar - Eu sempre tenho comigo.</v>
      </c>
      <c r="B42134" s="3">
        <v>1</v>
      </c>
    </row>
    <row r="42135" ht="15.75" customHeight="1" spans="1:2">
      <c r="A42135" s="3" t="str">
        <f>IFERROR(__xludf.DUMMYFUNCTION("GOOGLETRANSLATE(A42135,""en"",""pt"")"),"Tamanho é definitivamente bom")</f>
        <v>Tamanho é definitivamente bom</v>
      </c>
      <c r="B42135" s="3">
        <v>1</v>
      </c>
    </row>
    <row r="42136" ht="15.75" customHeight="1" spans="1:2">
      <c r="A42136" s="3" t="str">
        <f>IFERROR(__xludf.DUMMYFUNCTION("GOOGLETRANSLATE(A42136,""en"",""pt"")"),"Pequena, atraente, conveniente, construído em memória")</f>
        <v>Pequena, atraente, conveniente, construído em memória</v>
      </c>
      <c r="B42136" s="3">
        <v>1</v>
      </c>
    </row>
    <row r="42137" ht="15.75" customHeight="1" spans="1:2">
      <c r="A42137" s="3" t="str">
        <f>IFERROR(__xludf.DUMMYFUNCTION("GOOGLETRANSLATE(A42137,""en"",""pt"")"),"Ultra-compacto, construído corpo de metal sólido, LCD grande, excelente qualidade de imagem")</f>
        <v>Ultra-compacto, construído corpo de metal sólido, LCD grande, excelente qualidade de imagem</v>
      </c>
      <c r="B42137" s="3">
        <v>1</v>
      </c>
    </row>
    <row r="42138" ht="15.75" customHeight="1" spans="1:2">
      <c r="A42138" s="3" t="str">
        <f>IFERROR(__xludf.DUMMYFUNCTION("GOOGLETRANSLATE(A42138,""en"",""pt"")"),"pequeno,, amigável, fotos de qualidade, versátil, leve bateria de longa duração")</f>
        <v>pequeno,, amigável, fotos de qualidade, versátil, leve bateria de longa duração</v>
      </c>
      <c r="B42138" s="3">
        <v>1</v>
      </c>
    </row>
    <row r="42139" ht="15.75" customHeight="1" spans="1:2">
      <c r="A42139" s="3" t="str">
        <f>IFERROR(__xludf.DUMMYFUNCTION("GOOGLETRANSLATE(A42139,""en"",""pt"")"),"excelente qualidade. Ver o meu comentário completa para mais detalhes.")</f>
        <v>excelente qualidade. Ver o meu comentário completa para mais detalhes.</v>
      </c>
      <c r="B42139" s="3">
        <v>1</v>
      </c>
    </row>
    <row r="42140" ht="15.75" customHeight="1" spans="1:2">
      <c r="A42140" s="3" t="str">
        <f>IFERROR(__xludf.DUMMYFUNCTION("GOOGLETRANSLATE(A42140,""en"",""pt"")"),"Tamanho pequeno, fácil de usar")</f>
        <v>Tamanho pequeno, fácil de usar</v>
      </c>
      <c r="B42140" s="3">
        <v>1</v>
      </c>
    </row>
    <row r="42141" ht="15.75" customHeight="1" spans="1:2">
      <c r="A42141" s="3" t="str">
        <f>IFERROR(__xludf.DUMMYFUNCTION("GOOGLETRANSLATE(A42141,""en"",""pt"")"),"Facilmente escamoteáveis, fator nerd alta, display LCD enorme, menus amigáveis ​​bastante user")</f>
        <v>Facilmente escamoteáveis, fator nerd alta, display LCD enorme, menus amigáveis ​​bastante user</v>
      </c>
      <c r="B42141" s="3">
        <v>1</v>
      </c>
    </row>
    <row r="42142" ht="15.75" customHeight="1" spans="1:2">
      <c r="A42142" s="3" t="str">
        <f>IFERROR(__xludf.DUMMYFUNCTION("GOOGLETRANSLATE(A42142,""en"",""pt"")"),"Sua pequena, leve e rápido")</f>
        <v>Sua pequena, leve e rápido</v>
      </c>
      <c r="B42142" s="3">
        <v>1</v>
      </c>
    </row>
    <row r="42143" ht="15.75" customHeight="1" spans="1:2">
      <c r="A42143" s="3" t="str">
        <f>IFERROR(__xludf.DUMMYFUNCTION("GOOGLETRANSLATE(A42143,""en"",""pt"")"),"Minúsculo, cheio de recursos, boa resolução, tela LCD de grandes dimensões")</f>
        <v>Minúsculo, cheio de recursos, boa resolução, tela LCD de grandes dimensões</v>
      </c>
      <c r="B42143" s="3">
        <v>1</v>
      </c>
    </row>
    <row r="42144" ht="15.75" customHeight="1" spans="1:2">
      <c r="A42144" s="3" t="str">
        <f>IFERROR(__xludf.DUMMYFUNCTION("GOOGLETRANSLATE(A42144,""en"",""pt"")"),"-Ultra compacto tamanho ,, zoom agradável design sólido ,, tela 3x ,, 2""")</f>
        <v>-Ultra compacto tamanho ,, zoom agradável design sólido ,, tela 3x ,, 2"</v>
      </c>
      <c r="B42144" s="3">
        <v>1</v>
      </c>
    </row>
    <row r="42145" ht="15.75" customHeight="1" spans="1:2">
      <c r="A42145" s="3" t="str">
        <f>IFERROR(__xludf.DUMMYFUNCTION("GOOGLETRANSLATE(A42145,""en"",""pt"")"),"alta qualidade, fácil de usar, rápido e portátil, tem grandes figuras; muita diversão!")</f>
        <v>alta qualidade, fácil de usar, rápido e portátil, tem grandes figuras; muita diversão!</v>
      </c>
      <c r="B42145" s="3">
        <v>1</v>
      </c>
    </row>
    <row r="42146" ht="15.75" customHeight="1" spans="1:2">
      <c r="A42146" s="3" t="str">
        <f>IFERROR(__xludf.DUMMYFUNCTION("GOOGLETRANSLATE(A42146,""en"",""pt"")"),"Small Form Factor, Metal Case, 2"" Screen, Pentax Lens")</f>
        <v>Small Form Factor, Metal Case, 2" Screen, Pentax Lens</v>
      </c>
      <c r="B42146" s="3">
        <v>1</v>
      </c>
    </row>
    <row r="42147" ht="15.75" customHeight="1" spans="1:2">
      <c r="A42147" s="3" t="str">
        <f>IFERROR(__xludf.DUMMYFUNCTION("GOOGLETRANSLATE(A42147,""en"",""pt"")"),"Muito leve, excelente macro, excelente retrato com fundo cenário, fácil de usar")</f>
        <v>Muito leve, excelente macro, excelente retrato com fundo cenário, fácil de usar</v>
      </c>
      <c r="B42147" s="3">
        <v>1</v>
      </c>
    </row>
    <row r="42148" ht="15.75" customHeight="1" spans="1:2">
      <c r="A42148" s="3" t="str">
        <f>IFERROR(__xludf.DUMMYFUNCTION("GOOGLETRANSLATE(A42148,""en"",""pt"")"),"- Tamanho, - Looks, - maior display LCD já vi, - A qualidade da imagem, - Portabilidade")</f>
        <v>- Tamanho, - Looks, - maior display LCD já vi, - A qualidade da imagem, - Portabilidade</v>
      </c>
      <c r="B42148" s="3">
        <v>1</v>
      </c>
    </row>
    <row r="42149" ht="15.75" customHeight="1" spans="1:2">
      <c r="A42149" s="3" t="str">
        <f>IFERROR(__xludf.DUMMYFUNCTION("GOOGLETRANSLATE(A42149,""en"",""pt"")"),"Pequeno, zoom óptico, fácil de usar")</f>
        <v>Pequeno, zoom óptico, fácil de usar</v>
      </c>
      <c r="B42149" s="3">
        <v>1</v>
      </c>
    </row>
    <row r="42150" ht="15.75" customHeight="1" spans="1:2">
      <c r="A42150" s="3" t="str">
        <f>IFERROR(__xludf.DUMMYFUNCTION("GOOGLETRANSLATE(A42150,""en"",""pt"")"),"Facilidade de uso, grande tela LCD, Bom Zoom Óptico de tamanho")</f>
        <v>Facilidade de uso, grande tela LCD, Bom Zoom Óptico de tamanho</v>
      </c>
      <c r="B42150" s="3">
        <v>1</v>
      </c>
    </row>
    <row r="42151" ht="15.75" customHeight="1" spans="1:2">
      <c r="A42151" s="3" t="str">
        <f>IFERROR(__xludf.DUMMYFUNCTION("GOOGLETRANSLATE(A42151,""en"",""pt"")"),"tamanho pequeno, grande LCD de 2"" , distância macro, pré-ajuste de zoom incrementos, baixo atraso do obturador, foco manual")</f>
        <v>tamanho pequeno, grande LCD de 2" , distância macro, pré-ajuste de zoom incrementos, baixo atraso do obturador, foco manual</v>
      </c>
      <c r="B42151" s="3">
        <v>1</v>
      </c>
    </row>
    <row r="42152" ht="15.75" customHeight="1" spans="1:2">
      <c r="A42152" s="3" t="str">
        <f>IFERROR(__xludf.DUMMYFUNCTION("GOOGLETRANSLATE(A42152,""en"",""pt"")"),"Ideal para viagens. liberação rápida do obturador!")</f>
        <v>Ideal para viagens. liberação rápida do obturador!</v>
      </c>
      <c r="B42152" s="3">
        <v>1</v>
      </c>
    </row>
    <row r="42153" ht="15.75" customHeight="1" spans="1:2">
      <c r="A42153" s="3" t="str">
        <f>IFERROR(__xludf.DUMMYFUNCTION("GOOGLETRANSLATE(A42153,""en"",""pt"")"),"Fácil de usar, leve, portátil, saída para PC &amp; amp; TV, mais opções")</f>
        <v>Fácil de usar, leve, portátil, saída para PC &amp; amp; TV, mais opções</v>
      </c>
      <c r="B42153" s="3">
        <v>1</v>
      </c>
    </row>
    <row r="42154" ht="15.75" customHeight="1" spans="1:2">
      <c r="A42154" s="3" t="str">
        <f>IFERROR(__xludf.DUMMYFUNCTION("GOOGLETRANSLATE(A42154,""en"",""pt"")"),"software é muito bom")</f>
        <v>software é muito bom</v>
      </c>
      <c r="B42154" s="3">
        <v>1</v>
      </c>
    </row>
    <row r="42155" ht="15.75" customHeight="1" spans="1:2">
      <c r="A42155" s="3" t="str">
        <f>IFERROR(__xludf.DUMMYFUNCTION("GOOGLETRANSLATE(A42155,""en"",""pt"")"),"Câmera boa partida, preço baixo")</f>
        <v>Câmera boa partida, preço baixo</v>
      </c>
      <c r="B42155" s="3">
        <v>1</v>
      </c>
    </row>
    <row r="42156" ht="15.75" customHeight="1" spans="1:2">
      <c r="A42156" s="3" t="str">
        <f>IFERROR(__xludf.DUMMYFUNCTION("GOOGLETRANSLATE(A42156,""en"",""pt"")"),"fácil de usar")</f>
        <v>fácil de usar</v>
      </c>
      <c r="B42156" s="3">
        <v>1</v>
      </c>
    </row>
    <row r="42157" ht="15.75" customHeight="1" spans="1:2">
      <c r="A42157" s="3" t="str">
        <f>IFERROR(__xludf.DUMMYFUNCTION("GOOGLETRANSLATE(A42157,""en"",""pt"")"),"multiposition lente da câmera")</f>
        <v>multiposition lente da câmera</v>
      </c>
      <c r="B42157" s="3">
        <v>1</v>
      </c>
    </row>
    <row r="42158" ht="15.75" customHeight="1" spans="1:2">
      <c r="A42158" s="3" t="str">
        <f>IFERROR(__xludf.DUMMYFUNCTION("GOOGLETRANSLATE(A42158,""en"",""pt"")"),"Girando &amp; amp; quot; olho &amp; amp; quot ;, Lightweight")</f>
        <v>Girando &amp; amp; quot; olho &amp; amp; quot ;, Lightweight</v>
      </c>
      <c r="B42158" s="3">
        <v>1</v>
      </c>
    </row>
    <row r="42159" ht="15.75" customHeight="1" spans="1:2">
      <c r="A42159" s="3" t="str">
        <f>IFERROR(__xludf.DUMMYFUNCTION("GOOGLETRANSLATE(A42159,""en"",""pt"")"),"Excelente para disparos Tripé de itens para leiloar")</f>
        <v>Excelente para disparos Tripé de itens para leiloar</v>
      </c>
      <c r="B42159" s="3">
        <v>1</v>
      </c>
    </row>
    <row r="42160" ht="15.75" customHeight="1" spans="1:2">
      <c r="A42160" s="3" t="str">
        <f>IFERROR(__xludf.DUMMYFUNCTION("GOOGLETRANSLATE(A42160,""en"",""pt"")"),"Muitos revisão ver")</f>
        <v>Muitos revisão ver</v>
      </c>
      <c r="B42160" s="3">
        <v>1</v>
      </c>
    </row>
    <row r="42161" ht="15.75" customHeight="1" spans="1:2">
      <c r="A42161" s="3" t="str">
        <f>IFERROR(__xludf.DUMMYFUNCTION("GOOGLETRANSLATE(A42161,""en"",""pt"")"),"Barato, simples.")</f>
        <v>Barato, simples.</v>
      </c>
      <c r="B42161" s="3">
        <v>1</v>
      </c>
    </row>
    <row r="42162" ht="15.75" customHeight="1" spans="1:2">
      <c r="A42162" s="3" t="str">
        <f>IFERROR(__xludf.DUMMYFUNCTION("GOOGLETRANSLATE(A42162,""en"",""pt"")"),"Muitas fotos, fácil de usar, barato!")</f>
        <v>Muitas fotos, fácil de usar, barato!</v>
      </c>
      <c r="B42162" s="3">
        <v>1</v>
      </c>
    </row>
    <row r="42163" ht="15.75" customHeight="1" spans="1:2">
      <c r="A42163" s="3" t="str">
        <f>IFERROR(__xludf.DUMMYFUNCTION("GOOGLETRANSLATE(A42163,""en"",""pt"")"),"Tamanho compacto e peso, fácil de usar, User Friendly Software")</f>
        <v>Tamanho compacto e peso, fácil de usar, User Friendly Software</v>
      </c>
      <c r="B42163" s="3">
        <v>1</v>
      </c>
    </row>
    <row r="42164" ht="15.75" customHeight="1" spans="1:2">
      <c r="A42164" s="3" t="str">
        <f>IFERROR(__xludf.DUMMYFUNCTION("GOOGLETRANSLATE(A42164,""en"",""pt"")"),"barato")</f>
        <v>barato</v>
      </c>
      <c r="B42164" s="3">
        <v>1</v>
      </c>
    </row>
    <row r="42165" ht="15.75" customHeight="1" spans="1:2">
      <c r="A42165" s="3" t="str">
        <f>IFERROR(__xludf.DUMMYFUNCTION("GOOGLETRANSLATE(A42165,""en"",""pt"")"),"Bem construído, fácil de usar, um bom software.")</f>
        <v>Bem construído, fácil de usar, um bom software.</v>
      </c>
      <c r="B42165" s="3">
        <v>1</v>
      </c>
    </row>
    <row r="42166" ht="15.75" customHeight="1" spans="1:2">
      <c r="A42166" s="3" t="str">
        <f>IFERROR(__xludf.DUMMYFUNCTION("GOOGLETRANSLATE(A42166,""en"",""pt"")"),"Excepcionalmente fácil de usar.")</f>
        <v>Excepcionalmente fácil de usar.</v>
      </c>
      <c r="B42166" s="3">
        <v>1</v>
      </c>
    </row>
    <row r="42167" ht="15.75" customHeight="1" spans="1:2">
      <c r="A42167" s="3" t="str">
        <f>IFERROR(__xludf.DUMMYFUNCTION("GOOGLETRANSLATE(A42167,""en"",""pt"")"),"nunca usei não sei")</f>
        <v>nunca usei não sei</v>
      </c>
      <c r="B42167" s="3">
        <v>1</v>
      </c>
    </row>
    <row r="42168" ht="15.75" customHeight="1" spans="1:2">
      <c r="A42168" s="3" t="str">
        <f>IFERROR(__xludf.DUMMYFUNCTION("GOOGLETRANSLATE(A42168,""en"",""pt"")"),"Detém 90 + imagens, compatível com os formatos PC e Mac")</f>
        <v>Detém 90 + imagens, compatível com os formatos PC e Mac</v>
      </c>
      <c r="B42168" s="3">
        <v>1</v>
      </c>
    </row>
    <row r="42169" ht="15.75" customHeight="1" spans="1:2">
      <c r="A42169" s="3" t="str">
        <f>IFERROR(__xludf.DUMMYFUNCTION("GOOGLETRANSLATE(A42169,""en"",""pt"")"),"preço")</f>
        <v>preço</v>
      </c>
      <c r="B42169" s="3">
        <v>1</v>
      </c>
    </row>
    <row r="42170" ht="15.75" customHeight="1" spans="1:2">
      <c r="A42170" s="3" t="str">
        <f>IFERROR(__xludf.DUMMYFUNCTION("GOOGLETRANSLATE(A42170,""en"",""pt"")"),"Encontrá-los onsale, cheep, decente")</f>
        <v>Encontrá-los onsale, cheep, decente</v>
      </c>
      <c r="B42170" s="3">
        <v>1</v>
      </c>
    </row>
    <row r="42171" ht="15.75" customHeight="1" spans="1:2">
      <c r="A42171" s="3" t="str">
        <f>IFERROR(__xludf.DUMMYFUNCTION("GOOGLETRANSLATE(A42171,""en"",""pt"")"),"imagem 96 capacidade de armazenamento, bolso quase dimensionado")</f>
        <v>imagem 96 capacidade de armazenamento, bolso quase dimensionado</v>
      </c>
      <c r="B42171" s="3">
        <v>1</v>
      </c>
    </row>
    <row r="42172" ht="15.75" customHeight="1" spans="1:2">
      <c r="A42172" s="3" t="str">
        <f>IFERROR(__xludf.DUMMYFUNCTION("GOOGLETRANSLATE(A42172,""en"",""pt"")"),"96 imagens, arquivo / tamanho da imagem, lente giratória, preço &amp; amp; amp; fácil de usar")</f>
        <v>96 imagens, arquivo / tamanho da imagem, lente giratória, preço &amp; amp; amp; fácil de usar</v>
      </c>
      <c r="B42172" s="3">
        <v>1</v>
      </c>
    </row>
    <row r="42173" ht="15.75" customHeight="1" spans="1:2">
      <c r="A42173" s="3" t="str">
        <f>IFERROR(__xludf.DUMMYFUNCTION("GOOGLETRANSLATE(A42173,""en"",""pt"")"),"tamanho perfeito para upload para a web; detém o equivalente a 4 rolos de filme; fotos de boa qualidade")</f>
        <v>tamanho perfeito para upload para a web; detém o equivalente a 4 rolos de filme; fotos de boa qualidade</v>
      </c>
      <c r="B42173" s="3">
        <v>1</v>
      </c>
    </row>
    <row r="42174" ht="15.75" customHeight="1" spans="1:2">
      <c r="A42174" s="3" t="str">
        <f>IFERROR(__xludf.DUMMYFUNCTION("GOOGLETRANSLATE(A42174,""en"",""pt"")"),"fácil de usar")</f>
        <v>fácil de usar</v>
      </c>
      <c r="B42174" s="3">
        <v>1</v>
      </c>
    </row>
    <row r="42175" ht="15.75" customHeight="1" spans="1:2">
      <c r="A42175" s="3" t="str">
        <f>IFERROR(__xludf.DUMMYFUNCTION("GOOGLETRANSLATE(A42175,""en"",""pt"")"),"Boa Feche acima da fotografia")</f>
        <v>Boa Feche acima da fotografia</v>
      </c>
      <c r="B42175" s="3">
        <v>1</v>
      </c>
    </row>
    <row r="42176" ht="15.75" customHeight="1" spans="1:2">
      <c r="A42176" s="3" t="str">
        <f>IFERROR(__xludf.DUMMYFUNCTION("GOOGLETRANSLATE(A42176,""en"",""pt"")"),"Boas fotos")</f>
        <v>Boas fotos</v>
      </c>
      <c r="B42176" s="3">
        <v>1</v>
      </c>
    </row>
    <row r="42177" ht="15.75" customHeight="1" spans="1:2">
      <c r="A42177" s="3" t="str">
        <f>IFERROR(__xludf.DUMMYFUNCTION("GOOGLETRANSLATE(A42177,""en"",""pt"")"),"Grande preço, fácil de usar")</f>
        <v>Grande preço, fácil de usar</v>
      </c>
      <c r="B42177" s="3">
        <v>1</v>
      </c>
    </row>
    <row r="42178" ht="15.75" customHeight="1" spans="1:2">
      <c r="A42178" s="3" t="str">
        <f>IFERROR(__xludf.DUMMYFUNCTION("GOOGLETRANSLATE(A42178,""en"",""pt"")"),"Fácil de usar.")</f>
        <v>Fácil de usar.</v>
      </c>
      <c r="B42178" s="3">
        <v>1</v>
      </c>
    </row>
    <row r="42179" ht="15.75" customHeight="1" spans="1:2">
      <c r="A42179" s="3" t="str">
        <f>IFERROR(__xludf.DUMMYFUNCTION("GOOGLETRANSLATE(A42179,""en"",""pt"")"),"Fácil de usar, alta capacidade de imagem")</f>
        <v>Fácil de usar, alta capacidade de imagem</v>
      </c>
      <c r="B42179" s="3">
        <v>1</v>
      </c>
    </row>
    <row r="42180" ht="15.75" customHeight="1" spans="1:2">
      <c r="A42180" s="3" t="str">
        <f>IFERROR(__xludf.DUMMYFUNCTION("GOOGLETRANSLATE(A42180,""en"",""pt"")"),"Totalmente caracterizado, desempenho muito bom all-around, lente Canon")</f>
        <v>Totalmente caracterizado, desempenho muito bom all-around, lente Canon</v>
      </c>
      <c r="B42180" s="3">
        <v>1</v>
      </c>
    </row>
    <row r="42181" ht="15.75" customHeight="1" spans="1:2">
      <c r="A42181" s="3" t="str">
        <f>IFERROR(__xludf.DUMMYFUNCTION("GOOGLETRANSLATE(A42181,""en"",""pt"")"),"Excelente qualidade de imagem, grandes recursos para preço, USB, fácil de usar")</f>
        <v>Excelente qualidade de imagem, grandes recursos para preço, USB, fácil de usar</v>
      </c>
      <c r="B42181" s="3">
        <v>1</v>
      </c>
    </row>
    <row r="42182" ht="15.75" customHeight="1" spans="1:2">
      <c r="A42182" s="3" t="str">
        <f>IFERROR(__xludf.DUMMYFUNCTION("GOOGLETRANSLATE(A42182,""en"",""pt"")"),"DIGITAL")</f>
        <v>DIGITAL</v>
      </c>
      <c r="B42182" s="3">
        <v>1</v>
      </c>
    </row>
    <row r="42183" ht="15.75" customHeight="1" spans="1:2">
      <c r="A42183" s="3" t="str">
        <f>IFERROR(__xludf.DUMMYFUNCTION("GOOGLETRANSLATE(A42183,""en"",""pt"")"),"Boa resolução, velocidade de tiro rápido, visor, USB, boa função panorâmica shoot")</f>
        <v>Boa resolução, velocidade de tiro rápido, visor, USB, boa função panorâmica shoot</v>
      </c>
      <c r="B42183" s="3">
        <v>1</v>
      </c>
    </row>
    <row r="42184" ht="15.75" customHeight="1" spans="1:2">
      <c r="A42184" s="3" t="str">
        <f>IFERROR(__xludf.DUMMYFUNCTION("GOOGLETRANSLATE(A42184,""en"",""pt"")"),"alta resolução, recurso de zoom na tela de visualização, função de filme, transferência USB rápido, menu de fantasia / interface do usuário, funções manuais (modo noturno), ea transferência de imagem que classifica automaticamente as imagens em um formato"&amp;" de página web por data economizando um monte de tim")</f>
        <v>alta resolução, recurso de zoom na tela de visualização, função de filme, transferência USB rápido, menu de fantasia / interface do usuário, funções manuais (modo noturno), ea transferência de imagem que classifica automaticamente as imagens em um formato de página web por data economizando um monte de tim</v>
      </c>
      <c r="B42184" s="3">
        <v>1</v>
      </c>
    </row>
    <row r="42185" ht="15.75" customHeight="1" spans="1:2">
      <c r="A42185" s="3" t="str">
        <f>IFERROR(__xludf.DUMMYFUNCTION("GOOGLETRANSLATE(A42185,""en"",""pt"")"),"fotos surpreendentes, grande panorama, modo de filme é legal, apoio CompactFlash tipo 2, fácil de usar, grande exibição, USB, zoom digital de 3x 2x óptico")</f>
        <v>fotos surpreendentes, grande panorama, modo de filme é legal, apoio CompactFlash tipo 2, fácil de usar, grande exibição, USB, zoom digital de 3x 2x óptico</v>
      </c>
      <c r="B42185" s="3">
        <v>1</v>
      </c>
    </row>
    <row r="42186" ht="15.75" customHeight="1" spans="1:2">
      <c r="A42186" s="3" t="str">
        <f>IFERROR(__xludf.DUMMYFUNCTION("GOOGLETRANSLATE(A42186,""en"",""pt"")"),"fotos de alta qualidade, facilidade de uso, grande variedade de modos e controle individual.")</f>
        <v>fotos de alta qualidade, facilidade de uso, grande variedade de modos e controle individual.</v>
      </c>
      <c r="B42186" s="3">
        <v>1</v>
      </c>
    </row>
    <row r="42187" ht="15.75" customHeight="1" spans="1:2">
      <c r="A42187" s="3" t="str">
        <f>IFERROR(__xludf.DUMMYFUNCTION("GOOGLETRANSLATE(A42187,""en"",""pt"")"),"boas características, grandes fotos")</f>
        <v>boas características, grandes fotos</v>
      </c>
      <c r="B42187" s="3">
        <v>1</v>
      </c>
    </row>
    <row r="42188" ht="15.75" customHeight="1" spans="1:2">
      <c r="A42188" s="3" t="str">
        <f>IFERROR(__xludf.DUMMYFUNCTION("GOOGLETRANSLATE(A42188,""en"",""pt"")"),"Nice oferece conjunto, agradável olhando Pictures")</f>
        <v>Nice oferece conjunto, agradável olhando Pictures</v>
      </c>
      <c r="B42188" s="3">
        <v>1</v>
      </c>
    </row>
    <row r="42189" ht="15.75" customHeight="1" spans="1:2">
      <c r="A42189" s="3" t="str">
        <f>IFERROR(__xludf.DUMMYFUNCTION("GOOGLETRANSLATE(A42189,""en"",""pt"")"),"Custo-per-pixel, capacidade de AVI, MicroDrive pronto")</f>
        <v>Custo-per-pixel, capacidade de AVI, MicroDrive pronto</v>
      </c>
      <c r="B42189" s="3">
        <v>1</v>
      </c>
    </row>
    <row r="42190" ht="15.75" customHeight="1" spans="1:2">
      <c r="A42190" s="3" t="str">
        <f>IFERROR(__xludf.DUMMYFUNCTION("GOOGLETRANSLATE(A42190,""en"",""pt"")"),"Esta câmera é uma grande câmera de alta qualidade, leva excelente fotos")</f>
        <v>Esta câmera é uma grande câmera de alta qualidade, leva excelente fotos</v>
      </c>
      <c r="B42190" s="3">
        <v>1</v>
      </c>
    </row>
    <row r="42191" ht="15.75" customHeight="1" spans="1:2">
      <c r="A42191" s="3" t="str">
        <f>IFERROR(__xludf.DUMMYFUNCTION("GOOGLETRANSLATE(A42191,""en"",""pt"")"),"ótima câmera")</f>
        <v>ótima câmera</v>
      </c>
      <c r="B42191" s="3">
        <v>1</v>
      </c>
    </row>
    <row r="42192" ht="15.75" customHeight="1" spans="1:2">
      <c r="A42192" s="3" t="str">
        <f>IFERROR(__xludf.DUMMYFUNCTION("GOOGLETRANSLATE(A42192,""en"",""pt"")"),"Excelentes imagens, easy-to-use interface, transferência USB rápido")</f>
        <v>Excelentes imagens, easy-to-use interface, transferência USB rápido</v>
      </c>
      <c r="B42192" s="3">
        <v>1</v>
      </c>
    </row>
    <row r="42193" ht="15.75" customHeight="1" spans="1:2">
      <c r="A42193" s="3" t="str">
        <f>IFERROR(__xludf.DUMMYFUNCTION("GOOGLETRANSLATE(A42193,""en"",""pt"")"),"avanço contínuo; Cor, B &amp; amp; amp; W, e Sepiatone modos; terá 400 imagens @ 1600x1200 com Microdrive")</f>
        <v>avanço contínuo; Cor, B &amp; amp; amp; W, e Sepiatone modos; terá 400 imagens @ 1600x1200 com Microdrive</v>
      </c>
      <c r="B42193" s="3">
        <v>1</v>
      </c>
    </row>
    <row r="42194" ht="15.75" customHeight="1" spans="1:2">
      <c r="A42194" s="3" t="str">
        <f>IFERROR(__xludf.DUMMYFUNCTION("GOOGLETRANSLATE(A42194,""en"",""pt"")"),"é uma câmera digital, com display LCD e muitas opções legais")</f>
        <v>é uma câmera digital, com display LCD e muitas opções legais</v>
      </c>
      <c r="B42194" s="3">
        <v>1</v>
      </c>
    </row>
    <row r="42195" ht="15.75" customHeight="1" spans="1:2">
      <c r="A42195" s="3" t="str">
        <f>IFERROR(__xludf.DUMMYFUNCTION("GOOGLETRANSLATE(A42195,""en"",""pt"")"),"Fácil de usar. IBM suporte microdrive gratificação imediata Capaz de imagens de boa qualidade")</f>
        <v>Fácil de usar. IBM suporte microdrive gratificação imediata Capaz de imagens de boa qualidade</v>
      </c>
      <c r="B42195" s="3">
        <v>1</v>
      </c>
    </row>
    <row r="42196" ht="15.75" customHeight="1" spans="1:2">
      <c r="A42196" s="3" t="str">
        <f>IFERROR(__xludf.DUMMYFUNCTION("GOOGLETRANSLATE(A42196,""en"",""pt"")"),"Um monte de recursos para uma pequena etiqueta de preço.")</f>
        <v>Um monte de recursos para uma pequena etiqueta de preço.</v>
      </c>
      <c r="B42196" s="3">
        <v>1</v>
      </c>
    </row>
    <row r="42197" ht="15.75" customHeight="1" spans="1:2">
      <c r="A42197" s="3" t="str">
        <f>IFERROR(__xludf.DUMMYFUNCTION("GOOGLETRANSLATE(A42197,""en"",""pt"")"),"Barato, excelente qualidade de imagem, fácil transferência de arquivos para PC")</f>
        <v>Barato, excelente qualidade de imagem, fácil transferência de arquivos para PC</v>
      </c>
      <c r="B42197" s="3">
        <v>1</v>
      </c>
    </row>
    <row r="42198" ht="15.75" customHeight="1" spans="1:2">
      <c r="A42198" s="3" t="str">
        <f>IFERROR(__xludf.DUMMYFUNCTION("GOOGLETRANSLATE(A42198,""en"",""pt"")"),"Preço, capacidade de armazenamento, precisão de cores, Flexibilidade")</f>
        <v>Preço, capacidade de armazenamento, precisão de cores, Flexibilidade</v>
      </c>
      <c r="B42198" s="3">
        <v>1</v>
      </c>
    </row>
    <row r="42199" ht="15.75" customHeight="1" spans="1:2">
      <c r="A42199" s="3" t="str">
        <f>IFERROR(__xludf.DUMMYFUNCTION("GOOGLETRANSLATE(A42199,""en"",""pt"")"),"Lotes de armazenamento!")</f>
        <v>Lotes de armazenamento!</v>
      </c>
      <c r="B42199" s="3">
        <v>1</v>
      </c>
    </row>
    <row r="42200" ht="15.75" customHeight="1" spans="1:2">
      <c r="A42200" s="3" t="str">
        <f>IFERROR(__xludf.DUMMYFUNCTION("GOOGLETRANSLATE(A42200,""en"",""pt"")"),"Grandes resultados de imagens; muitas opções; lotes de armazenamento")</f>
        <v>Grandes resultados de imagens; muitas opções; lotes de armazenamento</v>
      </c>
      <c r="B42200" s="3">
        <v>1</v>
      </c>
    </row>
    <row r="42201" ht="15.75" customHeight="1" spans="1:2">
      <c r="A42201" s="3" t="str">
        <f>IFERROR(__xludf.DUMMYFUNCTION("GOOGLETRANSLATE(A42201,""en"",""pt"")"),"Barato, qualidade de imagem boa")</f>
        <v>Barato, qualidade de imagem boa</v>
      </c>
      <c r="B42201" s="3">
        <v>1</v>
      </c>
    </row>
    <row r="42202" ht="15.75" customHeight="1" spans="1:2">
      <c r="A42202" s="3" t="str">
        <f>IFERROR(__xludf.DUMMYFUNCTION("GOOGLETRANSLATE(A42202,""en"",""pt"")"),"Qualidade da lente Canon, fotos grandes, qualidade de construção e sentir.")</f>
        <v>Qualidade da lente Canon, fotos grandes, qualidade de construção e sentir.</v>
      </c>
      <c r="B42202" s="3">
        <v>1</v>
      </c>
    </row>
    <row r="42203" ht="15.75" customHeight="1" spans="1:2">
      <c r="A42203" s="3" t="str">
        <f>IFERROR(__xludf.DUMMYFUNCTION("GOOGLETRANSLATE(A42203,""en"",""pt"")"),"Imagens são claras e as cores são muito vibrantes! Impressionante câmera !!")</f>
        <v>Imagens são claras e as cores são muito vibrantes! Impressionante câmera !!</v>
      </c>
      <c r="B42203" s="3">
        <v>1</v>
      </c>
    </row>
    <row r="42204" ht="15.75" customHeight="1" spans="1:2">
      <c r="A42204" s="3" t="str">
        <f>IFERROR(__xludf.DUMMYFUNCTION("GOOGLETRANSLATE(A42204,""en"",""pt"")"),"Excelente qualidade de imagem, se sente como uma câmera real, ao contrário de alguns digitals. 3,34 megapixels não entrelaçado.")</f>
        <v>Excelente qualidade de imagem, se sente como uma câmera real, ao contrário de alguns digitals. 3,34 megapixels não entrelaçado.</v>
      </c>
      <c r="B42204" s="3">
        <v>1</v>
      </c>
    </row>
    <row r="42205" ht="15.75" customHeight="1" spans="1:2">
      <c r="A42205" s="3" t="str">
        <f>IFERROR(__xludf.DUMMYFUNCTION("GOOGLETRANSLATE(A42205,""en"",""pt"")"),"IBM compatibilidade microdrive, factor de forma padrão, de alta res")</f>
        <v>IBM compatibilidade microdrive, factor de forma padrão, de alta res</v>
      </c>
      <c r="B42205" s="3">
        <v>1</v>
      </c>
    </row>
    <row r="42206" ht="15.75" customHeight="1" spans="1:2">
      <c r="A42206" s="3" t="str">
        <f>IFERROR(__xludf.DUMMYFUNCTION("GOOGLETRANSLATE(A42206,""en"",""pt"")"),"Resolução, qualidade de imagem, software conveniente para download de imagens")</f>
        <v>Resolução, qualidade de imagem, software conveniente para download de imagens</v>
      </c>
      <c r="B42206" s="3">
        <v>1</v>
      </c>
    </row>
    <row r="42207" ht="15.75" customHeight="1" spans="1:2">
      <c r="A42207" s="3" t="str">
        <f>IFERROR(__xludf.DUMMYFUNCTION("GOOGLETRANSLATE(A42207,""en"",""pt"")"),"340 Meg IBM Microdrive")</f>
        <v>340 Meg IBM Microdrive</v>
      </c>
      <c r="B42207" s="3">
        <v>1</v>
      </c>
    </row>
    <row r="42208" ht="15.75" customHeight="1" spans="1:2">
      <c r="A42208" s="3" t="str">
        <f>IFERROR(__xludf.DUMMYFUNCTION("GOOGLETRANSLATE(A42208,""en"",""pt"")"),"Excelente lente, CFII c Microdrive, qualidade da foto")</f>
        <v>Excelente lente, CFII c Microdrive, qualidade da foto</v>
      </c>
      <c r="B42208" s="3">
        <v>1</v>
      </c>
    </row>
    <row r="42209" ht="15.75" customHeight="1" spans="1:2">
      <c r="A42209" s="3" t="str">
        <f>IFERROR(__xludf.DUMMYFUNCTION("GOOGLETRANSLATE(A42209,""en"",""pt"")"),"Características, preço, relativa facilidade de utilização.")</f>
        <v>Características, preço, relativa facilidade de utilização.</v>
      </c>
      <c r="B42209" s="3">
        <v>1</v>
      </c>
    </row>
    <row r="42210" ht="15.75" customHeight="1" spans="1:2">
      <c r="A42210" s="3" t="str">
        <f>IFERROR(__xludf.DUMMYFUNCTION("GOOGLETRANSLATE(A42210,""en"",""pt"")"),"Boas imagens digitais que são fáceis de download através de uma conexão USB.")</f>
        <v>Boas imagens digitais que são fáceis de download através de uma conexão USB.</v>
      </c>
      <c r="B42210" s="3">
        <v>1</v>
      </c>
    </row>
    <row r="42211" ht="15.75" customHeight="1" spans="1:2">
      <c r="A42211" s="3" t="str">
        <f>IFERROR(__xludf.DUMMYFUNCTION("GOOGLETRANSLATE(A42211,""en"",""pt"")"),"Grandes imagens, flexibilidade de automação completo para controle manual, bom sistema de menu")</f>
        <v>Grandes imagens, flexibilidade de automação completo para controle manual, bom sistema de menu</v>
      </c>
      <c r="B42211" s="3">
        <v>1</v>
      </c>
    </row>
    <row r="42212" ht="15.75" customHeight="1" spans="1:2">
      <c r="A42212" s="3" t="str">
        <f>IFERROR(__xludf.DUMMYFUNCTION("GOOGLETRANSLATE(A42212,""en"",""pt"")"),"Microdrive é grande grande número, de pixels, e se sentir normal para a câmera")</f>
        <v>Microdrive é grande grande número, de pixels, e se sentir normal para a câmera</v>
      </c>
      <c r="B42212" s="3">
        <v>1</v>
      </c>
    </row>
    <row r="42213" ht="15.75" customHeight="1" spans="1:2">
      <c r="A42213" s="3" t="str">
        <f>IFERROR(__xludf.DUMMYFUNCTION("GOOGLETRANSLATE(A42213,""en"",""pt"")"),"Grandes imagens, os lotes de armazenagem.")</f>
        <v>Grandes imagens, os lotes de armazenagem.</v>
      </c>
      <c r="B42213" s="3">
        <v>1</v>
      </c>
    </row>
    <row r="42214" ht="15.75" customHeight="1" spans="1:2">
      <c r="A42214" s="3" t="str">
        <f>IFERROR(__xludf.DUMMYFUNCTION("GOOGLETRANSLATE(A42214,""en"",""pt"")"),"Digital 2x, 3x óptico, IBM 340meg micro-unidade, 1,8 &amp; amp; quot; display TFT")</f>
        <v>Digital 2x, 3x óptico, IBM 340meg micro-unidade, 1,8 &amp; amp; quot; display TFT</v>
      </c>
      <c r="B42214" s="3">
        <v>1</v>
      </c>
    </row>
    <row r="42215" ht="15.75" customHeight="1" spans="1:2">
      <c r="A42215" s="3" t="str">
        <f>IFERROR(__xludf.DUMMYFUNCTION("GOOGLETRANSLATE(A42215,""en"",""pt"")"),"Microdrive")</f>
        <v>Microdrive</v>
      </c>
      <c r="B42215" s="3">
        <v>1</v>
      </c>
    </row>
    <row r="42216" ht="15.75" customHeight="1" spans="1:2">
      <c r="A42216" s="3" t="str">
        <f>IFERROR(__xludf.DUMMYFUNCTION("GOOGLETRANSLATE(A42216,""en"",""pt"")"),"340 mb MicroDrive para armazenamento extra")</f>
        <v>340 mb MicroDrive para armazenamento extra</v>
      </c>
      <c r="B42216" s="3">
        <v>1</v>
      </c>
    </row>
    <row r="42217" ht="15.75" customHeight="1" spans="1:2">
      <c r="A42217" s="3" t="str">
        <f>IFERROR(__xludf.DUMMYFUNCTION("GOOGLETRANSLATE(A42217,""en"",""pt"")"),"Microdrive, qualidade de imagem, facilidade de uso")</f>
        <v>Microdrive, qualidade de imagem, facilidade de uso</v>
      </c>
      <c r="B42217" s="3">
        <v>1</v>
      </c>
    </row>
    <row r="42218" ht="15.75" customHeight="1" spans="1:2">
      <c r="A42218" s="3" t="str">
        <f>IFERROR(__xludf.DUMMYFUNCTION("GOOGLETRANSLATE(A42218,""en"",""pt"")"),"Capacidade de armazenamento, 3,34 Mpixels, fácil de usar, boa lente, FUN")</f>
        <v>Capacidade de armazenamento, 3,34 Mpixels, fácil de usar, boa lente, FUN</v>
      </c>
      <c r="B42218" s="3">
        <v>1</v>
      </c>
    </row>
    <row r="42219" ht="15.75" customHeight="1" spans="1:2">
      <c r="A42219" s="3" t="str">
        <f>IFERROR(__xludf.DUMMYFUNCTION("GOOGLETRANSLATE(A42219,""en"",""pt"")"),"Boa resolução e software, 3: 1 zoom óptico")</f>
        <v>Boa resolução e software, 3: 1 zoom óptico</v>
      </c>
      <c r="B42219" s="3">
        <v>1</v>
      </c>
    </row>
    <row r="42220" ht="15.75" customHeight="1" spans="1:2">
      <c r="A42220" s="3" t="str">
        <f>IFERROR(__xludf.DUMMYFUNCTION("GOOGLETRANSLATE(A42220,""en"",""pt"")"),"Grande microdrive capacidade")</f>
        <v>Grande microdrive capacidade</v>
      </c>
      <c r="B42220" s="3">
        <v>1</v>
      </c>
    </row>
    <row r="42221" ht="15.75" customHeight="1" spans="1:2">
      <c r="A42221" s="3" t="str">
        <f>IFERROR(__xludf.DUMMYFUNCTION("GOOGLETRANSLATE(A42221,""en"",""pt"")"),"Toneladas de memória para tirar fotos, pacote de software decente, downloads rápidos")</f>
        <v>Toneladas de memória para tirar fotos, pacote de software decente, downloads rápidos</v>
      </c>
      <c r="B42221" s="3">
        <v>1</v>
      </c>
    </row>
    <row r="42222" ht="15.75" customHeight="1" spans="1:2">
      <c r="A42222" s="3" t="str">
        <f>IFERROR(__xludf.DUMMYFUNCTION("GOOGLETRANSLATE(A42222,""en"",""pt"")"),"Microdrive com 340 MB de armazenamento, menu de fácil set ups, recurso excelente night shot.")</f>
        <v>Microdrive com 340 MB de armazenamento, menu de fácil set ups, recurso excelente night shot.</v>
      </c>
      <c r="B42222" s="3">
        <v>1</v>
      </c>
    </row>
    <row r="42223" ht="15.75" customHeight="1" spans="1:2">
      <c r="A42223" s="3" t="str">
        <f>IFERROR(__xludf.DUMMYFUNCTION("GOOGLETRANSLATE(A42223,""en"",""pt"")"),"Microdrive, Qualidade de Imagem")</f>
        <v>Microdrive, Qualidade de Imagem</v>
      </c>
      <c r="B42223" s="3">
        <v>1</v>
      </c>
    </row>
    <row r="42224" ht="15.75" customHeight="1" spans="1:2">
      <c r="A42224" s="3" t="str">
        <f>IFERROR(__xludf.DUMMYFUNCTION("GOOGLETRANSLATE(A42224,""en"",""pt"")"),"qualidade de imagem, facilidade de uso; características; opções de visualização; cores precisas")</f>
        <v>qualidade de imagem, facilidade de uso; características; opções de visualização; cores precisas</v>
      </c>
      <c r="B42224" s="3">
        <v>1</v>
      </c>
    </row>
    <row r="42225" ht="15.75" customHeight="1" spans="1:2">
      <c r="A42225" s="3" t="str">
        <f>IFERROR(__xludf.DUMMYFUNCTION("GOOGLETRANSLATE(A42225,""en"",""pt"")"),"Fun &amp; amp; câmera pouco funky, recursos extras impressionantes")</f>
        <v>Fun &amp; amp; câmera pouco funky, recursos extras impressionantes</v>
      </c>
      <c r="B42225" s="3">
        <v>1</v>
      </c>
    </row>
    <row r="42226" ht="15.75" customHeight="1" spans="1:2">
      <c r="A42226" s="3" t="str">
        <f>IFERROR(__xludf.DUMMYFUNCTION("GOOGLETRANSLATE(A42226,""en"",""pt"")"),"pequenas, acessível, qualidade decente fotos")</f>
        <v>pequenas, acessível, qualidade decente fotos</v>
      </c>
      <c r="B42226" s="3">
        <v>1</v>
      </c>
    </row>
    <row r="42227" ht="15.75" customHeight="1" spans="1:2">
      <c r="A42227" s="3" t="str">
        <f>IFERROR(__xludf.DUMMYFUNCTION("GOOGLETRANSLATE(A42227,""en"",""pt"")"),"econômicos, bons closes")</f>
        <v>econômicos, bons closes</v>
      </c>
      <c r="B42227" s="3">
        <v>1</v>
      </c>
    </row>
    <row r="42228" ht="15.75" customHeight="1" spans="1:2">
      <c r="A42228" s="3" t="str">
        <f>IFERROR(__xludf.DUMMYFUNCTION("GOOGLETRANSLATE(A42228,""en"",""pt"")"),"bom preço e fácil de usar")</f>
        <v>bom preço e fácil de usar</v>
      </c>
      <c r="B42228" s="3">
        <v>1</v>
      </c>
    </row>
    <row r="42229" ht="15.75" customHeight="1" spans="1:2">
      <c r="A42229" s="3" t="str">
        <f>IFERROR(__xludf.DUMMYFUNCTION("GOOGLETRANSLATE(A42229,""en"",""pt"")"),"ele faz isso de trabalho, ele é pequena")</f>
        <v>ele faz isso de trabalho, ele é pequena</v>
      </c>
      <c r="B42229" s="3">
        <v>1</v>
      </c>
    </row>
    <row r="42230" ht="15.75" customHeight="1" spans="1:2">
      <c r="A42230" s="3" t="str">
        <f>IFERROR(__xludf.DUMMYFUNCTION("GOOGLETRANSLATE(A42230,""en"",""pt"")"),"Instantâneas imagens, Fácil de usar, e o tempo de upload de imagem é rápido")</f>
        <v>Instantâneas imagens, Fácil de usar, e o tempo de upload de imagem é rápido</v>
      </c>
      <c r="B42230" s="3">
        <v>1</v>
      </c>
    </row>
    <row r="42231" ht="15.75" customHeight="1" spans="1:2">
      <c r="A42231" s="3" t="str">
        <f>IFERROR(__xludf.DUMMYFUNCTION("GOOGLETRANSLATE(A42231,""en"",""pt"")"),"câmera esteticamente agradável")</f>
        <v>câmera esteticamente agradável</v>
      </c>
      <c r="B42231" s="3">
        <v>1</v>
      </c>
    </row>
    <row r="42232" ht="15.75" customHeight="1" spans="1:2">
      <c r="A42232" s="3" t="str">
        <f>IFERROR(__xludf.DUMMYFUNCTION("GOOGLETRANSLATE(A42232,""en"",""pt"")"),"tirar fotos")</f>
        <v>tirar fotos</v>
      </c>
      <c r="B42232" s="3">
        <v>1</v>
      </c>
    </row>
    <row r="42233" ht="15.75" customHeight="1" spans="1:2">
      <c r="A42233" s="3" t="str">
        <f>IFERROR(__xludf.DUMMYFUNCTION("GOOGLETRANSLATE(A42233,""en"",""pt"")"),"Excelente qualidade de imagem, software fácil de usar")</f>
        <v>Excelente qualidade de imagem, software fácil de usar</v>
      </c>
      <c r="B42233" s="3">
        <v>1</v>
      </c>
    </row>
    <row r="42234" ht="15.75" customHeight="1" spans="1:2">
      <c r="A42234" s="3" t="str">
        <f>IFERROR(__xludf.DUMMYFUNCTION("GOOGLETRANSLATE(A42234,""en"",""pt"")"),"Muitos recursos, fácil de usar, leva grandes fotos. 8x de zoom óptico: 32 digitais")</f>
        <v>Muitos recursos, fácil de usar, leva grandes fotos. 8x de zoom óptico: 32 digitais</v>
      </c>
      <c r="B42234" s="3">
        <v>1</v>
      </c>
    </row>
    <row r="42235" ht="15.75" customHeight="1" spans="1:2">
      <c r="A42235" s="3" t="str">
        <f>IFERROR(__xludf.DUMMYFUNCTION("GOOGLETRANSLATE(A42235,""en"",""pt"")"),"lente giratória de 270 graus, visor LCD, vários modos de câmara")</f>
        <v>lente giratória de 270 graus, visor LCD, vários modos de câmara</v>
      </c>
      <c r="B42235" s="3">
        <v>1</v>
      </c>
    </row>
    <row r="42236" ht="15.75" customHeight="1" spans="1:2">
      <c r="A42236" s="3" t="str">
        <f>IFERROR(__xludf.DUMMYFUNCTION("GOOGLETRANSLATE(A42236,""en"",""pt"")"),"8x de zoom óptico, lente giratória, tela LCD de grandes dimensões")</f>
        <v>8x de zoom óptico, lente giratória, tela LCD de grandes dimensões</v>
      </c>
      <c r="B42236" s="3">
        <v>1</v>
      </c>
    </row>
    <row r="42237" ht="15.75" customHeight="1" spans="1:2">
      <c r="A42237" s="3" t="str">
        <f>IFERROR(__xludf.DUMMYFUNCTION("GOOGLETRANSLATE(A42237,""en"",""pt"")"),"Super 8 X óptico, 4X lente zoom digital. recurso filme. controle de exposição manual ou automática.")</f>
        <v>Super 8 X óptico, 4X lente zoom digital. recurso filme. controle de exposição manual ou automática.</v>
      </c>
      <c r="B42237" s="3">
        <v>1</v>
      </c>
    </row>
    <row r="42238" ht="15.75" customHeight="1" spans="1:2">
      <c r="A42238" s="3" t="str">
        <f>IFERROR(__xludf.DUMMYFUNCTION("GOOGLETRANSLATE(A42238,""en"",""pt"")"),"Muitos recursos, display LCD grande")</f>
        <v>Muitos recursos, display LCD grande</v>
      </c>
      <c r="B42238" s="3">
        <v>1</v>
      </c>
    </row>
    <row r="42239" ht="15.75" customHeight="1" spans="1:2">
      <c r="A42239" s="3" t="str">
        <f>IFERROR(__xludf.DUMMYFUNCTION("GOOGLETRANSLATE(A42239,""en"",""pt"")"),"peso leve, multi-opções, grandes lente")</f>
        <v>peso leve, multi-opções, grandes lente</v>
      </c>
      <c r="B42239" s="3">
        <v>1</v>
      </c>
    </row>
    <row r="42240" ht="15.75" customHeight="1" spans="1:2">
      <c r="A42240" s="3" t="str">
        <f>IFERROR(__xludf.DUMMYFUNCTION("GOOGLETRANSLATE(A42240,""en"",""pt"")"),"imagens em alta qualidade, conveniência, diversão!")</f>
        <v>imagens em alta qualidade, conveniência, diversão!</v>
      </c>
      <c r="B42240" s="3">
        <v>1</v>
      </c>
    </row>
    <row r="42241" ht="15.75" customHeight="1" spans="1:2">
      <c r="A42241" s="3" t="str">
        <f>IFERROR(__xludf.DUMMYFUNCTION("GOOGLETRANSLATE(A42241,""en"",""pt"")"),"Eu comecei a passar mais tempo com meus pais quando me fez pobre")</f>
        <v>Eu comecei a passar mais tempo com meus pais quando me fez pobre</v>
      </c>
      <c r="B42241" s="3">
        <v>1</v>
      </c>
    </row>
    <row r="42242" ht="15.75" customHeight="1" spans="1:2">
      <c r="A42242" s="3" t="str">
        <f>IFERROR(__xludf.DUMMYFUNCTION("GOOGLETRANSLATE(A42242,""en"",""pt"")"),"conjunto completo de recursos, fácil de usar, o valor.")</f>
        <v>conjunto completo de recursos, fácil de usar, o valor.</v>
      </c>
      <c r="B42242" s="3">
        <v>1</v>
      </c>
    </row>
    <row r="42243" ht="15.75" customHeight="1" spans="1:2">
      <c r="A42243" s="3" t="str">
        <f>IFERROR(__xludf.DUMMYFUNCTION("GOOGLETRANSLATE(A42243,""en"",""pt"")"),"zoom 8x, controle de exposição, qualidade, facilidade de uso, a vida da bateria")</f>
        <v>zoom 8x, controle de exposição, qualidade, facilidade de uso, a vida da bateria</v>
      </c>
      <c r="B42243" s="3">
        <v>1</v>
      </c>
    </row>
    <row r="42244" ht="15.75" customHeight="1" spans="1:2">
      <c r="A42244" s="3" t="str">
        <f>IFERROR(__xludf.DUMMYFUNCTION("GOOGLETRANSLATE(A42244,""en"",""pt"")"),"Grande capacidade de zoom")</f>
        <v>Grande capacidade de zoom</v>
      </c>
      <c r="B42244" s="3">
        <v>1</v>
      </c>
    </row>
    <row r="42245" ht="15.75" customHeight="1" spans="1:2">
      <c r="A42245" s="3" t="str">
        <f>IFERROR(__xludf.DUMMYFUNCTION("GOOGLETRANSLATE(A42245,""en"",""pt"")"),"fotos decentes")</f>
        <v>fotos decentes</v>
      </c>
      <c r="B42245" s="3">
        <v>1</v>
      </c>
    </row>
    <row r="42246" ht="15.75" customHeight="1" spans="1:2">
      <c r="A42246" s="3" t="str">
        <f>IFERROR(__xludf.DUMMYFUNCTION("GOOGLETRANSLATE(A42246,""en"",""pt"")"),"fácil de usar, muito características muito, 32 zoom digital")</f>
        <v>fácil de usar, muito características muito, 32 zoom digital</v>
      </c>
      <c r="B42246" s="3">
        <v>1</v>
      </c>
    </row>
    <row r="42247" ht="15.75" customHeight="1" spans="1:2">
      <c r="A42247" s="3" t="str">
        <f>IFERROR(__xludf.DUMMYFUNCTION("GOOGLETRANSLATE(A42247,""en"",""pt"")"),"Impressionante câmera! zoom óptico de 8x, capacidade .avi, lente giratória e MAIS!")</f>
        <v>Impressionante câmera! zoom óptico de 8x, capacidade .avi, lente giratória e MAIS!</v>
      </c>
      <c r="B42247" s="3">
        <v>1</v>
      </c>
    </row>
    <row r="42248" ht="15.75" customHeight="1" spans="1:2">
      <c r="A42248" s="3" t="str">
        <f>IFERROR(__xludf.DUMMYFUNCTION("GOOGLETRANSLATE(A42248,""en"",""pt"")"),"Boas imagens, considerando o tamanho e resoloution")</f>
        <v>Boas imagens, considerando o tamanho e resoloution</v>
      </c>
      <c r="B42248" s="3">
        <v>1</v>
      </c>
    </row>
    <row r="42249" ht="15.75" customHeight="1" spans="1:2">
      <c r="A42249" s="3" t="str">
        <f>IFERROR(__xludf.DUMMYFUNCTION("GOOGLETRANSLATE(A42249,""en"",""pt"")"),"Você tê-lo com você o tempo todo pequena 120x120 pixels as fotos são claras")</f>
        <v>Você tê-lo com você o tempo todo pequena 120x120 pixels as fotos são claras</v>
      </c>
      <c r="B42249" s="3">
        <v>1</v>
      </c>
    </row>
    <row r="42250" ht="15.75" customHeight="1" spans="1:2">
      <c r="A42250" s="3" t="str">
        <f>IFERROR(__xludf.DUMMYFUNCTION("GOOGLETRANSLATE(A42250,""en"",""pt"")"),"Facilidade de utilização, capacidade de RI")</f>
        <v>Facilidade de utilização, capacidade de RI</v>
      </c>
      <c r="B42250" s="3">
        <v>1</v>
      </c>
    </row>
    <row r="42251" ht="15.75" customHeight="1" spans="1:2">
      <c r="A42251" s="3" t="str">
        <f>IFERROR(__xludf.DUMMYFUNCTION("GOOGLETRANSLATE(A42251,""en"",""pt"")"),"é um pequeno dois-em-um pacote")</f>
        <v>é um pequeno dois-em-um pacote</v>
      </c>
      <c r="B42251" s="3">
        <v>1</v>
      </c>
    </row>
    <row r="42252" ht="15.75" customHeight="1" spans="1:2">
      <c r="A42252" s="3" t="str">
        <f>IFERROR(__xludf.DUMMYFUNCTION("GOOGLETRANSLATE(A42252,""en"",""pt"")"),"A portabilidade não pode ser batida")</f>
        <v>A portabilidade não pode ser batida</v>
      </c>
      <c r="B42252" s="3">
        <v>1</v>
      </c>
    </row>
    <row r="42253" ht="15.75" customHeight="1" spans="1:2">
      <c r="A42253" s="3" t="str">
        <f>IFERROR(__xludf.DUMMYFUNCTION("GOOGLETRANSLATE(A42253,""en"",""pt"")"),"FRESCO simplesmente")</f>
        <v>FRESCO simplesmente</v>
      </c>
      <c r="B42253" s="3">
        <v>1</v>
      </c>
    </row>
    <row r="42254" ht="15.75" customHeight="1" spans="1:2">
      <c r="A42254" s="3" t="str">
        <f>IFERROR(__xludf.DUMMYFUNCTION("GOOGLETRANSLATE(A42254,""en"",""pt"")"),"Único, adicionar fotos aos números de contato; à prova d'água")</f>
        <v>Único, adicionar fotos aos números de contato; à prova d'água</v>
      </c>
      <c r="B42254" s="3">
        <v>1</v>
      </c>
    </row>
    <row r="42255" ht="15.75" customHeight="1" spans="1:2">
      <c r="A42255" s="3" t="str">
        <f>IFERROR(__xludf.DUMMYFUNCTION("GOOGLETRANSLATE(A42255,""en"",""pt"")"),"tirar uma foto de qualquer coisa no capricho; as pessoas estão sempre surpreendido com a qualidade da imagem quando você mostrar-lhes o mostrador do relógio; lojas 100 pix a bordo, e vigas de palma e de desktop")</f>
        <v>tirar uma foto de qualquer coisa no capricho; as pessoas estão sempre surpreendido com a qualidade da imagem quando você mostrar-lhes o mostrador do relógio; lojas 100 pix a bordo, e vigas de palma e de desktop</v>
      </c>
      <c r="B42255" s="3">
        <v>1</v>
      </c>
    </row>
    <row r="42256" ht="15.75" customHeight="1" spans="1:2">
      <c r="A42256" s="3" t="str">
        <f>IFERROR(__xludf.DUMMYFUNCTION("GOOGLETRANSLATE(A42256,""en"",""pt"")"),"diversão sem fim para a mentalidade de espionagem")</f>
        <v>diversão sem fim para a mentalidade de espionagem</v>
      </c>
      <c r="B42256" s="3">
        <v>1</v>
      </c>
    </row>
    <row r="42257" ht="15.75" customHeight="1" spans="1:2">
      <c r="A42257" s="3" t="str">
        <f>IFERROR(__xludf.DUMMYFUNCTION("GOOGLETRANSLATE(A42257,""en"",""pt"")"),"obras de câmara, mesmo com pouca luz; fácil de ler a tela LCD; muitas funções do relógio")</f>
        <v>obras de câmara, mesmo com pouca luz; fácil de ler a tela LCD; muitas funções do relógio</v>
      </c>
      <c r="B42257" s="3">
        <v>1</v>
      </c>
    </row>
    <row r="42258" ht="15.75" customHeight="1" spans="1:2">
      <c r="A42258" s="3" t="str">
        <f>IFERROR(__xludf.DUMMYFUNCTION("GOOGLETRANSLATE(A42258,""en"",""pt"")"),"qualidade de imagem inferior a filme perfeito. Lembre-se, porém, que é um relógio, por amor de Deus.")</f>
        <v>qualidade de imagem inferior a filme perfeito. Lembre-se, porém, que é um relógio, por amor de Deus.</v>
      </c>
      <c r="B42258" s="3">
        <v>1</v>
      </c>
    </row>
    <row r="42259" ht="15.75" customHeight="1" spans="1:2">
      <c r="A42259" s="3" t="str">
        <f>IFERROR(__xludf.DUMMYFUNCTION("GOOGLETRANSLATE(A42259,""en"",""pt"")"),"O peso leve, muito manobrável, muito atraente, ajustável, fácil de limpar, extras acessório, Price.")</f>
        <v>O peso leve, muito manobrável, muito atraente, ajustável, fácil de limpar, extras acessório, Price.</v>
      </c>
      <c r="B42259" s="3">
        <v>1</v>
      </c>
    </row>
    <row r="42260" ht="15.75" customHeight="1" spans="1:2">
      <c r="A42260" s="3" t="str">
        <f>IFERROR(__xludf.DUMMYFUNCTION("GOOGLETRANSLATE(A42260,""en"",""pt"")"),"Leve, fácil de dirigir, e resistente. grande, enquanto barato em estilo!")</f>
        <v>Leve, fácil de dirigir, e resistente. grande, enquanto barato em estilo!</v>
      </c>
      <c r="B42260" s="3">
        <v>1</v>
      </c>
    </row>
    <row r="42261" ht="15.75" customHeight="1" spans="1:2">
      <c r="A42261" s="3" t="str">
        <f>IFERROR(__xludf.DUMMYFUNCTION("GOOGLETRANSLATE(A42261,""en"",""pt"")"),"Elegante, manobrável e leve. Fácil de guardar")</f>
        <v>Elegante, manobrável e leve. Fácil de guardar</v>
      </c>
      <c r="B42261" s="3">
        <v>1</v>
      </c>
    </row>
    <row r="42262" ht="15.75" customHeight="1" spans="1:2">
      <c r="A42262" s="3" t="str">
        <f>IFERROR(__xludf.DUMMYFUNCTION("GOOGLETRANSLATE(A42262,""en"",""pt"")"),"muitos extras!")</f>
        <v>muitos extras!</v>
      </c>
      <c r="B42262" s="3">
        <v>1</v>
      </c>
    </row>
    <row r="42263" ht="15.75" customHeight="1" spans="1:2">
      <c r="A42263" s="3" t="str">
        <f>IFERROR(__xludf.DUMMYFUNCTION("GOOGLETRANSLATE(A42263,""en"",""pt"")"),"Muito leve, fácil de transportar com alça, altamente portátil")</f>
        <v>Muito leve, fácil de transportar com alça, altamente portátil</v>
      </c>
      <c r="B42263" s="3">
        <v>1</v>
      </c>
    </row>
    <row r="42264" ht="15.75" customHeight="1" spans="1:2">
      <c r="A42264" s="3" t="str">
        <f>IFERROR(__xludf.DUMMYFUNCTION("GOOGLETRANSLATE(A42264,""en"",""pt"")"),"Leve, transportando caso, alça de ombro para transportar, assento reclinável, escudo de chuva")</f>
        <v>Leve, transportando caso, alça de ombro para transportar, assento reclinável, escudo de chuva</v>
      </c>
      <c r="B42264" s="3">
        <v>1</v>
      </c>
    </row>
    <row r="42265" ht="15.75" customHeight="1" spans="1:2">
      <c r="A42265" s="3" t="str">
        <f>IFERROR(__xludf.DUMMYFUNCTION("GOOGLETRANSLATE(A42265,""en"",""pt"")"),"reclina dobra facilmente leves BEATS confortáveis ​​resistentes Volo!")</f>
        <v>reclina dobra facilmente leves BEATS confortáveis ​​resistentes Volo!</v>
      </c>
      <c r="B42265" s="3">
        <v>1</v>
      </c>
    </row>
    <row r="42266" ht="15.75" customHeight="1" spans="1:2">
      <c r="A42266" s="3" t="str">
        <f>IFERROR(__xludf.DUMMYFUNCTION("GOOGLETRANSLATE(A42266,""en"",""pt"")"),"durável, facilmente compactáveis, manobrável, adaptável, leve, barato.")</f>
        <v>durável, facilmente compactáveis, manobrável, adaptável, leve, barato.</v>
      </c>
      <c r="B42266" s="3">
        <v>1</v>
      </c>
    </row>
    <row r="42267" ht="15.75" customHeight="1" spans="1:2">
      <c r="A42267" s="3" t="str">
        <f>IFERROR(__xludf.DUMMYFUNCTION("GOOGLETRANSLATE(A42267,""en"",""pt"")"),"Muito elegante, lightwieght, e compacto.")</f>
        <v>Muito elegante, lightwieght, e compacto.</v>
      </c>
      <c r="B42267" s="3">
        <v>1</v>
      </c>
    </row>
    <row r="42268" ht="15.75" customHeight="1" spans="1:2">
      <c r="A42268" s="3" t="str">
        <f>IFERROR(__xludf.DUMMYFUNCTION("GOOGLETRANSLATE(A42268,""en"",""pt"")"),"Leve, compacto e confiável.")</f>
        <v>Leve, compacto e confiável.</v>
      </c>
      <c r="B42268" s="3">
        <v>1</v>
      </c>
    </row>
    <row r="42269" ht="15.75" customHeight="1" spans="1:2">
      <c r="A42269" s="3" t="str">
        <f>IFERROR(__xludf.DUMMYFUNCTION("GOOGLETRANSLATE(A42269,""en"",""pt"")"),"O peso leve, comissários de bordo estão impressionados com sua facilidade de uso")</f>
        <v>O peso leve, comissários de bordo estão impressionados com sua facilidade de uso</v>
      </c>
      <c r="B42269" s="3">
        <v>1</v>
      </c>
    </row>
    <row r="42270" ht="15.75" customHeight="1" spans="1:2">
      <c r="A42270" s="3" t="str">
        <f>IFERROR(__xludf.DUMMYFUNCTION("GOOGLETRANSLATE(A42270,""en"",""pt"")"),"A + para elegante. Incrivelmente leve. alça de ombro é perfeito.")</f>
        <v>A + para elegante. Incrivelmente leve. alça de ombro é perfeito.</v>
      </c>
      <c r="B42270" s="3">
        <v>1</v>
      </c>
    </row>
    <row r="42271" ht="15.75" customHeight="1" spans="1:2">
      <c r="A42271" s="3" t="str">
        <f>IFERROR(__xludf.DUMMYFUNCTION("GOOGLETRANSLATE(A42271,""en"",""pt"")"),"Extremamente leve")</f>
        <v>Extremamente leve</v>
      </c>
      <c r="B42271" s="3">
        <v>1</v>
      </c>
    </row>
    <row r="42272" ht="15.75" customHeight="1" spans="1:2">
      <c r="A42272" s="3" t="str">
        <f>IFERROR(__xludf.DUMMYFUNCTION("GOOGLETRANSLATE(A42272,""en"",""pt"")"),"O peso leve, fácil abertura / fecho.")</f>
        <v>O peso leve, fácil abertura / fecho.</v>
      </c>
      <c r="B42272" s="3">
        <v>1</v>
      </c>
    </row>
    <row r="42273" ht="15.75" customHeight="1" spans="1:2">
      <c r="A42273" s="3" t="str">
        <f>IFERROR(__xludf.DUMMYFUNCTION("GOOGLETRANSLATE(A42273,""en"",""pt"")"),"Leve e compacto.")</f>
        <v>Leve e compacto.</v>
      </c>
      <c r="B42273" s="3">
        <v>1</v>
      </c>
    </row>
    <row r="42274" ht="15.75" customHeight="1" spans="1:2">
      <c r="A42274" s="3" t="str">
        <f>IFERROR(__xludf.DUMMYFUNCTION("GOOGLETRANSLATE(A42274,""en"",""pt"")"),"Leve e design agradável")</f>
        <v>Leve e design agradável</v>
      </c>
      <c r="B42274" s="3">
        <v>1</v>
      </c>
    </row>
    <row r="42275" ht="15.75" customHeight="1" spans="1:2">
      <c r="A42275" s="3" t="str">
        <f>IFERROR(__xludf.DUMMYFUNCTION("GOOGLETRANSLATE(A42275,""en"",""pt"")"),"leve, com preços razoáveis, altamente manobrável, dobra-se facilmente, meu bebê adora")</f>
        <v>leve, com preços razoáveis, altamente manobrável, dobra-se facilmente, meu bebê adora</v>
      </c>
      <c r="B42275" s="3">
        <v>1</v>
      </c>
    </row>
    <row r="42276" ht="15.75" customHeight="1" spans="1:2">
      <c r="A42276" s="3" t="str">
        <f>IFERROR(__xludf.DUMMYFUNCTION("GOOGLETRANSLATE(A42276,""en"",""pt"")"),"Muito leve, alça de ombro para transporte, os separa de barras para crianças, fácil de dobrar / desdobrar")</f>
        <v>Muito leve, alça de ombro para transporte, os separa de barras para crianças, fácil de dobrar / desdobrar</v>
      </c>
      <c r="B42276" s="3">
        <v>1</v>
      </c>
    </row>
    <row r="42277" ht="15.75" customHeight="1" spans="1:2">
      <c r="A42277" s="3" t="str">
        <f>IFERROR(__xludf.DUMMYFUNCTION("GOOGLETRANSLATE(A42277,""en"",""pt"")"),"Grande carrinho de viagem, bom para o uso da cidade, manter-se bem ao longo do tempo")</f>
        <v>Grande carrinho de viagem, bom para o uso da cidade, manter-se bem ao longo do tempo</v>
      </c>
      <c r="B42277" s="3">
        <v>1</v>
      </c>
    </row>
    <row r="42278" ht="15.75" customHeight="1" spans="1:2">
      <c r="A42278" s="3" t="str">
        <f>IFERROR(__xludf.DUMMYFUNCTION("GOOGLETRANSLATE(A42278,""en"",""pt"")"),"Leve e compacto")</f>
        <v>Leve e compacto</v>
      </c>
      <c r="B42278" s="3">
        <v>1</v>
      </c>
    </row>
    <row r="42279" ht="15.75" customHeight="1" spans="1:2">
      <c r="A42279" s="3" t="str">
        <f>IFERROR(__xludf.DUMMYFUNCTION("GOOGLETRANSLATE(A42279,""en"",""pt"")"),"luz, grande manobra, limpa")</f>
        <v>luz, grande manobra, limpa</v>
      </c>
      <c r="B42279" s="3">
        <v>1</v>
      </c>
    </row>
    <row r="42280" ht="15.75" customHeight="1" spans="1:2">
      <c r="A42280" s="3" t="str">
        <f>IFERROR(__xludf.DUMMYFUNCTION("GOOGLETRANSLATE(A42280,""en"",""pt"")"),"Super leve, 'n' fácil dobrar / desdobrar, pocket dossel puro, pára-choques dianteiro removível rápida.")</f>
        <v>Super leve, 'n' fácil dobrar / desdobrar, pocket dossel puro, pára-choques dianteiro removível rápida.</v>
      </c>
      <c r="B42280" s="3">
        <v>1</v>
      </c>
    </row>
    <row r="42281" ht="15.75" customHeight="1" spans="1:2">
      <c r="A42281" s="3" t="str">
        <f>IFERROR(__xludf.DUMMYFUNCTION("GOOGLETRANSLATE(A42281,""en"",""pt"")"),"leve, confortável, fácil de unidade")</f>
        <v>leve, confortável, fácil de unidade</v>
      </c>
      <c r="B42281" s="3">
        <v>1</v>
      </c>
    </row>
    <row r="42282" ht="15.75" customHeight="1" spans="1:2">
      <c r="A42282" s="3" t="str">
        <f>IFERROR(__xludf.DUMMYFUNCTION("GOOGLETRANSLATE(A42282,""en"",""pt"")"),"Leve, fácil de dobrar, armazenar, utilizar, transportar. Ideal para viagens")</f>
        <v>Leve, fácil de dobrar, armazenar, utilizar, transportar. Ideal para viagens</v>
      </c>
      <c r="B42282" s="3">
        <v>1</v>
      </c>
    </row>
    <row r="42283" ht="15.75" customHeight="1" spans="1:2">
      <c r="A42283" s="3" t="str">
        <f>IFERROR(__xludf.DUMMYFUNCTION("GOOGLETRANSLATE(A42283,""en"",""pt"")"),"Combi é o melhor em sua classe.")</f>
        <v>Combi é o melhor em sua classe.</v>
      </c>
      <c r="B42283" s="3">
        <v>1</v>
      </c>
    </row>
    <row r="42284" ht="15.75" customHeight="1" spans="1:2">
      <c r="A42284" s="3" t="str">
        <f>IFERROR(__xludf.DUMMYFUNCTION("GOOGLETRANSLATE(A42284,""en"",""pt"")"),"peso leve, e preço certo")</f>
        <v>peso leve, e preço certo</v>
      </c>
      <c r="B42284" s="3">
        <v>1</v>
      </c>
    </row>
    <row r="42285" ht="15.75" customHeight="1" spans="1:2">
      <c r="A42285" s="3" t="str">
        <f>IFERROR(__xludf.DUMMYFUNCTION("GOOGLETRANSLATE(A42285,""en"",""pt"")"),"leve prático")</f>
        <v>leve prático</v>
      </c>
      <c r="B42285" s="3">
        <v>1</v>
      </c>
    </row>
    <row r="42286" ht="15.75" customHeight="1" spans="1:2">
      <c r="A42286" s="3" t="str">
        <f>IFERROR(__xludf.DUMMYFUNCTION("GOOGLETRANSLATE(A42286,""en"",""pt"")"),"O peso leve = alta velocidade!")</f>
        <v>O peso leve = alta velocidade!</v>
      </c>
      <c r="B42286" s="3">
        <v>1</v>
      </c>
    </row>
    <row r="42287" ht="15.75" customHeight="1" spans="1:2">
      <c r="A42287" s="3" t="str">
        <f>IFERROR(__xludf.DUMMYFUNCTION("GOOGLETRANSLATE(A42287,""en"",""pt"")"),"leve, fácil de transportar e dobre")</f>
        <v>leve, fácil de transportar e dobre</v>
      </c>
      <c r="B42287" s="3">
        <v>1</v>
      </c>
    </row>
    <row r="42288" ht="15.75" customHeight="1" spans="1:2">
      <c r="A42288" s="3" t="str">
        <f>IFERROR(__xludf.DUMMYFUNCTION("GOOGLETRANSLATE(A42288,""en"",""pt"")"),"Um sonho de dirigir, leve, compacto, qualidade todo o caminho")</f>
        <v>Um sonho de dirigir, leve, compacto, qualidade todo o caminho</v>
      </c>
      <c r="B42288" s="3">
        <v>1</v>
      </c>
    </row>
    <row r="42289" ht="15.75" customHeight="1" spans="1:2">
      <c r="A42289" s="3" t="str">
        <f>IFERROR(__xludf.DUMMYFUNCTION("GOOGLETRANSLATE(A42289,""en"",""pt"")"),"luz, bonita")</f>
        <v>luz, bonita</v>
      </c>
      <c r="B42289" s="3">
        <v>1</v>
      </c>
    </row>
    <row r="42290" ht="15.75" customHeight="1" spans="1:2">
      <c r="A42290" s="3" t="str">
        <f>IFERROR(__xludf.DUMMYFUNCTION("GOOGLETRANSLATE(A42290,""en"",""pt"")"),"Leve, fácil abertura, viaja grande")</f>
        <v>Leve, fácil abertura, viaja grande</v>
      </c>
      <c r="B42290" s="3">
        <v>1</v>
      </c>
    </row>
    <row r="42291" ht="15.75" customHeight="1" spans="1:2">
      <c r="A42291" s="3" t="str">
        <f>IFERROR(__xludf.DUMMYFUNCTION("GOOGLETRANSLATE(A42291,""en"",""pt"")"),"dobra-se pequenos {10 polegadas de largura!}, luz {7.7lbs} resistentes, vários padrões")</f>
        <v>dobra-se pequenos {10 polegadas de largura!}, luz {7.7lbs} resistentes, vários padrões</v>
      </c>
      <c r="B42291" s="3">
        <v>1</v>
      </c>
    </row>
    <row r="42292" ht="15.75" customHeight="1" spans="1:2">
      <c r="A42292" s="3" t="str">
        <f>IFERROR(__xludf.DUMMYFUNCTION("GOOGLETRANSLATE(A42292,""en"",""pt"")"),"Leve, fácil de dobrar, manobra fácil")</f>
        <v>Leve, fácil de dobrar, manobra fácil</v>
      </c>
      <c r="B42292" s="3">
        <v>1</v>
      </c>
    </row>
    <row r="42293" ht="15.75" customHeight="1" spans="1:2">
      <c r="A42293" s="3" t="str">
        <f>IFERROR(__xludf.DUMMYFUNCTION("GOOGLETRANSLATE(A42293,""en"",""pt"")"),"Pesa menos do que a média recém-nascido; dobra-se facilmente")</f>
        <v>Pesa menos do que a média recém-nascido; dobra-se facilmente</v>
      </c>
      <c r="B42293" s="3">
        <v>1</v>
      </c>
    </row>
    <row r="42294" ht="15.75" customHeight="1" spans="1:2">
      <c r="A42294" s="3" t="str">
        <f>IFERROR(__xludf.DUMMYFUNCTION("GOOGLETRANSLATE(A42294,""en"",""pt"")"),"Compacto, leve e extremamente arrefecer")</f>
        <v>Compacto, leve e extremamente arrefecer</v>
      </c>
      <c r="B42294" s="3">
        <v>1</v>
      </c>
    </row>
    <row r="42295" ht="15.75" customHeight="1" spans="1:2">
      <c r="A42295" s="3" t="str">
        <f>IFERROR(__xludf.DUMMYFUNCTION("GOOGLETRANSLATE(A42295,""en"",""pt"")"),"Leve, durável")</f>
        <v>Leve, durável</v>
      </c>
      <c r="B42295" s="3">
        <v>1</v>
      </c>
    </row>
    <row r="42296" ht="15.75" customHeight="1" spans="1:2">
      <c r="A42296" s="3" t="str">
        <f>IFERROR(__xludf.DUMMYFUNCTION("GOOGLETRANSLATE(A42296,""en"",""pt"")"),"leve, boa para viagens")</f>
        <v>leve, boa para viagens</v>
      </c>
      <c r="B42296" s="3">
        <v>1</v>
      </c>
    </row>
    <row r="42297" ht="15.75" customHeight="1" spans="1:2">
      <c r="A42297" s="3" t="str">
        <f>IFERROR(__xludf.DUMMYFUNCTION("GOOGLETRANSLATE(A42297,""en"",""pt"")"),"Leve, muito compacto, tem a maioria das características de um carrinho de tamanho completo")</f>
        <v>Leve, muito compacto, tem a maioria das características de um carrinho de tamanho completo</v>
      </c>
      <c r="B42297" s="3">
        <v>1</v>
      </c>
    </row>
    <row r="42298" ht="15.75" customHeight="1" spans="1:2">
      <c r="A42298" s="3" t="str">
        <f>IFERROR(__xludf.DUMMYFUNCTION("GOOGLETRANSLATE(A42298,""en"",""pt"")"),"leve, compacto, fácil de dobrar, ótimo para viagens")</f>
        <v>leve, compacto, fácil de dobrar, ótimo para viagens</v>
      </c>
      <c r="B42298" s="3">
        <v>1</v>
      </c>
    </row>
    <row r="42299" ht="15.75" customHeight="1" spans="1:2">
      <c r="A42299" s="3" t="str">
        <f>IFERROR(__xludf.DUMMYFUNCTION("GOOGLETRANSLATE(A42299,""en"",""pt"")"),"Leve, durável")</f>
        <v>Leve, durável</v>
      </c>
      <c r="B42299" s="3">
        <v>1</v>
      </c>
    </row>
    <row r="42300" ht="15.75" customHeight="1" spans="1:2">
      <c r="A42300" s="3" t="str">
        <f>IFERROR(__xludf.DUMMYFUNCTION("GOOGLETRANSLATE(A42300,""en"",""pt"")"),"portátil, leve, manobras como um sonho, uma coisa fácil de dobrar")</f>
        <v>portátil, leve, manobras como um sonho, uma coisa fácil de dobrar</v>
      </c>
      <c r="B42300" s="3">
        <v>1</v>
      </c>
    </row>
    <row r="42301" ht="15.75" customHeight="1" spans="1:2">
      <c r="A42301" s="3" t="str">
        <f>IFERROR(__xludf.DUMMYFUNCTION("GOOGLETRANSLATE(A42301,""en"",""pt"")"),"dobra-se e abre muito facilmente, é muito leve")</f>
        <v>dobra-se e abre muito facilmente, é muito leve</v>
      </c>
      <c r="B42301" s="3">
        <v>1</v>
      </c>
    </row>
    <row r="42302" ht="15.75" customHeight="1" spans="1:2">
      <c r="A42302" s="3" t="str">
        <f>IFERROR(__xludf.DUMMYFUNCTION("GOOGLETRANSLATE(A42302,""en"",""pt"")"),"leve, compacto, atraente, copa grande, fácil de manobra")</f>
        <v>leve, compacto, atraente, copa grande, fácil de manobra</v>
      </c>
      <c r="B42302" s="3">
        <v>1</v>
      </c>
    </row>
    <row r="42303" ht="15.75" customHeight="1" spans="1:2">
      <c r="A42303" s="3" t="str">
        <f>IFERROR(__xludf.DUMMYFUNCTION("GOOGLETRANSLATE(A42303,""en"",""pt"")"),"leve")</f>
        <v>leve</v>
      </c>
      <c r="B42303" s="3">
        <v>1</v>
      </c>
    </row>
    <row r="42304" ht="15.75" customHeight="1" spans="1:2">
      <c r="A42304" s="3" t="str">
        <f>IFERROR(__xludf.DUMMYFUNCTION("GOOGLETRANSLATE(A42304,""en"",""pt"")"),"leve e fácil de usar")</f>
        <v>leve e fácil de usar</v>
      </c>
      <c r="B42304" s="3">
        <v>1</v>
      </c>
    </row>
    <row r="42305" ht="15.75" customHeight="1" spans="1:2">
      <c r="A42305" s="3" t="str">
        <f>IFERROR(__xludf.DUMMYFUNCTION("GOOGLETRANSLATE(A42305,""en"",""pt"")"),"leve, atraente")</f>
        <v>leve, atraente</v>
      </c>
      <c r="B42305" s="3">
        <v>1</v>
      </c>
    </row>
    <row r="42306" ht="15.75" customHeight="1" spans="1:2">
      <c r="A42306" s="3" t="str">
        <f>IFERROR(__xludf.DUMMYFUNCTION("GOOGLETRANSLATE(A42306,""en"",""pt"")"),"O peso leve com o conforto do carrinho de tamanho completo")</f>
        <v>O peso leve com o conforto do carrinho de tamanho completo</v>
      </c>
      <c r="B42306" s="3">
        <v>1</v>
      </c>
    </row>
    <row r="42307" ht="15.75" customHeight="1" spans="1:2">
      <c r="A42307" s="3" t="str">
        <f>IFERROR(__xludf.DUMMYFUNCTION("GOOGLETRANSLATE(A42307,""en"",""pt"")"),"Leve, fácil de usar, elegante")</f>
        <v>Leve, fácil de usar, elegante</v>
      </c>
      <c r="B42307" s="3">
        <v>1</v>
      </c>
    </row>
    <row r="42308" ht="15.75" customHeight="1" spans="1:2">
      <c r="A42308" s="3" t="str">
        <f>IFERROR(__xludf.DUMMYFUNCTION("GOOGLETRANSLATE(A42308,""en"",""pt"")"),"super leve, dobra-se pequenas manobras em lugares pequenos")</f>
        <v>super leve, dobra-se pequenas manobras em lugares pequenos</v>
      </c>
      <c r="B42308" s="3">
        <v>1</v>
      </c>
    </row>
    <row r="42309" ht="15.75" customHeight="1" spans="1:2">
      <c r="A42309" s="3" t="str">
        <f>IFERROR(__xludf.DUMMYFUNCTION("GOOGLETRANSLATE(A42309,""en"",""pt"")"),"leves; unidades sem problemas; design atraente")</f>
        <v>leves; unidades sem problemas; design atraente</v>
      </c>
      <c r="B42309" s="3">
        <v>1</v>
      </c>
    </row>
    <row r="42310" ht="15.75" customHeight="1" spans="1:2">
      <c r="A42310" s="3" t="str">
        <f>IFERROR(__xludf.DUMMYFUNCTION("GOOGLETRANSLATE(A42310,""en"",""pt"")"),"Leve, compacto, dobra-se pequeno, parece legal")</f>
        <v>Leve, compacto, dobra-se pequeno, parece legal</v>
      </c>
      <c r="B42310" s="3">
        <v>1</v>
      </c>
    </row>
    <row r="42311" ht="15.75" customHeight="1" spans="1:2">
      <c r="A42311" s="3" t="str">
        <f>IFERROR(__xludf.DUMMYFUNCTION("GOOGLETRANSLATE(A42311,""en"",""pt"")"),"Apenas carrinho de criança que se encaixa em bagageiros todos; muito leve &amp; amp; # 9; &amp; amp; # 9;")</f>
        <v>Apenas carrinho de criança que se encaixa em bagageiros todos; muito leve &amp; amp; # 9; &amp; amp; # 9;</v>
      </c>
      <c r="B42311" s="3">
        <v>1</v>
      </c>
    </row>
    <row r="42312" ht="15.75" customHeight="1" spans="1:2">
      <c r="A42312" s="3" t="str">
        <f>IFERROR(__xludf.DUMMYFUNCTION("GOOGLETRANSLATE(A42312,""en"",""pt"")"),"luz, dobras pequeno, fácil de dirigir, confortável")</f>
        <v>luz, dobras pequeno, fácil de dirigir, confortável</v>
      </c>
      <c r="B42312" s="3">
        <v>1</v>
      </c>
    </row>
    <row r="42313" ht="15.75" customHeight="1" spans="1:2">
      <c r="A42313" s="3" t="str">
        <f>IFERROR(__xludf.DUMMYFUNCTION("GOOGLETRANSLATE(A42313,""en"",""pt"")"),"dobras muito pequena; muito leve; encosto facilmente ajustável")</f>
        <v>dobras muito pequena; muito leve; encosto facilmente ajustável</v>
      </c>
      <c r="B42313" s="3">
        <v>1</v>
      </c>
    </row>
    <row r="42314" ht="15.75" customHeight="1" spans="1:2">
      <c r="A42314" s="3" t="str">
        <f>IFERROR(__xludf.DUMMYFUNCTION("GOOGLETRANSLATE(A42314,""en"",""pt"")"),"peso leve, muito compacto")</f>
        <v>peso leve, muito compacto</v>
      </c>
      <c r="B42314" s="3">
        <v>1</v>
      </c>
    </row>
    <row r="42315" ht="15.75" customHeight="1" spans="1:2">
      <c r="A42315" s="3" t="str">
        <f>IFERROR(__xludf.DUMMYFUNCTION("GOOGLETRANSLATE(A42315,""en"",""pt"")"),"Dobras forma compacta, leve")</f>
        <v>Dobras forma compacta, leve</v>
      </c>
      <c r="B42315" s="3">
        <v>1</v>
      </c>
    </row>
    <row r="42316" ht="15.75" customHeight="1" spans="1:2">
      <c r="A42316" s="3" t="str">
        <f>IFERROR(__xludf.DUMMYFUNCTION("GOOGLETRANSLATE(A42316,""en"",""pt"")"),"Super leve e compacto. Pode ser empurrado quando dobrado.")</f>
        <v>Super leve e compacto. Pode ser empurrado quando dobrado.</v>
      </c>
      <c r="B42316" s="3">
        <v>1</v>
      </c>
    </row>
    <row r="42317" ht="15.75" customHeight="1" spans="1:2">
      <c r="A42317" s="3" t="str">
        <f>IFERROR(__xludf.DUMMYFUNCTION("GOOGLETRANSLATE(A42317,""en"",""pt"")"),"pequeno e leve")</f>
        <v>pequeno e leve</v>
      </c>
      <c r="B42317" s="3">
        <v>1</v>
      </c>
    </row>
    <row r="42318" ht="15.75" customHeight="1" spans="1:2">
      <c r="A42318" s="3" t="str">
        <f>IFERROR(__xludf.DUMMYFUNCTION("GOOGLETRANSLATE(A42318,""en"",""pt"")"),"leve, fácil de dobrar para caber em lugares pequenos, ótimo para viagens")</f>
        <v>leve, fácil de dobrar para caber em lugares pequenos, ótimo para viagens</v>
      </c>
      <c r="B42318" s="3">
        <v>1</v>
      </c>
    </row>
    <row r="42319" ht="15.75" customHeight="1" spans="1:2">
      <c r="A42319" s="3" t="str">
        <f>IFERROR(__xludf.DUMMYFUNCTION("GOOGLETRANSLATE(A42319,""en"",""pt"")"),"Muito leve e estreito. Extremamente fácil de obter através de corredores estreitos.")</f>
        <v>Muito leve e estreito. Extremamente fácil de obter através de corredores estreitos.</v>
      </c>
      <c r="B42319" s="3">
        <v>1</v>
      </c>
    </row>
    <row r="42320" ht="15.75" customHeight="1" spans="1:2">
      <c r="A42320" s="3" t="str">
        <f>IFERROR(__xludf.DUMMYFUNCTION("GOOGLETRANSLATE(A42320,""en"",""pt"")"),"&amp; Lt; b &amp; gt; Leve &amp; lt; / b &amp; gt; ~ 12 libras!")</f>
        <v>&amp; Lt; b &amp; gt; Leve &amp; lt; / b &amp; gt; ~ 12 libras!</v>
      </c>
      <c r="B42320" s="3">
        <v>1</v>
      </c>
    </row>
    <row r="42321" ht="15.75" customHeight="1" spans="1:2">
      <c r="A42321" s="3" t="str">
        <f>IFERROR(__xludf.DUMMYFUNCTION("GOOGLETRANSLATE(A42321,""en"",""pt"")"),"Tamanho, peso, frieza")</f>
        <v>Tamanho, peso, frieza</v>
      </c>
      <c r="B42321" s="3">
        <v>1</v>
      </c>
    </row>
    <row r="42322" ht="15.75" customHeight="1" spans="1:2">
      <c r="A42322" s="3" t="str">
        <f>IFERROR(__xludf.DUMMYFUNCTION("GOOGLETRANSLATE(A42322,""en"",""pt"")"),"carrinho leve que facilmente se dobra para armazenamento compacto")</f>
        <v>carrinho leve que facilmente se dobra para armazenamento compacto</v>
      </c>
      <c r="B42322" s="3">
        <v>1</v>
      </c>
    </row>
    <row r="42323" ht="15.75" customHeight="1" spans="1:2">
      <c r="A42323" s="3" t="str">
        <f>IFERROR(__xludf.DUMMYFUNCTION("GOOGLETRANSLATE(A42323,""en"",""pt"")"),"Leve e muito compacto quando dobrado.")</f>
        <v>Leve e muito compacto quando dobrado.</v>
      </c>
      <c r="B42323" s="3">
        <v>1</v>
      </c>
    </row>
    <row r="42324" ht="15.75" customHeight="1" spans="1:2">
      <c r="A42324" s="3" t="str">
        <f>IFERROR(__xludf.DUMMYFUNCTION("GOOGLETRANSLATE(A42324,""en"",""pt"")"),"Muito leve e compacto, confortável, converte-se facilmente, mesmo quando pesado.")</f>
        <v>Muito leve e compacto, confortável, converte-se facilmente, mesmo quando pesado.</v>
      </c>
      <c r="B42324" s="3">
        <v>1</v>
      </c>
    </row>
    <row r="42325" ht="15.75" customHeight="1" spans="1:2">
      <c r="A42325" s="3" t="str">
        <f>IFERROR(__xludf.DUMMYFUNCTION("GOOGLETRANSLATE(A42325,""en"",""pt"")"),"LUZ!! Dobra-se e fica !! atenção Combi aos detalhes!")</f>
        <v>LUZ!! Dobra-se e fica !! atenção Combi aos detalhes!</v>
      </c>
      <c r="B42325" s="3">
        <v>1</v>
      </c>
    </row>
    <row r="42326" ht="15.75" customHeight="1" spans="1:2">
      <c r="A42326" s="3" t="str">
        <f>IFERROR(__xludf.DUMMYFUNCTION("GOOGLETRANSLATE(A42326,""en"",""pt"")"),"Luz, dobra-se pequeno!")</f>
        <v>Luz, dobra-se pequeno!</v>
      </c>
      <c r="B42326" s="3">
        <v>1</v>
      </c>
    </row>
    <row r="42327" ht="15.75" customHeight="1" spans="1:2">
      <c r="A42327" s="3" t="str">
        <f>IFERROR(__xludf.DUMMYFUNCTION("GOOGLETRANSLATE(A42327,""en"",""pt"")"),"peso, mecanismo de dobragem, suportes para bebidas")</f>
        <v>peso, mecanismo de dobragem, suportes para bebidas</v>
      </c>
      <c r="B42327" s="3">
        <v>1</v>
      </c>
    </row>
    <row r="42328" ht="15.75" customHeight="1" spans="1:2">
      <c r="A42328" s="3" t="str">
        <f>IFERROR(__xludf.DUMMYFUNCTION("GOOGLETRANSLATE(A42328,""en"",""pt"")"),"Compacto, fácil de abrir e fechar, ótimo para nos pais vão")</f>
        <v>Compacto, fácil de abrir e fechar, ótimo para nos pais vão</v>
      </c>
      <c r="B42328" s="3">
        <v>1</v>
      </c>
    </row>
    <row r="42329" ht="15.75" customHeight="1" spans="1:2">
      <c r="A42329" s="3" t="str">
        <f>IFERROR(__xludf.DUMMYFUNCTION("GOOGLETRANSLATE(A42329,""en"",""pt"")"),"compacto, dobra dupla, tecido de nylon")</f>
        <v>compacto, dobra dupla, tecido de nylon</v>
      </c>
      <c r="B42329" s="3">
        <v>1</v>
      </c>
    </row>
    <row r="42330" ht="15.75" customHeight="1" spans="1:2">
      <c r="A42330" s="3" t="str">
        <f>IFERROR(__xludf.DUMMYFUNCTION("GOOGLETRANSLATE(A42330,""en"",""pt"")"),"Limite o suficiente para caber através de portas")</f>
        <v>Limite o suficiente para caber através de portas</v>
      </c>
      <c r="B42330" s="3">
        <v>1</v>
      </c>
    </row>
    <row r="42331" ht="15.75" customHeight="1" spans="1:2">
      <c r="A42331" s="3" t="str">
        <f>IFERROR(__xludf.DUMMYFUNCTION("GOOGLETRANSLATE(A42331,""en"",""pt"")"),"leve, espreitar através da janela")</f>
        <v>leve, espreitar através da janela</v>
      </c>
      <c r="B42331" s="3">
        <v>1</v>
      </c>
    </row>
    <row r="42332" ht="15.75" customHeight="1" spans="1:2">
      <c r="A42332" s="3" t="str">
        <f>IFERROR(__xludf.DUMMYFUNCTION("GOOGLETRANSLATE(A42332,""en"",""pt"")"),"Steers bem, leve, fácil de usar, se encaixa através de portas")</f>
        <v>Steers bem, leve, fácil de usar, se encaixa através de portas</v>
      </c>
      <c r="B42332" s="3">
        <v>1</v>
      </c>
    </row>
    <row r="42333" ht="15.75" customHeight="1" spans="1:2">
      <c r="A42333" s="3" t="str">
        <f>IFERROR(__xludf.DUMMYFUNCTION("GOOGLETRANSLATE(A42333,""en"",""pt"")"),"Leve, fácil de configurar e dobrar para baixo.")</f>
        <v>Leve, fácil de configurar e dobrar para baixo.</v>
      </c>
      <c r="B42333" s="3">
        <v>1</v>
      </c>
    </row>
    <row r="42334" ht="15.75" customHeight="1" spans="1:2">
      <c r="A42334" s="3" t="str">
        <f>IFERROR(__xludf.DUMMYFUNCTION("GOOGLETRANSLATE(A42334,""en"",""pt"")"),"No papel, este poderia ser um grande carrinho de criança.")</f>
        <v>No papel, este poderia ser um grande carrinho de criança.</v>
      </c>
      <c r="B42334" s="3">
        <v>1</v>
      </c>
    </row>
    <row r="42335" ht="15.75" customHeight="1" spans="1:2">
      <c r="A42335" s="3" t="str">
        <f>IFERROR(__xludf.DUMMYFUNCTION("GOOGLETRANSLATE(A42335,""en"",""pt"")"),"Dobras compacto, fica na posição vertical, leve, de cor alcaçuz contemporânea")</f>
        <v>Dobras compacto, fica na posição vertical, leve, de cor alcaçuz contemporânea</v>
      </c>
      <c r="B42335" s="3">
        <v>1</v>
      </c>
    </row>
    <row r="42336" ht="15.75" customHeight="1" spans="1:2">
      <c r="A42336" s="3" t="str">
        <f>IFERROR(__xludf.DUMMYFUNCTION("GOOGLETRANSLATE(A42336,""en"",""pt"")"),"Leve / compacto, recline completo, facilidade de fold / unfold e atraente")</f>
        <v>Leve / compacto, recline completo, facilidade de fold / unfold e atraente</v>
      </c>
      <c r="B42336" s="3">
        <v>1</v>
      </c>
    </row>
    <row r="42337" ht="15.75" customHeight="1" spans="1:2">
      <c r="A42337" s="3" t="str">
        <f>IFERROR(__xludf.DUMMYFUNCTION("GOOGLETRANSLATE(A42337,""en"",""pt"")"),"assento infantil acomodar, compacto e leve.")</f>
        <v>assento infantil acomodar, compacto e leve.</v>
      </c>
      <c r="B42337" s="3">
        <v>1</v>
      </c>
    </row>
    <row r="42338" ht="15.75" customHeight="1" spans="1:2">
      <c r="A42338" s="3" t="str">
        <f>IFERROR(__xludf.DUMMYFUNCTION("GOOGLETRANSLATE(A42338,""en"",""pt"")"),"leve, dobra-se facilmente com uma mão, dirige bem")</f>
        <v>leve, dobra-se facilmente com uma mão, dirige bem</v>
      </c>
      <c r="B42338" s="3">
        <v>1</v>
      </c>
    </row>
    <row r="42339" ht="15.75" customHeight="1" spans="1:2">
      <c r="A42339" s="3" t="str">
        <f>IFERROR(__xludf.DUMMYFUNCTION("GOOGLETRANSLATE(A42339,""en"",""pt"")"),"peso leve, fácil de usar, pode ser usado com assento de carro")</f>
        <v>peso leve, fácil de usar, pode ser usado com assento de carro</v>
      </c>
      <c r="B42339" s="3">
        <v>1</v>
      </c>
    </row>
    <row r="42340" ht="15.75" customHeight="1" spans="1:2">
      <c r="A42340" s="3" t="str">
        <f>IFERROR(__xludf.DUMMYFUNCTION("GOOGLETRANSLATE(A42340,""en"",""pt"")"),"Leve, fácil de usar, uma direção handed")</f>
        <v>Leve, fácil de usar, uma direção handed</v>
      </c>
      <c r="B42340" s="3">
        <v>1</v>
      </c>
    </row>
    <row r="42341" ht="15.75" customHeight="1" spans="1:2">
      <c r="A42341" s="3" t="str">
        <f>IFERROR(__xludf.DUMMYFUNCTION("GOOGLETRANSLATE(A42341,""en"",""pt"")"),"O único carrinho de criança que você vai precisar!")</f>
        <v>O único carrinho de criança que você vai precisar!</v>
      </c>
      <c r="B42341" s="3">
        <v>1</v>
      </c>
    </row>
    <row r="42342" ht="15.75" customHeight="1" spans="1:2">
      <c r="A42342" s="3" t="str">
        <f>IFERROR(__xludf.DUMMYFUNCTION("GOOGLETRANSLATE(A42342,""en"",""pt"")"),"Leve, compacto, alça de transporte, suportes para copos / garrafas, recebe assento de carro, sistema de colunas, manobras com facilidade, capô expansível")</f>
        <v>Leve, compacto, alça de transporte, suportes para copos / garrafas, recebe assento de carro, sistema de colunas, manobras com facilidade, capô expansível</v>
      </c>
      <c r="B42342" s="3">
        <v>1</v>
      </c>
    </row>
    <row r="42343" ht="15.75" customHeight="1" spans="1:2">
      <c r="A42343" s="3" t="str">
        <f>IFERROR(__xludf.DUMMYFUNCTION("GOOGLETRANSLATE(A42343,""en"",""pt"")"),"leve")</f>
        <v>leve</v>
      </c>
      <c r="B42343" s="3">
        <v>1</v>
      </c>
    </row>
    <row r="42344" ht="15.75" customHeight="1" spans="1:2">
      <c r="A42344" s="3" t="str">
        <f>IFERROR(__xludf.DUMMYFUNCTION("GOOGLETRANSLATE(A42344,""en"",""pt"")"),"Leve, Music-fio, compatível com portadores infantis, totalmente reclináveis, elegante, à venda: babyage.com")</f>
        <v>Leve, Music-fio, compatível com portadores infantis, totalmente reclináveis, elegante, à venda: babyage.com</v>
      </c>
      <c r="B42344" s="3">
        <v>1</v>
      </c>
    </row>
    <row r="42345" ht="15.75" customHeight="1" spans="1:2">
      <c r="A42345" s="3" t="str">
        <f>IFERROR(__xludf.DUMMYFUNCTION("GOOGLETRANSLATE(A42345,""en"",""pt"")"),"novilhos facilmente com uma mão, peso leve")</f>
        <v>novilhos facilmente com uma mão, peso leve</v>
      </c>
      <c r="B42345" s="3">
        <v>1</v>
      </c>
    </row>
    <row r="42346" ht="15.75" customHeight="1" spans="1:2">
      <c r="A42346" s="3" t="str">
        <f>IFERROR(__xludf.DUMMYFUNCTION("GOOGLETRANSLATE(A42346,""en"",""pt"")"),"leve, compacto, fácil de dirigir, conveniente")</f>
        <v>leve, compacto, fácil de dirigir, conveniente</v>
      </c>
      <c r="B42346" s="3">
        <v>1</v>
      </c>
    </row>
    <row r="42347" ht="15.75" customHeight="1" spans="1:2">
      <c r="A42347" s="3" t="str">
        <f>IFERROR(__xludf.DUMMYFUNCTION("GOOGLETRANSLATE(A42347,""en"",""pt"")"),"leve, fácil de dobrar")</f>
        <v>leve, fácil de dobrar</v>
      </c>
      <c r="B42347" s="3">
        <v>1</v>
      </c>
    </row>
    <row r="42348" ht="15.75" customHeight="1" spans="1:2">
      <c r="A42348" s="3" t="str">
        <f>IFERROR(__xludf.DUMMYFUNCTION("GOOGLETRANSLATE(A42348,""en"",""pt"")"),"Elegante e leve, fácil de usar com portadores infantis")</f>
        <v>Elegante e leve, fácil de usar com portadores infantis</v>
      </c>
      <c r="B42348" s="3">
        <v>1</v>
      </c>
    </row>
    <row r="42349" ht="15.75" customHeight="1" spans="1:2">
      <c r="A42349" s="3" t="str">
        <f>IFERROR(__xludf.DUMMYFUNCTION("GOOGLETRANSLATE(A42349,""en"",""pt"")"),"Muito Lighweight, resistente, Dobras pequena")</f>
        <v>Muito Lighweight, resistente, Dobras pequena</v>
      </c>
      <c r="B42349" s="3">
        <v>1</v>
      </c>
    </row>
    <row r="42350" ht="15.75" customHeight="1" spans="1:2">
      <c r="A42350" s="3" t="str">
        <f>IFERROR(__xludf.DUMMYFUNCTION("GOOGLETRANSLATE(A42350,""en"",""pt"")"),"Fácil e suave 3 posição reclinada. tecido de pelúcia. Muito leve e fácil dobrar. Boa capacidade de manobra.")</f>
        <v>Fácil e suave 3 posição reclinada. tecido de pelúcia. Muito leve e fácil dobrar. Boa capacidade de manobra.</v>
      </c>
      <c r="B42350" s="3">
        <v>1</v>
      </c>
    </row>
    <row r="42351" ht="15.75" customHeight="1" spans="1:2">
      <c r="A42351" s="3" t="str">
        <f>IFERROR(__xludf.DUMMYFUNCTION("GOOGLETRANSLATE(A42351,""en"",""pt"")"),"Bom se você é rico")</f>
        <v>Bom se você é rico</v>
      </c>
      <c r="B42351" s="3">
        <v>1</v>
      </c>
    </row>
    <row r="42352" ht="15.75" customHeight="1" spans="1:2">
      <c r="A42352" s="3" t="str">
        <f>IFERROR(__xludf.DUMMYFUNCTION("GOOGLETRANSLATE(A42352,""en"",""pt"")"),"leve, compacto muitas características")</f>
        <v>leve, compacto muitas características</v>
      </c>
      <c r="B42352" s="3">
        <v>1</v>
      </c>
    </row>
    <row r="42353" ht="15.75" customHeight="1" spans="1:2">
      <c r="A42353" s="3" t="str">
        <f>IFERROR(__xludf.DUMMYFUNCTION("GOOGLETRANSLATE(A42353,""en"",""pt"")"),"leve, pequeno, grande para o curso")</f>
        <v>leve, pequeno, grande para o curso</v>
      </c>
      <c r="B42353" s="3">
        <v>1</v>
      </c>
    </row>
    <row r="42354" ht="15.75" customHeight="1" spans="1:2">
      <c r="A42354" s="3" t="str">
        <f>IFERROR(__xludf.DUMMYFUNCTION("GOOGLETRANSLATE(A42354,""en"",""pt"")"),"Fácil de transportar, boa qualidade geral")</f>
        <v>Fácil de transportar, boa qualidade geral</v>
      </c>
      <c r="B42354" s="3">
        <v>1</v>
      </c>
    </row>
    <row r="42355" ht="15.75" customHeight="1" spans="1:2">
      <c r="A42355" s="3" t="str">
        <f>IFERROR(__xludf.DUMMYFUNCTION("GOOGLETRANSLATE(A42355,""en"",""pt"")"),"leve")</f>
        <v>leve</v>
      </c>
      <c r="B42355" s="3">
        <v>1</v>
      </c>
    </row>
    <row r="42356" ht="15.75" customHeight="1" spans="1:2">
      <c r="A42356" s="3" t="str">
        <f>IFERROR(__xludf.DUMMYFUNCTION("GOOGLETRANSLATE(A42356,""en"",""pt"")"),"Pequeno, compacto, fácil de usar")</f>
        <v>Pequeno, compacto, fácil de usar</v>
      </c>
      <c r="B42356" s="3">
        <v>1</v>
      </c>
    </row>
    <row r="42357" ht="15.75" customHeight="1" spans="1:2">
      <c r="A42357" s="3" t="str">
        <f>IFERROR(__xludf.DUMMYFUNCTION("GOOGLETRANSLATE(A42357,""en"",""pt"")"),"recline completa em uma leve (10 lbs) carrinho de criança, sistema de jogo perfeito, com uma mão dobra")</f>
        <v>recline completa em uma leve (10 lbs) carrinho de criança, sistema de jogo perfeito, com uma mão dobra</v>
      </c>
      <c r="B42357" s="3">
        <v>1</v>
      </c>
    </row>
    <row r="42358" ht="15.75" customHeight="1" spans="1:2">
      <c r="A42358" s="3" t="str">
        <f>IFERROR(__xludf.DUMMYFUNCTION("GOOGLETRANSLATE(A42358,""en"",""pt"")"),"Muito leve, fácil de dobrar, atraente.")</f>
        <v>Muito leve, fácil de dobrar, atraente.</v>
      </c>
      <c r="B42358" s="3">
        <v>1</v>
      </c>
    </row>
    <row r="42359" ht="15.75" customHeight="1" spans="1:2">
      <c r="A42359" s="3" t="str">
        <f>IFERROR(__xludf.DUMMYFUNCTION("GOOGLETRANSLATE(A42359,""en"",""pt"")"),"Ela imprime.")</f>
        <v>Ela imprime.</v>
      </c>
      <c r="B42359" s="3">
        <v>1</v>
      </c>
    </row>
    <row r="42360" ht="15.75" customHeight="1" spans="1:2">
      <c r="A42360" s="3" t="str">
        <f>IFERROR(__xludf.DUMMYFUNCTION("GOOGLETRANSLATE(A42360,""en"",""pt"")"),"Ele funciona, foi livre")</f>
        <v>Ele funciona, foi livre</v>
      </c>
      <c r="B42360" s="3">
        <v>1</v>
      </c>
    </row>
    <row r="42361" ht="15.75" customHeight="1" spans="1:2">
      <c r="A42361" s="3" t="str">
        <f>IFERROR(__xludf.DUMMYFUNCTION("GOOGLETRANSLATE(A42361,""en"",""pt"")"),"Compactar")</f>
        <v>Compactar</v>
      </c>
      <c r="B42361" s="3">
        <v>1</v>
      </c>
    </row>
    <row r="42362" ht="15.75" customHeight="1" spans="1:2">
      <c r="A42362" s="3" t="str">
        <f>IFERROR(__xludf.DUMMYFUNCTION("GOOGLETRANSLATE(A42362,""en"",""pt"")"),"Que ""parece"" design bonito, simplista, tag preço razoável.")</f>
        <v>Que "parece" design bonito, simplista, tag preço razoável.</v>
      </c>
      <c r="B42362" s="3">
        <v>1</v>
      </c>
    </row>
    <row r="42363" ht="15.75" customHeight="1" spans="1:2">
      <c r="A42363" s="3" t="str">
        <f>IFERROR(__xludf.DUMMYFUNCTION("GOOGLETRANSLATE(A42363,""en"",""pt"")"),"Fácil de instalar e usar.")</f>
        <v>Fácil de instalar e usar.</v>
      </c>
      <c r="B42363" s="3">
        <v>1</v>
      </c>
    </row>
    <row r="42364" ht="15.75" customHeight="1" spans="1:2">
      <c r="A42364" s="3" t="str">
        <f>IFERROR(__xludf.DUMMYFUNCTION("GOOGLETRANSLATE(A42364,""en"",""pt"")"),"Boa qualidade")</f>
        <v>Boa qualidade</v>
      </c>
      <c r="B42364" s="3">
        <v>1</v>
      </c>
    </row>
    <row r="42365" ht="15.75" customHeight="1" spans="1:2">
      <c r="A42365" s="3" t="str">
        <f>IFERROR(__xludf.DUMMYFUNCTION("GOOGLETRANSLATE(A42365,""en"",""pt"")"),"Printer Grande Ink Jet para usuários de computador básico")</f>
        <v>Printer Grande Ink Jet para usuários de computador básico</v>
      </c>
      <c r="B42365" s="3">
        <v>1</v>
      </c>
    </row>
    <row r="42366" ht="15.75" customHeight="1" spans="1:2">
      <c r="A42366" s="3" t="str">
        <f>IFERROR(__xludf.DUMMYFUNCTION("GOOGLETRANSLATE(A42366,""en"",""pt"")"),"Barato")</f>
        <v>Barato</v>
      </c>
      <c r="B42366" s="3">
        <v>1</v>
      </c>
    </row>
    <row r="42367" ht="15.75" customHeight="1" spans="1:2">
      <c r="A42367" s="3" t="str">
        <f>IFERROR(__xludf.DUMMYFUNCTION("GOOGLETRANSLATE(A42367,""en"",""pt"")"),"Qualidade de impressão")</f>
        <v>Qualidade de impressão</v>
      </c>
      <c r="B42367" s="3">
        <v>1</v>
      </c>
    </row>
    <row r="42368" ht="15.75" customHeight="1" spans="1:2">
      <c r="A42368" s="3" t="str">
        <f>IFERROR(__xludf.DUMMYFUNCTION("GOOGLETRANSLATE(A42368,""en"",""pt"")"),"Barato e pequeno")</f>
        <v>Barato e pequeno</v>
      </c>
      <c r="B42368" s="3">
        <v>1</v>
      </c>
    </row>
    <row r="42369" ht="15.75" customHeight="1" spans="1:2">
      <c r="A42369" s="3" t="str">
        <f>IFERROR(__xludf.DUMMYFUNCTION("GOOGLETRANSLATE(A42369,""en"",""pt"")"),"um pouco barato")</f>
        <v>um pouco barato</v>
      </c>
      <c r="B42369" s="3">
        <v>1</v>
      </c>
    </row>
    <row r="42370" ht="15.75" customHeight="1" spans="1:2">
      <c r="A42370" s="3" t="str">
        <f>IFERROR(__xludf.DUMMYFUNCTION("GOOGLETRANSLATE(A42370,""en"",""pt"")"),"Preço")</f>
        <v>Preço</v>
      </c>
      <c r="B42370" s="3">
        <v>1</v>
      </c>
    </row>
    <row r="42371" ht="15.75" customHeight="1" spans="1:2">
      <c r="A42371" s="3" t="str">
        <f>IFERROR(__xludf.DUMMYFUNCTION("GOOGLETRANSLATE(A42371,""en"",""pt"")"),"qualidade")</f>
        <v>qualidade</v>
      </c>
      <c r="B42371" s="3">
        <v>1</v>
      </c>
    </row>
    <row r="42372" ht="15.75" customHeight="1" spans="1:2">
      <c r="A42372" s="3" t="str">
        <f>IFERROR(__xludf.DUMMYFUNCTION("GOOGLETRANSLATE(A42372,""en"",""pt"")"),"Custa muito pouco; mina foi de US $ 60 quando um novo 2 anos!")</f>
        <v>Custa muito pouco; mina foi de US $ 60 quando um novo 2 anos!</v>
      </c>
      <c r="B42372" s="3">
        <v>1</v>
      </c>
    </row>
    <row r="42373" ht="15.75" customHeight="1" spans="1:2">
      <c r="A42373" s="3" t="str">
        <f>IFERROR(__xludf.DUMMYFUNCTION("GOOGLETRANSLATE(A42373,""en"",""pt"")"),"Nem um.")</f>
        <v>Nem um.</v>
      </c>
      <c r="B42373" s="3">
        <v>1</v>
      </c>
    </row>
    <row r="42374" ht="15.75" customHeight="1" spans="1:2">
      <c r="A42374" s="3" t="str">
        <f>IFERROR(__xludf.DUMMYFUNCTION("GOOGLETRANSLATE(A42374,""en"",""pt"")"),"Imprime em praticamente qualquer mídia, impressões de grande qualidade.")</f>
        <v>Imprime em praticamente qualquer mídia, impressões de grande qualidade.</v>
      </c>
      <c r="B42374" s="3">
        <v>1</v>
      </c>
    </row>
    <row r="42375" ht="15.75" customHeight="1" spans="1:2">
      <c r="A42375" s="3" t="str">
        <f>IFERROR(__xludf.DUMMYFUNCTION("GOOGLETRANSLATE(A42375,""en"",""pt"")"),"Faz um bom trabalho de impressão")</f>
        <v>Faz um bom trabalho de impressão</v>
      </c>
      <c r="B42375" s="3">
        <v>1</v>
      </c>
    </row>
    <row r="42376" ht="15.75" customHeight="1" spans="1:2">
      <c r="A42376" s="3" t="str">
        <f>IFERROR(__xludf.DUMMYFUNCTION("GOOGLETRANSLATE(A42376,""en"",""pt"")"),"Excelente para imprimir parágrafos ou letras")</f>
        <v>Excelente para imprimir parágrafos ou letras</v>
      </c>
      <c r="B42376" s="3">
        <v>1</v>
      </c>
    </row>
    <row r="42377" ht="15.75" customHeight="1" spans="1:2">
      <c r="A42377" s="3" t="str">
        <f>IFERROR(__xludf.DUMMYFUNCTION("GOOGLETRANSLATE(A42377,""en"",""pt"")"),"Fácil de usar")</f>
        <v>Fácil de usar</v>
      </c>
      <c r="B42377" s="3">
        <v>1</v>
      </c>
    </row>
    <row r="42378" ht="15.75" customHeight="1" spans="1:2">
      <c r="A42378" s="3" t="str">
        <f>IFERROR(__xludf.DUMMYFUNCTION("GOOGLETRANSLATE(A42378,""en"",""pt"")"),"de impressora decente")</f>
        <v>de impressora decente</v>
      </c>
      <c r="B42378" s="3">
        <v>1</v>
      </c>
    </row>
    <row r="42379" ht="15.75" customHeight="1" spans="1:2">
      <c r="A42379" s="3" t="str">
        <f>IFERROR(__xludf.DUMMYFUNCTION("GOOGLETRANSLATE(A42379,""en"",""pt"")"),"grande cor e impressão rápida")</f>
        <v>grande cor e impressão rápida</v>
      </c>
      <c r="B42379" s="3">
        <v>1</v>
      </c>
    </row>
    <row r="42380" ht="15.75" customHeight="1" spans="1:2">
      <c r="A42380" s="3" t="str">
        <f>IFERROR(__xludf.DUMMYFUNCTION("GOOGLETRANSLATE(A42380,""en"",""pt"")"),"Ótimo preço")</f>
        <v>Ótimo preço</v>
      </c>
      <c r="B42380" s="3">
        <v>1</v>
      </c>
    </row>
    <row r="42381" ht="15.75" customHeight="1" spans="1:2">
      <c r="A42381" s="3" t="str">
        <f>IFERROR(__xludf.DUMMYFUNCTION("GOOGLETRANSLATE(A42381,""en"",""pt"")"),"Bom para os usuários domésticos, unidade de nível de entrada, barato.")</f>
        <v>Bom para os usuários domésticos, unidade de nível de entrada, barato.</v>
      </c>
      <c r="B42381" s="3">
        <v>1</v>
      </c>
    </row>
    <row r="42382" ht="15.75" customHeight="1" spans="1:2">
      <c r="A42382" s="3" t="str">
        <f>IFERROR(__xludf.DUMMYFUNCTION("GOOGLETRANSLATE(A42382,""en"",""pt"")"),"Barato, prático, fácil de usar")</f>
        <v>Barato, prático, fácil de usar</v>
      </c>
      <c r="B42382" s="3">
        <v>1</v>
      </c>
    </row>
    <row r="42383" ht="15.75" customHeight="1" spans="1:2">
      <c r="A42383" s="3" t="str">
        <f>IFERROR(__xludf.DUMMYFUNCTION("GOOGLETRANSLATE(A42383,""en"",""pt"")"),"barato, fácil de usar")</f>
        <v>barato, fácil de usar</v>
      </c>
      <c r="B42383" s="3">
        <v>1</v>
      </c>
    </row>
    <row r="42384" ht="15.75" customHeight="1" spans="1:2">
      <c r="A42384" s="3" t="str">
        <f>IFERROR(__xludf.DUMMYFUNCTION("GOOGLETRANSLATE(A42384,""en"",""pt"")"),"Bonito e arrumado")</f>
        <v>Bonito e arrumado</v>
      </c>
      <c r="B42384" s="3">
        <v>1</v>
      </c>
    </row>
    <row r="42385" ht="15.75" customHeight="1" spans="1:2">
      <c r="A42385" s="3" t="str">
        <f>IFERROR(__xludf.DUMMYFUNCTION("GOOGLETRANSLATE(A42385,""en"",""pt"")"),"A impressão a preto e branco")</f>
        <v>A impressão a preto e branco</v>
      </c>
      <c r="B42385" s="3">
        <v>1</v>
      </c>
    </row>
    <row r="42386" ht="15.75" customHeight="1" spans="1:2">
      <c r="A42386" s="3" t="str">
        <f>IFERROR(__xludf.DUMMYFUNCTION("GOOGLETRANSLATE(A42386,""en"",""pt"")"),"Preço, velocidade, qualidade de impressão")</f>
        <v>Preço, velocidade, qualidade de impressão</v>
      </c>
      <c r="B42386" s="3">
        <v>1</v>
      </c>
    </row>
    <row r="42387" ht="15.75" customHeight="1" spans="1:2">
      <c r="A42387" s="3" t="str">
        <f>IFERROR(__xludf.DUMMYFUNCTION("GOOGLETRANSLATE(A42387,""en"",""pt"")"),"Big dpi, bom preço, não ocupam muito espaço.")</f>
        <v>Big dpi, bom preço, não ocupam muito espaço.</v>
      </c>
      <c r="B42387" s="3">
        <v>1</v>
      </c>
    </row>
    <row r="42388" ht="15.75" customHeight="1" spans="1:2">
      <c r="A42388" s="3" t="str">
        <f>IFERROR(__xludf.DUMMYFUNCTION("GOOGLETRANSLATE(A42388,""en"",""pt"")"),"Barato, fácil de usar, boa qualidade dos desenhos animados, bonito!")</f>
        <v>Barato, fácil de usar, boa qualidade dos desenhos animados, bonito!</v>
      </c>
      <c r="B42388" s="3">
        <v>1</v>
      </c>
    </row>
    <row r="42389" ht="15.75" customHeight="1" spans="1:2">
      <c r="A42389" s="3" t="str">
        <f>IFERROR(__xludf.DUMMYFUNCTION("GOOGLETRANSLATE(A42389,""en"",""pt"")"),"Baixo custo, fácil configuração")</f>
        <v>Baixo custo, fácil configuração</v>
      </c>
      <c r="B42389" s="3">
        <v>1</v>
      </c>
    </row>
    <row r="42390" ht="15.75" customHeight="1" spans="1:2">
      <c r="A42390" s="3" t="str">
        <f>IFERROR(__xludf.DUMMYFUNCTION("GOOGLETRANSLATE(A42390,""en"",""pt"")"),"petite, prático, a qualidade da imagem")</f>
        <v>petite, prático, a qualidade da imagem</v>
      </c>
      <c r="B42390" s="3">
        <v>1</v>
      </c>
    </row>
    <row r="42391" ht="15.75" customHeight="1" spans="1:2">
      <c r="A42391" s="3" t="str">
        <f>IFERROR(__xludf.DUMMYFUNCTION("GOOGLETRANSLATE(A42391,""en"",""pt"")"),"Grande ao preço")</f>
        <v>Grande ao preço</v>
      </c>
      <c r="B42391" s="3">
        <v>1</v>
      </c>
    </row>
    <row r="42392" ht="15.75" customHeight="1" spans="1:2">
      <c r="A42392" s="3" t="str">
        <f>IFERROR(__xludf.DUMMYFUNCTION("GOOGLETRANSLATE(A42392,""en"",""pt"")"),"Nenhum!")</f>
        <v>Nenhum!</v>
      </c>
      <c r="B42392" s="3">
        <v>1</v>
      </c>
    </row>
    <row r="42393" ht="15.75" customHeight="1" spans="1:2">
      <c r="A42393" s="3" t="str">
        <f>IFERROR(__xludf.DUMMYFUNCTION("GOOGLETRANSLATE(A42393,""en"",""pt"")"),"Era de graça")</f>
        <v>Era de graça</v>
      </c>
      <c r="B42393" s="3">
        <v>1</v>
      </c>
    </row>
    <row r="42394" ht="15.75" customHeight="1" spans="1:2">
      <c r="A42394" s="3" t="str">
        <f>IFERROR(__xludf.DUMMYFUNCTION("GOOGLETRANSLATE(A42394,""en"",""pt"")"),"fácil de configurar, bom para trabalhos de impressão pequenos")</f>
        <v>fácil de configurar, bom para trabalhos de impressão pequenos</v>
      </c>
      <c r="B42394" s="3">
        <v>1</v>
      </c>
    </row>
    <row r="42395" ht="15.75" customHeight="1" spans="1:2">
      <c r="A42395" s="3" t="str">
        <f>IFERROR(__xludf.DUMMYFUNCTION("GOOGLETRANSLATE(A42395,""en"",""pt"")"),"mudança física do cartucho é fácil")</f>
        <v>mudança física do cartucho é fácil</v>
      </c>
      <c r="B42395" s="3">
        <v>1</v>
      </c>
    </row>
    <row r="42396" ht="15.75" customHeight="1" spans="1:2">
      <c r="A42396" s="3" t="str">
        <f>IFERROR(__xludf.DUMMYFUNCTION("GOOGLETRANSLATE(A42396,""en"",""pt"")"),"tinta de cor, cartucho de fácil de substituir")</f>
        <v>tinta de cor, cartucho de fácil de substituir</v>
      </c>
      <c r="B42396" s="3">
        <v>1</v>
      </c>
    </row>
    <row r="42397" ht="15.75" customHeight="1" spans="1:2">
      <c r="A42397" s="3" t="str">
        <f>IFERROR(__xludf.DUMMYFUNCTION("GOOGLETRANSLATE(A42397,""en"",""pt"")"),"Veio com o computador. Bom para a impressão básica, mínima.")</f>
        <v>Veio com o computador. Bom para a impressão básica, mínima.</v>
      </c>
      <c r="B42397" s="3">
        <v>1</v>
      </c>
    </row>
    <row r="42398" ht="15.75" customHeight="1" spans="1:2">
      <c r="A42398" s="3" t="str">
        <f>IFERROR(__xludf.DUMMYFUNCTION("GOOGLETRANSLATE(A42398,""en"",""pt"")"),"Incrivelmente rápido black &amp; amp; impressão branco. Muito barato para o que você.")</f>
        <v>Incrivelmente rápido black &amp; amp; impressão branco. Muito barato para o que você.</v>
      </c>
      <c r="B42398" s="3">
        <v>1</v>
      </c>
    </row>
    <row r="42399" ht="15.75" customHeight="1" spans="1:2">
      <c r="A42399" s="3" t="str">
        <f>IFERROR(__xludf.DUMMYFUNCTION("GOOGLETRANSLATE(A42399,""en"",""pt"")"),"Boa impressora barata. impressões agradáveis. Fácil tinta.")</f>
        <v>Boa impressora barata. impressões agradáveis. Fácil tinta.</v>
      </c>
      <c r="B42399" s="3">
        <v>1</v>
      </c>
    </row>
    <row r="42400" ht="15.75" customHeight="1" spans="1:2">
      <c r="A42400" s="3" t="str">
        <f>IFERROR(__xludf.DUMMYFUNCTION("GOOGLETRANSLATE(A42400,""en"",""pt"")"),"Fácil de usar e instalar cartuchos.")</f>
        <v>Fácil de usar e instalar cartuchos.</v>
      </c>
      <c r="B42400" s="3">
        <v>1</v>
      </c>
    </row>
    <row r="42401" ht="15.75" customHeight="1" spans="1:2">
      <c r="A42401" s="3" t="str">
        <f>IFERROR(__xludf.DUMMYFUNCTION("GOOGLETRANSLATE(A42401,""en"",""pt"")"),"Funcionou por um tempo")</f>
        <v>Funcionou por um tempo</v>
      </c>
      <c r="B42401" s="3">
        <v>1</v>
      </c>
    </row>
    <row r="42402" ht="15.75" customHeight="1" spans="1:2">
      <c r="A42402" s="3" t="str">
        <f>IFERROR(__xludf.DUMMYFUNCTION("GOOGLETRANSLATE(A42402,""en"",""pt"")"),"ele tem a tecnologia Lexmark")</f>
        <v>ele tem a tecnologia Lexmark</v>
      </c>
      <c r="B42402" s="3">
        <v>1</v>
      </c>
    </row>
    <row r="42403" ht="15.75" customHeight="1" spans="1:2">
      <c r="A42403" s="3" t="str">
        <f>IFERROR(__xludf.DUMMYFUNCTION("GOOGLETRANSLATE(A42403,""en"",""pt"")"),"Incrivelmente rápido black &amp; amp; impressão branco. Muito barato para o que você.")</f>
        <v>Incrivelmente rápido black &amp; amp; impressão branco. Muito barato para o que você.</v>
      </c>
      <c r="B42403" s="3">
        <v>1</v>
      </c>
    </row>
    <row r="42404" ht="15.75" customHeight="1" spans="1:2">
      <c r="A42404" s="3" t="str">
        <f>IFERROR(__xludf.DUMMYFUNCTION("GOOGLETRANSLATE(A42404,""en"",""pt"")"),"a impressão é muito clara ..")</f>
        <v>a impressão é muito clara ..</v>
      </c>
      <c r="B42404" s="3">
        <v>1</v>
      </c>
    </row>
    <row r="42405" ht="15.75" customHeight="1" spans="1:2">
      <c r="A42405" s="3" t="str">
        <f>IFERROR(__xludf.DUMMYFUNCTION("GOOGLETRANSLATE(A42405,""en"",""pt"")"),"Impressora grande, ótimo preço, ajuste fácil para uma área de recepção lotado")</f>
        <v>Impressora grande, ótimo preço, ajuste fácil para uma área de recepção lotado</v>
      </c>
      <c r="B42405" s="3">
        <v>1</v>
      </c>
    </row>
    <row r="42406" ht="15.75" customHeight="1" spans="1:2">
      <c r="A42406" s="3" t="str">
        <f>IFERROR(__xludf.DUMMYFUNCTION("GOOGLETRANSLATE(A42406,""en"",""pt"")"),"Excelentes cópias de fotos")</f>
        <v>Excelentes cópias de fotos</v>
      </c>
      <c r="B42406" s="3">
        <v>1</v>
      </c>
    </row>
    <row r="42407" ht="15.75" customHeight="1" spans="1:2">
      <c r="A42407" s="3" t="str">
        <f>IFERROR(__xludf.DUMMYFUNCTION("GOOGLETRANSLATE(A42407,""en"",""pt"")"),"A grande qualidade, texto e imagem")</f>
        <v>A grande qualidade, texto e imagem</v>
      </c>
      <c r="B42407" s="3">
        <v>1</v>
      </c>
    </row>
    <row r="42408" ht="15.75" customHeight="1" spans="1:2">
      <c r="A42408" s="3" t="str">
        <f>IFERROR(__xludf.DUMMYFUNCTION("GOOGLETRANSLATE(A42408,""en"",""pt"")"),"Rápido, boa qualidade Black")</f>
        <v>Rápido, boa qualidade Black</v>
      </c>
      <c r="B42408" s="3">
        <v>1</v>
      </c>
    </row>
    <row r="42409" ht="15.75" customHeight="1" spans="1:2">
      <c r="A42409" s="3" t="str">
        <f>IFERROR(__xludf.DUMMYFUNCTION("GOOGLETRANSLATE(A42409,""en"",""pt"")"),"pequeno, fácil de usar, vem com cartuchos de cor e tinta gratuitos")</f>
        <v>pequeno, fácil de usar, vem com cartuchos de cor e tinta gratuitos</v>
      </c>
      <c r="B42409" s="3">
        <v>1</v>
      </c>
    </row>
    <row r="42410" ht="15.75" customHeight="1" spans="1:2">
      <c r="A42410" s="3" t="str">
        <f>IFERROR(__xludf.DUMMYFUNCTION("GOOGLETRANSLATE(A42410,""en"",""pt"")"),"usa o driver de impressão Lexmark e produz uma saída aceitável foto")</f>
        <v>usa o driver de impressão Lexmark e produz uma saída aceitável foto</v>
      </c>
      <c r="B42410" s="3">
        <v>1</v>
      </c>
    </row>
    <row r="42411" ht="15.75" customHeight="1" spans="1:2">
      <c r="A42411" s="3" t="str">
        <f>IFERROR(__xludf.DUMMYFUNCTION("GOOGLETRANSLATE(A42411,""en"",""pt"")"),"Muito barato, impressão de alta qualidade. Fácil de usar.")</f>
        <v>Muito barato, impressão de alta qualidade. Fácil de usar.</v>
      </c>
      <c r="B42411" s="3">
        <v>1</v>
      </c>
    </row>
    <row r="42412" ht="15.75" customHeight="1" spans="1:2">
      <c r="A42412" s="3" t="str">
        <f>IFERROR(__xludf.DUMMYFUNCTION("GOOGLETRANSLATE(A42412,""en"",""pt"")"),"Muito rápido black &amp; amp; branco, bem como cópias coloridas, muito fácil de usar")</f>
        <v>Muito rápido black &amp; amp; branco, bem como cópias coloridas, muito fácil de usar</v>
      </c>
      <c r="B42412" s="3">
        <v>1</v>
      </c>
    </row>
    <row r="42413" ht="15.75" customHeight="1" spans="1:2">
      <c r="A42413" s="3" t="str">
        <f>IFERROR(__xludf.DUMMYFUNCTION("GOOGLETRANSLATE(A42413,""en"",""pt"")"),"impressão muito acessível")</f>
        <v>impressão muito acessível</v>
      </c>
      <c r="B42413" s="3">
        <v>1</v>
      </c>
    </row>
    <row r="42414" ht="15.75" customHeight="1" spans="1:2">
      <c r="A42414" s="3" t="str">
        <f>IFERROR(__xludf.DUMMYFUNCTION("GOOGLETRANSLATE(A42414,""en"",""pt"")"),"Grátis com a compra de PC")</f>
        <v>Grátis com a compra de PC</v>
      </c>
      <c r="B42414" s="3">
        <v>1</v>
      </c>
    </row>
    <row r="42415" ht="15.75" customHeight="1" spans="1:2">
      <c r="A42415" s="3" t="str">
        <f>IFERROR(__xludf.DUMMYFUNCTION("GOOGLETRANSLATE(A42415,""en"",""pt"")"),"O tamanho pequeno, grande qualidade de impressão, usa cartuchos duplos, instalação fácil")</f>
        <v>O tamanho pequeno, grande qualidade de impressão, usa cartuchos duplos, instalação fácil</v>
      </c>
      <c r="B42415" s="3">
        <v>1</v>
      </c>
    </row>
    <row r="42416" ht="15.75" customHeight="1" spans="1:2">
      <c r="A42416" s="3" t="str">
        <f>IFERROR(__xludf.DUMMYFUNCTION("GOOGLETRANSLATE(A42416,""en"",""pt"")"),"interface de software familiar")</f>
        <v>interface de software familiar</v>
      </c>
      <c r="B42416" s="3">
        <v>1</v>
      </c>
    </row>
    <row r="42417" ht="15.75" customHeight="1" spans="1:2">
      <c r="A42417" s="3" t="str">
        <f>IFERROR(__xludf.DUMMYFUNCTION("GOOGLETRANSLATE(A42417,""en"",""pt"")"),"Barato, livrá-lo comprar um negócio embalados com um computador Compaq, sistema de cartucho dual.")</f>
        <v>Barato, livrá-lo comprar um negócio embalados com um computador Compaq, sistema de cartucho dual.</v>
      </c>
      <c r="B42417" s="3">
        <v>1</v>
      </c>
    </row>
    <row r="42418" ht="15.75" customHeight="1" spans="1:2">
      <c r="A42418" s="3" t="str">
        <f>IFERROR(__xludf.DUMMYFUNCTION("GOOGLETRANSLATE(A42418,""en"",""pt"")"),"acessível, eficiente, rápido!")</f>
        <v>acessível, eficiente, rápido!</v>
      </c>
      <c r="B42418" s="3">
        <v>1</v>
      </c>
    </row>
    <row r="42419" ht="15.75" customHeight="1" spans="1:2">
      <c r="A42419" s="3" t="str">
        <f>IFERROR(__xludf.DUMMYFUNCTION("GOOGLETRANSLATE(A42419,""en"",""pt"")"),"impressões de qualidade, confiável")</f>
        <v>impressões de qualidade, confiável</v>
      </c>
      <c r="B42419" s="3">
        <v>1</v>
      </c>
    </row>
    <row r="42420" ht="15.75" customHeight="1" spans="1:2">
      <c r="A42420" s="3" t="str">
        <f>IFERROR(__xludf.DUMMYFUNCTION("GOOGLETRANSLATE(A42420,""en"",""pt"")"),"impressão de boa qualidade")</f>
        <v>impressão de boa qualidade</v>
      </c>
      <c r="B42420" s="3">
        <v>1</v>
      </c>
    </row>
    <row r="42421" ht="15.75" customHeight="1" spans="1:2">
      <c r="A42421" s="3" t="str">
        <f>IFERROR(__xludf.DUMMYFUNCTION("GOOGLETRANSLATE(A42421,""en"",""pt"")"),"qualidade de cor")</f>
        <v>qualidade de cor</v>
      </c>
      <c r="B42421" s="3">
        <v>1</v>
      </c>
    </row>
    <row r="42422" ht="15.75" customHeight="1" spans="1:2">
      <c r="A42422" s="3" t="str">
        <f>IFERROR(__xludf.DUMMYFUNCTION("GOOGLETRANSLATE(A42422,""en"",""pt"")"),"impressora grande")</f>
        <v>impressora grande</v>
      </c>
      <c r="B42422" s="3">
        <v>1</v>
      </c>
    </row>
    <row r="42423" ht="15.75" customHeight="1" spans="1:2">
      <c r="A42423" s="3" t="str">
        <f>IFERROR(__xludf.DUMMYFUNCTION("GOOGLETRANSLATE(A42423,""en"",""pt"")"),"Faz tudo que eu preciso fazer.")</f>
        <v>Faz tudo que eu preciso fazer.</v>
      </c>
      <c r="B42423" s="3">
        <v>1</v>
      </c>
    </row>
    <row r="42424" ht="15.75" customHeight="1" spans="1:2">
      <c r="A42424" s="3" t="str">
        <f>IFERROR(__xludf.DUMMYFUNCTION("GOOGLETRANSLATE(A42424,""en"",""pt"")"),"otima qualidade")</f>
        <v>otima qualidade</v>
      </c>
      <c r="B42424" s="3">
        <v>1</v>
      </c>
    </row>
    <row r="42425" ht="15.75" customHeight="1" spans="1:2">
      <c r="A42425" s="3" t="str">
        <f>IFERROR(__xludf.DUMMYFUNCTION("GOOGLETRANSLATE(A42425,""en"",""pt"")"),"preço decente, fotos decentes")</f>
        <v>preço decente, fotos decentes</v>
      </c>
      <c r="B42425" s="3">
        <v>1</v>
      </c>
    </row>
    <row r="42426" ht="15.75" customHeight="1" spans="1:2">
      <c r="A42426" s="3" t="str">
        <f>IFERROR(__xludf.DUMMYFUNCTION("GOOGLETRANSLATE(A42426,""en"",""pt"")"),"O Software, quando há uma tinta que realmente imprimir, não toma muito espaço")</f>
        <v>O Software, quando há uma tinta que realmente imprimir, não toma muito espaço</v>
      </c>
      <c r="B42426" s="3">
        <v>1</v>
      </c>
    </row>
    <row r="42427" ht="15.75" customHeight="1" spans="1:2">
      <c r="A42427" s="3" t="str">
        <f>IFERROR(__xludf.DUMMYFUNCTION("GOOGLETRANSLATE(A42427,""en"",""pt"")"),"Rápida, clara")</f>
        <v>Rápida, clara</v>
      </c>
      <c r="B42427" s="3">
        <v>1</v>
      </c>
    </row>
    <row r="42428" ht="15.75" customHeight="1" spans="1:2">
      <c r="A42428" s="3" t="str">
        <f>IFERROR(__xludf.DUMMYFUNCTION("GOOGLETRANSLATE(A42428,""en"",""pt"")"),"Funciona")</f>
        <v>Funciona</v>
      </c>
      <c r="B42428" s="3">
        <v>1</v>
      </c>
    </row>
    <row r="42429" ht="15.75" customHeight="1" spans="1:2">
      <c r="A42429" s="3" t="str">
        <f>IFERROR(__xludf.DUMMYFUNCTION("GOOGLETRANSLATE(A42429,""en"",""pt"")"),"qualidade, velocidade")</f>
        <v>qualidade, velocidade</v>
      </c>
      <c r="B42429" s="3">
        <v>1</v>
      </c>
    </row>
    <row r="42430" ht="15.75" customHeight="1" spans="1:2">
      <c r="A42430" s="3" t="str">
        <f>IFERROR(__xludf.DUMMYFUNCTION("GOOGLETRANSLATE(A42430,""en"",""pt"")"),"impressão rápida e afiada")</f>
        <v>impressão rápida e afiada</v>
      </c>
      <c r="B42430" s="3">
        <v>1</v>
      </c>
    </row>
    <row r="42431" ht="15.75" customHeight="1" spans="1:2">
      <c r="A42431" s="3" t="str">
        <f>IFERROR(__xludf.DUMMYFUNCTION("GOOGLETRANSLATE(A42431,""en"",""pt"")"),"Boa qualidade a um bom preço!")</f>
        <v>Boa qualidade a um bom preço!</v>
      </c>
      <c r="B42431" s="3">
        <v>1</v>
      </c>
    </row>
    <row r="42432" ht="15.75" customHeight="1" spans="1:2">
      <c r="A42432" s="3" t="str">
        <f>IFERROR(__xludf.DUMMYFUNCTION("GOOGLETRANSLATE(A42432,""en"",""pt"")"),"barato")</f>
        <v>barato</v>
      </c>
      <c r="B42432" s="3">
        <v>1</v>
      </c>
    </row>
    <row r="42433" ht="15.75" customHeight="1" spans="1:2">
      <c r="A42433" s="3" t="str">
        <f>IFERROR(__xludf.DUMMYFUNCTION("GOOGLETRANSLATE(A42433,""en"",""pt"")"),"Nenhum")</f>
        <v>Nenhum</v>
      </c>
      <c r="B42433" s="3">
        <v>1</v>
      </c>
    </row>
    <row r="42434" ht="15.75" customHeight="1" spans="1:2">
      <c r="A42434" s="3" t="str">
        <f>IFERROR(__xludf.DUMMYFUNCTION("GOOGLETRANSLATE(A42434,""en"",""pt"")"),"Boa qualidade")</f>
        <v>Boa qualidade</v>
      </c>
      <c r="B42434" s="3">
        <v>1</v>
      </c>
    </row>
    <row r="42435" ht="15.75" customHeight="1" spans="1:2">
      <c r="A42435" s="3" t="str">
        <f>IFERROR(__xludf.DUMMYFUNCTION("GOOGLETRANSLATE(A42435,""en"",""pt"")"),"Rápido, confiável, boa qualidade de impressão")</f>
        <v>Rápido, confiável, boa qualidade de impressão</v>
      </c>
      <c r="B42435" s="3">
        <v>1</v>
      </c>
    </row>
    <row r="42436" ht="15.75" customHeight="1" spans="1:2">
      <c r="A42436" s="3" t="str">
        <f>IFERROR(__xludf.DUMMYFUNCTION("GOOGLETRANSLATE(A42436,""en"",""pt"")"),"Tudo")</f>
        <v>Tudo</v>
      </c>
      <c r="B42436" s="3">
        <v>1</v>
      </c>
    </row>
    <row r="42437" ht="15.75" customHeight="1" spans="1:2">
      <c r="A42437" s="3" t="str">
        <f>IFERROR(__xludf.DUMMYFUNCTION("GOOGLETRANSLATE(A42437,""en"",""pt"")"),"Pacote de ofertas de torná-lo mais acessível.")</f>
        <v>Pacote de ofertas de torná-lo mais acessível.</v>
      </c>
      <c r="B42437" s="3">
        <v>1</v>
      </c>
    </row>
    <row r="42438" ht="15.75" customHeight="1" spans="1:2">
      <c r="A42438" s="3" t="str">
        <f>IFERROR(__xludf.DUMMYFUNCTION("GOOGLETRANSLATE(A42438,""en"",""pt"")"),"funciona")</f>
        <v>funciona</v>
      </c>
      <c r="B42438" s="3">
        <v>1</v>
      </c>
    </row>
    <row r="42439" ht="15.75" customHeight="1" spans="1:2">
      <c r="A42439" s="3" t="str">
        <f>IFERROR(__xludf.DUMMYFUNCTION("GOOGLETRANSLATE(A42439,""en"",""pt"")"),"barato, Compaq faz honrar as garantias")</f>
        <v>barato, Compaq faz honrar as garantias</v>
      </c>
      <c r="B42439" s="3">
        <v>1</v>
      </c>
    </row>
    <row r="42440" ht="15.75" customHeight="1" spans="1:2">
      <c r="A42440" s="3" t="str">
        <f>IFERROR(__xludf.DUMMYFUNCTION("GOOGLETRANSLATE(A42440,""en"",""pt"")"),"excelente escolha para a criação de rascunhos. Produz rápida.")</f>
        <v>excelente escolha para a criação de rascunhos. Produz rápida.</v>
      </c>
      <c r="B42440" s="3">
        <v>1</v>
      </c>
    </row>
    <row r="42441" ht="15.75" customHeight="1" spans="1:2">
      <c r="A42441" s="3" t="str">
        <f>IFERROR(__xludf.DUMMYFUNCTION("GOOGLETRANSLATE(A42441,""en"",""pt"")"),"Boa qualidade de impressão, suporte Compaq foi ótimo (uma vez que estavam na linha de telefone).")</f>
        <v>Boa qualidade de impressão, suporte Compaq foi ótimo (uma vez que estavam na linha de telefone).</v>
      </c>
      <c r="B42441" s="3">
        <v>1</v>
      </c>
    </row>
    <row r="42442" ht="15.75" customHeight="1" spans="1:2">
      <c r="A42442" s="3" t="str">
        <f>IFERROR(__xludf.DUMMYFUNCTION("GOOGLETRANSLATE(A42442,""en"",""pt"")"),"Excelente design para esta câmara")</f>
        <v>Excelente design para esta câmara</v>
      </c>
      <c r="B42442" s="3">
        <v>1</v>
      </c>
    </row>
    <row r="42443" ht="15.75" customHeight="1" spans="1:2">
      <c r="A42443" s="3" t="str">
        <f>IFERROR(__xludf.DUMMYFUNCTION("GOOGLETRANSLATE(A42443,""en"",""pt"")"),"O tamanho pequeno, microscreen no visor, zoom óptico 3x")</f>
        <v>O tamanho pequeno, microscreen no visor, zoom óptico 3x</v>
      </c>
      <c r="B42443" s="3">
        <v>1</v>
      </c>
    </row>
    <row r="42444" ht="15.75" customHeight="1" spans="1:2">
      <c r="A42444" s="3" t="str">
        <f>IFERROR(__xludf.DUMMYFUNCTION("GOOGLETRANSLATE(A42444,""en"",""pt"")"),"Barato, zoom óptico de 3X, qualidade razoável, pequeno e bonito")</f>
        <v>Barato, zoom óptico de 3X, qualidade razoável, pequeno e bonito</v>
      </c>
      <c r="B42444" s="3">
        <v>1</v>
      </c>
    </row>
    <row r="42445" ht="15.75" customHeight="1" spans="1:2">
      <c r="A42445" s="3" t="str">
        <f>IFERROR(__xludf.DUMMYFUNCTION("GOOGLETRANSLATE(A42445,""en"",""pt"")"),"Pequeno, zoom óptico 3x, controles intuitivos.")</f>
        <v>Pequeno, zoom óptico 3x, controles intuitivos.</v>
      </c>
      <c r="B42445" s="3">
        <v>1</v>
      </c>
    </row>
    <row r="42446" ht="15.75" customHeight="1" spans="1:2">
      <c r="A42446" s="3" t="str">
        <f>IFERROR(__xludf.DUMMYFUNCTION("GOOGLETRANSLATE(A42446,""en"",""pt"")"),"É uma câmera muito pequeno e prático")</f>
        <v>É uma câmera muito pequeno e prático</v>
      </c>
      <c r="B42446" s="3">
        <v>1</v>
      </c>
    </row>
    <row r="42447" ht="15.75" customHeight="1" spans="1:2">
      <c r="A42447" s="3" t="str">
        <f>IFERROR(__xludf.DUMMYFUNCTION("GOOGLETRANSLATE(A42447,""en"",""pt"")"),"preço Walmart de US $ 60; conexão USB; fácil de usar.")</f>
        <v>preço Walmart de US $ 60; conexão USB; fácil de usar.</v>
      </c>
      <c r="B42447" s="3">
        <v>1</v>
      </c>
    </row>
    <row r="42448" ht="15.75" customHeight="1" spans="1:2">
      <c r="A42448" s="3" t="str">
        <f>IFERROR(__xludf.DUMMYFUNCTION("GOOGLETRANSLATE(A42448,""en"",""pt"")"),"qualidade belo design.")</f>
        <v>qualidade belo design.</v>
      </c>
      <c r="B42448" s="3">
        <v>1</v>
      </c>
    </row>
    <row r="42449" ht="15.75" customHeight="1" spans="1:2">
      <c r="A42449" s="3" t="str">
        <f>IFERROR(__xludf.DUMMYFUNCTION("GOOGLETRANSLATE(A42449,""en"",""pt"")"),"design elegante e facilidade de uso.")</f>
        <v>design elegante e facilidade de uso.</v>
      </c>
      <c r="B42449" s="3">
        <v>1</v>
      </c>
    </row>
    <row r="42450" ht="15.75" customHeight="1" spans="1:2">
      <c r="A42450" s="3" t="str">
        <f>IFERROR(__xludf.DUMMYFUNCTION("GOOGLETRANSLATE(A42450,""en"",""pt"")"),"construído em memória, baixo preço, zoom")</f>
        <v>construído em memória, baixo preço, zoom</v>
      </c>
      <c r="B42450" s="3">
        <v>1</v>
      </c>
    </row>
    <row r="42451" ht="15.75" customHeight="1" spans="1:2">
      <c r="A42451" s="3" t="str">
        <f>IFERROR(__xludf.DUMMYFUNCTION("GOOGLETRANSLATE(A42451,""en"",""pt"")"),"Preço, muitas fotos.")</f>
        <v>Preço, muitas fotos.</v>
      </c>
      <c r="B42451" s="3">
        <v>1</v>
      </c>
    </row>
    <row r="42452" ht="15.75" customHeight="1" spans="1:2">
      <c r="A42452" s="3" t="str">
        <f>IFERROR(__xludf.DUMMYFUNCTION("GOOGLETRANSLATE(A42452,""en"",""pt"")"),"Barato. Luz. Pequeno. Macro. Big memória. Boa duração da bateria.")</f>
        <v>Barato. Luz. Pequeno. Macro. Big memória. Boa duração da bateria.</v>
      </c>
      <c r="B42452" s="3">
        <v>1</v>
      </c>
    </row>
    <row r="42453" ht="15.75" customHeight="1" spans="1:2">
      <c r="A42453" s="3" t="str">
        <f>IFERROR(__xludf.DUMMYFUNCTION("GOOGLETRANSLATE(A42453,""en"",""pt"")"),"Barato, conexão via porta USB, funciona como uma webcam")</f>
        <v>Barato, conexão via porta USB, funciona como uma webcam</v>
      </c>
      <c r="B42453" s="3">
        <v>1</v>
      </c>
    </row>
    <row r="42454" ht="15.75" customHeight="1" spans="1:2">
      <c r="A42454" s="3" t="str">
        <f>IFERROR(__xludf.DUMMYFUNCTION("GOOGLETRANSLATE(A42454,""en"",""pt"")"),"Tamanho, peso, qualidade de imagem, Tamanho da memória, conexão USB")</f>
        <v>Tamanho, peso, qualidade de imagem, Tamanho da memória, conexão USB</v>
      </c>
      <c r="B42454" s="3">
        <v>1</v>
      </c>
    </row>
    <row r="42455" ht="15.75" customHeight="1" spans="1:2">
      <c r="A42455" s="3" t="str">
        <f>IFERROR(__xludf.DUMMYFUNCTION("GOOGLETRANSLATE(A42455,""en"",""pt"")"),"Funções muito bem como uma webcam, boa capacidade de armazenamento")</f>
        <v>Funções muito bem como uma webcam, boa capacidade de armazenamento</v>
      </c>
      <c r="B42455" s="3">
        <v>1</v>
      </c>
    </row>
    <row r="42456" ht="15.75" customHeight="1" spans="1:2">
      <c r="A42456" s="3" t="str">
        <f>IFERROR(__xludf.DUMMYFUNCTION("GOOGLETRANSLATE(A42456,""en"",""pt"")"),"Muito pequeno; barato; velozes; fácil de usar; lojas 100+ fotos; USB; bateria de longa duração")</f>
        <v>Muito pequeno; barato; velozes; fácil de usar; lojas 100+ fotos; USB; bateria de longa duração</v>
      </c>
      <c r="B42456" s="3">
        <v>1</v>
      </c>
    </row>
    <row r="42457" ht="15.75" customHeight="1" spans="1:2">
      <c r="A42457" s="3" t="str">
        <f>IFERROR(__xludf.DUMMYFUNCTION("GOOGLETRANSLATE(A42457,""en"",""pt"")"),"* Pequenas portátil câmera digital, * Boa cam para a primeira utilização, * Muito fácil de instalar")</f>
        <v>* Pequenas portátil câmera digital, * Boa cam para a primeira utilização, * Muito fácil de instalar</v>
      </c>
      <c r="B42457" s="3">
        <v>1</v>
      </c>
    </row>
    <row r="42458" ht="15.75" customHeight="1" spans="1:2">
      <c r="A42458" s="3" t="str">
        <f>IFERROR(__xludf.DUMMYFUNCTION("GOOGLETRANSLATE(A42458,""en"",""pt"")"),"USB, 8MB Flash, gravação de vídeo, timer.")</f>
        <v>USB, 8MB Flash, gravação de vídeo, timer.</v>
      </c>
      <c r="B42458" s="3">
        <v>1</v>
      </c>
    </row>
    <row r="42459" ht="15.75" customHeight="1" spans="1:2">
      <c r="A42459" s="3" t="str">
        <f>IFERROR(__xludf.DUMMYFUNCTION("GOOGLETRANSLATE(A42459,""en"",""pt"")"),"preços e 8 megas de memória")</f>
        <v>preços e 8 megas de memória</v>
      </c>
      <c r="B42459" s="3">
        <v>1</v>
      </c>
    </row>
    <row r="42460" ht="15.75" customHeight="1" spans="1:2">
      <c r="A42460" s="3" t="str">
        <f>IFERROR(__xludf.DUMMYFUNCTION("GOOGLETRANSLATE(A42460,""en"",""pt"")"),"barato, leve, gravação de vídeo capaz, 8 megas, 500 Fotos ou 4,5 minutos")</f>
        <v>barato, leve, gravação de vídeo capaz, 8 megas, 500 Fotos ou 4,5 minutos</v>
      </c>
      <c r="B42460" s="3">
        <v>1</v>
      </c>
    </row>
    <row r="42461" ht="15.75" customHeight="1" spans="1:2">
      <c r="A42461" s="3" t="str">
        <f>IFERROR(__xludf.DUMMYFUNCTION("GOOGLETRANSLATE(A42461,""en"",""pt"")"),"barato, de modo duplo (câmera digital &amp; amp; webcam), software MGI incluído")</f>
        <v>barato, de modo duplo (câmera digital &amp; amp; webcam), software MGI incluído</v>
      </c>
      <c r="B42461" s="3">
        <v>1</v>
      </c>
    </row>
    <row r="42462" ht="15.75" customHeight="1" spans="1:2">
      <c r="A42462" s="3" t="str">
        <f>IFERROR(__xludf.DUMMYFUNCTION("GOOGLETRANSLATE(A42462,""en"",""pt"")"),"compacta, boa aparência, flash, fotos de boa qualidade durante a luz do dia, memória de 8 MB")</f>
        <v>compacta, boa aparência, flash, fotos de boa qualidade durante a luz do dia, memória de 8 MB</v>
      </c>
      <c r="B42462" s="3">
        <v>1</v>
      </c>
    </row>
    <row r="42463" ht="15.75" customHeight="1" spans="1:2">
      <c r="A42463" s="3" t="str">
        <f>IFERROR(__xludf.DUMMYFUNCTION("GOOGLETRANSLATE(A42463,""en"",""pt"")"),"preço, tamanho pequeno, fácil de usar, fácil de download.")</f>
        <v>preço, tamanho pequeno, fácil de usar, fácil de download.</v>
      </c>
      <c r="B42463" s="3">
        <v>1</v>
      </c>
    </row>
    <row r="42464" ht="15.75" customHeight="1" spans="1:2">
      <c r="A42464" s="3" t="str">
        <f>IFERROR(__xludf.DUMMYFUNCTION("GOOGLETRANSLATE(A42464,""en"",""pt"")"),"Nenhum")</f>
        <v>Nenhum</v>
      </c>
      <c r="B42464" s="3">
        <v>1</v>
      </c>
    </row>
    <row r="42465" ht="15.75" customHeight="1" spans="1:2">
      <c r="A42465" s="3" t="str">
        <f>IFERROR(__xludf.DUMMYFUNCTION("GOOGLETRANSLATE(A42465,""en"",""pt"")"),"Pequeno")</f>
        <v>Pequeno</v>
      </c>
      <c r="B42465" s="3">
        <v>1</v>
      </c>
    </row>
    <row r="42466" ht="15.75" customHeight="1" spans="1:2">
      <c r="A42466" s="3" t="str">
        <f>IFERROR(__xludf.DUMMYFUNCTION("GOOGLETRANSLATE(A42466,""en"",""pt"")"),"conveniente e muito fácil de usar, tira boas fotos quando editado corretamente")</f>
        <v>conveniente e muito fácil de usar, tira boas fotos quando editado corretamente</v>
      </c>
      <c r="B42466" s="3">
        <v>1</v>
      </c>
    </row>
    <row r="42467" ht="15.75" customHeight="1" spans="1:2">
      <c r="A42467" s="3" t="str">
        <f>IFERROR(__xludf.DUMMYFUNCTION("GOOGLETRANSLATE(A42467,""en"",""pt"")"),"Relativamente barato, tem um monte de fotos")</f>
        <v>Relativamente barato, tem um monte de fotos</v>
      </c>
      <c r="B42467" s="3">
        <v>1</v>
      </c>
    </row>
    <row r="42468" ht="15.75" customHeight="1" spans="1:2">
      <c r="A42468" s="3" t="str">
        <f>IFERROR(__xludf.DUMMYFUNCTION("GOOGLETRANSLATE(A42468,""en"",""pt"")"),"barato, funções boa")</f>
        <v>barato, funções boa</v>
      </c>
      <c r="B42468" s="3">
        <v>1</v>
      </c>
    </row>
    <row r="42469" ht="15.75" customHeight="1" spans="1:2">
      <c r="A42469" s="3" t="str">
        <f>IFERROR(__xludf.DUMMYFUNCTION("GOOGLETRANSLATE(A42469,""en"",""pt"")"),"preço econômico")</f>
        <v>preço econômico</v>
      </c>
      <c r="B42469" s="3">
        <v>1</v>
      </c>
    </row>
    <row r="42470" ht="15.75" customHeight="1" spans="1:2">
      <c r="A42470" s="3" t="str">
        <f>IFERROR(__xludf.DUMMYFUNCTION("GOOGLETRANSLATE(A42470,""en"",""pt"")"),"baixo preço, conexão USB, memória RAM de 8 MB")</f>
        <v>baixo preço, conexão USB, memória RAM de 8 MB</v>
      </c>
      <c r="B42470" s="3">
        <v>1</v>
      </c>
    </row>
    <row r="42471" ht="15.75" customHeight="1" spans="1:2">
      <c r="A42471" s="3" t="str">
        <f>IFERROR(__xludf.DUMMYFUNCTION("GOOGLETRANSLATE(A42471,""en"",""pt"")"),"Boa qualidade quando usado com boas condições.")</f>
        <v>Boa qualidade quando usado com boas condições.</v>
      </c>
      <c r="B42471" s="3">
        <v>1</v>
      </c>
    </row>
    <row r="42472" ht="15.75" customHeight="1" spans="1:2">
      <c r="A42472" s="3" t="str">
        <f>IFERROR(__xludf.DUMMYFUNCTION("GOOGLETRANSLATE(A42472,""en"",""pt"")"),"pequeno e tem múltiplas funções com uma conexão boa usb")</f>
        <v>pequeno e tem múltiplas funções com uma conexão boa usb</v>
      </c>
      <c r="B42472" s="3">
        <v>1</v>
      </c>
    </row>
    <row r="42473" ht="15.75" customHeight="1" spans="1:2">
      <c r="A42473" s="3" t="str">
        <f>IFERROR(__xludf.DUMMYFUNCTION("GOOGLETRANSLATE(A42473,""en"",""pt"")"),"Pequeno, barato, o uso múltiplo")</f>
        <v>Pequeno, barato, o uso múltiplo</v>
      </c>
      <c r="B42473" s="3">
        <v>1</v>
      </c>
    </row>
    <row r="42474" ht="15.75" customHeight="1" spans="1:2">
      <c r="A42474" s="3" t="str">
        <f>IFERROR(__xludf.DUMMYFUNCTION("GOOGLETRANSLATE(A42474,""en"",""pt"")")," * Fácil configuração &amp; amp; # 13; &amp; amp; # 10; * Pegada pequeno &amp; amp;. # 13; &amp; amp; # 10; * Quiet &amp; amp; # 13; &amp; amp; # 10; * Excelente qualidade de impressão &amp; amp; # 13; &amp; amp; # 10; * Fast &amp; amp; # 13; &amp; amp; # 10; * Toner Dura para sempre &amp; amp; # 1"&amp;"3; &amp; amp; # 10; *Ótimo preço!")</f>
        <v> * Fácil configuração &amp; amp; # 13; &amp; amp; # 10; * Pegada pequeno &amp; amp;. # 13; &amp; amp; # 10; * Quiet &amp; amp; # 13; &amp; amp; # 10; * Excelente qualidade de impressão &amp; amp; # 13; &amp; amp; # 10; * Fast &amp; amp; # 13; &amp; amp; # 10; * Toner Dura para sempre &amp; amp; # 13; &amp; amp; # 10; *Ótimo preço!</v>
      </c>
      <c r="B42474" s="3">
        <v>1</v>
      </c>
    </row>
    <row r="42475" ht="15.75" customHeight="1" spans="1:2">
      <c r="A42475" s="3" t="str">
        <f>IFERROR(__xludf.DUMMYFUNCTION("GOOGLETRANSLATE(A42475,""en"",""pt"")"),"Qualidade rápido e excelente")</f>
        <v>Qualidade rápido e excelente</v>
      </c>
      <c r="B42475" s="3">
        <v>1</v>
      </c>
    </row>
    <row r="42476" ht="15.75" customHeight="1" spans="1:2">
      <c r="A42476" s="3" t="str">
        <f>IFERROR(__xludf.DUMMYFUNCTION("GOOGLETRANSLATE(A42476,""en"",""pt"")"),"tamanho, preço")</f>
        <v>tamanho, preço</v>
      </c>
      <c r="B42476" s="3">
        <v>1</v>
      </c>
    </row>
    <row r="42477" ht="15.75" customHeight="1" spans="1:2">
      <c r="A42477" s="3" t="str">
        <f>IFERROR(__xludf.DUMMYFUNCTION("GOOGLETRANSLATE(A42477,""en"",""pt"")"),"Facilidade de utilização, durabilidade, qualidade")</f>
        <v>Facilidade de utilização, durabilidade, qualidade</v>
      </c>
      <c r="B42477" s="3">
        <v>1</v>
      </c>
    </row>
    <row r="42478" ht="15.75" customHeight="1" spans="1:2">
      <c r="A42478" s="3" t="str">
        <f>IFERROR(__xludf.DUMMYFUNCTION("GOOGLETRANSLATE(A42478,""en"",""pt"")"),"sleeky, bom")</f>
        <v>sleeky, bom</v>
      </c>
      <c r="B42478" s="3">
        <v>1</v>
      </c>
    </row>
    <row r="42479" ht="15.75" customHeight="1" spans="1:2">
      <c r="A42479" s="3" t="str">
        <f>IFERROR(__xludf.DUMMYFUNCTION("GOOGLETRANSLATE(A42479,""en"",""pt"")"),"velocidade, simplicidade, qualidade de saída")</f>
        <v>velocidade, simplicidade, qualidade de saída</v>
      </c>
      <c r="B42479" s="3">
        <v>1</v>
      </c>
    </row>
    <row r="42480" ht="15.75" customHeight="1" spans="1:2">
      <c r="A42480" s="3" t="str">
        <f>IFERROR(__xludf.DUMMYFUNCTION("GOOGLETRANSLATE(A42480,""en"",""pt"")"),"caixa de papelão útil")</f>
        <v>caixa de papelão útil</v>
      </c>
      <c r="B42480" s="3">
        <v>1</v>
      </c>
    </row>
    <row r="42481" ht="15.75" customHeight="1" spans="1:2">
      <c r="A42481" s="3" t="str">
        <f>IFERROR(__xludf.DUMMYFUNCTION("GOOGLETRANSLATE(A42481,""en"",""pt"")"),"baixo custo")</f>
        <v>baixo custo</v>
      </c>
      <c r="B42481" s="3">
        <v>1</v>
      </c>
    </row>
    <row r="42482" ht="15.75" customHeight="1" spans="1:2">
      <c r="A42482" s="3" t="str">
        <f>IFERROR(__xludf.DUMMYFUNCTION("GOOGLETRANSLATE(A42482,""en"",""pt"")"),"?")</f>
        <v>?</v>
      </c>
      <c r="B42482" s="3">
        <v>1</v>
      </c>
    </row>
    <row r="42483" ht="15.75" customHeight="1" spans="1:2">
      <c r="A42483" s="3" t="str">
        <f>IFERROR(__xludf.DUMMYFUNCTION("GOOGLETRANSLATE(A42483,""en"",""pt"")"),"bom para apenas rascunhos")</f>
        <v>bom para apenas rascunhos</v>
      </c>
      <c r="B42483" s="3">
        <v>1</v>
      </c>
    </row>
    <row r="42484" ht="15.75" customHeight="1" spans="1:2">
      <c r="A42484" s="3" t="str">
        <f>IFERROR(__xludf.DUMMYFUNCTION("GOOGLETRANSLATE(A42484,""en"",""pt"")"),"Qualidade, preço, fácil de usar")</f>
        <v>Qualidade, preço, fácil de usar</v>
      </c>
      <c r="B42484" s="3">
        <v>1</v>
      </c>
    </row>
    <row r="42485" ht="15.75" customHeight="1" spans="1:2">
      <c r="A42485" s="3" t="str">
        <f>IFERROR(__xludf.DUMMYFUNCTION("GOOGLETRANSLATE(A42485,""en"",""pt"")"),"Barato, Muito boa qualidade de imagem, extremamente fácil de usar")</f>
        <v>Barato, Muito boa qualidade de imagem, extremamente fácil de usar</v>
      </c>
      <c r="B42485" s="3">
        <v>1</v>
      </c>
    </row>
    <row r="42486" ht="15.75" customHeight="1" spans="1:2">
      <c r="A42486" s="3" t="str">
        <f>IFERROR(__xludf.DUMMYFUNCTION("GOOGLETRANSLATE(A42486,""en"",""pt"")"),"Barato, fácil de usar, confiáveis.")</f>
        <v>Barato, fácil de usar, confiáveis.</v>
      </c>
      <c r="B42486" s="3">
        <v>1</v>
      </c>
    </row>
    <row r="42487" ht="15.75" customHeight="1" spans="1:2">
      <c r="A42487" s="3" t="str">
        <f>IFERROR(__xludf.DUMMYFUNCTION("GOOGLETRANSLATE(A42487,""en"",""pt"")"),"Muito fácil de usar, bons recursos e imagens de qualidade. USB")</f>
        <v>Muito fácil de usar, bons recursos e imagens de qualidade. USB</v>
      </c>
      <c r="B42487" s="3">
        <v>1</v>
      </c>
    </row>
    <row r="42488" ht="15.75" customHeight="1" spans="1:2">
      <c r="A42488" s="3" t="str">
        <f>IFERROR(__xludf.DUMMYFUNCTION("GOOGLETRANSLATE(A42488,""en"",""pt"")"),"Boa qualidade, preço, características e facilidade de uso")</f>
        <v>Boa qualidade, preço, características e facilidade de uso</v>
      </c>
      <c r="B42488" s="3">
        <v>1</v>
      </c>
    </row>
    <row r="42489" ht="15.75" customHeight="1" spans="1:2">
      <c r="A42489" s="3" t="str">
        <f>IFERROR(__xludf.DUMMYFUNCTION("GOOGLETRANSLATE(A42489,""en"",""pt"")"),"ótimas fotos, downloads rápidos, bom corpo da câmera, suporte ao cliente")</f>
        <v>ótimas fotos, downloads rápidos, bom corpo da câmera, suporte ao cliente</v>
      </c>
      <c r="B42489" s="3">
        <v>1</v>
      </c>
    </row>
    <row r="42490" ht="15.75" customHeight="1" spans="1:2">
      <c r="A42490" s="3" t="str">
        <f>IFERROR(__xludf.DUMMYFUNCTION("GOOGLETRANSLATE(A42490,""en"",""pt"")"),"Fácil de operar / faz ótimas fotos")</f>
        <v>Fácil de operar / faz ótimas fotos</v>
      </c>
      <c r="B42490" s="3">
        <v>1</v>
      </c>
    </row>
    <row r="42491" ht="15.75" customHeight="1" spans="1:2">
      <c r="A42491" s="3" t="str">
        <f>IFERROR(__xludf.DUMMYFUNCTION("GOOGLETRANSLATE(A42491,""en"",""pt"")"),". Barato &amp; amp; # 13; &amp; amp; # 10; fácil de usar &amp; amp;. # 13; &amp; amp; # 10; Toma fotos excelentes &amp; amp;. # 13; &amp; amp; # 10; grande tela para visualização prévia &amp; amp;. # 13 ; &amp; amp; # 10; habilitado para USB e ComactFlash.")</f>
        <v>. Barato &amp; amp; # 13; &amp; amp; # 10; fácil de usar &amp; amp;. # 13; &amp; amp; # 10; Toma fotos excelentes &amp; amp;. # 13; &amp; amp; # 10; grande tela para visualização prévia &amp; amp;. # 13 ; &amp; amp; # 10; habilitado para USB e ComactFlash.</v>
      </c>
      <c r="B42491" s="3">
        <v>1</v>
      </c>
    </row>
    <row r="42492" ht="15.75" customHeight="1" spans="1:2">
      <c r="A42492" s="3" t="str">
        <f>IFERROR(__xludf.DUMMYFUNCTION("GOOGLETRANSLATE(A42492,""en"",""pt"")"),"Barato, fácil de usar, confiáveis.")</f>
        <v>Barato, fácil de usar, confiáveis.</v>
      </c>
      <c r="B42492" s="3">
        <v>1</v>
      </c>
    </row>
    <row r="42493" ht="15.75" customHeight="1" spans="1:2">
      <c r="A42493" s="3" t="str">
        <f>IFERROR(__xludf.DUMMYFUNCTION("GOOGLETRANSLATE(A42493,""en"",""pt"")"),"poderia ter um pouco mais de memória")</f>
        <v>poderia ter um pouco mais de memória</v>
      </c>
      <c r="B42493" s="3">
        <v>1</v>
      </c>
    </row>
    <row r="42494" ht="15.75" customHeight="1" spans="1:2">
      <c r="A42494" s="3" t="str">
        <f>IFERROR(__xludf.DUMMYFUNCTION("GOOGLETRANSLATE(A42494,""en"",""pt"")"),"Nenhum")</f>
        <v>Nenhum</v>
      </c>
      <c r="B42494" s="3">
        <v>1</v>
      </c>
    </row>
    <row r="42495" ht="15.75" customHeight="1" spans="1:2">
      <c r="A42495" s="3" t="str">
        <f>IFERROR(__xludf.DUMMYFUNCTION("GOOGLETRANSLATE(A42495,""en"",""pt"")"),"fotos grandes, ótimo preço, fácil de descobrir")</f>
        <v>fotos grandes, ótimo preço, fácil de descobrir</v>
      </c>
      <c r="B42495" s="3">
        <v>1</v>
      </c>
    </row>
    <row r="42496" ht="15.75" customHeight="1" spans="1:2">
      <c r="A42496" s="3" t="str">
        <f>IFERROR(__xludf.DUMMYFUNCTION("GOOGLETRANSLATE(A42496,""en"",""pt"")"),"Uma câmera de diversão que tem grandes figuras.")</f>
        <v>Uma câmera de diversão que tem grandes figuras.</v>
      </c>
      <c r="B42496" s="3">
        <v>1</v>
      </c>
    </row>
    <row r="42497" ht="15.75" customHeight="1" spans="1:2">
      <c r="A42497" s="3" t="str">
        <f>IFERROR(__xludf.DUMMYFUNCTION("GOOGLETRANSLATE(A42497,""en"",""pt"")"),"Custo, o USB flash compacto, facilidade de uso")</f>
        <v>Custo, o USB flash compacto, facilidade de uso</v>
      </c>
      <c r="B42497" s="3">
        <v>1</v>
      </c>
    </row>
    <row r="42498" ht="15.75" customHeight="1" spans="1:2">
      <c r="A42498" s="3" t="str">
        <f>IFERROR(__xludf.DUMMYFUNCTION("GOOGLETRANSLATE(A42498,""en"",""pt"")"),"Fácil de usar")</f>
        <v>Fácil de usar</v>
      </c>
      <c r="B42498" s="3">
        <v>1</v>
      </c>
    </row>
    <row r="42499" ht="15.75" customHeight="1" spans="1:2">
      <c r="A42499" s="3" t="str">
        <f>IFERROR(__xludf.DUMMYFUNCTION("GOOGLETRANSLATE(A42499,""en"",""pt"")"),"transferência USB, preço, qualidade de imagem")</f>
        <v>transferência USB, preço, qualidade de imagem</v>
      </c>
      <c r="B42499" s="3">
        <v>1</v>
      </c>
    </row>
    <row r="42500" ht="15.75" customHeight="1" spans="1:2">
      <c r="A42500" s="3" t="str">
        <f>IFERROR(__xludf.DUMMYFUNCTION("GOOGLETRANSLATE(A42500,""en"",""pt"")"),"Muito fácil de usar")</f>
        <v>Muito fácil de usar</v>
      </c>
      <c r="B42500" s="3">
        <v>1</v>
      </c>
    </row>
    <row r="42501" ht="15.75" customHeight="1" spans="1:2">
      <c r="A42501" s="3" t="str">
        <f>IFERROR(__xludf.DUMMYFUNCTION("GOOGLETRANSLATE(A42501,""en"",""pt"")"),"de alta qualidade com um preço baixo")</f>
        <v>de alta qualidade com um preço baixo</v>
      </c>
      <c r="B42501" s="3">
        <v>1</v>
      </c>
    </row>
    <row r="42502" ht="15.75" customHeight="1" spans="1:2">
      <c r="A42502" s="3" t="str">
        <f>IFERROR(__xludf.DUMMYFUNCTION("GOOGLETRANSLATE(A42502,""en"",""pt"")"),"tópicos 37mm, tela LCD, preço, qualidade, tudo !!")</f>
        <v>tópicos 37mm, tela LCD, preço, qualidade, tudo !!</v>
      </c>
      <c r="B42502" s="3">
        <v>1</v>
      </c>
    </row>
    <row r="42503" ht="15.75" customHeight="1" spans="1:2">
      <c r="A42503" s="3" t="str">
        <f>IFERROR(__xludf.DUMMYFUNCTION("GOOGLETRANSLATE(A42503,""en"",""pt"")"),"peso leve, fácil de usar")</f>
        <v>peso leve, fácil de usar</v>
      </c>
      <c r="B42503" s="3">
        <v>1</v>
      </c>
    </row>
    <row r="42504" ht="15.75" customHeight="1" spans="1:2">
      <c r="A42504" s="3" t="str">
        <f>IFERROR(__xludf.DUMMYFUNCTION("GOOGLETRANSLATE(A42504,""en"",""pt"")"),"Preço Baixo, Compact, Visor")</f>
        <v>Preço Baixo, Compact, Visor</v>
      </c>
      <c r="B42504" s="3">
        <v>1</v>
      </c>
    </row>
    <row r="42505" ht="15.75" customHeight="1" spans="1:2">
      <c r="A42505" s="3" t="str">
        <f>IFERROR(__xludf.DUMMYFUNCTION("GOOGLETRANSLATE(A42505,""en"",""pt"")"),"baratos, boas fotos")</f>
        <v>baratos, boas fotos</v>
      </c>
      <c r="B42505" s="3">
        <v>1</v>
      </c>
    </row>
    <row r="42506" ht="15.75" customHeight="1" spans="1:2">
      <c r="A42506" s="3" t="str">
        <f>IFERROR(__xludf.DUMMYFUNCTION("GOOGLETRANSLATE(A42506,""en"",""pt"")"),"Facilidade de uso, res megapixel, baixo custo, rápida, transferência USB")</f>
        <v>Facilidade de uso, res megapixel, baixo custo, rápida, transferência USB</v>
      </c>
      <c r="B42506" s="3">
        <v>1</v>
      </c>
    </row>
    <row r="42507" ht="15.75" customHeight="1" spans="1:2">
      <c r="A42507" s="3" t="str">
        <f>IFERROR(__xludf.DUMMYFUNCTION("GOOGLETRANSLATE(A42507,""en"",""pt"")"),"boa imagem clara")</f>
        <v>boa imagem clara</v>
      </c>
      <c r="B42507" s="3">
        <v>1</v>
      </c>
    </row>
    <row r="42508" ht="15.75" customHeight="1" spans="1:2">
      <c r="A42508" s="3" t="str">
        <f>IFERROR(__xludf.DUMMYFUNCTION("GOOGLETRANSLATE(A42508,""en"",""pt"")"),"Preço, fácil de usar, imagens de boa qualidade")</f>
        <v>Preço, fácil de usar, imagens de boa qualidade</v>
      </c>
      <c r="B42508" s="3">
        <v>1</v>
      </c>
    </row>
    <row r="42509" ht="15.75" customHeight="1" spans="1:2">
      <c r="A42509" s="3" t="str">
        <f>IFERROR(__xludf.DUMMYFUNCTION("GOOGLETRANSLATE(A42509,""en"",""pt"")"),"Boa resolução, e uma tonelada de recursos extras")</f>
        <v>Boa resolução, e uma tonelada de recursos extras</v>
      </c>
      <c r="B42509" s="3">
        <v>1</v>
      </c>
    </row>
    <row r="42510" ht="15.75" customHeight="1" spans="1:2">
      <c r="A42510" s="3" t="str">
        <f>IFERROR(__xludf.DUMMYFUNCTION("GOOGLETRANSLATE(A42510,""en"",""pt"")"),"8MB de memória incluído, leitor de cartão incluído, pode ser conectado ao PC ou TV")</f>
        <v>8MB de memória incluído, leitor de cartão incluído, pode ser conectado ao PC ou TV</v>
      </c>
      <c r="B42510" s="3">
        <v>1</v>
      </c>
    </row>
    <row r="42511" ht="15.75" customHeight="1" spans="1:2">
      <c r="A42511" s="3" t="str">
        <f>IFERROR(__xludf.DUMMYFUNCTION("GOOGLETRANSLATE(A42511,""en"",""pt"")"),"Fácil de usar, ótimas fotos, pouca luz, com rosca de lente para filtros")</f>
        <v>Fácil de usar, ótimas fotos, pouca luz, com rosca de lente para filtros</v>
      </c>
      <c r="B42511" s="3">
        <v>1</v>
      </c>
    </row>
    <row r="42512" ht="15.75" customHeight="1" spans="1:2">
      <c r="A42512" s="3" t="str">
        <f>IFERROR(__xludf.DUMMYFUNCTION("GOOGLETRANSLATE(A42512,""en"",""pt"")"),"Ecrã LCD")</f>
        <v>Ecrã LCD</v>
      </c>
      <c r="B42512" s="3">
        <v>1</v>
      </c>
    </row>
    <row r="42513" ht="15.75" customHeight="1" spans="1:2">
      <c r="A42513" s="3" t="str">
        <f>IFERROR(__xludf.DUMMYFUNCTION("GOOGLETRANSLATE(A42513,""en"",""pt"")"),"ótima resolução, transferência usb")</f>
        <v>ótima resolução, transferência usb</v>
      </c>
      <c r="B42513" s="3">
        <v>1</v>
      </c>
    </row>
    <row r="42514" ht="15.75" customHeight="1" spans="1:2">
      <c r="A42514" s="3" t="str">
        <f>IFERROR(__xludf.DUMMYFUNCTION("GOOGLETRANSLATE(A42514,""en"",""pt"")"),"boa resolução nesta faixa de preço, de fácil operação, montagem da lente, tripé")</f>
        <v>boa resolução nesta faixa de preço, de fácil operação, montagem da lente, tripé</v>
      </c>
      <c r="B42514" s="3">
        <v>1</v>
      </c>
    </row>
    <row r="42515" ht="15.75" customHeight="1" spans="1:2">
      <c r="A42515" s="3" t="str">
        <f>IFERROR(__xludf.DUMMYFUNCTION("GOOGLETRANSLATE(A42515,""en"",""pt"")"),"Fácil de usar, boas fotos, muitas opções, compacto e leve")</f>
        <v>Fácil de usar, boas fotos, muitas opções, compacto e leve</v>
      </c>
      <c r="B42515" s="3">
        <v>1</v>
      </c>
    </row>
    <row r="42516" ht="15.75" customHeight="1" spans="1:2">
      <c r="A42516" s="3" t="str">
        <f>IFERROR(__xludf.DUMMYFUNCTION("GOOGLETRANSLATE(A42516,""en"",""pt"")"),"Muito resistente, muito confortável na mão, boas fotos.")</f>
        <v>Muito resistente, muito confortável na mão, boas fotos.</v>
      </c>
      <c r="B42516" s="3">
        <v>1</v>
      </c>
    </row>
    <row r="42517" ht="15.75" customHeight="1" spans="1:2">
      <c r="A42517" s="3" t="str">
        <f>IFERROR(__xludf.DUMMYFUNCTION("GOOGLETRANSLATE(A42517,""en"",""pt"")"),"Não há mais filme para comprar ou taxas para o desenvolvimento de filme.")</f>
        <v>Não há mais filme para comprar ou taxas para o desenvolvimento de filme.</v>
      </c>
      <c r="B42517" s="3">
        <v>1</v>
      </c>
    </row>
    <row r="42518" ht="15.75" customHeight="1" spans="1:2">
      <c r="A42518" s="3" t="str">
        <f>IFERROR(__xludf.DUMMYFUNCTION("GOOGLETRANSLATE(A42518,""en"",""pt"")"),"Fácil de usar, em forma como uma câmera normal, bom jogo preço-desempenho.")</f>
        <v>Fácil de usar, em forma como uma câmera normal, bom jogo preço-desempenho.</v>
      </c>
      <c r="B42518" s="3">
        <v>1</v>
      </c>
    </row>
    <row r="42519" ht="15.75" customHeight="1" spans="1:2">
      <c r="A42519" s="3" t="str">
        <f>IFERROR(__xludf.DUMMYFUNCTION("GOOGLETRANSLATE(A42519,""en"",""pt"")"),"imagens perfeitas, fácil de usar")</f>
        <v>imagens perfeitas, fácil de usar</v>
      </c>
      <c r="B42519" s="3">
        <v>1</v>
      </c>
    </row>
    <row r="42520" ht="15.75" customHeight="1" spans="1:2">
      <c r="A42520" s="3" t="str">
        <f>IFERROR(__xludf.DUMMYFUNCTION("GOOGLETRANSLATE(A42520,""en"",""pt"")"),"Fácil de usar ... muitas funções no clik de um dedo ...")</f>
        <v>Fácil de usar ... muitas funções no clik de um dedo ...</v>
      </c>
      <c r="B42520" s="3">
        <v>1</v>
      </c>
    </row>
    <row r="42521" ht="15.75" customHeight="1" spans="1:2">
      <c r="A42521" s="3" t="str">
        <f>IFERROR(__xludf.DUMMYFUNCTION("GOOGLETRANSLATE(A42521,""en"",""pt"")"),"Fácil de usar; boas fotos para o preço.")</f>
        <v>Fácil de usar; boas fotos para o preço.</v>
      </c>
      <c r="B42521" s="3">
        <v>1</v>
      </c>
    </row>
    <row r="42522" ht="15.75" customHeight="1" spans="1:2">
      <c r="A42522" s="3" t="str">
        <f>IFERROR(__xludf.DUMMYFUNCTION("GOOGLETRANSLATE(A42522,""en"",""pt"")"),"tamanho, qualidade de fotos, recursos, facilidade de uso.")</f>
        <v>tamanho, qualidade de fotos, recursos, facilidade de uso.</v>
      </c>
      <c r="B42522" s="3">
        <v>1</v>
      </c>
    </row>
    <row r="42523" ht="15.75" customHeight="1" spans="1:2">
      <c r="A42523" s="3" t="str">
        <f>IFERROR(__xludf.DUMMYFUNCTION("GOOGLETRANSLATE(A42523,""en"",""pt"")"),"Muito boa câmera, muito acessível")</f>
        <v>Muito boa câmera, muito acessível</v>
      </c>
      <c r="B42523" s="3">
        <v>1</v>
      </c>
    </row>
    <row r="42524" ht="15.75" customHeight="1" spans="1:2">
      <c r="A42524" s="3" t="str">
        <f>IFERROR(__xludf.DUMMYFUNCTION("GOOGLETRANSLATE(A42524,""en"",""pt"")"),"Fácil de usar. lente Sharp. Muito acidentado.")</f>
        <v>Fácil de usar. lente Sharp. Muito acidentado.</v>
      </c>
      <c r="B42524" s="3">
        <v>1</v>
      </c>
    </row>
    <row r="42525" ht="15.75" customHeight="1" spans="1:2">
      <c r="A42525" s="3" t="str">
        <f>IFERROR(__xludf.DUMMYFUNCTION("GOOGLETRANSLATE(A42525,""en"",""pt"")"),"Fabulosa qualidade de imagem, leve, bom pacote &amp; amp; amp; características")</f>
        <v>Fabulosa qualidade de imagem, leve, bom pacote &amp; amp; amp; características</v>
      </c>
      <c r="B42525" s="3">
        <v>1</v>
      </c>
    </row>
    <row r="42526" ht="15.75" customHeight="1" spans="1:2">
      <c r="A42526" s="3" t="str">
        <f>IFERROR(__xludf.DUMMYFUNCTION("GOOGLETRANSLATE(A42526,""en"",""pt"")"),"oi modo pict, nitidez, clareza, boa cor")</f>
        <v>oi modo pict, nitidez, clareza, boa cor</v>
      </c>
      <c r="B42526" s="3">
        <v>1</v>
      </c>
    </row>
    <row r="42527" ht="15.75" customHeight="1" spans="1:2">
      <c r="A42527" s="3" t="str">
        <f>IFERROR(__xludf.DUMMYFUNCTION("GOOGLETRANSLATE(A42527,""en"",""pt"")"),"Fácil de usar, excelentes fotos de qualidade.")</f>
        <v>Fácil de usar, excelentes fotos de qualidade.</v>
      </c>
      <c r="B42527" s="3">
        <v>1</v>
      </c>
    </row>
    <row r="42528" ht="15.75" customHeight="1" spans="1:2">
      <c r="A42528" s="3" t="str">
        <f>IFERROR(__xludf.DUMMYFUNCTION("GOOGLETRANSLATE(A42528,""en"",""pt"")"),"Bastante bons resultados para a resolução, &amp; amp; # 13; &amp; amp; # 10; Bons recursos")</f>
        <v>Bastante bons resultados para a resolução, &amp; amp; # 13; &amp; amp; # 10; Bons recursos</v>
      </c>
      <c r="B42528" s="3">
        <v>1</v>
      </c>
    </row>
    <row r="42529" ht="15.75" customHeight="1" spans="1:2">
      <c r="A42529" s="3" t="str">
        <f>IFERROR(__xludf.DUMMYFUNCTION("GOOGLETRANSLATE(A42529,""en"",""pt"")"),"Facilidade de uso w / inúmeros recursos da câmera")</f>
        <v>Facilidade de uso w / inúmeros recursos da câmera</v>
      </c>
      <c r="B42529" s="3">
        <v>1</v>
      </c>
    </row>
    <row r="42530" ht="15.75" customHeight="1" spans="1:2">
      <c r="A42530" s="3" t="str">
        <f>IFERROR(__xludf.DUMMYFUNCTION("GOOGLETRANSLATE(A42530,""en"",""pt"")"),"grandes resultados, fácil de aprender")</f>
        <v>grandes resultados, fácil de aprender</v>
      </c>
      <c r="B42530" s="3">
        <v>1</v>
      </c>
    </row>
    <row r="42531" ht="15.75" customHeight="1" spans="1:2">
      <c r="A42531" s="3" t="str">
        <f>IFERROR(__xludf.DUMMYFUNCTION("GOOGLETRANSLATE(A42531,""en"",""pt"")"),"qualidade de imagem, velocidade, vida útil da bateria, capacidade de armazenamento")</f>
        <v>qualidade de imagem, velocidade, vida útil da bateria, capacidade de armazenamento</v>
      </c>
      <c r="B42531" s="3">
        <v>1</v>
      </c>
    </row>
    <row r="42532" ht="15.75" customHeight="1" spans="1:2">
      <c r="A42532" s="3" t="str">
        <f>IFERROR(__xludf.DUMMYFUNCTION("GOOGLETRANSLATE(A42532,""en"",""pt"")"),"Fácil de usar, a qualidade Epson &amp; amp; amp; apoio, leve, ergonômico")</f>
        <v>Fácil de usar, a qualidade Epson &amp; amp; amp; apoio, leve, ergonômico</v>
      </c>
      <c r="B42532" s="3">
        <v>1</v>
      </c>
    </row>
    <row r="42533" ht="15.75" customHeight="1" spans="1:2">
      <c r="A42533" s="3" t="str">
        <f>IFERROR(__xludf.DUMMYFUNCTION("GOOGLETRANSLATE(A42533,""en"",""pt"")"),"Ótimas fotos!")</f>
        <v>Ótimas fotos!</v>
      </c>
      <c r="B42533" s="3">
        <v>1</v>
      </c>
    </row>
    <row r="42534" ht="15.75" customHeight="1" spans="1:2">
      <c r="A42534" s="3" t="str">
        <f>IFERROR(__xludf.DUMMYFUNCTION("GOOGLETRANSLATE(A42534,""en"",""pt"")"),"Um sistema de fotos eletrônico qualidade muito completo")</f>
        <v>Um sistema de fotos eletrônico qualidade muito completo</v>
      </c>
      <c r="B42534" s="3">
        <v>1</v>
      </c>
    </row>
    <row r="42535" ht="15.75" customHeight="1" spans="1:2">
      <c r="A42535" s="3" t="str">
        <f>IFERROR(__xludf.DUMMYFUNCTION("GOOGLETRANSLATE(A42535,""en"",""pt"")"),"Super fotos, bateria de longa duração")</f>
        <v>Super fotos, bateria de longa duração</v>
      </c>
      <c r="B42535" s="3">
        <v>1</v>
      </c>
    </row>
    <row r="42536" ht="15.75" customHeight="1" spans="1:2">
      <c r="A42536" s="3" t="str">
        <f>IFERROR(__xludf.DUMMYFUNCTION("GOOGLETRANSLATE(A42536,""en"",""pt"")"),"Excelente qualidade de imagem, mesmo em baixa resolução")</f>
        <v>Excelente qualidade de imagem, mesmo em baixa resolução</v>
      </c>
      <c r="B42536" s="3">
        <v>1</v>
      </c>
    </row>
    <row r="42537" ht="15.75" customHeight="1" spans="1:2">
      <c r="A42537" s="3" t="str">
        <f>IFERROR(__xludf.DUMMYFUNCTION("GOOGLETRANSLATE(A42537,""en"",""pt"")"),"Boa resolução, zoom, memória, baterias recarregáveis, software, tela de LED, e as opções de foto a um preço razoável.")</f>
        <v>Boa resolução, zoom, memória, baterias recarregáveis, software, tela de LED, e as opções de foto a um preço razoável.</v>
      </c>
      <c r="B42537" s="3">
        <v>1</v>
      </c>
    </row>
    <row r="42538" ht="15.75" customHeight="1" spans="1:2">
      <c r="A42538" s="3" t="str">
        <f>IFERROR(__xludf.DUMMYFUNCTION("GOOGLETRANSLATE(A42538,""en"",""pt"")"),"A qualidade da imagem, 3 X zoom")</f>
        <v>A qualidade da imagem, 3 X zoom</v>
      </c>
      <c r="B42538" s="3">
        <v>1</v>
      </c>
    </row>
    <row r="42539" ht="15.75" customHeight="1" spans="1:2">
      <c r="A42539" s="3" t="str">
        <f>IFERROR(__xludf.DUMMYFUNCTION("GOOGLETRANSLATE(A42539,""en"",""pt"")"),"Grande Resolution- impressionante tela Zoom-Liderados -NIMH baterias recarregáveis-4 Meg Interna A memória de 8 Meg Flash Card-carregador e um ótimo software")</f>
        <v>Grande Resolution- impressionante tela Zoom-Liderados -NIMH baterias recarregáveis-4 Meg Interna A memória de 8 Meg Flash Card-carregador e um ótimo software</v>
      </c>
      <c r="B42539" s="3">
        <v>1</v>
      </c>
    </row>
    <row r="42540" ht="15.75" customHeight="1" spans="1:2">
      <c r="A42540" s="3" t="str">
        <f>IFERROR(__xludf.DUMMYFUNCTION("GOOGLETRANSLATE(A42540,""en"",""pt"")"),"Alta Qualidade Fotos; Preço respeitável")</f>
        <v>Alta Qualidade Fotos; Preço respeitável</v>
      </c>
      <c r="B42540" s="3">
        <v>1</v>
      </c>
    </row>
    <row r="42541" ht="15.75" customHeight="1" spans="1:2">
      <c r="A42541" s="3" t="str">
        <f>IFERROR(__xludf.DUMMYFUNCTION("GOOGLETRANSLATE(A42541,""en"",""pt"")"),"exibição movido a energia solar, zoom de 3X")</f>
        <v>exibição movido a energia solar, zoom de 3X</v>
      </c>
      <c r="B42541" s="3">
        <v>1</v>
      </c>
    </row>
    <row r="42542" ht="15.75" customHeight="1" spans="1:2">
      <c r="A42542" s="3" t="str">
        <f>IFERROR(__xludf.DUMMYFUNCTION("GOOGLETRANSLATE(A42542,""en"",""pt"")"),"12 MB de memória (8 + 4), zoom de 3x, spiffy LCD iluminado, boa bateria, suavizar função LCD")</f>
        <v>12 MB de memória (8 + 4), zoom de 3x, spiffy LCD iluminado, boa bateria, suavizar função LCD</v>
      </c>
      <c r="B42542" s="3">
        <v>1</v>
      </c>
    </row>
    <row r="42543" ht="15.75" customHeight="1" spans="1:2">
      <c r="A42543" s="3" t="str">
        <f>IFERROR(__xludf.DUMMYFUNCTION("GOOGLETRANSLATE(A42543,""en"",""pt"")"),"leva abuso, fácil de usar")</f>
        <v>leva abuso, fácil de usar</v>
      </c>
      <c r="B42543" s="3">
        <v>1</v>
      </c>
    </row>
    <row r="42544" ht="15.75" customHeight="1" spans="1:2">
      <c r="A42544" s="3" t="str">
        <f>IFERROR(__xludf.DUMMYFUNCTION("GOOGLETRANSLATE(A42544,""en"",""pt"")"),"características interessantes, bons tiros")</f>
        <v>características interessantes, bons tiros</v>
      </c>
      <c r="B42544" s="3">
        <v>1</v>
      </c>
    </row>
    <row r="42545" ht="15.75" customHeight="1" spans="1:2">
      <c r="A42545" s="3" t="str">
        <f>IFERROR(__xludf.DUMMYFUNCTION("GOOGLETRANSLATE(A42545,""en"",""pt"")"),"Tamanho pequeno, excelente qualidade de imagem, fácil de usar")</f>
        <v>Tamanho pequeno, excelente qualidade de imagem, fácil de usar</v>
      </c>
      <c r="B42545" s="3">
        <v>1</v>
      </c>
    </row>
    <row r="42546" ht="15.75" customHeight="1" spans="1:2">
      <c r="A42546" s="3" t="str">
        <f>IFERROR(__xludf.DUMMYFUNCTION("GOOGLETRANSLATE(A42546,""en"",""pt"")"),"USB, 1900 res, características ajustáveis ​​usuário, 2x de zoom,")</f>
        <v>USB, 1900 res, características ajustáveis ​​usuário, 2x de zoom,</v>
      </c>
      <c r="B42546" s="3">
        <v>1</v>
      </c>
    </row>
    <row r="42547" ht="15.75" customHeight="1" spans="1:2">
      <c r="A42547" s="3" t="str">
        <f>IFERROR(__xludf.DUMMYFUNCTION("GOOGLETRANSLATE(A42547,""en"",""pt"")"),"Pequeno e leve")</f>
        <v>Pequeno e leve</v>
      </c>
      <c r="B42547" s="3">
        <v>1</v>
      </c>
    </row>
    <row r="42548" ht="15.75" customHeight="1" spans="1:2">
      <c r="A42548" s="3" t="str">
        <f>IFERROR(__xludf.DUMMYFUNCTION("GOOGLETRANSLATE(A42548,""en"",""pt"")"),"USB, recursos eletrônicos")</f>
        <v>USB, recursos eletrônicos</v>
      </c>
      <c r="B42548" s="3">
        <v>1</v>
      </c>
    </row>
    <row r="42549" ht="15.75" customHeight="1" spans="1:2">
      <c r="A42549" s="3" t="str">
        <f>IFERROR(__xludf.DUMMYFUNCTION("GOOGLETRANSLATE(A42549,""en"",""pt"")"),"Fácil de usar, as configurações personalizadas, tamanho compacto")</f>
        <v>Fácil de usar, as configurações personalizadas, tamanho compacto</v>
      </c>
      <c r="B42549" s="3">
        <v>1</v>
      </c>
    </row>
    <row r="42550" ht="15.75" customHeight="1" spans="1:2">
      <c r="A42550" s="3" t="str">
        <f>IFERROR(__xludf.DUMMYFUNCTION("GOOGLETRANSLATE(A42550,""en"",""pt"")"),"O tamanho pequeno, boa qualidade de imagem, a opção de 2x,")</f>
        <v>O tamanho pequeno, boa qualidade de imagem, a opção de 2x,</v>
      </c>
      <c r="B42550" s="3">
        <v>1</v>
      </c>
    </row>
    <row r="42551" ht="15.75" customHeight="1" spans="1:2">
      <c r="A42551" s="3" t="str">
        <f>IFERROR(__xludf.DUMMYFUNCTION("GOOGLETRANSLATE(A42551,""en"",""pt"")"),"Muito agradável; fácil de usar; imprime diretamente a qualquer impressora Epson; Muitos ajustes; resolução incrível; Suporta USB; Mac e Win; Incorporado LCD de 1,8 &amp; amp; quot; TFT")</f>
        <v>Muito agradável; fácil de usar; imprime diretamente a qualquer impressora Epson; Muitos ajustes; resolução incrível; Suporta USB; Mac e Win; Incorporado LCD de 1,8 &amp; amp; quot; TFT</v>
      </c>
      <c r="B42551" s="3">
        <v>1</v>
      </c>
    </row>
    <row r="42552" ht="15.75" customHeight="1" spans="1:2">
      <c r="A42552" s="3" t="str">
        <f>IFERROR(__xludf.DUMMYFUNCTION("GOOGLETRANSLATE(A42552,""en"",""pt"")"),"pequeno, bom foco, nenhum olho vermelho")</f>
        <v>pequeno, bom foco, nenhum olho vermelho</v>
      </c>
      <c r="B42552" s="3">
        <v>1</v>
      </c>
    </row>
    <row r="42553" ht="15.75" customHeight="1" spans="1:2">
      <c r="A42553" s="3" t="str">
        <f>IFERROR(__xludf.DUMMYFUNCTION("GOOGLETRANSLATE(A42553,""en"",""pt"")"),"pequeno e leve, excelente qualidade de foto, vem com baterias recarregáveis, cor, fotos em preto e branco ou panorâmicas")</f>
        <v>pequeno e leve, excelente qualidade de foto, vem com baterias recarregáveis, cor, fotos em preto e branco ou panorâmicas</v>
      </c>
      <c r="B42553" s="3">
        <v>1</v>
      </c>
    </row>
    <row r="42554" ht="15.75" customHeight="1" spans="1:2">
      <c r="A42554" s="3" t="str">
        <f>IFERROR(__xludf.DUMMYFUNCTION("GOOGLETRANSLATE(A42554,""en"",""pt"")"),"Imagens de alta qualidade. Durável!")</f>
        <v>Imagens de alta qualidade. Durável!</v>
      </c>
      <c r="B42554" s="3">
        <v>1</v>
      </c>
    </row>
    <row r="42555" ht="15.75" customHeight="1" spans="1:2">
      <c r="A42555" s="3" t="str">
        <f>IFERROR(__xludf.DUMMYFUNCTION("GOOGLETRANSLATE(A42555,""en"",""pt"")"),"bem trabalho lente")</f>
        <v>bem trabalho lente</v>
      </c>
      <c r="B42555" s="3">
        <v>1</v>
      </c>
    </row>
    <row r="42556" ht="15.75" customHeight="1" spans="1:2">
      <c r="A42556" s="3" t="str">
        <f>IFERROR(__xludf.DUMMYFUNCTION("GOOGLETRANSLATE(A42556,""en"",""pt"")"),"fotos Superior")</f>
        <v>fotos Superior</v>
      </c>
      <c r="B42556" s="3">
        <v>1</v>
      </c>
    </row>
    <row r="42557" ht="15.75" customHeight="1" spans="1:2">
      <c r="A42557" s="3" t="str">
        <f>IFERROR(__xludf.DUMMYFUNCTION("GOOGLETRANSLATE(A42557,""en"",""pt"")"),"Fácil de usar, de grande qualidade, grande valor, grande flexibilidade.")</f>
        <v>Fácil de usar, de grande qualidade, grande valor, grande flexibilidade.</v>
      </c>
      <c r="B42557" s="3">
        <v>1</v>
      </c>
    </row>
    <row r="42558" ht="15.75" customHeight="1" spans="1:2">
      <c r="A42558" s="3" t="str">
        <f>IFERROR(__xludf.DUMMYFUNCTION("GOOGLETRANSLATE(A42558,""en"",""pt"")"),"ótima câmera")</f>
        <v>ótima câmera</v>
      </c>
      <c r="B42558" s="3">
        <v>1</v>
      </c>
    </row>
    <row r="42559" ht="15.75" customHeight="1" spans="1:2">
      <c r="A42559" s="3" t="str">
        <f>IFERROR(__xludf.DUMMYFUNCTION("GOOGLETRANSLATE(A42559,""en"",""pt"")"),"Grande pix; brilhante LCD; boa vida útil da bateria")</f>
        <v>Grande pix; brilhante LCD; boa vida útil da bateria</v>
      </c>
      <c r="B42559" s="3">
        <v>1</v>
      </c>
    </row>
    <row r="42560" ht="15.75" customHeight="1" spans="1:2">
      <c r="A42560" s="3" t="str">
        <f>IFERROR(__xludf.DUMMYFUNCTION("GOOGLETRANSLATE(A42560,""en"",""pt"")"),"alta resolução, 1984 x 1488, painel solar para a luz solar e vida útil da bateria, outras funções de economia de bateria, USB &amp; amp; amp; conexões de porta serial, bom zoom óptico &amp; amp; amp; digitais, leva cartões de memória CompactFlash até 128 mg")</f>
        <v>alta resolução, 1984 x 1488, painel solar para a luz solar e vida útil da bateria, outras funções de economia de bateria, USB &amp; amp; amp; conexões de porta serial, bom zoom óptico &amp; amp; amp; digitais, leva cartões de memória CompactFlash até 128 mg</v>
      </c>
      <c r="B42560" s="3">
        <v>1</v>
      </c>
    </row>
    <row r="42561" ht="15.75" customHeight="1" spans="1:2">
      <c r="A42561" s="3" t="str">
        <f>IFERROR(__xludf.DUMMYFUNCTION("GOOGLETRANSLATE(A42561,""en"",""pt"")"),"Ótimo preço, ótimo Fotos, grandes recursos")</f>
        <v>Ótimo preço, ótimo Fotos, grandes recursos</v>
      </c>
      <c r="B42561" s="3">
        <v>1</v>
      </c>
    </row>
    <row r="42562" ht="15.75" customHeight="1" spans="1:2">
      <c r="A42562" s="3" t="str">
        <f>IFERROR(__xludf.DUMMYFUNCTION("GOOGLETRANSLATE(A42562,""en"",""pt"")"),"Boas características vs. preço")</f>
        <v>Boas características vs. preço</v>
      </c>
      <c r="B42562" s="3">
        <v>1</v>
      </c>
    </row>
    <row r="42563" ht="15.75" customHeight="1" spans="1:2">
      <c r="A42563" s="3" t="str">
        <f>IFERROR(__xludf.DUMMYFUNCTION("GOOGLETRANSLATE(A42563,""en"",""pt"")"),"Excelente qualidade de imagem, user friendly, convencional &amp; amp; amp; zoom digital, adaptador de lente")</f>
        <v>Excelente qualidade de imagem, user friendly, convencional &amp; amp; amp; zoom digital, adaptador de lente</v>
      </c>
      <c r="B42563" s="3">
        <v>1</v>
      </c>
    </row>
    <row r="42564" ht="15.75" customHeight="1" spans="1:2">
      <c r="A42564" s="3" t="str">
        <f>IFERROR(__xludf.DUMMYFUNCTION("GOOGLETRANSLATE(A42564,""en"",""pt"")"),"Cargas de recursos; Excelente qualidade de imagem; Energia eficiente")</f>
        <v>Cargas de recursos; Excelente qualidade de imagem; Energia eficiente</v>
      </c>
      <c r="B42564" s="3">
        <v>1</v>
      </c>
    </row>
    <row r="42565" ht="15.75" customHeight="1" spans="1:2">
      <c r="A42565" s="3" t="str">
        <f>IFERROR(__xludf.DUMMYFUNCTION("GOOGLETRANSLATE(A42565,""en"",""pt"")"),"Dinheiro, tempo, resultados")</f>
        <v>Dinheiro, tempo, resultados</v>
      </c>
      <c r="B42565" s="3">
        <v>1</v>
      </c>
    </row>
    <row r="42566" ht="15.75" customHeight="1" spans="1:2">
      <c r="A42566" s="3" t="str">
        <f>IFERROR(__xludf.DUMMYFUNCTION("GOOGLETRANSLATE(A42566,""en"",""pt"")"),"Qualidade da foto")</f>
        <v>Qualidade da foto</v>
      </c>
      <c r="B42566" s="3">
        <v>1</v>
      </c>
    </row>
    <row r="42567" ht="15.75" customHeight="1" spans="1:2">
      <c r="A42567" s="3" t="str">
        <f>IFERROR(__xludf.DUMMYFUNCTION("GOOGLETRANSLATE(A42567,""en"",""pt"")"),"Porta USB e baterias recarregáveis ​​Vem w / Este Camera")</f>
        <v>Porta USB e baterias recarregáveis ​​Vem w / Este Camera</v>
      </c>
      <c r="B42567" s="3">
        <v>1</v>
      </c>
    </row>
    <row r="42568" ht="15.75" customHeight="1" spans="1:2">
      <c r="A42568" s="3" t="str">
        <f>IFERROR(__xludf.DUMMYFUNCTION("GOOGLETRANSLATE(A42568,""en"",""pt"")"),"Toma fotos muito boas, provavelmente o mais bem-arredondado câmera de 2 megapixel lá fora")</f>
        <v>Toma fotos muito boas, provavelmente o mais bem-arredondado câmera de 2 megapixel lá fora</v>
      </c>
      <c r="B42568" s="3">
        <v>1</v>
      </c>
    </row>
    <row r="42569" ht="15.75" customHeight="1" spans="1:2">
      <c r="A42569" s="3" t="str">
        <f>IFERROR(__xludf.DUMMYFUNCTION("GOOGLETRANSLATE(A42569,""en"",""pt"")"),"Muita diversão!")</f>
        <v>Muita diversão!</v>
      </c>
      <c r="B42569" s="3">
        <v>1</v>
      </c>
    </row>
    <row r="42570" ht="15.75" customHeight="1" spans="1:2">
      <c r="A42570" s="3" t="str">
        <f>IFERROR(__xludf.DUMMYFUNCTION("GOOGLETRANSLATE(A42570,""en"",""pt"")"),"imagens de alta qualidade. 2 pixels!")</f>
        <v>imagens de alta qualidade. 2 pixels!</v>
      </c>
      <c r="B42570" s="3">
        <v>1</v>
      </c>
    </row>
    <row r="42571" ht="15.75" customHeight="1" spans="1:2">
      <c r="A42571" s="3" t="str">
        <f>IFERROR(__xludf.DUMMYFUNCTION("GOOGLETRANSLATE(A42571,""en"",""pt"")"),"Preço razoável, qualidade decente - nada de especial tho")</f>
        <v>Preço razoável, qualidade decente - nada de especial tho</v>
      </c>
      <c r="B42571" s="3">
        <v>1</v>
      </c>
    </row>
    <row r="42572" ht="15.75" customHeight="1" spans="1:2">
      <c r="A42572" s="3" t="str">
        <f>IFERROR(__xludf.DUMMYFUNCTION("GOOGLETRANSLATE(A42572,""en"",""pt"")"),"Pequeno, calmo, simples de operar, muito serviço ao cliente decente.")</f>
        <v>Pequeno, calmo, simples de operar, muito serviço ao cliente decente.</v>
      </c>
      <c r="B42572" s="3">
        <v>1</v>
      </c>
    </row>
    <row r="42573" ht="15.75" customHeight="1" spans="1:2">
      <c r="A42573" s="3" t="str">
        <f>IFERROR(__xludf.DUMMYFUNCTION("GOOGLETRANSLATE(A42573,""en"",""pt"")"),"Wow ... U.S.B., Whats não como ... (bem há ...)")</f>
        <v>Wow ... U.S.B., Whats não como ... (bem há ...)</v>
      </c>
      <c r="B42573" s="3">
        <v>1</v>
      </c>
    </row>
    <row r="42574" ht="15.75" customHeight="1" spans="1:2">
      <c r="A42574" s="3" t="str">
        <f>IFERROR(__xludf.DUMMYFUNCTION("GOOGLETRANSLATE(A42574,""en"",""pt"")"),"Foi livre, empacotado com o meu novo Dell.")</f>
        <v>Foi livre, empacotado com o meu novo Dell.</v>
      </c>
      <c r="B42574" s="3">
        <v>1</v>
      </c>
    </row>
    <row r="42575" ht="15.75" customHeight="1" spans="1:2">
      <c r="A42575" s="3" t="str">
        <f>IFERROR(__xludf.DUMMYFUNCTION("GOOGLETRANSLATE(A42575,""en"",""pt"")"),"preço, qualidade de impressão")</f>
        <v>preço, qualidade de impressão</v>
      </c>
      <c r="B42575" s="3">
        <v>1</v>
      </c>
    </row>
    <row r="42576" ht="15.75" customHeight="1" spans="1:2">
      <c r="A42576" s="3" t="str">
        <f>IFERROR(__xludf.DUMMYFUNCTION("GOOGLETRANSLATE(A42576,""en"",""pt"")"),"Boa qualidade de impressão, peso leve, bons cartuchos, USB, de fácil operação, boa Software")</f>
        <v>Boa qualidade de impressão, peso leve, bons cartuchos, USB, de fácil operação, boa Software</v>
      </c>
      <c r="B42576" s="3">
        <v>1</v>
      </c>
    </row>
    <row r="42577" ht="15.75" customHeight="1" spans="1:2">
      <c r="A42577" s="3" t="str">
        <f>IFERROR(__xludf.DUMMYFUNCTION("GOOGLETRANSLATE(A42577,""en"",""pt"")"),"Barato, USB, simples de operar")</f>
        <v>Barato, USB, simples de operar</v>
      </c>
      <c r="B42577" s="3">
        <v>1</v>
      </c>
    </row>
    <row r="42578" ht="15.75" customHeight="1" spans="1:2">
      <c r="A42578" s="3" t="str">
        <f>IFERROR(__xludf.DUMMYFUNCTION("GOOGLETRANSLATE(A42578,""en"",""pt"")"),"preço! usb conexão, configuração simples, ótimo quando usado com conjuntos reabastecedor de tinta")</f>
        <v>preço! usb conexão, configuração simples, ótimo quando usado com conjuntos reabastecedor de tinta</v>
      </c>
      <c r="B42578" s="3">
        <v>1</v>
      </c>
    </row>
    <row r="42579" ht="15.75" customHeight="1" spans="1:2">
      <c r="A42579" s="3" t="str">
        <f>IFERROR(__xludf.DUMMYFUNCTION("GOOGLETRANSLATE(A42579,""en"",""pt"")"),"Foi livre com o meu computador Gateway.")</f>
        <v>Foi livre com o meu computador Gateway.</v>
      </c>
      <c r="B42579" s="3">
        <v>1</v>
      </c>
    </row>
    <row r="42580" ht="15.75" customHeight="1" spans="1:2">
      <c r="A42580" s="3" t="str">
        <f>IFERROR(__xludf.DUMMYFUNCTION("GOOGLETRANSLATE(A42580,""en"",""pt"")"),"impressora barata")</f>
        <v>impressora barata</v>
      </c>
      <c r="B42580" s="3">
        <v>1</v>
      </c>
    </row>
    <row r="42581" ht="15.75" customHeight="1" spans="1:2">
      <c r="A42581" s="3" t="str">
        <f>IFERROR(__xludf.DUMMYFUNCTION("GOOGLETRANSLATE(A42581,""en"",""pt"")"),"Barato")</f>
        <v>Barato</v>
      </c>
      <c r="B42581" s="3">
        <v>1</v>
      </c>
    </row>
    <row r="42582" ht="15.75" customHeight="1" spans="1:2">
      <c r="A42582" s="3" t="str">
        <f>IFERROR(__xludf.DUMMYFUNCTION("GOOGLETRANSLATE(A42582,""en"",""pt"")"),"Nenhum")</f>
        <v>Nenhum</v>
      </c>
      <c r="B42582" s="3">
        <v>1</v>
      </c>
    </row>
    <row r="42583" ht="15.75" customHeight="1" spans="1:2">
      <c r="A42583" s="3" t="str">
        <f>IFERROR(__xludf.DUMMYFUNCTION("GOOGLETRANSLATE(A42583,""en"",""pt"")"),"qualidade, rápido b / w, tinta dura muito tempo")</f>
        <v>qualidade, rápido b / w, tinta dura muito tempo</v>
      </c>
      <c r="B42583" s="3">
        <v>1</v>
      </c>
    </row>
    <row r="42584" ht="15.75" customHeight="1" spans="1:2">
      <c r="A42584" s="3" t="str">
        <f>IFERROR(__xludf.DUMMYFUNCTION("GOOGLETRANSLATE(A42584,""en"",""pt"")"),"Barato ... mina era livre. fácil de instalar. conexão USB. XP amigável.")</f>
        <v>Barato ... mina era livre. fácil de instalar. conexão USB. XP amigável.</v>
      </c>
      <c r="B42584" s="3">
        <v>1</v>
      </c>
    </row>
    <row r="42585" ht="15.75" customHeight="1" spans="1:2">
      <c r="A42585" s="3" t="str">
        <f>IFERROR(__xludf.DUMMYFUNCTION("GOOGLETRANSLATE(A42585,""en"",""pt"")"),"Boa fotografia e qualidade de impressão, manuseio de papel, utilitário de software.")</f>
        <v>Boa fotografia e qualidade de impressão, manuseio de papel, utilitário de software.</v>
      </c>
      <c r="B42585" s="3">
        <v>1</v>
      </c>
    </row>
    <row r="42586" ht="15.75" customHeight="1" spans="1:2">
      <c r="A42586" s="3" t="str">
        <f>IFERROR(__xludf.DUMMYFUNCTION("GOOGLETRANSLATE(A42586,""en"",""pt"")"),"excelente qualidade de cor, fácil de troca de toner, cartuchos pretos e coloridos separados")</f>
        <v>excelente qualidade de cor, fácil de troca de toner, cartuchos pretos e coloridos separados</v>
      </c>
      <c r="B42586" s="3">
        <v>1</v>
      </c>
    </row>
    <row r="42587" ht="15.75" customHeight="1" spans="1:2">
      <c r="A42587" s="3" t="str">
        <f>IFERROR(__xludf.DUMMYFUNCTION("GOOGLETRANSLATE(A42587,""en"",""pt"")"),"É barato e parece bom.")</f>
        <v>É barato e parece bom.</v>
      </c>
      <c r="B42587" s="3">
        <v>1</v>
      </c>
    </row>
    <row r="42588" ht="15.75" customHeight="1" spans="1:2">
      <c r="A42588" s="3" t="str">
        <f>IFERROR(__xludf.DUMMYFUNCTION("GOOGLETRANSLATE(A42588,""en"",""pt"")"),"Custo, fácil instalar win2k, custo da tinta, Qualidade de impressão.")</f>
        <v>Custo, fácil instalar win2k, custo da tinta, Qualidade de impressão.</v>
      </c>
      <c r="B42588" s="3">
        <v>1</v>
      </c>
    </row>
    <row r="42589" ht="15.75" customHeight="1" spans="1:2">
      <c r="A42589" s="3" t="str">
        <f>IFERROR(__xludf.DUMMYFUNCTION("GOOGLETRANSLATE(A42589,""en"",""pt"")"),"excelente qualidade de foto, relativamente rápido (no modo de economia)")</f>
        <v>excelente qualidade de foto, relativamente rápido (no modo de economia)</v>
      </c>
      <c r="B42589" s="3">
        <v>1</v>
      </c>
    </row>
    <row r="42590" ht="15.75" customHeight="1" spans="1:2">
      <c r="A42590" s="3" t="str">
        <f>IFERROR(__xludf.DUMMYFUNCTION("GOOGLETRANSLATE(A42590,""en"",""pt"")"),"barato")</f>
        <v>barato</v>
      </c>
      <c r="B42590" s="3">
        <v>1</v>
      </c>
    </row>
    <row r="42591" ht="15.75" customHeight="1" spans="1:2">
      <c r="A42591" s="3" t="str">
        <f>IFERROR(__xludf.DUMMYFUNCTION("GOOGLETRANSLATE(A42591,""en"",""pt"")"),"Low Ink Custo, Qualidade Média (Prints), USB")</f>
        <v>Low Ink Custo, Qualidade Média (Prints), USB</v>
      </c>
      <c r="B42591" s="3">
        <v>1</v>
      </c>
    </row>
    <row r="42592" ht="15.75" customHeight="1" spans="1:2">
      <c r="A42592" s="3" t="str">
        <f>IFERROR(__xludf.DUMMYFUNCTION("GOOGLETRANSLATE(A42592,""en"",""pt"")"),"Very nice texto e impressão de fotos.")</f>
        <v>Very nice texto e impressão de fotos.</v>
      </c>
      <c r="B42592" s="3">
        <v>1</v>
      </c>
    </row>
    <row r="42593" ht="15.75" customHeight="1" spans="1:2">
      <c r="A42593" s="3" t="str">
        <f>IFERROR(__xludf.DUMMYFUNCTION("GOOGLETRANSLATE(A42593,""en"",""pt"")"),"impressora barata. Capacidade de papel de largura")</f>
        <v>impressora barata. Capacidade de papel de largura</v>
      </c>
      <c r="B42593" s="3">
        <v>1</v>
      </c>
    </row>
    <row r="42594" ht="15.75" customHeight="1" spans="1:2">
      <c r="A42594" s="3" t="str">
        <f>IFERROR(__xludf.DUMMYFUNCTION("GOOGLETRANSLATE(A42594,""en"",""pt"")"),"Barato")</f>
        <v>Barato</v>
      </c>
      <c r="B42594" s="3">
        <v>1</v>
      </c>
    </row>
    <row r="42595" ht="15.75" customHeight="1" spans="1:2">
      <c r="A42595" s="3" t="str">
        <f>IFERROR(__xludf.DUMMYFUNCTION("GOOGLETRANSLATE(A42595,""en"",""pt"")"),"Barato.")</f>
        <v>Barato.</v>
      </c>
      <c r="B42595" s="3">
        <v>1</v>
      </c>
    </row>
    <row r="42596" ht="15.75" customHeight="1" spans="1:2">
      <c r="A42596" s="3" t="str">
        <f>IFERROR(__xludf.DUMMYFUNCTION("GOOGLETRANSLATE(A42596,""en"",""pt"")"),"Baratos, impressões de boa qualidade (para o preço), rápido")</f>
        <v>Baratos, impressões de boa qualidade (para o preço), rápido</v>
      </c>
      <c r="B42596" s="3">
        <v>1</v>
      </c>
    </row>
    <row r="42597" ht="15.75" customHeight="1" spans="1:2">
      <c r="A42597" s="3" t="str">
        <f>IFERROR(__xludf.DUMMYFUNCTION("GOOGLETRANSLATE(A42597,""en"",""pt"")"),"barato - de boa qualidade se você tiver tempo para esperar.")</f>
        <v>barato - de boa qualidade se você tiver tempo para esperar.</v>
      </c>
      <c r="B42597" s="3">
        <v>1</v>
      </c>
    </row>
    <row r="42598" ht="15.75" customHeight="1" spans="1:2">
      <c r="A42598" s="3" t="str">
        <f>IFERROR(__xludf.DUMMYFUNCTION("GOOGLETRANSLATE(A42598,""en"",""pt"")")," Economia de espaço printer.Inexpensive.")</f>
        <v> Economia de espaço printer.Inexpensive.</v>
      </c>
      <c r="B42598" s="3">
        <v>1</v>
      </c>
    </row>
    <row r="42599" ht="15.75" customHeight="1" spans="1:2">
      <c r="A42599" s="3" t="str">
        <f>IFERROR(__xludf.DUMMYFUNCTION("GOOGLETRANSLATE(A42599,""en"",""pt"")"),"Fácil de configurar utiliza ambos os tipos de gancho ups USB e Paralela")</f>
        <v>Fácil de configurar utiliza ambos os tipos de gancho ups USB e Paralela</v>
      </c>
      <c r="B42599" s="3">
        <v>1</v>
      </c>
    </row>
    <row r="42600" ht="15.75" customHeight="1" spans="1:2">
      <c r="A42600" s="3" t="str">
        <f>IFERROR(__xludf.DUMMYFUNCTION("GOOGLETRANSLATE(A42600,""en"",""pt"")"),"Preço, tamanho, qualidade")</f>
        <v>Preço, tamanho, qualidade</v>
      </c>
      <c r="B42600" s="3">
        <v>1</v>
      </c>
    </row>
    <row r="42601" ht="15.75" customHeight="1" spans="1:2">
      <c r="A42601" s="3" t="str">
        <f>IFERROR(__xludf.DUMMYFUNCTION("GOOGLETRANSLATE(A42601,""en"",""pt"")"),"instalação rápida e fácil, imagem da foto perfeita, preço baixo")</f>
        <v>instalação rápida e fácil, imagem da foto perfeita, preço baixo</v>
      </c>
      <c r="B42601" s="3">
        <v>1</v>
      </c>
    </row>
    <row r="42602" ht="15.75" customHeight="1" spans="1:2">
      <c r="A42602" s="3" t="str">
        <f>IFERROR(__xludf.DUMMYFUNCTION("GOOGLETRANSLATE(A42602,""en"",""pt"")"),"Grande qualidade de impressão e rápido")</f>
        <v>Grande qualidade de impressão e rápido</v>
      </c>
      <c r="B42602" s="3">
        <v>1</v>
      </c>
    </row>
    <row r="42603" ht="15.75" customHeight="1" spans="1:2">
      <c r="A42603" s="3" t="str">
        <f>IFERROR(__xludf.DUMMYFUNCTION("GOOGLETRANSLATE(A42603,""en"",""pt"")"),"Preço, qualidade de impressão, design, facilidade de uso")</f>
        <v>Preço, qualidade de impressão, design, facilidade de uso</v>
      </c>
      <c r="B42603" s="3">
        <v>1</v>
      </c>
    </row>
    <row r="42604" ht="15.75" customHeight="1" spans="1:2">
      <c r="A42604" s="3" t="str">
        <f>IFERROR(__xludf.DUMMYFUNCTION("GOOGLETRANSLATE(A42604,""en"",""pt"")"),"Uma das melhores impressoras no mercado.")</f>
        <v>Uma das melhores impressoras no mercado.</v>
      </c>
      <c r="B42604" s="3">
        <v>1</v>
      </c>
    </row>
    <row r="42605" ht="15.75" customHeight="1" spans="1:2">
      <c r="A42605" s="3" t="str">
        <f>IFERROR(__xludf.DUMMYFUNCTION("GOOGLETRANSLATE(A42605,""en"",""pt"")"),"Grande impressora de qualidade que vem completo com todos os fabricantes acessórios fornecidos.")</f>
        <v>Grande impressora de qualidade que vem completo com todos os fabricantes acessórios fornecidos.</v>
      </c>
      <c r="B42605" s="3">
        <v>1</v>
      </c>
    </row>
    <row r="42606" ht="15.75" customHeight="1" spans="1:2">
      <c r="A42606" s="3" t="str">
        <f>IFERROR(__xludf.DUMMYFUNCTION("GOOGLETRANSLATE(A42606,""en"",""pt"")"),"Barato, impressões a cores superiores em papel fotográfico de qualidade, fácil de configurar e usar.")</f>
        <v>Barato, impressões a cores superiores em papel fotográfico de qualidade, fácil de configurar e usar.</v>
      </c>
      <c r="B42606" s="3">
        <v>1</v>
      </c>
    </row>
    <row r="42607" ht="15.75" customHeight="1" spans="1:2">
      <c r="A42607" s="3" t="str">
        <f>IFERROR(__xludf.DUMMYFUNCTION("GOOGLETRANSLATE(A42607,""en"",""pt"")"),"Excelente facilidade de uso, impressão rápida e fácil e elegante ao design de uso.")</f>
        <v>Excelente facilidade de uso, impressão rápida e fácil e elegante ao design de uso.</v>
      </c>
      <c r="B42607" s="3">
        <v>1</v>
      </c>
    </row>
    <row r="42608" ht="15.75" customHeight="1" spans="1:2">
      <c r="A42608" s="3" t="str">
        <f>IFERROR(__xludf.DUMMYFUNCTION("GOOGLETRANSLATE(A42608,""en"",""pt"")"),"boa alimentação de papel, tinta de longa duração, as opções de impressão votos")</f>
        <v>boa alimentação de papel, tinta de longa duração, as opções de impressão votos</v>
      </c>
      <c r="B42608" s="3">
        <v>1</v>
      </c>
    </row>
    <row r="42609" ht="15.75" customHeight="1" spans="1:2">
      <c r="A42609" s="3" t="str">
        <f>IFERROR(__xludf.DUMMYFUNCTION("GOOGLETRANSLATE(A42609,""en"",""pt"")"),"Baixo custo e rápido em comparação com muitos outros jatos de tinta")</f>
        <v>Baixo custo e rápido em comparação com muitos outros jatos de tinta</v>
      </c>
      <c r="B42609" s="3">
        <v>1</v>
      </c>
    </row>
    <row r="42610" ht="15.75" customHeight="1" spans="1:2">
      <c r="A42610" s="3" t="str">
        <f>IFERROR(__xludf.DUMMYFUNCTION("GOOGLETRANSLATE(A42610,""en"",""pt"")"),"Boa. Luz, acessível, assim como o C80.")</f>
        <v>Boa. Luz, acessível, assim como o C80.</v>
      </c>
      <c r="B42610" s="3">
        <v>1</v>
      </c>
    </row>
    <row r="42611" ht="15.75" customHeight="1" spans="1:2">
      <c r="A42611" s="3" t="str">
        <f>IFERROR(__xludf.DUMMYFUNCTION("GOOGLETRANSLATE(A42611,""en"",""pt"")"),"Elegante procurando, impressões rapidamente, mal sabe que está em")</f>
        <v>Elegante procurando, impressões rapidamente, mal sabe que está em</v>
      </c>
      <c r="B42611" s="3">
        <v>1</v>
      </c>
    </row>
    <row r="42612" ht="15.75" customHeight="1" spans="1:2">
      <c r="A42612" s="3" t="str">
        <f>IFERROR(__xludf.DUMMYFUNCTION("GOOGLETRANSLATE(A42612,""en"",""pt"")"),"Boa qualidade de impressão, valor global bom - típico da Epson")</f>
        <v>Boa qualidade de impressão, valor global bom - típico da Epson</v>
      </c>
      <c r="B42612" s="3">
        <v>1</v>
      </c>
    </row>
    <row r="42613" ht="15.75" customHeight="1" spans="1:2">
      <c r="A42613" s="3" t="str">
        <f>IFERROR(__xludf.DUMMYFUNCTION("GOOGLETRANSLATE(A42613,""en"",""pt"")"),"Rápido, grande qualidade de impressão, fácil de configurar e usar")</f>
        <v>Rápido, grande qualidade de impressão, fácil de configurar e usar</v>
      </c>
      <c r="B42613" s="3">
        <v>1</v>
      </c>
    </row>
    <row r="42614" ht="15.75" customHeight="1" spans="1:2">
      <c r="A42614" s="3" t="str">
        <f>IFERROR(__xludf.DUMMYFUNCTION("GOOGLETRANSLATE(A42614,""en"",""pt"")"),"imprimir imagens de boa qualidade")</f>
        <v>imprimir imagens de boa qualidade</v>
      </c>
      <c r="B42614" s="3">
        <v>1</v>
      </c>
    </row>
    <row r="42615" ht="15.75" customHeight="1" spans="1:2">
      <c r="A42615" s="3" t="str">
        <f>IFERROR(__xludf.DUMMYFUNCTION("GOOGLETRANSLATE(A42615,""en"",""pt"")"),"Imprime bem e rapidamente, preço acessível")</f>
        <v>Imprime bem e rapidamente, preço acessível</v>
      </c>
      <c r="B42615" s="3">
        <v>1</v>
      </c>
    </row>
    <row r="42616" ht="15.75" customHeight="1" spans="1:2">
      <c r="A42616" s="3" t="str">
        <f>IFERROR(__xludf.DUMMYFUNCTION("GOOGLETRANSLATE(A42616,""en"",""pt"")"),"Excelente qualidade, valor, &amp; amp; preço. Não alto.")</f>
        <v>Excelente qualidade, valor, &amp; amp; preço. Não alto.</v>
      </c>
      <c r="B42616" s="3">
        <v>1</v>
      </c>
    </row>
    <row r="42617" ht="15.75" customHeight="1" spans="1:2">
      <c r="A42617" s="3" t="str">
        <f>IFERROR(__xludf.DUMMYFUNCTION("GOOGLETRANSLATE(A42617,""en"",""pt"")"),"barato, muito boa qualidade da foto, rápido para b &amp; amp; w")</f>
        <v>barato, muito boa qualidade da foto, rápido para b &amp; amp; w</v>
      </c>
      <c r="B42617" s="3">
        <v>1</v>
      </c>
    </row>
    <row r="42618" ht="15.75" customHeight="1" spans="1:2">
      <c r="A42618" s="3" t="str">
        <f>IFERROR(__xludf.DUMMYFUNCTION("GOOGLETRANSLATE(A42618,""en"",""pt"")"),"Low Cost, Compatível com Windows XP")</f>
        <v>Low Cost, Compatível com Windows XP</v>
      </c>
      <c r="B42618" s="3">
        <v>1</v>
      </c>
    </row>
    <row r="42619" ht="15.75" customHeight="1" spans="1:2">
      <c r="A42619" s="3" t="str">
        <f>IFERROR(__xludf.DUMMYFUNCTION("GOOGLETRANSLATE(A42619,""en"",""pt"")"),"Incrível qualidade e rápida")</f>
        <v>Incrível qualidade e rápida</v>
      </c>
      <c r="B42619" s="3">
        <v>1</v>
      </c>
    </row>
    <row r="42620" ht="15.75" customHeight="1" spans="1:2">
      <c r="A42620" s="3" t="str">
        <f>IFERROR(__xludf.DUMMYFUNCTION("GOOGLETRANSLATE(A42620,""en"",""pt"")"),"Grande cor, preço baixo Porta Paralela")</f>
        <v>Grande cor, preço baixo Porta Paralela</v>
      </c>
      <c r="B42620" s="3">
        <v>1</v>
      </c>
    </row>
    <row r="42621" ht="15.75" customHeight="1" spans="1:2">
      <c r="A42621" s="3" t="str">
        <f>IFERROR(__xludf.DUMMYFUNCTION("GOOGLETRANSLATE(A42621,""en"",""pt"")"),"Braggers direitos especiais: Faz o mais caro inexpressivos impressões de fotos!")</f>
        <v>Braggers direitos especiais: Faz o mais caro inexpressivos impressões de fotos!</v>
      </c>
      <c r="B42621" s="3">
        <v>1</v>
      </c>
    </row>
    <row r="42622" ht="15.75" customHeight="1" spans="1:2">
      <c r="A42622" s="3" t="str">
        <f>IFERROR(__xludf.DUMMYFUNCTION("GOOGLETRANSLATE(A42622,""en"",""pt"")"),"excelente qualidade de impressão, rápido o suficiente para uso doméstico, e o preço é justo.")</f>
        <v>excelente qualidade de impressão, rápido o suficiente para uso doméstico, e o preço é justo.</v>
      </c>
      <c r="B42622" s="3">
        <v>1</v>
      </c>
    </row>
    <row r="42623" ht="15.75" customHeight="1" spans="1:2">
      <c r="A42623" s="3" t="str">
        <f>IFERROR(__xludf.DUMMYFUNCTION("GOOGLETRANSLATE(A42623,""en"",""pt"")"),"Rápido, grande resolução")</f>
        <v>Rápido, grande resolução</v>
      </c>
      <c r="B42623" s="3">
        <v>1</v>
      </c>
    </row>
    <row r="42624" ht="15.75" customHeight="1" spans="1:2">
      <c r="A42624" s="3" t="str">
        <f>IFERROR(__xludf.DUMMYFUNCTION("GOOGLETRANSLATE(A42624,""en"",""pt"")"),"Preço")</f>
        <v>Preço</v>
      </c>
      <c r="B42624" s="3">
        <v>1</v>
      </c>
    </row>
    <row r="42625" ht="15.75" customHeight="1" spans="1:2">
      <c r="A42625" s="3" t="str">
        <f>IFERROR(__xludf.DUMMYFUNCTION("GOOGLETRANSLATE(A42625,""en"",""pt"")"),"Impressão rápida, qualidade decente, mas excelente qualidade para o preço.")</f>
        <v>Impressão rápida, qualidade decente, mas excelente qualidade para o preço.</v>
      </c>
      <c r="B42625" s="3">
        <v>1</v>
      </c>
    </row>
    <row r="42626" ht="15.75" customHeight="1" spans="1:2">
      <c r="A42626" s="3" t="str">
        <f>IFERROR(__xludf.DUMMYFUNCTION("GOOGLETRANSLATE(A42626,""en"",""pt"")"),"boa qualidade, impressão rápida, compacta")</f>
        <v>boa qualidade, impressão rápida, compacta</v>
      </c>
      <c r="B42626" s="3">
        <v>1</v>
      </c>
    </row>
    <row r="42627" ht="15.75" customHeight="1" spans="1:2">
      <c r="A42627" s="3" t="str">
        <f>IFERROR(__xludf.DUMMYFUNCTION("GOOGLETRANSLATE(A42627,""en"",""pt"")"),"Preço, Depois de tinta Mercado, Velocidade")</f>
        <v>Preço, Depois de tinta Mercado, Velocidade</v>
      </c>
      <c r="B42627" s="3">
        <v>1</v>
      </c>
    </row>
    <row r="42628" ht="15.75" customHeight="1" spans="1:2">
      <c r="A42628" s="3" t="str">
        <f>IFERROR(__xludf.DUMMYFUNCTION("GOOGLETRANSLATE(A42628,""en"",""pt"")"),"Boa qualidade de impressão, relativamente rápido, muito barato")</f>
        <v>Boa qualidade de impressão, relativamente rápido, muito barato</v>
      </c>
      <c r="B42628" s="3">
        <v>1</v>
      </c>
    </row>
    <row r="42629" ht="15.75" customHeight="1" spans="1:2">
      <c r="A42629" s="3" t="str">
        <f>IFERROR(__xludf.DUMMYFUNCTION("GOOGLETRANSLATE(A42629,""en"",""pt"")"),"impressão rápida, styling e fáceis botões")</f>
        <v>impressão rápida, styling e fáceis botões</v>
      </c>
      <c r="B42629" s="3">
        <v>1</v>
      </c>
    </row>
    <row r="42630" ht="15.75" customHeight="1" spans="1:2">
      <c r="A42630" s="3" t="str">
        <f>IFERROR(__xludf.DUMMYFUNCTION("GOOGLETRANSLATE(A42630,""en"",""pt"")"),"Excelente impressão e gráfica.")</f>
        <v>Excelente impressão e gráfica.</v>
      </c>
      <c r="B42630" s="3">
        <v>1</v>
      </c>
    </row>
    <row r="42631" ht="15.75" customHeight="1" spans="1:2">
      <c r="A42631" s="3" t="str">
        <f>IFERROR(__xludf.DUMMYFUNCTION("GOOGLETRANSLATE(A42631,""en"",""pt"")"),"Prints rápido, fácil de usar, barato")</f>
        <v>Prints rápido, fácil de usar, barato</v>
      </c>
      <c r="B42631" s="3">
        <v>1</v>
      </c>
    </row>
    <row r="42632" ht="15.75" customHeight="1" spans="1:2">
      <c r="A42632" s="3" t="str">
        <f>IFERROR(__xludf.DUMMYFUNCTION("GOOGLETRANSLATE(A42632,""en"",""pt"")"),"Barato")</f>
        <v>Barato</v>
      </c>
      <c r="B42632" s="3">
        <v>1</v>
      </c>
    </row>
    <row r="42633" ht="15.75" customHeight="1" spans="1:2">
      <c r="A42633" s="3" t="str">
        <f>IFERROR(__xludf.DUMMYFUNCTION("GOOGLETRANSLATE(A42633,""en"",""pt"")"),"impressões de super alta qualidade que são de alta velocidade. carregamento rápido w \ escolha de USB,")</f>
        <v>impressões de super alta qualidade que são de alta velocidade. carregamento rápido w \ escolha de USB,</v>
      </c>
      <c r="B42633" s="3">
        <v>1</v>
      </c>
    </row>
    <row r="42634" ht="15.75" customHeight="1" spans="1:2">
      <c r="A42634" s="3" t="str">
        <f>IFERROR(__xludf.DUMMYFUNCTION("GOOGLETRANSLATE(A42634,""en"",""pt"")"),"Muito acessível, fácil de usar")</f>
        <v>Muito acessível, fácil de usar</v>
      </c>
      <c r="B42634" s="3">
        <v>1</v>
      </c>
    </row>
    <row r="42635" ht="15.75" customHeight="1" spans="1:2">
      <c r="A42635" s="3" t="str">
        <f>IFERROR(__xludf.DUMMYFUNCTION("GOOGLETRANSLATE(A42635,""en"",""pt"")"),"barato, também funciona em Linux, atualmente fácil encontrar")</f>
        <v>barato, também funciona em Linux, atualmente fácil encontrar</v>
      </c>
      <c r="B42635" s="3">
        <v>1</v>
      </c>
    </row>
    <row r="42636" ht="15.75" customHeight="1" spans="1:2">
      <c r="A42636" s="3" t="str">
        <f>IFERROR(__xludf.DUMMYFUNCTION("GOOGLETRANSLATE(A42636,""en"",""pt"")"),"Bom preço, imprime rápido")</f>
        <v>Bom preço, imprime rápido</v>
      </c>
      <c r="B42636" s="3">
        <v>1</v>
      </c>
    </row>
    <row r="42637" ht="15.75" customHeight="1" spans="1:2">
      <c r="A42637" s="3" t="str">
        <f>IFERROR(__xludf.DUMMYFUNCTION("GOOGLETRANSLATE(A42637,""en"",""pt"")"),"impressão rápida, bonitas fotos agradáveis")</f>
        <v>impressão rápida, bonitas fotos agradáveis</v>
      </c>
      <c r="B42637" s="3">
        <v>1</v>
      </c>
    </row>
    <row r="42638" ht="15.75" customHeight="1" spans="1:2">
      <c r="A42638" s="3" t="str">
        <f>IFERROR(__xludf.DUMMYFUNCTION("GOOGLETRANSLATE(A42638,""en"",""pt"")"),"Velocidade de impressão, qualidade de impressão mecanismo de alimentação de papel confiável")</f>
        <v>Velocidade de impressão, qualidade de impressão mecanismo de alimentação de papel confiável</v>
      </c>
      <c r="B42638" s="3">
        <v>1</v>
      </c>
    </row>
    <row r="42639" ht="15.75" customHeight="1" spans="1:2">
      <c r="A42639" s="3" t="str">
        <f>IFERROR(__xludf.DUMMYFUNCTION("GOOGLETRANSLATE(A42639,""en"",""pt"")"),"impressão rápida, parece bom, acessível, fácil de usar.")</f>
        <v>impressão rápida, parece bom, acessível, fácil de usar.</v>
      </c>
      <c r="B42639" s="3">
        <v>1</v>
      </c>
    </row>
    <row r="42640" ht="15.75" customHeight="1" spans="1:2">
      <c r="A42640" s="3" t="str">
        <f>IFERROR(__xludf.DUMMYFUNCTION("GOOGLETRANSLATE(A42640,""en"",""pt"")"),"grande valor para o dinheiro, impressões de boa qualidade")</f>
        <v>grande valor para o dinheiro, impressões de boa qualidade</v>
      </c>
      <c r="B42640" s="3">
        <v>1</v>
      </c>
    </row>
    <row r="42641" ht="15.75" customHeight="1" spans="1:2">
      <c r="A42641" s="3" t="str">
        <f>IFERROR(__xludf.DUMMYFUNCTION("GOOGLETRANSLATE(A42641,""en"",""pt"")"),"Rápido, fácil de usar, Bom Qualidade da impressão")</f>
        <v>Rápido, fácil de usar, Bom Qualidade da impressão</v>
      </c>
      <c r="B42641" s="3">
        <v>1</v>
      </c>
    </row>
    <row r="42642" ht="15.75" customHeight="1" spans="1:2">
      <c r="A42642" s="3" t="str">
        <f>IFERROR(__xludf.DUMMYFUNCTION("GOOGLETRANSLATE(A42642,""en"",""pt"")"),"Muito simples de usar e muito pequeno para o armazenamento. É também muito barato!")</f>
        <v>Muito simples de usar e muito pequeno para o armazenamento. É também muito barato!</v>
      </c>
      <c r="B42642" s="3">
        <v>1</v>
      </c>
    </row>
    <row r="42643" ht="15.75" customHeight="1" spans="1:2">
      <c r="A42643" s="3" t="str">
        <f>IFERROR(__xludf.DUMMYFUNCTION("GOOGLETRANSLATE(A42643,""en"",""pt"")"),"Impressão rápida e limpa. mostras de software níveis de tinta, que, sozinho, vale a pena a compra.")</f>
        <v>Impressão rápida e limpa. mostras de software níveis de tinta, que, sozinho, vale a pena a compra.</v>
      </c>
      <c r="B42643" s="3">
        <v>1</v>
      </c>
    </row>
    <row r="42644" ht="15.75" customHeight="1" spans="1:2">
      <c r="A42644" s="3" t="str">
        <f>IFERROR(__xludf.DUMMYFUNCTION("GOOGLETRANSLATE(A42644,""en"",""pt"")"),"Ótimo preço, qualidade de impressão, fácil de usar, relativamente poucos congestionamentos")</f>
        <v>Ótimo preço, qualidade de impressão, fácil de usar, relativamente poucos congestionamentos</v>
      </c>
      <c r="B42644" s="3">
        <v>1</v>
      </c>
    </row>
    <row r="42645" ht="15.75" customHeight="1" spans="1:2">
      <c r="A42645" s="3" t="str">
        <f>IFERROR(__xludf.DUMMYFUNCTION("GOOGLETRANSLATE(A42645,""en"",""pt"")"),"boa qualidade de impressão para o preço")</f>
        <v>boa qualidade de impressão para o preço</v>
      </c>
      <c r="B42645" s="3">
        <v>1</v>
      </c>
    </row>
    <row r="42646" ht="15.75" customHeight="1" spans="1:2">
      <c r="A42646" s="3" t="str">
        <f>IFERROR(__xludf.DUMMYFUNCTION("GOOGLETRANSLATE(A42646,""en"",""pt"")"),"Qualidade de impressão é excelente, bastante rápido")</f>
        <v>Qualidade de impressão é excelente, bastante rápido</v>
      </c>
      <c r="B42646" s="3">
        <v>1</v>
      </c>
    </row>
    <row r="42647" ht="15.75" customHeight="1" spans="1:2">
      <c r="A42647" s="3" t="str">
        <f>IFERROR(__xludf.DUMMYFUNCTION("GOOGLETRANSLATE(A42647,""en"",""pt"")"),"Bom preço, fácil de usar, boa B &amp; amp; W qualidade, design elegante e rápida B &amp; amp; W impressão")</f>
        <v>Bom preço, fácil de usar, boa B &amp; amp; W qualidade, design elegante e rápida B &amp; amp; W impressão</v>
      </c>
      <c r="B42647" s="3">
        <v>1</v>
      </c>
    </row>
    <row r="42648" ht="15.75" customHeight="1" spans="1:2">
      <c r="A42648" s="3" t="str">
        <f>IFERROR(__xludf.DUMMYFUNCTION("GOOGLETRANSLATE(A42648,""en"",""pt"")"),"não pode dizer se a foto é do alvo ou a partir do C62.")</f>
        <v>não pode dizer se a foto é do alvo ou a partir do C62.</v>
      </c>
      <c r="B42648" s="3">
        <v>1</v>
      </c>
    </row>
    <row r="42649" ht="15.75" customHeight="1" spans="1:2">
      <c r="A42649" s="3" t="str">
        <f>IFERROR(__xludf.DUMMYFUNCTION("GOOGLETRANSLATE(A42649,""en"",""pt"")"),"Tamanho, velocidade, elegante e acessível")</f>
        <v>Tamanho, velocidade, elegante e acessível</v>
      </c>
      <c r="B42649" s="3">
        <v>1</v>
      </c>
    </row>
    <row r="42650" ht="15.75" customHeight="1" spans="1:2">
      <c r="A42650" s="3" t="str">
        <f>IFERROR(__xludf.DUMMYFUNCTION("GOOGLETRANSLATE(A42650,""en"",""pt"")"),"boa qualidade para o dinheiro; substituição cartuchos de tinta baratos")</f>
        <v>boa qualidade para o dinheiro; substituição cartuchos de tinta baratos</v>
      </c>
      <c r="B42650" s="3">
        <v>1</v>
      </c>
    </row>
    <row r="42651" ht="15.75" customHeight="1" spans="1:2">
      <c r="A42651" s="3" t="str">
        <f>IFERROR(__xludf.DUMMYFUNCTION("GOOGLETRANSLATE(A42651,""en"",""pt"")"),"Pequenas e tamanho compacto. Deixe muito espaço na mesa, quando o espaço é mínimo.")</f>
        <v>Pequenas e tamanho compacto. Deixe muito espaço na mesa, quando o espaço é mínimo.</v>
      </c>
      <c r="B42651" s="3">
        <v>1</v>
      </c>
    </row>
    <row r="42652" ht="15.75" customHeight="1" spans="1:2">
      <c r="A42652" s="3" t="str">
        <f>IFERROR(__xludf.DUMMYFUNCTION("GOOGLETRANSLATE(A42652,""en"",""pt"")"),"preço, configurar, velocidade")</f>
        <v>preço, configurar, velocidade</v>
      </c>
      <c r="B42652" s="3">
        <v>1</v>
      </c>
    </row>
    <row r="42653" ht="15.75" customHeight="1" spans="1:2">
      <c r="A42653" s="3" t="str">
        <f>IFERROR(__xludf.DUMMYFUNCTION("GOOGLETRANSLATE(A42653,""en"",""pt"")"),"Qualidade")</f>
        <v>Qualidade</v>
      </c>
      <c r="B42653" s="3">
        <v>1</v>
      </c>
    </row>
    <row r="42654" ht="15.75" customHeight="1" spans="1:2">
      <c r="A42654" s="3" t="str">
        <f>IFERROR(__xludf.DUMMYFUNCTION("GOOGLETRANSLATE(A42654,""en"",""pt"")"),"qualidade de impressão impressionante para o preço, fácil de usar, pequeno em design.")</f>
        <v>qualidade de impressão impressionante para o preço, fácil de usar, pequeno em design.</v>
      </c>
      <c r="B42654" s="3">
        <v>1</v>
      </c>
    </row>
    <row r="42655" ht="15.75" customHeight="1" spans="1:2">
      <c r="A42655" s="3" t="str">
        <f>IFERROR(__xludf.DUMMYFUNCTION("GOOGLETRANSLATE(A42655,""en"",""pt"")"),"Excelente qualidade de impressão")</f>
        <v>Excelente qualidade de impressão</v>
      </c>
      <c r="B42655" s="3">
        <v>1</v>
      </c>
    </row>
    <row r="42656" ht="15.75" customHeight="1" spans="1:2">
      <c r="A42656" s="3" t="str">
        <f>IFERROR(__xludf.DUMMYFUNCTION("GOOGLETRANSLATE(A42656,""en"",""pt"")"),"Barato, confiável Brand, faz as tarefas simples")</f>
        <v>Barato, confiável Brand, faz as tarefas simples</v>
      </c>
      <c r="B42656" s="3">
        <v>1</v>
      </c>
    </row>
    <row r="42657" ht="15.75" customHeight="1" spans="1:2">
      <c r="A42657" s="3" t="str">
        <f>IFERROR(__xludf.DUMMYFUNCTION("GOOGLETRANSLATE(A42657,""en"",""pt"")"),"Acessíveis, qualidade de construção, marca, USB / opções pport, boa qualidade de impressão, BARATO")</f>
        <v>Acessíveis, qualidade de construção, marca, USB / opções pport, boa qualidade de impressão, BARATO</v>
      </c>
      <c r="B42657" s="3">
        <v>1</v>
      </c>
    </row>
    <row r="42658" ht="15.75" customHeight="1" spans="1:2">
      <c r="A42658" s="3" t="str">
        <f>IFERROR(__xludf.DUMMYFUNCTION("GOOGLETRANSLATE(A42658,""en"",""pt"")"),"Bom valor, cartuchos de tinta separados, Drivers Windows XP, rápidos")</f>
        <v>Bom valor, cartuchos de tinta separados, Drivers Windows XP, rápidos</v>
      </c>
      <c r="B42658" s="3">
        <v>1</v>
      </c>
    </row>
    <row r="42659" ht="15.75" customHeight="1" spans="1:2">
      <c r="A42659" s="3" t="str">
        <f>IFERROR(__xludf.DUMMYFUNCTION("GOOGLETRANSLATE(A42659,""en"",""pt"")"),"cartrigdes tinta separados, muito calmo, muito rápido, de alta qualidade, construção sólida,, tinta confiável de longa duração, nunca compotas")</f>
        <v>cartrigdes tinta separados, muito calmo, muito rápido, de alta qualidade, construção sólida,, tinta confiável de longa duração, nunca compotas</v>
      </c>
      <c r="B42659" s="3">
        <v>1</v>
      </c>
    </row>
    <row r="42660" ht="15.75" customHeight="1" spans="1:2">
      <c r="A42660" s="3" t="str">
        <f>IFERROR(__xludf.DUMMYFUNCTION("GOOGLETRANSLATE(A42660,""en"",""pt"")"),"Excelente impressão de fotos e saída de texto rápido.")</f>
        <v>Excelente impressão de fotos e saída de texto rápido.</v>
      </c>
      <c r="B42660" s="3">
        <v>1</v>
      </c>
    </row>
    <row r="42661" ht="15.75" customHeight="1" spans="1:2">
      <c r="A42661" s="3" t="str">
        <f>IFERROR(__xludf.DUMMYFUNCTION("GOOGLETRANSLATE(A42661,""en"",""pt"")"),"Excelentes nítidas e claras, impressões com qualidade fotográfica. Calmo, muito fácil de compotas use..seldom!")</f>
        <v>Excelentes nítidas e claras, impressões com qualidade fotográfica. Calmo, muito fácil de compotas use..seldom!</v>
      </c>
      <c r="B42661" s="3">
        <v>1</v>
      </c>
    </row>
    <row r="42662" ht="15.75" customHeight="1" spans="1:2">
      <c r="A42662" s="3" t="str">
        <f>IFERROR(__xludf.DUMMYFUNCTION("GOOGLETRANSLATE(A42662,""en"",""pt"")"),"Resistente, rápido em projecto de modo, os indicadores de pouca tinta.")</f>
        <v>Resistente, rápido em projecto de modo, os indicadores de pouca tinta.</v>
      </c>
      <c r="B42662" s="3">
        <v>1</v>
      </c>
    </row>
    <row r="42663" ht="15.75" customHeight="1" spans="1:2">
      <c r="A42663" s="3" t="str">
        <f>IFERROR(__xludf.DUMMYFUNCTION("GOOGLETRANSLATE(A42663,""en"",""pt"")"),"A tinta é em cartuchos separados, o tempo de secagem rápida, smudgeproof")</f>
        <v>A tinta é em cartuchos separados, o tempo de secagem rápida, smudgeproof</v>
      </c>
      <c r="B42663" s="3">
        <v>1</v>
      </c>
    </row>
    <row r="42664" ht="15.75" customHeight="1" spans="1:2">
      <c r="A42664" s="3" t="str">
        <f>IFERROR(__xludf.DUMMYFUNCTION("GOOGLETRANSLATE(A42664,""en"",""pt"")"),"qualidade de impressão, cartuchos separados e um preço decente.")</f>
        <v>qualidade de impressão, cartuchos separados e um preço decente.</v>
      </c>
      <c r="B42664" s="3">
        <v>1</v>
      </c>
    </row>
    <row r="42665" ht="15.75" customHeight="1" spans="1:2">
      <c r="A42665" s="3" t="str">
        <f>IFERROR(__xludf.DUMMYFUNCTION("GOOGLETRANSLATE(A42665,""en"",""pt"")"),"Grande Velocidade, Água tinta resistente, Individual Cartuchos coloridos, altamente confiável, grande procura.")</f>
        <v>Grande Velocidade, Água tinta resistente, Individual Cartuchos coloridos, altamente confiável, grande procura.</v>
      </c>
      <c r="B42665" s="3">
        <v>1</v>
      </c>
    </row>
    <row r="42666" ht="15.75" customHeight="1" spans="1:2">
      <c r="A42666" s="3" t="str">
        <f>IFERROR(__xludf.DUMMYFUNCTION("GOOGLETRANSLATE(A42666,""en"",""pt"")"),"impressão muito clara")</f>
        <v>impressão muito clara</v>
      </c>
      <c r="B42666" s="3">
        <v>1</v>
      </c>
    </row>
    <row r="42667" ht="15.75" customHeight="1" spans="1:2">
      <c r="A42667" s="3" t="str">
        <f>IFERROR(__xludf.DUMMYFUNCTION("GOOGLETRANSLATE(A42667,""en"",""pt"")"),"rápido, confiável, de alta qualidade")</f>
        <v>rápido, confiável, de alta qualidade</v>
      </c>
      <c r="B42667" s="3">
        <v>1</v>
      </c>
    </row>
    <row r="42668" ht="15.75" customHeight="1" spans="1:2">
      <c r="A42668" s="3" t="str">
        <f>IFERROR(__xludf.DUMMYFUNCTION("GOOGLETRANSLATE(A42668,""en"",""pt"")"),"Barato, gráfico excepcional / foto qualidade de impressão, rápido, texto laser de batata frita, cartuchos de tinta individuais (barato também)")</f>
        <v>Barato, gráfico excepcional / foto qualidade de impressão, rápido, texto laser de batata frita, cartuchos de tinta individuais (barato também)</v>
      </c>
      <c r="B42668" s="3">
        <v>1</v>
      </c>
    </row>
    <row r="42669" ht="15.75" customHeight="1" spans="1:2">
      <c r="A42669" s="3" t="str">
        <f>IFERROR(__xludf.DUMMYFUNCTION("GOOGLETRANSLATE(A42669,""en"",""pt"")"),"Uma impressora rápida, económica e de base.")</f>
        <v>Uma impressora rápida, económica e de base.</v>
      </c>
      <c r="B42669" s="3">
        <v>1</v>
      </c>
    </row>
    <row r="42670" ht="15.75" customHeight="1" spans="1:2">
      <c r="A42670" s="3" t="str">
        <f>IFERROR(__xludf.DUMMYFUNCTION("GOOGLETRANSLATE(A42670,""en"",""pt"")"),"Rápido, relativamente calma, excelente saída de impressão")</f>
        <v>Rápido, relativamente calma, excelente saída de impressão</v>
      </c>
      <c r="B42670" s="3">
        <v>1</v>
      </c>
    </row>
    <row r="42671" ht="15.75" customHeight="1" spans="1:2">
      <c r="A42671" s="3" t="str">
        <f>IFERROR(__xludf.DUMMYFUNCTION("GOOGLETRANSLATE(A42671,""en"",""pt"")"),"alta velocidade de impressão, tinta à prova d'água")</f>
        <v>alta velocidade de impressão, tinta à prova d'água</v>
      </c>
      <c r="B42671" s="3">
        <v>1</v>
      </c>
    </row>
    <row r="42672" ht="15.75" customHeight="1" spans="1:2">
      <c r="A42672" s="3" t="str">
        <f>IFERROR(__xludf.DUMMYFUNCTION("GOOGLETRANSLATE(A42672,""en"",""pt"")"),"Rápido, instalação de software fácil, tinta resistente à água DuraBright.")</f>
        <v>Rápido, instalação de software fácil, tinta resistente à água DuraBright.</v>
      </c>
      <c r="B42672" s="3">
        <v>1</v>
      </c>
    </row>
    <row r="42673" ht="15.75" customHeight="1" spans="1:2">
      <c r="A42673" s="3" t="str">
        <f>IFERROR(__xludf.DUMMYFUNCTION("GOOGLETRANSLATE(A42673,""en"",""pt"")"),"Rápido, a qualidade de impressão para qualquer projeto")</f>
        <v>Rápido, a qualidade de impressão para qualquer projeto</v>
      </c>
      <c r="B42673" s="3">
        <v>1</v>
      </c>
    </row>
    <row r="42674" ht="15.75" customHeight="1" spans="1:2">
      <c r="A42674" s="3" t="str">
        <f>IFERROR(__xludf.DUMMYFUNCTION("GOOGLETRANSLATE(A42674,""en"",""pt"")"),"As cores são em cartuchos separados, impressão relativamente calma.")</f>
        <v>As cores são em cartuchos separados, impressão relativamente calma.</v>
      </c>
      <c r="B42674" s="3">
        <v>1</v>
      </c>
    </row>
    <row r="42675" ht="15.75" customHeight="1" spans="1:2">
      <c r="A42675" s="3" t="str">
        <f>IFERROR(__xludf.DUMMYFUNCTION("GOOGLETRANSLATE(A42675,""en"",""pt"")"),"Luz, boa qualidade, rápido e confiável.")</f>
        <v>Luz, boa qualidade, rápido e confiável.</v>
      </c>
      <c r="B42675" s="3">
        <v>1</v>
      </c>
    </row>
    <row r="42676" ht="15.75" customHeight="1" spans="1:2">
      <c r="A42676" s="3" t="str">
        <f>IFERROR(__xludf.DUMMYFUNCTION("GOOGLETRANSLATE(A42676,""en"",""pt"")"),"design liso, de alta qualidade, tinta à prova d'água! Desaparecer tinta resistente! monitor de tinta, rápido.")</f>
        <v>design liso, de alta qualidade, tinta à prova d'água! Desaparecer tinta resistente! monitor de tinta, rápido.</v>
      </c>
      <c r="B42676" s="3">
        <v>1</v>
      </c>
    </row>
    <row r="42677" ht="15.75" customHeight="1" spans="1:2">
      <c r="A42677" s="3" t="str">
        <f>IFERROR(__xludf.DUMMYFUNCTION("GOOGLETRANSLATE(A42677,""en"",""pt"")"),"Excelente qualidade de impressão, especialmente fotografias. Sólido como uma rocha.")</f>
        <v>Excelente qualidade de impressão, especialmente fotografias. Sólido como uma rocha.</v>
      </c>
      <c r="B42677" s="3">
        <v>1</v>
      </c>
    </row>
    <row r="42678" ht="15.75" customHeight="1" spans="1:2">
      <c r="A42678" s="3" t="str">
        <f>IFERROR(__xludf.DUMMYFUNCTION("GOOGLETRANSLATE(A42678,""en"",""pt"")"),"saída bonito quando nova; fácil de configurar")</f>
        <v>saída bonito quando nova; fácil de configurar</v>
      </c>
      <c r="B42678" s="3">
        <v>1</v>
      </c>
    </row>
    <row r="42679" ht="15.75" customHeight="1" spans="1:2">
      <c r="A42679" s="3" t="str">
        <f>IFERROR(__xludf.DUMMYFUNCTION("GOOGLETRANSLATE(A42679,""en"",""pt"")"),"Muito rápido, cor brilhante, Cartuchos de longa duração")</f>
        <v>Muito rápido, cor brilhante, Cartuchos de longa duração</v>
      </c>
      <c r="B42679" s="3">
        <v>1</v>
      </c>
    </row>
    <row r="42680" ht="15.75" customHeight="1" spans="1:2">
      <c r="A42680" s="3" t="str">
        <f>IFERROR(__xludf.DUMMYFUNCTION("GOOGLETRANSLATE(A42680,""en"",""pt"")"),"4 de tinta separado cartuchos valor meios")</f>
        <v>4 de tinta separado cartuchos valor meios</v>
      </c>
      <c r="B42680" s="3">
        <v>1</v>
      </c>
    </row>
    <row r="42681" ht="15.75" customHeight="1" spans="1:2">
      <c r="A42681" s="3" t="str">
        <f>IFERROR(__xludf.DUMMYFUNCTION("GOOGLETRANSLATE(A42681,""en"",""pt"")"),"Rápido, tinta mais barato do que HP")</f>
        <v>Rápido, tinta mais barato do que HP</v>
      </c>
      <c r="B42681" s="3">
        <v>1</v>
      </c>
    </row>
    <row r="42682" ht="15.75" customHeight="1" spans="1:2">
      <c r="A42682" s="3" t="str">
        <f>IFERROR(__xludf.DUMMYFUNCTION("GOOGLETRANSLATE(A42682,""en"",""pt"")"),"os cartuchos de tinta separados")</f>
        <v>os cartuchos de tinta separados</v>
      </c>
      <c r="B42682" s="3">
        <v>1</v>
      </c>
    </row>
    <row r="42683" ht="15.75" customHeight="1" spans="1:2">
      <c r="A42683" s="3" t="str">
        <f>IFERROR(__xludf.DUMMYFUNCTION("GOOGLETRANSLATE(A42683,""en"",""pt"")"),"Rapidez; qualidade de impressão; os cartuchos de tinta separados; preço")</f>
        <v>Rapidez; qualidade de impressão; os cartuchos de tinta separados; preço</v>
      </c>
      <c r="B42683" s="3">
        <v>1</v>
      </c>
    </row>
    <row r="42684" ht="15.75" customHeight="1" spans="1:2">
      <c r="A42684" s="3" t="str">
        <f>IFERROR(__xludf.DUMMYFUNCTION("GOOGLETRANSLATE(A42684,""en"",""pt"")"),"impressões agradáveis ​​- uma vez que você ir buscá-la")</f>
        <v>impressões agradáveis ​​- uma vez que você ir buscá-la</v>
      </c>
      <c r="B42684" s="3">
        <v>1</v>
      </c>
    </row>
    <row r="42685" ht="15.75" customHeight="1" spans="1:2">
      <c r="A42685" s="3" t="str">
        <f>IFERROR(__xludf.DUMMYFUNCTION("GOOGLETRANSLATE(A42685,""en"",""pt"")"),"Grande qualidade e preço maior ainda!")</f>
        <v>Grande qualidade e preço maior ainda!</v>
      </c>
      <c r="B42685" s="3">
        <v>1</v>
      </c>
    </row>
    <row r="42686" ht="15.75" customHeight="1" spans="1:2">
      <c r="A42686" s="3" t="str">
        <f>IFERROR(__xludf.DUMMYFUNCTION("GOOGLETRANSLATE(A42686,""en"",""pt"")"),"Separar tinta Carrinhos - Rápido - fácil de usar")</f>
        <v>Separar tinta Carrinhos - Rápido - fácil de usar</v>
      </c>
      <c r="B42686" s="3">
        <v>1</v>
      </c>
    </row>
    <row r="42687" ht="15.75" customHeight="1" spans="1:2">
      <c r="A42687" s="3" t="str">
        <f>IFERROR(__xludf.DUMMYFUNCTION("GOOGLETRANSLATE(A42687,""en"",""pt"")"),"/ Resistente à água tinta resistente ao desbotamento muito rápido! os cartuchos de tinta individuais")</f>
        <v>/ Resistente à água tinta resistente ao desbotamento muito rápido! os cartuchos de tinta individuais</v>
      </c>
      <c r="B42687" s="3">
        <v>1</v>
      </c>
    </row>
    <row r="42688" ht="15.75" customHeight="1" spans="1:2">
      <c r="A42688" s="3" t="str">
        <f>IFERROR(__xludf.DUMMYFUNCTION("GOOGLETRANSLATE(A42688,""en"",""pt"")"),"Configuração fácil, claro e nítido cópias, impressão rápida")</f>
        <v>Configuração fácil, claro e nítido cópias, impressão rápida</v>
      </c>
      <c r="B42688" s="3">
        <v>1</v>
      </c>
    </row>
    <row r="42689" ht="15.75" customHeight="1" spans="1:2">
      <c r="A42689" s="3" t="str">
        <f>IFERROR(__xludf.DUMMYFUNCTION("GOOGLETRANSLATE(A42689,""en"",""pt"")"),"Muito rápido, impressora tranquila")</f>
        <v>Muito rápido, impressora tranquila</v>
      </c>
      <c r="B42689" s="3">
        <v>1</v>
      </c>
    </row>
    <row r="42690" ht="15.75" customHeight="1" spans="1:2">
      <c r="A42690" s="3" t="str">
        <f>IFERROR(__xludf.DUMMYFUNCTION("GOOGLETRANSLATE(A42690,""en"",""pt"")"),"Rápida, e cartuchos de cores individuais. A bandeja dobra-se para economizar espaço.")</f>
        <v>Rápida, e cartuchos de cores individuais. A bandeja dobra-se para economizar espaço.</v>
      </c>
      <c r="B42690" s="3">
        <v>1</v>
      </c>
    </row>
    <row r="42691" ht="15.75" customHeight="1" spans="1:2">
      <c r="A42691" s="3" t="str">
        <f>IFERROR(__xludf.DUMMYFUNCTION("GOOGLETRANSLATE(A42691,""en"",""pt"")"),"Grande qualidade pelos preços razoáveis")</f>
        <v>Grande qualidade pelos preços razoáveis</v>
      </c>
      <c r="B42691" s="3">
        <v>1</v>
      </c>
    </row>
    <row r="42692" ht="15.75" customHeight="1" spans="1:2">
      <c r="A42692" s="3" t="str">
        <f>IFERROR(__xludf.DUMMYFUNCTION("GOOGLETRANSLATE(A42692,""en"",""pt"")"),"Qualidade ótima de impressão, Speedy SPEEDY Printing, 4 cartuchos em vez de 2")</f>
        <v>Qualidade ótima de impressão, Speedy SPEEDY Printing, 4 cartuchos em vez de 2</v>
      </c>
      <c r="B42692" s="3">
        <v>1</v>
      </c>
    </row>
    <row r="42693" ht="15.75" customHeight="1" spans="1:2">
      <c r="A42693" s="3" t="str">
        <f>IFERROR(__xludf.DUMMYFUNCTION("GOOGLETRANSLATE(A42693,""en"",""pt"")"),"configuração USB fácil, cartuchos de cores individuais.")</f>
        <v>configuração USB fácil, cartuchos de cores individuais.</v>
      </c>
      <c r="B42693" s="3">
        <v>1</v>
      </c>
    </row>
    <row r="42694" ht="15.75" customHeight="1" spans="1:2">
      <c r="A42694" s="3" t="str">
        <f>IFERROR(__xludf.DUMMYFUNCTION("GOOGLETRANSLATE(A42694,""en"",""pt"")"),"velocidade da luz! Prints muito mais limpo w / as tintas separadas.")</f>
        <v>velocidade da luz! Prints muito mais limpo w / as tintas separadas.</v>
      </c>
      <c r="B42694" s="3">
        <v>1</v>
      </c>
    </row>
    <row r="42695" ht="15.75" customHeight="1" spans="1:2">
      <c r="A42695" s="3" t="str">
        <f>IFERROR(__xludf.DUMMYFUNCTION("GOOGLETRANSLATE(A42695,""en"",""pt"")"),"Silencioso, o desempenho de impressão bom texto")</f>
        <v>Silencioso, o desempenho de impressão bom texto</v>
      </c>
      <c r="B42695" s="3">
        <v>1</v>
      </c>
    </row>
    <row r="42696" ht="15.75" customHeight="1" spans="1:2">
      <c r="A42696" s="3" t="str">
        <f>IFERROR(__xludf.DUMMYFUNCTION("GOOGLETRANSLATE(A42696,""en"",""pt"")"),"Rápido, muito bom impressão em papel foto plain")</f>
        <v>Rápido, muito bom impressão em papel foto plain</v>
      </c>
      <c r="B42696" s="3">
        <v>1</v>
      </c>
    </row>
    <row r="42697" ht="15.75" customHeight="1" spans="1:2">
      <c r="A42697" s="3" t="str">
        <f>IFERROR(__xludf.DUMMYFUNCTION("GOOGLETRANSLATE(A42697,""en"",""pt"")"),"A Epson não falhar com esta impressora. É um vencedor")</f>
        <v>A Epson não falhar com esta impressora. É um vencedor</v>
      </c>
      <c r="B42697" s="3">
        <v>1</v>
      </c>
    </row>
    <row r="42698" ht="15.75" customHeight="1" spans="1:2">
      <c r="A42698" s="3" t="str">
        <f>IFERROR(__xludf.DUMMYFUNCTION("GOOGLETRANSLATE(A42698,""en"",""pt"")"),"cartuchos separados, rápido, silencioso, o uso eficiente da tinta")</f>
        <v>cartuchos separados, rápido, silencioso, o uso eficiente da tinta</v>
      </c>
      <c r="B42698" s="3">
        <v>1</v>
      </c>
    </row>
    <row r="42699" ht="15.75" customHeight="1" spans="1:2">
      <c r="A42699" s="3" t="str">
        <f>IFERROR(__xludf.DUMMYFUNCTION("GOOGLETRANSLATE(A42699,""en"",""pt"")"),"Grande qualidade de impressão")</f>
        <v>Grande qualidade de impressão</v>
      </c>
      <c r="B42699" s="3">
        <v>1</v>
      </c>
    </row>
    <row r="42700" ht="15.75" customHeight="1" spans="1:2">
      <c r="A42700" s="3" t="str">
        <f>IFERROR(__xludf.DUMMYFUNCTION("GOOGLETRANSLATE(A42700,""en"",""pt"")"),"Foi recomendado altamente por muitas pessoas., Impresso bem na cor preto e branco e em.")</f>
        <v>Foi recomendado altamente por muitas pessoas., Impresso bem na cor preto e branco e em.</v>
      </c>
      <c r="B42700" s="3">
        <v>1</v>
      </c>
    </row>
    <row r="42701" ht="15.75" customHeight="1" spans="1:2">
      <c r="A42701" s="3" t="str">
        <f>IFERROR(__xludf.DUMMYFUNCTION("GOOGLETRANSLATE(A42701,""en"",""pt"")"),"impressão a cores rápida e de grande qualidade")</f>
        <v>impressão a cores rápida e de grande qualidade</v>
      </c>
      <c r="B42701" s="3">
        <v>1</v>
      </c>
    </row>
    <row r="42702" ht="15.75" customHeight="1" spans="1:2">
      <c r="A42702" s="3" t="str">
        <f>IFERROR(__xludf.DUMMYFUNCTION("GOOGLETRANSLATE(A42702,""en"",""pt"")"),"Rápido, barato, de grande qualidade, Mac / PC compatível, USB, fácil de usar, design agradável")</f>
        <v>Rápido, barato, de grande qualidade, Mac / PC compatível, USB, fácil de usar, design agradável</v>
      </c>
      <c r="B42702" s="3">
        <v>1</v>
      </c>
    </row>
    <row r="42703" ht="15.75" customHeight="1" spans="1:2">
      <c r="A42703" s="3" t="str">
        <f>IFERROR(__xludf.DUMMYFUNCTION("GOOGLETRANSLATE(A42703,""en"",""pt"")"),"rápido, silencioso e ótima qualidade de impressão")</f>
        <v>rápido, silencioso e ótima qualidade de impressão</v>
      </c>
      <c r="B42703" s="3">
        <v>1</v>
      </c>
    </row>
    <row r="42704" ht="15.75" customHeight="1" spans="1:2">
      <c r="A42704" s="3" t="str">
        <f>IFERROR(__xludf.DUMMYFUNCTION("GOOGLETRANSLATE(A42704,""en"",""pt"")"),"melhorias em relação aos modelos anteriores, velocidade, qualidade, baixo nível de ruído")</f>
        <v>melhorias em relação aos modelos anteriores, velocidade, qualidade, baixo nível de ruído</v>
      </c>
      <c r="B42704" s="3">
        <v>1</v>
      </c>
    </row>
    <row r="42705" ht="15.75" customHeight="1" spans="1:2">
      <c r="A42705" s="3" t="str">
        <f>IFERROR(__xludf.DUMMYFUNCTION("GOOGLETRANSLATE(A42705,""en"",""pt"")"),"Rápido, fotos grandes, barato de usar, resistente")</f>
        <v>Rápido, fotos grandes, barato de usar, resistente</v>
      </c>
      <c r="B42705" s="3">
        <v>1</v>
      </c>
    </row>
    <row r="42706" ht="15.75" customHeight="1" spans="1:2">
      <c r="A42706" s="3" t="str">
        <f>IFERROR(__xludf.DUMMYFUNCTION("GOOGLETRANSLATE(A42706,""en"",""pt"")"),"Rapidez!!!. As tintas DURABrite. tanques de tinta separados.")</f>
        <v>Rapidez!!!. As tintas DURABrite. tanques de tinta separados.</v>
      </c>
      <c r="B42706" s="3">
        <v>1</v>
      </c>
    </row>
    <row r="42707" ht="15.75" customHeight="1" spans="1:2">
      <c r="A42707" s="3" t="str">
        <f>IFERROR(__xludf.DUMMYFUNCTION("GOOGLETRANSLATE(A42707,""en"",""pt"")"),"Foto de tinta dura 75 anos")</f>
        <v>Foto de tinta dura 75 anos</v>
      </c>
      <c r="B42707" s="3">
        <v>1</v>
      </c>
    </row>
    <row r="42708" ht="15.75" customHeight="1" spans="1:2">
      <c r="A42708" s="3" t="str">
        <f>IFERROR(__xludf.DUMMYFUNCTION("GOOGLETRANSLATE(A42708,""en"",""pt"")"),"A grande qualidade, rápido, silencioso após o arranque")</f>
        <v>A grande qualidade, rápido, silencioso após o arranque</v>
      </c>
      <c r="B42708" s="3">
        <v>1</v>
      </c>
    </row>
    <row r="42709" ht="15.75" customHeight="1" spans="1:2">
      <c r="A42709" s="3" t="str">
        <f>IFERROR(__xludf.DUMMYFUNCTION("GOOGLETRANSLATE(A42709,""en"",""pt"")"),"visualização de impressão salva de impressão dores de cabeça! Rápido. Imprimir dupla face")</f>
        <v>visualização de impressão salva de impressão dores de cabeça! Rápido. Imprimir dupla face</v>
      </c>
      <c r="B42709" s="3">
        <v>1</v>
      </c>
    </row>
    <row r="42710" ht="15.75" customHeight="1" spans="1:2">
      <c r="A42710" s="3" t="str">
        <f>IFERROR(__xludf.DUMMYFUNCTION("GOOGLETRANSLATE(A42710,""en"",""pt"")"),"boa forma para o novo ano")</f>
        <v>boa forma para o novo ano</v>
      </c>
      <c r="B42710" s="3">
        <v>1</v>
      </c>
    </row>
    <row r="42711" ht="15.75" customHeight="1" spans="1:2">
      <c r="A42711" s="3" t="str">
        <f>IFERROR(__xludf.DUMMYFUNCTION("GOOGLETRANSLATE(A42711,""en"",""pt"")"),"As estampas Stylus C80 cores muito rápidas não são executados em conjunto as impressões secam rapidamente")</f>
        <v>As estampas Stylus C80 cores muito rápidas não são executados em conjunto as impressões secam rapidamente</v>
      </c>
      <c r="B42711" s="3">
        <v>1</v>
      </c>
    </row>
    <row r="42712" ht="15.75" customHeight="1" spans="1:2">
      <c r="A42712" s="3" t="str">
        <f>IFERROR(__xludf.DUMMYFUNCTION("GOOGLETRANSLATE(A42712,""en"",""pt"")"),"Grande qualidade (texto, foto), impressão rápida, cartuchos de tinta de cor individuais, de longa duração tintas pigmentadas, motorista sólida")</f>
        <v>Grande qualidade (texto, foto), impressão rápida, cartuchos de tinta de cor individuais, de longa duração tintas pigmentadas, motorista sólida</v>
      </c>
      <c r="B42712" s="3">
        <v>1</v>
      </c>
    </row>
    <row r="42713" ht="15.75" customHeight="1" spans="1:2">
      <c r="A42713" s="3" t="str">
        <f>IFERROR(__xludf.DUMMYFUNCTION("GOOGLETRANSLATE(A42713,""en"",""pt"")"),"Rápido, boa cor e pode usar tintas permanentes.")</f>
        <v>Rápido, boa cor e pode usar tintas permanentes.</v>
      </c>
      <c r="B42713" s="3">
        <v>1</v>
      </c>
    </row>
    <row r="42714" ht="15.75" customHeight="1" spans="1:2">
      <c r="A42714" s="3" t="str">
        <f>IFERROR(__xludf.DUMMYFUNCTION("GOOGLETRANSLATE(A42714,""en"",""pt"")"),"Lightweight. Compactar. Rápido.")</f>
        <v>Lightweight. Compactar. Rápido.</v>
      </c>
      <c r="B42714" s="3">
        <v>1</v>
      </c>
    </row>
    <row r="42715" ht="15.75" customHeight="1" spans="1:2">
      <c r="A42715" s="3" t="str">
        <f>IFERROR(__xludf.DUMMYFUNCTION("GOOGLETRANSLATE(A42715,""en"",""pt"")"),"barato")</f>
        <v>barato</v>
      </c>
      <c r="B42715" s="3">
        <v>1</v>
      </c>
    </row>
    <row r="42716" ht="15.75" customHeight="1" spans="1:2">
      <c r="A42716" s="3" t="str">
        <f>IFERROR(__xludf.DUMMYFUNCTION("GOOGLETRANSLATE(A42716,""en"",""pt"")"),"Rápido e barato, tintas são grandes (e caros). interface paralela trabalha com servidores de impressão.")</f>
        <v>Rápido e barato, tintas são grandes (e caros). interface paralela trabalha com servidores de impressão.</v>
      </c>
      <c r="B42716" s="3">
        <v>1</v>
      </c>
    </row>
    <row r="42717" ht="15.75" customHeight="1" spans="1:2">
      <c r="A42717" s="3" t="str">
        <f>IFERROR(__xludf.DUMMYFUNCTION("GOOGLETRANSLATE(A42717,""en"",""pt"")"),"Excelente preço, excelente qualidade, impressora rápida, bom design e função direta")</f>
        <v>Excelente preço, excelente qualidade, impressora rápida, bom design e função direta</v>
      </c>
      <c r="B42717" s="3">
        <v>1</v>
      </c>
    </row>
    <row r="42718" ht="15.75" customHeight="1" spans="1:2">
      <c r="A42718" s="3" t="str">
        <f>IFERROR(__xludf.DUMMYFUNCTION("GOOGLETRANSLATE(A42718,""en"",""pt"")"),"Epson Marca, Qualidade de impressão, cartuchos de tinta")</f>
        <v>Epson Marca, Qualidade de impressão, cartuchos de tinta</v>
      </c>
      <c r="B42718" s="3">
        <v>1</v>
      </c>
    </row>
    <row r="42719" ht="15.75" customHeight="1" spans="1:2">
      <c r="A42719" s="3" t="str">
        <f>IFERROR(__xludf.DUMMYFUNCTION("GOOGLETRANSLATE(A42719,""en"",""pt"")"),"Grande qualidade de impressão")</f>
        <v>Grande qualidade de impressão</v>
      </c>
      <c r="B42719" s="3">
        <v>1</v>
      </c>
    </row>
    <row r="42720" ht="15.75" customHeight="1" spans="1:2">
      <c r="A42720" s="3" t="str">
        <f>IFERROR(__xludf.DUMMYFUNCTION("GOOGLETRANSLATE(A42720,""en"",""pt"")"),"cartuchos individuais de tinta, velocidade, impressão agradável texto preto, porta paralela")</f>
        <v>cartuchos individuais de tinta, velocidade, impressão agradável texto preto, porta paralela</v>
      </c>
      <c r="B42720" s="3">
        <v>1</v>
      </c>
    </row>
    <row r="42721" ht="15.75" customHeight="1" spans="1:2">
      <c r="A42721" s="3" t="str">
        <f>IFERROR(__xludf.DUMMYFUNCTION("GOOGLETRANSLATE(A42721,""en"",""pt"")"),"Impressão rápida e grandes imagens e texto, fácil de configurar.")</f>
        <v>Impressão rápida e grandes imagens e texto, fácil de configurar.</v>
      </c>
      <c r="B42721" s="3">
        <v>1</v>
      </c>
    </row>
    <row r="42722" ht="15.75" customHeight="1" spans="1:2">
      <c r="A42722" s="3" t="str">
        <f>IFERROR(__xludf.DUMMYFUNCTION("GOOGLETRANSLATE(A42722,""en"",""pt"")"),"Extremamente rápido, ótimo preço, fotos são grandes")</f>
        <v>Extremamente rápido, ótimo preço, fotos são grandes</v>
      </c>
      <c r="B42722" s="3">
        <v>1</v>
      </c>
    </row>
    <row r="42723" ht="15.75" customHeight="1" spans="1:2">
      <c r="A42723" s="3" t="str">
        <f>IFERROR(__xludf.DUMMYFUNCTION("GOOGLETRANSLATE(A42723,""en"",""pt"")"),"Velocidade, Seperate cartuchos de tinta, texto de alta qualidade")</f>
        <v>Velocidade, Seperate cartuchos de tinta, texto de alta qualidade</v>
      </c>
      <c r="B42723" s="3">
        <v>1</v>
      </c>
    </row>
    <row r="42724" ht="15.75" customHeight="1" spans="1:2">
      <c r="A42724" s="3" t="str">
        <f>IFERROR(__xludf.DUMMYFUNCTION("GOOGLETRANSLATE(A42724,""en"",""pt"")"),"4 cartuchos de tinta separados para salvar $$$, muito decentemente preços, impressões a cores são grandes")</f>
        <v>4 cartuchos de tinta separados para salvar $$$, muito decentemente preços, impressões a cores são grandes</v>
      </c>
      <c r="B42724" s="3">
        <v>1</v>
      </c>
    </row>
    <row r="42725" ht="15.75" customHeight="1" spans="1:2">
      <c r="A42725" s="3" t="str">
        <f>IFERROR(__xludf.DUMMYFUNCTION("GOOGLETRANSLATE(A42725,""en"",""pt"")"),"Bem, é rápido e barato")</f>
        <v>Bem, é rápido e barato</v>
      </c>
      <c r="B42725" s="3">
        <v>1</v>
      </c>
    </row>
    <row r="42726" ht="15.75" customHeight="1" spans="1:2">
      <c r="A42726" s="3" t="str">
        <f>IFERROR(__xludf.DUMMYFUNCTION("GOOGLETRANSLATE(A42726,""en"",""pt"")"),"impressão de fotos excepcional de uma impressora multi-uso")</f>
        <v>impressão de fotos excepcional de uma impressora multi-uso</v>
      </c>
      <c r="B42726" s="3">
        <v>1</v>
      </c>
    </row>
    <row r="42727" ht="15.75" customHeight="1" spans="1:2">
      <c r="A42727" s="3" t="str">
        <f>IFERROR(__xludf.DUMMYFUNCTION("GOOGLETRANSLATE(A42727,""en"",""pt"")"),"Ótimo preço 39,98 após o desconto na Best Buy.")</f>
        <v>Ótimo preço 39,98 após o desconto na Best Buy.</v>
      </c>
      <c r="B42727" s="3">
        <v>1</v>
      </c>
    </row>
    <row r="42728" ht="15.75" customHeight="1" spans="1:2">
      <c r="A42728" s="3" t="str">
        <f>IFERROR(__xludf.DUMMYFUNCTION("GOOGLETRANSLATE(A42728,""en"",""pt"")"),"Fácil de instalar; impressão rápida; estilo atraente")</f>
        <v>Fácil de instalar; impressão rápida; estilo atraente</v>
      </c>
      <c r="B42728" s="3">
        <v>1</v>
      </c>
    </row>
    <row r="42729" ht="15.75" customHeight="1" spans="1:2">
      <c r="A42729" s="3" t="str">
        <f>IFERROR(__xludf.DUMMYFUNCTION("GOOGLETRANSLATE(A42729,""en"",""pt"")"),"impressão muito rápido, preço barato, de boa qualidade, cartuchos de tinta separados.")</f>
        <v>impressão muito rápido, preço barato, de boa qualidade, cartuchos de tinta separados.</v>
      </c>
      <c r="B42729" s="3">
        <v>1</v>
      </c>
    </row>
    <row r="42730" ht="15.75" customHeight="1" spans="1:2">
      <c r="A42730" s="3" t="str">
        <f>IFERROR(__xludf.DUMMYFUNCTION("GOOGLETRANSLATE(A42730,""en"",""pt"")"),"Rápido, individualmente cartuchos de tinta ,, DuraBrite «Long Life Tintas.")</f>
        <v>Rápido, individualmente cartuchos de tinta ,, DuraBrite «Long Life Tintas.</v>
      </c>
      <c r="B42730" s="3">
        <v>1</v>
      </c>
    </row>
    <row r="42731" ht="15.75" customHeight="1" spans="1:2">
      <c r="A42731" s="3" t="str">
        <f>IFERROR(__xludf.DUMMYFUNCTION("GOOGLETRANSLATE(A42731,""en"",""pt"")"),"grande qualidade de imagem e texto ... tinteiros de cores separadas é bom.")</f>
        <v>grande qualidade de imagem e texto ... tinteiros de cores separadas é bom.</v>
      </c>
      <c r="B42731" s="3">
        <v>1</v>
      </c>
    </row>
    <row r="42732" ht="15.75" customHeight="1" spans="1:2">
      <c r="A42732" s="3" t="str">
        <f>IFERROR(__xludf.DUMMYFUNCTION("GOOGLETRANSLATE(A42732,""en"",""pt"")"),"Alta velocidade, impressão Foto qualidade")</f>
        <v>Alta velocidade, impressão Foto qualidade</v>
      </c>
      <c r="B42732" s="3">
        <v>1</v>
      </c>
    </row>
    <row r="42733" ht="15.75" customHeight="1" spans="1:2">
      <c r="A42733" s="3" t="str">
        <f>IFERROR(__xludf.DUMMYFUNCTION("GOOGLETRANSLATE(A42733,""en"",""pt"")"),"- Velocidade, - Instant tinta secar, - grandes reservatórios de tinta individuais, - brilhante impressão de fotografias")</f>
        <v>- Velocidade, - Instant tinta secar, - grandes reservatórios de tinta individuais, - brilhante impressão de fotografias</v>
      </c>
      <c r="B42733" s="3">
        <v>1</v>
      </c>
    </row>
    <row r="42734" ht="15.75" customHeight="1" spans="1:2">
      <c r="A42734" s="3" t="str">
        <f>IFERROR(__xludf.DUMMYFUNCTION("GOOGLETRANSLATE(A42734,""en"",""pt"")"),"Extremamente rápido, tintas separados, fotos de alta resolução, fácil set-up")</f>
        <v>Extremamente rápido, tintas separados, fotos de alta resolução, fácil set-up</v>
      </c>
      <c r="B42734" s="3">
        <v>1</v>
      </c>
    </row>
    <row r="42735" ht="15.75" customHeight="1" spans="1:2">
      <c r="A42735" s="3" t="str">
        <f>IFERROR(__xludf.DUMMYFUNCTION("GOOGLETRANSLATE(A42735,""en"",""pt"")"),"Fácil configuração.")</f>
        <v>Fácil configuração.</v>
      </c>
      <c r="B42735" s="3">
        <v>1</v>
      </c>
    </row>
    <row r="42736" ht="15.75" customHeight="1" spans="1:2">
      <c r="A42736" s="3" t="str">
        <f>IFERROR(__xludf.DUMMYFUNCTION("GOOGLETRANSLATE(A42736,""en"",""pt"")"),"alimentação de papel, texto e qualidade de imagem são muito bem, ele faz as coisas em geral")</f>
        <v>alimentação de papel, texto e qualidade de imagem são muito bem, ele faz as coisas em geral</v>
      </c>
      <c r="B42736" s="3">
        <v>1</v>
      </c>
    </row>
    <row r="42737" ht="15.75" customHeight="1" spans="1:2">
      <c r="A42737" s="3" t="str">
        <f>IFERROR(__xludf.DUMMYFUNCTION("GOOGLETRANSLATE(A42737,""en"",""pt"")"),"lida com 11x17 papel")</f>
        <v>lida com 11x17 papel</v>
      </c>
      <c r="B42737" s="3">
        <v>1</v>
      </c>
    </row>
    <row r="42738" ht="15.75" customHeight="1" spans="1:2">
      <c r="A42738" s="3" t="str">
        <f>IFERROR(__xludf.DUMMYFUNCTION("GOOGLETRANSLATE(A42738,""en"",""pt"")"),"burro de carga")</f>
        <v>burro de carga</v>
      </c>
      <c r="B42738" s="3">
        <v>1</v>
      </c>
    </row>
    <row r="42739" ht="15.75" customHeight="1" spans="1:2">
      <c r="A42739" s="3" t="str">
        <f>IFERROR(__xludf.DUMMYFUNCTION("GOOGLETRANSLATE(A42739,""en"",""pt"")"),"Acessível")</f>
        <v>Acessível</v>
      </c>
      <c r="B42739" s="3">
        <v>1</v>
      </c>
    </row>
    <row r="42740" ht="15.75" customHeight="1" spans="1:2">
      <c r="A42740" s="3" t="str">
        <f>IFERROR(__xludf.DUMMYFUNCTION("GOOGLETRANSLATE(A42740,""en"",""pt"")"),"resolução e velocidade")</f>
        <v>resolução e velocidade</v>
      </c>
      <c r="B42740" s="3">
        <v>1</v>
      </c>
    </row>
    <row r="42741" ht="15.75" customHeight="1" spans="1:2">
      <c r="A42741" s="3" t="str">
        <f>IFERROR(__xludf.DUMMYFUNCTION("GOOGLETRANSLATE(A42741,""en"",""pt"")"),"capacidade de papel de tamanho grande")</f>
        <v>capacidade de papel de tamanho grande</v>
      </c>
      <c r="B42741" s="3">
        <v>1</v>
      </c>
    </row>
    <row r="42742" ht="15.75" customHeight="1" spans="1:2">
      <c r="A42742" s="3" t="str">
        <f>IFERROR(__xludf.DUMMYFUNCTION("GOOGLETRANSLATE(A42742,""en"",""pt"")"),"impressões de alta qualidade, saída rápida, confiabilidade")</f>
        <v>impressões de alta qualidade, saída rápida, confiabilidade</v>
      </c>
      <c r="B42742" s="3">
        <v>1</v>
      </c>
    </row>
    <row r="42743" ht="15.75" customHeight="1" spans="1:2">
      <c r="A42743" s="3" t="str">
        <f>IFERROR(__xludf.DUMMYFUNCTION("GOOGLETRANSLATE(A42743,""en"",""pt"")"),"Grande qualidade pode imprimir até 16,5 por 21,5")</f>
        <v>Grande qualidade pode imprimir até 16,5 por 21,5</v>
      </c>
      <c r="B42743" s="3">
        <v>1</v>
      </c>
    </row>
    <row r="42744" ht="15.75" customHeight="1" spans="1:2">
      <c r="A42744" s="3" t="str">
        <f>IFERROR(__xludf.DUMMYFUNCTION("GOOGLETRANSLATE(A42744,""en"",""pt"")"),"Imprime em papel grande, boa cor qualidade, rápido, confiável")</f>
        <v>Imprime em papel grande, boa cor qualidade, rápido, confiável</v>
      </c>
      <c r="B42744" s="3">
        <v>1</v>
      </c>
    </row>
    <row r="42745" ht="15.75" customHeight="1" spans="1:2">
      <c r="A42745" s="3" t="str">
        <f>IFERROR(__xludf.DUMMYFUNCTION("GOOGLETRANSLATE(A42745,""en"",""pt"")"),"saída de alta qualidade, rápido, 1440 dpi, 11 &amp; amp; quot; x 17 &amp; amp; quot; papel")</f>
        <v>saída de alta qualidade, rápido, 1440 dpi, 11 &amp; amp; quot; x 17 &amp; amp; quot; papel</v>
      </c>
      <c r="B42745" s="3">
        <v>1</v>
      </c>
    </row>
    <row r="42746" ht="15.75" customHeight="1" spans="1:2">
      <c r="A42746" s="3" t="str">
        <f>IFERROR(__xludf.DUMMYFUNCTION("GOOGLETRANSLATE(A42746,""en"",""pt"")"),"grande cor agradável a preço de banana")</f>
        <v>grande cor agradável a preço de banana</v>
      </c>
      <c r="B42746" s="3">
        <v>1</v>
      </c>
    </row>
    <row r="42747" ht="15.75" customHeight="1" spans="1:2">
      <c r="A42747" s="3" t="str">
        <f>IFERROR(__xludf.DUMMYFUNCTION("GOOGLETRANSLATE(A42747,""en"",""pt"")"),"bela qualidade de impressão")</f>
        <v>bela qualidade de impressão</v>
      </c>
      <c r="B42747" s="3">
        <v>1</v>
      </c>
    </row>
    <row r="42748" ht="15.75" customHeight="1" spans="1:2">
      <c r="A42748" s="3" t="str">
        <f>IFERROR(__xludf.DUMMYFUNCTION("GOOGLETRANSLATE(A42748,""en"",""pt"")"),"grande cor, fácil configuração, impressões de grande formato, PostScript disponível como uma opção")</f>
        <v>grande cor, fácil configuração, impressões de grande formato, PostScript disponível como uma opção</v>
      </c>
      <c r="B42748" s="3">
        <v>1</v>
      </c>
    </row>
    <row r="42749" ht="15.75" customHeight="1" spans="1:2">
      <c r="A42749" s="3" t="str">
        <f>IFERROR(__xludf.DUMMYFUNCTION("GOOGLETRANSLATE(A42749,""en"",""pt"")"),"excelente qualidade de impressão em uma variedade de tipos de papel")</f>
        <v>excelente qualidade de impressão em uma variedade de tipos de papel</v>
      </c>
      <c r="B42749" s="3">
        <v>1</v>
      </c>
    </row>
    <row r="42750" ht="15.75" customHeight="1" spans="1:2">
      <c r="A42750" s="3" t="str">
        <f>IFERROR(__xludf.DUMMYFUNCTION("GOOGLETRANSLATE(A42750,""en"",""pt"")"),"formato grande")</f>
        <v>formato grande</v>
      </c>
      <c r="B42750" s="3">
        <v>1</v>
      </c>
    </row>
    <row r="42751" ht="15.75" customHeight="1" spans="1:2">
      <c r="A42751" s="3" t="str">
        <f>IFERROR(__xludf.DUMMYFUNCTION("GOOGLETRANSLATE(A42751,""en"",""pt"")"),"formato maior, rápido quando se trabalha")</f>
        <v>formato maior, rápido quando se trabalha</v>
      </c>
      <c r="B42751" s="3">
        <v>1</v>
      </c>
    </row>
    <row r="42752" ht="15.75" customHeight="1" spans="1:2">
      <c r="A42752" s="3" t="str">
        <f>IFERROR(__xludf.DUMMYFUNCTION("GOOGLETRANSLATE(A42752,""en"",""pt"")"),"Excelente qualidade de impressão e imprimir em qualquer tipo de papel.")</f>
        <v>Excelente qualidade de impressão e imprimir em qualquer tipo de papel.</v>
      </c>
      <c r="B42752" s="3">
        <v>1</v>
      </c>
    </row>
    <row r="42753" ht="15.75" customHeight="1" spans="1:2">
      <c r="A42753" s="3" t="str">
        <f>IFERROR(__xludf.DUMMYFUNCTION("GOOGLETRANSLATE(A42753,""en"",""pt"")"),"Grande cor; impressões nítidas")</f>
        <v>Grande cor; impressões nítidas</v>
      </c>
      <c r="B42753" s="3">
        <v>1</v>
      </c>
    </row>
    <row r="42754" ht="15.75" customHeight="1" spans="1:2">
      <c r="A42754" s="3" t="str">
        <f>IFERROR(__xludf.DUMMYFUNCTION("GOOGLETRANSLATE(A42754,""en"",""pt"")"),"De alta qualidade, rápido e silencioso")</f>
        <v>De alta qualidade, rápido e silencioso</v>
      </c>
      <c r="B42754" s="3">
        <v>1</v>
      </c>
    </row>
    <row r="42755" ht="15.75" customHeight="1" spans="1:2">
      <c r="A42755" s="3" t="str">
        <f>IFERROR(__xludf.DUMMYFUNCTION("GOOGLETRANSLATE(A42755,""en"",""pt"")"),"Grande alta qualidade da foto res impressões")</f>
        <v>Grande alta qualidade da foto res impressões</v>
      </c>
      <c r="B42755" s="3">
        <v>1</v>
      </c>
    </row>
    <row r="42756" ht="15.75" customHeight="1" spans="1:2">
      <c r="A42756" s="3" t="str">
        <f>IFERROR(__xludf.DUMMYFUNCTION("GOOGLETRANSLATE(A42756,""en"",""pt"")"),"grande saída; boa cor, rápido e preço razoável")</f>
        <v>grande saída; boa cor, rápido e preço razoável</v>
      </c>
      <c r="B42756" s="3">
        <v>1</v>
      </c>
    </row>
    <row r="42757" ht="15.75" customHeight="1" spans="1:2">
      <c r="A42757" s="3" t="str">
        <f>IFERROR(__xludf.DUMMYFUNCTION("GOOGLETRANSLATE(A42757,""en"",""pt"")"),"Velocidade, cores, Tudo")</f>
        <v>Velocidade, cores, Tudo</v>
      </c>
      <c r="B42757" s="3">
        <v>1</v>
      </c>
    </row>
    <row r="42758" ht="15.75" customHeight="1" spans="1:2">
      <c r="A42758" s="3" t="str">
        <f>IFERROR(__xludf.DUMMYFUNCTION("GOOGLETRANSLATE(A42758,""en"",""pt"")"),"Grandes impressões a cores de qualidade, de grande formato para impressão de banners")</f>
        <v>Grandes impressões a cores de qualidade, de grande formato para impressão de banners</v>
      </c>
      <c r="B42758" s="3">
        <v>1</v>
      </c>
    </row>
    <row r="42759" ht="15.75" customHeight="1" spans="1:2">
      <c r="A42759" s="3" t="str">
        <f>IFERROR(__xludf.DUMMYFUNCTION("GOOGLETRANSLATE(A42759,""en"",""pt"")"),"A qualidade de impressão e o fato de que ele pode imprimir vários tamanhos de papel.")</f>
        <v>A qualidade de impressão e o fato de que ele pode imprimir vários tamanhos de papel.</v>
      </c>
      <c r="B42759" s="3">
        <v>1</v>
      </c>
    </row>
    <row r="42760" ht="15.75" customHeight="1" spans="1:2">
      <c r="A42760" s="3" t="str">
        <f>IFERROR(__xludf.DUMMYFUNCTION("GOOGLETRANSLATE(A42760,""en"",""pt"")"),"Aceita papel formato bastante grande e impressões usando quase todo o espaço")</f>
        <v>Aceita papel formato bastante grande e impressões usando quase todo o espaço</v>
      </c>
      <c r="B42760" s="3">
        <v>1</v>
      </c>
    </row>
    <row r="42761" ht="15.75" customHeight="1" spans="1:2">
      <c r="A42761" s="3" t="str">
        <f>IFERROR(__xludf.DUMMYFUNCTION("GOOGLETRANSLATE(A42761,""en"",""pt"")"),"Excelente qualidade de impressão, silencioso, Imprime em quase todo o papel e ou transparência.")</f>
        <v>Excelente qualidade de impressão, silencioso, Imprime em quase todo o papel e ou transparência.</v>
      </c>
      <c r="B42761" s="3">
        <v>1</v>
      </c>
    </row>
    <row r="42762" ht="15.75" customHeight="1" spans="1:2">
      <c r="A42762" s="3" t="str">
        <f>IFERROR(__xludf.DUMMYFUNCTION("GOOGLETRANSLATE(A42762,""en"",""pt"")"),"Baratos para comprar; barata não-Epson cartuchos disponível; simples de operar.")</f>
        <v>Baratos para comprar; barata não-Epson cartuchos disponível; simples de operar.</v>
      </c>
      <c r="B42762" s="3">
        <v>1</v>
      </c>
    </row>
    <row r="42763" ht="15.75" customHeight="1" spans="1:2">
      <c r="A42763" s="3" t="str">
        <f>IFERROR(__xludf.DUMMYFUNCTION("GOOGLETRANSLATE(A42763,""en"",""pt"")"),"de impressora barata, mas boas fotos em papel comum, se você fazer do meu jeito.")</f>
        <v>de impressora barata, mas boas fotos em papel comum, se você fazer do meu jeito.</v>
      </c>
      <c r="B42763" s="3">
        <v>1</v>
      </c>
    </row>
    <row r="42764" ht="15.75" customHeight="1" spans="1:2">
      <c r="A42764" s="3" t="str">
        <f>IFERROR(__xludf.DUMMYFUNCTION("GOOGLETRANSLATE(A42764,""en"",""pt"")"),", Bom software criativo barato,")</f>
        <v>, Bom software criativo barato,</v>
      </c>
      <c r="B42764" s="3">
        <v>1</v>
      </c>
    </row>
    <row r="42765" ht="15.75" customHeight="1" spans="1:2">
      <c r="A42765" s="3" t="str">
        <f>IFERROR(__xludf.DUMMYFUNCTION("GOOGLETRANSLATE(A42765,""en"",""pt"")"),"Limpar a impressão, fácil de usar.")</f>
        <v>Limpar a impressão, fácil de usar.</v>
      </c>
      <c r="B42765" s="3">
        <v>1</v>
      </c>
    </row>
    <row r="42766" ht="15.75" customHeight="1" spans="1:2">
      <c r="A42766" s="3" t="str">
        <f>IFERROR(__xludf.DUMMYFUNCTION("GOOGLETRANSLATE(A42766,""en"",""pt"")"),"Muito fácil de operar e instalar cartuchos")</f>
        <v>Muito fácil de operar e instalar cartuchos</v>
      </c>
      <c r="B42766" s="3">
        <v>1</v>
      </c>
    </row>
    <row r="42767" ht="15.75" customHeight="1" spans="1:2">
      <c r="A42767" s="3" t="str">
        <f>IFERROR(__xludf.DUMMYFUNCTION("GOOGLETRANSLATE(A42767,""en"",""pt"")"),"Barato, Texto boa qualidade, tinta barata")</f>
        <v>Barato, Texto boa qualidade, tinta barata</v>
      </c>
      <c r="B42767" s="3">
        <v>1</v>
      </c>
    </row>
    <row r="42768" ht="15.75" customHeight="1" spans="1:2">
      <c r="A42768" s="3" t="str">
        <f>IFERROR(__xludf.DUMMYFUNCTION("GOOGLETRANSLATE(A42768,""en"",""pt"")"),"Baratos, impressões Bem-Qualidade")</f>
        <v>Baratos, impressões Bem-Qualidade</v>
      </c>
      <c r="B42768" s="3">
        <v>1</v>
      </c>
    </row>
    <row r="42769" ht="15.75" customHeight="1" spans="1:2">
      <c r="A42769" s="3" t="str">
        <f>IFERROR(__xludf.DUMMYFUNCTION("GOOGLETRANSLATE(A42769,""en"",""pt"")"),"preço, velocidade, qualidade de impressão")</f>
        <v>preço, velocidade, qualidade de impressão</v>
      </c>
      <c r="B42769" s="3">
        <v>1</v>
      </c>
    </row>
    <row r="42770" ht="15.75" customHeight="1" spans="1:2">
      <c r="A42770" s="3" t="str">
        <f>IFERROR(__xludf.DUMMYFUNCTION("GOOGLETRANSLATE(A42770,""en"",""pt"")"),"impressão a cores decente")</f>
        <v>impressão a cores decente</v>
      </c>
      <c r="B42770" s="3">
        <v>1</v>
      </c>
    </row>
    <row r="42771" ht="15.75" customHeight="1" spans="1:2">
      <c r="A42771" s="3" t="str">
        <f>IFERROR(__xludf.DUMMYFUNCTION("GOOGLETRANSLATE(A42771,""en"",""pt"")"),"Boa qualidade")</f>
        <v>Boa qualidade</v>
      </c>
      <c r="B42771" s="3">
        <v>1</v>
      </c>
    </row>
    <row r="42772" ht="15.75" customHeight="1" spans="1:2">
      <c r="A42772" s="3" t="str">
        <f>IFERROR(__xludf.DUMMYFUNCTION("GOOGLETRANSLATE(A42772,""en"",""pt"")"),"boa qualidade, impressão rápida para IJ")</f>
        <v>boa qualidade, impressão rápida para IJ</v>
      </c>
      <c r="B42772" s="3">
        <v>1</v>
      </c>
    </row>
    <row r="42773" ht="15.75" customHeight="1" spans="1:2">
      <c r="A42773" s="3" t="str">
        <f>IFERROR(__xludf.DUMMYFUNCTION("GOOGLETRANSLATE(A42773,""en"",""pt"")"),"Fantástico preço e Construção Sólida")</f>
        <v>Fantástico preço e Construção Sólida</v>
      </c>
      <c r="B42773" s="3">
        <v>1</v>
      </c>
    </row>
    <row r="42774" ht="15.75" customHeight="1" spans="1:2">
      <c r="A42774" s="3" t="str">
        <f>IFERROR(__xludf.DUMMYFUNCTION("GOOGLETRANSLATE(A42774,""en"",""pt"")"),"boa preto e branco, tempo")</f>
        <v>boa preto e branco, tempo</v>
      </c>
      <c r="B42774" s="3">
        <v>1</v>
      </c>
    </row>
    <row r="42775" ht="15.75" customHeight="1" spans="1:2">
      <c r="A42775" s="3" t="str">
        <f>IFERROR(__xludf.DUMMYFUNCTION("GOOGLETRANSLATE(A42775,""en"",""pt"")"),"Parece muito bom ...")</f>
        <v>Parece muito bom ...</v>
      </c>
      <c r="B42775" s="3">
        <v>1</v>
      </c>
    </row>
    <row r="42776" ht="15.75" customHeight="1" spans="1:2">
      <c r="A42776" s="3" t="str">
        <f>IFERROR(__xludf.DUMMYFUNCTION("GOOGLETRANSLATE(A42776,""en"",""pt"")"),"impressões bastante rápido, cartuchos facilmente alterado")</f>
        <v>impressões bastante rápido, cartuchos facilmente alterado</v>
      </c>
      <c r="B42776" s="3">
        <v>1</v>
      </c>
    </row>
    <row r="42777" ht="15.75" customHeight="1" spans="1:2">
      <c r="A42777" s="3" t="str">
        <f>IFERROR(__xludf.DUMMYFUNCTION("GOOGLETRANSLATE(A42777,""en"",""pt"")"),"Boa Trabalho e barato!")</f>
        <v>Boa Trabalho e barato!</v>
      </c>
      <c r="B42777" s="3">
        <v>1</v>
      </c>
    </row>
    <row r="42778" ht="15.75" customHeight="1" spans="1:2">
      <c r="A42778" s="3" t="str">
        <f>IFERROR(__xludf.DUMMYFUNCTION("GOOGLETRANSLATE(A42778,""en"",""pt"")"),"Fácil de usar e manter.")</f>
        <v>Fácil de usar e manter.</v>
      </c>
      <c r="B42778" s="3">
        <v>1</v>
      </c>
    </row>
    <row r="42779" ht="15.75" customHeight="1" spans="1:2">
      <c r="A42779" s="3" t="str">
        <f>IFERROR(__xludf.DUMMYFUNCTION("GOOGLETRANSLATE(A42779,""en"",""pt"")"),"preço barato e recargas")</f>
        <v>preço barato e recargas</v>
      </c>
      <c r="B42779" s="3">
        <v>1</v>
      </c>
    </row>
    <row r="42780" ht="15.75" customHeight="1" spans="1:2">
      <c r="A42780" s="3" t="str">
        <f>IFERROR(__xludf.DUMMYFUNCTION("GOOGLETRANSLATE(A42780,""en"",""pt"")"),"Baratos - as cores são brilhantes")</f>
        <v>Baratos - as cores são brilhantes</v>
      </c>
      <c r="B42780" s="3">
        <v>1</v>
      </c>
    </row>
    <row r="42781" ht="15.75" customHeight="1" spans="1:2">
      <c r="A42781" s="3" t="str">
        <f>IFERROR(__xludf.DUMMYFUNCTION("GOOGLETRANSLATE(A42781,""en"",""pt"")"),"Preço")</f>
        <v>Preço</v>
      </c>
      <c r="B42781" s="3">
        <v>1</v>
      </c>
    </row>
    <row r="42782" ht="15.75" customHeight="1" spans="1:2">
      <c r="A42782" s="3" t="str">
        <f>IFERROR(__xludf.DUMMYFUNCTION("GOOGLETRANSLATE(A42782,""en"",""pt"")"),"Baixo custo, de boa qualidade de impressão")</f>
        <v>Baixo custo, de boa qualidade de impressão</v>
      </c>
      <c r="B42782" s="3">
        <v>1</v>
      </c>
    </row>
    <row r="42783" ht="15.75" customHeight="1" spans="1:2">
      <c r="A42783" s="3" t="str">
        <f>IFERROR(__xludf.DUMMYFUNCTION("GOOGLETRANSLATE(A42783,""en"",""pt"")"),"Boa qualidade de impressão.")</f>
        <v>Boa qualidade de impressão.</v>
      </c>
      <c r="B42783" s="3">
        <v>1</v>
      </c>
    </row>
    <row r="42784" ht="15.75" customHeight="1" spans="1:2">
      <c r="A42784" s="3" t="str">
        <f>IFERROR(__xludf.DUMMYFUNCTION("GOOGLETRANSLATE(A42784,""en"",""pt"")"),"Preço, características, confiabilidade, cartuchos, software")</f>
        <v>Preço, características, confiabilidade, cartuchos, software</v>
      </c>
      <c r="B42784" s="3">
        <v>1</v>
      </c>
    </row>
    <row r="42785" ht="15.75" customHeight="1" spans="1:2">
      <c r="A42785" s="3" t="str">
        <f>IFERROR(__xludf.DUMMYFUNCTION("GOOGLETRANSLATE(A42785,""en"",""pt"")"),"barato")</f>
        <v>barato</v>
      </c>
      <c r="B42785" s="3">
        <v>1</v>
      </c>
    </row>
    <row r="42786" ht="15.75" customHeight="1" spans="1:2">
      <c r="A42786" s="3" t="str">
        <f>IFERROR(__xludf.DUMMYFUNCTION("GOOGLETRANSLATE(A42786,""en"",""pt"")"),"Fácil de usar, dependente")</f>
        <v>Fácil de usar, dependente</v>
      </c>
      <c r="B42786" s="3">
        <v>1</v>
      </c>
    </row>
    <row r="42787" ht="15.75" customHeight="1" spans="1:2">
      <c r="A42787" s="3" t="str">
        <f>IFERROR(__xludf.DUMMYFUNCTION("GOOGLETRANSLATE(A42787,""en"",""pt"")"),"qualidade, preço, tamanho")</f>
        <v>qualidade, preço, tamanho</v>
      </c>
      <c r="B42787" s="3">
        <v>1</v>
      </c>
    </row>
    <row r="42788" ht="15.75" customHeight="1" spans="1:2">
      <c r="A42788" s="3" t="str">
        <f>IFERROR(__xludf.DUMMYFUNCTION("GOOGLETRANSLATE(A42788,""en"",""pt"")"),"Grande negócio; velocidade aceitável e qualidade de impressão; mecanicamente confiável")</f>
        <v>Grande negócio; velocidade aceitável e qualidade de impressão; mecanicamente confiável</v>
      </c>
      <c r="B42788" s="3">
        <v>1</v>
      </c>
    </row>
    <row r="42789" ht="15.75" customHeight="1" spans="1:2">
      <c r="A42789" s="3" t="str">
        <f>IFERROR(__xludf.DUMMYFUNCTION("GOOGLETRANSLATE(A42789,""en"",""pt"")"),"Barato e funciona economicamente.")</f>
        <v>Barato e funciona economicamente.</v>
      </c>
      <c r="B42789" s="3">
        <v>1</v>
      </c>
    </row>
    <row r="42790" ht="15.75" customHeight="1" spans="1:2">
      <c r="A42790" s="3" t="str">
        <f>IFERROR(__xludf.DUMMYFUNCTION("GOOGLETRANSLATE(A42790,""en"",""pt"")"),"Qualidade de Impressão, Impressão a cores")</f>
        <v>Qualidade de Impressão, Impressão a cores</v>
      </c>
      <c r="B42790" s="3">
        <v>1</v>
      </c>
    </row>
    <row r="42791" ht="15.75" customHeight="1" spans="1:2">
      <c r="A42791" s="3" t="str">
        <f>IFERROR(__xludf.DUMMYFUNCTION("GOOGLETRANSLATE(A42791,""en"",""pt"")"),"preço, dpi, facilidade de configuração")</f>
        <v>preço, dpi, facilidade de configuração</v>
      </c>
      <c r="B42791" s="3">
        <v>1</v>
      </c>
    </row>
    <row r="42792" ht="15.75" customHeight="1" spans="1:2">
      <c r="A42792" s="3" t="str">
        <f>IFERROR(__xludf.DUMMYFUNCTION("GOOGLETRANSLATE(A42792,""en"",""pt"")"),"Eu não seria sem esta impressora")</f>
        <v>Eu não seria sem esta impressora</v>
      </c>
      <c r="B42792" s="3">
        <v>1</v>
      </c>
    </row>
    <row r="42793" ht="15.75" customHeight="1" spans="1:2">
      <c r="A42793" s="3" t="str">
        <f>IFERROR(__xludf.DUMMYFUNCTION("GOOGLETRANSLATE(A42793,""en"",""pt"")"),"Grande valor a apenas sob $ 100")</f>
        <v>Grande valor a apenas sob $ 100</v>
      </c>
      <c r="B42793" s="3">
        <v>1</v>
      </c>
    </row>
    <row r="42794" ht="15.75" customHeight="1" spans="1:2">
      <c r="A42794" s="3" t="str">
        <f>IFERROR(__xludf.DUMMYFUNCTION("GOOGLETRANSLATE(A42794,""en"",""pt"")"),"Ótimo para o preço")</f>
        <v>Ótimo para o preço</v>
      </c>
      <c r="B42794" s="3">
        <v>1</v>
      </c>
    </row>
    <row r="42795" ht="15.75" customHeight="1" spans="1:2">
      <c r="A42795" s="3" t="str">
        <f>IFERROR(__xludf.DUMMYFUNCTION("GOOGLETRANSLATE(A42795,""en"",""pt"")"),"Barato, fácil de usar")</f>
        <v>Barato, fácil de usar</v>
      </c>
      <c r="B42795" s="3">
        <v>1</v>
      </c>
    </row>
    <row r="42796" ht="15.75" customHeight="1" spans="1:2">
      <c r="A42796" s="3" t="str">
        <f>IFERROR(__xludf.DUMMYFUNCTION("GOOGLETRANSLATE(A42796,""en"",""pt"")"),"Ótimo preço, grande cor")</f>
        <v>Ótimo preço, grande cor</v>
      </c>
      <c r="B42796" s="3">
        <v>1</v>
      </c>
    </row>
    <row r="42797" ht="15.75" customHeight="1" spans="1:2">
      <c r="A42797" s="3" t="str">
        <f>IFERROR(__xludf.DUMMYFUNCTION("GOOGLETRANSLATE(A42797,""en"",""pt"")"),"Barato, Pacote com Boa Software")</f>
        <v>Barato, Pacote com Boa Software</v>
      </c>
      <c r="B42797" s="3">
        <v>1</v>
      </c>
    </row>
    <row r="42798" ht="15.75" customHeight="1" spans="1:2">
      <c r="A42798" s="3" t="str">
        <f>IFERROR(__xludf.DUMMYFUNCTION("GOOGLETRANSLATE(A42798,""en"",""pt"")"),"ótimo preço, excelente qualidade para uma impressora de nível de entrada")</f>
        <v>ótimo preço, excelente qualidade para uma impressora de nível de entrada</v>
      </c>
      <c r="B42798" s="3">
        <v>1</v>
      </c>
    </row>
    <row r="42799" ht="15.75" customHeight="1" spans="1:2">
      <c r="A42799" s="3" t="str">
        <f>IFERROR(__xludf.DUMMYFUNCTION("GOOGLETRANSLATE(A42799,""en"",""pt"")"),"Barato")</f>
        <v>Barato</v>
      </c>
      <c r="B42799" s="3">
        <v>1</v>
      </c>
    </row>
    <row r="42800" ht="15.75" customHeight="1" spans="1:2">
      <c r="A42800" s="3" t="str">
        <f>IFERROR(__xludf.DUMMYFUNCTION("GOOGLETRANSLATE(A42800,""en"",""pt"")"),"Prints muito rapidamente")</f>
        <v>Prints muito rapidamente</v>
      </c>
      <c r="B42800" s="3">
        <v>1</v>
      </c>
    </row>
    <row r="42801" ht="15.75" customHeight="1" spans="1:2">
      <c r="A42801" s="3" t="str">
        <f>IFERROR(__xludf.DUMMYFUNCTION("GOOGLETRANSLATE(A42801,""en"",""pt"")"),"Um rápido, impressora de alta qualidade")</f>
        <v>Um rápido, impressora de alta qualidade</v>
      </c>
      <c r="B42801" s="3">
        <v>1</v>
      </c>
    </row>
    <row r="42802" ht="15.75" customHeight="1" spans="1:2">
      <c r="A42802" s="3" t="str">
        <f>IFERROR(__xludf.DUMMYFUNCTION("GOOGLETRANSLATE(A42802,""en"",""pt"")"),"Limpar Printing")</f>
        <v>Limpar Printing</v>
      </c>
      <c r="B42802" s="3">
        <v>1</v>
      </c>
    </row>
    <row r="42803" ht="15.75" customHeight="1" spans="1:2">
      <c r="A42803" s="3" t="str">
        <f>IFERROR(__xludf.DUMMYFUNCTION("GOOGLETRANSLATE(A42803,""en"",""pt"")"),"texto de qualidade, barato")</f>
        <v>texto de qualidade, barato</v>
      </c>
      <c r="B42803" s="3">
        <v>1</v>
      </c>
    </row>
    <row r="42804" ht="15.75" customHeight="1" spans="1:2">
      <c r="A42804" s="3" t="str">
        <f>IFERROR(__xludf.DUMMYFUNCTION("GOOGLETRANSLATE(A42804,""en"",""pt"")"),"Muito acessíveis, confiáveis ​​e Space Saver")</f>
        <v>Muito acessíveis, confiáveis ​​e Space Saver</v>
      </c>
      <c r="B42804" s="3">
        <v>1</v>
      </c>
    </row>
    <row r="42805" ht="15.75" customHeight="1" spans="1:2">
      <c r="A42805" s="3" t="str">
        <f>IFERROR(__xludf.DUMMYFUNCTION("GOOGLETRANSLATE(A42805,""en"",""pt"")"),"Boa qualidade pelo preço")</f>
        <v>Boa qualidade pelo preço</v>
      </c>
      <c r="B42805" s="3">
        <v>1</v>
      </c>
    </row>
    <row r="42806" ht="15.75" customHeight="1" spans="1:2">
      <c r="A42806" s="3" t="str">
        <f>IFERROR(__xludf.DUMMYFUNCTION("GOOGLETRANSLATE(A42806,""en"",""pt"")"),"Fácil de usar")</f>
        <v>Fácil de usar</v>
      </c>
      <c r="B42806" s="3">
        <v>1</v>
      </c>
    </row>
    <row r="42807" ht="15.75" customHeight="1" spans="1:2">
      <c r="A42807" s="3" t="str">
        <f>IFERROR(__xludf.DUMMYFUNCTION("GOOGLETRANSLATE(A42807,""en"",""pt"")"),"Bom preço")</f>
        <v>Bom preço</v>
      </c>
      <c r="B42807" s="3">
        <v>1</v>
      </c>
    </row>
    <row r="42808" ht="15.75" customHeight="1" spans="1:2">
      <c r="A42808" s="3" t="str">
        <f>IFERROR(__xludf.DUMMYFUNCTION("GOOGLETRANSLATE(A42808,""en"",""pt"")"),"Nenhum")</f>
        <v>Nenhum</v>
      </c>
      <c r="B42808" s="3">
        <v>1</v>
      </c>
    </row>
    <row r="42809" ht="15.75" customHeight="1" spans="1:2">
      <c r="A42809" s="3" t="str">
        <f>IFERROR(__xludf.DUMMYFUNCTION("GOOGLETRANSLATE(A42809,""en"",""pt"")"),"Relativamente tranqüila, velocidade justo, qualidade de impressão razoável")</f>
        <v>Relativamente tranqüila, velocidade justo, qualidade de impressão razoável</v>
      </c>
      <c r="B42809" s="3">
        <v>1</v>
      </c>
    </row>
    <row r="42810" ht="15.75" customHeight="1" spans="1:2">
      <c r="A42810" s="3" t="str">
        <f>IFERROR(__xludf.DUMMYFUNCTION("GOOGLETRANSLATE(A42810,""en"",""pt"")"),"barato")</f>
        <v>barato</v>
      </c>
      <c r="B42810" s="3">
        <v>1</v>
      </c>
    </row>
    <row r="42811" ht="15.75" customHeight="1" spans="1:2">
      <c r="A42811" s="3" t="str">
        <f>IFERROR(__xludf.DUMMYFUNCTION("GOOGLETRANSLATE(A42811,""en"",""pt"")"),"A mais alta qualidade de impressão da sua classe.")</f>
        <v>A mais alta qualidade de impressão da sua classe.</v>
      </c>
      <c r="B42811" s="3">
        <v>1</v>
      </c>
    </row>
    <row r="42812" ht="15.75" customHeight="1" spans="1:2">
      <c r="A42812" s="3" t="str">
        <f>IFERROR(__xludf.DUMMYFUNCTION("GOOGLETRANSLATE(A42812,""en"",""pt"")"),"imprime fotos grandes")</f>
        <v>imprime fotos grandes</v>
      </c>
      <c r="B42812" s="3">
        <v>1</v>
      </c>
    </row>
    <row r="42813" ht="15.75" customHeight="1" spans="1:2">
      <c r="A42813" s="3" t="str">
        <f>IFERROR(__xludf.DUMMYFUNCTION("GOOGLETRANSLATE(A42813,""en"",""pt"")"),"excelente combinação de cores, excelente impressão de fotografias, bordas afiadas linha, impressão escuro, programa operacional bacana")</f>
        <v>excelente combinação de cores, excelente impressão de fotografias, bordas afiadas linha, impressão escuro, programa operacional bacana</v>
      </c>
      <c r="B42813" s="3">
        <v>1</v>
      </c>
    </row>
    <row r="42814" ht="15.75" customHeight="1" spans="1:2">
      <c r="A42814" s="3" t="str">
        <f>IFERROR(__xludf.DUMMYFUNCTION("GOOGLETRANSLATE(A42814,""en"",""pt"")"),"Bom texto.")</f>
        <v>Bom texto.</v>
      </c>
      <c r="B42814" s="3">
        <v>1</v>
      </c>
    </row>
    <row r="42815" ht="15.75" customHeight="1" spans="1:2">
      <c r="A42815" s="3" t="str">
        <f>IFERROR(__xludf.DUMMYFUNCTION("GOOGLETRANSLATE(A42815,""en"",""pt"")"),"grande valor para o preço")</f>
        <v>grande valor para o preço</v>
      </c>
      <c r="B42815" s="3">
        <v>1</v>
      </c>
    </row>
    <row r="42816" ht="15.75" customHeight="1" spans="1:2">
      <c r="A42816" s="3" t="str">
        <f>IFERROR(__xludf.DUMMYFUNCTION("GOOGLETRANSLATE(A42816,""en"",""pt"")"),"menos nós caro poderia encontrar")</f>
        <v>menos nós caro poderia encontrar</v>
      </c>
      <c r="B42816" s="3">
        <v>1</v>
      </c>
    </row>
    <row r="42817" ht="15.75" customHeight="1" spans="1:2">
      <c r="A42817" s="3" t="str">
        <f>IFERROR(__xludf.DUMMYFUNCTION("GOOGLETRANSLATE(A42817,""en"",""pt"")"),"boa bastante qualidade de impressão")</f>
        <v>boa bastante qualidade de impressão</v>
      </c>
      <c r="B42817" s="3">
        <v>1</v>
      </c>
    </row>
    <row r="42818" ht="15.75" customHeight="1" spans="1:2">
      <c r="A42818" s="3" t="str">
        <f>IFERROR(__xludf.DUMMYFUNCTION("GOOGLETRANSLATE(A42818,""en"",""pt"")"),"Custo barato / bom pacote de software")</f>
        <v>Custo barato / bom pacote de software</v>
      </c>
      <c r="B42818" s="3">
        <v>1</v>
      </c>
    </row>
    <row r="42819" ht="15.75" customHeight="1" spans="1:2">
      <c r="A42819" s="3" t="str">
        <f>IFERROR(__xludf.DUMMYFUNCTION("GOOGLETRANSLATE(A42819,""en"",""pt"")"),"qualidade de impressão superior, tinta mais barata")</f>
        <v>qualidade de impressão superior, tinta mais barata</v>
      </c>
      <c r="B42819" s="3">
        <v>1</v>
      </c>
    </row>
    <row r="42820" ht="15.75" customHeight="1" spans="1:2">
      <c r="A42820" s="3" t="str">
        <f>IFERROR(__xludf.DUMMYFUNCTION("GOOGLETRANSLATE(A42820,""en"",""pt"")"),"barato, bom cores vivas, ótimo para o preço!")</f>
        <v>barato, bom cores vivas, ótimo para o preço!</v>
      </c>
      <c r="B42820" s="3">
        <v>1</v>
      </c>
    </row>
    <row r="42821" ht="15.75" customHeight="1" spans="1:2">
      <c r="A42821" s="3" t="str">
        <f>IFERROR(__xludf.DUMMYFUNCTION("GOOGLETRANSLATE(A42821,""en"",""pt"")"),"Boa qualidade, rápido, bem feito, pode obter tinta barata.")</f>
        <v>Boa qualidade, rápido, bem feito, pode obter tinta barata.</v>
      </c>
      <c r="B42821" s="3">
        <v>1</v>
      </c>
    </row>
    <row r="42822" ht="15.75" customHeight="1" spans="1:2">
      <c r="A42822" s="3" t="str">
        <f>IFERROR(__xludf.DUMMYFUNCTION("GOOGLETRANSLATE(A42822,""en"",""pt"")"),"Pequenas, boas fotos.")</f>
        <v>Pequenas, boas fotos.</v>
      </c>
      <c r="B42822" s="3">
        <v>1</v>
      </c>
    </row>
    <row r="42823" ht="15.75" customHeight="1" spans="1:2">
      <c r="A42823" s="3" t="str">
        <f>IFERROR(__xludf.DUMMYFUNCTION("GOOGLETRANSLATE(A42823,""en"",""pt"")"),"Não é possível encontrar nenhum ainda")</f>
        <v>Não é possível encontrar nenhum ainda</v>
      </c>
      <c r="B42823" s="3">
        <v>1</v>
      </c>
    </row>
    <row r="42824" ht="15.75" customHeight="1" spans="1:2">
      <c r="A42824" s="3" t="str">
        <f>IFERROR(__xludf.DUMMYFUNCTION("GOOGLETRANSLATE(A42824,""en"",""pt"")"),"barato")</f>
        <v>barato</v>
      </c>
      <c r="B42824" s="3">
        <v>1</v>
      </c>
    </row>
    <row r="42825" ht="15.75" customHeight="1" spans="1:2">
      <c r="A42825" s="3" t="str">
        <f>IFERROR(__xludf.DUMMYFUNCTION("GOOGLETRANSLATE(A42825,""en"",""pt"")"),"grande durabilidade")</f>
        <v>grande durabilidade</v>
      </c>
      <c r="B42825" s="3">
        <v>1</v>
      </c>
    </row>
    <row r="42826" ht="15.75" customHeight="1" spans="1:2">
      <c r="A42826" s="3" t="str">
        <f>IFERROR(__xludf.DUMMYFUNCTION("GOOGLETRANSLATE(A42826,""en"",""pt"")"),"Muito barato")</f>
        <v>Muito barato</v>
      </c>
      <c r="B42826" s="3">
        <v>1</v>
      </c>
    </row>
    <row r="42827" ht="15.75" customHeight="1" spans="1:2">
      <c r="A42827" s="3" t="str">
        <f>IFERROR(__xludf.DUMMYFUNCTION("GOOGLETRANSLATE(A42827,""en"",""pt"")"),"Boa qualidade pelo preço")</f>
        <v>Boa qualidade pelo preço</v>
      </c>
      <c r="B42827" s="3">
        <v>1</v>
      </c>
    </row>
    <row r="42828" ht="15.75" customHeight="1" spans="1:2">
      <c r="A42828" s="3" t="str">
        <f>IFERROR(__xludf.DUMMYFUNCTION("GOOGLETRANSLATE(A42828,""en"",""pt"")"),"Cabe no caixote do lixo facilmente")</f>
        <v>Cabe no caixote do lixo facilmente</v>
      </c>
      <c r="B42828" s="3">
        <v>1</v>
      </c>
    </row>
    <row r="42829" ht="15.75" customHeight="1" spans="1:2">
      <c r="A42829" s="3" t="str">
        <f>IFERROR(__xludf.DUMMYFUNCTION("GOOGLETRANSLATE(A42829,""en"",""pt"")"),"impressão clara bonita ... quando isso acontece")</f>
        <v>impressão clara bonita ... quando isso acontece</v>
      </c>
      <c r="B42829" s="3">
        <v>1</v>
      </c>
    </row>
    <row r="42830" ht="15.75" customHeight="1" spans="1:2">
      <c r="A42830" s="3" t="str">
        <f>IFERROR(__xludf.DUMMYFUNCTION("GOOGLETRANSLATE(A42830,""en"",""pt"")"),"preço de compra barato")</f>
        <v>preço de compra barato</v>
      </c>
      <c r="B42830" s="3">
        <v>1</v>
      </c>
    </row>
    <row r="42831" ht="15.75" customHeight="1" spans="1:2">
      <c r="A42831" s="3" t="str">
        <f>IFERROR(__xludf.DUMMYFUNCTION("GOOGLETRANSLATE(A42831,""en"",""pt"")"),"Barato")</f>
        <v>Barato</v>
      </c>
      <c r="B42831" s="3">
        <v>1</v>
      </c>
    </row>
    <row r="42832" ht="15.75" customHeight="1" spans="1:2">
      <c r="A42832" s="3" t="str">
        <f>IFERROR(__xludf.DUMMYFUNCTION("GOOGLETRANSLATE(A42832,""en"",""pt"")"),"Velocidade e qualidade")</f>
        <v>Velocidade e qualidade</v>
      </c>
      <c r="B42832" s="3">
        <v>1</v>
      </c>
    </row>
    <row r="42833" ht="15.75" customHeight="1" spans="1:2">
      <c r="A42833" s="3" t="str">
        <f>IFERROR(__xludf.DUMMYFUNCTION("GOOGLETRANSLATE(A42833,""en"",""pt"")"),"Preço, confiabilidade, facilidade de instalação")</f>
        <v>Preço, confiabilidade, facilidade de instalação</v>
      </c>
      <c r="B42833" s="3">
        <v>1</v>
      </c>
    </row>
    <row r="42834" ht="15.75" customHeight="1" spans="1:2">
      <c r="A42834" s="3" t="str">
        <f>IFERROR(__xludf.DUMMYFUNCTION("GOOGLETRANSLATE(A42834,""en"",""pt"")"),"Bom para a impressão de documentos até 30 páginas")</f>
        <v>Bom para a impressão de documentos até 30 páginas</v>
      </c>
      <c r="B42834" s="3">
        <v>1</v>
      </c>
    </row>
    <row r="42835" ht="15.75" customHeight="1" spans="1:2">
      <c r="A42835" s="3" t="str">
        <f>IFERROR(__xludf.DUMMYFUNCTION("GOOGLETRANSLATE(A42835,""en"",""pt"")"),"fotos decentes")</f>
        <v>fotos decentes</v>
      </c>
      <c r="B42835" s="3">
        <v>1</v>
      </c>
    </row>
    <row r="42836" ht="15.75" customHeight="1" spans="1:2">
      <c r="A42836" s="3" t="str">
        <f>IFERROR(__xludf.DUMMYFUNCTION("GOOGLETRANSLATE(A42836,""en"",""pt"")"),"Imprime bem quando se imprime.")</f>
        <v>Imprime bem quando se imprime.</v>
      </c>
      <c r="B42836" s="3">
        <v>1</v>
      </c>
    </row>
    <row r="42837" ht="15.75" customHeight="1" spans="1:2">
      <c r="A42837" s="3" t="str">
        <f>IFERROR(__xludf.DUMMYFUNCTION("GOOGLETRANSLATE(A42837,""en"",""pt"")"),"Sem manutenção, a tinta é acessível")</f>
        <v>Sem manutenção, a tinta é acessível</v>
      </c>
      <c r="B42837" s="3">
        <v>1</v>
      </c>
    </row>
    <row r="42838" ht="15.75" customHeight="1" spans="1:2">
      <c r="A42838" s="3" t="str">
        <f>IFERROR(__xludf.DUMMYFUNCTION("GOOGLETRANSLATE(A42838,""en"",""pt"")"),"Acessível")</f>
        <v>Acessível</v>
      </c>
      <c r="B42838" s="3">
        <v>1</v>
      </c>
    </row>
    <row r="42839" ht="15.75" customHeight="1" spans="1:2">
      <c r="A42839" s="3" t="str">
        <f>IFERROR(__xludf.DUMMYFUNCTION("GOOGLETRANSLATE(A42839,""en"",""pt"")"),"baixo preço, qualidade")</f>
        <v>baixo preço, qualidade</v>
      </c>
      <c r="B42839" s="3">
        <v>1</v>
      </c>
    </row>
    <row r="42840" ht="15.75" customHeight="1" spans="1:2">
      <c r="A42840" s="3" t="str">
        <f>IFERROR(__xludf.DUMMYFUNCTION("GOOGLETRANSLATE(A42840,""en"",""pt"")"),"Barato, fácil de usar")</f>
        <v>Barato, fácil de usar</v>
      </c>
      <c r="B42840" s="3">
        <v>1</v>
      </c>
    </row>
    <row r="42841" ht="15.75" customHeight="1" spans="1:2">
      <c r="A42841" s="3" t="str">
        <f>IFERROR(__xludf.DUMMYFUNCTION("GOOGLETRANSLATE(A42841,""en"",""pt"")"),"Muito bom pelo preço")</f>
        <v>Muito bom pelo preço</v>
      </c>
      <c r="B42841" s="3">
        <v>1</v>
      </c>
    </row>
    <row r="42842" ht="15.75" customHeight="1" spans="1:2">
      <c r="A42842" s="3" t="str">
        <f>IFERROR(__xludf.DUMMYFUNCTION("GOOGLETRANSLATE(A42842,""en"",""pt"")"),"Bem, ele funciona como um suporte de papel.")</f>
        <v>Bem, ele funciona como um suporte de papel.</v>
      </c>
      <c r="B42842" s="3">
        <v>1</v>
      </c>
    </row>
    <row r="42843" ht="15.75" customHeight="1" spans="1:2">
      <c r="A42843" s="3" t="str">
        <f>IFERROR(__xludf.DUMMYFUNCTION("GOOGLETRANSLATE(A42843,""en"",""pt"")"),"Espere, eu vou pensar em um ... apenas me dar mais tempo ...")</f>
        <v>Espere, eu vou pensar em um ... apenas me dar mais tempo ...</v>
      </c>
      <c r="B42843" s="3">
        <v>1</v>
      </c>
    </row>
    <row r="42844" ht="15.75" customHeight="1" spans="1:2">
      <c r="A42844" s="3" t="str">
        <f>IFERROR(__xludf.DUMMYFUNCTION("GOOGLETRANSLATE(A42844,""en"",""pt"")"),"Pode produzir um trabalho muito clara")</f>
        <v>Pode produzir um trabalho muito clara</v>
      </c>
      <c r="B42844" s="3">
        <v>1</v>
      </c>
    </row>
    <row r="42845" ht="15.75" customHeight="1" spans="1:2">
      <c r="A42845" s="3" t="str">
        <f>IFERROR(__xludf.DUMMYFUNCTION("GOOGLETRANSLATE(A42845,""en"",""pt"")"),"tinta acessível, impressora acessível, de longa duração, há congestionamentos de papel, fácil de instalar")</f>
        <v>tinta acessível, impressora acessível, de longa duração, há congestionamentos de papel, fácil de instalar</v>
      </c>
      <c r="B42845" s="3">
        <v>1</v>
      </c>
    </row>
    <row r="42846" ht="15.75" customHeight="1" spans="1:2">
      <c r="A42846" s="3" t="str">
        <f>IFERROR(__xludf.DUMMYFUNCTION("GOOGLETRANSLATE(A42846,""en"",""pt"")"),"Barato, boa cor, fácil de usar")</f>
        <v>Barato, boa cor, fácil de usar</v>
      </c>
      <c r="B42846" s="3">
        <v>1</v>
      </c>
    </row>
    <row r="42847" ht="15.75" customHeight="1" spans="1:2">
      <c r="A42847" s="3" t="str">
        <f>IFERROR(__xludf.DUMMYFUNCTION("GOOGLETRANSLATE(A42847,""en"",""pt"")"),"Fácil de usar. Ótimo para uso doméstico limitado.")</f>
        <v>Fácil de usar. Ótimo para uso doméstico limitado.</v>
      </c>
      <c r="B42847" s="3">
        <v>1</v>
      </c>
    </row>
    <row r="42848" ht="15.75" customHeight="1" spans="1:2">
      <c r="A42848" s="3" t="str">
        <f>IFERROR(__xludf.DUMMYFUNCTION("GOOGLETRANSLATE(A42848,""en"",""pt"")"),"Barato, de boa qualidade, manuseio de papel bom")</f>
        <v>Barato, de boa qualidade, manuseio de papel bom</v>
      </c>
      <c r="B42848" s="3">
        <v>1</v>
      </c>
    </row>
    <row r="42849" ht="15.75" customHeight="1" spans="1:2">
      <c r="A42849" s="3" t="str">
        <f>IFERROR(__xludf.DUMMYFUNCTION("GOOGLETRANSLATE(A42849,""en"",""pt"")"),"Baratos, obras")</f>
        <v>Baratos, obras</v>
      </c>
      <c r="B42849" s="3">
        <v>1</v>
      </c>
    </row>
    <row r="42850" ht="15.75" customHeight="1" spans="1:2">
      <c r="A42850" s="3" t="str">
        <f>IFERROR(__xludf.DUMMYFUNCTION("GOOGLETRANSLATE(A42850,""en"",""pt"")"),"Barato")</f>
        <v>Barato</v>
      </c>
      <c r="B42850" s="3">
        <v>1</v>
      </c>
    </row>
    <row r="42851" ht="15.75" customHeight="1" spans="1:2">
      <c r="A42851" s="3" t="str">
        <f>IFERROR(__xludf.DUMMYFUNCTION("GOOGLETRANSLATE(A42851,""en"",""pt"")"),"Com duração de cartuchos de tinta")</f>
        <v>Com duração de cartuchos de tinta</v>
      </c>
      <c r="B42851" s="3">
        <v>1</v>
      </c>
    </row>
    <row r="42852" ht="15.75" customHeight="1" spans="1:2">
      <c r="A42852" s="3" t="str">
        <f>IFERROR(__xludf.DUMMYFUNCTION("GOOGLETRANSLATE(A42852,""en"",""pt"")"),"Barato.")</f>
        <v>Barato.</v>
      </c>
      <c r="B42852" s="3">
        <v>1</v>
      </c>
    </row>
    <row r="42853" ht="15.75" customHeight="1" spans="1:2">
      <c r="A42853" s="3" t="str">
        <f>IFERROR(__xludf.DUMMYFUNCTION("GOOGLETRANSLATE(A42853,""en"",""pt"")"),"Você o que você pago.")</f>
        <v>Você o que você pago.</v>
      </c>
      <c r="B42853" s="3">
        <v>1</v>
      </c>
    </row>
    <row r="42854" ht="15.75" customHeight="1" spans="1:2">
      <c r="A42854" s="3" t="str">
        <f>IFERROR(__xludf.DUMMYFUNCTION("GOOGLETRANSLATE(A42854,""en"",""pt"")"),"Prints grandes - rápidas e precisas - imprime ótimas fotos.")</f>
        <v>Prints grandes - rápidas e precisas - imprime ótimas fotos.</v>
      </c>
      <c r="B42854" s="3">
        <v>1</v>
      </c>
    </row>
    <row r="42855" ht="15.75" customHeight="1" spans="1:2">
      <c r="A42855" s="3" t="str">
        <f>IFERROR(__xludf.DUMMYFUNCTION("GOOGLETRANSLATE(A42855,""en"",""pt"")"),"design agradável, excelente qualidade (em papel de qualidade), bom preço")</f>
        <v>design agradável, excelente qualidade (em papel de qualidade), bom preço</v>
      </c>
      <c r="B42855" s="3">
        <v>1</v>
      </c>
    </row>
    <row r="42856" ht="15.75" customHeight="1" spans="1:2">
      <c r="A42856" s="3" t="str">
        <f>IFERROR(__xludf.DUMMYFUNCTION("GOOGLETRANSLATE(A42856,""en"",""pt"")"),"Cheap sujeira após o desconto.")</f>
        <v>Cheap sujeira após o desconto.</v>
      </c>
      <c r="B42856" s="3">
        <v>1</v>
      </c>
    </row>
    <row r="42857" ht="15.75" customHeight="1" spans="1:2">
      <c r="A42857" s="3" t="str">
        <f>IFERROR(__xludf.DUMMYFUNCTION("GOOGLETRANSLATE(A42857,""en"",""pt"")"),"excelente impressora para o dinheiro")</f>
        <v>excelente impressora para o dinheiro</v>
      </c>
      <c r="B42857" s="3">
        <v>1</v>
      </c>
    </row>
    <row r="42858" ht="15.75" customHeight="1" spans="1:2">
      <c r="A42858" s="3" t="str">
        <f>IFERROR(__xludf.DUMMYFUNCTION("GOOGLETRANSLATE(A42858,""en"",""pt"")"),"Barato, excelente qualidade de impressão, fácil de configurar, bastante rápido.")</f>
        <v>Barato, excelente qualidade de impressão, fácil de configurar, bastante rápido.</v>
      </c>
      <c r="B42858" s="3">
        <v>1</v>
      </c>
    </row>
    <row r="42859" ht="15.75" customHeight="1" spans="1:2">
      <c r="A42859" s="3" t="str">
        <f>IFERROR(__xludf.DUMMYFUNCTION("GOOGLETRANSLATE(A42859,""en"",""pt"")"),"Barato e feliz")</f>
        <v>Barato e feliz</v>
      </c>
      <c r="B42859" s="3">
        <v>1</v>
      </c>
    </row>
    <row r="42860" ht="15.75" customHeight="1" spans="1:2">
      <c r="A42860" s="3" t="str">
        <f>IFERROR(__xludf.DUMMYFUNCTION("GOOGLETRANSLATE(A42860,""en"",""pt"")"),"Eu não posso pensar de um")</f>
        <v>Eu não posso pensar de um</v>
      </c>
      <c r="B42860" s="3">
        <v>1</v>
      </c>
    </row>
    <row r="42861" ht="15.75" customHeight="1" spans="1:2">
      <c r="A42861" s="3" t="str">
        <f>IFERROR(__xludf.DUMMYFUNCTION("GOOGLETRANSLATE(A42861,""en"",""pt"")"),"Muito boa qualidade de saída de impressão e barato.")</f>
        <v>Muito boa qualidade de saída de impressão e barato.</v>
      </c>
      <c r="B42861" s="3">
        <v>1</v>
      </c>
    </row>
    <row r="42862" ht="15.75" customHeight="1" spans="1:2">
      <c r="A42862" s="3" t="str">
        <f>IFERROR(__xludf.DUMMYFUNCTION("GOOGLETRANSLATE(A42862,""en"",""pt"")"),"Fácil de instalar")</f>
        <v>Fácil de instalar</v>
      </c>
      <c r="B42862" s="3">
        <v>1</v>
      </c>
    </row>
    <row r="42863" ht="15.75" customHeight="1" spans="1:2">
      <c r="A42863" s="3" t="str">
        <f>IFERROR(__xludf.DUMMYFUNCTION("GOOGLETRANSLATE(A42863,""en"",""pt"")"),"bom preço")</f>
        <v>bom preço</v>
      </c>
      <c r="B42863" s="3">
        <v>1</v>
      </c>
    </row>
    <row r="42864" ht="15.75" customHeight="1" spans="1:2">
      <c r="A42864" s="3" t="str">
        <f>IFERROR(__xludf.DUMMYFUNCTION("GOOGLETRANSLATE(A42864,""en"",""pt"")"),"Ótimo preço, saída de boa qualidade, apenas obras.")</f>
        <v>Ótimo preço, saída de boa qualidade, apenas obras.</v>
      </c>
      <c r="B42864" s="3">
        <v>1</v>
      </c>
    </row>
    <row r="42865" ht="15.75" customHeight="1" spans="1:2">
      <c r="A42865" s="3" t="str">
        <f>IFERROR(__xludf.DUMMYFUNCTION("GOOGLETRANSLATE(A42865,""en"",""pt"")"),"Barato. Boas impressão-outs")</f>
        <v>Barato. Boas impressão-outs</v>
      </c>
      <c r="B42865" s="3">
        <v>1</v>
      </c>
    </row>
    <row r="42866" ht="15.75" customHeight="1" spans="1:2">
      <c r="A42866" s="3" t="str">
        <f>IFERROR(__xludf.DUMMYFUNCTION("GOOGLETRANSLATE(A42866,""en"",""pt"")"),"Boa cor, operação relativamente livre de problemas.")</f>
        <v>Boa cor, operação relativamente livre de problemas.</v>
      </c>
      <c r="B42866" s="3">
        <v>1</v>
      </c>
    </row>
    <row r="42867" ht="15.75" customHeight="1" spans="1:2">
      <c r="A42867" s="3" t="str">
        <f>IFERROR(__xludf.DUMMYFUNCTION("GOOGLETRANSLATE(A42867,""en"",""pt"")"),"Muito barato, o custo baixo se você usar carrinhos de genéricos, Top Notch saída em papel brilhante ...")</f>
        <v>Muito barato, o custo baixo se você usar carrinhos de genéricos, Top Notch saída em papel brilhante ...</v>
      </c>
      <c r="B42867" s="3">
        <v>1</v>
      </c>
    </row>
    <row r="42868" ht="15.75" customHeight="1" spans="1:2">
      <c r="A42868" s="3" t="str">
        <f>IFERROR(__xludf.DUMMYFUNCTION("GOOGLETRANSLATE(A42868,""en"",""pt"")"),"Barato, fácil de usar, boa saída, ótimo software, recargas de tinta barata")</f>
        <v>Barato, fácil de usar, boa saída, ótimo software, recargas de tinta barata</v>
      </c>
      <c r="B42868" s="3">
        <v>1</v>
      </c>
    </row>
    <row r="42869" ht="15.75" customHeight="1" spans="1:2">
      <c r="A42869" s="3" t="str">
        <f>IFERROR(__xludf.DUMMYFUNCTION("GOOGLETRANSLATE(A42869,""en"",""pt"")"),"Grande impressora de baixo custo que proporciona inesperadamente boa qualidade de impressão")</f>
        <v>Grande impressora de baixo custo que proporciona inesperadamente boa qualidade de impressão</v>
      </c>
      <c r="B42869" s="3">
        <v>1</v>
      </c>
    </row>
    <row r="42870" ht="15.75" customHeight="1" spans="1:2">
      <c r="A42870" s="3" t="str">
        <f>IFERROR(__xludf.DUMMYFUNCTION("GOOGLETRANSLATE(A42870,""en"",""pt"")"),"qualidade de impressão surpreendente para tal uma impressora barata")</f>
        <v>qualidade de impressão surpreendente para tal uma impressora barata</v>
      </c>
      <c r="B42870" s="3">
        <v>1</v>
      </c>
    </row>
    <row r="42871" ht="15.75" customHeight="1" spans="1:2">
      <c r="A42871" s="3" t="str">
        <f>IFERROR(__xludf.DUMMYFUNCTION("GOOGLETRANSLATE(A42871,""en"",""pt"")"),"baixo preço inicial")</f>
        <v>baixo preço inicial</v>
      </c>
      <c r="B42871" s="3">
        <v>1</v>
      </c>
    </row>
    <row r="42872" ht="15.75" customHeight="1" spans="1:2">
      <c r="A42872" s="3" t="str">
        <f>IFERROR(__xludf.DUMMYFUNCTION("GOOGLETRANSLATE(A42872,""en"",""pt"")"),"Inkwells encher facilmente.")</f>
        <v>Inkwells encher facilmente.</v>
      </c>
      <c r="B42872" s="3">
        <v>1</v>
      </c>
    </row>
    <row r="42873" ht="15.75" customHeight="1" spans="1:2">
      <c r="A42873" s="3" t="str">
        <f>IFERROR(__xludf.DUMMYFUNCTION("GOOGLETRANSLATE(A42873,""en"",""pt"")"),"A qualidade de impressão foi bom para impressão em casa com a cor")</f>
        <v>A qualidade de impressão foi bom para impressão em casa com a cor</v>
      </c>
      <c r="B42873" s="3">
        <v>1</v>
      </c>
    </row>
    <row r="42874" ht="15.75" customHeight="1" spans="1:2">
      <c r="A42874" s="3" t="str">
        <f>IFERROR(__xludf.DUMMYFUNCTION("GOOGLETRANSLATE(A42874,""en"",""pt"")"),"preço barato, facilidade de uso")</f>
        <v>preço barato, facilidade de uso</v>
      </c>
      <c r="B42874" s="3">
        <v>1</v>
      </c>
    </row>
    <row r="42875" ht="15.75" customHeight="1" spans="1:2">
      <c r="A42875" s="3" t="str">
        <f>IFERROR(__xludf.DUMMYFUNCTION("GOOGLETRANSLATE(A42875,""en"",""pt"")"),"Muito boa qualidade de impressão para textos, gráficos e fotos.")</f>
        <v>Muito boa qualidade de impressão para textos, gráficos e fotos.</v>
      </c>
      <c r="B42875" s="3">
        <v>1</v>
      </c>
    </row>
    <row r="42876" ht="15.75" customHeight="1" spans="1:2">
      <c r="A42876" s="3" t="str">
        <f>IFERROR(__xludf.DUMMYFUNCTION("GOOGLETRANSLATE(A42876,""en"",""pt"")"),"Barato, boa qualidade de impressão, cartuchos genéricos são baratos.")</f>
        <v>Barato, boa qualidade de impressão, cartuchos genéricos são baratos.</v>
      </c>
      <c r="B42876" s="3">
        <v>1</v>
      </c>
    </row>
    <row r="42877" ht="15.75" customHeight="1" spans="1:2">
      <c r="A42877" s="3" t="str">
        <f>IFERROR(__xludf.DUMMYFUNCTION("GOOGLETRANSLATE(A42877,""en"",""pt"")"),"barato, barato, barato. Excelente texto e foto impressões de qualidade.")</f>
        <v>barato, barato, barato. Excelente texto e foto impressões de qualidade.</v>
      </c>
      <c r="B42877" s="3">
        <v>1</v>
      </c>
    </row>
    <row r="42878" ht="15.75" customHeight="1" spans="1:2">
      <c r="A42878" s="3" t="str">
        <f>IFERROR(__xludf.DUMMYFUNCTION("GOOGLETRANSLATE(A42878,""en"",""pt"")"),"Nada")</f>
        <v>Nada</v>
      </c>
      <c r="B42878" s="3">
        <v>1</v>
      </c>
    </row>
    <row r="42879" ht="15.75" customHeight="1" spans="1:2">
      <c r="A42879" s="3" t="str">
        <f>IFERROR(__xludf.DUMMYFUNCTION("GOOGLETRANSLATE(A42879,""en"",""pt"")"),"Rápido, de boa qualidade, nunca compotas")</f>
        <v>Rápido, de boa qualidade, nunca compotas</v>
      </c>
      <c r="B42879" s="3">
        <v>1</v>
      </c>
    </row>
    <row r="42880" ht="15.75" customHeight="1" spans="1:2">
      <c r="A42880" s="3" t="str">
        <f>IFERROR(__xludf.DUMMYFUNCTION("GOOGLETRANSLATE(A42880,""en"",""pt"")"),"Super")</f>
        <v>Super</v>
      </c>
      <c r="B42880" s="3">
        <v>1</v>
      </c>
    </row>
    <row r="42881" ht="15.75" customHeight="1" spans="1:2">
      <c r="A42881" s="3" t="str">
        <f>IFERROR(__xludf.DUMMYFUNCTION("GOOGLETRANSLATE(A42881,""en"",""pt"")"),"Ótimo para qualquer projeto. brilhante e clara")</f>
        <v>Ótimo para qualquer projeto. brilhante e clara</v>
      </c>
      <c r="B42881" s="3">
        <v>1</v>
      </c>
    </row>
    <row r="42882" ht="15.75" customHeight="1" spans="1:2">
      <c r="A42882" s="3" t="str">
        <f>IFERROR(__xludf.DUMMYFUNCTION("GOOGLETRANSLATE(A42882,""en"",""pt"")"),"preço")</f>
        <v>preço</v>
      </c>
      <c r="B42882" s="3">
        <v>1</v>
      </c>
    </row>
    <row r="42883" ht="15.75" customHeight="1" spans="1:2">
      <c r="A42883" s="3" t="str">
        <f>IFERROR(__xludf.DUMMYFUNCTION("GOOGLETRANSLATE(A42883,""en"",""pt"")"),"Pode imprimir muito bem, às vezes, bastante razoável")</f>
        <v>Pode imprimir muito bem, às vezes, bastante razoável</v>
      </c>
      <c r="B42883" s="3">
        <v>1</v>
      </c>
    </row>
    <row r="42884" ht="15.75" customHeight="1" spans="1:2">
      <c r="A42884" s="3" t="str">
        <f>IFERROR(__xludf.DUMMYFUNCTION("GOOGLETRANSLATE(A42884,""en"",""pt"")"),"imagens de grande qualidade em uma página velocidade aceitável / minuto")</f>
        <v>imagens de grande qualidade em uma página velocidade aceitável / minuto</v>
      </c>
      <c r="B42884" s="3">
        <v>1</v>
      </c>
    </row>
    <row r="42885" ht="15.75" customHeight="1" spans="1:2">
      <c r="A42885" s="3" t="str">
        <f>IFERROR(__xludf.DUMMYFUNCTION("GOOGLETRANSLATE(A42885,""en"",""pt"")"),"meio barato, funciona bem para a maior parte")</f>
        <v>meio barato, funciona bem para a maior parte</v>
      </c>
      <c r="B42885" s="3">
        <v>1</v>
      </c>
    </row>
    <row r="42886" ht="15.75" customHeight="1" spans="1:2">
      <c r="A42886" s="3" t="str">
        <f>IFERROR(__xludf.DUMMYFUNCTION("GOOGLETRANSLATE(A42886,""en"",""pt"")"),"Preço, silencioso, rápido")</f>
        <v>Preço, silencioso, rápido</v>
      </c>
      <c r="B42886" s="3">
        <v>1</v>
      </c>
    </row>
    <row r="42887" ht="15.75" customHeight="1" spans="1:2">
      <c r="A42887" s="3" t="str">
        <f>IFERROR(__xludf.DUMMYFUNCTION("GOOGLETRANSLATE(A42887,""en"",""pt"")"),"Pelo menos você pode ler o que ele imprime")</f>
        <v>Pelo menos você pode ler o que ele imprime</v>
      </c>
      <c r="B42887" s="3">
        <v>1</v>
      </c>
    </row>
    <row r="42888" ht="15.75" customHeight="1" spans="1:2">
      <c r="A42888" s="3" t="str">
        <f>IFERROR(__xludf.DUMMYFUNCTION("GOOGLETRANSLATE(A42888,""en"",""pt"")"),"Ótimo preço no refurbs")</f>
        <v>Ótimo preço no refurbs</v>
      </c>
      <c r="B42888" s="3">
        <v>1</v>
      </c>
    </row>
    <row r="42889" ht="15.75" customHeight="1" spans="1:2">
      <c r="A42889" s="3" t="str">
        <f>IFERROR(__xludf.DUMMYFUNCTION("GOOGLETRANSLATE(A42889,""en"",""pt"")"),"Grande texto e fotos")</f>
        <v>Grande texto e fotos</v>
      </c>
      <c r="B42889" s="3">
        <v>1</v>
      </c>
    </row>
    <row r="42890" ht="15.75" customHeight="1" spans="1:2">
      <c r="A42890" s="3" t="str">
        <f>IFERROR(__xludf.DUMMYFUNCTION("GOOGLETRANSLATE(A42890,""en"",""pt"")"),"barato, grande apoio")</f>
        <v>barato, grande apoio</v>
      </c>
      <c r="B42890" s="3">
        <v>1</v>
      </c>
    </row>
    <row r="42891" ht="15.75" customHeight="1" spans="1:2">
      <c r="A42891" s="3" t="str">
        <f>IFERROR(__xludf.DUMMYFUNCTION("GOOGLETRANSLATE(A42891,""en"",""pt"")"),"Preço parecia bom quando eu comprei.")</f>
        <v>Preço parecia bom quando eu comprei.</v>
      </c>
      <c r="B42891" s="3">
        <v>1</v>
      </c>
    </row>
    <row r="42892" ht="15.75" customHeight="1" spans="1:2">
      <c r="A42892" s="3" t="str">
        <f>IFERROR(__xludf.DUMMYFUNCTION("GOOGLETRANSLATE(A42892,""en"",""pt"")"),"impressão de texto rápido. Boa impressão de imagem de qualidade.")</f>
        <v>impressão de texto rápido. Boa impressão de imagem de qualidade.</v>
      </c>
      <c r="B42892" s="3">
        <v>1</v>
      </c>
    </row>
    <row r="42893" ht="15.75" customHeight="1" spans="1:2">
      <c r="A42893" s="3" t="str">
        <f>IFERROR(__xludf.DUMMYFUNCTION("GOOGLETRANSLATE(A42893,""en"",""pt"")"),"excelente qualidade fotográfica, fácil de set-up e instalar, todos os grandes de impressora rodada")</f>
        <v>excelente qualidade fotográfica, fácil de set-up e instalar, todos os grandes de impressora rodada</v>
      </c>
      <c r="B42893" s="3">
        <v>1</v>
      </c>
    </row>
    <row r="42894" ht="15.75" customHeight="1" spans="1:2">
      <c r="A42894" s="3" t="str">
        <f>IFERROR(__xludf.DUMMYFUNCTION("GOOGLETRANSLATE(A42894,""en"",""pt"")"),"Boa qualidade Rápido Fácil de usar")</f>
        <v>Boa qualidade Rápido Fácil de usar</v>
      </c>
      <c r="B42894" s="3">
        <v>1</v>
      </c>
    </row>
    <row r="42895" ht="15.75" customHeight="1" spans="1:2">
      <c r="A42895" s="3" t="str">
        <f>IFERROR(__xludf.DUMMYFUNCTION("GOOGLETRANSLATE(A42895,""en"",""pt"")"),"Fácil de usar, de boa qualidade, a preços razoáveis,")</f>
        <v>Fácil de usar, de boa qualidade, a preços razoáveis,</v>
      </c>
      <c r="B42895" s="3">
        <v>1</v>
      </c>
    </row>
    <row r="42896" ht="15.75" customHeight="1" spans="1:2">
      <c r="A42896" s="3" t="str">
        <f>IFERROR(__xludf.DUMMYFUNCTION("GOOGLETRANSLATE(A42896,""en"",""pt"")"),"qualidade de cor")</f>
        <v>qualidade de cor</v>
      </c>
      <c r="B42896" s="3">
        <v>1</v>
      </c>
    </row>
    <row r="42897" ht="15.75" customHeight="1" spans="1:2">
      <c r="A42897" s="3" t="str">
        <f>IFERROR(__xludf.DUMMYFUNCTION("GOOGLETRANSLATE(A42897,""en"",""pt"")"),"Acessível, se não livre com pacotes de computador.")</f>
        <v>Acessível, se não livre com pacotes de computador.</v>
      </c>
      <c r="B42897" s="3">
        <v>1</v>
      </c>
    </row>
    <row r="42898" ht="15.75" customHeight="1" spans="1:2">
      <c r="A42898" s="3" t="str">
        <f>IFERROR(__xludf.DUMMYFUNCTION("GOOGLETRANSLATE(A42898,""en"",""pt"")"),"qualidade de impressão")</f>
        <v>qualidade de impressão</v>
      </c>
      <c r="B42898" s="3">
        <v>1</v>
      </c>
    </row>
    <row r="42899" ht="15.75" customHeight="1" spans="1:2">
      <c r="A42899" s="3" t="str">
        <f>IFERROR(__xludf.DUMMYFUNCTION("GOOGLETRANSLATE(A42899,""en"",""pt"")"),"grande qualidade de impressão, ótimo preço")</f>
        <v>grande qualidade de impressão, ótimo preço</v>
      </c>
      <c r="B42899" s="3">
        <v>1</v>
      </c>
    </row>
    <row r="42900" ht="15.75" customHeight="1" spans="1:2">
      <c r="A42900" s="3" t="str">
        <f>IFERROR(__xludf.DUMMYFUNCTION("GOOGLETRANSLATE(A42900,""en"",""pt"")"),"Ótimo preço, excelente desempenho e valor")</f>
        <v>Ótimo preço, excelente desempenho e valor</v>
      </c>
      <c r="B42900" s="3">
        <v>1</v>
      </c>
    </row>
    <row r="42901" ht="15.75" customHeight="1" spans="1:2">
      <c r="A42901" s="3" t="str">
        <f>IFERROR(__xludf.DUMMYFUNCTION("GOOGLETRANSLATE(A42901,""en"",""pt"")"),"preço, qualidade")</f>
        <v>preço, qualidade</v>
      </c>
      <c r="B42901" s="3">
        <v>1</v>
      </c>
    </row>
    <row r="42902" ht="15.75" customHeight="1" spans="1:2">
      <c r="A42902" s="3" t="str">
        <f>IFERROR(__xludf.DUMMYFUNCTION("GOOGLETRANSLATE(A42902,""en"",""pt"")"),"fácil de operar")</f>
        <v>fácil de operar</v>
      </c>
      <c r="B42902" s="3">
        <v>1</v>
      </c>
    </row>
    <row r="42903" ht="15.75" customHeight="1" spans="1:2">
      <c r="A42903" s="3" t="str">
        <f>IFERROR(__xludf.DUMMYFUNCTION("GOOGLETRANSLATE(A42903,""en"",""pt"")"),"qualidade de impressão é grande, a velocidade é boa")</f>
        <v>qualidade de impressão é grande, a velocidade é boa</v>
      </c>
      <c r="B42903" s="3">
        <v>1</v>
      </c>
    </row>
    <row r="42904" ht="15.75" customHeight="1" spans="1:2">
      <c r="A42904" s="3" t="str">
        <f>IFERROR(__xludf.DUMMYFUNCTION("GOOGLETRANSLATE(A42904,""en"",""pt"")"),"boa cor")</f>
        <v>boa cor</v>
      </c>
      <c r="B42904" s="3">
        <v>1</v>
      </c>
    </row>
    <row r="42905" ht="15.75" customHeight="1" spans="1:2">
      <c r="A42905" s="3" t="str">
        <f>IFERROR(__xludf.DUMMYFUNCTION("GOOGLETRANSLATE(A42905,""en"",""pt"")"),"grande reprodução da foto")</f>
        <v>grande reprodução da foto</v>
      </c>
      <c r="B42905" s="3">
        <v>1</v>
      </c>
    </row>
    <row r="42906" ht="15.75" customHeight="1" spans="1:2">
      <c r="A42906" s="3" t="str">
        <f>IFERROR(__xludf.DUMMYFUNCTION("GOOGLETRANSLATE(A42906,""en"",""pt"")"),"qualidade de impressão, preço, versatilidade")</f>
        <v>qualidade de impressão, preço, versatilidade</v>
      </c>
      <c r="B42906" s="3">
        <v>1</v>
      </c>
    </row>
    <row r="42907" ht="15.75" customHeight="1" spans="1:2">
      <c r="A42907" s="3" t="str">
        <f>IFERROR(__xludf.DUMMYFUNCTION("GOOGLETRANSLATE(A42907,""en"",""pt"")"),"de impressora acessível que produz uma qualidade excepcional cada vez.")</f>
        <v>de impressora acessível que produz uma qualidade excepcional cada vez.</v>
      </c>
      <c r="B42907" s="3">
        <v>1</v>
      </c>
    </row>
    <row r="42908" ht="15.75" customHeight="1" spans="1:2">
      <c r="A42908" s="3" t="str">
        <f>IFERROR(__xludf.DUMMYFUNCTION("GOOGLETRANSLATE(A42908,""en"",""pt"")"),"Grande valor")</f>
        <v>Grande valor</v>
      </c>
      <c r="B42908" s="3">
        <v>1</v>
      </c>
    </row>
    <row r="42909" ht="15.75" customHeight="1" spans="1:2">
      <c r="A42909" s="3" t="str">
        <f>IFERROR(__xludf.DUMMYFUNCTION("GOOGLETRANSLATE(A42909,""en"",""pt"")"),"Pequeno")</f>
        <v>Pequeno</v>
      </c>
      <c r="B42909" s="3">
        <v>1</v>
      </c>
    </row>
    <row r="42910" ht="15.75" customHeight="1" spans="1:2">
      <c r="A42910" s="3" t="str">
        <f>IFERROR(__xludf.DUMMYFUNCTION("GOOGLETRANSLATE(A42910,""en"",""pt"")"),"Fácil de usar / setup, preto &amp; amp separado; amp; cartuchos de cor, papel alças mais pesado")</f>
        <v>Fácil de usar / setup, preto &amp; amp separado; amp; cartuchos de cor, papel alças mais pesado</v>
      </c>
      <c r="B42910" s="3">
        <v>1</v>
      </c>
    </row>
    <row r="42911" ht="15.75" customHeight="1" spans="1:2">
      <c r="A42911" s="3" t="str">
        <f>IFERROR(__xludf.DUMMYFUNCTION("GOOGLETRANSLATE(A42911,""en"",""pt"")"),"custo, confiabilidade, simples de usar")</f>
        <v>custo, confiabilidade, simples de usar</v>
      </c>
      <c r="B42911" s="3">
        <v>1</v>
      </c>
    </row>
    <row r="42912" ht="15.75" customHeight="1" spans="1:2">
      <c r="A42912" s="3" t="str">
        <f>IFERROR(__xludf.DUMMYFUNCTION("GOOGLETRANSLATE(A42912,""en"",""pt"")"),"durável, fácil de usar")</f>
        <v>durável, fácil de usar</v>
      </c>
      <c r="B42912" s="3">
        <v>1</v>
      </c>
    </row>
    <row r="42913" ht="15.75" customHeight="1" spans="1:2">
      <c r="A42913" s="3" t="str">
        <f>IFERROR(__xludf.DUMMYFUNCTION("GOOGLETRANSLATE(A42913,""en"",""pt"")"),"programas de software excelentes")</f>
        <v>programas de software excelentes</v>
      </c>
      <c r="B42913" s="3">
        <v>1</v>
      </c>
    </row>
    <row r="42914" ht="15.75" customHeight="1" spans="1:2">
      <c r="A42914" s="3" t="str">
        <f>IFERROR(__xludf.DUMMYFUNCTION("GOOGLETRANSLATE(A42914,""en"",""pt"")"),"Barato, impressora incrível em geral")</f>
        <v>Barato, impressora incrível em geral</v>
      </c>
      <c r="B42914" s="3">
        <v>1</v>
      </c>
    </row>
    <row r="42915" ht="15.75" customHeight="1" spans="1:2">
      <c r="A42915" s="3" t="str">
        <f>IFERROR(__xludf.DUMMYFUNCTION("GOOGLETRANSLATE(A42915,""en"",""pt"")"),"Eficiente, rápido, fácil de usar")</f>
        <v>Eficiente, rápido, fácil de usar</v>
      </c>
      <c r="B42915" s="3">
        <v>1</v>
      </c>
    </row>
    <row r="42916" ht="15.75" customHeight="1" spans="1:2">
      <c r="A42916" s="3" t="str">
        <f>IFERROR(__xludf.DUMMYFUNCTION("GOOGLETRANSLATE(A42916,""en"",""pt"")"),"Rápido, eficiente")</f>
        <v>Rápido, eficiente</v>
      </c>
      <c r="B42916" s="3">
        <v>1</v>
      </c>
    </row>
    <row r="42917" ht="15.75" customHeight="1" spans="1:2">
      <c r="A42917" s="3" t="str">
        <f>IFERROR(__xludf.DUMMYFUNCTION("GOOGLETRANSLATE(A42917,""en"",""pt"")"),"Boa qualidade de impressão, papel nunca fica encravado, bom preço")</f>
        <v>Boa qualidade de impressão, papel nunca fica encravado, bom preço</v>
      </c>
      <c r="B42917" s="3">
        <v>1</v>
      </c>
    </row>
    <row r="42918" ht="15.75" customHeight="1" spans="1:2">
      <c r="A42918" s="3" t="str">
        <f>IFERROR(__xludf.DUMMYFUNCTION("GOOGLETRANSLATE(A42918,""en"",""pt"")"),"1440x720 dpi, baixo preço, tamanho compacto")</f>
        <v>1440x720 dpi, baixo preço, tamanho compacto</v>
      </c>
      <c r="B42918" s="3">
        <v>1</v>
      </c>
    </row>
    <row r="42919" ht="15.75" customHeight="1" spans="1:2">
      <c r="A42919" s="3" t="str">
        <f>IFERROR(__xludf.DUMMYFUNCTION("GOOGLETRANSLATE(A42919,""en"",""pt"")"),"Imprime soberbamente em Glossy e Inkjet Paper")</f>
        <v>Imprime soberbamente em Glossy e Inkjet Paper</v>
      </c>
      <c r="B42919" s="3">
        <v>1</v>
      </c>
    </row>
    <row r="42920" ht="15.75" customHeight="1" spans="1:2">
      <c r="A42920" s="3" t="str">
        <f>IFERROR(__xludf.DUMMYFUNCTION("GOOGLETRANSLATE(A42920,""en"",""pt"")"),"É barato")</f>
        <v>É barato</v>
      </c>
      <c r="B42920" s="3">
        <v>1</v>
      </c>
    </row>
    <row r="42921" ht="15.75" customHeight="1" spans="1:2">
      <c r="A42921" s="3" t="str">
        <f>IFERROR(__xludf.DUMMYFUNCTION("GOOGLETRANSLATE(A42921,""en"",""pt"")"),"baixo preço, ótimo se usado todos os dias")</f>
        <v>baixo preço, ótimo se usado todos os dias</v>
      </c>
      <c r="B42921" s="3">
        <v>1</v>
      </c>
    </row>
    <row r="42922" ht="15.75" customHeight="1" spans="1:2">
      <c r="A42922" s="3" t="str">
        <f>IFERROR(__xludf.DUMMYFUNCTION("GOOGLETRANSLATE(A42922,""en"",""pt"")"),"Ligações para Mac e PC, saída muito boa para o preço")</f>
        <v>Ligações para Mac e PC, saída muito boa para o preço</v>
      </c>
      <c r="B42922" s="3">
        <v>1</v>
      </c>
    </row>
    <row r="42923" ht="15.75" customHeight="1" spans="1:2">
      <c r="A42923" s="3" t="str">
        <f>IFERROR(__xludf.DUMMYFUNCTION("GOOGLETRANSLATE(A42923,""en"",""pt"")"),"Qualidade, fácil de usar / manter")</f>
        <v>Qualidade, fácil de usar / manter</v>
      </c>
      <c r="B42923" s="3">
        <v>1</v>
      </c>
    </row>
    <row r="42924" ht="15.75" customHeight="1" spans="1:2">
      <c r="A42924" s="3" t="str">
        <f>IFERROR(__xludf.DUMMYFUNCTION("GOOGLETRANSLATE(A42924,""en"",""pt"")"),"Grande qualidade ea preços acessíveis")</f>
        <v>Grande qualidade ea preços acessíveis</v>
      </c>
      <c r="B42924" s="3">
        <v>1</v>
      </c>
    </row>
    <row r="42925" ht="15.75" customHeight="1" spans="1:2">
      <c r="A42925" s="3" t="str">
        <f>IFERROR(__xludf.DUMMYFUNCTION("GOOGLETRANSLATE(A42925,""en"",""pt"")"),"impressão realmente grande qualidade")</f>
        <v>impressão realmente grande qualidade</v>
      </c>
      <c r="B42925" s="3">
        <v>1</v>
      </c>
    </row>
    <row r="42926" ht="15.75" customHeight="1" spans="1:2">
      <c r="A42926" s="3" t="str">
        <f>IFERROR(__xludf.DUMMYFUNCTION("GOOGLETRANSLATE(A42926,""en"",""pt"")"),"impressão clara, sobre o tempo médio de impressão")</f>
        <v>impressão clara, sobre o tempo médio de impressão</v>
      </c>
      <c r="B42926" s="3">
        <v>1</v>
      </c>
    </row>
    <row r="42927" ht="15.75" customHeight="1" spans="1:2">
      <c r="A42927" s="3" t="str">
        <f>IFERROR(__xludf.DUMMYFUNCTION("GOOGLETRANSLATE(A42927,""en"",""pt"")"),"Boa qualidade de imagem")</f>
        <v>Boa qualidade de imagem</v>
      </c>
      <c r="B42927" s="3">
        <v>1</v>
      </c>
    </row>
    <row r="42928" ht="15.75" customHeight="1" spans="1:2">
      <c r="A42928" s="3" t="str">
        <f>IFERROR(__xludf.DUMMYFUNCTION("GOOGLETRANSLATE(A42928,""en"",""pt"")"),"Barato para comprar")</f>
        <v>Barato para comprar</v>
      </c>
      <c r="B42928" s="3">
        <v>1</v>
      </c>
    </row>
    <row r="42929" ht="15.75" customHeight="1" spans="1:2">
      <c r="A42929" s="3" t="str">
        <f>IFERROR(__xludf.DUMMYFUNCTION("GOOGLETRANSLATE(A42929,""en"",""pt"")"),"fácil de navegar local, excelentes preços")</f>
        <v>fácil de navegar local, excelentes preços</v>
      </c>
      <c r="B42929" s="3">
        <v>1</v>
      </c>
    </row>
    <row r="42930" ht="15.75" customHeight="1" spans="1:2">
      <c r="A42930" s="3" t="str">
        <f>IFERROR(__xludf.DUMMYFUNCTION("GOOGLETRANSLATE(A42930,""en"",""pt"")"),"impressão de qualidade, variedade de modelos")</f>
        <v>impressão de qualidade, variedade de modelos</v>
      </c>
      <c r="B42930" s="3">
        <v>1</v>
      </c>
    </row>
    <row r="42931" ht="15.75" customHeight="1" spans="1:2">
      <c r="A42931" s="3" t="str">
        <f>IFERROR(__xludf.DUMMYFUNCTION("GOOGLETRANSLATE(A42931,""en"",""pt"")"),"impressão de boa qualidade")</f>
        <v>impressão de boa qualidade</v>
      </c>
      <c r="B42931" s="3">
        <v>1</v>
      </c>
    </row>
    <row r="42932" ht="15.75" customHeight="1" spans="1:2">
      <c r="A42932" s="3" t="str">
        <f>IFERROR(__xludf.DUMMYFUNCTION("GOOGLETRANSLATE(A42932,""en"",""pt"")"),"O trabalho de impressão e monitor de nível de tinta")</f>
        <v>O trabalho de impressão e monitor de nível de tinta</v>
      </c>
      <c r="B42932" s="3">
        <v>1</v>
      </c>
    </row>
    <row r="42933" ht="15.75" customHeight="1" spans="1:2">
      <c r="A42933" s="3" t="str">
        <f>IFERROR(__xludf.DUMMYFUNCTION("GOOGLETRANSLATE(A42933,""en"",""pt"")"),"Excelente qualidade de impressão, boa velocidade, fácil de configurar")</f>
        <v>Excelente qualidade de impressão, boa velocidade, fácil de configurar</v>
      </c>
      <c r="B42933" s="3">
        <v>1</v>
      </c>
    </row>
    <row r="42934" ht="15.75" customHeight="1" spans="1:2">
      <c r="A42934" s="3" t="str">
        <f>IFERROR(__xludf.DUMMYFUNCTION("GOOGLETRANSLATE(A42934,""en"",""pt"")"),"relação do desempenho do preço")</f>
        <v>relação do desempenho do preço</v>
      </c>
      <c r="B42934" s="3">
        <v>1</v>
      </c>
    </row>
    <row r="42935" ht="15.75" customHeight="1" spans="1:2">
      <c r="A42935" s="3" t="str">
        <f>IFERROR(__xludf.DUMMYFUNCTION("GOOGLETRANSLATE(A42935,""en"",""pt"")"),"Grande qualidade de impressão")</f>
        <v>Grande qualidade de impressão</v>
      </c>
      <c r="B42935" s="3">
        <v>1</v>
      </c>
    </row>
    <row r="42936" ht="15.75" customHeight="1" spans="1:2">
      <c r="A42936" s="3" t="str">
        <f>IFERROR(__xludf.DUMMYFUNCTION("GOOGLETRANSLATE(A42936,""en"",""pt"")"),"pessoal de apoio agradáveis ​​em Epson.")</f>
        <v>pessoal de apoio agradáveis ​​em Epson.</v>
      </c>
      <c r="B42936" s="3">
        <v>1</v>
      </c>
    </row>
    <row r="42937" ht="15.75" customHeight="1" spans="1:2">
      <c r="A42937" s="3" t="str">
        <f>IFERROR(__xludf.DUMMYFUNCTION("GOOGLETRANSLATE(A42937,""en"",""pt"")"),"quieto")</f>
        <v>quieto</v>
      </c>
      <c r="B42937" s="3">
        <v>1</v>
      </c>
    </row>
    <row r="42938" ht="15.75" customHeight="1" spans="1:2">
      <c r="A42938" s="3" t="str">
        <f>IFERROR(__xludf.DUMMYFUNCTION("GOOGLETRANSLATE(A42938,""en"",""pt"")"),"qualidade de impressão v.good")</f>
        <v>qualidade de impressão v.good</v>
      </c>
      <c r="B42938" s="3">
        <v>1</v>
      </c>
    </row>
    <row r="42939" ht="15.75" customHeight="1" spans="1:2">
      <c r="A42939" s="3" t="str">
        <f>IFERROR(__xludf.DUMMYFUNCTION("GOOGLETRANSLATE(A42939,""en"",""pt"")"),"anos de garantia-2")</f>
        <v>anos de garantia-2</v>
      </c>
      <c r="B42939" s="3">
        <v>1</v>
      </c>
    </row>
    <row r="42940" ht="15.75" customHeight="1" spans="1:2">
      <c r="A42940" s="3" t="str">
        <f>IFERROR(__xludf.DUMMYFUNCTION("GOOGLETRANSLATE(A42940,""en"",""pt"")"),"Muito bom texto, ótimos gráficos e fotos")</f>
        <v>Muito bom texto, ótimos gráficos e fotos</v>
      </c>
      <c r="B42940" s="3">
        <v>1</v>
      </c>
    </row>
    <row r="42941" ht="15.75" customHeight="1" spans="1:2">
      <c r="A42941" s="3" t="str">
        <f>IFERROR(__xludf.DUMMYFUNCTION("GOOGLETRANSLATE(A42941,""en"",""pt"")"),"Barato, fácil de usar, produz bons resultados.")</f>
        <v>Barato, fácil de usar, produz bons resultados.</v>
      </c>
      <c r="B42941" s="3">
        <v>1</v>
      </c>
    </row>
    <row r="42942" ht="15.75" customHeight="1" spans="1:2">
      <c r="A42942" s="3" t="str">
        <f>IFERROR(__xludf.DUMMYFUNCTION("GOOGLETRANSLATE(A42942,""en"",""pt"")"),"Baixo custo, saída agradável em diversos meios de comunicação.")</f>
        <v>Baixo custo, saída agradável em diversos meios de comunicação.</v>
      </c>
      <c r="B42942" s="3">
        <v>1</v>
      </c>
    </row>
    <row r="42943" ht="15.75" customHeight="1" spans="1:2">
      <c r="A42943" s="3" t="str">
        <f>IFERROR(__xludf.DUMMYFUNCTION("GOOGLETRANSLATE(A42943,""en"",""pt"")"),"Fiável e resistente! Executa a especificações.")</f>
        <v>Fiável e resistente! Executa a especificações.</v>
      </c>
      <c r="B42943" s="3">
        <v>1</v>
      </c>
    </row>
    <row r="42944" ht="15.75" customHeight="1" spans="1:2">
      <c r="A42944" s="3" t="str">
        <f>IFERROR(__xludf.DUMMYFUNCTION("GOOGLETRANSLATE(A42944,""en"",""pt"")"),"Instalação fácil, rápida")</f>
        <v>Instalação fácil, rápida</v>
      </c>
      <c r="B42944" s="3">
        <v>1</v>
      </c>
    </row>
    <row r="42945" ht="15.75" customHeight="1" spans="1:2">
      <c r="A42945" s="3" t="str">
        <f>IFERROR(__xludf.DUMMYFUNCTION("GOOGLETRANSLATE(A42945,""en"",""pt"")"),"carga para trás, é fácil de usar, medidor de tinta")</f>
        <v>carga para trás, é fácil de usar, medidor de tinta</v>
      </c>
      <c r="B42945" s="3">
        <v>1</v>
      </c>
    </row>
    <row r="42946" ht="15.75" customHeight="1" spans="1:2">
      <c r="A42946" s="3" t="str">
        <f>IFERROR(__xludf.DUMMYFUNCTION("GOOGLETRANSLATE(A42946,""en"",""pt"")"),"Relativamente barato")</f>
        <v>Relativamente barato</v>
      </c>
      <c r="B42946" s="3">
        <v>1</v>
      </c>
    </row>
    <row r="42947" ht="15.75" customHeight="1" spans="1:2">
      <c r="A42947" s="3" t="str">
        <f>IFERROR(__xludf.DUMMYFUNCTION("GOOGLETRANSLATE(A42947,""en"",""pt"")"),"Tudo")</f>
        <v>Tudo</v>
      </c>
      <c r="B42947" s="3">
        <v>1</v>
      </c>
    </row>
    <row r="42948" ht="15.75" customHeight="1" spans="1:2">
      <c r="A42948" s="3" t="str">
        <f>IFERROR(__xludf.DUMMYFUNCTION("GOOGLETRANSLATE(A42948,""en"",""pt"")"),"Grande qualidade de impressão, Imprime em qualquer peso de papel, confiável")</f>
        <v>Grande qualidade de impressão, Imprime em qualquer peso de papel, confiável</v>
      </c>
      <c r="B42948" s="3">
        <v>1</v>
      </c>
    </row>
    <row r="42949" ht="15.75" customHeight="1" spans="1:2">
      <c r="A42949" s="3" t="str">
        <f>IFERROR(__xludf.DUMMYFUNCTION("GOOGLETRANSLATE(A42949,""en"",""pt"")"),"Boa qualidade de impressão para usuários domésticos médios, pegada pequena, a preços acessíveis.")</f>
        <v>Boa qualidade de impressão para usuários domésticos médios, pegada pequena, a preços acessíveis.</v>
      </c>
      <c r="B42949" s="3">
        <v>1</v>
      </c>
    </row>
    <row r="42950" ht="15.75" customHeight="1" spans="1:2">
      <c r="A42950" s="3" t="str">
        <f>IFERROR(__xludf.DUMMYFUNCTION("GOOGLETRANSLATE(A42950,""en"",""pt"")"),"sua cor")</f>
        <v>sua cor</v>
      </c>
      <c r="B42950" s="3">
        <v>1</v>
      </c>
    </row>
    <row r="42951" ht="15.75" customHeight="1" spans="1:2">
      <c r="A42951" s="3" t="str">
        <f>IFERROR(__xludf.DUMMYFUNCTION("GOOGLETRANSLATE(A42951,""en"",""pt"")"),"Começou agradável")</f>
        <v>Começou agradável</v>
      </c>
      <c r="B42951" s="3">
        <v>1</v>
      </c>
    </row>
    <row r="42952" ht="15.75" customHeight="1" spans="1:2">
      <c r="A42952" s="3" t="str">
        <f>IFERROR(__xludf.DUMMYFUNCTION("GOOGLETRANSLATE(A42952,""en"",""pt"")"),"EXCELENTE qualidade de fotos com o papel certo, impressões de texto muito bem, grande velocidade.")</f>
        <v>EXCELENTE qualidade de fotos com o papel certo, impressões de texto muito bem, grande velocidade.</v>
      </c>
      <c r="B42952" s="3">
        <v>1</v>
      </c>
    </row>
    <row r="42953" ht="15.75" customHeight="1" spans="1:2">
      <c r="A42953" s="3" t="str">
        <f>IFERROR(__xludf.DUMMYFUNCTION("GOOGLETRANSLATE(A42953,""en"",""pt"")"),"Fácil de usar e configurar, qualidade decente, confiável")</f>
        <v>Fácil de usar e configurar, qualidade decente, confiável</v>
      </c>
      <c r="B42953" s="3">
        <v>1</v>
      </c>
    </row>
    <row r="42954" ht="15.75" customHeight="1" spans="1:2">
      <c r="A42954" s="3" t="str">
        <f>IFERROR(__xludf.DUMMYFUNCTION("GOOGLETRANSLATE(A42954,""en"",""pt"")"),"rápido, de alta resolução, sem mancha, o custo")</f>
        <v>rápido, de alta resolução, sem mancha, o custo</v>
      </c>
      <c r="B42954" s="3">
        <v>1</v>
      </c>
    </row>
    <row r="42955" ht="15.75" customHeight="1" spans="1:2">
      <c r="A42955" s="3" t="str">
        <f>IFERROR(__xludf.DUMMYFUNCTION("GOOGLETRANSLATE(A42955,""en"",""pt"")"),"boa qualidade, bom preço")</f>
        <v>boa qualidade, bom preço</v>
      </c>
      <c r="B42955" s="3">
        <v>1</v>
      </c>
    </row>
    <row r="42956" ht="15.75" customHeight="1" spans="1:2">
      <c r="A42956" s="3" t="str">
        <f>IFERROR(__xludf.DUMMYFUNCTION("GOOGLETRANSLATE(A42956,""en"",""pt"")"),"Fácil de usar, bom texto e gráficos de qualidade")</f>
        <v>Fácil de usar, bom texto e gráficos de qualidade</v>
      </c>
      <c r="B42956" s="3">
        <v>1</v>
      </c>
    </row>
    <row r="42957" ht="15.75" customHeight="1" spans="1:2">
      <c r="A42957" s="3" t="str">
        <f>IFERROR(__xludf.DUMMYFUNCTION("GOOGLETRANSLATE(A42957,""en"",""pt"")"),"Nenhum")</f>
        <v>Nenhum</v>
      </c>
      <c r="B42957" s="3">
        <v>1</v>
      </c>
    </row>
    <row r="42958" ht="15.75" customHeight="1" spans="1:2">
      <c r="A42958" s="3" t="str">
        <f>IFERROR(__xludf.DUMMYFUNCTION("GOOGLETRANSLATE(A42958,""en"",""pt"")"),"Ei, eu tenho um grande preço sobre ele")</f>
        <v>Ei, eu tenho um grande preço sobre ele</v>
      </c>
      <c r="B42958" s="3">
        <v>1</v>
      </c>
    </row>
    <row r="42959" ht="15.75" customHeight="1" spans="1:2">
      <c r="A42959" s="3" t="str">
        <f>IFERROR(__xludf.DUMMYFUNCTION("GOOGLETRANSLATE(A42959,""en"",""pt"")"),"O preço; versatilidade; não volumosos.")</f>
        <v>O preço; versatilidade; não volumosos.</v>
      </c>
      <c r="B42959" s="3">
        <v>1</v>
      </c>
    </row>
    <row r="42960" ht="15.75" customHeight="1" spans="1:2">
      <c r="A42960" s="3" t="str">
        <f>IFERROR(__xludf.DUMMYFUNCTION("GOOGLETRANSLATE(A42960,""en"",""pt"")"),"barato, boa qualidade de impressão em papéis especiais")</f>
        <v>barato, boa qualidade de impressão em papéis especiais</v>
      </c>
      <c r="B42960" s="3">
        <v>1</v>
      </c>
    </row>
    <row r="42961" ht="15.75" customHeight="1" spans="1:2">
      <c r="A42961" s="3" t="str">
        <f>IFERROR(__xludf.DUMMYFUNCTION("GOOGLETRANSLATE(A42961,""en"",""pt"")"),"Grandes cor e fotografia impressões para o preço")</f>
        <v>Grandes cor e fotografia impressões para o preço</v>
      </c>
      <c r="B42961" s="3">
        <v>1</v>
      </c>
    </row>
    <row r="42962" ht="15.75" customHeight="1" spans="1:2">
      <c r="A42962" s="3" t="str">
        <f>IFERROR(__xludf.DUMMYFUNCTION("GOOGLETRANSLATE(A42962,""en"",""pt"")")," Impressora confiável, de grande qualidade")</f>
        <v> Impressora confiável, de grande qualidade</v>
      </c>
      <c r="B42962" s="3">
        <v>1</v>
      </c>
    </row>
    <row r="42963" ht="15.75" customHeight="1" spans="1:2">
      <c r="A42963" s="3" t="str">
        <f>IFERROR(__xludf.DUMMYFUNCTION("GOOGLETRANSLATE(A42963,""en"",""pt"")"),"Confiável, poderosa, doce")</f>
        <v>Confiável, poderosa, doce</v>
      </c>
      <c r="B42963" s="3">
        <v>1</v>
      </c>
    </row>
    <row r="42964" ht="15.75" customHeight="1" spans="1:2">
      <c r="A42964" s="3" t="str">
        <f>IFERROR(__xludf.DUMMYFUNCTION("GOOGLETRANSLATE(A42964,""en"",""pt"")"),"boa impressora")</f>
        <v>boa impressora</v>
      </c>
      <c r="B42964" s="3">
        <v>1</v>
      </c>
    </row>
    <row r="42965" ht="15.75" customHeight="1" spans="1:2">
      <c r="A42965" s="3" t="str">
        <f>IFERROR(__xludf.DUMMYFUNCTION("GOOGLETRANSLATE(A42965,""en"",""pt"")"),"usado para trabalhar")</f>
        <v>usado para trabalhar</v>
      </c>
      <c r="B42965" s="3">
        <v>1</v>
      </c>
    </row>
    <row r="42966" ht="15.75" customHeight="1" spans="1:2">
      <c r="A42966" s="3" t="str">
        <f>IFERROR(__xludf.DUMMYFUNCTION("GOOGLETRANSLATE(A42966,""en"",""pt"")"),"Grande texto e saída de foto em papel especial; Barato; Lotes de personalizações motorista")</f>
        <v>Grande texto e saída de foto em papel especial; Barato; Lotes de personalizações motorista</v>
      </c>
      <c r="B42966" s="3">
        <v>1</v>
      </c>
    </row>
    <row r="42967" ht="15.75" customHeight="1" spans="1:2">
      <c r="A42967" s="3" t="str">
        <f>IFERROR(__xludf.DUMMYFUNCTION("GOOGLETRANSLATE(A42967,""en"",""pt"")"),"barato, boa qualidade de impressão")</f>
        <v>barato, boa qualidade de impressão</v>
      </c>
      <c r="B42967" s="3">
        <v>1</v>
      </c>
    </row>
    <row r="42968" ht="15.75" customHeight="1" spans="1:2">
      <c r="A42968" s="3" t="str">
        <f>IFERROR(__xludf.DUMMYFUNCTION("GOOGLETRANSLATE(A42968,""en"",""pt"")"),"qualidade de impressão bonita, impressora barata")</f>
        <v>qualidade de impressão bonita, impressora barata</v>
      </c>
      <c r="B42968" s="3">
        <v>1</v>
      </c>
    </row>
    <row r="42969" ht="15.75" customHeight="1" spans="1:2">
      <c r="A42969" s="3" t="str">
        <f>IFERROR(__xludf.DUMMYFUNCTION("GOOGLETRANSLATE(A42969,""en"",""pt"")"),"impressão decente foto, cor clara e B &amp; amp; amp; W, bom preço")</f>
        <v>impressão decente foto, cor clara e B &amp; amp; amp; W, bom preço</v>
      </c>
      <c r="B42969" s="3">
        <v>1</v>
      </c>
    </row>
    <row r="42970" ht="15.75" customHeight="1" spans="1:2">
      <c r="A42970" s="3" t="str">
        <f>IFERROR(__xludf.DUMMYFUNCTION("GOOGLETRANSLATE(A42970,""en"",""pt"")"),"impressão rápida, barata")</f>
        <v>impressão rápida, barata</v>
      </c>
      <c r="B42970" s="3">
        <v>1</v>
      </c>
    </row>
    <row r="42971" ht="15.75" customHeight="1" spans="1:2">
      <c r="A42971" s="3" t="str">
        <f>IFERROR(__xludf.DUMMYFUNCTION("GOOGLETRANSLATE(A42971,""en"",""pt"")"),"grande qualidade, tinta dura muito tempo bom preço")</f>
        <v>grande qualidade, tinta dura muito tempo bom preço</v>
      </c>
      <c r="B42971" s="3">
        <v>1</v>
      </c>
    </row>
    <row r="42972" ht="15.75" customHeight="1" spans="1:2">
      <c r="A42972" s="3" t="str">
        <f>IFERROR(__xludf.DUMMYFUNCTION("GOOGLETRANSLATE(A42972,""en"",""pt"")"),"barato barato barato barato barato!")</f>
        <v>barato barato barato barato barato!</v>
      </c>
      <c r="B42972" s="3">
        <v>1</v>
      </c>
    </row>
    <row r="42973" ht="15.75" customHeight="1" spans="1:2">
      <c r="A42973" s="3" t="str">
        <f>IFERROR(__xludf.DUMMYFUNCTION("GOOGLETRANSLATE(A42973,""en"",""pt"")"),"Excelente qualidade de impressão, configurações ajustáveis ​​para a qualidade da foto para as pessoas, a natureza, etc.")</f>
        <v>Excelente qualidade de impressão, configurações ajustáveis ​​para a qualidade da foto para as pessoas, a natureza, etc.</v>
      </c>
      <c r="B42973" s="3">
        <v>1</v>
      </c>
    </row>
    <row r="42974" ht="15.75" customHeight="1" spans="1:2">
      <c r="A42974" s="3" t="str">
        <f>IFERROR(__xludf.DUMMYFUNCTION("GOOGLETRANSLATE(A42974,""en"",""pt"")"),"Verdadeira impressão de 4 cores, o bom desempenho em papel comum")</f>
        <v>Verdadeira impressão de 4 cores, o bom desempenho em papel comum</v>
      </c>
      <c r="B42974" s="3">
        <v>1</v>
      </c>
    </row>
    <row r="42975" ht="15.75" customHeight="1" spans="1:2">
      <c r="A42975" s="3" t="str">
        <f>IFERROR(__xludf.DUMMYFUNCTION("GOOGLETRANSLATE(A42975,""en"",""pt"")"),"Barato, fácil de configurar")</f>
        <v>Barato, fácil de configurar</v>
      </c>
      <c r="B42975" s="3">
        <v>1</v>
      </c>
    </row>
    <row r="42976" ht="15.75" customHeight="1" spans="1:2">
      <c r="A42976" s="3" t="str">
        <f>IFERROR(__xludf.DUMMYFUNCTION("GOOGLETRANSLATE(A42976,""en"",""pt"")"),"Boa qualidade de impressão")</f>
        <v>Boa qualidade de impressão</v>
      </c>
      <c r="B42976" s="3">
        <v>1</v>
      </c>
    </row>
    <row r="42977" ht="15.75" customHeight="1" spans="1:2">
      <c r="A42977" s="3" t="str">
        <f>IFERROR(__xludf.DUMMYFUNCTION("GOOGLETRANSLATE(A42977,""en"",""pt"")"),"Durável, boa qualidade, barato")</f>
        <v>Durável, boa qualidade, barato</v>
      </c>
      <c r="B42977" s="3">
        <v>1</v>
      </c>
    </row>
    <row r="42978" ht="15.75" customHeight="1" spans="1:2">
      <c r="A42978" s="3" t="str">
        <f>IFERROR(__xludf.DUMMYFUNCTION("GOOGLETRANSLATE(A42978,""en"",""pt"")"),"impressão rápida, excelente qualidade, muito barato")</f>
        <v>impressão rápida, excelente qualidade, muito barato</v>
      </c>
      <c r="B42978" s="3">
        <v>1</v>
      </c>
    </row>
    <row r="42979" ht="15.75" customHeight="1" spans="1:2">
      <c r="A42979" s="3" t="str">
        <f>IFERROR(__xludf.DUMMYFUNCTION("GOOGLETRANSLATE(A42979,""en"",""pt"")"),"barato")</f>
        <v>barato</v>
      </c>
      <c r="B42979" s="3">
        <v>1</v>
      </c>
    </row>
    <row r="42980" ht="15.75" customHeight="1" spans="1:2">
      <c r="A42980" s="3" t="str">
        <f>IFERROR(__xludf.DUMMYFUNCTION("GOOGLETRANSLATE(A42980,""en"",""pt"")"),"preço, qualidade de impressão")</f>
        <v>preço, qualidade de impressão</v>
      </c>
      <c r="B42980" s="3">
        <v>1</v>
      </c>
    </row>
    <row r="42981" ht="15.75" customHeight="1" spans="1:2">
      <c r="A42981" s="3" t="str">
        <f>IFERROR(__xludf.DUMMYFUNCTION("GOOGLETRANSLATE(A42981,""en"",""pt"")"),"rápido e de qualidade e bom")</f>
        <v>rápido e de qualidade e bom</v>
      </c>
      <c r="B42981" s="3">
        <v>1</v>
      </c>
    </row>
    <row r="42982" ht="15.75" customHeight="1" spans="1:2">
      <c r="A42982" s="3" t="str">
        <f>IFERROR(__xludf.DUMMYFUNCTION("GOOGLETRANSLATE(A42982,""en"",""pt"")"),"Alta resolução")</f>
        <v>Alta resolução</v>
      </c>
      <c r="B42982" s="3">
        <v>1</v>
      </c>
    </row>
    <row r="42983" ht="15.75" customHeight="1" spans="1:2">
      <c r="A42983" s="3" t="str">
        <f>IFERROR(__xludf.DUMMYFUNCTION("GOOGLETRANSLATE(A42983,""en"",""pt"")"),"qualidade de impressão agradável")</f>
        <v>qualidade de impressão agradável</v>
      </c>
      <c r="B42983" s="3">
        <v>1</v>
      </c>
    </row>
    <row r="42984" ht="15.75" customHeight="1" spans="1:2">
      <c r="A42984" s="3" t="str">
        <f>IFERROR(__xludf.DUMMYFUNCTION("GOOGLETRANSLATE(A42984,""en"",""pt"")"),"Preço impressão agradável bom serviço direita")</f>
        <v>Preço impressão agradável bom serviço direita</v>
      </c>
      <c r="B42984" s="3">
        <v>1</v>
      </c>
    </row>
    <row r="42985" ht="15.75" customHeight="1" spans="1:2">
      <c r="A42985" s="3" t="str">
        <f>IFERROR(__xludf.DUMMYFUNCTION("GOOGLETRANSLATE(A42985,""en"",""pt"")"),"Barato, impressionante qualidade fotográfica, e ícones de status grandes")</f>
        <v>Barato, impressionante qualidade fotográfica, e ícones de status grandes</v>
      </c>
      <c r="B42985" s="3">
        <v>1</v>
      </c>
    </row>
    <row r="42986" ht="15.75" customHeight="1" spans="1:2">
      <c r="A42986" s="3" t="str">
        <f>IFERROR(__xludf.DUMMYFUNCTION("GOOGLETRANSLATE(A42986,""en"",""pt"")"),"Boa qualidade de impressão")</f>
        <v>Boa qualidade de impressão</v>
      </c>
      <c r="B42986" s="3">
        <v>1</v>
      </c>
    </row>
    <row r="42987" ht="15.75" customHeight="1" spans="1:2">
      <c r="A42987" s="3" t="str">
        <f>IFERROR(__xludf.DUMMYFUNCTION("GOOGLETRANSLATE(A42987,""en"",""pt"")"),"Boa Velocidade de impressão, boa quility, texto limpo e imagem, preço,")</f>
        <v>Boa Velocidade de impressão, boa quility, texto limpo e imagem, preço,</v>
      </c>
      <c r="B42987" s="3">
        <v>1</v>
      </c>
    </row>
    <row r="42988" ht="15.75" customHeight="1" spans="1:2">
      <c r="A42988" s="3" t="str">
        <f>IFERROR(__xludf.DUMMYFUNCTION("GOOGLETRANSLATE(A42988,""en"",""pt"")"),"bom, impressora rápida barato")</f>
        <v>bom, impressora rápida barato</v>
      </c>
      <c r="B42988" s="3">
        <v>1</v>
      </c>
    </row>
    <row r="42989" ht="15.75" customHeight="1" spans="1:2">
      <c r="A42989" s="3" t="str">
        <f>IFERROR(__xludf.DUMMYFUNCTION("GOOGLETRANSLATE(A42989,""en"",""pt"")"),"impressos nítidas e excelentes documentos de texto, imagem muito boa impressão.")</f>
        <v>impressos nítidas e excelentes documentos de texto, imagem muito boa impressão.</v>
      </c>
      <c r="B42989" s="3">
        <v>1</v>
      </c>
    </row>
    <row r="42990" ht="15.75" customHeight="1" spans="1:2">
      <c r="A42990" s="3" t="str">
        <f>IFERROR(__xludf.DUMMYFUNCTION("GOOGLETRANSLATE(A42990,""en"",""pt"")"),"Barato, ótima qualidade de impressão")</f>
        <v>Barato, ótima qualidade de impressão</v>
      </c>
      <c r="B42990" s="3">
        <v>1</v>
      </c>
    </row>
    <row r="42991" ht="15.75" customHeight="1" spans="1:2">
      <c r="A42991" s="3" t="str">
        <f>IFERROR(__xludf.DUMMYFUNCTION("GOOGLETRANSLATE(A42991,""en"",""pt"")"),"Grande texto e qualidade de cor")</f>
        <v>Grande texto e qualidade de cor</v>
      </c>
      <c r="B42991" s="3">
        <v>1</v>
      </c>
    </row>
    <row r="42992" ht="15.75" customHeight="1" spans="1:2">
      <c r="A42992" s="3" t="str">
        <f>IFERROR(__xludf.DUMMYFUNCTION("GOOGLETRANSLATE(A42992,""en"",""pt"")"),"Boa qualidade de impressão, bom preço, opções de configuração decente")</f>
        <v>Boa qualidade de impressão, bom preço, opções de configuração decente</v>
      </c>
      <c r="B42992" s="3">
        <v>1</v>
      </c>
    </row>
    <row r="42993" ht="15.75" customHeight="1" spans="1:2">
      <c r="A42993" s="3" t="str">
        <f>IFERROR(__xludf.DUMMYFUNCTION("GOOGLETRANSLATE(A42993,""en"",""pt"")"),"grande qualidade, bastante tranquilo, barato!")</f>
        <v>grande qualidade, bastante tranquilo, barato!</v>
      </c>
      <c r="B42993" s="3">
        <v>1</v>
      </c>
    </row>
    <row r="42994" ht="15.75" customHeight="1" spans="1:2">
      <c r="A42994" s="3" t="str">
        <f>IFERROR(__xludf.DUMMYFUNCTION("GOOGLETRANSLATE(A42994,""en"",""pt"")"),"Versatilidade e ampliações também muito barato e rápido para o dinheiro")</f>
        <v>Versatilidade e ampliações também muito barato e rápido para o dinheiro</v>
      </c>
      <c r="B42994" s="3">
        <v>1</v>
      </c>
    </row>
    <row r="42995" ht="15.75" customHeight="1" spans="1:2">
      <c r="A42995" s="3" t="str">
        <f>IFERROR(__xludf.DUMMYFUNCTION("GOOGLETRANSLATE(A42995,""en"",""pt"")"),"Ela imprime cópias agradáveis ​​e claras")</f>
        <v>Ela imprime cópias agradáveis ​​e claras</v>
      </c>
      <c r="B42995" s="3">
        <v>1</v>
      </c>
    </row>
    <row r="42996" ht="15.75" customHeight="1" spans="1:2">
      <c r="A42996" s="3" t="str">
        <f>IFERROR(__xludf.DUMMYFUNCTION("GOOGLETRANSLATE(A42996,""en"",""pt"")"),"Preço")</f>
        <v>Preço</v>
      </c>
      <c r="B42996" s="3">
        <v>1</v>
      </c>
    </row>
    <row r="42997" ht="15.75" customHeight="1" spans="1:2">
      <c r="A42997" s="3" t="str">
        <f>IFERROR(__xludf.DUMMYFUNCTION("GOOGLETRANSLATE(A42997,""en"",""pt"")"),"fotos Efficient.Fantastic com qualidade profissional!")</f>
        <v>fotos Efficient.Fantastic com qualidade profissional!</v>
      </c>
      <c r="B42997" s="3">
        <v>1</v>
      </c>
    </row>
    <row r="42998" ht="15.75" customHeight="1" spans="1:2">
      <c r="A42998" s="3" t="str">
        <f>IFERROR(__xludf.DUMMYFUNCTION("GOOGLETRANSLATE(A42998,""en"",""pt"")"),"Conveniente (Semi) de saída com qualidade fotográfica, baixo preço de impressoras e consumíveis")</f>
        <v>Conveniente (Semi) de saída com qualidade fotográfica, baixo preço de impressoras e consumíveis</v>
      </c>
      <c r="B42998" s="3">
        <v>1</v>
      </c>
    </row>
    <row r="42999" ht="15.75" customHeight="1" spans="1:2">
      <c r="A42999" s="3" t="str">
        <f>IFERROR(__xludf.DUMMYFUNCTION("GOOGLETRANSLATE(A42999,""en"",""pt"")"),"Preço baixo, grande qualidade de saída em papel revestido, conectividade USB.")</f>
        <v>Preço baixo, grande qualidade de saída em papel revestido, conectividade USB.</v>
      </c>
      <c r="B42999" s="3">
        <v>1</v>
      </c>
    </row>
    <row r="43000" ht="15.75" customHeight="1" spans="1:2">
      <c r="A43000" s="3" t="str">
        <f>IFERROR(__xludf.DUMMYFUNCTION("GOOGLETRANSLATE(A43000,""en"",""pt"")"),"Grande qualidade de impressão. Fácil de usar.")</f>
        <v>Grande qualidade de impressão. Fácil de usar.</v>
      </c>
      <c r="B43000" s="3">
        <v>1</v>
      </c>
    </row>
    <row r="43001" ht="15.75" customHeight="1" spans="1:2">
      <c r="A43001" s="3" t="str">
        <f>IFERROR(__xludf.DUMMYFUNCTION("GOOGLETRANSLATE(A43001,""en"",""pt"")"),"Excelente cor. Ótimo preço.")</f>
        <v>Excelente cor. Ótimo preço.</v>
      </c>
      <c r="B43001" s="3">
        <v>1</v>
      </c>
    </row>
    <row r="43002" ht="15.75" customHeight="1" spans="1:2">
      <c r="A43002" s="3" t="str">
        <f>IFERROR(__xludf.DUMMYFUNCTION("GOOGLETRANSLATE(A43002,""en"",""pt"")"),"Bom para um tempo curto.")</f>
        <v>Bom para um tempo curto.</v>
      </c>
      <c r="B43002" s="3">
        <v>1</v>
      </c>
    </row>
    <row r="43003" ht="15.75" customHeight="1" spans="1:2">
      <c r="A43003" s="3" t="str">
        <f>IFERROR(__xludf.DUMMYFUNCTION("GOOGLETRANSLATE(A43003,""en"",""pt"")"),"Grande valor em comparação com um HP Ink-Jet P2200.")</f>
        <v>Grande valor em comparação com um HP Ink-Jet P2200.</v>
      </c>
      <c r="B43003" s="3">
        <v>1</v>
      </c>
    </row>
    <row r="43004" ht="15.75" customHeight="1" spans="1:2">
      <c r="A43004" s="3" t="str">
        <f>IFERROR(__xludf.DUMMYFUNCTION("GOOGLETRANSLATE(A43004,""en"",""pt"")"),"Grande reprodução foto em papel fotográfico, rápido, cartuchos fácil de recarga.")</f>
        <v>Grande reprodução foto em papel fotográfico, rápido, cartuchos fácil de recarga.</v>
      </c>
      <c r="B43004" s="3">
        <v>1</v>
      </c>
    </row>
    <row r="43005" ht="15.75" customHeight="1" spans="1:2">
      <c r="A43005" s="3" t="str">
        <f>IFERROR(__xludf.DUMMYFUNCTION("GOOGLETRANSLATE(A43005,""en"",""pt"")"),"Rápido, sem interferência, tinta barata, impressora barata para que o assunto")</f>
        <v>Rápido, sem interferência, tinta barata, impressora barata para que o assunto</v>
      </c>
      <c r="B43005" s="3">
        <v>1</v>
      </c>
    </row>
    <row r="43006" ht="15.75" customHeight="1" spans="1:2">
      <c r="A43006" s="3" t="str">
        <f>IFERROR(__xludf.DUMMYFUNCTION("GOOGLETRANSLATE(A43006,""en"",""pt"")"),"Nenhum")</f>
        <v>Nenhum</v>
      </c>
      <c r="B43006" s="3">
        <v>1</v>
      </c>
    </row>
    <row r="43007" ht="15.75" customHeight="1" spans="1:2">
      <c r="A43007" s="3" t="str">
        <f>IFERROR(__xludf.DUMMYFUNCTION("GOOGLETRANSLATE(A43007,""en"",""pt"")"),"Velocidade e qualidade de impressão")</f>
        <v>Velocidade e qualidade de impressão</v>
      </c>
      <c r="B43007" s="3">
        <v>1</v>
      </c>
    </row>
    <row r="43008" ht="15.75" customHeight="1" spans="1:2">
      <c r="A43008" s="3" t="str">
        <f>IFERROR(__xludf.DUMMYFUNCTION("GOOGLETRANSLATE(A43008,""en"",""pt"")"),"6 ppm a preto e 5 ppm a cores - 1440 x 720 dpi - insanamente barato!")</f>
        <v>6 ppm a preto e 5 ppm a cores - 1440 x 720 dpi - insanamente barato!</v>
      </c>
      <c r="B43008" s="3">
        <v>1</v>
      </c>
    </row>
    <row r="43009" ht="15.75" customHeight="1" spans="1:2">
      <c r="A43009" s="3" t="str">
        <f>IFERROR(__xludf.DUMMYFUNCTION("GOOGLETRANSLATE(A43009,""en"",""pt"")"),"Preço baixo. produto sólido.")</f>
        <v>Preço baixo. produto sólido.</v>
      </c>
      <c r="B43009" s="3">
        <v>1</v>
      </c>
    </row>
    <row r="43010" ht="15.75" customHeight="1" spans="1:2">
      <c r="A43010" s="3" t="str">
        <f>IFERROR(__xludf.DUMMYFUNCTION("GOOGLETRANSLATE(A43010,""en"",""pt"")"),"Cor, rápido, facilidade de uso")</f>
        <v>Cor, rápido, facilidade de uso</v>
      </c>
      <c r="B43010" s="3">
        <v>1</v>
      </c>
    </row>
    <row r="43011" ht="15.75" customHeight="1" spans="1:2">
      <c r="A43011" s="3" t="str">
        <f>IFERROR(__xludf.DUMMYFUNCTION("GOOGLETRANSLATE(A43011,""en"",""pt"")"),"qualidade de cor Foto de alta a um preço excelente!")</f>
        <v>qualidade de cor Foto de alta a um preço excelente!</v>
      </c>
      <c r="B43011" s="3">
        <v>1</v>
      </c>
    </row>
    <row r="43012" ht="15.75" customHeight="1" spans="1:2">
      <c r="A43012" s="3" t="str">
        <f>IFERROR(__xludf.DUMMYFUNCTION("GOOGLETRANSLATE(A43012,""en"",""pt"")"),"Rápido, Qualidade Impecable")</f>
        <v>Rápido, Qualidade Impecable</v>
      </c>
      <c r="B43012" s="3">
        <v>1</v>
      </c>
    </row>
    <row r="43013" ht="15.75" customHeight="1" spans="1:2">
      <c r="A43013" s="3" t="str">
        <f>IFERROR(__xludf.DUMMYFUNCTION("GOOGLETRANSLATE(A43013,""en"",""pt"")"),"recargas de tinta mais baratos fabricados pela Amazon, fácil de usar, custo total barato")</f>
        <v>recargas de tinta mais baratos fabricados pela Amazon, fácil de usar, custo total barato</v>
      </c>
      <c r="B43013" s="3">
        <v>1</v>
      </c>
    </row>
    <row r="43014" ht="15.75" customHeight="1" spans="1:2">
      <c r="A43014" s="3" t="str">
        <f>IFERROR(__xludf.DUMMYFUNCTION("GOOGLETRANSLATE(A43014,""en"",""pt"")"),"Grande qualidade de texto e gráficos")</f>
        <v>Grande qualidade de texto e gráficos</v>
      </c>
      <c r="B43014" s="3">
        <v>1</v>
      </c>
    </row>
    <row r="43015" ht="15.75" customHeight="1" spans="1:2">
      <c r="A43015" s="3" t="str">
        <f>IFERROR(__xludf.DUMMYFUNCTION("GOOGLETRANSLATE(A43015,""en"",""pt"")"),"Fácil de configurar, fácil de usar")</f>
        <v>Fácil de configurar, fácil de usar</v>
      </c>
      <c r="B43015" s="3">
        <v>1</v>
      </c>
    </row>
    <row r="43016" ht="15.75" customHeight="1" spans="1:2">
      <c r="A43016" s="3" t="str">
        <f>IFERROR(__xludf.DUMMYFUNCTION("GOOGLETRANSLATE(A43016,""en"",""pt"")"),"Preço, velocidade, confiabilidade")</f>
        <v>Preço, velocidade, confiabilidade</v>
      </c>
      <c r="B43016" s="3">
        <v>1</v>
      </c>
    </row>
    <row r="43017" ht="15.75" customHeight="1" spans="1:2">
      <c r="A43017" s="3" t="str">
        <f>IFERROR(__xludf.DUMMYFUNCTION("GOOGLETRANSLATE(A43017,""en"",""pt"")"),"indicadores de nível de tinta na impressão")</f>
        <v>indicadores de nível de tinta na impressão</v>
      </c>
      <c r="B43017" s="3">
        <v>1</v>
      </c>
    </row>
    <row r="43018" ht="15.75" customHeight="1" spans="1:2">
      <c r="A43018" s="3" t="str">
        <f>IFERROR(__xludf.DUMMYFUNCTION("GOOGLETRANSLATE(A43018,""en"",""pt"")"),"Rápido, qualidade, barato")</f>
        <v>Rápido, qualidade, barato</v>
      </c>
      <c r="B43018" s="3">
        <v>1</v>
      </c>
    </row>
    <row r="43019" ht="15.75" customHeight="1" spans="1:2">
      <c r="A43019" s="3" t="str">
        <f>IFERROR(__xludf.DUMMYFUNCTION("GOOGLETRANSLATE(A43019,""en"",""pt"")"),"Bom para o preço")</f>
        <v>Bom para o preço</v>
      </c>
      <c r="B43019" s="3">
        <v>1</v>
      </c>
    </row>
    <row r="43020" ht="15.75" customHeight="1" spans="1:2">
      <c r="A43020" s="3" t="str">
        <f>IFERROR(__xludf.DUMMYFUNCTION("GOOGLETRANSLATE(A43020,""en"",""pt"")"),"barato, impressão clara e boa software")</f>
        <v>barato, impressão clara e boa software</v>
      </c>
      <c r="B43020" s="3">
        <v>1</v>
      </c>
    </row>
    <row r="43021" ht="15.75" customHeight="1" spans="1:2">
      <c r="A43021" s="3" t="str">
        <f>IFERROR(__xludf.DUMMYFUNCTION("GOOGLETRANSLATE(A43021,""en"",""pt"")"),"Grande saída barato, preto e branco")</f>
        <v>Grande saída barato, preto e branco</v>
      </c>
      <c r="B43021" s="3">
        <v>1</v>
      </c>
    </row>
    <row r="43022" ht="15.75" customHeight="1" spans="1:2">
      <c r="A43022" s="3" t="str">
        <f>IFERROR(__xludf.DUMMYFUNCTION("GOOGLETRANSLATE(A43022,""en"",""pt"")"),"Pequeno, grande qualidade de impressão")</f>
        <v>Pequeno, grande qualidade de impressão</v>
      </c>
      <c r="B43022" s="3">
        <v>1</v>
      </c>
    </row>
    <row r="43023" ht="15.75" customHeight="1" spans="1:2">
      <c r="A43023" s="3" t="str">
        <f>IFERROR(__xludf.DUMMYFUNCTION("GOOGLETRANSLATE(A43023,""en"",""pt"")"),"acessível, de boa qualidade, bom para projectos, etc.")</f>
        <v>acessível, de boa qualidade, bom para projectos, etc.</v>
      </c>
      <c r="B43023" s="3">
        <v>1</v>
      </c>
    </row>
    <row r="43024" ht="15.75" customHeight="1" spans="1:2">
      <c r="A43024" s="3" t="str">
        <f>IFERROR(__xludf.DUMMYFUNCTION("GOOGLETRANSLATE(A43024,""en"",""pt"")"),"Barato, de boa qualidade")</f>
        <v>Barato, de boa qualidade</v>
      </c>
      <c r="B43024" s="3">
        <v>1</v>
      </c>
    </row>
    <row r="43025" ht="15.75" customHeight="1" spans="1:2">
      <c r="A43025" s="3" t="str">
        <f>IFERROR(__xludf.DUMMYFUNCTION("GOOGLETRANSLATE(A43025,""en"",""pt"")"),"Otima qualidade. Barato")</f>
        <v>Otima qualidade. Barato</v>
      </c>
      <c r="B43025" s="3">
        <v>1</v>
      </c>
    </row>
    <row r="43026" ht="15.75" customHeight="1" spans="1:2">
      <c r="A43026" s="3" t="str">
        <f>IFERROR(__xludf.DUMMYFUNCTION("GOOGLETRANSLATE(A43026,""en"",""pt"")"),"Nenhum")</f>
        <v>Nenhum</v>
      </c>
      <c r="B43026" s="3">
        <v>1</v>
      </c>
    </row>
    <row r="43027" ht="15.75" customHeight="1" spans="1:2">
      <c r="A43027" s="3" t="str">
        <f>IFERROR(__xludf.DUMMYFUNCTION("GOOGLETRANSLATE(A43027,""en"",""pt"")"),"Nome qualidade.")</f>
        <v>Nome qualidade.</v>
      </c>
      <c r="B43027" s="3">
        <v>1</v>
      </c>
    </row>
    <row r="43028" ht="15.75" customHeight="1" spans="1:2">
      <c r="A43028" s="3" t="str">
        <f>IFERROR(__xludf.DUMMYFUNCTION("GOOGLETRANSLATE(A43028,""en"",""pt"")"),"Excelente qualidade de impressão, facilidade de uso, o preço é acessível")</f>
        <v>Excelente qualidade de impressão, facilidade de uso, o preço é acessível</v>
      </c>
      <c r="B43028" s="3">
        <v>1</v>
      </c>
    </row>
    <row r="43029" ht="15.75" customHeight="1" spans="1:2">
      <c r="A43029" s="3" t="str">
        <f>IFERROR(__xludf.DUMMYFUNCTION("GOOGLETRANSLATE(A43029,""en"",""pt"")"),"Grande qualidade quando se trabalha para a direita")</f>
        <v>Grande qualidade quando se trabalha para a direita</v>
      </c>
      <c r="B43029" s="3">
        <v>1</v>
      </c>
    </row>
    <row r="43030" ht="15.75" customHeight="1" spans="1:2">
      <c r="A43030" s="3" t="str">
        <f>IFERROR(__xludf.DUMMYFUNCTION("GOOGLETRANSLATE(A43030,""en"",""pt"")"),"Barato, de qualidade impressões boas")</f>
        <v>Barato, de qualidade impressões boas</v>
      </c>
      <c r="B43030" s="3">
        <v>1</v>
      </c>
    </row>
    <row r="43031" ht="15.75" customHeight="1" spans="1:2">
      <c r="A43031" s="3" t="str">
        <f>IFERROR(__xludf.DUMMYFUNCTION("GOOGLETRANSLATE(A43031,""en"",""pt"")"),"Barato; compatíveis com uma ampla variedade de ligações; impressão de texto decente.")</f>
        <v>Barato; compatíveis com uma ampla variedade de ligações; impressão de texto decente.</v>
      </c>
      <c r="B43031" s="3">
        <v>1</v>
      </c>
    </row>
    <row r="43032" ht="15.75" customHeight="1" spans="1:2">
      <c r="A43032" s="3" t="str">
        <f>IFERROR(__xludf.DUMMYFUNCTION("GOOGLETRANSLATE(A43032,""en"",""pt"")"),"Gosto de imprimir cópias usando esta impressora!")</f>
        <v>Gosto de imprimir cópias usando esta impressora!</v>
      </c>
      <c r="B43032" s="3">
        <v>1</v>
      </c>
    </row>
    <row r="43033" ht="15.75" customHeight="1" spans="1:2">
      <c r="A43033" s="3" t="str">
        <f>IFERROR(__xludf.DUMMYFUNCTION("GOOGLETRANSLATE(A43033,""en"",""pt"")"),"excelente impressão!")</f>
        <v>excelente impressão!</v>
      </c>
      <c r="B43033" s="3">
        <v>1</v>
      </c>
    </row>
    <row r="43034" ht="15.75" customHeight="1" spans="1:2">
      <c r="A43034" s="3" t="str">
        <f>IFERROR(__xludf.DUMMYFUNCTION("GOOGLETRANSLATE(A43034,""en"",""pt"")"),"preço menor velocidade média")</f>
        <v>preço menor velocidade média</v>
      </c>
      <c r="B43034" s="3">
        <v>1</v>
      </c>
    </row>
    <row r="43035" ht="15.75" customHeight="1" spans="1:2">
      <c r="A43035" s="3" t="str">
        <f>IFERROR(__xludf.DUMMYFUNCTION("GOOGLETRANSLATE(A43035,""en"",""pt"")"),"qualidade de saída bom (especialmente em papel revestido), tranquila")</f>
        <v>qualidade de saída bom (especialmente em papel revestido), tranquila</v>
      </c>
      <c r="B43035" s="3">
        <v>1</v>
      </c>
    </row>
    <row r="43036" ht="15.75" customHeight="1" spans="1:2">
      <c r="A43036" s="3" t="str">
        <f>IFERROR(__xludf.DUMMYFUNCTION("GOOGLETRANSLATE(A43036,""en"",""pt"")"),"qualidade de saída Super, instalação simples a um preço notável")</f>
        <v>qualidade de saída Super, instalação simples a um preço notável</v>
      </c>
      <c r="B43036" s="3">
        <v>1</v>
      </c>
    </row>
    <row r="43037" ht="15.75" customHeight="1" spans="1:2">
      <c r="A43037" s="3" t="str">
        <f>IFERROR(__xludf.DUMMYFUNCTION("GOOGLETRANSLATE(A43037,""en"",""pt"")"),"grande cor")</f>
        <v>grande cor</v>
      </c>
      <c r="B43037" s="3">
        <v>1</v>
      </c>
    </row>
    <row r="43038" ht="15.75" customHeight="1" spans="1:2">
      <c r="A43038" s="3" t="str">
        <f>IFERROR(__xludf.DUMMYFUNCTION("GOOGLETRANSLATE(A43038,""en"",""pt"")"),"Incrível preço, grande qualidade, Total Conectividade")</f>
        <v>Incrível preço, grande qualidade, Total Conectividade</v>
      </c>
      <c r="B43038" s="3">
        <v>1</v>
      </c>
    </row>
    <row r="43039" ht="15.75" customHeight="1" spans="1:2">
      <c r="A43039" s="3" t="str">
        <f>IFERROR(__xludf.DUMMYFUNCTION("GOOGLETRANSLATE(A43039,""en"",""pt"")"),"As impressões são ótimos! A qualidade é muito boa eo preço é muito acessível.")</f>
        <v>As impressões são ótimos! A qualidade é muito boa eo preço é muito acessível.</v>
      </c>
      <c r="B43039" s="3">
        <v>1</v>
      </c>
    </row>
    <row r="43040" ht="15.75" customHeight="1" spans="1:2">
      <c r="A43040" s="3" t="str">
        <f>IFERROR(__xludf.DUMMYFUNCTION("GOOGLETRANSLATE(A43040,""en"",""pt"")"),"Mais rápido do que outros modelos")</f>
        <v>Mais rápido do que outros modelos</v>
      </c>
      <c r="B43040" s="3">
        <v>1</v>
      </c>
    </row>
    <row r="43041" ht="15.75" customHeight="1" spans="1:2">
      <c r="A43041" s="3" t="str">
        <f>IFERROR(__xludf.DUMMYFUNCTION("GOOGLETRANSLATE(A43041,""en"",""pt"")"),"excelente qualidade de imagem, velocidade decente, com boa aparência")</f>
        <v>excelente qualidade de imagem, velocidade decente, com boa aparência</v>
      </c>
      <c r="B43041" s="3">
        <v>1</v>
      </c>
    </row>
    <row r="43042" ht="15.75" customHeight="1" spans="1:2">
      <c r="A43042" s="3" t="str">
        <f>IFERROR(__xludf.DUMMYFUNCTION("GOOGLETRANSLATE(A43042,""en"",""pt"")"),"picures cor de qualidade.")</f>
        <v>picures cor de qualidade.</v>
      </c>
      <c r="B43042" s="3">
        <v>1</v>
      </c>
    </row>
    <row r="43043" ht="15.75" customHeight="1" spans="1:2">
      <c r="A43043" s="3" t="str">
        <f>IFERROR(__xludf.DUMMYFUNCTION("GOOGLETRANSLATE(A43043,""en"",""pt"")"),"qualidade de impressão, preço, conectividade USB")</f>
        <v>qualidade de impressão, preço, conectividade USB</v>
      </c>
      <c r="B43043" s="3">
        <v>1</v>
      </c>
    </row>
    <row r="43044" ht="15.75" customHeight="1" spans="1:2">
      <c r="A43044" s="3" t="str">
        <f>IFERROR(__xludf.DUMMYFUNCTION("GOOGLETRANSLATE(A43044,""en"",""pt"")"),"USB, qualidade de imagem, facilidade de utilização, Software Bundle")</f>
        <v>USB, qualidade de imagem, facilidade de utilização, Software Bundle</v>
      </c>
      <c r="B43044" s="3">
        <v>1</v>
      </c>
    </row>
    <row r="43045" ht="15.75" customHeight="1" spans="1:2">
      <c r="A43045" s="3" t="str">
        <f>IFERROR(__xludf.DUMMYFUNCTION("GOOGLETRANSLATE(A43045,""en"",""pt"")"),"Nítida qualidade fotográfica")</f>
        <v>Nítida qualidade fotográfica</v>
      </c>
      <c r="B43045" s="3">
        <v>1</v>
      </c>
    </row>
    <row r="43046" ht="15.75" customHeight="1" spans="1:2">
      <c r="A43046" s="3" t="str">
        <f>IFERROR(__xludf.DUMMYFUNCTION("GOOGLETRANSLATE(A43046,""en"",""pt"")"),"qualidade de impressão, &amp; amp; quot; seco &amp; amp; quot; de tinta, velocidade razoável")</f>
        <v>qualidade de impressão, &amp; amp; quot; seco &amp; amp; quot; de tinta, velocidade razoável</v>
      </c>
      <c r="B43046" s="3">
        <v>1</v>
      </c>
    </row>
    <row r="43047" ht="15.75" customHeight="1" spans="1:2">
      <c r="A43047" s="3" t="str">
        <f>IFERROR(__xludf.DUMMYFUNCTION("GOOGLETRANSLATE(A43047,""en"",""pt"")"),"Bom qualidade, baixo custo")</f>
        <v>Bom qualidade, baixo custo</v>
      </c>
      <c r="B43047" s="3">
        <v>1</v>
      </c>
    </row>
    <row r="43048" ht="15.75" customHeight="1" spans="1:2">
      <c r="A43048" s="3" t="str">
        <f>IFERROR(__xludf.DUMMYFUNCTION("GOOGLETRANSLATE(A43048,""en"",""pt"")"),"Boa qualidade de impressão, facilidade de uso")</f>
        <v>Boa qualidade de impressão, facilidade de uso</v>
      </c>
      <c r="B43048" s="3">
        <v>1</v>
      </c>
    </row>
    <row r="43049" ht="15.75" customHeight="1" spans="1:2">
      <c r="A43049" s="3" t="str">
        <f>IFERROR(__xludf.DUMMYFUNCTION("GOOGLETRANSLATE(A43049,""en"",""pt"")"),"impressões de boa qualidade, a preços razoáveis")</f>
        <v>impressões de boa qualidade, a preços razoáveis</v>
      </c>
      <c r="B43049" s="3">
        <v>1</v>
      </c>
    </row>
    <row r="43050" ht="15.75" customHeight="1" spans="1:2">
      <c r="A43050" s="3" t="str">
        <f>IFERROR(__xludf.DUMMYFUNCTION("GOOGLETRANSLATE(A43050,""en"",""pt"")"),"Boa precisão, de boa qualidade, barato")</f>
        <v>Boa precisão, de boa qualidade, barato</v>
      </c>
      <c r="B43050" s="3">
        <v>1</v>
      </c>
    </row>
    <row r="43051" ht="15.75" customHeight="1" spans="1:2">
      <c r="A43051" s="3" t="str">
        <f>IFERROR(__xludf.DUMMYFUNCTION("GOOGLETRANSLATE(A43051,""en"",""pt"")"),"Fácil set-up, facilidade de uso, excelente qualidade de impressão, facilidade de manutenção")</f>
        <v>Fácil set-up, facilidade de uso, excelente qualidade de impressão, facilidade de manutenção</v>
      </c>
      <c r="B43051" s="3">
        <v>1</v>
      </c>
    </row>
    <row r="43052" ht="15.75" customHeight="1" spans="1:2">
      <c r="A43052" s="3" t="str">
        <f>IFERROR(__xludf.DUMMYFUNCTION("GOOGLETRANSLATE(A43052,""en"",""pt"")"),"Rápido, barato, fácil de usar, qualidade de cor excepcional")</f>
        <v>Rápido, barato, fácil de usar, qualidade de cor excepcional</v>
      </c>
      <c r="B43052" s="3">
        <v>1</v>
      </c>
    </row>
    <row r="43053" ht="15.75" customHeight="1" spans="1:2">
      <c r="A43053" s="3" t="str">
        <f>IFERROR(__xludf.DUMMYFUNCTION("GOOGLETRANSLATE(A43053,""en"",""pt"")"),"Qualidade")</f>
        <v>Qualidade</v>
      </c>
      <c r="B43053" s="3">
        <v>1</v>
      </c>
    </row>
    <row r="43054" ht="15.75" customHeight="1" spans="1:2">
      <c r="A43054" s="3" t="str">
        <f>IFERROR(__xludf.DUMMYFUNCTION("GOOGLETRANSLATE(A43054,""en"",""pt"")"),"Fácil de usar, de boa qualidade, custo.")</f>
        <v>Fácil de usar, de boa qualidade, custo.</v>
      </c>
      <c r="B43054" s="3">
        <v>1</v>
      </c>
    </row>
    <row r="43055" ht="15.75" customHeight="1" spans="1:2">
      <c r="A43055" s="3" t="str">
        <f>IFERROR(__xludf.DUMMYFUNCTION("GOOGLETRANSLATE(A43055,""en"",""pt"")"),"Menor Dot, soberba cor qualidade de imagem em papel comum")</f>
        <v>Menor Dot, soberba cor qualidade de imagem em papel comum</v>
      </c>
      <c r="B43055" s="3">
        <v>1</v>
      </c>
    </row>
    <row r="43056" ht="15.75" customHeight="1" spans="1:2">
      <c r="A43056" s="3" t="str">
        <f>IFERROR(__xludf.DUMMYFUNCTION("GOOGLETRANSLATE(A43056,""en"",""pt"")"),"Qualidade superior")</f>
        <v>Qualidade superior</v>
      </c>
      <c r="B43056" s="3">
        <v>1</v>
      </c>
    </row>
    <row r="43057" ht="15.75" customHeight="1" spans="1:2">
      <c r="A43057" s="3" t="str">
        <f>IFERROR(__xludf.DUMMYFUNCTION("GOOGLETRANSLATE(A43057,""en"",""pt"")"),"Qualidade, facilidade de uso, suporte técnico, serviço ao cliente")</f>
        <v>Qualidade, facilidade de uso, suporte técnico, serviço ao cliente</v>
      </c>
      <c r="B43057" s="3">
        <v>1</v>
      </c>
    </row>
    <row r="43058" ht="15.75" customHeight="1" spans="1:2">
      <c r="A43058" s="3" t="str">
        <f>IFERROR(__xludf.DUMMYFUNCTION("GOOGLETRANSLATE(A43058,""en"",""pt"")"),"A qualidade de impressão, confiabilidade, software incluído")</f>
        <v>A qualidade de impressão, confiabilidade, software incluído</v>
      </c>
      <c r="B43058" s="3">
        <v>1</v>
      </c>
    </row>
    <row r="43059" ht="15.75" customHeight="1" spans="1:2">
      <c r="A43059" s="3" t="str">
        <f>IFERROR(__xludf.DUMMYFUNCTION("GOOGLETRANSLATE(A43059,""en"",""pt"")"),"incrível qualidade de impressão, belas impressões")</f>
        <v>incrível qualidade de impressão, belas impressões</v>
      </c>
      <c r="B43059" s="3">
        <v>1</v>
      </c>
    </row>
    <row r="43060" ht="15.75" customHeight="1" spans="1:2">
      <c r="A43060" s="3" t="str">
        <f>IFERROR(__xludf.DUMMYFUNCTION("GOOGLETRANSLATE(A43060,""en"",""pt"")"),"Fácil de usar, barato, excelente qualidade de cor, compara favoravelmente com uma impressora fotográfica Alpes")</f>
        <v>Fácil de usar, barato, excelente qualidade de cor, compara favoravelmente com uma impressora fotográfica Alpes</v>
      </c>
      <c r="B43060" s="3">
        <v>1</v>
      </c>
    </row>
    <row r="43061" ht="15.75" customHeight="1" spans="1:2">
      <c r="A43061" s="3" t="str">
        <f>IFERROR(__xludf.DUMMYFUNCTION("GOOGLETRANSLATE(A43061,""en"",""pt"")"),"SAÍDA OK")</f>
        <v>SAÍDA OK</v>
      </c>
      <c r="B43061" s="3">
        <v>1</v>
      </c>
    </row>
    <row r="43062" ht="15.75" customHeight="1" spans="1:2">
      <c r="A43062" s="3" t="str">
        <f>IFERROR(__xludf.DUMMYFUNCTION("GOOGLETRANSLATE(A43062,""en"",""pt"")"),"Boa qualidade de texto e gráficos, razoavelmente rápido")</f>
        <v>Boa qualidade de texto e gráficos, razoavelmente rápido</v>
      </c>
      <c r="B43062" s="3">
        <v>1</v>
      </c>
    </row>
    <row r="43063" ht="15.75" customHeight="1" spans="1:2">
      <c r="A43063" s="3" t="str">
        <f>IFERROR(__xludf.DUMMYFUNCTION("GOOGLETRANSLATE(A43063,""en"",""pt"")"),"Muito alta qualidade de impressão, instalação fácil com Macintosh")</f>
        <v>Muito alta qualidade de impressão, instalação fácil com Macintosh</v>
      </c>
      <c r="B43063" s="3">
        <v>1</v>
      </c>
    </row>
    <row r="43064" ht="15.75" customHeight="1" spans="1:2">
      <c r="A43064" s="3" t="str">
        <f>IFERROR(__xludf.DUMMYFUNCTION("GOOGLETRANSLATE(A43064,""en"",""pt"")"),"velocidades rápidas de impressão, custo médio de consumíveis e suporte USB")</f>
        <v>velocidades rápidas de impressão, custo médio de consumíveis e suporte USB</v>
      </c>
      <c r="B43064" s="3">
        <v>1</v>
      </c>
    </row>
    <row r="43065" ht="15.75" customHeight="1" spans="1:2">
      <c r="A43065" s="3" t="str">
        <f>IFERROR(__xludf.DUMMYFUNCTION("GOOGLETRANSLATE(A43065,""en"",""pt"")"),"rápido, grande cor")</f>
        <v>rápido, grande cor</v>
      </c>
      <c r="B43065" s="3">
        <v>1</v>
      </c>
    </row>
    <row r="43066" ht="15.75" customHeight="1" spans="1:2">
      <c r="A43066" s="3" t="str">
        <f>IFERROR(__xludf.DUMMYFUNCTION("GOOGLETRANSLATE(A43066,""en"",""pt"")"),"conexão USB, consumíveis de baixo preço, excelente todos os mid-range de impressora")</f>
        <v>conexão USB, consumíveis de baixo preço, excelente todos os mid-range de impressora</v>
      </c>
      <c r="B43066" s="3">
        <v>1</v>
      </c>
    </row>
    <row r="43067" ht="15.75" customHeight="1" spans="1:2">
      <c r="A43067" s="3" t="str">
        <f>IFERROR(__xludf.DUMMYFUNCTION("GOOGLETRANSLATE(A43067,""en"",""pt"")"),"resistente, tinta separado, a qualidade da foto, multi-connect")</f>
        <v>resistente, tinta separado, a qualidade da foto, multi-connect</v>
      </c>
      <c r="B43067" s="3">
        <v>1</v>
      </c>
    </row>
    <row r="43068" ht="15.75" customHeight="1" spans="1:2">
      <c r="A43068" s="3" t="str">
        <f>IFERROR(__xludf.DUMMYFUNCTION("GOOGLETRANSLATE(A43068,""en"",""pt"")"),"Excelente qualidade de impressão, impressão de texto rápido")</f>
        <v>Excelente qualidade de impressão, impressão de texto rápido</v>
      </c>
      <c r="B43068" s="3">
        <v>1</v>
      </c>
    </row>
    <row r="43069" ht="15.75" customHeight="1" spans="1:2">
      <c r="A43069" s="3" t="str">
        <f>IFERROR(__xludf.DUMMYFUNCTION("GOOGLETRANSLATE(A43069,""en"",""pt"")"),"Para o preço, é um grande impressão")</f>
        <v>Para o preço, é um grande impressão</v>
      </c>
      <c r="B43069" s="3">
        <v>1</v>
      </c>
    </row>
    <row r="43070" ht="15.75" customHeight="1" spans="1:2">
      <c r="A43070" s="3" t="str">
        <f>IFERROR(__xludf.DUMMYFUNCTION("GOOGLETRANSLATE(A43070,""en"",""pt"")"),"Rápido, fácil de usar")</f>
        <v>Rápido, fácil de usar</v>
      </c>
      <c r="B43070" s="3">
        <v>1</v>
      </c>
    </row>
    <row r="43071" ht="15.75" customHeight="1" spans="1:2">
      <c r="A43071" s="3" t="str">
        <f>IFERROR(__xludf.DUMMYFUNCTION("GOOGLETRANSLATE(A43071,""en"",""pt"")"),"Imprime rápido, alimenta um papel de cada vez")</f>
        <v>Imprime rápido, alimenta um papel de cada vez</v>
      </c>
      <c r="B43071" s="3">
        <v>1</v>
      </c>
    </row>
    <row r="43072" ht="15.75" customHeight="1" spans="1:2">
      <c r="A43072" s="3" t="str">
        <f>IFERROR(__xludf.DUMMYFUNCTION("GOOGLETRANSLATE(A43072,""en"",""pt"")"),"Velocidade, vida útil do cartucho, preço")</f>
        <v>Velocidade, vida útil do cartucho, preço</v>
      </c>
      <c r="B43072" s="3">
        <v>1</v>
      </c>
    </row>
    <row r="43073" ht="15.75" customHeight="1" spans="1:2">
      <c r="A43073" s="3" t="str">
        <f>IFERROR(__xludf.DUMMYFUNCTION("GOOGLETRANSLATE(A43073,""en"",""pt"")"),"Eu não consigo pensar em nenhum!")</f>
        <v>Eu não consigo pensar em nenhum!</v>
      </c>
      <c r="B43073" s="3">
        <v>1</v>
      </c>
    </row>
    <row r="43074" ht="15.75" customHeight="1" spans="1:2">
      <c r="A43074" s="3" t="str">
        <f>IFERROR(__xludf.DUMMYFUNCTION("GOOGLETRANSLATE(A43074,""en"",""pt"")"),"Barato; Alta qualidade; Software da impressora incluído")</f>
        <v>Barato; Alta qualidade; Software da impressora incluído</v>
      </c>
      <c r="B43074" s="3">
        <v>1</v>
      </c>
    </row>
    <row r="43075" ht="15.75" customHeight="1" spans="1:2">
      <c r="A43075" s="3" t="str">
        <f>IFERROR(__xludf.DUMMYFUNCTION("GOOGLETRANSLATE(A43075,""en"",""pt"")"),"sua aight")</f>
        <v>sua aight</v>
      </c>
      <c r="B43075" s="3">
        <v>1</v>
      </c>
    </row>
    <row r="43076" ht="15.75" customHeight="1" spans="1:2">
      <c r="A43076" s="3" t="str">
        <f>IFERROR(__xludf.DUMMYFUNCTION("GOOGLETRANSLATE(A43076,""en"",""pt"")"),"Cor grande saída, fácil de usar, instala em minutos")</f>
        <v>Cor grande saída, fácil de usar, instala em minutos</v>
      </c>
      <c r="B43076" s="3">
        <v>1</v>
      </c>
    </row>
    <row r="43077" ht="15.75" customHeight="1" spans="1:2">
      <c r="A43077" s="3" t="str">
        <f>IFERROR(__xludf.DUMMYFUNCTION("GOOGLETRANSLATE(A43077,""en"",""pt"")"),"Rápido, belas impressões, barato")</f>
        <v>Rápido, belas impressões, barato</v>
      </c>
      <c r="B43077" s="3">
        <v>1</v>
      </c>
    </row>
    <row r="43078" ht="15.75" customHeight="1" spans="1:2">
      <c r="A43078" s="3" t="str">
        <f>IFERROR(__xludf.DUMMYFUNCTION("GOOGLETRANSLATE(A43078,""en"",""pt"")"),"Boa qualidade rápido.")</f>
        <v>Boa qualidade rápido.</v>
      </c>
      <c r="B43078" s="3">
        <v>1</v>
      </c>
    </row>
    <row r="43079" ht="15.75" customHeight="1" spans="1:2">
      <c r="A43079" s="3" t="str">
        <f>IFERROR(__xludf.DUMMYFUNCTION("GOOGLETRANSLATE(A43079,""en"",""pt"")"),"impressões de grande qualidade")</f>
        <v>impressões de grande qualidade</v>
      </c>
      <c r="B43079" s="3">
        <v>1</v>
      </c>
    </row>
    <row r="43080" ht="15.75" customHeight="1" spans="1:2">
      <c r="A43080" s="3" t="str">
        <f>IFERROR(__xludf.DUMMYFUNCTION("GOOGLETRANSLATE(A43080,""en"",""pt"")"),"Alta qualidade impressões, barato, Durável")</f>
        <v>Alta qualidade impressões, barato, Durável</v>
      </c>
      <c r="B43080" s="3">
        <v>1</v>
      </c>
    </row>
    <row r="43081" ht="15.75" customHeight="1" spans="1:2">
      <c r="A43081" s="3" t="str">
        <f>IFERROR(__xludf.DUMMYFUNCTION("GOOGLETRANSLATE(A43081,""en"",""pt"")"),"USB, qualidade surpreendente para seu baixo custo")</f>
        <v>USB, qualidade surpreendente para seu baixo custo</v>
      </c>
      <c r="B43081" s="3">
        <v>1</v>
      </c>
    </row>
    <row r="43082" ht="15.75" customHeight="1" spans="1:2">
      <c r="A43082" s="3" t="str">
        <f>IFERROR(__xludf.DUMMYFUNCTION("GOOGLETRANSLATE(A43082,""en"",""pt"")"),"Grande qualidade de impressão e velocidade. Alças pilhas de qualquer cartão de tamanho ou envelope.")</f>
        <v>Grande qualidade de impressão e velocidade. Alças pilhas de qualquer cartão de tamanho ou envelope.</v>
      </c>
      <c r="B43082" s="3">
        <v>1</v>
      </c>
    </row>
    <row r="43083" ht="15.75" customHeight="1" spans="1:2">
      <c r="A43083" s="3" t="str">
        <f>IFERROR(__xludf.DUMMYFUNCTION("GOOGLETRANSLATE(A43083,""en"",""pt"")"),"preço, facilidade de operação, resolução")</f>
        <v>preço, facilidade de operação, resolução</v>
      </c>
      <c r="B43083" s="3">
        <v>1</v>
      </c>
    </row>
    <row r="43084" ht="15.75" customHeight="1" spans="1:2">
      <c r="A43084" s="3" t="str">
        <f>IFERROR(__xludf.DUMMYFUNCTION("GOOGLETRANSLATE(A43084,""en"",""pt"")"),"foto espetacular potencial de produção de qualidade")</f>
        <v>foto espetacular potencial de produção de qualidade</v>
      </c>
      <c r="B43084" s="3">
        <v>1</v>
      </c>
    </row>
    <row r="43085" ht="15.75" customHeight="1" spans="1:2">
      <c r="A43085" s="3" t="str">
        <f>IFERROR(__xludf.DUMMYFUNCTION("GOOGLETRANSLATE(A43085,""en"",""pt"")"),"bom todo impressora de propósito")</f>
        <v>bom todo impressora de propósito</v>
      </c>
      <c r="B43085" s="3">
        <v>1</v>
      </c>
    </row>
    <row r="43086" ht="15.75" customHeight="1" spans="1:2">
      <c r="A43086" s="3" t="str">
        <f>IFERROR(__xludf.DUMMYFUNCTION("GOOGLETRANSLATE(A43086,""en"",""pt"")"),"breaks nunca")</f>
        <v>breaks nunca</v>
      </c>
      <c r="B43086" s="3">
        <v>1</v>
      </c>
    </row>
    <row r="43087" ht="15.75" customHeight="1" spans="1:2">
      <c r="A43087" s="3" t="str">
        <f>IFERROR(__xludf.DUMMYFUNCTION("GOOGLETRANSLATE(A43087,""en"",""pt"")"),"impressão agradável, mesmo em cartões de índice e envelopes, Bom preço!")</f>
        <v>impressão agradável, mesmo em cartões de índice e envelopes, Bom preço!</v>
      </c>
      <c r="B43087" s="3">
        <v>1</v>
      </c>
    </row>
    <row r="43088" ht="15.75" customHeight="1" spans="1:2">
      <c r="A43088" s="3" t="str">
        <f>IFERROR(__xludf.DUMMYFUNCTION("GOOGLETRANSLATE(A43088,""en"",""pt"")"),"grande qualidade de impressão, preço de compra razoável")</f>
        <v>grande qualidade de impressão, preço de compra razoável</v>
      </c>
      <c r="B43088" s="3">
        <v>1</v>
      </c>
    </row>
    <row r="43089" ht="15.75" customHeight="1" spans="1:2">
      <c r="A43089" s="3" t="str">
        <f>IFERROR(__xludf.DUMMYFUNCTION("GOOGLETRANSLATE(A43089,""en"",""pt"")"),"Grande impressão de fotos, ótimo preço.")</f>
        <v>Grande impressão de fotos, ótimo preço.</v>
      </c>
      <c r="B43089" s="3">
        <v>1</v>
      </c>
    </row>
    <row r="43090" ht="15.75" customHeight="1" spans="1:2">
      <c r="A43090" s="3" t="str">
        <f>IFERROR(__xludf.DUMMYFUNCTION("GOOGLETRANSLATE(A43090,""en"",""pt"")"),"Preço, imagens impressas")</f>
        <v>Preço, imagens impressas</v>
      </c>
      <c r="B43090" s="3">
        <v>1</v>
      </c>
    </row>
    <row r="43091" ht="15.75" customHeight="1" spans="1:2">
      <c r="A43091" s="3" t="str">
        <f>IFERROR(__xludf.DUMMYFUNCTION("GOOGLETRANSLATE(A43091,""en"",""pt"")"),"saída de qualidade decente, um bom software")</f>
        <v>saída de qualidade decente, um bom software</v>
      </c>
      <c r="B43091" s="3">
        <v>1</v>
      </c>
    </row>
    <row r="43092" ht="15.75" customHeight="1" spans="1:2">
      <c r="A43092" s="3" t="str">
        <f>IFERROR(__xludf.DUMMYFUNCTION("GOOGLETRANSLATE(A43092,""en"",""pt"")"),"Fácil de usar e não muito caro!")</f>
        <v>Fácil de usar e não muito caro!</v>
      </c>
      <c r="B43092" s="3">
        <v>1</v>
      </c>
    </row>
    <row r="43093" ht="15.75" customHeight="1" spans="1:2">
      <c r="A43093" s="3" t="str">
        <f>IFERROR(__xludf.DUMMYFUNCTION("GOOGLETRANSLATE(A43093,""en"",""pt"")"),"acelerar quando usado com frequência.")</f>
        <v>acelerar quando usado com frequência.</v>
      </c>
      <c r="B43093" s="3">
        <v>1</v>
      </c>
    </row>
    <row r="43094" ht="15.75" customHeight="1" spans="1:2">
      <c r="A43094" s="3" t="str">
        <f>IFERROR(__xludf.DUMMYFUNCTION("GOOGLETRANSLATE(A43094,""en"",""pt"")"),"Fácil de configurar USB, preço, qualidade de impressão a cores")</f>
        <v>Fácil de configurar USB, preço, qualidade de impressão a cores</v>
      </c>
      <c r="B43094" s="3">
        <v>1</v>
      </c>
    </row>
    <row r="43095" ht="15.75" customHeight="1" spans="1:2">
      <c r="A43095" s="3" t="str">
        <f>IFERROR(__xludf.DUMMYFUNCTION("GOOGLETRANSLATE(A43095,""en"",""pt"")"),"hardware confiável, excelente qualidade de impressão")</f>
        <v>hardware confiável, excelente qualidade de impressão</v>
      </c>
      <c r="B43095" s="3">
        <v>1</v>
      </c>
    </row>
    <row r="43096" ht="15.75" customHeight="1" spans="1:2">
      <c r="A43096" s="3" t="str">
        <f>IFERROR(__xludf.DUMMYFUNCTION("GOOGLETRANSLATE(A43096,""en"",""pt"")"),"Muito rápido, de alta qualidade")</f>
        <v>Muito rápido, de alta qualidade</v>
      </c>
      <c r="B43096" s="3">
        <v>1</v>
      </c>
    </row>
    <row r="43097" ht="15.75" customHeight="1" spans="1:2">
      <c r="A43097" s="3" t="str">
        <f>IFERROR(__xludf.DUMMYFUNCTION("GOOGLETRANSLATE(A43097,""en"",""pt"")"),"rápido e bom e barato")</f>
        <v>rápido e bom e barato</v>
      </c>
      <c r="B43097" s="3">
        <v>1</v>
      </c>
    </row>
    <row r="43098" ht="15.75" customHeight="1" spans="1:2">
      <c r="A43098" s="3" t="str">
        <f>IFERROR(__xludf.DUMMYFUNCTION("GOOGLETRANSLATE(A43098,""en"",""pt"")"),"Grande cor, grande qualidade, excelente serviço")</f>
        <v>Grande cor, grande qualidade, excelente serviço</v>
      </c>
      <c r="B43098" s="3">
        <v>1</v>
      </c>
    </row>
    <row r="43099" ht="15.75" customHeight="1" spans="1:2">
      <c r="A43099" s="3" t="str">
        <f>IFERROR(__xludf.DUMMYFUNCTION("GOOGLETRANSLATE(A43099,""en"",""pt"")"),"qualidade de impressão agradável")</f>
        <v>qualidade de impressão agradável</v>
      </c>
      <c r="B43099" s="3">
        <v>1</v>
      </c>
    </row>
    <row r="43100" ht="15.75" customHeight="1" spans="1:2">
      <c r="A43100" s="3" t="str">
        <f>IFERROR(__xludf.DUMMYFUNCTION("GOOGLETRANSLATE(A43100,""en"",""pt"")"),"Grande qualidade de impressão com aparência profissional")</f>
        <v>Grande qualidade de impressão com aparência profissional</v>
      </c>
      <c r="B43100" s="3">
        <v>1</v>
      </c>
    </row>
    <row r="43101" ht="15.75" customHeight="1" spans="1:2">
      <c r="A43101" s="3" t="str">
        <f>IFERROR(__xludf.DUMMYFUNCTION("GOOGLETRANSLATE(A43101,""en"",""pt"")"),"Grande produto, Suporte")</f>
        <v>Grande produto, Suporte</v>
      </c>
      <c r="B43101" s="3">
        <v>1</v>
      </c>
    </row>
    <row r="43102" ht="15.75" customHeight="1" spans="1:2">
      <c r="A43102" s="3" t="str">
        <f>IFERROR(__xludf.DUMMYFUNCTION("GOOGLETRANSLATE(A43102,""en"",""pt"")"),"Perto Laser Qualidade e belas fotos feitas barata.")</f>
        <v>Perto Laser Qualidade e belas fotos feitas barata.</v>
      </c>
      <c r="B43102" s="3">
        <v>1</v>
      </c>
    </row>
    <row r="43103" ht="15.75" customHeight="1" spans="1:2">
      <c r="A43103" s="3" t="str">
        <f>IFERROR(__xludf.DUMMYFUNCTION("GOOGLETRANSLATE(A43103,""en"",""pt"")"),"Excelente atendimento ao cliente")</f>
        <v>Excelente atendimento ao cliente</v>
      </c>
      <c r="B43103" s="3">
        <v>1</v>
      </c>
    </row>
    <row r="43104" ht="15.75" customHeight="1" spans="1:2">
      <c r="A43104" s="3" t="str">
        <f>IFERROR(__xludf.DUMMYFUNCTION("GOOGLETRANSLATE(A43104,""en"",""pt"")"),"boa qualidade, bom preço, windows / mac compatível")</f>
        <v>boa qualidade, bom preço, windows / mac compatível</v>
      </c>
      <c r="B43104" s="3">
        <v>1</v>
      </c>
    </row>
    <row r="43105" ht="15.75" customHeight="1" spans="1:2">
      <c r="A43105" s="3" t="str">
        <f>IFERROR(__xludf.DUMMYFUNCTION("GOOGLETRANSLATE(A43105,""en"",""pt"")"),"Qualidade, preço, compatibilidade")</f>
        <v>Qualidade, preço, compatibilidade</v>
      </c>
      <c r="B43105" s="3">
        <v>1</v>
      </c>
    </row>
    <row r="43106" ht="15.75" customHeight="1" spans="1:2">
      <c r="A43106" s="3" t="str">
        <f>IFERROR(__xludf.DUMMYFUNCTION("GOOGLETRANSLATE(A43106,""en"",""pt"")"),"Um grande, pouco impressora barata.")</f>
        <v>Um grande, pouco impressora barata.</v>
      </c>
      <c r="B43106" s="3">
        <v>1</v>
      </c>
    </row>
    <row r="43107" ht="15.75" customHeight="1" spans="1:2">
      <c r="A43107" s="3" t="str">
        <f>IFERROR(__xludf.DUMMYFUNCTION("GOOGLETRANSLATE(A43107,""en"",""pt"")"),"impressão rápida, foto como a qualidade")</f>
        <v>impressão rápida, foto como a qualidade</v>
      </c>
      <c r="B43107" s="3">
        <v>1</v>
      </c>
    </row>
    <row r="43108" ht="15.75" customHeight="1" spans="1:2">
      <c r="A43108" s="3" t="str">
        <f>IFERROR(__xludf.DUMMYFUNCTION("GOOGLETRANSLATE(A43108,""en"",""pt"")"),"Rápido, cópias nítidas")</f>
        <v>Rápido, cópias nítidas</v>
      </c>
      <c r="B43108" s="3">
        <v>1</v>
      </c>
    </row>
    <row r="43109" ht="15.75" customHeight="1" spans="1:2">
      <c r="A43109" s="3" t="str">
        <f>IFERROR(__xludf.DUMMYFUNCTION("GOOGLETRANSLATE(A43109,""en"",""pt"")"),"Grande qualidade, bom preço")</f>
        <v>Grande qualidade, bom preço</v>
      </c>
      <c r="B43109" s="3">
        <v>1</v>
      </c>
    </row>
    <row r="43110" ht="15.75" customHeight="1" spans="1:2">
      <c r="A43110" s="3" t="str">
        <f>IFERROR(__xludf.DUMMYFUNCTION("GOOGLETRANSLATE(A43110,""en"",""pt"")"),"Apenas sobre tudo!")</f>
        <v>Apenas sobre tudo!</v>
      </c>
      <c r="B43110" s="3">
        <v>1</v>
      </c>
    </row>
    <row r="43111" ht="15.75" customHeight="1" spans="1:2">
      <c r="A43111" s="3" t="str">
        <f>IFERROR(__xludf.DUMMYFUNCTION("GOOGLETRANSLATE(A43111,""en"",""pt"")"),"valor")</f>
        <v>valor</v>
      </c>
      <c r="B43111" s="3">
        <v>1</v>
      </c>
    </row>
    <row r="43112" ht="15.75" customHeight="1" spans="1:2">
      <c r="A43112" s="3" t="str">
        <f>IFERROR(__xludf.DUMMYFUNCTION("GOOGLETRANSLATE(A43112,""en"",""pt"")"),"Grande software incluído!")</f>
        <v>Grande software incluído!</v>
      </c>
      <c r="B43112" s="3">
        <v>1</v>
      </c>
    </row>
    <row r="43113" ht="15.75" customHeight="1" spans="1:2">
      <c r="A43113" s="3" t="str">
        <f>IFERROR(__xludf.DUMMYFUNCTION("GOOGLETRANSLATE(A43113,""en"",""pt"")"),"Cor qualidade de impressão, preço, facilidade de uso")</f>
        <v>Cor qualidade de impressão, preço, facilidade de uso</v>
      </c>
      <c r="B43113" s="3">
        <v>1</v>
      </c>
    </row>
    <row r="43114" ht="15.75" customHeight="1" spans="1:2">
      <c r="A43114" s="3" t="str">
        <f>IFERROR(__xludf.DUMMYFUNCTION("GOOGLETRANSLATE(A43114,""en"",""pt"")"),"Barato para a qualidade")</f>
        <v>Barato para a qualidade</v>
      </c>
      <c r="B43114" s="3">
        <v>1</v>
      </c>
    </row>
    <row r="43115" ht="15.75" customHeight="1" spans="1:2">
      <c r="A43115" s="3" t="str">
        <f>IFERROR(__xludf.DUMMYFUNCTION("GOOGLETRANSLATE(A43115,""en"",""pt"")"),"qualidade da foto grrrrreat")</f>
        <v>qualidade da foto grrrrreat</v>
      </c>
      <c r="B43115" s="3">
        <v>1</v>
      </c>
    </row>
    <row r="43116" ht="15.75" customHeight="1" spans="1:2">
      <c r="A43116" s="3" t="str">
        <f>IFERROR(__xludf.DUMMYFUNCTION("GOOGLETRANSLATE(A43116,""en"",""pt"")"),"Grande qualidade de impressão")</f>
        <v>Grande qualidade de impressão</v>
      </c>
      <c r="B43116" s="3">
        <v>1</v>
      </c>
    </row>
    <row r="43117" ht="15.75" customHeight="1" spans="1:2">
      <c r="A43117" s="3" t="str">
        <f>IFERROR(__xludf.DUMMYFUNCTION("GOOGLETRANSLATE(A43117,""en"",""pt"")"),"saída Beautiful!")</f>
        <v>saída Beautiful!</v>
      </c>
      <c r="B43117" s="3">
        <v>1</v>
      </c>
    </row>
    <row r="43118" ht="15.75" customHeight="1" spans="1:2">
      <c r="A43118" s="3" t="str">
        <f>IFERROR(__xludf.DUMMYFUNCTION("GOOGLETRANSLATE(A43118,""en"",""pt"")"),"Great Home impressora, a qualidade da imagem na Glossy é grande !, Facilidade de Instalação, cartucho de tinta Instalar é soo fácil!")</f>
        <v>Great Home impressora, a qualidade da imagem na Glossy é grande !, Facilidade de Instalação, cartucho de tinta Instalar é soo fácil!</v>
      </c>
      <c r="B43118" s="3">
        <v>1</v>
      </c>
    </row>
    <row r="43119" ht="15.75" customHeight="1" spans="1:2">
      <c r="A43119" s="3" t="str">
        <f>IFERROR(__xludf.DUMMYFUNCTION("GOOGLETRANSLATE(A43119,""en"",""pt"")"),"Grande detalhe, alta dpi")</f>
        <v>Grande detalhe, alta dpi</v>
      </c>
      <c r="B43119" s="3">
        <v>1</v>
      </c>
    </row>
    <row r="43120" ht="15.75" customHeight="1" spans="1:2">
      <c r="A43120" s="3" t="str">
        <f>IFERROR(__xludf.DUMMYFUNCTION("GOOGLETRANSLATE(A43120,""en"",""pt"")"),"Excelentes fotos dos quartos")</f>
        <v>Excelentes fotos dos quartos</v>
      </c>
      <c r="B43120" s="3">
        <v>1</v>
      </c>
    </row>
    <row r="43121" ht="15.75" customHeight="1" spans="1:2">
      <c r="A43121" s="3" t="str">
        <f>IFERROR(__xludf.DUMMYFUNCTION("GOOGLETRANSLATE(A43121,""en"",""pt"")"),"bela qualidade fotográfica, desempenho confiável, grande driver de impressora")</f>
        <v>bela qualidade fotográfica, desempenho confiável, grande driver de impressora</v>
      </c>
      <c r="B43121" s="3">
        <v>1</v>
      </c>
    </row>
    <row r="43122" ht="15.75" customHeight="1" spans="1:2">
      <c r="A43122" s="3" t="str">
        <f>IFERROR(__xludf.DUMMYFUNCTION("GOOGLETRANSLATE(A43122,""en"",""pt"")"),"impressão de boa qualidade")</f>
        <v>impressão de boa qualidade</v>
      </c>
      <c r="B43122" s="3">
        <v>1</v>
      </c>
    </row>
    <row r="43123" ht="15.75" customHeight="1" spans="1:2">
      <c r="A43123" s="3" t="str">
        <f>IFERROR(__xludf.DUMMYFUNCTION("GOOGLETRANSLATE(A43123,""en"",""pt"")"),"Mac &amp; amp; amp; Compatibilidade do Windows")</f>
        <v>Mac &amp; amp; amp; Compatibilidade do Windows</v>
      </c>
      <c r="B43123" s="3">
        <v>1</v>
      </c>
    </row>
    <row r="43124" ht="15.75" customHeight="1" spans="1:2">
      <c r="A43124" s="3" t="str">
        <f>IFERROR(__xludf.DUMMYFUNCTION("GOOGLETRANSLATE(A43124,""en"",""pt"")"),"imprime sem interferência")</f>
        <v>imprime sem interferência</v>
      </c>
      <c r="B43124" s="3">
        <v>1</v>
      </c>
    </row>
    <row r="43125" ht="15.75" customHeight="1" spans="1:2">
      <c r="A43125" s="3" t="str">
        <f>IFERROR(__xludf.DUMMYFUNCTION("GOOGLETRANSLATE(A43125,""en"",""pt"")"),"Bom para texto")</f>
        <v>Bom para texto</v>
      </c>
      <c r="B43125" s="3">
        <v>1</v>
      </c>
    </row>
    <row r="43126" ht="15.75" customHeight="1" spans="1:2">
      <c r="A43126" s="3" t="str">
        <f>IFERROR(__xludf.DUMMYFUNCTION("GOOGLETRANSLATE(A43126,""en"",""pt"")"),"grande valor, qualidade decente")</f>
        <v>grande valor, qualidade decente</v>
      </c>
      <c r="B43126" s="3">
        <v>1</v>
      </c>
    </row>
    <row r="43127" ht="15.75" customHeight="1" spans="1:2">
      <c r="A43127" s="3" t="str">
        <f>IFERROR(__xludf.DUMMYFUNCTION("GOOGLETRANSLATE(A43127,""en"",""pt"")"),"Bom valor")</f>
        <v>Bom valor</v>
      </c>
      <c r="B43127" s="3">
        <v>1</v>
      </c>
    </row>
    <row r="43128" ht="15.75" customHeight="1" spans="1:2">
      <c r="A43128" s="3" t="str">
        <f>IFERROR(__xludf.DUMMYFUNCTION("GOOGLETRANSLATE(A43128,""en"",""pt"")"),"Barato, boa impressão")</f>
        <v>Barato, boa impressão</v>
      </c>
      <c r="B43128" s="3">
        <v>1</v>
      </c>
    </row>
    <row r="43129" ht="15.75" customHeight="1" spans="1:2">
      <c r="A43129" s="3" t="str">
        <f>IFERROR(__xludf.DUMMYFUNCTION("GOOGLETRANSLATE(A43129,""en"",""pt"")"),"grande qualidade, baixo, baixo, baixo preço inicial.")</f>
        <v>grande qualidade, baixo, baixo, baixo preço inicial.</v>
      </c>
      <c r="B43129" s="3">
        <v>1</v>
      </c>
    </row>
    <row r="43130" ht="15.75" customHeight="1" spans="1:2">
      <c r="A43130" s="3" t="str">
        <f>IFERROR(__xludf.DUMMYFUNCTION("GOOGLETRANSLATE(A43130,""en"",""pt"")"),"qualidade de impressão bonita em primeiro")</f>
        <v>qualidade de impressão bonita em primeiro</v>
      </c>
      <c r="B43130" s="3">
        <v>1</v>
      </c>
    </row>
    <row r="43131" ht="15.75" customHeight="1" spans="1:2">
      <c r="A43131" s="3" t="str">
        <f>IFERROR(__xludf.DUMMYFUNCTION("GOOGLETRANSLATE(A43131,""en"",""pt"")"),"boa impressão de fotos")</f>
        <v>boa impressão de fotos</v>
      </c>
      <c r="B43131" s="3">
        <v>1</v>
      </c>
    </row>
    <row r="43132" ht="15.75" customHeight="1" spans="1:2">
      <c r="A43132" s="3" t="str">
        <f>IFERROR(__xludf.DUMMYFUNCTION("GOOGLETRANSLATE(A43132,""en"",""pt"")"),"Foto a cores de qualidade laser e texto nítido. Configuração rápida e fácil.")</f>
        <v>Foto a cores de qualidade laser e texto nítido. Configuração rápida e fácil.</v>
      </c>
      <c r="B43132" s="3">
        <v>1</v>
      </c>
    </row>
    <row r="43133" ht="15.75" customHeight="1" spans="1:2">
      <c r="A43133" s="3" t="str">
        <f>IFERROR(__xludf.DUMMYFUNCTION("GOOGLETRANSLATE(A43133,""en"",""pt"")"),"Muito impressões de alta qualidade ou impressões bastante rápidas em resoluções mais baixas")</f>
        <v>Muito impressões de alta qualidade ou impressões bastante rápidas em resoluções mais baixas</v>
      </c>
      <c r="B43133" s="3">
        <v>1</v>
      </c>
    </row>
    <row r="43134" ht="15.75" customHeight="1" spans="1:2">
      <c r="A43134" s="3" t="str">
        <f>IFERROR(__xludf.DUMMYFUNCTION("GOOGLETRANSLATE(A43134,""en"",""pt"")"),"boa qualidade de impressão, fácil configuração, USB / suporte Parallel")</f>
        <v>boa qualidade de impressão, fácil configuração, USB / suporte Parallel</v>
      </c>
      <c r="B43134" s="3">
        <v>1</v>
      </c>
    </row>
    <row r="43135" ht="15.75" customHeight="1" spans="1:2">
      <c r="A43135" s="3" t="str">
        <f>IFERROR(__xludf.DUMMYFUNCTION("GOOGLETRANSLATE(A43135,""en"",""pt"")"),"barato, grande impressão")</f>
        <v>barato, grande impressão</v>
      </c>
      <c r="B43135" s="3">
        <v>1</v>
      </c>
    </row>
    <row r="43136" ht="15.75" customHeight="1" spans="1:2">
      <c r="A43136" s="3" t="str">
        <f>IFERROR(__xludf.DUMMYFUNCTION("GOOGLETRANSLATE(A43136,""en"",""pt"")"),"Qualidade de impressão, confiável, boa velocidade, manuseamento de papel, tinta barata disponível")</f>
        <v>Qualidade de impressão, confiável, boa velocidade, manuseamento de papel, tinta barata disponível</v>
      </c>
      <c r="B43136" s="3">
        <v>1</v>
      </c>
    </row>
    <row r="43137" ht="15.75" customHeight="1" spans="1:2">
      <c r="A43137" s="3" t="str">
        <f>IFERROR(__xludf.DUMMYFUNCTION("GOOGLETRANSLATE(A43137,""en"",""pt"")"),"bom preço")</f>
        <v>bom preço</v>
      </c>
      <c r="B43137" s="3">
        <v>1</v>
      </c>
    </row>
    <row r="43138" ht="15.75" customHeight="1" spans="1:2">
      <c r="A43138" s="3" t="str">
        <f>IFERROR(__xludf.DUMMYFUNCTION("GOOGLETRANSLATE(A43138,""en"",""pt"")"),"Grande impressão a cores, excelente manuseio de papel, USB e capaz de série (Mac)")</f>
        <v>Grande impressão a cores, excelente manuseio de papel, USB e capaz de série (Mac)</v>
      </c>
      <c r="B43138" s="3">
        <v>1</v>
      </c>
    </row>
    <row r="43139" ht="15.75" customHeight="1" spans="1:2">
      <c r="A43139" s="3" t="str">
        <f>IFERROR(__xludf.DUMMYFUNCTION("GOOGLETRANSLATE(A43139,""en"",""pt"")"),"impressão de alta qualidade, multi-plataforma, qualidade de imagem razoável, bom valor")</f>
        <v>impressão de alta qualidade, multi-plataforma, qualidade de imagem razoável, bom valor</v>
      </c>
      <c r="B43139" s="3">
        <v>1</v>
      </c>
    </row>
    <row r="43140" ht="15.75" customHeight="1" spans="1:2">
      <c r="A43140" s="3" t="str">
        <f>IFERROR(__xludf.DUMMYFUNCTION("GOOGLETRANSLATE(A43140,""en"",""pt"")"),"Realmente grande procura Pictures. Bom preço.")</f>
        <v>Realmente grande procura Pictures. Bom preço.</v>
      </c>
      <c r="B43140" s="3">
        <v>1</v>
      </c>
    </row>
    <row r="43141" ht="15.75" customHeight="1" spans="1:2">
      <c r="A43141" s="3" t="str">
        <f>IFERROR(__xludf.DUMMYFUNCTION("GOOGLETRANSLATE(A43141,""en"",""pt"")"),"Excelente qualidade de impressão")</f>
        <v>Excelente qualidade de impressão</v>
      </c>
      <c r="B43141" s="3">
        <v>1</v>
      </c>
    </row>
    <row r="43142" ht="15.75" customHeight="1" spans="1:2">
      <c r="A43142" s="3" t="str">
        <f>IFERROR(__xludf.DUMMYFUNCTION("GOOGLETRANSLATE(A43142,""en"",""pt"")"),"Barato, boa qualidade de impressão")</f>
        <v>Barato, boa qualidade de impressão</v>
      </c>
      <c r="B43142" s="3">
        <v>1</v>
      </c>
    </row>
    <row r="43143" ht="15.75" customHeight="1" spans="1:2">
      <c r="A43143" s="3" t="str">
        <f>IFERROR(__xludf.DUMMYFUNCTION("GOOGLETRANSLATE(A43143,""en"",""pt"")"),"Printing, especialmente de alta qualidade quando usado em papel fotográfico; &amp; Lt; i &amp; gt; &amp; lt; b &amp; gt; raramente &amp; lt; / i &amp; gt; &amp; lt; / b &amp; gt; compotas; &amp; amp; # 13; &amp; amp; # 10; fácil de usar")</f>
        <v>Printing, especialmente de alta qualidade quando usado em papel fotográfico; &amp; Lt; i &amp; gt; &amp; lt; b &amp; gt; raramente &amp; lt; / i &amp; gt; &amp; lt; / b &amp; gt; compotas; &amp; amp; # 13; &amp; amp; # 10; fácil de usar</v>
      </c>
      <c r="B43143" s="3">
        <v>1</v>
      </c>
    </row>
    <row r="43144" ht="15.75" customHeight="1" spans="1:2">
      <c r="A43144" s="3" t="str">
        <f>IFERROR(__xludf.DUMMYFUNCTION("GOOGLETRANSLATE(A43144,""en"",""pt"")"),"Muito alta qualidade, impressão rápida de texto, cores vibrantes.")</f>
        <v>Muito alta qualidade, impressão rápida de texto, cores vibrantes.</v>
      </c>
      <c r="B43144" s="3">
        <v>1</v>
      </c>
    </row>
    <row r="43145" ht="15.75" customHeight="1" spans="1:2">
      <c r="A43145" s="3" t="str">
        <f>IFERROR(__xludf.DUMMYFUNCTION("GOOGLETRANSLATE(A43145,""en"",""pt"")"),"Rápido, boa qualidade de impressão, versáteis, motorista personalizável, tintas baratos")</f>
        <v>Rápido, boa qualidade de impressão, versáteis, motorista personalizável, tintas baratos</v>
      </c>
      <c r="B43145" s="3">
        <v>1</v>
      </c>
    </row>
    <row r="43146" ht="15.75" customHeight="1" spans="1:2">
      <c r="A43146" s="3" t="str">
        <f>IFERROR(__xludf.DUMMYFUNCTION("GOOGLETRANSLATE(A43146,""en"",""pt"")"),"A grande qualidade, robusto, confiável")</f>
        <v>A grande qualidade, robusto, confiável</v>
      </c>
      <c r="B43146" s="3">
        <v>1</v>
      </c>
    </row>
    <row r="43147" ht="15.75" customHeight="1" spans="1:2">
      <c r="A43147" s="3" t="str">
        <f>IFERROR(__xludf.DUMMYFUNCTION("GOOGLETRANSLATE(A43147,""en"",""pt"")"),"Eu não consigo pensar em nenhum.")</f>
        <v>Eu não consigo pensar em nenhum.</v>
      </c>
      <c r="B43147" s="3">
        <v>1</v>
      </c>
    </row>
    <row r="43148" ht="15.75" customHeight="1" spans="1:2">
      <c r="A43148" s="3" t="str">
        <f>IFERROR(__xludf.DUMMYFUNCTION("GOOGLETRANSLATE(A43148,""en"",""pt"")"),"Qualidade muito boa, de texto rápida e impressão de baixa qualidade, barato")</f>
        <v>Qualidade muito boa, de texto rápida e impressão de baixa qualidade, barato</v>
      </c>
      <c r="B43148" s="3">
        <v>1</v>
      </c>
    </row>
    <row r="43149" ht="15.75" customHeight="1" spans="1:2">
      <c r="A43149" s="3" t="str">
        <f>IFERROR(__xludf.DUMMYFUNCTION("GOOGLETRANSLATE(A43149,""en"",""pt"")"),"preço")</f>
        <v>preço</v>
      </c>
      <c r="B43149" s="3">
        <v>1</v>
      </c>
    </row>
    <row r="43150" ht="15.75" customHeight="1" spans="1:2">
      <c r="A43150" s="3" t="str">
        <f>IFERROR(__xludf.DUMMYFUNCTION("GOOGLETRANSLATE(A43150,""en"",""pt"")"),"boa Cor")</f>
        <v>boa Cor</v>
      </c>
      <c r="B43150" s="3">
        <v>1</v>
      </c>
    </row>
    <row r="43151" ht="15.75" customHeight="1" spans="1:2">
      <c r="A43151" s="3" t="str">
        <f>IFERROR(__xludf.DUMMYFUNCTION("GOOGLETRANSLATE(A43151,""en"",""pt"")"),"velocidade de impressão")</f>
        <v>velocidade de impressão</v>
      </c>
      <c r="B43151" s="3">
        <v>1</v>
      </c>
    </row>
    <row r="43152" ht="15.75" customHeight="1" spans="1:2">
      <c r="A43152" s="3" t="str">
        <f>IFERROR(__xludf.DUMMYFUNCTION("GOOGLETRANSLATE(A43152,""en"",""pt"")"),"projeto Kicky, desempenho de qualidade")</f>
        <v>projeto Kicky, desempenho de qualidade</v>
      </c>
      <c r="B43152" s="3">
        <v>1</v>
      </c>
    </row>
    <row r="43153" ht="15.75" customHeight="1" spans="1:2">
      <c r="A43153" s="3" t="str">
        <f>IFERROR(__xludf.DUMMYFUNCTION("GOOGLETRANSLATE(A43153,""en"",""pt"")"),"6 ppm cor preta 5 ppm, de longa duração cartuchos de tinta")</f>
        <v>6 ppm cor preta 5 ppm, de longa duração cartuchos de tinta</v>
      </c>
      <c r="B43153" s="3">
        <v>1</v>
      </c>
    </row>
    <row r="43154" ht="15.75" customHeight="1" spans="1:2">
      <c r="A43154" s="3" t="str">
        <f>IFERROR(__xludf.DUMMYFUNCTION("GOOGLETRANSLATE(A43154,""en"",""pt"")"),"Livre, de boa qualidade, velocidade razoável")</f>
        <v>Livre, de boa qualidade, velocidade razoável</v>
      </c>
      <c r="B43154" s="3">
        <v>1</v>
      </c>
    </row>
    <row r="43155" ht="15.75" customHeight="1" spans="1:2">
      <c r="A43155" s="3" t="str">
        <f>IFERROR(__xludf.DUMMYFUNCTION("GOOGLETRANSLATE(A43155,""en"",""pt"")"),"Parece bom, funciona bem, não muito caro")</f>
        <v>Parece bom, funciona bem, não muito caro</v>
      </c>
      <c r="B43155" s="3">
        <v>1</v>
      </c>
    </row>
    <row r="43156" ht="15.75" customHeight="1" spans="1:2">
      <c r="A43156" s="3" t="str">
        <f>IFERROR(__xludf.DUMMYFUNCTION("GOOGLETRANSLATE(A43156,""en"",""pt"")"),"facilidade, rapidez, confiabilidade, qualidade")</f>
        <v>facilidade, rapidez, confiabilidade, qualidade</v>
      </c>
      <c r="B43156" s="3">
        <v>1</v>
      </c>
    </row>
    <row r="43157" ht="15.75" customHeight="1" spans="1:2">
      <c r="A43157" s="3" t="str">
        <f>IFERROR(__xludf.DUMMYFUNCTION("GOOGLETRANSLATE(A43157,""en"",""pt"")"),"Pequeno, olhar fresco, e boa cor")</f>
        <v>Pequeno, olhar fresco, e boa cor</v>
      </c>
      <c r="B43157" s="3">
        <v>1</v>
      </c>
    </row>
    <row r="43158" ht="15.75" customHeight="1" spans="1:2">
      <c r="A43158" s="3" t="str">
        <f>IFERROR(__xludf.DUMMYFUNCTION("GOOGLETRANSLATE(A43158,""en"",""pt"")"),"Qualidade, preço, facilidade de utilização, velocidade")</f>
        <v>Qualidade, preço, facilidade de utilização, velocidade</v>
      </c>
      <c r="B43158" s="3">
        <v>1</v>
      </c>
    </row>
    <row r="43159" ht="15.75" customHeight="1" spans="1:2">
      <c r="A43159" s="3" t="str">
        <f>IFERROR(__xludf.DUMMYFUNCTION("GOOGLETRANSLATE(A43159,""en"",""pt"")"),"$ 50 Rebate, boa qualidade, rápido, True Color, Accurate, veio com 3 títulos de software")</f>
        <v>$ 50 Rebate, boa qualidade, rápido, True Color, Accurate, veio com 3 títulos de software</v>
      </c>
      <c r="B43159" s="3">
        <v>1</v>
      </c>
    </row>
    <row r="43160" ht="15.75" customHeight="1" spans="1:2">
      <c r="A43160" s="3" t="str">
        <f>IFERROR(__xludf.DUMMYFUNCTION("GOOGLETRANSLATE(A43160,""en"",""pt"")"),"Qualidade, rápido, fácil, bom para Fotos")</f>
        <v>Qualidade, rápido, fácil, bom para Fotos</v>
      </c>
      <c r="B43160" s="3">
        <v>1</v>
      </c>
    </row>
    <row r="43161" ht="15.75" customHeight="1" spans="1:2">
      <c r="A43161" s="3" t="str">
        <f>IFERROR(__xludf.DUMMYFUNCTION("GOOGLETRANSLATE(A43161,""en"",""pt"")"),"Grande qualidade de impressão para o dinheiro.")</f>
        <v>Grande qualidade de impressão para o dinheiro.</v>
      </c>
      <c r="B43161" s="3">
        <v>1</v>
      </c>
    </row>
    <row r="43162" ht="15.75" customHeight="1" spans="1:2">
      <c r="A43162" s="3" t="str">
        <f>IFERROR(__xludf.DUMMYFUNCTION("GOOGLETRANSLATE(A43162,""en"",""pt"")"),"Fácil de usar, barato, não tinta devore, cartuchos são fáceis de carregar, imagens de qualidade")</f>
        <v>Fácil de usar, barato, não tinta devore, cartuchos são fáceis de carregar, imagens de qualidade</v>
      </c>
      <c r="B43162" s="3">
        <v>1</v>
      </c>
    </row>
    <row r="43163" ht="15.75" customHeight="1" spans="1:2">
      <c r="A43163" s="3" t="str">
        <f>IFERROR(__xludf.DUMMYFUNCTION("GOOGLETRANSLATE(A43163,""en"",""pt"")"),"Excelente tempo de impressão")</f>
        <v>Excelente tempo de impressão</v>
      </c>
      <c r="B43163" s="3">
        <v>1</v>
      </c>
    </row>
    <row r="43164" ht="15.75" customHeight="1" spans="1:2">
      <c r="A43164" s="3" t="str">
        <f>IFERROR(__xludf.DUMMYFUNCTION("GOOGLETRANSLATE(A43164,""en"",""pt"")"),"boa qualidade, não muito caro")</f>
        <v>boa qualidade, não muito caro</v>
      </c>
      <c r="B43164" s="3">
        <v>1</v>
      </c>
    </row>
    <row r="43165" ht="15.75" customHeight="1" spans="1:2">
      <c r="A43165" s="3" t="str">
        <f>IFERROR(__xludf.DUMMYFUNCTION("GOOGLETRANSLATE(A43165,""en"",""pt"")"),"Toda a qualidade redor")</f>
        <v>Toda a qualidade redor</v>
      </c>
      <c r="B43165" s="3">
        <v>1</v>
      </c>
    </row>
    <row r="43166" ht="15.75" customHeight="1" spans="1:2">
      <c r="A43166" s="3" t="str">
        <f>IFERROR(__xludf.DUMMYFUNCTION("GOOGLETRANSLATE(A43166,""en"",""pt"")"),"Great B &amp; amp; amp; qualidade W, Mac e PC compatível, USB")</f>
        <v>Great B &amp; amp; amp; qualidade W, Mac e PC compatível, USB</v>
      </c>
      <c r="B43166" s="3">
        <v>1</v>
      </c>
    </row>
    <row r="43167" ht="15.75" customHeight="1" spans="1:2">
      <c r="A43167" s="3" t="str">
        <f>IFERROR(__xludf.DUMMYFUNCTION("GOOGLETRANSLATE(A43167,""en"",""pt"")"),"boa qualidade de impressão, confiável")</f>
        <v>boa qualidade de impressão, confiável</v>
      </c>
      <c r="B43167" s="3">
        <v>1</v>
      </c>
    </row>
    <row r="43168" ht="15.75" customHeight="1" spans="1:2">
      <c r="A43168" s="3" t="str">
        <f>IFERROR(__xludf.DUMMYFUNCTION("GOOGLETRANSLATE(A43168,""en"",""pt"")"),"Resolução, preço, tamanho")</f>
        <v>Resolução, preço, tamanho</v>
      </c>
      <c r="B43168" s="3">
        <v>1</v>
      </c>
    </row>
    <row r="43169" ht="15.75" customHeight="1" spans="1:2">
      <c r="A43169" s="3" t="str">
        <f>IFERROR(__xludf.DUMMYFUNCTION("GOOGLETRANSLATE(A43169,""en"",""pt"")"),"Preço")</f>
        <v>Preço</v>
      </c>
      <c r="B43169" s="3">
        <v>1</v>
      </c>
    </row>
    <row r="43170" ht="15.75" customHeight="1" spans="1:2">
      <c r="A43170" s="3" t="str">
        <f>IFERROR(__xludf.DUMMYFUNCTION("GOOGLETRANSLATE(A43170,""en"",""pt"")"),"impressões bem, fácil de instalar")</f>
        <v>impressões bem, fácil de instalar</v>
      </c>
      <c r="B43170" s="3">
        <v>1</v>
      </c>
    </row>
    <row r="43171" ht="15.75" customHeight="1" spans="1:2">
      <c r="A43171" s="3" t="str">
        <f>IFERROR(__xludf.DUMMYFUNCTION("GOOGLETRANSLATE(A43171,""en"",""pt"")"),"Fácil de instalar, cartuchos de tinta são razoáveis, fácil de usar, PC &amp; amp; Mac compatível")</f>
        <v>Fácil de instalar, cartuchos de tinta são razoáveis, fácil de usar, PC &amp; amp; Mac compatível</v>
      </c>
      <c r="B43171" s="3">
        <v>1</v>
      </c>
    </row>
    <row r="43172" ht="15.75" customHeight="1" spans="1:2">
      <c r="A43172" s="3" t="str">
        <f>IFERROR(__xludf.DUMMYFUNCTION("GOOGLETRANSLATE(A43172,""en"",""pt"")"),"impressão de alta qualidade. os cartuchos de tinta separados.")</f>
        <v>impressão de alta qualidade. os cartuchos de tinta separados.</v>
      </c>
      <c r="B43172" s="3">
        <v>1</v>
      </c>
    </row>
    <row r="43173" ht="15.75" customHeight="1" spans="1:2">
      <c r="A43173" s="3" t="str">
        <f>IFERROR(__xludf.DUMMYFUNCTION("GOOGLETRANSLATE(A43173,""en"",""pt"")"),"barato, confiável e pequena")</f>
        <v>barato, confiável e pequena</v>
      </c>
      <c r="B43173" s="3">
        <v>1</v>
      </c>
    </row>
    <row r="43174" ht="15.75" customHeight="1" spans="1:2">
      <c r="A43174" s="3" t="str">
        <f>IFERROR(__xludf.DUMMYFUNCTION("GOOGLETRANSLATE(A43174,""en"",""pt"")"),"impressora de baixo custo. Várias maneiras de ligá-lo.")</f>
        <v>impressora de baixo custo. Várias maneiras de ligá-lo.</v>
      </c>
      <c r="B43174" s="3">
        <v>1</v>
      </c>
    </row>
    <row r="43175" ht="15.75" customHeight="1" spans="1:2">
      <c r="A43175" s="3" t="str">
        <f>IFERROR(__xludf.DUMMYFUNCTION("GOOGLETRANSLATE(A43175,""en"",""pt"")"),"Belos gráficos")</f>
        <v>Belos gráficos</v>
      </c>
      <c r="B43175" s="3">
        <v>1</v>
      </c>
    </row>
    <row r="43176" ht="15.75" customHeight="1" spans="1:2">
      <c r="A43176" s="3" t="str">
        <f>IFERROR(__xludf.DUMMYFUNCTION("GOOGLETRANSLATE(A43176,""en"",""pt"")"),"Barato, boa qualidade")</f>
        <v>Barato, boa qualidade</v>
      </c>
      <c r="B43176" s="3">
        <v>1</v>
      </c>
    </row>
    <row r="43177" ht="15.75" customHeight="1" spans="1:2">
      <c r="A43177" s="3" t="str">
        <f>IFERROR(__xludf.DUMMYFUNCTION("GOOGLETRANSLATE(A43177,""en"",""pt"")"),"Bom texto preto, agradável e afiada., Gráficos de cores vivas.")</f>
        <v>Bom texto preto, agradável e afiada., Gráficos de cores vivas.</v>
      </c>
      <c r="B43177" s="3">
        <v>1</v>
      </c>
    </row>
    <row r="43178" ht="15.75" customHeight="1" spans="1:2">
      <c r="A43178" s="3" t="str">
        <f>IFERROR(__xludf.DUMMYFUNCTION("GOOGLETRANSLATE(A43178,""en"",""pt"")"),"impressões de qualidade muito boa")</f>
        <v>impressões de qualidade muito boa</v>
      </c>
      <c r="B43178" s="3">
        <v>1</v>
      </c>
    </row>
    <row r="43179" ht="15.75" customHeight="1" spans="1:2">
      <c r="A43179" s="3" t="str">
        <f>IFERROR(__xludf.DUMMYFUNCTION("GOOGLETRANSLATE(A43179,""en"",""pt"")"),"Ele funciona muito bem!")</f>
        <v>Ele funciona muito bem!</v>
      </c>
      <c r="B43179" s="3">
        <v>1</v>
      </c>
    </row>
    <row r="43180" ht="15.75" customHeight="1" spans="1:2">
      <c r="A43180" s="3" t="str">
        <f>IFERROR(__xludf.DUMMYFUNCTION("GOOGLETRANSLATE(A43180,""en"",""pt"")"),"Grandes cores, velocidade rápida, configurações flexíveis")</f>
        <v>Grandes cores, velocidade rápida, configurações flexíveis</v>
      </c>
      <c r="B43180" s="3">
        <v>1</v>
      </c>
    </row>
    <row r="43181" ht="15.75" customHeight="1" spans="1:2">
      <c r="A43181" s="3" t="str">
        <f>IFERROR(__xludf.DUMMYFUNCTION("GOOGLETRANSLATE(A43181,""en"",""pt"")"),"Rápido, silencioso, grande cor")</f>
        <v>Rápido, silencioso, grande cor</v>
      </c>
      <c r="B43181" s="3">
        <v>1</v>
      </c>
    </row>
    <row r="43182" ht="15.75" customHeight="1" spans="1:2">
      <c r="A43182" s="3" t="str">
        <f>IFERROR(__xludf.DUMMYFUNCTION("GOOGLETRANSLATE(A43182,""en"",""pt"")"),"Rápido, acessível, muito tranquila")</f>
        <v>Rápido, acessível, muito tranquila</v>
      </c>
      <c r="B43182" s="3">
        <v>1</v>
      </c>
    </row>
    <row r="43183" ht="15.75" customHeight="1" spans="1:2">
      <c r="A43183" s="3" t="str">
        <f>IFERROR(__xludf.DUMMYFUNCTION("GOOGLETRANSLATE(A43183,""en"",""pt"")"),"Saída excelente foto, USB")</f>
        <v>Saída excelente foto, USB</v>
      </c>
      <c r="B43183" s="3">
        <v>1</v>
      </c>
    </row>
    <row r="43184" ht="15.75" customHeight="1" spans="1:2">
      <c r="A43184" s="3" t="str">
        <f>IFERROR(__xludf.DUMMYFUNCTION("GOOGLETRANSLATE(A43184,""en"",""pt"")"),"Fácil de configurar e usar, bom desempenho geral.")</f>
        <v>Fácil de configurar e usar, bom desempenho geral.</v>
      </c>
      <c r="B43184" s="3">
        <v>1</v>
      </c>
    </row>
    <row r="43185" ht="15.75" customHeight="1" spans="1:2">
      <c r="A43185" s="3" t="str">
        <f>IFERROR(__xludf.DUMMYFUNCTION("GOOGLETRANSLATE(A43185,""en"",""pt"")"),"A grande qualidade, muitas opções de software")</f>
        <v>A grande qualidade, muitas opções de software</v>
      </c>
      <c r="B43185" s="3">
        <v>1</v>
      </c>
    </row>
    <row r="43186" ht="15.75" customHeight="1" spans="1:2">
      <c r="A43186" s="3" t="str">
        <f>IFERROR(__xludf.DUMMYFUNCTION("GOOGLETRANSLATE(A43186,""en"",""pt"")"),"Boa qualidade de impressão")</f>
        <v>Boa qualidade de impressão</v>
      </c>
      <c r="B43186" s="3">
        <v>1</v>
      </c>
    </row>
    <row r="43187" ht="15.75" customHeight="1" spans="1:2">
      <c r="A43187" s="3" t="str">
        <f>IFERROR(__xludf.DUMMYFUNCTION("GOOGLETRANSLATE(A43187,""en"",""pt"")"),"Muito tranquilo, excelentes impressões, bom pacote de software incluído")</f>
        <v>Muito tranquilo, excelentes impressões, bom pacote de software incluído</v>
      </c>
      <c r="B43187" s="3">
        <v>1</v>
      </c>
    </row>
    <row r="43188" ht="15.75" customHeight="1" spans="1:2">
      <c r="A43188" s="3" t="str">
        <f>IFERROR(__xludf.DUMMYFUNCTION("GOOGLETRANSLATE(A43188,""en"",""pt"")"),"Imprimir qualidade na cor e B / W, velocidade, interface agradável, a vida de tinta, qualidade incrível mesmo em papel A4 padrão,")</f>
        <v>Imprimir qualidade na cor e B / W, velocidade, interface agradável, a vida de tinta, qualidade incrível mesmo em papel A4 padrão,</v>
      </c>
      <c r="B43188" s="3">
        <v>1</v>
      </c>
    </row>
    <row r="43189" ht="15.75" customHeight="1" spans="1:2">
      <c r="A43189" s="3" t="str">
        <f>IFERROR(__xludf.DUMMYFUNCTION("GOOGLETRANSLATE(A43189,""en"",""pt"")"),"qualidade da foto, usabilidade, nível de ruído")</f>
        <v>qualidade da foto, usabilidade, nível de ruído</v>
      </c>
      <c r="B43189" s="3">
        <v>1</v>
      </c>
    </row>
    <row r="43190" ht="15.75" customHeight="1" spans="1:2">
      <c r="A43190" s="3" t="str">
        <f>IFERROR(__xludf.DUMMYFUNCTION("GOOGLETRANSLATE(A43190,""en"",""pt"")"),"A qualidade de impressão, velocidade, preço")</f>
        <v>A qualidade de impressão, velocidade, preço</v>
      </c>
      <c r="B43190" s="3">
        <v>1</v>
      </c>
    </row>
    <row r="43191" ht="15.75" customHeight="1" spans="1:2">
      <c r="A43191" s="3" t="str">
        <f>IFERROR(__xludf.DUMMYFUNCTION("GOOGLETRANSLATE(A43191,""en"",""pt"")"),"Barato, excelente qualidade de impressão, impressão rápida")</f>
        <v>Barato, excelente qualidade de impressão, impressão rápida</v>
      </c>
      <c r="B43191" s="3">
        <v>1</v>
      </c>
    </row>
    <row r="43192" ht="15.75" customHeight="1" spans="1:2">
      <c r="A43192" s="3" t="str">
        <f>IFERROR(__xludf.DUMMYFUNCTION("GOOGLETRANSLATE(A43192,""en"",""pt"")"),"barato, silencioso, grande texto, cor agradável")</f>
        <v>barato, silencioso, grande texto, cor agradável</v>
      </c>
      <c r="B43192" s="3">
        <v>1</v>
      </c>
    </row>
    <row r="43193" ht="15.75" customHeight="1" spans="1:2">
      <c r="A43193" s="3" t="str">
        <f>IFERROR(__xludf.DUMMYFUNCTION("GOOGLETRANSLATE(A43193,""en"",""pt"")"),"custo de compra barato, fácil de usar, grande apoio")</f>
        <v>custo de compra barato, fácil de usar, grande apoio</v>
      </c>
      <c r="B43193" s="3">
        <v>1</v>
      </c>
    </row>
    <row r="43194" ht="15.75" customHeight="1" spans="1:2">
      <c r="A43194" s="3" t="str">
        <f>IFERROR(__xludf.DUMMYFUNCTION("GOOGLETRANSLATE(A43194,""en"",""pt"")"),"Barato, de alta qualidade")</f>
        <v>Barato, de alta qualidade</v>
      </c>
      <c r="B43194" s="3">
        <v>1</v>
      </c>
    </row>
    <row r="43195" ht="15.75" customHeight="1" spans="1:2">
      <c r="A43195" s="3" t="str">
        <f>IFERROR(__xludf.DUMMYFUNCTION("GOOGLETRANSLATE(A43195,""en"",""pt"")"),"grande qualidade de impressão")</f>
        <v>grande qualidade de impressão</v>
      </c>
      <c r="B43195" s="3">
        <v>1</v>
      </c>
    </row>
    <row r="43196" ht="15.75" customHeight="1" spans="1:2">
      <c r="A43196" s="3" t="str">
        <f>IFERROR(__xludf.DUMMYFUNCTION("GOOGLETRANSLATE(A43196,""en"",""pt"")"),"Rapidez")</f>
        <v>Rapidez</v>
      </c>
      <c r="B43196" s="3">
        <v>1</v>
      </c>
    </row>
    <row r="43197" ht="15.75" customHeight="1" spans="1:2">
      <c r="A43197" s="3" t="str">
        <f>IFERROR(__xludf.DUMMYFUNCTION("GOOGLETRANSLATE(A43197,""en"",""pt"")"),"Boa qualidade de impressão, velocidade, custo original")</f>
        <v>Boa qualidade de impressão, velocidade, custo original</v>
      </c>
      <c r="B43197" s="3">
        <v>1</v>
      </c>
    </row>
    <row r="43198" ht="15.75" customHeight="1" spans="1:2">
      <c r="A43198" s="3" t="str">
        <f>IFERROR(__xludf.DUMMYFUNCTION("GOOGLETRANSLATE(A43198,""en"",""pt"")"),"Preço, simples e, uma operação silenciosa confiável")</f>
        <v>Preço, simples e, uma operação silenciosa confiável</v>
      </c>
      <c r="B43198" s="3">
        <v>1</v>
      </c>
    </row>
    <row r="43199" ht="15.75" customHeight="1" spans="1:2">
      <c r="A43199" s="3" t="str">
        <f>IFERROR(__xludf.DUMMYFUNCTION("GOOGLETRANSLATE(A43199,""en"",""pt"")"),"Rápido, barato, grande qualidade")</f>
        <v>Rápido, barato, grande qualidade</v>
      </c>
      <c r="B43199" s="3">
        <v>1</v>
      </c>
    </row>
    <row r="43200" ht="15.75" customHeight="1" spans="1:2">
      <c r="A43200" s="3" t="str">
        <f>IFERROR(__xludf.DUMMYFUNCTION("GOOGLETRANSLATE(A43200,""en"",""pt"")"),"Agradável Photo Quality, Fast B &amp; amp; W BARATO")</f>
        <v>Agradável Photo Quality, Fast B &amp; amp; W BARATO</v>
      </c>
      <c r="B43200" s="3">
        <v>1</v>
      </c>
    </row>
    <row r="43201" ht="15.75" customHeight="1" spans="1:2">
      <c r="A43201" s="3" t="str">
        <f>IFERROR(__xludf.DUMMYFUNCTION("GOOGLETRANSLATE(A43201,""en"",""pt"")"),"barato, boa velocidade, basta necessidades diárias")</f>
        <v>barato, boa velocidade, basta necessidades diárias</v>
      </c>
      <c r="B43201" s="3">
        <v>1</v>
      </c>
    </row>
    <row r="43202" ht="15.75" customHeight="1" spans="1:2">
      <c r="A43202" s="3" t="str">
        <f>IFERROR(__xludf.DUMMYFUNCTION("GOOGLETRANSLATE(A43202,""en"",""pt"")"),"Barato, de alta qualidade de impressão saídas, fácil configuração")</f>
        <v>Barato, de alta qualidade de impressão saídas, fácil configuração</v>
      </c>
      <c r="B43202" s="3">
        <v>1</v>
      </c>
    </row>
    <row r="43203" ht="15.75" customHeight="1" spans="1:2">
      <c r="A43203" s="3" t="str">
        <f>IFERROR(__xludf.DUMMYFUNCTION("GOOGLETRANSLATE(A43203,""en"",""pt"")"),"Preço &amp; amp; # 13; &amp; amp; # 10; Qualidade de impressão &amp; amp; # 13; &amp; amp; # 10; Facilidade de instalação")</f>
        <v>Preço &amp; amp; # 13; &amp; amp; # 10; Qualidade de impressão &amp; amp; # 13; &amp; amp; # 10; Facilidade de instalação</v>
      </c>
      <c r="B43203" s="3">
        <v>1</v>
      </c>
    </row>
    <row r="43204" ht="15.75" customHeight="1" spans="1:2">
      <c r="A43204" s="3" t="str">
        <f>IFERROR(__xludf.DUMMYFUNCTION("GOOGLETRANSLATE(A43204,""en"",""pt"")"),"fotos de grande qualidade, grande preto &amp; amp; branco. Fácil de instalar.")</f>
        <v>fotos de grande qualidade, grande preto &amp; amp; branco. Fácil de instalar.</v>
      </c>
      <c r="B43204" s="3">
        <v>1</v>
      </c>
    </row>
    <row r="43205" ht="15.75" customHeight="1" spans="1:2">
      <c r="A43205" s="3" t="str">
        <f>IFERROR(__xludf.DUMMYFUNCTION("GOOGLETRANSLATE(A43205,""en"",""pt"")"),"qualidade de impressão bonito, quando nova.")</f>
        <v>qualidade de impressão bonito, quando nova.</v>
      </c>
      <c r="B43205" s="3">
        <v>1</v>
      </c>
    </row>
    <row r="43206" ht="15.75" customHeight="1" spans="1:2">
      <c r="A43206" s="3" t="str">
        <f>IFERROR(__xludf.DUMMYFUNCTION("GOOGLETRANSLATE(A43206,""en"",""pt"")"),"???")</f>
        <v>???</v>
      </c>
      <c r="B43206" s="3">
        <v>1</v>
      </c>
    </row>
    <row r="43207" ht="15.75" customHeight="1" spans="1:2">
      <c r="A43207" s="3" t="str">
        <f>IFERROR(__xludf.DUMMYFUNCTION("GOOGLETRANSLATE(A43207,""en"",""pt"")"),"Very nice qualidade de impressão, design compacto")</f>
        <v>Very nice qualidade de impressão, design compacto</v>
      </c>
      <c r="B43207" s="3">
        <v>1</v>
      </c>
    </row>
    <row r="43208" ht="15.75" customHeight="1" spans="1:2">
      <c r="A43208" s="3" t="str">
        <f>IFERROR(__xludf.DUMMYFUNCTION("GOOGLETRANSLATE(A43208,""en"",""pt"")"),"design agradável, barato, boa qualidade de impressão (B &amp; amp; W e cor), pegada pequena")</f>
        <v>design agradável, barato, boa qualidade de impressão (B &amp; amp; W e cor), pegada pequena</v>
      </c>
      <c r="B43208" s="3">
        <v>1</v>
      </c>
    </row>
    <row r="43209" ht="15.75" customHeight="1" spans="1:2">
      <c r="A43209" s="3" t="str">
        <f>IFERROR(__xludf.DUMMYFUNCTION("GOOGLETRANSLATE(A43209,""en"",""pt"")"),"impressão decente qualidade, baixo custo de impressão, papel brilhante livre / foto.")</f>
        <v>impressão decente qualidade, baixo custo de impressão, papel brilhante livre / foto.</v>
      </c>
      <c r="B43209" s="3">
        <v>1</v>
      </c>
    </row>
    <row r="43210" ht="15.75" customHeight="1" spans="1:2">
      <c r="A43210" s="3" t="str">
        <f>IFERROR(__xludf.DUMMYFUNCTION("GOOGLETRANSLATE(A43210,""en"",""pt"")"),"Mais bonito do que a maioria das impressoras, impressões de boa qualidade, melhor com drivers atualizados do Epson")</f>
        <v>Mais bonito do que a maioria das impressoras, impressões de boa qualidade, melhor com drivers atualizados do Epson</v>
      </c>
      <c r="B43210" s="3">
        <v>1</v>
      </c>
    </row>
    <row r="43211" ht="15.75" customHeight="1" spans="1:2">
      <c r="A43211" s="3" t="str">
        <f>IFERROR(__xludf.DUMMYFUNCTION("GOOGLETRANSLATE(A43211,""en"",""pt"")"),"Bonita, barata, não jam, e barato")</f>
        <v>Bonita, barata, não jam, e barato</v>
      </c>
      <c r="B43211" s="3">
        <v>1</v>
      </c>
    </row>
    <row r="43212" ht="15.75" customHeight="1" spans="1:2">
      <c r="A43212" s="3" t="str">
        <f>IFERROR(__xludf.DUMMYFUNCTION("GOOGLETRANSLATE(A43212,""en"",""pt"")"),"qualidade agradável")</f>
        <v>qualidade agradável</v>
      </c>
      <c r="B43212" s="3">
        <v>1</v>
      </c>
    </row>
    <row r="43213" ht="15.75" customHeight="1" spans="1:2">
      <c r="A43213" s="3" t="str">
        <f>IFERROR(__xludf.DUMMYFUNCTION("GOOGLETRANSLATE(A43213,""en"",""pt"")"),"Barato, boa qualidade de impressão")</f>
        <v>Barato, boa qualidade de impressão</v>
      </c>
      <c r="B43213" s="3">
        <v>1</v>
      </c>
    </row>
    <row r="43214" ht="15.75" customHeight="1" spans="1:2">
      <c r="A43214" s="3" t="str">
        <f>IFERROR(__xludf.DUMMYFUNCTION("GOOGLETRANSLATE(A43214,""en"",""pt"")"),"configuração simples, fácil de usar")</f>
        <v>configuração simples, fácil de usar</v>
      </c>
      <c r="B43214" s="3">
        <v>1</v>
      </c>
    </row>
    <row r="43215" ht="15.75" customHeight="1" spans="1:2">
      <c r="A43215" s="3" t="str">
        <f>IFERROR(__xludf.DUMMYFUNCTION("GOOGLETRANSLATE(A43215,""en"",""pt"")"),"Barato")</f>
        <v>Barato</v>
      </c>
      <c r="B43215" s="3">
        <v>1</v>
      </c>
    </row>
    <row r="43216" ht="15.75" customHeight="1" spans="1:2">
      <c r="A43216" s="3" t="str">
        <f>IFERROR(__xludf.DUMMYFUNCTION("GOOGLETRANSLATE(A43216,""en"",""pt"")"),"Limpar impressão - mas apenas para alguns trabalhos curtos. É isso aí.")</f>
        <v>Limpar impressão - mas apenas para alguns trabalhos curtos. É isso aí.</v>
      </c>
      <c r="B43216" s="3">
        <v>1</v>
      </c>
    </row>
    <row r="43217" ht="15.75" customHeight="1" spans="1:2">
      <c r="A43217" s="3" t="str">
        <f>IFERROR(__xludf.DUMMYFUNCTION("GOOGLETRANSLATE(A43217,""en"",""pt"")"),"Boa qualidade de impressão, barato, durável")</f>
        <v>Boa qualidade de impressão, barato, durável</v>
      </c>
      <c r="B43217" s="3">
        <v>1</v>
      </c>
    </row>
    <row r="43218" ht="15.75" customHeight="1" spans="1:2">
      <c r="A43218" s="3" t="str">
        <f>IFERROR(__xludf.DUMMYFUNCTION("GOOGLETRANSLATE(A43218,""en"",""pt"")"),"imprime agradáveis ​​(fotos Especialmente cor)")</f>
        <v>imprime agradáveis ​​(fotos Especialmente cor)</v>
      </c>
      <c r="B43218" s="3">
        <v>1</v>
      </c>
    </row>
    <row r="43219" ht="15.75" customHeight="1" spans="1:2">
      <c r="A43219" s="3" t="str">
        <f>IFERROR(__xludf.DUMMYFUNCTION("GOOGLETRANSLATE(A43219,""en"",""pt"")"),"Boa qualidade de impressão")</f>
        <v>Boa qualidade de impressão</v>
      </c>
      <c r="B43219" s="3">
        <v>1</v>
      </c>
    </row>
    <row r="43220" ht="15.75" customHeight="1" spans="1:2">
      <c r="A43220" s="3" t="str">
        <f>IFERROR(__xludf.DUMMYFUNCTION("GOOGLETRANSLATE(A43220,""en"",""pt"")"),"impressão de qualidade decente, especialmente em papel fotográfico")</f>
        <v>impressão de qualidade decente, especialmente em papel fotográfico</v>
      </c>
      <c r="B43220" s="3">
        <v>1</v>
      </c>
    </row>
    <row r="43221" ht="15.75" customHeight="1" spans="1:2">
      <c r="A43221" s="3" t="str">
        <f>IFERROR(__xludf.DUMMYFUNCTION("GOOGLETRANSLATE(A43221,""en"",""pt"")"),"Excelente para imprimir fotos.")</f>
        <v>Excelente para imprimir fotos.</v>
      </c>
      <c r="B43221" s="3">
        <v>1</v>
      </c>
    </row>
    <row r="43222" ht="15.75" customHeight="1" spans="1:2">
      <c r="A43222" s="3" t="str">
        <f>IFERROR(__xludf.DUMMYFUNCTION("GOOGLETRANSLATE(A43222,""en"",""pt"")"),"Qualidade, manuseamento de papel, velocidade.")</f>
        <v>Qualidade, manuseamento de papel, velocidade.</v>
      </c>
      <c r="B43222" s="3">
        <v>1</v>
      </c>
    </row>
    <row r="43223" ht="15.75" customHeight="1" spans="1:2">
      <c r="A43223" s="3" t="str">
        <f>IFERROR(__xludf.DUMMYFUNCTION("GOOGLETRANSLATE(A43223,""en"",""pt"")"),"Excelente impressão de fotos")</f>
        <v>Excelente impressão de fotos</v>
      </c>
      <c r="B43223" s="3">
        <v>1</v>
      </c>
    </row>
    <row r="43224" ht="15.75" customHeight="1" spans="1:2">
      <c r="A43224" s="3" t="str">
        <f>IFERROR(__xludf.DUMMYFUNCTION("GOOGLETRANSLATE(A43224,""en"",""pt"")"),"grande resolução")</f>
        <v>grande resolução</v>
      </c>
      <c r="B43224" s="3">
        <v>1</v>
      </c>
    </row>
    <row r="43225" ht="15.75" customHeight="1" spans="1:2">
      <c r="A43225" s="3" t="str">
        <f>IFERROR(__xludf.DUMMYFUNCTION("GOOGLETRANSLATE(A43225,""en"",""pt"")"),"Imprime a próxima melhor coisa a imagem perfeita com linhas claramente definidas e cores fantásticas.")</f>
        <v>Imprime a próxima melhor coisa a imagem perfeita com linhas claramente definidas e cores fantásticas.</v>
      </c>
      <c r="B43225" s="3">
        <v>1</v>
      </c>
    </row>
    <row r="43226" ht="15.75" customHeight="1" spans="1:2">
      <c r="A43226" s="3" t="str">
        <f>IFERROR(__xludf.DUMMYFUNCTION("GOOGLETRANSLATE(A43226,""en"",""pt"")"),"Ela imprime ... às vezes ...")</f>
        <v>Ela imprime ... às vezes ...</v>
      </c>
      <c r="B43226" s="3">
        <v>1</v>
      </c>
    </row>
    <row r="43227" ht="15.75" customHeight="1" spans="1:2">
      <c r="A43227" s="3" t="str">
        <f>IFERROR(__xludf.DUMMYFUNCTION("GOOGLETRANSLATE(A43227,""en"",""pt"")"),"Baratos, impressões de grande qualidade")</f>
        <v>Baratos, impressões de grande qualidade</v>
      </c>
      <c r="B43227" s="3">
        <v>1</v>
      </c>
    </row>
    <row r="43228" ht="15.75" customHeight="1" spans="1:2">
      <c r="A43228" s="3" t="str">
        <f>IFERROR(__xludf.DUMMYFUNCTION("GOOGLETRANSLATE(A43228,""en"",""pt"")"),"Qualidade de Impressão, Impressão de Qualidade, Qualidade de impressão!")</f>
        <v>Qualidade de Impressão, Impressão de Qualidade, Qualidade de impressão!</v>
      </c>
      <c r="B43228" s="3">
        <v>1</v>
      </c>
    </row>
    <row r="43229" ht="15.75" customHeight="1" spans="1:2">
      <c r="A43229" s="3" t="str">
        <f>IFERROR(__xludf.DUMMYFUNCTION("GOOGLETRANSLATE(A43229,""en"",""pt"")"),"Excelente qualidade de impressão")</f>
        <v>Excelente qualidade de impressão</v>
      </c>
      <c r="B43229" s="3">
        <v>1</v>
      </c>
    </row>
    <row r="43230" ht="15.75" customHeight="1" spans="1:2">
      <c r="A43230" s="3" t="str">
        <f>IFERROR(__xludf.DUMMYFUNCTION("GOOGLETRANSLATE(A43230,""en"",""pt"")"),"Excelente qualidade de impressão para menos de US $ 100,00 dólares ...")</f>
        <v>Excelente qualidade de impressão para menos de US $ 100,00 dólares ...</v>
      </c>
      <c r="B43230" s="3">
        <v>1</v>
      </c>
    </row>
    <row r="43231" ht="15.75" customHeight="1" spans="1:2">
      <c r="A43231" s="3" t="str">
        <f>IFERROR(__xludf.DUMMYFUNCTION("GOOGLETRANSLATE(A43231,""en"",""pt"")"),"hardware bem projetado para uso por crianças pequenas")</f>
        <v>hardware bem projetado para uso por crianças pequenas</v>
      </c>
      <c r="B43231" s="3">
        <v>1</v>
      </c>
    </row>
    <row r="43232" ht="15.75" customHeight="1" spans="1:2">
      <c r="A43232" s="3" t="str">
        <f>IFERROR(__xludf.DUMMYFUNCTION("GOOGLETRANSLATE(A43232,""en"",""pt"")"),"A velocidade de impressão e qualidade, excelente")</f>
        <v>A velocidade de impressão e qualidade, excelente</v>
      </c>
      <c r="B43232" s="3">
        <v>1</v>
      </c>
    </row>
    <row r="43233" ht="15.75" customHeight="1" spans="1:2">
      <c r="A43233" s="3" t="str">
        <f>IFERROR(__xludf.DUMMYFUNCTION("GOOGLETRANSLATE(A43233,""en"",""pt"")"),"Drivers estáveis, alta Qualidade de Impressão, Grande Bandeja de Papel")</f>
        <v>Drivers estáveis, alta Qualidade de Impressão, Grande Bandeja de Papel</v>
      </c>
      <c r="B43233" s="3">
        <v>1</v>
      </c>
    </row>
    <row r="43234" ht="15.75" customHeight="1" spans="1:2">
      <c r="A43234" s="3" t="str">
        <f>IFERROR(__xludf.DUMMYFUNCTION("GOOGLETRANSLATE(A43234,""en"",""pt"")"),"Barato, cópia batata frita, e muito fácil de instalar.")</f>
        <v>Barato, cópia batata frita, e muito fácil de instalar.</v>
      </c>
      <c r="B43234" s="3">
        <v>1</v>
      </c>
    </row>
    <row r="43235" ht="15.75" customHeight="1" spans="1:2">
      <c r="A43235" s="3" t="str">
        <f>IFERROR(__xludf.DUMMYFUNCTION("GOOGLETRANSLATE(A43235,""en"",""pt"")"),"Fácil de usar e configurar, barato.")</f>
        <v>Fácil de usar e configurar, barato.</v>
      </c>
      <c r="B43235" s="3">
        <v>1</v>
      </c>
    </row>
    <row r="43236" ht="15.75" customHeight="1" spans="1:2">
      <c r="A43236" s="3" t="str">
        <f>IFERROR(__xludf.DUMMYFUNCTION("GOOGLETRANSLATE(A43236,""en"",""pt"")"),"Detalhado, estampas coloridas que rivalizam ou excedem fotos baseados em filmes.")</f>
        <v>Detalhado, estampas coloridas que rivalizam ou excedem fotos baseados em filmes.</v>
      </c>
      <c r="B43236" s="3">
        <v>1</v>
      </c>
    </row>
    <row r="43237" ht="15.75" customHeight="1" spans="1:2">
      <c r="A43237" s="3" t="str">
        <f>IFERROR(__xludf.DUMMYFUNCTION("GOOGLETRANSLATE(A43237,""en"",""pt"")"),"Fácil de usar, documento de boa qualidade e impressão de fotos, as opções de impressão agradável, acessível.")</f>
        <v>Fácil de usar, documento de boa qualidade e impressão de fotos, as opções de impressão agradável, acessível.</v>
      </c>
      <c r="B43237" s="3">
        <v>1</v>
      </c>
    </row>
    <row r="43238" ht="15.75" customHeight="1" spans="1:2">
      <c r="A43238" s="3" t="str">
        <f>IFERROR(__xludf.DUMMYFUNCTION("GOOGLETRANSLATE(A43238,""en"",""pt"")"),"Nice, qualidade de impressão, fácil de instalar")</f>
        <v>Nice, qualidade de impressão, fácil de instalar</v>
      </c>
      <c r="B43238" s="3">
        <v>1</v>
      </c>
    </row>
    <row r="43239" ht="15.75" customHeight="1" spans="1:2">
      <c r="A43239" s="3" t="str">
        <f>IFERROR(__xludf.DUMMYFUNCTION("GOOGLETRANSLATE(A43239,""en"",""pt"")"),"impressão rápida")</f>
        <v>impressão rápida</v>
      </c>
      <c r="B43239" s="3">
        <v>1</v>
      </c>
    </row>
    <row r="43240" ht="15.75" customHeight="1" spans="1:2">
      <c r="A43240" s="3" t="str">
        <f>IFERROR(__xludf.DUMMYFUNCTION("GOOGLETRANSLATE(A43240,""en"",""pt"")"),"competição Fuma")</f>
        <v>competição Fuma</v>
      </c>
      <c r="B43240" s="3">
        <v>1</v>
      </c>
    </row>
    <row r="43241" ht="15.75" customHeight="1" spans="1:2">
      <c r="A43241" s="3" t="str">
        <f>IFERROR(__xludf.DUMMYFUNCTION("GOOGLETRANSLATE(A43241,""en"",""pt"")"),"boa qualidade e velocidade")</f>
        <v>boa qualidade e velocidade</v>
      </c>
      <c r="B43241" s="3">
        <v>1</v>
      </c>
    </row>
    <row r="43242" ht="15.75" customHeight="1" spans="1:2">
      <c r="A43242" s="3" t="str">
        <f>IFERROR(__xludf.DUMMYFUNCTION("GOOGLETRANSLATE(A43242,""en"",""pt"")"),"Grande qualidade de impressão a um preço muito razoável")</f>
        <v>Grande qualidade de impressão a um preço muito razoável</v>
      </c>
      <c r="B43242" s="3">
        <v>1</v>
      </c>
    </row>
    <row r="43243" ht="15.75" customHeight="1" spans="1:2">
      <c r="A43243" s="3" t="str">
        <f>IFERROR(__xludf.DUMMYFUNCTION("GOOGLETRANSLATE(A43243,""en"",""pt"")"),"preço imbatível, saída de alta qualidade")</f>
        <v>preço imbatível, saída de alta qualidade</v>
      </c>
      <c r="B43243" s="3">
        <v>1</v>
      </c>
    </row>
    <row r="43244" ht="15.75" customHeight="1" spans="1:2">
      <c r="A43244" s="3" t="str">
        <f>IFERROR(__xludf.DUMMYFUNCTION("GOOGLETRANSLATE(A43244,""en"",""pt"")"),"Preço, Qualidade de Impressão")</f>
        <v>Preço, Qualidade de Impressão</v>
      </c>
      <c r="B43244" s="3">
        <v>1</v>
      </c>
    </row>
    <row r="43245" ht="15.75" customHeight="1" spans="1:2">
      <c r="A43245" s="3" t="str">
        <f>IFERROR(__xludf.DUMMYFUNCTION("GOOGLETRANSLATE(A43245,""en"",""pt"")"),"Grande velocidade; USB e impressão paralela; apenas 100 dólares")</f>
        <v>Grande velocidade; USB e impressão paralela; apenas 100 dólares</v>
      </c>
      <c r="B43245" s="3">
        <v>1</v>
      </c>
    </row>
    <row r="43246" ht="15.75" customHeight="1" spans="1:2">
      <c r="A43246" s="3" t="str">
        <f>IFERROR(__xludf.DUMMYFUNCTION("GOOGLETRANSLATE(A43246,""en"",""pt"")"),"nome Epson é respeitada; foto barata impressora de qualidade; excelente orientações &amp; amp; amp; fácil configuração")</f>
        <v>nome Epson é respeitada; foto barata impressora de qualidade; excelente orientações &amp; amp; amp; fácil configuração</v>
      </c>
      <c r="B43246" s="3">
        <v>1</v>
      </c>
    </row>
    <row r="43247" ht="15.75" customHeight="1" spans="1:2">
      <c r="A43247" s="3" t="str">
        <f>IFERROR(__xludf.DUMMYFUNCTION("GOOGLETRANSLATE(A43247,""en"",""pt"")"),",, Impressão de boa qualidade durável útil")</f>
        <v>,, Impressão de boa qualidade durável útil</v>
      </c>
      <c r="B43247" s="3">
        <v>1</v>
      </c>
    </row>
    <row r="43248" ht="15.75" customHeight="1" spans="1:2">
      <c r="A43248" s="3" t="str">
        <f>IFERROR(__xludf.DUMMYFUNCTION("GOOGLETRANSLATE(A43248,""en"",""pt"")"),"grande qualidade para o dinheiro")</f>
        <v>grande qualidade para o dinheiro</v>
      </c>
      <c r="B43248" s="3">
        <v>1</v>
      </c>
    </row>
    <row r="43249" ht="15.75" customHeight="1" spans="1:2">
      <c r="A43249" s="3" t="str">
        <f>IFERROR(__xludf.DUMMYFUNCTION("GOOGLETRANSLATE(A43249,""en"",""pt"")"),"Alta qualidade preço barato")</f>
        <v>Alta qualidade preço barato</v>
      </c>
      <c r="B43249" s="3">
        <v>1</v>
      </c>
    </row>
    <row r="43250" ht="15.75" customHeight="1" spans="1:2">
      <c r="A43250" s="3" t="str">
        <f>IFERROR(__xludf.DUMMYFUNCTION("GOOGLETRANSLATE(A43250,""en"",""pt"")"),"Preço, produção, valor. Tudo em um!")</f>
        <v>Preço, produção, valor. Tudo em um!</v>
      </c>
      <c r="B43250" s="3">
        <v>1</v>
      </c>
    </row>
    <row r="43251" ht="15.75" customHeight="1" spans="1:2">
      <c r="A43251" s="3" t="str">
        <f>IFERROR(__xludf.DUMMYFUNCTION("GOOGLETRANSLATE(A43251,""en"",""pt"")"),"Barato, excelentes impressões que procuram em papel especial")</f>
        <v>Barato, excelentes impressões que procuram em papel especial</v>
      </c>
      <c r="B43251" s="3">
        <v>1</v>
      </c>
    </row>
    <row r="43252" ht="15.75" customHeight="1" spans="1:2">
      <c r="A43252" s="3" t="str">
        <f>IFERROR(__xludf.DUMMYFUNCTION("GOOGLETRANSLATE(A43252,""en"",""pt"")"),"Ele tem um bom Epson roxo logotipo nele")</f>
        <v>Ele tem um bom Epson roxo logotipo nele</v>
      </c>
      <c r="B43252" s="3">
        <v>1</v>
      </c>
    </row>
    <row r="43253" ht="15.75" customHeight="1" spans="1:2">
      <c r="A43253" s="3" t="str">
        <f>IFERROR(__xludf.DUMMYFUNCTION("GOOGLETRANSLATE(A43253,""en"",""pt"")"),"Muito boa qualidade de impressão")</f>
        <v>Muito boa qualidade de impressão</v>
      </c>
      <c r="B43253" s="3">
        <v>1</v>
      </c>
    </row>
    <row r="43254" ht="15.75" customHeight="1" spans="1:2">
      <c r="A43254" s="3" t="str">
        <f>IFERROR(__xludf.DUMMYFUNCTION("GOOGLETRANSLATE(A43254,""en"",""pt"")"),"O melhor valor para fora lá !!")</f>
        <v>O melhor valor para fora lá !!</v>
      </c>
      <c r="B43254" s="3">
        <v>1</v>
      </c>
    </row>
    <row r="43255" ht="15.75" customHeight="1" spans="1:2">
      <c r="A43255" s="3" t="str">
        <f>IFERROR(__xludf.DUMMYFUNCTION("GOOGLETRANSLATE(A43255,""en"",""pt"")"),"pacote de software.")</f>
        <v>pacote de software.</v>
      </c>
      <c r="B43255" s="3">
        <v>1</v>
      </c>
    </row>
    <row r="43256" ht="15.75" customHeight="1" spans="1:2">
      <c r="A43256" s="3" t="str">
        <f>IFERROR(__xludf.DUMMYFUNCTION("GOOGLETRANSLATE(A43256,""en"",""pt"")"),"Barato, qualidade decente")</f>
        <v>Barato, qualidade decente</v>
      </c>
      <c r="B43256" s="3">
        <v>1</v>
      </c>
    </row>
    <row r="43257" ht="15.75" customHeight="1" spans="1:2">
      <c r="A43257" s="3" t="str">
        <f>IFERROR(__xludf.DUMMYFUNCTION("GOOGLETRANSLATE(A43257,""en"",""pt"")"),"Fácil instalação e conexão, imprimir qualidade agradável, boa aparência, de baixo custo")</f>
        <v>Fácil instalação e conexão, imprimir qualidade agradável, boa aparência, de baixo custo</v>
      </c>
      <c r="B43257" s="3">
        <v>1</v>
      </c>
    </row>
    <row r="43258" ht="15.75" customHeight="1" spans="1:2">
      <c r="A43258" s="3" t="str">
        <f>IFERROR(__xludf.DUMMYFUNCTION("GOOGLETRANSLATE(A43258,""en"",""pt"")"),"Boa qualidade de impressão. 2880 impressões resolução. estilo elegante.")</f>
        <v>Boa qualidade de impressão. 2880 impressões resolução. estilo elegante.</v>
      </c>
      <c r="B43258" s="3">
        <v>1</v>
      </c>
    </row>
    <row r="43259" ht="15.75" customHeight="1" spans="1:2">
      <c r="A43259" s="3" t="str">
        <f>IFERROR(__xludf.DUMMYFUNCTION("GOOGLETRANSLATE(A43259,""en"",""pt"")"),"impressões de qualidade com cor perfeita, rápido e fácil de usar.")</f>
        <v>impressões de qualidade com cor perfeita, rápido e fácil de usar.</v>
      </c>
      <c r="B43259" s="3">
        <v>1</v>
      </c>
    </row>
    <row r="43260" ht="15.75" customHeight="1" spans="1:2">
      <c r="A43260" s="3" t="str">
        <f>IFERROR(__xludf.DUMMYFUNCTION("GOOGLETRANSLATE(A43260,""en"",""pt"")"),"Barato, rápido, excelente qualidade de impressão")</f>
        <v>Barato, rápido, excelente qualidade de impressão</v>
      </c>
      <c r="B43260" s="3">
        <v>1</v>
      </c>
    </row>
    <row r="43261" ht="15.75" customHeight="1" spans="1:2">
      <c r="A43261" s="3" t="str">
        <f>IFERROR(__xludf.DUMMYFUNCTION("GOOGLETRANSLATE(A43261,""en"",""pt"")"),"Fácil de instalar, excelente operação, grandes fotos coloridas")</f>
        <v>Fácil de instalar, excelente operação, grandes fotos coloridas</v>
      </c>
      <c r="B43261" s="3">
        <v>1</v>
      </c>
    </row>
    <row r="43262" ht="15.75" customHeight="1" spans="1:2">
      <c r="A43262" s="3" t="str">
        <f>IFERROR(__xludf.DUMMYFUNCTION("GOOGLETRANSLATE(A43262,""en"",""pt"")"),"Barato, excelente qualidade")</f>
        <v>Barato, excelente qualidade</v>
      </c>
      <c r="B43262" s="3">
        <v>1</v>
      </c>
    </row>
    <row r="43263" ht="15.75" customHeight="1" spans="1:2">
      <c r="A43263" s="3" t="str">
        <f>IFERROR(__xludf.DUMMYFUNCTION("GOOGLETRANSLATE(A43263,""en"",""pt"")"),"Ótimo preço, qualidade bonita")</f>
        <v>Ótimo preço, qualidade bonita</v>
      </c>
      <c r="B43263" s="3">
        <v>1</v>
      </c>
    </row>
    <row r="43264" ht="15.75" customHeight="1" spans="1:2">
      <c r="A43264" s="3" t="str">
        <f>IFERROR(__xludf.DUMMYFUNCTION("GOOGLETRANSLATE(A43264,""en"",""pt"")"),"A qualidade da impressão é muito boa, especialmente para fotos.")</f>
        <v>A qualidade da impressão é muito boa, especialmente para fotos.</v>
      </c>
      <c r="B43264" s="3">
        <v>1</v>
      </c>
    </row>
    <row r="43265" ht="15.75" customHeight="1" spans="1:2">
      <c r="A43265" s="3" t="str">
        <f>IFERROR(__xludf.DUMMYFUNCTION("GOOGLETRANSLATE(A43265,""en"",""pt"")"),"Grande qualidade de impressão, fácil de configurar e usar, preço justo.")</f>
        <v>Grande qualidade de impressão, fácil de configurar e usar, preço justo.</v>
      </c>
      <c r="B43265" s="3">
        <v>1</v>
      </c>
    </row>
    <row r="43266" ht="15.75" customHeight="1" spans="1:2">
      <c r="A43266" s="3" t="str">
        <f>IFERROR(__xludf.DUMMYFUNCTION("GOOGLETRANSLATE(A43266,""en"",""pt"")"),"Excelente qualidade, extremamente flexível.")</f>
        <v>Excelente qualidade, extremamente flexível.</v>
      </c>
      <c r="B43266" s="3">
        <v>1</v>
      </c>
    </row>
    <row r="43267" ht="15.75" customHeight="1" spans="1:2">
      <c r="A43267" s="3" t="str">
        <f>IFERROR(__xludf.DUMMYFUNCTION("GOOGLETRANSLATE(A43267,""en"",""pt"")"),"Ótimo preço, qualidade de impressão")</f>
        <v>Ótimo preço, qualidade de impressão</v>
      </c>
      <c r="B43267" s="3">
        <v>1</v>
      </c>
    </row>
    <row r="43268" ht="15.75" customHeight="1" spans="1:2">
      <c r="A43268" s="3" t="str">
        <f>IFERROR(__xludf.DUMMYFUNCTION("GOOGLETRANSLATE(A43268,""en"",""pt"")"),"Bom desempenho, excelente saída e barato !!")</f>
        <v>Bom desempenho, excelente saída e barato !!</v>
      </c>
      <c r="B43268" s="3">
        <v>1</v>
      </c>
    </row>
    <row r="43269" ht="15.75" customHeight="1" spans="1:2">
      <c r="A43269" s="3" t="str">
        <f>IFERROR(__xludf.DUMMYFUNCTION("GOOGLETRANSLATE(A43269,""en"",""pt"")"),"Grandes fotos de esta impressora")</f>
        <v>Grandes fotos de esta impressora</v>
      </c>
      <c r="B43269" s="3">
        <v>1</v>
      </c>
    </row>
    <row r="43270" ht="15.75" customHeight="1" spans="1:2">
      <c r="A43270" s="3" t="str">
        <f>IFERROR(__xludf.DUMMYFUNCTION("GOOGLETRANSLATE(A43270,""en"",""pt"")"),"Barato, excelente qualidade, rápido, elegante, pequena pegada.")</f>
        <v>Barato, excelente qualidade, rápido, elegante, pequena pegada.</v>
      </c>
      <c r="B43270" s="3">
        <v>1</v>
      </c>
    </row>
    <row r="43271" ht="15.75" customHeight="1" spans="1:2">
      <c r="A43271" s="3" t="str">
        <f>IFERROR(__xludf.DUMMYFUNCTION("GOOGLETRANSLATE(A43271,""en"",""pt"")"),"Imprime belas fotos em papel fotográfico caro.")</f>
        <v>Imprime belas fotos em papel fotográfico caro.</v>
      </c>
      <c r="B43271" s="3">
        <v>1</v>
      </c>
    </row>
    <row r="43272" ht="15.75" customHeight="1" spans="1:2">
      <c r="A43272" s="3" t="str">
        <f>IFERROR(__xludf.DUMMYFUNCTION("GOOGLETRANSLATE(A43272,""en"",""pt"")"),"Excelente Qualidade de impressão, excelente confiabilidade, rápido, bom preço Por Rating Página")</f>
        <v>Excelente Qualidade de impressão, excelente confiabilidade, rápido, bom preço Por Rating Página</v>
      </c>
      <c r="B43272" s="3">
        <v>1</v>
      </c>
    </row>
    <row r="43273" ht="15.75" customHeight="1" spans="1:2">
      <c r="A43273" s="3" t="str">
        <f>IFERROR(__xludf.DUMMYFUNCTION("GOOGLETRANSLATE(A43273,""en"",""pt"")"),"novo visual atraente da Epson, fácil de instalar.")</f>
        <v>novo visual atraente da Epson, fácil de instalar.</v>
      </c>
      <c r="B43273" s="3">
        <v>1</v>
      </c>
    </row>
    <row r="43274" ht="15.75" customHeight="1" spans="1:2">
      <c r="A43274" s="3" t="str">
        <f>IFERROR(__xludf.DUMMYFUNCTION("GOOGLETRANSLATE(A43274,""en"",""pt"")"),"Preço e qualidade")</f>
        <v>Preço e qualidade</v>
      </c>
      <c r="B43274" s="3">
        <v>1</v>
      </c>
    </row>
    <row r="43275" ht="15.75" customHeight="1" spans="1:2">
      <c r="A43275" s="3" t="str">
        <f>IFERROR(__xludf.DUMMYFUNCTION("GOOGLETRANSLATE(A43275,""en"",""pt"")"),"Excelente reprodução fotografia. Texto Crisp. (Quando funciona)")</f>
        <v>Excelente reprodução fotografia. Texto Crisp. (Quando funciona)</v>
      </c>
      <c r="B43275" s="3">
        <v>1</v>
      </c>
    </row>
    <row r="43276" ht="15.75" customHeight="1" spans="1:2">
      <c r="A43276" s="3" t="str">
        <f>IFERROR(__xludf.DUMMYFUNCTION("GOOGLETRANSLATE(A43276,""en"",""pt"")"),"Grandes imagens a cores")</f>
        <v>Grandes imagens a cores</v>
      </c>
      <c r="B43276" s="3">
        <v>1</v>
      </c>
    </row>
    <row r="43277" ht="15.75" customHeight="1" spans="1:2">
      <c r="A43277" s="3" t="str">
        <f>IFERROR(__xludf.DUMMYFUNCTION("GOOGLETRANSLATE(A43277,""en"",""pt"")"),"Fácil configuração. bom funcionamento.")</f>
        <v>Fácil configuração. bom funcionamento.</v>
      </c>
      <c r="B43277" s="3">
        <v>1</v>
      </c>
    </row>
    <row r="43278" ht="15.75" customHeight="1" spans="1:2">
      <c r="A43278" s="3" t="str">
        <f>IFERROR(__xludf.DUMMYFUNCTION("GOOGLETRANSLATE(A43278,""en"",""pt"")"),"impressão rápida, grande qualidade")</f>
        <v>impressão rápida, grande qualidade</v>
      </c>
      <c r="B43278" s="3">
        <v>1</v>
      </c>
    </row>
    <row r="43279" ht="15.75" customHeight="1" spans="1:2">
      <c r="A43279" s="3" t="str">
        <f>IFERROR(__xludf.DUMMYFUNCTION("GOOGLETRANSLATE(A43279,""en"",""pt"")"),"As cores brilhantes, preço barato, rápido, fácil de configurar.")</f>
        <v>As cores brilhantes, preço barato, rápido, fácil de configurar.</v>
      </c>
      <c r="B43279" s="3">
        <v>1</v>
      </c>
    </row>
    <row r="43280" ht="15.75" customHeight="1" spans="1:2">
      <c r="A43280" s="3" t="str">
        <f>IFERROR(__xludf.DUMMYFUNCTION("GOOGLETRANSLATE(A43280,""en"",""pt"")"),"Muito boa qualidade de impressão, boa velocidade")</f>
        <v>Muito boa qualidade de impressão, boa velocidade</v>
      </c>
      <c r="B43280" s="3">
        <v>1</v>
      </c>
    </row>
    <row r="43281" ht="15.75" customHeight="1" spans="1:2">
      <c r="A43281" s="3" t="str">
        <f>IFERROR(__xludf.DUMMYFUNCTION("GOOGLETRANSLATE(A43281,""en"",""pt"")"),"Barato, boa cor, não muito difícil para os olhos")</f>
        <v>Barato, boa cor, não muito difícil para os olhos</v>
      </c>
      <c r="B43281" s="3">
        <v>1</v>
      </c>
    </row>
    <row r="43282" ht="15.75" customHeight="1" spans="1:2">
      <c r="A43282" s="3" t="str">
        <f>IFERROR(__xludf.DUMMYFUNCTION("GOOGLETRANSLATE(A43282,""en"",""pt"")"),"Pretty Good saída, e bastante barato")</f>
        <v>Pretty Good saída, e bastante barato</v>
      </c>
      <c r="B43282" s="3">
        <v>1</v>
      </c>
    </row>
    <row r="43283" ht="15.75" customHeight="1" spans="1:2">
      <c r="A43283" s="3" t="str">
        <f>IFERROR(__xludf.DUMMYFUNCTION("GOOGLETRANSLATE(A43283,""en"",""pt"")"),"PREÇO $$$")</f>
        <v>PREÇO $$$</v>
      </c>
      <c r="B43283" s="3">
        <v>1</v>
      </c>
    </row>
    <row r="43284" ht="15.75" customHeight="1" spans="1:2">
      <c r="A43284" s="3" t="str">
        <f>IFERROR(__xludf.DUMMYFUNCTION("GOOGLETRANSLATE(A43284,""en"",""pt"")"),"2880 para menos de US $ 100,00")</f>
        <v>2880 para menos de US $ 100,00</v>
      </c>
      <c r="B43284" s="3">
        <v>1</v>
      </c>
    </row>
    <row r="43285" ht="15.75" customHeight="1" spans="1:2">
      <c r="A43285" s="3" t="str">
        <f>IFERROR(__xludf.DUMMYFUNCTION("GOOGLETRANSLATE(A43285,""en"",""pt"")"),"Baratos para compra")</f>
        <v>Baratos para compra</v>
      </c>
      <c r="B43285" s="3">
        <v>1</v>
      </c>
    </row>
    <row r="43286" ht="15.75" customHeight="1" spans="1:2">
      <c r="A43286" s="3" t="str">
        <f>IFERROR(__xludf.DUMMYFUNCTION("GOOGLETRANSLATE(A43286,""en"",""pt"")"),"Excelente cor e qualidade gráfica quando novos.")</f>
        <v>Excelente cor e qualidade gráfica quando novos.</v>
      </c>
      <c r="B43286" s="3">
        <v>1</v>
      </c>
    </row>
    <row r="43287" ht="15.75" customHeight="1" spans="1:2">
      <c r="A43287" s="3" t="str">
        <f>IFERROR(__xludf.DUMMYFUNCTION("GOOGLETRANSLATE(A43287,""en"",""pt"")"),"qualidade de impressão, velocidade decente, ao longo da vida / saída de alta")</f>
        <v>qualidade de impressão, velocidade decente, ao longo da vida / saída de alta</v>
      </c>
      <c r="B43287" s="3">
        <v>1</v>
      </c>
    </row>
    <row r="43288" ht="15.75" customHeight="1" spans="1:2">
      <c r="A43288" s="3" t="str">
        <f>IFERROR(__xludf.DUMMYFUNCTION("GOOGLETRANSLATE(A43288,""en"",""pt"")"),"Bom produto de qualidade, muitas opções boas para deixá-lo escolher exatamente o que você quer.")</f>
        <v>Bom produto de qualidade, muitas opções boas para deixá-lo escolher exatamente o que você quer.</v>
      </c>
      <c r="B43288" s="3">
        <v>1</v>
      </c>
    </row>
    <row r="43289" ht="15.75" customHeight="1" spans="1:2">
      <c r="A43289" s="3" t="str">
        <f>IFERROR(__xludf.DUMMYFUNCTION("GOOGLETRANSLATE(A43289,""en"",""pt"")"),"impressões de boa qualidade")</f>
        <v>impressões de boa qualidade</v>
      </c>
      <c r="B43289" s="3">
        <v>1</v>
      </c>
    </row>
    <row r="43290" ht="15.75" customHeight="1" spans="1:2">
      <c r="A43290" s="3" t="str">
        <f>IFERROR(__xludf.DUMMYFUNCTION("GOOGLETRANSLATE(A43290,""en"",""pt"")"),"Muito boa qualidade de saída")</f>
        <v>Muito boa qualidade de saída</v>
      </c>
      <c r="B43290" s="3">
        <v>1</v>
      </c>
    </row>
    <row r="43291" ht="15.75" customHeight="1" spans="1:2">
      <c r="A43291" s="3" t="str">
        <f>IFERROR(__xludf.DUMMYFUNCTION("GOOGLETRANSLATE(A43291,""en"",""pt"")"),"grande Output")</f>
        <v>grande Output</v>
      </c>
      <c r="B43291" s="3">
        <v>1</v>
      </c>
    </row>
    <row r="43292" ht="15.75" customHeight="1" spans="1:2">
      <c r="A43292" s="3" t="str">
        <f>IFERROR(__xludf.DUMMYFUNCTION("GOOGLETRANSLATE(A43292,""en"",""pt"")"),"Fácil de usar...")</f>
        <v>Fácil de usar...</v>
      </c>
      <c r="B43292" s="3">
        <v>1</v>
      </c>
    </row>
    <row r="43293" ht="15.75" customHeight="1" spans="1:2">
      <c r="A43293" s="3" t="str">
        <f>IFERROR(__xludf.DUMMYFUNCTION("GOOGLETRANSLATE(A43293,""en"",""pt"")"),"QUALIDADE DE IMPRESSÃO GRANDE")</f>
        <v>QUALIDADE DE IMPRESSÃO GRANDE</v>
      </c>
      <c r="B43293" s="3">
        <v>1</v>
      </c>
    </row>
    <row r="43294" ht="15.75" customHeight="1" spans="1:2">
      <c r="A43294" s="3" t="str">
        <f>IFERROR(__xludf.DUMMYFUNCTION("GOOGLETRANSLATE(A43294,""en"",""pt"")"),"otima qualidade")</f>
        <v>otima qualidade</v>
      </c>
      <c r="B43294" s="3">
        <v>1</v>
      </c>
    </row>
    <row r="43295" ht="15.75" customHeight="1" spans="1:2">
      <c r="A43295" s="3" t="str">
        <f>IFERROR(__xludf.DUMMYFUNCTION("GOOGLETRANSLATE(A43295,""en"",""pt"")"),"Impressão rápida e barata")</f>
        <v>Impressão rápida e barata</v>
      </c>
      <c r="B43295" s="3">
        <v>1</v>
      </c>
    </row>
    <row r="43296" ht="15.75" customHeight="1" spans="1:2">
      <c r="A43296" s="3" t="str">
        <f>IFERROR(__xludf.DUMMYFUNCTION("GOOGLETRANSLATE(A43296,""en"",""pt"")"),"Rápida e muito boa qualidade")</f>
        <v>Rápida e muito boa qualidade</v>
      </c>
      <c r="B43296" s="3">
        <v>1</v>
      </c>
    </row>
    <row r="43297" ht="15.75" customHeight="1" spans="1:2">
      <c r="A43297" s="3" t="str">
        <f>IFERROR(__xludf.DUMMYFUNCTION("GOOGLETRANSLATE(A43297,""en"",""pt"")"),"Velocidade, Custo, Qualidade")</f>
        <v>Velocidade, Custo, Qualidade</v>
      </c>
      <c r="B43297" s="3">
        <v>1</v>
      </c>
    </row>
    <row r="43298" ht="15.75" customHeight="1" spans="1:2">
      <c r="A43298" s="3" t="str">
        <f>IFERROR(__xludf.DUMMYFUNCTION("GOOGLETRANSLATE(A43298,""en"",""pt"")"),"A grande qualidade, cor rápido e impressão a preto, fácil de instalar")</f>
        <v>A grande qualidade, cor rápido e impressão a preto, fácil de instalar</v>
      </c>
      <c r="B43298" s="3">
        <v>1</v>
      </c>
    </row>
    <row r="43299" ht="15.75" customHeight="1" spans="1:2">
      <c r="A43299" s="3" t="str">
        <f>IFERROR(__xludf.DUMMYFUNCTION("GOOGLETRANSLATE(A43299,""en"",""pt"")"),"Rápido, grande qualidade de impressão")</f>
        <v>Rápido, grande qualidade de impressão</v>
      </c>
      <c r="B43299" s="3">
        <v>1</v>
      </c>
    </row>
    <row r="43300" ht="15.75" customHeight="1" spans="1:2">
      <c r="A43300" s="3" t="str">
        <f>IFERROR(__xludf.DUMMYFUNCTION("GOOGLETRANSLATE(A43300,""en"",""pt"")"),"Grandes fotos brilhantes, cartas, boletins informativos, etc.")</f>
        <v>Grandes fotos brilhantes, cartas, boletins informativos, etc.</v>
      </c>
      <c r="B43300" s="3">
        <v>1</v>
      </c>
    </row>
    <row r="43301" ht="15.75" customHeight="1" spans="1:2">
      <c r="A43301" s="3" t="str">
        <f>IFERROR(__xludf.DUMMYFUNCTION("GOOGLETRANSLATE(A43301,""en"",""pt"")"),"Posso obter cartuchos genéricos muito barato. impressão de qualidade de imagem decente.")</f>
        <v>Posso obter cartuchos genéricos muito barato. impressão de qualidade de imagem decente.</v>
      </c>
      <c r="B43301" s="3">
        <v>1</v>
      </c>
    </row>
    <row r="43302" ht="15.75" customHeight="1" spans="1:2">
      <c r="A43302" s="3" t="str">
        <f>IFERROR(__xludf.DUMMYFUNCTION("GOOGLETRANSLATE(A43302,""en"",""pt"")"),"boa qualidade, suporte de rede, extensor de papel (para 8 &amp; amp; # 189; &amp; amp; # 148; 14 &amp; amp; # 148;)")</f>
        <v>boa qualidade, suporte de rede, extensor de papel (para 8 &amp; amp; # 189; &amp; amp; # 148; 14 &amp; amp; # 148;)</v>
      </c>
      <c r="B43302" s="3">
        <v>1</v>
      </c>
    </row>
    <row r="43303" ht="15.75" customHeight="1" spans="1:2">
      <c r="A43303" s="3" t="str">
        <f>IFERROR(__xludf.DUMMYFUNCTION("GOOGLETRANSLATE(A43303,""en"",""pt"")"),"mais alta qualidade, fácil de usar, um bom design")</f>
        <v>mais alta qualidade, fácil de usar, um bom design</v>
      </c>
      <c r="B43303" s="3">
        <v>1</v>
      </c>
    </row>
    <row r="43304" ht="15.75" customHeight="1" spans="1:2">
      <c r="A43304" s="3" t="str">
        <f>IFERROR(__xludf.DUMMYFUNCTION("GOOGLETRANSLATE(A43304,""en"",""pt"")"),"Preço baixo. Rápido. Quieto. impressões de qualidade bom.")</f>
        <v>Preço baixo. Rápido. Quieto. impressões de qualidade bom.</v>
      </c>
      <c r="B43304" s="3">
        <v>1</v>
      </c>
    </row>
    <row r="43305" ht="15.75" customHeight="1" spans="1:2">
      <c r="A43305" s="3" t="str">
        <f>IFERROR(__xludf.DUMMYFUNCTION("GOOGLETRANSLATE(A43305,""en"",""pt"")"),"impressão rápida, de alta dpi, imagens nítidas")</f>
        <v>impressão rápida, de alta dpi, imagens nítidas</v>
      </c>
      <c r="B43305" s="3">
        <v>1</v>
      </c>
    </row>
    <row r="43306" ht="15.75" customHeight="1" spans="1:2">
      <c r="A43306" s="3" t="str">
        <f>IFERROR(__xludf.DUMMYFUNCTION("GOOGLETRANSLATE(A43306,""en"",""pt"")"),"tinta barata ($ 1.99 no Ebay)")</f>
        <v>tinta barata ($ 1.99 no Ebay)</v>
      </c>
      <c r="B43306" s="3">
        <v>1</v>
      </c>
    </row>
    <row r="43307" ht="15.75" customHeight="1" spans="1:2">
      <c r="A43307" s="3" t="str">
        <f>IFERROR(__xludf.DUMMYFUNCTION("GOOGLETRANSLATE(A43307,""en"",""pt"")"),"Preço")</f>
        <v>Preço</v>
      </c>
      <c r="B43307" s="3">
        <v>1</v>
      </c>
    </row>
    <row r="43308" ht="15.75" customHeight="1" spans="1:2">
      <c r="A43308" s="3" t="str">
        <f>IFERROR(__xludf.DUMMYFUNCTION("GOOGLETRANSLATE(A43308,""en"",""pt"")"),"Grandes gráficos de impressão")</f>
        <v>Grandes gráficos de impressão</v>
      </c>
      <c r="B43308" s="3">
        <v>1</v>
      </c>
    </row>
    <row r="43309" ht="15.75" customHeight="1" spans="1:2">
      <c r="A43309" s="3" t="str">
        <f>IFERROR(__xludf.DUMMYFUNCTION("GOOGLETRANSLATE(A43309,""en"",""pt"")"),"Belas impressões com facilidade!")</f>
        <v>Belas impressões com facilidade!</v>
      </c>
      <c r="B43309" s="3">
        <v>1</v>
      </c>
    </row>
    <row r="43310" ht="15.75" customHeight="1" spans="1:2">
      <c r="A43310" s="3" t="str">
        <f>IFERROR(__xludf.DUMMYFUNCTION("GOOGLETRANSLATE(A43310,""en"",""pt"")"),"qualidade agradável e características, aparência agradável em seu desktop, bom tamanho")</f>
        <v>qualidade agradável e características, aparência agradável em seu desktop, bom tamanho</v>
      </c>
      <c r="B43310" s="3">
        <v>1</v>
      </c>
    </row>
    <row r="43311" ht="15.75" customHeight="1" spans="1:2">
      <c r="A43311" s="3" t="str">
        <f>IFERROR(__xludf.DUMMYFUNCTION("GOOGLETRANSLATE(A43311,""en"",""pt"")"),"Muito rápido, grande impressão a cores (em papel de alta qualidade), bom preço")</f>
        <v>Muito rápido, grande impressão a cores (em papel de alta qualidade), bom preço</v>
      </c>
      <c r="B43311" s="3">
        <v>1</v>
      </c>
    </row>
    <row r="43312" ht="15.75" customHeight="1" spans="1:2">
      <c r="A43312" s="3" t="str">
        <f>IFERROR(__xludf.DUMMYFUNCTION("GOOGLETRANSLATE(A43312,""en"",""pt"")"),"Black &amp; amp; Branca Speed ​​Demon; &amp; amp; # 13; &amp; amp; # 10; marca não Epson genérico cartucho utilizável; &amp; amp; # 13; &amp; amp; # 10; Bom para uso de escritório.")</f>
        <v>Black &amp; amp; Branca Speed ​​Demon; &amp; amp; # 13; &amp; amp; # 10; marca não Epson genérico cartucho utilizável; &amp; amp; # 13; &amp; amp; # 10; Bom para uso de escritório.</v>
      </c>
      <c r="B43312" s="3">
        <v>1</v>
      </c>
    </row>
    <row r="43313" ht="15.75" customHeight="1" spans="1:2">
      <c r="A43313" s="3" t="str">
        <f>IFERROR(__xludf.DUMMYFUNCTION("GOOGLETRANSLATE(A43313,""en"",""pt"")"),"olhando agradável e muito fácil de usar")</f>
        <v>olhando agradável e muito fácil de usar</v>
      </c>
      <c r="B43313" s="3">
        <v>1</v>
      </c>
    </row>
    <row r="43314" ht="15.75" customHeight="1" spans="1:2">
      <c r="A43314" s="3" t="str">
        <f>IFERROR(__xludf.DUMMYFUNCTION("GOOGLETRANSLATE(A43314,""en"",""pt"")"),"mais rápido e tão bom")</f>
        <v>mais rápido e tão bom</v>
      </c>
      <c r="B43314" s="3">
        <v>1</v>
      </c>
    </row>
    <row r="43315" ht="15.75" customHeight="1" spans="1:2">
      <c r="A43315" s="3" t="str">
        <f>IFERROR(__xludf.DUMMYFUNCTION("GOOGLETRANSLATE(A43315,""en"",""pt"")"),"rápido, silencioso, leve e mais")</f>
        <v>rápido, silencioso, leve e mais</v>
      </c>
      <c r="B43315" s="3">
        <v>1</v>
      </c>
    </row>
    <row r="43316" ht="15.75" customHeight="1" spans="1:2">
      <c r="A43316" s="3" t="str">
        <f>IFERROR(__xludf.DUMMYFUNCTION("GOOGLETRANSLATE(A43316,""en"",""pt"")"),"Barato qualidade fotográfica")</f>
        <v>Barato qualidade fotográfica</v>
      </c>
      <c r="B43316" s="3">
        <v>1</v>
      </c>
    </row>
    <row r="43317" ht="15.75" customHeight="1" spans="1:2">
      <c r="A43317" s="3" t="str">
        <f>IFERROR(__xludf.DUMMYFUNCTION("GOOGLETRANSLATE(A43317,""en"",""pt"")"),"Rápida, tranquila e saída bonita")</f>
        <v>Rápida, tranquila e saída bonita</v>
      </c>
      <c r="B43317" s="3">
        <v>1</v>
      </c>
    </row>
    <row r="43318" ht="15.75" customHeight="1" spans="1:2">
      <c r="A43318" s="3" t="str">
        <f>IFERROR(__xludf.DUMMYFUNCTION("GOOGLETRANSLATE(A43318,""en"",""pt"")"),"Muito bom preço e qualidade de foto")</f>
        <v>Muito bom preço e qualidade de foto</v>
      </c>
      <c r="B43318" s="3">
        <v>1</v>
      </c>
    </row>
    <row r="43319" ht="15.75" customHeight="1" spans="1:2">
      <c r="A43319" s="3" t="str">
        <f>IFERROR(__xludf.DUMMYFUNCTION("GOOGLETRANSLATE(A43319,""en"",""pt"")"),"acessível, compacto")</f>
        <v>acessível, compacto</v>
      </c>
      <c r="B43319" s="3">
        <v>1</v>
      </c>
    </row>
    <row r="43320" ht="15.75" customHeight="1" spans="1:2">
      <c r="A43320" s="3" t="str">
        <f>IFERROR(__xludf.DUMMYFUNCTION("GOOGLETRANSLATE(A43320,""en"",""pt"")"),"preço, tamanho, qualidade, aparência e facilidade de uso")</f>
        <v>preço, tamanho, qualidade, aparência e facilidade de uso</v>
      </c>
      <c r="B43320" s="3">
        <v>1</v>
      </c>
    </row>
    <row r="43321" ht="15.75" customHeight="1" spans="1:2">
      <c r="A43321" s="3" t="str">
        <f>IFERROR(__xludf.DUMMYFUNCTION("GOOGLETRANSLATE(A43321,""en"",""pt"")"),"Bom preço, rápido e resultados nítidos")</f>
        <v>Bom preço, rápido e resultados nítidos</v>
      </c>
      <c r="B43321" s="3">
        <v>1</v>
      </c>
    </row>
    <row r="43322" ht="15.75" customHeight="1" spans="1:2">
      <c r="A43322" s="3" t="str">
        <f>IFERROR(__xludf.DUMMYFUNCTION("GOOGLETRANSLATE(A43322,""en"",""pt"")"),"Excelente qualidade de impressão; velozes")</f>
        <v>Excelente qualidade de impressão; velozes</v>
      </c>
      <c r="B43322" s="3">
        <v>1</v>
      </c>
    </row>
    <row r="43323" ht="15.75" customHeight="1" spans="1:2">
      <c r="A43323" s="3" t="str">
        <f>IFERROR(__xludf.DUMMYFUNCTION("GOOGLETRANSLATE(A43323,""en"",""pt"")"),"grande qualidade fotográfica")</f>
        <v>grande qualidade fotográfica</v>
      </c>
      <c r="B43323" s="3">
        <v>1</v>
      </c>
    </row>
    <row r="43324" ht="15.75" customHeight="1" spans="1:2">
      <c r="A43324" s="3" t="str">
        <f>IFERROR(__xludf.DUMMYFUNCTION("GOOGLETRANSLATE(A43324,""en"",""pt"")"),"Simples de usar, excelente qualidade de impressão rápida")</f>
        <v>Simples de usar, excelente qualidade de impressão rápida</v>
      </c>
      <c r="B43324" s="3">
        <v>1</v>
      </c>
    </row>
    <row r="43325" ht="15.75" customHeight="1" spans="1:2">
      <c r="A43325" s="3" t="str">
        <f>IFERROR(__xludf.DUMMYFUNCTION("GOOGLETRANSLATE(A43325,""en"",""pt"")"),"Muito tranquilo e muito rápido")</f>
        <v>Muito tranquilo e muito rápido</v>
      </c>
      <c r="B43325" s="3">
        <v>1</v>
      </c>
    </row>
    <row r="43326" ht="15.75" customHeight="1" spans="1:2">
      <c r="A43326" s="3" t="str">
        <f>IFERROR(__xludf.DUMMYFUNCTION("GOOGLETRANSLATE(A43326,""en"",""pt"")"),"Rápido, silencioso, design elegante")</f>
        <v>Rápido, silencioso, design elegante</v>
      </c>
      <c r="B43326" s="3">
        <v>1</v>
      </c>
    </row>
    <row r="43327" ht="15.75" customHeight="1" spans="1:2">
      <c r="A43327" s="3" t="str">
        <f>IFERROR(__xludf.DUMMYFUNCTION("GOOGLETRANSLATE(A43327,""en"",""pt"")"),"Impressão de alta qualidade, bom preço")</f>
        <v>Impressão de alta qualidade, bom preço</v>
      </c>
      <c r="B43327" s="3">
        <v>1</v>
      </c>
    </row>
    <row r="43328" ht="15.75" customHeight="1" spans="1:2">
      <c r="A43328" s="3" t="str">
        <f>IFERROR(__xludf.DUMMYFUNCTION("GOOGLETRANSLATE(A43328,""en"",""pt"")"),"qualidade incrível para um não-&amp; amp; quot; Foto &amp; amp; quot; impressora")</f>
        <v>qualidade incrível para um não-&amp; amp; quot; Foto &amp; amp; quot; impressora</v>
      </c>
      <c r="B43328" s="3">
        <v>1</v>
      </c>
    </row>
    <row r="43329" ht="15.75" customHeight="1" spans="1:2">
      <c r="A43329" s="3" t="str">
        <f>IFERROR(__xludf.DUMMYFUNCTION("GOOGLETRANSLATE(A43329,""en"",""pt"")"),"Rápido, fácil de usar, permite que você veja a quantidade de tinta que resta")</f>
        <v>Rápido, fácil de usar, permite que você veja a quantidade de tinta que resta</v>
      </c>
      <c r="B43329" s="3">
        <v>1</v>
      </c>
    </row>
    <row r="43330" ht="15.75" customHeight="1" spans="1:2">
      <c r="A43330" s="3" t="str">
        <f>IFERROR(__xludf.DUMMYFUNCTION("GOOGLETRANSLATE(A43330,""en"",""pt"")"),"Barato, Obras Grande")</f>
        <v>Barato, Obras Grande</v>
      </c>
      <c r="B43330" s="3">
        <v>1</v>
      </c>
    </row>
    <row r="43331" ht="15.75" customHeight="1" spans="1:2">
      <c r="A43331" s="3" t="str">
        <f>IFERROR(__xludf.DUMMYFUNCTION("GOOGLETRANSLATE(A43331,""en"",""pt"")"),"Impressão de fotos!")</f>
        <v>Impressão de fotos!</v>
      </c>
      <c r="B43331" s="3">
        <v>1</v>
      </c>
    </row>
    <row r="43332" ht="15.75" customHeight="1" spans="1:2">
      <c r="A43332" s="3" t="str">
        <f>IFERROR(__xludf.DUMMYFUNCTION("GOOGLETRANSLATE(A43332,""en"",""pt"")"),"Barato, bocal de 0,4 litros Pico")</f>
        <v>Barato, bocal de 0,4 litros Pico</v>
      </c>
      <c r="B43332" s="3">
        <v>1</v>
      </c>
    </row>
    <row r="43333" ht="15.75" customHeight="1" spans="1:2">
      <c r="A43333" s="3" t="str">
        <f>IFERROR(__xludf.DUMMYFUNCTION("GOOGLETRANSLATE(A43333,""en"",""pt"")"),"Preço")</f>
        <v>Preço</v>
      </c>
      <c r="B43333" s="3">
        <v>1</v>
      </c>
    </row>
    <row r="43334" ht="15.75" customHeight="1" spans="1:2">
      <c r="A43334" s="3" t="str">
        <f>IFERROR(__xludf.DUMMYFUNCTION("GOOGLETRANSLATE(A43334,""en"",""pt"")"),"Silencioso, rápido, novo design")</f>
        <v>Silencioso, rápido, novo design</v>
      </c>
      <c r="B43334" s="3">
        <v>1</v>
      </c>
    </row>
    <row r="43335" ht="15.75" customHeight="1" spans="1:2">
      <c r="A43335" s="3" t="str">
        <f>IFERROR(__xludf.DUMMYFUNCTION("GOOGLETRANSLATE(A43335,""en"",""pt"")"),"aba basculante frente, o painel de controle")</f>
        <v>aba basculante frente, o painel de controle</v>
      </c>
      <c r="B43335" s="3">
        <v>1</v>
      </c>
    </row>
    <row r="43336" ht="15.75" customHeight="1" spans="1:2">
      <c r="A43336" s="3" t="str">
        <f>IFERROR(__xludf.DUMMYFUNCTION("GOOGLETRANSLATE(A43336,""en"",""pt"")"),"Muito bom preço on-line (teve um desconto fantástico também).")</f>
        <v>Muito bom preço on-line (teve um desconto fantástico também).</v>
      </c>
      <c r="B43336" s="3">
        <v>1</v>
      </c>
    </row>
    <row r="43337" ht="15.75" customHeight="1" spans="1:2">
      <c r="A43337" s="3" t="str">
        <f>IFERROR(__xludf.DUMMYFUNCTION("GOOGLETRANSLATE(A43337,""en"",""pt"")"),"operação silenciosa, ótima impressão de qualidade fotográfica, bom custo por relação de impressão.")</f>
        <v>operação silenciosa, ótima impressão de qualidade fotográfica, bom custo por relação de impressão.</v>
      </c>
      <c r="B43337" s="3">
        <v>1</v>
      </c>
    </row>
    <row r="43338" ht="15.75" customHeight="1" spans="1:2">
      <c r="A43338" s="3" t="str">
        <f>IFERROR(__xludf.DUMMYFUNCTION("GOOGLETRANSLATE(A43338,""en"",""pt"")"),"Photo-qualidade a um preço razoável. Quieto.")</f>
        <v>Photo-qualidade a um preço razoável. Quieto.</v>
      </c>
      <c r="B43338" s="3">
        <v>1</v>
      </c>
    </row>
    <row r="43339" ht="15.75" customHeight="1" spans="1:2">
      <c r="A43339" s="3" t="str">
        <f>IFERROR(__xludf.DUMMYFUNCTION("GOOGLETRANSLATE(A43339,""en"",""pt"")"),"Grande velocidade e qualidade, muito acessível")</f>
        <v>Grande velocidade e qualidade, muito acessível</v>
      </c>
      <c r="B43339" s="3">
        <v>1</v>
      </c>
    </row>
    <row r="43340" ht="15.75" customHeight="1" spans="1:2">
      <c r="A43340" s="3" t="str">
        <f>IFERROR(__xludf.DUMMYFUNCTION("GOOGLETRANSLATE(A43340,""en"",""pt"")"),"Excelente Printer! Preço razoável")</f>
        <v>Excelente Printer! Preço razoável</v>
      </c>
      <c r="B43340" s="3">
        <v>1</v>
      </c>
    </row>
    <row r="43341" ht="15.75" customHeight="1" spans="1:2">
      <c r="A43341" s="3" t="str">
        <f>IFERROR(__xludf.DUMMYFUNCTION("GOOGLETRANSLATE(A43341,""en"",""pt"")"),"Velocidade e resolução, bastante mecanismo ultra, design compacto, garantia")</f>
        <v>Velocidade e resolução, bastante mecanismo ultra, design compacto, garantia</v>
      </c>
      <c r="B43341" s="3">
        <v>1</v>
      </c>
    </row>
    <row r="43342" ht="15.75" customHeight="1" spans="1:2">
      <c r="A43342" s="3" t="str">
        <f>IFERROR(__xludf.DUMMYFUNCTION("GOOGLETRANSLATE(A43342,""en"",""pt"")"),"Fiel à vida Photo Quality, facilidade de uso e Boa suporte de papel.")</f>
        <v>Fiel à vida Photo Quality, facilidade de uso e Boa suporte de papel.</v>
      </c>
      <c r="B43342" s="3">
        <v>1</v>
      </c>
    </row>
    <row r="43343" ht="15.75" customHeight="1" spans="1:2">
      <c r="A43343" s="3" t="str">
        <f>IFERROR(__xludf.DUMMYFUNCTION("GOOGLETRANSLATE(A43343,""en"",""pt"")"),"Rápido, muito calma, a qualidade da foto incrível sobre Epson papel fotográfico brilhante. Excelente renderização de texto também.")</f>
        <v>Rápido, muito calma, a qualidade da foto incrível sobre Epson papel fotográfico brilhante. Excelente renderização de texto também.</v>
      </c>
      <c r="B43343" s="3">
        <v>1</v>
      </c>
    </row>
    <row r="43344" ht="15.75" customHeight="1" spans="1:2">
      <c r="A43344" s="3" t="str">
        <f>IFERROR(__xludf.DUMMYFUNCTION("GOOGLETRANSLATE(A43344,""en"",""pt"")"),"Cópia agradável, fácil configuração, boa tinta status de quantidade")</f>
        <v>Cópia agradável, fácil configuração, boa tinta status de quantidade</v>
      </c>
      <c r="B43344" s="3">
        <v>1</v>
      </c>
    </row>
    <row r="43345" ht="15.75" customHeight="1" spans="1:2">
      <c r="A43345" s="3" t="str">
        <f>IFERROR(__xludf.DUMMYFUNCTION("GOOGLETRANSLATE(A43345,""en"",""pt"")"),"estilo, qualidade, fácil configuração")</f>
        <v>estilo, qualidade, fácil configuração</v>
      </c>
      <c r="B43345" s="3">
        <v>1</v>
      </c>
    </row>
    <row r="43346" ht="15.75" customHeight="1" spans="1:2">
      <c r="A43346" s="3" t="str">
        <f>IFERROR(__xludf.DUMMYFUNCTION("GOOGLETRANSLATE(A43346,""en"",""pt"")"),"Grande qualidade de foto, grande qualidade de texto, que vale muito rápido cada centavo")</f>
        <v>Grande qualidade de foto, grande qualidade de texto, que vale muito rápido cada centavo</v>
      </c>
      <c r="B43346" s="3">
        <v>1</v>
      </c>
    </row>
    <row r="43347" ht="15.75" customHeight="1" spans="1:2">
      <c r="A43347" s="3" t="str">
        <f>IFERROR(__xludf.DUMMYFUNCTION("GOOGLETRANSLATE(A43347,""en"",""pt"")"),"impressão rápida, que é compacto")</f>
        <v>impressão rápida, que é compacto</v>
      </c>
      <c r="B43347" s="3">
        <v>1</v>
      </c>
    </row>
    <row r="43348" ht="15.75" customHeight="1" spans="1:2">
      <c r="A43348" s="3" t="str">
        <f>IFERROR(__xludf.DUMMYFUNCTION("GOOGLETRANSLATE(A43348,""en"",""pt"")"),"impressão a cores de alta qualidade")</f>
        <v>impressão a cores de alta qualidade</v>
      </c>
      <c r="B43348" s="3">
        <v>1</v>
      </c>
    </row>
    <row r="43349" ht="15.75" customHeight="1" spans="1:2">
      <c r="A43349" s="3" t="str">
        <f>IFERROR(__xludf.DUMMYFUNCTION("GOOGLETRANSLATE(A43349,""en"",""pt"")"),"Rápido, silencioso, e excelente qualidade de impressão!")</f>
        <v>Rápido, silencioso, e excelente qualidade de impressão!</v>
      </c>
      <c r="B43349" s="3">
        <v>1</v>
      </c>
    </row>
    <row r="43350" ht="15.75" customHeight="1" spans="1:2">
      <c r="A43350" s="3" t="str">
        <f>IFERROR(__xludf.DUMMYFUNCTION("GOOGLETRANSLATE(A43350,""en"",""pt"")"),"Grande impressão de fotografias, a vida do cartucho de cor longo")</f>
        <v>Grande impressão de fotografias, a vida do cartucho de cor longo</v>
      </c>
      <c r="B43350" s="3">
        <v>1</v>
      </c>
    </row>
    <row r="43351" ht="15.75" customHeight="1" spans="1:2">
      <c r="A43351" s="3" t="str">
        <f>IFERROR(__xludf.DUMMYFUNCTION("GOOGLETRANSLATE(A43351,""en"",""pt"")"),"Silencioso, USB")</f>
        <v>Silencioso, USB</v>
      </c>
      <c r="B43351" s="3">
        <v>1</v>
      </c>
    </row>
    <row r="43352" ht="15.75" customHeight="1" spans="1:2">
      <c r="A43352" s="3" t="str">
        <f>IFERROR(__xludf.DUMMYFUNCTION("GOOGLETRANSLATE(A43352,""en"",""pt"")"),"qualidade de impressão decente quando os chefes não são encravado.")</f>
        <v>qualidade de impressão decente quando os chefes não são encravado.</v>
      </c>
      <c r="B43352" s="3">
        <v>1</v>
      </c>
    </row>
    <row r="43353" ht="15.75" customHeight="1" spans="1:2">
      <c r="A43353" s="3" t="str">
        <f>IFERROR(__xludf.DUMMYFUNCTION("GOOGLETRANSLATE(A43353,""en"",""pt"")"),"Nice looking")</f>
        <v>Nice looking</v>
      </c>
      <c r="B43353" s="3">
        <v>1</v>
      </c>
    </row>
    <row r="43354" ht="15.75" customHeight="1" spans="1:2">
      <c r="A43354" s="3" t="str">
        <f>IFERROR(__xludf.DUMMYFUNCTION("GOOGLETRANSLATE(A43354,""en"",""pt"")"),"Acessíveis, impressões de qualidade, rápido e silencioso")</f>
        <v>Acessíveis, impressões de qualidade, rápido e silencioso</v>
      </c>
      <c r="B43354" s="3">
        <v>1</v>
      </c>
    </row>
    <row r="43355" ht="15.75" customHeight="1" spans="1:2">
      <c r="A43355" s="3" t="str">
        <f>IFERROR(__xludf.DUMMYFUNCTION("GOOGLETRANSLATE(A43355,""en"",""pt"")"),"100% saída de qualidade fotográfica. Texto também é muito impressionante.")</f>
        <v>100% saída de qualidade fotográfica. Texto também é muito impressionante.</v>
      </c>
      <c r="B43355" s="3">
        <v>1</v>
      </c>
    </row>
    <row r="43356" ht="15.75" customHeight="1" spans="1:2">
      <c r="A43356" s="3" t="str">
        <f>IFERROR(__xludf.DUMMYFUNCTION("GOOGLETRANSLATE(A43356,""en"",""pt"")"),"Bom, impressão silenciosa")</f>
        <v>Bom, impressão silenciosa</v>
      </c>
      <c r="B43356" s="3">
        <v>1</v>
      </c>
    </row>
    <row r="43357" ht="15.75" customHeight="1" spans="1:2">
      <c r="A43357" s="3" t="str">
        <f>IFERROR(__xludf.DUMMYFUNCTION("GOOGLETRANSLATE(A43357,""en"",""pt"")"),"Grande saída, qualidade arquivística, acessível, tranquila &amp; amp; operação rápida")</f>
        <v>Grande saída, qualidade arquivística, acessível, tranquila &amp; amp; operação rápida</v>
      </c>
      <c r="B43357" s="3">
        <v>1</v>
      </c>
    </row>
    <row r="43358" ht="15.75" customHeight="1" spans="1:2">
      <c r="A43358" s="3" t="str">
        <f>IFERROR(__xludf.DUMMYFUNCTION("GOOGLETRANSLATE(A43358,""en"",""pt"")"),"boa cor, Quieto, visualização de impressão")</f>
        <v>boa cor, Quieto, visualização de impressão</v>
      </c>
      <c r="B43358" s="3">
        <v>1</v>
      </c>
    </row>
    <row r="43359" ht="15.75" customHeight="1" spans="1:2">
      <c r="A43359" s="3" t="str">
        <f>IFERROR(__xludf.DUMMYFUNCTION("GOOGLETRANSLATE(A43359,""en"",""pt"")"),"Relativamente calma, relativamente rápido (em B &amp; amp; W modo apenas)")</f>
        <v>Relativamente calma, relativamente rápido (em B &amp; amp; W modo apenas)</v>
      </c>
      <c r="B43359" s="3">
        <v>1</v>
      </c>
    </row>
    <row r="43360" ht="15.75" customHeight="1" spans="1:2">
      <c r="A43360" s="3" t="str">
        <f>IFERROR(__xludf.DUMMYFUNCTION("GOOGLETRANSLATE(A43360,""en"",""pt"")"),"qualidade Epson")</f>
        <v>qualidade Epson</v>
      </c>
      <c r="B43360" s="3">
        <v>1</v>
      </c>
    </row>
    <row r="43361" ht="15.75" customHeight="1" spans="1:2">
      <c r="A43361" s="3" t="str">
        <f>IFERROR(__xludf.DUMMYFUNCTION("GOOGLETRANSLATE(A43361,""en"",""pt"")"),"Silencioso, rápido, confiável, barata, e mais importante, insuperável qualidade de impressão")</f>
        <v>Silencioso, rápido, confiável, barata, e mais importante, insuperável qualidade de impressão</v>
      </c>
      <c r="B43361" s="3">
        <v>1</v>
      </c>
    </row>
    <row r="43362" ht="15.75" customHeight="1" spans="1:2">
      <c r="A43362" s="3" t="str">
        <f>IFERROR(__xludf.DUMMYFUNCTION("GOOGLETRANSLATE(A43362,""en"",""pt"")"),"qualidade de texto e imagem")</f>
        <v>qualidade de texto e imagem</v>
      </c>
      <c r="B43362" s="3">
        <v>1</v>
      </c>
    </row>
    <row r="43363" ht="15.75" customHeight="1" spans="1:2">
      <c r="A43363" s="3" t="str">
        <f>IFERROR(__xludf.DUMMYFUNCTION("GOOGLETRANSLATE(A43363,""en"",""pt"")"),"Parece muito (como um limão).")</f>
        <v>Parece muito (como um limão).</v>
      </c>
      <c r="B43363" s="3">
        <v>1</v>
      </c>
    </row>
    <row r="43364" ht="15.75" customHeight="1" spans="1:2">
      <c r="A43364" s="3" t="str">
        <f>IFERROR(__xludf.DUMMYFUNCTION("GOOGLETRANSLATE(A43364,""en"",""pt"")"),"Decente qualidade de cor, de baixo custo, e impressora cartuchos são fáceis de encontrar.")</f>
        <v>Decente qualidade de cor, de baixo custo, e impressora cartuchos são fáceis de encontrar.</v>
      </c>
      <c r="B43364" s="3">
        <v>1</v>
      </c>
    </row>
    <row r="43365" ht="15.75" customHeight="1" spans="1:2">
      <c r="A43365" s="3" t="str">
        <f>IFERROR(__xludf.DUMMYFUNCTION("GOOGLETRANSLATE(A43365,""en"",""pt"")"),"Velocidade, Tranqüilidade, qualidade de impressão")</f>
        <v>Velocidade, Tranqüilidade, qualidade de impressão</v>
      </c>
      <c r="B43365" s="3">
        <v>1</v>
      </c>
    </row>
    <row r="43366" ht="15.75" customHeight="1" spans="1:2">
      <c r="A43366" s="3" t="str">
        <f>IFERROR(__xludf.DUMMYFUNCTION("GOOGLETRANSLATE(A43366,""en"",""pt"")"),"Velocidade, calma, impressão e qualidade de construção.")</f>
        <v>Velocidade, calma, impressão e qualidade de construção.</v>
      </c>
      <c r="B43366" s="3">
        <v>1</v>
      </c>
    </row>
    <row r="43367" ht="15.75" customHeight="1" spans="1:2">
      <c r="A43367" s="3" t="str">
        <f>IFERROR(__xludf.DUMMYFUNCTION("GOOGLETRANSLATE(A43367,""en"",""pt"")"),"Silencioso, rapidamente")</f>
        <v>Silencioso, rapidamente</v>
      </c>
      <c r="B43367" s="3">
        <v>1</v>
      </c>
    </row>
    <row r="43368" ht="15.75" customHeight="1" spans="1:2">
      <c r="A43368" s="3" t="str">
        <f>IFERROR(__xludf.DUMMYFUNCTION("GOOGLETRANSLATE(A43368,""en"",""pt"")"),"cor rápido e nítido")</f>
        <v>cor rápido e nítido</v>
      </c>
      <c r="B43368" s="3">
        <v>1</v>
      </c>
    </row>
    <row r="43369" ht="15.75" customHeight="1" spans="1:2">
      <c r="A43369" s="3" t="str">
        <f>IFERROR(__xludf.DUMMYFUNCTION("GOOGLETRANSLATE(A43369,""en"",""pt"")"),"Preço, características, Usabilidade, USB")</f>
        <v>Preço, características, Usabilidade, USB</v>
      </c>
      <c r="B43369" s="3">
        <v>1</v>
      </c>
    </row>
    <row r="43370" ht="15.75" customHeight="1" spans="1:2">
      <c r="A43370" s="3" t="str">
        <f>IFERROR(__xludf.DUMMYFUNCTION("GOOGLETRANSLATE(A43370,""en"",""pt"")"),"impressão maravilhosa cor, calmo, muito bem construída!")</f>
        <v>impressão maravilhosa cor, calmo, muito bem construída!</v>
      </c>
      <c r="B43370" s="3">
        <v>1</v>
      </c>
    </row>
    <row r="43371" ht="15.75" customHeight="1" spans="1:2">
      <c r="A43371" s="3" t="str">
        <f>IFERROR(__xludf.DUMMYFUNCTION("GOOGLETRANSLATE(A43371,""en"",""pt"")"),"Mantém seu arrumado mesa; cabeças de impressão são característica permanente da máquina; motoristas são fáceis de instalar; imprime muito rápido.")</f>
        <v>Mantém seu arrumado mesa; cabeças de impressão são característica permanente da máquina; motoristas são fáceis de instalar; imprime muito rápido.</v>
      </c>
      <c r="B43371" s="3">
        <v>1</v>
      </c>
    </row>
    <row r="43372" ht="15.75" customHeight="1" spans="1:2">
      <c r="A43372" s="3" t="str">
        <f>IFERROR(__xludf.DUMMYFUNCTION("GOOGLETRANSLATE(A43372,""en"",""pt"")"),"Fast and Furious., Instalação fácil")</f>
        <v>Fast and Furious., Instalação fácil</v>
      </c>
      <c r="B43372" s="3">
        <v>1</v>
      </c>
    </row>
    <row r="43373" ht="15.75" customHeight="1" spans="1:2">
      <c r="A43373" s="3" t="str">
        <f>IFERROR(__xludf.DUMMYFUNCTION("GOOGLETRANSLATE(A43373,""en"",""pt"")"),"Rápido, operação rápida e fácil de usar.")</f>
        <v>Rápido, operação rápida e fácil de usar.</v>
      </c>
      <c r="B43373" s="3">
        <v>1</v>
      </c>
    </row>
    <row r="43374" ht="15.75" customHeight="1" spans="1:2">
      <c r="A43374" s="3" t="str">
        <f>IFERROR(__xludf.DUMMYFUNCTION("GOOGLETRANSLATE(A43374,""en"",""pt"")"),"impressões fotorrealistas, Preço, Qualidade")</f>
        <v>impressões fotorrealistas, Preço, Qualidade</v>
      </c>
      <c r="B43374" s="3">
        <v>1</v>
      </c>
    </row>
    <row r="43375" ht="15.75" customHeight="1" spans="1:2">
      <c r="A43375" s="3" t="str">
        <f>IFERROR(__xludf.DUMMYFUNCTION("GOOGLETRANSLATE(A43375,""en"",""pt"")"),"impressões de alta qualidade, belos gráficos, operação silenciosa, fácil de configurar.")</f>
        <v>impressões de alta qualidade, belos gráficos, operação silenciosa, fácil de configurar.</v>
      </c>
      <c r="B43375" s="3">
        <v>1</v>
      </c>
    </row>
    <row r="43376" ht="15.75" customHeight="1" spans="1:2">
      <c r="A43376" s="3" t="str">
        <f>IFERROR(__xludf.DUMMYFUNCTION("GOOGLETRANSLATE(A43376,""en"",""pt"")"),"excelente, a qualidade da foto, preço razoável, a configuração é impecável, a tinta é barato em COSTCO")</f>
        <v>excelente, a qualidade da foto, preço razoável, a configuração é impecável, a tinta é barato em COSTCO</v>
      </c>
      <c r="B43376" s="3">
        <v>1</v>
      </c>
    </row>
    <row r="43377" ht="15.75" customHeight="1" spans="1:2">
      <c r="A43377" s="3" t="str">
        <f>IFERROR(__xludf.DUMMYFUNCTION("GOOGLETRANSLATE(A43377,""en"",""pt"")"),"Muito boa qualidade, fácil de configurar")</f>
        <v>Muito boa qualidade, fácil de configurar</v>
      </c>
      <c r="B43377" s="3">
        <v>1</v>
      </c>
    </row>
    <row r="43378" ht="15.75" customHeight="1" spans="1:2">
      <c r="A43378" s="3" t="str">
        <f>IFERROR(__xludf.DUMMYFUNCTION("GOOGLETRANSLATE(A43378,""en"",""pt"")"),"Boa impressora barata para b / w única")</f>
        <v>Boa impressora barata para b / w única</v>
      </c>
      <c r="B43378" s="3">
        <v>1</v>
      </c>
    </row>
    <row r="43379" ht="15.75" customHeight="1" spans="1:2">
      <c r="A43379" s="3" t="str">
        <f>IFERROR(__xludf.DUMMYFUNCTION("GOOGLETRANSLATE(A43379,""en"",""pt"")"),"Boa velocidade para o preço, a saída de cor agradável, a facilidade de configurar o &amp; amp;. # 13; &amp; amp; # 10;")</f>
        <v>Boa velocidade para o preço, a saída de cor agradável, a facilidade de configurar o &amp; amp;. # 13; &amp; amp; # 10;</v>
      </c>
      <c r="B43379" s="3">
        <v>1</v>
      </c>
    </row>
    <row r="43380" ht="15.75" customHeight="1" spans="1:2">
      <c r="A43380" s="3" t="str">
        <f>IFERROR(__xludf.DUMMYFUNCTION("GOOGLETRANSLATE(A43380,""en"",""pt"")"),"Excelente qualidade de impressão, fácil de usar e configurar, muito calmo")</f>
        <v>Excelente qualidade de impressão, fácil de usar e configurar, muito calmo</v>
      </c>
      <c r="B43380" s="3">
        <v>1</v>
      </c>
    </row>
    <row r="43381" ht="15.75" customHeight="1" spans="1:2">
      <c r="A43381" s="3" t="str">
        <f>IFERROR(__xludf.DUMMYFUNCTION("GOOGLETRANSLATE(A43381,""en"",""pt"")"),"saída surpreendente, extremamente silencioso, cartuchos menos caros, em seguida, muitos da competição.")</f>
        <v>saída surpreendente, extremamente silencioso, cartuchos menos caros, em seguida, muitos da competição.</v>
      </c>
      <c r="B43381" s="3">
        <v>1</v>
      </c>
    </row>
    <row r="43382" ht="15.75" customHeight="1" spans="1:2">
      <c r="A43382" s="3" t="str">
        <f>IFERROR(__xludf.DUMMYFUNCTION("GOOGLETRANSLATE(A43382,""en"",""pt"")"),"acessibilidade")</f>
        <v>acessibilidade</v>
      </c>
      <c r="B43382" s="3">
        <v>1</v>
      </c>
    </row>
    <row r="43383" ht="15.75" customHeight="1" spans="1:2">
      <c r="A43383" s="3" t="str">
        <f>IFERROR(__xludf.DUMMYFUNCTION("GOOGLETRANSLATE(A43383,""en"",""pt"")"),"Rápido, de alta dpi, confiável, impressora de baixo maintenence")</f>
        <v>Rápido, de alta dpi, confiável, impressora de baixo maintenence</v>
      </c>
      <c r="B43383" s="3">
        <v>1</v>
      </c>
    </row>
    <row r="43384" ht="15.75" customHeight="1" spans="1:2">
      <c r="A43384" s="3" t="str">
        <f>IFERROR(__xludf.DUMMYFUNCTION("GOOGLETRANSLATE(A43384,""en"",""pt"")"),"Alta qualidade para o dinheiro.")</f>
        <v>Alta qualidade para o dinheiro.</v>
      </c>
      <c r="B43384" s="3">
        <v>1</v>
      </c>
    </row>
    <row r="43385" ht="15.75" customHeight="1" spans="1:2">
      <c r="A43385" s="3" t="str">
        <f>IFERROR(__xludf.DUMMYFUNCTION("GOOGLETRANSLATE(A43385,""en"",""pt"")"),"É uma Epson pessoas! manuseio de papel excelente")</f>
        <v>É uma Epson pessoas! manuseio de papel excelente</v>
      </c>
      <c r="B43385" s="3">
        <v>1</v>
      </c>
    </row>
    <row r="43386" ht="15.75" customHeight="1" spans="1:2">
      <c r="A43386" s="3" t="str">
        <f>IFERROR(__xludf.DUMMYFUNCTION("GOOGLETRANSLATE(A43386,""en"",""pt"")"),"Construído como um tanque; velozes.")</f>
        <v>Construído como um tanque; velozes.</v>
      </c>
      <c r="B43386" s="3">
        <v>1</v>
      </c>
    </row>
    <row r="43387" ht="15.75" customHeight="1" spans="1:2">
      <c r="A43387" s="3" t="str">
        <f>IFERROR(__xludf.DUMMYFUNCTION("GOOGLETRANSLATE(A43387,""en"",""pt"")"),"Grande qualidade de impressão, impressão rápida, 2.880 dpi de impressão, preço razoável.")</f>
        <v>Grande qualidade de impressão, impressão rápida, 2.880 dpi de impressão, preço razoável.</v>
      </c>
      <c r="B43387" s="3">
        <v>1</v>
      </c>
    </row>
    <row r="43388" ht="15.75" customHeight="1" spans="1:2">
      <c r="A43388" s="3" t="str">
        <f>IFERROR(__xludf.DUMMYFUNCTION("GOOGLETRANSLATE(A43388,""en"",""pt"")"),"impressão muito rápido")</f>
        <v>impressão muito rápido</v>
      </c>
      <c r="B43388" s="3">
        <v>1</v>
      </c>
    </row>
    <row r="43389" ht="15.75" customHeight="1" spans="1:2">
      <c r="A43389" s="3" t="str">
        <f>IFERROR(__xludf.DUMMYFUNCTION("GOOGLETRANSLATE(A43389,""en"",""pt"")"),"Esta é uma impressora realmente fantástico. Qualidade de impressão, o uso de tinta, e os recursos são grandes.")</f>
        <v>Esta é uma impressora realmente fantástico. Qualidade de impressão, o uso de tinta, e os recursos são grandes.</v>
      </c>
      <c r="B43389" s="3">
        <v>1</v>
      </c>
    </row>
    <row r="43390" ht="15.75" customHeight="1" spans="1:2">
      <c r="A43390" s="3" t="str">
        <f>IFERROR(__xludf.DUMMYFUNCTION("GOOGLETRANSLATE(A43390,""en"",""pt"")"),"Preço baixo")</f>
        <v>Preço baixo</v>
      </c>
      <c r="B43390" s="3">
        <v>1</v>
      </c>
    </row>
    <row r="43391" ht="15.75" customHeight="1" spans="1:2">
      <c r="A43391" s="3" t="str">
        <f>IFERROR(__xludf.DUMMYFUNCTION("GOOGLETRANSLATE(A43391,""en"",""pt"")"),"Cópias de qualidade e impressão rápida")</f>
        <v>Cópias de qualidade e impressão rápida</v>
      </c>
      <c r="B43391" s="3">
        <v>1</v>
      </c>
    </row>
    <row r="43392" ht="15.75" customHeight="1" spans="1:2">
      <c r="A43392" s="3" t="str">
        <f>IFERROR(__xludf.DUMMYFUNCTION("GOOGLETRANSLATE(A43392,""en"",""pt"")"),"SUPER RÁPIDO! Grande qualidade de impressão, pode ser ligado em rede com placa de rede opcional")</f>
        <v>SUPER RÁPIDO! Grande qualidade de impressão, pode ser ligado em rede com placa de rede opcional</v>
      </c>
      <c r="B43392" s="3">
        <v>1</v>
      </c>
    </row>
    <row r="43393" ht="15.75" customHeight="1" spans="1:2">
      <c r="A43393" s="3" t="str">
        <f>IFERROR(__xludf.DUMMYFUNCTION("GOOGLETRANSLATE(A43393,""en"",""pt"")"),"Velocidade, qualidade gráfica, o preço (com ou sem o desconto)")</f>
        <v>Velocidade, qualidade gráfica, o preço (com ou sem o desconto)</v>
      </c>
      <c r="B43393" s="3">
        <v>1</v>
      </c>
    </row>
    <row r="43394" ht="15.75" customHeight="1" spans="1:2">
      <c r="A43394" s="3" t="str">
        <f>IFERROR(__xludf.DUMMYFUNCTION("GOOGLETRANSLATE(A43394,""en"",""pt"")"),"Rápido, excelente qualidade de cor, excelente impressão de texto")</f>
        <v>Rápido, excelente qualidade de cor, excelente impressão de texto</v>
      </c>
      <c r="B43394" s="3">
        <v>1</v>
      </c>
    </row>
    <row r="43395" ht="15.75" customHeight="1" spans="1:2">
      <c r="A43395" s="3" t="str">
        <f>IFERROR(__xludf.DUMMYFUNCTION("GOOGLETRANSLATE(A43395,""en"",""pt"")"),"Excelente para fotos")</f>
        <v>Excelente para fotos</v>
      </c>
      <c r="B43395" s="3">
        <v>1</v>
      </c>
    </row>
    <row r="43396" ht="15.75" customHeight="1" spans="1:2">
      <c r="A43396" s="3" t="str">
        <f>IFERROR(__xludf.DUMMYFUNCTION("GOOGLETRANSLATE(A43396,""en"",""pt"")"),"Fácil conexão e instalação &amp; amp;. # 13; &amp; amp; # 10; &amp; amp; # 13; &amp; amp; # 10; grande qualidade de impressão e velocidade &amp; amp;. # 13; &amp; amp; # 10;")</f>
        <v>Fácil conexão e instalação &amp; amp;. # 13; &amp; amp; # 10; &amp; amp; # 13; &amp; amp; # 10; grande qualidade de impressão e velocidade &amp; amp;. # 13; &amp; amp; # 10;</v>
      </c>
      <c r="B43396" s="3">
        <v>1</v>
      </c>
    </row>
    <row r="43397" ht="15.75" customHeight="1" spans="1:2">
      <c r="A43397" s="3" t="str">
        <f>IFERROR(__xludf.DUMMYFUNCTION("GOOGLETRANSLATE(A43397,""en"",""pt"")"),"feito com o profissional em mente &amp; amp; # 13; &amp; amp; # 10; muito confiável e fácil de usar")</f>
        <v>feito com o profissional em mente &amp; amp; # 13; &amp; amp; # 10; muito confiável e fácil de usar</v>
      </c>
      <c r="B43397" s="3">
        <v>1</v>
      </c>
    </row>
    <row r="43398" ht="15.75" customHeight="1" spans="1:2">
      <c r="A43398" s="3" t="str">
        <f>IFERROR(__xludf.DUMMYFUNCTION("GOOGLETRANSLATE(A43398,""en"",""pt"")"),"Otima qualidade...")</f>
        <v>Otima qualidade...</v>
      </c>
      <c r="B43398" s="3">
        <v>1</v>
      </c>
    </row>
    <row r="43399" ht="15.75" customHeight="1" spans="1:2">
      <c r="A43399" s="3" t="str">
        <f>IFERROR(__xludf.DUMMYFUNCTION("GOOGLETRANSLATE(A43399,""en"",""pt"")"),"Great Value, Impressão rápida de alta qualidade, conveniente cópia sem PC")</f>
        <v>Great Value, Impressão rápida de alta qualidade, conveniente cópia sem PC</v>
      </c>
      <c r="B43399" s="3">
        <v>1</v>
      </c>
    </row>
    <row r="43400" ht="15.75" customHeight="1" spans="1:2">
      <c r="A43400" s="3" t="str">
        <f>IFERROR(__xludf.DUMMYFUNCTION("GOOGLETRANSLATE(A43400,""en"",""pt"")"),"Cópias e impressões de fotos sem um PC")</f>
        <v>Cópias e impressões de fotos sem um PC</v>
      </c>
      <c r="B43400" s="3">
        <v>1</v>
      </c>
    </row>
    <row r="43401" ht="15.75" customHeight="1" spans="1:2">
      <c r="A43401" s="3" t="str">
        <f>IFERROR(__xludf.DUMMYFUNCTION("GOOGLETRANSLATE(A43401,""en"",""pt"")"),"Grande Qualidade de impressão, configuração fácil, ótimo preço")</f>
        <v>Grande Qualidade de impressão, configuração fácil, ótimo preço</v>
      </c>
      <c r="B43401" s="3">
        <v>1</v>
      </c>
    </row>
    <row r="43402" ht="15.75" customHeight="1" spans="1:2">
      <c r="A43402" s="3" t="str">
        <f>IFERROR(__xludf.DUMMYFUNCTION("GOOGLETRANSLATE(A43402,""en"",""pt"")"),"facilidade de configurar, alimentações de papel muito bem, preço.")</f>
        <v>facilidade de configurar, alimentações de papel muito bem, preço.</v>
      </c>
      <c r="B43402" s="3">
        <v>1</v>
      </c>
    </row>
    <row r="43403" ht="15.75" customHeight="1" spans="1:2">
      <c r="A43403" s="3" t="str">
        <f>IFERROR(__xludf.DUMMYFUNCTION("GOOGLETRANSLATE(A43403,""en"",""pt"")"),"grande impressão, instalação EZ, EZ de usar, tinta barata, Epson relablilty")</f>
        <v>grande impressão, instalação EZ, EZ de usar, tinta barata, Epson relablilty</v>
      </c>
      <c r="B43403" s="3">
        <v>1</v>
      </c>
    </row>
    <row r="43404" ht="15.75" customHeight="1" spans="1:2">
      <c r="A43404" s="3" t="str">
        <f>IFERROR(__xludf.DUMMYFUNCTION("GOOGLETRANSLATE(A43404,""en"",""pt"")"),"Excelente preço, construção sólida, scanner de mesa decente")</f>
        <v>Excelente preço, construção sólida, scanner de mesa decente</v>
      </c>
      <c r="B43404" s="3">
        <v>1</v>
      </c>
    </row>
    <row r="43405" ht="15.75" customHeight="1" spans="1:2">
      <c r="A43405" s="3" t="str">
        <f>IFERROR(__xludf.DUMMYFUNCTION("GOOGLETRANSLATE(A43405,""en"",""pt"")"),"Bom valor preço-desempenho., Tudo incluído.")</f>
        <v>Bom valor preço-desempenho., Tudo incluído.</v>
      </c>
      <c r="B43405" s="3">
        <v>1</v>
      </c>
    </row>
    <row r="43406" ht="15.75" customHeight="1" spans="1:2">
      <c r="A43406" s="3" t="str">
        <f>IFERROR(__xludf.DUMMYFUNCTION("GOOGLETRANSLATE(A43406,""en"",""pt"")"),"barato")</f>
        <v>barato</v>
      </c>
      <c r="B43406" s="3">
        <v>1</v>
      </c>
    </row>
    <row r="43407" ht="15.75" customHeight="1" spans="1:2">
      <c r="A43407" s="3" t="str">
        <f>IFERROR(__xludf.DUMMYFUNCTION("GOOGLETRANSLATE(A43407,""en"",""pt"")"),"multifuncionais, até 5760 x 720 dpi, cartuchos de tinta baratos")</f>
        <v>multifuncionais, até 5760 x 720 dpi, cartuchos de tinta baratos</v>
      </c>
      <c r="B43407" s="3">
        <v>1</v>
      </c>
    </row>
    <row r="43408" ht="15.75" customHeight="1" spans="1:2">
      <c r="A43408" s="3" t="str">
        <f>IFERROR(__xludf.DUMMYFUNCTION("GOOGLETRANSLATE(A43408,""en"",""pt"")"),"Preço, Qualidade de Impressão, Software")</f>
        <v>Preço, Qualidade de Impressão, Software</v>
      </c>
      <c r="B43408" s="3">
        <v>1</v>
      </c>
    </row>
    <row r="43409" ht="15.75" customHeight="1" spans="1:2">
      <c r="A43409" s="3" t="str">
        <f>IFERROR(__xludf.DUMMYFUNCTION("GOOGLETRANSLATE(A43409,""en"",""pt"")"),"grande todas as funções ao redor, faz o trabalho no pacote barato")</f>
        <v>grande todas as funções ao redor, faz o trabalho no pacote barato</v>
      </c>
      <c r="B43409" s="3">
        <v>1</v>
      </c>
    </row>
    <row r="43410" ht="15.75" customHeight="1" spans="1:2">
      <c r="A43410" s="3" t="str">
        <f>IFERROR(__xludf.DUMMYFUNCTION("GOOGLETRANSLATE(A43410,""en"",""pt"")"),"cópias sem bordas e impressões")</f>
        <v>cópias sem bordas e impressões</v>
      </c>
      <c r="B43410" s="3">
        <v>1</v>
      </c>
    </row>
    <row r="43411" ht="15.75" customHeight="1" spans="1:2">
      <c r="A43411" s="3" t="str">
        <f>IFERROR(__xludf.DUMMYFUNCTION("GOOGLETRANSLATE(A43411,""en"",""pt"")"),"qualidade de impressão, de cópia rápida, Foto impressão, digitalização, tratamento de papel")</f>
        <v>qualidade de impressão, de cópia rápida, Foto impressão, digitalização, tratamento de papel</v>
      </c>
      <c r="B43411" s="3">
        <v>1</v>
      </c>
    </row>
    <row r="43412" ht="15.75" customHeight="1" spans="1:2">
      <c r="A43412" s="3" t="str">
        <f>IFERROR(__xludf.DUMMYFUNCTION("GOOGLETRANSLATE(A43412,""en"",""pt"")"),"Economiza tempo indo para a máquina de cópia de imagem Kodak na loja da droga.")</f>
        <v>Economiza tempo indo para a máquina de cópia de imagem Kodak na loja da droga.</v>
      </c>
      <c r="B43412" s="3">
        <v>1</v>
      </c>
    </row>
    <row r="43413" ht="15.75" customHeight="1" spans="1:2">
      <c r="A43413" s="3" t="str">
        <f>IFERROR(__xludf.DUMMYFUNCTION("GOOGLETRANSLATE(A43413,""en"",""pt"")"),"Rápido, quatro cartuchos de tinta separados, agradável copiar recursos")</f>
        <v>Rápido, quatro cartuchos de tinta separados, agradável copiar recursos</v>
      </c>
      <c r="B43413" s="3">
        <v>1</v>
      </c>
    </row>
    <row r="43414" ht="15.75" customHeight="1" spans="1:2">
      <c r="A43414" s="3" t="str">
        <f>IFERROR(__xludf.DUMMYFUNCTION("GOOGLETRANSLATE(A43414,""en"",""pt"")"),"Excelente impressão e qualidade de copiar.")</f>
        <v>Excelente impressão e qualidade de copiar.</v>
      </c>
      <c r="B43414" s="3">
        <v>1</v>
      </c>
    </row>
    <row r="43415" ht="15.75" customHeight="1" spans="1:2">
      <c r="A43415" s="3" t="str">
        <f>IFERROR(__xludf.DUMMYFUNCTION("GOOGLETRANSLATE(A43415,""en"",""pt"")"),"A qualidade de impressão, cartuchos de tinta de cor individuais.")</f>
        <v>A qualidade de impressão, cartuchos de tinta de cor individuais.</v>
      </c>
      <c r="B43415" s="3">
        <v>1</v>
      </c>
    </row>
    <row r="43416" ht="15.75" customHeight="1" spans="1:2">
      <c r="A43416" s="3" t="str">
        <f>IFERROR(__xludf.DUMMYFUNCTION("GOOGLETRANSLATE(A43416,""en"",""pt"")"),"Há tantas coisas para dizer, você vai ter que ler a resenha!")</f>
        <v>Há tantas coisas para dizer, você vai ter que ler a resenha!</v>
      </c>
      <c r="B43416" s="3">
        <v>1</v>
      </c>
    </row>
    <row r="43417" ht="15.75" customHeight="1" spans="1:2">
      <c r="A43417" s="3" t="str">
        <f>IFERROR(__xludf.DUMMYFUNCTION("GOOGLETRANSLATE(A43417,""en"",""pt"")"),"Fácil de configurar. Excelente qualidade da cópia.")</f>
        <v>Fácil de configurar. Excelente qualidade da cópia.</v>
      </c>
      <c r="B43417" s="3">
        <v>1</v>
      </c>
    </row>
    <row r="43418" ht="15.75" customHeight="1" spans="1:2">
      <c r="A43418" s="3" t="str">
        <f>IFERROR(__xludf.DUMMYFUNCTION("GOOGLETRANSLATE(A43418,""en"",""pt"")"),"cheia de recursos, fácil de usar, pacote de software agradável")</f>
        <v>cheia de recursos, fácil de usar, pacote de software agradável</v>
      </c>
      <c r="B43418" s="3">
        <v>1</v>
      </c>
    </row>
    <row r="43419" ht="15.75" customHeight="1" spans="1:2">
      <c r="A43419" s="3" t="str">
        <f>IFERROR(__xludf.DUMMYFUNCTION("GOOGLETRANSLATE(A43419,""en"",""pt"")"),"Prints wonderully, aquece rapidamente")</f>
        <v>Prints wonderully, aquece rapidamente</v>
      </c>
      <c r="B43419" s="3">
        <v>1</v>
      </c>
    </row>
    <row r="43420" ht="15.75" customHeight="1" spans="1:2">
      <c r="A43420" s="3" t="str">
        <f>IFERROR(__xludf.DUMMYFUNCTION("GOOGLETRANSLATE(A43420,""en"",""pt"")"),"Grande unidade de combinação!")</f>
        <v>Grande unidade de combinação!</v>
      </c>
      <c r="B43420" s="3">
        <v>1</v>
      </c>
    </row>
    <row r="43421" ht="15.75" customHeight="1" spans="1:2">
      <c r="A43421" s="3" t="str">
        <f>IFERROR(__xludf.DUMMYFUNCTION("GOOGLETRANSLATE(A43421,""en"",""pt"")"),"Impressões, digitalizações e cópias. Tinta relativamente barato. Ink última mais de 70 anos.")</f>
        <v>Impressões, digitalizações e cópias. Tinta relativamente barato. Ink última mais de 70 anos.</v>
      </c>
      <c r="B43421" s="3">
        <v>1</v>
      </c>
    </row>
    <row r="43422" ht="15.75" customHeight="1" spans="1:2">
      <c r="A43422" s="3" t="str">
        <f>IFERROR(__xludf.DUMMYFUNCTION("GOOGLETRANSLATE(A43422,""en"",""pt"")"),"Grande unidade. os cartuchos de tinta individuais e impressões agradáveis.")</f>
        <v>Grande unidade. os cartuchos de tinta individuais e impressões agradáveis.</v>
      </c>
      <c r="B43422" s="3">
        <v>1</v>
      </c>
    </row>
    <row r="43423" ht="15.75" customHeight="1" spans="1:2">
      <c r="A43423" s="3" t="str">
        <f>IFERROR(__xludf.DUMMYFUNCTION("GOOGLETRANSLATE(A43423,""en"",""pt"")"),"Fácil de usar; cheio de recursos; excelente scanner e velocidade (revisão ver)")</f>
        <v>Fácil de usar; cheio de recursos; excelente scanner e velocidade (revisão ver)</v>
      </c>
      <c r="B43423" s="3">
        <v>1</v>
      </c>
    </row>
    <row r="43424" ht="15.75" customHeight="1" spans="1:2">
      <c r="A43424" s="3" t="str">
        <f>IFERROR(__xludf.DUMMYFUNCTION("GOOGLETRANSLATE(A43424,""en"",""pt"")"),"Impressões rápidas, de fácil instalação, impressões de grande qualidade, cartuchos coloridos separados")</f>
        <v>Impressões rápidas, de fácil instalação, impressões de grande qualidade, cartuchos coloridos separados</v>
      </c>
      <c r="B43424" s="3">
        <v>1</v>
      </c>
    </row>
    <row r="43425" ht="15.75" customHeight="1" spans="1:2">
      <c r="A43425" s="3" t="str">
        <f>IFERROR(__xludf.DUMMYFUNCTION("GOOGLETRANSLATE(A43425,""en"",""pt"")"),"Excitante imagens a cores, software muito bom, rápido, barato, atraente")</f>
        <v>Excitante imagens a cores, software muito bom, rápido, barato, atraente</v>
      </c>
      <c r="B43425" s="3">
        <v>1</v>
      </c>
    </row>
    <row r="43426" ht="15.75" customHeight="1" spans="1:2">
      <c r="A43426" s="3" t="str">
        <f>IFERROR(__xludf.DUMMYFUNCTION("GOOGLETRANSLATE(A43426,""en"",""pt"")"),"Rápido, grande cor, interface de software super!")</f>
        <v>Rápido, grande cor, interface de software super!</v>
      </c>
      <c r="B43426" s="3">
        <v>1</v>
      </c>
    </row>
    <row r="43427" ht="15.75" customHeight="1" spans="1:2">
      <c r="A43427" s="3" t="str">
        <f>IFERROR(__xludf.DUMMYFUNCTION("GOOGLETRANSLATE(A43427,""en"",""pt"")"),"Velocidade, qualidade das impressões, facilidade de uso, estilo, aquecimento rápido, vem com USB")</f>
        <v>Velocidade, qualidade das impressões, facilidade de uso, estilo, aquecimento rápido, vem com USB</v>
      </c>
      <c r="B43427" s="3">
        <v>1</v>
      </c>
    </row>
    <row r="43428" ht="15.75" customHeight="1" spans="1:2">
      <c r="A43428" s="3" t="str">
        <f>IFERROR(__xludf.DUMMYFUNCTION("GOOGLETRANSLATE(A43428,""en"",""pt"")"),"grandes varreduras, impressões precisas, preço razoável, facilidade de uso, cartucho para cada cor")</f>
        <v>grandes varreduras, impressões precisas, preço razoável, facilidade de uso, cartucho para cada cor</v>
      </c>
      <c r="B43428" s="3">
        <v>1</v>
      </c>
    </row>
    <row r="43429" ht="15.75" customHeight="1" spans="1:2">
      <c r="A43429" s="3" t="str">
        <f>IFERROR(__xludf.DUMMYFUNCTION("GOOGLETRANSLATE(A43429,""en"",""pt"")"),"Funcionalidade (digitalização, cópia, impressão), desempenho, qualidade de construção, conveniência teclado")</f>
        <v>Funcionalidade (digitalização, cópia, impressão), desempenho, qualidade de construção, conveniência teclado</v>
      </c>
      <c r="B43429" s="3">
        <v>1</v>
      </c>
    </row>
    <row r="43430" ht="15.75" customHeight="1" spans="1:2">
      <c r="A43430" s="3" t="str">
        <f>IFERROR(__xludf.DUMMYFUNCTION("GOOGLETRANSLATE(A43430,""en"",""pt"")"),"boa qualidade de impressão, cavalo de trabalho boa impressão em grande formato")</f>
        <v>boa qualidade de impressão, cavalo de trabalho boa impressão em grande formato</v>
      </c>
      <c r="B43430" s="3">
        <v>1</v>
      </c>
    </row>
    <row r="43431" ht="15.75" customHeight="1" spans="1:2">
      <c r="A43431" s="3" t="str">
        <f>IFERROR(__xludf.DUMMYFUNCTION("GOOGLETRANSLATE(A43431,""en"",""pt"")"),"Fácil de usar")</f>
        <v>Fácil de usar</v>
      </c>
      <c r="B43431" s="3">
        <v>1</v>
      </c>
    </row>
    <row r="43432" ht="15.75" customHeight="1" spans="1:2">
      <c r="A43432" s="3" t="str">
        <f>IFERROR(__xludf.DUMMYFUNCTION("GOOGLETRANSLATE(A43432,""en"",""pt"")"),"o que é uma coisa legal")</f>
        <v>o que é uma coisa legal</v>
      </c>
      <c r="B43432" s="3">
        <v>1</v>
      </c>
    </row>
    <row r="43433" ht="15.75" customHeight="1" spans="1:2">
      <c r="A43433" s="3" t="str">
        <f>IFERROR(__xludf.DUMMYFUNCTION("GOOGLETRANSLATE(A43433,""en"",""pt"")"),"Barato, impressões photoquality. Formato grande.")</f>
        <v>Barato, impressões photoquality. Formato grande.</v>
      </c>
      <c r="B43433" s="3">
        <v>1</v>
      </c>
    </row>
    <row r="43434" ht="15.75" customHeight="1" spans="1:2">
      <c r="A43434" s="3" t="str">
        <f>IFERROR(__xludf.DUMMYFUNCTION("GOOGLETRANSLATE(A43434,""en"",""pt"")"),"boa melhor qualidade de impressão")</f>
        <v>boa melhor qualidade de impressão</v>
      </c>
      <c r="B43434" s="3">
        <v>1</v>
      </c>
    </row>
    <row r="43435" ht="15.75" customHeight="1" spans="1:2">
      <c r="A43435" s="3" t="str">
        <f>IFERROR(__xludf.DUMMYFUNCTION("GOOGLETRANSLATE(A43435,""en"",""pt"")"),"Barata para a capacidade de produção de grande porte")</f>
        <v>Barata para a capacidade de produção de grande porte</v>
      </c>
      <c r="B43435" s="3">
        <v>1</v>
      </c>
    </row>
    <row r="43436" ht="15.75" customHeight="1" spans="1:2">
      <c r="A43436" s="3" t="str">
        <f>IFERROR(__xludf.DUMMYFUNCTION("GOOGLETRANSLATE(A43436,""en"",""pt"")"),"saída de qualidade fotográfica, o tom quase contínua, excelente preço, grandes pilotos")</f>
        <v>saída de qualidade fotográfica, o tom quase contínua, excelente preço, grandes pilotos</v>
      </c>
      <c r="B43436" s="3">
        <v>1</v>
      </c>
    </row>
    <row r="43437" ht="15.75" customHeight="1" spans="1:2">
      <c r="A43437" s="3" t="str">
        <f>IFERROR(__xludf.DUMMYFUNCTION("GOOGLETRANSLATE(A43437,""en"",""pt"")"),"Foto qualidade de saída, o preço é baixo o suficiente")</f>
        <v>Foto qualidade de saída, o preço é baixo o suficiente</v>
      </c>
      <c r="B43437" s="3">
        <v>1</v>
      </c>
    </row>
    <row r="43438" ht="15.75" customHeight="1" spans="1:2">
      <c r="A43438" s="3" t="str">
        <f>IFERROR(__xludf.DUMMYFUNCTION("GOOGLETRANSLATE(A43438,""en"",""pt"")"),"incrível qualidade, bom preço, grande formato")</f>
        <v>incrível qualidade, bom preço, grande formato</v>
      </c>
      <c r="B43438" s="3">
        <v>1</v>
      </c>
    </row>
    <row r="43439" ht="15.75" customHeight="1" spans="1:2">
      <c r="A43439" s="3" t="str">
        <f>IFERROR(__xludf.DUMMYFUNCTION("GOOGLETRANSLATE(A43439,""en"",""pt"")"),"Bom para fotos")</f>
        <v>Bom para fotos</v>
      </c>
      <c r="B43439" s="3">
        <v>1</v>
      </c>
    </row>
    <row r="43440" ht="15.75" customHeight="1" spans="1:2">
      <c r="A43440" s="3" t="str">
        <f>IFERROR(__xludf.DUMMYFUNCTION("GOOGLETRANSLATE(A43440,""en"",""pt"")"),"Suporta tamanhos de papel grandes")</f>
        <v>Suporta tamanhos de papel grandes</v>
      </c>
      <c r="B43440" s="3">
        <v>1</v>
      </c>
    </row>
    <row r="43441" ht="15.75" customHeight="1" spans="1:2">
      <c r="A43441" s="3" t="str">
        <f>IFERROR(__xludf.DUMMYFUNCTION("GOOGLETRANSLATE(A43441,""en"",""pt"")"),"muito boa qualidade, tinta não muito caro, bons serviços online")</f>
        <v>muito boa qualidade, tinta não muito caro, bons serviços online</v>
      </c>
      <c r="B43441" s="3">
        <v>1</v>
      </c>
    </row>
    <row r="43442" ht="15.75" customHeight="1" spans="1:2">
      <c r="A43442" s="3" t="str">
        <f>IFERROR(__xludf.DUMMYFUNCTION("GOOGLETRANSLATE(A43442,""en"",""pt"")"),"Imprime fotos pendentes")</f>
        <v>Imprime fotos pendentes</v>
      </c>
      <c r="B43442" s="3">
        <v>1</v>
      </c>
    </row>
    <row r="43443" ht="15.75" customHeight="1" spans="1:2">
      <c r="A43443" s="3" t="str">
        <f>IFERROR(__xludf.DUMMYFUNCTION("GOOGLETRANSLATE(A43443,""en"",""pt"")"),"cor forte, preenchimentos completos, sem raias, de grande formato")</f>
        <v>cor forte, preenchimentos completos, sem raias, de grande formato</v>
      </c>
      <c r="B43443" s="3">
        <v>1</v>
      </c>
    </row>
    <row r="43444" ht="15.75" customHeight="1" spans="1:2">
      <c r="A43444" s="3" t="str">
        <f>IFERROR(__xludf.DUMMYFUNCTION("GOOGLETRANSLATE(A43444,""en"",""pt"")"),"Stunningly impressões de alta qualidade, excelente resolução")</f>
        <v>Stunningly impressões de alta qualidade, excelente resolução</v>
      </c>
      <c r="B43444" s="3">
        <v>1</v>
      </c>
    </row>
    <row r="43445" ht="15.75" customHeight="1" spans="1:2">
      <c r="A43445" s="3" t="str">
        <f>IFERROR(__xludf.DUMMYFUNCTION("GOOGLETRANSLATE(A43445,""en"",""pt"")"),"Incrível qualidade fotográfica, aceita grande variedade de excelente papéis gama de cores")</f>
        <v>Incrível qualidade fotográfica, aceita grande variedade de excelente papéis gama de cores</v>
      </c>
      <c r="B43445" s="3">
        <v>1</v>
      </c>
    </row>
    <row r="43446" ht="15.75" customHeight="1" spans="1:2">
      <c r="A43446" s="3" t="str">
        <f>IFERROR(__xludf.DUMMYFUNCTION("GOOGLETRANSLATE(A43446,""en"",""pt"")"),"Fácil de configurar, impressões de boa qualidade")</f>
        <v>Fácil de configurar, impressões de boa qualidade</v>
      </c>
      <c r="B43446" s="3">
        <v>1</v>
      </c>
    </row>
    <row r="43447" ht="15.75" customHeight="1" spans="1:2">
      <c r="A43447" s="3" t="str">
        <f>IFERROR(__xludf.DUMMYFUNCTION("GOOGLETRANSLATE(A43447,""en"",""pt"")"),"Absolutamente notável Photo Printing Resultados. Fácil de usar.")</f>
        <v>Absolutamente notável Photo Printing Resultados. Fácil de usar.</v>
      </c>
      <c r="B43447" s="3">
        <v>1</v>
      </c>
    </row>
    <row r="43448" ht="15.75" customHeight="1" spans="1:2">
      <c r="A43448" s="3" t="str">
        <f>IFERROR(__xludf.DUMMYFUNCTION("GOOGLETRANSLATE(A43448,""en"",""pt"")"),"Foto realista fotos, facilidade de uso, Prints excelente em todos os tipos de mídia.")</f>
        <v>Foto realista fotos, facilidade de uso, Prints excelente em todos os tipos de mídia.</v>
      </c>
      <c r="B43448" s="3">
        <v>1</v>
      </c>
    </row>
    <row r="43449" ht="15.75" customHeight="1" spans="1:2">
      <c r="A43449" s="3" t="str">
        <f>IFERROR(__xludf.DUMMYFUNCTION("GOOGLETRANSLATE(A43449,""en"",""pt"")"),"belas impressões, sem fronteiras, tranquila")</f>
        <v>belas impressões, sem fronteiras, tranquila</v>
      </c>
      <c r="B43449" s="3">
        <v>1</v>
      </c>
    </row>
    <row r="43450" ht="15.75" customHeight="1" spans="1:2">
      <c r="A43450" s="3" t="str">
        <f>IFERROR(__xludf.DUMMYFUNCTION("GOOGLETRANSLATE(A43450,""en"",""pt"")"),"Excelentes impressões de qualidade fotográfica, calmo, razoavelmente rápido, impressão sem margem para 14"" width")</f>
        <v>Excelentes impressões de qualidade fotográfica, calmo, razoavelmente rápido, impressão sem margem para 14" width</v>
      </c>
      <c r="B43450" s="3">
        <v>1</v>
      </c>
    </row>
    <row r="43451" ht="15.75" customHeight="1" spans="1:2">
      <c r="A43451" s="3" t="str">
        <f>IFERROR(__xludf.DUMMYFUNCTION("GOOGLETRANSLATE(A43451,""en"",""pt"")"),"Excelentes impressões, rápido, silencioso")</f>
        <v>Excelentes impressões, rápido, silencioso</v>
      </c>
      <c r="B43451" s="3">
        <v>1</v>
      </c>
    </row>
    <row r="43452" ht="15.75" customHeight="1" spans="1:2">
      <c r="A43452" s="3" t="str">
        <f>IFERROR(__xludf.DUMMYFUNCTION("GOOGLETRANSLATE(A43452,""en"",""pt"")"),"Excelente Qualidade de impressão, faça o bem no trabalho CAD, bem")</f>
        <v>Excelente Qualidade de impressão, faça o bem no trabalho CAD, bem</v>
      </c>
      <c r="B43452" s="3">
        <v>1</v>
      </c>
    </row>
    <row r="43453" ht="15.75" customHeight="1" spans="1:2">
      <c r="A43453" s="3" t="str">
        <f>IFERROR(__xludf.DUMMYFUNCTION("GOOGLETRANSLATE(A43453,""en"",""pt"")"),"impressões agradáveis, fácil de configurar")</f>
        <v>impressões agradáveis, fácil de configurar</v>
      </c>
      <c r="B43453" s="3">
        <v>1</v>
      </c>
    </row>
    <row r="43454" ht="15.75" customHeight="1" spans="1:2">
      <c r="A43454" s="3" t="str">
        <f>IFERROR(__xludf.DUMMYFUNCTION("GOOGLETRANSLATE(A43454,""en"",""pt"")"),"Grande foto QUALIDADE !!! seis tintas de cores, todo o software funciona em Mac OS X")</f>
        <v>Grande foto QUALIDADE !!! seis tintas de cores, todo o software funciona em Mac OS X</v>
      </c>
      <c r="B43454" s="3">
        <v>1</v>
      </c>
    </row>
    <row r="43455" ht="15.75" customHeight="1" spans="1:2">
      <c r="A43455" s="3" t="str">
        <f>IFERROR(__xludf.DUMMYFUNCTION("GOOGLETRANSLATE(A43455,""en"",""pt"")"),"Grande qualidade de impressão, preço razoável")</f>
        <v>Grande qualidade de impressão, preço razoável</v>
      </c>
      <c r="B43455" s="3">
        <v>1</v>
      </c>
    </row>
    <row r="43456" ht="15.75" customHeight="1" spans="1:2">
      <c r="A43456" s="3" t="str">
        <f>IFERROR(__xludf.DUMMYFUNCTION("GOOGLETRANSLATE(A43456,""en"",""pt"")"),"Grandes fotos e fácil de operar")</f>
        <v>Grandes fotos e fácil de operar</v>
      </c>
      <c r="B43456" s="3">
        <v>1</v>
      </c>
    </row>
    <row r="43457" ht="15.75" customHeight="1" spans="1:2">
      <c r="A43457" s="3" t="str">
        <f>IFERROR(__xludf.DUMMYFUNCTION("GOOGLETRANSLATE(A43457,""en"",""pt"")"),"rico em recursos, mais altos impressões com qualidade fotográfica, de fácil configuração")</f>
        <v>rico em recursos, mais altos impressões com qualidade fotográfica, de fácil configuração</v>
      </c>
      <c r="B43457" s="3">
        <v>1</v>
      </c>
    </row>
    <row r="43458" ht="15.75" customHeight="1" spans="1:2">
      <c r="A43458" s="3" t="str">
        <f>IFERROR(__xludf.DUMMYFUNCTION("GOOGLETRANSLATE(A43458,""en"",""pt"")"),"preço, qualidade de saída")</f>
        <v>preço, qualidade de saída</v>
      </c>
      <c r="B43458" s="3">
        <v>1</v>
      </c>
    </row>
    <row r="43459" ht="15.75" customHeight="1" spans="1:2">
      <c r="A43459" s="3" t="str">
        <f>IFERROR(__xludf.DUMMYFUNCTION("GOOGLETRANSLATE(A43459,""en"",""pt"")"),"Grande qualidade da foto, há congestionamentos de papel")</f>
        <v>Grande qualidade da foto, há congestionamentos de papel</v>
      </c>
      <c r="B43459" s="3">
        <v>1</v>
      </c>
    </row>
    <row r="43460" ht="15.75" customHeight="1" spans="1:2">
      <c r="A43460" s="3" t="str">
        <f>IFERROR(__xludf.DUMMYFUNCTION("GOOGLETRANSLATE(A43460,""en"",""pt"")"),"Máximas impressões de qualidade você vai encontrar - melhor do que a sua loja de fotografia")</f>
        <v>Máximas impressões de qualidade você vai encontrar - melhor do que a sua loja de fotografia</v>
      </c>
      <c r="B43460" s="3">
        <v>1</v>
      </c>
    </row>
    <row r="43461" ht="15.75" customHeight="1" spans="1:2">
      <c r="A43461" s="3" t="str">
        <f>IFERROR(__xludf.DUMMYFUNCTION("GOOGLETRANSLATE(A43461,""en"",""pt"")"),"Detalhe excelente, excelente resolução, impressões suposto passado de 140-200 anos, USB e paralela.")</f>
        <v>Detalhe excelente, excelente resolução, impressões suposto passado de 140-200 anos, USB e paralela.</v>
      </c>
      <c r="B43461" s="3">
        <v>1</v>
      </c>
    </row>
    <row r="43462" ht="15.75" customHeight="1" spans="1:2">
      <c r="A43462" s="3" t="str">
        <f>IFERROR(__xludf.DUMMYFUNCTION("GOOGLETRANSLATE(A43462,""en"",""pt"")"),"impressões boas e provavelmente melhor de arquivo")</f>
        <v>impressões boas e provavelmente melhor de arquivo</v>
      </c>
      <c r="B43462" s="3">
        <v>1</v>
      </c>
    </row>
    <row r="43463" ht="15.75" customHeight="1" spans="1:2">
      <c r="A43463" s="3" t="str">
        <f>IFERROR(__xludf.DUMMYFUNCTION("GOOGLETRANSLATE(A43463,""en"",""pt"")"),"saída bonita")</f>
        <v>saída bonita</v>
      </c>
      <c r="B43463" s="3">
        <v>1</v>
      </c>
    </row>
    <row r="43464" ht="15.75" customHeight="1" spans="1:2">
      <c r="A43464" s="3" t="str">
        <f>IFERROR(__xludf.DUMMYFUNCTION("GOOGLETRANSLATE(A43464,""en"",""pt"")"),"Velocidade, qualidade e impressão longevidade é fantástico")</f>
        <v>Velocidade, qualidade e impressão longevidade é fantástico</v>
      </c>
      <c r="B43464" s="3">
        <v>1</v>
      </c>
    </row>
    <row r="43465" ht="15.75" customHeight="1" spans="1:2">
      <c r="A43465" s="3" t="str">
        <f>IFERROR(__xludf.DUMMYFUNCTION("GOOGLETRANSLATE(A43465,""en"",""pt"")"),"Perfeito impressões fotográficas; Capacidade de papel de grande formato, até 13x19 polegadas!")</f>
        <v>Perfeito impressões fotográficas; Capacidade de papel de grande formato, até 13x19 polegadas!</v>
      </c>
      <c r="B43465" s="3">
        <v>1</v>
      </c>
    </row>
    <row r="43466" ht="15.75" customHeight="1" spans="1:2">
      <c r="A43466" s="3" t="str">
        <f>IFERROR(__xludf.DUMMYFUNCTION("GOOGLETRANSLATE(A43466,""en"",""pt"")"),"Qualidade, velocidade, tranquila")</f>
        <v>Qualidade, velocidade, tranquila</v>
      </c>
      <c r="B43466" s="3">
        <v>1</v>
      </c>
    </row>
    <row r="43467" ht="15.75" customHeight="1" spans="1:2">
      <c r="A43467" s="3" t="str">
        <f>IFERROR(__xludf.DUMMYFUNCTION("GOOGLETRANSLATE(A43467,""en"",""pt"")"),"impressões fabulosas")</f>
        <v>impressões fabulosas</v>
      </c>
      <c r="B43467" s="3">
        <v>1</v>
      </c>
    </row>
    <row r="43468" ht="15.75" customHeight="1" spans="1:2">
      <c r="A43468" s="3" t="str">
        <f>IFERROR(__xludf.DUMMYFUNCTION("GOOGLETRANSLATE(A43468,""en"",""pt"")"),"custos de tinta, impressão impecável")</f>
        <v>custos de tinta, impressão impecável</v>
      </c>
      <c r="B43468" s="3">
        <v>1</v>
      </c>
    </row>
    <row r="43469" ht="15.75" customHeight="1" spans="1:2">
      <c r="A43469" s="3" t="str">
        <f>IFERROR(__xludf.DUMMYFUNCTION("GOOGLETRANSLATE(A43469,""en"",""pt"")"),"Prints altamente detalhadas")</f>
        <v>Prints altamente detalhadas</v>
      </c>
      <c r="B43469" s="3">
        <v>1</v>
      </c>
    </row>
    <row r="43470" ht="15.75" customHeight="1" spans="1:2">
      <c r="A43470" s="3" t="str">
        <f>IFERROR(__xludf.DUMMYFUNCTION("GOOGLETRANSLATE(A43470,""en"",""pt"")"),"bonito, rápido, impressão de fotos claro")</f>
        <v>bonito, rápido, impressão de fotos claro</v>
      </c>
      <c r="B43470" s="3">
        <v>1</v>
      </c>
    </row>
    <row r="43471" ht="15.75" customHeight="1" spans="1:2">
      <c r="A43471" s="3" t="str">
        <f>IFERROR(__xludf.DUMMYFUNCTION("GOOGLETRANSLATE(A43471,""en"",""pt"")"),"qualidade do design e imagem")</f>
        <v>qualidade do design e imagem</v>
      </c>
      <c r="B43471" s="3">
        <v>1</v>
      </c>
    </row>
    <row r="43472" ht="15.75" customHeight="1" spans="1:2">
      <c r="A43472" s="3" t="str">
        <f>IFERROR(__xludf.DUMMYFUNCTION("GOOGLETRANSLATE(A43472,""en"",""pt"")"),"Qualidade das impressões!")</f>
        <v>Qualidade das impressões!</v>
      </c>
      <c r="B43472" s="3">
        <v>1</v>
      </c>
    </row>
    <row r="43473" ht="15.75" customHeight="1" spans="1:2">
      <c r="A43473" s="3" t="str">
        <f>IFERROR(__xludf.DUMMYFUNCTION("GOOGLETRANSLATE(A43473,""en"",""pt"")"),"Rápida impressão a cores de qualidade Great Picture &amp; amp; # 13; &amp; amp; # 10; Ambos portas IEEE USB e")</f>
        <v>Rápida impressão a cores de qualidade Great Picture &amp; amp; # 13; &amp; amp; # 10; Ambos portas IEEE USB e</v>
      </c>
      <c r="B43473" s="3">
        <v>1</v>
      </c>
    </row>
    <row r="43474" ht="15.75" customHeight="1" spans="1:2">
      <c r="A43474" s="3" t="str">
        <f>IFERROR(__xludf.DUMMYFUNCTION("GOOGLETRANSLATE(A43474,""en"",""pt"")"),"qualidade printy ofertas soberbas")</f>
        <v>qualidade printy ofertas soberbas</v>
      </c>
      <c r="B43474" s="3">
        <v>1</v>
      </c>
    </row>
    <row r="43475" ht="15.75" customHeight="1" spans="1:2">
      <c r="A43475" s="3" t="str">
        <f>IFERROR(__xludf.DUMMYFUNCTION("GOOGLETRANSLATE(A43475,""en"",""pt"")"),"Até papel de grande formato, fade corantes resistentes e papéis, rápido, silencioso, impressão de 6 cores")</f>
        <v>Até papel de grande formato, fade corantes resistentes e papéis, rápido, silencioso, impressão de 6 cores</v>
      </c>
      <c r="B43475" s="3">
        <v>1</v>
      </c>
    </row>
    <row r="43476" ht="15.75" customHeight="1" spans="1:2">
      <c r="A43476" s="3" t="str">
        <f>IFERROR(__xludf.DUMMYFUNCTION("GOOGLETRANSLATE(A43476,""en"",""pt"")"),"tranquila, grande velocidade, e ótimas fotos.")</f>
        <v>tranquila, grande velocidade, e ótimas fotos.</v>
      </c>
      <c r="B43476" s="3">
        <v>1</v>
      </c>
    </row>
    <row r="43477" ht="15.75" customHeight="1" spans="1:2">
      <c r="A43477" s="3" t="str">
        <f>IFERROR(__xludf.DUMMYFUNCTION("GOOGLETRANSLATE(A43477,""en"",""pt"")"),"Qualidade das impressões")</f>
        <v>Qualidade das impressões</v>
      </c>
      <c r="B43477" s="3">
        <v>1</v>
      </c>
    </row>
    <row r="43478" ht="15.75" customHeight="1" spans="1:2">
      <c r="A43478" s="3" t="str">
        <f>IFERROR(__xludf.DUMMYFUNCTION("GOOGLETRANSLATE(A43478,""en"",""pt"")"),"Mais rápido, mais silencioso, menor queda de tamanho, de arquivo de tinta conjuntos")</f>
        <v>Mais rápido, mais silencioso, menor queda de tamanho, de arquivo de tinta conjuntos</v>
      </c>
      <c r="B43478" s="3">
        <v>1</v>
      </c>
    </row>
    <row r="43479" ht="15.75" customHeight="1" spans="1:2">
      <c r="A43479" s="3" t="str">
        <f>IFERROR(__xludf.DUMMYFUNCTION("GOOGLETRANSLATE(A43479,""en"",""pt"")"),"cor tranquila velocidade")</f>
        <v>cor tranquila velocidade</v>
      </c>
      <c r="B43479" s="3">
        <v>1</v>
      </c>
    </row>
    <row r="43480" ht="15.75" customHeight="1" spans="1:2">
      <c r="A43480" s="3" t="str">
        <f>IFERROR(__xludf.DUMMYFUNCTION("GOOGLETRANSLATE(A43480,""en"",""pt"")"),"excelente qualidade de foto")</f>
        <v>excelente qualidade de foto</v>
      </c>
      <c r="B43480" s="3">
        <v>1</v>
      </c>
    </row>
    <row r="43481" ht="15.75" customHeight="1" spans="1:2">
      <c r="A43481" s="3" t="str">
        <f>IFERROR(__xludf.DUMMYFUNCTION("GOOGLETRANSLATE(A43481,""en"",""pt"")"),"Grandes detalhes e cores incríveis.")</f>
        <v>Grandes detalhes e cores incríveis.</v>
      </c>
      <c r="B43481" s="3">
        <v>1</v>
      </c>
    </row>
    <row r="43482" ht="15.75" customHeight="1" spans="1:2">
      <c r="A43482" s="3" t="str">
        <f>IFERROR(__xludf.DUMMYFUNCTION("GOOGLETRANSLATE(A43482,""en"",""pt"")"),"saída de qualidade por um preço baixo.")</f>
        <v>saída de qualidade por um preço baixo.</v>
      </c>
      <c r="B43482" s="3">
        <v>1</v>
      </c>
    </row>
    <row r="43483" ht="15.75" customHeight="1" spans="1:2">
      <c r="A43483" s="3" t="str">
        <f>IFERROR(__xludf.DUMMYFUNCTION("GOOGLETRANSLATE(A43483,""en"",""pt"")"),"Incrível qualidade de impressão e design")</f>
        <v>Incrível qualidade de impressão e design</v>
      </c>
      <c r="B43483" s="3">
        <v>1</v>
      </c>
    </row>
    <row r="43484" ht="15.75" customHeight="1" spans="1:2">
      <c r="A43484" s="3" t="str">
        <f>IFERROR(__xludf.DUMMYFUNCTION("GOOGLETRANSLATE(A43484,""en"",""pt"")"),"Tudo")</f>
        <v>Tudo</v>
      </c>
      <c r="B43484" s="3">
        <v>1</v>
      </c>
    </row>
    <row r="43485" ht="15.75" customHeight="1" spans="1:2">
      <c r="A43485" s="3" t="str">
        <f>IFERROR(__xludf.DUMMYFUNCTION("GOOGLETRANSLATE(A43485,""en"",""pt"")"),"imagem incrível")</f>
        <v>imagem incrível</v>
      </c>
      <c r="B43485" s="3">
        <v>1</v>
      </c>
    </row>
    <row r="43486" ht="15.75" customHeight="1" spans="1:2">
      <c r="A43486" s="3" t="str">
        <f>IFERROR(__xludf.DUMMYFUNCTION("GOOGLETRANSLATE(A43486,""en"",""pt"")"),"Top de Qualidade, Velocidade, Software")</f>
        <v>Top de Qualidade, Velocidade, Software</v>
      </c>
      <c r="B43486" s="3">
        <v>1</v>
      </c>
    </row>
    <row r="43487" ht="15.75" customHeight="1" spans="1:2">
      <c r="A43487" s="3" t="str">
        <f>IFERROR(__xludf.DUMMYFUNCTION("GOOGLETRANSLATE(A43487,""en"",""pt"")"),"Silencioso, saída de Nice, alta Ink Qualidade")</f>
        <v>Silencioso, saída de Nice, alta Ink Qualidade</v>
      </c>
      <c r="B43487" s="3">
        <v>1</v>
      </c>
    </row>
    <row r="43488" ht="15.75" customHeight="1" spans="1:2">
      <c r="A43488" s="3" t="str">
        <f>IFERROR(__xludf.DUMMYFUNCTION("GOOGLETRANSLATE(A43488,""en"",""pt"")"),"cores brilhantes, campos de cor consistentes")</f>
        <v>cores brilhantes, campos de cor consistentes</v>
      </c>
      <c r="B43488" s="3">
        <v>1</v>
      </c>
    </row>
    <row r="43489" ht="15.75" customHeight="1" spans="1:2">
      <c r="A43489" s="3" t="str">
        <f>IFERROR(__xludf.DUMMYFUNCTION("GOOGLETRANSLATE(A43489,""en"",""pt"")"),"caso agradável")</f>
        <v>caso agradável</v>
      </c>
      <c r="B43489" s="3">
        <v>1</v>
      </c>
    </row>
    <row r="43490" ht="15.75" customHeight="1" spans="1:2">
      <c r="A43490" s="3" t="str">
        <f>IFERROR(__xludf.DUMMYFUNCTION("GOOGLETRANSLATE(A43490,""en"",""pt"")"),"qualidade impressionante; muito rápido; não tão barulhento")</f>
        <v>qualidade impressionante; muito rápido; não tão barulhento</v>
      </c>
      <c r="B43490" s="3">
        <v>1</v>
      </c>
    </row>
    <row r="43491" ht="15.75" customHeight="1" spans="1:2">
      <c r="A43491" s="3" t="str">
        <f>IFERROR(__xludf.DUMMYFUNCTION("GOOGLETRANSLATE(A43491,""en"",""pt"")"),"incrível qualidade de imagem no bom valor")</f>
        <v>incrível qualidade de imagem no bom valor</v>
      </c>
      <c r="B43491" s="3">
        <v>1</v>
      </c>
    </row>
    <row r="43492" ht="15.75" customHeight="1" spans="1:2">
      <c r="A43492" s="3" t="str">
        <f>IFERROR(__xludf.DUMMYFUNCTION("GOOGLETRANSLATE(A43492,""en"",""pt"")"),"Grandes Formatos")</f>
        <v>Grandes Formatos</v>
      </c>
      <c r="B43492" s="3">
        <v>1</v>
      </c>
    </row>
    <row r="43493" ht="15.75" customHeight="1" spans="1:2">
      <c r="A43493" s="3" t="str">
        <f>IFERROR(__xludf.DUMMYFUNCTION("GOOGLETRANSLATE(A43493,""en"",""pt"")"),"impressão de fotografias fantásticas e muito tranquila.")</f>
        <v>impressão de fotografias fantásticas e muito tranquila.</v>
      </c>
      <c r="B43493" s="3">
        <v>1</v>
      </c>
    </row>
    <row r="43494" ht="15.75" customHeight="1" spans="1:2">
      <c r="A43494" s="3" t="str">
        <f>IFERROR(__xludf.DUMMYFUNCTION("GOOGLETRANSLATE(A43494,""en"",""pt"")"),"Qualidade das impressões são bastante dramática se usado com os documentos corretos. design industrial elegante.")</f>
        <v>Qualidade das impressões são bastante dramática se usado com os documentos corretos. design industrial elegante.</v>
      </c>
      <c r="B43494" s="3">
        <v>1</v>
      </c>
    </row>
    <row r="43495" ht="15.75" customHeight="1" spans="1:2">
      <c r="A43495" s="3" t="str">
        <f>IFERROR(__xludf.DUMMYFUNCTION("GOOGLETRANSLATE(A43495,""en"",""pt"")"),"impressão de imagem perfeita bonita que usa Epson papel fotográfico brilhante.")</f>
        <v>impressão de imagem perfeita bonita que usa Epson papel fotográfico brilhante.</v>
      </c>
      <c r="B43495" s="3">
        <v>1</v>
      </c>
    </row>
    <row r="43496" ht="15.75" customHeight="1" spans="1:2">
      <c r="A43496" s="3" t="str">
        <f>IFERROR(__xludf.DUMMYFUNCTION("GOOGLETRANSLATE(A43496,""en"",""pt"")"),"Grandes do pic, ampla transporte para 11 ""x14"" 's")</f>
        <v>Grandes do pic, ampla transporte para 11 "x14" 's</v>
      </c>
      <c r="B43496" s="3">
        <v>1</v>
      </c>
    </row>
    <row r="43497" ht="15.75" customHeight="1" spans="1:2">
      <c r="A43497" s="3" t="str">
        <f>IFERROR(__xludf.DUMMYFUNCTION("GOOGLETRANSLATE(A43497,""en"",""pt"")"),"impressões de qualidade de fotos que se parecem com fotos reais!")</f>
        <v>impressões de qualidade de fotos que se parecem com fotos reais!</v>
      </c>
      <c r="B43497" s="3">
        <v>1</v>
      </c>
    </row>
    <row r="43498" ht="15.75" customHeight="1" spans="1:2">
      <c r="A43498" s="3" t="str">
        <f>IFERROR(__xludf.DUMMYFUNCTION("GOOGLETRANSLATE(A43498,""en"",""pt"")"),"Grande qualidade de impressão de fotos, ampla transporte para Super A3 / B impressões")</f>
        <v>Grande qualidade de impressão de fotos, ampla transporte para Super A3 / B impressões</v>
      </c>
      <c r="B43498" s="3">
        <v>1</v>
      </c>
    </row>
    <row r="43499" ht="15.75" customHeight="1" spans="1:2">
      <c r="A43499" s="3" t="str">
        <f>IFERROR(__xludf.DUMMYFUNCTION("GOOGLETRANSLATE(A43499,""en"",""pt"")"),"tinta de arquivo, precisa de cor, impressões muito nítidas, Quieto, reservatórios de tinta individuais. Bem desenhado.")</f>
        <v>tinta de arquivo, precisa de cor, impressões muito nítidas, Quieto, reservatórios de tinta individuais. Bem desenhado.</v>
      </c>
      <c r="B43499" s="3">
        <v>1</v>
      </c>
    </row>
    <row r="43500" ht="15.75" customHeight="1" spans="1:2">
      <c r="A43500" s="3" t="str">
        <f>IFERROR(__xludf.DUMMYFUNCTION("GOOGLETRANSLATE(A43500,""en"",""pt"")"),"qualidade de arquivamento sem o bureau de serviços")</f>
        <v>qualidade de arquivamento sem o bureau de serviços</v>
      </c>
      <c r="B43500" s="3">
        <v>1</v>
      </c>
    </row>
    <row r="43501" ht="15.75" customHeight="1" spans="1:2">
      <c r="A43501" s="3" t="str">
        <f>IFERROR(__xludf.DUMMYFUNCTION("GOOGLETRANSLATE(A43501,""en"",""pt"")"),"Um passo significativo e notável acima do anterior Ink-Jet ""Photo"" impressoras "".")</f>
        <v>Um passo significativo e notável acima do anterior Ink-Jet "Photo" impressoras ".</v>
      </c>
      <c r="B43501" s="3">
        <v>1</v>
      </c>
    </row>
    <row r="43502" ht="15.75" customHeight="1" spans="1:2">
      <c r="A43502" s="3" t="str">
        <f>IFERROR(__xludf.DUMMYFUNCTION("GOOGLETRANSLATE(A43502,""en"",""pt"")"),"Solidamente construído, muito calmo")</f>
        <v>Solidamente construído, muito calmo</v>
      </c>
      <c r="B43502" s="3">
        <v>1</v>
      </c>
    </row>
    <row r="43503" ht="15.75" customHeight="1" spans="1:2">
      <c r="A43503" s="3" t="str">
        <f>IFERROR(__xludf.DUMMYFUNCTION("GOOGLETRANSLATE(A43503,""en"",""pt"")"),"Faz bem com papel Matte, impressões rápidas, excelente texto bem")</f>
        <v>Faz bem com papel Matte, impressões rápidas, excelente texto bem</v>
      </c>
      <c r="B43503" s="3">
        <v>1</v>
      </c>
    </row>
    <row r="43504" ht="15.75" customHeight="1" spans="1:2">
      <c r="A43504" s="3" t="str">
        <f>IFERROR(__xludf.DUMMYFUNCTION("GOOGLETRANSLATE(A43504,""en"",""pt"")"),"impressão de arquivo, qualidade fotográfica, excelente fidelidade de cor, manuseio de papel em rolo incluído, tranquila, fácil configuração, garantia")</f>
        <v>impressão de arquivo, qualidade fotográfica, excelente fidelidade de cor, manuseio de papel em rolo incluído, tranquila, fácil configuração, garantia</v>
      </c>
      <c r="B43504" s="3">
        <v>1</v>
      </c>
    </row>
    <row r="43505" ht="15.75" customHeight="1" spans="1:2">
      <c r="A43505" s="3" t="str">
        <f>IFERROR(__xludf.DUMMYFUNCTION("GOOGLETRANSLATE(A43505,""en"",""pt"")"),"Quando você usá-lo para imprimir em papéis mate, as impressões são impressionantes")</f>
        <v>Quando você usá-lo para imprimir em papéis mate, as impressões são impressionantes</v>
      </c>
      <c r="B43505" s="3">
        <v>1</v>
      </c>
    </row>
    <row r="43506" ht="15.75" customHeight="1" spans="1:2">
      <c r="A43506" s="3" t="str">
        <f>IFERROR(__xludf.DUMMYFUNCTION("GOOGLETRANSLATE(A43506,""en"",""pt"")"),"Excelente impressora all-around")</f>
        <v>Excelente impressora all-around</v>
      </c>
      <c r="B43506" s="3">
        <v>1</v>
      </c>
    </row>
    <row r="43507" ht="15.75" customHeight="1" spans="1:2">
      <c r="A43507" s="3" t="str">
        <f>IFERROR(__xludf.DUMMYFUNCTION("GOOGLETRANSLATE(A43507,""en"",""pt"")"),"Boa impressão de qualidade fotográfica se você usar papel especial")</f>
        <v>Boa impressão de qualidade fotográfica se você usar papel especial</v>
      </c>
      <c r="B43507" s="3">
        <v>1</v>
      </c>
    </row>
    <row r="43508" ht="15.75" customHeight="1" spans="1:2">
      <c r="A43508" s="3" t="str">
        <f>IFERROR(__xludf.DUMMYFUNCTION("GOOGLETRANSLATE(A43508,""en"",""pt"")"),"Ela imprime belas fotografias sem margens até 13 x 19 polegadas!")</f>
        <v>Ela imprime belas fotografias sem margens até 13 x 19 polegadas!</v>
      </c>
      <c r="B43508" s="3">
        <v>1</v>
      </c>
    </row>
    <row r="43509" ht="15.75" customHeight="1" spans="1:2">
      <c r="A43509" s="3" t="str">
        <f>IFERROR(__xludf.DUMMYFUNCTION("GOOGLETRANSLATE(A43509,""en"",""pt"")"),"Qualidade da impressão, características, resolução, velocidade.")</f>
        <v>Qualidade da impressão, características, resolução, velocidade.</v>
      </c>
      <c r="B43509" s="3">
        <v>1</v>
      </c>
    </row>
    <row r="43510" ht="15.75" customHeight="1" spans="1:2">
      <c r="A43510" s="3" t="str">
        <f>IFERROR(__xludf.DUMMYFUNCTION("GOOGLETRANSLATE(A43510,""en"",""pt"")"),"Arregalado imagens que podem parar um morto conversa em faixas!")</f>
        <v>Arregalado imagens que podem parar um morto conversa em faixas!</v>
      </c>
      <c r="B43510" s="3">
        <v>1</v>
      </c>
    </row>
    <row r="43511" ht="15.75" customHeight="1" spans="1:2">
      <c r="A43511" s="3" t="str">
        <f>IFERROR(__xludf.DUMMYFUNCTION("GOOGLETRANSLATE(A43511,""en"",""pt"")"),"Fácil de usar; excelente cor; os cartuchos de tinta substituíveis individualmente; tinta de arquivo")</f>
        <v>Fácil de usar; excelente cor; os cartuchos de tinta substituíveis individualmente; tinta de arquivo</v>
      </c>
      <c r="B43511" s="3">
        <v>1</v>
      </c>
    </row>
    <row r="43512" ht="15.75" customHeight="1" spans="1:2">
      <c r="A43512" s="3" t="str">
        <f>IFERROR(__xludf.DUMMYFUNCTION("GOOGLETRANSLATE(A43512,""en"",""pt"")"),"Grande Printer especialmente para fotos")</f>
        <v>Grande Printer especialmente para fotos</v>
      </c>
      <c r="B43512" s="3">
        <v>1</v>
      </c>
    </row>
    <row r="43513" ht="15.75" customHeight="1" spans="1:2">
      <c r="A43513" s="3" t="str">
        <f>IFERROR(__xludf.DUMMYFUNCTION("GOOGLETRANSLATE(A43513,""en"",""pt"")"),"Excelente foto de, barato")</f>
        <v>Excelente foto de, barato</v>
      </c>
      <c r="B43513" s="3">
        <v>1</v>
      </c>
    </row>
    <row r="43514" ht="15.75" customHeight="1" spans="1:2">
      <c r="A43514" s="3" t="str">
        <f>IFERROR(__xludf.DUMMYFUNCTION("GOOGLETRANSLATE(A43514,""en"",""pt"")"),"Boa qualidade quando se trabalha")</f>
        <v>Boa qualidade quando se trabalha</v>
      </c>
      <c r="B43514" s="3">
        <v>1</v>
      </c>
    </row>
    <row r="43515" ht="15.75" customHeight="1" spans="1:2">
      <c r="A43515" s="3" t="str">
        <f>IFERROR(__xludf.DUMMYFUNCTION("GOOGLETRANSLATE(A43515,""en"",""pt"")"),"grande Output")</f>
        <v>grande Output</v>
      </c>
      <c r="B43515" s="3">
        <v>1</v>
      </c>
    </row>
    <row r="43516" ht="15.75" customHeight="1" spans="1:2">
      <c r="A43516" s="3" t="str">
        <f>IFERROR(__xludf.DUMMYFUNCTION("GOOGLETRANSLATE(A43516,""en"",""pt"")"),"ele funciona para 8-12 meses")</f>
        <v>ele funciona para 8-12 meses</v>
      </c>
      <c r="B43516" s="3">
        <v>1</v>
      </c>
    </row>
    <row r="43517" ht="15.75" customHeight="1" spans="1:2">
      <c r="A43517" s="3" t="str">
        <f>IFERROR(__xludf.DUMMYFUNCTION("GOOGLETRANSLATE(A43517,""en"",""pt"")"),"Boa qualidade da foto")</f>
        <v>Boa qualidade da foto</v>
      </c>
      <c r="B43517" s="3">
        <v>1</v>
      </c>
    </row>
    <row r="43518" ht="15.75" customHeight="1" spans="1:2">
      <c r="A43518" s="3" t="str">
        <f>IFERROR(__xludf.DUMMYFUNCTION("GOOGLETRANSLATE(A43518,""en"",""pt"")"),"imagens fantásticas")</f>
        <v>imagens fantásticas</v>
      </c>
      <c r="B43518" s="3">
        <v>1</v>
      </c>
    </row>
    <row r="43519" ht="15.75" customHeight="1" spans="1:2">
      <c r="A43519" s="3" t="str">
        <f>IFERROR(__xludf.DUMMYFUNCTION("GOOGLETRANSLATE(A43519,""en"",""pt"")"),"Grande software, imagens impressionantes, barato")</f>
        <v>Grande software, imagens impressionantes, barato</v>
      </c>
      <c r="B43519" s="3">
        <v>1</v>
      </c>
    </row>
    <row r="43520" ht="15.75" customHeight="1" spans="1:2">
      <c r="A43520" s="3" t="str">
        <f>IFERROR(__xludf.DUMMYFUNCTION("GOOGLETRANSLATE(A43520,""en"",""pt"")"),"Saída excelente, ótimo preço")</f>
        <v>Saída excelente, ótimo preço</v>
      </c>
      <c r="B43520" s="3">
        <v>1</v>
      </c>
    </row>
    <row r="43521" ht="15.75" customHeight="1" spans="1:2">
      <c r="A43521" s="3" t="str">
        <f>IFERROR(__xludf.DUMMYFUNCTION("GOOGLETRANSLATE(A43521,""en"",""pt"")"),"A melhor qualidade de impressão imagem nunca !!!!!, cartriges tinta com preços médios, um ótimo software e utilitários")</f>
        <v>A melhor qualidade de impressão imagem nunca !!!!!, cartriges tinta com preços médios, um ótimo software e utilitários</v>
      </c>
      <c r="B43521" s="3">
        <v>1</v>
      </c>
    </row>
    <row r="43522" ht="15.75" customHeight="1" spans="1:2">
      <c r="A43522" s="3" t="str">
        <f>IFERROR(__xludf.DUMMYFUNCTION("GOOGLETRANSLATE(A43522,""en"",""pt"")"),"Impressões agradáveis ​​algumas vezes em uma fileira, bem apoiado")</f>
        <v>Impressões agradáveis ​​algumas vezes em uma fileira, bem apoiado</v>
      </c>
      <c r="B43522" s="3">
        <v>1</v>
      </c>
    </row>
    <row r="43523" ht="15.75" customHeight="1" spans="1:2">
      <c r="A43523" s="3" t="str">
        <f>IFERROR(__xludf.DUMMYFUNCTION("GOOGLETRANSLATE(A43523,""en"",""pt"")"),"alta qualidade de imagem, barato")</f>
        <v>alta qualidade de imagem, barato</v>
      </c>
      <c r="B43523" s="3">
        <v>1</v>
      </c>
    </row>
    <row r="43524" ht="15.75" customHeight="1" spans="1:2">
      <c r="A43524" s="3" t="str">
        <f>IFERROR(__xludf.DUMMYFUNCTION("GOOGLETRANSLATE(A43524,""en"",""pt"")"),"Grandes cores e definição.")</f>
        <v>Grandes cores e definição.</v>
      </c>
      <c r="B43524" s="3">
        <v>1</v>
      </c>
    </row>
    <row r="43525" ht="15.75" customHeight="1" spans="1:2">
      <c r="A43525" s="3" t="str">
        <f>IFERROR(__xludf.DUMMYFUNCTION("GOOGLETRANSLATE(A43525,""en"",""pt"")"),"qualidade da foto, tinta dura mais tempo, grande software incluído")</f>
        <v>qualidade da foto, tinta dura mais tempo, grande software incluído</v>
      </c>
      <c r="B43525" s="3">
        <v>1</v>
      </c>
    </row>
    <row r="43526" ht="15.75" customHeight="1" spans="1:2">
      <c r="A43526" s="3" t="str">
        <f>IFERROR(__xludf.DUMMYFUNCTION("GOOGLETRANSLATE(A43526,""en"",""pt"")"),"Barato")</f>
        <v>Barato</v>
      </c>
      <c r="B43526" s="3">
        <v>1</v>
      </c>
    </row>
    <row r="43527" ht="15.75" customHeight="1" spans="1:2">
      <c r="A43527" s="3" t="str">
        <f>IFERROR(__xludf.DUMMYFUNCTION("GOOGLETRANSLATE(A43527,""en"",""pt"")"),"impressão de alta velocidade, fotos claras, o cartucho de tinta barato")</f>
        <v>impressão de alta velocidade, fotos claras, o cartucho de tinta barato</v>
      </c>
      <c r="B43527" s="3">
        <v>1</v>
      </c>
    </row>
    <row r="43528" ht="15.75" customHeight="1" spans="1:2">
      <c r="A43528" s="3" t="str">
        <f>IFERROR(__xludf.DUMMYFUNCTION("GOOGLETRANSLATE(A43528,""en"",""pt"")"),"Nada mal para um jato de tinta barata")</f>
        <v>Nada mal para um jato de tinta barata</v>
      </c>
      <c r="B43528" s="3">
        <v>1</v>
      </c>
    </row>
    <row r="43529" ht="15.75" customHeight="1" spans="1:2">
      <c r="A43529" s="3" t="str">
        <f>IFERROR(__xludf.DUMMYFUNCTION("GOOGLETRANSLATE(A43529,""en"",""pt"")"),"Excelente Qualidade Fotográfica, Low Cost")</f>
        <v>Excelente Qualidade Fotográfica, Low Cost</v>
      </c>
      <c r="B43529" s="3">
        <v>1</v>
      </c>
    </row>
    <row r="43530" ht="15.75" customHeight="1" spans="1:2">
      <c r="A43530" s="3" t="str">
        <f>IFERROR(__xludf.DUMMYFUNCTION("GOOGLETRANSLATE(A43530,""en"",""pt"")"),"Aparência, qualidade de impressão, manuseio de papel. Barato!")</f>
        <v>Aparência, qualidade de impressão, manuseio de papel. Barato!</v>
      </c>
      <c r="B43530" s="3">
        <v>1</v>
      </c>
    </row>
    <row r="43531" ht="15.75" customHeight="1" spans="1:2">
      <c r="A43531" s="3" t="str">
        <f>IFERROR(__xludf.DUMMYFUNCTION("GOOGLETRANSLATE(A43531,""en"",""pt"")"),"Arrefecer Techie Looking Cor Case &amp; amp Slate; # 13; &amp; amp; # 10; Handy USB, paralela e conectores Mac local Discussão")</f>
        <v>Arrefecer Techie Looking Cor Case &amp; amp Slate; # 13; &amp; amp; # 10; Handy USB, paralela e conectores Mac local Discussão</v>
      </c>
      <c r="B43531" s="3">
        <v>1</v>
      </c>
    </row>
    <row r="43532" ht="15.75" customHeight="1" spans="1:2">
      <c r="A43532" s="3" t="str">
        <f>IFERROR(__xludf.DUMMYFUNCTION("GOOGLETRANSLATE(A43532,""en"",""pt"")"),"Grande qualidade da foto, confiáveis, os drivers disponíveis para Mac e PC.")</f>
        <v>Grande qualidade da foto, confiáveis, os drivers disponíveis para Mac e PC.</v>
      </c>
      <c r="B43532" s="3">
        <v>1</v>
      </c>
    </row>
    <row r="43533" ht="15.75" customHeight="1" spans="1:2">
      <c r="A43533" s="3" t="str">
        <f>IFERROR(__xludf.DUMMYFUNCTION("GOOGLETRANSLATE(A43533,""en"",""pt"")"),"Excelente Qualidade")</f>
        <v>Excelente Qualidade</v>
      </c>
      <c r="B43533" s="3">
        <v>1</v>
      </c>
    </row>
    <row r="43534" ht="15.75" customHeight="1" spans="1:2">
      <c r="A43534" s="3" t="str">
        <f>IFERROR(__xludf.DUMMYFUNCTION("GOOGLETRANSLATE(A43534,""en"",""pt"")"),"Qualidade de impressão.")</f>
        <v>Qualidade de impressão.</v>
      </c>
      <c r="B43534" s="3">
        <v>1</v>
      </c>
    </row>
    <row r="43535" ht="15.75" customHeight="1" spans="1:2">
      <c r="A43535" s="3" t="str">
        <f>IFERROR(__xludf.DUMMYFUNCTION("GOOGLETRANSLATE(A43535,""en"",""pt"")"),"Limpar a impressão, Hassle uso gratuito")</f>
        <v>Limpar a impressão, Hassle uso gratuito</v>
      </c>
      <c r="B43535" s="3">
        <v>1</v>
      </c>
    </row>
    <row r="43536" ht="15.75" customHeight="1" spans="1:2">
      <c r="A43536" s="3" t="str">
        <f>IFERROR(__xludf.DUMMYFUNCTION("GOOGLETRANSLATE(A43536,""en"",""pt"")"),"saída incrível")</f>
        <v>saída incrível</v>
      </c>
      <c r="B43536" s="3">
        <v>1</v>
      </c>
    </row>
    <row r="43537" ht="15.75" customHeight="1" spans="1:2">
      <c r="A43537" s="3" t="str">
        <f>IFERROR(__xludf.DUMMYFUNCTION("GOOGLETRANSLATE(A43537,""en"",""pt"")"),"Preço amigável e impressão qualtiy")</f>
        <v>Preço amigável e impressão qualtiy</v>
      </c>
      <c r="B43537" s="3">
        <v>1</v>
      </c>
    </row>
    <row r="43538" ht="15.75" customHeight="1" spans="1:2">
      <c r="A43538" s="3" t="str">
        <f>IFERROR(__xludf.DUMMYFUNCTION("GOOGLETRANSLATE(A43538,""en"",""pt"")"),"saída fantástica")</f>
        <v>saída fantástica</v>
      </c>
      <c r="B43538" s="3">
        <v>1</v>
      </c>
    </row>
    <row r="43539" ht="15.75" customHeight="1" spans="1:2">
      <c r="A43539" s="3" t="str">
        <f>IFERROR(__xludf.DUMMYFUNCTION("GOOGLETRANSLATE(A43539,""en"",""pt"")"),"imagens fotográficas surpreendentes")</f>
        <v>imagens fotográficas surpreendentes</v>
      </c>
      <c r="B43539" s="3">
        <v>1</v>
      </c>
    </row>
    <row r="43540" ht="15.75" customHeight="1" spans="1:2">
      <c r="A43540" s="3" t="str">
        <f>IFERROR(__xludf.DUMMYFUNCTION("GOOGLETRANSLATE(A43540,""en"",""pt"")"),"impressões de grande qualidade foto")</f>
        <v>impressões de grande qualidade foto</v>
      </c>
      <c r="B43540" s="3">
        <v>1</v>
      </c>
    </row>
    <row r="43541" ht="15.75" customHeight="1" spans="1:2">
      <c r="A43541" s="3" t="str">
        <f>IFERROR(__xludf.DUMMYFUNCTION("GOOGLETRANSLATE(A43541,""en"",""pt"")"),"software quality.Good foto Outstanding")</f>
        <v>software quality.Good foto Outstanding</v>
      </c>
      <c r="B43541" s="3">
        <v>1</v>
      </c>
    </row>
    <row r="43542" ht="15.75" customHeight="1" spans="1:2">
      <c r="A43542" s="3" t="str">
        <f>IFERROR(__xludf.DUMMYFUNCTION("GOOGLETRANSLATE(A43542,""en"",""pt"")"),"grande qualidade, velocidade de impressão")</f>
        <v>grande qualidade, velocidade de impressão</v>
      </c>
      <c r="B43542" s="3">
        <v>1</v>
      </c>
    </row>
    <row r="43543" ht="15.75" customHeight="1" spans="1:2">
      <c r="A43543" s="3" t="str">
        <f>IFERROR(__xludf.DUMMYFUNCTION("GOOGLETRANSLATE(A43543,""en"",""pt"")"),"Melhor bang para o buck")</f>
        <v>Melhor bang para o buck</v>
      </c>
      <c r="B43543" s="3">
        <v>1</v>
      </c>
    </row>
    <row r="43544" ht="15.75" customHeight="1" spans="1:2">
      <c r="A43544" s="3" t="str">
        <f>IFERROR(__xludf.DUMMYFUNCTION("GOOGLETRANSLATE(A43544,""en"",""pt"")"),"belas fotos não poderia esperar mais")</f>
        <v>belas fotos não poderia esperar mais</v>
      </c>
      <c r="B43544" s="3">
        <v>1</v>
      </c>
    </row>
    <row r="43545" ht="15.75" customHeight="1" spans="1:2">
      <c r="A43545" s="3" t="str">
        <f>IFERROR(__xludf.DUMMYFUNCTION("GOOGLETRANSLATE(A43545,""en"",""pt"")"),"Excelentes saídas Foto; Preço baixo")</f>
        <v>Excelentes saídas Foto; Preço baixo</v>
      </c>
      <c r="B43545" s="3">
        <v>1</v>
      </c>
    </row>
    <row r="43546" ht="15.75" customHeight="1" spans="1:2">
      <c r="A43546" s="3" t="str">
        <f>IFERROR(__xludf.DUMMYFUNCTION("GOOGLETRANSLATE(A43546,""en"",""pt"")"),"Bonito, acessíveis impressões de fotografias")</f>
        <v>Bonito, acessíveis impressões de fotografias</v>
      </c>
      <c r="B43546" s="3">
        <v>1</v>
      </c>
    </row>
    <row r="43547" ht="15.75" customHeight="1" spans="1:2">
      <c r="A43547" s="3" t="str">
        <f>IFERROR(__xludf.DUMMYFUNCTION("GOOGLETRANSLATE(A43547,""en"",""pt"")"),"impressões a cores são surpreendentes")</f>
        <v>impressões a cores são surpreendentes</v>
      </c>
      <c r="B43547" s="3">
        <v>1</v>
      </c>
    </row>
    <row r="43548" ht="15.75" customHeight="1" spans="1:2">
      <c r="A43548" s="3" t="str">
        <f>IFERROR(__xludf.DUMMYFUNCTION("GOOGLETRANSLATE(A43548,""en"",""pt"")"),"Vivid, Cor Saturada, grande qualidade")</f>
        <v>Vivid, Cor Saturada, grande qualidade</v>
      </c>
      <c r="B43548" s="3">
        <v>1</v>
      </c>
    </row>
    <row r="43549" ht="15.75" customHeight="1" spans="1:2">
      <c r="A43549" s="3" t="str">
        <f>IFERROR(__xludf.DUMMYFUNCTION("GOOGLETRANSLATE(A43549,""en"",""pt"")"),"Alta qualidade, barato")</f>
        <v>Alta qualidade, barato</v>
      </c>
      <c r="B43549" s="3">
        <v>1</v>
      </c>
    </row>
    <row r="43550" ht="15.75" customHeight="1" spans="1:2">
      <c r="A43550" s="3" t="str">
        <f>IFERROR(__xludf.DUMMYFUNCTION("GOOGLETRANSLATE(A43550,""en"",""pt"")"),"Ele tem a caixa preta ea qualidade é boa.")</f>
        <v>Ele tem a caixa preta ea qualidade é boa.</v>
      </c>
      <c r="B43550" s="3">
        <v>1</v>
      </c>
    </row>
    <row r="43551" ht="15.75" customHeight="1" spans="1:2">
      <c r="A43551" s="3" t="str">
        <f>IFERROR(__xludf.DUMMYFUNCTION("GOOGLETRANSLATE(A43551,""en"",""pt"")"),"Ele tem a caixa preta ea qualidade é boa.")</f>
        <v>Ele tem a caixa preta ea qualidade é boa.</v>
      </c>
      <c r="B43551" s="3">
        <v>1</v>
      </c>
    </row>
    <row r="43552" ht="15.75" customHeight="1" spans="1:2">
      <c r="A43552" s="3" t="str">
        <f>IFERROR(__xludf.DUMMYFUNCTION("GOOGLETRANSLATE(A43552,""en"",""pt"")"),"qualidade incrível, 5 Color Ink Cart., tinta barata., trabalha com Linux")</f>
        <v>qualidade incrível, 5 Color Ink Cart., tinta barata., trabalha com Linux</v>
      </c>
      <c r="B43552" s="3">
        <v>1</v>
      </c>
    </row>
    <row r="43553" ht="15.75" customHeight="1" spans="1:2">
      <c r="A43553" s="3" t="str">
        <f>IFERROR(__xludf.DUMMYFUNCTION("GOOGLETRANSLATE(A43553,""en"",""pt"")"),"facilidade incrível com algumas indicações")</f>
        <v>facilidade incrível com algumas indicações</v>
      </c>
      <c r="B43553" s="3">
        <v>1</v>
      </c>
    </row>
    <row r="43554" ht="15.75" customHeight="1" spans="1:2">
      <c r="A43554" s="3" t="str">
        <f>IFERROR(__xludf.DUMMYFUNCTION("GOOGLETRANSLATE(A43554,""en"",""pt"")"),"Grande manuseio de papel, qualidade de foto surpreendente, impressora barata e carrinhos")</f>
        <v>Grande manuseio de papel, qualidade de foto surpreendente, impressora barata e carrinhos</v>
      </c>
      <c r="B43554" s="3">
        <v>1</v>
      </c>
    </row>
    <row r="43555" ht="15.75" customHeight="1" spans="1:2">
      <c r="A43555" s="3" t="str">
        <f>IFERROR(__xludf.DUMMYFUNCTION("GOOGLETRANSLATE(A43555,""en"",""pt"")"),"Borderless, tinta durável, USB &amp; amp; paralelas, instalação fácil, monitor de tinta na tela, fotos decentes")</f>
        <v>Borderless, tinta durável, USB &amp; amp; paralelas, instalação fácil, monitor de tinta na tela, fotos decentes</v>
      </c>
      <c r="B43555" s="3">
        <v>1</v>
      </c>
    </row>
    <row r="43556" ht="15.75" customHeight="1" spans="1:2">
      <c r="A43556" s="3" t="str">
        <f>IFERROR(__xludf.DUMMYFUNCTION("GOOGLETRANSLATE(A43556,""en"",""pt"")"),"excelente qualidade de imagem, 6 tintas da cor, impressão sem fronteira")</f>
        <v>excelente qualidade de imagem, 6 tintas da cor, impressão sem fronteira</v>
      </c>
      <c r="B43556" s="3">
        <v>1</v>
      </c>
    </row>
    <row r="43557" ht="15.75" customHeight="1" spans="1:2">
      <c r="A43557" s="3" t="str">
        <f>IFERROR(__xludf.DUMMYFUNCTION("GOOGLETRANSLATE(A43557,""en"",""pt"")"),"Preço, nova tecnologia, estampas grandes &amp; amp; # 13; &amp; amp; # 10;")</f>
        <v>Preço, nova tecnologia, estampas grandes &amp; amp; # 13; &amp; amp; # 10;</v>
      </c>
      <c r="B43557" s="3">
        <v>1</v>
      </c>
    </row>
    <row r="43558" ht="15.75" customHeight="1" spans="1:2">
      <c r="A43558" s="3" t="str">
        <f>IFERROR(__xludf.DUMMYFUNCTION("GOOGLETRANSLATE(A43558,""en"",""pt"")"),"Limpar ponta para impressão borda. Tinta não mancha com oi-leve.")</f>
        <v>Limpar ponta para impressão borda. Tinta não mancha com oi-leve.</v>
      </c>
      <c r="B43558" s="3">
        <v>1</v>
      </c>
    </row>
    <row r="43559" ht="15.75" customHeight="1" spans="1:2">
      <c r="A43559" s="3" t="str">
        <f>IFERROR(__xludf.DUMMYFUNCTION("GOOGLETRANSLATE(A43559,""en"",""pt"")"),"Fantastic Quality Prints")</f>
        <v>Fantastic Quality Prints</v>
      </c>
      <c r="B43559" s="3">
        <v>1</v>
      </c>
    </row>
    <row r="43560" ht="15.75" customHeight="1" spans="1:2">
      <c r="A43560" s="3" t="str">
        <f>IFERROR(__xludf.DUMMYFUNCTION("GOOGLETRANSLATE(A43560,""en"",""pt"")"),"Excelente Qualidade Foto")</f>
        <v>Excelente Qualidade Foto</v>
      </c>
      <c r="B43560" s="3">
        <v>1</v>
      </c>
    </row>
    <row r="43561" ht="15.75" customHeight="1" spans="1:2">
      <c r="A43561" s="3" t="str">
        <f>IFERROR(__xludf.DUMMYFUNCTION("GOOGLETRANSLATE(A43561,""en"",""pt"")"),"Barato, cópias fantásticas, USB &amp; amp; ligações paralelas")</f>
        <v>Barato, cópias fantásticas, USB &amp; amp; ligações paralelas</v>
      </c>
      <c r="B43561" s="3">
        <v>1</v>
      </c>
    </row>
    <row r="43562" ht="15.75" customHeight="1" spans="1:2">
      <c r="A43562" s="3" t="str">
        <f>IFERROR(__xludf.DUMMYFUNCTION("GOOGLETRANSLATE(A43562,""en"",""pt"")"),"Boa melhor qualidade de impressão")</f>
        <v>Boa melhor qualidade de impressão</v>
      </c>
      <c r="B43562" s="3">
        <v>1</v>
      </c>
    </row>
    <row r="43563" ht="15.75" customHeight="1" spans="1:2">
      <c r="A43563" s="3" t="str">
        <f>IFERROR(__xludf.DUMMYFUNCTION("GOOGLETRANSLATE(A43563,""en"",""pt"")"),"A qualidade da imagem é excelente quando a funcionar correctamente. OSX compatível.")</f>
        <v>A qualidade da imagem é excelente quando a funcionar correctamente. OSX compatível.</v>
      </c>
      <c r="B43563" s="3">
        <v>1</v>
      </c>
    </row>
    <row r="43564" ht="15.75" customHeight="1" spans="1:2">
      <c r="A43564" s="3" t="str">
        <f>IFERROR(__xludf.DUMMYFUNCTION("GOOGLETRANSLATE(A43564,""en"",""pt"")"),"excelente impressão, fotos excelentes, excelente suporte técnico")</f>
        <v>excelente impressão, fotos excelentes, excelente suporte técnico</v>
      </c>
      <c r="B43564" s="3">
        <v>1</v>
      </c>
    </row>
    <row r="43565" ht="15.75" customHeight="1" spans="1:2">
      <c r="A43565" s="3" t="str">
        <f>IFERROR(__xludf.DUMMYFUNCTION("GOOGLETRANSLATE(A43565,""en"",""pt"")"),"Nenhum para falar.")</f>
        <v>Nenhum para falar.</v>
      </c>
      <c r="B43565" s="3">
        <v>1</v>
      </c>
    </row>
    <row r="43566" ht="15.75" customHeight="1" spans="1:2">
      <c r="A43566" s="3" t="str">
        <f>IFERROR(__xludf.DUMMYFUNCTION("GOOGLETRANSLATE(A43566,""en"",""pt"")"),"resolução barato e ótimo para fotografia digital e gráficos")</f>
        <v>resolução barato e ótimo para fotografia digital e gráficos</v>
      </c>
      <c r="B43566" s="3">
        <v>1</v>
      </c>
    </row>
    <row r="43567" ht="15.75" customHeight="1" spans="1:2">
      <c r="A43567" s="3" t="str">
        <f>IFERROR(__xludf.DUMMYFUNCTION("GOOGLETRANSLATE(A43567,""en"",""pt"")"),"fabuloso fotos, preço fantástico")</f>
        <v>fabuloso fotos, preço fantástico</v>
      </c>
      <c r="B43567" s="3">
        <v>1</v>
      </c>
    </row>
    <row r="43568" ht="15.75" customHeight="1" spans="1:2">
      <c r="A43568" s="3" t="str">
        <f>IFERROR(__xludf.DUMMYFUNCTION("GOOGLETRANSLATE(A43568,""en"",""pt"")"),"qualidade de imagem, preço barato")</f>
        <v>qualidade de imagem, preço barato</v>
      </c>
      <c r="B43568" s="3">
        <v>1</v>
      </c>
    </row>
    <row r="43569" ht="15.75" customHeight="1" spans="1:2">
      <c r="A43569" s="3" t="str">
        <f>IFERROR(__xludf.DUMMYFUNCTION("GOOGLETRANSLATE(A43569,""en"",""pt"")"),"Superb foto qualidade de impressão em papel brilhante da Epson; barato")</f>
        <v>Superb foto qualidade de impressão em papel brilhante da Epson; barato</v>
      </c>
      <c r="B43569" s="3">
        <v>1</v>
      </c>
    </row>
    <row r="43570" ht="15.75" customHeight="1" spans="1:2">
      <c r="A43570" s="3" t="str">
        <f>IFERROR(__xludf.DUMMYFUNCTION("GOOGLETRANSLATE(A43570,""en"",""pt"")"),"Grandes fotos, pode ligar SmartFlash cartões e imprimir sem um computador,")</f>
        <v>Grandes fotos, pode ligar SmartFlash cartões e imprimir sem um computador,</v>
      </c>
      <c r="B43570" s="3">
        <v>1</v>
      </c>
    </row>
    <row r="43571" ht="15.75" customHeight="1" spans="1:2">
      <c r="A43571" s="3" t="str">
        <f>IFERROR(__xludf.DUMMYFUNCTION("GOOGLETRANSLATE(A43571,""en"",""pt"")"),"excelente qualidade, Quieto, imprime diretamente da memória flash")</f>
        <v>excelente qualidade, Quieto, imprime diretamente da memória flash</v>
      </c>
      <c r="B43571" s="3">
        <v>1</v>
      </c>
    </row>
    <row r="43572" ht="15.75" customHeight="1" spans="1:2">
      <c r="A43572" s="3" t="str">
        <f>IFERROR(__xludf.DUMMYFUNCTION("GOOGLETRANSLATE(A43572,""en"",""pt"")"),"Foto-como qualidade, bons preços de tinta")</f>
        <v>Foto-como qualidade, bons preços de tinta</v>
      </c>
      <c r="B43572" s="3">
        <v>1</v>
      </c>
    </row>
    <row r="43573" ht="15.75" customHeight="1" spans="1:2">
      <c r="A43573" s="3" t="str">
        <f>IFERROR(__xludf.DUMMYFUNCTION("GOOGLETRANSLATE(A43573,""en"",""pt"")"),"Astounding qualidade da foto. Não, eu realmente quero dizer isso, fotos absolutamente brilhante.")</f>
        <v>Astounding qualidade da foto. Não, eu realmente quero dizer isso, fotos absolutamente brilhante.</v>
      </c>
      <c r="B43573" s="3">
        <v>1</v>
      </c>
    </row>
    <row r="43574" ht="15.75" customHeight="1" spans="1:2">
      <c r="A43574" s="3" t="str">
        <f>IFERROR(__xludf.DUMMYFUNCTION("GOOGLETRANSLATE(A43574,""en"",""pt"")"),"Grande impressão de fotos !!")</f>
        <v>Grande impressão de fotos !!</v>
      </c>
      <c r="B43574" s="3">
        <v>1</v>
      </c>
    </row>
    <row r="43575" ht="15.75" customHeight="1" spans="1:2">
      <c r="A43575" s="3" t="str">
        <f>IFERROR(__xludf.DUMMYFUNCTION("GOOGLETRANSLATE(A43575,""en"",""pt"")"),"Excelente impressão de qualidade fotográfica, papel rolo pronto")</f>
        <v>Excelente impressão de qualidade fotográfica, papel rolo pronto</v>
      </c>
      <c r="B43575" s="3">
        <v>1</v>
      </c>
    </row>
    <row r="43576" ht="15.75" customHeight="1" spans="1:2">
      <c r="A43576" s="3" t="str">
        <f>IFERROR(__xludf.DUMMYFUNCTION("GOOGLETRANSLATE(A43576,""en"",""pt"")"),"Barato, construído em leitor de cartão")</f>
        <v>Barato, construído em leitor de cartão</v>
      </c>
      <c r="B43576" s="3">
        <v>1</v>
      </c>
    </row>
    <row r="43577" ht="15.75" customHeight="1" spans="1:2">
      <c r="A43577" s="3" t="str">
        <f>IFERROR(__xludf.DUMMYFUNCTION("GOOGLETRANSLATE(A43577,""en"",""pt"")"),"Preço, excelentes impressões, opção PIM")</f>
        <v>Preço, excelentes impressões, opção PIM</v>
      </c>
      <c r="B43577" s="3">
        <v>1</v>
      </c>
    </row>
    <row r="43578" ht="15.75" customHeight="1" spans="1:2">
      <c r="A43578" s="3" t="str">
        <f>IFERROR(__xludf.DUMMYFUNCTION("GOOGLETRANSLATE(A43578,""en"",""pt"")"),"A grande qualidade, cor, detalhe")</f>
        <v>A grande qualidade, cor, detalhe</v>
      </c>
      <c r="B43578" s="3">
        <v>1</v>
      </c>
    </row>
    <row r="43579" ht="15.75" customHeight="1" spans="1:2">
      <c r="A43579" s="3" t="str">
        <f>IFERROR(__xludf.DUMMYFUNCTION("GOOGLETRANSLATE(A43579,""en"",""pt"")"),"Excelente qualidade de impressão, particularmente em papel fotográfico especial. Relativamente pequena pegada, suporte a cartão de memória.")</f>
        <v>Excelente qualidade de impressão, particularmente em papel fotográfico especial. Relativamente pequena pegada, suporte a cartão de memória.</v>
      </c>
      <c r="B43579" s="3">
        <v>1</v>
      </c>
    </row>
    <row r="43580" ht="15.75" customHeight="1" spans="1:2">
      <c r="A43580" s="3" t="str">
        <f>IFERROR(__xludf.DUMMYFUNCTION("GOOGLETRANSLATE(A43580,""en"",""pt"")"),"empregos de boa qualidade de impressão, a tinta barata, múltiplos recursos.")</f>
        <v>empregos de boa qualidade de impressão, a tinta barata, múltiplos recursos.</v>
      </c>
      <c r="B43580" s="3">
        <v>1</v>
      </c>
    </row>
    <row r="43581" ht="15.75" customHeight="1" spans="1:2">
      <c r="A43581" s="3" t="str">
        <f>IFERROR(__xludf.DUMMYFUNCTION("GOOGLETRANSLATE(A43581,""en"",""pt"")"),"qualidade fotográfica impressionante em papéis Epson")</f>
        <v>qualidade fotográfica impressionante em papéis Epson</v>
      </c>
      <c r="B43581" s="3">
        <v>1</v>
      </c>
    </row>
    <row r="43582" ht="15.75" customHeight="1" spans="1:2">
      <c r="A43582" s="3" t="str">
        <f>IFERROR(__xludf.DUMMYFUNCTION("GOOGLETRANSLATE(A43582,""en"",""pt"")"),"Excelentes fotos de qualidade. Grande valor. Aceita cartões Flash.")</f>
        <v>Excelentes fotos de qualidade. Grande valor. Aceita cartões Flash.</v>
      </c>
      <c r="B43582" s="3">
        <v>1</v>
      </c>
    </row>
    <row r="43583" ht="15.75" customHeight="1" spans="1:2">
      <c r="A43583" s="3" t="str">
        <f>IFERROR(__xludf.DUMMYFUNCTION("GOOGLETRANSLATE(A43583,""en"",""pt"")"),"Nenhum")</f>
        <v>Nenhum</v>
      </c>
      <c r="B43583" s="3">
        <v>1</v>
      </c>
    </row>
    <row r="43584" ht="15.75" customHeight="1" spans="1:2">
      <c r="A43584" s="3" t="str">
        <f>IFERROR(__xludf.DUMMYFUNCTION("GOOGLETRANSLATE(A43584,""en"",""pt"")"),"Excelente qualidade da foto. ranhura PC para adaptador de cartão.")</f>
        <v>Excelente qualidade da foto. ranhura PC para adaptador de cartão.</v>
      </c>
      <c r="B43584" s="3">
        <v>1</v>
      </c>
    </row>
    <row r="43585" ht="15.75" customHeight="1" spans="1:2">
      <c r="A43585" s="3" t="str">
        <f>IFERROR(__xludf.DUMMYFUNCTION("GOOGLETRANSLATE(A43585,""en"",""pt"")"),"A qualidade de impressão de fotos é muito bom.")</f>
        <v>A qualidade de impressão de fotos é muito bom.</v>
      </c>
      <c r="B43585" s="3">
        <v>1</v>
      </c>
    </row>
    <row r="43586" ht="15.75" customHeight="1" spans="1:2">
      <c r="A43586" s="3" t="str">
        <f>IFERROR(__xludf.DUMMYFUNCTION("GOOGLETRANSLATE(A43586,""en"",""pt"")"),"Bons trabalhos de impressão de qualidade.")</f>
        <v>Bons trabalhos de impressão de qualidade.</v>
      </c>
      <c r="B43586" s="3">
        <v>1</v>
      </c>
    </row>
    <row r="43587" ht="15.75" customHeight="1" spans="1:2">
      <c r="A43587" s="3" t="str">
        <f>IFERROR(__xludf.DUMMYFUNCTION("GOOGLETRANSLATE(A43587,""en"",""pt"")"),"Grande valor para o dinheiro, grande qualidade de saída")</f>
        <v>Grande valor para o dinheiro, grande qualidade de saída</v>
      </c>
      <c r="B43587" s="3">
        <v>1</v>
      </c>
    </row>
    <row r="43588" ht="15.75" customHeight="1" spans="1:2">
      <c r="A43588" s="3" t="str">
        <f>IFERROR(__xludf.DUMMYFUNCTION("GOOGLETRANSLATE(A43588,""en"",""pt"")"),"Grandes impressões de fotos sem borda pics, leva vários cartões")</f>
        <v>Grandes impressões de fotos sem borda pics, leva vários cartões</v>
      </c>
      <c r="B43588" s="3">
        <v>1</v>
      </c>
    </row>
    <row r="43589" ht="15.75" customHeight="1" spans="1:2">
      <c r="A43589" s="3" t="str">
        <f>IFERROR(__xludf.DUMMYFUNCTION("GOOGLETRANSLATE(A43589,""en"",""pt"")"),"fácil de colocar o cartão de memória da câmera diretamente na impressora para imprimir folha de prova")</f>
        <v>fácil de colocar o cartão de memória da câmera diretamente na impressora para imprimir folha de prova</v>
      </c>
      <c r="B43589" s="3">
        <v>1</v>
      </c>
    </row>
    <row r="43590" ht="15.75" customHeight="1" spans="1:2">
      <c r="A43590" s="3" t="str">
        <f>IFERROR(__xludf.DUMMYFUNCTION("GOOGLETRANSLATE(A43590,""en"",""pt"")"),"Grande qualidade de impressão de fotos. Excelente preço.")</f>
        <v>Grande qualidade de impressão de fotos. Excelente preço.</v>
      </c>
      <c r="B43590" s="3">
        <v>1</v>
      </c>
    </row>
    <row r="43591" ht="15.75" customHeight="1" spans="1:2">
      <c r="A43591" s="3" t="str">
        <f>IFERROR(__xludf.DUMMYFUNCTION("GOOGLETRANSLATE(A43591,""en"",""pt"")"),"Ele tem um interruptor on-off, preço")</f>
        <v>Ele tem um interruptor on-off, preço</v>
      </c>
      <c r="B43591" s="3">
        <v>1</v>
      </c>
    </row>
    <row r="43592" ht="15.75" customHeight="1" spans="1:2">
      <c r="A43592" s="3" t="str">
        <f>IFERROR(__xludf.DUMMYFUNCTION("GOOGLETRANSLATE(A43592,""en"",""pt"")"),"cor muito boa qualidade de impressão de fotos")</f>
        <v>cor muito boa qualidade de impressão de fotos</v>
      </c>
      <c r="B43592" s="3">
        <v>1</v>
      </c>
    </row>
    <row r="43593" ht="15.75" customHeight="1" spans="1:2">
      <c r="A43593" s="3" t="str">
        <f>IFERROR(__xludf.DUMMYFUNCTION("GOOGLETRANSLATE(A43593,""en"",""pt"")"),"Preço e descontos")</f>
        <v>Preço e descontos</v>
      </c>
      <c r="B43593" s="3">
        <v>1</v>
      </c>
    </row>
    <row r="43594" ht="15.75" customHeight="1" spans="1:2">
      <c r="A43594" s="3" t="str">
        <f>IFERROR(__xludf.DUMMYFUNCTION("GOOGLETRANSLATE(A43594,""en"",""pt"")"),"Excelente Pictures Cor comparável ao mais caro modelo Epson 1280.")</f>
        <v>Excelente Pictures Cor comparável ao mais caro modelo Epson 1280.</v>
      </c>
      <c r="B43594" s="3">
        <v>1</v>
      </c>
    </row>
    <row r="43595" ht="15.75" customHeight="1" spans="1:2">
      <c r="A43595" s="3" t="str">
        <f>IFERROR(__xludf.DUMMYFUNCTION("GOOGLETRANSLATE(A43595,""en"",""pt"")"),"Grandes impressões fotográficas de qualidade. Excelente valor.")</f>
        <v>Grandes impressões fotográficas de qualidade. Excelente valor.</v>
      </c>
      <c r="B43595" s="3">
        <v>1</v>
      </c>
    </row>
    <row r="43596" ht="15.75" customHeight="1" spans="1:2">
      <c r="A43596" s="3" t="str">
        <f>IFERROR(__xludf.DUMMYFUNCTION("GOOGLETRANSLATE(A43596,""en"",""pt"")"),"Greatttttt fotos. Bom texto.")</f>
        <v>Greatttttt fotos. Bom texto.</v>
      </c>
      <c r="B43596" s="3">
        <v>1</v>
      </c>
    </row>
    <row r="43597" ht="15.75" customHeight="1" spans="1:2">
      <c r="A43597" s="3" t="str">
        <f>IFERROR(__xludf.DUMMYFUNCTION("GOOGLETRANSLATE(A43597,""en"",""pt"")"),"impressão de índice Nice ( ""folha de contato"")")</f>
        <v>impressão de índice Nice ( "folha de contato")</v>
      </c>
      <c r="B43597" s="3">
        <v>1</v>
      </c>
    </row>
    <row r="43598" ht="15.75" customHeight="1" spans="1:2">
      <c r="A43598" s="3" t="str">
        <f>IFERROR(__xludf.DUMMYFUNCTION("GOOGLETRANSLATE(A43598,""en"",""pt"")"),"Grande impressão de fotografias. Sem margem de impressão de tamanho de letra!")</f>
        <v>Grande impressão de fotografias. Sem margem de impressão de tamanho de letra!</v>
      </c>
      <c r="B43598" s="3">
        <v>1</v>
      </c>
    </row>
    <row r="43599" ht="15.75" customHeight="1" spans="1:2">
      <c r="A43599" s="3" t="str">
        <f>IFERROR(__xludf.DUMMYFUNCTION("GOOGLETRANSLATE(A43599,""en"",""pt"")"),"Fotos excelentes qualidade sem margens, a preços acessíveis")</f>
        <v>Fotos excelentes qualidade sem margens, a preços acessíveis</v>
      </c>
      <c r="B43599" s="3">
        <v>1</v>
      </c>
    </row>
    <row r="43600" ht="15.75" customHeight="1" spans="1:2">
      <c r="A43600" s="3" t="str">
        <f>IFERROR(__xludf.DUMMYFUNCTION("GOOGLETRANSLATE(A43600,""en"",""pt"")"),"Grande qualidade, impressão sem margens e um ótimo preço.")</f>
        <v>Grande qualidade, impressão sem margens e um ótimo preço.</v>
      </c>
      <c r="B43600" s="3">
        <v>1</v>
      </c>
    </row>
    <row r="43601" ht="15.75" customHeight="1" spans="1:2">
      <c r="A43601" s="3" t="str">
        <f>IFERROR(__xludf.DUMMYFUNCTION("GOOGLETRANSLATE(A43601,""en"",""pt"")"),"Excelente foto-qualidade, muito acessível, a impressão sizingand sem fronteiras!")</f>
        <v>Excelente foto-qualidade, muito acessível, a impressão sizingand sem fronteiras!</v>
      </c>
      <c r="B43601" s="3">
        <v>1</v>
      </c>
    </row>
    <row r="43602" ht="15.75" customHeight="1" spans="1:2">
      <c r="A43602" s="3" t="str">
        <f>IFERROR(__xludf.DUMMYFUNCTION("GOOGLETRANSLATE(A43602,""en"",""pt"")"),"Excelente qualidade de foto imprime sem esperar para sempre.")</f>
        <v>Excelente qualidade de foto imprime sem esperar para sempre.</v>
      </c>
      <c r="B43602" s="3">
        <v>1</v>
      </c>
    </row>
    <row r="43603" ht="15.75" customHeight="1" spans="1:2">
      <c r="A43603" s="3" t="str">
        <f>IFERROR(__xludf.DUMMYFUNCTION("GOOGLETRANSLATE(A43603,""en"",""pt"")"),"Excelente qualidade fotográfica, impressora razoavelmente rápido")</f>
        <v>Excelente qualidade fotográfica, impressora razoavelmente rápido</v>
      </c>
      <c r="B43603" s="3">
        <v>1</v>
      </c>
    </row>
    <row r="43604" ht="15.75" customHeight="1" spans="1:2">
      <c r="A43604" s="3" t="str">
        <f>IFERROR(__xludf.DUMMYFUNCTION("GOOGLETRANSLATE(A43604,""en"",""pt"")"),"Incomparável qualidade da foto, fácil de set-up e usar, e excelente preço.")</f>
        <v>Incomparável qualidade da foto, fácil de set-up e usar, e excelente preço.</v>
      </c>
      <c r="B43604" s="3">
        <v>1</v>
      </c>
    </row>
    <row r="43605" ht="15.75" customHeight="1" spans="1:2">
      <c r="A43605" s="3" t="str">
        <f>IFERROR(__xludf.DUMMYFUNCTION("GOOGLETRANSLATE(A43605,""en"",""pt"")"),"Excelentes fotos de qualidade")</f>
        <v>Excelentes fotos de qualidade</v>
      </c>
      <c r="B43605" s="3">
        <v>1</v>
      </c>
    </row>
    <row r="43606" ht="15.75" customHeight="1" spans="1:2">
      <c r="A43606" s="3" t="str">
        <f>IFERROR(__xludf.DUMMYFUNCTION("GOOGLETRANSLATE(A43606,""en"",""pt"")"),"Preço, qualidade")</f>
        <v>Preço, qualidade</v>
      </c>
      <c r="B43606" s="3">
        <v>1</v>
      </c>
    </row>
    <row r="43607" ht="15.75" customHeight="1" spans="1:2">
      <c r="A43607" s="3" t="str">
        <f>IFERROR(__xludf.DUMMYFUNCTION("GOOGLETRANSLATE(A43607,""en"",""pt"")"),"Imprime grandes fotos!")</f>
        <v>Imprime grandes fotos!</v>
      </c>
      <c r="B43607" s="3">
        <v>1</v>
      </c>
    </row>
    <row r="43608" ht="15.75" customHeight="1" spans="1:2">
      <c r="A43608" s="3" t="str">
        <f>IFERROR(__xludf.DUMMYFUNCTION("GOOGLETRANSLATE(A43608,""en"",""pt"")"),"Imprime imagens de excelente qualidade,")</f>
        <v>Imprime imagens de excelente qualidade,</v>
      </c>
      <c r="B43608" s="3">
        <v>1</v>
      </c>
    </row>
    <row r="43609" ht="15.75" customHeight="1" spans="1:2">
      <c r="A43609" s="3" t="str">
        <f>IFERROR(__xludf.DUMMYFUNCTION("GOOGLETRANSLATE(A43609,""en"",""pt"")"),"qualidade de impressão surpreendente")</f>
        <v>qualidade de impressão surpreendente</v>
      </c>
      <c r="B43609" s="3">
        <v>1</v>
      </c>
    </row>
    <row r="43610" ht="15.75" customHeight="1" spans="1:2">
      <c r="A43610" s="3" t="str">
        <f>IFERROR(__xludf.DUMMYFUNCTION("GOOGLETRANSLATE(A43610,""en"",""pt"")"),"Imprime fotos excelentes com qualidade fotográfica.")</f>
        <v>Imprime fotos excelentes com qualidade fotográfica.</v>
      </c>
      <c r="B43610" s="3">
        <v>1</v>
      </c>
    </row>
    <row r="43611" ht="15.75" customHeight="1" spans="1:2">
      <c r="A43611" s="3" t="str">
        <f>IFERROR(__xludf.DUMMYFUNCTION("GOOGLETRANSLATE(A43611,""en"",""pt"")"),"Grandes impressões de qualidade")</f>
        <v>Grandes impressões de qualidade</v>
      </c>
      <c r="B43611" s="3">
        <v>1</v>
      </c>
    </row>
    <row r="43612" ht="15.75" customHeight="1" spans="1:2">
      <c r="A43612" s="3" t="str">
        <f>IFERROR(__xludf.DUMMYFUNCTION("GOOGLETRANSLATE(A43612,""en"",""pt"")"),"Fácil de configurar, lindas impressões a cores, boa compatibilidade com XP")</f>
        <v>Fácil de configurar, lindas impressões a cores, boa compatibilidade com XP</v>
      </c>
      <c r="B43612" s="3">
        <v>1</v>
      </c>
    </row>
    <row r="43613" ht="15.75" customHeight="1" spans="1:2">
      <c r="A43613" s="3" t="str">
        <f>IFERROR(__xludf.DUMMYFUNCTION("GOOGLETRANSLATE(A43613,""en"",""pt"")"),"Barato; imprime em cores")</f>
        <v>Barato; imprime em cores</v>
      </c>
      <c r="B43613" s="3">
        <v>1</v>
      </c>
    </row>
    <row r="43614" ht="15.75" customHeight="1" spans="1:2">
      <c r="A43614" s="3" t="str">
        <f>IFERROR(__xludf.DUMMYFUNCTION("GOOGLETRANSLATE(A43614,""en"",""pt"")"),"impressões de qualidade de fotos impressionantes, valor preço")</f>
        <v>impressões de qualidade de fotos impressionantes, valor preço</v>
      </c>
      <c r="B43614" s="3">
        <v>1</v>
      </c>
    </row>
    <row r="43615" ht="15.75" customHeight="1" spans="1:2">
      <c r="A43615" s="3" t="str">
        <f>IFERROR(__xludf.DUMMYFUNCTION("GOOGLETRANSLATE(A43615,""en"",""pt"")"),"Grande negócio para o preço, muito bom fotos")</f>
        <v>Grande negócio para o preço, muito bom fotos</v>
      </c>
      <c r="B43615" s="3">
        <v>1</v>
      </c>
    </row>
    <row r="43616" ht="15.75" customHeight="1" spans="1:2">
      <c r="A43616" s="3" t="str">
        <f>IFERROR(__xludf.DUMMYFUNCTION("GOOGLETRANSLATE(A43616,""en"",""pt"")"),"Low Price Point, 6 cores, Epson Reputação, Lab Quality Prints, sem fronteiras Printing")</f>
        <v>Low Price Point, 6 cores, Epson Reputação, Lab Quality Prints, sem fronteiras Printing</v>
      </c>
      <c r="B43616" s="3">
        <v>1</v>
      </c>
    </row>
    <row r="43617" ht="15.75" customHeight="1" spans="1:2">
      <c r="A43617" s="3" t="str">
        <f>IFERROR(__xludf.DUMMYFUNCTION("GOOGLETRANSLATE(A43617,""en"",""pt"")"),"qualidade de impressão inicial")</f>
        <v>qualidade de impressão inicial</v>
      </c>
      <c r="B43617" s="3">
        <v>1</v>
      </c>
    </row>
    <row r="43618" ht="15.75" customHeight="1" spans="1:2">
      <c r="A43618" s="3" t="str">
        <f>IFERROR(__xludf.DUMMYFUNCTION("GOOGLETRANSLATE(A43618,""en"",""pt"")"),"Para o uso ocasional é um preço vale a pena.")</f>
        <v>Para o uso ocasional é um preço vale a pena.</v>
      </c>
      <c r="B43618" s="3">
        <v>1</v>
      </c>
    </row>
    <row r="43619" ht="15.75" customHeight="1" spans="1:2">
      <c r="A43619" s="3" t="str">
        <f>IFERROR(__xludf.DUMMYFUNCTION("GOOGLETRANSLATE(A43619,""en"",""pt"")"),"resultados impressionantes gráficos !, resultados gráficos impressionantes !, resultados gráfico impressionante!")</f>
        <v>resultados impressionantes gráficos !, resultados gráficos impressionantes !, resultados gráfico impressionante!</v>
      </c>
      <c r="B43619" s="3">
        <v>1</v>
      </c>
    </row>
    <row r="43620" ht="15.75" customHeight="1" spans="1:2">
      <c r="A43620" s="3" t="str">
        <f>IFERROR(__xludf.DUMMYFUNCTION("GOOGLETRANSLATE(A43620,""en"",""pt"")"),"Ótimas fotos")</f>
        <v>Ótimas fotos</v>
      </c>
      <c r="B43620" s="3">
        <v>1</v>
      </c>
    </row>
    <row r="43621" ht="15.75" customHeight="1" spans="1:2">
      <c r="A43621" s="3" t="str">
        <f>IFERROR(__xludf.DUMMYFUNCTION("GOOGLETRANSLATE(A43621,""en"",""pt"")"),"bela qualidade da foto impressa de todos os tamanhos, e é menos de $ 100")</f>
        <v>bela qualidade da foto impressa de todos os tamanhos, e é menos de $ 100</v>
      </c>
      <c r="B43621" s="3">
        <v>1</v>
      </c>
    </row>
    <row r="43622" ht="15.75" customHeight="1" spans="1:2">
      <c r="A43622" s="3" t="str">
        <f>IFERROR(__xludf.DUMMYFUNCTION("GOOGLETRANSLATE(A43622,""en"",""pt"")"),"Grandes fotos (com qualidade de laboratório), ótimo preço")</f>
        <v>Grandes fotos (com qualidade de laboratório), ótimo preço</v>
      </c>
      <c r="B43622" s="3">
        <v>1</v>
      </c>
    </row>
    <row r="43623" ht="15.75" customHeight="1" spans="1:2">
      <c r="A43623" s="3" t="str">
        <f>IFERROR(__xludf.DUMMYFUNCTION("GOOGLETRANSLATE(A43623,""en"",""pt"")"),"imprimir os resultados são muito bons para um modelo de US $ 100. usamos-lo com a nossa câmera digital.")</f>
        <v>imprimir os resultados são muito bons para um modelo de US $ 100. usamos-lo com a nossa câmera digital.</v>
      </c>
      <c r="B43623" s="3">
        <v>1</v>
      </c>
    </row>
    <row r="43624" ht="15.75" customHeight="1" spans="1:2">
      <c r="A43624" s="3" t="str">
        <f>IFERROR(__xludf.DUMMYFUNCTION("GOOGLETRANSLATE(A43624,""en"",""pt"")"),"Excelente qualidade de impressão e cor. Mais barato, bom jato de tinta de qualidade fotográfica no mercado.")</f>
        <v>Excelente qualidade de impressão e cor. Mais barato, bom jato de tinta de qualidade fotográfica no mercado.</v>
      </c>
      <c r="B43624" s="3">
        <v>1</v>
      </c>
    </row>
    <row r="43625" ht="15.75" customHeight="1" spans="1:2">
      <c r="A43625" s="3" t="str">
        <f>IFERROR(__xludf.DUMMYFUNCTION("GOOGLETRANSLATE(A43625,""en"",""pt"")"),"Barato, rápido, excelentes impressões, comprimento boa tinta")</f>
        <v>Barato, rápido, excelentes impressões, comprimento boa tinta</v>
      </c>
      <c r="B43625" s="3">
        <v>1</v>
      </c>
    </row>
    <row r="43626" ht="15.75" customHeight="1" spans="1:2">
      <c r="A43626" s="3" t="str">
        <f>IFERROR(__xludf.DUMMYFUNCTION("GOOGLETRANSLATE(A43626,""en"",""pt"")"),"Barato, boas fotos, impressão sem margens")</f>
        <v>Barato, boas fotos, impressão sem margens</v>
      </c>
      <c r="B43626" s="3">
        <v>1</v>
      </c>
    </row>
    <row r="43627" ht="15.75" customHeight="1" spans="1:2">
      <c r="A43627" s="3" t="str">
        <f>IFERROR(__xludf.DUMMYFUNCTION("GOOGLETRANSLATE(A43627,""en"",""pt"")"),"Excelente Qualidade de impressão, impressão melhorada Drivers, USB e portas paralelas")</f>
        <v>Excelente Qualidade de impressão, impressão melhorada Drivers, USB e portas paralelas</v>
      </c>
      <c r="B43627" s="3">
        <v>1</v>
      </c>
    </row>
    <row r="43628" ht="15.75" customHeight="1" spans="1:2">
      <c r="A43628" s="3" t="str">
        <f>IFERROR(__xludf.DUMMYFUNCTION("GOOGLETRANSLATE(A43628,""en"",""pt"")"),"Imprimindo qualidade, USB e conectores seriais, medidor de tinta, sem fronteiras impressões enquanto dura.")</f>
        <v>Imprimindo qualidade, USB e conectores seriais, medidor de tinta, sem fronteiras impressões enquanto dura.</v>
      </c>
      <c r="B43628" s="3">
        <v>1</v>
      </c>
    </row>
    <row r="43629" ht="15.75" customHeight="1" spans="1:2">
      <c r="A43629" s="3" t="str">
        <f>IFERROR(__xludf.DUMMYFUNCTION("GOOGLETRANSLATE(A43629,""en"",""pt"")"),"Preço, saída")</f>
        <v>Preço, saída</v>
      </c>
      <c r="B43629" s="3">
        <v>1</v>
      </c>
    </row>
    <row r="43630" ht="15.75" customHeight="1" spans="1:2">
      <c r="A43630" s="3" t="str">
        <f>IFERROR(__xludf.DUMMYFUNCTION("GOOGLETRANSLATE(A43630,""en"",""pt"")"),"qualidade de impressão GRANDE, impressões impermeáveis! Fácil de usar, tamanho compacto")</f>
        <v>qualidade de impressão GRANDE, impressões impermeáveis! Fácil de usar, tamanho compacto</v>
      </c>
      <c r="B43630" s="3">
        <v>1</v>
      </c>
    </row>
    <row r="43631" ht="15.75" customHeight="1" spans="1:2">
      <c r="A43631" s="3" t="str">
        <f>IFERROR(__xludf.DUMMYFUNCTION("GOOGLETRANSLATE(A43631,""en"",""pt"")"),"Funcionado bem inicialmente")</f>
        <v>Funcionado bem inicialmente</v>
      </c>
      <c r="B43631" s="3">
        <v>1</v>
      </c>
    </row>
    <row r="43632" ht="15.75" customHeight="1" spans="1:2">
      <c r="A43632" s="3" t="str">
        <f>IFERROR(__xludf.DUMMYFUNCTION("GOOGLETRANSLATE(A43632,""en"",""pt"")"),"Fácil de usar, boa qualidade de impressão")</f>
        <v>Fácil de usar, boa qualidade de impressão</v>
      </c>
      <c r="B43632" s="3">
        <v>1</v>
      </c>
    </row>
    <row r="43633" ht="15.75" customHeight="1" spans="1:2">
      <c r="A43633" s="3" t="str">
        <f>IFERROR(__xludf.DUMMYFUNCTION("GOOGLETRANSLATE(A43633,""en"",""pt"")"),"excelentes Fotos")</f>
        <v>excelentes Fotos</v>
      </c>
      <c r="B43633" s="3">
        <v>1</v>
      </c>
    </row>
    <row r="43634" ht="15.75" customHeight="1" spans="1:2">
      <c r="A43634" s="3" t="str">
        <f>IFERROR(__xludf.DUMMYFUNCTION("GOOGLETRANSLATE(A43634,""en"",""pt"")"),"Rápido")</f>
        <v>Rápido</v>
      </c>
      <c r="B43634" s="3">
        <v>1</v>
      </c>
    </row>
    <row r="43635" ht="15.75" customHeight="1" spans="1:2">
      <c r="A43635" s="3" t="str">
        <f>IFERROR(__xludf.DUMMYFUNCTION("GOOGLETRANSLATE(A43635,""en"",""pt"")"),"Baratos, grandes fotos quando obras")</f>
        <v>Baratos, grandes fotos quando obras</v>
      </c>
      <c r="B43635" s="3">
        <v>1</v>
      </c>
    </row>
    <row r="43636" ht="15.75" customHeight="1" spans="1:2">
      <c r="A43636" s="3" t="str">
        <f>IFERROR(__xludf.DUMMYFUNCTION("GOOGLETRANSLATE(A43636,""en"",""pt"")"),"Faz um saco de pancadas útil!")</f>
        <v>Faz um saco de pancadas útil!</v>
      </c>
      <c r="B43636" s="3">
        <v>1</v>
      </c>
    </row>
    <row r="43637" ht="15.75" customHeight="1" spans="1:2">
      <c r="A43637" s="3" t="str">
        <f>IFERROR(__xludf.DUMMYFUNCTION("GOOGLETRANSLATE(A43637,""en"",""pt"")"),"Simplesmente lindo fotografias sem margens")</f>
        <v>Simplesmente lindo fotografias sem margens</v>
      </c>
      <c r="B43637" s="3">
        <v>1</v>
      </c>
    </row>
    <row r="43638" ht="15.75" customHeight="1" spans="1:2">
      <c r="A43638" s="3" t="str">
        <f>IFERROR(__xludf.DUMMYFUNCTION("GOOGLETRANSLATE(A43638,""en"",""pt"")"),"Grandes fotos de imagem")</f>
        <v>Grandes fotos de imagem</v>
      </c>
      <c r="B43638" s="3">
        <v>1</v>
      </c>
    </row>
    <row r="43639" ht="15.75" customHeight="1" spans="1:2">
      <c r="A43639" s="3" t="str">
        <f>IFERROR(__xludf.DUMMYFUNCTION("GOOGLETRANSLATE(A43639,""en"",""pt"")"),"Muito nítidas fotografias a cores, texto limpo, unidade muito confiável a um preço baixo")</f>
        <v>Muito nítidas fotografias a cores, texto limpo, unidade muito confiável a um preço baixo</v>
      </c>
      <c r="B43639" s="3">
        <v>1</v>
      </c>
    </row>
    <row r="43640" ht="15.75" customHeight="1" spans="1:2">
      <c r="A43640" s="3" t="str">
        <f>IFERROR(__xludf.DUMMYFUNCTION("GOOGLETRANSLATE(A43640,""en"",""pt"")"),"Barato, 6-Color System")</f>
        <v>Barato, 6-Color System</v>
      </c>
      <c r="B43640" s="3">
        <v>1</v>
      </c>
    </row>
    <row r="43641" ht="15.75" customHeight="1" spans="1:2">
      <c r="A43641" s="3" t="str">
        <f>IFERROR(__xludf.DUMMYFUNCTION("GOOGLETRANSLATE(A43641,""en"",""pt"")"),"Super resolução e cor no papel lustroso. Uma brisa de configurar. Preço!")</f>
        <v>Super resolução e cor no papel lustroso. Uma brisa de configurar. Preço!</v>
      </c>
      <c r="B43641" s="3">
        <v>1</v>
      </c>
    </row>
    <row r="43642" ht="15.75" customHeight="1" spans="1:2">
      <c r="A43642" s="3" t="str">
        <f>IFERROR(__xludf.DUMMYFUNCTION("GOOGLETRANSLATE(A43642,""en"",""pt"")"),"Hardware barato, 6 dias atrás R $ 135 e um desconto de US $ 50")</f>
        <v>Hardware barato, 6 dias atrás R $ 135 e um desconto de US $ 50</v>
      </c>
      <c r="B43642" s="3">
        <v>1</v>
      </c>
    </row>
    <row r="43643" ht="15.75" customHeight="1" spans="1:2">
      <c r="A43643" s="3" t="str">
        <f>IFERROR(__xludf.DUMMYFUNCTION("GOOGLETRANSLATE(A43643,""en"",""pt"")"),"saída de Bonito, quando funciona")</f>
        <v>saída de Bonito, quando funciona</v>
      </c>
      <c r="B43643" s="3">
        <v>1</v>
      </c>
    </row>
    <row r="43644" ht="15.75" customHeight="1" spans="1:2">
      <c r="A43644" s="3" t="str">
        <f>IFERROR(__xludf.DUMMYFUNCTION("GOOGLETRANSLATE(A43644,""en"",""pt"")"),"usa um monte de tinta, bico entope um pouco lento")</f>
        <v>usa um monte de tinta, bico entope um pouco lento</v>
      </c>
      <c r="B43644" s="3">
        <v>1</v>
      </c>
    </row>
    <row r="43645" ht="15.75" customHeight="1" spans="1:2">
      <c r="A43645" s="3" t="str">
        <f>IFERROR(__xludf.DUMMYFUNCTION("GOOGLETRANSLATE(A43645,""en"",""pt"")"),"impressões excelentes sobre Epson O papel brilhante")</f>
        <v>impressões excelentes sobre Epson O papel brilhante</v>
      </c>
      <c r="B43645" s="3">
        <v>1</v>
      </c>
    </row>
    <row r="43646" ht="15.75" customHeight="1" spans="1:2">
      <c r="A43646" s="3" t="str">
        <f>IFERROR(__xludf.DUMMYFUNCTION("GOOGLETRANSLATE(A43646,""en"",""pt"")"),"Barato!")</f>
        <v>Barato!</v>
      </c>
      <c r="B43646" s="3">
        <v>1</v>
      </c>
    </row>
    <row r="43647" ht="15.75" customHeight="1" spans="1:2">
      <c r="A43647" s="3" t="str">
        <f>IFERROR(__xludf.DUMMYFUNCTION("GOOGLETRANSLATE(A43647,""en"",""pt"")"),"Excelente impressão de fotos")</f>
        <v>Excelente impressão de fotos</v>
      </c>
      <c r="B43647" s="3">
        <v>1</v>
      </c>
    </row>
    <row r="43648" ht="15.75" customHeight="1" spans="1:2">
      <c r="A43648" s="3" t="str">
        <f>IFERROR(__xludf.DUMMYFUNCTION("GOOGLETRANSLATE(A43648,""en"",""pt"")"),", Excelente foto-cor, resolução aceitável, excelente software barato")</f>
        <v>, Excelente foto-cor, resolução aceitável, excelente software barato</v>
      </c>
      <c r="B43648" s="3">
        <v>1</v>
      </c>
    </row>
    <row r="43649" ht="15.75" customHeight="1" spans="1:2">
      <c r="A43649" s="3" t="str">
        <f>IFERROR(__xludf.DUMMYFUNCTION("GOOGLETRANSLATE(A43649,""en"",""pt"")"),"NAO MUITOS! Quando se trabalha é OK")</f>
        <v>NAO MUITOS! Quando se trabalha é OK</v>
      </c>
      <c r="B43649" s="3">
        <v>1</v>
      </c>
    </row>
    <row r="43650" ht="15.75" customHeight="1" spans="1:2">
      <c r="A43650" s="3" t="str">
        <f>IFERROR(__xludf.DUMMYFUNCTION("GOOGLETRANSLATE(A43650,""en"",""pt"")"),"belas impressões, baixo custo inicial")</f>
        <v>belas impressões, baixo custo inicial</v>
      </c>
      <c r="B43650" s="3">
        <v>1</v>
      </c>
    </row>
    <row r="43651" ht="15.75" customHeight="1" spans="1:2">
      <c r="A43651" s="3" t="str">
        <f>IFERROR(__xludf.DUMMYFUNCTION("GOOGLETRANSLATE(A43651,""en"",""pt"")"),"Grande saída foto, tranquilo, tinta de baixo custo.")</f>
        <v>Grande saída foto, tranquilo, tinta de baixo custo.</v>
      </c>
      <c r="B43651" s="3">
        <v>1</v>
      </c>
    </row>
    <row r="43652" ht="15.75" customHeight="1" spans="1:2">
      <c r="A43652" s="3" t="str">
        <f>IFERROR(__xludf.DUMMYFUNCTION("GOOGLETRANSLATE(A43652,""en"",""pt"")"),"Grande foto qualidade de impressão - &amp; amp; # 13; &amp; amp; # 10; decentes gráficos coloridos")</f>
        <v>Grande foto qualidade de impressão - &amp; amp; # 13; &amp; amp; # 10; decentes gráficos coloridos</v>
      </c>
      <c r="B43652" s="3">
        <v>1</v>
      </c>
    </row>
    <row r="43653" ht="15.75" customHeight="1" spans="1:2">
      <c r="A43653" s="3" t="str">
        <f>IFERROR(__xludf.DUMMYFUNCTION("GOOGLETRANSLATE(A43653,""en"",""pt"")"),"-True qualidade fotográfica, cartuchos -Ink não são muito caras")</f>
        <v>-True qualidade fotográfica, cartuchos -Ink não são muito caras</v>
      </c>
      <c r="B43653" s="3">
        <v>1</v>
      </c>
    </row>
    <row r="43654" ht="15.75" customHeight="1" spans="1:2">
      <c r="A43654" s="3" t="str">
        <f>IFERROR(__xludf.DUMMYFUNCTION("GOOGLETRANSLATE(A43654,""en"",""pt"")"),"Excelente qualidade de impressão, monitor de tinta, Quieto, caixas, preço")</f>
        <v>Excelente qualidade de impressão, monitor de tinta, Quieto, caixas, preço</v>
      </c>
      <c r="B43654" s="3">
        <v>1</v>
      </c>
    </row>
    <row r="43655" ht="15.75" customHeight="1" spans="1:2">
      <c r="A43655" s="3" t="str">
        <f>IFERROR(__xludf.DUMMYFUNCTION("GOOGLETRANSLATE(A43655,""en"",""pt"")"),"saída lindo, tranquilo, capacidade de papel em rolo, suporte técnico, fade-resistir")</f>
        <v>saída lindo, tranquilo, capacidade de papel em rolo, suporte técnico, fade-resistir</v>
      </c>
      <c r="B43655" s="3">
        <v>1</v>
      </c>
    </row>
    <row r="43656" ht="15.75" customHeight="1" spans="1:2">
      <c r="A43656" s="3" t="str">
        <f>IFERROR(__xludf.DUMMYFUNCTION("GOOGLETRANSLATE(A43656,""en"",""pt"")"),"qualidade da foto")</f>
        <v>qualidade da foto</v>
      </c>
      <c r="B43656" s="3">
        <v>1</v>
      </c>
    </row>
    <row r="43657" ht="15.75" customHeight="1" spans="1:2">
      <c r="A43657" s="3" t="str">
        <f>IFERROR(__xludf.DUMMYFUNCTION("GOOGLETRANSLATE(A43657,""en"",""pt"")"),"custo mais baixo do que os concorrentes, alimentador de rolo de papel incluído")</f>
        <v>custo mais baixo do que os concorrentes, alimentador de rolo de papel incluído</v>
      </c>
      <c r="B43657" s="3">
        <v>1</v>
      </c>
    </row>
    <row r="43658" ht="15.75" customHeight="1" spans="1:2">
      <c r="A43658" s="3" t="str">
        <f>IFERROR(__xludf.DUMMYFUNCTION("GOOGLETRANSLATE(A43658,""en"",""pt"")"),"apego rolo para impressão de fotos, fácil de instalar e usar")</f>
        <v>apego rolo para impressão de fotos, fácil de instalar e usar</v>
      </c>
      <c r="B43658" s="3">
        <v>1</v>
      </c>
    </row>
    <row r="43659" ht="15.75" customHeight="1" spans="1:2">
      <c r="A43659" s="3" t="str">
        <f>IFERROR(__xludf.DUMMYFUNCTION("GOOGLETRANSLATE(A43659,""en"",""pt"")"),"Incrível qualidade de impressão e design")</f>
        <v>Incrível qualidade de impressão e design</v>
      </c>
      <c r="B43659" s="3">
        <v>1</v>
      </c>
    </row>
    <row r="43660" ht="15.75" customHeight="1" spans="1:2">
      <c r="A43660" s="3" t="str">
        <f>IFERROR(__xludf.DUMMYFUNCTION("GOOGLETRANSLATE(A43660,""en"",""pt"")"),"Foto qualidade de impressão, foto longevidade de impressão, design")</f>
        <v>Foto qualidade de impressão, foto longevidade de impressão, design</v>
      </c>
      <c r="B43660" s="3">
        <v>1</v>
      </c>
    </row>
    <row r="43661" ht="15.75" customHeight="1" spans="1:2">
      <c r="A43661" s="3" t="str">
        <f>IFERROR(__xludf.DUMMYFUNCTION("GOOGLETRANSLATE(A43661,""en"",""pt"")"),"impressões sem concorrência")</f>
        <v>impressões sem concorrência</v>
      </c>
      <c r="B43661" s="3">
        <v>1</v>
      </c>
    </row>
    <row r="43662" ht="15.75" customHeight="1" spans="1:2">
      <c r="A43662" s="3" t="str">
        <f>IFERROR(__xludf.DUMMYFUNCTION("GOOGLETRANSLATE(A43662,""en"",""pt"")"),"Rápido, silencioso, e de grande qualidade")</f>
        <v>Rápido, silencioso, e de grande qualidade</v>
      </c>
      <c r="B43662" s="3">
        <v>1</v>
      </c>
    </row>
    <row r="43663" ht="15.75" customHeight="1" spans="1:2">
      <c r="A43663" s="3" t="str">
        <f>IFERROR(__xludf.DUMMYFUNCTION("GOOGLETRANSLATE(A43663,""en"",""pt"")"),"saída de alta qualidade, sussurro, vida impressão (com papel fosco)")</f>
        <v>saída de alta qualidade, sussurro, vida impressão (com papel fosco)</v>
      </c>
      <c r="B43663" s="3">
        <v>1</v>
      </c>
    </row>
    <row r="43664" ht="15.75" customHeight="1" spans="1:2">
      <c r="A43664" s="3" t="s">
        <v>215</v>
      </c>
      <c r="B43664" s="3">
        <v>1</v>
      </c>
    </row>
    <row r="43665" ht="15.75" customHeight="1" spans="1:2">
      <c r="A43665" s="3" t="str">
        <f>IFERROR(__xludf.DUMMYFUNCTION("GOOGLETRANSLATE(A43665,""en"",""pt"")"),"Qualidade de impressão é grande / Bens instruções fáceis de seguir!")</f>
        <v>Qualidade de impressão é grande / Bens instruções fáceis de seguir!</v>
      </c>
      <c r="B43665" s="3">
        <v>1</v>
      </c>
    </row>
    <row r="43666" ht="15.75" customHeight="1" spans="1:2">
      <c r="A43666" s="3" t="str">
        <f>IFERROR(__xludf.DUMMYFUNCTION("GOOGLETRANSLATE(A43666,""en"",""pt"")"),"Consulte a descrição abaixo")</f>
        <v>Consulte a descrição abaixo</v>
      </c>
      <c r="B43666" s="3">
        <v>1</v>
      </c>
    </row>
    <row r="43667" ht="15.75" customHeight="1" spans="1:2">
      <c r="A43667" s="3" t="str">
        <f>IFERROR(__xludf.DUMMYFUNCTION("GOOGLETRANSLATE(A43667,""en"",""pt"")"),"Impressionante fotos, operação silenciosa")</f>
        <v>Impressionante fotos, operação silenciosa</v>
      </c>
      <c r="B43667" s="3">
        <v>1</v>
      </c>
    </row>
    <row r="43668" ht="15.75" customHeight="1" spans="1:2">
      <c r="A43668" s="3" t="str">
        <f>IFERROR(__xludf.DUMMYFUNCTION("GOOGLETRANSLATE(A43668,""en"",""pt"")"),"saída foto impressionante")</f>
        <v>saída foto impressionante</v>
      </c>
      <c r="B43668" s="3">
        <v>1</v>
      </c>
    </row>
    <row r="43669" ht="15.75" customHeight="1" spans="1:2">
      <c r="A43669" s="3" t="str">
        <f>IFERROR(__xludf.DUMMYFUNCTION("GOOGLETRANSLATE(A43669,""en"",""pt"")"),"Qualidade e tranquilidade")</f>
        <v>Qualidade e tranquilidade</v>
      </c>
      <c r="B43669" s="3">
        <v>1</v>
      </c>
    </row>
    <row r="43670" ht="15.75" customHeight="1" spans="1:2">
      <c r="A43670" s="3" t="str">
        <f>IFERROR(__xludf.DUMMYFUNCTION("GOOGLETRANSLATE(A43670,""en"",""pt"")"),"Incríveis, 8x10s Frameable")</f>
        <v>Incríveis, 8x10s Frameable</v>
      </c>
      <c r="B43670" s="3">
        <v>1</v>
      </c>
    </row>
    <row r="43671" ht="15.75" customHeight="1" spans="1:2">
      <c r="A43671" s="3" t="str">
        <f>IFERROR(__xludf.DUMMYFUNCTION("GOOGLETRANSLATE(A43671,""en"",""pt"")"),"Foto digital realista, impressão sem margens, aceita rolo de papel")</f>
        <v>Foto digital realista, impressão sem margens, aceita rolo de papel</v>
      </c>
      <c r="B43671" s="3">
        <v>1</v>
      </c>
    </row>
    <row r="43672" ht="15.75" customHeight="1" spans="1:2">
      <c r="A43672" s="3" t="str">
        <f>IFERROR(__xludf.DUMMYFUNCTION("GOOGLETRANSLATE(A43672,""en"",""pt"")"),"Ótimo para fotos, fácil de usar")</f>
        <v>Ótimo para fotos, fácil de usar</v>
      </c>
      <c r="B43672" s="3">
        <v>1</v>
      </c>
    </row>
    <row r="43673" ht="15.75" customHeight="1" spans="1:2">
      <c r="A43673" s="3" t="str">
        <f>IFERROR(__xludf.DUMMYFUNCTION("GOOGLETRANSLATE(A43673,""en"",""pt"")"),"Rápido, preciso e de alta qualidade")</f>
        <v>Rápido, preciso e de alta qualidade</v>
      </c>
      <c r="B43673" s="3">
        <v>1</v>
      </c>
    </row>
    <row r="43674" ht="15.75" customHeight="1" spans="1:2">
      <c r="A43674" s="3" t="str">
        <f>IFERROR(__xludf.DUMMYFUNCTION("GOOGLETRANSLATE(A43674,""en"",""pt"")"),"capacidade de impressão agradável, quase todos os atolamentos de papel, fácil de usar / conectar ao seu computador")</f>
        <v>capacidade de impressão agradável, quase todos os atolamentos de papel, fácil de usar / conectar ao seu computador</v>
      </c>
      <c r="B43674" s="3">
        <v>1</v>
      </c>
    </row>
    <row r="43675" ht="15.75" customHeight="1" spans="1:2">
      <c r="A43675" s="3" t="str">
        <f>IFERROR(__xludf.DUMMYFUNCTION("GOOGLETRANSLATE(A43675,""en"",""pt"")"),"Digital Photo Lab, aqui vou eu! impressões com qualidade de laboratório, cor grande, monitor de nível de tinta no software")</f>
        <v>Digital Photo Lab, aqui vou eu! impressões com qualidade de laboratório, cor grande, monitor de nível de tinta no software</v>
      </c>
      <c r="B43675" s="3">
        <v>1</v>
      </c>
    </row>
    <row r="43676" ht="15.75" customHeight="1" spans="1:2">
      <c r="A43676" s="3" t="str">
        <f>IFERROR(__xludf.DUMMYFUNCTION("GOOGLETRANSLATE(A43676,""en"",""pt"")"),"Silencioso, razoavelmente rápido, saída suave, preço excelente")</f>
        <v>Silencioso, razoavelmente rápido, saída suave, preço excelente</v>
      </c>
      <c r="B43676" s="3">
        <v>1</v>
      </c>
    </row>
    <row r="43677" ht="15.75" customHeight="1" spans="1:2">
      <c r="A43677" s="3" t="str">
        <f>IFERROR(__xludf.DUMMYFUNCTION("GOOGLETRANSLATE(A43677,""en"",""pt"")"),"A qualidade de impressão, funcionamento silencioso, baixo preço")</f>
        <v>A qualidade de impressão, funcionamento silencioso, baixo preço</v>
      </c>
      <c r="B43677" s="3">
        <v>1</v>
      </c>
    </row>
    <row r="43678" ht="15.75" customHeight="1" spans="1:2">
      <c r="A43678" s="3" t="str">
        <f>IFERROR(__xludf.DUMMYFUNCTION("GOOGLETRANSLATE(A43678,""en"",""pt"")"),"Ótimas fotos. Rápido, impressora tranquila. Fácil configuração.")</f>
        <v>Ótimas fotos. Rápido, impressora tranquila. Fácil configuração.</v>
      </c>
      <c r="B43678" s="3">
        <v>1</v>
      </c>
    </row>
    <row r="43679" ht="15.75" customHeight="1" spans="1:2">
      <c r="A43679" s="3" t="str">
        <f>IFERROR(__xludf.DUMMYFUNCTION("GOOGLETRANSLATE(A43679,""en"",""pt"")"),"Excelente qualidade, silencioso, rápido.")</f>
        <v>Excelente qualidade, silencioso, rápido.</v>
      </c>
      <c r="B43679" s="3">
        <v>1</v>
      </c>
    </row>
    <row r="43680" ht="15.75" customHeight="1" spans="1:2">
      <c r="A43680" s="3" t="str">
        <f>IFERROR(__xludf.DUMMYFUNCTION("GOOGLETRANSLATE(A43680,""en"",""pt"")"),"impressões de qualidade de laboratório. Barato, muito e rápido.")</f>
        <v>impressões de qualidade de laboratório. Barato, muito e rápido.</v>
      </c>
      <c r="B43680" s="3">
        <v>1</v>
      </c>
    </row>
    <row r="43681" ht="15.75" customHeight="1" spans="1:2">
      <c r="A43681" s="3" t="str">
        <f>IFERROR(__xludf.DUMMYFUNCTION("GOOGLETRANSLATE(A43681,""en"",""pt"")"),"Olhando grandes fotos. Relativamente rápido. Não há congestionamentos de papel.")</f>
        <v>Olhando grandes fotos. Relativamente rápido. Não há congestionamentos de papel.</v>
      </c>
      <c r="B43681" s="3">
        <v>1</v>
      </c>
    </row>
    <row r="43682" ht="15.75" customHeight="1" spans="1:2">
      <c r="A43682" s="3" t="str">
        <f>IFERROR(__xludf.DUMMYFUNCTION("GOOGLETRANSLATE(A43682,""en"",""pt"")"),", cartuchos de tinta barata baratas")</f>
        <v>, cartuchos de tinta barata baratas</v>
      </c>
      <c r="B43682" s="3">
        <v>1</v>
      </c>
    </row>
    <row r="43683" ht="15.75" customHeight="1" spans="1:2">
      <c r="A43683" s="3" t="str">
        <f>IFERROR(__xludf.DUMMYFUNCTION("GOOGLETRANSLATE(A43683,""en"",""pt"")"),"reproduções de fotografias")</f>
        <v>reproduções de fotografias</v>
      </c>
      <c r="B43683" s="3">
        <v>1</v>
      </c>
    </row>
    <row r="43684" ht="15.75" customHeight="1" spans="1:2">
      <c r="A43684" s="3" t="str">
        <f>IFERROR(__xludf.DUMMYFUNCTION("GOOGLETRANSLATE(A43684,""en"",""pt"")"),"fotos inacreditáveis ​​em papel brilhante ou fotográfico")</f>
        <v>fotos inacreditáveis ​​em papel brilhante ou fotográfico</v>
      </c>
      <c r="B43684" s="3">
        <v>1</v>
      </c>
    </row>
    <row r="43685" ht="15.75" customHeight="1" spans="1:2">
      <c r="A43685" s="3" t="str">
        <f>IFERROR(__xludf.DUMMYFUNCTION("GOOGLETRANSLATE(A43685,""en"",""pt"")"),"Excelente qualidade de foto, tranquilo, built-in slot para cartão PC")</f>
        <v>Excelente qualidade de foto, tranquilo, built-in slot para cartão PC</v>
      </c>
      <c r="B43685" s="3">
        <v>1</v>
      </c>
    </row>
    <row r="43686" ht="15.75" customHeight="1" spans="1:2">
      <c r="A43686" s="3" t="str">
        <f>IFERROR(__xludf.DUMMYFUNCTION("GOOGLETRANSLATE(A43686,""en"",""pt"")"),"Incrível qualidade fotográfica, operação silenciosa, leitor de cartão de memória integrado")</f>
        <v>Incrível qualidade fotográfica, operação silenciosa, leitor de cartão de memória integrado</v>
      </c>
      <c r="B43686" s="3">
        <v>1</v>
      </c>
    </row>
    <row r="43687" ht="15.75" customHeight="1" spans="1:2">
      <c r="A43687" s="3" t="str">
        <f>IFERROR(__xludf.DUMMYFUNCTION("GOOGLETRANSLATE(A43687,""en"",""pt"")"),"N / D")</f>
        <v>N / D</v>
      </c>
      <c r="B43687" s="3">
        <v>1</v>
      </c>
    </row>
    <row r="43688" ht="15.75" customHeight="1" spans="1:2">
      <c r="A43688" s="3" t="str">
        <f>IFERROR(__xludf.DUMMYFUNCTION("GOOGLETRANSLATE(A43688,""en"",""pt"")"),"Rápido e excelente para a impressão de fotos")</f>
        <v>Rápido e excelente para a impressão de fotos</v>
      </c>
      <c r="B43688" s="3">
        <v>1</v>
      </c>
    </row>
    <row r="43689" ht="15.75" customHeight="1" spans="1:2">
      <c r="A43689" s="3" t="str">
        <f>IFERROR(__xludf.DUMMYFUNCTION("GOOGLETRANSLATE(A43689,""en"",""pt"")"),"preço com desconto. fantástica qualidade de impressão, silencioso, rápido, EXCELENTE")</f>
        <v>preço com desconto. fantástica qualidade de impressão, silencioso, rápido, EXCELENTE</v>
      </c>
      <c r="B43689" s="3">
        <v>1</v>
      </c>
    </row>
    <row r="43690" ht="15.75" customHeight="1" spans="1:2">
      <c r="A43690" s="3" t="str">
        <f>IFERROR(__xludf.DUMMYFUNCTION("GOOGLETRANSLATE(A43690,""en"",""pt"")"),"Melhor qualidade fotográfica em uma impressora que já vimos!")</f>
        <v>Melhor qualidade fotográfica em uma impressora que já vimos!</v>
      </c>
      <c r="B43690" s="3">
        <v>1</v>
      </c>
    </row>
    <row r="43691" ht="15.75" customHeight="1" spans="1:2">
      <c r="A43691" s="3" t="str">
        <f>IFERROR(__xludf.DUMMYFUNCTION("GOOGLETRANSLATE(A43691,""en"",""pt"")"),"Ótimas fotos! Tranquila e bastante rápido. Muito mais barato do que enviar para o desenvolvimento!")</f>
        <v>Ótimas fotos! Tranquila e bastante rápido. Muito mais barato do que enviar para o desenvolvimento!</v>
      </c>
      <c r="B43691" s="3">
        <v>1</v>
      </c>
    </row>
    <row r="43692" ht="15.75" customHeight="1" spans="1:2">
      <c r="A43692" s="3" t="str">
        <f>IFERROR(__xludf.DUMMYFUNCTION("GOOGLETRANSLATE(A43692,""en"",""pt"")"),"Esta impressora, a partir de um fotógrafo ávido, é uma peça incrível de tecnologia.")</f>
        <v>Esta impressora, a partir de um fotógrafo ávido, é uma peça incrível de tecnologia.</v>
      </c>
      <c r="B43692" s="3">
        <v>1</v>
      </c>
    </row>
    <row r="43693" ht="15.75" customHeight="1" spans="1:2">
      <c r="A43693" s="3" t="str">
        <f>IFERROR(__xludf.DUMMYFUNCTION("GOOGLETRANSLATE(A43693,""en"",""pt"")"),"pequeno e leve, fácil de usar")</f>
        <v>pequeno e leve, fácil de usar</v>
      </c>
      <c r="B43693" s="3">
        <v>1</v>
      </c>
    </row>
    <row r="43694" ht="15.75" customHeight="1" spans="1:2">
      <c r="A43694" s="3" t="str">
        <f>IFERROR(__xludf.DUMMYFUNCTION("GOOGLETRANSLATE(A43694,""en"",""pt"")"),"fácil de usar")</f>
        <v>fácil de usar</v>
      </c>
      <c r="B43694" s="3">
        <v>1</v>
      </c>
    </row>
    <row r="43695" ht="15.75" customHeight="1" spans="1:2">
      <c r="A43695" s="3" t="str">
        <f>IFERROR(__xludf.DUMMYFUNCTION("GOOGLETRANSLATE(A43695,""en"",""pt"")"),"Facilidade de uso, custo")</f>
        <v>Facilidade de uso, custo</v>
      </c>
      <c r="B43695" s="3">
        <v>1</v>
      </c>
    </row>
    <row r="43696" ht="15.75" customHeight="1" spans="1:2">
      <c r="A43696" s="3" t="str">
        <f>IFERROR(__xludf.DUMMYFUNCTION("GOOGLETRANSLATE(A43696,""en"",""pt"")"),"Confiável, de alta qualidade, efeitos especiais")</f>
        <v>Confiável, de alta qualidade, efeitos especiais</v>
      </c>
      <c r="B43696" s="3">
        <v>1</v>
      </c>
    </row>
    <row r="43697" ht="15.75" customHeight="1" spans="1:2">
      <c r="A43697" s="3" t="str">
        <f>IFERROR(__xludf.DUMMYFUNCTION("GOOGLETRANSLATE(A43697,""en"",""pt"")"),"Tudo acima")</f>
        <v>Tudo acima</v>
      </c>
      <c r="B43697" s="3">
        <v>1</v>
      </c>
    </row>
    <row r="43698" ht="15.75" customHeight="1" spans="1:2">
      <c r="A43698" s="3" t="str">
        <f>IFERROR(__xludf.DUMMYFUNCTION("GOOGLETRANSLATE(A43698,""en"",""pt"")"),"funciona muito bem, como qualquer câmera digital")</f>
        <v>funciona muito bem, como qualquer câmera digital</v>
      </c>
      <c r="B43698" s="3">
        <v>1</v>
      </c>
    </row>
    <row r="43699" ht="15.75" customHeight="1" spans="1:2">
      <c r="A43699" s="3" t="str">
        <f>IFERROR(__xludf.DUMMYFUNCTION("GOOGLETRANSLATE(A43699,""en"",""pt"")"),"tamanho compacto / peso")</f>
        <v>tamanho compacto / peso</v>
      </c>
      <c r="B43699" s="3">
        <v>1</v>
      </c>
    </row>
    <row r="43700" ht="15.75" customHeight="1" spans="1:2">
      <c r="A43700" s="3" t="str">
        <f>IFERROR(__xludf.DUMMYFUNCTION("GOOGLETRANSLATE(A43700,""en"",""pt"")"),"Compacto, leve, fácil de usar, bom para uso com crianças pequenas, Nenhum filme desperdiçado, pré-visualizar fotos e os de exclusão você não gosta")</f>
        <v>Compacto, leve, fácil de usar, bom para uso com crianças pequenas, Nenhum filme desperdiçado, pré-visualizar fotos e os de exclusão você não gosta</v>
      </c>
      <c r="B43700" s="3">
        <v>1</v>
      </c>
    </row>
    <row r="43701" ht="15.75" customHeight="1" spans="1:2">
      <c r="A43701" s="3" t="str">
        <f>IFERROR(__xludf.DUMMYFUNCTION("GOOGLETRANSLATE(A43701,""en"",""pt"")"),"tamanho e qualidade")</f>
        <v>tamanho e qualidade</v>
      </c>
      <c r="B43701" s="3">
        <v>1</v>
      </c>
    </row>
    <row r="43702" ht="15.75" customHeight="1" spans="1:2">
      <c r="A43702" s="3" t="str">
        <f>IFERROR(__xludf.DUMMYFUNCTION("GOOGLETRANSLATE(A43702,""en"",""pt"")"),"Leve, ótimas fotos")</f>
        <v>Leve, ótimas fotos</v>
      </c>
      <c r="B43702" s="3">
        <v>1</v>
      </c>
    </row>
    <row r="43703" ht="15.75" customHeight="1" spans="1:2">
      <c r="A43703" s="3" t="str">
        <f>IFERROR(__xludf.DUMMYFUNCTION("GOOGLETRANSLATE(A43703,""en"",""pt"")"),"ótima câmera")</f>
        <v>ótima câmera</v>
      </c>
      <c r="B43703" s="3">
        <v>1</v>
      </c>
    </row>
    <row r="43704" ht="15.75" customHeight="1" spans="1:2">
      <c r="A43704" s="3" t="str">
        <f>IFERROR(__xludf.DUMMYFUNCTION("GOOGLETRANSLATE(A43704,""en"",""pt"")"),"Fácil de usar; interface de computador; imagens de qualidade; preços razoáveis.")</f>
        <v>Fácil de usar; interface de computador; imagens de qualidade; preços razoáveis.</v>
      </c>
      <c r="B43704" s="3">
        <v>1</v>
      </c>
    </row>
    <row r="43705" ht="15.75" customHeight="1" spans="1:2">
      <c r="A43705" s="3" t="str">
        <f>IFERROR(__xludf.DUMMYFUNCTION("GOOGLETRANSLATE(A43705,""en"",""pt"")"),"Pobre ajuda solução de problemas.")</f>
        <v>Pobre ajuda solução de problemas.</v>
      </c>
      <c r="B43705" s="3">
        <v>1</v>
      </c>
    </row>
    <row r="43706" ht="15.75" customHeight="1" spans="1:2">
      <c r="A43706" s="3" t="str">
        <f>IFERROR(__xludf.DUMMYFUNCTION("GOOGLETRANSLATE(A43706,""en"",""pt"")"),"Facilidade de uso, tamanho, aparência, preço")</f>
        <v>Facilidade de uso, tamanho, aparência, preço</v>
      </c>
      <c r="B43706" s="3">
        <v>1</v>
      </c>
    </row>
    <row r="43707" ht="15.75" customHeight="1" spans="1:2">
      <c r="A43707" s="3" t="str">
        <f>IFERROR(__xludf.DUMMYFUNCTION("GOOGLETRANSLATE(A43707,""en"",""pt"")"),"boa câmera para não um monte de $$")</f>
        <v>boa câmera para não um monte de $$</v>
      </c>
      <c r="B43707" s="3">
        <v>1</v>
      </c>
    </row>
    <row r="43708" ht="15.75" customHeight="1" spans="1:2">
      <c r="A43708" s="3" t="str">
        <f>IFERROR(__xludf.DUMMYFUNCTION("GOOGLETRANSLATE(A43708,""en"",""pt"")"),"Boa variedade de recursos, grande capacidade de imagem, ecrã LCD, adaptador AC")</f>
        <v>Boa variedade de recursos, grande capacidade de imagem, ecrã LCD, adaptador AC</v>
      </c>
      <c r="B43708" s="3">
        <v>1</v>
      </c>
    </row>
    <row r="43709" ht="15.75" customHeight="1" spans="1:2">
      <c r="A43709" s="3" t="str">
        <f>IFERROR(__xludf.DUMMYFUNCTION("GOOGLETRANSLATE(A43709,""en"",""pt"")"),"bela foto")</f>
        <v>bela foto</v>
      </c>
      <c r="B43709" s="3">
        <v>1</v>
      </c>
    </row>
    <row r="43710" ht="15.75" customHeight="1" spans="1:2">
      <c r="A43710" s="3" t="str">
        <f>IFERROR(__xludf.DUMMYFUNCTION("GOOGLETRANSLATE(A43710,""en"",""pt"")"),"Barato e LCD Viewfinder")</f>
        <v>Barato e LCD Viewfinder</v>
      </c>
      <c r="B43710" s="3">
        <v>1</v>
      </c>
    </row>
    <row r="43711" ht="15.75" customHeight="1" spans="1:2">
      <c r="A43711" s="3" t="str">
        <f>IFERROR(__xludf.DUMMYFUNCTION("GOOGLETRANSLATE(A43711,""en"",""pt"")"),"resolução afiada")</f>
        <v>resolução afiada</v>
      </c>
      <c r="B43711" s="3">
        <v>1</v>
      </c>
    </row>
    <row r="43712" ht="15.75" customHeight="1" spans="1:2">
      <c r="A43712" s="3" t="str">
        <f>IFERROR(__xludf.DUMMYFUNCTION("GOOGLETRANSLATE(A43712,""en"",""pt"")"),"As imagens nítidas, fácil de usar")</f>
        <v>As imagens nítidas, fácil de usar</v>
      </c>
      <c r="B43712" s="3">
        <v>1</v>
      </c>
    </row>
    <row r="43713" ht="15.75" customHeight="1" spans="1:2">
      <c r="A43713" s="3" t="str">
        <f>IFERROR(__xludf.DUMMYFUNCTION("GOOGLETRANSLATE(A43713,""en"",""pt"")"),"rico em recursos")</f>
        <v>rico em recursos</v>
      </c>
      <c r="B43713" s="3">
        <v>1</v>
      </c>
    </row>
    <row r="43714" ht="15.75" customHeight="1" spans="1:2">
      <c r="A43714" s="3" t="str">
        <f>IFERROR(__xludf.DUMMYFUNCTION("GOOGLETRANSLATE(A43714,""en"",""pt"")"),"Muitas opções")</f>
        <v>Muitas opções</v>
      </c>
      <c r="B43714" s="3">
        <v>1</v>
      </c>
    </row>
    <row r="43715" ht="15.75" customHeight="1" spans="1:2">
      <c r="A43715" s="3" t="str">
        <f>IFERROR(__xludf.DUMMYFUNCTION("GOOGLETRANSLATE(A43715,""en"",""pt"")"),"fácil de aprender, divertido de usar, boa qualidade para o preço")</f>
        <v>fácil de aprender, divertido de usar, boa qualidade para o preço</v>
      </c>
      <c r="B43715" s="3">
        <v>1</v>
      </c>
    </row>
    <row r="43716" ht="15.75" customHeight="1" spans="1:2">
      <c r="A43716" s="3" t="str">
        <f>IFERROR(__xludf.DUMMYFUNCTION("GOOGLETRANSLATE(A43716,""en"",""pt"")"),"Bom preço, excelente qualidade de foto, um excelente valor")</f>
        <v>Bom preço, excelente qualidade de foto, um excelente valor</v>
      </c>
      <c r="B43716" s="3">
        <v>1</v>
      </c>
    </row>
    <row r="43717" ht="15.75" customHeight="1" spans="1:2">
      <c r="A43717" s="3" t="str">
        <f>IFERROR(__xludf.DUMMYFUNCTION("GOOGLETRANSLATE(A43717,""en"",""pt"")"),"ótimo preço")</f>
        <v>ótimo preço</v>
      </c>
      <c r="B43717" s="3">
        <v>1</v>
      </c>
    </row>
    <row r="43718" ht="15.75" customHeight="1" spans="1:2">
      <c r="A43718" s="3" t="str">
        <f>IFERROR(__xludf.DUMMYFUNCTION("GOOGLETRANSLATE(A43718,""en"",""pt"")"),"Fácil de usar, de baixo peso, tamanho pequeno")</f>
        <v>Fácil de usar, de baixo peso, tamanho pequeno</v>
      </c>
      <c r="B43718" s="3">
        <v>1</v>
      </c>
    </row>
    <row r="43719" ht="15.75" customHeight="1" spans="1:2">
      <c r="A43719" s="3" t="str">
        <f>IFERROR(__xludf.DUMMYFUNCTION("GOOGLETRANSLATE(A43719,""en"",""pt"")"),"Pequeno, leve e fácil de usar")</f>
        <v>Pequeno, leve e fácil de usar</v>
      </c>
      <c r="B43719" s="3">
        <v>1</v>
      </c>
    </row>
    <row r="43720" ht="15.75" customHeight="1" spans="1:2">
      <c r="A43720" s="3" t="str">
        <f>IFERROR(__xludf.DUMMYFUNCTION("GOOGLETRANSLATE(A43720,""en"",""pt"")"),"Pequeno, fácil de usar, confiável.")</f>
        <v>Pequeno, fácil de usar, confiável.</v>
      </c>
      <c r="B43720" s="3">
        <v>1</v>
      </c>
    </row>
    <row r="43721" ht="15.75" customHeight="1" spans="1:2">
      <c r="A43721" s="3" t="str">
        <f>IFERROR(__xludf.DUMMYFUNCTION("GOOGLETRANSLATE(A43721,""en"",""pt"")"),"Barato, imagens adequadas para uso casual, robusto, relativamente fácil de usar, bom manual")</f>
        <v>Barato, imagens adequadas para uso casual, robusto, relativamente fácil de usar, bom manual</v>
      </c>
      <c r="B43721" s="3">
        <v>1</v>
      </c>
    </row>
    <row r="43722" ht="15.75" customHeight="1" spans="1:2">
      <c r="A43722" s="3" t="str">
        <f>IFERROR(__xludf.DUMMYFUNCTION("GOOGLETRANSLATE(A43722,""en"",""pt"")"),"Fácil de usar, econômico com bateria de energia.")</f>
        <v>Fácil de usar, econômico com bateria de energia.</v>
      </c>
      <c r="B43722" s="3">
        <v>1</v>
      </c>
    </row>
    <row r="43723" ht="15.75" customHeight="1" spans="1:2">
      <c r="A43723" s="3" t="str">
        <f>IFERROR(__xludf.DUMMYFUNCTION("GOOGLETRANSLATE(A43723,""en"",""pt"")"),"O tamanho pequeno, imagens de muito boa qualidade, facilidade de uso")</f>
        <v>O tamanho pequeno, imagens de muito boa qualidade, facilidade de uso</v>
      </c>
      <c r="B43723" s="3">
        <v>1</v>
      </c>
    </row>
    <row r="43724" ht="15.75" customHeight="1" spans="1:2">
      <c r="A43724" s="3" t="str">
        <f>IFERROR(__xludf.DUMMYFUNCTION("GOOGLETRANSLATE(A43724,""en"",""pt"")"),"Perfeito para um iniciante")</f>
        <v>Perfeito para um iniciante</v>
      </c>
      <c r="B43724" s="3">
        <v>1</v>
      </c>
    </row>
    <row r="43725" ht="15.75" customHeight="1" spans="1:2">
      <c r="A43725" s="3" t="str">
        <f>IFERROR(__xludf.DUMMYFUNCTION("GOOGLETRANSLATE(A43725,""en"",""pt"")"),"compacto, fácil orientações, tudo grande em torno")</f>
        <v>compacto, fácil orientações, tudo grande em torno</v>
      </c>
      <c r="B43725" s="3">
        <v>1</v>
      </c>
    </row>
    <row r="43726" ht="15.75" customHeight="1" spans="1:2">
      <c r="A43726" s="3" t="str">
        <f>IFERROR(__xludf.DUMMYFUNCTION("GOOGLETRANSLATE(A43726,""en"",""pt"")"),"Barato, leve e fácil de usar")</f>
        <v>Barato, leve e fácil de usar</v>
      </c>
      <c r="B43726" s="3">
        <v>1</v>
      </c>
    </row>
    <row r="43727" ht="15.75" customHeight="1" spans="1:2">
      <c r="A43727" s="3" t="str">
        <f>IFERROR(__xludf.DUMMYFUNCTION("GOOGLETRANSLATE(A43727,""en"",""pt"")"),"Bem que ele faz tirar fotos decentes")</f>
        <v>Bem que ele faz tirar fotos decentes</v>
      </c>
      <c r="B43727" s="3">
        <v>1</v>
      </c>
    </row>
    <row r="43728" ht="15.75" customHeight="1" spans="1:2">
      <c r="A43728" s="3" t="str">
        <f>IFERROR(__xludf.DUMMYFUNCTION("GOOGLETRANSLATE(A43728,""en"",""pt"")"),"Fácil de usar, de boa qualidade, de baixo custo")</f>
        <v>Fácil de usar, de boa qualidade, de baixo custo</v>
      </c>
      <c r="B43728" s="3">
        <v>1</v>
      </c>
    </row>
    <row r="43729" ht="15.75" customHeight="1" spans="1:2">
      <c r="A43729" s="3" t="str">
        <f>IFERROR(__xludf.DUMMYFUNCTION("GOOGLETRANSLATE(A43729,""en"",""pt"")"),"Imagens claras, ótimo para o dinheiro")</f>
        <v>Imagens claras, ótimo para o dinheiro</v>
      </c>
      <c r="B43729" s="3">
        <v>1</v>
      </c>
    </row>
    <row r="43730" ht="15.75" customHeight="1" spans="1:2">
      <c r="A43730" s="3" t="str">
        <f>IFERROR(__xludf.DUMMYFUNCTION("GOOGLETRANSLATE(A43730,""en"",""pt"")"),"Compacto, leve e fácil de usar")</f>
        <v>Compacto, leve e fácil de usar</v>
      </c>
      <c r="B43730" s="3">
        <v>1</v>
      </c>
    </row>
    <row r="43731" ht="15.75" customHeight="1" spans="1:2">
      <c r="A43731" s="3" t="str">
        <f>IFERROR(__xludf.DUMMYFUNCTION("GOOGLETRANSLATE(A43731,""en"",""pt"")"),"Ótimo preço, fácil de usar")</f>
        <v>Ótimo preço, fácil de usar</v>
      </c>
      <c r="B43731" s="3">
        <v>1</v>
      </c>
    </row>
    <row r="43732" ht="15.75" customHeight="1" spans="1:2">
      <c r="A43732" s="3" t="str">
        <f>IFERROR(__xludf.DUMMYFUNCTION("GOOGLETRANSLATE(A43732,""en"",""pt"")"),"Fácil de operar.")</f>
        <v>Fácil de operar.</v>
      </c>
      <c r="B43732" s="3">
        <v>1</v>
      </c>
    </row>
    <row r="43733" ht="15.75" customHeight="1" spans="1:2">
      <c r="A43733" s="3" t="str">
        <f>IFERROR(__xludf.DUMMYFUNCTION("GOOGLETRANSLATE(A43733,""en"",""pt"")"),"Amo o preço I got a! - LIVRE! :) &amp; Amp; # 13; &amp; amp; # 10; Handy como Parreira para instantâneos.")</f>
        <v>Amo o preço I got a! - LIVRE! :) &amp; Amp; # 13; &amp; amp; # 10; Handy como Parreira para instantâneos.</v>
      </c>
      <c r="B43733" s="3">
        <v>1</v>
      </c>
    </row>
    <row r="43734" ht="15.75" customHeight="1" spans="1:2">
      <c r="A43734" s="3" t="str">
        <f>IFERROR(__xludf.DUMMYFUNCTION("GOOGLETRANSLATE(A43734,""en"",""pt"")"),"Orçamento cam digi com boa qualidade para a sua resolução")</f>
        <v>Orçamento cam digi com boa qualidade para a sua resolução</v>
      </c>
      <c r="B43734" s="3">
        <v>1</v>
      </c>
    </row>
    <row r="43735" ht="15.75" customHeight="1" spans="1:2">
      <c r="A43735" s="3" t="str">
        <f>IFERROR(__xludf.DUMMYFUNCTION("GOOGLETRANSLATE(A43735,""en"",""pt"")"),", Fácil de operar, upload digitais rápida barato, pequeno e fácil de manusear")</f>
        <v>, Fácil de operar, upload digitais rápida barato, pequeno e fácil de manusear</v>
      </c>
      <c r="B43735" s="3">
        <v>1</v>
      </c>
    </row>
    <row r="43736" ht="15.75" customHeight="1" spans="1:2">
      <c r="A43736" s="3" t="str">
        <f>IFERROR(__xludf.DUMMYFUNCTION("GOOGLETRANSLATE(A43736,""en"",""pt"")"),"Fácil de usar, o produto de boa qualidade, compacto")</f>
        <v>Fácil de usar, o produto de boa qualidade, compacto</v>
      </c>
      <c r="B43736" s="3">
        <v>1</v>
      </c>
    </row>
    <row r="43737" ht="15.75" customHeight="1" spans="1:2">
      <c r="A43737" s="3" t="str">
        <f>IFERROR(__xludf.DUMMYFUNCTION("GOOGLETRANSLATE(A43737,""en"",""pt"")"),", downloads rápidos de baixo custo, grandes tiros macro.")</f>
        <v>, downloads rápidos de baixo custo, grandes tiros macro.</v>
      </c>
      <c r="B43737" s="3">
        <v>1</v>
      </c>
    </row>
    <row r="43738" ht="15.75" customHeight="1" spans="1:2">
      <c r="A43738" s="3" t="str">
        <f>IFERROR(__xludf.DUMMYFUNCTION("GOOGLETRANSLATE(A43738,""en"",""pt"")"),"Excelente qualidade de imagem. operação extremamente simples. Flash bom. arquivos de imagem JPEG. Mac &amp; amp; PC amigável.")</f>
        <v>Excelente qualidade de imagem. operação extremamente simples. Flash bom. arquivos de imagem JPEG. Mac &amp; amp; PC amigável.</v>
      </c>
      <c r="B43738" s="3">
        <v>1</v>
      </c>
    </row>
    <row r="43739" ht="15.75" customHeight="1" spans="1:2">
      <c r="A43739" s="3" t="str">
        <f>IFERROR(__xludf.DUMMYFUNCTION("GOOGLETRANSLATE(A43739,""en"",""pt"")"),"Bom preço, fácil de usar para iniciantes")</f>
        <v>Bom preço, fácil de usar para iniciantes</v>
      </c>
      <c r="B43739" s="3">
        <v>1</v>
      </c>
    </row>
    <row r="43740" ht="15.75" customHeight="1" spans="1:2">
      <c r="A43740" s="3" t="str">
        <f>IFERROR(__xludf.DUMMYFUNCTION("GOOGLETRANSLATE(A43740,""en"",""pt"")"),"Barato, bom para iniciantes.")</f>
        <v>Barato, bom para iniciantes.</v>
      </c>
      <c r="B43740" s="3">
        <v>1</v>
      </c>
    </row>
    <row r="43741" ht="15.75" customHeight="1" spans="1:2">
      <c r="A43741" s="3" t="str">
        <f>IFERROR(__xludf.DUMMYFUNCTION("GOOGLETRANSLATE(A43741,""en"",""pt"")"),"user friendly, grande qualidade, tamanho compacto")</f>
        <v>user friendly, grande qualidade, tamanho compacto</v>
      </c>
      <c r="B43741" s="3">
        <v>1</v>
      </c>
    </row>
    <row r="43742" ht="15.75" customHeight="1" spans="1:2">
      <c r="A43742" s="3" t="str">
        <f>IFERROR(__xludf.DUMMYFUNCTION("GOOGLETRANSLATE(A43742,""en"",""pt"")"),"A alta qualidade e fácil de operar câmera, por um preço acessível.")</f>
        <v>A alta qualidade e fácil de operar câmera, por um preço acessível.</v>
      </c>
      <c r="B43742" s="3">
        <v>1</v>
      </c>
    </row>
    <row r="43743" ht="15.75" customHeight="1" spans="1:2">
      <c r="A43743" s="3" t="str">
        <f>IFERROR(__xludf.DUMMYFUNCTION("GOOGLETRANSLATE(A43743,""en"",""pt"")"),"4S em tamanho, software, imagem simples e suave")</f>
        <v>4S em tamanho, software, imagem simples e suave</v>
      </c>
      <c r="B43743" s="3">
        <v>1</v>
      </c>
    </row>
    <row r="43744" ht="15.75" customHeight="1" spans="1:2">
      <c r="A43744" s="3" t="str">
        <f>IFERROR(__xludf.DUMMYFUNCTION("GOOGLETRANSLATE(A43744,""en"",""pt"")"),"Bom preço, pequeno, ágil, boas características")</f>
        <v>Bom preço, pequeno, ágil, boas características</v>
      </c>
      <c r="B43744" s="3">
        <v>1</v>
      </c>
    </row>
    <row r="43745" ht="15.75" customHeight="1" spans="1:2">
      <c r="A43745" s="3" t="str">
        <f>IFERROR(__xludf.DUMMYFUNCTION("GOOGLETRANSLATE(A43745,""en"",""pt"")"),"Fácil de usar, câmera digital bom nível de entrada para o preço")</f>
        <v>Fácil de usar, câmera digital bom nível de entrada para o preço</v>
      </c>
      <c r="B43745" s="3">
        <v>1</v>
      </c>
    </row>
    <row r="43746" ht="15.75" customHeight="1" spans="1:2">
      <c r="A43746" s="3" t="str">
        <f>IFERROR(__xludf.DUMMYFUNCTION("GOOGLETRANSLATE(A43746,""en"",""pt"")"),"tempo de atraso pouco entre os disparos, a vida boa da bateria")</f>
        <v>tempo de atraso pouco entre os disparos, a vida boa da bateria</v>
      </c>
      <c r="B43746" s="3">
        <v>1</v>
      </c>
    </row>
    <row r="43747" ht="15.75" customHeight="1" spans="1:2">
      <c r="A43747" s="3" t="str">
        <f>IFERROR(__xludf.DUMMYFUNCTION("GOOGLETRANSLATE(A43747,""en"",""pt"")"),"fácil de instalar seu software, boas fotos com base em meu padrão")</f>
        <v>fácil de instalar seu software, boas fotos com base em meu padrão</v>
      </c>
      <c r="B43747" s="3">
        <v>1</v>
      </c>
    </row>
    <row r="43748" ht="15.75" customHeight="1" spans="1:2">
      <c r="A43748" s="3" t="str">
        <f>IFERROR(__xludf.DUMMYFUNCTION("GOOGLETRANSLATE(A43748,""en"",""pt"")"),"características agradáveis ​​e fáceis de usar")</f>
        <v>características agradáveis ​​e fáceis de usar</v>
      </c>
      <c r="B43748" s="3">
        <v>1</v>
      </c>
    </row>
    <row r="43749" ht="15.75" customHeight="1" spans="1:2">
      <c r="A43749" s="3" t="str">
        <f>IFERROR(__xludf.DUMMYFUNCTION("GOOGLETRANSLATE(A43749,""en"",""pt"")"),"super conveniente")</f>
        <v>super conveniente</v>
      </c>
      <c r="B43749" s="3">
        <v>1</v>
      </c>
    </row>
    <row r="43750" ht="15.75" customHeight="1" spans="1:2">
      <c r="A43750" s="3" t="str">
        <f>IFERROR(__xludf.DUMMYFUNCTION("GOOGLETRANSLATE(A43750,""en"",""pt"")"),"Barato, conexão USB, razoáveis ​​fotos de qualidade")</f>
        <v>Barato, conexão USB, razoáveis ​​fotos de qualidade</v>
      </c>
      <c r="B43750" s="3">
        <v>1</v>
      </c>
    </row>
    <row r="43751" ht="15.75" customHeight="1" spans="1:2">
      <c r="A43751" s="3" t="str">
        <f>IFERROR(__xludf.DUMMYFUNCTION("GOOGLETRANSLATE(A43751,""en"",""pt"")"),"A vida da bateria, boas fotos")</f>
        <v>A vida da bateria, boas fotos</v>
      </c>
      <c r="B43751" s="3">
        <v>1</v>
      </c>
    </row>
    <row r="43752" ht="15.75" customHeight="1" spans="1:2">
      <c r="A43752" s="3" t="str">
        <f>IFERROR(__xludf.DUMMYFUNCTION("GOOGLETRANSLATE(A43752,""en"",""pt"")"),"Bom preço, fácil de usar, muito boa qualidade, software fácil de usar")</f>
        <v>Bom preço, fácil de usar, muito boa qualidade, software fácil de usar</v>
      </c>
      <c r="B43752" s="3">
        <v>1</v>
      </c>
    </row>
    <row r="43753" ht="15.75" customHeight="1" spans="1:2">
      <c r="A43753" s="3" t="str">
        <f>IFERROR(__xludf.DUMMYFUNCTION("GOOGLETRANSLATE(A43753,""en"",""pt"")"),"Barato, pequeno, lotes de características.")</f>
        <v>Barato, pequeno, lotes de características.</v>
      </c>
      <c r="B43753" s="3">
        <v>1</v>
      </c>
    </row>
    <row r="43754" ht="15.75" customHeight="1" spans="1:2">
      <c r="A43754" s="3" t="str">
        <f>IFERROR(__xludf.DUMMYFUNCTION("GOOGLETRANSLATE(A43754,""en"",""pt"")"),"Fácil de usar, divertido")</f>
        <v>Fácil de usar, divertido</v>
      </c>
      <c r="B43754" s="3">
        <v>1</v>
      </c>
    </row>
    <row r="43755" ht="15.75" customHeight="1" spans="1:2">
      <c r="A43755" s="3" t="str">
        <f>IFERROR(__xludf.DUMMYFUNCTION("GOOGLETRANSLATE(A43755,""en"",""pt"")"),"Ótimas fotos")</f>
        <v>Ótimas fotos</v>
      </c>
      <c r="B43755" s="3">
        <v>1</v>
      </c>
    </row>
    <row r="43756" ht="15.75" customHeight="1" spans="1:2">
      <c r="A43756" s="3" t="str">
        <f>IFERROR(__xludf.DUMMYFUNCTION("GOOGLETRANSLATE(A43756,""en"",""pt"")"),"Boa qualidade pelo preço")</f>
        <v>Boa qualidade pelo preço</v>
      </c>
      <c r="B43756" s="3">
        <v>1</v>
      </c>
    </row>
    <row r="43757" ht="15.75" customHeight="1" spans="1:2">
      <c r="A43757" s="3" t="str">
        <f>IFERROR(__xludf.DUMMYFUNCTION("GOOGLETRANSLATE(A43757,""en"",""pt"")"),"Fácil de usar, leve, pré-visualização de imagem")</f>
        <v>Fácil de usar, leve, pré-visualização de imagem</v>
      </c>
      <c r="B43757" s="3">
        <v>1</v>
      </c>
    </row>
    <row r="43758" ht="15.75" customHeight="1" spans="1:2">
      <c r="A43758" s="3" t="str">
        <f>IFERROR(__xludf.DUMMYFUNCTION("GOOGLETRANSLATE(A43758,""en"",""pt"")"),"Características, tamanho pequeno, barato")</f>
        <v>Características, tamanho pequeno, barato</v>
      </c>
      <c r="B43758" s="3">
        <v>1</v>
      </c>
    </row>
    <row r="43759" ht="15.75" customHeight="1" spans="1:2">
      <c r="A43759" s="3" t="str">
        <f>IFERROR(__xludf.DUMMYFUNCTION("GOOGLETRANSLATE(A43759,""en"",""pt"")"),"Pequeno, barato, Monitor LCD")</f>
        <v>Pequeno, barato, Monitor LCD</v>
      </c>
      <c r="B43759" s="3">
        <v>1</v>
      </c>
    </row>
    <row r="43760" ht="15.75" customHeight="1" spans="1:2">
      <c r="A43760" s="3" t="str">
        <f>IFERROR(__xludf.DUMMYFUNCTION("GOOGLETRANSLATE(A43760,""en"",""pt"")"),"Pequeno, cheia de recursos, operação intuitiva")</f>
        <v>Pequeno, cheia de recursos, operação intuitiva</v>
      </c>
      <c r="B43760" s="3">
        <v>1</v>
      </c>
    </row>
    <row r="43761" ht="15.75" customHeight="1" spans="1:2">
      <c r="A43761" s="3" t="str">
        <f>IFERROR(__xludf.DUMMYFUNCTION("GOOGLETRANSLATE(A43761,""en"",""pt"")"),"tamanho, qualidade de pics, acessórios, preço")</f>
        <v>tamanho, qualidade de pics, acessórios, preço</v>
      </c>
      <c r="B43761" s="3">
        <v>1</v>
      </c>
    </row>
    <row r="43762" ht="15.75" customHeight="1" spans="1:2">
      <c r="A43762" s="3" t="str">
        <f>IFERROR(__xludf.DUMMYFUNCTION("GOOGLETRANSLATE(A43762,""en"",""pt"")"),"Baixo preço, boa qualidade")</f>
        <v>Baixo preço, boa qualidade</v>
      </c>
      <c r="B43762" s="3">
        <v>1</v>
      </c>
    </row>
    <row r="43763" ht="15.75" customHeight="1" spans="1:2">
      <c r="A43763" s="3" t="str">
        <f>IFERROR(__xludf.DUMMYFUNCTION("GOOGLETRANSLATE(A43763,""en"",""pt"")"),"Boa qualidade + Ótimo preço, fácil de usar")</f>
        <v>Boa qualidade + Ótimo preço, fácil de usar</v>
      </c>
      <c r="B43763" s="3">
        <v>1</v>
      </c>
    </row>
    <row r="43764" ht="15.75" customHeight="1" spans="1:2">
      <c r="A43764" s="3" t="str">
        <f>IFERROR(__xludf.DUMMYFUNCTION("GOOGLETRANSLATE(A43764,""en"",""pt"")"),"Bom, câmera pouco Compact")</f>
        <v>Bom, câmera pouco Compact</v>
      </c>
      <c r="B43764" s="3">
        <v>1</v>
      </c>
    </row>
    <row r="43765" ht="15.75" customHeight="1" spans="1:2">
      <c r="A43765" s="3" t="str">
        <f>IFERROR(__xludf.DUMMYFUNCTION("GOOGLETRANSLATE(A43765,""en"",""pt"")"),"boa qualidade de imagem, bom tamanho, fácil de usar, display LCD, bom preço")</f>
        <v>boa qualidade de imagem, bom tamanho, fácil de usar, display LCD, bom preço</v>
      </c>
      <c r="B43765" s="3">
        <v>1</v>
      </c>
    </row>
    <row r="43766" ht="15.75" customHeight="1" spans="1:2">
      <c r="A43766" s="3" t="str">
        <f>IFERROR(__xludf.DUMMYFUNCTION("GOOGLETRANSLATE(A43766,""en"",""pt"")"),"Fácil de usar, excelente qualidade de imagem")</f>
        <v>Fácil de usar, excelente qualidade de imagem</v>
      </c>
      <c r="B43766" s="3">
        <v>1</v>
      </c>
    </row>
    <row r="43767" ht="15.75" customHeight="1" spans="1:2">
      <c r="A43767" s="3" t="str">
        <f>IFERROR(__xludf.DUMMYFUNCTION("GOOGLETRANSLATE(A43767,""en"",""pt"")"),"barato, pequeno de grande capacidade, user-friendly.")</f>
        <v>barato, pequeno de grande capacidade, user-friendly.</v>
      </c>
      <c r="B43767" s="3">
        <v>1</v>
      </c>
    </row>
    <row r="43768" ht="15.75" customHeight="1" spans="1:2">
      <c r="A43768" s="3" t="str">
        <f>IFERROR(__xludf.DUMMYFUNCTION("GOOGLETRANSLATE(A43768,""en"",""pt"")"),"Ótimo preço, boa qualidade de imagem, fácil de usar")</f>
        <v>Ótimo preço, boa qualidade de imagem, fácil de usar</v>
      </c>
      <c r="B43768" s="3">
        <v>1</v>
      </c>
    </row>
    <row r="43769" ht="15.75" customHeight="1" spans="1:2">
      <c r="A43769" s="3" t="s">
        <v>216</v>
      </c>
      <c r="B43769" s="3">
        <v>1</v>
      </c>
    </row>
    <row r="43770" ht="15.75" customHeight="1" spans="1:2">
      <c r="A43770" s="3" t="str">
        <f>IFERROR(__xludf.DUMMYFUNCTION("GOOGLETRANSLATE(A43770,""en"",""pt"")"),"Barato, conexão USB, &amp; amp; # 13; &amp; amp; # 10; fácil de usar, muito leve")</f>
        <v>Barato, conexão USB, &amp; amp; # 13; &amp; amp; # 10; fácil de usar, muito leve</v>
      </c>
      <c r="B43770" s="3">
        <v>1</v>
      </c>
    </row>
    <row r="43771" ht="15.75" customHeight="1" spans="1:2">
      <c r="A43771" s="3" t="str">
        <f>IFERROR(__xludf.DUMMYFUNCTION("GOOGLETRANSLATE(A43771,""en"",""pt"")"),"Grande negócio pelo dinheiro!")</f>
        <v>Grande negócio pelo dinheiro!</v>
      </c>
      <c r="B43771" s="3">
        <v>1</v>
      </c>
    </row>
    <row r="43772" ht="15.75" customHeight="1" spans="1:2">
      <c r="A43772" s="3" t="str">
        <f>IFERROR(__xludf.DUMMYFUNCTION("GOOGLETRANSLATE(A43772,""en"",""pt"")"),"Tem grandes figuras, bom preço, o amor do software.")</f>
        <v>Tem grandes figuras, bom preço, o amor do software.</v>
      </c>
      <c r="B43772" s="3">
        <v>1</v>
      </c>
    </row>
    <row r="43773" ht="15.75" customHeight="1" spans="1:2">
      <c r="A43773" s="3" t="str">
        <f>IFERROR(__xludf.DUMMYFUNCTION("GOOGLETRANSLATE(A43773,""en"",""pt"")"),"Imagens fantásticas! Grande preço $ 255,00!")</f>
        <v>Imagens fantásticas! Grande preço $ 255,00!</v>
      </c>
      <c r="B43773" s="3">
        <v>1</v>
      </c>
    </row>
    <row r="43774" ht="15.75" customHeight="1" spans="1:2">
      <c r="A43774" s="3" t="str">
        <f>IFERROR(__xludf.DUMMYFUNCTION("GOOGLETRANSLATE(A43774,""en"",""pt"")"),"zoom óptico, memória intercambiáveis, fácil de programar, ajustes adequados, cabo USB, a preços acessíveis")</f>
        <v>zoom óptico, memória intercambiáveis, fácil de programar, ajustes adequados, cabo USB, a preços acessíveis</v>
      </c>
      <c r="B43774" s="3">
        <v>1</v>
      </c>
    </row>
    <row r="43775" ht="15.75" customHeight="1" spans="1:2">
      <c r="A43775" s="3" t="str">
        <f>IFERROR(__xludf.DUMMYFUNCTION("GOOGLETRANSLATE(A43775,""en"",""pt"")"),"~ Vida útil da bateria 1hr em alkalines fornecidos, 1,5-2 em um conjunto decente de 4 NiMHs")</f>
        <v>~ Vida útil da bateria 1hr em alkalines fornecidos, 1,5-2 em um conjunto decente de 4 NiMHs</v>
      </c>
      <c r="B43775" s="3">
        <v>1</v>
      </c>
    </row>
    <row r="43776" ht="15.75" customHeight="1" spans="1:2">
      <c r="A43776" s="3" t="s">
        <v>217</v>
      </c>
      <c r="B43776" s="3">
        <v>1</v>
      </c>
    </row>
    <row r="43777" ht="15.75" customHeight="1" spans="1:2">
      <c r="A43777" s="3" t="str">
        <f>IFERROR(__xludf.DUMMYFUNCTION("GOOGLETRANSLATE(A43777,""en"",""pt"")"),"Tem grandes figuras, fácil de usar")</f>
        <v>Tem grandes figuras, fácil de usar</v>
      </c>
      <c r="B43777" s="3">
        <v>1</v>
      </c>
    </row>
    <row r="43778" ht="15.75" customHeight="1" spans="1:2">
      <c r="A43778" s="3" t="str">
        <f>IFERROR(__xludf.DUMMYFUNCTION("GOOGLETRANSLATE(A43778,""en"",""pt"")"),"Excelentes características para o preço. A câmera muito boa valor.")</f>
        <v>Excelentes características para o preço. A câmera muito boa valor.</v>
      </c>
      <c r="B43778" s="3">
        <v>1</v>
      </c>
    </row>
    <row r="43779" ht="15.75" customHeight="1" spans="1:2">
      <c r="A43779" s="3" t="s">
        <v>218</v>
      </c>
      <c r="B43779" s="3">
        <v>1</v>
      </c>
    </row>
    <row r="43780" ht="15.75" customHeight="1" spans="1:2">
      <c r="A43780" s="3" t="str">
        <f>IFERROR(__xludf.DUMMYFUNCTION("GOOGLETRANSLATE(A43780,""en"",""pt"")"),"Durável, confiável, tem as características básicas que eu quero,")</f>
        <v>Durável, confiável, tem as características básicas que eu quero,</v>
      </c>
      <c r="B43780" s="3">
        <v>1</v>
      </c>
    </row>
    <row r="43781" ht="15.75" customHeight="1" spans="1:2">
      <c r="A43781" s="3" t="str">
        <f>IFERROR(__xludf.DUMMYFUNCTION("GOOGLETRANSLATE(A43781,""en"",""pt"")"),"~ Fácil de usar, ~ muito durável, ~ tem grandes figuras")</f>
        <v>~ Fácil de usar, ~ muito durável, ~ tem grandes figuras</v>
      </c>
      <c r="B43781" s="3">
        <v>1</v>
      </c>
    </row>
    <row r="43782" ht="15.75" customHeight="1" spans="1:2">
      <c r="A43782" s="3" t="str">
        <f>IFERROR(__xludf.DUMMYFUNCTION("GOOGLETRANSLATE(A43782,""en"",""pt"")"),"imagens de boa qualidade, preço muito razoável. Compact, peso leve, fácil de usar. Boa qualidade óptica.")</f>
        <v>imagens de boa qualidade, preço muito razoável. Compact, peso leve, fácil de usar. Boa qualidade óptica.</v>
      </c>
      <c r="B43782" s="3">
        <v>1</v>
      </c>
    </row>
    <row r="43783" ht="15.75" customHeight="1" spans="1:2">
      <c r="A43783" s="3" t="str">
        <f>IFERROR(__xludf.DUMMYFUNCTION("GOOGLETRANSLATE(A43783,""en"",""pt"")"),"ter boa imagem; 4 impressão R parece ser bom.")</f>
        <v>ter boa imagem; 4 impressão R parece ser bom.</v>
      </c>
      <c r="B43783" s="3">
        <v>1</v>
      </c>
    </row>
    <row r="43784" ht="15.75" customHeight="1" spans="1:2">
      <c r="A43784" s="3" t="str">
        <f>IFERROR(__xludf.DUMMYFUNCTION("GOOGLETRANSLATE(A43784,""en"",""pt"")"),"Excelente qualidade de imagem, bom preço")</f>
        <v>Excelente qualidade de imagem, bom preço</v>
      </c>
      <c r="B43784" s="3">
        <v>1</v>
      </c>
    </row>
    <row r="43785" ht="15.75" customHeight="1" spans="1:2">
      <c r="A43785" s="3" t="str">
        <f>IFERROR(__xludf.DUMMYFUNCTION("GOOGLETRANSLATE(A43785,""en"",""pt"")"),"Grandes imagens, muitas opções")</f>
        <v>Grandes imagens, muitas opções</v>
      </c>
      <c r="B43785" s="3">
        <v>1</v>
      </c>
    </row>
    <row r="43786" ht="15.75" customHeight="1" spans="1:2">
      <c r="A43786" s="3" t="str">
        <f>IFERROR(__xludf.DUMMYFUNCTION("GOOGLETRANSLATE(A43786,""en"",""pt"")"),"Tamanho compacto, características de tamanho integral")</f>
        <v>Tamanho compacto, características de tamanho integral</v>
      </c>
      <c r="B43786" s="3">
        <v>1</v>
      </c>
    </row>
    <row r="43787" ht="15.75" customHeight="1" spans="1:2">
      <c r="A43787" s="3" t="str">
        <f>IFERROR(__xludf.DUMMYFUNCTION("GOOGLETRANSLATE(A43787,""en"",""pt"")"),"Handy, divertido, durável e fácil.")</f>
        <v>Handy, divertido, durável e fácil.</v>
      </c>
      <c r="B43787" s="3">
        <v>1</v>
      </c>
    </row>
    <row r="43788" ht="15.75" customHeight="1" spans="1:2">
      <c r="A43788" s="3" t="str">
        <f>IFERROR(__xludf.DUMMYFUNCTION("GOOGLETRANSLATE(A43788,""en"",""pt"")"),"Fácil de usar. De alta qualidade para o preço.")</f>
        <v>Fácil de usar. De alta qualidade para o preço.</v>
      </c>
      <c r="B43788" s="3">
        <v>1</v>
      </c>
    </row>
    <row r="43789" ht="15.75" customHeight="1" spans="1:2">
      <c r="A43789" s="3" t="str">
        <f>IFERROR(__xludf.DUMMYFUNCTION("GOOGLETRANSLATE(A43789,""en"",""pt"")"),"Grandes fotos para o preço")</f>
        <v>Grandes fotos para o preço</v>
      </c>
      <c r="B43789" s="3">
        <v>1</v>
      </c>
    </row>
    <row r="43790" ht="15.75" customHeight="1" spans="1:2">
      <c r="A43790" s="3" t="str">
        <f>IFERROR(__xludf.DUMMYFUNCTION("GOOGLETRANSLATE(A43790,""en"",""pt"")"),"facilidade de uso, boas fotos ao ar livre")</f>
        <v>facilidade de uso, boas fotos ao ar livre</v>
      </c>
      <c r="B43790" s="3">
        <v>1</v>
      </c>
    </row>
    <row r="43791" ht="15.75" customHeight="1" spans="1:2">
      <c r="A43791" s="3" t="str">
        <f>IFERROR(__xludf.DUMMYFUNCTION("GOOGLETRANSLATE(A43791,""en"",""pt"")"),"Melhor câmera para o preço")</f>
        <v>Melhor câmera para o preço</v>
      </c>
      <c r="B43791" s="3">
        <v>1</v>
      </c>
    </row>
    <row r="43792" ht="15.75" customHeight="1" spans="1:2">
      <c r="A43792" s="3" t="str">
        <f>IFERROR(__xludf.DUMMYFUNCTION("GOOGLETRANSLATE(A43792,""en"",""pt"")"),"Barato, a qualidade da imagem")</f>
        <v>Barato, a qualidade da imagem</v>
      </c>
      <c r="B43792" s="3">
        <v>1</v>
      </c>
    </row>
    <row r="43793" ht="15.75" customHeight="1" spans="1:2">
      <c r="A43793" s="3" t="str">
        <f>IFERROR(__xludf.DUMMYFUNCTION("GOOGLETRANSLATE(A43793,""en"",""pt"")"),"preço, facilidade de uso")</f>
        <v>preço, facilidade de uso</v>
      </c>
      <c r="B43793" s="3">
        <v>1</v>
      </c>
    </row>
    <row r="43794" ht="15.75" customHeight="1" spans="1:2">
      <c r="A43794" s="3" t="str">
        <f>IFERROR(__xludf.DUMMYFUNCTION("GOOGLETRANSLATE(A43794,""en"",""pt"")"),"USB, zoom óptico, tamanho pequeno")</f>
        <v>USB, zoom óptico, tamanho pequeno</v>
      </c>
      <c r="B43794" s="3">
        <v>1</v>
      </c>
    </row>
    <row r="43795" ht="15.75" customHeight="1" spans="1:2">
      <c r="A43795" s="3" t="str">
        <f>IFERROR(__xludf.DUMMYFUNCTION("GOOGLETRANSLATE(A43795,""en"",""pt"")"),"Qualidade de Imagem, Conexão USB, Preço")</f>
        <v>Qualidade de Imagem, Conexão USB, Preço</v>
      </c>
      <c r="B43795" s="3">
        <v>1</v>
      </c>
    </row>
    <row r="43796" ht="15.75" customHeight="1" spans="1:2">
      <c r="A43796" s="3" t="str">
        <f>IFERROR(__xludf.DUMMYFUNCTION("GOOGLETRANSLATE(A43796,""en"",""pt"")"),"Software, conectividade USB, preço, fácil de usar")</f>
        <v>Software, conectividade USB, preço, fácil de usar</v>
      </c>
      <c r="B43796" s="3">
        <v>1</v>
      </c>
    </row>
    <row r="43797" ht="15.75" customHeight="1" spans="1:2">
      <c r="A43797" s="3" t="str">
        <f>IFERROR(__xludf.DUMMYFUNCTION("GOOGLETRANSLATE(A43797,""en"",""pt"")"),"$, Qualidade, funcionalidade, durabilidade")</f>
        <v>$, Qualidade, funcionalidade, durabilidade</v>
      </c>
      <c r="B43797" s="3">
        <v>1</v>
      </c>
    </row>
    <row r="43798" ht="15.75" customHeight="1" spans="1:2">
      <c r="A43798" s="3" t="str">
        <f>IFERROR(__xludf.DUMMYFUNCTION("GOOGLETRANSLATE(A43798,""en"",""pt"")"),"Muito fácil de usar")</f>
        <v>Muito fácil de usar</v>
      </c>
      <c r="B43798" s="3">
        <v>1</v>
      </c>
    </row>
    <row r="43799" ht="15.75" customHeight="1" spans="1:2">
      <c r="A43799" s="3" t="str">
        <f>IFERROR(__xludf.DUMMYFUNCTION("GOOGLETRANSLATE(A43799,""en"",""pt"")"),"Construir em tampa da lente, preço acessível,")</f>
        <v>Construir em tampa da lente, preço acessível,</v>
      </c>
      <c r="B43799" s="3">
        <v>1</v>
      </c>
    </row>
    <row r="43800" ht="15.75" customHeight="1" spans="1:2">
      <c r="A43800" s="3" t="str">
        <f>IFERROR(__xludf.DUMMYFUNCTION("GOOGLETRANSLATE(A43800,""en"",""pt"")"),"Todos os recursos básicos necessários. Interface USB.")</f>
        <v>Todos os recursos básicos necessários. Interface USB.</v>
      </c>
      <c r="B43800" s="3">
        <v>1</v>
      </c>
    </row>
    <row r="43801" ht="15.75" customHeight="1" spans="1:2">
      <c r="A43801" s="3" t="str">
        <f>IFERROR(__xludf.DUMMYFUNCTION("GOOGLETRANSLATE(A43801,""en"",""pt"")"),"barato, zoom, magro")</f>
        <v>barato, zoom, magro</v>
      </c>
      <c r="B43801" s="3">
        <v>1</v>
      </c>
    </row>
    <row r="43802" ht="15.75" customHeight="1" spans="1:2">
      <c r="A43802" s="3" t="str">
        <f>IFERROR(__xludf.DUMMYFUNCTION("GOOGLETRANSLATE(A43802,""en"",""pt"")"),"usb, visor, zoom óptico")</f>
        <v>usb, visor, zoom óptico</v>
      </c>
      <c r="B43802" s="3">
        <v>1</v>
      </c>
    </row>
    <row r="43803" ht="15.75" customHeight="1" spans="1:2">
      <c r="A43803" s="3" t="str">
        <f>IFERROR(__xludf.DUMMYFUNCTION("GOOGLETRANSLATE(A43803,""en"",""pt"")"),"Compacto, leve, de boa qualidade, grande flash!")</f>
        <v>Compacto, leve, de boa qualidade, grande flash!</v>
      </c>
      <c r="B43803" s="3">
        <v>1</v>
      </c>
    </row>
    <row r="43804" ht="15.75" customHeight="1" spans="1:2">
      <c r="A43804" s="3" t="str">
        <f>IFERROR(__xludf.DUMMYFUNCTION("GOOGLETRANSLATE(A43804,""en"",""pt"")"),"Grandes imagens, lotes de características, preço")</f>
        <v>Grandes imagens, lotes de características, preço</v>
      </c>
      <c r="B43804" s="3">
        <v>1</v>
      </c>
    </row>
    <row r="43805" ht="15.75" customHeight="1" spans="1:2">
      <c r="A43805" s="3" t="str">
        <f>IFERROR(__xludf.DUMMYFUNCTION("GOOGLETRANSLATE(A43805,""en"",""pt"")"),"Qualidade da imagem")</f>
        <v>Qualidade da imagem</v>
      </c>
      <c r="B43805" s="3">
        <v>1</v>
      </c>
    </row>
    <row r="43806" ht="15.75" customHeight="1" spans="1:2">
      <c r="A43806" s="3" t="str">
        <f>IFERROR(__xludf.DUMMYFUNCTION("GOOGLETRANSLATE(A43806,""en"",""pt"")"),"Maravilhosas imagens claras e nítidas com excelente coloração")</f>
        <v>Maravilhosas imagens claras e nítidas com excelente coloração</v>
      </c>
      <c r="B43806" s="3">
        <v>1</v>
      </c>
    </row>
    <row r="43807" ht="15.75" customHeight="1" spans="1:2">
      <c r="A43807" s="3" t="str">
        <f>IFERROR(__xludf.DUMMYFUNCTION("GOOGLETRANSLATE(A43807,""en"",""pt"")"),"Fácil de usar, muito boas fotos, USB, um excelente valor")</f>
        <v>Fácil de usar, muito boas fotos, USB, um excelente valor</v>
      </c>
      <c r="B43807" s="3">
        <v>1</v>
      </c>
    </row>
    <row r="43808" ht="15.75" customHeight="1" spans="1:2">
      <c r="A43808" s="3" t="str">
        <f>IFERROR(__xludf.DUMMYFUNCTION("GOOGLETRANSLATE(A43808,""en"",""pt"")"),"grandes imagens, zoom óptico de 3X, resistente, vida útil da bateria normal, usb, ótimo preço")</f>
        <v>grandes imagens, zoom óptico de 3X, resistente, vida útil da bateria normal, usb, ótimo preço</v>
      </c>
      <c r="B43808" s="3">
        <v>1</v>
      </c>
    </row>
    <row r="43809" ht="15.75" customHeight="1" spans="1:2">
      <c r="A43809" s="3" t="str">
        <f>IFERROR(__xludf.DUMMYFUNCTION("GOOGLETRANSLATE(A43809,""en"",""pt"")"),"Fácil de usar, boas fotos, USB, zoom óptico 3x, um excelente valor")</f>
        <v>Fácil de usar, boas fotos, USB, zoom óptico 3x, um excelente valor</v>
      </c>
      <c r="B43809" s="3">
        <v>1</v>
      </c>
    </row>
    <row r="43810" ht="15.75" customHeight="1" spans="1:2">
      <c r="A43810" s="3" t="str">
        <f>IFERROR(__xludf.DUMMYFUNCTION("GOOGLETRANSLATE(A43810,""en"",""pt"")"),"Bem-feito, controles de fácil uso, as baterias duram mais tempo")</f>
        <v>Bem-feito, controles de fácil uso, as baterias duram mais tempo</v>
      </c>
      <c r="B43810" s="3">
        <v>1</v>
      </c>
    </row>
    <row r="43811" ht="15.75" customHeight="1" spans="1:2">
      <c r="A43811" s="3" t="str">
        <f>IFERROR(__xludf.DUMMYFUNCTION("GOOGLETRANSLATE(A43811,""en"",""pt"")"),"Tamanho, preço e facilidade de uso")</f>
        <v>Tamanho, preço e facilidade de uso</v>
      </c>
      <c r="B43811" s="3">
        <v>1</v>
      </c>
    </row>
    <row r="43812" ht="15.75" customHeight="1" spans="1:2">
      <c r="A43812" s="3" t="str">
        <f>IFERROR(__xludf.DUMMYFUNCTION("GOOGLETRANSLATE(A43812,""en"",""pt"")"),"conectividade USB, zoom óptico 3x, reprodução de cores")</f>
        <v>conectividade USB, zoom óptico 3x, reprodução de cores</v>
      </c>
      <c r="B43812" s="3">
        <v>1</v>
      </c>
    </row>
    <row r="43813" ht="15.75" customHeight="1" spans="1:2">
      <c r="A43813" s="3" t="str">
        <f>IFERROR(__xludf.DUMMYFUNCTION("GOOGLETRANSLATE(A43813,""en"",""pt"")"),"Fun, fácil de usar, Cheep, luz, ótimas fotos")</f>
        <v>Fun, fácil de usar, Cheep, luz, ótimas fotos</v>
      </c>
      <c r="B43813" s="3">
        <v>1</v>
      </c>
    </row>
    <row r="43814" ht="15.75" customHeight="1" spans="1:2">
      <c r="A43814" s="3" t="str">
        <f>IFERROR(__xludf.DUMMYFUNCTION("GOOGLETRANSLATE(A43814,""en"",""pt"")"),"Muito compacto, pode tomar em toda parte")</f>
        <v>Muito compacto, pode tomar em toda parte</v>
      </c>
      <c r="B43814" s="3">
        <v>1</v>
      </c>
    </row>
    <row r="43815" ht="15.75" customHeight="1" spans="1:2">
      <c r="A43815" s="3" t="str">
        <f>IFERROR(__xludf.DUMMYFUNCTION("GOOGLETRANSLATE(A43815,""en"",""pt"")"),"ótimo para viagem; fácil de usar; usa pilhas AA; ótimo para web ou 4x6 impresso")</f>
        <v>ótimo para viagem; fácil de usar; usa pilhas AA; ótimo para web ou 4x6 impresso</v>
      </c>
      <c r="B43815" s="3">
        <v>1</v>
      </c>
    </row>
    <row r="43816" ht="15.75" customHeight="1" spans="1:2">
      <c r="A43816" s="3" t="str">
        <f>IFERROR(__xludf.DUMMYFUNCTION("GOOGLETRANSLATE(A43816,""en"",""pt"")"),"qualidade de imagem incrível para o preço; mais fácil digicam que já usei.")</f>
        <v>qualidade de imagem incrível para o preço; mais fácil digicam que já usei.</v>
      </c>
      <c r="B43816" s="3">
        <v>1</v>
      </c>
    </row>
    <row r="43817" ht="15.75" customHeight="1" spans="1:2">
      <c r="A43817" s="3" t="str">
        <f>IFERROR(__xludf.DUMMYFUNCTION("GOOGLETRANSLATE(A43817,""en"",""pt"")"),"Grande qualidade de imagem, valor excelente, fácil de usar")</f>
        <v>Grande qualidade de imagem, valor excelente, fácil de usar</v>
      </c>
      <c r="B43817" s="3">
        <v>1</v>
      </c>
    </row>
    <row r="43818" ht="15.75" customHeight="1" spans="1:2">
      <c r="A43818" s="3" t="str">
        <f>IFERROR(__xludf.DUMMYFUNCTION("GOOGLETRANSLATE(A43818,""en"",""pt"")"),"Fácil de usar, qualidade decente, muito barato.")</f>
        <v>Fácil de usar, qualidade decente, muito barato.</v>
      </c>
      <c r="B43818" s="3">
        <v>1</v>
      </c>
    </row>
    <row r="43819" ht="15.75" customHeight="1" spans="1:2">
      <c r="A43819" s="3" t="str">
        <f>IFERROR(__xludf.DUMMYFUNCTION("GOOGLETRANSLATE(A43819,""en"",""pt"")"),"instruções amigável. Ótimo para um usuário primeira vez das câmeras digitais.")</f>
        <v>instruções amigável. Ótimo para um usuário primeira vez das câmeras digitais.</v>
      </c>
      <c r="B43819" s="3">
        <v>1</v>
      </c>
    </row>
    <row r="43820" ht="15.75" customHeight="1" spans="1:2">
      <c r="A43820" s="3" t="str">
        <f>IFERROR(__xludf.DUMMYFUNCTION("GOOGLETRANSLATE(A43820,""en"",""pt"")"),"qualidade de imagem suprema")</f>
        <v>qualidade de imagem suprema</v>
      </c>
      <c r="B43820" s="3">
        <v>1</v>
      </c>
    </row>
    <row r="43821" ht="15.75" customHeight="1" spans="1:2">
      <c r="A43821" s="3" t="str">
        <f>IFERROR(__xludf.DUMMYFUNCTION("GOOGLETRANSLATE(A43821,""en"",""pt"")"),"Melhor câmera digital de 270 dólares &amp; amp; # 13; &amp; amp; # 10; Update-à venda no US $ 199, um negócio super")</f>
        <v>Melhor câmera digital de 270 dólares &amp; amp; # 13; &amp; amp; # 10; Update-à venda no US $ 199, um negócio super</v>
      </c>
      <c r="B43821" s="3">
        <v>1</v>
      </c>
    </row>
    <row r="43822" ht="15.75" customHeight="1" spans="1:2">
      <c r="A43822" s="3" t="str">
        <f>IFERROR(__xludf.DUMMYFUNCTION("GOOGLETRANSLATE(A43822,""en"",""pt"")"),"Grande qualidade para o dinheiro, o novo papel de parede todos os dias, se quiser.")</f>
        <v>Grande qualidade para o dinheiro, o novo papel de parede todos os dias, se quiser.</v>
      </c>
      <c r="B43822" s="3">
        <v>1</v>
      </c>
    </row>
    <row r="43823" ht="15.75" customHeight="1" spans="1:2">
      <c r="A43823" s="3" t="str">
        <f>IFERROR(__xludf.DUMMYFUNCTION("GOOGLETRANSLATE(A43823,""en"",""pt"")"),"Preço! Leve, vida útil da bateria decente.")</f>
        <v>Preço! Leve, vida útil da bateria decente.</v>
      </c>
      <c r="B43823" s="3">
        <v>1</v>
      </c>
    </row>
    <row r="43824" ht="15.75" customHeight="1" spans="1:2">
      <c r="A43824" s="3" t="str">
        <f>IFERROR(__xludf.DUMMYFUNCTION("GOOGLETRANSLATE(A43824,""en"",""pt"")"),"Barato, fácil de usar a câmera com muitos recursos, e os tiros de cores nítidas.")</f>
        <v>Barato, fácil de usar a câmera com muitos recursos, e os tiros de cores nítidas.</v>
      </c>
      <c r="B43824" s="3">
        <v>1</v>
      </c>
    </row>
    <row r="43825" ht="15.75" customHeight="1" spans="1:2">
      <c r="A43825" s="3" t="str">
        <f>IFERROR(__xludf.DUMMYFUNCTION("GOOGLETRANSLATE(A43825,""en"",""pt"")"),"Ótimo preço, grande câmera de nível de entrada, design atraente")</f>
        <v>Ótimo preço, grande câmera de nível de entrada, design atraente</v>
      </c>
      <c r="B43825" s="3">
        <v>1</v>
      </c>
    </row>
    <row r="43826" ht="15.75" customHeight="1" spans="1:2">
      <c r="A43826" s="3" t="str">
        <f>IFERROR(__xludf.DUMMYFUNCTION("GOOGLETRANSLATE(A43826,""en"",""pt"")"),"Fácil de usar, boa qualidade de imagem, a utilização de pilhas normais AA")</f>
        <v>Fácil de usar, boa qualidade de imagem, a utilização de pilhas normais AA</v>
      </c>
      <c r="B43826" s="3">
        <v>1</v>
      </c>
    </row>
    <row r="43827" ht="15.75" customHeight="1" spans="1:2">
      <c r="A43827" s="3" t="str">
        <f>IFERROR(__xludf.DUMMYFUNCTION("GOOGLETRANSLATE(A43827,""en"",""pt"")"),"Simples de usar; Grande resolução &amp; amp; # 9;")</f>
        <v>Simples de usar; Grande resolução &amp; amp; # 9;</v>
      </c>
      <c r="B43827" s="3">
        <v>1</v>
      </c>
    </row>
    <row r="43828" ht="15.75" customHeight="1" spans="1:2">
      <c r="A43828" s="3" t="str">
        <f>IFERROR(__xludf.DUMMYFUNCTION("GOOGLETRANSLATE(A43828,""en"",""pt"")"),"facilidade de uso, nitidez de imagem, preço")</f>
        <v>facilidade de uso, nitidez de imagem, preço</v>
      </c>
      <c r="B43828" s="3">
        <v>1</v>
      </c>
    </row>
    <row r="43829" ht="15.75" customHeight="1" spans="1:2">
      <c r="A43829" s="3" t="str">
        <f>IFERROR(__xludf.DUMMYFUNCTION("GOOGLETRANSLATE(A43829,""en"",""pt"")"),"Melhor do que a cor média, excelente desempenho de pouca luz, agradáveis ​​óptica.")</f>
        <v>Melhor do que a cor média, excelente desempenho de pouca luz, agradáveis ​​óptica.</v>
      </c>
      <c r="B43829" s="3">
        <v>1</v>
      </c>
    </row>
    <row r="43830" ht="15.75" customHeight="1" spans="1:2">
      <c r="A43830" s="3" t="str">
        <f>IFERROR(__xludf.DUMMYFUNCTION("GOOGLETRANSLATE(A43830,""en"",""pt"")"),"Wow que uma câmera, fácil de usar, tem algumas funções avançadas, e ele funciona !!")</f>
        <v>Wow que uma câmera, fácil de usar, tem algumas funções avançadas, e ele funciona !!</v>
      </c>
      <c r="B43830" s="3">
        <v>1</v>
      </c>
    </row>
    <row r="43831" ht="15.75" customHeight="1" spans="1:2">
      <c r="A43831" s="3" t="str">
        <f>IFERROR(__xludf.DUMMYFUNCTION("GOOGLETRANSLATE(A43831,""en"",""pt"")"),"Mesmo tamanho de uma câmera regular, leve, fácil de usar")</f>
        <v>Mesmo tamanho de uma câmera regular, leve, fácil de usar</v>
      </c>
      <c r="B43831" s="3">
        <v>1</v>
      </c>
    </row>
    <row r="43832" ht="15.75" customHeight="1" spans="1:2">
      <c r="A43832" s="3" t="str">
        <f>IFERROR(__xludf.DUMMYFUNCTION("GOOGLETRANSLATE(A43832,""en"",""pt"")"),"Fácil de usar, pequenos, bons recursos")</f>
        <v>Fácil de usar, pequenos, bons recursos</v>
      </c>
      <c r="B43832" s="3">
        <v>1</v>
      </c>
    </row>
    <row r="43833" ht="15.75" customHeight="1" spans="1:2">
      <c r="A43833" s="3" t="str">
        <f>IFERROR(__xludf.DUMMYFUNCTION("GOOGLETRANSLATE(A43833,""en"",""pt"")"),"2.1Mp, zoom 3x, fácil manuseio, boa qualidade de imagem.")</f>
        <v>2.1Mp, zoom 3x, fácil manuseio, boa qualidade de imagem.</v>
      </c>
      <c r="B43833" s="3">
        <v>1</v>
      </c>
    </row>
    <row r="43834" ht="15.75" customHeight="1" spans="1:2">
      <c r="A43834" s="3" t="str">
        <f>IFERROR(__xludf.DUMMYFUNCTION("GOOGLETRANSLATE(A43834,""en"",""pt"")"),"Um corpo da câmera atraente")</f>
        <v>Um corpo da câmera atraente</v>
      </c>
      <c r="B43834" s="3">
        <v>1</v>
      </c>
    </row>
    <row r="43835" ht="15.75" customHeight="1" spans="1:2">
      <c r="A43835" s="3" t="str">
        <f>IFERROR(__xludf.DUMMYFUNCTION("GOOGLETRANSLATE(A43835,""en"",""pt"")"),"A qualidade da imagem, tamanho, fácil de uso")</f>
        <v>A qualidade da imagem, tamanho, fácil de uso</v>
      </c>
      <c r="B43835" s="3">
        <v>1</v>
      </c>
    </row>
    <row r="43836" ht="15.75" customHeight="1" spans="1:2">
      <c r="A43836" s="3" t="str">
        <f>IFERROR(__xludf.DUMMYFUNCTION("GOOGLETRANSLATE(A43836,""en"",""pt"")")," Custo relativamente baixo, as imagens de qualidade, fácil de usar.")</f>
        <v> Custo relativamente baixo, as imagens de qualidade, fácil de usar.</v>
      </c>
      <c r="B43836" s="3">
        <v>1</v>
      </c>
    </row>
    <row r="43837" ht="15.75" customHeight="1" spans="1:2">
      <c r="A43837" s="3" t="str">
        <f>IFERROR(__xludf.DUMMYFUNCTION("GOOGLETRANSLATE(A43837,""en"",""pt"")"),"Fácil de usar, boa qualidade de cor, preço baixo")</f>
        <v>Fácil de usar, boa qualidade de cor, preço baixo</v>
      </c>
      <c r="B43837" s="3">
        <v>1</v>
      </c>
    </row>
    <row r="43838" ht="15.75" customHeight="1" spans="1:2">
      <c r="A43838" s="3" t="str">
        <f>IFERROR(__xludf.DUMMYFUNCTION("GOOGLETRANSLATE(A43838,""en"",""pt"")"),"pequeno, simples, grandes recursos, câmera maravilhoso !!!")</f>
        <v>pequeno, simples, grandes recursos, câmera maravilhoso !!!</v>
      </c>
      <c r="B43838" s="3">
        <v>1</v>
      </c>
    </row>
    <row r="43839" ht="15.75" customHeight="1" spans="1:2">
      <c r="A43839" s="3" t="str">
        <f>IFERROR(__xludf.DUMMYFUNCTION("GOOGLETRANSLATE(A43839,""en"",""pt"")"),"Fácil de usar, com estampas de boa qualidade.")</f>
        <v>Fácil de usar, com estampas de boa qualidade.</v>
      </c>
      <c r="B43839" s="3">
        <v>1</v>
      </c>
    </row>
    <row r="43840" ht="15.75" customHeight="1" spans="1:2">
      <c r="A43840" s="3" t="str">
        <f>IFERROR(__xludf.DUMMYFUNCTION("GOOGLETRANSLATE(A43840,""en"",""pt"")"),"No geral boa câmera para o $$")</f>
        <v>No geral boa câmera para o $$</v>
      </c>
      <c r="B43840" s="3">
        <v>1</v>
      </c>
    </row>
    <row r="43841" ht="15.75" customHeight="1" spans="1:2">
      <c r="A43841" s="3" t="str">
        <f>IFERROR(__xludf.DUMMYFUNCTION("GOOGLETRANSLATE(A43841,""en"",""pt"")"),"Qualidade de imagem, facilidade de uso")</f>
        <v>Qualidade de imagem, facilidade de uso</v>
      </c>
      <c r="B43841" s="3">
        <v>1</v>
      </c>
    </row>
    <row r="43842" ht="15.75" customHeight="1" spans="1:2">
      <c r="A43842" s="3" t="str">
        <f>IFERROR(__xludf.DUMMYFUNCTION("GOOGLETRANSLATE(A43842,""en"",""pt"")"),"Barato, boa qualidade de imagem")</f>
        <v>Barato, boa qualidade de imagem</v>
      </c>
      <c r="B43842" s="3">
        <v>1</v>
      </c>
    </row>
    <row r="43843" ht="15.75" customHeight="1" spans="1:2">
      <c r="A43843" s="3" t="str">
        <f>IFERROR(__xludf.DUMMYFUNCTION("GOOGLETRANSLATE(A43843,""en"",""pt"")"),"qualidade, tamanho, preço")</f>
        <v>qualidade, tamanho, preço</v>
      </c>
      <c r="B43843" s="3">
        <v>1</v>
      </c>
    </row>
    <row r="43844" ht="15.75" customHeight="1" spans="1:2">
      <c r="A43844" s="3" t="str">
        <f>IFERROR(__xludf.DUMMYFUNCTION("GOOGLETRANSLATE(A43844,""en"",""pt"")"),"excelente combinação de características e valor.")</f>
        <v>excelente combinação de características e valor.</v>
      </c>
      <c r="B43844" s="3">
        <v>1</v>
      </c>
    </row>
    <row r="43845" ht="15.75" customHeight="1" spans="1:2">
      <c r="A43845" s="3" t="str">
        <f>IFERROR(__xludf.DUMMYFUNCTION("GOOGLETRANSLATE(A43845,""en"",""pt"")"),"Pequeno, confiável, versátil, fácil de usar.")</f>
        <v>Pequeno, confiável, versátil, fácil de usar.</v>
      </c>
      <c r="B43845" s="3">
        <v>1</v>
      </c>
    </row>
    <row r="43846" ht="15.75" customHeight="1" spans="1:2">
      <c r="A43846" s="3" t="str">
        <f>IFERROR(__xludf.DUMMYFUNCTION("GOOGLETRANSLATE(A43846,""en"",""pt"")"),"Incrível qualidade de imagem, grandes opções, facilidade de uso, close-ups impressionantes")</f>
        <v>Incrível qualidade de imagem, grandes opções, facilidade de uso, close-ups impressionantes</v>
      </c>
      <c r="B43846" s="3">
        <v>1</v>
      </c>
    </row>
    <row r="43847" ht="15.75" customHeight="1" spans="1:2">
      <c r="A43847" s="3" t="str">
        <f>IFERROR(__xludf.DUMMYFUNCTION("GOOGLETRANSLATE(A43847,""en"",""pt"")"),"Boa duração da bateria, excelente qualidade de imagem. Zoom olhando para ser confiável.")</f>
        <v>Boa duração da bateria, excelente qualidade de imagem. Zoom olhando para ser confiável.</v>
      </c>
      <c r="B43847" s="3">
        <v>1</v>
      </c>
    </row>
    <row r="43848" ht="15.75" customHeight="1" spans="1:2">
      <c r="A43848" s="3" t="str">
        <f>IFERROR(__xludf.DUMMYFUNCTION("GOOGLETRANSLATE(A43848,""en"",""pt"")"),"Wow que uma câmera, fácil de usar, tem algumas funções avançadas, e ele funciona !!")</f>
        <v>Wow que uma câmera, fácil de usar, tem algumas funções avançadas, e ele funciona !!</v>
      </c>
      <c r="B43848" s="3">
        <v>1</v>
      </c>
    </row>
    <row r="43849" ht="15.75" customHeight="1" spans="1:2">
      <c r="A43849" s="3" t="str">
        <f>IFERROR(__xludf.DUMMYFUNCTION("GOOGLETRANSLATE(A43849,""en"",""pt"")"),"Grandes fotos de qualidade ... cartão de memória SmartMedia atualizável padrão ...")</f>
        <v>Grandes fotos de qualidade ... cartão de memória SmartMedia atualizável padrão ...</v>
      </c>
      <c r="B43849" s="3">
        <v>1</v>
      </c>
    </row>
    <row r="43850" ht="15.75" customHeight="1" spans="1:2">
      <c r="A43850" s="3" t="str">
        <f>IFERROR(__xludf.DUMMYFUNCTION("GOOGLETRANSLATE(A43850,""en"",""pt"")"),"Bom, fácil de usar câmera")</f>
        <v>Bom, fácil de usar câmera</v>
      </c>
      <c r="B43850" s="3">
        <v>1</v>
      </c>
    </row>
    <row r="43851" ht="15.75" customHeight="1" spans="1:2">
      <c r="A43851" s="3" t="str">
        <f>IFERROR(__xludf.DUMMYFUNCTION("GOOGLETRANSLATE(A43851,""en"",""pt"")"),"Baixo preço (tanto novos como agora), zoom óptico, lente superiores")</f>
        <v>Baixo preço (tanto novos como agora), zoom óptico, lente superiores</v>
      </c>
      <c r="B43851" s="3">
        <v>1</v>
      </c>
    </row>
    <row r="43852" ht="15.75" customHeight="1" spans="1:2">
      <c r="A43852" s="3" t="str">
        <f>IFERROR(__xludf.DUMMYFUNCTION("GOOGLETRANSLATE(A43852,""en"",""pt"")"),"3x de zoom, super clareza, 1.6 polegadas LCD e os increadible 2.1 megapixels ea lista continua .....")</f>
        <v>3x de zoom, super clareza, 1.6 polegadas LCD e os increadible 2.1 megapixels ea lista continua .....</v>
      </c>
      <c r="B43852" s="3">
        <v>1</v>
      </c>
    </row>
    <row r="43853" ht="15.75" customHeight="1" spans="1:2">
      <c r="A43853" s="3" t="str">
        <f>IFERROR(__xludf.DUMMYFUNCTION("GOOGLETRANSLATE(A43853,""en"",""pt"")"),"Qualidade de Imagem, Zoom óptico de 3X, projeto, baixo uso de bateria, Conexão USB")</f>
        <v>Qualidade de Imagem, Zoom óptico de 3X, projeto, baixo uso de bateria, Conexão USB</v>
      </c>
      <c r="B43853" s="3">
        <v>1</v>
      </c>
    </row>
    <row r="43854" ht="15.75" customHeight="1" spans="1:2">
      <c r="A43854" s="3" t="str">
        <f>IFERROR(__xludf.DUMMYFUNCTION("GOOGLETRANSLATE(A43854,""en"",""pt"")"),"Fácil de usar. Boa qualidade de imagem.")</f>
        <v>Fácil de usar. Boa qualidade de imagem.</v>
      </c>
      <c r="B43854" s="3">
        <v>1</v>
      </c>
    </row>
    <row r="43855" ht="15.75" customHeight="1" spans="1:2">
      <c r="A43855" s="3" t="str">
        <f>IFERROR(__xludf.DUMMYFUNCTION("GOOGLETRANSLATE(A43855,""en"",""pt"")"),"Leve, fácil de usar, imagens nítidas, versátil")</f>
        <v>Leve, fácil de usar, imagens nítidas, versátil</v>
      </c>
      <c r="B43855" s="3">
        <v>1</v>
      </c>
    </row>
    <row r="43856" ht="15.75" customHeight="1" spans="1:2">
      <c r="A43856" s="3" t="str">
        <f>IFERROR(__xludf.DUMMYFUNCTION("GOOGLETRANSLATE(A43856,""en"",""pt"")"),"Muitos recursos para o dinheiro. Ótimas fotos.")</f>
        <v>Muitos recursos para o dinheiro. Ótimas fotos.</v>
      </c>
      <c r="B43856" s="3">
        <v>1</v>
      </c>
    </row>
    <row r="43857" ht="15.75" customHeight="1" spans="1:2">
      <c r="A43857" s="3" t="str">
        <f>IFERROR(__xludf.DUMMYFUNCTION("GOOGLETRANSLATE(A43857,""en"",""pt"")"),"O peso leve, 8MB cartão de entrada, zoom óptico de 3x")</f>
        <v>O peso leve, 8MB cartão de entrada, zoom óptico de 3x</v>
      </c>
      <c r="B43857" s="3">
        <v>1</v>
      </c>
    </row>
    <row r="43858" ht="15.75" customHeight="1" spans="1:2">
      <c r="A43858" s="3" t="str">
        <f>IFERROR(__xludf.DUMMYFUNCTION("GOOGLETRANSLATE(A43858,""en"",""pt"")"),"tudo")</f>
        <v>tudo</v>
      </c>
      <c r="B43858" s="3">
        <v>1</v>
      </c>
    </row>
    <row r="43859" ht="15.75" customHeight="1" spans="1:2">
      <c r="A43859" s="3" t="str">
        <f>IFERROR(__xludf.DUMMYFUNCTION("GOOGLETRANSLATE(A43859,""en"",""pt"")"),"Moderado Preço, 1600x1200 capaz, rico em recursos")</f>
        <v>Moderado Preço, 1600x1200 capaz, rico em recursos</v>
      </c>
      <c r="B43859" s="3">
        <v>1</v>
      </c>
    </row>
    <row r="43860" ht="15.75" customHeight="1" spans="1:2">
      <c r="A43860" s="3" t="str">
        <f>IFERROR(__xludf.DUMMYFUNCTION("GOOGLETRANSLATE(A43860,""en"",""pt"")"),"Excelente câmera pouco, imagens nítidas")</f>
        <v>Excelente câmera pouco, imagens nítidas</v>
      </c>
      <c r="B43860" s="3">
        <v>1</v>
      </c>
    </row>
    <row r="43861" ht="15.75" customHeight="1" spans="1:2">
      <c r="A43861" s="3" t="str">
        <f>IFERROR(__xludf.DUMMYFUNCTION("GOOGLETRANSLATE(A43861,""en"",""pt"")"),"Simples de usar. 2.1 megapixels.")</f>
        <v>Simples de usar. 2.1 megapixels.</v>
      </c>
      <c r="B43861" s="3">
        <v>1</v>
      </c>
    </row>
    <row r="43862" ht="15.75" customHeight="1" spans="1:2">
      <c r="A43862" s="3" t="str">
        <f>IFERROR(__xludf.DUMMYFUNCTION("GOOGLETRANSLATE(A43862,""en"",""pt"")"),"Esta câmera possui um visor automática para que você possa eliminar indesejados / fotos ruins.")</f>
        <v>Esta câmera possui um visor automática para que você possa eliminar indesejados / fotos ruins.</v>
      </c>
      <c r="B43862" s="3">
        <v>1</v>
      </c>
    </row>
    <row r="43863" ht="15.75" customHeight="1" spans="1:2">
      <c r="A43863" s="3" t="str">
        <f>IFERROR(__xludf.DUMMYFUNCTION("GOOGLETRANSLATE(A43863,""en"",""pt"")"),"Rápido, fácil de usar câmera.")</f>
        <v>Rápido, fácil de usar câmera.</v>
      </c>
      <c r="B43863" s="3">
        <v>1</v>
      </c>
    </row>
    <row r="43864" ht="15.75" customHeight="1" spans="1:2">
      <c r="A43864" s="3" t="str">
        <f>IFERROR(__xludf.DUMMYFUNCTION("GOOGLETRANSLATE(A43864,""en"",""pt"")"),"Surpreendente qualidade de imagem, controles intuitivos, gama de recursos, pequeno e compacto")</f>
        <v>Surpreendente qualidade de imagem, controles intuitivos, gama de recursos, pequeno e compacto</v>
      </c>
      <c r="B43864" s="3">
        <v>1</v>
      </c>
    </row>
    <row r="43865" ht="15.75" customHeight="1" spans="1:2">
      <c r="A43865" s="3" t="str">
        <f>IFERROR(__xludf.DUMMYFUNCTION("GOOGLETRANSLATE(A43865,""en"",""pt"")"),"Grandes fotos, fácil de usar, o lote de estrondo para o fanfarrão")</f>
        <v>Grandes fotos, fácil de usar, o lote de estrondo para o fanfarrão</v>
      </c>
      <c r="B43865" s="3">
        <v>1</v>
      </c>
    </row>
    <row r="43866" ht="15.75" customHeight="1" spans="1:2">
      <c r="A43866" s="3" t="str">
        <f>IFERROR(__xludf.DUMMYFUNCTION("GOOGLETRANSLATE(A43866,""en"",""pt"")"),"Grandes características para o preço, fácil de usar.")</f>
        <v>Grandes características para o preço, fácil de usar.</v>
      </c>
      <c r="B43866" s="3">
        <v>1</v>
      </c>
    </row>
    <row r="43867" ht="15.75" customHeight="1" spans="1:2">
      <c r="A43867" s="3" t="str">
        <f>IFERROR(__xludf.DUMMYFUNCTION("GOOGLETRANSLATE(A43867,""en"",""pt"")"),"Excelente qualidade de imagem, grande variedade de recursos, muito fácil de usar global")</f>
        <v>Excelente qualidade de imagem, grande variedade de recursos, muito fácil de usar global</v>
      </c>
      <c r="B43867" s="3">
        <v>1</v>
      </c>
    </row>
    <row r="43868" ht="15.75" customHeight="1" spans="1:2">
      <c r="A43868" s="3" t="str">
        <f>IFERROR(__xludf.DUMMYFUNCTION("GOOGLETRANSLATE(A43868,""en"",""pt"")"),"Grande Digital Camera Para Todos")</f>
        <v>Grande Digital Camera Para Todos</v>
      </c>
      <c r="B43868" s="3">
        <v>1</v>
      </c>
    </row>
    <row r="43869" ht="15.75" customHeight="1" spans="1:2">
      <c r="A43869" s="3" t="str">
        <f>IFERROR(__xludf.DUMMYFUNCTION("GOOGLETRANSLATE(A43869,""en"",""pt"")"),"Excelente cor, pequeno e compacto, baterias / carregador incluído")</f>
        <v>Excelente cor, pequeno e compacto, baterias / carregador incluído</v>
      </c>
      <c r="B43869" s="3">
        <v>1</v>
      </c>
    </row>
    <row r="43870" ht="15.75" customHeight="1" spans="1:2">
      <c r="A43870" s="3" t="str">
        <f>IFERROR(__xludf.DUMMYFUNCTION("GOOGLETRANSLATE(A43870,""en"",""pt"")"),"pequeno, muito generoso pacote, software fácil, a qualidade da foto, facilidade de uso")</f>
        <v>pequeno, muito generoso pacote, software fácil, a qualidade da foto, facilidade de uso</v>
      </c>
      <c r="B43870" s="3">
        <v>1</v>
      </c>
    </row>
    <row r="43871" ht="15.75" customHeight="1" spans="1:2">
      <c r="A43871" s="3" t="str">
        <f>IFERROR(__xludf.DUMMYFUNCTION("GOOGLETRANSLATE(A43871,""en"",""pt"")"),"Bom preço; 3X zoom; Carregado com características; Muito user-friendly")</f>
        <v>Bom preço; 3X zoom; Carregado com características; Muito user-friendly</v>
      </c>
      <c r="B43871" s="3">
        <v>1</v>
      </c>
    </row>
    <row r="43872" ht="15.75" customHeight="1" spans="1:2">
      <c r="A43872" s="3" t="str">
        <f>IFERROR(__xludf.DUMMYFUNCTION("GOOGLETRANSLATE(A43872,""en"",""pt"")"),"câmera de bom tamanho que vem com tudo que você precisa!")</f>
        <v>câmera de bom tamanho que vem com tudo que você precisa!</v>
      </c>
      <c r="B43872" s="3">
        <v>1</v>
      </c>
    </row>
    <row r="43873" ht="15.75" customHeight="1" spans="1:2">
      <c r="A43873" s="3" t="str">
        <f>IFERROR(__xludf.DUMMYFUNCTION("GOOGLETRANSLATE(A43873,""en"",""pt"")"),"câmera de 2MP compacto. Fácil de usar. Boa variedade de recursos")</f>
        <v>câmera de 2MP compacto. Fácil de usar. Boa variedade de recursos</v>
      </c>
      <c r="B43873" s="3">
        <v>1</v>
      </c>
    </row>
    <row r="43874" ht="15.75" customHeight="1" spans="1:2">
      <c r="A43874" s="3" t="str">
        <f>IFERROR(__xludf.DUMMYFUNCTION("GOOGLETRANSLATE(A43874,""en"",""pt"")"),"Tamanho &amp; amp; # 13; &amp; amp; # 10; Imagem de qualidade &amp; amp; # 13; &amp; amp; # 10; Price &amp; amp; # 13; &amp; amp; # 10; Facilidade de uso &amp; amp; # 13; &amp; amp; # 10; Rebate no cartão de memória add'l .")</f>
        <v>Tamanho &amp; amp; # 13; &amp; amp; # 10; Imagem de qualidade &amp; amp; # 13; &amp; amp; # 10; Price &amp; amp; # 13; &amp; amp; # 10; Facilidade de uso &amp; amp; # 13; &amp; amp; # 10; Rebate no cartão de memória add'l .</v>
      </c>
      <c r="B43874" s="3">
        <v>1</v>
      </c>
    </row>
    <row r="43875" ht="15.75" customHeight="1" spans="1:2">
      <c r="A43875" s="3" t="str">
        <f>IFERROR(__xludf.DUMMYFUNCTION("GOOGLETRANSLATE(A43875,""en"",""pt"")"),"pequeno, fácil de usar, tira fotos maravilhosas para o preço.")</f>
        <v>pequeno, fácil de usar, tira fotos maravilhosas para o preço.</v>
      </c>
      <c r="B43875" s="3">
        <v>1</v>
      </c>
    </row>
    <row r="43876" ht="15.75" customHeight="1" spans="1:2">
      <c r="A43876" s="3" t="str">
        <f>IFERROR(__xludf.DUMMYFUNCTION("GOOGLETRANSLATE(A43876,""en"",""pt"")"),"Olhar agradável. Fácil para o uso. Bom preço.")</f>
        <v>Olhar agradável. Fácil para o uso. Bom preço.</v>
      </c>
      <c r="B43876" s="3">
        <v>1</v>
      </c>
    </row>
    <row r="43877" ht="15.75" customHeight="1" spans="1:2">
      <c r="A43877" s="3" t="str">
        <f>IFERROR(__xludf.DUMMYFUNCTION("GOOGLETRANSLATE(A43877,""en"",""pt"")"),"Perdeu de opções para o dinheiro.")</f>
        <v>Perdeu de opções para o dinheiro.</v>
      </c>
      <c r="B43877" s="3">
        <v>1</v>
      </c>
    </row>
    <row r="43878" ht="15.75" customHeight="1" spans="1:2">
      <c r="A43878" s="3" t="str">
        <f>IFERROR(__xludf.DUMMYFUNCTION("GOOGLETRANSLATE(A43878,""en"",""pt"")"),"Grande marca, ótimas fotos, tamanho perfeito")</f>
        <v>Grande marca, ótimas fotos, tamanho perfeito</v>
      </c>
      <c r="B43878" s="3">
        <v>1</v>
      </c>
    </row>
    <row r="43879" ht="15.75" customHeight="1" spans="1:2">
      <c r="A43879" s="3" t="str">
        <f>IFERROR(__xludf.DUMMYFUNCTION("GOOGLETRANSLATE(A43879,""en"",""pt"")"),"Lotes de valor para o preço! Zoom, carregador, Smartcard todos vêm com câmera!")</f>
        <v>Lotes de valor para o preço! Zoom, carregador, Smartcard todos vêm com câmera!</v>
      </c>
      <c r="B43879" s="3">
        <v>1</v>
      </c>
    </row>
    <row r="43880" ht="15.75" customHeight="1" spans="1:2">
      <c r="A43880" s="3" t="str">
        <f>IFERROR(__xludf.DUMMYFUNCTION("GOOGLETRANSLATE(A43880,""en"",""pt"")"),"Fácil de usar, ótimas fotos, tamanho grande")</f>
        <v>Fácil de usar, ótimas fotos, tamanho grande</v>
      </c>
      <c r="B43880" s="3">
        <v>1</v>
      </c>
    </row>
    <row r="43881" ht="15.75" customHeight="1" spans="1:2">
      <c r="A43881" s="3" t="str">
        <f>IFERROR(__xludf.DUMMYFUNCTION("GOOGLETRANSLATE(A43881,""en"",""pt"")"),"Grande valor ... Embalado com características ... Fácil de usar ... grande ecrã LCD ... As imagens nítidas")</f>
        <v>Grande valor ... Embalado com características ... Fácil de usar ... grande ecrã LCD ... As imagens nítidas</v>
      </c>
      <c r="B43881" s="3">
        <v>1</v>
      </c>
    </row>
    <row r="43882" ht="15.75" customHeight="1" spans="1:2">
      <c r="A43882" s="3" t="str">
        <f>IFERROR(__xludf.DUMMYFUNCTION("GOOGLETRANSLATE(A43882,""en"",""pt"")"),"Compacto, mas não muito pequeno. batts recarregável Ni-MH incluído!")</f>
        <v>Compacto, mas não muito pequeno. batts recarregável Ni-MH incluído!</v>
      </c>
      <c r="B43882" s="3">
        <v>1</v>
      </c>
    </row>
    <row r="43883" ht="15.75" customHeight="1" spans="1:2">
      <c r="A43883" s="3" t="str">
        <f>IFERROR(__xludf.DUMMYFUNCTION("GOOGLETRANSLATE(A43883,""en"",""pt"")"),"Assim fácil de usar; excelente qualidade de imagem")</f>
        <v>Assim fácil de usar; excelente qualidade de imagem</v>
      </c>
      <c r="B43883" s="3">
        <v>1</v>
      </c>
    </row>
    <row r="43884" ht="15.75" customHeight="1" spans="1:2">
      <c r="A43884" s="3" t="str">
        <f>IFERROR(__xludf.DUMMYFUNCTION("GOOGLETRANSLATE(A43884,""en"",""pt"")"),"Excelente conjunto de recursos, excelente qualidade de imagem, &amp; amp; # 147; fora da caixa &amp; amp; # 148; usabilidade &amp; amp; # 13; &amp; amp; # 10;")</f>
        <v>Excelente conjunto de recursos, excelente qualidade de imagem, &amp; amp; # 147; fora da caixa &amp; amp; # 148; usabilidade &amp; amp; # 13; &amp; amp; # 10;</v>
      </c>
      <c r="B43884" s="3">
        <v>1</v>
      </c>
    </row>
    <row r="43885" ht="15.75" customHeight="1" spans="1:2">
      <c r="A43885" s="3" t="str">
        <f>IFERROR(__xludf.DUMMYFUNCTION("GOOGLETRANSLATE(A43885,""en"",""pt"")"),"fácil de usar o software, grande capacidade de armazenamento, arraste e transferência de arquivos queda")</f>
        <v>fácil de usar o software, grande capacidade de armazenamento, arraste e transferência de arquivos queda</v>
      </c>
      <c r="B43885" s="3">
        <v>1</v>
      </c>
    </row>
    <row r="43886" ht="15.75" customHeight="1" spans="1:2">
      <c r="A43886" s="3" t="str">
        <f>IFERROR(__xludf.DUMMYFUNCTION("GOOGLETRANSLATE(A43886,""en"",""pt"")"),"fácil de usar; boa pix")</f>
        <v>fácil de usar; boa pix</v>
      </c>
      <c r="B43886" s="3">
        <v>1</v>
      </c>
    </row>
    <row r="43887" ht="15.75" customHeight="1" spans="1:2">
      <c r="A43887" s="3" t="str">
        <f>IFERROR(__xludf.DUMMYFUNCTION("GOOGLETRANSLATE(A43887,""en"",""pt"")"),"Pequeno, leve, muitos extras encontrado em câmeras mais caras.")</f>
        <v>Pequeno, leve, muitos extras encontrado em câmeras mais caras.</v>
      </c>
      <c r="B43887" s="3">
        <v>1</v>
      </c>
    </row>
    <row r="43888" ht="15.75" customHeight="1" spans="1:2">
      <c r="A43888" s="3" t="str">
        <f>IFERROR(__xludf.DUMMYFUNCTION("GOOGLETRANSLATE(A43888,""en"",""pt"")"),"Pequeno, leve reprodução de cor, excelente, teia came, de vídeo 20 seg")</f>
        <v>Pequeno, leve reprodução de cor, excelente, teia came, de vídeo 20 seg</v>
      </c>
      <c r="B43888" s="3">
        <v>1</v>
      </c>
    </row>
    <row r="43889" ht="15.75" customHeight="1" spans="1:2">
      <c r="A43889" s="3" t="s">
        <v>219</v>
      </c>
      <c r="B43889" s="3">
        <v>1</v>
      </c>
    </row>
    <row r="43890" ht="15.75" customHeight="1" spans="1:2">
      <c r="A43890" s="3" t="str">
        <f>IFERROR(__xludf.DUMMYFUNCTION("GOOGLETRANSLATE(A43890,""en"",""pt"")"),"16 MB cartão, de grande qualidade, super-fácil de usar, vídeo, pc-cam")</f>
        <v>16 MB cartão, de grande qualidade, super-fácil de usar, vídeo, pc-cam</v>
      </c>
      <c r="B43890" s="3">
        <v>1</v>
      </c>
    </row>
    <row r="43891" ht="15.75" customHeight="1" spans="1:2">
      <c r="A43891" s="3" t="str">
        <f>IFERROR(__xludf.DUMMYFUNCTION("GOOGLETRANSLATE(A43891,""en"",""pt"")"),"Muito pequeno. Variedade de configurações da câmera. Grande cor.")</f>
        <v>Muito pequeno. Variedade de configurações da câmera. Grande cor.</v>
      </c>
      <c r="B43891" s="3">
        <v>1</v>
      </c>
    </row>
    <row r="43892" ht="15.75" customHeight="1" spans="1:2">
      <c r="A43892" s="3" t="str">
        <f>IFERROR(__xludf.DUMMYFUNCTION("GOOGLETRANSLATE(A43892,""en"",""pt"")"),"Ótima câmera, ótimo preço, inclui tudo que você precisa para começar!")</f>
        <v>Ótima câmera, ótimo preço, inclui tudo que você precisa para começar!</v>
      </c>
      <c r="B43892" s="3">
        <v>1</v>
      </c>
    </row>
    <row r="43893" ht="15.75" customHeight="1" spans="1:2">
      <c r="A43893" s="3" t="str">
        <f>IFERROR(__xludf.DUMMYFUNCTION("GOOGLETRANSLATE(A43893,""en"",""pt"")"),"Fácil de usar, muitos recursos, muitas opções, recarregáveis ​​mais duradoura Baterias")</f>
        <v>Fácil de usar, muitos recursos, muitas opções, recarregáveis ​​mais duradoura Baterias</v>
      </c>
      <c r="B43893" s="3">
        <v>1</v>
      </c>
    </row>
    <row r="43894" ht="15.75" customHeight="1" spans="1:2">
      <c r="A43894" s="3" t="str">
        <f>IFERROR(__xludf.DUMMYFUNCTION("GOOGLETRANSLATE(A43894,""en"",""pt"")"),"Acessíveis, zoom óptico 3x, excelentes impressões 4x6 sem filme")</f>
        <v>Acessíveis, zoom óptico 3x, excelentes impressões 4x6 sem filme</v>
      </c>
      <c r="B43894" s="3">
        <v>1</v>
      </c>
    </row>
    <row r="43895" ht="15.75" customHeight="1" spans="1:2">
      <c r="A43895" s="3" t="str">
        <f>IFERROR(__xludf.DUMMYFUNCTION("GOOGLETRANSLATE(A43895,""en"",""pt"")"),"Pequeno, portátil, protege a lente quando não estiver em uso, preço")</f>
        <v>Pequeno, portátil, protege a lente quando não estiver em uso, preço</v>
      </c>
      <c r="B43895" s="3">
        <v>1</v>
      </c>
    </row>
    <row r="43896" ht="15.75" customHeight="1" spans="1:2">
      <c r="A43896" s="3" t="str">
        <f>IFERROR(__xludf.DUMMYFUNCTION("GOOGLETRANSLATE(A43896,""en"",""pt"")"),"Ótimo preço, fácil de usar, tem boa foto de.")</f>
        <v>Ótimo preço, fácil de usar, tem boa foto de.</v>
      </c>
      <c r="B43896" s="3">
        <v>1</v>
      </c>
    </row>
    <row r="43897" ht="15.75" customHeight="1" spans="1:2">
      <c r="A43897" s="3" t="str">
        <f>IFERROR(__xludf.DUMMYFUNCTION("GOOGLETRANSLATE(A43897,""en"",""pt"")"),"A característica embalada câmera sem o grande etiqueta de preço.")</f>
        <v>A característica embalada câmera sem o grande etiqueta de preço.</v>
      </c>
      <c r="B43897" s="3">
        <v>1</v>
      </c>
    </row>
    <row r="43898" ht="15.75" customHeight="1" spans="1:2">
      <c r="A43898" s="3" t="str">
        <f>IFERROR(__xludf.DUMMYFUNCTION("GOOGLETRANSLATE(A43898,""en"",""pt"")"),"Compacto, característica cheia, clareza digital fantástico com a funcionalidade de webcam.")</f>
        <v>Compacto, característica cheia, clareza digital fantástico com a funcionalidade de webcam.</v>
      </c>
      <c r="B43898" s="3">
        <v>1</v>
      </c>
    </row>
    <row r="43899" ht="15.75" customHeight="1" spans="1:2">
      <c r="A43899" s="3" t="str">
        <f>IFERROR(__xludf.DUMMYFUNCTION("GOOGLETRANSLATE(A43899,""en"",""pt"")"),"Fácil de usar, ótimo qualidade de imagem, óptico e zoom digital, Great Value.")</f>
        <v>Fácil de usar, ótimo qualidade de imagem, óptico e zoom digital, Great Value.</v>
      </c>
      <c r="B43899" s="3">
        <v>1</v>
      </c>
    </row>
    <row r="43900" ht="15.75" customHeight="1" spans="1:2">
      <c r="A43900" s="3" t="str">
        <f>IFERROR(__xludf.DUMMYFUNCTION("GOOGLETRANSLATE(A43900,""en"",""pt"")"),"falando digitalmente: câmera muito boa qualidade.")</f>
        <v>falando digitalmente: câmera muito boa qualidade.</v>
      </c>
      <c r="B43900" s="3">
        <v>1</v>
      </c>
    </row>
    <row r="43901" ht="15.75" customHeight="1" spans="1:2">
      <c r="A43901" s="3" t="str">
        <f>IFERROR(__xludf.DUMMYFUNCTION("GOOGLETRANSLATE(A43901,""en"",""pt"")"),"Não é mau preço para uma câmera de zoom")</f>
        <v>Não é mau preço para uma câmera de zoom</v>
      </c>
      <c r="B43901" s="3">
        <v>1</v>
      </c>
    </row>
    <row r="43902" ht="15.75" customHeight="1" spans="1:2">
      <c r="A43902" s="3" t="str">
        <f>IFERROR(__xludf.DUMMYFUNCTION("GOOGLETRANSLATE(A43902,""en"",""pt"")"),"Preço, qualidade de imagem, Short obturador lag.")</f>
        <v>Preço, qualidade de imagem, Short obturador lag.</v>
      </c>
      <c r="B43902" s="3">
        <v>1</v>
      </c>
    </row>
    <row r="43903" ht="15.75" customHeight="1" spans="1:2">
      <c r="A43903" s="3" t="str">
        <f>IFERROR(__xludf.DUMMYFUNCTION("GOOGLETRANSLATE(A43903,""en"",""pt"")"),"Simples de usar algumas boas características")</f>
        <v>Simples de usar algumas boas características</v>
      </c>
      <c r="B43903" s="3">
        <v>1</v>
      </c>
    </row>
    <row r="43904" ht="15.75" customHeight="1" spans="1:2">
      <c r="A43904" s="3" t="str">
        <f>IFERROR(__xludf.DUMMYFUNCTION("GOOGLETRANSLATE(A43904,""en"",""pt"")"),"Grandes imagens de ""ainda"" sujeitos ao ar livre luz natural.")</f>
        <v>Grandes imagens de "ainda" sujeitos ao ar livre luz natural.</v>
      </c>
      <c r="B43904" s="3">
        <v>1</v>
      </c>
    </row>
    <row r="43905" ht="15.75" customHeight="1" spans="1:2">
      <c r="A43905" s="3" t="str">
        <f>IFERROR(__xludf.DUMMYFUNCTION("GOOGLETRANSLATE(A43905,""en"",""pt"")"),"Boa qualidade de imagem, simples e fácil de usar, resistente e razoáveis ​​à direita.")</f>
        <v>Boa qualidade de imagem, simples e fácil de usar, resistente e razoáveis ​​à direita.</v>
      </c>
      <c r="B43905" s="3">
        <v>1</v>
      </c>
    </row>
    <row r="43906" ht="15.75" customHeight="1" spans="1:2">
      <c r="A43906" s="3" t="str">
        <f>IFERROR(__xludf.DUMMYFUNCTION("GOOGLETRANSLATE(A43906,""en"",""pt"")"),"Esta câmera tira boas fotos no modo fino. Fácil de usar e download.")</f>
        <v>Esta câmera tira boas fotos no modo fino. Fácil de usar e download.</v>
      </c>
      <c r="B43906" s="3">
        <v>1</v>
      </c>
    </row>
    <row r="43907" ht="15.75" customHeight="1" spans="1:2">
      <c r="A43907" s="3" t="str">
        <f>IFERROR(__xludf.DUMMYFUNCTION("GOOGLETRANSLATE(A43907,""en"",""pt"")"),"boas fotos leva")</f>
        <v>boas fotos leva</v>
      </c>
      <c r="B43907" s="3">
        <v>1</v>
      </c>
    </row>
    <row r="43908" ht="15.75" customHeight="1" spans="1:2">
      <c r="A43908" s="3" t="str">
        <f>IFERROR(__xludf.DUMMYFUNCTION("GOOGLETRANSLATE(A43908,""en"",""pt"")"),"facilidade simplista de uso, Fuji recompensa comprador com extras, boa qualidade de imagem")</f>
        <v>facilidade simplista de uso, Fuji recompensa comprador com extras, boa qualidade de imagem</v>
      </c>
      <c r="B43908" s="3">
        <v>1</v>
      </c>
    </row>
    <row r="43909" ht="15.75" customHeight="1" spans="1:2">
      <c r="A43909" s="3" t="str">
        <f>IFERROR(__xludf.DUMMYFUNCTION("GOOGLETRANSLATE(A43909,""en"",""pt"")"),"Bom preço, qualidade decente, zoom óptico")</f>
        <v>Bom preço, qualidade decente, zoom óptico</v>
      </c>
      <c r="B43909" s="3">
        <v>1</v>
      </c>
    </row>
    <row r="43910" ht="15.75" customHeight="1" spans="1:2">
      <c r="A43910" s="3" t="str">
        <f>IFERROR(__xludf.DUMMYFUNCTION("GOOGLETRANSLATE(A43910,""en"",""pt"")"),"Ótimo preço para recursos")</f>
        <v>Ótimo preço para recursos</v>
      </c>
      <c r="B43910" s="3">
        <v>1</v>
      </c>
    </row>
    <row r="43911" ht="15.75" customHeight="1" spans="1:2">
      <c r="A43911" s="3" t="str">
        <f>IFERROR(__xludf.DUMMYFUNCTION("GOOGLETRANSLATE(A43911,""en"",""pt"")"),"Geralmente boa qualidade de imagem, facilidade de uso.")</f>
        <v>Geralmente boa qualidade de imagem, facilidade de uso.</v>
      </c>
      <c r="B43911" s="3">
        <v>1</v>
      </c>
    </row>
    <row r="43912" ht="15.75" customHeight="1" spans="1:2">
      <c r="A43912" s="3" t="str">
        <f>IFERROR(__xludf.DUMMYFUNCTION("GOOGLETRANSLATE(A43912,""en"",""pt"")"),"Excelente qualidade de imagem, muito acessível, grande em todos os sentidos")</f>
        <v>Excelente qualidade de imagem, muito acessível, grande em todos os sentidos</v>
      </c>
      <c r="B43912" s="3">
        <v>1</v>
      </c>
    </row>
    <row r="43913" ht="15.75" customHeight="1" spans="1:2">
      <c r="A43913" s="3" t="str">
        <f>IFERROR(__xludf.DUMMYFUNCTION("GOOGLETRANSLATE(A43913,""en"",""pt"")"),"leva excelentes fotos; Expansibilidade; fácil de usar")</f>
        <v>leva excelentes fotos; Expansibilidade; fácil de usar</v>
      </c>
      <c r="B43913" s="3">
        <v>1</v>
      </c>
    </row>
    <row r="43914" ht="15.75" customHeight="1" spans="1:2">
      <c r="A43914" s="3" t="str">
        <f>IFERROR(__xludf.DUMMYFUNCTION("GOOGLETRANSLATE(A43914,""en"",""pt"")"),"Fácil de usar; muito boa qualidade de imagem")</f>
        <v>Fácil de usar; muito boa qualidade de imagem</v>
      </c>
      <c r="B43914" s="3">
        <v>1</v>
      </c>
    </row>
    <row r="43915" ht="15.75" customHeight="1" spans="1:2">
      <c r="A43915" s="3" t="str">
        <f>IFERROR(__xludf.DUMMYFUNCTION("GOOGLETRANSLATE(A43915,""en"",""pt"")"),"Small Size grande zoom fácil de usar")</f>
        <v>Small Size grande zoom fácil de usar</v>
      </c>
      <c r="B43915" s="3">
        <v>1</v>
      </c>
    </row>
    <row r="43916" ht="15.75" customHeight="1" spans="1:2">
      <c r="A43916" s="3" t="str">
        <f>IFERROR(__xludf.DUMMYFUNCTION("GOOGLETRANSLATE(A43916,""en"",""pt"")"),"pode tomar em qualquer lugar, a qualquer hora, em qualquer lugar")</f>
        <v>pode tomar em qualquer lugar, a qualquer hora, em qualquer lugar</v>
      </c>
      <c r="B43916" s="3">
        <v>1</v>
      </c>
    </row>
    <row r="43917" ht="15.75" customHeight="1" spans="1:2">
      <c r="A43917" s="3" t="str">
        <f>IFERROR(__xludf.DUMMYFUNCTION("GOOGLETRANSLATE(A43917,""en"",""pt"")"),"Facilidade de uso para iniciantes digitais; 16 MB Smartmedia cartão incluído")</f>
        <v>Facilidade de uso para iniciantes digitais; 16 MB Smartmedia cartão incluído</v>
      </c>
      <c r="B43917" s="3">
        <v>1</v>
      </c>
    </row>
    <row r="43918" ht="15.75" customHeight="1" spans="1:2">
      <c r="A43918" s="3" t="str">
        <f>IFERROR(__xludf.DUMMYFUNCTION("GOOGLETRANSLATE(A43918,""en"",""pt"")"),"Estilo, qualidade de imagem, tamanho, características, funções e divertido!")</f>
        <v>Estilo, qualidade de imagem, tamanho, características, funções e divertido!</v>
      </c>
      <c r="B43918" s="3">
        <v>1</v>
      </c>
    </row>
    <row r="43919" ht="15.75" customHeight="1" spans="1:2">
      <c r="A43919" s="3" t="str">
        <f>IFERROR(__xludf.DUMMYFUNCTION("GOOGLETRANSLATE(A43919,""en"",""pt"")"),"Excelente resolução; 16 MB cartão; baterias recarregáveis")</f>
        <v>Excelente resolução; 16 MB cartão; baterias recarregáveis</v>
      </c>
      <c r="B43919" s="3">
        <v>1</v>
      </c>
    </row>
    <row r="43920" ht="15.75" customHeight="1" spans="1:2">
      <c r="A43920" s="3" t="str">
        <f>IFERROR(__xludf.DUMMYFUNCTION("GOOGLETRANSLATE(A43920,""en"",""pt"")"),"Ótimo preço para 2 megapixels, câmera de zoom óptico.")</f>
        <v>Ótimo preço para 2 megapixels, câmera de zoom óptico.</v>
      </c>
      <c r="B43920" s="3">
        <v>1</v>
      </c>
    </row>
    <row r="43921" ht="15.75" customHeight="1" spans="1:2">
      <c r="A43921" s="3" t="str">
        <f>IFERROR(__xludf.DUMMYFUNCTION("GOOGLETRANSLATE(A43921,""en"",""pt"")"),"Excelente qualidade de imagem. Tamanho compacto.")</f>
        <v>Excelente qualidade de imagem. Tamanho compacto.</v>
      </c>
      <c r="B43921" s="3">
        <v>1</v>
      </c>
    </row>
    <row r="43922" ht="15.75" customHeight="1" spans="1:2">
      <c r="A43922" s="3" t="str">
        <f>IFERROR(__xludf.DUMMYFUNCTION("GOOGLETRANSLATE(A43922,""en"",""pt"")"),"Grande, câmera digital acessível. Fácil de usar.")</f>
        <v>Grande, câmera digital acessível. Fácil de usar.</v>
      </c>
      <c r="B43922" s="3">
        <v>1</v>
      </c>
    </row>
    <row r="43923" ht="15.75" customHeight="1" spans="1:2">
      <c r="A43923" s="3" t="str">
        <f>IFERROR(__xludf.DUMMYFUNCTION("GOOGLETRANSLATE(A43923,""en"",""pt"")"),"Excelente qualidade de imagem, fácil de usar, de baixo custo para uma câmera de zoom óptico.")</f>
        <v>Excelente qualidade de imagem, fácil de usar, de baixo custo para uma câmera de zoom óptico.</v>
      </c>
      <c r="B43923" s="3">
        <v>1</v>
      </c>
    </row>
    <row r="43924" ht="15.75" customHeight="1" spans="1:2">
      <c r="A43924" s="3" t="str">
        <f>IFERROR(__xludf.DUMMYFUNCTION("GOOGLETRANSLATE(A43924,""en"",""pt"")"),"Fácil de usar, incrível macro, construído em tampa da lente")</f>
        <v>Fácil de usar, incrível macro, construído em tampa da lente</v>
      </c>
      <c r="B43924" s="3">
        <v>1</v>
      </c>
    </row>
    <row r="43925" ht="15.75" customHeight="1" spans="1:2">
      <c r="A43925" s="3" t="str">
        <f>IFERROR(__xludf.DUMMYFUNCTION("GOOGLETRANSLATE(A43925,""en"",""pt"")"),"Muito fácil de usar Grandes fotos")</f>
        <v>Muito fácil de usar Grandes fotos</v>
      </c>
      <c r="B43925" s="3">
        <v>1</v>
      </c>
    </row>
    <row r="43926" ht="15.75" customHeight="1" spans="1:2">
      <c r="A43926" s="3" t="str">
        <f>IFERROR(__xludf.DUMMYFUNCTION("GOOGLETRANSLATE(A43926,""en"",""pt"")"),"Mais rico em recursos do que a maioria, por uma câmera de 2.0 mega pixel.")</f>
        <v>Mais rico em recursos do que a maioria, por uma câmera de 2.0 mega pixel.</v>
      </c>
      <c r="B43926" s="3">
        <v>1</v>
      </c>
    </row>
    <row r="43927" ht="15.75" customHeight="1" spans="1:2">
      <c r="A43927" s="3" t="str">
        <f>IFERROR(__xludf.DUMMYFUNCTION("GOOGLETRANSLATE(A43927,""en"",""pt"")"),"O tamanho pequeno com um zoom óptico")</f>
        <v>O tamanho pequeno com um zoom óptico</v>
      </c>
      <c r="B43927" s="3">
        <v>1</v>
      </c>
    </row>
    <row r="43928" ht="15.75" customHeight="1" spans="1:2">
      <c r="A43928" s="3" t="str">
        <f>IFERROR(__xludf.DUMMYFUNCTION("GOOGLETRANSLATE(A43928,""en"",""pt"")"),"preço, automação e qualidade de imagem")</f>
        <v>preço, automação e qualidade de imagem</v>
      </c>
      <c r="B43928" s="3">
        <v>1</v>
      </c>
    </row>
    <row r="43929" ht="15.75" customHeight="1" spans="1:2">
      <c r="A43929" s="3" t="str">
        <f>IFERROR(__xludf.DUMMYFUNCTION("GOOGLETRANSLATE(A43929,""en"",""pt"")"),"Bom zoom óptico, a vida da bateria e preço. mercadoria comprovada.")</f>
        <v>Bom zoom óptico, a vida da bateria e preço. mercadoria comprovada.</v>
      </c>
      <c r="B43929" s="3">
        <v>1</v>
      </c>
    </row>
    <row r="43930" ht="15.75" customHeight="1" spans="1:2">
      <c r="A43930" s="3" t="str">
        <f>IFERROR(__xludf.DUMMYFUNCTION("GOOGLETRANSLATE(A43930,""en"",""pt"")"),"Operação fácil, Preço, olhares, Grandes tiros")</f>
        <v>Operação fácil, Preço, olhares, Grandes tiros</v>
      </c>
      <c r="B43930" s="3">
        <v>1</v>
      </c>
    </row>
    <row r="43931" ht="15.75" customHeight="1" spans="1:2">
      <c r="A43931" s="3" t="str">
        <f>IFERROR(__xludf.DUMMYFUNCTION("GOOGLETRANSLATE(A43931,""en"",""pt"")"),"Imagens de boa qualidade. Fácil de usar. Preço foi ótimo!")</f>
        <v>Imagens de boa qualidade. Fácil de usar. Preço foi ótimo!</v>
      </c>
      <c r="B43931" s="3">
        <v>1</v>
      </c>
    </row>
    <row r="43932" ht="15.75" customHeight="1" spans="1:2">
      <c r="A43932" s="3" t="str">
        <f>IFERROR(__xludf.DUMMYFUNCTION("GOOGLETRANSLATE(A43932,""en"",""pt"")"),"Sliver habitação, tampa da lente, pequeno, apenas 6,5 onça, qualidade de imagem, e preço.")</f>
        <v>Sliver habitação, tampa da lente, pequeno, apenas 6,5 onça, qualidade de imagem, e preço.</v>
      </c>
      <c r="B43932" s="3">
        <v>1</v>
      </c>
    </row>
    <row r="43933" ht="15.75" customHeight="1" spans="1:2">
      <c r="A43933" s="3" t="str">
        <f>IFERROR(__xludf.DUMMYFUNCTION("GOOGLETRANSLATE(A43933,""en"",""pt"")"),"Muito acessível com alta qualidade e características da imagem.")</f>
        <v>Muito acessível com alta qualidade e características da imagem.</v>
      </c>
      <c r="B43933" s="3">
        <v>1</v>
      </c>
    </row>
    <row r="43934" ht="15.75" customHeight="1" spans="1:2">
      <c r="A43934" s="3" t="str">
        <f>IFERROR(__xludf.DUMMYFUNCTION("GOOGLETRANSLATE(A43934,""en"",""pt"")"),"Fácil de usar, brilhante ecrã LCD afiada, imagens muito nítidas.")</f>
        <v>Fácil de usar, brilhante ecrã LCD afiada, imagens muito nítidas.</v>
      </c>
      <c r="B43934" s="3">
        <v>1</v>
      </c>
    </row>
    <row r="43935" ht="15.75" customHeight="1" spans="1:2">
      <c r="A43935" s="3" t="str">
        <f>IFERROR(__xludf.DUMMYFUNCTION("GOOGLETRANSLATE(A43935,""en"",""pt"")"),"GRANDE, imagens claras, de cartão de 16MB xD, modos fácil, Zoom Óptico, características.")</f>
        <v>GRANDE, imagens claras, de cartão de 16MB xD, modos fácil, Zoom Óptico, características.</v>
      </c>
      <c r="B43935" s="3">
        <v>1</v>
      </c>
    </row>
    <row r="43936" ht="15.75" customHeight="1" spans="1:2">
      <c r="A43936" s="3" t="str">
        <f>IFERROR(__xludf.DUMMYFUNCTION("GOOGLETRANSLATE(A43936,""en"",""pt"")"),"Alta resolução, compacto e acessível")</f>
        <v>Alta resolução, compacto e acessível</v>
      </c>
      <c r="B43936" s="3">
        <v>1</v>
      </c>
    </row>
    <row r="43937" ht="15.75" customHeight="1" spans="1:2">
      <c r="A43937" s="3" t="str">
        <f>IFERROR(__xludf.DUMMYFUNCTION("GOOGLETRANSLATE(A43937,""en"",""pt"")"),"Fácil de usar, Preço, Qualidade de Imagem")</f>
        <v>Fácil de usar, Preço, Qualidade de Imagem</v>
      </c>
      <c r="B43937" s="3">
        <v>1</v>
      </c>
    </row>
    <row r="43938" ht="15.75" customHeight="1" spans="1:2">
      <c r="A43938" s="3" t="str">
        <f>IFERROR(__xludf.DUMMYFUNCTION("GOOGLETRANSLATE(A43938,""en"",""pt"")"),"Grande qualidade das imagens de uma câmera de pixel de 2.0 mega")</f>
        <v>Grande qualidade das imagens de uma câmera de pixel de 2.0 mega</v>
      </c>
      <c r="B43938" s="3">
        <v>1</v>
      </c>
    </row>
    <row r="43939" ht="15.75" customHeight="1" spans="1:2">
      <c r="A43939" s="3" t="str">
        <f>IFERROR(__xludf.DUMMYFUNCTION("GOOGLETRANSLATE(A43939,""en"",""pt"")"),"Compacto, ótimas fotos, barato")</f>
        <v>Compacto, ótimas fotos, barato</v>
      </c>
      <c r="B43939" s="3">
        <v>1</v>
      </c>
    </row>
    <row r="43940" ht="15.75" customHeight="1" spans="1:2">
      <c r="A43940" s="3" t="str">
        <f>IFERROR(__xludf.DUMMYFUNCTION("GOOGLETRANSLATE(A43940,""en"",""pt"")"),"baixo preço &amp; amp; easy-2-use para um não-fotógrafo")</f>
        <v>baixo preço &amp; amp; easy-2-use para um não-fotógrafo</v>
      </c>
      <c r="B43940" s="3">
        <v>1</v>
      </c>
    </row>
    <row r="43941" ht="15.75" customHeight="1" spans="1:2">
      <c r="A43941" s="3" t="str">
        <f>IFERROR(__xludf.DUMMYFUNCTION("GOOGLETRANSLATE(A43941,""en"",""pt"")"),"Fácil de usar. Luz. Usa apenas 2 pilhas AA")</f>
        <v>Fácil de usar. Luz. Usa apenas 2 pilhas AA</v>
      </c>
      <c r="B43941" s="3">
        <v>1</v>
      </c>
    </row>
    <row r="43942" ht="15.75" customHeight="1" spans="1:2">
      <c r="A43942" s="3" t="str">
        <f>IFERROR(__xludf.DUMMYFUNCTION("GOOGLETRANSLATE(A43942,""en"",""pt"")"),"A grande qualidade, 2.0 Mega Pixel, baixo custo, Zoom Óptico")</f>
        <v>A grande qualidade, 2.0 Mega Pixel, baixo custo, Zoom Óptico</v>
      </c>
      <c r="B43942" s="3">
        <v>1</v>
      </c>
    </row>
    <row r="43943" ht="15.75" customHeight="1" spans="1:2">
      <c r="A43943" s="3" t="str">
        <f>IFERROR(__xludf.DUMMYFUNCTION("GOOGLETRANSLATE(A43943,""en"",""pt"")"),"Projeto pequeno, baterias padrão, zoom óptico, excelente cor e detalhe.")</f>
        <v>Projeto pequeno, baterias padrão, zoom óptico, excelente cor e detalhe.</v>
      </c>
      <c r="B43943" s="3">
        <v>1</v>
      </c>
    </row>
    <row r="43944" ht="15.75" customHeight="1" spans="1:2">
      <c r="A43944" s="3" t="str">
        <f>IFERROR(__xludf.DUMMYFUNCTION("GOOGLETRANSLATE(A43944,""en"",""pt"")"),"Qualidade da imagem, tamanho compacto e facilidade-de-usar!")</f>
        <v>Qualidade da imagem, tamanho compacto e facilidade-de-usar!</v>
      </c>
      <c r="B43944" s="3">
        <v>1</v>
      </c>
    </row>
    <row r="43945" ht="15.75" customHeight="1" spans="1:2">
      <c r="A43945" s="3" t="str">
        <f>IFERROR(__xludf.DUMMYFUNCTION("GOOGLETRANSLATE(A43945,""en"",""pt"")"),"Fácil de usar, preço, tamanho, Zoom Lens")</f>
        <v>Fácil de usar, preço, tamanho, Zoom Lens</v>
      </c>
      <c r="B43945" s="3">
        <v>1</v>
      </c>
    </row>
    <row r="43946" ht="15.75" customHeight="1" spans="1:2">
      <c r="A43946" s="3" t="str">
        <f>IFERROR(__xludf.DUMMYFUNCTION("GOOGLETRANSLATE(A43946,""en"",""pt"")"),"Ótimo para iniciantes!")</f>
        <v>Ótimo para iniciantes!</v>
      </c>
      <c r="B43946" s="3">
        <v>1</v>
      </c>
    </row>
    <row r="43947" ht="15.75" customHeight="1" spans="1:2">
      <c r="A43947" s="3" t="str">
        <f>IFERROR(__xludf.DUMMYFUNCTION("GOOGLETRANSLATE(A43947,""en"",""pt"")"),"Zoom Óptico 3x, excelente qualidade de imagem, impressionante vida útil da bateria.")</f>
        <v>Zoom Óptico 3x, excelente qualidade de imagem, impressionante vida útil da bateria.</v>
      </c>
      <c r="B43947" s="3">
        <v>1</v>
      </c>
    </row>
    <row r="43948" ht="15.75" customHeight="1" spans="1:2">
      <c r="A43948" s="3" t="str">
        <f>IFERROR(__xludf.DUMMYFUNCTION("GOOGLETRANSLATE(A43948,""en"",""pt"")"),"a maioria das fotos saem bem, aparência, fácil de usar, ótimo para as crianças &amp; amp; iniciantes")</f>
        <v>a maioria das fotos saem bem, aparência, fácil de usar, ótimo para as crianças &amp; amp; iniciantes</v>
      </c>
      <c r="B43948" s="3">
        <v>1</v>
      </c>
    </row>
    <row r="43949" ht="15.75" customHeight="1" spans="1:2">
      <c r="A43949" s="3" t="str">
        <f>IFERROR(__xludf.DUMMYFUNCTION("GOOGLETRANSLATE(A43949,""en"",""pt"")"),"Preço, tamanho, boa qualidade de imagem para principiantes")</f>
        <v>Preço, tamanho, boa qualidade de imagem para principiantes</v>
      </c>
      <c r="B43949" s="3">
        <v>1</v>
      </c>
    </row>
    <row r="43950" ht="15.75" customHeight="1" spans="1:2">
      <c r="A43950" s="3" t="str">
        <f>IFERROR(__xludf.DUMMYFUNCTION("GOOGLETRANSLATE(A43950,""en"",""pt"")"),"características surpreendentes para o preço e tamanho, boa serviço de reparação de garantia da Fuji")</f>
        <v>características surpreendentes para o preço e tamanho, boa serviço de reparação de garantia da Fuji</v>
      </c>
      <c r="B43950" s="3">
        <v>1</v>
      </c>
    </row>
    <row r="43951" ht="15.75" customHeight="1" spans="1:2">
      <c r="A43951" s="3" t="str">
        <f>IFERROR(__xludf.DUMMYFUNCTION("GOOGLETRANSLATE(A43951,""en"",""pt"")"),"Excelente valor, tamanho pequeno, recurso macro")</f>
        <v>Excelente valor, tamanho pequeno, recurso macro</v>
      </c>
      <c r="B43951" s="3">
        <v>1</v>
      </c>
    </row>
    <row r="43952" ht="15.75" customHeight="1" spans="1:2">
      <c r="A43952" s="3" t="str">
        <f>IFERROR(__xludf.DUMMYFUNCTION("GOOGLETRANSLATE(A43952,""en"",""pt"")"),"Bom valor; velozes; zoom; usa pilhas AA em vez de caro batttery câmera. Veiwfinder e tela.")</f>
        <v>Bom valor; velozes; zoom; usa pilhas AA em vez de caro batttery câmera. Veiwfinder e tela.</v>
      </c>
      <c r="B43952" s="3">
        <v>1</v>
      </c>
    </row>
    <row r="43953" ht="15.75" customHeight="1" spans="1:2">
      <c r="A43953" s="3" t="str">
        <f>IFERROR(__xludf.DUMMYFUNCTION("GOOGLETRANSLATE(A43953,""en"",""pt"")"),"Preço")</f>
        <v>Preço</v>
      </c>
      <c r="B43953" s="3">
        <v>1</v>
      </c>
    </row>
    <row r="43954" ht="15.75" customHeight="1" spans="1:2">
      <c r="A43954" s="3" t="str">
        <f>IFERROR(__xludf.DUMMYFUNCTION("GOOGLETRANSLATE(A43954,""en"",""pt"")"),"A + A clareza em altíssimas resoluções, muitas configurações útil e fácil, fácil de aprender, de cartão de 16MB")</f>
        <v>A + A clareza em altíssimas resoluções, muitas configurações útil e fácil, fácil de aprender, de cartão de 16MB</v>
      </c>
      <c r="B43954" s="3">
        <v>1</v>
      </c>
    </row>
    <row r="43955" ht="15.75" customHeight="1" spans="1:2">
      <c r="A43955" s="3" t="str">
        <f>IFERROR(__xludf.DUMMYFUNCTION("GOOGLETRANSLATE(A43955,""en"",""pt"")"),"Ótimo preço, resultados razoáveis")</f>
        <v>Ótimo preço, resultados razoáveis</v>
      </c>
      <c r="B43955" s="3">
        <v>1</v>
      </c>
    </row>
    <row r="43956" ht="15.75" customHeight="1" spans="1:2">
      <c r="A43956" s="3" t="str">
        <f>IFERROR(__xludf.DUMMYFUNCTION("GOOGLETRANSLATE(A43956,""en"",""pt"")"),"Barato, de alta resolução, transferência USB ultra-rápido")</f>
        <v>Barato, de alta resolução, transferência USB ultra-rápido</v>
      </c>
      <c r="B43956" s="3">
        <v>1</v>
      </c>
    </row>
    <row r="43957" ht="15.75" customHeight="1" spans="1:2">
      <c r="A43957" s="3" t="str">
        <f>IFERROR(__xludf.DUMMYFUNCTION("GOOGLETRANSLATE(A43957,""en"",""pt"")"),"A câmera é bastante fácil de usar.")</f>
        <v>A câmera é bastante fácil de usar.</v>
      </c>
      <c r="B43957" s="3">
        <v>1</v>
      </c>
    </row>
    <row r="43958" ht="15.75" customHeight="1" spans="1:2">
      <c r="A43958" s="3" t="str">
        <f>IFERROR(__xludf.DUMMYFUNCTION("GOOGLETRANSLATE(A43958,""en"",""pt"")"),"Fácil de usar, compacto, boa para o usuário iniciante, usa pilhas AA")</f>
        <v>Fácil de usar, compacto, boa para o usuário iniciante, usa pilhas AA</v>
      </c>
      <c r="B43958" s="3">
        <v>1</v>
      </c>
    </row>
    <row r="43959" ht="15.75" customHeight="1" spans="1:2">
      <c r="A43959" s="3" t="str">
        <f>IFERROR(__xludf.DUMMYFUNCTION("GOOGLETRANSLATE(A43959,""en"",""pt"")"),"vem com cartão de 16MB, autofoco, só usa 2 pilhas, preço")</f>
        <v>vem com cartão de 16MB, autofoco, só usa 2 pilhas, preço</v>
      </c>
      <c r="B43959" s="3">
        <v>1</v>
      </c>
    </row>
    <row r="43960" ht="15.75" customHeight="1" spans="1:2">
      <c r="A43960" s="3" t="str">
        <f>IFERROR(__xludf.DUMMYFUNCTION("GOOGLETRANSLATE(A43960,""en"",""pt"")"),"Fácil de usar, Grandes fotos")</f>
        <v>Fácil de usar, Grandes fotos</v>
      </c>
      <c r="B43960" s="3">
        <v>1</v>
      </c>
    </row>
    <row r="43961" ht="15.75" customHeight="1" spans="1:2">
      <c r="A43961" s="3" t="str">
        <f>IFERROR(__xludf.DUMMYFUNCTION("GOOGLETRANSLATE(A43961,""en"",""pt"")"),"zoom óptico, boa bateria, ecrã LCD")</f>
        <v>zoom óptico, boa bateria, ecrã LCD</v>
      </c>
      <c r="B43961" s="3">
        <v>1</v>
      </c>
    </row>
    <row r="43962" ht="15.75" customHeight="1" spans="1:2">
      <c r="A43962" s="3" t="str">
        <f>IFERROR(__xludf.DUMMYFUNCTION("GOOGLETRANSLATE(A43962,""en"",""pt"")"),"Excelente qualidade de imagem, compacto e pesa apenas cerca de 250 gramas, muitas funções, 16 mb")</f>
        <v>Excelente qualidade de imagem, compacto e pesa apenas cerca de 250 gramas, muitas funções, 16 mb</v>
      </c>
      <c r="B43962" s="3">
        <v>1</v>
      </c>
    </row>
    <row r="43963" ht="15.75" customHeight="1" spans="1:2">
      <c r="A43963" s="3" t="str">
        <f>IFERROR(__xludf.DUMMYFUNCTION("GOOGLETRANSLATE(A43963,""en"",""pt"")"),"tem grandes figuras com nenhuma curva de aprendizagem")</f>
        <v>tem grandes figuras com nenhuma curva de aprendizagem</v>
      </c>
      <c r="B43963" s="3">
        <v>1</v>
      </c>
    </row>
    <row r="43964" ht="15.75" customHeight="1" spans="1:2">
      <c r="A43964" s="3" t="str">
        <f>IFERROR(__xludf.DUMMYFUNCTION("GOOGLETRANSLATE(A43964,""en"",""pt"")"),"O tamanho pequeno, Zoom")</f>
        <v>O tamanho pequeno, Zoom</v>
      </c>
      <c r="B43964" s="3">
        <v>1</v>
      </c>
    </row>
    <row r="43965" ht="15.75" customHeight="1" spans="1:2">
      <c r="A43965" s="3" t="str">
        <f>IFERROR(__xludf.DUMMYFUNCTION("GOOGLETRANSLATE(A43965,""en"",""pt"")"),"Instantâneo?")</f>
        <v>Instantâneo?</v>
      </c>
      <c r="B43965" s="3">
        <v>1</v>
      </c>
    </row>
    <row r="43966" ht="15.75" customHeight="1" spans="1:2">
      <c r="A43966" s="3" t="str">
        <f>IFERROR(__xludf.DUMMYFUNCTION("GOOGLETRANSLATE(A43966,""en"",""pt"")"),"Fácil de usar, atraente, pequeno &amp; amp; luz.")</f>
        <v>Fácil de usar, atraente, pequeno &amp; amp; luz.</v>
      </c>
      <c r="B43966" s="3">
        <v>1</v>
      </c>
    </row>
    <row r="43967" ht="15.75" customHeight="1" spans="1:2">
      <c r="A43967" s="3" t="str">
        <f>IFERROR(__xludf.DUMMYFUNCTION("GOOGLETRANSLATE(A43967,""en"",""pt"")"),"câmera digital bom nível de entrada com vários recursos manuais")</f>
        <v>câmera digital bom nível de entrada com vários recursos manuais</v>
      </c>
      <c r="B43967" s="3">
        <v>1</v>
      </c>
    </row>
    <row r="43968" ht="15.75" customHeight="1" spans="1:2">
      <c r="A43968" s="3" t="str">
        <f>IFERROR(__xludf.DUMMYFUNCTION("GOOGLETRANSLATE(A43968,""en"",""pt"")"),"Leve, 6X Zoom óptico, tem excelentes fotos de qualidade")</f>
        <v>Leve, 6X Zoom óptico, tem excelentes fotos de qualidade</v>
      </c>
      <c r="B43968" s="3">
        <v>1</v>
      </c>
    </row>
    <row r="43969" ht="15.75" customHeight="1" spans="1:2">
      <c r="A43969" s="3" t="str">
        <f>IFERROR(__xludf.DUMMYFUNCTION("GOOGLETRANSLATE(A43969,""en"",""pt"")"),"Grande qualidade da foto. Fácil de usar point &amp; amp; shoot com zoom agradável. Webcam")</f>
        <v>Grande qualidade da foto. Fácil de usar point &amp; amp; shoot com zoom agradável. Webcam</v>
      </c>
      <c r="B43969" s="3">
        <v>1</v>
      </c>
    </row>
    <row r="43970" ht="15.75" customHeight="1" spans="1:2">
      <c r="A43970" s="3" t="str">
        <f>IFERROR(__xludf.DUMMYFUNCTION("GOOGLETRANSLATE(A43970,""en"",""pt"")"),"O peso leve, compacto e elegante, bom valor para os recursos, grandes fotos.")</f>
        <v>O peso leve, compacto e elegante, bom valor para os recursos, grandes fotos.</v>
      </c>
      <c r="B43970" s="3">
        <v>1</v>
      </c>
    </row>
    <row r="43971" ht="15.75" customHeight="1" spans="1:2">
      <c r="A43971" s="3" t="str">
        <f>IFERROR(__xludf.DUMMYFUNCTION("GOOGLETRANSLATE(A43971,""en"",""pt"")"),"Excelente qualidade de fotografia e de ser capaz de gravar seus próprios filmes!")</f>
        <v>Excelente qualidade de fotografia e de ser capaz de gravar seus próprios filmes!</v>
      </c>
      <c r="B43971" s="3">
        <v>1</v>
      </c>
    </row>
    <row r="43972" ht="15.75" customHeight="1" spans="1:2">
      <c r="A43972" s="3" t="str">
        <f>IFERROR(__xludf.DUMMYFUNCTION("GOOGLETRANSLATE(A43972,""en"",""pt"")"),"6x zoom óptico; Otima qualidade; modo de filme; leve")</f>
        <v>6x zoom óptico; Otima qualidade; modo de filme; leve</v>
      </c>
      <c r="B43972" s="3">
        <v>1</v>
      </c>
    </row>
    <row r="43973" ht="15.75" customHeight="1" spans="1:2">
      <c r="A43973" s="3" t="str">
        <f>IFERROR(__xludf.DUMMYFUNCTION("GOOGLETRANSLATE(A43973,""en"",""pt"")"),"qualidade de imagem, zoom óptico de 6x, tamanho")</f>
        <v>qualidade de imagem, zoom óptico de 6x, tamanho</v>
      </c>
      <c r="B43973" s="3">
        <v>1</v>
      </c>
    </row>
    <row r="43974" ht="15.75" customHeight="1" spans="1:2">
      <c r="A43974" s="3" t="str">
        <f>IFERROR(__xludf.DUMMYFUNCTION("GOOGLETRANSLATE(A43974,""en"",""pt"")"),"incrível qualidade de imagem, zoom óptico de 6x, modo de vídeo, controles manuais")</f>
        <v>incrível qualidade de imagem, zoom óptico de 6x, modo de vídeo, controles manuais</v>
      </c>
      <c r="B43974" s="3">
        <v>1</v>
      </c>
    </row>
    <row r="43975" ht="15.75" customHeight="1" spans="1:2">
      <c r="A43975" s="3" t="str">
        <f>IFERROR(__xludf.DUMMYFUNCTION("GOOGLETRANSLATE(A43975,""en"",""pt"")"),"Facilidade de uso, ótimas fotos e olhares quentes")</f>
        <v>Facilidade de uso, ótimas fotos e olhares quentes</v>
      </c>
      <c r="B43975" s="3">
        <v>1</v>
      </c>
    </row>
    <row r="43976" ht="15.75" customHeight="1" spans="1:2">
      <c r="A43976" s="3" t="str">
        <f>IFERROR(__xludf.DUMMYFUNCTION("GOOGLETRANSLATE(A43976,""en"",""pt"")"),"câmera bonito, excelente representação de cores")</f>
        <v>câmera bonito, excelente representação de cores</v>
      </c>
      <c r="B43976" s="3">
        <v>1</v>
      </c>
    </row>
    <row r="43977" ht="15.75" customHeight="1" spans="1:2">
      <c r="A43977" s="3" t="str">
        <f>IFERROR(__xludf.DUMMYFUNCTION("GOOGLETRANSLATE(A43977,""en"",""pt"")"),"Grande zoom óptico, menus fáceis, de boa qualidade")</f>
        <v>Grande zoom óptico, menus fáceis, de boa qualidade</v>
      </c>
      <c r="B43977" s="3">
        <v>1</v>
      </c>
    </row>
    <row r="43978" ht="15.75" customHeight="1" spans="1:2">
      <c r="A43978" s="3" t="str">
        <f>IFERROR(__xludf.DUMMYFUNCTION("GOOGLETRANSLATE(A43978,""en"",""pt"")"),"imagens brilhantes - perto tiros para cima são nítidas, claras. bonito como o inferno")</f>
        <v>imagens brilhantes - perto tiros para cima são nítidas, claras. bonito como o inferno</v>
      </c>
      <c r="B43978" s="3">
        <v>1</v>
      </c>
    </row>
    <row r="43979" ht="15.75" customHeight="1" spans="1:2">
      <c r="A43979" s="3" t="str">
        <f>IFERROR(__xludf.DUMMYFUNCTION("GOOGLETRANSLATE(A43979,""en"",""pt"")"),"Grande zoom, baterias recarregáveis, qualidade maravilhosa")</f>
        <v>Grande zoom, baterias recarregáveis, qualidade maravilhosa</v>
      </c>
      <c r="B43979" s="3">
        <v>1</v>
      </c>
    </row>
    <row r="43980" ht="15.75" customHeight="1" spans="1:2">
      <c r="A43980" s="3" t="str">
        <f>IFERROR(__xludf.DUMMYFUNCTION("GOOGLETRANSLATE(A43980,""en"",""pt"")"),"Excelente desempenho em cenas bem iluminadas, preço, resolução, recursos, fácil de usar")</f>
        <v>Excelente desempenho em cenas bem iluminadas, preço, resolução, recursos, fácil de usar</v>
      </c>
      <c r="B43980" s="3">
        <v>1</v>
      </c>
    </row>
    <row r="43981" ht="15.75" customHeight="1" spans="1:2">
      <c r="A43981" s="3" t="str">
        <f>IFERROR(__xludf.DUMMYFUNCTION("GOOGLETRANSLATE(A43981,""en"",""pt"")"),"imagens cristalinas")</f>
        <v>imagens cristalinas</v>
      </c>
      <c r="B43981" s="3">
        <v>1</v>
      </c>
    </row>
    <row r="43982" ht="15.75" customHeight="1" spans="1:2">
      <c r="A43982" s="3" t="str">
        <f>IFERROR(__xludf.DUMMYFUNCTION("GOOGLETRANSLATE(A43982,""en"",""pt"")"),"6X Zoom Óptico. Facilmente se conecta ao PC. Memória expansível. Professional Camera sente.")</f>
        <v>6X Zoom Óptico. Facilmente se conecta ao PC. Memória expansível. Professional Camera sente.</v>
      </c>
      <c r="B43982" s="3">
        <v>1</v>
      </c>
    </row>
    <row r="43983" ht="15.75" customHeight="1" spans="1:2">
      <c r="A43983" s="3" t="str">
        <f>IFERROR(__xludf.DUMMYFUNCTION("GOOGLETRANSLATE(A43983,""en"",""pt"")"),"Esta câmera tira fotos excelentes e é muito fácil de transferi-los para o computador.")</f>
        <v>Esta câmera tira fotos excelentes e é muito fácil de transferi-los para o computador.</v>
      </c>
      <c r="B43983" s="3">
        <v>1</v>
      </c>
    </row>
    <row r="43984" ht="15.75" customHeight="1" spans="1:2">
      <c r="A43984" s="3" t="str">
        <f>IFERROR(__xludf.DUMMYFUNCTION("GOOGLETRANSLATE(A43984,""en"",""pt"")"),"Compacto, fácil de usar, ótimas fotos na tela.")</f>
        <v>Compacto, fácil de usar, ótimas fotos na tela.</v>
      </c>
      <c r="B43984" s="3">
        <v>1</v>
      </c>
    </row>
    <row r="43985" ht="15.75" customHeight="1" spans="1:2">
      <c r="A43985" s="3" t="str">
        <f>IFERROR(__xludf.DUMMYFUNCTION("GOOGLETRANSLATE(A43985,""en"",""pt"")"),"Superior qualidade ao ar livre fotos em grandes condições de luz, fácil de operar, muito amigável.")</f>
        <v>Superior qualidade ao ar livre fotos em grandes condições de luz, fácil de operar, muito amigável.</v>
      </c>
      <c r="B43985" s="3">
        <v>1</v>
      </c>
    </row>
    <row r="43986" ht="15.75" customHeight="1" spans="1:2">
      <c r="A43986" s="3" t="str">
        <f>IFERROR(__xludf.DUMMYFUNCTION("GOOGLETRANSLATE(A43986,""en"",""pt"")"),"grande lente zoom")</f>
        <v>grande lente zoom</v>
      </c>
      <c r="B43986" s="3">
        <v>1</v>
      </c>
    </row>
    <row r="43987" ht="15.75" customHeight="1" spans="1:2">
      <c r="A43987" s="3" t="str">
        <f>IFERROR(__xludf.DUMMYFUNCTION("GOOGLETRANSLATE(A43987,""en"",""pt"")"),"Pequeno e compacto. Tem excelentes 6 vezes de zoom óptico para o preço. Excelentes fotos.")</f>
        <v>Pequeno e compacto. Tem excelentes 6 vezes de zoom óptico para o preço. Excelentes fotos.</v>
      </c>
      <c r="B43987" s="3">
        <v>1</v>
      </c>
    </row>
    <row r="43988" ht="15.75" customHeight="1" spans="1:2">
      <c r="A43988" s="3" t="str">
        <f>IFERROR(__xludf.DUMMYFUNCTION("GOOGLETRANSLATE(A43988,""en"",""pt"")"),"grandes imagens, recursos extras, fácil de usar, e um bom software incluídos")</f>
        <v>grandes imagens, recursos extras, fácil de usar, e um bom software incluídos</v>
      </c>
      <c r="B43988" s="3">
        <v>1</v>
      </c>
    </row>
    <row r="43989" ht="15.75" customHeight="1" spans="1:2">
      <c r="A43989" s="3" t="str">
        <f>IFERROR(__xludf.DUMMYFUNCTION("GOOGLETRANSLATE(A43989,""en"",""pt"")"),"6x Zoom,, formato de mídia comumente disponíveis, Toma fotos incríveis de 2 megapixel., Funcionalidade extra")</f>
        <v>6x Zoom,, formato de mídia comumente disponíveis, Toma fotos incríveis de 2 megapixel., Funcionalidade extra</v>
      </c>
      <c r="B43989" s="3">
        <v>1</v>
      </c>
    </row>
    <row r="43990" ht="15.75" customHeight="1" spans="1:2">
      <c r="A43990" s="3" t="str">
        <f>IFERROR(__xludf.DUMMYFUNCTION("GOOGLETRANSLATE(A43990,""en"",""pt"")"),"Excelente qualidade e valor para o dinheiro. Fácil de usar e surpreendentemente robusto. Bom zoom.")</f>
        <v>Excelente qualidade e valor para o dinheiro. Fácil de usar e surpreendentemente robusto. Bom zoom.</v>
      </c>
      <c r="B43990" s="3">
        <v>1</v>
      </c>
    </row>
    <row r="43991" ht="15.75" customHeight="1" spans="1:2">
      <c r="A43991" s="3" t="str">
        <f>IFERROR(__xludf.DUMMYFUNCTION("GOOGLETRANSLATE(A43991,""en"",""pt"")"),"Excelentes características para o preço, 6x zoom óptico, fabricante de filme com som.")</f>
        <v>Excelentes características para o preço, 6x zoom óptico, fabricante de filme com som.</v>
      </c>
      <c r="B43991" s="3">
        <v>1</v>
      </c>
    </row>
    <row r="43992" ht="15.75" customHeight="1" spans="1:2">
      <c r="A43992" s="3" t="str">
        <f>IFERROR(__xludf.DUMMYFUNCTION("GOOGLETRANSLATE(A43992,""en"",""pt"")"),"compacta, qualidade incrível, barato")</f>
        <v>compacta, qualidade incrível, barato</v>
      </c>
      <c r="B43992" s="3">
        <v>1</v>
      </c>
    </row>
    <row r="43993" ht="15.75" customHeight="1" spans="1:2">
      <c r="A43993" s="3" t="str">
        <f>IFERROR(__xludf.DUMMYFUNCTION("GOOGLETRANSLATE(A43993,""en"",""pt"")"),"Preço, 6x zoom, a qualidade de imagem")</f>
        <v>Preço, 6x zoom, a qualidade de imagem</v>
      </c>
      <c r="B43993" s="3">
        <v>1</v>
      </c>
    </row>
    <row r="43994" ht="15.75" customHeight="1" spans="1:2">
      <c r="A43994" s="3" t="str">
        <f>IFERROR(__xludf.DUMMYFUNCTION("GOOGLETRANSLATE(A43994,""en"",""pt"")"),"Pequeno, design durável, zoom óptico de 6x, foto bonita de qualidade!")</f>
        <v>Pequeno, design durável, zoom óptico de 6x, foto bonita de qualidade!</v>
      </c>
      <c r="B43994" s="3">
        <v>1</v>
      </c>
    </row>
    <row r="43995" ht="15.75" customHeight="1" spans="1:2">
      <c r="A43995" s="3" t="str">
        <f>IFERROR(__xludf.DUMMYFUNCTION("GOOGLETRANSLATE(A43995,""en"",""pt"")"),"leve, fácil de usar, 6x zoom óptico, visor óptico")</f>
        <v>leve, fácil de usar, 6x zoom óptico, visor óptico</v>
      </c>
      <c r="B43995" s="3">
        <v>1</v>
      </c>
    </row>
    <row r="43996" ht="15.75" customHeight="1" spans="1:2">
      <c r="A43996" s="3" t="str">
        <f>IFERROR(__xludf.DUMMYFUNCTION("GOOGLETRANSLATE(A43996,""en"",""pt"")"),"Facilidade de uso, qualidade pelos preços, bem equilibrado")</f>
        <v>Facilidade de uso, qualidade pelos preços, bem equilibrado</v>
      </c>
      <c r="B43996" s="3">
        <v>1</v>
      </c>
    </row>
    <row r="43997" ht="15.75" customHeight="1" spans="1:2">
      <c r="A43997" s="3" t="str">
        <f>IFERROR(__xludf.DUMMYFUNCTION("GOOGLETRANSLATE(A43997,""en"",""pt"")"),"peso leve, zoom óptico de 6x, conecta-se facilmente a computadores")</f>
        <v>peso leve, zoom óptico de 6x, conecta-se facilmente a computadores</v>
      </c>
      <c r="B43997" s="3">
        <v>1</v>
      </c>
    </row>
    <row r="43998" ht="15.75" customHeight="1" spans="1:2">
      <c r="A43998" s="3" t="str">
        <f>IFERROR(__xludf.DUMMYFUNCTION("GOOGLETRANSLATE(A43998,""en"",""pt"")"),"Excelente qualidade de foto, facilidade de uso, EVF")</f>
        <v>Excelente qualidade de foto, facilidade de uso, EVF</v>
      </c>
      <c r="B43998" s="3">
        <v>1</v>
      </c>
    </row>
    <row r="43999" ht="15.75" customHeight="1" spans="1:2">
      <c r="A43999" s="3" t="str">
        <f>IFERROR(__xludf.DUMMYFUNCTION("GOOGLETRANSLATE(A43999,""en"",""pt"")"),"muito bom zoom óptico, muito boa qualidade de imagem, mesmo em 1M resolução Fina")</f>
        <v>muito bom zoom óptico, muito boa qualidade de imagem, mesmo em 1M resolução Fina</v>
      </c>
      <c r="B43999" s="3">
        <v>1</v>
      </c>
    </row>
    <row r="44000" ht="15.75" customHeight="1" spans="1:2">
      <c r="A44000" s="3" t="str">
        <f>IFERROR(__xludf.DUMMYFUNCTION("GOOGLETRANSLATE(A44000,""en"",""pt"")"),"Como cerca de um zoom óptico de 6x !!!")</f>
        <v>Como cerca de um zoom óptico de 6x !!!</v>
      </c>
      <c r="B44000" s="3">
        <v>1</v>
      </c>
    </row>
    <row r="44001" ht="15.75" customHeight="1" spans="1:2">
      <c r="A44001" s="3" t="str">
        <f>IFERROR(__xludf.DUMMYFUNCTION("GOOGLETRANSLATE(A44001,""en"",""pt"")"),"Boa qualidade de imagem, grandes recursos. Fácil de usar. Excelente zoom óptico. Grava vídeo w / audio.")</f>
        <v>Boa qualidade de imagem, grandes recursos. Fácil de usar. Excelente zoom óptico. Grava vídeo w / audio.</v>
      </c>
      <c r="B44001" s="3">
        <v>1</v>
      </c>
    </row>
    <row r="44002" ht="15.75" customHeight="1" spans="1:2">
      <c r="A44002" s="3" t="str">
        <f>IFERROR(__xludf.DUMMYFUNCTION("GOOGLETRANSLATE(A44002,""en"",""pt"")"),"zoom de 6x, leve, grande software compacto")</f>
        <v>zoom de 6x, leve, grande software compacto</v>
      </c>
      <c r="B44002" s="3">
        <v>1</v>
      </c>
    </row>
    <row r="44003" ht="15.75" customHeight="1" spans="1:2">
      <c r="A44003" s="3" t="str">
        <f>IFERROR(__xludf.DUMMYFUNCTION("GOOGLETRANSLATE(A44003,""en"",""pt"")"),"Fácil de usar, grandes imagens, com zoom de 6x, peso leve, baterias AA e menus intuitivos,")</f>
        <v>Fácil de usar, grandes imagens, com zoom de 6x, peso leve, baterias AA e menus intuitivos,</v>
      </c>
      <c r="B44003" s="3">
        <v>1</v>
      </c>
    </row>
    <row r="44004" ht="15.75" customHeight="1" spans="1:2">
      <c r="A44004" s="3" t="str">
        <f>IFERROR(__xludf.DUMMYFUNCTION("GOOGLETRANSLATE(A44004,""en"",""pt"")"),"3 Mpixel CCD, excelente lente zoom, Outsanding qualidade de imagem no modo automático.")</f>
        <v>3 Mpixel CCD, excelente lente zoom, Outsanding qualidade de imagem no modo automático.</v>
      </c>
      <c r="B44004" s="3">
        <v>1</v>
      </c>
    </row>
    <row r="44005" ht="15.75" customHeight="1" spans="1:2">
      <c r="A44005" s="3" t="str">
        <f>IFERROR(__xludf.DUMMYFUNCTION("GOOGLETRANSLATE(A44005,""en"",""pt"")"),"tempo de reciclagem rápido, 3Mpixel, thru-lens visor, 6x zoom, software")</f>
        <v>tempo de reciclagem rápido, 3Mpixel, thru-lens visor, 6x zoom, software</v>
      </c>
      <c r="B44005" s="3">
        <v>1</v>
      </c>
    </row>
    <row r="44006" ht="15.75" customHeight="1" spans="1:2">
      <c r="A44006" s="3" t="str">
        <f>IFERROR(__xludf.DUMMYFUNCTION("GOOGLETRANSLATE(A44006,""en"",""pt"")"),"zoom, preço, qualidade de imagem")</f>
        <v>zoom, preço, qualidade de imagem</v>
      </c>
      <c r="B44006" s="3">
        <v>1</v>
      </c>
    </row>
    <row r="44007" ht="15.75" customHeight="1" spans="1:2">
      <c r="A44007" s="3" t="str">
        <f>IFERROR(__xludf.DUMMYFUNCTION("GOOGLETRANSLATE(A44007,""en"",""pt"")"),"Fácil de usar, excelente qualidade de imagem, fácil de usar software incluído.")</f>
        <v>Fácil de usar, excelente qualidade de imagem, fácil de usar software incluído.</v>
      </c>
      <c r="B44007" s="3">
        <v>1</v>
      </c>
    </row>
    <row r="44008" ht="15.75" customHeight="1" spans="1:2">
      <c r="A44008" s="3" t="str">
        <f>IFERROR(__xludf.DUMMYFUNCTION("GOOGLETRANSLATE(A44008,""en"",""pt"")"),"Impressionante desempenho, fotos excelentes e nítidas imagens, grandes Tele-Photo")</f>
        <v>Impressionante desempenho, fotos excelentes e nítidas imagens, grandes Tele-Photo</v>
      </c>
      <c r="B44008" s="3">
        <v>1</v>
      </c>
    </row>
    <row r="44009" ht="15.75" customHeight="1" spans="1:2">
      <c r="A44009" s="3" t="str">
        <f>IFERROR(__xludf.DUMMYFUNCTION("GOOGLETRANSLATE(A44009,""en"",""pt"")"),"zoom óptico de 6x, pilhas AA, fácil ponto e modo de disparo.")</f>
        <v>zoom óptico de 6x, pilhas AA, fácil ponto e modo de disparo.</v>
      </c>
      <c r="B44009" s="3">
        <v>1</v>
      </c>
    </row>
    <row r="44010" ht="15.75" customHeight="1" spans="1:2">
      <c r="A44010" s="3" t="str">
        <f>IFERROR(__xludf.DUMMYFUNCTION("GOOGLETRANSLATE(A44010,""en"",""pt"")"),"qualidade de imagem, zoom, grande lcd")</f>
        <v>qualidade de imagem, zoom, grande lcd</v>
      </c>
      <c r="B44010" s="3">
        <v>1</v>
      </c>
    </row>
    <row r="44011" ht="15.75" customHeight="1" spans="1:2">
      <c r="A44011" s="3" t="str">
        <f>IFERROR(__xludf.DUMMYFUNCTION("GOOGLETRANSLATE(A44011,""en"",""pt"")"),"Facilidade de uso e fotos maravilhosas! Grandes fotos e fácil de aprender!")</f>
        <v>Facilidade de uso e fotos maravilhosas! Grandes fotos e fácil de aprender!</v>
      </c>
      <c r="B44011" s="3">
        <v>1</v>
      </c>
    </row>
    <row r="44012" ht="15.75" customHeight="1" spans="1:2">
      <c r="A44012" s="3" t="str">
        <f>IFERROR(__xludf.DUMMYFUNCTION("GOOGLETRANSLATE(A44012,""en"",""pt"")"),"leve e muito confiável")</f>
        <v>leve e muito confiável</v>
      </c>
      <c r="B44012" s="3">
        <v>1</v>
      </c>
    </row>
    <row r="44013" ht="15.75" customHeight="1" spans="1:2">
      <c r="A44013" s="3" t="str">
        <f>IFERROR(__xludf.DUMMYFUNCTION("GOOGLETRANSLATE(A44013,""en"",""pt"")"),"recurso de economia de bateria, com zoom de 6x, incrível !, recurso macro, bom !, downloads fácil, filmes 30-60 seg WOW!")</f>
        <v>recurso de economia de bateria, com zoom de 6x, incrível !, recurso macro, bom !, downloads fácil, filmes 30-60 seg WOW!</v>
      </c>
      <c r="B44013" s="3">
        <v>1</v>
      </c>
    </row>
    <row r="44014" ht="15.75" customHeight="1" spans="1:2">
      <c r="A44014" s="3" t="str">
        <f>IFERROR(__xludf.DUMMYFUNCTION("GOOGLETRANSLATE(A44014,""en"",""pt"")"),"6X Zoom Óptico, 3,3 MP Imagens, Modo de Filme com som, Fuji Marca")</f>
        <v>6X Zoom Óptico, 3,3 MP Imagens, Modo de Filme com som, Fuji Marca</v>
      </c>
      <c r="B44014" s="3">
        <v>1</v>
      </c>
    </row>
    <row r="44015" ht="15.75" customHeight="1" spans="1:2">
      <c r="A44015" s="3" t="str">
        <f>IFERROR(__xludf.DUMMYFUNCTION("GOOGLETRANSLATE(A44015,""en"",""pt"")"),"Muito fácil de usar, boa qualidade")</f>
        <v>Muito fácil de usar, boa qualidade</v>
      </c>
      <c r="B44015" s="3">
        <v>1</v>
      </c>
    </row>
    <row r="44016" ht="15.75" customHeight="1" spans="1:2">
      <c r="A44016" s="3" t="str">
        <f>IFERROR(__xludf.DUMMYFUNCTION("GOOGLETRANSLATE(A44016,""en"",""pt"")"),"Excelente desempenho para o preço")</f>
        <v>Excelente desempenho para o preço</v>
      </c>
      <c r="B44016" s="3">
        <v>1</v>
      </c>
    </row>
    <row r="44017" ht="15.75" customHeight="1" spans="1:2">
      <c r="A44017" s="3" t="str">
        <f>IFERROR(__xludf.DUMMYFUNCTION("GOOGLETRANSLATE(A44017,""en"",""pt"")"),"ZOOM, a dupla afixação de LCD, Grande Menus, pode ser totalmente manual, mas totalmente automático, etc ......")</f>
        <v>ZOOM, a dupla afixação de LCD, Grande Menus, pode ser totalmente manual, mas totalmente automático, etc ......</v>
      </c>
      <c r="B44017" s="3">
        <v>1</v>
      </c>
    </row>
    <row r="44018" ht="15.75" customHeight="1" spans="1:2">
      <c r="A44018" s="3" t="str">
        <f>IFERROR(__xludf.DUMMYFUNCTION("GOOGLETRANSLATE(A44018,""en"",""pt"")"),"Usa pilhas AA! Sente grande em suas mãos. Boas fotos.")</f>
        <v>Usa pilhas AA! Sente grande em suas mãos. Boas fotos.</v>
      </c>
      <c r="B44018" s="3">
        <v>1</v>
      </c>
    </row>
    <row r="44019" ht="15.75" customHeight="1" spans="1:2">
      <c r="A44019" s="3" t="str">
        <f>IFERROR(__xludf.DUMMYFUNCTION("GOOGLETRANSLATE(A44019,""en"",""pt"")"),"6x zoom óptico, menus intuitivos, viewfinder (dia / anoitecer)")</f>
        <v>6x zoom óptico, menus intuitivos, viewfinder (dia / anoitecer)</v>
      </c>
      <c r="B44019" s="3">
        <v>1</v>
      </c>
    </row>
    <row r="44020" ht="15.75" customHeight="1" spans="1:2">
      <c r="A44020" s="3" t="str">
        <f>IFERROR(__xludf.DUMMYFUNCTION("GOOGLETRANSLATE(A44020,""en"",""pt"")"),"FinePix é certo sobre o dinheiro")</f>
        <v>FinePix é certo sobre o dinheiro</v>
      </c>
      <c r="B44020" s="3">
        <v>1</v>
      </c>
    </row>
    <row r="44021" ht="15.75" customHeight="1" spans="1:2">
      <c r="A44021" s="3" t="str">
        <f>IFERROR(__xludf.DUMMYFUNCTION("GOOGLETRANSLATE(A44021,""en"",""pt"")"),"boa zoom")</f>
        <v>boa zoom</v>
      </c>
      <c r="B44021" s="3">
        <v>1</v>
      </c>
    </row>
    <row r="44022" ht="15.75" customHeight="1" spans="1:2">
      <c r="A44022" s="3" t="str">
        <f>IFERROR(__xludf.DUMMYFUNCTION("GOOGLETRANSLATE(A44022,""en"",""pt"")"),"Fácil e divertido de usar, grande foto, e qualidade de vídeo")</f>
        <v>Fácil e divertido de usar, grande foto, e qualidade de vídeo</v>
      </c>
      <c r="B44022" s="3">
        <v>1</v>
      </c>
    </row>
    <row r="44023" ht="15.75" customHeight="1" spans="1:2">
      <c r="A44023" s="3" t="str">
        <f>IFERROR(__xludf.DUMMYFUNCTION("GOOGLETRANSLATE(A44023,""en"",""pt"")"),"Grande resolução, excelente zoom")</f>
        <v>Grande resolução, excelente zoom</v>
      </c>
      <c r="B44023" s="3">
        <v>1</v>
      </c>
    </row>
    <row r="44024" ht="15.75" customHeight="1" spans="1:2">
      <c r="A44024" s="3" t="str">
        <f>IFERROR(__xludf.DUMMYFUNCTION("GOOGLETRANSLATE(A44024,""en"",""pt"")"),"Até 100 imagens por cartão de memória., Não há mais filme desenvolvendo!")</f>
        <v>Até 100 imagens por cartão de memória., Não há mais filme desenvolvendo!</v>
      </c>
      <c r="B44024" s="3">
        <v>1</v>
      </c>
    </row>
    <row r="44025" ht="15.75" customHeight="1" spans="1:2">
      <c r="A44025" s="3" t="str">
        <f>IFERROR(__xludf.DUMMYFUNCTION("GOOGLETRANSLATE(A44025,""en"",""pt"")"),"excelente qualidade de imagem, bom zoom, transferência de imagem rápido.")</f>
        <v>excelente qualidade de imagem, bom zoom, transferência de imagem rápido.</v>
      </c>
      <c r="B44025" s="3">
        <v>1</v>
      </c>
    </row>
    <row r="44026" ht="15.75" customHeight="1" spans="1:2">
      <c r="A44026" s="3" t="str">
        <f>IFERROR(__xludf.DUMMYFUNCTION("GOOGLETRANSLATE(A44026,""en"",""pt"")"),"Os botões não são confusas, e você pode apontar e disparar com a câmara")</f>
        <v>Os botões não são confusas, e você pode apontar e disparar com a câmara</v>
      </c>
      <c r="B44026" s="3">
        <v>1</v>
      </c>
    </row>
    <row r="44027" ht="15.75" customHeight="1" spans="1:2">
      <c r="A44027" s="3" t="str">
        <f>IFERROR(__xludf.DUMMYFUNCTION("GOOGLETRANSLATE(A44027,""en"",""pt"")"),"Amigo do usuário. pilhas AA. Otima qualidade.")</f>
        <v>Amigo do usuário. pilhas AA. Otima qualidade.</v>
      </c>
      <c r="B44027" s="3">
        <v>1</v>
      </c>
    </row>
    <row r="44028" ht="15.75" customHeight="1" spans="1:2">
      <c r="A44028" s="3" t="str">
        <f>IFERROR(__xludf.DUMMYFUNCTION("GOOGLETRANSLATE(A44028,""en"",""pt"")"),"grande qualidade, tem clips de vídeo, fácil de usar, bom zoom, funciona como um HD.")</f>
        <v>grande qualidade, tem clips de vídeo, fácil de usar, bom zoom, funciona como um HD.</v>
      </c>
      <c r="B44028" s="3">
        <v>1</v>
      </c>
    </row>
    <row r="44029" ht="15.75" customHeight="1" spans="1:2">
      <c r="A44029" s="3" t="str">
        <f>IFERROR(__xludf.DUMMYFUNCTION("GOOGLETRANSLATE(A44029,""en"",""pt"")"),"Fácil de usar - botões muito lógicas")</f>
        <v>Fácil de usar - botões muito lógicas</v>
      </c>
      <c r="B44029" s="3">
        <v>1</v>
      </c>
    </row>
    <row r="44030" ht="15.75" customHeight="1" spans="1:2">
      <c r="A44030" s="3" t="str">
        <f>IFERROR(__xludf.DUMMYFUNCTION("GOOGLETRANSLATE(A44030,""en"",""pt"")"),"Grande qualidade fotos, fácil de usar, confortável na mão, muitas opções!")</f>
        <v>Grande qualidade fotos, fácil de usar, confortável na mão, muitas opções!</v>
      </c>
      <c r="B44030" s="3">
        <v>1</v>
      </c>
    </row>
    <row r="44031" ht="15.75" customHeight="1" spans="1:2">
      <c r="A44031" s="3" t="str">
        <f>IFERROR(__xludf.DUMMYFUNCTION("GOOGLETRANSLATE(A44031,""en"",""pt"")"),"Estrondo para o fanfarrão! Excelente qualidade de imagem. 35MM ""sentir"".")</f>
        <v>Estrondo para o fanfarrão! Excelente qualidade de imagem. 35MM "sentir".</v>
      </c>
      <c r="B44031" s="3">
        <v>1</v>
      </c>
    </row>
    <row r="44032" ht="15.75" customHeight="1" spans="1:2">
      <c r="A44032" s="3" t="str">
        <f>IFERROR(__xludf.DUMMYFUNCTION("GOOGLETRANSLATE(A44032,""en"",""pt"")"),"Fácil de usar, excelente qualidade de imagem,")</f>
        <v>Fácil de usar, excelente qualidade de imagem,</v>
      </c>
      <c r="B44032" s="3">
        <v>1</v>
      </c>
    </row>
    <row r="44033" ht="15.75" customHeight="1" spans="1:2">
      <c r="A44033" s="3" t="str">
        <f>IFERROR(__xludf.DUMMYFUNCTION("GOOGLETRANSLATE(A44033,""en"",""pt"")"),"Imagens claras, de fácil utilização, com zoom de 6x, bonito")</f>
        <v>Imagens claras, de fácil utilização, com zoom de 6x, bonito</v>
      </c>
      <c r="B44033" s="3">
        <v>1</v>
      </c>
    </row>
    <row r="44034" ht="15.75" customHeight="1" spans="1:2">
      <c r="A44034" s="3" t="str">
        <f>IFERROR(__xludf.DUMMYFUNCTION("GOOGLETRANSLATE(A44034,""en"",""pt"")"),"Excelente qualidade de imagem, fácil de usar.")</f>
        <v>Excelente qualidade de imagem, fácil de usar.</v>
      </c>
      <c r="B44034" s="3">
        <v>1</v>
      </c>
    </row>
    <row r="44035" ht="15.75" customHeight="1" spans="1:2">
      <c r="A44035" s="3" t="str">
        <f>IFERROR(__xludf.DUMMYFUNCTION("GOOGLETRANSLATE(A44035,""en"",""pt"")"),"Boa qualidade para o preço relativamente baixo.")</f>
        <v>Boa qualidade para o preço relativamente baixo.</v>
      </c>
      <c r="B44035" s="3">
        <v>1</v>
      </c>
    </row>
    <row r="44036" ht="15.75" customHeight="1" spans="1:2">
      <c r="A44036" s="3" t="str">
        <f>IFERROR(__xludf.DUMMYFUNCTION("GOOGLETRANSLATE(A44036,""en"",""pt"")"),"Preço, qualidade, de fácil utilização, peso leve, grandes resultados.")</f>
        <v>Preço, qualidade, de fácil utilização, peso leve, grandes resultados.</v>
      </c>
      <c r="B44036" s="3">
        <v>1</v>
      </c>
    </row>
    <row r="44037" ht="15.75" customHeight="1" spans="1:2">
      <c r="A44037" s="3" t="str">
        <f>IFERROR(__xludf.DUMMYFUNCTION("GOOGLETRANSLATE(A44037,""en"",""pt"")"),"características de mega, fotos excelentes, interface de software de fácil utilização")</f>
        <v>características de mega, fotos excelentes, interface de software de fácil utilização</v>
      </c>
      <c r="B44037" s="3">
        <v>1</v>
      </c>
    </row>
    <row r="44038" ht="15.75" customHeight="1" spans="1:2">
      <c r="A44038" s="3" t="str">
        <f>IFERROR(__xludf.DUMMYFUNCTION("GOOGLETRANSLATE(A44038,""en"",""pt"")"),"Perfeito para apontar e disparar e qualidade também.")</f>
        <v>Perfeito para apontar e disparar e qualidade também.</v>
      </c>
      <c r="B44038" s="3">
        <v>1</v>
      </c>
    </row>
    <row r="44039" ht="15.75" customHeight="1" spans="1:2">
      <c r="A44039" s="3" t="str">
        <f>IFERROR(__xludf.DUMMYFUNCTION("GOOGLETRANSLATE(A44039,""en"",""pt"")"),"unidade compacta com muitos recursos, e bom para o meu trabalho e uso doméstico.")</f>
        <v>unidade compacta com muitos recursos, e bom para o meu trabalho e uso doméstico.</v>
      </c>
      <c r="B44039" s="3">
        <v>1</v>
      </c>
    </row>
    <row r="44040" ht="15.75" customHeight="1" spans="1:2">
      <c r="A44040" s="3" t="str">
        <f>IFERROR(__xludf.DUMMYFUNCTION("GOOGLETRANSLATE(A44040,""en"",""pt"")"),"Bom preço, grande zoom, SLR ""sensação"", bons médicos, leve, controles fáceis")</f>
        <v>Bom preço, grande zoom, SLR "sensação", bons médicos, leve, controles fáceis</v>
      </c>
      <c r="B44040" s="3">
        <v>1</v>
      </c>
    </row>
    <row r="44041" ht="15.75" customHeight="1" spans="1:2">
      <c r="A44041" s="3" t="str">
        <f>IFERROR(__xludf.DUMMYFUNCTION("GOOGLETRANSLATE(A44041,""en"",""pt"")"),"Fácil de segurar, nenhum movimento, sempre levando imagem. Grande fonte no menu &amp; amp; CONDUZIU")</f>
        <v>Fácil de segurar, nenhum movimento, sempre levando imagem. Grande fonte no menu &amp; amp; CONDUZIU</v>
      </c>
      <c r="B44041" s="3">
        <v>1</v>
      </c>
    </row>
    <row r="44042" ht="15.75" customHeight="1" spans="1:2">
      <c r="A44042" s="3" t="str">
        <f>IFERROR(__xludf.DUMMYFUNCTION("GOOGLETRANSLATE(A44042,""en"",""pt"")"),"Ver janela, facilidade de uso, imagens claras, zoom óptico de 6x")</f>
        <v>Ver janela, facilidade de uso, imagens claras, zoom óptico de 6x</v>
      </c>
      <c r="B44042" s="3">
        <v>1</v>
      </c>
    </row>
    <row r="44043" ht="15.75" customHeight="1" spans="1:2">
      <c r="A44043" s="3" t="str">
        <f>IFERROR(__xludf.DUMMYFUNCTION("GOOGLETRANSLATE(A44043,""en"",""pt"")"),"A tela de visualização decente, meios de armazenamento mutáveis, capacidades multimídia, gravação de vídeo curto")</f>
        <v>A tela de visualização decente, meios de armazenamento mutáveis, capacidades multimídia, gravação de vídeo curto</v>
      </c>
      <c r="B44043" s="3">
        <v>1</v>
      </c>
    </row>
    <row r="44044" ht="15.75" customHeight="1" spans="1:2">
      <c r="A44044" s="3" t="str">
        <f>IFERROR(__xludf.DUMMYFUNCTION("GOOGLETRANSLATE(A44044,""en"",""pt"")"),"construção de qualidade extremamente alta / alta resolução / atraente")</f>
        <v>construção de qualidade extremamente alta / alta resolução / atraente</v>
      </c>
      <c r="B44044" s="3">
        <v>1</v>
      </c>
    </row>
    <row r="44045" ht="15.75" customHeight="1" spans="1:2">
      <c r="A44045" s="3" t="str">
        <f>IFERROR(__xludf.DUMMYFUNCTION("GOOGLETRANSLATE(A44045,""en"",""pt"")"),"Afiadas pics, reproduz MP3, design matador")</f>
        <v>Afiadas pics, reproduz MP3, design matador</v>
      </c>
      <c r="B44045" s="3">
        <v>1</v>
      </c>
    </row>
    <row r="44046" ht="15.75" customHeight="1" spans="1:2">
      <c r="A44046" s="3" t="str">
        <f>IFERROR(__xludf.DUMMYFUNCTION("GOOGLETRANSLATE(A44046,""en"",""pt"")"),"design sexy, Imagem, Vídeo &amp; amp; captura de som, pequeno")</f>
        <v>design sexy, Imagem, Vídeo &amp; amp; captura de som, pequeno</v>
      </c>
      <c r="B44046" s="3">
        <v>1</v>
      </c>
    </row>
    <row r="44047" ht="15.75" customHeight="1" spans="1:2">
      <c r="A44047" s="3" t="str">
        <f>IFERROR(__xludf.DUMMYFUNCTION("GOOGLETRANSLATE(A44047,""en"",""pt"")"),"Câmera nunca trabalhou tempo suficiente para lista pros")</f>
        <v>Câmera nunca trabalhou tempo suficiente para lista pros</v>
      </c>
      <c r="B44047" s="3">
        <v>1</v>
      </c>
    </row>
    <row r="44048" ht="15.75" customHeight="1" spans="1:2">
      <c r="A44048" s="3" t="str">
        <f>IFERROR(__xludf.DUMMYFUNCTION("GOOGLETRANSLATE(A44048,""en"",""pt"")"),"Pequena o suficiente para transportar no bolso da camisa., Impressionante clareza")</f>
        <v>Pequena o suficiente para transportar no bolso da camisa., Impressionante clareza</v>
      </c>
      <c r="B44048" s="3">
        <v>1</v>
      </c>
    </row>
    <row r="44049" ht="15.75" customHeight="1" spans="1:2">
      <c r="A44049" s="3" t="str">
        <f>IFERROR(__xludf.DUMMYFUNCTION("GOOGLETRANSLATE(A44049,""en"",""pt"")"),"MP3 player, câmera de vídeo, controle remoto")</f>
        <v>MP3 player, câmera de vídeo, controle remoto</v>
      </c>
      <c r="B44049" s="3">
        <v>1</v>
      </c>
    </row>
    <row r="44050" ht="15.75" customHeight="1" spans="1:2">
      <c r="A44050" s="3" t="str">
        <f>IFERROR(__xludf.DUMMYFUNCTION("GOOGLETRANSLATE(A44050,""en"",""pt"")"),"Tamanho, lista de funcionalidades e aparência")</f>
        <v>Tamanho, lista de funcionalidades e aparência</v>
      </c>
      <c r="B44050" s="3">
        <v>1</v>
      </c>
    </row>
    <row r="44051" ht="15.75" customHeight="1" spans="1:2">
      <c r="A44051" s="3" t="str">
        <f>IFERROR(__xludf.DUMMYFUNCTION("GOOGLETRANSLATE(A44051,""en"",""pt"")"),"Eye atraente Camera, pequeno e portátil.")</f>
        <v>Eye atraente Camera, pequeno e portátil.</v>
      </c>
      <c r="B44051" s="3">
        <v>1</v>
      </c>
    </row>
    <row r="44052" ht="15.75" customHeight="1" spans="1:2">
      <c r="A44052" s="3" t="str">
        <f>IFERROR(__xludf.DUMMYFUNCTION("GOOGLETRANSLATE(A44052,""en"",""pt"")"),"Habilidade para capturar vídeo, mp3s jogo, elegante e pequena unidade")</f>
        <v>Habilidade para capturar vídeo, mp3s jogo, elegante e pequena unidade</v>
      </c>
      <c r="B44052" s="3">
        <v>1</v>
      </c>
    </row>
    <row r="44053" ht="15.75" customHeight="1" spans="1:2">
      <c r="A44053" s="3" t="str">
        <f>IFERROR(__xludf.DUMMYFUNCTION("GOOGLETRANSLATE(A44053,""en"",""pt"")"),"Excelentes fotos, Ultra compacta &amp; amp; # 13; &amp; amp; # 10; Durable, Elegante, com itegrated lente-cap &amp; amp; # 13; &amp; amp; # 10; Remoto &amp; amp; # 13; &amp; amp; # 10;")</f>
        <v>Excelentes fotos, Ultra compacta &amp; amp; # 13; &amp; amp; # 10; Durable, Elegante, com itegrated lente-cap &amp; amp; # 13; &amp; amp; # 10; Remoto &amp; amp; # 13; &amp; amp; # 10;</v>
      </c>
      <c r="B44053" s="3">
        <v>1</v>
      </c>
    </row>
    <row r="44054" ht="15.75" customHeight="1" spans="1:2">
      <c r="A44054" s="3" t="str">
        <f>IFERROR(__xludf.DUMMYFUNCTION("GOOGLETRANSLATE(A44054,""en"",""pt"")"),"Tamanho, conjunto de recursos, CCD de 4,3 megapixels")</f>
        <v>Tamanho, conjunto de recursos, CCD de 4,3 megapixels</v>
      </c>
      <c r="B44054" s="3">
        <v>1</v>
      </c>
    </row>
    <row r="44055" ht="15.75" customHeight="1" spans="1:2">
      <c r="A44055" s="3" t="str">
        <f>IFERROR(__xludf.DUMMYFUNCTION("GOOGLETRANSLATE(A44055,""en"",""pt"")"),"tamanho fit-camisa-bolso, preço razoável, flash pop-up, o corpo todo em alumínio")</f>
        <v>tamanho fit-camisa-bolso, preço razoável, flash pop-up, o corpo todo em alumínio</v>
      </c>
      <c r="B44055" s="3">
        <v>1</v>
      </c>
    </row>
    <row r="44056" ht="15.75" customHeight="1" spans="1:2">
      <c r="A44056" s="3" t="str">
        <f>IFERROR(__xludf.DUMMYFUNCTION("GOOGLETRANSLATE(A44056,""en"",""pt"")"),"Compact a facilidade de usar pilhas AA padrão")</f>
        <v>Compact a facilidade de usar pilhas AA padrão</v>
      </c>
      <c r="B44056" s="3">
        <v>1</v>
      </c>
    </row>
    <row r="44057" ht="15.75" customHeight="1" spans="1:2">
      <c r="A44057" s="3" t="str">
        <f>IFERROR(__xludf.DUMMYFUNCTION("GOOGLETRANSLATE(A44057,""en"",""pt"")"),"Ótima câmera, fácil de usar, ótimo preço se você pode encontrar um")</f>
        <v>Ótima câmera, fácil de usar, ótimo preço se você pode encontrar um</v>
      </c>
      <c r="B44057" s="3">
        <v>1</v>
      </c>
    </row>
    <row r="44058" ht="15.75" customHeight="1" spans="1:2">
      <c r="A44058" s="3" t="str">
        <f>IFERROR(__xludf.DUMMYFUNCTION("GOOGLETRANSLATE(A44058,""en"",""pt"")"),"utilização fácil, muito boa resolução e zoom, modo de filme")</f>
        <v>utilização fácil, muito boa resolução e zoom, modo de filme</v>
      </c>
      <c r="B44058" s="3">
        <v>1</v>
      </c>
    </row>
    <row r="44059" ht="15.75" customHeight="1" spans="1:2">
      <c r="A44059" s="3" t="str">
        <f>IFERROR(__xludf.DUMMYFUNCTION("GOOGLETRANSLATE(A44059,""en"",""pt"")"),"Cheio de recursos; muito pequeno pacote; velozes; USB; modo de filme")</f>
        <v>Cheio de recursos; muito pequeno pacote; velozes; USB; modo de filme</v>
      </c>
      <c r="B44059" s="3">
        <v>1</v>
      </c>
    </row>
    <row r="44060" ht="15.75" customHeight="1" spans="1:2">
      <c r="A44060" s="3" t="str">
        <f>IFERROR(__xludf.DUMMYFUNCTION("GOOGLETRANSLATE(A44060,""en"",""pt"")"),"2xAAs, USB, NTSC vídeos de som, semi pro, cobrir lente automática, caixa de alumínio")</f>
        <v>2xAAs, USB, NTSC vídeos de som, semi pro, cobrir lente automática, caixa de alumínio</v>
      </c>
      <c r="B44060" s="3">
        <v>1</v>
      </c>
    </row>
    <row r="44061" ht="15.75" customHeight="1" spans="1:2">
      <c r="A44061" s="3" t="str">
        <f>IFERROR(__xludf.DUMMYFUNCTION("GOOGLETRANSLATE(A44061,""en"",""pt"")"),"controles práticos, Saída excelente.")</f>
        <v>controles práticos, Saída excelente.</v>
      </c>
      <c r="B44061" s="3">
        <v>1</v>
      </c>
    </row>
    <row r="44062" ht="15.75" customHeight="1" spans="1:2">
      <c r="A44062" s="3" t="str">
        <f>IFERROR(__xludf.DUMMYFUNCTION("GOOGLETRANSLATE(A44062,""en"",""pt"")"),"Camera Superior")</f>
        <v>Camera Superior</v>
      </c>
      <c r="B44062" s="3">
        <v>1</v>
      </c>
    </row>
    <row r="44063" ht="15.75" customHeight="1" spans="1:2">
      <c r="A44063" s="3" t="str">
        <f>IFERROR(__xludf.DUMMYFUNCTION("GOOGLETRANSLATE(A44063,""en"",""pt"")"),"câmera muito boa para ambos preço &amp; amp; Tamanho")</f>
        <v>câmera muito boa para ambos preço &amp; amp; Tamanho</v>
      </c>
      <c r="B44063" s="3">
        <v>1</v>
      </c>
    </row>
    <row r="44064" ht="15.75" customHeight="1" spans="1:2">
      <c r="A44064" s="3" t="str">
        <f>IFERROR(__xludf.DUMMYFUNCTION("GOOGLETRANSLATE(A44064,""en"",""pt"")"),"O peso leve, design bonito, excelente qualidade de construção, simples de usar")</f>
        <v>O peso leve, design bonito, excelente qualidade de construção, simples de usar</v>
      </c>
      <c r="B44064" s="3">
        <v>1</v>
      </c>
    </row>
    <row r="44065" ht="15.75" customHeight="1" spans="1:2">
      <c r="A44065" s="3" t="str">
        <f>IFERROR(__xludf.DUMMYFUNCTION("GOOGLETRANSLATE(A44065,""en"",""pt"")"),"Grandes consistentes fotos (enquanto há luz), característica filme.")</f>
        <v>Grandes consistentes fotos (enquanto há luz), característica filme.</v>
      </c>
      <c r="B44065" s="3">
        <v>1</v>
      </c>
    </row>
    <row r="44066" ht="15.75" customHeight="1" spans="1:2">
      <c r="A44066" s="3" t="str">
        <f>IFERROR(__xludf.DUMMYFUNCTION("GOOGLETRANSLATE(A44066,""en"",""pt"")"),"Compacto, boa cor e vídeo, 2"" LCD, 2 pilhas AA, facilidade de uso")</f>
        <v>Compacto, boa cor e vídeo, 2" LCD, 2 pilhas AA, facilidade de uso</v>
      </c>
      <c r="B44066" s="3">
        <v>1</v>
      </c>
    </row>
    <row r="44067" ht="15.75" customHeight="1" spans="1:2">
      <c r="A44067" s="3" t="str">
        <f>IFERROR(__xludf.DUMMYFUNCTION("GOOGLETRANSLATE(A44067,""en"",""pt"")"),"Super qualidade de imagem, pequeno, peso leve, bom software")</f>
        <v>Super qualidade de imagem, pequeno, peso leve, bom software</v>
      </c>
      <c r="B44067" s="3">
        <v>1</v>
      </c>
    </row>
    <row r="44068" ht="15.75" customHeight="1" spans="1:2">
      <c r="A44068" s="3" t="str">
        <f>IFERROR(__xludf.DUMMYFUNCTION("GOOGLETRANSLATE(A44068,""en"",""pt"")"),"Rápido, USB, interface grande, modo de filme, o disparo contínuo, LiIon AAs incluído")</f>
        <v>Rápido, USB, interface grande, modo de filme, o disparo contínuo, LiIon AAs incluído</v>
      </c>
      <c r="B44068" s="3">
        <v>1</v>
      </c>
    </row>
    <row r="44069" ht="15.75" customHeight="1" spans="1:2">
      <c r="A44069" s="3" t="str">
        <f>IFERROR(__xludf.DUMMYFUNCTION("GOOGLETRANSLATE(A44069,""en"",""pt"")"),"Cheio de recursos, fácil de usar")</f>
        <v>Cheio de recursos, fácil de usar</v>
      </c>
      <c r="B44069" s="3">
        <v>1</v>
      </c>
    </row>
    <row r="44070" ht="15.75" customHeight="1" spans="1:2">
      <c r="A44070" s="3" t="str">
        <f>IFERROR(__xludf.DUMMYFUNCTION("GOOGLETRANSLATE(A44070,""en"",""pt"")"),"Muitas características boas")</f>
        <v>Muitas características boas</v>
      </c>
      <c r="B44070" s="3">
        <v>1</v>
      </c>
    </row>
    <row r="44071" ht="15.75" customHeight="1" spans="1:2">
      <c r="A44071" s="3" t="str">
        <f>IFERROR(__xludf.DUMMYFUNCTION("GOOGLETRANSLATE(A44071,""en"",""pt"")"),"Imagens de alta qualidade, a colocação lógica da maioria dos controles, design agradável hand-held.")</f>
        <v>Imagens de alta qualidade, a colocação lógica da maioria dos controles, design agradável hand-held.</v>
      </c>
      <c r="B44071" s="3">
        <v>1</v>
      </c>
    </row>
    <row r="44072" ht="15.75" customHeight="1" spans="1:2">
      <c r="A44072" s="3" t="str">
        <f>IFERROR(__xludf.DUMMYFUNCTION("GOOGLETRANSLATE(A44072,""en"",""pt"")"),"tamanho pequeno, design inteligente")</f>
        <v>tamanho pequeno, design inteligente</v>
      </c>
      <c r="B44072" s="3">
        <v>1</v>
      </c>
    </row>
    <row r="44073" ht="15.75" customHeight="1" spans="1:2">
      <c r="A44073" s="3" t="str">
        <f>IFERROR(__xludf.DUMMYFUNCTION("GOOGLETRANSLATE(A44073,""en"",""pt"")"),"facilitar o download das imagens, qualidade das imagens")</f>
        <v>facilitar o download das imagens, qualidade das imagens</v>
      </c>
      <c r="B44073" s="3">
        <v>1</v>
      </c>
    </row>
    <row r="44074" ht="15.75" customHeight="1" spans="1:2">
      <c r="A44074" s="3" t="str">
        <f>IFERROR(__xludf.DUMMYFUNCTION("GOOGLETRANSLATE(A44074,""en"",""pt"")"),"visor; bem desenhado")</f>
        <v>visor; bem desenhado</v>
      </c>
      <c r="B44074" s="3">
        <v>1</v>
      </c>
    </row>
    <row r="44075" ht="15.75" customHeight="1" spans="1:2">
      <c r="A44075" s="3" t="str">
        <f>IFERROR(__xludf.DUMMYFUNCTION("GOOGLETRANSLATE(A44075,""en"",""pt"")"),"Design, pequeno vídeo, flash multi-funcionalidade, porta USB")</f>
        <v>Design, pequeno vídeo, flash multi-funcionalidade, porta USB</v>
      </c>
      <c r="B44075" s="3">
        <v>1</v>
      </c>
    </row>
    <row r="44076" ht="15.75" customHeight="1" spans="1:2">
      <c r="A44076" s="3" t="str">
        <f>IFERROR(__xludf.DUMMYFUNCTION("GOOGLETRANSLATE(A44076,""en"",""pt"")"),"O tamanho pequeno, imagens para impressão de alta qualidade")</f>
        <v>O tamanho pequeno, imagens para impressão de alta qualidade</v>
      </c>
      <c r="B44076" s="3">
        <v>1</v>
      </c>
    </row>
    <row r="44077" ht="15.75" customHeight="1" spans="1:2">
      <c r="A44077" s="3" t="str">
        <f>IFERROR(__xludf.DUMMYFUNCTION("GOOGLETRANSLATE(A44077,""en"",""pt"")"),"avi")</f>
        <v>avi</v>
      </c>
      <c r="B44077" s="3">
        <v>1</v>
      </c>
    </row>
    <row r="44078" ht="15.75" customHeight="1" spans="1:2">
      <c r="A44078" s="3" t="str">
        <f>IFERROR(__xludf.DUMMYFUNCTION("GOOGLETRANSLATE(A44078,""en"",""pt"")"),"Muitos recursos, mas fácil de usar")</f>
        <v>Muitos recursos, mas fácil de usar</v>
      </c>
      <c r="B44078" s="3">
        <v>1</v>
      </c>
    </row>
    <row r="44079" ht="15.75" customHeight="1" spans="1:2">
      <c r="A44079" s="3" t="str">
        <f>IFERROR(__xludf.DUMMYFUNCTION("GOOGLETRANSLATE(A44079,""en"",""pt"")"),"Tecnologia New Super CCD")</f>
        <v>Tecnologia New Super CCD</v>
      </c>
      <c r="B44079" s="3">
        <v>1</v>
      </c>
    </row>
    <row r="44080" ht="15.75" customHeight="1" spans="1:2">
      <c r="A44080" s="3" t="str">
        <f>IFERROR(__xludf.DUMMYFUNCTION("GOOGLETRANSLATE(A44080,""en"",""pt"")"),"tamanho da câmera, a qualidade da foto")</f>
        <v>tamanho da câmera, a qualidade da foto</v>
      </c>
      <c r="B44080" s="3">
        <v>1</v>
      </c>
    </row>
    <row r="44081" ht="15.75" customHeight="1" spans="1:2">
      <c r="A44081" s="3" t="str">
        <f>IFERROR(__xludf.DUMMYFUNCTION("GOOGLETRANSLATE(A44081,""en"",""pt"")"),"tamanho compacto e boa resolução")</f>
        <v>tamanho compacto e boa resolução</v>
      </c>
      <c r="B44081" s="3">
        <v>1</v>
      </c>
    </row>
    <row r="44082" ht="15.75" customHeight="1" spans="1:2">
      <c r="A44082" s="3" t="str">
        <f>IFERROR(__xludf.DUMMYFUNCTION("GOOGLETRANSLATE(A44082,""en"",""pt"")"),"Fácil de usar, imagens nítidas, bom pacote")</f>
        <v>Fácil de usar, imagens nítidas, bom pacote</v>
      </c>
      <c r="B44082" s="3">
        <v>1</v>
      </c>
    </row>
    <row r="44083" ht="15.75" customHeight="1" spans="1:2">
      <c r="A44083" s="3" t="str">
        <f>IFERROR(__xludf.DUMMYFUNCTION("GOOGLETRANSLATE(A44083,""en"",""pt"")"),"Qualidade de construção, compacto, facilidade de uso, big 2 &amp; amp; quot; tela de LCD")</f>
        <v>Qualidade de construção, compacto, facilidade de uso, big 2 &amp; amp; quot; tela de LCD</v>
      </c>
      <c r="B44083" s="3">
        <v>1</v>
      </c>
    </row>
    <row r="44084" ht="15.75" customHeight="1" spans="1:2">
      <c r="A44084" s="3" t="str">
        <f>IFERROR(__xludf.DUMMYFUNCTION("GOOGLETRANSLATE(A44084,""en"",""pt"")"),"tamanho, imagens de grande qualidade, 16MB cartão de memória, vários modos de disparo, substituições manuais disponíveis")</f>
        <v>tamanho, imagens de grande qualidade, 16MB cartão de memória, vários modos de disparo, substituições manuais disponíveis</v>
      </c>
      <c r="B44084" s="3">
        <v>1</v>
      </c>
    </row>
    <row r="44085" ht="15.75" customHeight="1" spans="1:2">
      <c r="A44085" s="3" t="str">
        <f>IFERROR(__xludf.DUMMYFUNCTION("GOOGLETRANSLATE(A44085,""en"",""pt"")"),"Capacidade de capturar 80 segundos de vídeos. Fácil de usar do principiante ao experiente fotógrafo.")</f>
        <v>Capacidade de capturar 80 segundos de vídeos. Fácil de usar do principiante ao experiente fotógrafo.</v>
      </c>
      <c r="B44085" s="3">
        <v>1</v>
      </c>
    </row>
    <row r="44086" ht="15.75" customHeight="1" spans="1:2">
      <c r="A44086" s="3" t="str">
        <f>IFERROR(__xludf.DUMMYFUNCTION("GOOGLETRANSLATE(A44086,""en"",""pt"")"),"Compacto, rápido, elegante, preço, cores, bateria Ni-MH, apresenta, 16MB, interface, LCD, protegido por lente, 3x, filmes!")</f>
        <v>Compacto, rápido, elegante, preço, cores, bateria Ni-MH, apresenta, 16MB, interface, LCD, protegido por lente, 3x, filmes!</v>
      </c>
      <c r="B44086" s="3">
        <v>1</v>
      </c>
    </row>
    <row r="44087" ht="15.75" customHeight="1" spans="1:2">
      <c r="A44087" s="3" t="str">
        <f>IFERROR(__xludf.DUMMYFUNCTION("GOOGLETRANSLATE(A44087,""en"",""pt"")"),"boa aparência, tamanho pequeno, velocidade, baterias recarregáveis, facilidade de uso, leva filmes")</f>
        <v>boa aparência, tamanho pequeno, velocidade, baterias recarregáveis, facilidade de uso, leva filmes</v>
      </c>
      <c r="B44087" s="3">
        <v>1</v>
      </c>
    </row>
    <row r="44088" ht="15.75" customHeight="1" spans="1:2">
      <c r="A44088" s="3" t="str">
        <f>IFERROR(__xludf.DUMMYFUNCTION("GOOGLETRANSLATE(A44088,""en"",""pt"")"),"boa qualidade, gravação de vídeo curto, microfone")</f>
        <v>boa qualidade, gravação de vídeo curto, microfone</v>
      </c>
      <c r="B44088" s="3">
        <v>1</v>
      </c>
    </row>
    <row r="44089" ht="15.75" customHeight="1" spans="1:2">
      <c r="A44089" s="3" t="str">
        <f>IFERROR(__xludf.DUMMYFUNCTION("GOOGLETRANSLATE(A44089,""en"",""pt"")"),"Velocidade, cores, tamanho, baterias")</f>
        <v>Velocidade, cores, tamanho, baterias</v>
      </c>
      <c r="B44089" s="3">
        <v>1</v>
      </c>
    </row>
    <row r="44090" ht="15.75" customHeight="1" spans="1:2">
      <c r="A44090" s="3" t="str">
        <f>IFERROR(__xludf.DUMMYFUNCTION("GOOGLETRANSLATE(A44090,""en"",""pt"")"),"todos")</f>
        <v>todos</v>
      </c>
      <c r="B44090" s="3">
        <v>1</v>
      </c>
    </row>
    <row r="44091" ht="15.75" customHeight="1" spans="1:2">
      <c r="A44091" s="3" t="str">
        <f>IFERROR(__xludf.DUMMYFUNCTION("GOOGLETRANSLATE(A44091,""en"",""pt"")"),"Pequeno leve e fácil ... oh, tão fácil de usar!")</f>
        <v>Pequeno leve e fácil ... oh, tão fácil de usar!</v>
      </c>
      <c r="B44091" s="3">
        <v>1</v>
      </c>
    </row>
    <row r="44092" ht="15.75" customHeight="1" spans="1:2">
      <c r="A44092" s="3" t="str">
        <f>IFERROR(__xludf.DUMMYFUNCTION("GOOGLETRANSLATE(A44092,""en"",""pt"")"),"Instant Upload, os lotes de características / modos de preço, capacidade de cor incrível, design sexy")</f>
        <v>Instant Upload, os lotes de características / modos de preço, capacidade de cor incrível, design sexy</v>
      </c>
      <c r="B44092" s="3">
        <v>1</v>
      </c>
    </row>
    <row r="44093" ht="15.75" customHeight="1" spans="1:2">
      <c r="A44093" s="3" t="str">
        <f>IFERROR(__xludf.DUMMYFUNCTION("GOOGLETRANSLATE(A44093,""en"",""pt"")"),"Awesome design, construção sólida, usb cradle")</f>
        <v>Awesome design, construção sólida, usb cradle</v>
      </c>
      <c r="B44093" s="3">
        <v>1</v>
      </c>
    </row>
    <row r="44094" ht="15.75" customHeight="1" spans="1:2">
      <c r="A44094" s="3" t="str">
        <f>IFERROR(__xludf.DUMMYFUNCTION("GOOGLETRANSLATE(A44094,""en"",""pt"")"),"Excelente, fotos nítidas com grande saturação de cor. corpo grande Porsche!")</f>
        <v>Excelente, fotos nítidas com grande saturação de cor. corpo grande Porsche!</v>
      </c>
      <c r="B44094" s="3">
        <v>1</v>
      </c>
    </row>
    <row r="44095" ht="15.75" customHeight="1" spans="1:2">
      <c r="A44095" s="3" t="str">
        <f>IFERROR(__xludf.DUMMYFUNCTION("GOOGLETRANSLATE(A44095,""en"",""pt"")"),"Pequeno, leve e fácil de usar.")</f>
        <v>Pequeno, leve e fácil de usar.</v>
      </c>
      <c r="B44095" s="3">
        <v>1</v>
      </c>
    </row>
    <row r="44096" ht="15.75" customHeight="1" spans="1:2">
      <c r="A44096" s="3" t="str">
        <f>IFERROR(__xludf.DUMMYFUNCTION("GOOGLETRANSLATE(A44096,""en"",""pt"")"),"Muito compacto, leve e robusto, design agradável, função da câmara web")</f>
        <v>Muito compacto, leve e robusto, design agradável, função da câmara web</v>
      </c>
      <c r="B44096" s="3">
        <v>1</v>
      </c>
    </row>
    <row r="44097" ht="15.75" customHeight="1" spans="1:2">
      <c r="A44097" s="3" t="str">
        <f>IFERROR(__xludf.DUMMYFUNCTION("GOOGLETRANSLATE(A44097,""en"",""pt"")"),"Pequeno e compacto. Fácil de usar. Grande procura.")</f>
        <v>Pequeno e compacto. Fácil de usar. Grande procura.</v>
      </c>
      <c r="B44097" s="3">
        <v>1</v>
      </c>
    </row>
    <row r="44098" ht="15.75" customHeight="1" spans="1:2">
      <c r="A44098" s="3" t="str">
        <f>IFERROR(__xludf.DUMMYFUNCTION("GOOGLETRANSLATE(A44098,""en"",""pt"")"),"Compact, afiado tamanhos 4 mega arquivo Pixel, grandes recursos, excelentes tiros ao ar livre.")</f>
        <v>Compact, afiado tamanhos 4 mega arquivo Pixel, grandes recursos, excelentes tiros ao ar livre.</v>
      </c>
      <c r="B44098" s="3">
        <v>1</v>
      </c>
    </row>
    <row r="44099" ht="15.75" customHeight="1" spans="1:2">
      <c r="A44099" s="3" t="str">
        <f>IFERROR(__xludf.DUMMYFUNCTION("GOOGLETRANSLATE(A44099,""en"",""pt"")"),"Pequeno. conector USB com base de craddle &amp; amp; # 13; &amp; amp; # 10; capacidade JPEG Vídeo")</f>
        <v>Pequeno. conector USB com base de craddle &amp; amp; # 13; &amp; amp; # 10; capacidade JPEG Vídeo</v>
      </c>
      <c r="B44099" s="3">
        <v>1</v>
      </c>
    </row>
    <row r="44100" ht="15.75" customHeight="1" spans="1:2">
      <c r="A44100" s="3" t="str">
        <f>IFERROR(__xludf.DUMMYFUNCTION("GOOGLETRANSLATE(A44100,""en"",""pt"")"),"Leve, resolução muito alta e grande qualidade de cor. Recursos em abundância para o tipo prosumer.")</f>
        <v>Leve, resolução muito alta e grande qualidade de cor. Recursos em abundância para o tipo prosumer.</v>
      </c>
      <c r="B44100" s="3">
        <v>1</v>
      </c>
    </row>
    <row r="44101" ht="15.75" customHeight="1" spans="1:2">
      <c r="A44101" s="3" t="str">
        <f>IFERROR(__xludf.DUMMYFUNCTION("GOOGLETRANSLATE(A44101,""en"",""pt"")"),"SLR características em um pacote compacto e atraente.")</f>
        <v>SLR características em um pacote compacto e atraente.</v>
      </c>
      <c r="B44101" s="3">
        <v>1</v>
      </c>
    </row>
    <row r="44102" ht="15.75" customHeight="1" spans="1:2">
      <c r="A44102" s="3" t="str">
        <f>IFERROR(__xludf.DUMMYFUNCTION("GOOGLETRANSLATE(A44102,""en"",""pt"")"),"4.3 Optics em outros lugares quase inalcançável")</f>
        <v>4.3 Optics em outros lugares quase inalcançável</v>
      </c>
      <c r="B44102" s="3">
        <v>1</v>
      </c>
    </row>
    <row r="44103" ht="15.75" customHeight="1" spans="1:2">
      <c r="A44103" s="3" t="str">
        <f>IFERROR(__xludf.DUMMYFUNCTION("GOOGLETRANSLATE(A44103,""en"",""pt"")"),"Flash, compacto, bonito, boas fotos")</f>
        <v>Flash, compacto, bonito, boas fotos</v>
      </c>
      <c r="B44103" s="3">
        <v>1</v>
      </c>
    </row>
    <row r="44104" ht="15.75" customHeight="1" spans="1:2">
      <c r="A44104" s="3" t="str">
        <f>IFERROR(__xludf.DUMMYFUNCTION("GOOGLETRANSLATE(A44104,""en"",""pt"")"),"para olhar, sentir e funcionalidade .. o melhor valor global da sua classe de preço.")</f>
        <v>para olhar, sentir e funcionalidade .. o melhor valor global da sua classe de preço.</v>
      </c>
      <c r="B44104" s="3">
        <v>1</v>
      </c>
    </row>
    <row r="44105" ht="15.75" customHeight="1" spans="1:2">
      <c r="A44105" s="3" t="str">
        <f>IFERROR(__xludf.DUMMYFUNCTION("GOOGLETRANSLATE(A44105,""en"",""pt"")"),"Grande valor, zoom óptico potente, funções versáteis, bem equilibrado.")</f>
        <v>Grande valor, zoom óptico potente, funções versáteis, bem equilibrado.</v>
      </c>
      <c r="B44105" s="3">
        <v>1</v>
      </c>
    </row>
    <row r="44106" ht="15.75" customHeight="1" spans="1:2">
      <c r="A44106" s="3" t="str">
        <f>IFERROR(__xludf.DUMMYFUNCTION("GOOGLETRANSLATE(A44106,""en"",""pt"")"),"Acessível, leve, fácil de usar.")</f>
        <v>Acessível, leve, fácil de usar.</v>
      </c>
      <c r="B44106" s="3">
        <v>1</v>
      </c>
    </row>
    <row r="44107" ht="15.75" customHeight="1" spans="1:2">
      <c r="A44107" s="3" t="str">
        <f>IFERROR(__xludf.DUMMYFUNCTION("GOOGLETRANSLATE(A44107,""en"",""pt"")"),"Excelente óptica, SLR em digital é aqui agora")</f>
        <v>Excelente óptica, SLR em digital é aqui agora</v>
      </c>
      <c r="B44107" s="3">
        <v>1</v>
      </c>
    </row>
    <row r="44108" ht="15.75" customHeight="1" spans="1:2">
      <c r="A44108" s="3" t="str">
        <f>IFERROR(__xludf.DUMMYFUNCTION("GOOGLETRANSLATE(A44108,""en"",""pt"")"),"Compacto, de pouco peso, facilidade de uso")</f>
        <v>Compacto, de pouco peso, facilidade de uso</v>
      </c>
      <c r="B44108" s="3">
        <v>1</v>
      </c>
    </row>
    <row r="44109" ht="15.75" customHeight="1" spans="1:2">
      <c r="A44109" s="3" t="str">
        <f>IFERROR(__xludf.DUMMYFUNCTION("GOOGLETRANSLATE(A44109,""en"",""pt"")"),"Boa qualidade da fotografia digital, flexibilidade e software")</f>
        <v>Boa qualidade da fotografia digital, flexibilidade e software</v>
      </c>
      <c r="B44109" s="3">
        <v>1</v>
      </c>
    </row>
    <row r="44110" ht="15.75" customHeight="1" spans="1:2">
      <c r="A44110" s="3" t="str">
        <f>IFERROR(__xludf.DUMMYFUNCTION("GOOGLETRANSLATE(A44110,""en"",""pt"")"),"resolução em circulação; facilidade de operação, peso leve (em comparação com outros)")</f>
        <v>resolução em circulação; facilidade de operação, peso leve (em comparação com outros)</v>
      </c>
      <c r="B44110" s="3">
        <v>1</v>
      </c>
    </row>
    <row r="44111" ht="15.75" customHeight="1" spans="1:2">
      <c r="A44111" s="3" t="str">
        <f>IFERROR(__xludf.DUMMYFUNCTION("GOOGLETRANSLATE(A44111,""en"",""pt"")"),"Pequeno; design de alta tecnologia; EVF / LCD;")</f>
        <v>Pequeno; design de alta tecnologia; EVF / LCD;</v>
      </c>
      <c r="B44111" s="3">
        <v>1</v>
      </c>
    </row>
    <row r="44112" ht="15.75" customHeight="1" spans="1:2">
      <c r="A44112" s="3" t="str">
        <f>IFERROR(__xludf.DUMMYFUNCTION("GOOGLETRANSLATE(A44112,""en"",""pt"")"),"imagens de alta qualidade, peso leve, Popup Flash, LCD")</f>
        <v>imagens de alta qualidade, peso leve, Popup Flash, LCD</v>
      </c>
      <c r="B44112" s="3">
        <v>1</v>
      </c>
    </row>
    <row r="44113" ht="15.75" customHeight="1" spans="1:2">
      <c r="A44113" s="3" t="str">
        <f>IFERROR(__xludf.DUMMYFUNCTION("GOOGLETRANSLATE(A44113,""en"",""pt"")"),"controle total no modo manual, visor LCD, leve.")</f>
        <v>controle total no modo manual, visor LCD, leve.</v>
      </c>
      <c r="B44113" s="3">
        <v>1</v>
      </c>
    </row>
    <row r="44114" ht="15.75" customHeight="1" spans="1:2">
      <c r="A44114" s="3" t="str">
        <f>IFERROR(__xludf.DUMMYFUNCTION("GOOGLETRANSLATE(A44114,""en"",""pt"")"),"boa câmera")</f>
        <v>boa câmera</v>
      </c>
      <c r="B44114" s="3">
        <v>1</v>
      </c>
    </row>
    <row r="44115" ht="15.75" customHeight="1" spans="1:2">
      <c r="A44115" s="3" t="str">
        <f>IFERROR(__xludf.DUMMYFUNCTION("GOOGLETRANSLATE(A44115,""en"",""pt"")"),"Tamanho grande, docking station, zoom decente, opções simples, bom software")</f>
        <v>Tamanho grande, docking station, zoom decente, opções simples, bom software</v>
      </c>
      <c r="B44115" s="3">
        <v>1</v>
      </c>
    </row>
    <row r="44116" ht="15.75" customHeight="1" spans="1:2">
      <c r="A44116" s="3" t="str">
        <f>IFERROR(__xludf.DUMMYFUNCTION("GOOGLETRANSLATE(A44116,""en"",""pt"")"),"Excelentes Cores, decentes Macro fotos, muito compacto e rápido para Lançamento")</f>
        <v>Excelentes Cores, decentes Macro fotos, muito compacto e rápido para Lançamento</v>
      </c>
      <c r="B44116" s="3">
        <v>1</v>
      </c>
    </row>
    <row r="44117" ht="15.75" customHeight="1" spans="1:2">
      <c r="A44117" s="3" t="str">
        <f>IFERROR(__xludf.DUMMYFUNCTION("GOOGLETRANSLATE(A44117,""en"",""pt"")"),"Melhor resolução abaixo de US $ 3000")</f>
        <v>Melhor resolução abaixo de US $ 3000</v>
      </c>
      <c r="B44117" s="3">
        <v>1</v>
      </c>
    </row>
    <row r="44118" ht="15.75" customHeight="1" spans="1:2">
      <c r="A44118" s="3" t="str">
        <f>IFERROR(__xludf.DUMMYFUNCTION("GOOGLETRANSLATE(A44118,""en"",""pt"")"),"Recursos para tamanho são top em sala de aula, não intimidante, tons de pele e equilíbrio excelente")</f>
        <v>Recursos para tamanho são top em sala de aula, não intimidante, tons de pele e equilíbrio excelente</v>
      </c>
      <c r="B44118" s="3">
        <v>1</v>
      </c>
    </row>
    <row r="44119" ht="15.75" customHeight="1" spans="1:2">
      <c r="A44119" s="3" t="str">
        <f>IFERROR(__xludf.DUMMYFUNCTION("GOOGLETRANSLATE(A44119,""en"",""pt"")"),"Muita clareza e cores, Facilidade de Armazenamento Digital e Apagar")</f>
        <v>Muita clareza e cores, Facilidade de Armazenamento Digital e Apagar</v>
      </c>
      <c r="B44119" s="3">
        <v>1</v>
      </c>
    </row>
    <row r="44120" ht="15.75" customHeight="1" spans="1:2">
      <c r="A44120" s="3" t="str">
        <f>IFERROR(__xludf.DUMMYFUNCTION("GOOGLETRANSLATE(A44120,""en"",""pt"")"),"Parece ótimo, grande pacote, os lotes de coisas para brincar ... e ele tem grandes figuras.")</f>
        <v>Parece ótimo, grande pacote, os lotes de coisas para brincar ... e ele tem grandes figuras.</v>
      </c>
      <c r="B44120" s="3">
        <v>1</v>
      </c>
    </row>
    <row r="44121" ht="15.75" customHeight="1" spans="1:2">
      <c r="A44121" s="3" t="str">
        <f>IFERROR(__xludf.DUMMYFUNCTION("GOOGLETRANSLATE(A44121,""en"",""pt"")"),"Bom upgrade para 4700 series, full-featured.")</f>
        <v>Bom upgrade para 4700 series, full-featured.</v>
      </c>
      <c r="B44121" s="3">
        <v>1</v>
      </c>
    </row>
    <row r="44122" ht="15.75" customHeight="1" spans="1:2">
      <c r="A44122" s="3" t="str">
        <f>IFERROR(__xludf.DUMMYFUNCTION("GOOGLETRANSLATE(A44122,""en"",""pt"")"),"Cor das minhas imagens é tão vibrante")</f>
        <v>Cor das minhas imagens é tão vibrante</v>
      </c>
      <c r="B44122" s="3">
        <v>1</v>
      </c>
    </row>
    <row r="44123" ht="15.75" customHeight="1" spans="1:2">
      <c r="A44123" s="3" t="str">
        <f>IFERROR(__xludf.DUMMYFUNCTION("GOOGLETRANSLATE(A44123,""en"",""pt"")"),"Grande imagem, vídeo bom, bom gravador de áudio, berço é um toque agradável.")</f>
        <v>Grande imagem, vídeo bom, bom gravador de áudio, berço é um toque agradável.</v>
      </c>
      <c r="B44123" s="3">
        <v>1</v>
      </c>
    </row>
    <row r="44124" ht="15.75" customHeight="1" spans="1:2">
      <c r="A44124" s="3" t="str">
        <f>IFERROR(__xludf.DUMMYFUNCTION("GOOGLETRANSLATE(A44124,""en"",""pt"")"),"recursos profissionais; grande qualidade: leve e acessível.")</f>
        <v>recursos profissionais; grande qualidade: leve e acessível.</v>
      </c>
      <c r="B44124" s="3">
        <v>1</v>
      </c>
    </row>
    <row r="44125" ht="15.75" customHeight="1" spans="1:2">
      <c r="A44125" s="3" t="str">
        <f>IFERROR(__xludf.DUMMYFUNCTION("GOOGLETRANSLATE(A44125,""en"",""pt"")"),"facilidade de uso, qualidade de imagem, ampla gama de ferramentas profissionais")</f>
        <v>facilidade de uso, qualidade de imagem, ampla gama de ferramentas profissionais</v>
      </c>
      <c r="B44125" s="3">
        <v>1</v>
      </c>
    </row>
    <row r="44126" ht="15.75" customHeight="1" spans="1:2">
      <c r="A44126" s="3" t="str">
        <f>IFERROR(__xludf.DUMMYFUNCTION("GOOGLETRANSLATE(A44126,""en"",""pt"")"),"zoom de 6x óptico, foco manual, 3.3 megapixel sensor de SuperCCD, tela de lcd")</f>
        <v>zoom de 6x óptico, foco manual, 3.3 megapixel sensor de SuperCCD, tela de lcd</v>
      </c>
      <c r="B44126" s="3">
        <v>1</v>
      </c>
    </row>
    <row r="44127" ht="15.75" customHeight="1" spans="1:2">
      <c r="A44127" s="3" t="str">
        <f>IFERROR(__xludf.DUMMYFUNCTION("GOOGLETRANSLATE(A44127,""en"",""pt"")"),"Leve, excelentes cores, nitidez, flash externo sapata")</f>
        <v>Leve, excelentes cores, nitidez, flash externo sapata</v>
      </c>
      <c r="B44127" s="3">
        <v>1</v>
      </c>
    </row>
    <row r="44128" ht="15.75" customHeight="1" spans="1:2">
      <c r="A44128" s="3" t="str">
        <f>IFERROR(__xludf.DUMMYFUNCTION("GOOGLETRANSLATE(A44128,""en"",""pt"")"),"zoom óptico de 6x, grandes recursos")</f>
        <v>zoom óptico de 6x, grandes recursos</v>
      </c>
      <c r="B44128" s="3">
        <v>1</v>
      </c>
    </row>
    <row r="44129" ht="15.75" customHeight="1" spans="1:2">
      <c r="A44129" s="3" t="str">
        <f>IFERROR(__xludf.DUMMYFUNCTION("GOOGLETRANSLATE(A44129,""en"",""pt"")"),"Incrivelmente nítidas &amp; amp; poderoso (zoom 6X) lente, confortável de segurar &amp; amp; cores vivas")</f>
        <v>Incrivelmente nítidas &amp; amp; poderoso (zoom 6X) lente, confortável de segurar &amp; amp; cores vivas</v>
      </c>
      <c r="B44129" s="3">
        <v>1</v>
      </c>
    </row>
    <row r="44130" ht="15.75" customHeight="1" spans="1:2">
      <c r="A44130" s="3" t="str">
        <f>IFERROR(__xludf.DUMMYFUNCTION("GOOGLETRANSLATE(A44130,""en"",""pt"")"),"Uma das melhores zooms ópticos &amp; amp; fácil de operar!")</f>
        <v>Uma das melhores zooms ópticos &amp; amp; fácil de operar!</v>
      </c>
      <c r="B44130" s="3">
        <v>1</v>
      </c>
    </row>
    <row r="44131" ht="15.75" customHeight="1" spans="1:2">
      <c r="A44131" s="3" t="str">
        <f>IFERROR(__xludf.DUMMYFUNCTION("GOOGLETRANSLATE(A44131,""en"",""pt"")"),"seis vezes zoom, excelente resolução e cor, manual completo ou totalmente automático")</f>
        <v>seis vezes zoom, excelente resolução e cor, manual completo ou totalmente automático</v>
      </c>
      <c r="B44131" s="3">
        <v>1</v>
      </c>
    </row>
    <row r="44132" ht="15.75" customHeight="1" spans="1:2">
      <c r="A44132" s="3" t="str">
        <f>IFERROR(__xludf.DUMMYFUNCTION("GOOGLETRANSLATE(A44132,""en"",""pt"")"),"O peso leve, fácil de usar para pro / amador. Grande cor e resolução. modos ajustáveis")</f>
        <v>O peso leve, fácil de usar para pro / amador. Grande cor e resolução. modos ajustáveis</v>
      </c>
      <c r="B44132" s="3">
        <v>1</v>
      </c>
    </row>
    <row r="44133" ht="15.75" customHeight="1" spans="1:2">
      <c r="A44133" s="3" t="str">
        <f>IFERROR(__xludf.DUMMYFUNCTION("GOOGLETRANSLATE(A44133,""en"",""pt"")"),"funciona como SLR. atualizável. cores vivas e precisas. adaptador AC incluído.")</f>
        <v>funciona como SLR. atualizável. cores vivas e precisas. adaptador AC incluído.</v>
      </c>
      <c r="B44133" s="3">
        <v>1</v>
      </c>
    </row>
    <row r="44134" ht="15.75" customHeight="1" spans="1:2">
      <c r="A44134" s="3" t="str">
        <f>IFERROR(__xludf.DUMMYFUNCTION("GOOGLETRANSLATE(A44134,""en"",""pt"")"),"small &amp; amp; cam estilo SLR leve, centenas de recursos, mas simples para iniciantes")</f>
        <v>small &amp; amp; cam estilo SLR leve, centenas de recursos, mas simples para iniciantes</v>
      </c>
      <c r="B44134" s="3">
        <v>1</v>
      </c>
    </row>
    <row r="44135" ht="15.75" customHeight="1" spans="1:2">
      <c r="A44135" s="3" t="str">
        <f>IFERROR(__xludf.DUMMYFUNCTION("GOOGLETRANSLATE(A44135,""en"",""pt"")"),"FLEXIBILIDADE")</f>
        <v>FLEXIBILIDADE</v>
      </c>
      <c r="B44135" s="3">
        <v>1</v>
      </c>
    </row>
    <row r="44136" ht="15.75" customHeight="1" spans="1:2">
      <c r="A44136" s="3" t="str">
        <f>IFERROR(__xludf.DUMMYFUNCTION("GOOGLETRANSLATE(A44136,""en"",""pt"")"),"Lindo, cheio de recursos, você nunca vai perder o seu 35mm SLR")</f>
        <v>Lindo, cheio de recursos, você nunca vai perder o seu 35mm SLR</v>
      </c>
      <c r="B44136" s="3">
        <v>1</v>
      </c>
    </row>
    <row r="44137" ht="15.75" customHeight="1" spans="1:2">
      <c r="A44137" s="3" t="str">
        <f>IFERROR(__xludf.DUMMYFUNCTION("GOOGLETRANSLATE(A44137,""en"",""pt"")"),"O tamanho pequeno, pilhas AA padrão, a capacidade de web cam, tampa da lente, fácil de usar")</f>
        <v>O tamanho pequeno, pilhas AA padrão, a capacidade de web cam, tampa da lente, fácil de usar</v>
      </c>
      <c r="B44137" s="3">
        <v>1</v>
      </c>
    </row>
    <row r="44138" ht="15.75" customHeight="1" spans="1:2">
      <c r="A44138" s="3" t="str">
        <f>IFERROR(__xludf.DUMMYFUNCTION("GOOGLETRANSLATE(A44138,""en"",""pt"")"),"Pequeno,, durável, fácil de aprender, ótimas fotos, grande software compacto")</f>
        <v>Pequeno,, durável, fácil de aprender, ótimas fotos, grande software compacto</v>
      </c>
      <c r="B44138" s="3">
        <v>1</v>
      </c>
    </row>
    <row r="44139" ht="15.75" customHeight="1" spans="1:2">
      <c r="A44139" s="3" t="str">
        <f>IFERROR(__xludf.DUMMYFUNCTION("GOOGLETRANSLATE(A44139,""en"",""pt"")"),"Ótimo kits Camara !! Imagens de boa qualidade considerando o preço!")</f>
        <v>Ótimo kits Camara !! Imagens de boa qualidade considerando o preço!</v>
      </c>
      <c r="B44139" s="3">
        <v>1</v>
      </c>
    </row>
    <row r="44140" ht="15.75" customHeight="1" spans="1:2">
      <c r="A44140" s="3" t="str">
        <f>IFERROR(__xludf.DUMMYFUNCTION("GOOGLETRANSLATE(A44140,""en"",""pt"")"),"Pequeno em tamanho, capacidade de tomada de grande imagem")</f>
        <v>Pequeno em tamanho, capacidade de tomada de grande imagem</v>
      </c>
      <c r="B44140" s="3">
        <v>1</v>
      </c>
    </row>
    <row r="44141" ht="15.75" customHeight="1" spans="1:2">
      <c r="A44141" s="3" t="str">
        <f>IFERROR(__xludf.DUMMYFUNCTION("GOOGLETRANSLATE(A44141,""en"",""pt"")"),"Boa qualidade, muito fácil, rápida transferência de arquivos compacta.")</f>
        <v>Boa qualidade, muito fácil, rápida transferência de arquivos compacta.</v>
      </c>
      <c r="B44141" s="3">
        <v>1</v>
      </c>
    </row>
    <row r="44142" ht="15.75" customHeight="1" spans="1:2">
      <c r="A44142" s="3" t="str">
        <f>IFERROR(__xludf.DUMMYFUNCTION("GOOGLETRANSLATE(A44142,""en"",""pt"")"),"Imagens de grande qualidade para o preço, pequeno e compacto, baixo preço")</f>
        <v>Imagens de grande qualidade para o preço, pequeno e compacto, baixo preço</v>
      </c>
      <c r="B44142" s="3">
        <v>1</v>
      </c>
    </row>
    <row r="44143" ht="15.75" customHeight="1" spans="1:2">
      <c r="A44143" s="3" t="str">
        <f>IFERROR(__xludf.DUMMYFUNCTION("GOOGLETRANSLATE(A44143,""en"",""pt"")"),"Grande qualidade da foto.")</f>
        <v>Grande qualidade da foto.</v>
      </c>
      <c r="B44143" s="3">
        <v>1</v>
      </c>
    </row>
    <row r="44144" ht="15.75" customHeight="1" spans="1:2">
      <c r="A44144" s="3" t="str">
        <f>IFERROR(__xludf.DUMMYFUNCTION("GOOGLETRANSLATE(A44144,""en"",""pt"")"),"peso leve, fácil de usar, simples conexão ao PC, Smart Media, baixo preço")</f>
        <v>peso leve, fácil de usar, simples conexão ao PC, Smart Media, baixo preço</v>
      </c>
      <c r="B44144" s="3">
        <v>1</v>
      </c>
    </row>
    <row r="44145" ht="15.75" customHeight="1" spans="1:2">
      <c r="A44145" s="3" t="str">
        <f>IFERROR(__xludf.DUMMYFUNCTION("GOOGLETRANSLATE(A44145,""en"",""pt"")"),"Grande qualidade fotográfica para este nível de câmera. Fácil de usar.")</f>
        <v>Grande qualidade fotográfica para este nível de câmera. Fácil de usar.</v>
      </c>
      <c r="B44145" s="3">
        <v>1</v>
      </c>
    </row>
    <row r="44146" ht="15.75" customHeight="1" spans="1:2">
      <c r="A44146" s="3" t="str">
        <f>IFERROR(__xludf.DUMMYFUNCTION("GOOGLETRANSLATE(A44146,""en"",""pt"")"),"5 diferentes modos de flash, fácil de operar, o disco de armazenamento fornecido")</f>
        <v>5 diferentes modos de flash, fácil de operar, o disco de armazenamento fornecido</v>
      </c>
      <c r="B44146" s="3">
        <v>1</v>
      </c>
    </row>
    <row r="44147" ht="15.75" customHeight="1" spans="1:2">
      <c r="A44147" s="3" t="str">
        <f>IFERROR(__xludf.DUMMYFUNCTION("GOOGLETRANSLATE(A44147,""en"",""pt"")"),"Preço, facilidade de uso, só usa duas pilhas")</f>
        <v>Preço, facilidade de uso, só usa duas pilhas</v>
      </c>
      <c r="B44147" s="3">
        <v>1</v>
      </c>
    </row>
    <row r="44148" ht="15.75" customHeight="1" spans="1:2">
      <c r="A44148" s="3" t="str">
        <f>IFERROR(__xludf.DUMMYFUNCTION("GOOGLETRANSLATE(A44148,""en"",""pt"")"),"fotos muito boas muito bom preço fácil de usar")</f>
        <v>fotos muito boas muito bom preço fácil de usar</v>
      </c>
      <c r="B44148" s="3">
        <v>1</v>
      </c>
    </row>
    <row r="44149" ht="15.75" customHeight="1" spans="1:2">
      <c r="A44149" s="3" t="str">
        <f>IFERROR(__xludf.DUMMYFUNCTION("GOOGLETRANSLATE(A44149,""en"",""pt"")"),"Ótimo preço, imagens de alta qualidade, muito divertido para brincar.")</f>
        <v>Ótimo preço, imagens de alta qualidade, muito divertido para brincar.</v>
      </c>
      <c r="B44149" s="3">
        <v>1</v>
      </c>
    </row>
    <row r="44150" ht="15.75" customHeight="1" spans="1:2">
      <c r="A44150" s="3" t="str">
        <f>IFERROR(__xludf.DUMMYFUNCTION("GOOGLETRANSLATE(A44150,""en"",""pt"")"),"A qualidade da foto, facilidade de uso, display LCD, incluídos cartão de 8MB Smartmedia")</f>
        <v>A qualidade da foto, facilidade de uso, display LCD, incluídos cartão de 8MB Smartmedia</v>
      </c>
      <c r="B44150" s="3">
        <v>1</v>
      </c>
    </row>
    <row r="44151" ht="15.75" customHeight="1" spans="1:2">
      <c r="A44151" s="3" t="str">
        <f>IFERROR(__xludf.DUMMYFUNCTION("GOOGLETRANSLATE(A44151,""en"",""pt"")"),"Barato, fácil de usar, boa qualidade de imagem")</f>
        <v>Barato, fácil de usar, boa qualidade de imagem</v>
      </c>
      <c r="B44151" s="3">
        <v>1</v>
      </c>
    </row>
    <row r="44152" ht="15.75" customHeight="1" spans="1:2">
      <c r="A44152" s="3" t="str">
        <f>IFERROR(__xludf.DUMMYFUNCTION("GOOGLETRANSLATE(A44152,""en"",""pt"")"),"Compacto, lighweight, os lotes de recurso para o modelo de base")</f>
        <v>Compacto, lighweight, os lotes de recurso para o modelo de base</v>
      </c>
      <c r="B44152" s="3">
        <v>1</v>
      </c>
    </row>
    <row r="44153" ht="15.75" customHeight="1" spans="1:2">
      <c r="A44153" s="3" t="str">
        <f>IFERROR(__xludf.DUMMYFUNCTION("GOOGLETRANSLATE(A44153,""en"",""pt"")"),"câmera mais fácil")</f>
        <v>câmera mais fácil</v>
      </c>
      <c r="B44153" s="3">
        <v>1</v>
      </c>
    </row>
    <row r="44154" ht="15.75" customHeight="1" spans="1:2">
      <c r="A44154" s="3" t="str">
        <f>IFERROR(__xludf.DUMMYFUNCTION("GOOGLETRANSLATE(A44154,""en"",""pt"")"),"Fácil de usar, fotos de qualidade para uma pequena e compacta câmera.")</f>
        <v>Fácil de usar, fotos de qualidade para uma pequena e compacta câmera.</v>
      </c>
      <c r="B44154" s="3">
        <v>1</v>
      </c>
    </row>
    <row r="44155" ht="15.75" customHeight="1" spans="1:2">
      <c r="A44155" s="3" t="str">
        <f>IFERROR(__xludf.DUMMYFUNCTION("GOOGLETRANSLATE(A44155,""en"",""pt"")"),"Boa qualidade de imagem, pequeno")</f>
        <v>Boa qualidade de imagem, pequeno</v>
      </c>
      <c r="B44155" s="3">
        <v>1</v>
      </c>
    </row>
    <row r="44156" ht="15.75" customHeight="1" spans="1:2">
      <c r="A44156" s="3" t="str">
        <f>IFERROR(__xludf.DUMMYFUNCTION("GOOGLETRANSLATE(A44156,""en"",""pt"")"),"Barato, fotos de qualidade, fácil de usar, muito portátil")</f>
        <v>Barato, fotos de qualidade, fácil de usar, muito portátil</v>
      </c>
      <c r="B44156" s="3">
        <v>1</v>
      </c>
    </row>
    <row r="44157" ht="15.75" customHeight="1" spans="1:2">
      <c r="A44157" s="3" t="str">
        <f>IFERROR(__xludf.DUMMYFUNCTION("GOOGLETRANSLATE(A44157,""en"",""pt"")"),"Barato, fácil de usar")</f>
        <v>Barato, fácil de usar</v>
      </c>
      <c r="B44157" s="3">
        <v>1</v>
      </c>
    </row>
    <row r="44158" ht="15.75" customHeight="1" spans="1:2">
      <c r="A44158" s="3" t="str">
        <f>IFERROR(__xludf.DUMMYFUNCTION("GOOGLETRANSLATE(A44158,""en"",""pt"")"),"A FinePix A101 é pequeno, leve e fácil de usar.")</f>
        <v>A FinePix A101 é pequeno, leve e fácil de usar.</v>
      </c>
      <c r="B44158" s="3">
        <v>1</v>
      </c>
    </row>
    <row r="44159" ht="15.75" customHeight="1" spans="1:2">
      <c r="A44159" s="3" t="str">
        <f>IFERROR(__xludf.DUMMYFUNCTION("GOOGLETRANSLATE(A44159,""en"",""pt"")"),"Preço, qualidade de imagem, facilidade de uso")</f>
        <v>Preço, qualidade de imagem, facilidade de uso</v>
      </c>
      <c r="B44159" s="3">
        <v>1</v>
      </c>
    </row>
    <row r="44160" ht="15.75" customHeight="1" spans="1:2">
      <c r="A44160" s="3" t="str">
        <f>IFERROR(__xludf.DUMMYFUNCTION("GOOGLETRANSLATE(A44160,""en"",""pt"")"),"Pequeno, fácil de usar, boa qualidade de imagem, baratos e prontamente disponíveis.")</f>
        <v>Pequeno, fácil de usar, boa qualidade de imagem, baratos e prontamente disponíveis.</v>
      </c>
      <c r="B44160" s="3">
        <v>1</v>
      </c>
    </row>
    <row r="44161" ht="15.75" customHeight="1" spans="1:2">
      <c r="A44161" s="3" t="str">
        <f>IFERROR(__xludf.DUMMYFUNCTION("GOOGLETRANSLATE(A44161,""en"",""pt"")"),"Bela foto")</f>
        <v>Bela foto</v>
      </c>
      <c r="B44161" s="3">
        <v>1</v>
      </c>
    </row>
    <row r="44162" ht="15.75" customHeight="1" spans="1:2">
      <c r="A44162" s="3" t="str">
        <f>IFERROR(__xludf.DUMMYFUNCTION("GOOGLETRANSLATE(A44162,""en"",""pt"")"),"ÓTIMAS FOTOS. Eles são tão CLEAR.")</f>
        <v>ÓTIMAS FOTOS. Eles são tão CLEAR.</v>
      </c>
      <c r="B44162" s="3">
        <v>1</v>
      </c>
    </row>
    <row r="44163" ht="15.75" customHeight="1" spans="1:2">
      <c r="A44163" s="3" t="str">
        <f>IFERROR(__xludf.DUMMYFUNCTION("GOOGLETRANSLATE(A44163,""en"",""pt"")"),"Tamanho compacto, Zoom, cartão de memória pequeno, agradável e imagens claras")</f>
        <v>Tamanho compacto, Zoom, cartão de memória pequeno, agradável e imagens claras</v>
      </c>
      <c r="B44163" s="3">
        <v>1</v>
      </c>
    </row>
    <row r="44164" ht="15.75" customHeight="1" spans="1:2">
      <c r="A44164" s="3" t="str">
        <f>IFERROR(__xludf.DUMMYFUNCTION("GOOGLETRANSLATE(A44164,""en"",""pt"")"),"Relativamente barato, fácil de usar, software simples Finepix")</f>
        <v>Relativamente barato, fácil de usar, software simples Finepix</v>
      </c>
      <c r="B44164" s="3">
        <v>1</v>
      </c>
    </row>
    <row r="44165" ht="15.75" customHeight="1" spans="1:2">
      <c r="A44165" s="3" t="str">
        <f>IFERROR(__xludf.DUMMYFUNCTION("GOOGLETRANSLATE(A44165,""en"",""pt"")"),"Facilidade de uso, peso leve, modo de filme, 2 mega capacidade de pixel, é executado em 2 de AA")</f>
        <v>Facilidade de uso, peso leve, modo de filme, 2 mega capacidade de pixel, é executado em 2 de AA</v>
      </c>
      <c r="B44165" s="3">
        <v>1</v>
      </c>
    </row>
    <row r="44166" ht="15.75" customHeight="1" spans="1:2">
      <c r="A44166" s="3" t="str">
        <f>IFERROR(__xludf.DUMMYFUNCTION("GOOGLETRANSLATE(A44166,""en"",""pt"")"),"Incrível resolução de imagem, bateria de longa duração (2AA), grandes opções, preço baixo")</f>
        <v>Incrível resolução de imagem, bateria de longa duração (2AA), grandes opções, preço baixo</v>
      </c>
      <c r="B44166" s="3">
        <v>1</v>
      </c>
    </row>
    <row r="44167" ht="15.75" customHeight="1" spans="1:2">
      <c r="A44167" s="3" t="str">
        <f>IFERROR(__xludf.DUMMYFUNCTION("GOOGLETRANSLATE(A44167,""en"",""pt"")"),"A preços razoáveis, baterias usos AA e fácil de usar.")</f>
        <v>A preços razoáveis, baterias usos AA e fácil de usar.</v>
      </c>
      <c r="B44167" s="3">
        <v>1</v>
      </c>
    </row>
    <row r="44168" ht="15.75" customHeight="1" spans="1:2">
      <c r="A44168" s="3" t="str">
        <f>IFERROR(__xludf.DUMMYFUNCTION("GOOGLETRANSLATE(A44168,""en"",""pt"")"),"preço acessível e muitos recursos; cam e vídeo capacidades do PC; Pequeno e leve")</f>
        <v>preço acessível e muitos recursos; cam e vídeo capacidades do PC; Pequeno e leve</v>
      </c>
      <c r="B44168" s="3">
        <v>1</v>
      </c>
    </row>
    <row r="44169" ht="15.75" customHeight="1" spans="1:2">
      <c r="A44169" s="3" t="str">
        <f>IFERROR(__xludf.DUMMYFUNCTION("GOOGLETRANSLATE(A44169,""en"",""pt"")"),"Excelente qualidade de imagem. tamanho compacto., fácil de usar!")</f>
        <v>Excelente qualidade de imagem. tamanho compacto., fácil de usar!</v>
      </c>
      <c r="B44169" s="3">
        <v>1</v>
      </c>
    </row>
    <row r="44170" ht="15.75" customHeight="1" spans="1:2">
      <c r="A44170" s="3" t="str">
        <f>IFERROR(__xludf.DUMMYFUNCTION("GOOGLETRANSLATE(A44170,""en"",""pt"")"),"Pequeno, fácil de usar, as imagens realmente claro")</f>
        <v>Pequeno, fácil de usar, as imagens realmente claro</v>
      </c>
      <c r="B44170" s="3">
        <v>1</v>
      </c>
    </row>
    <row r="44171" ht="15.75" customHeight="1" spans="1:2">
      <c r="A44171" s="3" t="str">
        <f>IFERROR(__xludf.DUMMYFUNCTION("GOOGLETRANSLATE(A44171,""en"",""pt"")"),"User friendly, mesmo meu 6 anos de uso velha lata ele.")</f>
        <v>User friendly, mesmo meu 6 anos de uso velha lata ele.</v>
      </c>
      <c r="B44171" s="3">
        <v>1</v>
      </c>
    </row>
    <row r="44172" ht="15.75" customHeight="1" spans="1:2">
      <c r="A44172" s="3" t="str">
        <f>IFERROR(__xludf.DUMMYFUNCTION("GOOGLETRANSLATE(A44172,""en"",""pt"")"),"Compacto, fácil de usar digital tem fotos incríveis")</f>
        <v>Compacto, fácil de usar digital tem fotos incríveis</v>
      </c>
      <c r="B44172" s="3">
        <v>1</v>
      </c>
    </row>
    <row r="44173" ht="15.75" customHeight="1" spans="1:2">
      <c r="A44173" s="3" t="str">
        <f>IFERROR(__xludf.DUMMYFUNCTION("GOOGLETRANSLATE(A44173,""en"",""pt"")"),"Esta câmera é compacta, fácil de usar, tem muito boa qualidade fotográfica, e é barato!")</f>
        <v>Esta câmera é compacta, fácil de usar, tem muito boa qualidade fotográfica, e é barato!</v>
      </c>
      <c r="B44173" s="3">
        <v>1</v>
      </c>
    </row>
    <row r="44174" ht="15.75" customHeight="1" spans="1:2">
      <c r="A44174" s="3" t="str">
        <f>IFERROR(__xludf.DUMMYFUNCTION("GOOGLETRANSLATE(A44174,""en"",""pt"")"),"Fácil de usar, tem lente zoom, mantenha um monte de fotos.")</f>
        <v>Fácil de usar, tem lente zoom, mantenha um monte de fotos.</v>
      </c>
      <c r="B44174" s="3">
        <v>1</v>
      </c>
    </row>
    <row r="44175" ht="15.75" customHeight="1" spans="1:2">
      <c r="A44175" s="3" t="str">
        <f>IFERROR(__xludf.DUMMYFUNCTION("GOOGLETRANSLATE(A44175,""en"",""pt"")"),"Tamanho, preço, facilidade de uso, qualidade fotográfica")</f>
        <v>Tamanho, preço, facilidade de uso, qualidade fotográfica</v>
      </c>
      <c r="B44175" s="3">
        <v>1</v>
      </c>
    </row>
    <row r="44176" ht="15.75" customHeight="1" spans="1:2">
      <c r="A44176" s="3" t="str">
        <f>IFERROR(__xludf.DUMMYFUNCTION("GOOGLETRANSLATE(A44176,""en"",""pt"")"),"tamanho pequeno, 3+ megapixels, fácil de usar, pilhas AA, preço, desempenho")</f>
        <v>tamanho pequeno, 3+ megapixels, fácil de usar, pilhas AA, preço, desempenho</v>
      </c>
      <c r="B44176" s="3">
        <v>1</v>
      </c>
    </row>
    <row r="44177" ht="15.75" customHeight="1" spans="1:2">
      <c r="A44177" s="3" t="str">
        <f>IFERROR(__xludf.DUMMYFUNCTION("GOOGLETRANSLATE(A44177,""en"",""pt"")"),"Bom tamanho. interface fácil.")</f>
        <v>Bom tamanho. interface fácil.</v>
      </c>
      <c r="B44177" s="3">
        <v>1</v>
      </c>
    </row>
    <row r="44178" ht="15.75" customHeight="1" spans="1:2">
      <c r="A44178" s="3" t="str">
        <f>IFERROR(__xludf.DUMMYFUNCTION("GOOGLETRANSLATE(A44178,""en"",""pt"")"),"Fácil de usar com bom qualidade de foto!")</f>
        <v>Fácil de usar com bom qualidade de foto!</v>
      </c>
      <c r="B44178" s="3">
        <v>1</v>
      </c>
    </row>
    <row r="44179" ht="15.75" customHeight="1" spans="1:2">
      <c r="A44179" s="3" t="str">
        <f>IFERROR(__xludf.DUMMYFUNCTION("GOOGLETRANSLATE(A44179,""en"",""pt"")"),"Pequeno, fácil de usar, preço razoável")</f>
        <v>Pequeno, fácil de usar, preço razoável</v>
      </c>
      <c r="B44179" s="3">
        <v>1</v>
      </c>
    </row>
    <row r="44180" ht="15.75" customHeight="1" spans="1:2">
      <c r="A44180" s="3" t="str">
        <f>IFERROR(__xludf.DUMMYFUNCTION("GOOGLETRANSLATE(A44180,""en"",""pt"")"),"zoom óptico de 3x, muitos recursos da câmera")</f>
        <v>zoom óptico de 3x, muitos recursos da câmera</v>
      </c>
      <c r="B44180" s="3">
        <v>1</v>
      </c>
    </row>
    <row r="44181" ht="15.75" customHeight="1" spans="1:2">
      <c r="A44181" s="3" t="str">
        <f>IFERROR(__xludf.DUMMYFUNCTION("GOOGLETRANSLATE(A44181,""en"",""pt"")"),"boa qualidade pic, fácil de usar, o software de computador user-friendly")</f>
        <v>boa qualidade pic, fácil de usar, o software de computador user-friendly</v>
      </c>
      <c r="B44181" s="3">
        <v>1</v>
      </c>
    </row>
    <row r="44182" ht="15.75" customHeight="1" spans="1:2">
      <c r="A44182" s="3" t="str">
        <f>IFERROR(__xludf.DUMMYFUNCTION("GOOGLETRANSLATE(A44182,""en"",""pt"")"),"Grande construção toda em alumínio, tamanho compacto, fantástica qualidade de imagem e grande projeto do corpo.")</f>
        <v>Grande construção toda em alumínio, tamanho compacto, fantástica qualidade de imagem e grande projeto do corpo.</v>
      </c>
      <c r="B44182" s="3">
        <v>1</v>
      </c>
    </row>
    <row r="44183" ht="15.75" customHeight="1" spans="1:2">
      <c r="A44183" s="3" t="str">
        <f>IFERROR(__xludf.DUMMYFUNCTION("GOOGLETRANSLATE(A44183,""en"",""pt"")"),"Tamanho e melhor resolução você pode obter hoje (8/02) por menos de $ 450.")</f>
        <v>Tamanho e melhor resolução você pode obter hoje (8/02) por menos de $ 450.</v>
      </c>
      <c r="B44183" s="3">
        <v>1</v>
      </c>
    </row>
    <row r="44184" ht="15.75" customHeight="1" spans="1:2">
      <c r="A44184" s="3" t="str">
        <f>IFERROR(__xludf.DUMMYFUNCTION("GOOGLETRANSLATE(A44184,""en"",""pt"")"),"pequeno tamanho, peso leve, ótimas fotos, vídeo grande")</f>
        <v>pequeno tamanho, peso leve, ótimas fotos, vídeo grande</v>
      </c>
      <c r="B44184" s="3">
        <v>1</v>
      </c>
    </row>
    <row r="44185" ht="15.75" customHeight="1" spans="1:2">
      <c r="A44185" s="3" t="str">
        <f>IFERROR(__xludf.DUMMYFUNCTION("GOOGLETRANSLATE(A44185,""en"",""pt"")"),"qualidade de cor, 640x480 vídeo, tamanho pequeno, base de suporte")</f>
        <v>qualidade de cor, 640x480 vídeo, tamanho pequeno, base de suporte</v>
      </c>
      <c r="B44185" s="3">
        <v>1</v>
      </c>
    </row>
    <row r="44186" ht="15.75" customHeight="1" spans="1:2">
      <c r="A44186" s="3" t="str">
        <f>IFERROR(__xludf.DUMMYFUNCTION("GOOGLETRANSLATE(A44186,""en"",""pt"")"),"Tamanho, qualidade de cor, Opções, bateria.")</f>
        <v>Tamanho, qualidade de cor, Opções, bateria.</v>
      </c>
      <c r="B44186" s="3">
        <v>1</v>
      </c>
    </row>
    <row r="44187" ht="15.75" customHeight="1" spans="1:2">
      <c r="A44187" s="3" t="str">
        <f>IFERROR(__xludf.DUMMYFUNCTION("GOOGLETRANSLATE(A44187,""en"",""pt"")"),"Resistente Habitação, muito versátil, Usa cartões SmartMedia, Great Value!")</f>
        <v>Resistente Habitação, muito versátil, Usa cartões SmartMedia, Great Value!</v>
      </c>
      <c r="B44187" s="3">
        <v>1</v>
      </c>
    </row>
    <row r="44188" ht="15.75" customHeight="1" spans="1:2">
      <c r="A44188" s="3" t="str">
        <f>IFERROR(__xludf.DUMMYFUNCTION("GOOGLETRANSLATE(A44188,""en"",""pt"")"),"Boas fotos!")</f>
        <v>Boas fotos!</v>
      </c>
      <c r="B44188" s="3">
        <v>1</v>
      </c>
    </row>
    <row r="44189" ht="15.75" customHeight="1" spans="1:2">
      <c r="A44189" s="3" t="str">
        <f>IFERROR(__xludf.DUMMYFUNCTION("GOOGLETRANSLATE(A44189,""en"",""pt"")"),", imagens sólidas de boa qualidade, reciclagem rápido, fácil de usar, boa variedade de modos de exposição.")</f>
        <v>, imagens sólidas de boa qualidade, reciclagem rápido, fácil de usar, boa variedade de modos de exposição.</v>
      </c>
      <c r="B44189" s="3">
        <v>1</v>
      </c>
    </row>
    <row r="44190" ht="15.75" customHeight="1" spans="1:2">
      <c r="A44190" s="3" t="str">
        <f>IFERROR(__xludf.DUMMYFUNCTION("GOOGLETRANSLATE(A44190,""en"",""pt"")"),"Grande controle de exposição e contraste, bons controles manuais")</f>
        <v>Grande controle de exposição e contraste, bons controles manuais</v>
      </c>
      <c r="B44190" s="3">
        <v>1</v>
      </c>
    </row>
    <row r="44191" ht="15.75" customHeight="1" spans="1:2">
      <c r="A44191" s="3" t="str">
        <f>IFERROR(__xludf.DUMMYFUNCTION("GOOGLETRANSLATE(A44191,""en"",""pt"")"),"Fotos de qualidade; Gravação de vídeo; Produza qualidade; Compactar; extras")</f>
        <v>Fotos de qualidade; Gravação de vídeo; Produza qualidade; Compactar; extras</v>
      </c>
      <c r="B44191" s="3">
        <v>1</v>
      </c>
    </row>
    <row r="44192" ht="15.75" customHeight="1" spans="1:2">
      <c r="A44192" s="3" t="str">
        <f>IFERROR(__xludf.DUMMYFUNCTION("GOOGLETRANSLATE(A44192,""en"",""pt"")"),"Boa Pix, vídeo com áudio, saída para TV, Web-cam, cópia de arquivo")</f>
        <v>Boa Pix, vídeo com áudio, saída para TV, Web-cam, cópia de arquivo</v>
      </c>
      <c r="B44192" s="3">
        <v>1</v>
      </c>
    </row>
    <row r="44193" ht="15.75" customHeight="1" spans="1:2">
      <c r="A44193" s="3" t="str">
        <f>IFERROR(__xludf.DUMMYFUNCTION("GOOGLETRANSLATE(A44193,""en"",""pt"")"),"Simples de usar; Acessível")</f>
        <v>Simples de usar; Acessível</v>
      </c>
      <c r="B44193" s="3">
        <v>1</v>
      </c>
    </row>
    <row r="44194" ht="15.75" customHeight="1" spans="1:2">
      <c r="A44194" s="3" t="str">
        <f>IFERROR(__xludf.DUMMYFUNCTION("GOOGLETRANSLATE(A44194,""en"",""pt"")"),"Excelente preço e de grande qualidade")</f>
        <v>Excelente preço e de grande qualidade</v>
      </c>
      <c r="B44194" s="3">
        <v>1</v>
      </c>
    </row>
    <row r="44195" ht="15.75" customHeight="1" spans="1:2">
      <c r="A44195" s="3" t="str">
        <f>IFERROR(__xludf.DUMMYFUNCTION("GOOGLETRANSLATE(A44195,""en"",""pt"")"),"Fácil de usar, auto focagem, temporizador")</f>
        <v>Fácil de usar, auto focagem, temporizador</v>
      </c>
      <c r="B44195" s="3">
        <v>1</v>
      </c>
    </row>
    <row r="44196" ht="15.75" customHeight="1" spans="1:2">
      <c r="A44196" s="3" t="str">
        <f>IFERROR(__xludf.DUMMYFUNCTION("GOOGLETRANSLATE(A44196,""en"",""pt"")"),"Fácil de usar e resistente.")</f>
        <v>Fácil de usar e resistente.</v>
      </c>
      <c r="B44196" s="3">
        <v>1</v>
      </c>
    </row>
    <row r="44197" ht="15.75" customHeight="1" spans="1:2">
      <c r="A44197" s="3" t="str">
        <f>IFERROR(__xludf.DUMMYFUNCTION("GOOGLETRANSLATE(A44197,""en"",""pt"")"),"Pequeno, leve, fácil de usar")</f>
        <v>Pequeno, leve, fácil de usar</v>
      </c>
      <c r="B44197" s="3">
        <v>1</v>
      </c>
    </row>
    <row r="44198" ht="15.75" customHeight="1" spans="1:2">
      <c r="A44198" s="3" t="str">
        <f>IFERROR(__xludf.DUMMYFUNCTION("GOOGLETRANSLATE(A44198,""en"",""pt"")"),"ótimo preço, ótimo valor, grande produto")</f>
        <v>ótimo preço, ótimo valor, grande produto</v>
      </c>
      <c r="B44198" s="3">
        <v>1</v>
      </c>
    </row>
    <row r="44199" ht="15.75" customHeight="1" spans="1:2">
      <c r="A44199" s="3" t="str">
        <f>IFERROR(__xludf.DUMMYFUNCTION("GOOGLETRANSLATE(A44199,""en"",""pt"")"),"pequeno, leve, fácil de usar")</f>
        <v>pequeno, leve, fácil de usar</v>
      </c>
      <c r="B44199" s="3">
        <v>1</v>
      </c>
    </row>
    <row r="44200" ht="15.75" customHeight="1" spans="1:2">
      <c r="A44200" s="3" t="str">
        <f>IFERROR(__xludf.DUMMYFUNCTION("GOOGLETRANSLATE(A44200,""en"",""pt"")"),"rápido, e leste. Faz menos resíduos")</f>
        <v>rápido, e leste. Faz menos resíduos</v>
      </c>
      <c r="B44200" s="3">
        <v>1</v>
      </c>
    </row>
    <row r="44201" ht="15.75" customHeight="1" spans="1:2">
      <c r="A44201" s="3" t="str">
        <f>IFERROR(__xludf.DUMMYFUNCTION("GOOGLETRANSLATE(A44201,""en"",""pt"")"),"custo, qualidade de imagem, inúmeros recursos (como opções de flash etc)")</f>
        <v>custo, qualidade de imagem, inúmeros recursos (como opções de flash etc)</v>
      </c>
      <c r="B44201" s="3">
        <v>1</v>
      </c>
    </row>
    <row r="44202" ht="15.75" customHeight="1" spans="1:2">
      <c r="A44202" s="3" t="str">
        <f>IFERROR(__xludf.DUMMYFUNCTION("GOOGLETRANSLATE(A44202,""en"",""pt"")"),"Pendentes imagens ao ar livre, cor agradável, interface de usuário acessível")</f>
        <v>Pendentes imagens ao ar livre, cor agradável, interface de usuário acessível</v>
      </c>
      <c r="B44202" s="3">
        <v>1</v>
      </c>
    </row>
    <row r="44203" ht="15.75" customHeight="1" spans="1:2">
      <c r="A44203" s="3" t="str">
        <f>IFERROR(__xludf.DUMMYFUNCTION("GOOGLETRANSLATE(A44203,""en"",""pt"")"),"Fácil de usar imagens de grande qualidade e barato em comparação com outros lá fora")</f>
        <v>Fácil de usar imagens de grande qualidade e barato em comparação com outros lá fora</v>
      </c>
      <c r="B44203" s="3">
        <v>1</v>
      </c>
    </row>
    <row r="44204" ht="15.75" customHeight="1" spans="1:2">
      <c r="A44204" s="3" t="str">
        <f>IFERROR(__xludf.DUMMYFUNCTION("GOOGLETRANSLATE(A44204,""en"",""pt"")"),"Agradável Pictures, pequeno, fácil de usar")</f>
        <v>Agradável Pictures, pequeno, fácil de usar</v>
      </c>
      <c r="B44204" s="3">
        <v>1</v>
      </c>
    </row>
    <row r="44205" ht="15.75" customHeight="1" spans="1:2">
      <c r="A44205" s="3" t="str">
        <f>IFERROR(__xludf.DUMMYFUNCTION("GOOGLETRANSLATE(A44205,""en"",""pt"")"),"alta performance barato")</f>
        <v>alta performance barato</v>
      </c>
      <c r="B44205" s="3">
        <v>1</v>
      </c>
    </row>
    <row r="44206" ht="15.75" customHeight="1" spans="1:2">
      <c r="A44206" s="3" t="str">
        <f>IFERROR(__xludf.DUMMYFUNCTION("GOOGLETRANSLATE(A44206,""en"",""pt"")"),"Grandes características para o preço. Muito fácil de usar. Pequeno e leve.")</f>
        <v>Grandes características para o preço. Muito fácil de usar. Pequeno e leve.</v>
      </c>
      <c r="B44206" s="3">
        <v>1</v>
      </c>
    </row>
    <row r="44207" ht="15.75" customHeight="1" spans="1:2">
      <c r="A44207" s="3" t="str">
        <f>IFERROR(__xludf.DUMMYFUNCTION("GOOGLETRANSLATE(A44207,""en"",""pt"")"),"Custo, tamanho, interface de")</f>
        <v>Custo, tamanho, interface de</v>
      </c>
      <c r="B44207" s="3">
        <v>1</v>
      </c>
    </row>
    <row r="44208" ht="15.75" customHeight="1" spans="1:2">
      <c r="A44208" s="3" t="str">
        <f>IFERROR(__xludf.DUMMYFUNCTION("GOOGLETRANSLATE(A44208,""en"",""pt"")"),"Ótima câmera para o dinheiro")</f>
        <v>Ótima câmera para o dinheiro</v>
      </c>
      <c r="B44208" s="3">
        <v>1</v>
      </c>
    </row>
    <row r="44209" ht="15.75" customHeight="1" spans="1:2">
      <c r="A44209" s="3" t="str">
        <f>IFERROR(__xludf.DUMMYFUNCTION("GOOGLETRANSLATE(A44209,""en"",""pt"")"),"custo, qualidade de imagem")</f>
        <v>custo, qualidade de imagem</v>
      </c>
      <c r="B44209" s="3">
        <v>1</v>
      </c>
    </row>
    <row r="44210" ht="15.75" customHeight="1" spans="1:2">
      <c r="A44210" s="3" t="str">
        <f>IFERROR(__xludf.DUMMYFUNCTION("GOOGLETRANSLATE(A44210,""en"",""pt"")"),"Barato")</f>
        <v>Barato</v>
      </c>
      <c r="B44210" s="3">
        <v>1</v>
      </c>
    </row>
    <row r="44211" ht="15.75" customHeight="1" spans="1:2">
      <c r="A44211" s="3" t="str">
        <f>IFERROR(__xludf.DUMMYFUNCTION("GOOGLETRANSLATE(A44211,""en"",""pt"")"),"Fácil de usar, preço razoável, qualidade de imagem decente")</f>
        <v>Fácil de usar, preço razoável, qualidade de imagem decente</v>
      </c>
      <c r="B44211" s="3">
        <v>1</v>
      </c>
    </row>
    <row r="44212" ht="15.75" customHeight="1" spans="1:2">
      <c r="A44212" s="3" t="str">
        <f>IFERROR(__xludf.DUMMYFUNCTION("GOOGLETRANSLATE(A44212,""en"",""pt"")"),"Construção durável, boa bateria, operação simples, a qualidade da foto é excelente para esta faixa de preço!")</f>
        <v>Construção durável, boa bateria, operação simples, a qualidade da foto é excelente para esta faixa de preço!</v>
      </c>
      <c r="B44212" s="3">
        <v>1</v>
      </c>
    </row>
    <row r="44213" ht="15.75" customHeight="1" spans="1:2">
      <c r="A44213" s="3" t="str">
        <f>IFERROR(__xludf.DUMMYFUNCTION("GOOGLETRANSLATE(A44213,""en"",""pt"")"),"Agradável inexpensivce câmera digital, leva boas fotos")</f>
        <v>Agradável inexpensivce câmera digital, leva boas fotos</v>
      </c>
      <c r="B44213" s="3">
        <v>1</v>
      </c>
    </row>
    <row r="44214" ht="15.75" customHeight="1" spans="1:2">
      <c r="A44214" s="3" t="str">
        <f>IFERROR(__xludf.DUMMYFUNCTION("GOOGLETRANSLATE(A44214,""en"",""pt"")"),"Fácil de usar e pequeno o suficiente para ir no meu bolso!")</f>
        <v>Fácil de usar e pequeno o suficiente para ir no meu bolso!</v>
      </c>
      <c r="B44214" s="3">
        <v>1</v>
      </c>
    </row>
    <row r="44215" ht="15.75" customHeight="1" spans="1:2">
      <c r="A44215" s="3" t="str">
        <f>IFERROR(__xludf.DUMMYFUNCTION("GOOGLETRANSLATE(A44215,""en"",""pt"")"),"Compacto, Grande Tela LCD, Bom com a vida da bateria")</f>
        <v>Compacto, Grande Tela LCD, Bom com a vida da bateria</v>
      </c>
      <c r="B44215" s="3">
        <v>1</v>
      </c>
    </row>
    <row r="44216" ht="15.75" customHeight="1" spans="1:2">
      <c r="A44216" s="3" t="str">
        <f>IFERROR(__xludf.DUMMYFUNCTION("GOOGLETRANSLATE(A44216,""en"",""pt"")"),"leva agradável a foto, tela de LCD, fácil de operar.")</f>
        <v>leva agradável a foto, tela de LCD, fácil de operar.</v>
      </c>
      <c r="B44216" s="3">
        <v>1</v>
      </c>
    </row>
    <row r="44217" ht="15.75" customHeight="1" spans="1:2">
      <c r="A44217" s="3" t="str">
        <f>IFERROR(__xludf.DUMMYFUNCTION("GOOGLETRANSLATE(A44217,""en"",""pt"")"),"mx-1200.it dá excelentes fotos e muito fácil de use..a maravilhosa câmera para o preço.")</f>
        <v>mx-1200.it dá excelentes fotos e muito fácil de use..a maravilhosa câmera para o preço.</v>
      </c>
      <c r="B44217" s="3">
        <v>1</v>
      </c>
    </row>
    <row r="44218" ht="15.75" customHeight="1" spans="1:2">
      <c r="A44218" s="3" t="str">
        <f>IFERROR(__xludf.DUMMYFUNCTION("GOOGLETRANSLATE(A44218,""en"",""pt"")"),"Grandes fotos, fácil de usar, boa exposição / controle de cores.")</f>
        <v>Grandes fotos, fácil de usar, boa exposição / controle de cores.</v>
      </c>
      <c r="B44218" s="3">
        <v>1</v>
      </c>
    </row>
    <row r="44219" ht="15.75" customHeight="1" spans="1:2">
      <c r="A44219" s="3" t="str">
        <f>IFERROR(__xludf.DUMMYFUNCTION("GOOGLETRANSLATE(A44219,""en"",""pt"")"),"Excelente qualidade de imagem, ecrã LCD a cores de alta resolução, sistema de seleção de menu-driven, infinidade de configurações de flash e exposição")</f>
        <v>Excelente qualidade de imagem, ecrã LCD a cores de alta resolução, sistema de seleção de menu-driven, infinidade de configurações de flash e exposição</v>
      </c>
      <c r="B44219" s="3">
        <v>1</v>
      </c>
    </row>
    <row r="44220" ht="15.75" customHeight="1" spans="1:2">
      <c r="A44220" s="3" t="str">
        <f>IFERROR(__xludf.DUMMYFUNCTION("GOOGLETRANSLATE(A44220,""en"",""pt"")"),"ótimo preço e acessórios livre w / alta resolução")</f>
        <v>ótimo preço e acessórios livre w / alta resolução</v>
      </c>
      <c r="B44220" s="3">
        <v>1</v>
      </c>
    </row>
    <row r="44221" ht="15.75" customHeight="1" spans="1:2">
      <c r="A44221" s="3" t="str">
        <f>IFERROR(__xludf.DUMMYFUNCTION("GOOGLETRANSLATE(A44221,""en"",""pt"")"),"fácil de usar, melhor câmera para o dinheiro")</f>
        <v>fácil de usar, melhor câmera para o dinheiro</v>
      </c>
      <c r="B44221" s="3">
        <v>1</v>
      </c>
    </row>
    <row r="44222" ht="15.75" customHeight="1" spans="1:2">
      <c r="A44222" s="3" t="str">
        <f>IFERROR(__xludf.DUMMYFUNCTION("GOOGLETRANSLATE(A44222,""en"",""pt"")"),"IS pequeno tamanho e E DISQUETE OPÇÃO excelente qualidade.")</f>
        <v>IS pequeno tamanho e E DISQUETE OPÇÃO excelente qualidade.</v>
      </c>
      <c r="B44222" s="3">
        <v>1</v>
      </c>
    </row>
    <row r="44223" ht="15.75" customHeight="1" spans="1:2">
      <c r="A44223" s="3" t="str">
        <f>IFERROR(__xludf.DUMMYFUNCTION("GOOGLETRANSLATE(A44223,""en"",""pt"")"),"usos múltiplos")</f>
        <v>usos múltiplos</v>
      </c>
      <c r="B44223" s="3">
        <v>1</v>
      </c>
    </row>
    <row r="44224" ht="15.75" customHeight="1" spans="1:2">
      <c r="A44224" s="3" t="str">
        <f>IFERROR(__xludf.DUMMYFUNCTION("GOOGLETRANSLATE(A44224,""en"",""pt"")"),"Pequeno, fácil de usar, fácil de transferir fotos, grande qualidade")</f>
        <v>Pequeno, fácil de usar, fácil de transferir fotos, grande qualidade</v>
      </c>
      <c r="B44224" s="3">
        <v>1</v>
      </c>
    </row>
    <row r="44225" ht="15.75" customHeight="1" spans="1:2">
      <c r="A44225" s="3" t="str">
        <f>IFERROR(__xludf.DUMMYFUNCTION("GOOGLETRANSLATE(A44225,""en"",""pt"")"),"Fácil de usar")</f>
        <v>Fácil de usar</v>
      </c>
      <c r="B44225" s="3">
        <v>1</v>
      </c>
    </row>
    <row r="44226" ht="15.75" customHeight="1" spans="1:2">
      <c r="A44226" s="3" t="str">
        <f>IFERROR(__xludf.DUMMYFUNCTION("GOOGLETRANSLATE(A44226,""en"",""pt"")"),"No More Processamento de filmes")</f>
        <v>No More Processamento de filmes</v>
      </c>
      <c r="B44226" s="3">
        <v>1</v>
      </c>
    </row>
    <row r="44227" ht="15.75" customHeight="1" spans="1:2">
      <c r="A44227" s="3" t="str">
        <f>IFERROR(__xludf.DUMMYFUNCTION("GOOGLETRANSLATE(A44227,""en"",""pt"")"),"O tamanho pequeno, tamanho da imagem para o dinheiro")</f>
        <v>O tamanho pequeno, tamanho da imagem para o dinheiro</v>
      </c>
      <c r="B44227" s="3">
        <v>1</v>
      </c>
    </row>
    <row r="44228" ht="15.75" customHeight="1" spans="1:2">
      <c r="A44228" s="3" t="str">
        <f>IFERROR(__xludf.DUMMYFUNCTION("GOOGLETRANSLATE(A44228,""en"",""pt"")"),"navegação simples")</f>
        <v>navegação simples</v>
      </c>
      <c r="B44228" s="3">
        <v>1</v>
      </c>
    </row>
    <row r="44229" ht="15.75" customHeight="1" spans="1:2">
      <c r="A44229" s="3" t="str">
        <f>IFERROR(__xludf.DUMMYFUNCTION("GOOGLETRANSLATE(A44229,""en"",""pt"")"),"excelente preço para o que você, qualidade, facilidade de uso")</f>
        <v>excelente preço para o que você, qualidade, facilidade de uso</v>
      </c>
      <c r="B44229" s="3">
        <v>1</v>
      </c>
    </row>
    <row r="44230" ht="15.75" customHeight="1" spans="1:2">
      <c r="A44230" s="3" t="str">
        <f>IFERROR(__xludf.DUMMYFUNCTION("GOOGLETRANSLATE(A44230,""en"",""pt"")"),"qualidade a preços acessíveis e de grande")</f>
        <v>qualidade a preços acessíveis e de grande</v>
      </c>
      <c r="B44230" s="3">
        <v>1</v>
      </c>
    </row>
    <row r="44231" ht="15.75" customHeight="1" spans="1:2">
      <c r="A44231" s="3" t="str">
        <f>IFERROR(__xludf.DUMMYFUNCTION("GOOGLETRANSLATE(A44231,""en"",""pt"")"),"Grande pix, fácil de usar")</f>
        <v>Grande pix, fácil de usar</v>
      </c>
      <c r="B44231" s="3">
        <v>1</v>
      </c>
    </row>
    <row r="44232" ht="15.75" customHeight="1" spans="1:2">
      <c r="A44232" s="3" t="str">
        <f>IFERROR(__xludf.DUMMYFUNCTION("GOOGLETRANSLATE(A44232,""en"",""pt"")"),"custo")</f>
        <v>custo</v>
      </c>
      <c r="B44232" s="3">
        <v>1</v>
      </c>
    </row>
    <row r="44233" ht="15.75" customHeight="1" spans="1:2">
      <c r="A44233" s="3" t="str">
        <f>IFERROR(__xludf.DUMMYFUNCTION("GOOGLETRANSLATE(A44233,""en"",""pt"")"),"Ótima câmera pelo preço! Leva boas fotos.")</f>
        <v>Ótima câmera pelo preço! Leva boas fotos.</v>
      </c>
      <c r="B44233" s="3">
        <v>1</v>
      </c>
    </row>
    <row r="44234" ht="15.75" customHeight="1" spans="1:2">
      <c r="A44234" s="3" t="str">
        <f>IFERROR(__xludf.DUMMYFUNCTION("GOOGLETRANSLATE(A44234,""en"",""pt"")"),"instruções simples, tamanho grande")</f>
        <v>instruções simples, tamanho grande</v>
      </c>
      <c r="B44234" s="3">
        <v>1</v>
      </c>
    </row>
    <row r="44235" ht="15.75" customHeight="1" spans="1:2">
      <c r="A44235" s="3" t="str">
        <f>IFERROR(__xludf.DUMMYFUNCTION("GOOGLETRANSLATE(A44235,""en"",""pt"")"),"Instantânea Pictures &amp; amp; amp; Não ter que pegar fotos ...")</f>
        <v>Instantânea Pictures &amp; amp; amp; Não ter que pegar fotos ...</v>
      </c>
      <c r="B44235" s="3">
        <v>1</v>
      </c>
    </row>
    <row r="44236" ht="15.75" customHeight="1" spans="1:2">
      <c r="A44236" s="3" t="str">
        <f>IFERROR(__xludf.DUMMYFUNCTION("GOOGLETRANSLATE(A44236,""en"",""pt"")"),"leve, fácil utilização")</f>
        <v>leve, fácil utilização</v>
      </c>
      <c r="B44236" s="3">
        <v>1</v>
      </c>
    </row>
    <row r="44237" ht="15.75" customHeight="1" spans="1:2">
      <c r="A44237" s="3" t="str">
        <f>IFERROR(__xludf.DUMMYFUNCTION("GOOGLETRANSLATE(A44237,""en"",""pt"")"),"bom preço, fácil de usar, fotos decentes, a vida da bateria")</f>
        <v>bom preço, fácil de usar, fotos decentes, a vida da bateria</v>
      </c>
      <c r="B44237" s="3">
        <v>1</v>
      </c>
    </row>
    <row r="44238" ht="15.75" customHeight="1" spans="1:2">
      <c r="A44238" s="3" t="str">
        <f>IFERROR(__xludf.DUMMYFUNCTION("GOOGLETRANSLATE(A44238,""en"",""pt"")"),"boa qualidade")</f>
        <v>boa qualidade</v>
      </c>
      <c r="B44238" s="3">
        <v>1</v>
      </c>
    </row>
    <row r="44239" ht="15.75" customHeight="1" spans="1:2">
      <c r="A44239" s="3" t="str">
        <f>IFERROR(__xludf.DUMMYFUNCTION("GOOGLETRANSLATE(A44239,""en"",""pt"")"),"ótimas fotos e baixa dinheiro, dependendo da pessoa")</f>
        <v>ótimas fotos e baixa dinheiro, dependendo da pessoa</v>
      </c>
      <c r="B44239" s="3">
        <v>1</v>
      </c>
    </row>
    <row r="44240" ht="15.75" customHeight="1" spans="1:2">
      <c r="A44240" s="3" t="str">
        <f>IFERROR(__xludf.DUMMYFUNCTION("GOOGLETRANSLATE(A44240,""en"",""pt"")"),"Barato, grande qualidade, fácil de usar")</f>
        <v>Barato, grande qualidade, fácil de usar</v>
      </c>
      <c r="B44240" s="3">
        <v>1</v>
      </c>
    </row>
    <row r="44241" ht="15.75" customHeight="1" spans="1:2">
      <c r="A44241" s="3" t="str">
        <f>IFERROR(__xludf.DUMMYFUNCTION("GOOGLETRANSLATE(A44241,""en"",""pt"")"),"luz, barato, confiável")</f>
        <v>luz, barato, confiável</v>
      </c>
      <c r="B44241" s="3">
        <v>1</v>
      </c>
    </row>
    <row r="44242" ht="15.75" customHeight="1" spans="1:2">
      <c r="A44242" s="3" t="str">
        <f>IFERROR(__xludf.DUMMYFUNCTION("GOOGLETRANSLATE(A44242,""en"",""pt"")"),"Eu amo esta câmera digital de nível de entrada. As imagens são muito mais nítida do que a d-340R Olympus (a câmara seguinte da sua classe). Meu melhor conselho é se você quer uma câmera digital de nível de entrada como eu fiz, comprar um presente. Se você"&amp;" quiser gastar mais, comprar um mais")</f>
        <v>Eu amo esta câmera digital de nível de entrada. As imagens são muito mais nítida do que a d-340R Olympus (a câmara seguinte da sua classe). Meu melhor conselho é se você quer uma câmera digital de nível de entrada como eu fiz, comprar um presente. Se você quiser gastar mais, comprar um mais</v>
      </c>
      <c r="B44242" s="3">
        <v>1</v>
      </c>
    </row>
    <row r="44243" ht="15.75" customHeight="1" spans="1:2">
      <c r="A44243" s="3" t="str">
        <f>IFERROR(__xludf.DUMMYFUNCTION("GOOGLETRANSLATE(A44243,""en"",""pt"")"),"Facilidade de uso e ótimas fotos")</f>
        <v>Facilidade de uso e ótimas fotos</v>
      </c>
      <c r="B44243" s="3">
        <v>1</v>
      </c>
    </row>
    <row r="44244" ht="15.75" customHeight="1" spans="1:2">
      <c r="A44244" s="3" t="str">
        <f>IFERROR(__xludf.DUMMYFUNCTION("GOOGLETRANSLATE(A44244,""en"",""pt"")"),"Assim fácil de usar")</f>
        <v>Assim fácil de usar</v>
      </c>
      <c r="B44244" s="3">
        <v>1</v>
      </c>
    </row>
    <row r="44245" ht="15.75" customHeight="1" spans="1:2">
      <c r="A44245" s="3" t="str">
        <f>IFERROR(__xludf.DUMMYFUNCTION("GOOGLETRANSLATE(A44245,""en"",""pt"")"),"Barato e pequeno")</f>
        <v>Barato e pequeno</v>
      </c>
      <c r="B44245" s="3">
        <v>1</v>
      </c>
    </row>
    <row r="44246" ht="15.75" customHeight="1" spans="1:2">
      <c r="A44246" s="3" t="str">
        <f>IFERROR(__xludf.DUMMYFUNCTION("GOOGLETRANSLATE(A44246,""en"",""pt"")"),"Fácil de usar")</f>
        <v>Fácil de usar</v>
      </c>
      <c r="B44246" s="3">
        <v>1</v>
      </c>
    </row>
    <row r="44247" ht="15.75" customHeight="1" spans="1:2">
      <c r="A44247" s="3" t="str">
        <f>IFERROR(__xludf.DUMMYFUNCTION("GOOGLETRANSLATE(A44247,""en"",""pt"")"),"imagens de boa qualidade, design compacto")</f>
        <v>imagens de boa qualidade, design compacto</v>
      </c>
      <c r="B44247" s="3">
        <v>1</v>
      </c>
    </row>
    <row r="44248" ht="15.75" customHeight="1" spans="1:2">
      <c r="A44248" s="3" t="str">
        <f>IFERROR(__xludf.DUMMYFUNCTION("GOOGLETRANSLATE(A44248,""en"",""pt"")"),"Tamanho, imagem facilidade de uso para iniciantes, preço, versatilidade, etc qualidade ...")</f>
        <v>Tamanho, imagem facilidade de uso para iniciantes, preço, versatilidade, etc qualidade ...</v>
      </c>
      <c r="B44248" s="3">
        <v>1</v>
      </c>
    </row>
    <row r="44249" ht="15.75" customHeight="1" spans="1:2">
      <c r="A44249" s="3" t="str">
        <f>IFERROR(__xludf.DUMMYFUNCTION("GOOGLETRANSLATE(A44249,""en"",""pt"")"),"Tamanho e preço.")</f>
        <v>Tamanho e preço.</v>
      </c>
      <c r="B44249" s="3">
        <v>1</v>
      </c>
    </row>
    <row r="44250" ht="15.75" customHeight="1" spans="1:2">
      <c r="A44250" s="3" t="str">
        <f>IFERROR(__xludf.DUMMYFUNCTION("GOOGLETRANSLATE(A44250,""en"",""pt"")"),"Grande Valor, 2X Zoom, muitas opções de qualidade de imagem")</f>
        <v>Grande Valor, 2X Zoom, muitas opções de qualidade de imagem</v>
      </c>
      <c r="B44250" s="3">
        <v>1</v>
      </c>
    </row>
    <row r="44251" ht="15.75" customHeight="1" spans="1:2">
      <c r="A44251" s="3" t="str">
        <f>IFERROR(__xludf.DUMMYFUNCTION("GOOGLETRANSLATE(A44251,""en"",""pt"")"),"Grande resolução, características &amp; amp; amp; preço")</f>
        <v>Grande resolução, características &amp; amp; amp; preço</v>
      </c>
      <c r="B44251" s="3">
        <v>1</v>
      </c>
    </row>
    <row r="44252" ht="15.75" customHeight="1" spans="1:2">
      <c r="A44252" s="3" t="str">
        <f>IFERROR(__xludf.DUMMYFUNCTION("GOOGLETRANSLATE(A44252,""en"",""pt"")"),"Foto qualidade, tamanho e preço")</f>
        <v>Foto qualidade, tamanho e preço</v>
      </c>
      <c r="B44252" s="3">
        <v>1</v>
      </c>
    </row>
    <row r="44253" ht="15.75" customHeight="1" spans="1:2">
      <c r="A44253" s="3" t="str">
        <f>IFERROR(__xludf.DUMMYFUNCTION("GOOGLETRANSLATE(A44253,""en"",""pt"")"),"Barato, fácil de usar, flash bom")</f>
        <v>Barato, fácil de usar, flash bom</v>
      </c>
      <c r="B44253" s="3">
        <v>1</v>
      </c>
    </row>
    <row r="44254" ht="15.75" customHeight="1" spans="1:2">
      <c r="A44254" s="3" t="str">
        <f>IFERROR(__xludf.DUMMYFUNCTION("GOOGLETRANSLATE(A44254,""en"",""pt"")"),"Fácil de usar, elegante, barato")</f>
        <v>Fácil de usar, elegante, barato</v>
      </c>
      <c r="B44254" s="3">
        <v>1</v>
      </c>
    </row>
    <row r="44255" ht="15.75" customHeight="1" spans="1:2">
      <c r="A44255" s="3" t="str">
        <f>IFERROR(__xludf.DUMMYFUNCTION("GOOGLETRANSLATE(A44255,""en"",""pt"")"),"Impressionante relação preço / desempenho!")</f>
        <v>Impressionante relação preço / desempenho!</v>
      </c>
      <c r="B44255" s="3">
        <v>1</v>
      </c>
    </row>
    <row r="44256" ht="15.75" customHeight="1" spans="1:2">
      <c r="A44256" s="3" t="str">
        <f>IFERROR(__xludf.DUMMYFUNCTION("GOOGLETRANSLATE(A44256,""en"",""pt"")"),"Bom preço, boas fotos.")</f>
        <v>Bom preço, boas fotos.</v>
      </c>
      <c r="B44256" s="3">
        <v>1</v>
      </c>
    </row>
    <row r="44257" ht="15.75" customHeight="1" spans="1:2">
      <c r="A44257" s="3" t="str">
        <f>IFERROR(__xludf.DUMMYFUNCTION("GOOGLETRANSLATE(A44257,""en"",""pt"")"),"muitos")</f>
        <v>muitos</v>
      </c>
      <c r="B44257" s="3">
        <v>1</v>
      </c>
    </row>
    <row r="44258" ht="15.75" customHeight="1" spans="1:2">
      <c r="A44258" s="3" t="str">
        <f>IFERROR(__xludf.DUMMYFUNCTION("GOOGLETRANSLATE(A44258,""en"",""pt"")"),"Photo Quality, SmartMedia Compatable, facilidade de uso, a vida da bateria")</f>
        <v>Photo Quality, SmartMedia Compatable, facilidade de uso, a vida da bateria</v>
      </c>
      <c r="B44258" s="3">
        <v>1</v>
      </c>
    </row>
    <row r="44259" ht="15.75" customHeight="1" spans="1:2">
      <c r="A44259" s="3" t="str">
        <f>IFERROR(__xludf.DUMMYFUNCTION("GOOGLETRANSLATE(A44259,""en"",""pt"")"),"Pequeno, barato, fácil de usar, não gasta a bateria tão rapidamente quanto algumas outras câmeras digitais")</f>
        <v>Pequeno, barato, fácil de usar, não gasta a bateria tão rapidamente quanto algumas outras câmeras digitais</v>
      </c>
      <c r="B44259" s="3">
        <v>1</v>
      </c>
    </row>
    <row r="44260" ht="15.75" customHeight="1" spans="1:2">
      <c r="A44260" s="3" t="str">
        <f>IFERROR(__xludf.DUMMYFUNCTION("GOOGLETRANSLATE(A44260,""en"",""pt"")"),"Ótimas fotos!")</f>
        <v>Ótimas fotos!</v>
      </c>
      <c r="B44260" s="3">
        <v>1</v>
      </c>
    </row>
    <row r="44261" ht="15.75" customHeight="1" spans="1:2">
      <c r="A44261" s="3" t="str">
        <f>IFERROR(__xludf.DUMMYFUNCTION("GOOGLETRANSLATE(A44261,""en"",""pt"")"),"O tamanho pequeno, grandes imagens, expansibilidade")</f>
        <v>O tamanho pequeno, grandes imagens, expansibilidade</v>
      </c>
      <c r="B44261" s="3">
        <v>1</v>
      </c>
    </row>
    <row r="44262" ht="15.75" customHeight="1" spans="1:2">
      <c r="A44262" s="3" t="str">
        <f>IFERROR(__xludf.DUMMYFUNCTION("GOOGLETRANSLATE(A44262,""en"",""pt"")"),"cor decente")</f>
        <v>cor decente</v>
      </c>
      <c r="B44262" s="3">
        <v>1</v>
      </c>
    </row>
    <row r="44263" ht="15.75" customHeight="1" spans="1:2">
      <c r="A44263" s="3" t="str">
        <f>IFERROR(__xludf.DUMMYFUNCTION("GOOGLETRANSLATE(A44263,""en"",""pt"")"),"Qualidade e valor")</f>
        <v>Qualidade e valor</v>
      </c>
      <c r="B44263" s="3">
        <v>1</v>
      </c>
    </row>
    <row r="44264" ht="15.75" customHeight="1" spans="1:2">
      <c r="A44264" s="3" t="str">
        <f>IFERROR(__xludf.DUMMYFUNCTION("GOOGLETRANSLATE(A44264,""en"",""pt"")"),"Barata para recursos incluídos")</f>
        <v>Barata para recursos incluídos</v>
      </c>
      <c r="B44264" s="3">
        <v>1</v>
      </c>
    </row>
    <row r="44265" ht="15.75" customHeight="1" spans="1:2">
      <c r="A44265" s="3" t="str">
        <f>IFERROR(__xludf.DUMMYFUNCTION("GOOGLETRANSLATE(A44265,""en"",""pt"")"),"De baixo custo, de fácil utilização, grandes tiros de qualidade.")</f>
        <v>De baixo custo, de fácil utilização, grandes tiros de qualidade.</v>
      </c>
      <c r="B44265" s="3">
        <v>1</v>
      </c>
    </row>
    <row r="44266" ht="15.75" customHeight="1" spans="1:2">
      <c r="A44266" s="3" t="str">
        <f>IFERROR(__xludf.DUMMYFUNCTION("GOOGLETRANSLATE(A44266,""en"",""pt"")"),"bom valor, fácil de usar, boa vida útil da bateria")</f>
        <v>bom valor, fácil de usar, boa vida útil da bateria</v>
      </c>
      <c r="B44266" s="3">
        <v>1</v>
      </c>
    </row>
    <row r="44267" ht="15.75" customHeight="1" spans="1:2">
      <c r="A44267" s="3" t="str">
        <f>IFERROR(__xludf.DUMMYFUNCTION("GOOGLETRANSLATE(A44267,""en"",""pt"")"),"Custo")</f>
        <v>Custo</v>
      </c>
      <c r="B44267" s="3">
        <v>1</v>
      </c>
    </row>
    <row r="44268" ht="15.75" customHeight="1" spans="1:2">
      <c r="A44268" s="3" t="str">
        <f>IFERROR(__xludf.DUMMYFUNCTION("GOOGLETRANSLATE(A44268,""en"",""pt"")"),"barato, fácil de usar")</f>
        <v>barato, fácil de usar</v>
      </c>
      <c r="B44268" s="3">
        <v>1</v>
      </c>
    </row>
    <row r="44269" ht="15.75" customHeight="1" spans="1:2">
      <c r="A44269" s="3" t="str">
        <f>IFERROR(__xludf.DUMMYFUNCTION("GOOGLETRANSLATE(A44269,""en"",""pt"")"),"Leve e pequeno")</f>
        <v>Leve e pequeno</v>
      </c>
      <c r="B44269" s="3">
        <v>1</v>
      </c>
    </row>
    <row r="44270" ht="15.75" customHeight="1" spans="1:2">
      <c r="A44270" s="3" t="str">
        <f>IFERROR(__xludf.DUMMYFUNCTION("GOOGLETRANSLATE(A44270,""en"",""pt"")"),"Grandes fotos de qualidade. Muito fácil de usar. Sem erros")</f>
        <v>Grandes fotos de qualidade. Muito fácil de usar. Sem erros</v>
      </c>
      <c r="B44270" s="3">
        <v>1</v>
      </c>
    </row>
    <row r="44271" ht="15.75" customHeight="1" spans="1:2">
      <c r="A44271" s="3" t="str">
        <f>IFERROR(__xludf.DUMMYFUNCTION("GOOGLETRANSLATE(A44271,""en"",""pt"")"),"Fácil de usar, imagens claras, de baixo custo")</f>
        <v>Fácil de usar, imagens claras, de baixo custo</v>
      </c>
      <c r="B44271" s="3">
        <v>1</v>
      </c>
    </row>
    <row r="44272" ht="15.75" customHeight="1" spans="1:2">
      <c r="A44272" s="3" t="str">
        <f>IFERROR(__xludf.DUMMYFUNCTION("GOOGLETRANSLATE(A44272,""en"",""pt"")"),"Fácil de usar, pequeno, e um LCD de bom tamanho.")</f>
        <v>Fácil de usar, pequeno, e um LCD de bom tamanho.</v>
      </c>
      <c r="B44272" s="3">
        <v>1</v>
      </c>
    </row>
    <row r="44273" ht="15.75" customHeight="1" spans="1:2">
      <c r="A44273" s="3" t="str">
        <f>IFERROR(__xludf.DUMMYFUNCTION("GOOGLETRANSLATE(A44273,""en"",""pt"")"),"Fácil de usar, bem desenhado, barato")</f>
        <v>Fácil de usar, bem desenhado, barato</v>
      </c>
      <c r="B44273" s="3">
        <v>1</v>
      </c>
    </row>
    <row r="44274" ht="15.75" customHeight="1" spans="1:2">
      <c r="A44274" s="3" t="str">
        <f>IFERROR(__xludf.DUMMYFUNCTION("GOOGLETRANSLATE(A44274,""en"",""pt"")"),"Grande valor em sua faixa de preço!")</f>
        <v>Grande valor em sua faixa de preço!</v>
      </c>
      <c r="B44274" s="3">
        <v>1</v>
      </c>
    </row>
    <row r="44275" ht="15.75" customHeight="1" spans="1:2">
      <c r="A44275" s="3" t="str">
        <f>IFERROR(__xludf.DUMMYFUNCTION("GOOGLETRANSLATE(A44275,""en"",""pt"")"),"nítidas imagens de altíssima resolução,")</f>
        <v>nítidas imagens de altíssima resolução,</v>
      </c>
      <c r="B44275" s="3">
        <v>1</v>
      </c>
    </row>
    <row r="44276" ht="15.75" customHeight="1" spans="1:2">
      <c r="A44276" s="3" t="str">
        <f>IFERROR(__xludf.DUMMYFUNCTION("GOOGLETRANSLATE(A44276,""en"",""pt"")"),"Very nice resolução e tons, preço justo em US $ 2500 bom sistema de entrada para fotografia de estúdio")</f>
        <v>Very nice resolução e tons, preço justo em US $ 2500 bom sistema de entrada para fotografia de estúdio</v>
      </c>
      <c r="B44276" s="3">
        <v>1</v>
      </c>
    </row>
    <row r="44277" ht="15.75" customHeight="1" spans="1:2">
      <c r="A44277" s="3" t="str">
        <f>IFERROR(__xludf.DUMMYFUNCTION("GOOGLETRANSLATE(A44277,""en"",""pt"")"),"Photo Quality, resolução, fácil de usar, SLR !!, lentes Nikon, WOW!")</f>
        <v>Photo Quality, resolução, fácil de usar, SLR !!, lentes Nikon, WOW!</v>
      </c>
      <c r="B44277" s="3">
        <v>1</v>
      </c>
    </row>
    <row r="44278" ht="15.75" customHeight="1" spans="1:2">
      <c r="A44278" s="3" t="str">
        <f>IFERROR(__xludf.DUMMYFUNCTION("GOOGLETRANSLATE(A44278,""en"",""pt"")"),"grande qualidade, facilidade de uso")</f>
        <v>grande qualidade, facilidade de uso</v>
      </c>
      <c r="B44278" s="3">
        <v>1</v>
      </c>
    </row>
    <row r="44279" ht="15.75" customHeight="1" spans="1:2">
      <c r="A44279" s="3" t="str">
        <f>IFERROR(__xludf.DUMMYFUNCTION("GOOGLETRANSLATE(A44279,""en"",""pt"")"),"Superior qualidade de foto, preço, aceita Microdrives, a vida da bateria, Nikon compatível")</f>
        <v>Superior qualidade de foto, preço, aceita Microdrives, a vida da bateria, Nikon compatível</v>
      </c>
      <c r="B44279" s="3">
        <v>1</v>
      </c>
    </row>
    <row r="44280" ht="15.75" customHeight="1" spans="1:2">
      <c r="A44280" s="3" t="str">
        <f>IFERROR(__xludf.DUMMYFUNCTION("GOOGLETRANSLATE(A44280,""en"",""pt"")"),"Muito fácil de operar, leve, excelente qualidade de imagem ...")</f>
        <v>Muito fácil de operar, leve, excelente qualidade de imagem ...</v>
      </c>
      <c r="B44280" s="3">
        <v>1</v>
      </c>
    </row>
    <row r="44281" ht="15.75" customHeight="1" spans="1:2">
      <c r="A44281" s="3" t="str">
        <f>IFERROR(__xludf.DUMMYFUNCTION("GOOGLETRANSLATE(A44281,""en"",""pt"")"),"3.4 Megapixel (6,1 milhões de megapixel interpolados imagens) Lentes intercambiáveis, construído em flash &amp; amp; # 13; &amp; amp; # 10;")</f>
        <v>3.4 Megapixel (6,1 milhões de megapixel interpolados imagens) Lentes intercambiáveis, construído em flash &amp; amp; # 13; &amp; amp; # 10;</v>
      </c>
      <c r="B44281" s="3">
        <v>1</v>
      </c>
    </row>
    <row r="44282" ht="15.75" customHeight="1" spans="1:2">
      <c r="A44282" s="3" t="str">
        <f>IFERROR(__xludf.DUMMYFUNCTION("GOOGLETRANSLATE(A44282,""en"",""pt"")"),"tecnologia, recursos interessantes")</f>
        <v>tecnologia, recursos interessantes</v>
      </c>
      <c r="B44282" s="3">
        <v>1</v>
      </c>
    </row>
    <row r="44283" ht="15.75" customHeight="1" spans="1:2">
      <c r="A44283" s="3" t="str">
        <f>IFERROR(__xludf.DUMMYFUNCTION("GOOGLETRANSLATE(A44283,""en"",""pt"")"),"Prós: Não muito pesado; foco razoavelmente rápido, pouco tempo de latência entre disparo e captura de imagem especialmente com visualização em tela off")</f>
        <v>Prós: Não muito pesado; foco razoavelmente rápido, pouco tempo de latência entre disparo e captura de imagem especialmente com visualização em tela off</v>
      </c>
      <c r="B44283" s="3">
        <v>1</v>
      </c>
    </row>
    <row r="44284" ht="15.75" customHeight="1" spans="1:2">
      <c r="A44284" s="3" t="str">
        <f>IFERROR(__xludf.DUMMYFUNCTION("GOOGLETRANSLATE(A44284,""en"",""pt"")"),"A, câmera profissional muito barato")</f>
        <v>A, câmera profissional muito barato</v>
      </c>
      <c r="B44284" s="3">
        <v>1</v>
      </c>
    </row>
    <row r="44285" ht="15.75" customHeight="1" spans="1:2">
      <c r="A44285" s="3" t="str">
        <f>IFERROR(__xludf.DUMMYFUNCTION("GOOGLETRANSLATE(A44285,""en"",""pt"")"),"Excelente qualidade de imagem, reprodução de cores é a melhor")</f>
        <v>Excelente qualidade de imagem, reprodução de cores é a melhor</v>
      </c>
      <c r="B44285" s="3">
        <v>1</v>
      </c>
    </row>
    <row r="44286" ht="15.75" customHeight="1" spans="1:2">
      <c r="A44286" s="3" t="str">
        <f>IFERROR(__xludf.DUMMYFUNCTION("GOOGLETRANSLATE(A44286,""en"",""pt"")"),"A grande qualidade, leve, fácil de transportar, boa vida útil da bateria")</f>
        <v>A grande qualidade, leve, fácil de transportar, boa vida útil da bateria</v>
      </c>
      <c r="B44286" s="3">
        <v>1</v>
      </c>
    </row>
    <row r="44287" ht="15.75" customHeight="1" spans="1:2">
      <c r="A44287" s="3" t="str">
        <f>IFERROR(__xludf.DUMMYFUNCTION("GOOGLETRANSLATE(A44287,""en"",""pt"")"),"Super zoom, grande fotografia de ação, e os melhores filmes digitais de sempre.")</f>
        <v>Super zoom, grande fotografia de ação, e os melhores filmes digitais de sempre.</v>
      </c>
      <c r="B44287" s="3">
        <v>1</v>
      </c>
    </row>
    <row r="44288" ht="15.75" customHeight="1" spans="1:2">
      <c r="A44288" s="3" t="str">
        <f>IFERROR(__xludf.DUMMYFUNCTION("GOOGLETRANSLATE(A44288,""en"",""pt"")"),"Fantástica qualidade de imagem, fácil de usar uma vez que você aprender os controles")</f>
        <v>Fantástica qualidade de imagem, fácil de usar uma vez que você aprender os controles</v>
      </c>
      <c r="B44288" s="3">
        <v>1</v>
      </c>
    </row>
    <row r="44289" ht="15.75" customHeight="1" spans="1:2">
      <c r="A44289" s="3" t="str">
        <f>IFERROR(__xludf.DUMMYFUNCTION("GOOGLETRANSLATE(A44289,""en"",""pt"")"),"características únicas, modo de filme, mídia dupla, functionallity")</f>
        <v>características únicas, modo de filme, mídia dupla, functionallity</v>
      </c>
      <c r="B44289" s="3">
        <v>1</v>
      </c>
    </row>
    <row r="44290" ht="15.75" customHeight="1" spans="1:2">
      <c r="A44290" s="3" t="str">
        <f>IFERROR(__xludf.DUMMYFUNCTION("GOOGLETRANSLATE(A44290,""en"",""pt"")"),"zoom 6X, 3 megapixel excelente qualidade de imagem, modo de filme excelente, capacidade de armazenamento de mídia dupla,")</f>
        <v>zoom 6X, 3 megapixel excelente qualidade de imagem, modo de filme excelente, capacidade de armazenamento de mídia dupla,</v>
      </c>
      <c r="B44290" s="3">
        <v>1</v>
      </c>
    </row>
    <row r="44291" ht="15.75" customHeight="1" spans="1:2">
      <c r="A44291" s="3" t="str">
        <f>IFERROR(__xludf.DUMMYFUNCTION("GOOGLETRANSLATE(A44291,""en"",""pt"")"),"Grandes fotos indoor &amp; amp; para fora, melhor valor em comparação com câmeras mesmos Megapix")</f>
        <v>Grandes fotos indoor &amp; amp; para fora, melhor valor em comparação com câmeras mesmos Megapix</v>
      </c>
      <c r="B44291" s="3">
        <v>1</v>
      </c>
    </row>
    <row r="44292" ht="15.75" customHeight="1" spans="1:2">
      <c r="A44292" s="3" t="str">
        <f>IFERROR(__xludf.DUMMYFUNCTION("GOOGLETRANSLATE(A44292,""en"",""pt"")"),"Excelente qualidade de imagem, lista de funções Superb")</f>
        <v>Excelente qualidade de imagem, lista de funções Superb</v>
      </c>
      <c r="B44292" s="3">
        <v>1</v>
      </c>
    </row>
    <row r="44293" ht="15.75" customHeight="1" spans="1:2">
      <c r="A44293" s="3" t="str">
        <f>IFERROR(__xludf.DUMMYFUNCTION("GOOGLETRANSLATE(A44293,""en"",""pt"")"),"Way demasiadas para enumerar aqui, ler o meu comentário.")</f>
        <v>Way demasiadas para enumerar aqui, ler o meu comentário.</v>
      </c>
      <c r="B44293" s="3">
        <v>1</v>
      </c>
    </row>
    <row r="44294" ht="15.75" customHeight="1" spans="1:2">
      <c r="A44294" s="3" t="str">
        <f>IFERROR(__xludf.DUMMYFUNCTION("GOOGLETRANSLATE(A44294,""en"",""pt"")"),"fácil de usar")</f>
        <v>fácil de usar</v>
      </c>
      <c r="B44294" s="3">
        <v>1</v>
      </c>
    </row>
    <row r="44295" ht="15.75" customHeight="1" spans="1:2">
      <c r="A44295" s="3" t="str">
        <f>IFERROR(__xludf.DUMMYFUNCTION("GOOGLETRANSLATE(A44295,""en"",""pt"")"),"Alguns pacote de bons negócios lá fora")</f>
        <v>Alguns pacote de bons negócios lá fora</v>
      </c>
      <c r="B44295" s="3">
        <v>1</v>
      </c>
    </row>
    <row r="44296" ht="15.75" customHeight="1" spans="1:2">
      <c r="A44296" s="3" t="str">
        <f>IFERROR(__xludf.DUMMYFUNCTION("GOOGLETRANSLATE(A44296,""en"",""pt"")"),"Zoom e foco ajustando lente manualmente; Grandes menus na tela e um monte de controles")</f>
        <v>Zoom e foco ajustando lente manualmente; Grandes menus na tela e um monte de controles</v>
      </c>
      <c r="B44296" s="3">
        <v>1</v>
      </c>
    </row>
    <row r="44297" ht="15.75" customHeight="1" spans="1:2">
      <c r="A44297" s="3" t="str">
        <f>IFERROR(__xludf.DUMMYFUNCTION("GOOGLETRANSLATE(A44297,""en"",""pt"")"),"Excelente controle sobre o processo fotográfico, de vídeo incrível e macro")</f>
        <v>Excelente controle sobre o processo fotográfico, de vídeo incrível e macro</v>
      </c>
      <c r="B44297" s="3">
        <v>1</v>
      </c>
    </row>
    <row r="44298" ht="15.75" customHeight="1" spans="1:2">
      <c r="A44298" s="3" t="str">
        <f>IFERROR(__xludf.DUMMYFUNCTION("GOOGLETRANSLATE(A44298,""en"",""pt"")"),"câmera de alta qualidade, com grandes recursos, para o preço.")</f>
        <v>câmera de alta qualidade, com grandes recursos, para o preço.</v>
      </c>
      <c r="B44298" s="3">
        <v>1</v>
      </c>
    </row>
    <row r="44299" ht="15.75" customHeight="1" spans="1:2">
      <c r="A44299" s="3" t="str">
        <f>IFERROR(__xludf.DUMMYFUNCTION("GOOGLETRANSLATE(A44299,""en"",""pt"")"),"Extremamente rico em recursos, excelente qualidade de foto, e 6x zoom óptico!")</f>
        <v>Extremamente rico em recursos, excelente qualidade de foto, e 6x zoom óptico!</v>
      </c>
      <c r="B44299" s="3">
        <v>1</v>
      </c>
    </row>
    <row r="44300" ht="15.75" customHeight="1" spans="1:2">
      <c r="A44300" s="3" t="str">
        <f>IFERROR(__xludf.DUMMYFUNCTION("GOOGLETRANSLATE(A44300,""en"",""pt"")"),"Fácil de usar, tiros de alta qualidade, grande zoom")</f>
        <v>Fácil de usar, tiros de alta qualidade, grande zoom</v>
      </c>
      <c r="B44300" s="3">
        <v>1</v>
      </c>
    </row>
    <row r="44301" ht="15.75" customHeight="1" spans="1:2">
      <c r="A44301" s="3" t="str">
        <f>IFERROR(__xludf.DUMMYFUNCTION("GOOGLETRANSLATE(A44301,""en"",""pt"")"),"imagem &amp; amp; produza qualidade. Rapidez. qualidade de vídeo")</f>
        <v>imagem &amp; amp; produza qualidade. Rapidez. qualidade de vídeo</v>
      </c>
      <c r="B44301" s="3">
        <v>1</v>
      </c>
    </row>
    <row r="44302" ht="15.75" customHeight="1" spans="1:2">
      <c r="A44302" s="3" t="str">
        <f>IFERROR(__xludf.DUMMYFUNCTION("GOOGLETRANSLATE(A44302,""en"",""pt"")"),"Grandes fotos, arrefecer recursos, fácil de usar, muito versátil")</f>
        <v>Grandes fotos, arrefecer recursos, fácil de usar, muito versátil</v>
      </c>
      <c r="B44302" s="3">
        <v>1</v>
      </c>
    </row>
    <row r="44303" ht="15.75" customHeight="1" spans="1:2">
      <c r="A44303" s="3" t="str">
        <f>IFERROR(__xludf.DUMMYFUNCTION("GOOGLETRANSLATE(A44303,""en"",""pt"")"),"Modo filme excelente; fácil out-of-box experiência")</f>
        <v>Modo filme excelente; fácil out-of-box experiência</v>
      </c>
      <c r="B44303" s="3">
        <v>1</v>
      </c>
    </row>
    <row r="44304" ht="15.75" customHeight="1" spans="1:2">
      <c r="A44304" s="3" t="str">
        <f>IFERROR(__xludf.DUMMYFUNCTION("GOOGLETRANSLATE(A44304,""en"",""pt"")"),"sensação SLR, zoom longo, macro, user-friendly")</f>
        <v>sensação SLR, zoom longo, macro, user-friendly</v>
      </c>
      <c r="B44304" s="3">
        <v>1</v>
      </c>
    </row>
    <row r="44305" ht="15.75" customHeight="1" spans="1:2">
      <c r="A44305" s="3" t="str">
        <f>IFERROR(__xludf.DUMMYFUNCTION("GOOGLETRANSLATE(A44305,""en"",""pt"")"),"fotografias de qualidade 1.Superb, ergonomia 2.Logical, 3.Classy look and feel")</f>
        <v>fotografias de qualidade 1.Superb, ergonomia 2.Logical, 3.Classy look and feel</v>
      </c>
      <c r="B44305" s="3">
        <v>1</v>
      </c>
    </row>
    <row r="44306" ht="15.75" customHeight="1" spans="1:2">
      <c r="A44306" s="3" t="str">
        <f>IFERROR(__xludf.DUMMYFUNCTION("GOOGLETRANSLATE(A44306,""en"",""pt"")"),"Excelente óptica, toneladas de recursos para qualquer nível de habilidade, muito atraente")</f>
        <v>Excelente óptica, toneladas de recursos para qualquer nível de habilidade, muito atraente</v>
      </c>
      <c r="B44306" s="3">
        <v>1</v>
      </c>
    </row>
    <row r="44307" ht="15.75" customHeight="1" spans="1:2">
      <c r="A44307" s="3" t="str">
        <f>IFERROR(__xludf.DUMMYFUNCTION("GOOGLETRANSLATE(A44307,""en"",""pt"")"),"A preços correntes, um grande negócio. Afiada, rápido e flexível. Ver um exemplo!")</f>
        <v>A preços correntes, um grande negócio. Afiada, rápido e flexível. Ver um exemplo!</v>
      </c>
      <c r="B44307" s="3">
        <v>1</v>
      </c>
    </row>
    <row r="44308" ht="15.75" customHeight="1" spans="1:2">
      <c r="A44308" s="3" t="str">
        <f>IFERROR(__xludf.DUMMYFUNCTION("GOOGLETRANSLATE(A44308,""en"",""pt"")"),"Excelente câmera. Ótimo preço")</f>
        <v>Excelente câmera. Ótimo preço</v>
      </c>
      <c r="B44308" s="3">
        <v>1</v>
      </c>
    </row>
    <row r="44309" ht="15.75" customHeight="1" spans="1:2">
      <c r="A44309" s="3" t="str">
        <f>IFERROR(__xludf.DUMMYFUNCTION("GOOGLETRANSLATE(A44309,""en"",""pt"")"),"Fácil de usar, embalado com características, boa aderência e peso, grande zoom, fotos de alta qualidade.")</f>
        <v>Fácil de usar, embalado com características, boa aderência e peso, grande zoom, fotos de alta qualidade.</v>
      </c>
      <c r="B44309" s="3">
        <v>1</v>
      </c>
    </row>
    <row r="44310" ht="15.75" customHeight="1" spans="1:2">
      <c r="A44310" s="3" t="str">
        <f>IFERROR(__xludf.DUMMYFUNCTION("GOOGLETRANSLATE(A44310,""en"",""pt"")"),"Excelente qualidade de imagem, manipulação fácil controle. NÃO É UM PODER HOG com 2200 baterias NiMH recarregáveis!")</f>
        <v>Excelente qualidade de imagem, manipulação fácil controle. NÃO É UM PODER HOG com 2200 baterias NiMH recarregáveis!</v>
      </c>
      <c r="B44310" s="3">
        <v>1</v>
      </c>
    </row>
    <row r="44311" ht="15.75" customHeight="1" spans="1:2">
      <c r="A44311" s="3" t="str">
        <f>IFERROR(__xludf.DUMMYFUNCTION("GOOGLETRANSLATE(A44311,""en"",""pt"")"),"Leve, ótimas fotos, fácil de aprender, add-ons não é necessário, olhar SLR genuína e sensação")</f>
        <v>Leve, ótimas fotos, fácil de aprender, add-ons não é necessário, olhar SLR genuína e sensação</v>
      </c>
      <c r="B44311" s="3">
        <v>1</v>
      </c>
    </row>
    <row r="44312" ht="15.75" customHeight="1" spans="1:2">
      <c r="A44312" s="3" t="str">
        <f>IFERROR(__xludf.DUMMYFUNCTION("GOOGLETRANSLATE(A44312,""en"",""pt"")"),"Oi resolução, rápida, cheia de recursos, vídeo, valor, diferentes mídias de armazenamento utilizável, facilidade de uso")</f>
        <v>Oi resolução, rápida, cheia de recursos, vídeo, valor, diferentes mídias de armazenamento utilizável, facilidade de uso</v>
      </c>
      <c r="B44312" s="3">
        <v>1</v>
      </c>
    </row>
    <row r="44313" ht="15.75" customHeight="1" spans="1:2">
      <c r="A44313" s="3" t="str">
        <f>IFERROR(__xludf.DUMMYFUNCTION("GOOGLETRANSLATE(A44313,""en"",""pt"")"),"Excelente saída (9x7in @ 300dpi), número insano de recursos")</f>
        <v>Excelente saída (9x7in @ 300dpi), número insano de recursos</v>
      </c>
      <c r="B44313" s="3">
        <v>1</v>
      </c>
    </row>
    <row r="44314" ht="15.75" customHeight="1" spans="1:2">
      <c r="A44314" s="3" t="str">
        <f>IFERROR(__xludf.DUMMYFUNCTION("GOOGLETRANSLATE(A44314,""en"",""pt"")"),"qualidade de construção, características, sensação")</f>
        <v>qualidade de construção, características, sensação</v>
      </c>
      <c r="B44314" s="3">
        <v>1</v>
      </c>
    </row>
    <row r="44315" ht="15.75" customHeight="1" spans="1:2">
      <c r="A44315" s="3" t="str">
        <f>IFERROR(__xludf.DUMMYFUNCTION("GOOGLETRANSLATE(A44315,""en"",""pt"")"),"Excelentes imagens, controle de exposição completa, é bom para uso.")</f>
        <v>Excelentes imagens, controle de exposição completa, é bom para uso.</v>
      </c>
      <c r="B44315" s="3">
        <v>1</v>
      </c>
    </row>
    <row r="44316" ht="15.75" customHeight="1" spans="1:2">
      <c r="A44316" s="3" t="str">
        <f>IFERROR(__xludf.DUMMYFUNCTION("GOOGLETRANSLATE(A44316,""en"",""pt"")"),"Uma ótima câmera pequena boa qualidade.")</f>
        <v>Uma ótima câmera pequena boa qualidade.</v>
      </c>
      <c r="B44316" s="3">
        <v>1</v>
      </c>
    </row>
    <row r="44317" ht="15.75" customHeight="1" spans="1:2">
      <c r="A44317" s="3" t="str">
        <f>IFERROR(__xludf.DUMMYFUNCTION("GOOGLETRANSLATE(A44317,""en"",""pt"")"),"pequena câmera com imagem excelente")</f>
        <v>pequena câmera com imagem excelente</v>
      </c>
      <c r="B44317" s="3">
        <v>1</v>
      </c>
    </row>
    <row r="44318" ht="15.75" customHeight="1" spans="1:2">
      <c r="A44318" s="3" t="str">
        <f>IFERROR(__xludf.DUMMYFUNCTION("GOOGLETRANSLATE(A44318,""en"",""pt"")"),"lente de zoom, bateria de longa duração")</f>
        <v>lente de zoom, bateria de longa duração</v>
      </c>
      <c r="B44318" s="3">
        <v>1</v>
      </c>
    </row>
    <row r="44319" ht="15.75" customHeight="1" spans="1:2">
      <c r="A44319" s="3" t="str">
        <f>IFERROR(__xludf.DUMMYFUNCTION("GOOGLETRANSLATE(A44319,""en"",""pt"")"),"Arrumado compacto e de fácil utilização")</f>
        <v>Arrumado compacto e de fácil utilização</v>
      </c>
      <c r="B44319" s="3">
        <v>1</v>
      </c>
    </row>
    <row r="44320" ht="15.75" customHeight="1" spans="1:2">
      <c r="A44320" s="3" t="str">
        <f>IFERROR(__xludf.DUMMYFUNCTION("GOOGLETRANSLATE(A44320,""en"",""pt"")"),"Compacto, interface dinâmica, características decente.")</f>
        <v>Compacto, interface dinâmica, características decente.</v>
      </c>
      <c r="B44320" s="3">
        <v>1</v>
      </c>
    </row>
    <row r="44321" ht="15.75" customHeight="1" spans="1:2">
      <c r="A44321" s="3" t="str">
        <f>IFERROR(__xludf.DUMMYFUNCTION("GOOGLETRANSLATE(A44321,""en"",""pt"")"),"Prós: O preço é justo, geralmente menos de US $ 300,00. A câmera é muito fácil de operar. Todos os controles estão em um mostrador e fácil de entender. Especialmente como o carregamento da câmara. As imagens surgem nas miniaturas e você pode olhar para to"&amp;"dos eles antes de Savin")</f>
        <v>Prós: O preço é justo, geralmente menos de US $ 300,00. A câmera é muito fácil de operar. Todos os controles estão em um mostrador e fácil de entender. Especialmente como o carregamento da câmara. As imagens surgem nas miniaturas e você pode olhar para todos eles antes de Savin</v>
      </c>
      <c r="B44321" s="3">
        <v>1</v>
      </c>
    </row>
    <row r="44322" ht="15.75" customHeight="1" spans="1:2">
      <c r="A44322" s="3" t="str">
        <f>IFERROR(__xludf.DUMMYFUNCTION("GOOGLETRANSLATE(A44322,""en"",""pt"")"),"Bom valor, boa qualidade pics, grande chassis")</f>
        <v>Bom valor, boa qualidade pics, grande chassis</v>
      </c>
      <c r="B44322" s="3">
        <v>1</v>
      </c>
    </row>
    <row r="44323" ht="15.75" customHeight="1" spans="1:2">
      <c r="A44323" s="3" t="str">
        <f>IFERROR(__xludf.DUMMYFUNCTION("GOOGLETRANSLATE(A44323,""en"",""pt"")"),"boa qualidade de imagem, usos perto smartmedia indestrutível")</f>
        <v>boa qualidade de imagem, usos perto smartmedia indestrutível</v>
      </c>
      <c r="B44323" s="3">
        <v>1</v>
      </c>
    </row>
    <row r="44324" ht="15.75" customHeight="1" spans="1:2">
      <c r="A44324" s="3" t="str">
        <f>IFERROR(__xludf.DUMMYFUNCTION("GOOGLETRANSLATE(A44324,""en"",""pt"")"),"Pequenas, grandes pics, vida boa bateria")</f>
        <v>Pequenas, grandes pics, vida boa bateria</v>
      </c>
      <c r="B44324" s="3">
        <v>1</v>
      </c>
    </row>
    <row r="44325" ht="15.75" customHeight="1" spans="1:2">
      <c r="A44325" s="3" t="str">
        <f>IFERROR(__xludf.DUMMYFUNCTION("GOOGLETRANSLATE(A44325,""en"",""pt"")"),"A qualidade da imagem é A +")</f>
        <v>A qualidade da imagem é A +</v>
      </c>
      <c r="B44325" s="3">
        <v>1</v>
      </c>
    </row>
    <row r="44326" ht="15.75" customHeight="1" spans="1:2">
      <c r="A44326" s="3" t="str">
        <f>IFERROR(__xludf.DUMMYFUNCTION("GOOGLETRANSLATE(A44326,""en"",""pt"")"),"Combina fotos de alta qualidade com o máximo de portabilidade")</f>
        <v>Combina fotos de alta qualidade com o máximo de portabilidade</v>
      </c>
      <c r="B44326" s="3">
        <v>1</v>
      </c>
    </row>
    <row r="44327" ht="15.75" customHeight="1" spans="1:2">
      <c r="A44327" s="3" t="str">
        <f>IFERROR(__xludf.DUMMYFUNCTION("GOOGLETRANSLATE(A44327,""en"",""pt"")"),"pequenos, excelente design, imagens de qualidade")</f>
        <v>pequenos, excelente design, imagens de qualidade</v>
      </c>
      <c r="B44327" s="3">
        <v>1</v>
      </c>
    </row>
    <row r="44328" ht="15.75" customHeight="1" spans="1:2">
      <c r="A44328" s="3" t="str">
        <f>IFERROR(__xludf.DUMMYFUNCTION("GOOGLETRANSLATE(A44328,""en"",""pt"")"),"tamanho pequeno, elegante e excelentes fotos ao ar livre, bateria Li-ion,")</f>
        <v>tamanho pequeno, elegante e excelentes fotos ao ar livre, bateria Li-ion,</v>
      </c>
      <c r="B44328" s="3">
        <v>1</v>
      </c>
    </row>
    <row r="44329" ht="15.75" customHeight="1" spans="1:2">
      <c r="A44329" s="3" t="str">
        <f>IFERROR(__xludf.DUMMYFUNCTION("GOOGLETRANSLATE(A44329,""en"",""pt"")"),"Qualidade, tamanho, qualidade de imagem, lente, Software")</f>
        <v>Qualidade, tamanho, qualidade de imagem, lente, Software</v>
      </c>
      <c r="B44329" s="3">
        <v>1</v>
      </c>
    </row>
    <row r="44330" ht="15.75" customHeight="1" spans="1:2">
      <c r="A44330" s="3" t="str">
        <f>IFERROR(__xludf.DUMMYFUNCTION("GOOGLETRANSLATE(A44330,""en"",""pt"")"),"Barato")</f>
        <v>Barato</v>
      </c>
      <c r="B44330" s="3">
        <v>1</v>
      </c>
    </row>
    <row r="44331" ht="15.75" customHeight="1" spans="1:2">
      <c r="A44331" s="3" t="str">
        <f>IFERROR(__xludf.DUMMYFUNCTION("GOOGLETRANSLATE(A44331,""en"",""pt"")"),"Muitas funções, boa qualidade de imagem. Pequeno e leve")</f>
        <v>Muitas funções, boa qualidade de imagem. Pequeno e leve</v>
      </c>
      <c r="B44331" s="3">
        <v>1</v>
      </c>
    </row>
    <row r="44332" ht="15.75" customHeight="1" spans="1:2">
      <c r="A44332" s="3" t="str">
        <f>IFERROR(__xludf.DUMMYFUNCTION("GOOGLETRANSLATE(A44332,""en"",""pt"")"),"Boa qualidade de imagem, de alta resolução, simples de usar, o tamanho pequeno torna muito portátil")</f>
        <v>Boa qualidade de imagem, de alta resolução, simples de usar, o tamanho pequeno torna muito portátil</v>
      </c>
      <c r="B44332" s="3">
        <v>1</v>
      </c>
    </row>
    <row r="44333" ht="15.75" customHeight="1" spans="1:2">
      <c r="A44333" s="3" t="str">
        <f>IFERROR(__xludf.DUMMYFUNCTION("GOOGLETRANSLATE(A44333,""en"",""pt"")"),"de fácil utilização, 2.3 megapixels, Fun")</f>
        <v>de fácil utilização, 2.3 megapixels, Fun</v>
      </c>
      <c r="B44333" s="3">
        <v>1</v>
      </c>
    </row>
    <row r="44334" ht="15.75" customHeight="1" spans="1:2">
      <c r="A44334" s="3" t="str">
        <f>IFERROR(__xludf.DUMMYFUNCTION("GOOGLETRANSLATE(A44334,""en"",""pt"")"),"fácil de usar, compacto, excelente qualidade de foto")</f>
        <v>fácil de usar, compacto, excelente qualidade de foto</v>
      </c>
      <c r="B44334" s="3">
        <v>1</v>
      </c>
    </row>
    <row r="44335" ht="15.75" customHeight="1" spans="1:2">
      <c r="A44335" s="3" t="str">
        <f>IFERROR(__xludf.DUMMYFUNCTION("GOOGLETRANSLATE(A44335,""en"",""pt"")"),"Excelente qualidade de imagem, câmera é leve e compacto")</f>
        <v>Excelente qualidade de imagem, câmera é leve e compacto</v>
      </c>
      <c r="B44335" s="3">
        <v>1</v>
      </c>
    </row>
    <row r="44336" ht="15.75" customHeight="1" spans="1:2">
      <c r="A44336" s="3" t="str">
        <f>IFERROR(__xludf.DUMMYFUNCTION("GOOGLETRANSLATE(A44336,""en"",""pt"")"),"preço, tamanho, qualidade")</f>
        <v>preço, tamanho, qualidade</v>
      </c>
      <c r="B44336" s="3">
        <v>1</v>
      </c>
    </row>
    <row r="44337" ht="15.75" customHeight="1" spans="1:2">
      <c r="A44337" s="3" t="str">
        <f>IFERROR(__xludf.DUMMYFUNCTION("GOOGLETRANSLATE(A44337,""en"",""pt"")"),"O tamanho pequeno, fácil utilização, built-in tampa da lente")</f>
        <v>O tamanho pequeno, fácil utilização, built-in tampa da lente</v>
      </c>
      <c r="B44337" s="3">
        <v>1</v>
      </c>
    </row>
    <row r="44338" ht="15.75" customHeight="1" spans="1:2">
      <c r="A44338" s="3" t="str">
        <f>IFERROR(__xludf.DUMMYFUNCTION("GOOGLETRANSLATE(A44338,""en"",""pt"")"),"Pequeno, leve, fácil de usar, bateria de lítio, possibillity agradável MACRO")</f>
        <v>Pequeno, leve, fácil de usar, bateria de lítio, possibillity agradável MACRO</v>
      </c>
      <c r="B44338" s="3">
        <v>1</v>
      </c>
    </row>
    <row r="44339" ht="15.75" customHeight="1" spans="1:2">
      <c r="A44339" s="3" t="str">
        <f>IFERROR(__xludf.DUMMYFUNCTION("GOOGLETRANSLATE(A44339,""en"",""pt"")"),"fotos grandes, fácil de gerenciar")</f>
        <v>fotos grandes, fácil de gerenciar</v>
      </c>
      <c r="B44339" s="3">
        <v>1</v>
      </c>
    </row>
    <row r="44340" ht="15.75" customHeight="1" spans="1:2">
      <c r="A44340" s="3" t="str">
        <f>IFERROR(__xludf.DUMMYFUNCTION("GOOGLETRANSLATE(A44340,""en"",""pt"")"),"Consulte esta epinion.")</f>
        <v>Consulte esta epinion.</v>
      </c>
      <c r="B44340" s="3">
        <v>1</v>
      </c>
    </row>
    <row r="44341" ht="15.75" customHeight="1" spans="1:2">
      <c r="A44341" s="3" t="str">
        <f>IFERROR(__xludf.DUMMYFUNCTION("GOOGLETRANSLATE(A44341,""en"",""pt"")"),"Qualidade de imagem e tamanho, memória, tela, tamanho pequeno, Coolness")</f>
        <v>Qualidade de imagem e tamanho, memória, tela, tamanho pequeno, Coolness</v>
      </c>
      <c r="B44341" s="3">
        <v>1</v>
      </c>
    </row>
    <row r="44342" ht="15.75" customHeight="1" spans="1:2">
      <c r="A44342" s="3" t="str">
        <f>IFERROR(__xludf.DUMMYFUNCTION("GOOGLETRANSLATE(A44342,""en"",""pt"")"),"Olha, divertido de usar, fácil de aprender, ok qualidade imagens")</f>
        <v>Olha, divertido de usar, fácil de aprender, ok qualidade imagens</v>
      </c>
      <c r="B44342" s="3">
        <v>1</v>
      </c>
    </row>
    <row r="44343" ht="15.75" customHeight="1" spans="1:2">
      <c r="A44343" s="3" t="str">
        <f>IFERROR(__xludf.DUMMYFUNCTION("GOOGLETRANSLATE(A44343,""en"",""pt"")"),"Compacto, fácil de usar, pacote de software empacotado")</f>
        <v>Compacto, fácil de usar, pacote de software empacotado</v>
      </c>
      <c r="B44343" s="3">
        <v>1</v>
      </c>
    </row>
    <row r="44344" ht="15.75" customHeight="1" spans="1:2">
      <c r="A44344" s="3" t="str">
        <f>IFERROR(__xludf.DUMMYFUNCTION("GOOGLETRANSLATE(A44344,""en"",""pt"")"),"Pequeno, barato, e foto-qualidade para PC &amp; amp; amp; Mac")</f>
        <v>Pequeno, barato, e foto-qualidade para PC &amp; amp; amp; Mac</v>
      </c>
      <c r="B44344" s="3">
        <v>1</v>
      </c>
    </row>
    <row r="44345" ht="15.75" customHeight="1" spans="1:2">
      <c r="A44345" s="3" t="str">
        <f>IFERROR(__xludf.DUMMYFUNCTION("GOOGLETRANSLATE(A44345,""en"",""pt"")"),"pequeno, conveniente, elegante, muito boa qualidade de imagem, 2.3 megapixels")</f>
        <v>pequeno, conveniente, elegante, muito boa qualidade de imagem, 2.3 megapixels</v>
      </c>
      <c r="B44345" s="3">
        <v>1</v>
      </c>
    </row>
    <row r="44346" ht="15.75" customHeight="1" spans="1:2">
      <c r="A44346" s="3" t="str">
        <f>IFERROR(__xludf.DUMMYFUNCTION("GOOGLETRANSLATE(A44346,""en"",""pt"")"),"Pequenos, bateria de lítio, Grandes cores")</f>
        <v>Pequenos, bateria de lítio, Grandes cores</v>
      </c>
      <c r="B44346" s="3">
        <v>1</v>
      </c>
    </row>
    <row r="44347" ht="15.75" customHeight="1" spans="1:2">
      <c r="A44347" s="3" t="str">
        <f>IFERROR(__xludf.DUMMYFUNCTION("GOOGLETRANSLATE(A44347,""en"",""pt"")"),"tamanho de bolso, grandes ao ar livre pics, bateria recarregável")</f>
        <v>tamanho de bolso, grandes ao ar livre pics, bateria recarregável</v>
      </c>
      <c r="B44347" s="3">
        <v>1</v>
      </c>
    </row>
    <row r="44348" ht="15.75" customHeight="1" spans="1:2">
      <c r="A44348" s="3" t="str">
        <f>IFERROR(__xludf.DUMMYFUNCTION("GOOGLETRANSLATE(A44348,""en"",""pt"")"),"tamanho, facilidade de uso,")</f>
        <v>tamanho, facilidade de uso,</v>
      </c>
      <c r="B44348" s="3">
        <v>1</v>
      </c>
    </row>
    <row r="44349" ht="15.75" customHeight="1" spans="1:2">
      <c r="A44349" s="3" t="str">
        <f>IFERROR(__xludf.DUMMYFUNCTION("GOOGLETRANSLATE(A44349,""en"",""pt"")"),"Apenas sobre qualidade tudo-, resultado, facilidade de uso, aparência.")</f>
        <v>Apenas sobre qualidade tudo-, resultado, facilidade de uso, aparência.</v>
      </c>
      <c r="B44349" s="3">
        <v>1</v>
      </c>
    </row>
    <row r="44350" ht="15.75" customHeight="1" spans="1:2">
      <c r="A44350" s="3" t="str">
        <f>IFERROR(__xludf.DUMMYFUNCTION("GOOGLETRANSLATE(A44350,""en"",""pt"")"),"ótima câmera")</f>
        <v>ótima câmera</v>
      </c>
      <c r="B44350" s="3">
        <v>1</v>
      </c>
    </row>
    <row r="44351" ht="15.75" customHeight="1" spans="1:2">
      <c r="A44351" s="3" t="str">
        <f>IFERROR(__xludf.DUMMYFUNCTION("GOOGLETRANSLATE(A44351,""en"",""pt"")"),"O tamanho pequeno, fácil de recarga, caixa de metal")</f>
        <v>O tamanho pequeno, fácil de recarga, caixa de metal</v>
      </c>
      <c r="B44351" s="3">
        <v>1</v>
      </c>
    </row>
    <row r="44352" ht="15.75" customHeight="1" spans="1:2">
      <c r="A44352" s="3" t="str">
        <f>IFERROR(__xludf.DUMMYFUNCTION("GOOGLETRANSLATE(A44352,""en"",""pt"")"),"Qualidade das imagens, bateria, preço")</f>
        <v>Qualidade das imagens, bateria, preço</v>
      </c>
      <c r="B44352" s="3">
        <v>1</v>
      </c>
    </row>
    <row r="44353" ht="15.75" customHeight="1" spans="1:2">
      <c r="A44353" s="3" t="str">
        <f>IFERROR(__xludf.DUMMYFUNCTION("GOOGLETRANSLATE(A44353,""en"",""pt"")"),", Hot Shoe, Zoom Óptico, 2,3M-pixels de grande TIFF")</f>
        <v>, Hot Shoe, Zoom Óptico, 2,3M-pixels de grande TIFF</v>
      </c>
      <c r="B44353" s="3">
        <v>1</v>
      </c>
    </row>
    <row r="44354" ht="15.75" customHeight="1" spans="1:2">
      <c r="A44354" s="3" t="str">
        <f>IFERROR(__xludf.DUMMYFUNCTION("GOOGLETRANSLATE(A44354,""en"",""pt"")"),"Boa quantidade de recursos, boa vida útil da bateria")</f>
        <v>Boa quantidade de recursos, boa vida útil da bateria</v>
      </c>
      <c r="B44354" s="3">
        <v>1</v>
      </c>
    </row>
    <row r="44355" ht="15.75" customHeight="1" spans="1:2">
      <c r="A44355" s="3" t="str">
        <f>IFERROR(__xludf.DUMMYFUNCTION("GOOGLETRANSLATE(A44355,""en"",""pt"")"),"Muito fácil de usar. Alta qualidade de imagem.")</f>
        <v>Muito fácil de usar. Alta qualidade de imagem.</v>
      </c>
      <c r="B44355" s="3">
        <v>1</v>
      </c>
    </row>
    <row r="44356" ht="15.75" customHeight="1" spans="1:2">
      <c r="A44356" s="3" t="str">
        <f>IFERROR(__xludf.DUMMYFUNCTION("GOOGLETRANSLATE(A44356,""en"",""pt"")"),"Bom preço, rica em recursos, ext. piscar sapata")</f>
        <v>Bom preço, rica em recursos, ext. piscar sapata</v>
      </c>
      <c r="B44356" s="3">
        <v>1</v>
      </c>
    </row>
    <row r="44357" ht="15.75" customHeight="1" spans="1:2">
      <c r="A44357" s="3" t="str">
        <f>IFERROR(__xludf.DUMMYFUNCTION("GOOGLETRANSLATE(A44357,""en"",""pt"")"),"Lida como uma 35MM e tem os melhores resultados de cor e imagens nítidas. Tem modo manual para obter melhores imagens.")</f>
        <v>Lida como uma 35MM e tem os melhores resultados de cor e imagens nítidas. Tem modo manual para obter melhores imagens.</v>
      </c>
      <c r="B44357" s="3">
        <v>1</v>
      </c>
    </row>
    <row r="44358" ht="15.75" customHeight="1" spans="1:2">
      <c r="A44358" s="3" t="str">
        <f>IFERROR(__xludf.DUMMYFUNCTION("GOOGLETRANSLATE(A44358,""en"",""pt"")"),"Um monte de recursos, extras, flexibilidade e boa qualidade de imagem para o dinheiro")</f>
        <v>Um monte de recursos, extras, flexibilidade e boa qualidade de imagem para o dinheiro</v>
      </c>
      <c r="B44358" s="3">
        <v>1</v>
      </c>
    </row>
    <row r="44359" ht="15.75" customHeight="1" spans="1:2">
      <c r="A44359" s="3" t="str">
        <f>IFERROR(__xludf.DUMMYFUNCTION("GOOGLETRANSLATE(A44359,""en"",""pt"")"),"a precisão das cores, sensibilidade, preço")</f>
        <v>a precisão das cores, sensibilidade, preço</v>
      </c>
      <c r="B44359" s="3">
        <v>1</v>
      </c>
    </row>
    <row r="44360" ht="15.75" customHeight="1" spans="1:2">
      <c r="A44360" s="3" t="str">
        <f>IFERROR(__xludf.DUMMYFUNCTION("GOOGLETRANSLATE(A44360,""en"",""pt"")"),"Flash Externo, Modo Manual, acesso frontal")</f>
        <v>Flash Externo, Modo Manual, acesso frontal</v>
      </c>
      <c r="B44360" s="3">
        <v>1</v>
      </c>
    </row>
    <row r="44361" ht="15.75" customHeight="1" spans="1:2">
      <c r="A44361" s="3" t="str">
        <f>IFERROR(__xludf.DUMMYFUNCTION("GOOGLETRANSLATE(A44361,""en"",""pt"")"),"fácil de usar")</f>
        <v>fácil de usar</v>
      </c>
      <c r="B44361" s="3">
        <v>1</v>
      </c>
    </row>
    <row r="44362" ht="15.75" customHeight="1" spans="1:2">
      <c r="A44362" s="3" t="str">
        <f>IFERROR(__xludf.DUMMYFUNCTION("GOOGLETRANSLATE(A44362,""en"",""pt"")"),"Excelentes fotos de qualidade")</f>
        <v>Excelentes fotos de qualidade</v>
      </c>
      <c r="B44362" s="3">
        <v>1</v>
      </c>
    </row>
    <row r="44363" ht="15.75" customHeight="1" spans="1:2">
      <c r="A44363" s="3" t="str">
        <f>IFERROR(__xludf.DUMMYFUNCTION("GOOGLETRANSLATE(A44363,""en"",""pt"")"),"excelente TIFF rápida, fácil de usar, boa bateria")</f>
        <v>excelente TIFF rápida, fácil de usar, boa bateria</v>
      </c>
      <c r="B44363" s="3">
        <v>1</v>
      </c>
    </row>
    <row r="44364" ht="15.75" customHeight="1" spans="1:2">
      <c r="A44364" s="3" t="str">
        <f>IFERROR(__xludf.DUMMYFUNCTION("GOOGLETRANSLATE(A44364,""en"",""pt"")"),"Mantém algumas do estilo tradicional SLR")</f>
        <v>Mantém algumas do estilo tradicional SLR</v>
      </c>
      <c r="B44364" s="3">
        <v>1</v>
      </c>
    </row>
    <row r="44365" ht="15.75" customHeight="1" spans="1:2">
      <c r="A44365" s="3" t="str">
        <f>IFERROR(__xludf.DUMMYFUNCTION("GOOGLETRANSLATE(A44365,""en"",""pt"")"),"Produz a melhor entre as fotos digitais da mesma resolução tomada por outras câmeras digitais.")</f>
        <v>Produz a melhor entre as fotos digitais da mesma resolução tomada por outras câmeras digitais.</v>
      </c>
      <c r="B44365" s="3">
        <v>1</v>
      </c>
    </row>
    <row r="44366" ht="15.75" customHeight="1" spans="1:2">
      <c r="A44366" s="3" t="str">
        <f>IFERROR(__xludf.DUMMYFUNCTION("GOOGLETRANSLATE(A44366,""en"",""pt"")"),"ótimas fotos, tamanho compacto, agora realatively barato")</f>
        <v>ótimas fotos, tamanho compacto, agora realatively barato</v>
      </c>
      <c r="B44366" s="3">
        <v>1</v>
      </c>
    </row>
    <row r="44367" ht="15.75" customHeight="1" spans="1:2">
      <c r="A44367" s="3" t="str">
        <f>IFERROR(__xludf.DUMMYFUNCTION("GOOGLETRANSLATE(A44367,""en"",""pt"")"),"Simples de usar, atraente aparência, tiro macro")</f>
        <v>Simples de usar, atraente aparência, tiro macro</v>
      </c>
      <c r="B44367" s="3">
        <v>1</v>
      </c>
    </row>
    <row r="44368" ht="15.75" customHeight="1" spans="1:2">
      <c r="A44368" s="3" t="str">
        <f>IFERROR(__xludf.DUMMYFUNCTION("GOOGLETRANSLATE(A44368,""en"",""pt"")"),"Se parece com uma câmera de filme, conveniente, excelentes resultados")</f>
        <v>Se parece com uma câmera de filme, conveniente, excelentes resultados</v>
      </c>
      <c r="B44368" s="3">
        <v>1</v>
      </c>
    </row>
    <row r="44369" ht="15.75" customHeight="1" spans="1:2">
      <c r="A44369" s="3" t="str">
        <f>IFERROR(__xludf.DUMMYFUNCTION("GOOGLETRANSLATE(A44369,""en"",""pt"")"),"formato quadrado")</f>
        <v>formato quadrado</v>
      </c>
      <c r="B44369" s="3">
        <v>1</v>
      </c>
    </row>
    <row r="44370" ht="15.75" customHeight="1" spans="1:2">
      <c r="A44370" s="3" t="str">
        <f>IFERROR(__xludf.DUMMYFUNCTION("GOOGLETRANSLATE(A44370,""en"",""pt"")"),"Fácil de usar, leva grandes apontar e disparar imagens, fácil instalação software e funcionalidade, a bateria dura muito tempo, bons controles")</f>
        <v>Fácil de usar, leva grandes apontar e disparar imagens, fácil instalação software e funcionalidade, a bateria dura muito tempo, bons controles</v>
      </c>
      <c r="B44370" s="3">
        <v>1</v>
      </c>
    </row>
    <row r="44371" ht="15.75" customHeight="1" spans="1:2">
      <c r="A44371" s="3" t="str">
        <f>IFERROR(__xludf.DUMMYFUNCTION("GOOGLETRANSLATE(A44371,""en"",""pt"")"),"Fotos de boa qualidade, fácil de usar, ideal para o novato")</f>
        <v>Fotos de boa qualidade, fácil de usar, ideal para o novato</v>
      </c>
      <c r="B44371" s="3">
        <v>1</v>
      </c>
    </row>
    <row r="44372" ht="15.75" customHeight="1" spans="1:2">
      <c r="A44372" s="3" t="str">
        <f>IFERROR(__xludf.DUMMYFUNCTION("GOOGLETRANSLATE(A44372,""en"",""pt"")"),"luz, usa pilhas AA, até flash de 16MB, o disquete adaptador disponível para flash, macro e zoom digital")</f>
        <v>luz, usa pilhas AA, até flash de 16MB, o disquete adaptador disponível para flash, macro e zoom digital</v>
      </c>
      <c r="B44372" s="3">
        <v>1</v>
      </c>
    </row>
    <row r="44373" ht="15.75" customHeight="1" spans="1:2">
      <c r="A44373" s="3" t="str">
        <f>IFERROR(__xludf.DUMMYFUNCTION("GOOGLETRANSLATE(A44373,""en"",""pt"")"),"Fácil de usar para iniciantes, zoom Macro")</f>
        <v>Fácil de usar para iniciantes, zoom Macro</v>
      </c>
      <c r="B44373" s="3">
        <v>1</v>
      </c>
    </row>
    <row r="44374" ht="15.75" customHeight="1" spans="1:2">
      <c r="A44374" s="3" t="str">
        <f>IFERROR(__xludf.DUMMYFUNCTION("GOOGLETRANSLATE(A44374,""en"",""pt"")"),"fotos de qualidade, compacto, fácil de usar")</f>
        <v>fotos de qualidade, compacto, fácil de usar</v>
      </c>
      <c r="B44374" s="3">
        <v>1</v>
      </c>
    </row>
    <row r="44375" ht="15.75" customHeight="1" spans="1:2">
      <c r="A44375" s="3" t="str">
        <f>IFERROR(__xludf.DUMMYFUNCTION("GOOGLETRANSLATE(A44375,""en"",""pt"")"),"Boa qualidade de imagem; compactar")</f>
        <v>Boa qualidade de imagem; compactar</v>
      </c>
      <c r="B44375" s="3">
        <v>1</v>
      </c>
    </row>
    <row r="44376" ht="15.75" customHeight="1" spans="1:2">
      <c r="A44376" s="3" t="str">
        <f>IFERROR(__xludf.DUMMYFUNCTION("GOOGLETRANSLATE(A44376,""en"",""pt"")"),"Ótima resolução e qualidade de imagem")</f>
        <v>Ótima resolução e qualidade de imagem</v>
      </c>
      <c r="B44376" s="3">
        <v>1</v>
      </c>
    </row>
    <row r="44377" ht="15.75" customHeight="1" spans="1:2">
      <c r="A44377" s="3" t="str">
        <f>IFERROR(__xludf.DUMMYFUNCTION("GOOGLETRANSLATE(A44377,""en"",""pt"")"),"qualidade decente, bom valor global")</f>
        <v>qualidade decente, bom valor global</v>
      </c>
      <c r="B44377" s="3">
        <v>1</v>
      </c>
    </row>
    <row r="44378" ht="15.75" customHeight="1" spans="1:2">
      <c r="A44378" s="3" t="str">
        <f>IFERROR(__xludf.DUMMYFUNCTION("GOOGLETRANSLATE(A44378,""en"",""pt"")"),"pequena, de longa duração da bateria.")</f>
        <v>pequena, de longa duração da bateria.</v>
      </c>
      <c r="B44378" s="3">
        <v>1</v>
      </c>
    </row>
    <row r="44379" ht="15.75" customHeight="1" spans="1:2">
      <c r="A44379" s="3" t="str">
        <f>IFERROR(__xludf.DUMMYFUNCTION("GOOGLETRANSLATE(A44379,""en"",""pt"")"),"Tamanho, qualidade fotográfica e poderosa bateria")</f>
        <v>Tamanho, qualidade fotográfica e poderosa bateria</v>
      </c>
      <c r="B44379" s="3">
        <v>1</v>
      </c>
    </row>
    <row r="44380" ht="15.75" customHeight="1" spans="1:2">
      <c r="A44380" s="3" t="str">
        <f>IFERROR(__xludf.DUMMYFUNCTION("GOOGLETRANSLATE(A44380,""en"",""pt"")"),"De bolso, faz o truque na maioria dos casos.")</f>
        <v>De bolso, faz o truque na maioria dos casos.</v>
      </c>
      <c r="B44380" s="3">
        <v>1</v>
      </c>
    </row>
    <row r="44381" ht="15.75" customHeight="1" spans="1:2">
      <c r="A44381" s="3" t="str">
        <f>IFERROR(__xludf.DUMMYFUNCTION("GOOGLETRANSLATE(A44381,""en"",""pt"")"),"Pequeno e leve")</f>
        <v>Pequeno e leve</v>
      </c>
      <c r="B44381" s="3">
        <v>1</v>
      </c>
    </row>
    <row r="44382" ht="15.75" customHeight="1" spans="1:2">
      <c r="A44382" s="3" t="str">
        <f>IFERROR(__xludf.DUMMYFUNCTION("GOOGLETRANSLATE(A44382,""en"",""pt"")"),"tamanho, toneladas de características, boa garantia")</f>
        <v>tamanho, toneladas de características, boa garantia</v>
      </c>
      <c r="B44382" s="3">
        <v>1</v>
      </c>
    </row>
    <row r="44383" ht="15.75" customHeight="1" spans="1:2">
      <c r="A44383" s="3" t="str">
        <f>IFERROR(__xludf.DUMMYFUNCTION("GOOGLETRANSLATE(A44383,""en"",""pt"")"),"Pequeno, design elegante, claras e nítidas fotos")</f>
        <v>Pequeno, design elegante, claras e nítidas fotos</v>
      </c>
      <c r="B44383" s="3">
        <v>1</v>
      </c>
    </row>
    <row r="44384" ht="15.75" customHeight="1" spans="1:2">
      <c r="A44384" s="3" t="str">
        <f>IFERROR(__xludf.DUMMYFUNCTION("GOOGLETRANSLATE(A44384,""en"",""pt"")"),"Facilidade de uso, qualidade de imagem")</f>
        <v>Facilidade de uso, qualidade de imagem</v>
      </c>
      <c r="B44384" s="3">
        <v>1</v>
      </c>
    </row>
    <row r="44385" ht="15.75" customHeight="1" spans="1:2">
      <c r="A44385" s="3" t="str">
        <f>IFERROR(__xludf.DUMMYFUNCTION("GOOGLETRANSLATE(A44385,""en"",""pt"")"),"tamanho, baixo custo, facilidade de uso, periféricos")</f>
        <v>tamanho, baixo custo, facilidade de uso, periféricos</v>
      </c>
      <c r="B44385" s="3">
        <v>1</v>
      </c>
    </row>
    <row r="44386" ht="15.75" customHeight="1" spans="1:2">
      <c r="A44386" s="3" t="str">
        <f>IFERROR(__xludf.DUMMYFUNCTION("GOOGLETRANSLATE(A44386,""en"",""pt"")"),"detalhes nítidos, a satisfação instantânea")</f>
        <v>detalhes nítidos, a satisfação instantânea</v>
      </c>
      <c r="B44386" s="3">
        <v>1</v>
      </c>
    </row>
    <row r="44387" ht="15.75" customHeight="1" spans="1:2">
      <c r="A44387" s="3" t="str">
        <f>IFERROR(__xludf.DUMMYFUNCTION("GOOGLETRANSLATE(A44387,""en"",""pt"")"),"Grandes Recursos e Qualidade de Fuji")</f>
        <v>Grandes Recursos e Qualidade de Fuji</v>
      </c>
      <c r="B44387" s="3">
        <v>1</v>
      </c>
    </row>
    <row r="44388" ht="15.75" customHeight="1" spans="1:2">
      <c r="A44388" s="3" t="str">
        <f>IFERROR(__xludf.DUMMYFUNCTION("GOOGLETRANSLATE(A44388,""en"",""pt"")"),"Fácil de aprender e usar")</f>
        <v>Fácil de aprender e usar</v>
      </c>
      <c r="B44388" s="3">
        <v>1</v>
      </c>
    </row>
    <row r="44389" ht="15.75" customHeight="1" spans="1:2">
      <c r="A44389" s="3" t="str">
        <f>IFERROR(__xludf.DUMMYFUNCTION("GOOGLETRANSLATE(A44389,""en"",""pt"")"),"armazenamento GRANDE, fácil dobrar")</f>
        <v>armazenamento GRANDE, fácil dobrar</v>
      </c>
      <c r="B44389" s="3">
        <v>1</v>
      </c>
    </row>
    <row r="44390" ht="15.75" customHeight="1" spans="1:2">
      <c r="A44390" s="3" t="str">
        <f>IFERROR(__xludf.DUMMYFUNCTION("GOOGLETRANSLATE(A44390,""en"",""pt"")"),"Vem com assento infantil e Base de Dados")</f>
        <v>Vem com assento infantil e Base de Dados</v>
      </c>
      <c r="B44390" s="3">
        <v>1</v>
      </c>
    </row>
    <row r="44391" ht="15.75" customHeight="1" spans="1:2">
      <c r="A44391" s="3" t="str">
        <f>IFERROR(__xludf.DUMMYFUNCTION("GOOGLETRANSLATE(A44391,""en"",""pt"")"),"Fácil, conveniente, Lightweight")</f>
        <v>Fácil, conveniente, Lightweight</v>
      </c>
      <c r="B44391" s="3">
        <v>1</v>
      </c>
    </row>
    <row r="44392" ht="15.75" customHeight="1" spans="1:2">
      <c r="A44392" s="3" t="str">
        <f>IFERROR(__xludf.DUMMYFUNCTION("GOOGLETRANSLATE(A44392,""en"",""pt"")"),"Preço, Looks, Durabilidade.")</f>
        <v>Preço, Looks, Durabilidade.</v>
      </c>
      <c r="B44392" s="3">
        <v>1</v>
      </c>
    </row>
    <row r="44393" ht="15.75" customHeight="1" spans="1:2">
      <c r="A44393" s="3" t="str">
        <f>IFERROR(__xludf.DUMMYFUNCTION("GOOGLETRANSLATE(A44393,""en"",""pt"")"),"Fácil de usar, rápido de dobrar, grande assento infantil, parece resistente")</f>
        <v>Fácil de usar, rápido de dobrar, grande assento infantil, parece resistente</v>
      </c>
      <c r="B44393" s="3">
        <v>1</v>
      </c>
    </row>
    <row r="44394" ht="15.75" customHeight="1" spans="1:2">
      <c r="A44394" s="3" t="str">
        <f>IFERROR(__xludf.DUMMYFUNCTION("GOOGLETRANSLATE(A44394,""en"",""pt"")"),"Leve, fácil de dobrar para baixo, grande área de armazenamento, pai e filho porta-copos")</f>
        <v>Leve, fácil de dobrar para baixo, grande área de armazenamento, pai e filho porta-copos</v>
      </c>
      <c r="B44394" s="3">
        <v>1</v>
      </c>
    </row>
    <row r="44395" ht="15.75" customHeight="1" spans="1:2">
      <c r="A44395" s="3" t="str">
        <f>IFERROR(__xludf.DUMMYFUNCTION("GOOGLETRANSLATE(A44395,""en"",""pt"")"),"Leve, fácil de usar")</f>
        <v>Leve, fácil de usar</v>
      </c>
      <c r="B44395" s="3">
        <v>1</v>
      </c>
    </row>
    <row r="44396" ht="15.75" customHeight="1" spans="1:2">
      <c r="A44396" s="3" t="str">
        <f>IFERROR(__xludf.DUMMYFUNCTION("GOOGLETRANSLATE(A44396,""en"",""pt"")"),"Leve, tudo funciona em conjunto, dobrável com uma mão!")</f>
        <v>Leve, tudo funciona em conjunto, dobrável com uma mão!</v>
      </c>
      <c r="B44396" s="3">
        <v>1</v>
      </c>
    </row>
    <row r="44397" ht="15.75" customHeight="1" spans="1:2">
      <c r="A44397" s="3" t="str">
        <f>IFERROR(__xludf.DUMMYFUNCTION("GOOGLETRANSLATE(A44397,""en"",""pt"")"),"Grande valor para o preço; de fácil utilização-; assento de carro atribui facilmente para carrinhos de compras")</f>
        <v>Grande valor para o preço; de fácil utilização-; assento de carro atribui facilmente para carrinhos de compras</v>
      </c>
      <c r="B44397" s="3">
        <v>1</v>
      </c>
    </row>
    <row r="44398" ht="15.75" customHeight="1" spans="1:2">
      <c r="A44398" s="3" t="str">
        <f>IFERROR(__xludf.DUMMYFUNCTION("GOOGLETRANSLATE(A44398,""en"",""pt"")"),"Versátil e cresce com o bebê")</f>
        <v>Versátil e cresce com o bebê</v>
      </c>
      <c r="B44398" s="3">
        <v>1</v>
      </c>
    </row>
    <row r="44399" ht="15.75" customHeight="1" spans="1:2">
      <c r="A44399" s="3" t="str">
        <f>IFERROR(__xludf.DUMMYFUNCTION("GOOGLETRANSLATE(A44399,""en"",""pt"")"),"leve, barato")</f>
        <v>leve, barato</v>
      </c>
      <c r="B44399" s="3">
        <v>1</v>
      </c>
    </row>
    <row r="44400" ht="15.75" customHeight="1" spans="1:2">
      <c r="A44400" s="3" t="str">
        <f>IFERROR(__xludf.DUMMYFUNCTION("GOOGLETRANSLATE(A44400,""en"",""pt"")"),"leve e bastante compacto")</f>
        <v>leve e bastante compacto</v>
      </c>
      <c r="B44400" s="3">
        <v>1</v>
      </c>
    </row>
    <row r="44401" ht="15.75" customHeight="1" spans="1:2">
      <c r="A44401" s="3" t="str">
        <f>IFERROR(__xludf.DUMMYFUNCTION("GOOGLETRANSLATE(A44401,""en"",""pt"")"),"Leve, Atraente")</f>
        <v>Leve, Atraente</v>
      </c>
      <c r="B44401" s="3">
        <v>1</v>
      </c>
    </row>
    <row r="44402" ht="15.75" customHeight="1" spans="1:2">
      <c r="A44402" s="3" t="str">
        <f>IFERROR(__xludf.DUMMYFUNCTION("GOOGLETRANSLATE(A44402,""en"",""pt"")"),"O peso leve, durável, 1 criança e 2 adultos suportes para copos, fácil de manobra.")</f>
        <v>O peso leve, durável, 1 criança e 2 adultos suportes para copos, fácil de manobra.</v>
      </c>
      <c r="B44402" s="3">
        <v>1</v>
      </c>
    </row>
    <row r="44403" ht="15.75" customHeight="1" spans="1:2">
      <c r="A44403" s="3" t="str">
        <f>IFERROR(__xludf.DUMMYFUNCTION("GOOGLETRANSLATE(A44403,""en"",""pt"")"),"Fácil de dobrar, bastante compacto (quando dobrada), conveniente")</f>
        <v>Fácil de dobrar, bastante compacto (quando dobrada), conveniente</v>
      </c>
      <c r="B44403" s="3">
        <v>1</v>
      </c>
    </row>
    <row r="44404" ht="15.75" customHeight="1" spans="1:2">
      <c r="A44404" s="3" t="str">
        <f>IFERROR(__xludf.DUMMYFUNCTION("GOOGLETRANSLATE(A44404,""en"",""pt"")"),"passeio suave, dobragem fácil")</f>
        <v>passeio suave, dobragem fácil</v>
      </c>
      <c r="B44404" s="3">
        <v>1</v>
      </c>
    </row>
    <row r="44405" ht="15.75" customHeight="1" spans="1:2">
      <c r="A44405" s="3" t="str">
        <f>IFERROR(__xludf.DUMMYFUNCTION("GOOGLETRANSLATE(A44405,""en"",""pt"")"),"maravilhoso em todos os sentidos")</f>
        <v>maravilhoso em todos os sentidos</v>
      </c>
      <c r="B44405" s="3">
        <v>1</v>
      </c>
    </row>
    <row r="44406" ht="15.75" customHeight="1" spans="1:2">
      <c r="A44406" s="3" t="str">
        <f>IFERROR(__xludf.DUMMYFUNCTION("GOOGLETRANSLATE(A44406,""en"",""pt"")"),"fits assento de carro no carrinho de criança")</f>
        <v>fits assento de carro no carrinho de criança</v>
      </c>
      <c r="B44406" s="3">
        <v>1</v>
      </c>
    </row>
    <row r="44407" ht="15.75" customHeight="1" spans="1:2">
      <c r="A44407" s="3" t="str">
        <f>IFERROR(__xludf.DUMMYFUNCTION("GOOGLETRANSLATE(A44407,""en"",""pt"")"),"fácil")</f>
        <v>fácil</v>
      </c>
      <c r="B44407" s="3">
        <v>1</v>
      </c>
    </row>
    <row r="44408" ht="15.75" customHeight="1" spans="1:2">
      <c r="A44408" s="3" t="str">
        <f>IFERROR(__xludf.DUMMYFUNCTION("GOOGLETRANSLATE(A44408,""en"",""pt"")"),"Passeios agradáveis, parece bom, se encaixa assento infantil no meu banco de trás pequeno")</f>
        <v>Passeios agradáveis, parece bom, se encaixa assento infantil no meu banco de trás pequeno</v>
      </c>
      <c r="B44408" s="3">
        <v>1</v>
      </c>
    </row>
    <row r="44409" ht="15.75" customHeight="1" spans="1:2">
      <c r="A44409" s="3" t="str">
        <f>IFERROR(__xludf.DUMMYFUNCTION("GOOGLETRANSLATE(A44409,""en"",""pt"")"),"barato, fácil de manobrar, peso leve")</f>
        <v>barato, fácil de manobrar, peso leve</v>
      </c>
      <c r="B44409" s="3">
        <v>1</v>
      </c>
    </row>
    <row r="44410" ht="15.75" customHeight="1" spans="1:2">
      <c r="A44410" s="3" t="str">
        <f>IFERROR(__xludf.DUMMYFUNCTION("GOOGLETRANSLATE(A44410,""en"",""pt"")"),"Confortável, acessível, compacta durável para viagens")</f>
        <v>Confortável, acessível, compacta durável para viagens</v>
      </c>
      <c r="B44410" s="3">
        <v>1</v>
      </c>
    </row>
    <row r="44411" ht="15.75" customHeight="1" spans="1:2">
      <c r="A44411" s="3" t="str">
        <f>IFERROR(__xludf.DUMMYFUNCTION("GOOGLETRANSLATE(A44411,""en"",""pt"")"),"O peso leve, dobrável Uma mão ,, cesto de armazenamento generoso")</f>
        <v>O peso leve, dobrável Uma mão ,, cesto de armazenamento generoso</v>
      </c>
      <c r="B44411" s="3">
        <v>1</v>
      </c>
    </row>
    <row r="44412" ht="15.75" customHeight="1" spans="1:2">
      <c r="A44412" s="3" t="str">
        <f>IFERROR(__xludf.DUMMYFUNCTION("GOOGLETRANSLATE(A44412,""en"",""pt"")"),"Fácil de usar e leve")</f>
        <v>Fácil de usar e leve</v>
      </c>
      <c r="B44412" s="3">
        <v>1</v>
      </c>
    </row>
    <row r="44413" ht="15.75" customHeight="1" spans="1:2">
      <c r="A44413" s="3" t="str">
        <f>IFERROR(__xludf.DUMMYFUNCTION("GOOGLETRANSLATE(A44413,""en"",""pt"")"),"fácil delta, se dobra para caber lugares, tem um carseat útil")</f>
        <v>fácil delta, se dobra para caber lugares, tem um carseat útil</v>
      </c>
      <c r="B44413" s="3">
        <v>1</v>
      </c>
    </row>
    <row r="44414" ht="15.75" customHeight="1" spans="1:2">
      <c r="A44414" s="3" t="str">
        <f>IFERROR(__xludf.DUMMYFUNCTION("GOOGLETRANSLATE(A44414,""en"",""pt"")"),"Rolls quando empurrado. Pega fácil para fácil dobrar. Tem cesta no fundo para fraldas hold e outras coisas.")</f>
        <v>Rolls quando empurrado. Pega fácil para fácil dobrar. Tem cesta no fundo para fraldas hold e outras coisas.</v>
      </c>
      <c r="B44414" s="3">
        <v>1</v>
      </c>
    </row>
    <row r="44415" ht="15.75" customHeight="1" spans="1:2">
      <c r="A44415" s="3" t="str">
        <f>IFERROR(__xludf.DUMMYFUNCTION("GOOGLETRANSLATE(A44415,""en"",""pt"")"),"custo, tamanho, conveniência")</f>
        <v>custo, tamanho, conveniência</v>
      </c>
      <c r="B44415" s="3">
        <v>1</v>
      </c>
    </row>
    <row r="44416" ht="15.75" customHeight="1" spans="1:2">
      <c r="A44416" s="3" t="str">
        <f>IFERROR(__xludf.DUMMYFUNCTION("GOOGLETRANSLATE(A44416,""en"",""pt"")"),"Fácil de quebrar")</f>
        <v>Fácil de quebrar</v>
      </c>
      <c r="B44416" s="3">
        <v>1</v>
      </c>
    </row>
    <row r="44417" ht="15.75" customHeight="1" spans="1:2">
      <c r="A44417" s="3" t="str">
        <f>IFERROR(__xludf.DUMMYFUNCTION("GOOGLETRANSLATE(A44417,""en"",""pt"")"),"Colapsa muito facilmente")</f>
        <v>Colapsa muito facilmente</v>
      </c>
      <c r="B44417" s="3">
        <v>1</v>
      </c>
    </row>
    <row r="44418" ht="15.75" customHeight="1" spans="1:2">
      <c r="A44418" s="3" t="str">
        <f>IFERROR(__xludf.DUMMYFUNCTION("GOOGLETRANSLATE(A44418,""en"",""pt"")"),"Muito fácil de usar")</f>
        <v>Muito fácil de usar</v>
      </c>
      <c r="B44418" s="3">
        <v>1</v>
      </c>
    </row>
    <row r="44419" ht="15.75" customHeight="1" spans="1:2">
      <c r="A44419" s="3" t="str">
        <f>IFERROR(__xludf.DUMMYFUNCTION("GOOGLETRANSLATE(A44419,""en"",""pt"")"),"carseat, cesta no fundo, porta-copos, bandeja de jogo, fácil remoção do carseat para crianças maiores de se sentar no carrinho e ele anda tão suaves")</f>
        <v>carseat, cesta no fundo, porta-copos, bandeja de jogo, fácil remoção do carseat para crianças maiores de se sentar no carrinho e ele anda tão suaves</v>
      </c>
      <c r="B44419" s="3">
        <v>1</v>
      </c>
    </row>
    <row r="44420" ht="15.75" customHeight="1" spans="1:2">
      <c r="A44420" s="3" t="str">
        <f>IFERROR(__xludf.DUMMYFUNCTION("GOOGLETRANSLATE(A44420,""en"",""pt"")"),"Assim fácil de usar. Eu amo essa coisa.")</f>
        <v>Assim fácil de usar. Eu amo essa coisa.</v>
      </c>
      <c r="B44420" s="3">
        <v>1</v>
      </c>
    </row>
    <row r="44421" ht="15.75" customHeight="1" spans="1:2">
      <c r="A44421" s="3" t="str">
        <f>IFERROR(__xludf.DUMMYFUNCTION("GOOGLETRANSLATE(A44421,""en"",""pt"")"),"Lotes de suportes de copo, leve, um dobramento handed")</f>
        <v>Lotes de suportes de copo, leve, um dobramento handed</v>
      </c>
      <c r="B44421" s="3">
        <v>1</v>
      </c>
    </row>
    <row r="44422" ht="15.75" customHeight="1" spans="1:2">
      <c r="A44422" s="3" t="str">
        <f>IFERROR(__xludf.DUMMYFUNCTION("GOOGLETRANSLATE(A44422,""en"",""pt"")"),"Seguro, durável, confortável, com garantias.")</f>
        <v>Seguro, durável, confortável, com garantias.</v>
      </c>
      <c r="B44422" s="3">
        <v>1</v>
      </c>
    </row>
    <row r="44423" ht="15.75" customHeight="1" spans="1:2">
      <c r="A44423" s="3" t="str">
        <f>IFERROR(__xludf.DUMMYFUNCTION("GOOGLETRANSLATE(A44423,""en"",""pt"")"),"uma dobragem entregue; bastante leve")</f>
        <v>uma dobragem entregue; bastante leve</v>
      </c>
      <c r="B44423" s="3">
        <v>1</v>
      </c>
    </row>
    <row r="44424" ht="15.75" customHeight="1" spans="1:2">
      <c r="A44424" s="3" t="str">
        <f>IFERROR(__xludf.DUMMYFUNCTION("GOOGLETRANSLATE(A44424,""en"",""pt"")"),"fácil de usar, muito resistente")</f>
        <v>fácil de usar, muito resistente</v>
      </c>
      <c r="B44424" s="3">
        <v>1</v>
      </c>
    </row>
    <row r="44425" ht="15.75" customHeight="1" spans="1:2">
      <c r="A44425" s="3" t="str">
        <f>IFERROR(__xludf.DUMMYFUNCTION("GOOGLETRANSLATE(A44425,""en"",""pt"")"),"Leve, acessível")</f>
        <v>Leve, acessível</v>
      </c>
      <c r="B44425" s="3">
        <v>1</v>
      </c>
    </row>
    <row r="44426" ht="15.75" customHeight="1" spans="1:2">
      <c r="A44426" s="3" t="str">
        <f>IFERROR(__xludf.DUMMYFUNCTION("GOOGLETRANSLATE(A44426,""en"",""pt"")"),"Preço e dura muito tempo")</f>
        <v>Preço e dura muito tempo</v>
      </c>
      <c r="B44426" s="3">
        <v>1</v>
      </c>
    </row>
    <row r="44427" ht="15.75" customHeight="1" spans="1:2">
      <c r="A44427" s="3" t="str">
        <f>IFERROR(__xludf.DUMMYFUNCTION("GOOGLETRANSLATE(A44427,""en"",""pt"")"),"Novos porta-copos e mais fáceis de abrir")</f>
        <v>Novos porta-copos e mais fáceis de abrir</v>
      </c>
      <c r="B44427" s="3">
        <v>1</v>
      </c>
    </row>
    <row r="44428" ht="15.75" customHeight="1" spans="1:2">
      <c r="A44428" s="3" t="str">
        <f>IFERROR(__xludf.DUMMYFUNCTION("GOOGLETRANSLATE(A44428,""en"",""pt"")"),"assento de carro, transportador e carrinho em um!")</f>
        <v>assento de carro, transportador e carrinho em um!</v>
      </c>
      <c r="B44428" s="3">
        <v>1</v>
      </c>
    </row>
    <row r="44429" ht="15.75" customHeight="1" spans="1:2">
      <c r="A44429" s="3" t="str">
        <f>IFERROR(__xludf.DUMMYFUNCTION("GOOGLETRANSLATE(A44429,""en"",""pt"")"),"carrinho de criança bastante leve. Fácil dobrar e resistente.")</f>
        <v>carrinho de criança bastante leve. Fácil dobrar e resistente.</v>
      </c>
      <c r="B44429" s="3">
        <v>1</v>
      </c>
    </row>
    <row r="44430" ht="15.75" customHeight="1" spans="1:2">
      <c r="A44430" s="3" t="str">
        <f>IFERROR(__xludf.DUMMYFUNCTION("GOOGLETRANSLATE(A44430,""en"",""pt"")"),"Obtém onde você precisa ir, girando rodas dianteiras, assento ajustável de 3 posições")</f>
        <v>Obtém onde você precisa ir, girando rodas dianteiras, assento ajustável de 3 posições</v>
      </c>
      <c r="B44430" s="3">
        <v>1</v>
      </c>
    </row>
    <row r="44431" ht="15.75" customHeight="1" spans="1:2">
      <c r="A44431" s="3" t="str">
        <f>IFERROR(__xludf.DUMMYFUNCTION("GOOGLETRANSLATE(A44431,""en"",""pt"")"),"mais barato, confortável")</f>
        <v>mais barato, confortável</v>
      </c>
      <c r="B44431" s="3">
        <v>1</v>
      </c>
    </row>
    <row r="44432" ht="15.75" customHeight="1" spans="1:2">
      <c r="A44432" s="3" t="str">
        <f>IFERROR(__xludf.DUMMYFUNCTION("GOOGLETRANSLATE(A44432,""en"",""pt"")"),"muito durável")</f>
        <v>muito durável</v>
      </c>
      <c r="B44432" s="3">
        <v>1</v>
      </c>
    </row>
    <row r="44433" ht="15.75" customHeight="1" spans="1:2">
      <c r="A44433" s="3" t="str">
        <f>IFERROR(__xludf.DUMMYFUNCTION("GOOGLETRANSLATE(A44433,""en"",""pt"")"),"leve")</f>
        <v>leve</v>
      </c>
      <c r="B44433" s="3">
        <v>1</v>
      </c>
    </row>
    <row r="44434" ht="15.75" customHeight="1" spans="1:2">
      <c r="A44434" s="3" t="str">
        <f>IFERROR(__xludf.DUMMYFUNCTION("GOOGLETRANSLATE(A44434,""en"",""pt"")"),"peso leve")</f>
        <v>peso leve</v>
      </c>
      <c r="B44434" s="3">
        <v>1</v>
      </c>
    </row>
    <row r="44435" ht="15.75" customHeight="1" spans="1:2">
      <c r="A44435" s="3" t="str">
        <f>IFERROR(__xludf.DUMMYFUNCTION("GOOGLETRANSLATE(A44435,""en"",""pt"")"),"Leve, fácil de dobrar, lotes de armazenagem.")</f>
        <v>Leve, fácil de dobrar, lotes de armazenagem.</v>
      </c>
      <c r="B44435" s="3">
        <v>1</v>
      </c>
    </row>
    <row r="44436" ht="15.75" customHeight="1" spans="1:2">
      <c r="A44436" s="3" t="str">
        <f>IFERROR(__xludf.DUMMYFUNCTION("GOOGLETRANSLATE(A44436,""en"",""pt"")"),"Fácil de dobrar")</f>
        <v>Fácil de dobrar</v>
      </c>
      <c r="B44436" s="3">
        <v>1</v>
      </c>
    </row>
    <row r="44437" ht="15.75" customHeight="1" spans="1:2">
      <c r="A44437" s="3" t="str">
        <f>IFERROR(__xludf.DUMMYFUNCTION("GOOGLETRANSLATE(A44437,""en"",""pt"")"),"Barato, bom conjunto de recursos para o preço, grande capacidade de armazenamento")</f>
        <v>Barato, bom conjunto de recursos para o preço, grande capacidade de armazenamento</v>
      </c>
      <c r="B44437" s="3">
        <v>1</v>
      </c>
    </row>
    <row r="44438" ht="15.75" customHeight="1" spans="1:2">
      <c r="A44438" s="3" t="str">
        <f>IFERROR(__xludf.DUMMYFUNCTION("GOOGLETRANSLATE(A44438,""en"",""pt"")"),"3 assento posição, enorme dossel, grande espaço de armazenamento")</f>
        <v>3 assento posição, enorme dossel, grande espaço de armazenamento</v>
      </c>
      <c r="B44438" s="3">
        <v>1</v>
      </c>
    </row>
    <row r="44439" ht="15.75" customHeight="1" spans="1:2">
      <c r="A44439" s="3" t="str">
        <f>IFERROR(__xludf.DUMMYFUNCTION("GOOGLETRANSLATE(A44439,""en"",""pt"")"),"Fácil de dobrar, de peso leve, os lotes de suporte de copo, o tabuleiro de alimentação frontal, cesta grande")</f>
        <v>Fácil de dobrar, de peso leve, os lotes de suporte de copo, o tabuleiro de alimentação frontal, cesta grande</v>
      </c>
      <c r="B44439" s="3">
        <v>1</v>
      </c>
    </row>
    <row r="44440" ht="15.75" customHeight="1" spans="1:2">
      <c r="A44440" s="3" t="str">
        <f>IFERROR(__xludf.DUMMYFUNCTION("GOOGLETRANSLATE(A44440,""en"",""pt"")"),"a cor da marinha do quadro")</f>
        <v>a cor da marinha do quadro</v>
      </c>
      <c r="B44440" s="3">
        <v>1</v>
      </c>
    </row>
    <row r="44441" ht="15.75" customHeight="1" spans="1:2">
      <c r="A44441" s="3" t="str">
        <f>IFERROR(__xludf.DUMMYFUNCTION("GOOGLETRANSLATE(A44441,""en"",""pt"")"),"Leve, fácil de dobrar")</f>
        <v>Leve, fácil de dobrar</v>
      </c>
      <c r="B44441" s="3">
        <v>1</v>
      </c>
    </row>
    <row r="44442" ht="15.75" customHeight="1" spans="1:2">
      <c r="A44442" s="3" t="str">
        <f>IFERROR(__xludf.DUMMYFUNCTION("GOOGLETRANSLATE(A44442,""en"",""pt"")"),"Fácil de abrir e fechar")</f>
        <v>Fácil de abrir e fechar</v>
      </c>
      <c r="B44442" s="3">
        <v>1</v>
      </c>
    </row>
    <row r="44443" ht="15.75" customHeight="1" spans="1:2">
      <c r="A44443" s="3" t="str">
        <f>IFERROR(__xludf.DUMMYFUNCTION("GOOGLETRANSLATE(A44443,""en"",""pt"")"),"grande valor, grandes recursos, apenas toda a grandeza ao redor")</f>
        <v>grande valor, grandes recursos, apenas toda a grandeza ao redor</v>
      </c>
      <c r="B44443" s="3">
        <v>1</v>
      </c>
    </row>
    <row r="44444" ht="15.75" customHeight="1" spans="1:2">
      <c r="A44444" s="3" t="str">
        <f>IFERROR(__xludf.DUMMYFUNCTION("GOOGLETRANSLATE(A44444,""en"",""pt"")"),"peso leve, à moda, 3 posição reclinada, se reclina totalmente, de dobragem de um lado, a bandeja-mãe, grande cesto de armazenamento")</f>
        <v>peso leve, à moda, 3 posição reclinada, se reclina totalmente, de dobragem de um lado, a bandeja-mãe, grande cesto de armazenamento</v>
      </c>
      <c r="B44444" s="3">
        <v>1</v>
      </c>
    </row>
    <row r="44445" ht="15.75" customHeight="1" spans="1:2">
      <c r="A44445" s="3" t="str">
        <f>IFERROR(__xludf.DUMMYFUNCTION("GOOGLETRANSLATE(A44445,""en"",""pt"")"),"fácil de dobrar e aberto, assentos de carro snap in e sair fácil")</f>
        <v>fácil de dobrar e aberto, assentos de carro snap in e sair fácil</v>
      </c>
      <c r="B44445" s="3">
        <v>1</v>
      </c>
    </row>
    <row r="44446" ht="15.75" customHeight="1" spans="1:2">
      <c r="A44446" s="3" t="str">
        <f>IFERROR(__xludf.DUMMYFUNCTION("GOOGLETRANSLATE(A44446,""en"",""pt"")"),"salvador de uma mãe!")</f>
        <v>salvador de uma mãe!</v>
      </c>
      <c r="B44446" s="3">
        <v>1</v>
      </c>
    </row>
    <row r="44447" ht="15.75" customHeight="1" spans="1:2">
      <c r="A44447" s="3" t="str">
        <f>IFERROR(__xludf.DUMMYFUNCTION("GOOGLETRANSLATE(A44447,""en"",""pt"")"),"Dois assentos reclinam e um assento de carro de correspondência incluídos.")</f>
        <v>Dois assentos reclinam e um assento de carro de correspondência incluídos.</v>
      </c>
      <c r="B44447" s="3">
        <v>1</v>
      </c>
    </row>
    <row r="44448" ht="15.75" customHeight="1" spans="1:2">
      <c r="A44448" s="3" t="str">
        <f>IFERROR(__xludf.DUMMYFUNCTION("GOOGLETRANSLATE(A44448,""en"",""pt"")"),"Elegante, confortável para recém-nascidos e crianças mais velhas, fácil de limpar.")</f>
        <v>Elegante, confortável para recém-nascidos e crianças mais velhas, fácil de limpar.</v>
      </c>
      <c r="B44448" s="3">
        <v>1</v>
      </c>
    </row>
    <row r="44449" ht="15.75" customHeight="1" spans="1:2">
      <c r="A44449" s="3" t="str">
        <f>IFERROR(__xludf.DUMMYFUNCTION("GOOGLETRANSLATE(A44449,""en"",""pt"")"),"Fácil dobrar e grande segurança apresentado")</f>
        <v>Fácil dobrar e grande segurança apresentado</v>
      </c>
      <c r="B44449" s="3">
        <v>1</v>
      </c>
    </row>
    <row r="44450" ht="15.75" customHeight="1" spans="1:2">
      <c r="A44450" s="3" t="str">
        <f>IFERROR(__xludf.DUMMYFUNCTION("GOOGLETRANSLATE(A44450,""en"",""pt"")"),"Senta-se 2 crianças confortavelmente, fácil de transformar, estreito, assento em tandem.")</f>
        <v>Senta-se 2 crianças confortavelmente, fácil de transformar, estreito, assento em tandem.</v>
      </c>
      <c r="B44450" s="3">
        <v>1</v>
      </c>
    </row>
    <row r="44451" ht="15.75" customHeight="1" spans="1:2">
      <c r="A44451" s="3" t="str">
        <f>IFERROR(__xludf.DUMMYFUNCTION("GOOGLETRANSLATE(A44451,""en"",""pt"")"),"Espaçoso, fácil de transformar cantos afiados, confortável")</f>
        <v>Espaçoso, fácil de transformar cantos afiados, confortável</v>
      </c>
      <c r="B44451" s="3">
        <v>1</v>
      </c>
    </row>
    <row r="44452" ht="15.75" customHeight="1" spans="1:2">
      <c r="A44452" s="3" t="str">
        <f>IFERROR(__xludf.DUMMYFUNCTION("GOOGLETRANSLATE(A44452,""en"",""pt"")"),"Muito fácil de espaço de armazenamento handle.Large e espaço para as pernas.")</f>
        <v>Muito fácil de espaço de armazenamento handle.Large e espaço para as pernas.</v>
      </c>
      <c r="B44452" s="3">
        <v>1</v>
      </c>
    </row>
    <row r="44453" ht="15.75" customHeight="1" spans="1:2">
      <c r="A44453" s="3" t="str">
        <f>IFERROR(__xludf.DUMMYFUNCTION("GOOGLETRANSLATE(A44453,""en"",""pt"")"),"Baixo preço para tanto. Muito espaço.")</f>
        <v>Baixo preço para tanto. Muito espaço.</v>
      </c>
      <c r="B44453" s="3">
        <v>1</v>
      </c>
    </row>
    <row r="44454" ht="15.75" customHeight="1" spans="1:2">
      <c r="A44454" s="3" t="str">
        <f>IFERROR(__xludf.DUMMYFUNCTION("GOOGLETRANSLATE(A44454,""en"",""pt"")"),"Facilidade de uso, versátil")</f>
        <v>Facilidade de uso, versátil</v>
      </c>
      <c r="B44454" s="3">
        <v>1</v>
      </c>
    </row>
    <row r="44455" ht="15.75" customHeight="1" spans="1:2">
      <c r="A44455" s="3" t="str">
        <f>IFERROR(__xludf.DUMMYFUNCTION("GOOGLETRANSLATE(A44455,""en"",""pt"")"),"É ótimo para dormir bebês.")</f>
        <v>É ótimo para dormir bebês.</v>
      </c>
      <c r="B44455" s="3">
        <v>1</v>
      </c>
    </row>
    <row r="44456" ht="15.75" customHeight="1" spans="1:2">
      <c r="A44456" s="3" t="str">
        <f>IFERROR(__xludf.DUMMYFUNCTION("GOOGLETRANSLATE(A44456,""en"",""pt"")"),"fácil de manuver, fácil de dobrar e desdobrar, vem com transportador")</f>
        <v>fácil de manuver, fácil de dobrar e desdobrar, vem com transportador</v>
      </c>
      <c r="B44456" s="3">
        <v>1</v>
      </c>
    </row>
    <row r="44457" ht="15.75" customHeight="1" spans="1:2">
      <c r="A44457" s="3" t="str">
        <f>IFERROR(__xludf.DUMMYFUNCTION("GOOGLETRANSLATE(A44457,""en"",""pt"")"),"É um sistema de viagem para dois !!")</f>
        <v>É um sistema de viagem para dois !!</v>
      </c>
      <c r="B44457" s="3">
        <v>1</v>
      </c>
    </row>
    <row r="44458" ht="15.75" customHeight="1" spans="1:2">
      <c r="A44458" s="3" t="str">
        <f>IFERROR(__xludf.DUMMYFUNCTION("GOOGLETRANSLATE(A44458,""en"",""pt"")"),"Fácil de abrir e colapso. Parece durável. Fácil de manobra")</f>
        <v>Fácil de abrir e colapso. Parece durável. Fácil de manobra</v>
      </c>
      <c r="B44458" s="3">
        <v>1</v>
      </c>
    </row>
    <row r="44459" ht="15.75" customHeight="1" spans="1:2">
      <c r="A44459" s="3" t="str">
        <f>IFERROR(__xludf.DUMMYFUNCTION("GOOGLETRANSLATE(A44459,""en"",""pt"")"),"Dois assentos, um com recline completo, cada um com seu próprio dossel. assento de carro infantil incluído.")</f>
        <v>Dois assentos, um com recline completo, cada um com seu próprio dossel. assento de carro infantil incluído.</v>
      </c>
      <c r="B44459" s="3">
        <v>1</v>
      </c>
    </row>
    <row r="44460" ht="15.75" customHeight="1" spans="1:2">
      <c r="A44460" s="3" t="str">
        <f>IFERROR(__xludf.DUMMYFUNCTION("GOOGLETRANSLATE(A44460,""en"",""pt"")"),"Perfeito para ""crescimento"" famílias")</f>
        <v>Perfeito para "crescimento" famílias</v>
      </c>
      <c r="B44460" s="3">
        <v>1</v>
      </c>
    </row>
    <row r="44461" ht="15.75" customHeight="1" spans="1:2">
      <c r="A44461" s="3" t="str">
        <f>IFERROR(__xludf.DUMMYFUNCTION("GOOGLETRANSLATE(A44461,""en"",""pt"")"),"Ambos os assentos reclinam, fácil de usar")</f>
        <v>Ambos os assentos reclinam, fácil de usar</v>
      </c>
      <c r="B44461" s="3">
        <v>1</v>
      </c>
    </row>
    <row r="44462" ht="15.75" customHeight="1" spans="1:2">
      <c r="A44462" s="3" t="str">
        <f>IFERROR(__xludf.DUMMYFUNCTION("GOOGLETRANSLATE(A44462,""en"",""pt"")"),"uma mão-de dobragem / peso luz / versáteis rodas / 2 bandejas")</f>
        <v>uma mão-de dobragem / peso luz / versáteis rodas / 2 bandejas</v>
      </c>
      <c r="B44462" s="3">
        <v>1</v>
      </c>
    </row>
    <row r="44463" ht="15.75" customHeight="1" spans="1:2">
      <c r="A44463" s="3" t="str">
        <f>IFERROR(__xludf.DUMMYFUNCTION("GOOGLETRANSLATE(A44463,""en"",""pt"")"),"Bem supera o mal /")</f>
        <v>Bem supera o mal /</v>
      </c>
      <c r="B44463" s="3">
        <v>1</v>
      </c>
    </row>
    <row r="44464" ht="15.75" customHeight="1" spans="1:2">
      <c r="A44464" s="3" t="str">
        <f>IFERROR(__xludf.DUMMYFUNCTION("GOOGLETRANSLATE(A44464,""en"",""pt"")"),"Fácil de dobrar, durável moldura &amp; amp; rodas, muitos acessórios")</f>
        <v>Fácil de dobrar, durável moldura &amp; amp; rodas, muitos acessórios</v>
      </c>
      <c r="B44464" s="3">
        <v>1</v>
      </c>
    </row>
    <row r="44465" ht="15.75" customHeight="1" spans="1:2">
      <c r="A44465" s="3" t="str">
        <f>IFERROR(__xludf.DUMMYFUNCTION("GOOGLETRANSLATE(A44465,""en"",""pt"")"),"Tudo em um sistemas, durabilidade e fácil de usar")</f>
        <v>Tudo em um sistemas, durabilidade e fácil de usar</v>
      </c>
      <c r="B44465" s="3">
        <v>1</v>
      </c>
    </row>
    <row r="44466" ht="15.75" customHeight="1" spans="1:2">
      <c r="A44466" s="3" t="str">
        <f>IFERROR(__xludf.DUMMYFUNCTION("GOOGLETRANSLATE(A44466,""en"",""pt"")"),"Fácil armazenamento e fácil de manuver. Muito durável !!")</f>
        <v>Fácil armazenamento e fácil de manuver. Muito durável !!</v>
      </c>
      <c r="B44466" s="3">
        <v>1</v>
      </c>
    </row>
    <row r="44467" ht="15.75" customHeight="1" spans="1:2">
      <c r="A44467" s="3" t="str">
        <f>IFERROR(__xludf.DUMMYFUNCTION("GOOGLETRANSLATE(A44467,""en"",""pt"")"),"conveniência, acessível, fácil armazenamento, confortável")</f>
        <v>conveniência, acessível, fácil armazenamento, confortável</v>
      </c>
      <c r="B44467" s="3">
        <v>1</v>
      </c>
    </row>
    <row r="44468" ht="15.75" customHeight="1" spans="1:2">
      <c r="A44468" s="3" t="str">
        <f>IFERROR(__xludf.DUMMYFUNCTION("GOOGLETRANSLATE(A44468,""en"",""pt"")"),"Muito versátil, peso leve")</f>
        <v>Muito versátil, peso leve</v>
      </c>
      <c r="B44468" s="3">
        <v>1</v>
      </c>
    </row>
    <row r="44469" ht="15.75" customHeight="1" spans="1:2">
      <c r="A44469" s="3" t="str">
        <f>IFERROR(__xludf.DUMMYFUNCTION("GOOGLETRANSLATE(A44469,""en"",""pt"")"),"fácil configuração, os lotes de armazenagem")</f>
        <v>fácil configuração, os lotes de armazenagem</v>
      </c>
      <c r="B44469" s="3">
        <v>1</v>
      </c>
    </row>
    <row r="44470" ht="15.75" customHeight="1" spans="1:2">
      <c r="A44470" s="3" t="str">
        <f>IFERROR(__xludf.DUMMYFUNCTION("GOOGLETRANSLATE(A44470,""en"",""pt"")"),"Robusto, elegante, compras espaço do saco, conveniente para chegar bebê de carseat para carrinho sem perturbação.")</f>
        <v>Robusto, elegante, compras espaço do saco, conveniente para chegar bebê de carseat para carrinho sem perturbação.</v>
      </c>
      <c r="B44470" s="3">
        <v>1</v>
      </c>
    </row>
    <row r="44471" ht="15.75" customHeight="1" spans="1:2">
      <c r="A44471" s="3" t="str">
        <f>IFERROR(__xludf.DUMMYFUNCTION("GOOGLETRANSLATE(A44471,""en"",""pt"")"),"Fácil de usar, sem despertar bebê-se, rodas grandes")</f>
        <v>Fácil de usar, sem despertar bebê-se, rodas grandes</v>
      </c>
      <c r="B44471" s="3">
        <v>1</v>
      </c>
    </row>
    <row r="44472" ht="15.75" customHeight="1" spans="1:2">
      <c r="A44472" s="3" t="str">
        <f>IFERROR(__xludf.DUMMYFUNCTION("GOOGLETRANSLATE(A44472,""en"",""pt"")"),"dossel de casal com boa cesta de armazenamento ver-thru janela na copa carrinho de criança, rodas de bloqueio de segurança,.")</f>
        <v>dossel de casal com boa cesta de armazenamento ver-thru janela na copa carrinho de criança, rodas de bloqueio de segurança,.</v>
      </c>
      <c r="B44472" s="3">
        <v>1</v>
      </c>
    </row>
    <row r="44473" ht="15.75" customHeight="1" spans="1:2">
      <c r="A44473" s="3" t="str">
        <f>IFERROR(__xludf.DUMMYFUNCTION("GOOGLETRANSLATE(A44473,""en"",""pt"")"),"Fácil de manobrar, bandeja de armazenamento acessível, grande cesto, mecanismo de dobramento fácil com uma só mão")</f>
        <v>Fácil de manobrar, bandeja de armazenamento acessível, grande cesto, mecanismo de dobramento fácil com uma só mão</v>
      </c>
      <c r="B44473" s="3">
        <v>1</v>
      </c>
    </row>
    <row r="44474" ht="15.75" customHeight="1" spans="1:2">
      <c r="A44474" s="3" t="str">
        <f>IFERROR(__xludf.DUMMYFUNCTION("GOOGLETRANSLATE(A44474,""en"",""pt"")"),"fácil de dobrar, resistente, suportes de copo e transportador")</f>
        <v>fácil de dobrar, resistente, suportes de copo e transportador</v>
      </c>
      <c r="B44474" s="3">
        <v>1</v>
      </c>
    </row>
    <row r="44475" ht="15.75" customHeight="1" spans="1:2">
      <c r="A44475" s="3" t="str">
        <f>IFERROR(__xludf.DUMMYFUNCTION("GOOGLETRANSLATE(A44475,""en"",""pt"")"),"Fácil dobrar, suporte de assento de criança, suportes de copo e a bandeja principal.")</f>
        <v>Fácil dobrar, suporte de assento de criança, suportes de copo e a bandeja principal.</v>
      </c>
      <c r="B44475" s="3">
        <v>1</v>
      </c>
    </row>
    <row r="44476" ht="15.75" customHeight="1" spans="1:2">
      <c r="A44476" s="3" t="str">
        <f>IFERROR(__xludf.DUMMYFUNCTION("GOOGLETRANSLATE(A44476,""en"",""pt"")"),"acoplável assento infantil, ótimo para uso fora de estrada")</f>
        <v>acoplável assento infantil, ótimo para uso fora de estrada</v>
      </c>
      <c r="B44476" s="3">
        <v>1</v>
      </c>
    </row>
    <row r="44477" ht="15.75" customHeight="1" spans="1:2">
      <c r="A44477" s="3" t="str">
        <f>IFERROR(__xludf.DUMMYFUNCTION("GOOGLETRANSLATE(A44477,""en"",""pt"")"),"Leve, bandejas de bebidas removível, muito manobrável")</f>
        <v>Leve, bandejas de bebidas removível, muito manobrável</v>
      </c>
      <c r="B44477" s="3">
        <v>1</v>
      </c>
    </row>
    <row r="44478" ht="15.75" customHeight="1" spans="1:2">
      <c r="A44478" s="3" t="str">
        <f>IFERROR(__xludf.DUMMYFUNCTION("GOOGLETRANSLATE(A44478,""en"",""pt"")"),"&amp; Lt; b &amp; gt; Os bebês serão crusin em seu bebé &amp; lt; b &amp; gt;")</f>
        <v>&amp; Lt; b &amp; gt; Os bebês serão crusin em seu bebé &amp; lt; b &amp; gt;</v>
      </c>
      <c r="B44478" s="3">
        <v>1</v>
      </c>
    </row>
    <row r="44479" ht="15.75" customHeight="1" spans="1:2">
      <c r="A44479" s="3" t="str">
        <f>IFERROR(__xludf.DUMMYFUNCTION("GOOGLETRANSLATE(A44479,""en"",""pt"")"),"Muito espaço de armazenamento &amp; amp; # 13; &amp; amp; # 10; Cup Holders &amp; amp; # 13; &amp; amp; # 10; 1 Handed Fold-up")</f>
        <v>Muito espaço de armazenamento &amp; amp; # 13; &amp; amp; # 10; Cup Holders &amp; amp; # 13; &amp; amp; # 10; 1 Handed Fold-up</v>
      </c>
      <c r="B44479" s="3">
        <v>1</v>
      </c>
    </row>
    <row r="44480" ht="15.75" customHeight="1" spans="1:2">
      <c r="A44480" s="3" t="str">
        <f>IFERROR(__xludf.DUMMYFUNCTION("GOOGLETRANSLATE(A44480,""en"",""pt"")"),", Cesta espaçosa, bandeja de criança leve e suporte para copos, fácil recline")</f>
        <v>, Cesta espaçosa, bandeja de criança leve e suporte para copos, fácil recline</v>
      </c>
      <c r="B44480" s="3">
        <v>1</v>
      </c>
    </row>
    <row r="44481" ht="15.75" customHeight="1" spans="1:2">
      <c r="A44481" s="3" t="str">
        <f>IFERROR(__xludf.DUMMYFUNCTION("GOOGLETRANSLATE(A44481,""en"",""pt"")"),"Atraente, fácil de usar, barato, menos volumoso")</f>
        <v>Atraente, fácil de usar, barato, menos volumoso</v>
      </c>
      <c r="B44481" s="3">
        <v>1</v>
      </c>
    </row>
    <row r="44482" ht="15.75" customHeight="1" spans="1:2">
      <c r="A44482" s="3" t="str">
        <f>IFERROR(__xludf.DUMMYFUNCTION("GOOGLETRANSLATE(A44482,""en"",""pt"")"),"Fácil de dirigir, fácil de dobrar &amp; amp; lotes desdobrar de armazenamento.")</f>
        <v>Fácil de dirigir, fácil de dobrar &amp; amp; lotes desdobrar de armazenamento.</v>
      </c>
      <c r="B44482" s="3">
        <v>1</v>
      </c>
    </row>
    <row r="44483" ht="15.75" customHeight="1" spans="1:2">
      <c r="A44483" s="3" t="str">
        <f>IFERROR(__xludf.DUMMYFUNCTION("GOOGLETRANSLATE(A44483,""en"",""pt"")"),"Seguro! Simples! Barato!")</f>
        <v>Seguro! Simples! Barato!</v>
      </c>
      <c r="B44483" s="3">
        <v>1</v>
      </c>
    </row>
    <row r="44484" ht="15.75" customHeight="1" spans="1:2">
      <c r="A44484" s="3" t="str">
        <f>IFERROR(__xludf.DUMMYFUNCTION("GOOGLETRANSLATE(A44484,""en"",""pt"")"),"O peso leve, abre e fecha fáceis, passeio suave, grande direção, bons pausas, agradáveis ​​transportadora, bases extra disponíveis.")</f>
        <v>O peso leve, abre e fecha fáceis, passeio suave, grande direção, bons pausas, agradáveis ​​transportadora, bases extra disponíveis.</v>
      </c>
      <c r="B44484" s="3">
        <v>1</v>
      </c>
    </row>
    <row r="44485" ht="15.75" customHeight="1" spans="1:2">
      <c r="A44485" s="3" t="str">
        <f>IFERROR(__xludf.DUMMYFUNCTION("GOOGLETRANSLATE(A44485,""en"",""pt"")"),"Spacey-ótimo para grandes viagens &amp; amp; parques de diversões, fácil transição de carro para carrinho de criança.")</f>
        <v>Spacey-ótimo para grandes viagens &amp; amp; parques de diversões, fácil transição de carro para carrinho de criança.</v>
      </c>
      <c r="B44485" s="3">
        <v>1</v>
      </c>
    </row>
    <row r="44486" ht="15.75" customHeight="1" spans="1:2">
      <c r="A44486" s="3" t="str">
        <f>IFERROR(__xludf.DUMMYFUNCTION("GOOGLETRANSLATE(A44486,""en"",""pt"")"),"durável, leve, fácil de manusear, convertidos desde o infantil até carrinho de criança")</f>
        <v>durável, leve, fácil de manusear, convertidos desde o infantil até carrinho de criança</v>
      </c>
      <c r="B44486" s="3">
        <v>1</v>
      </c>
    </row>
    <row r="44487" ht="15.75" customHeight="1" spans="1:2">
      <c r="A44487" s="3" t="str">
        <f>IFERROR(__xludf.DUMMYFUNCTION("GOOGLETRANSLATE(A44487,""en"",""pt"")"),"Cesta grande, bonito couros impressão derramamentos, rodas dianteiras duplas, os lotes de suportes para copos")</f>
        <v>Cesta grande, bonito couros impressão derramamentos, rodas dianteiras duplas, os lotes de suportes para copos</v>
      </c>
      <c r="B44487" s="3">
        <v>1</v>
      </c>
    </row>
    <row r="44488" ht="15.75" customHeight="1" spans="1:2">
      <c r="A44488" s="3" t="str">
        <f>IFERROR(__xludf.DUMMYFUNCTION("GOOGLETRANSLATE(A44488,""en"",""pt"")"),"Leve (considerando o produto). Fácil de dobrar.")</f>
        <v>Leve (considerando o produto). Fácil de dobrar.</v>
      </c>
      <c r="B44488" s="3">
        <v>1</v>
      </c>
    </row>
    <row r="44489" ht="15.75" customHeight="1" spans="1:2">
      <c r="A44489" s="3" t="str">
        <f>IFERROR(__xludf.DUMMYFUNCTION("GOOGLETRANSLATE(A44489,""en"",""pt"")"),"Torneamento fácil")</f>
        <v>Torneamento fácil</v>
      </c>
      <c r="B44489" s="3">
        <v>1</v>
      </c>
    </row>
    <row r="44490" ht="15.75" customHeight="1" spans="1:2">
      <c r="A44490" s="3" t="str">
        <f>IFERROR(__xludf.DUMMYFUNCTION("GOOGLETRANSLATE(A44490,""en"",""pt"")"),"Grandes extras. Durável.")</f>
        <v>Grandes extras. Durável.</v>
      </c>
      <c r="B44490" s="3">
        <v>1</v>
      </c>
    </row>
    <row r="44491" ht="15.75" customHeight="1" spans="1:2">
      <c r="A44491" s="3" t="str">
        <f>IFERROR(__xludf.DUMMYFUNCTION("GOOGLETRANSLATE(A44491,""en"",""pt"")"),"carrinho de criança maravilhosa, fácil de usar, fácil de dirigir e dura para o longo curso")</f>
        <v>carrinho de criança maravilhosa, fácil de usar, fácil de dirigir e dura para o longo curso</v>
      </c>
      <c r="B44491" s="3">
        <v>1</v>
      </c>
    </row>
    <row r="44492" ht="15.75" customHeight="1" spans="1:2">
      <c r="A44492" s="3" t="str">
        <f>IFERROR(__xludf.DUMMYFUNCTION("GOOGLETRANSLATE(A44492,""en"",""pt"")"),"Fácil de manobrar, muito leve")</f>
        <v>Fácil de manobrar, muito leve</v>
      </c>
      <c r="B44492" s="3">
        <v>1</v>
      </c>
    </row>
    <row r="44493" ht="15.75" customHeight="1" spans="1:2">
      <c r="A44493" s="3" t="str">
        <f>IFERROR(__xludf.DUMMYFUNCTION("GOOGLETRANSLATE(A44493,""en"",""pt"")"),"Fácil de usar")</f>
        <v>Fácil de usar</v>
      </c>
      <c r="B44493" s="3">
        <v>1</v>
      </c>
    </row>
    <row r="44494" ht="15.75" customHeight="1" spans="1:2">
      <c r="A44494" s="3" t="str">
        <f>IFERROR(__xludf.DUMMYFUNCTION("GOOGLETRANSLATE(A44494,""en"",""pt"")"),"Conveniência, de virada Fácil")</f>
        <v>Conveniência, de virada Fácil</v>
      </c>
      <c r="B44494" s="3">
        <v>1</v>
      </c>
    </row>
    <row r="44495" ht="15.75" customHeight="1" spans="1:2">
      <c r="A44495" s="3" t="str">
        <f>IFERROR(__xludf.DUMMYFUNCTION("GOOGLETRANSLATE(A44495,""en"",""pt"")"),"É convienant para o transporte de um recém-nascido")</f>
        <v>É convienant para o transporte de um recém-nascido</v>
      </c>
      <c r="B44495" s="3">
        <v>1</v>
      </c>
    </row>
    <row r="44496" ht="15.75" customHeight="1" spans="1:2">
      <c r="A44496" s="3" t="str">
        <f>IFERROR(__xludf.DUMMYFUNCTION("GOOGLETRANSLATE(A44496,""en"",""pt"")"),"Fácil de manobrar, peso leve, fácil de dobrar e voltar para fora, suportes para copos pai, muito espaço de armazenamento.")</f>
        <v>Fácil de manobrar, peso leve, fácil de dobrar e voltar para fora, suportes para copos pai, muito espaço de armazenamento.</v>
      </c>
      <c r="B44496" s="3">
        <v>1</v>
      </c>
    </row>
    <row r="44497" ht="15.75" customHeight="1" spans="1:2">
      <c r="A44497" s="3" t="str">
        <f>IFERROR(__xludf.DUMMYFUNCTION("GOOGLETRANSLATE(A44497,""en"",""pt"")"),"Fácil de deslizamento")</f>
        <v>Fácil de deslizamento</v>
      </c>
      <c r="B44497" s="3">
        <v>1</v>
      </c>
    </row>
    <row r="44498" ht="15.75" customHeight="1" spans="1:2">
      <c r="A44498" s="3" t="str">
        <f>IFERROR(__xludf.DUMMYFUNCTION("GOOGLETRANSLATE(A44498,""en"",""pt"")"),"fácil de lavar preenchimento, fácil de usar")</f>
        <v>fácil de lavar preenchimento, fácil de usar</v>
      </c>
      <c r="B44498" s="3">
        <v>1</v>
      </c>
    </row>
    <row r="44499" ht="15.75" customHeight="1" spans="1:2">
      <c r="A44499" s="3" t="str">
        <f>IFERROR(__xludf.DUMMYFUNCTION("GOOGLETRANSLATE(A44499,""en"",""pt"")"),"Uma escolha versátil barato")</f>
        <v>Uma escolha versátil barato</v>
      </c>
      <c r="B44499" s="3">
        <v>1</v>
      </c>
    </row>
    <row r="44500" ht="15.75" customHeight="1" spans="1:2">
      <c r="A44500" s="3" t="str">
        <f>IFERROR(__xludf.DUMMYFUNCTION("GOOGLETRANSLATE(A44500,""en"",""pt"")"),"Simplicidade Simplicidade Simplicidade")</f>
        <v>Simplicidade Simplicidade Simplicidade</v>
      </c>
      <c r="B44500" s="3">
        <v>1</v>
      </c>
    </row>
    <row r="44501" ht="15.75" customHeight="1" spans="1:2">
      <c r="A44501" s="3" t="str">
        <f>IFERROR(__xludf.DUMMYFUNCTION("GOOGLETRANSLATE(A44501,""en"",""pt"")"),"Bebê não perturbado. Fácil de usar.")</f>
        <v>Bebê não perturbado. Fácil de usar.</v>
      </c>
      <c r="B44501" s="3">
        <v>1</v>
      </c>
    </row>
    <row r="44502" ht="15.75" customHeight="1" spans="1:2">
      <c r="A44502" s="3" t="str">
        <f>IFERROR(__xludf.DUMMYFUNCTION("GOOGLETRANSLATE(A44502,""en"",""pt"")"),"conveniência e leve")</f>
        <v>conveniência e leve</v>
      </c>
      <c r="B44502" s="3">
        <v>1</v>
      </c>
    </row>
    <row r="44503" ht="15.75" customHeight="1" spans="1:2">
      <c r="A44503" s="3" t="str">
        <f>IFERROR(__xludf.DUMMYFUNCTION("GOOGLETRANSLATE(A44503,""en"",""pt"")"),"agradável os primeiros 3-4 meses")</f>
        <v>agradável os primeiros 3-4 meses</v>
      </c>
      <c r="B44503" s="3">
        <v>1</v>
      </c>
    </row>
    <row r="44504" ht="15.75" customHeight="1" spans="1:2">
      <c r="A44504" s="3" t="str">
        <f>IFERROR(__xludf.DUMMYFUNCTION("GOOGLETRANSLATE(A44504,""en"",""pt"")"),"Base de dados no carro faz para fácil inserção assento de carro e remoção")</f>
        <v>Base de dados no carro faz para fácil inserção assento de carro e remoção</v>
      </c>
      <c r="B44504" s="3">
        <v>1</v>
      </c>
    </row>
    <row r="44505" ht="15.75" customHeight="1" spans="1:2">
      <c r="A44505" s="3" t="str">
        <f>IFERROR(__xludf.DUMMYFUNCTION("GOOGLETRANSLATE(A44505,""en"",""pt"")"),"Pode usar para crianças para crianças £ 40")</f>
        <v>Pode usar para crianças para crianças £ 40</v>
      </c>
      <c r="B44505" s="3">
        <v>1</v>
      </c>
    </row>
    <row r="44506" ht="15.75" customHeight="1" spans="1:2">
      <c r="A44506" s="3" t="str">
        <f>IFERROR(__xludf.DUMMYFUNCTION("GOOGLETRANSLATE(A44506,""en"",""pt"")"),"Fácil de usar")</f>
        <v>Fácil de usar</v>
      </c>
      <c r="B44506" s="3">
        <v>1</v>
      </c>
    </row>
    <row r="44507" ht="15.75" customHeight="1" spans="1:2">
      <c r="A44507" s="3" t="str">
        <f>IFERROR(__xludf.DUMMYFUNCTION("GOOGLETRANSLATE(A44507,""en"",""pt"")"),"Leve, fácil de usar, barato")</f>
        <v>Leve, fácil de usar, barato</v>
      </c>
      <c r="B44507" s="3">
        <v>1</v>
      </c>
    </row>
    <row r="44508" ht="15.75" customHeight="1" spans="1:2">
      <c r="A44508" s="3" t="str">
        <f>IFERROR(__xludf.DUMMYFUNCTION("GOOGLETRANSLATE(A44508,""en"",""pt"")"),"Baixo custo e peso leve")</f>
        <v>Baixo custo e peso leve</v>
      </c>
      <c r="B44508" s="3">
        <v>1</v>
      </c>
    </row>
    <row r="44509" ht="15.75" customHeight="1" spans="1:2">
      <c r="A44509" s="3" t="str">
        <f>IFERROR(__xludf.DUMMYFUNCTION("GOOGLETRANSLATE(A44509,""en"",""pt"")"),"leve, com uma só mão, tudo-em-um sistema")</f>
        <v>leve, com uma só mão, tudo-em-um sistema</v>
      </c>
      <c r="B44509" s="3">
        <v>1</v>
      </c>
    </row>
    <row r="44510" ht="15.75" customHeight="1" spans="1:2">
      <c r="A44510" s="3" t="str">
        <f>IFERROR(__xludf.DUMMYFUNCTION("GOOGLETRANSLATE(A44510,""en"",""pt"")"),"O que uma grande melhoria dos carrinhos meus outros filhos tiveram.")</f>
        <v>O que uma grande melhoria dos carrinhos meus outros filhos tiveram.</v>
      </c>
      <c r="B44510" s="3">
        <v>1</v>
      </c>
    </row>
    <row r="44511" ht="15.75" customHeight="1" spans="1:2">
      <c r="A44511" s="3" t="str">
        <f>IFERROR(__xludf.DUMMYFUNCTION("GOOGLETRANSLATE(A44511,""en"",""pt"")"),"Pode usar com recém-nascido, pode proteger crianças do sol bem, apropriar-se para terrenos acidentados")</f>
        <v>Pode usar com recém-nascido, pode proteger crianças do sol bem, apropriar-se para terrenos acidentados</v>
      </c>
      <c r="B44511" s="3">
        <v>1</v>
      </c>
    </row>
    <row r="44512" ht="15.75" customHeight="1" spans="1:2">
      <c r="A44512" s="3" t="str">
        <f>IFERROR(__xludf.DUMMYFUNCTION("GOOGLETRANSLATE(A44512,""en"",""pt"")"),"Muito fácil de usar")</f>
        <v>Muito fácil de usar</v>
      </c>
      <c r="B44512" s="3">
        <v>1</v>
      </c>
    </row>
    <row r="44513" ht="15.75" customHeight="1" spans="1:2">
      <c r="A44513" s="3" t="str">
        <f>IFERROR(__xludf.DUMMYFUNCTION("GOOGLETRANSLATE(A44513,""en"",""pt"")"),"O nome Graco, 1 warr ano, facilidade de uso, preço, durabilidade, bases sucesso na GracoBaby.com")</f>
        <v>O nome Graco, 1 warr ano, facilidade de uso, preço, durabilidade, bases sucesso na GracoBaby.com</v>
      </c>
      <c r="B44513" s="3">
        <v>1</v>
      </c>
    </row>
    <row r="44514" ht="15.75" customHeight="1" spans="1:2">
      <c r="A44514" s="3" t="str">
        <f>IFERROR(__xludf.DUMMYFUNCTION("GOOGLETRANSLATE(A44514,""en"",""pt"")"),"Este sistema faz em qualquer lugar com o um pouco simples de muitas maneiras diferentes de ir.")</f>
        <v>Este sistema faz em qualquer lugar com o um pouco simples de muitas maneiras diferentes de ir.</v>
      </c>
      <c r="B44514" s="3">
        <v>1</v>
      </c>
    </row>
    <row r="44515" ht="15.75" customHeight="1" spans="1:2">
      <c r="A44515" s="3" t="str">
        <f>IFERROR(__xludf.DUMMYFUNCTION("GOOGLETRANSLATE(A44515,""en"",""pt"")"),"Leve, fácil de dobrar, fácil de manobrar com uma mão.")</f>
        <v>Leve, fácil de dobrar, fácil de manobrar com uma mão.</v>
      </c>
      <c r="B44515" s="3">
        <v>1</v>
      </c>
    </row>
    <row r="44516" ht="15.75" customHeight="1" spans="1:2">
      <c r="A44516" s="3" t="str">
        <f>IFERROR(__xludf.DUMMYFUNCTION("GOOGLETRANSLATE(A44516,""en"",""pt"")"),"Muito conveniente, especialmente para crianças. Muito durável.")</f>
        <v>Muito conveniente, especialmente para crianças. Muito durável.</v>
      </c>
      <c r="B44516" s="3">
        <v>1</v>
      </c>
    </row>
    <row r="44517" ht="15.75" customHeight="1" spans="1:2">
      <c r="A44517" s="3" t="str">
        <f>IFERROR(__xludf.DUMMYFUNCTION("GOOGLETRANSLATE(A44517,""en"",""pt"")"),"assento de carro é excelente, muito resistente, carrinho funciona bem para um bebê.")</f>
        <v>assento de carro é excelente, muito resistente, carrinho funciona bem para um bebê.</v>
      </c>
      <c r="B44517" s="3">
        <v>1</v>
      </c>
    </row>
    <row r="44518" ht="15.75" customHeight="1" spans="1:2">
      <c r="A44518" s="3" t="str">
        <f>IFERROR(__xludf.DUMMYFUNCTION("GOOGLETRANSLATE(A44518,""en"",""pt"")"),"Lite-peso, fácil de usar, ótimo para crianças para crianças, duráveis")</f>
        <v>Lite-peso, fácil de usar, ótimo para crianças para crianças, duráveis</v>
      </c>
      <c r="B44518" s="3">
        <v>1</v>
      </c>
    </row>
    <row r="44519" ht="15.75" customHeight="1" spans="1:2">
      <c r="A44519" s="3" t="str">
        <f>IFERROR(__xludf.DUMMYFUNCTION("GOOGLETRANSLATE(A44519,""en"",""pt"")"),"confortável, agradável olhando e fácil de usar")</f>
        <v>confortável, agradável olhando e fácil de usar</v>
      </c>
      <c r="B44519" s="3">
        <v>1</v>
      </c>
    </row>
    <row r="44520" ht="15.75" customHeight="1" spans="1:2">
      <c r="A44520" s="3" t="str">
        <f>IFERROR(__xludf.DUMMYFUNCTION("GOOGLETRANSLATE(A44520,""en"",""pt"")"),"resistente, conveniente")</f>
        <v>resistente, conveniente</v>
      </c>
      <c r="B44520" s="3">
        <v>1</v>
      </c>
    </row>
    <row r="44521" ht="15.75" customHeight="1" spans="1:2">
      <c r="A44521" s="3" t="str">
        <f>IFERROR(__xludf.DUMMYFUNCTION("GOOGLETRANSLATE(A44521,""en"",""pt"")"),"fácil dobrar e armazenamento, passeio suave para o bebê")</f>
        <v>fácil dobrar e armazenamento, passeio suave para o bebê</v>
      </c>
      <c r="B44521" s="3">
        <v>1</v>
      </c>
    </row>
    <row r="44522" ht="15.75" customHeight="1" spans="1:2">
      <c r="A44522" s="3" t="str">
        <f>IFERROR(__xludf.DUMMYFUNCTION("GOOGLETRANSLATE(A44522,""en"",""pt"")"),"O carrinho é leve, mas muito bem feito. É muito fácil de usar.")</f>
        <v>O carrinho é leve, mas muito bem feito. É muito fácil de usar.</v>
      </c>
      <c r="B44522" s="3">
        <v>1</v>
      </c>
    </row>
    <row r="44523" ht="15.75" customHeight="1" spans="1:2">
      <c r="A44523" s="3" t="str">
        <f>IFERROR(__xludf.DUMMYFUNCTION("GOOGLETRANSLATE(A44523,""en"",""pt"")"),"fácil de usar")</f>
        <v>fácil de usar</v>
      </c>
      <c r="B44523" s="3">
        <v>1</v>
      </c>
    </row>
    <row r="44524" ht="15.75" customHeight="1" spans="1:2">
      <c r="A44524" s="3" t="str">
        <f>IFERROR(__xludf.DUMMYFUNCTION("GOOGLETRANSLATE(A44524,""en"",""pt"")"),"passeio suave e confortável para o bebê, leve")</f>
        <v>passeio suave e confortável para o bebê, leve</v>
      </c>
      <c r="B44524" s="3">
        <v>1</v>
      </c>
    </row>
    <row r="44525" ht="15.75" customHeight="1" spans="1:2">
      <c r="A44525" s="3" t="str">
        <f>IFERROR(__xludf.DUMMYFUNCTION("GOOGLETRANSLATE(A44525,""en"",""pt"")"),"facilidade de uso, resistente, prático")</f>
        <v>facilidade de uso, resistente, prático</v>
      </c>
      <c r="B44525" s="3">
        <v>1</v>
      </c>
    </row>
    <row r="44526" ht="15.75" customHeight="1" spans="1:2">
      <c r="A44526" s="3" t="str">
        <f>IFERROR(__xludf.DUMMYFUNCTION("GOOGLETRANSLATE(A44526,""en"",""pt"")"),"assento de carro se encaixa direito em carrinho de criança de modo estadias bebê imperturbável")</f>
        <v>assento de carro se encaixa direito em carrinho de criança de modo estadias bebê imperturbável</v>
      </c>
      <c r="B44526" s="3">
        <v>1</v>
      </c>
    </row>
    <row r="44527" ht="15.75" customHeight="1" spans="1:2">
      <c r="A44527" s="3" t="str">
        <f>IFERROR(__xludf.DUMMYFUNCTION("GOOGLETRANSLATE(A44527,""en"",""pt"")"),"Fácil de usar, bom valor")</f>
        <v>Fácil de usar, bom valor</v>
      </c>
      <c r="B44527" s="3">
        <v>1</v>
      </c>
    </row>
    <row r="44528" ht="15.75" customHeight="1" spans="1:2">
      <c r="A44528" s="3" t="str">
        <f>IFERROR(__xludf.DUMMYFUNCTION("GOOGLETRANSLATE(A44528,""en"",""pt"")"),"Resistente, fácil de abrir e fechar, Conveniente")</f>
        <v>Resistente, fácil de abrir e fechar, Conveniente</v>
      </c>
      <c r="B44528" s="3">
        <v>1</v>
      </c>
    </row>
    <row r="44529" ht="15.75" customHeight="1" spans="1:2">
      <c r="A44529" s="3" t="str">
        <f>IFERROR(__xludf.DUMMYFUNCTION("GOOGLETRANSLATE(A44529,""en"",""pt"")"),"durável, leve, um assento de carro-carrinho de criança e -Cesta em um, elegante, fácil de dobrar, um ótimo preço")</f>
        <v>durável, leve, um assento de carro-carrinho de criança e -Cesta em um, elegante, fácil de dobrar, um ótimo preço</v>
      </c>
      <c r="B44529" s="3">
        <v>1</v>
      </c>
    </row>
    <row r="44530" ht="15.75" customHeight="1" spans="1:2">
      <c r="A44530" s="3" t="str">
        <f>IFERROR(__xludf.DUMMYFUNCTION("GOOGLETRANSLATE(A44530,""en"",""pt"")"),"conveniente, carseat segura, conforto")</f>
        <v>conveniente, carseat segura, conforto</v>
      </c>
      <c r="B44530" s="3">
        <v>1</v>
      </c>
    </row>
    <row r="44531" ht="15.75" customHeight="1" spans="1:2">
      <c r="A44531" s="3" t="str">
        <f>IFERROR(__xludf.DUMMYFUNCTION("GOOGLETRANSLATE(A44531,""en"",""pt"")"),"Leve, fácil maneabilidade, fácil dobrar-up")</f>
        <v>Leve, fácil maneabilidade, fácil dobrar-up</v>
      </c>
      <c r="B44531" s="3">
        <v>1</v>
      </c>
    </row>
    <row r="44532" ht="15.75" customHeight="1" spans="1:2">
      <c r="A44532" s="3" t="str">
        <f>IFERROR(__xludf.DUMMYFUNCTION("GOOGLETRANSLATE(A44532,""en"",""pt"")"),"resistentes, boas características")</f>
        <v>resistentes, boas características</v>
      </c>
      <c r="B44532" s="3">
        <v>1</v>
      </c>
    </row>
    <row r="44533" ht="15.75" customHeight="1" spans="1:2">
      <c r="A44533" s="3" t="str">
        <f>IFERROR(__xludf.DUMMYFUNCTION("GOOGLETRANSLATE(A44533,""en"",""pt"")"),"bom assento de carro, portador infantil")</f>
        <v>bom assento de carro, portador infantil</v>
      </c>
      <c r="B44533" s="3">
        <v>1</v>
      </c>
    </row>
    <row r="44534" ht="15.75" customHeight="1" spans="1:2">
      <c r="A44534" s="3" t="str">
        <f>IFERROR(__xludf.DUMMYFUNCTION("GOOGLETRANSLATE(A44534,""en"",""pt"")"),"Muito fácil de usar")</f>
        <v>Muito fácil de usar</v>
      </c>
      <c r="B44534" s="3">
        <v>1</v>
      </c>
    </row>
    <row r="44535" ht="15.75" customHeight="1" spans="1:2">
      <c r="A44535" s="3" t="str">
        <f>IFERROR(__xludf.DUMMYFUNCTION("GOOGLETRANSLATE(A44535,""en"",""pt"")"),"Conveniente, fácil de usar")</f>
        <v>Conveniente, fácil de usar</v>
      </c>
      <c r="B44535" s="3">
        <v>1</v>
      </c>
    </row>
    <row r="44536" ht="15.75" customHeight="1" spans="1:2">
      <c r="A44536" s="3" t="str">
        <f>IFERROR(__xludf.DUMMYFUNCTION("GOOGLETRANSLATE(A44536,""en"",""pt"")"),"carseat, carrinho de criança, drinktray, bom nas curvas")</f>
        <v>carseat, carrinho de criança, drinktray, bom nas curvas</v>
      </c>
      <c r="B44536" s="3">
        <v>1</v>
      </c>
    </row>
    <row r="44537" ht="15.75" customHeight="1" spans="1:2">
      <c r="A44537" s="3" t="str">
        <f>IFERROR(__xludf.DUMMYFUNCTION("GOOGLETRANSLATE(A44537,""en"",""pt"")"),"Fácil de usar, bom passeio")</f>
        <v>Fácil de usar, bom passeio</v>
      </c>
      <c r="B44537" s="3">
        <v>1</v>
      </c>
    </row>
    <row r="44538" ht="15.75" customHeight="1" spans="1:2">
      <c r="A44538" s="3" t="str">
        <f>IFERROR(__xludf.DUMMYFUNCTION("GOOGLETRANSLATE(A44538,""en"",""pt"")"),"Bom para deixar os bebês para dormir mentira")</f>
        <v>Bom para deixar os bebês para dormir mentira</v>
      </c>
      <c r="B44538" s="3">
        <v>1</v>
      </c>
    </row>
    <row r="44539" ht="15.75" customHeight="1" spans="1:2">
      <c r="A44539" s="3" t="str">
        <f>IFERROR(__xludf.DUMMYFUNCTION("GOOGLETRANSLATE(A44539,""en"",""pt"")"),"facilidade, convienence")</f>
        <v>facilidade, convienence</v>
      </c>
      <c r="B44539" s="3">
        <v>1</v>
      </c>
    </row>
    <row r="44540" ht="15.75" customHeight="1" spans="1:2">
      <c r="A44540" s="3" t="str">
        <f>IFERROR(__xludf.DUMMYFUNCTION("GOOGLETRANSLATE(A44540,""en"",""pt"")"),"Resistente,, assento infantil removível conveniente user-friendly")</f>
        <v>Resistente,, assento infantil removível conveniente user-friendly</v>
      </c>
      <c r="B44540" s="3">
        <v>1</v>
      </c>
    </row>
    <row r="44541" ht="15.75" customHeight="1" spans="1:2">
      <c r="A44541" s="3" t="str">
        <f>IFERROR(__xludf.DUMMYFUNCTION("GOOGLETRANSLATE(A44541,""en"",""pt"")"),"É muito confortável e fácil de uso e configuração.")</f>
        <v>É muito confortável e fácil de uso e configuração.</v>
      </c>
      <c r="B44541" s="3">
        <v>1</v>
      </c>
    </row>
    <row r="44542" ht="15.75" customHeight="1" spans="1:2">
      <c r="A44542" s="3" t="str">
        <f>IFERROR(__xludf.DUMMYFUNCTION("GOOGLETRANSLATE(A44542,""en"",""pt"")"),"as rodas grandes não ficar preso")</f>
        <v>as rodas grandes não ficar preso</v>
      </c>
      <c r="B44542" s="3">
        <v>1</v>
      </c>
    </row>
    <row r="44543" ht="15.75" customHeight="1" spans="1:2">
      <c r="A44543" s="3" t="str">
        <f>IFERROR(__xludf.DUMMYFUNCTION("GOOGLETRANSLATE(A44543,""en"",""pt"")"),"O bebê dorme através de uma variedade de movimentos.")</f>
        <v>O bebê dorme através de uma variedade de movimentos.</v>
      </c>
      <c r="B44543" s="3">
        <v>1</v>
      </c>
    </row>
    <row r="44544" ht="15.75" customHeight="1" spans="1:2">
      <c r="A44544" s="3" t="str">
        <f>IFERROR(__xludf.DUMMYFUNCTION("GOOGLETRANSLATE(A44544,""en"",""pt"")"),"user friendly, características convenientes")</f>
        <v>user friendly, características convenientes</v>
      </c>
      <c r="B44544" s="3">
        <v>1</v>
      </c>
    </row>
    <row r="44545" ht="15.75" customHeight="1" spans="1:2">
      <c r="A44545" s="3" t="str">
        <f>IFERROR(__xludf.DUMMYFUNCTION("GOOGLETRANSLATE(A44545,""en"",""pt"")"),"Carseat fácil de gerir")</f>
        <v>Carseat fácil de gerir</v>
      </c>
      <c r="B44545" s="3">
        <v>1</v>
      </c>
    </row>
    <row r="44546" ht="15.75" customHeight="1" spans="1:2">
      <c r="A44546" s="3" t="str">
        <f>IFERROR(__xludf.DUMMYFUNCTION("GOOGLETRANSLATE(A44546,""en"",""pt"")"),"Leve, cores agradáveis")</f>
        <v>Leve, cores agradáveis</v>
      </c>
      <c r="B44546" s="3">
        <v>1</v>
      </c>
    </row>
    <row r="44547" ht="15.75" customHeight="1" spans="1:2">
      <c r="A44547" s="3" t="str">
        <f>IFERROR(__xludf.DUMMYFUNCTION("GOOGLETRANSLATE(A44547,""en"",""pt"")"),"Fácil de usar, Baby pode dormir em carseat e passar para carrinho de criança!")</f>
        <v>Fácil de usar, Baby pode dormir em carseat e passar para carrinho de criança!</v>
      </c>
      <c r="B44547" s="3">
        <v>1</v>
      </c>
    </row>
    <row r="44548" ht="15.75" customHeight="1" spans="1:2">
      <c r="A44548" s="3" t="str">
        <f>IFERROR(__xludf.DUMMYFUNCTION("GOOGLETRANSLATE(A44548,""en"",""pt"")"),"conveniência, facilidade de uso")</f>
        <v>conveniência, facilidade de uso</v>
      </c>
      <c r="B44548" s="3">
        <v>1</v>
      </c>
    </row>
    <row r="44549" ht="15.75" customHeight="1" spans="1:2">
      <c r="A44549" s="3" t="str">
        <f>IFERROR(__xludf.DUMMYFUNCTION("GOOGLETRANSLATE(A44549,""en"",""pt"")"),"design agradável, grande valor.")</f>
        <v>design agradável, grande valor.</v>
      </c>
      <c r="B44549" s="3">
        <v>1</v>
      </c>
    </row>
    <row r="44550" ht="15.75" customHeight="1" spans="1:2">
      <c r="A44550" s="3" t="str">
        <f>IFERROR(__xludf.DUMMYFUNCTION("GOOGLETRANSLATE(A44550,""en"",""pt"")"),"não tem que acordar um bebê dormir !!")</f>
        <v>não tem que acordar um bebê dormir !!</v>
      </c>
      <c r="B44550" s="3">
        <v>1</v>
      </c>
    </row>
    <row r="44551" ht="15.75" customHeight="1" spans="1:2">
      <c r="A44551" s="3" t="str">
        <f>IFERROR(__xludf.DUMMYFUNCTION("GOOGLETRANSLATE(A44551,""en"",""pt"")"),"muito versátil")</f>
        <v>muito versátil</v>
      </c>
      <c r="B44551" s="3">
        <v>1</v>
      </c>
    </row>
    <row r="44552" ht="15.75" customHeight="1" spans="1:2">
      <c r="A44552" s="3" t="str">
        <f>IFERROR(__xludf.DUMMYFUNCTION("GOOGLETRANSLATE(A44552,""en"",""pt"")"),"segurança, dobrando conveniência, sensação resistente")</f>
        <v>segurança, dobrando conveniência, sensação resistente</v>
      </c>
      <c r="B44552" s="3">
        <v>1</v>
      </c>
    </row>
    <row r="44553" ht="15.75" customHeight="1" spans="1:2">
      <c r="A44553" s="3" t="str">
        <f>IFERROR(__xludf.DUMMYFUNCTION("GOOGLETRANSLATE(A44553,""en"",""pt"")"),"sistema de viagem, confortável, passeios agradáveis")</f>
        <v>sistema de viagem, confortável, passeios agradáveis</v>
      </c>
      <c r="B44553" s="3">
        <v>1</v>
      </c>
    </row>
    <row r="44554" ht="15.75" customHeight="1" spans="1:2">
      <c r="A44554" s="3" t="str">
        <f>IFERROR(__xludf.DUMMYFUNCTION("GOOGLETRANSLATE(A44554,""en"",""pt"")"),"Fácil, barato, sem bolinhas")</f>
        <v>Fácil, barato, sem bolinhas</v>
      </c>
      <c r="B44554" s="3">
        <v>1</v>
      </c>
    </row>
    <row r="44555" ht="15.75" customHeight="1" spans="1:2">
      <c r="A44555" s="3" t="str">
        <f>IFERROR(__xludf.DUMMYFUNCTION("GOOGLETRANSLATE(A44555,""en"",""pt"")"),"O preço.")</f>
        <v>O preço.</v>
      </c>
      <c r="B44555" s="3">
        <v>1</v>
      </c>
    </row>
    <row r="44556" ht="15.75" customHeight="1" spans="1:2">
      <c r="A44556" s="3" t="str">
        <f>IFERROR(__xludf.DUMMYFUNCTION("GOOGLETRANSLATE(A44556,""en"",""pt"")"),"alisar passeio, fácil de abrir / fechar")</f>
        <v>alisar passeio, fácil de abrir / fechar</v>
      </c>
      <c r="B44556" s="3">
        <v>1</v>
      </c>
    </row>
    <row r="44557" ht="15.75" customHeight="1" spans="1:2">
      <c r="A44557" s="3" t="str">
        <f>IFERROR(__xludf.DUMMYFUNCTION("GOOGLETRANSLATE(A44557,""en"",""pt"")"),"** treinador ** maravilhoso e um preço razoável !!")</f>
        <v>** treinador ** maravilhoso e um preço razoável !!</v>
      </c>
      <c r="B44557" s="3">
        <v>1</v>
      </c>
    </row>
    <row r="44558" ht="15.75" customHeight="1" spans="1:2">
      <c r="A44558" s="3" t="str">
        <f>IFERROR(__xludf.DUMMYFUNCTION("GOOGLETRANSLATE(A44558,""en"",""pt"")"),"Alisar rodas passeio / grande. Conveniente. Pode instalar uma segunda base em outro carro para fazer compartilhando o assento de carro entre 2 carros fácil de instalar.")</f>
        <v>Alisar rodas passeio / grande. Conveniente. Pode instalar uma segunda base em outro carro para fazer compartilhando o assento de carro entre 2 carros fácil de instalar.</v>
      </c>
      <c r="B44558" s="3">
        <v>1</v>
      </c>
    </row>
    <row r="44559" ht="15.75" customHeight="1" spans="1:2">
      <c r="A44559" s="3" t="str">
        <f>IFERROR(__xludf.DUMMYFUNCTION("GOOGLETRANSLATE(A44559,""en"",""pt"")"),"Steers grandes")</f>
        <v>Steers grandes</v>
      </c>
      <c r="B44559" s="3">
        <v>1</v>
      </c>
    </row>
    <row r="44560" ht="15.75" customHeight="1" spans="1:2">
      <c r="A44560" s="3" t="str">
        <f>IFERROR(__xludf.DUMMYFUNCTION("GOOGLETRANSLATE(A44560,""en"",""pt"")"),"Multi-posição do assento e apoio para os pés, cesta de armazenamento grande, fácil dobrar, leve")</f>
        <v>Multi-posição do assento e apoio para os pés, cesta de armazenamento grande, fácil dobrar, leve</v>
      </c>
      <c r="B44560" s="3">
        <v>1</v>
      </c>
    </row>
    <row r="44561" ht="15.75" customHeight="1" spans="1:2">
      <c r="A44561" s="3" t="str">
        <f>IFERROR(__xludf.DUMMYFUNCTION("GOOGLETRANSLATE(A44561,""en"",""pt"")"),"Ótimo preço, fácil de usar")</f>
        <v>Ótimo preço, fácil de usar</v>
      </c>
      <c r="B44561" s="3">
        <v>1</v>
      </c>
    </row>
    <row r="44562" ht="15.75" customHeight="1" spans="1:2">
      <c r="A44562" s="3" t="str">
        <f>IFERROR(__xludf.DUMMYFUNCTION("GOOGLETRANSLATE(A44562,""en"",""pt"")"),"Muito durável, facilmente se encaixe dentro e fora do carro, alta alça sobre carrinho e grande cesto de transporte")</f>
        <v>Muito durável, facilmente se encaixe dentro e fora do carro, alta alça sobre carrinho e grande cesto de transporte</v>
      </c>
      <c r="B44562" s="3">
        <v>1</v>
      </c>
    </row>
    <row r="44563" ht="15.75" customHeight="1" spans="1:2">
      <c r="A44563" s="3" t="str">
        <f>IFERROR(__xludf.DUMMYFUNCTION("GOOGLETRANSLATE(A44563,""en"",""pt"")"),"Tem todo o imaginável recurso!")</f>
        <v>Tem todo o imaginável recurso!</v>
      </c>
      <c r="B44563" s="3">
        <v>1</v>
      </c>
    </row>
    <row r="44564" ht="15.75" customHeight="1" spans="1:2">
      <c r="A44564" s="3" t="str">
        <f>IFERROR(__xludf.DUMMYFUNCTION("GOOGLETRANSLATE(A44564,""en"",""pt"")"),"O assento de carro não pode ser batida")</f>
        <v>O assento de carro não pode ser batida</v>
      </c>
      <c r="B44564" s="3">
        <v>1</v>
      </c>
    </row>
    <row r="44565" ht="15.75" customHeight="1" spans="1:2">
      <c r="A44565" s="3" t="str">
        <f>IFERROR(__xludf.DUMMYFUNCTION("GOOGLETRANSLATE(A44565,""en"",""pt"")"),"cores agradáveis")</f>
        <v>cores agradáveis</v>
      </c>
      <c r="B44565" s="3">
        <v>1</v>
      </c>
    </row>
    <row r="44566" ht="15.75" customHeight="1" spans="1:2">
      <c r="A44566" s="3" t="str">
        <f>IFERROR(__xludf.DUMMYFUNCTION("GOOGLETRANSLATE(A44566,""en"",""pt"")"),"enorme espaço de armazenamento, rodas grandes tornar a viagem através dos parques fácil")</f>
        <v>enorme espaço de armazenamento, rodas grandes tornar a viagem através dos parques fácil</v>
      </c>
      <c r="B44566" s="3">
        <v>1</v>
      </c>
    </row>
    <row r="44567" ht="15.75" customHeight="1" spans="1:2">
      <c r="A44567" s="3" t="str">
        <f>IFERROR(__xludf.DUMMYFUNCTION("GOOGLETRANSLATE(A44567,""en"",""pt"")"),"Confortável e elegante, dobra-se facilmente, armazenamento enorme")</f>
        <v>Confortável e elegante, dobra-se facilmente, armazenamento enorme</v>
      </c>
      <c r="B44567" s="3">
        <v>1</v>
      </c>
    </row>
    <row r="44568" ht="15.75" customHeight="1" spans="1:2">
      <c r="A44568" s="3" t="str">
        <f>IFERROR(__xludf.DUMMYFUNCTION("GOOGLETRANSLATE(A44568,""en"",""pt"")"),"ter um assento de carro e carrinho em 1 de compra")</f>
        <v>ter um assento de carro e carrinho em 1 de compra</v>
      </c>
      <c r="B44568" s="3">
        <v>1</v>
      </c>
    </row>
    <row r="44569" ht="15.75" customHeight="1" spans="1:2">
      <c r="A44569" s="3" t="str">
        <f>IFERROR(__xludf.DUMMYFUNCTION("GOOGLETRANSLATE(A44569,""en"",""pt"")"),"3 suportes para copos, que é um carrinho de criança / cadeirinha / transportador")</f>
        <v>3 suportes para copos, que é um carrinho de criança / cadeirinha / transportador</v>
      </c>
      <c r="B44569" s="3">
        <v>1</v>
      </c>
    </row>
    <row r="44570" ht="15.75" customHeight="1" spans="1:2">
      <c r="A44570" s="3" t="str">
        <f>IFERROR(__xludf.DUMMYFUNCTION("GOOGLETRANSLATE(A44570,""en"",""pt"")"),"rodas grandes, conveniência")</f>
        <v>rodas grandes, conveniência</v>
      </c>
      <c r="B44570" s="3">
        <v>1</v>
      </c>
    </row>
    <row r="44571" ht="15.75" customHeight="1" spans="1:2">
      <c r="A44571" s="3" t="str">
        <f>IFERROR(__xludf.DUMMYFUNCTION("GOOGLETRANSLATE(A44571,""en"",""pt"")"),"rodas grandes, bandejas Snack bar, lotes de armazenamento, e tem um alto barra de empurrar.")</f>
        <v>rodas grandes, bandejas Snack bar, lotes de armazenamento, e tem um alto barra de empurrar.</v>
      </c>
      <c r="B44571" s="3">
        <v>1</v>
      </c>
    </row>
    <row r="44572" ht="15.75" customHeight="1" spans="1:2">
      <c r="A44572" s="3" t="str">
        <f>IFERROR(__xludf.DUMMYFUNCTION("GOOGLETRANSLATE(A44572,""en"",""pt"")"),"All-in-One Design, facilidade de uso, Muita do Extra.")</f>
        <v>All-in-One Design, facilidade de uso, Muita do Extra.</v>
      </c>
      <c r="B44572" s="3">
        <v>1</v>
      </c>
    </row>
    <row r="44573" ht="15.75" customHeight="1" spans="1:2">
      <c r="A44573" s="3" t="str">
        <f>IFERROR(__xludf.DUMMYFUNCTION("GOOGLETRANSLATE(A44573,""en"",""pt"")"),"Leve, 2-em-1, acolchoado, fácil armazenamento, e muitas outras coisas.")</f>
        <v>Leve, 2-em-1, acolchoado, fácil armazenamento, e muitas outras coisas.</v>
      </c>
      <c r="B44573" s="3">
        <v>1</v>
      </c>
    </row>
    <row r="44574" ht="15.75" customHeight="1" spans="1:2">
      <c r="A44574" s="3" t="str">
        <f>IFERROR(__xludf.DUMMYFUNCTION("GOOGLETRANSLATE(A44574,""en"",""pt"")"),"Nenhum")</f>
        <v>Nenhum</v>
      </c>
      <c r="B44574" s="3">
        <v>1</v>
      </c>
    </row>
    <row r="44575" ht="15.75" customHeight="1" spans="1:2">
      <c r="A44575" s="3" t="str">
        <f>IFERROR(__xludf.DUMMYFUNCTION("GOOGLETRANSLATE(A44575,""en"",""pt"")"),"Muito leve e dobras e se desdobra facilmente - mesmo com uma mão!")</f>
        <v>Muito leve e dobras e se desdobra facilmente - mesmo com uma mão!</v>
      </c>
      <c r="B44575" s="3">
        <v>1</v>
      </c>
    </row>
    <row r="44576" ht="15.75" customHeight="1" spans="1:2">
      <c r="A44576" s="3" t="str">
        <f>IFERROR(__xludf.DUMMYFUNCTION("GOOGLETRANSLATE(A44576,""en"",""pt"")"),"Fácil de usar, luz, cesta de armazenamento grande")</f>
        <v>Fácil de usar, luz, cesta de armazenamento grande</v>
      </c>
      <c r="B44576" s="3">
        <v>1</v>
      </c>
    </row>
    <row r="44577" ht="15.75" customHeight="1" spans="1:2">
      <c r="A44577" s="3" t="str">
        <f>IFERROR(__xludf.DUMMYFUNCTION("GOOGLETRANSLATE(A44577,""en"",""pt"")"),"Boa qualidade, muitas posições reclináveis")</f>
        <v>Boa qualidade, muitas posições reclináveis</v>
      </c>
      <c r="B44577" s="3">
        <v>1</v>
      </c>
    </row>
    <row r="44578" ht="15.75" customHeight="1" spans="1:2">
      <c r="A44578" s="3" t="str">
        <f>IFERROR(__xludf.DUMMYFUNCTION("GOOGLETRANSLATE(A44578,""en"",""pt"")"),"fácil de usar")</f>
        <v>fácil de usar</v>
      </c>
      <c r="B44578" s="3">
        <v>1</v>
      </c>
    </row>
    <row r="44579" ht="15.75" customHeight="1" spans="1:2">
      <c r="A44579" s="3" t="str">
        <f>IFERROR(__xludf.DUMMYFUNCTION("GOOGLETRANSLATE(A44579,""en"",""pt"")"),"Fácil de usar, dobre, lavar e confortável para criança")</f>
        <v>Fácil de usar, dobre, lavar e confortável para criança</v>
      </c>
      <c r="B44579" s="3">
        <v>1</v>
      </c>
    </row>
    <row r="44580" ht="15.75" customHeight="1" spans="1:2">
      <c r="A44580" s="3" t="str">
        <f>IFERROR(__xludf.DUMMYFUNCTION("GOOGLETRANSLATE(A44580,""en"",""pt"")"),"fácil de dobrar, se encaixa em pequenos espaços, leve, fácil de manobra")</f>
        <v>fácil de dobrar, se encaixa em pequenos espaços, leve, fácil de manobra</v>
      </c>
      <c r="B44580" s="3">
        <v>1</v>
      </c>
    </row>
    <row r="44581" ht="15.75" customHeight="1" spans="1:2">
      <c r="A44581" s="3" t="str">
        <f>IFERROR(__xludf.DUMMYFUNCTION("GOOGLETRANSLATE(A44581,""en"",""pt"")"),"Muito peso leve, fácil de abrir")</f>
        <v>Muito peso leve, fácil de abrir</v>
      </c>
      <c r="B44581" s="3">
        <v>1</v>
      </c>
    </row>
    <row r="44582" ht="15.75" customHeight="1" spans="1:2">
      <c r="A44582" s="3" t="str">
        <f>IFERROR(__xludf.DUMMYFUNCTION("GOOGLETRANSLATE(A44582,""en"",""pt"")"),"Grande e peso leve")</f>
        <v>Grande e peso leve</v>
      </c>
      <c r="B44582" s="3">
        <v>1</v>
      </c>
    </row>
    <row r="44583" ht="15.75" customHeight="1" spans="1:2">
      <c r="A44583" s="3" t="str">
        <f>IFERROR(__xludf.DUMMYFUNCTION("GOOGLETRANSLATE(A44583,""en"",""pt"")"),"4 em um sistema, pneus grandes, fácil de dobrar, um amplo espaço")</f>
        <v>4 em um sistema, pneus grandes, fácil de dobrar, um amplo espaço</v>
      </c>
      <c r="B44583" s="3">
        <v>1</v>
      </c>
    </row>
    <row r="44584" ht="15.75" customHeight="1" spans="1:2">
      <c r="A44584" s="3" t="str">
        <f>IFERROR(__xludf.DUMMYFUNCTION("GOOGLETRANSLATE(A44584,""en"",""pt"")"),"Leve, fácil de dobrar, elegante")</f>
        <v>Leve, fácil de dobrar, elegante</v>
      </c>
      <c r="B44584" s="3">
        <v>1</v>
      </c>
    </row>
    <row r="44585" ht="15.75" customHeight="1" spans="1:2">
      <c r="A44585" s="3" t="str">
        <f>IFERROR(__xludf.DUMMYFUNCTION("GOOGLETRANSLATE(A44585,""en"",""pt"")"),"capota de sol ligado a carseat, pode usar com ou sem base carseat")</f>
        <v>capota de sol ligado a carseat, pode usar com ou sem base carseat</v>
      </c>
      <c r="B44585" s="3">
        <v>1</v>
      </c>
    </row>
    <row r="44586" ht="15.75" customHeight="1" spans="1:2">
      <c r="A44586" s="3" t="str">
        <f>IFERROR(__xludf.DUMMYFUNCTION("GOOGLETRANSLATE(A44586,""en"",""pt"")"),"Muito fácil de usar")</f>
        <v>Muito fácil de usar</v>
      </c>
      <c r="B44586" s="3">
        <v>1</v>
      </c>
    </row>
    <row r="44587" ht="15.75" customHeight="1" spans="1:2">
      <c r="A44587" s="3" t="str">
        <f>IFERROR(__xludf.DUMMYFUNCTION("GOOGLETRANSLATE(A44587,""en"",""pt"")"),"Fácil, forte e confiável")</f>
        <v>Fácil, forte e confiável</v>
      </c>
      <c r="B44587" s="3">
        <v>1</v>
      </c>
    </row>
    <row r="44588" ht="15.75" customHeight="1" spans="1:2">
      <c r="A44588" s="3" t="str">
        <f>IFERROR(__xludf.DUMMYFUNCTION("GOOGLETRANSLATE(A44588,""en"",""pt"")"),"Fácil de abrir e fechar")</f>
        <v>Fácil de abrir e fechar</v>
      </c>
      <c r="B44588" s="3">
        <v>1</v>
      </c>
    </row>
    <row r="44589" ht="15.75" customHeight="1" spans="1:2">
      <c r="A44589" s="3" t="str">
        <f>IFERROR(__xludf.DUMMYFUNCTION("GOOGLETRANSLATE(A44589,""en"",""pt"")"),"conveniência")</f>
        <v>conveniência</v>
      </c>
      <c r="B44589" s="3">
        <v>1</v>
      </c>
    </row>
    <row r="44590" ht="15.75" customHeight="1" spans="1:2">
      <c r="A44590" s="3" t="str">
        <f>IFERROR(__xludf.DUMMYFUNCTION("GOOGLETRANSLATE(A44590,""en"",""pt"")"),"leve")</f>
        <v>leve</v>
      </c>
      <c r="B44590" s="3">
        <v>1</v>
      </c>
    </row>
    <row r="44591" ht="15.75" customHeight="1" spans="1:2">
      <c r="A44591" s="3" t="str">
        <f>IFERROR(__xludf.DUMMYFUNCTION("GOOGLETRANSLATE(A44591,""en"",""pt"")"),"Espaçoso, resistente, área de lanche conveniente, cesta grande de armazenamento")</f>
        <v>Espaçoso, resistente, área de lanche conveniente, cesta grande de armazenamento</v>
      </c>
      <c r="B44591" s="3">
        <v>1</v>
      </c>
    </row>
    <row r="44592" ht="15.75" customHeight="1" spans="1:2">
      <c r="A44592" s="3" t="str">
        <f>IFERROR(__xludf.DUMMYFUNCTION("GOOGLETRANSLATE(A44592,""en"",""pt"")"),"bom passeio")</f>
        <v>bom passeio</v>
      </c>
      <c r="B44592" s="3">
        <v>1</v>
      </c>
    </row>
    <row r="44593" ht="15.75" customHeight="1" spans="1:2">
      <c r="A44593" s="3" t="str">
        <f>IFERROR(__xludf.DUMMYFUNCTION("GOOGLETRANSLATE(A44593,""en"",""pt"")"),"Fácil de usar, leve, prático")</f>
        <v>Fácil de usar, leve, prático</v>
      </c>
      <c r="B44593" s="3">
        <v>1</v>
      </c>
    </row>
    <row r="44594" ht="15.75" customHeight="1" spans="1:2">
      <c r="A44594" s="3" t="str">
        <f>IFERROR(__xludf.DUMMYFUNCTION("GOOGLETRANSLATE(A44594,""en"",""pt"")"),"Bom para olhar, fácil de manusear")</f>
        <v>Bom para olhar, fácil de manusear</v>
      </c>
      <c r="B44594" s="3">
        <v>1</v>
      </c>
    </row>
    <row r="44595" ht="15.75" customHeight="1" spans="1:2">
      <c r="A44595" s="3" t="str">
        <f>IFERROR(__xludf.DUMMYFUNCTION("GOOGLETRANSLATE(A44595,""en"",""pt"")"),"armazenamento adequado, fácil de usar, rodas grandes")</f>
        <v>armazenamento adequado, fácil de usar, rodas grandes</v>
      </c>
      <c r="B44595" s="3">
        <v>1</v>
      </c>
    </row>
    <row r="44596" ht="15.75" customHeight="1" spans="1:2">
      <c r="A44596" s="3" t="str">
        <f>IFERROR(__xludf.DUMMYFUNCTION("GOOGLETRANSLATE(A44596,""en"",""pt"")"),"rodas grandes, fácil de direção")</f>
        <v>rodas grandes, fácil de direção</v>
      </c>
      <c r="B44596" s="3">
        <v>1</v>
      </c>
    </row>
    <row r="44597" ht="15.75" customHeight="1" spans="1:2">
      <c r="A44597" s="3" t="str">
        <f>IFERROR(__xludf.DUMMYFUNCTION("GOOGLETRANSLATE(A44597,""en"",""pt"")"),"Durável, de longa duração!")</f>
        <v>Durável, de longa duração!</v>
      </c>
      <c r="B44597" s="3">
        <v>1</v>
      </c>
    </row>
    <row r="44598" ht="15.75" customHeight="1" spans="1:2">
      <c r="A44598" s="3" t="str">
        <f>IFERROR(__xludf.DUMMYFUNCTION("GOOGLETRANSLATE(A44598,""en"",""pt"")"),"fácil de dobrar, luz, conveniente, resistente")</f>
        <v>fácil de dobrar, luz, conveniente, resistente</v>
      </c>
      <c r="B44598" s="3">
        <v>1</v>
      </c>
    </row>
    <row r="44599" ht="15.75" customHeight="1" spans="1:2">
      <c r="A44599" s="3" t="str">
        <f>IFERROR(__xludf.DUMMYFUNCTION("GOOGLETRANSLATE(A44599,""en"",""pt"")"),"Conveniente, durável, fácil de lavar")</f>
        <v>Conveniente, durável, fácil de lavar</v>
      </c>
      <c r="B44599" s="3">
        <v>1</v>
      </c>
    </row>
    <row r="44600" ht="15.75" customHeight="1" spans="1:2">
      <c r="A44600" s="3" t="str">
        <f>IFERROR(__xludf.DUMMYFUNCTION("GOOGLETRANSLATE(A44600,""en"",""pt"")"),"ótimo para o preço")</f>
        <v>ótimo para o preço</v>
      </c>
      <c r="B44600" s="3">
        <v>1</v>
      </c>
    </row>
    <row r="44601" ht="15.75" customHeight="1" spans="1:2">
      <c r="A44601" s="3" t="str">
        <f>IFERROR(__xludf.DUMMYFUNCTION("GOOGLETRANSLATE(A44601,""en"",""pt"")"),"Versatilidade")</f>
        <v>Versatilidade</v>
      </c>
      <c r="B44601" s="3">
        <v>1</v>
      </c>
    </row>
    <row r="44602" ht="15.75" customHeight="1" spans="1:2">
      <c r="A44602" s="3" t="str">
        <f>IFERROR(__xludf.DUMMYFUNCTION("GOOGLETRANSLATE(A44602,""en"",""pt"")"),"conveniente")</f>
        <v>conveniente</v>
      </c>
      <c r="B44602" s="3">
        <v>1</v>
      </c>
    </row>
    <row r="44603" ht="15.75" customHeight="1" spans="1:2">
      <c r="A44603" s="3" t="str">
        <f>IFERROR(__xludf.DUMMYFUNCTION("GOOGLETRANSLATE(A44603,""en"",""pt"")"),"Luz, direção fácil")</f>
        <v>Luz, direção fácil</v>
      </c>
      <c r="B44603" s="3">
        <v>1</v>
      </c>
    </row>
    <row r="44604" ht="15.75" customHeight="1" spans="1:2">
      <c r="A44604" s="3" t="str">
        <f>IFERROR(__xludf.DUMMYFUNCTION("GOOGLETRANSLATE(A44604,""en"",""pt"")"),"Muito resistente, versátil, agradável extras")</f>
        <v>Muito resistente, versátil, agradável extras</v>
      </c>
      <c r="B44604" s="3">
        <v>1</v>
      </c>
    </row>
    <row r="44605" ht="15.75" customHeight="1" spans="1:2">
      <c r="A44605" s="3" t="str">
        <f>IFERROR(__xludf.DUMMYFUNCTION("GOOGLETRANSLATE(A44605,""en"",""pt"")"),"Fácil de usar, leve")</f>
        <v>Fácil de usar, leve</v>
      </c>
      <c r="B44605" s="3">
        <v>1</v>
      </c>
    </row>
    <row r="44606" ht="15.75" customHeight="1" spans="1:2">
      <c r="A44606" s="3" t="str">
        <f>IFERROR(__xludf.DUMMYFUNCTION("GOOGLETRANSLATE(A44606,""en"",""pt"")"),"Conveniente, tendo o assento de carro e carrinho em uma")</f>
        <v>Conveniente, tendo o assento de carro e carrinho em uma</v>
      </c>
      <c r="B44606" s="3">
        <v>1</v>
      </c>
    </row>
    <row r="44607" ht="15.75" customHeight="1" spans="1:2">
      <c r="A44607" s="3" t="str">
        <f>IFERROR(__xludf.DUMMYFUNCTION("GOOGLETRANSLATE(A44607,""en"",""pt"")"),"carrinho de criança de pouco peso quando comparado com a maioria. Facilmente manobrável em espaços apertados. Dobra-se facilmente.")</f>
        <v>carrinho de criança de pouco peso quando comparado com a maioria. Facilmente manobrável em espaços apertados. Dobra-se facilmente.</v>
      </c>
      <c r="B44607" s="3">
        <v>1</v>
      </c>
    </row>
    <row r="44608" ht="15.75" customHeight="1" spans="1:2">
      <c r="A44608" s="3" t="str">
        <f>IFERROR(__xludf.DUMMYFUNCTION("GOOGLETRANSLATE(A44608,""en"",""pt"")"),"O sistema completo: carro-sede, portador infantil, infantil &amp; amp; carrinho de criança. Fácil de usar.")</f>
        <v>O sistema completo: carro-sede, portador infantil, infantil &amp; amp; carrinho de criança. Fácil de usar.</v>
      </c>
      <c r="B44608" s="3">
        <v>1</v>
      </c>
    </row>
    <row r="44609" ht="15.75" customHeight="1" spans="1:2">
      <c r="A44609" s="3" t="str">
        <f>IFERROR(__xludf.DUMMYFUNCTION("GOOGLETRANSLATE(A44609,""en"",""pt"")"),"Fácil de usar combinação de assento de carro e carrinho; confortável para o bebê.")</f>
        <v>Fácil de usar combinação de assento de carro e carrinho; confortável para o bebê.</v>
      </c>
      <c r="B44609" s="3">
        <v>1</v>
      </c>
    </row>
    <row r="44610" ht="15.75" customHeight="1" spans="1:2">
      <c r="A44610" s="3" t="str">
        <f>IFERROR(__xludf.DUMMYFUNCTION("GOOGLETRANSLATE(A44610,""en"",""pt"")")," 15 libras, uma mão dobra, pai / filho suportes para bebidas, altura ajustável punho.")</f>
        <v> 15 libras, uma mão dobra, pai / filho suportes para bebidas, altura ajustável punho.</v>
      </c>
      <c r="B44610" s="3">
        <v>1</v>
      </c>
    </row>
    <row r="44611" ht="15.75" customHeight="1" spans="1:2">
      <c r="A44611" s="3" t="str">
        <f>IFERROR(__xludf.DUMMYFUNCTION("GOOGLETRANSLATE(A44611,""en"",""pt"")"),"Leve e perfeitamente simples de colapso para armazenamento.")</f>
        <v>Leve e perfeitamente simples de colapso para armazenamento.</v>
      </c>
      <c r="B44611" s="3">
        <v>1</v>
      </c>
    </row>
    <row r="44612" ht="15.75" customHeight="1" spans="1:2">
      <c r="A44612" s="3" t="str">
        <f>IFERROR(__xludf.DUMMYFUNCTION("GOOGLETRANSLATE(A44612,""en"",""pt"")"),"luz, de boa aparência, bandeja do pai, ajuste de altura")</f>
        <v>luz, de boa aparência, bandeja do pai, ajuste de altura</v>
      </c>
      <c r="B44612" s="3">
        <v>1</v>
      </c>
    </row>
    <row r="44613" ht="15.75" customHeight="1" spans="1:2">
      <c r="A44613" s="3" t="str">
        <f>IFERROR(__xludf.DUMMYFUNCTION("GOOGLETRANSLATE(A44613,""en"",""pt"")"),"Muito leve, padrões atraentes, bancadas quando dobrado, guidão ajustável")</f>
        <v>Muito leve, padrões atraentes, bancadas quando dobrado, guidão ajustável</v>
      </c>
      <c r="B44613" s="3">
        <v>1</v>
      </c>
    </row>
    <row r="44614" ht="15.75" customHeight="1" spans="1:2">
      <c r="A44614" s="3" t="str">
        <f>IFERROR(__xludf.DUMMYFUNCTION("GOOGLETRANSLATE(A44614,""en"",""pt"")"),"leve, padrões de tecido puro, dobra-se facilmente,")</f>
        <v>leve, padrões de tecido puro, dobra-se facilmente,</v>
      </c>
      <c r="B44614" s="3">
        <v>1</v>
      </c>
    </row>
    <row r="44615" ht="15.75" customHeight="1" spans="1:2">
      <c r="A44615" s="3" t="str">
        <f>IFERROR(__xludf.DUMMYFUNCTION("GOOGLETRANSLATE(A44615,""en"",""pt"")"),"Leve e elegante. bandeja bom pai.")</f>
        <v>Leve e elegante. bandeja bom pai.</v>
      </c>
      <c r="B44615" s="3">
        <v>1</v>
      </c>
    </row>
    <row r="44616" ht="15.75" customHeight="1" spans="1:2">
      <c r="A44616" s="3" t="str">
        <f>IFERROR(__xludf.DUMMYFUNCTION("GOOGLETRANSLATE(A44616,""en"",""pt"")"),"Too many to lista!")</f>
        <v>Too many to lista!</v>
      </c>
      <c r="B44616" s="3">
        <v>1</v>
      </c>
    </row>
    <row r="44617" ht="15.75" customHeight="1" spans="1:2">
      <c r="A44617" s="3" t="str">
        <f>IFERROR(__xludf.DUMMYFUNCTION("GOOGLETRANSLATE(A44617,""en"",""pt"")"),"Tao leve!!!")</f>
        <v>Tao leve!!!</v>
      </c>
      <c r="B44617" s="3">
        <v>1</v>
      </c>
    </row>
    <row r="44618" ht="15.75" customHeight="1" spans="1:2">
      <c r="A44618" s="3" t="str">
        <f>IFERROR(__xludf.DUMMYFUNCTION("GOOGLETRANSLATE(A44618,""en"",""pt"")"),"Leve, fácil de dobrar, compatível com assento de carro infantil")</f>
        <v>Leve, fácil de dobrar, compatível com assento de carro infantil</v>
      </c>
      <c r="B44618" s="3">
        <v>1</v>
      </c>
    </row>
    <row r="44619" ht="15.75" customHeight="1" spans="1:2">
      <c r="A44619" s="3" t="str">
        <f>IFERROR(__xludf.DUMMYFUNCTION("GOOGLETRANSLATE(A44619,""en"",""pt"")"),"Elegante, cesta grande, porta-copos para todos, leve")</f>
        <v>Elegante, cesta grande, porta-copos para todos, leve</v>
      </c>
      <c r="B44619" s="3">
        <v>1</v>
      </c>
    </row>
    <row r="44620" ht="15.75" customHeight="1" spans="1:2">
      <c r="A44620" s="3" t="str">
        <f>IFERROR(__xludf.DUMMYFUNCTION("GOOGLETRANSLATE(A44620,""en"",""pt"")"),"leve, pequeno, atribui assento de carro separadas / separa facilmente, muito pequena estado colapsado, alça ajustável.")</f>
        <v>leve, pequeno, atribui assento de carro separadas / separa facilmente, muito pequena estado colapsado, alça ajustável.</v>
      </c>
      <c r="B44620" s="3">
        <v>1</v>
      </c>
    </row>
    <row r="44621" ht="15.75" customHeight="1" spans="1:2">
      <c r="A44621" s="3" t="str">
        <f>IFERROR(__xludf.DUMMYFUNCTION("GOOGLETRANSLATE(A44621,""en"",""pt"")"),"transforma em um centavo, muito leve, não ocupa muito espaço")</f>
        <v>transforma em um centavo, muito leve, não ocupa muito espaço</v>
      </c>
      <c r="B44621" s="3">
        <v>1</v>
      </c>
    </row>
    <row r="44622" ht="15.75" customHeight="1" spans="1:2">
      <c r="A44622" s="3" t="str">
        <f>IFERROR(__xludf.DUMMYFUNCTION("GOOGLETRANSLATE(A44622,""en"",""pt"")"),"Extremamente leve, atraente e durável. guidão com altura regulável. Uma mão de dobragem.")</f>
        <v>Extremamente leve, atraente e durável. guidão com altura regulável. Uma mão de dobragem.</v>
      </c>
      <c r="B44622" s="3">
        <v>1</v>
      </c>
    </row>
    <row r="44623" ht="15.75" customHeight="1" spans="1:2">
      <c r="A44623" s="3" t="str">
        <f>IFERROR(__xludf.DUMMYFUNCTION("GOOGLETRANSLATE(A44623,""en"",""pt"")"),"Leve, conveniente")</f>
        <v>Leve, conveniente</v>
      </c>
      <c r="B44623" s="3">
        <v>1</v>
      </c>
    </row>
    <row r="44624" ht="15.75" customHeight="1" spans="1:2">
      <c r="A44624" s="3" t="str">
        <f>IFERROR(__xludf.DUMMYFUNCTION("GOOGLETRANSLATE(A44624,""en"",""pt"")"),"Muito leve, copa grande, teste padrão legal")</f>
        <v>Muito leve, copa grande, teste padrão legal</v>
      </c>
      <c r="B44624" s="3">
        <v>1</v>
      </c>
    </row>
    <row r="44625" ht="15.75" customHeight="1" spans="1:2">
      <c r="A44625" s="3" t="str">
        <f>IFERROR(__xludf.DUMMYFUNCTION("GOOGLETRANSLATE(A44625,""en"",""pt"")"),"Muito leve e portátil, mas não economiza em recursos.")</f>
        <v>Muito leve e portátil, mas não economiza em recursos.</v>
      </c>
      <c r="B44625" s="3">
        <v>1</v>
      </c>
    </row>
    <row r="44626" ht="15.75" customHeight="1" spans="1:2">
      <c r="A44626" s="3" t="str">
        <f>IFERROR(__xludf.DUMMYFUNCTION("GOOGLETRANSLATE(A44626,""en"",""pt"")"),"Leve, suportes para copos, cesta agradável, preço baixo, bandeja de lanche, pode ser usado com portador infantil / carseat")</f>
        <v>Leve, suportes para copos, cesta agradável, preço baixo, bandeja de lanche, pode ser usado com portador infantil / carseat</v>
      </c>
      <c r="B44626" s="3">
        <v>1</v>
      </c>
    </row>
    <row r="44627" ht="15.75" customHeight="1" spans="1:2">
      <c r="A44627" s="3" t="str">
        <f>IFERROR(__xludf.DUMMYFUNCTION("GOOGLETRANSLATE(A44627,""en"",""pt"")"),"Leve e elegante")</f>
        <v>Leve e elegante</v>
      </c>
      <c r="B44627" s="3">
        <v>1</v>
      </c>
    </row>
    <row r="44628" ht="15.75" customHeight="1" spans="1:2">
      <c r="A44628" s="3" t="str">
        <f>IFERROR(__xludf.DUMMYFUNCTION("GOOGLETRANSLATE(A44628,""en"",""pt"")"),"5 pontos arnês em ambos assento de carro e carrinho, todos em todos um bom sistema")</f>
        <v>5 pontos arnês em ambos assento de carro e carrinho, todos em todos um bom sistema</v>
      </c>
      <c r="B44628" s="3">
        <v>1</v>
      </c>
    </row>
    <row r="44629" ht="15.75" customHeight="1" spans="1:2">
      <c r="A44629" s="3" t="str">
        <f>IFERROR(__xludf.DUMMYFUNCTION("GOOGLETRANSLATE(A44629,""en"",""pt"")"),"Muito resistente. Vem com um assento de carro infantil e tem um compartimento para os pais.")</f>
        <v>Muito resistente. Vem com um assento de carro infantil e tem um compartimento para os pais.</v>
      </c>
      <c r="B44629" s="3">
        <v>1</v>
      </c>
    </row>
    <row r="44630" ht="15.75" customHeight="1" spans="1:2">
      <c r="A44630" s="3" t="str">
        <f>IFERROR(__xludf.DUMMYFUNCTION("GOOGLETRANSLATE(A44630,""en"",""pt"")"),"conveniente, com uma mão dobra, leve")</f>
        <v>conveniente, com uma mão dobra, leve</v>
      </c>
      <c r="B44630" s="3">
        <v>1</v>
      </c>
    </row>
    <row r="44631" ht="15.75" customHeight="1" spans="1:2">
      <c r="A44631" s="3" t="str">
        <f>IFERROR(__xludf.DUMMYFUNCTION("GOOGLETRANSLATE(A44631,""en"",""pt"")"),"Leve, fácil de abrir e fechar")</f>
        <v>Leve, fácil de abrir e fechar</v>
      </c>
      <c r="B44631" s="3">
        <v>1</v>
      </c>
    </row>
    <row r="44632" ht="15.75" customHeight="1" spans="1:2">
      <c r="A44632" s="3" t="str">
        <f>IFERROR(__xludf.DUMMYFUNCTION("GOOGLETRANSLATE(A44632,""en"",""pt"")"),"5 pontos arnês, dossel agradável, fácil de dobrar / desdobrar, muito espaço de armazenamento, muito confortável olhando assento")</f>
        <v>5 pontos arnês, dossel agradável, fácil de dobrar / desdobrar, muito espaço de armazenamento, muito confortável olhando assento</v>
      </c>
      <c r="B44632" s="3">
        <v>1</v>
      </c>
    </row>
    <row r="44633" ht="15.75" customHeight="1" spans="1:2">
      <c r="A44633" s="3" t="str">
        <f>IFERROR(__xludf.DUMMYFUNCTION("GOOGLETRANSLATE(A44633,""en"",""pt"")"),"Acessível")</f>
        <v>Acessível</v>
      </c>
      <c r="B44633" s="3">
        <v>1</v>
      </c>
    </row>
    <row r="44634" ht="15.75" customHeight="1" spans="1:2">
      <c r="A44634" s="3" t="str">
        <f>IFERROR(__xludf.DUMMYFUNCTION("GOOGLETRANSLATE(A44634,""en"",""pt"")"),"Fácil de perto, arnês aberto / 5 pontos")</f>
        <v>Fácil de perto, arnês aberto / 5 pontos</v>
      </c>
      <c r="B44634" s="3">
        <v>1</v>
      </c>
    </row>
    <row r="44635" ht="15.75" customHeight="1" spans="1:2">
      <c r="A44635" s="3" t="str">
        <f>IFERROR(__xludf.DUMMYFUNCTION("GOOGLETRANSLATE(A44635,""en"",""pt"")"),"dobrar uma mão é uma brisa!")</f>
        <v>dobrar uma mão é uma brisa!</v>
      </c>
      <c r="B44635" s="3">
        <v>1</v>
      </c>
    </row>
    <row r="44636" ht="15.75" customHeight="1" spans="1:2">
      <c r="A44636" s="3" t="str">
        <f>IFERROR(__xludf.DUMMYFUNCTION("GOOGLETRANSLATE(A44636,""en"",""pt"")"),"Grande design robusto; montagem fácil; Qualidade excelente; Confortável para o bebê; Conveniente para transportar")</f>
        <v>Grande design robusto; montagem fácil; Qualidade excelente; Confortável para o bebê; Conveniente para transportar</v>
      </c>
      <c r="B44636" s="3">
        <v>1</v>
      </c>
    </row>
    <row r="44637" ht="15.75" customHeight="1" spans="1:2">
      <c r="A44637" s="3" t="str">
        <f>IFERROR(__xludf.DUMMYFUNCTION("GOOGLETRANSLATE(A44637,""en"",""pt"")"),"Resistente, fácil de usar, seguro")</f>
        <v>Resistente, fácil de usar, seguro</v>
      </c>
      <c r="B44637" s="3">
        <v>1</v>
      </c>
    </row>
    <row r="44638" ht="15.75" customHeight="1" spans="1:2">
      <c r="A44638" s="3" t="str">
        <f>IFERROR(__xludf.DUMMYFUNCTION("GOOGLETRANSLATE(A44638,""en"",""pt"")"),"Fácil de entrar em colapso, parece ótimo, Lisa Ride &amp; amp; Cupholders também!")</f>
        <v>Fácil de entrar em colapso, parece ótimo, Lisa Ride &amp; amp; Cupholders também!</v>
      </c>
      <c r="B44638" s="3">
        <v>1</v>
      </c>
    </row>
    <row r="44639" ht="15.75" customHeight="1" spans="1:2">
      <c r="A44639" s="3" t="str">
        <f>IFERROR(__xludf.DUMMYFUNCTION("GOOGLETRANSLATE(A44639,""en"",""pt"")"),"Rápida impressão em tempo! As cores ricas!")</f>
        <v>Rápida impressão em tempo! As cores ricas!</v>
      </c>
      <c r="B44639" s="3">
        <v>1</v>
      </c>
    </row>
    <row r="44640" ht="15.75" customHeight="1" spans="1:2">
      <c r="A44640" s="3" t="str">
        <f>IFERROR(__xludf.DUMMYFUNCTION("GOOGLETRANSLATE(A44640,""en"",""pt"")"),"impressão rápida, impressão de boa qualidade, confiável, impressora permite que você saiba quando você precisa de cartucho de tinta")</f>
        <v>impressão rápida, impressão de boa qualidade, confiável, impressora permite que você saiba quando você precisa de cartucho de tinta</v>
      </c>
      <c r="B44640" s="3">
        <v>1</v>
      </c>
    </row>
    <row r="44641" ht="15.75" customHeight="1" spans="1:2">
      <c r="A44641" s="3" t="str">
        <f>IFERROR(__xludf.DUMMYFUNCTION("GOOGLETRANSLATE(A44641,""en"",""pt"")"),"Grande valor a preço, qualidade, velocidade, fiabilidade")</f>
        <v>Grande valor a preço, qualidade, velocidade, fiabilidade</v>
      </c>
      <c r="B44641" s="3">
        <v>1</v>
      </c>
    </row>
    <row r="44642" ht="15.75" customHeight="1" spans="1:2">
      <c r="A44642" s="3" t="str">
        <f>IFERROR(__xludf.DUMMYFUNCTION("GOOGLETRANSLATE(A44642,""en"",""pt"")"),"Rápido, de alta qualidade")</f>
        <v>Rápido, de alta qualidade</v>
      </c>
      <c r="B44642" s="3">
        <v>1</v>
      </c>
    </row>
    <row r="44643" ht="15.75" customHeight="1" spans="1:2">
      <c r="A44643" s="3" t="str">
        <f>IFERROR(__xludf.DUMMYFUNCTION("GOOGLETRANSLATE(A44643,""en"",""pt"")"),"Ela imprime muito bom")</f>
        <v>Ela imprime muito bom</v>
      </c>
      <c r="B44643" s="3">
        <v>1</v>
      </c>
    </row>
    <row r="44644" ht="15.75" customHeight="1" spans="1:2">
      <c r="A44644" s="3" t="str">
        <f>IFERROR(__xludf.DUMMYFUNCTION("GOOGLETRANSLATE(A44644,""en"",""pt"")"),"excelente qualidade, rápido e silencioso")</f>
        <v>excelente qualidade, rápido e silencioso</v>
      </c>
      <c r="B44644" s="3">
        <v>1</v>
      </c>
    </row>
    <row r="44645" ht="15.75" customHeight="1" spans="1:2">
      <c r="A44645" s="3" t="str">
        <f>IFERROR(__xludf.DUMMYFUNCTION("GOOGLETRANSLATE(A44645,""en"",""pt"")"),"Impressão rápida, fácil configurar, Grande em ajuda tela")</f>
        <v>Impressão rápida, fácil configurar, Grande em ajuda tela</v>
      </c>
      <c r="B44645" s="3">
        <v>1</v>
      </c>
    </row>
    <row r="44646" ht="15.75" customHeight="1" spans="1:2">
      <c r="A44646" s="3" t="str">
        <f>IFERROR(__xludf.DUMMYFUNCTION("GOOGLETRANSLATE(A44646,""en"",""pt"")"),"Melhor qualidade; Velocidades rápidas de impressão; Quieto; Confiável; 4 Independente cartuchos de tinta")</f>
        <v>Melhor qualidade; Velocidades rápidas de impressão; Quieto; Confiável; 4 Independente cartuchos de tinta</v>
      </c>
      <c r="B44646" s="3">
        <v>1</v>
      </c>
    </row>
    <row r="44647" ht="15.75" customHeight="1" spans="1:2">
      <c r="A44647" s="3" t="str">
        <f>IFERROR(__xludf.DUMMYFUNCTION("GOOGLETRANSLATE(A44647,""en"",""pt"")"),"Muito rápido, bela foto de qualidade.")</f>
        <v>Muito rápido, bela foto de qualidade.</v>
      </c>
      <c r="B44647" s="3">
        <v>1</v>
      </c>
    </row>
    <row r="44648" ht="15.75" customHeight="1" spans="1:2">
      <c r="A44648" s="3" t="str">
        <f>IFERROR(__xludf.DUMMYFUNCTION("GOOGLETRANSLATE(A44648,""en"",""pt"")"),"Rápido, a qualidade de impressão; Fácil de usar; Papel nunca compotas")</f>
        <v>Rápido, a qualidade de impressão; Fácil de usar; Papel nunca compotas</v>
      </c>
      <c r="B44648" s="3">
        <v>1</v>
      </c>
    </row>
    <row r="44649" ht="15.75" customHeight="1" spans="1:2">
      <c r="A44649" s="3" t="str">
        <f>IFERROR(__xludf.DUMMYFUNCTION("GOOGLETRANSLATE(A44649,""en"",""pt"")"),"Boa qualidade, razoavelmente rápido a menos que a impressão / documentos multicores complexos.")</f>
        <v>Boa qualidade, razoavelmente rápido a menos que a impressão / documentos multicores complexos.</v>
      </c>
      <c r="B44649" s="3">
        <v>1</v>
      </c>
    </row>
    <row r="44650" ht="15.75" customHeight="1" spans="1:2">
      <c r="A44650" s="3" t="str">
        <f>IFERROR(__xludf.DUMMYFUNCTION("GOOGLETRANSLATE(A44650,""en"",""pt"")"),"Super impressão rápida, cartuchos de tinta separados.")</f>
        <v>Super impressão rápida, cartuchos de tinta separados.</v>
      </c>
      <c r="B44650" s="3">
        <v>1</v>
      </c>
    </row>
    <row r="44651" ht="15.75" customHeight="1" spans="1:2">
      <c r="A44651" s="3" t="str">
        <f>IFERROR(__xludf.DUMMYFUNCTION("GOOGLETRANSLATE(A44651,""en"",""pt"")"),"É da Hewlett Packard")</f>
        <v>É da Hewlett Packard</v>
      </c>
      <c r="B44651" s="3">
        <v>1</v>
      </c>
    </row>
    <row r="44652" ht="15.75" customHeight="1" spans="1:2">
      <c r="A44652" s="3" t="str">
        <f>IFERROR(__xludf.DUMMYFUNCTION("GOOGLETRANSLATE(A44652,""en"",""pt"")"),"Fantástico; silencioso, suave, rápido e &amp; amp; # 13; &amp; amp; # 10; grande clareza nos formatos maiores")</f>
        <v>Fantástico; silencioso, suave, rápido e &amp; amp; # 13; &amp; amp; # 10; grande clareza nos formatos maiores</v>
      </c>
      <c r="B44652" s="3">
        <v>1</v>
      </c>
    </row>
    <row r="44653" ht="15.75" customHeight="1" spans="1:2">
      <c r="A44653" s="3" t="str">
        <f>IFERROR(__xludf.DUMMYFUNCTION("GOOGLETRANSLATE(A44653,""en"",""pt"")"),"Grandes Formatos impressão de até 13x19, rápido, resistente, bem construído")</f>
        <v>Grandes Formatos impressão de até 13x19, rápido, resistente, bem construído</v>
      </c>
      <c r="B44653" s="3">
        <v>1</v>
      </c>
    </row>
    <row r="44654" ht="15.75" customHeight="1" spans="1:2">
      <c r="A44654" s="3" t="str">
        <f>IFERROR(__xludf.DUMMYFUNCTION("GOOGLETRANSLATE(A44654,""en"",""pt"")"),"Velocidade, qualidade de impressão, construção robusta. sistema de tinta económico")</f>
        <v>Velocidade, qualidade de impressão, construção robusta. sistema de tinta económico</v>
      </c>
      <c r="B44654" s="3">
        <v>1</v>
      </c>
    </row>
    <row r="44655" ht="15.75" customHeight="1" spans="1:2">
      <c r="A44655" s="3" t="str">
        <f>IFERROR(__xludf.DUMMYFUNCTION("GOOGLETRANSLATE(A44655,""en"",""pt"")"),"Excelente velocidade, impressionante impressões de qualidade")</f>
        <v>Excelente velocidade, impressionante impressões de qualidade</v>
      </c>
      <c r="B44655" s="3">
        <v>1</v>
      </c>
    </row>
    <row r="44656" ht="15.75" customHeight="1" spans="1:2">
      <c r="A44656" s="3" t="str">
        <f>IFERROR(__xludf.DUMMYFUNCTION("GOOGLETRANSLATE(A44656,""en"",""pt"")"),"Bem construída; econômico; boa saída.")</f>
        <v>Bem construída; econômico; boa saída.</v>
      </c>
      <c r="B44656" s="3">
        <v>1</v>
      </c>
    </row>
    <row r="44657" ht="15.75" customHeight="1" spans="1:2">
      <c r="A44657" s="3" t="str">
        <f>IFERROR(__xludf.DUMMYFUNCTION("GOOGLETRANSLATE(A44657,""en"",""pt"")"),"Grande impressão.")</f>
        <v>Grande impressão.</v>
      </c>
      <c r="B44657" s="3">
        <v>1</v>
      </c>
    </row>
    <row r="44658" ht="15.75" customHeight="1" spans="1:2">
      <c r="A44658" s="3" t="str">
        <f>IFERROR(__xludf.DUMMYFUNCTION("GOOGLETRANSLATE(A44658,""en"",""pt"")"),"tamanhos de saída, qualidade de impressão, design de cartucho, de status LCD, sensação geral, de suporte técnico")</f>
        <v>tamanhos de saída, qualidade de impressão, design de cartucho, de status LCD, sensação geral, de suporte técnico</v>
      </c>
      <c r="B44658" s="3">
        <v>1</v>
      </c>
    </row>
    <row r="44659" ht="15.75" customHeight="1" spans="1:2">
      <c r="A44659" s="3" t="str">
        <f>IFERROR(__xludf.DUMMYFUNCTION("GOOGLETRANSLATE(A44659,""en"",""pt"")"),"tamanhos de papel, B &amp; amp; de impressão de fotos W, velocidade crua")</f>
        <v>tamanhos de papel, B &amp; amp; de impressão de fotos W, velocidade crua</v>
      </c>
      <c r="B44659" s="3">
        <v>1</v>
      </c>
    </row>
    <row r="44660" ht="15.75" customHeight="1" spans="1:2">
      <c r="A44660" s="3" t="str">
        <f>IFERROR(__xludf.DUMMYFUNCTION("GOOGLETRANSLATE(A44660,""en"",""pt"")"),"Grande quando funciona, grande em lidar com vários tamanhos de papel.")</f>
        <v>Grande quando funciona, grande em lidar com vários tamanhos de papel.</v>
      </c>
      <c r="B44660" s="3">
        <v>1</v>
      </c>
    </row>
    <row r="44661" ht="15.75" customHeight="1" spans="1:2">
      <c r="A44661" s="3" t="str">
        <f>IFERROR(__xludf.DUMMYFUNCTION("GOOGLETRANSLATE(A44661,""en"",""pt"")"),"Grande qualidade de impressão, 4 cartuchos de tinta individuais, os recursos de grande formato, suporte por telefone bom cliente")</f>
        <v>Grande qualidade de impressão, 4 cartuchos de tinta individuais, os recursos de grande formato, suporte por telefone bom cliente</v>
      </c>
      <c r="B44661" s="3">
        <v>1</v>
      </c>
    </row>
    <row r="44662" ht="15.75" customHeight="1" spans="1:2">
      <c r="A44662" s="3" t="str">
        <f>IFERROR(__xludf.DUMMYFUNCTION("GOOGLETRANSLATE(A44662,""en"",""pt"")"),"Grande cor, toner de longa duração")</f>
        <v>Grande cor, toner de longa duração</v>
      </c>
      <c r="B44662" s="3">
        <v>1</v>
      </c>
    </row>
    <row r="44663" ht="15.75" customHeight="1" spans="1:2">
      <c r="A44663" s="3" t="str">
        <f>IFERROR(__xludf.DUMMYFUNCTION("GOOGLETRANSLATE(A44663,""en"",""pt"")"),"manutenção barata e toner, barato buy-in, muito resistente e rápido")</f>
        <v>manutenção barata e toner, barato buy-in, muito resistente e rápido</v>
      </c>
      <c r="B44663" s="3">
        <v>1</v>
      </c>
    </row>
    <row r="44664" ht="15.75" customHeight="1" spans="1:2">
      <c r="A44664" s="3" t="str">
        <f>IFERROR(__xludf.DUMMYFUNCTION("GOOGLETRANSLATE(A44664,""en"",""pt"")"),"impressões a cores impressionantes")</f>
        <v>impressões a cores impressionantes</v>
      </c>
      <c r="B44664" s="3">
        <v>1</v>
      </c>
    </row>
    <row r="44665" ht="15.75" customHeight="1" spans="1:2">
      <c r="A44665" s="3" t="str">
        <f>IFERROR(__xludf.DUMMYFUNCTION("GOOGLETRANSLATE(A44665,""en"",""pt"")"),"plano de toners duram 8.000 a 12.000 cópias, pouca ou nenhuma manutenção")</f>
        <v>plano de toners duram 8.000 a 12.000 cópias, pouca ou nenhuma manutenção</v>
      </c>
      <c r="B44665" s="3">
        <v>1</v>
      </c>
    </row>
    <row r="44666" ht="15.75" customHeight="1" spans="1:2">
      <c r="A44666" s="3" t="str">
        <f>IFERROR(__xludf.DUMMYFUNCTION("GOOGLETRANSLATE(A44666,""en"",""pt"")"),"RÁPIDO, excelente cor / Imprimir Preto Qualidade.")</f>
        <v>RÁPIDO, excelente cor / Imprimir Preto Qualidade.</v>
      </c>
      <c r="B44666" s="3">
        <v>1</v>
      </c>
    </row>
    <row r="44667" ht="15.75" customHeight="1" spans="1:2">
      <c r="A44667" s="3" t="str">
        <f>IFERROR(__xludf.DUMMYFUNCTION("GOOGLETRANSLATE(A44667,""en"",""pt"")"),"preço, qualidade")</f>
        <v>preço, qualidade</v>
      </c>
      <c r="B44667" s="3">
        <v>1</v>
      </c>
    </row>
    <row r="44668" ht="15.75" customHeight="1" spans="1:2">
      <c r="A44668" s="3" t="str">
        <f>IFERROR(__xludf.DUMMYFUNCTION("GOOGLETRANSLATE(A44668,""en"",""pt"")"),"Rápido, grande qualidade de cor e de impressão")</f>
        <v>Rápido, grande qualidade de cor e de impressão</v>
      </c>
      <c r="B44668" s="3">
        <v>1</v>
      </c>
    </row>
    <row r="44669" ht="15.75" customHeight="1" spans="1:2">
      <c r="A44669" s="3" t="str">
        <f>IFERROR(__xludf.DUMMYFUNCTION("GOOGLETRANSLATE(A44669,""en"",""pt"")"),"Boa qualidade de impressão, boa velocidade")</f>
        <v>Boa qualidade de impressão, boa velocidade</v>
      </c>
      <c r="B44669" s="3">
        <v>1</v>
      </c>
    </row>
    <row r="44670" ht="15.75" customHeight="1" spans="1:2">
      <c r="A44670" s="3" t="str">
        <f>IFERROR(__xludf.DUMMYFUNCTION("GOOGLETRANSLATE(A44670,""en"",""pt"")"),"qualidade, capacidade, versatability")</f>
        <v>qualidade, capacidade, versatability</v>
      </c>
      <c r="B44670" s="3">
        <v>1</v>
      </c>
    </row>
    <row r="44671" ht="15.75" customHeight="1" spans="1:2">
      <c r="A44671" s="3" t="str">
        <f>IFERROR(__xludf.DUMMYFUNCTION("GOOGLETRANSLATE(A44671,""en"",""pt"")"),"saída bonita")</f>
        <v>saída bonita</v>
      </c>
      <c r="B44671" s="3">
        <v>1</v>
      </c>
    </row>
    <row r="44672" ht="15.75" customHeight="1" spans="1:2">
      <c r="A44672" s="3" t="str">
        <f>IFERROR(__xludf.DUMMYFUNCTION("GOOGLETRANSLATE(A44672,""en"",""pt"")"),"Grande qualidade de impressão, baixo custo de propriedade")</f>
        <v>Grande qualidade de impressão, baixo custo de propriedade</v>
      </c>
      <c r="B44672" s="3">
        <v>1</v>
      </c>
    </row>
    <row r="44673" ht="15.75" customHeight="1" spans="1:2">
      <c r="A44673" s="3" t="str">
        <f>IFERROR(__xludf.DUMMYFUNCTION("GOOGLETRANSLATE(A44673,""en"",""pt"")"),"saída de fabuloso")</f>
        <v>saída de fabuloso</v>
      </c>
      <c r="B44673" s="3">
        <v>1</v>
      </c>
    </row>
    <row r="44674" ht="15.75" customHeight="1" spans="1:2">
      <c r="A44674" s="3" t="str">
        <f>IFERROR(__xludf.DUMMYFUNCTION("GOOGLETRANSLATE(A44674,""en"",""pt"")"),"Boa reprodução de cores")</f>
        <v>Boa reprodução de cores</v>
      </c>
      <c r="B44674" s="3">
        <v>1</v>
      </c>
    </row>
    <row r="44675" ht="15.75" customHeight="1" spans="1:2">
      <c r="A44675" s="3" t="str">
        <f>IFERROR(__xludf.DUMMYFUNCTION("GOOGLETRANSLATE(A44675,""en"",""pt"")"),"dwedwe")</f>
        <v>dwedwe</v>
      </c>
      <c r="B44675" s="3">
        <v>1</v>
      </c>
    </row>
    <row r="44676" ht="15.75" customHeight="1" spans="1:2">
      <c r="A44676" s="3" t="str">
        <f>IFERROR(__xludf.DUMMYFUNCTION("GOOGLETRANSLATE(A44676,""en"",""pt"")"),"excelente qualidade, velocidade, características, garantia ...")</f>
        <v>excelente qualidade, velocidade, características, garantia ...</v>
      </c>
      <c r="B44676" s="3">
        <v>1</v>
      </c>
    </row>
    <row r="44677" ht="15.75" customHeight="1" spans="1:2">
      <c r="A44677" s="3" t="str">
        <f>IFERROR(__xludf.DUMMYFUNCTION("GOOGLETRANSLATE(A44677,""en"",""pt"")"),"qualidade de cor, velocidade")</f>
        <v>qualidade de cor, velocidade</v>
      </c>
      <c r="B44677" s="3">
        <v>1</v>
      </c>
    </row>
    <row r="44678" ht="15.75" customHeight="1" spans="1:2">
      <c r="A44678" s="3" t="str">
        <f>IFERROR(__xludf.DUMMYFUNCTION("GOOGLETRANSLATE(A44678,""en"",""pt"")"),"grande cor")</f>
        <v>grande cor</v>
      </c>
      <c r="B44678" s="3">
        <v>1</v>
      </c>
    </row>
    <row r="44679" ht="15.75" customHeight="1" spans="1:2">
      <c r="A44679" s="3" t="str">
        <f>IFERROR(__xludf.DUMMYFUNCTION("GOOGLETRANSLATE(A44679,""en"",""pt"")"),"Saída fantástica Cor")</f>
        <v>Saída fantástica Cor</v>
      </c>
      <c r="B44679" s="3">
        <v>1</v>
      </c>
    </row>
    <row r="44680" ht="15.75" customHeight="1" spans="1:2">
      <c r="A44680" s="3" t="str">
        <f>IFERROR(__xludf.DUMMYFUNCTION("GOOGLETRANSLATE(A44680,""en"",""pt"")"),"Qualidade, fácil de usar, o custo de consumíveis")</f>
        <v>Qualidade, fácil de usar, o custo de consumíveis</v>
      </c>
      <c r="B44680" s="3">
        <v>1</v>
      </c>
    </row>
    <row r="44681" ht="15.75" customHeight="1" spans="1:2">
      <c r="A44681" s="3" t="str">
        <f>IFERROR(__xludf.DUMMYFUNCTION("GOOGLETRANSLATE(A44681,""en"",""pt"")"),"cor afiada bonita, e BW. Impressão rápida vezes, e qualidade consistente.")</f>
        <v>cor afiada bonita, e BW. Impressão rápida vezes, e qualidade consistente.</v>
      </c>
      <c r="B44681" s="3">
        <v>1</v>
      </c>
    </row>
    <row r="44682" ht="15.75" customHeight="1" spans="1:2">
      <c r="A44682" s="3" t="str">
        <f>IFERROR(__xludf.DUMMYFUNCTION("GOOGLETRANSLATE(A44682,""en"",""pt"")"),"Construído como um tijolo. Você vai precisar de um martelo para quebrá-lo.")</f>
        <v>Construído como um tijolo. Você vai precisar de um martelo para quebrá-lo.</v>
      </c>
      <c r="B44682" s="3">
        <v>1</v>
      </c>
    </row>
    <row r="44683" ht="15.75" customHeight="1" spans="1:2">
      <c r="A44683" s="3" t="str">
        <f>IFERROR(__xludf.DUMMYFUNCTION("GOOGLETRANSLATE(A44683,""en"",""pt"")"),"Cor bonita, imprime rapidamente uma vez que é aquecido. Baixo preço para uma impressora comercial.")</f>
        <v>Cor bonita, imprime rapidamente uma vez que é aquecido. Baixo preço para uma impressora comercial.</v>
      </c>
      <c r="B44683" s="3">
        <v>1</v>
      </c>
    </row>
    <row r="44684" ht="15.75" customHeight="1" spans="1:2">
      <c r="A44684" s="3" t="str">
        <f>IFERROR(__xludf.DUMMYFUNCTION("GOOGLETRANSLATE(A44684,""en"",""pt"")"),"Rápido, combinação de cores é perfeito, user-friendly")</f>
        <v>Rápido, combinação de cores é perfeito, user-friendly</v>
      </c>
      <c r="B44684" s="3">
        <v>1</v>
      </c>
    </row>
    <row r="44685" ht="15.75" customHeight="1" spans="1:2">
      <c r="A44685" s="3" t="str">
        <f>IFERROR(__xludf.DUMMYFUNCTION("GOOGLETRANSLATE(A44685,""en"",""pt"")"),"Econômica e versátil, a saída de cores de alta qualidade com embalagens de toner de alta capacidade!")</f>
        <v>Econômica e versátil, a saída de cores de alta qualidade com embalagens de toner de alta capacidade!</v>
      </c>
      <c r="B44685" s="3">
        <v>1</v>
      </c>
    </row>
    <row r="44686" ht="15.75" customHeight="1" spans="1:2">
      <c r="A44686" s="3" t="str">
        <f>IFERROR(__xludf.DUMMYFUNCTION("GOOGLETRANSLATE(A44686,""en"",""pt"")"),"Excelente qualidade de impressão!")</f>
        <v>Excelente qualidade de impressão!</v>
      </c>
      <c r="B44686" s="3">
        <v>1</v>
      </c>
    </row>
    <row r="44687" ht="15.75" customHeight="1" spans="1:2">
      <c r="A44687" s="3" t="str">
        <f>IFERROR(__xludf.DUMMYFUNCTION("GOOGLETRANSLATE(A44687,""en"",""pt"")"),"É um HP! Funciona bem, grande saída!")</f>
        <v>É um HP! Funciona bem, grande saída!</v>
      </c>
      <c r="B44687" s="3">
        <v>1</v>
      </c>
    </row>
    <row r="44688" ht="15.75" customHeight="1" spans="1:2">
      <c r="A44688" s="3" t="str">
        <f>IFERROR(__xludf.DUMMYFUNCTION("GOOGLETRANSLATE(A44688,""en"",""pt"")"),"Grandes impressões para o dinheiro, confiável instalação, fácil")</f>
        <v>Grandes impressões para o dinheiro, confiável instalação, fácil</v>
      </c>
      <c r="B44688" s="3">
        <v>1</v>
      </c>
    </row>
    <row r="44689" ht="15.75" customHeight="1" spans="1:2">
      <c r="A44689" s="3" t="str">
        <f>IFERROR(__xludf.DUMMYFUNCTION("GOOGLETRANSLATE(A44689,""en"",""pt"")"),"Cartuchos de Tinta LAST")</f>
        <v>Cartuchos de Tinta LAST</v>
      </c>
      <c r="B44689" s="3">
        <v>1</v>
      </c>
    </row>
    <row r="44690" ht="15.75" customHeight="1" spans="1:2">
      <c r="A44690" s="3" t="str">
        <f>IFERROR(__xludf.DUMMYFUNCTION("GOOGLETRANSLATE(A44690,""en"",""pt"")"),"excelente saída vívida e enérgico para um Color LaserJet")</f>
        <v>excelente saída vívida e enérgico para um Color LaserJet</v>
      </c>
      <c r="B44690" s="3">
        <v>1</v>
      </c>
    </row>
    <row r="44691" ht="15.75" customHeight="1" spans="1:2">
      <c r="A44691" s="3" t="str">
        <f>IFERROR(__xludf.DUMMYFUNCTION("GOOGLETRANSLATE(A44691,""en"",""pt"")"),"Barato, bom qualidade de impressão e tranquila")</f>
        <v>Barato, bom qualidade de impressão e tranquila</v>
      </c>
      <c r="B44691" s="3">
        <v>1</v>
      </c>
    </row>
    <row r="44692" ht="15.75" customHeight="1" spans="1:2">
      <c r="A44692" s="3" t="str">
        <f>IFERROR(__xludf.DUMMYFUNCTION("GOOGLETRANSLATE(A44692,""en"",""pt"")"),"Qualidade ótima de impressão, velocidade fantástica, faz fotos que são melhores as cópias 35mm!")</f>
        <v>Qualidade ótima de impressão, velocidade fantástica, faz fotos que são melhores as cópias 35mm!</v>
      </c>
      <c r="B44692" s="3">
        <v>1</v>
      </c>
    </row>
    <row r="44693" ht="15.75" customHeight="1" spans="1:2">
      <c r="A44693" s="3" t="str">
        <f>IFERROR(__xludf.DUMMYFUNCTION("GOOGLETRANSLATE(A44693,""en"",""pt"")"),"Muito silencioso, básico OK alimentação de papel, unidade barato para os tamanhos de papel que ele pode manipular")</f>
        <v>Muito silencioso, básico OK alimentação de papel, unidade barato para os tamanhos de papel que ele pode manipular</v>
      </c>
      <c r="B44693" s="3">
        <v>1</v>
      </c>
    </row>
    <row r="44694" ht="15.75" customHeight="1" spans="1:2">
      <c r="A44694" s="3" t="str">
        <f>IFERROR(__xludf.DUMMYFUNCTION("GOOGLETRANSLATE(A44694,""en"",""pt"")"),"capacidades de manuseio de papel de formato grande, de alta resolução")</f>
        <v>capacidades de manuseio de papel de formato grande, de alta resolução</v>
      </c>
      <c r="B44694" s="3">
        <v>1</v>
      </c>
    </row>
    <row r="44695" ht="15.75" customHeight="1" spans="1:2">
      <c r="A44695" s="3" t="str">
        <f>IFERROR(__xludf.DUMMYFUNCTION("GOOGLETRANSLATE(A44695,""en"",""pt"")"),"design suave. operação silenciosa. Fácil de usar.")</f>
        <v>design suave. operação silenciosa. Fácil de usar.</v>
      </c>
      <c r="B44695" s="3">
        <v>1</v>
      </c>
    </row>
    <row r="44696" ht="15.75" customHeight="1" spans="1:2">
      <c r="A44696" s="3" t="str">
        <f>IFERROR(__xludf.DUMMYFUNCTION("GOOGLETRANSLATE(A44696,""en"",""pt"")"),"Pode imprimir em papel grande, excelente qualidade, um grande programa, também tem uma opção de caminho de papel direto")</f>
        <v>Pode imprimir em papel grande, excelente qualidade, um grande programa, também tem uma opção de caminho de papel direto</v>
      </c>
      <c r="B44696" s="3">
        <v>1</v>
      </c>
    </row>
    <row r="44697" ht="15.75" customHeight="1" spans="1:2">
      <c r="A44697" s="3" t="str">
        <f>IFERROR(__xludf.DUMMYFUNCTION("GOOGLETRANSLATE(A44697,""en"",""pt"")"),"Hey impressão AGRADÁVEL")</f>
        <v>Hey impressão AGRADÁVEL</v>
      </c>
      <c r="B44697" s="3">
        <v>1</v>
      </c>
    </row>
    <row r="44698" ht="15.75" customHeight="1" spans="1:2">
      <c r="A44698" s="3" t="str">
        <f>IFERROR(__xludf.DUMMYFUNCTION("GOOGLETRANSLATE(A44698,""en"",""pt"")"),"Prints PostScript, de grande capacidade Format")</f>
        <v>Prints PostScript, de grande capacidade Format</v>
      </c>
      <c r="B44698" s="3">
        <v>1</v>
      </c>
    </row>
    <row r="44699" ht="15.75" customHeight="1" spans="1:2">
      <c r="A44699" s="3" t="str">
        <f>IFERROR(__xludf.DUMMYFUNCTION("GOOGLETRANSLATE(A44699,""en"",""pt"")"),"velocidade, tamanho do documento")</f>
        <v>velocidade, tamanho do documento</v>
      </c>
      <c r="B44699" s="3">
        <v>1</v>
      </c>
    </row>
    <row r="44700" ht="15.75" customHeight="1" spans="1:2">
      <c r="A44700" s="3" t="str">
        <f>IFERROR(__xludf.DUMMYFUNCTION("GOOGLETRANSLATE(A44700,""en"",""pt"")"),"A qualidade de impressão e velocidade")</f>
        <v>A qualidade de impressão e velocidade</v>
      </c>
      <c r="B44700" s="3">
        <v>1</v>
      </c>
    </row>
    <row r="44701" ht="15.75" customHeight="1" spans="1:2">
      <c r="A44701" s="3" t="str">
        <f>IFERROR(__xludf.DUMMYFUNCTION("GOOGLETRANSLATE(A44701,""en"",""pt"")"),"Fácil de configurar, nevers compotas, muito rápido, silencioso, o melhor valor para o dinheiro")</f>
        <v>Fácil de configurar, nevers compotas, muito rápido, silencioso, o melhor valor para o dinheiro</v>
      </c>
      <c r="B44701" s="3">
        <v>1</v>
      </c>
    </row>
    <row r="44702" ht="15.75" customHeight="1" spans="1:2">
      <c r="A44702" s="3" t="str">
        <f>IFERROR(__xludf.DUMMYFUNCTION("GOOGLETRANSLATE(A44702,""en"",""pt"")"),"Cartucho de tinta de um longo período de tempo dura")</f>
        <v>Cartucho de tinta de um longo período de tempo dura</v>
      </c>
      <c r="B44702" s="3">
        <v>1</v>
      </c>
    </row>
    <row r="44703" ht="15.75" customHeight="1" spans="1:2">
      <c r="A44703" s="3" t="str">
        <f>IFERROR(__xludf.DUMMYFUNCTION("GOOGLETRANSLATE(A44703,""en"",""pt"")"),"estética, tamanho do documento, a velocidade, a qualidade")</f>
        <v>estética, tamanho do documento, a velocidade, a qualidade</v>
      </c>
      <c r="B44703" s="3">
        <v>1</v>
      </c>
    </row>
    <row r="44704" ht="15.75" customHeight="1" spans="1:2">
      <c r="A44704" s="3" t="str">
        <f>IFERROR(__xludf.DUMMYFUNCTION("GOOGLETRANSLATE(A44704,""en"",""pt"")"),"Configuração USB - um urso!")</f>
        <v>Configuração USB - um urso!</v>
      </c>
      <c r="B44704" s="3">
        <v>1</v>
      </c>
    </row>
    <row r="44705" ht="15.75" customHeight="1" spans="1:2">
      <c r="A44705" s="3" t="str">
        <f>IFERROR(__xludf.DUMMYFUNCTION("GOOGLETRANSLATE(A44705,""en"",""pt"")"),"Tranquila, ótimas fotos, rápido, bom motorista software, excelente suporte HP")</f>
        <v>Tranquila, ótimas fotos, rápido, bom motorista software, excelente suporte HP</v>
      </c>
      <c r="B44705" s="3">
        <v>1</v>
      </c>
    </row>
    <row r="44706" ht="15.75" customHeight="1" spans="1:2">
      <c r="A44706" s="3" t="str">
        <f>IFERROR(__xludf.DUMMYFUNCTION("GOOGLETRANSLATE(A44706,""en"",""pt"")"),"A melhor qualidade e velocidade para impressões de tamanho tablóide abaixo de US $ 500")</f>
        <v>A melhor qualidade e velocidade para impressões de tamanho tablóide abaixo de US $ 500</v>
      </c>
      <c r="B44706" s="3">
        <v>1</v>
      </c>
    </row>
    <row r="44707" ht="15.75" customHeight="1" spans="1:2">
      <c r="A44707" s="3" t="str">
        <f>IFERROR(__xludf.DUMMYFUNCTION("GOOGLETRANSLATE(A44707,""en"",""pt"")"),"velocidade, qualidade fotorrealista, preço, baixo custo de funcionamento, parece fabuloso")</f>
        <v>velocidade, qualidade fotorrealista, preço, baixo custo de funcionamento, parece fabuloso</v>
      </c>
      <c r="B44707" s="3">
        <v>1</v>
      </c>
    </row>
    <row r="44708" ht="15.75" customHeight="1" spans="1:2">
      <c r="A44708" s="3" t="str">
        <f>IFERROR(__xludf.DUMMYFUNCTION("GOOGLETRANSLATE(A44708,""en"",""pt"")"),"de grande formato, fácil de usar, a qualidade de imagem profissional, excelente preço em relação ao desempenho, Stylish")</f>
        <v>de grande formato, fácil de usar, a qualidade de imagem profissional, excelente preço em relação ao desempenho, Stylish</v>
      </c>
      <c r="B44708" s="3">
        <v>1</v>
      </c>
    </row>
    <row r="44709" ht="15.75" customHeight="1" spans="1:2">
      <c r="A44709" s="3" t="str">
        <f>IFERROR(__xludf.DUMMYFUNCTION("GOOGLETRANSLATE(A44709,""en"",""pt"")"),"Preço, qualidade, facilidade de uso")</f>
        <v>Preço, qualidade, facilidade de uso</v>
      </c>
      <c r="B44709" s="3">
        <v>1</v>
      </c>
    </row>
    <row r="44710" ht="15.75" customHeight="1" spans="1:2">
      <c r="A44710" s="3" t="str">
        <f>IFERROR(__xludf.DUMMYFUNCTION("GOOGLETRANSLATE(A44710,""en"",""pt"")"),"Boa qualidade, agradável imagem, jam livre, preço justo.")</f>
        <v>Boa qualidade, agradável imagem, jam livre, preço justo.</v>
      </c>
      <c r="B44710" s="3">
        <v>1</v>
      </c>
    </row>
    <row r="44711" ht="15.75" customHeight="1" spans="1:2">
      <c r="A44711" s="3" t="str">
        <f>IFERROR(__xludf.DUMMYFUNCTION("GOOGLETRANSLATE(A44711,""en"",""pt"")"),"Compacto, leve, a qualidade de impressão")</f>
        <v>Compacto, leve, a qualidade de impressão</v>
      </c>
      <c r="B44711" s="3">
        <v>1</v>
      </c>
    </row>
    <row r="44712" ht="15.75" customHeight="1" spans="1:2">
      <c r="A44712" s="3" t="str">
        <f>IFERROR(__xludf.DUMMYFUNCTION("GOOGLETRANSLATE(A44712,""en"",""pt"")"),"Rápido, pequeno, acessível")</f>
        <v>Rápido, pequeno, acessível</v>
      </c>
      <c r="B44712" s="3">
        <v>1</v>
      </c>
    </row>
    <row r="44713" ht="15.75" customHeight="1" spans="1:2">
      <c r="A44713" s="3" t="str">
        <f>IFERROR(__xludf.DUMMYFUNCTION("GOOGLETRANSLATE(A44713,""en"",""pt"")"),"Valor, luz, pequeno, resolução e versatilidade, instalação e utilização simples, de baixo preço")</f>
        <v>Valor, luz, pequeno, resolução e versatilidade, instalação e utilização simples, de baixo preço</v>
      </c>
      <c r="B44713" s="3">
        <v>1</v>
      </c>
    </row>
    <row r="44714" ht="15.75" customHeight="1" spans="1:2">
      <c r="A44714" s="3" t="str">
        <f>IFERROR(__xludf.DUMMYFUNCTION("GOOGLETRANSLATE(A44714,""en"",""pt"")"),"luz, calma, impressão de fotos de qualidade, este mais como um Honda que um Jeep")</f>
        <v>luz, calma, impressão de fotos de qualidade, este mais como um Honda que um Jeep</v>
      </c>
      <c r="B44714" s="3">
        <v>1</v>
      </c>
    </row>
    <row r="44715" ht="15.75" customHeight="1" spans="1:2">
      <c r="A44715" s="3" t="str">
        <f>IFERROR(__xludf.DUMMYFUNCTION("GOOGLETRANSLATE(A44715,""en"",""pt"")"),"Barato. Fácil de usar. Imprime bem.")</f>
        <v>Barato. Fácil de usar. Imprime bem.</v>
      </c>
      <c r="B44715" s="3">
        <v>1</v>
      </c>
    </row>
    <row r="44716" ht="15.75" customHeight="1" spans="1:2">
      <c r="A44716" s="3" t="str">
        <f>IFERROR(__xludf.DUMMYFUNCTION("GOOGLETRANSLATE(A44716,""en"",""pt"")"),"Preço Baixo, Impressão Padrão, Foto Compatable, de grande valor! Deve comprar.")</f>
        <v>Preço Baixo, Impressão Padrão, Foto Compatable, de grande valor! Deve comprar.</v>
      </c>
      <c r="B44716" s="3">
        <v>1</v>
      </c>
    </row>
    <row r="44717" ht="15.75" customHeight="1" spans="1:2">
      <c r="A44717" s="3" t="str">
        <f>IFERROR(__xludf.DUMMYFUNCTION("GOOGLETRANSLATE(A44717,""en"",""pt"")"),"boa barato e para as necessidades básicas de impressão em casa")</f>
        <v>boa barato e para as necessidades básicas de impressão em casa</v>
      </c>
      <c r="B44717" s="3">
        <v>1</v>
      </c>
    </row>
    <row r="44718" ht="15.75" customHeight="1" spans="1:2">
      <c r="A44718" s="3" t="str">
        <f>IFERROR(__xludf.DUMMYFUNCTION("GOOGLETRANSLATE(A44718,""en"",""pt"")"),"Barato e compacto, simples")</f>
        <v>Barato e compacto, simples</v>
      </c>
      <c r="B44718" s="3">
        <v>1</v>
      </c>
    </row>
    <row r="44719" ht="15.75" customHeight="1" spans="1:2">
      <c r="A44719" s="3" t="str">
        <f>IFERROR(__xludf.DUMMYFUNCTION("GOOGLETRANSLATE(A44719,""en"",""pt"")"),"Barato e compacto")</f>
        <v>Barato e compacto</v>
      </c>
      <c r="B44719" s="3">
        <v>1</v>
      </c>
    </row>
    <row r="44720" ht="15.75" customHeight="1" spans="1:2">
      <c r="A44720" s="3" t="str">
        <f>IFERROR(__xludf.DUMMYFUNCTION("GOOGLETRANSLATE(A44720,""en"",""pt"")"),"Excelente qualidade, a impressão rápida, de baixo custo")</f>
        <v>Excelente qualidade, a impressão rápida, de baixo custo</v>
      </c>
      <c r="B44720" s="3">
        <v>1</v>
      </c>
    </row>
    <row r="44721" ht="15.75" customHeight="1" spans="1:2">
      <c r="A44721" s="3" t="str">
        <f>IFERROR(__xludf.DUMMYFUNCTION("GOOGLETRANSLATE(A44721,""en"",""pt"")"),"barato")</f>
        <v>barato</v>
      </c>
      <c r="B44721" s="3">
        <v>1</v>
      </c>
    </row>
    <row r="44722" ht="15.75" customHeight="1" spans="1:2">
      <c r="A44722" s="3" t="str">
        <f>IFERROR(__xludf.DUMMYFUNCTION("GOOGLETRANSLATE(A44722,""en"",""pt"")"),"impressão rápida, fácil set-up, tinta barata.")</f>
        <v>impressão rápida, fácil set-up, tinta barata.</v>
      </c>
      <c r="B44722" s="3">
        <v>1</v>
      </c>
    </row>
    <row r="44723" ht="15.75" customHeight="1" spans="1:2">
      <c r="A44723" s="3" t="str">
        <f>IFERROR(__xludf.DUMMYFUNCTION("GOOGLETRANSLATE(A44723,""en"",""pt"")"),"Muito boa qualidade, preço muito barato.")</f>
        <v>Muito boa qualidade, preço muito barato.</v>
      </c>
      <c r="B44723" s="3">
        <v>1</v>
      </c>
    </row>
    <row r="44724" ht="15.75" customHeight="1" spans="1:2">
      <c r="A44724" s="3" t="str">
        <f>IFERROR(__xludf.DUMMYFUNCTION("GOOGLETRANSLATE(A44724,""en"",""pt"")"),"impressões agradáveis, barato, de confiança, os lotes de cartuchos de reposição disponíveis")</f>
        <v>impressões agradáveis, barato, de confiança, os lotes de cartuchos de reposição disponíveis</v>
      </c>
      <c r="B44724" s="3">
        <v>1</v>
      </c>
    </row>
    <row r="44725" ht="15.75" customHeight="1" spans="1:2">
      <c r="A44725" s="3" t="str">
        <f>IFERROR(__xludf.DUMMYFUNCTION("GOOGLETRANSLATE(A44725,""en"",""pt"")"),"Relativamente rápido, a qualidade da foto decente")</f>
        <v>Relativamente rápido, a qualidade da foto decente</v>
      </c>
      <c r="B44725" s="3">
        <v>1</v>
      </c>
    </row>
    <row r="44726" ht="15.75" customHeight="1" spans="1:2">
      <c r="A44726" s="3" t="str">
        <f>IFERROR(__xludf.DUMMYFUNCTION("GOOGLETRANSLATE(A44726,""en"",""pt"")"),"Barato")</f>
        <v>Barato</v>
      </c>
      <c r="B44726" s="3">
        <v>1</v>
      </c>
    </row>
    <row r="44727" ht="15.75" customHeight="1" spans="1:2">
      <c r="A44727" s="3" t="str">
        <f>IFERROR(__xludf.DUMMYFUNCTION("GOOGLETRANSLATE(A44727,""en"",""pt"")"),"qualidade, facilidade de uso")</f>
        <v>qualidade, facilidade de uso</v>
      </c>
      <c r="B44727" s="3">
        <v>1</v>
      </c>
    </row>
    <row r="44728" ht="15.75" customHeight="1" spans="1:2">
      <c r="A44728" s="3" t="str">
        <f>IFERROR(__xludf.DUMMYFUNCTION("GOOGLETRANSLATE(A44728,""en"",""pt"")"),"Baixo custo, tamanho pequeno, leve, rápido")</f>
        <v>Baixo custo, tamanho pequeno, leve, rápido</v>
      </c>
      <c r="B44728" s="3">
        <v>1</v>
      </c>
    </row>
    <row r="44729" ht="15.75" customHeight="1" spans="1:2">
      <c r="A44729" s="3" t="str">
        <f>IFERROR(__xludf.DUMMYFUNCTION("GOOGLETRANSLATE(A44729,""en"",""pt"")"),"Impressão rápida e brilhante. Fácil, rápido configurar")</f>
        <v>Impressão rápida e brilhante. Fácil, rápido configurar</v>
      </c>
      <c r="B44729" s="3">
        <v>1</v>
      </c>
    </row>
    <row r="44730" ht="15.75" customHeight="1" spans="1:2">
      <c r="A44730" s="3" t="str">
        <f>IFERROR(__xludf.DUMMYFUNCTION("GOOGLETRANSLATE(A44730,""en"",""pt"")"),"Confiáveis, de alta qualidade de impressão em um negócio.")</f>
        <v>Confiáveis, de alta qualidade de impressão em um negócio.</v>
      </c>
      <c r="B44730" s="3">
        <v>1</v>
      </c>
    </row>
    <row r="44731" ht="15.75" customHeight="1" spans="1:2">
      <c r="A44731" s="3" t="str">
        <f>IFERROR(__xludf.DUMMYFUNCTION("GOOGLETRANSLATE(A44731,""en"",""pt"")"),"Tanto faz...")</f>
        <v>Tanto faz...</v>
      </c>
      <c r="B44731" s="3">
        <v>1</v>
      </c>
    </row>
    <row r="44732" ht="15.75" customHeight="1" spans="1:2">
      <c r="A44732" s="3" t="str">
        <f>IFERROR(__xludf.DUMMYFUNCTION("GOOGLETRANSLATE(A44732,""en"",""pt"")"),"Prints bem quando for impressa e cor é boa.")</f>
        <v>Prints bem quando for impressa e cor é boa.</v>
      </c>
      <c r="B44732" s="3">
        <v>1</v>
      </c>
    </row>
    <row r="44733" ht="15.75" customHeight="1" spans="1:2">
      <c r="A44733" s="3" t="str">
        <f>IFERROR(__xludf.DUMMYFUNCTION("GOOGLETRANSLATE(A44733,""en"",""pt"")"),"Barato, pequeno factor de forma / pegada, de alimentação de papel relativamente simples")</f>
        <v>Barato, pequeno factor de forma / pegada, de alimentação de papel relativamente simples</v>
      </c>
      <c r="B44733" s="3">
        <v>1</v>
      </c>
    </row>
    <row r="44734" ht="15.75" customHeight="1" spans="1:2">
      <c r="A44734" s="3" t="str">
        <f>IFERROR(__xludf.DUMMYFUNCTION("GOOGLETRANSLATE(A44734,""en"",""pt"")"),"Muito grande qualidade, velocidade correta.")</f>
        <v>Muito grande qualidade, velocidade correta.</v>
      </c>
      <c r="B44734" s="3">
        <v>1</v>
      </c>
    </row>
    <row r="44735" ht="15.75" customHeight="1" spans="1:2">
      <c r="A44735" s="3" t="str">
        <f>IFERROR(__xludf.DUMMYFUNCTION("GOOGLETRANSLATE(A44735,""en"",""pt"")"),"qualidade de impressão excelente, grande velocidade de impressão, nome HP")</f>
        <v>qualidade de impressão excelente, grande velocidade de impressão, nome HP</v>
      </c>
      <c r="B44735" s="3">
        <v>1</v>
      </c>
    </row>
    <row r="44736" ht="15.75" customHeight="1" spans="1:2">
      <c r="A44736" s="3" t="str">
        <f>IFERROR(__xludf.DUMMYFUNCTION("GOOGLETRANSLATE(A44736,""en"",""pt"")"),"Grande texto, fotos boas, precisa de cor, tinta vai um longo caminho, e imprime muito tranquilamente")</f>
        <v>Grande texto, fotos boas, precisa de cor, tinta vai um longo caminho, e imprime muito tranquilamente</v>
      </c>
      <c r="B44736" s="3">
        <v>1</v>
      </c>
    </row>
    <row r="44737" ht="15.75" customHeight="1" spans="1:2">
      <c r="A44737" s="3" t="str">
        <f>IFERROR(__xludf.DUMMYFUNCTION("GOOGLETRANSLATE(A44737,""en"",""pt"")"),"Muito fácil de usar, ótima resolução, muito rápido.")</f>
        <v>Muito fácil de usar, ótima resolução, muito rápido.</v>
      </c>
      <c r="B44737" s="3">
        <v>1</v>
      </c>
    </row>
    <row r="44738" ht="15.75" customHeight="1" spans="1:2">
      <c r="A44738" s="3" t="str">
        <f>IFERROR(__xludf.DUMMYFUNCTION("GOOGLETRANSLATE(A44738,""en"",""pt"")"),"HP confiabilidade, qualidade de saída.")</f>
        <v>HP confiabilidade, qualidade de saída.</v>
      </c>
      <c r="B44738" s="3">
        <v>1</v>
      </c>
    </row>
    <row r="44739" ht="15.75" customHeight="1" spans="1:2">
      <c r="A44739" s="3" t="str">
        <f>IFERROR(__xludf.DUMMYFUNCTION("GOOGLETRANSLATE(A44739,""en"",""pt"")"),"Barato, economia de espaço, qualidade impressões boas.")</f>
        <v>Barato, economia de espaço, qualidade impressões boas.</v>
      </c>
      <c r="B44739" s="3">
        <v>1</v>
      </c>
    </row>
    <row r="44740" ht="15.75" customHeight="1" spans="1:2">
      <c r="A44740" s="3" t="str">
        <f>IFERROR(__xludf.DUMMYFUNCTION("GOOGLETRANSLATE(A44740,""en"",""pt"")"),"Nome HP, muito agradável qualidade de impressão, tanto em preto e branco ea cores, com preços razoáveis")</f>
        <v>Nome HP, muito agradável qualidade de impressão, tanto em preto e branco ea cores, com preços razoáveis</v>
      </c>
      <c r="B44740" s="3">
        <v>1</v>
      </c>
    </row>
    <row r="44741" ht="15.75" customHeight="1" spans="1:2">
      <c r="A44741" s="3" t="str">
        <f>IFERROR(__xludf.DUMMYFUNCTION("GOOGLETRANSLATE(A44741,""en"",""pt"")"),"Uau! Qualidade impressionante, nome HP, rápido, USB e capaz Paralela.")</f>
        <v>Uau! Qualidade impressionante, nome HP, rápido, USB e capaz Paralela.</v>
      </c>
      <c r="B44741" s="3">
        <v>1</v>
      </c>
    </row>
    <row r="44742" ht="15.75" customHeight="1" spans="1:2">
      <c r="A44742" s="3" t="str">
        <f>IFERROR(__xludf.DUMMYFUNCTION("GOOGLETRANSLATE(A44742,""en"",""pt"")"),"Rápido, de confiança, custo, e qualidade de impressão!")</f>
        <v>Rápido, de confiança, custo, e qualidade de impressão!</v>
      </c>
      <c r="B44742" s="3">
        <v>1</v>
      </c>
    </row>
    <row r="44743" ht="15.75" customHeight="1" spans="1:2">
      <c r="A44743" s="3" t="str">
        <f>IFERROR(__xludf.DUMMYFUNCTION("GOOGLETRANSLATE(A44743,""en"",""pt"")"),"desempenho bom, relativamente compacto, com preços razoáveis.")</f>
        <v>desempenho bom, relativamente compacto, com preços razoáveis.</v>
      </c>
      <c r="B44743" s="3">
        <v>1</v>
      </c>
    </row>
    <row r="44744" ht="15.75" customHeight="1" spans="1:2">
      <c r="A44744" s="3" t="str">
        <f>IFERROR(__xludf.DUMMYFUNCTION("GOOGLETRANSLATE(A44744,""en"",""pt"")"),"Claro qualidade de impressão, a colocação de papel liso, excelente preço")</f>
        <v>Claro qualidade de impressão, a colocação de papel liso, excelente preço</v>
      </c>
      <c r="B44744" s="3">
        <v>1</v>
      </c>
    </row>
    <row r="44745" ht="15.75" customHeight="1" spans="1:2">
      <c r="A44745" s="3" t="str">
        <f>IFERROR(__xludf.DUMMYFUNCTION("GOOGLETRANSLATE(A44745,""en"",""pt"")"),"A grande qualidade, aparência maravilhosa, compacto.")</f>
        <v>A grande qualidade, aparência maravilhosa, compacto.</v>
      </c>
      <c r="B44745" s="3">
        <v>1</v>
      </c>
    </row>
    <row r="44746" ht="15.75" customHeight="1" spans="1:2">
      <c r="A44746" s="3" t="str">
        <f>IFERROR(__xludf.DUMMYFUNCTION("GOOGLETRANSLATE(A44746,""en"",""pt"")"),"Compacto e de baixo custo, qualidade e resolução EXCELENTE")</f>
        <v>Compacto e de baixo custo, qualidade e resolução EXCELENTE</v>
      </c>
      <c r="B44746" s="3">
        <v>1</v>
      </c>
    </row>
    <row r="44747" ht="15.75" customHeight="1" spans="1:2">
      <c r="A44747" s="3" t="str">
        <f>IFERROR(__xludf.DUMMYFUNCTION("GOOGLETRANSLATE(A44747,""en"",""pt"")"),"Tamanho, de fácil instalação, os lotes de opções de impressão. Grande valor!")</f>
        <v>Tamanho, de fácil instalação, os lotes de opções de impressão. Grande valor!</v>
      </c>
      <c r="B44747" s="3">
        <v>1</v>
      </c>
    </row>
    <row r="44748" ht="15.75" customHeight="1" spans="1:2">
      <c r="A44748" s="3" t="str">
        <f>IFERROR(__xludf.DUMMYFUNCTION("GOOGLETRANSLATE(A44748,""en"",""pt"")"),"Configuração fácil, boa qualidade de impressão, preço razoável")</f>
        <v>Configuração fácil, boa qualidade de impressão, preço razoável</v>
      </c>
      <c r="B44748" s="3">
        <v>1</v>
      </c>
    </row>
    <row r="44749" ht="15.75" customHeight="1" spans="1:2">
      <c r="A44749" s="3" t="str">
        <f>IFERROR(__xludf.DUMMYFUNCTION("GOOGLETRANSLATE(A44749,""en"",""pt"")"),"Excelente impressão, impressão a cores excepcional, tranquila durante a impressão, &amp; amp; velozes")</f>
        <v>Excelente impressão, impressão a cores excepcional, tranquila durante a impressão, &amp; amp; velozes</v>
      </c>
      <c r="B44749" s="3">
        <v>1</v>
      </c>
    </row>
    <row r="44750" ht="15.75" customHeight="1" spans="1:2">
      <c r="A44750" s="3" t="str">
        <f>IFERROR(__xludf.DUMMYFUNCTION("GOOGLETRANSLATE(A44750,""en"",""pt"")"),"qualidade maravilhosa, barato, compacto, * A impressora CD Software")</f>
        <v>qualidade maravilhosa, barato, compacto, * A impressora CD Software</v>
      </c>
      <c r="B44750" s="3">
        <v>1</v>
      </c>
    </row>
    <row r="44751" ht="15.75" customHeight="1" spans="1:2">
      <c r="A44751" s="3" t="str">
        <f>IFERROR(__xludf.DUMMYFUNCTION("GOOGLETRANSLATE(A44751,""en"",""pt"")"),"Excelente qualidade de imagem")</f>
        <v>Excelente qualidade de imagem</v>
      </c>
      <c r="B44751" s="3">
        <v>1</v>
      </c>
    </row>
    <row r="44752" ht="15.75" customHeight="1" spans="1:2">
      <c r="A44752" s="3" t="str">
        <f>IFERROR(__xludf.DUMMYFUNCTION("GOOGLETRANSLATE(A44752,""en"",""pt"")"),"barato! É tinteiros são enormes! Grande foto-qualidade")</f>
        <v>barato! É tinteiros são enormes! Grande foto-qualidade</v>
      </c>
      <c r="B44752" s="3">
        <v>1</v>
      </c>
    </row>
    <row r="44753" ht="15.75" customHeight="1" spans="1:2">
      <c r="A44753" s="3" t="str">
        <f>IFERROR(__xludf.DUMMYFUNCTION("GOOGLETRANSLATE(A44753,""en"",""pt"")"),"Acessível. Boa qualidade.")</f>
        <v>Acessível. Boa qualidade.</v>
      </c>
      <c r="B44753" s="3">
        <v>1</v>
      </c>
    </row>
    <row r="44754" ht="15.75" customHeight="1" spans="1:2">
      <c r="A44754" s="3" t="str">
        <f>IFERROR(__xludf.DUMMYFUNCTION("GOOGLETRANSLATE(A44754,""en"",""pt"")"),"Baixo preço, mas com muito boas especificações de impressão. incluindo 4800 x 1200 Impressão de fotografias")</f>
        <v>Baixo preço, mas com muito boas especificações de impressão. incluindo 4800 x 1200 Impressão de fotografias</v>
      </c>
      <c r="B44754" s="3">
        <v>1</v>
      </c>
    </row>
    <row r="44755" ht="15.75" customHeight="1" spans="1:2">
      <c r="A44755" s="3" t="str">
        <f>IFERROR(__xludf.DUMMYFUNCTION("GOOGLETRANSLATE(A44755,""en"",""pt"")"),"imprime boa preto e branco")</f>
        <v>imprime boa preto e branco</v>
      </c>
      <c r="B44755" s="3">
        <v>1</v>
      </c>
    </row>
    <row r="44756" ht="15.75" customHeight="1" spans="1:2">
      <c r="A44756" s="3" t="str">
        <f>IFERROR(__xludf.DUMMYFUNCTION("GOOGLETRANSLATE(A44756,""en"",""pt"")"),"Excelente qualidade de imagem, fácil de configurar com Windows 2000")</f>
        <v>Excelente qualidade de imagem, fácil de configurar com Windows 2000</v>
      </c>
      <c r="B44756" s="3">
        <v>1</v>
      </c>
    </row>
    <row r="44757" ht="15.75" customHeight="1" spans="1:2">
      <c r="A44757" s="3" t="str">
        <f>IFERROR(__xludf.DUMMYFUNCTION("GOOGLETRANSLATE(A44757,""en"",""pt"")"),"barato, de boa qualidade, rápido.")</f>
        <v>barato, de boa qualidade, rápido.</v>
      </c>
      <c r="B44757" s="3">
        <v>1</v>
      </c>
    </row>
    <row r="44758" ht="15.75" customHeight="1" spans="1:2">
      <c r="A44758" s="3" t="str">
        <f>IFERROR(__xludf.DUMMYFUNCTION("GOOGLETRANSLATE(A44758,""en"",""pt"")"),"Barato, grande texto,, economizando espaço de design de confiança, tinta dura muito tempo")</f>
        <v>Barato, grande texto,, economizando espaço de design de confiança, tinta dura muito tempo</v>
      </c>
      <c r="B44758" s="3">
        <v>1</v>
      </c>
    </row>
    <row r="44759" ht="15.75" customHeight="1" spans="1:2">
      <c r="A44759" s="3" t="str">
        <f>IFERROR(__xludf.DUMMYFUNCTION("GOOGLETRANSLATE(A44759,""en"",""pt"")"),"Preço agradável, rápida impressão em cores Non, 4800x1200 dpi otimizado, Conservação Espaço, Windows XP compatível.")</f>
        <v>Preço agradável, rápida impressão em cores Non, 4800x1200 dpi otimizado, Conservação Espaço, Windows XP compatível.</v>
      </c>
      <c r="B44759" s="3">
        <v>1</v>
      </c>
    </row>
    <row r="44760" ht="15.75" customHeight="1" spans="1:2">
      <c r="A44760" s="3" t="str">
        <f>IFERROR(__xludf.DUMMYFUNCTION("GOOGLETRANSLATE(A44760,""en"",""pt"")"),"Ótimo para qualquer tipo de papel")</f>
        <v>Ótimo para qualquer tipo de papel</v>
      </c>
      <c r="B44760" s="3">
        <v>1</v>
      </c>
    </row>
    <row r="44761" ht="15.75" customHeight="1" spans="1:2">
      <c r="A44761" s="3" t="str">
        <f>IFERROR(__xludf.DUMMYFUNCTION("GOOGLETRANSLATE(A44761,""en"",""pt"")"),"Económicamente viáveis")</f>
        <v>Económicamente viáveis</v>
      </c>
      <c r="B44761" s="3">
        <v>1</v>
      </c>
    </row>
    <row r="44762" ht="15.75" customHeight="1" spans="1:2">
      <c r="A44762" s="3" t="str">
        <f>IFERROR(__xludf.DUMMYFUNCTION("GOOGLETRANSLATE(A44762,""en"",""pt"")"),"A sua impressora de um, de baixo custo")</f>
        <v>A sua impressora de um, de baixo custo</v>
      </c>
      <c r="B44762" s="3">
        <v>1</v>
      </c>
    </row>
    <row r="44763" ht="15.75" customHeight="1" spans="1:2">
      <c r="A44763" s="3" t="str">
        <f>IFERROR(__xludf.DUMMYFUNCTION("GOOGLETRANSLATE(A44763,""en"",""pt"")"),"de longa duração")</f>
        <v>de longa duração</v>
      </c>
      <c r="B44763" s="3">
        <v>1</v>
      </c>
    </row>
    <row r="44764" ht="15.75" customHeight="1" spans="1:2">
      <c r="A44764" s="3" t="str">
        <f>IFERROR(__xludf.DUMMYFUNCTION("GOOGLETRANSLATE(A44764,""en"",""pt"")"),"Small Size, Capacidades GRANDES")</f>
        <v>Small Size, Capacidades GRANDES</v>
      </c>
      <c r="B44764" s="3">
        <v>1</v>
      </c>
    </row>
    <row r="44765" ht="15.75" customHeight="1" spans="1:2">
      <c r="A44765" s="3" t="str">
        <f>IFERROR(__xludf.DUMMYFUNCTION("GOOGLETRANSLATE(A44765,""en"",""pt"")"),"melhor do que nenhuma impressora em tudo.")</f>
        <v>melhor do que nenhuma impressora em tudo.</v>
      </c>
      <c r="B44765" s="3">
        <v>1</v>
      </c>
    </row>
    <row r="44766" ht="15.75" customHeight="1" spans="1:2">
      <c r="A44766" s="3" t="str">
        <f>IFERROR(__xludf.DUMMYFUNCTION("GOOGLETRANSLATE(A44766,""en"",""pt"")"),"Barato")</f>
        <v>Barato</v>
      </c>
      <c r="B44766" s="3">
        <v>1</v>
      </c>
    </row>
    <row r="44767" ht="15.75" customHeight="1" spans="1:2">
      <c r="A44767" s="3" t="str">
        <f>IFERROR(__xludf.DUMMYFUNCTION("GOOGLETRANSLATE(A44767,""en"",""pt"")"),"Tamanho compacto")</f>
        <v>Tamanho compacto</v>
      </c>
      <c r="B44767" s="3">
        <v>1</v>
      </c>
    </row>
    <row r="44768" ht="15.75" customHeight="1" spans="1:2">
      <c r="A44768" s="3" t="str">
        <f>IFERROR(__xludf.DUMMYFUNCTION("GOOGLETRANSLATE(A44768,""en"",""pt"")"),"Barato, de boa qualidade, tamanho pequeno")</f>
        <v>Barato, de boa qualidade, tamanho pequeno</v>
      </c>
      <c r="B44768" s="3">
        <v>1</v>
      </c>
    </row>
    <row r="44769" ht="15.75" customHeight="1" spans="1:2">
      <c r="A44769" s="3" t="str">
        <f>IFERROR(__xludf.DUMMYFUNCTION("GOOGLETRANSLATE(A44769,""en"",""pt"")"),"Barato, vai começar o trabalho feito")</f>
        <v>Barato, vai começar o trabalho feito</v>
      </c>
      <c r="B44769" s="3">
        <v>1</v>
      </c>
    </row>
    <row r="44770" ht="15.75" customHeight="1" spans="1:2">
      <c r="A44770" s="3" t="str">
        <f>IFERROR(__xludf.DUMMYFUNCTION("GOOGLETRANSLATE(A44770,""en"",""pt"")"),"facilidade de uso, proteção de quarto")</f>
        <v>facilidade de uso, proteção de quarto</v>
      </c>
      <c r="B44770" s="3">
        <v>1</v>
      </c>
    </row>
    <row r="44771" ht="15.75" customHeight="1" spans="1:2">
      <c r="A44771" s="3" t="str">
        <f>IFERROR(__xludf.DUMMYFUNCTION("GOOGLETRANSLATE(A44771,""en"",""pt"")"),"custo")</f>
        <v>custo</v>
      </c>
      <c r="B44771" s="3">
        <v>1</v>
      </c>
    </row>
    <row r="44772" ht="15.75" customHeight="1" spans="1:2">
      <c r="A44772" s="3" t="str">
        <f>IFERROR(__xludf.DUMMYFUNCTION("GOOGLETRANSLATE(A44772,""en"",""pt"")"),"O custo")</f>
        <v>O custo</v>
      </c>
      <c r="B44772" s="3">
        <v>1</v>
      </c>
    </row>
    <row r="44773" ht="15.75" customHeight="1" spans="1:2">
      <c r="A44773" s="3" t="str">
        <f>IFERROR(__xludf.DUMMYFUNCTION("GOOGLETRANSLATE(A44773,""en"",""pt"")"),"múltiplas funções")</f>
        <v>múltiplas funções</v>
      </c>
      <c r="B44773" s="3">
        <v>1</v>
      </c>
    </row>
    <row r="44774" ht="15.75" customHeight="1" spans="1:2">
      <c r="A44774" s="3" t="str">
        <f>IFERROR(__xludf.DUMMYFUNCTION("GOOGLETRANSLATE(A44774,""en"",""pt"")"),"impressões razoavelmente bem")</f>
        <v>impressões razoavelmente bem</v>
      </c>
      <c r="B44774" s="3">
        <v>1</v>
      </c>
    </row>
    <row r="44775" ht="15.75" customHeight="1" spans="1:2">
      <c r="A44775" s="3" t="str">
        <f>IFERROR(__xludf.DUMMYFUNCTION("GOOGLETRANSLATE(A44775,""en"",""pt"")"),"Portátil, de baixo custo. Fácil de usar.")</f>
        <v>Portátil, de baixo custo. Fácil de usar.</v>
      </c>
      <c r="B44775" s="3">
        <v>1</v>
      </c>
    </row>
    <row r="44776" ht="15.75" customHeight="1" spans="1:2">
      <c r="A44776" s="3" t="str">
        <f>IFERROR(__xludf.DUMMYFUNCTION("GOOGLETRANSLATE(A44776,""en"",""pt"")"),"melhor do que nada")</f>
        <v>melhor do que nada</v>
      </c>
      <c r="B44776" s="3">
        <v>1</v>
      </c>
    </row>
    <row r="44777" ht="15.75" customHeight="1" spans="1:2">
      <c r="A44777" s="3" t="str">
        <f>IFERROR(__xludf.DUMMYFUNCTION("GOOGLETRANSLATE(A44777,""en"",""pt"")"),"qualidade 1.Great 3.compact preço 2.cheap")</f>
        <v>qualidade 1.Great 3.compact preço 2.cheap</v>
      </c>
      <c r="B44777" s="3">
        <v>1</v>
      </c>
    </row>
    <row r="44778" ht="15.75" customHeight="1" spans="1:2">
      <c r="A44778" s="3" t="str">
        <f>IFERROR(__xludf.DUMMYFUNCTION("GOOGLETRANSLATE(A44778,""en"",""pt"")"),"Projeto foi uma boa idéia")</f>
        <v>Projeto foi uma boa idéia</v>
      </c>
      <c r="B44778" s="3">
        <v>1</v>
      </c>
    </row>
    <row r="44779" ht="15.75" customHeight="1" spans="1:2">
      <c r="A44779" s="3" t="str">
        <f>IFERROR(__xludf.DUMMYFUNCTION("GOOGLETRANSLATE(A44779,""en"",""pt"")"),"Alta qualidade de texto preto e impressão a cores. Fácil configuração.")</f>
        <v>Alta qualidade de texto preto e impressão a cores. Fácil configuração.</v>
      </c>
      <c r="B44779" s="3">
        <v>1</v>
      </c>
    </row>
    <row r="44780" ht="15.75" customHeight="1" spans="1:2">
      <c r="A44780" s="3" t="str">
        <f>IFERROR(__xludf.DUMMYFUNCTION("GOOGLETRANSLATE(A44780,""en"",""pt"")"),"Barato, excelente qualidade de impressão para texto e fotos !, impressões sem margens, de perfil baixo")</f>
        <v>Barato, excelente qualidade de impressão para texto e fotos !, impressões sem margens, de perfil baixo</v>
      </c>
      <c r="B44780" s="3">
        <v>1</v>
      </c>
    </row>
    <row r="44781" ht="15.75" customHeight="1" spans="1:2">
      <c r="A44781" s="3" t="str">
        <f>IFERROR(__xludf.DUMMYFUNCTION("GOOGLETRANSLATE(A44781,""en"",""pt"")"),"Lovely, imagens vívidas! Muito rápido impressão de rascunhos.")</f>
        <v>Lovely, imagens vívidas! Muito rápido impressão de rascunhos.</v>
      </c>
      <c r="B44781" s="3">
        <v>1</v>
      </c>
    </row>
    <row r="44782" ht="15.75" customHeight="1" spans="1:2">
      <c r="A44782" s="3" t="str">
        <f>IFERROR(__xludf.DUMMYFUNCTION("GOOGLETRANSLATE(A44782,""en"",""pt"")"),"Velocidade, velocidade, velocidade e não ao custo de qualidade ou de tinta")</f>
        <v>Velocidade, velocidade, velocidade e não ao custo de qualidade ou de tinta</v>
      </c>
      <c r="B44782" s="3">
        <v>1</v>
      </c>
    </row>
    <row r="44783" ht="15.75" customHeight="1" spans="1:2">
      <c r="A44783" s="3" t="str">
        <f>IFERROR(__xludf.DUMMYFUNCTION("GOOGLETRANSLATE(A44783,""en"",""pt"")"),"HP Quality")</f>
        <v>HP Quality</v>
      </c>
      <c r="B44783" s="3">
        <v>1</v>
      </c>
    </row>
    <row r="44784" ht="15.75" customHeight="1" spans="1:2">
      <c r="A44784" s="3" t="str">
        <f>IFERROR(__xludf.DUMMYFUNCTION("GOOGLETRANSLATE(A44784,""en"",""pt"")"),"A grande qualidade, operação silenciosa, parece legal, Auto-Paper-Type realmente obras")</f>
        <v>A grande qualidade, operação silenciosa, parece legal, Auto-Paper-Type realmente obras</v>
      </c>
      <c r="B44784" s="3">
        <v>1</v>
      </c>
    </row>
    <row r="44785" ht="15.75" customHeight="1" spans="1:2">
      <c r="A44785" s="3" t="str">
        <f>IFERROR(__xludf.DUMMYFUNCTION("GOOGLETRANSLATE(A44785,""en"",""pt"")"),"sólido desempenho, excelente cor, suporte de super")</f>
        <v>sólido desempenho, excelente cor, suporte de super</v>
      </c>
      <c r="B44785" s="3">
        <v>1</v>
      </c>
    </row>
    <row r="44786" ht="15.75" customHeight="1" spans="1:2">
      <c r="A44786" s="3" t="str">
        <f>IFERROR(__xludf.DUMMYFUNCTION("GOOGLETRANSLATE(A44786,""en"",""pt"")"),"Longa Duração Photo-Ink, mais barata do Cartucho Preto, resolução 4800x1200.")</f>
        <v>Longa Duração Photo-Ink, mais barata do Cartucho Preto, resolução 4800x1200.</v>
      </c>
      <c r="B44786" s="3">
        <v>1</v>
      </c>
    </row>
    <row r="44787" ht="15.75" customHeight="1" spans="1:2">
      <c r="A44787" s="3" t="str">
        <f>IFERROR(__xludf.DUMMYFUNCTION("GOOGLETRANSLATE(A44787,""en"",""pt"")"),"A grande qualidade, operação silenciosa, parece legal, Auto-Paper-Type realmente obras")</f>
        <v>A grande qualidade, operação silenciosa, parece legal, Auto-Paper-Type realmente obras</v>
      </c>
      <c r="B44787" s="3">
        <v>1</v>
      </c>
    </row>
    <row r="44788" ht="15.75" customHeight="1" spans="1:2">
      <c r="A44788" s="3" t="str">
        <f>IFERROR(__xludf.DUMMYFUNCTION("GOOGLETRANSLATE(A44788,""en"",""pt"")"),"Parece muito legal, impressão rápida, OSX compatível, de baixo custo")</f>
        <v>Parece muito legal, impressão rápida, OSX compatível, de baixo custo</v>
      </c>
      <c r="B44788" s="3">
        <v>1</v>
      </c>
    </row>
    <row r="44789" ht="15.75" customHeight="1" spans="1:2">
      <c r="A44789" s="3" t="str">
        <f>IFERROR(__xludf.DUMMYFUNCTION("GOOGLETRANSLATE(A44789,""en"",""pt"")"),"Excelente alta qualidade, 6 cores de impressão de fotos, com preços razoáveis.")</f>
        <v>Excelente alta qualidade, 6 cores de impressão de fotos, com preços razoáveis.</v>
      </c>
      <c r="B44789" s="3">
        <v>1</v>
      </c>
    </row>
    <row r="44790" ht="15.75" customHeight="1" spans="1:2">
      <c r="A44790" s="3" t="str">
        <f>IFERROR(__xludf.DUMMYFUNCTION("GOOGLETRANSLATE(A44790,""en"",""pt"")"),"Preço, qualidade, velocidade")</f>
        <v>Preço, qualidade, velocidade</v>
      </c>
      <c r="B44790" s="3">
        <v>1</v>
      </c>
    </row>
    <row r="44791" ht="15.75" customHeight="1" spans="1:2">
      <c r="A44791" s="3" t="str">
        <f>IFERROR(__xludf.DUMMYFUNCTION("GOOGLETRANSLATE(A44791,""en"",""pt"")"),"grande fotografia e qualidade de texto, cartucho fotográfico")</f>
        <v>grande fotografia e qualidade de texto, cartucho fotográfico</v>
      </c>
      <c r="B44791" s="3">
        <v>1</v>
      </c>
    </row>
    <row r="44792" ht="15.75" customHeight="1" spans="1:2">
      <c r="A44792" s="3" t="str">
        <f>IFERROR(__xludf.DUMMYFUNCTION("GOOGLETRANSLATE(A44792,""en"",""pt"")"),"Imprimir inigualável qualidade, cores vibrantes, velocidade decente, configuração fácil, Nifty Características, Hp qualidade, preço")</f>
        <v>Imprimir inigualável qualidade, cores vibrantes, velocidade decente, configuração fácil, Nifty Características, Hp qualidade, preço</v>
      </c>
      <c r="B44792" s="3">
        <v>1</v>
      </c>
    </row>
    <row r="44793" ht="15.75" customHeight="1" spans="1:2">
      <c r="A44793" s="3" t="str">
        <f>IFERROR(__xludf.DUMMYFUNCTION("GOOGLETRANSLATE(A44793,""en"",""pt"")"),"Ótimo preço, qualidade de impressão imagem")</f>
        <v>Ótimo preço, qualidade de impressão imagem</v>
      </c>
      <c r="B44793" s="3">
        <v>1</v>
      </c>
    </row>
    <row r="44794" ht="15.75" customHeight="1" spans="1:2">
      <c r="A44794" s="3" t="str">
        <f>IFERROR(__xludf.DUMMYFUNCTION("GOOGLETRANSLATE(A44794,""en"",""pt"")"),"Excelente qualidade de impressão")</f>
        <v>Excelente qualidade de impressão</v>
      </c>
      <c r="B44794" s="3">
        <v>1</v>
      </c>
    </row>
    <row r="44795" ht="15.75" customHeight="1" spans="1:2">
      <c r="A44795" s="3" t="str">
        <f>IFERROR(__xludf.DUMMYFUNCTION("GOOGLETRANSLATE(A44795,""en"",""pt"")"),"Fácil de usar, com excelentes resultados. Confiável. Muitos recursos de economia de tempo.")</f>
        <v>Fácil de usar, com excelentes resultados. Confiável. Muitos recursos de economia de tempo.</v>
      </c>
      <c r="B44795" s="3">
        <v>1</v>
      </c>
    </row>
    <row r="44796" ht="15.75" customHeight="1" spans="1:2">
      <c r="A44796" s="3" t="str">
        <f>IFERROR(__xludf.DUMMYFUNCTION("GOOGLETRANSLATE(A44796,""en"",""pt"")"),"design muito elegante (parece caro!)")</f>
        <v>design muito elegante (parece caro!)</v>
      </c>
      <c r="B44796" s="3">
        <v>1</v>
      </c>
    </row>
    <row r="44797" ht="15.75" customHeight="1" spans="1:2">
      <c r="A44797" s="3" t="str">
        <f>IFERROR(__xludf.DUMMYFUNCTION("GOOGLETRANSLATE(A44797,""en"",""pt"")"),"Parece legal, ótimo preço, imprimir fotos!")</f>
        <v>Parece legal, ótimo preço, imprimir fotos!</v>
      </c>
      <c r="B44797" s="3">
        <v>1</v>
      </c>
    </row>
    <row r="44798" ht="15.75" customHeight="1" spans="1:2">
      <c r="A44798" s="3" t="str">
        <f>IFERROR(__xludf.DUMMYFUNCTION("GOOGLETRANSLATE(A44798,""en"",""pt"")"),"Preço, impressões de boa qualidade")</f>
        <v>Preço, impressões de boa qualidade</v>
      </c>
      <c r="B44798" s="3">
        <v>1</v>
      </c>
    </row>
    <row r="44799" ht="15.75" customHeight="1" spans="1:2">
      <c r="A44799" s="3" t="str">
        <f>IFERROR(__xludf.DUMMYFUNCTION("GOOGLETRANSLATE(A44799,""en"",""pt"")"),"Acessível, rápido, elegante e, o mais importante, grande revelação de fotos. É imbatível para o preço.")</f>
        <v>Acessível, rápido, elegante e, o mais importante, grande revelação de fotos. É imbatível para o preço.</v>
      </c>
      <c r="B44799" s="3">
        <v>1</v>
      </c>
    </row>
    <row r="44800" ht="15.75" customHeight="1" spans="1:2">
      <c r="A44800" s="3" t="str">
        <f>IFERROR(__xludf.DUMMYFUNCTION("GOOGLETRANSLATE(A44800,""en"",""pt"")"),"Boa qualidade preto e branco.")</f>
        <v>Boa qualidade preto e branco.</v>
      </c>
      <c r="B44800" s="3">
        <v>1</v>
      </c>
    </row>
    <row r="44801" ht="15.75" customHeight="1" spans="1:2">
      <c r="A44801" s="3" t="str">
        <f>IFERROR(__xludf.DUMMYFUNCTION("GOOGLETRANSLATE(A44801,""en"",""pt"")"),"Nice que procuram design, super fácil de usar, fácil de instalar")</f>
        <v>Nice que procuram design, super fácil de usar, fácil de instalar</v>
      </c>
      <c r="B44801" s="3">
        <v>1</v>
      </c>
    </row>
    <row r="44802" ht="15.75" customHeight="1" spans="1:2">
      <c r="A44802" s="3" t="str">
        <f>IFERROR(__xludf.DUMMYFUNCTION("GOOGLETRANSLATE(A44802,""en"",""pt"")"),"excelentes fotos")</f>
        <v>excelentes fotos</v>
      </c>
      <c r="B44802" s="3">
        <v>1</v>
      </c>
    </row>
    <row r="44803" ht="15.75" customHeight="1" spans="1:2">
      <c r="A44803" s="3" t="str">
        <f>IFERROR(__xludf.DUMMYFUNCTION("GOOGLETRANSLATE(A44803,""en"",""pt"")"),"Cargas e distribui rapidamente")</f>
        <v>Cargas e distribui rapidamente</v>
      </c>
      <c r="B44803" s="3">
        <v>1</v>
      </c>
    </row>
    <row r="44804" ht="15.75" customHeight="1" spans="1:2">
      <c r="A44804" s="3" t="str">
        <f>IFERROR(__xludf.DUMMYFUNCTION("GOOGLETRANSLATE(A44804,""en"",""pt"")"),"Barato.")</f>
        <v>Barato.</v>
      </c>
      <c r="B44804" s="3">
        <v>1</v>
      </c>
    </row>
    <row r="44805" ht="15.75" customHeight="1" spans="1:2">
      <c r="A44805" s="3" t="str">
        <f>IFERROR(__xludf.DUMMYFUNCTION("GOOGLETRANSLATE(A44805,""en"",""pt"")"),"impressão excelente, design agradável, rápido, &amp; amp; quieto.")</f>
        <v>impressão excelente, design agradável, rápido, &amp; amp; quieto.</v>
      </c>
      <c r="B44805" s="3">
        <v>1</v>
      </c>
    </row>
    <row r="44806" ht="15.75" customHeight="1" spans="1:2">
      <c r="A44806" s="3" t="str">
        <f>IFERROR(__xludf.DUMMYFUNCTION("GOOGLETRANSLATE(A44806,""en"",""pt"")"),"Impressão rápida e clara. suporte USB fácil.")</f>
        <v>Impressão rápida e clara. suporte USB fácil.</v>
      </c>
      <c r="B44806" s="3">
        <v>1</v>
      </c>
    </row>
    <row r="44807" ht="15.75" customHeight="1" spans="1:2">
      <c r="A44807" s="3" t="str">
        <f>IFERROR(__xludf.DUMMYFUNCTION("GOOGLETRANSLATE(A44807,""en"",""pt"")"),"Jetsons Styling, alta impressão de qualidade, Mini-Me Cartuchos")</f>
        <v>Jetsons Styling, alta impressão de qualidade, Mini-Me Cartuchos</v>
      </c>
      <c r="B44807" s="3">
        <v>1</v>
      </c>
    </row>
    <row r="44808" ht="15.75" customHeight="1" spans="1:2">
      <c r="A44808" s="3" t="str">
        <f>IFERROR(__xludf.DUMMYFUNCTION("GOOGLETRANSLATE(A44808,""en"",""pt"")"),"Excelente qualidade de impressão., Fácil de instalar.")</f>
        <v>Excelente qualidade de impressão., Fácil de instalar.</v>
      </c>
      <c r="B44808" s="3">
        <v>1</v>
      </c>
    </row>
    <row r="44809" ht="15.75" customHeight="1" spans="1:2">
      <c r="A44809" s="3" t="str">
        <f>IFERROR(__xludf.DUMMYFUNCTION("GOOGLETRANSLATE(A44809,""en"",""pt"")"),"Preço, fácil configuração, excelente qualidade de impressão")</f>
        <v>Preço, fácil configuração, excelente qualidade de impressão</v>
      </c>
      <c r="B44809" s="3">
        <v>1</v>
      </c>
    </row>
    <row r="44810" ht="15.75" customHeight="1" spans="1:2">
      <c r="A44810" s="3" t="str">
        <f>IFERROR(__xludf.DUMMYFUNCTION("GOOGLETRANSLATE(A44810,""en"",""pt"")"),"A Good Home Usar impressora apoiada por HP qualidade e suporte")</f>
        <v>A Good Home Usar impressora apoiada por HP qualidade e suporte</v>
      </c>
      <c r="B44810" s="3">
        <v>1</v>
      </c>
    </row>
    <row r="44811" ht="15.75" customHeight="1" spans="1:2">
      <c r="A44811" s="3" t="str">
        <f>IFERROR(__xludf.DUMMYFUNCTION("GOOGLETRANSLATE(A44811,""en"",""pt"")"),"Preço, qualidade de impressão de fotos, facilidade de uso")</f>
        <v>Preço, qualidade de impressão de fotos, facilidade de uso</v>
      </c>
      <c r="B44811" s="3">
        <v>1</v>
      </c>
    </row>
    <row r="44812" ht="15.75" customHeight="1" spans="1:2">
      <c r="A44812" s="3" t="str">
        <f>IFERROR(__xludf.DUMMYFUNCTION("GOOGLETRANSLATE(A44812,""en"",""pt"")"),"Excelente qualidade de impressão, foto grande qualidade, fácil instalação, sem variação de volume de tinta para 73 anos!")</f>
        <v>Excelente qualidade de impressão, foto grande qualidade, fácil instalação, sem variação de volume de tinta para 73 anos!</v>
      </c>
      <c r="B44812" s="3">
        <v>1</v>
      </c>
    </row>
    <row r="44813" ht="15.75" customHeight="1" spans="1:2">
      <c r="A44813" s="3" t="str">
        <f>IFERROR(__xludf.DUMMYFUNCTION("GOOGLETRANSLATE(A44813,""en"",""pt"")"),"Barato, impressão de 6 cores")</f>
        <v>Barato, impressão de 6 cores</v>
      </c>
      <c r="B44813" s="3">
        <v>1</v>
      </c>
    </row>
    <row r="44814" ht="15.75" customHeight="1" spans="1:2">
      <c r="A44814" s="3" t="str">
        <f>IFERROR(__xludf.DUMMYFUNCTION("GOOGLETRANSLATE(A44814,""en"",""pt"")"),"impressões rápidas, tinta dura muito tempo, visualmente agradável")</f>
        <v>impressões rápidas, tinta dura muito tempo, visualmente agradável</v>
      </c>
      <c r="B44814" s="3">
        <v>1</v>
      </c>
    </row>
    <row r="44815" ht="15.75" customHeight="1" spans="1:2">
      <c r="A44815" s="3" t="str">
        <f>IFERROR(__xludf.DUMMYFUNCTION("GOOGLETRANSLATE(A44815,""en"",""pt"")"),"Preço, durabilidade, aparência, acabamento, qualidade de impressão, velocidade, recuperação de mau funcionamento, tranquila.")</f>
        <v>Preço, durabilidade, aparência, acabamento, qualidade de impressão, velocidade, recuperação de mau funcionamento, tranquila.</v>
      </c>
      <c r="B44815" s="3">
        <v>1</v>
      </c>
    </row>
    <row r="44816" ht="15.75" customHeight="1" spans="1:2">
      <c r="A44816" s="3" t="str">
        <f>IFERROR(__xludf.DUMMYFUNCTION("GOOGLETRANSLATE(A44816,""en"",""pt"")"),"Boa qualidade e velocidade para trabalhos diários.")</f>
        <v>Boa qualidade e velocidade para trabalhos diários.</v>
      </c>
      <c r="B44816" s="3">
        <v>1</v>
      </c>
    </row>
    <row r="44817" ht="15.75" customHeight="1" spans="1:2">
      <c r="A44817" s="3" t="str">
        <f>IFERROR(__xludf.DUMMYFUNCTION("GOOGLETRANSLATE(A44817,""en"",""pt"")"),"Impressões de grande qualidade, fácil de instalar, parece legal")</f>
        <v>Impressões de grande qualidade, fácil de instalar, parece legal</v>
      </c>
      <c r="B44817" s="3">
        <v>1</v>
      </c>
    </row>
    <row r="44818" ht="15.75" customHeight="1" spans="1:2">
      <c r="A44818" s="3" t="str">
        <f>IFERROR(__xludf.DUMMYFUNCTION("GOOGLETRANSLATE(A44818,""en"",""pt"")"),"Boa velocidade, excelente qualidade, aparência agradável,")</f>
        <v>Boa velocidade, excelente qualidade, aparência agradável,</v>
      </c>
      <c r="B44818" s="3">
        <v>1</v>
      </c>
    </row>
    <row r="44819" ht="15.75" customHeight="1" spans="1:2">
      <c r="A44819" s="3" t="str">
        <f>IFERROR(__xludf.DUMMYFUNCTION("GOOGLETRANSLATE(A44819,""en"",""pt"")"),"O aspecto distinto")</f>
        <v>O aspecto distinto</v>
      </c>
      <c r="B44819" s="3">
        <v>1</v>
      </c>
    </row>
    <row r="44820" ht="15.75" customHeight="1" spans="1:2">
      <c r="A44820" s="3" t="str">
        <f>IFERROR(__xludf.DUMMYFUNCTION("GOOGLETRANSLATE(A44820,""en"",""pt"")"),"Grande valor, muitos recursos")</f>
        <v>Grande valor, muitos recursos</v>
      </c>
      <c r="B44820" s="3">
        <v>1</v>
      </c>
    </row>
    <row r="44821" ht="15.75" customHeight="1" spans="1:2">
      <c r="A44821" s="3" t="str">
        <f>IFERROR(__xludf.DUMMYFUNCTION("GOOGLETRANSLATE(A44821,""en"",""pt"")"),"Fácil de usar, rápido, silencioso, de baixo perfil, bastante versátil.")</f>
        <v>Fácil de usar, rápido, silencioso, de baixo perfil, bastante versátil.</v>
      </c>
      <c r="B44821" s="3">
        <v>1</v>
      </c>
    </row>
    <row r="44822" ht="15.75" customHeight="1" spans="1:2">
      <c r="A44822" s="3" t="str">
        <f>IFERROR(__xludf.DUMMYFUNCTION("GOOGLETRANSLATE(A44822,""en"",""pt"")"),"Livre, tinta dura, o uso e configuração fácil")</f>
        <v>Livre, tinta dura, o uso e configuração fácil</v>
      </c>
      <c r="B44822" s="3">
        <v>1</v>
      </c>
    </row>
    <row r="44823" ht="15.75" customHeight="1" spans="1:2">
      <c r="A44823" s="3" t="str">
        <f>IFERROR(__xludf.DUMMYFUNCTION("GOOGLETRANSLATE(A44823,""en"",""pt"")"),"Bom preço")</f>
        <v>Bom preço</v>
      </c>
      <c r="B44823" s="3">
        <v>1</v>
      </c>
    </row>
    <row r="44824" ht="15.75" customHeight="1" spans="1:2">
      <c r="A44824" s="3" t="str">
        <f>IFERROR(__xludf.DUMMYFUNCTION("GOOGLETRANSLATE(A44824,""en"",""pt"")"),"Grande qualidade de impressão, preço baixo")</f>
        <v>Grande qualidade de impressão, preço baixo</v>
      </c>
      <c r="B44824" s="3">
        <v>1</v>
      </c>
    </row>
    <row r="44825" ht="15.75" customHeight="1" spans="1:2">
      <c r="A44825" s="3" t="str">
        <f>IFERROR(__xludf.DUMMYFUNCTION("GOOGLETRANSLATE(A44825,""en"",""pt"")"),"Acessível, de boa qualidade")</f>
        <v>Acessível, de boa qualidade</v>
      </c>
      <c r="B44825" s="3">
        <v>1</v>
      </c>
    </row>
    <row r="44826" ht="15.75" customHeight="1" spans="1:2">
      <c r="A44826" s="3" t="str">
        <f>IFERROR(__xludf.DUMMYFUNCTION("GOOGLETRANSLATE(A44826,""en"",""pt"")"),"Ótimo nome")</f>
        <v>Ótimo nome</v>
      </c>
      <c r="B44826" s="3">
        <v>1</v>
      </c>
    </row>
    <row r="44827" ht="15.75" customHeight="1" spans="1:2">
      <c r="A44827" s="3" t="str">
        <f>IFERROR(__xludf.DUMMYFUNCTION("GOOGLETRANSLATE(A44827,""en"",""pt"")"),"ótima qualidade pelo o preço")</f>
        <v>ótima qualidade pelo o preço</v>
      </c>
      <c r="B44827" s="3">
        <v>1</v>
      </c>
    </row>
    <row r="44828" ht="15.75" customHeight="1" spans="1:2">
      <c r="A44828" s="3" t="str">
        <f>IFERROR(__xludf.DUMMYFUNCTION("GOOGLETRANSLATE(A44828,""en"",""pt"")"),"é uma HP")</f>
        <v>é uma HP</v>
      </c>
      <c r="B44828" s="3">
        <v>1</v>
      </c>
    </row>
    <row r="44829" ht="15.75" customHeight="1" spans="1:2">
      <c r="A44829" s="3" t="str">
        <f>IFERROR(__xludf.DUMMYFUNCTION("GOOGLETRANSLATE(A44829,""en"",""pt"")"),"Confiável, fácil de configurar, qualidade de impressão aceitável.")</f>
        <v>Confiável, fácil de configurar, qualidade de impressão aceitável.</v>
      </c>
      <c r="B44829" s="3">
        <v>1</v>
      </c>
    </row>
    <row r="44830" ht="15.75" customHeight="1" spans="1:2">
      <c r="A44830" s="3" t="str">
        <f>IFERROR(__xludf.DUMMYFUNCTION("GOOGLETRANSLATE(A44830,""en"",""pt"")"),"Usado para fazer realmente bons exemplares")</f>
        <v>Usado para fazer realmente bons exemplares</v>
      </c>
      <c r="B44830" s="3">
        <v>1</v>
      </c>
    </row>
    <row r="44831" ht="15.75" customHeight="1" spans="1:2">
      <c r="A44831" s="3" t="str">
        <f>IFERROR(__xludf.DUMMYFUNCTION("GOOGLETRANSLATE(A44831,""en"",""pt"")"),"Tudo")</f>
        <v>Tudo</v>
      </c>
      <c r="B44831" s="3">
        <v>1</v>
      </c>
    </row>
    <row r="44832" ht="15.75" customHeight="1" spans="1:2">
      <c r="A44832" s="3" t="str">
        <f>IFERROR(__xludf.DUMMYFUNCTION("GOOGLETRANSLATE(A44832,""en"",""pt"")"),"preço barato, fácil de instalar, cartuchos são fáceis de mudança")</f>
        <v>preço barato, fácil de instalar, cartuchos são fáceis de mudança</v>
      </c>
      <c r="B44832" s="3">
        <v>1</v>
      </c>
    </row>
    <row r="44833" ht="15.75" customHeight="1" spans="1:2">
      <c r="A44833" s="3" t="str">
        <f>IFERROR(__xludf.DUMMYFUNCTION("GOOGLETRANSLATE(A44833,""en"",""pt"")"),"Trabalha há anos com uso normal. Imprime o texto e projetos de cores básicas de forma adequada.")</f>
        <v>Trabalha há anos com uso normal. Imprime o texto e projetos de cores básicas de forma adequada.</v>
      </c>
      <c r="B44833" s="3">
        <v>1</v>
      </c>
    </row>
    <row r="44834" ht="15.75" customHeight="1" spans="1:2">
      <c r="A44834" s="3" t="str">
        <f>IFERROR(__xludf.DUMMYFUNCTION("GOOGLETRANSLATE(A44834,""en"",""pt"")"),"boa qualidade e confiável")</f>
        <v>boa qualidade e confiável</v>
      </c>
      <c r="B44834" s="3">
        <v>1</v>
      </c>
    </row>
    <row r="44835" ht="15.75" customHeight="1" spans="1:2">
      <c r="A44835" s="3" t="str">
        <f>IFERROR(__xludf.DUMMYFUNCTION("GOOGLETRANSLATE(A44835,""en"",""pt"")"),"barato, cor e preto, ao mesmo tempo")</f>
        <v>barato, cor e preto, ao mesmo tempo</v>
      </c>
      <c r="B44835" s="3">
        <v>1</v>
      </c>
    </row>
    <row r="44836" ht="15.75" customHeight="1" spans="1:2">
      <c r="A44836" s="3" t="str">
        <f>IFERROR(__xludf.DUMMYFUNCTION("GOOGLETRANSLATE(A44836,""en"",""pt"")"),"Excelente imagem e texto")</f>
        <v>Excelente imagem e texto</v>
      </c>
      <c r="B44836" s="3">
        <v>1</v>
      </c>
    </row>
    <row r="44837" ht="15.75" customHeight="1" spans="1:2">
      <c r="A44837" s="3" t="str">
        <f>IFERROR(__xludf.DUMMYFUNCTION("GOOGLETRANSLATE(A44837,""en"",""pt"")"),"Low - preço, boa saída")</f>
        <v>Low - preço, boa saída</v>
      </c>
      <c r="B44837" s="3">
        <v>1</v>
      </c>
    </row>
    <row r="44838" ht="15.75" customHeight="1" spans="1:2">
      <c r="A44838" s="3" t="str">
        <f>IFERROR(__xludf.DUMMYFUNCTION("GOOGLETRANSLATE(A44838,""en"",""pt"")"),"boa qualidade")</f>
        <v>boa qualidade</v>
      </c>
      <c r="B44838" s="3">
        <v>1</v>
      </c>
    </row>
    <row r="44839" ht="15.75" customHeight="1" spans="1:2">
      <c r="A44839" s="3" t="str">
        <f>IFERROR(__xludf.DUMMYFUNCTION("GOOGLETRANSLATE(A44839,""en"",""pt"")"),"o uso de tinta de baixo, impressões decentes em 600x600 dpi")</f>
        <v>o uso de tinta de baixo, impressões decentes em 600x600 dpi</v>
      </c>
      <c r="B44839" s="3">
        <v>1</v>
      </c>
    </row>
    <row r="44840" ht="15.75" customHeight="1" spans="1:2">
      <c r="A44840" s="3" t="str">
        <f>IFERROR(__xludf.DUMMYFUNCTION("GOOGLETRANSLATE(A44840,""en"",""pt"")"),"Baixo custo, bem feito")</f>
        <v>Baixo custo, bem feito</v>
      </c>
      <c r="B44840" s="3">
        <v>1</v>
      </c>
    </row>
    <row r="44841" ht="15.75" customHeight="1" spans="1:2">
      <c r="A44841" s="3" t="str">
        <f>IFERROR(__xludf.DUMMYFUNCTION("GOOGLETRANSLATE(A44841,""en"",""pt"")"),"Nada")</f>
        <v>Nada</v>
      </c>
      <c r="B44841" s="3">
        <v>1</v>
      </c>
    </row>
    <row r="44842" ht="15.75" customHeight="1" spans="1:2">
      <c r="A44842" s="3" t="str">
        <f>IFERROR(__xludf.DUMMYFUNCTION("GOOGLETRANSLATE(A44842,""en"",""pt"")"),"a impressora actual é barato")</f>
        <v>a impressora actual é barato</v>
      </c>
      <c r="B44842" s="3">
        <v>1</v>
      </c>
    </row>
    <row r="44843" ht="15.75" customHeight="1" spans="1:2">
      <c r="A44843" s="3" t="str">
        <f>IFERROR(__xludf.DUMMYFUNCTION("GOOGLETRANSLATE(A44843,""en"",""pt"")"),"Bom preço, cor clara")</f>
        <v>Bom preço, cor clara</v>
      </c>
      <c r="B44843" s="3">
        <v>1</v>
      </c>
    </row>
    <row r="44844" ht="15.75" customHeight="1" spans="1:2">
      <c r="A44844" s="3" t="str">
        <f>IFERROR(__xludf.DUMMYFUNCTION("GOOGLETRANSLATE(A44844,""en"",""pt"")"),"preço")</f>
        <v>preço</v>
      </c>
      <c r="B44844" s="3">
        <v>1</v>
      </c>
    </row>
    <row r="44845" ht="15.75" customHeight="1" spans="1:2">
      <c r="A44845" s="3" t="str">
        <f>IFERROR(__xludf.DUMMYFUNCTION("GOOGLETRANSLATE(A44845,""en"",""pt"")"),"Faz um bom trabalho!")</f>
        <v>Faz um bom trabalho!</v>
      </c>
      <c r="B44845" s="3">
        <v>1</v>
      </c>
    </row>
    <row r="44846" ht="15.75" customHeight="1" spans="1:2">
      <c r="A44846" s="3" t="str">
        <f>IFERROR(__xludf.DUMMYFUNCTION("GOOGLETRANSLATE(A44846,""en"",""pt"")"),"Baixo custo, alta qualidade")</f>
        <v>Baixo custo, alta qualidade</v>
      </c>
      <c r="B44846" s="3">
        <v>1</v>
      </c>
    </row>
    <row r="44847" ht="15.75" customHeight="1" spans="1:2">
      <c r="A44847" s="3" t="str">
        <f>IFERROR(__xludf.DUMMYFUNCTION("GOOGLETRANSLATE(A44847,""en"",""pt"")"),"bem preços, impressões a cores são muito agradáveis")</f>
        <v>bem preços, impressões a cores são muito agradáveis</v>
      </c>
      <c r="B44847" s="3">
        <v>1</v>
      </c>
    </row>
    <row r="44848" ht="15.75" customHeight="1" spans="1:2">
      <c r="A44848" s="3" t="str">
        <f>IFERROR(__xludf.DUMMYFUNCTION("GOOGLETRANSLATE(A44848,""en"",""pt"")"),"ótimo preço")</f>
        <v>ótimo preço</v>
      </c>
      <c r="B44848" s="3">
        <v>1</v>
      </c>
    </row>
    <row r="44849" ht="15.75" customHeight="1" spans="1:2">
      <c r="A44849" s="3" t="str">
        <f>IFERROR(__xludf.DUMMYFUNCTION("GOOGLETRANSLATE(A44849,""en"",""pt"")"),"rápido, de boa qualidade, barato, nome de confiança da marca")</f>
        <v>rápido, de boa qualidade, barato, nome de confiança da marca</v>
      </c>
      <c r="B44849" s="3">
        <v>1</v>
      </c>
    </row>
    <row r="44850" ht="15.75" customHeight="1" spans="1:2">
      <c r="A44850" s="3" t="str">
        <f>IFERROR(__xludf.DUMMYFUNCTION("GOOGLETRANSLATE(A44850,""en"",""pt"")"),"Bom preço, boa qualidade, dual cartuchos de tinta")</f>
        <v>Bom preço, boa qualidade, dual cartuchos de tinta</v>
      </c>
      <c r="B44850" s="3">
        <v>1</v>
      </c>
    </row>
    <row r="44851" ht="15.75" customHeight="1" spans="1:2">
      <c r="A44851" s="3" t="str">
        <f>IFERROR(__xludf.DUMMYFUNCTION("GOOGLETRANSLATE(A44851,""en"",""pt"")"),"qualidade de impressão decente")</f>
        <v>qualidade de impressão decente</v>
      </c>
      <c r="B44851" s="3">
        <v>1</v>
      </c>
    </row>
    <row r="44852" ht="15.75" customHeight="1" spans="1:2">
      <c r="A44852" s="3" t="str">
        <f>IFERROR(__xludf.DUMMYFUNCTION("GOOGLETRANSLATE(A44852,""en"",""pt"")"),"Baixo custo, boa qualidade de impressão")</f>
        <v>Baixo custo, boa qualidade de impressão</v>
      </c>
      <c r="B44852" s="3">
        <v>1</v>
      </c>
    </row>
    <row r="44853" ht="15.75" customHeight="1" spans="1:2">
      <c r="A44853" s="3" t="str">
        <f>IFERROR(__xludf.DUMMYFUNCTION("GOOGLETRANSLATE(A44853,""en"",""pt"")"),"Preço e produção para uso de luz é grande, use-poderia heavy ser melhor")</f>
        <v>Preço e produção para uso de luz é grande, use-poderia heavy ser melhor</v>
      </c>
      <c r="B44853" s="3">
        <v>1</v>
      </c>
    </row>
    <row r="44854" ht="15.75" customHeight="1" spans="1:2">
      <c r="A44854" s="3" t="str">
        <f>IFERROR(__xludf.DUMMYFUNCTION("GOOGLETRANSLATE(A44854,""en"",""pt"")"),"preço")</f>
        <v>preço</v>
      </c>
      <c r="B44854" s="3">
        <v>1</v>
      </c>
    </row>
    <row r="44855" ht="15.75" customHeight="1" spans="1:2">
      <c r="A44855" s="3" t="str">
        <f>IFERROR(__xludf.DUMMYFUNCTION("GOOGLETRANSLATE(A44855,""en"",""pt"")"),"Barato, confiável")</f>
        <v>Barato, confiável</v>
      </c>
      <c r="B44855" s="3">
        <v>1</v>
      </c>
    </row>
    <row r="44856" ht="15.75" customHeight="1" spans="1:2">
      <c r="A44856" s="3" t="str">
        <f>IFERROR(__xludf.DUMMYFUNCTION("GOOGLETRANSLATE(A44856,""en"",""pt"")"),"Silencioso, papel comum, impressora a cores")</f>
        <v>Silencioso, papel comum, impressora a cores</v>
      </c>
      <c r="B44856" s="3">
        <v>1</v>
      </c>
    </row>
    <row r="44857" ht="15.75" customHeight="1" spans="1:2">
      <c r="A44857" s="3" t="str">
        <f>IFERROR(__xludf.DUMMYFUNCTION("GOOGLETRANSLATE(A44857,""en"",""pt"")"),"texto, a facilidade de conexão e instalação")</f>
        <v>texto, a facilidade de conexão e instalação</v>
      </c>
      <c r="B44857" s="3">
        <v>1</v>
      </c>
    </row>
    <row r="44858" ht="15.75" customHeight="1" spans="1:2">
      <c r="A44858" s="3" t="str">
        <f>IFERROR(__xludf.DUMMYFUNCTION("GOOGLETRANSLATE(A44858,""en"",""pt"")"),"A qualidade de impressão, o custo inicial, facilidade de operação")</f>
        <v>A qualidade de impressão, o custo inicial, facilidade de operação</v>
      </c>
      <c r="B44858" s="3">
        <v>1</v>
      </c>
    </row>
    <row r="44859" ht="15.75" customHeight="1" spans="1:2">
      <c r="A44859" s="3" t="str">
        <f>IFERROR(__xludf.DUMMYFUNCTION("GOOGLETRANSLATE(A44859,""en"",""pt"")"),"Já dura alguns anos")</f>
        <v>Já dura alguns anos</v>
      </c>
      <c r="B44859" s="3">
        <v>1</v>
      </c>
    </row>
    <row r="44860" ht="15.75" customHeight="1" spans="1:2">
      <c r="A44860" s="3" t="str">
        <f>IFERROR(__xludf.DUMMYFUNCTION("GOOGLETRANSLATE(A44860,""en"",""pt"")"),"3-6 Recargas por apenas R $ 38,00 !!")</f>
        <v>3-6 Recargas por apenas R $ 38,00 !!</v>
      </c>
      <c r="B44860" s="3">
        <v>1</v>
      </c>
    </row>
    <row r="44861" ht="15.75" customHeight="1" spans="1:2">
      <c r="A44861" s="3" t="str">
        <f>IFERROR(__xludf.DUMMYFUNCTION("GOOGLETRANSLATE(A44861,""en"",""pt"")"),"bom custo")</f>
        <v>bom custo</v>
      </c>
      <c r="B44861" s="3">
        <v>1</v>
      </c>
    </row>
    <row r="44862" ht="15.75" customHeight="1" spans="1:2">
      <c r="A44862" s="3" t="str">
        <f>IFERROR(__xludf.DUMMYFUNCTION("GOOGLETRANSLATE(A44862,""en"",""pt"")"),"velocidade, silencioso, a qualidade de impressão")</f>
        <v>velocidade, silencioso, a qualidade de impressão</v>
      </c>
      <c r="B44862" s="3">
        <v>1</v>
      </c>
    </row>
    <row r="44863" ht="15.75" customHeight="1" spans="1:2">
      <c r="A44863" s="3" t="str">
        <f>IFERROR(__xludf.DUMMYFUNCTION("GOOGLETRANSLATE(A44863,""en"",""pt"")"),"elegante, grande trabalho")</f>
        <v>elegante, grande trabalho</v>
      </c>
      <c r="B44863" s="3">
        <v>1</v>
      </c>
    </row>
    <row r="44864" ht="15.75" customHeight="1" spans="1:2">
      <c r="A44864" s="3" t="str">
        <f>IFERROR(__xludf.DUMMYFUNCTION("GOOGLETRANSLATE(A44864,""en"",""pt"")"),"Com contornos design, Taxa de Impressão")</f>
        <v>Com contornos design, Taxa de Impressão</v>
      </c>
      <c r="B44864" s="3">
        <v>1</v>
      </c>
    </row>
    <row r="44865" ht="15.75" customHeight="1" spans="1:2">
      <c r="A44865" s="3" t="str">
        <f>IFERROR(__xludf.DUMMYFUNCTION("GOOGLETRANSLATE(A44865,""en"",""pt"")"),"Boa qualidade fotografia e imagens em geral, barato")</f>
        <v>Boa qualidade fotografia e imagens em geral, barato</v>
      </c>
      <c r="B44865" s="3">
        <v>1</v>
      </c>
    </row>
    <row r="44866" ht="15.75" customHeight="1" spans="1:2">
      <c r="A44866" s="3" t="str">
        <f>IFERROR(__xludf.DUMMYFUNCTION("GOOGLETRANSLATE(A44866,""en"",""pt"")"),"unidade de cartucho duplo, (preto / cor), pode usar um cartucho fotográfico.")</f>
        <v>unidade de cartucho duplo, (preto / cor), pode usar um cartucho fotográfico.</v>
      </c>
      <c r="B44866" s="3">
        <v>1</v>
      </c>
    </row>
    <row r="44867" ht="15.75" customHeight="1" spans="1:2">
      <c r="A44867" s="3" t="str">
        <f>IFERROR(__xludf.DUMMYFUNCTION("GOOGLETRANSLATE(A44867,""en"",""pt"")"),"Ótimo preço, confiabilidade HP")</f>
        <v>Ótimo preço, confiabilidade HP</v>
      </c>
      <c r="B44867" s="3">
        <v>1</v>
      </c>
    </row>
    <row r="44868" ht="15.75" customHeight="1" spans="1:2">
      <c r="A44868" s="3" t="str">
        <f>IFERROR(__xludf.DUMMYFUNCTION("GOOGLETRANSLATE(A44868,""en"",""pt"")"),"Baixo custo, boa impressão de texto preto")</f>
        <v>Baixo custo, boa impressão de texto preto</v>
      </c>
      <c r="B44868" s="3">
        <v>1</v>
      </c>
    </row>
    <row r="44869" ht="15.75" customHeight="1" spans="1:2">
      <c r="A44869" s="3" t="str">
        <f>IFERROR(__xludf.DUMMYFUNCTION("GOOGLETRANSLATE(A44869,""en"",""pt"")"),"acessível, versátil, rápido com texto")</f>
        <v>acessível, versátil, rápido com texto</v>
      </c>
      <c r="B44869" s="3">
        <v>1</v>
      </c>
    </row>
    <row r="44870" ht="15.75" customHeight="1" spans="1:2">
      <c r="A44870" s="3" t="str">
        <f>IFERROR(__xludf.DUMMYFUNCTION("GOOGLETRANSLATE(A44870,""en"",""pt"")"),"Quando funciona, é OK")</f>
        <v>Quando funciona, é OK</v>
      </c>
      <c r="B44870" s="3">
        <v>1</v>
      </c>
    </row>
    <row r="44871" ht="15.75" customHeight="1" spans="1:2">
      <c r="A44871" s="3" t="str">
        <f>IFERROR(__xludf.DUMMYFUNCTION("GOOGLETRANSLATE(A44871,""en"",""pt"")"),"impressões como um profissional, fácil de configurar")</f>
        <v>impressões como um profissional, fácil de configurar</v>
      </c>
      <c r="B44871" s="3">
        <v>1</v>
      </c>
    </row>
    <row r="44872" ht="15.75" customHeight="1" spans="1:2">
      <c r="A44872" s="3" t="str">
        <f>IFERROR(__xludf.DUMMYFUNCTION("GOOGLETRANSLATE(A44872,""en"",""pt"")"),"Simples, fácil de usar")</f>
        <v>Simples, fácil de usar</v>
      </c>
      <c r="B44872" s="3">
        <v>1</v>
      </c>
    </row>
    <row r="44873" ht="15.75" customHeight="1" spans="1:2">
      <c r="A44873" s="3" t="str">
        <f>IFERROR(__xludf.DUMMYFUNCTION("GOOGLETRANSLATE(A44873,""en"",""pt"")"),"Acessível, impressão a preto rápido")</f>
        <v>Acessível, impressão a preto rápido</v>
      </c>
      <c r="B44873" s="3">
        <v>1</v>
      </c>
    </row>
    <row r="44874" ht="15.75" customHeight="1" spans="1:2">
      <c r="A44874" s="3" t="str">
        <f>IFERROR(__xludf.DUMMYFUNCTION("GOOGLETRANSLATE(A44874,""en"",""pt"")"),"Veio livre com o meu computador, funciona OK")</f>
        <v>Veio livre com o meu computador, funciona OK</v>
      </c>
      <c r="B44874" s="3">
        <v>1</v>
      </c>
    </row>
    <row r="44875" ht="15.75" customHeight="1" spans="1:2">
      <c r="A44875" s="3" t="str">
        <f>IFERROR(__xludf.DUMMYFUNCTION("GOOGLETRANSLATE(A44875,""en"",""pt"")"),"muito inexspensive")</f>
        <v>muito inexspensive</v>
      </c>
      <c r="B44875" s="3">
        <v>1</v>
      </c>
    </row>
    <row r="44876" ht="15.75" customHeight="1" spans="1:2">
      <c r="A44876" s="3" t="str">
        <f>IFERROR(__xludf.DUMMYFUNCTION("GOOGLETRANSLATE(A44876,""en"",""pt"")"),"Preço, facilidade de uso, qualidade de construção e de impressão")</f>
        <v>Preço, facilidade de uso, qualidade de construção e de impressão</v>
      </c>
      <c r="B44876" s="3">
        <v>1</v>
      </c>
    </row>
    <row r="44877" ht="15.75" customHeight="1" spans="1:2">
      <c r="A44877" s="3" t="str">
        <f>IFERROR(__xludf.DUMMYFUNCTION("GOOGLETRANSLATE(A44877,""en"",""pt"")"),"bom preço, fácil de usar")</f>
        <v>bom preço, fácil de usar</v>
      </c>
      <c r="B44877" s="3">
        <v>1</v>
      </c>
    </row>
    <row r="44878" ht="15.75" customHeight="1" spans="1:2">
      <c r="A44878" s="3" t="str">
        <f>IFERROR(__xludf.DUMMYFUNCTION("GOOGLETRANSLATE(A44878,""en"",""pt"")"),"Boa impressão de texto")</f>
        <v>Boa impressão de texto</v>
      </c>
      <c r="B44878" s="3">
        <v>1</v>
      </c>
    </row>
    <row r="44879" ht="15.75" customHeight="1" spans="1:2">
      <c r="A44879" s="3" t="str">
        <f>IFERROR(__xludf.DUMMYFUNCTION("GOOGLETRANSLATE(A44879,""en"",""pt"")"),"barato, de boa qualidade")</f>
        <v>barato, de boa qualidade</v>
      </c>
      <c r="B44879" s="3">
        <v>1</v>
      </c>
    </row>
    <row r="44880" ht="15.75" customHeight="1" spans="1:2">
      <c r="A44880" s="3" t="str">
        <f>IFERROR(__xludf.DUMMYFUNCTION("GOOGLETRANSLATE(A44880,""en"",""pt"")"),"Qualidade de impressão")</f>
        <v>Qualidade de impressão</v>
      </c>
      <c r="B44880" s="3">
        <v>1</v>
      </c>
    </row>
    <row r="44881" ht="15.75" customHeight="1" spans="1:2">
      <c r="A44881" s="3" t="str">
        <f>IFERROR(__xludf.DUMMYFUNCTION("GOOGLETRANSLATE(A44881,""en"",""pt"")"),"bom apenas se você deseja imprimir letras ou relatórios simples em tinta preta.")</f>
        <v>bom apenas se você deseja imprimir letras ou relatórios simples em tinta preta.</v>
      </c>
      <c r="B44881" s="3">
        <v>1</v>
      </c>
    </row>
    <row r="44882" ht="15.75" customHeight="1" spans="1:2">
      <c r="A44882" s="3" t="str">
        <f>IFERROR(__xludf.DUMMYFUNCTION("GOOGLETRANSLATE(A44882,""en"",""pt"")"),"barato, confiável, cartucho de dupla")</f>
        <v>barato, confiável, cartucho de dupla</v>
      </c>
      <c r="B44882" s="3">
        <v>1</v>
      </c>
    </row>
    <row r="44883" ht="15.75" customHeight="1" spans="1:2">
      <c r="A44883" s="3" t="str">
        <f>IFERROR(__xludf.DUMMYFUNCTION("GOOGLETRANSLATE(A44883,""en"",""pt"")"),"barato, confiável, fácil de usar")</f>
        <v>barato, confiável, fácil de usar</v>
      </c>
      <c r="B44883" s="3">
        <v>1</v>
      </c>
    </row>
    <row r="44884" ht="15.75" customHeight="1" spans="1:2">
      <c r="A44884" s="3" t="str">
        <f>IFERROR(__xludf.DUMMYFUNCTION("GOOGLETRANSLATE(A44884,""en"",""pt"")"),"Funciona bem")</f>
        <v>Funciona bem</v>
      </c>
      <c r="B44884" s="3">
        <v>1</v>
      </c>
    </row>
    <row r="44885" ht="15.75" customHeight="1" spans="1:2">
      <c r="A44885" s="3" t="str">
        <f>IFERROR(__xludf.DUMMYFUNCTION("GOOGLETRANSLATE(A44885,""en"",""pt"")"),"Baixo preço, alto valor. Boa qualidade preto e branco.")</f>
        <v>Baixo preço, alto valor. Boa qualidade preto e branco.</v>
      </c>
      <c r="B44885" s="3">
        <v>1</v>
      </c>
    </row>
    <row r="44886" ht="15.75" customHeight="1" spans="1:2">
      <c r="A44886" s="3" t="str">
        <f>IFERROR(__xludf.DUMMYFUNCTION("GOOGLETRANSLATE(A44886,""en"",""pt"")"),"Barato, cores, recurso Ink Económica")</f>
        <v>Barato, cores, recurso Ink Económica</v>
      </c>
      <c r="B44886" s="3">
        <v>1</v>
      </c>
    </row>
    <row r="44887" ht="15.75" customHeight="1" spans="1:2">
      <c r="A44887" s="3" t="str">
        <f>IFERROR(__xludf.DUMMYFUNCTION("GOOGLETRANSLATE(A44887,""en"",""pt"")"),"preços razoáveis, fácil configuração, funciona com qualquer coisa")</f>
        <v>preços razoáveis, fácil configuração, funciona com qualquer coisa</v>
      </c>
      <c r="B44887" s="3">
        <v>1</v>
      </c>
    </row>
    <row r="44888" ht="15.75" customHeight="1" spans="1:2">
      <c r="A44888" s="3" t="str">
        <f>IFERROR(__xludf.DUMMYFUNCTION("GOOGLETRANSLATE(A44888,""en"",""pt"")"),"Limpar, impressão de texto nítido em tinta preta e com preços razoáveis.")</f>
        <v>Limpar, impressão de texto nítido em tinta preta e com preços razoáveis.</v>
      </c>
      <c r="B44888" s="3">
        <v>1</v>
      </c>
    </row>
    <row r="44889" ht="15.75" customHeight="1" spans="1:2">
      <c r="A44889" s="3" t="str">
        <f>IFERROR(__xludf.DUMMYFUNCTION("GOOGLETRANSLATE(A44889,""en"",""pt"")"),"Boa alimentação de papel")</f>
        <v>Boa alimentação de papel</v>
      </c>
      <c r="B44889" s="3">
        <v>1</v>
      </c>
    </row>
    <row r="44890" ht="15.75" customHeight="1" spans="1:2">
      <c r="A44890" s="3" t="str">
        <f>IFERROR(__xludf.DUMMYFUNCTION("GOOGLETRANSLATE(A44890,""en"",""pt"")"),"Nenhum")</f>
        <v>Nenhum</v>
      </c>
      <c r="B44890" s="3">
        <v>1</v>
      </c>
    </row>
    <row r="44891" ht="15.75" customHeight="1" spans="1:2">
      <c r="A44891" s="3" t="str">
        <f>IFERROR(__xludf.DUMMYFUNCTION("GOOGLETRANSLATE(A44891,""en"",""pt"")"),"Barato")</f>
        <v>Barato</v>
      </c>
      <c r="B44891" s="3">
        <v>1</v>
      </c>
    </row>
    <row r="44892" ht="15.75" customHeight="1" spans="1:2">
      <c r="A44892" s="3" t="str">
        <f>IFERROR(__xludf.DUMMYFUNCTION("GOOGLETRANSLATE(A44892,""en"",""pt"")"),"A grande qualidade, cartuchos de impressão durar um longo tempo")</f>
        <v>A grande qualidade, cartuchos de impressão durar um longo tempo</v>
      </c>
      <c r="B44892" s="3">
        <v>1</v>
      </c>
    </row>
    <row r="44893" ht="15.75" customHeight="1" spans="1:2">
      <c r="A44893" s="3" t="str">
        <f>IFERROR(__xludf.DUMMYFUNCTION("GOOGLETRANSLATE(A44893,""en"",""pt"")"),"A qualidade da impressão é OK")</f>
        <v>A qualidade da impressão é OK</v>
      </c>
      <c r="B44893" s="3">
        <v>1</v>
      </c>
    </row>
    <row r="44894" ht="15.75" customHeight="1" spans="1:2">
      <c r="A44894" s="3" t="str">
        <f>IFERROR(__xludf.DUMMYFUNCTION("GOOGLETRANSLATE(A44894,""en"",""pt"")"),"barato")</f>
        <v>barato</v>
      </c>
      <c r="B44894" s="3">
        <v>1</v>
      </c>
    </row>
    <row r="44895" ht="15.75" customHeight="1" spans="1:2">
      <c r="A44895" s="3" t="str">
        <f>IFERROR(__xludf.DUMMYFUNCTION("GOOGLETRANSLATE(A44895,""en"",""pt"")"),"Fácil de usar, de baixo preço, qualidade decente")</f>
        <v>Fácil de usar, de baixo preço, qualidade decente</v>
      </c>
      <c r="B44895" s="3">
        <v>1</v>
      </c>
    </row>
    <row r="44896" ht="15.75" customHeight="1" spans="1:2">
      <c r="A44896" s="3" t="str">
        <f>IFERROR(__xludf.DUMMYFUNCTION("GOOGLETRANSLATE(A44896,""en"",""pt"")"),"A reputação da marca, a impressão clara")</f>
        <v>A reputação da marca, a impressão clara</v>
      </c>
      <c r="B44896" s="3">
        <v>1</v>
      </c>
    </row>
    <row r="44897" ht="15.75" customHeight="1" spans="1:2">
      <c r="A44897" s="3" t="str">
        <f>IFERROR(__xludf.DUMMYFUNCTION("GOOGLETRANSLATE(A44897,""en"",""pt"")"),"Nenhum")</f>
        <v>Nenhum</v>
      </c>
      <c r="B44897" s="3">
        <v>1</v>
      </c>
    </row>
    <row r="44898" ht="15.75" customHeight="1" spans="1:2">
      <c r="A44898" s="3" t="str">
        <f>IFERROR(__xludf.DUMMYFUNCTION("GOOGLETRANSLATE(A44898,""en"",""pt"")"),"impressão de cor agradável")</f>
        <v>impressão de cor agradável</v>
      </c>
      <c r="B44898" s="3">
        <v>1</v>
      </c>
    </row>
    <row r="44899" ht="15.75" customHeight="1" spans="1:2">
      <c r="A44899" s="3" t="str">
        <f>IFERROR(__xludf.DUMMYFUNCTION("GOOGLETRANSLATE(A44899,""en"",""pt"")"),"Serviço ao cliente foi útil, barato")</f>
        <v>Serviço ao cliente foi útil, barato</v>
      </c>
      <c r="B44899" s="3">
        <v>1</v>
      </c>
    </row>
    <row r="44900" ht="15.75" customHeight="1" spans="1:2">
      <c r="A44900" s="3" t="str">
        <f>IFERROR(__xludf.DUMMYFUNCTION("GOOGLETRANSLATE(A44900,""en"",""pt"")"),"Excelente produto e confiabilidade")</f>
        <v>Excelente produto e confiabilidade</v>
      </c>
      <c r="B44900" s="3">
        <v>1</v>
      </c>
    </row>
    <row r="44901" ht="15.75" customHeight="1" spans="1:2">
      <c r="A44901" s="3" t="str">
        <f>IFERROR(__xludf.DUMMYFUNCTION("GOOGLETRANSLATE(A44901,""en"",""pt"")"),"Alta qualidade, bom preço, dura muito tempo")</f>
        <v>Alta qualidade, bom preço, dura muito tempo</v>
      </c>
      <c r="B44901" s="3">
        <v>1</v>
      </c>
    </row>
    <row r="44902" ht="15.75" customHeight="1" spans="1:2">
      <c r="A44902" s="3" t="str">
        <f>IFERROR(__xludf.DUMMYFUNCTION("GOOGLETRANSLATE(A44902,""en"",""pt"")"),"Excelente qualidade de impressão, preço imbatível.")</f>
        <v>Excelente qualidade de impressão, preço imbatível.</v>
      </c>
      <c r="B44902" s="3">
        <v>1</v>
      </c>
    </row>
    <row r="44903" ht="15.75" customHeight="1" spans="1:2">
      <c r="A44903" s="3" t="str">
        <f>IFERROR(__xludf.DUMMYFUNCTION("GOOGLETRANSLATE(A44903,""en"",""pt"")"),"O custo para um grande produto, facilidade de uso e atendimento ao cliente.")</f>
        <v>O custo para um grande produto, facilidade de uso e atendimento ao cliente.</v>
      </c>
      <c r="B44903" s="3">
        <v>1</v>
      </c>
    </row>
    <row r="44904" ht="15.75" customHeight="1" spans="1:2">
      <c r="A44904" s="3" t="str">
        <f>IFERROR(__xludf.DUMMYFUNCTION("GOOGLETRANSLATE(A44904,""en"",""pt"")"),"Preço, imagem, olhar, tudo!")</f>
        <v>Preço, imagem, olhar, tudo!</v>
      </c>
      <c r="B44904" s="3">
        <v>1</v>
      </c>
    </row>
    <row r="44905" ht="15.75" customHeight="1" spans="1:2">
      <c r="A44905" s="3" t="str">
        <f>IFERROR(__xludf.DUMMYFUNCTION("GOOGLETRANSLATE(A44905,""en"",""pt"")"),"cartucho de tinta, papel de alinhamento")</f>
        <v>cartucho de tinta, papel de alinhamento</v>
      </c>
      <c r="B44905" s="3">
        <v>1</v>
      </c>
    </row>
    <row r="44906" ht="15.75" customHeight="1" spans="1:2">
      <c r="A44906" s="3" t="str">
        <f>IFERROR(__xludf.DUMMYFUNCTION("GOOGLETRANSLATE(A44906,""en"",""pt"")"),"Será que as funções mecânicas do seu trabalho corretamente")</f>
        <v>Será que as funções mecânicas do seu trabalho corretamente</v>
      </c>
      <c r="B44906" s="3">
        <v>1</v>
      </c>
    </row>
    <row r="44907" ht="15.75" customHeight="1" spans="1:2">
      <c r="A44907" s="3" t="str">
        <f>IFERROR(__xludf.DUMMYFUNCTION("GOOGLETRANSLATE(A44907,""en"",""pt"")"),"Fácil de usar, de grande qualidade. impressão rápida")</f>
        <v>Fácil de usar, de grande qualidade. impressão rápida</v>
      </c>
      <c r="B44907" s="3">
        <v>1</v>
      </c>
    </row>
    <row r="44908" ht="15.75" customHeight="1" spans="1:2">
      <c r="A44908" s="3" t="str">
        <f>IFERROR(__xludf.DUMMYFUNCTION("GOOGLETRANSLATE(A44908,""en"",""pt"")"),"Rápido e amigável, acessível")</f>
        <v>Rápido e amigável, acessível</v>
      </c>
      <c r="B44908" s="3">
        <v>1</v>
      </c>
    </row>
    <row r="44909" ht="15.75" customHeight="1" spans="1:2">
      <c r="A44909" s="3" t="str">
        <f>IFERROR(__xludf.DUMMYFUNCTION("GOOGLETRANSLATE(A44909,""en"",""pt"")"),"O modo de qualidade de rascunho é muito rápido, mas a tinta sangra em todos os lugares ...")</f>
        <v>O modo de qualidade de rascunho é muito rápido, mas a tinta sangra em todos os lugares ...</v>
      </c>
      <c r="B44909" s="3">
        <v>1</v>
      </c>
    </row>
    <row r="44910" ht="15.75" customHeight="1" spans="1:2">
      <c r="A44910" s="3" t="str">
        <f>IFERROR(__xludf.DUMMYFUNCTION("GOOGLETRANSLATE(A44910,""en"",""pt"")"),"Prints cópia muito limpo!")</f>
        <v>Prints cópia muito limpo!</v>
      </c>
      <c r="B44910" s="3">
        <v>1</v>
      </c>
    </row>
    <row r="44911" ht="15.75" customHeight="1" spans="1:2">
      <c r="A44911" s="3" t="str">
        <f>IFERROR(__xludf.DUMMYFUNCTION("GOOGLETRANSLATE(A44911,""en"",""pt"")"),"Barato e tranquila")</f>
        <v>Barato e tranquila</v>
      </c>
      <c r="B44911" s="3">
        <v>1</v>
      </c>
    </row>
    <row r="44912" ht="15.75" customHeight="1" spans="1:2">
      <c r="A44912" s="3" t="str">
        <f>IFERROR(__xludf.DUMMYFUNCTION("GOOGLETRANSLATE(A44912,""en"",""pt"")"),"Barato e tranquila")</f>
        <v>Barato e tranquila</v>
      </c>
      <c r="B44912" s="3">
        <v>1</v>
      </c>
    </row>
    <row r="44913" ht="15.75" customHeight="1" spans="1:2">
      <c r="A44913" s="3" t="str">
        <f>IFERROR(__xludf.DUMMYFUNCTION("GOOGLETRANSLATE(A44913,""en"",""pt"")"),"Sólido, Nice que procuram saída, USB")</f>
        <v>Sólido, Nice que procuram saída, USB</v>
      </c>
      <c r="B44913" s="3">
        <v>1</v>
      </c>
    </row>
    <row r="44914" ht="15.75" customHeight="1" spans="1:2">
      <c r="A44914" s="3" t="str">
        <f>IFERROR(__xludf.DUMMYFUNCTION("GOOGLETRANSLATE(A44914,""en"",""pt"")"),"Boa qualidade de impressão para o dinheiro")</f>
        <v>Boa qualidade de impressão para o dinheiro</v>
      </c>
      <c r="B44914" s="3">
        <v>1</v>
      </c>
    </row>
    <row r="44915" ht="15.75" customHeight="1" spans="1:2">
      <c r="A44915" s="3" t="str">
        <f>IFERROR(__xludf.DUMMYFUNCTION("GOOGLETRANSLATE(A44915,""en"",""pt"")"),"A impressora a cores acessível pequena que é fácil de configurar e usar.")</f>
        <v>A impressora a cores acessível pequena que é fácil de configurar e usar.</v>
      </c>
      <c r="B44915" s="3">
        <v>1</v>
      </c>
    </row>
    <row r="44916" ht="15.75" customHeight="1" spans="1:2">
      <c r="A44916" s="3" t="str">
        <f>IFERROR(__xludf.DUMMYFUNCTION("GOOGLETRANSLATE(A44916,""en"",""pt"")"),"Barato.")</f>
        <v>Barato.</v>
      </c>
      <c r="B44916" s="3">
        <v>1</v>
      </c>
    </row>
    <row r="44917" ht="15.75" customHeight="1" spans="1:2">
      <c r="A44917" s="3" t="str">
        <f>IFERROR(__xludf.DUMMYFUNCTION("GOOGLETRANSLATE(A44917,""en"",""pt"")"),"rápida e silenciosa")</f>
        <v>rápida e silenciosa</v>
      </c>
      <c r="B44917" s="3">
        <v>1</v>
      </c>
    </row>
    <row r="44918" ht="15.75" customHeight="1" spans="1:2">
      <c r="A44918" s="3" t="str">
        <f>IFERROR(__xludf.DUMMYFUNCTION("GOOGLETRANSLATE(A44918,""en"",""pt"")"),"grande valor a um preço baixo")</f>
        <v>grande valor a um preço baixo</v>
      </c>
      <c r="B44918" s="3">
        <v>1</v>
      </c>
    </row>
    <row r="44919" ht="15.75" customHeight="1" spans="1:2">
      <c r="A44919" s="3" t="str">
        <f>IFERROR(__xludf.DUMMYFUNCTION("GOOGLETRANSLATE(A44919,""en"",""pt"")"),"Ótimo preço!")</f>
        <v>Ótimo preço!</v>
      </c>
      <c r="B44919" s="3">
        <v>1</v>
      </c>
    </row>
    <row r="44920" ht="15.75" customHeight="1" spans="1:2">
      <c r="A44920" s="3" t="str">
        <f>IFERROR(__xludf.DUMMYFUNCTION("GOOGLETRANSLATE(A44920,""en"",""pt"")"),"A grande qualidade, bons motoristas, parece kinda arrefecer, USB * ou * conexão paralela, a compatibilidade Mac, cartuchos de tinta bigass durar um longo tempo, a confiabilidade HP, muito, muito bom negócio.")</f>
        <v>A grande qualidade, bons motoristas, parece kinda arrefecer, USB * ou * conexão paralela, a compatibilidade Mac, cartuchos de tinta bigass durar um longo tempo, a confiabilidade HP, muito, muito bom negócio.</v>
      </c>
      <c r="B44920" s="3">
        <v>1</v>
      </c>
    </row>
    <row r="44921" ht="15.75" customHeight="1" spans="1:2">
      <c r="A44921" s="3" t="str">
        <f>IFERROR(__xludf.DUMMYFUNCTION("GOOGLETRANSLATE(A44921,""en"",""pt"")"),"Suporte USB, preço barato na frente ...")</f>
        <v>Suporte USB, preço barato na frente ...</v>
      </c>
      <c r="B44921" s="3">
        <v>1</v>
      </c>
    </row>
    <row r="44922" ht="15.75" customHeight="1" spans="1:2">
      <c r="A44922" s="3" t="str">
        <f>IFERROR(__xludf.DUMMYFUNCTION("GOOGLETRANSLATE(A44922,""en"",""pt"")"),"Barato! Cor. Mesma aparência como outros DeskJets HP")</f>
        <v>Barato! Cor. Mesma aparência como outros DeskJets HP</v>
      </c>
      <c r="B44922" s="3">
        <v>1</v>
      </c>
    </row>
    <row r="44923" ht="15.75" customHeight="1" spans="1:2">
      <c r="A44923" s="3" t="str">
        <f>IFERROR(__xludf.DUMMYFUNCTION("GOOGLETRANSLATE(A44923,""en"",""pt"")"),"Grande qualidade de cor e impressão a preto e branco para um preço muito bom")</f>
        <v>Grande qualidade de cor e impressão a preto e branco para um preço muito bom</v>
      </c>
      <c r="B44923" s="3">
        <v>1</v>
      </c>
    </row>
    <row r="44924" ht="15.75" customHeight="1" spans="1:2">
      <c r="A44924" s="3" t="str">
        <f>IFERROR(__xludf.DUMMYFUNCTION("GOOGLETRANSLATE(A44924,""en"",""pt"")"),"Corpo agradável, fácil de instalar, cores claras e brilhantes.")</f>
        <v>Corpo agradável, fácil de instalar, cores claras e brilhantes.</v>
      </c>
      <c r="B44924" s="3">
        <v>1</v>
      </c>
    </row>
    <row r="44925" ht="15.75" customHeight="1" spans="1:2">
      <c r="A44925" s="3" t="str">
        <f>IFERROR(__xludf.DUMMYFUNCTION("GOOGLETRANSLATE(A44925,""en"",""pt"")"),"Veio, com o meu iMac, então o preço estava certo!")</f>
        <v>Veio, com o meu iMac, então o preço estava certo!</v>
      </c>
      <c r="B44925" s="3">
        <v>1</v>
      </c>
    </row>
    <row r="44926" ht="15.75" customHeight="1" spans="1:2">
      <c r="A44926" s="3" t="str">
        <f>IFERROR(__xludf.DUMMYFUNCTION("GOOGLETRANSLATE(A44926,""en"",""pt"")"),"Amplamente apoiado, qualidade consistente, imprime envelopes e suportes de papel sanfonada")</f>
        <v>Amplamente apoiado, qualidade consistente, imprime envelopes e suportes de papel sanfonada</v>
      </c>
      <c r="B44926" s="3">
        <v>1</v>
      </c>
    </row>
    <row r="44927" ht="15.75" customHeight="1" spans="1:2">
      <c r="A44927" s="3" t="str">
        <f>IFERROR(__xludf.DUMMYFUNCTION("GOOGLETRANSLATE(A44927,""en"",""pt"")"),"Prints claramente, fácil de usar, fácil de carregar o papel na.")</f>
        <v>Prints claramente, fácil de usar, fácil de carregar o papel na.</v>
      </c>
      <c r="B44927" s="3">
        <v>1</v>
      </c>
    </row>
    <row r="44928" ht="15.75" customHeight="1" spans="1:2">
      <c r="A44928" s="3" t="str">
        <f>IFERROR(__xludf.DUMMYFUNCTION("GOOGLETRANSLATE(A44928,""en"",""pt"")"),"Preço econômico.")</f>
        <v>Preço econômico.</v>
      </c>
      <c r="B44928" s="3">
        <v>1</v>
      </c>
    </row>
    <row r="44929" ht="15.75" customHeight="1" spans="1:2">
      <c r="A44929" s="3" t="str">
        <f>IFERROR(__xludf.DUMMYFUNCTION("GOOGLETRANSLATE(A44929,""en"",""pt"")"),"Ele nunca faz uma bolha, é econômico usar, a tinta dura muito tempo e quase nunca tem atolamentos de papel.")</f>
        <v>Ele nunca faz uma bolha, é econômico usar, a tinta dura muito tempo e quase nunca tem atolamentos de papel.</v>
      </c>
      <c r="B44929" s="3">
        <v>1</v>
      </c>
    </row>
    <row r="44930" ht="15.75" customHeight="1" spans="1:2">
      <c r="A44930" s="3" t="str">
        <f>IFERROR(__xludf.DUMMYFUNCTION("GOOGLETRANSLATE(A44930,""en"",""pt"")"),"Excelente preto / impressão branco e cor, o desempenho estelar relação preço /")</f>
        <v>Excelente preto / impressão branco e cor, o desempenho estelar relação preço /</v>
      </c>
      <c r="B44930" s="3">
        <v>1</v>
      </c>
    </row>
    <row r="44931" ht="15.75" customHeight="1" spans="1:2">
      <c r="A44931" s="3" t="str">
        <f>IFERROR(__xludf.DUMMYFUNCTION("GOOGLETRANSLATE(A44931,""en"",""pt"")"),"ótimo preço")</f>
        <v>ótimo preço</v>
      </c>
      <c r="B44931" s="3">
        <v>1</v>
      </c>
    </row>
    <row r="44932" ht="15.75" customHeight="1" spans="1:2">
      <c r="A44932" s="3" t="str">
        <f>IFERROR(__xludf.DUMMYFUNCTION("GOOGLETRANSLATE(A44932,""en"",""pt"")"),"Eficiente, clara")</f>
        <v>Eficiente, clara</v>
      </c>
      <c r="B44932" s="3">
        <v>1</v>
      </c>
    </row>
    <row r="44933" ht="15.75" customHeight="1" spans="1:2">
      <c r="A44933" s="3" t="str">
        <f>IFERROR(__xludf.DUMMYFUNCTION("GOOGLETRANSLATE(A44933,""en"",""pt"")"),"impressora de baixo custo a partir de uma grande empresa")</f>
        <v>impressora de baixo custo a partir de uma grande empresa</v>
      </c>
      <c r="B44933" s="3">
        <v>1</v>
      </c>
    </row>
    <row r="44934" ht="15.75" customHeight="1" spans="1:2">
      <c r="A44934" s="3" t="str">
        <f>IFERROR(__xludf.DUMMYFUNCTION("GOOGLETRANSLATE(A44934,""en"",""pt"")"),"longa vida, cartuchos de tinta durar muito tempo")</f>
        <v>longa vida, cartuchos de tinta durar muito tempo</v>
      </c>
      <c r="B44934" s="3">
        <v>1</v>
      </c>
    </row>
    <row r="44935" ht="15.75" customHeight="1" spans="1:2">
      <c r="A44935" s="3" t="str">
        <f>IFERROR(__xludf.DUMMYFUNCTION("GOOGLETRANSLATE(A44935,""en"",""pt"")"),"qualidade excepcional, muito versátil, muito acessível")</f>
        <v>qualidade excepcional, muito versátil, muito acessível</v>
      </c>
      <c r="B44935" s="3">
        <v>1</v>
      </c>
    </row>
    <row r="44936" ht="15.75" customHeight="1" spans="1:2">
      <c r="A44936" s="3" t="str">
        <f>IFERROR(__xludf.DUMMYFUNCTION("GOOGLETRANSLATE(A44936,""en"",""pt"")"),"preço razoável, cores nítidas, velocidade bem, muito tranquilo")</f>
        <v>preço razoável, cores nítidas, velocidade bem, muito tranquilo</v>
      </c>
      <c r="B44936" s="3">
        <v>1</v>
      </c>
    </row>
    <row r="44937" ht="15.75" customHeight="1" spans="1:2">
      <c r="A44937" s="3" t="str">
        <f>IFERROR(__xludf.DUMMYFUNCTION("GOOGLETRANSLATE(A44937,""en"",""pt"")"),"compactar")</f>
        <v>compactar</v>
      </c>
      <c r="B44937" s="3">
        <v>1</v>
      </c>
    </row>
    <row r="44938" ht="15.75" customHeight="1" spans="1:2">
      <c r="A44938" s="3" t="str">
        <f>IFERROR(__xludf.DUMMYFUNCTION("GOOGLETRANSLATE(A44938,""en"",""pt"")"),"baixo preço")</f>
        <v>baixo preço</v>
      </c>
      <c r="B44938" s="3">
        <v>1</v>
      </c>
    </row>
    <row r="44939" ht="15.75" customHeight="1" spans="1:2">
      <c r="A44939" s="3" t="str">
        <f>IFERROR(__xludf.DUMMYFUNCTION("GOOGLETRANSLATE(A44939,""en"",""pt"")"),"Barato, compatível com a maioria dos computadores")</f>
        <v>Barato, compatível com a maioria dos computadores</v>
      </c>
      <c r="B44939" s="3">
        <v>1</v>
      </c>
    </row>
    <row r="44940" ht="15.75" customHeight="1" spans="1:2">
      <c r="A44940" s="3" t="str">
        <f>IFERROR(__xludf.DUMMYFUNCTION("GOOGLETRANSLATE(A44940,""en"",""pt"")"),"boa qualidade, boa velocidade, preço competitivo, excelentes propriedades e serviços")</f>
        <v>boa qualidade, boa velocidade, preço competitivo, excelentes propriedades e serviços</v>
      </c>
      <c r="B44940" s="3">
        <v>1</v>
      </c>
    </row>
    <row r="44941" ht="15.75" customHeight="1" spans="1:2">
      <c r="A44941" s="3" t="str">
        <f>IFERROR(__xludf.DUMMYFUNCTION("GOOGLETRANSLATE(A44941,""en"",""pt"")"),"barato tinta remodelado economizar muito dinheiro ao longo do tempo")</f>
        <v>barato tinta remodelado economizar muito dinheiro ao longo do tempo</v>
      </c>
      <c r="B44941" s="3">
        <v>1</v>
      </c>
    </row>
    <row r="44942" ht="15.75" customHeight="1" spans="1:2">
      <c r="A44942" s="3" t="str">
        <f>IFERROR(__xludf.DUMMYFUNCTION("GOOGLETRANSLATE(A44942,""en"",""pt"")"),"Ele vai lidar com a maioria das necessidades de pequenos escritórios")</f>
        <v>Ele vai lidar com a maioria das necessidades de pequenos escritórios</v>
      </c>
      <c r="B44942" s="3">
        <v>1</v>
      </c>
    </row>
    <row r="44943" ht="15.75" customHeight="1" spans="1:2">
      <c r="A44943" s="3" t="str">
        <f>IFERROR(__xludf.DUMMYFUNCTION("GOOGLETRANSLATE(A44943,""en"",""pt"")"),"mantém a cor e cartucho, preço, alimentador preto envelope")</f>
        <v>mantém a cor e cartucho, preço, alimentador preto envelope</v>
      </c>
      <c r="B44943" s="3">
        <v>1</v>
      </c>
    </row>
    <row r="44944" ht="15.75" customHeight="1" spans="1:2">
      <c r="A44944" s="3" t="str">
        <f>IFERROR(__xludf.DUMMYFUNCTION("GOOGLETRANSLATE(A44944,""en"",""pt"")"),"Fácil de usar, de grande qualidade")</f>
        <v>Fácil de usar, de grande qualidade</v>
      </c>
      <c r="B44944" s="3">
        <v>1</v>
      </c>
    </row>
    <row r="44945" ht="15.75" customHeight="1" spans="1:2">
      <c r="A44945" s="3" t="str">
        <f>IFERROR(__xludf.DUMMYFUNCTION("GOOGLETRANSLATE(A44945,""en"",""pt"")"),"Fácil de usar e boa impressão de texto")</f>
        <v>Fácil de usar e boa impressão de texto</v>
      </c>
      <c r="B44945" s="3">
        <v>1</v>
      </c>
    </row>
    <row r="44946" ht="15.75" customHeight="1" spans="1:2">
      <c r="A44946" s="3" t="str">
        <f>IFERROR(__xludf.DUMMYFUNCTION("GOOGLETRANSLATE(A44946,""en"",""pt"")"),", cartuchos de tinta separados de bom tamanho")</f>
        <v>, cartuchos de tinta separados de bom tamanho</v>
      </c>
      <c r="B44946" s="3">
        <v>1</v>
      </c>
    </row>
    <row r="44947" ht="15.75" customHeight="1" spans="1:2">
      <c r="A44947" s="3" t="str">
        <f>IFERROR(__xludf.DUMMYFUNCTION("GOOGLETRANSLATE(A44947,""en"",""pt"")"),"Preço versus qualidade é superior!")</f>
        <v>Preço versus qualidade é superior!</v>
      </c>
      <c r="B44947" s="3">
        <v>1</v>
      </c>
    </row>
    <row r="44948" ht="15.75" customHeight="1" spans="1:2">
      <c r="A44948" s="3" t="str">
        <f>IFERROR(__xludf.DUMMYFUNCTION("GOOGLETRANSLATE(A44948,""en"",""pt"")"),"muitos")</f>
        <v>muitos</v>
      </c>
      <c r="B44948" s="3">
        <v>1</v>
      </c>
    </row>
    <row r="44949" ht="15.75" customHeight="1" spans="1:2">
      <c r="A44949" s="3" t="str">
        <f>IFERROR(__xludf.DUMMYFUNCTION("GOOGLETRANSLATE(A44949,""en"",""pt"")"),"Não há congestionamentos de papel. Excelente suporte. Bom preço.")</f>
        <v>Não há congestionamentos de papel. Excelente suporte. Bom preço.</v>
      </c>
      <c r="B44949" s="3">
        <v>1</v>
      </c>
    </row>
    <row r="44950" ht="15.75" customHeight="1" spans="1:2">
      <c r="A44950" s="3" t="str">
        <f>IFERROR(__xludf.DUMMYFUNCTION("GOOGLETRANSLATE(A44950,""en"",""pt"")"),"Boa qualidade")</f>
        <v>Boa qualidade</v>
      </c>
      <c r="B44950" s="3">
        <v>1</v>
      </c>
    </row>
    <row r="44951" ht="15.75" customHeight="1" spans="1:2">
      <c r="A44951" s="3" t="str">
        <f>IFERROR(__xludf.DUMMYFUNCTION("GOOGLETRANSLATE(A44951,""en"",""pt"")"),"fácil configuração, boa qualidade de impressão")</f>
        <v>fácil configuração, boa qualidade de impressão</v>
      </c>
      <c r="B44951" s="3">
        <v>1</v>
      </c>
    </row>
    <row r="44952" ht="15.75" customHeight="1" spans="1:2">
      <c r="A44952" s="3" t="str">
        <f>IFERROR(__xludf.DUMMYFUNCTION("GOOGLETRANSLATE(A44952,""en"",""pt"")"),"duradouro cartuchos de tinta, uma saída de boa impressão")</f>
        <v>duradouro cartuchos de tinta, uma saída de boa impressão</v>
      </c>
      <c r="B44952" s="3">
        <v>1</v>
      </c>
    </row>
    <row r="44953" ht="15.75" customHeight="1" spans="1:2">
      <c r="A44953" s="3" t="str">
        <f>IFERROR(__xludf.DUMMYFUNCTION("GOOGLETRANSLATE(A44953,""en"",""pt"")"),"acessível, bom para a impressão de texto")</f>
        <v>acessível, bom para a impressão de texto</v>
      </c>
      <c r="B44953" s="3">
        <v>1</v>
      </c>
    </row>
    <row r="44954" ht="15.75" customHeight="1" spans="1:2">
      <c r="A44954" s="3" t="str">
        <f>IFERROR(__xludf.DUMMYFUNCTION("GOOGLETRANSLATE(A44954,""en"",""pt"")"),"Impressão preciso muito claro")</f>
        <v>Impressão preciso muito claro</v>
      </c>
      <c r="B44954" s="3">
        <v>1</v>
      </c>
    </row>
    <row r="44955" ht="15.75" customHeight="1" spans="1:2">
      <c r="A44955" s="3" t="str">
        <f>IFERROR(__xludf.DUMMYFUNCTION("GOOGLETRANSLATE(A44955,""en"",""pt"")")," amo a precisão de cor")</f>
        <v> amo a precisão de cor</v>
      </c>
      <c r="B44955" s="3">
        <v>1</v>
      </c>
    </row>
    <row r="44956" ht="15.75" customHeight="1" spans="1:2">
      <c r="A44956" s="3" t="str">
        <f>IFERROR(__xludf.DUMMYFUNCTION("GOOGLETRANSLATE(A44956,""en"",""pt"")"),"bom tamanho, bastante tranquilo")</f>
        <v>bom tamanho, bastante tranquilo</v>
      </c>
      <c r="B44956" s="3">
        <v>1</v>
      </c>
    </row>
    <row r="44957" ht="15.75" customHeight="1" spans="1:2">
      <c r="A44957" s="3" t="str">
        <f>IFERROR(__xludf.DUMMYFUNCTION("GOOGLETRANSLATE(A44957,""en"",""pt"")"),"Qualidade de impressão preço acessível. fontes facilmente obtido e substituído")</f>
        <v>Qualidade de impressão preço acessível. fontes facilmente obtido e substituído</v>
      </c>
      <c r="B44957" s="3">
        <v>1</v>
      </c>
    </row>
    <row r="44958" ht="15.75" customHeight="1" spans="1:2">
      <c r="A44958" s="3" t="str">
        <f>IFERROR(__xludf.DUMMYFUNCTION("GOOGLETRANSLATE(A44958,""en"",""pt"")"),"Um cavalo de trabalho, a um preço justo ...")</f>
        <v>Um cavalo de trabalho, a um preço justo ...</v>
      </c>
      <c r="B44958" s="3">
        <v>1</v>
      </c>
    </row>
    <row r="44959" ht="15.75" customHeight="1" spans="1:2">
      <c r="A44959" s="3" t="str">
        <f>IFERROR(__xludf.DUMMYFUNCTION("GOOGLETRANSLATE(A44959,""en"",""pt"")"),"barato")</f>
        <v>barato</v>
      </c>
      <c r="B44959" s="3">
        <v>1</v>
      </c>
    </row>
    <row r="44960" ht="15.75" customHeight="1" spans="1:2">
      <c r="A44960" s="3" t="str">
        <f>IFERROR(__xludf.DUMMYFUNCTION("GOOGLETRANSLATE(A44960,""en"",""pt"")"),"rápida, fácil de usar, confiável")</f>
        <v>rápida, fácil de usar, confiável</v>
      </c>
      <c r="B44960" s="3">
        <v>1</v>
      </c>
    </row>
    <row r="44961" ht="15.75" customHeight="1" spans="1:2">
      <c r="A44961" s="3" t="str">
        <f>IFERROR(__xludf.DUMMYFUNCTION("GOOGLETRANSLATE(A44961,""en"",""pt"")"),"Menor Preço, marca e Confiabilidade")</f>
        <v>Menor Preço, marca e Confiabilidade</v>
      </c>
      <c r="B44961" s="3">
        <v>1</v>
      </c>
    </row>
    <row r="44962" ht="15.75" customHeight="1" spans="1:2">
      <c r="A44962" s="3" t="str">
        <f>IFERROR(__xludf.DUMMYFUNCTION("GOOGLETRANSLATE(A44962,""en"",""pt"")"),"Tem um monte de papel, fácil de usar e versátil")</f>
        <v>Tem um monte de papel, fácil de usar e versátil</v>
      </c>
      <c r="B44962" s="3">
        <v>1</v>
      </c>
    </row>
    <row r="44963" ht="15.75" customHeight="1" spans="1:2">
      <c r="A44963" s="3" t="str">
        <f>IFERROR(__xludf.DUMMYFUNCTION("GOOGLETRANSLATE(A44963,""en"",""pt"")"),"Confiável, claro, fácil de usar")</f>
        <v>Confiável, claro, fácil de usar</v>
      </c>
      <c r="B44963" s="3">
        <v>1</v>
      </c>
    </row>
    <row r="44964" ht="15.75" customHeight="1" spans="1:2">
      <c r="A44964" s="3" t="str">
        <f>IFERROR(__xludf.DUMMYFUNCTION("GOOGLETRANSLATE(A44964,""en"",""pt"")"),"impressões meio rápido")</f>
        <v>impressões meio rápido</v>
      </c>
      <c r="B44964" s="3">
        <v>1</v>
      </c>
    </row>
    <row r="44965" ht="15.75" customHeight="1" spans="1:2">
      <c r="A44965" s="3" t="str">
        <f>IFERROR(__xludf.DUMMYFUNCTION("GOOGLETRANSLATE(A44965,""en"",""pt"")"),"impressão de boa qualidade")</f>
        <v>impressão de boa qualidade</v>
      </c>
      <c r="B44965" s="3">
        <v>1</v>
      </c>
    </row>
    <row r="44966" ht="15.75" customHeight="1" spans="1:2">
      <c r="A44966" s="3" t="str">
        <f>IFERROR(__xludf.DUMMYFUNCTION("GOOGLETRANSLATE(A44966,""en"",""pt"")"),"fácil de usar, projectos de qualidade")</f>
        <v>fácil de usar, projectos de qualidade</v>
      </c>
      <c r="B44966" s="3">
        <v>1</v>
      </c>
    </row>
    <row r="44967" ht="15.75" customHeight="1" spans="1:2">
      <c r="A44967" s="3" t="str">
        <f>IFERROR(__xludf.DUMMYFUNCTION("GOOGLETRANSLATE(A44967,""en"",""pt"")"),"não muito caro, claro &amp; amp; amp; impressão afiada")</f>
        <v>não muito caro, claro &amp; amp; amp; impressão afiada</v>
      </c>
      <c r="B44967" s="3">
        <v>1</v>
      </c>
    </row>
    <row r="44968" ht="15.75" customHeight="1" spans="1:2">
      <c r="A44968" s="3" t="str">
        <f>IFERROR(__xludf.DUMMYFUNCTION("GOOGLETRANSLATE(A44968,""en"",""pt"")"),"Fácil de usar, fácil de configurar")</f>
        <v>Fácil de usar, fácil de configurar</v>
      </c>
      <c r="B44968" s="3">
        <v>1</v>
      </c>
    </row>
    <row r="44969" ht="15.75" customHeight="1" spans="1:2">
      <c r="A44969" s="3" t="str">
        <f>IFERROR(__xludf.DUMMYFUNCTION("GOOGLETRANSLATE(A44969,""en"",""pt"")"),"barato")</f>
        <v>barato</v>
      </c>
      <c r="B44969" s="3">
        <v>1</v>
      </c>
    </row>
    <row r="44970" ht="15.75" customHeight="1" spans="1:2">
      <c r="A44970" s="3" t="str">
        <f>IFERROR(__xludf.DUMMYFUNCTION("GOOGLETRANSLATE(A44970,""en"",""pt"")"),"boa qualidade das impressões")</f>
        <v>boa qualidade das impressões</v>
      </c>
      <c r="B44970" s="3">
        <v>1</v>
      </c>
    </row>
    <row r="44971" ht="15.75" customHeight="1" spans="1:2">
      <c r="A44971" s="3" t="str">
        <f>IFERROR(__xludf.DUMMYFUNCTION("GOOGLETRANSLATE(A44971,""en"",""pt"")"),"Silencioso, rápido, de boa qualidade")</f>
        <v>Silencioso, rápido, de boa qualidade</v>
      </c>
      <c r="B44971" s="3">
        <v>1</v>
      </c>
    </row>
    <row r="44972" ht="15.75" customHeight="1" spans="1:2">
      <c r="A44972" s="3" t="str">
        <f>IFERROR(__xludf.DUMMYFUNCTION("GOOGLETRANSLATE(A44972,""en"",""pt"")"),"barato")</f>
        <v>barato</v>
      </c>
      <c r="B44972" s="3">
        <v>1</v>
      </c>
    </row>
    <row r="44973" ht="15.75" customHeight="1" spans="1:2">
      <c r="A44973" s="3" t="str">
        <f>IFERROR(__xludf.DUMMYFUNCTION("GOOGLETRANSLATE(A44973,""en"",""pt"")"),"amp; amp Grande Color &amp;; Impressão")</f>
        <v>amp; amp Grande Color &amp;; Impressão</v>
      </c>
      <c r="B44973" s="3">
        <v>1</v>
      </c>
    </row>
    <row r="44974" ht="15.75" customHeight="1" spans="1:2">
      <c r="A44974" s="3" t="str">
        <f>IFERROR(__xludf.DUMMYFUNCTION("GOOGLETRANSLATE(A44974,""en"",""pt"")"),"saída de texto é afiada, imagens a cores são boas.")</f>
        <v>saída de texto é afiada, imagens a cores são boas.</v>
      </c>
      <c r="B44974" s="3">
        <v>1</v>
      </c>
    </row>
    <row r="44975" ht="15.75" customHeight="1" spans="1:2">
      <c r="A44975" s="3" t="str">
        <f>IFERROR(__xludf.DUMMYFUNCTION("GOOGLETRANSLATE(A44975,""en"",""pt"")"),"Confiabilidade")</f>
        <v>Confiabilidade</v>
      </c>
      <c r="B44975" s="3">
        <v>1</v>
      </c>
    </row>
    <row r="44976" ht="15.75" customHeight="1" spans="1:2">
      <c r="A44976" s="3" t="str">
        <f>IFERROR(__xludf.DUMMYFUNCTION("GOOGLETRANSLATE(A44976,""en"",""pt"")"),"boa qualidade, velocidade decente")</f>
        <v>boa qualidade, velocidade decente</v>
      </c>
      <c r="B44976" s="3">
        <v>1</v>
      </c>
    </row>
    <row r="44977" ht="15.75" customHeight="1" spans="1:2">
      <c r="A44977" s="3" t="str">
        <f>IFERROR(__xludf.DUMMYFUNCTION("GOOGLETRANSLATE(A44977,""en"",""pt"")"),"Veio com computador, boa impressão de tinta preta, tempo de impressão de tinta preta rápida")</f>
        <v>Veio com computador, boa impressão de tinta preta, tempo de impressão de tinta preta rápida</v>
      </c>
      <c r="B44977" s="3">
        <v>1</v>
      </c>
    </row>
    <row r="44978" ht="15.75" customHeight="1" spans="1:2">
      <c r="A44978" s="3" t="str">
        <f>IFERROR(__xludf.DUMMYFUNCTION("GOOGLETRANSLATE(A44978,""en"",""pt"")"),"Boa qualidade de texto, trabalha em DOS também.")</f>
        <v>Boa qualidade de texto, trabalha em DOS também.</v>
      </c>
      <c r="B44978" s="3">
        <v>1</v>
      </c>
    </row>
    <row r="44979" ht="15.75" customHeight="1" spans="1:2">
      <c r="A44979" s="3" t="str">
        <f>IFERROR(__xludf.DUMMYFUNCTION("GOOGLETRANSLATE(A44979,""en"",""pt"")"),"resistente, cores brilhantes afiadas, barato")</f>
        <v>resistente, cores brilhantes afiadas, barato</v>
      </c>
      <c r="B44979" s="3">
        <v>1</v>
      </c>
    </row>
    <row r="44980" ht="15.75" customHeight="1" spans="1:2">
      <c r="A44980" s="3" t="str">
        <f>IFERROR(__xludf.DUMMYFUNCTION("GOOGLETRANSLATE(A44980,""en"",""pt"")"),"Não muito caro")</f>
        <v>Não muito caro</v>
      </c>
      <c r="B44980" s="3">
        <v>1</v>
      </c>
    </row>
    <row r="44981" ht="15.75" customHeight="1" spans="1:2">
      <c r="A44981" s="3" t="str">
        <f>IFERROR(__xludf.DUMMYFUNCTION("GOOGLETRANSLATE(A44981,""en"",""pt"")"),"rápido, durável, fácil de usar")</f>
        <v>rápido, durável, fácil de usar</v>
      </c>
      <c r="B44981" s="3">
        <v>1</v>
      </c>
    </row>
    <row r="44982" ht="15.75" customHeight="1" spans="1:2">
      <c r="A44982" s="3" t="str">
        <f>IFERROR(__xludf.DUMMYFUNCTION("GOOGLETRANSLATE(A44982,""en"",""pt"")"),"NENHUM")</f>
        <v>NENHUM</v>
      </c>
      <c r="B44982" s="3">
        <v>1</v>
      </c>
    </row>
    <row r="44983" ht="15.75" customHeight="1" spans="1:2">
      <c r="A44983" s="3" t="str">
        <f>IFERROR(__xludf.DUMMYFUNCTION("GOOGLETRANSLATE(A44983,""en"",""pt"")"),"Barato")</f>
        <v>Barato</v>
      </c>
      <c r="B44983" s="3">
        <v>1</v>
      </c>
    </row>
    <row r="44984" ht="15.75" customHeight="1" spans="1:2">
      <c r="A44984" s="3" t="str">
        <f>IFERROR(__xludf.DUMMYFUNCTION("GOOGLETRANSLATE(A44984,""en"",""pt"")"),"Fácil de usar / Cor / Durable")</f>
        <v>Fácil de usar / Cor / Durable</v>
      </c>
      <c r="B44984" s="3">
        <v>1</v>
      </c>
    </row>
    <row r="44985" ht="15.75" customHeight="1" spans="1:2">
      <c r="A44985" s="3" t="str">
        <f>IFERROR(__xludf.DUMMYFUNCTION("GOOGLETRANSLATE(A44985,""en"",""pt"")"),"Rápido")</f>
        <v>Rápido</v>
      </c>
      <c r="B44985" s="3">
        <v>1</v>
      </c>
    </row>
    <row r="44986" ht="15.75" customHeight="1" spans="1:2">
      <c r="A44986" s="3" t="str">
        <f>IFERROR(__xludf.DUMMYFUNCTION("GOOGLETRANSLATE(A44986,""en"",""pt"")"),"Impressões rápidas, de qualidade média, baixa de preços. Bom para quem imprimir uma vez a cada 2 ou 3 dias para uma vez por semana.")</f>
        <v>Impressões rápidas, de qualidade média, baixa de preços. Bom para quem imprimir uma vez a cada 2 ou 3 dias para uma vez por semana.</v>
      </c>
      <c r="B44986" s="3">
        <v>1</v>
      </c>
    </row>
    <row r="44987" ht="15.75" customHeight="1" spans="1:2">
      <c r="A44987" s="3" t="str">
        <f>IFERROR(__xludf.DUMMYFUNCTION("GOOGLETRANSLATE(A44987,""en"",""pt"")"),"vida do cartucho de tinta")</f>
        <v>vida do cartucho de tinta</v>
      </c>
      <c r="B44987" s="3">
        <v>1</v>
      </c>
    </row>
    <row r="44988" ht="15.75" customHeight="1" spans="1:2">
      <c r="A44988" s="3" t="str">
        <f>IFERROR(__xludf.DUMMYFUNCTION("GOOGLETRANSLATE(A44988,""en"",""pt"")"),"grande Printer")</f>
        <v>grande Printer</v>
      </c>
      <c r="B44988" s="3">
        <v>1</v>
      </c>
    </row>
    <row r="44989" ht="15.75" customHeight="1" spans="1:2">
      <c r="A44989" s="3" t="str">
        <f>IFERROR(__xludf.DUMMYFUNCTION("GOOGLETRANSLATE(A44989,""en"",""pt"")"),"Grande qualidade de impressão")</f>
        <v>Grande qualidade de impressão</v>
      </c>
      <c r="B44989" s="3">
        <v>1</v>
      </c>
    </row>
    <row r="44990" ht="15.75" customHeight="1" spans="1:2">
      <c r="A44990" s="3" t="str">
        <f>IFERROR(__xludf.DUMMYFUNCTION("GOOGLETRANSLATE(A44990,""en"",""pt"")"),"Rápida para imprimir")</f>
        <v>Rápida para imprimir</v>
      </c>
      <c r="B44990" s="3">
        <v>1</v>
      </c>
    </row>
    <row r="44991" ht="15.75" customHeight="1" spans="1:2">
      <c r="A44991" s="3" t="str">
        <f>IFERROR(__xludf.DUMMYFUNCTION("GOOGLETRANSLATE(A44991,""en"",""pt"")"),"Fácil de instalar, já se apresentou na perfeição para 3 + anos.")</f>
        <v>Fácil de instalar, já se apresentou na perfeição para 3 + anos.</v>
      </c>
      <c r="B44991" s="3">
        <v>1</v>
      </c>
    </row>
    <row r="44992" ht="15.75" customHeight="1" spans="1:2">
      <c r="A44992" s="3" t="str">
        <f>IFERROR(__xludf.DUMMYFUNCTION("GOOGLETRANSLATE(A44992,""en"",""pt"")"),"era bom em primeiro")</f>
        <v>era bom em primeiro</v>
      </c>
      <c r="B44992" s="3">
        <v>1</v>
      </c>
    </row>
    <row r="44993" ht="15.75" customHeight="1" spans="1:2">
      <c r="A44993" s="3" t="str">
        <f>IFERROR(__xludf.DUMMYFUNCTION("GOOGLETRANSLATE(A44993,""en"",""pt"")"),"Preço")</f>
        <v>Preço</v>
      </c>
      <c r="B44993" s="3">
        <v>1</v>
      </c>
    </row>
    <row r="44994" ht="15.75" customHeight="1" spans="1:2">
      <c r="A44994" s="3" t="str">
        <f>IFERROR(__xludf.DUMMYFUNCTION("GOOGLETRANSLATE(A44994,""en"",""pt"")"),"bom para documentos de texto, banners, pequenos projetos")</f>
        <v>bom para documentos de texto, banners, pequenos projetos</v>
      </c>
      <c r="B44994" s="3">
        <v>1</v>
      </c>
    </row>
    <row r="44995" ht="15.75" customHeight="1" spans="1:2">
      <c r="A44995" s="3" t="str">
        <f>IFERROR(__xludf.DUMMYFUNCTION("GOOGLETRANSLATE(A44995,""en"",""pt"")"),"boa qualidade, rápido, fácil")</f>
        <v>boa qualidade, rápido, fácil</v>
      </c>
      <c r="B44995" s="3">
        <v>1</v>
      </c>
    </row>
    <row r="44996" ht="15.75" customHeight="1" spans="1:2">
      <c r="A44996" s="3" t="str">
        <f>IFERROR(__xludf.DUMMYFUNCTION("GOOGLETRANSLATE(A44996,""en"",""pt"")"),"Modern procura")</f>
        <v>Modern procura</v>
      </c>
      <c r="B44996" s="3">
        <v>1</v>
      </c>
    </row>
    <row r="44997" ht="15.75" customHeight="1" spans="1:2">
      <c r="A44997" s="3" t="str">
        <f>IFERROR(__xludf.DUMMYFUNCTION("GOOGLETRANSLATE(A44997,""en"",""pt"")"),"Nenhum.")</f>
        <v>Nenhum.</v>
      </c>
      <c r="B44997" s="3">
        <v>1</v>
      </c>
    </row>
    <row r="44998" ht="15.75" customHeight="1" spans="1:2">
      <c r="A44998" s="3" t="str">
        <f>IFERROR(__xludf.DUMMYFUNCTION("GOOGLETRANSLATE(A44998,""en"",""pt"")"),"Barato, saída de Nice cores, bastante rápido")</f>
        <v>Barato, saída de Nice cores, bastante rápido</v>
      </c>
      <c r="B44998" s="3">
        <v>1</v>
      </c>
    </row>
    <row r="44999" ht="15.75" customHeight="1" spans="1:2">
      <c r="A44999" s="3" t="str">
        <f>IFERROR(__xludf.DUMMYFUNCTION("GOOGLETRANSLATE(A44999,""en"",""pt"")"),"I funciona para uso doméstico")</f>
        <v>I funciona para uso doméstico</v>
      </c>
      <c r="B44999" s="3">
        <v>1</v>
      </c>
    </row>
    <row r="45000" ht="15.75" customHeight="1" spans="1:2">
      <c r="A45000" s="3" t="str">
        <f>IFERROR(__xludf.DUMMYFUNCTION("GOOGLETRANSLATE(A45000,""en"",""pt"")"),"Barato; funciona ok")</f>
        <v>Barato; funciona ok</v>
      </c>
      <c r="B45000" s="3">
        <v>1</v>
      </c>
    </row>
    <row r="45001" ht="15.75" customHeight="1" spans="1:2">
      <c r="A45001" s="3" t="str">
        <f>IFERROR(__xludf.DUMMYFUNCTION("GOOGLETRANSLATE(A45001,""en"",""pt"")"),"photo-camadas barata, silencioso")</f>
        <v>photo-camadas barata, silencioso</v>
      </c>
      <c r="B45001" s="3">
        <v>1</v>
      </c>
    </row>
    <row r="45002" ht="15.75" customHeight="1" spans="1:2">
      <c r="A45002" s="3" t="str">
        <f>IFERROR(__xludf.DUMMYFUNCTION("GOOGLETRANSLATE(A45002,""en"",""pt"")"),"Fácil de usar, de grande qualidade")</f>
        <v>Fácil de usar, de grande qualidade</v>
      </c>
      <c r="B45002" s="3">
        <v>1</v>
      </c>
    </row>
    <row r="45003" ht="15.75" customHeight="1" spans="1:2">
      <c r="A45003" s="3" t="str">
        <f>IFERROR(__xludf.DUMMYFUNCTION("GOOGLETRANSLATE(A45003,""en"",""pt"")"),"Melhor impressões a cores sempre")</f>
        <v>Melhor impressões a cores sempre</v>
      </c>
      <c r="B45003" s="3">
        <v>1</v>
      </c>
    </row>
    <row r="45004" ht="15.75" customHeight="1" spans="1:2">
      <c r="A45004" s="3" t="str">
        <f>IFERROR(__xludf.DUMMYFUNCTION("GOOGLETRANSLATE(A45004,""en"",""pt"")"),"Barato, de grande qualidade, não consomem tinta")</f>
        <v>Barato, de grande qualidade, não consomem tinta</v>
      </c>
      <c r="B45004" s="3">
        <v>1</v>
      </c>
    </row>
    <row r="45005" ht="15.75" customHeight="1" spans="1:2">
      <c r="A45005" s="3" t="str">
        <f>IFERROR(__xludf.DUMMYFUNCTION("GOOGLETRANSLATE(A45005,""en"",""pt"")"),"rápido o suficiente, boa cor, barato")</f>
        <v>rápido o suficiente, boa cor, barato</v>
      </c>
      <c r="B45005" s="3">
        <v>1</v>
      </c>
    </row>
    <row r="45006" ht="15.75" customHeight="1" spans="1:2">
      <c r="A45006" s="3" t="str">
        <f>IFERROR(__xludf.DUMMYFUNCTION("GOOGLETRANSLATE(A45006,""en"",""pt"")"),"Muito quieto")</f>
        <v>Muito quieto</v>
      </c>
      <c r="B45006" s="3">
        <v>1</v>
      </c>
    </row>
    <row r="45007" ht="15.75" customHeight="1" spans="1:2">
      <c r="A45007" s="3" t="str">
        <f>IFERROR(__xludf.DUMMYFUNCTION("GOOGLETRANSLATE(A45007,""en"",""pt"")"),"alta qualidade, impressão de qualidade de cor e, o volume de preto e branco cartucho aumento impressora")</f>
        <v>alta qualidade, impressão de qualidade de cor e, o volume de preto e branco cartucho aumento impressora</v>
      </c>
      <c r="B45007" s="3">
        <v>1</v>
      </c>
    </row>
    <row r="45008" ht="15.75" customHeight="1" spans="1:2">
      <c r="A45008" s="3" t="str">
        <f>IFERROR(__xludf.DUMMYFUNCTION("GOOGLETRANSLATE(A45008,""en"",""pt"")"),"Rápida, nítida e clara impressão")</f>
        <v>Rápida, nítida e clara impressão</v>
      </c>
      <c r="B45008" s="3">
        <v>1</v>
      </c>
    </row>
    <row r="45009" ht="15.75" customHeight="1" spans="1:2">
      <c r="A45009" s="3" t="str">
        <f>IFERROR(__xludf.DUMMYFUNCTION("GOOGLETRANSLATE(A45009,""en"",""pt"")"),"O 712c HP é um ótimo produto para o dinheiro.")</f>
        <v>O 712c HP é um ótimo produto para o dinheiro.</v>
      </c>
      <c r="B45009" s="3">
        <v>1</v>
      </c>
    </row>
    <row r="45010" ht="15.75" customHeight="1" spans="1:2">
      <c r="A45010" s="3" t="str">
        <f>IFERROR(__xludf.DUMMYFUNCTION("GOOGLETRANSLATE(A45010,""en"",""pt"")"),"grande impressora, a qualidade")</f>
        <v>grande impressora, a qualidade</v>
      </c>
      <c r="B45010" s="3">
        <v>1</v>
      </c>
    </row>
    <row r="45011" ht="15.75" customHeight="1" spans="1:2">
      <c r="A45011" s="3" t="str">
        <f>IFERROR(__xludf.DUMMYFUNCTION("GOOGLETRANSLATE(A45011,""en"",""pt"")"),"imagens claras, rápido")</f>
        <v>imagens claras, rápido</v>
      </c>
      <c r="B45011" s="3">
        <v>1</v>
      </c>
    </row>
    <row r="45012" ht="15.75" customHeight="1" spans="1:2">
      <c r="A45012" s="3" t="str">
        <f>IFERROR(__xludf.DUMMYFUNCTION("GOOGLETRANSLATE(A45012,""en"",""pt"")"),"Instalação fácil. Ame o cabo de alimentação.")</f>
        <v>Instalação fácil. Ame o cabo de alimentação.</v>
      </c>
      <c r="B45012" s="3">
        <v>1</v>
      </c>
    </row>
    <row r="45013" ht="15.75" customHeight="1" spans="1:2">
      <c r="A45013" s="3" t="str">
        <f>IFERROR(__xludf.DUMMYFUNCTION("GOOGLETRANSLATE(A45013,""en"",""pt"")"),"boa qualidade de impressão")</f>
        <v>boa qualidade de impressão</v>
      </c>
      <c r="B45013" s="3">
        <v>1</v>
      </c>
    </row>
    <row r="45014" ht="15.75" customHeight="1" spans="1:2">
      <c r="A45014" s="3" t="str">
        <f>IFERROR(__xludf.DUMMYFUNCTION("GOOGLETRANSLATE(A45014,""en"",""pt"")"),"grande qualidade, fácil configuração")</f>
        <v>grande qualidade, fácil configuração</v>
      </c>
      <c r="B45014" s="3">
        <v>1</v>
      </c>
    </row>
    <row r="45015" ht="15.75" customHeight="1" spans="1:2">
      <c r="A45015" s="3" t="str">
        <f>IFERROR(__xludf.DUMMYFUNCTION("GOOGLETRANSLATE(A45015,""en"",""pt"")"),"Barato, boas impressões, fácil de usar, pode levar uma surra")</f>
        <v>Barato, boas impressões, fácil de usar, pode levar uma surra</v>
      </c>
      <c r="B45015" s="3">
        <v>1</v>
      </c>
    </row>
    <row r="45016" ht="15.75" customHeight="1" spans="1:2">
      <c r="A45016" s="3" t="str">
        <f>IFERROR(__xludf.DUMMYFUNCTION("GOOGLETRANSLATE(A45016,""en"",""pt"")"),"muito boa impressora")</f>
        <v>muito boa impressora</v>
      </c>
      <c r="B45016" s="3">
        <v>1</v>
      </c>
    </row>
    <row r="45017" ht="15.75" customHeight="1" spans="1:2">
      <c r="A45017" s="3" t="str">
        <f>IFERROR(__xludf.DUMMYFUNCTION("GOOGLETRANSLATE(A45017,""en"",""pt"")"),"Velocidade e Qualidade")</f>
        <v>Velocidade e Qualidade</v>
      </c>
      <c r="B45017" s="3">
        <v>1</v>
      </c>
    </row>
    <row r="45018" ht="15.75" customHeight="1" spans="1:2">
      <c r="A45018" s="3" t="str">
        <f>IFERROR(__xludf.DUMMYFUNCTION("GOOGLETRANSLATE(A45018,""en"",""pt"")"),"impressão de alta qualidade, boa confiabilidade")</f>
        <v>impressão de alta qualidade, boa confiabilidade</v>
      </c>
      <c r="B45018" s="3">
        <v>1</v>
      </c>
    </row>
    <row r="45019" ht="15.75" customHeight="1" spans="1:2">
      <c r="A45019" s="3" t="str">
        <f>IFERROR(__xludf.DUMMYFUNCTION("GOOGLETRANSLATE(A45019,""en"",""pt"")"),"grande qualidade, preço decente")</f>
        <v>grande qualidade, preço decente</v>
      </c>
      <c r="B45019" s="3">
        <v>1</v>
      </c>
    </row>
    <row r="45020" ht="15.75" customHeight="1" spans="1:2">
      <c r="A45020" s="3" t="str">
        <f>IFERROR(__xludf.DUMMYFUNCTION("GOOGLETRANSLATE(A45020,""en"",""pt"")"),"600 dpi em preto e branco, cor PhotoREt II")</f>
        <v>600 dpi em preto e branco, cor PhotoREt II</v>
      </c>
      <c r="B45020" s="3">
        <v>1</v>
      </c>
    </row>
    <row r="45021" ht="15.75" customHeight="1" spans="1:2">
      <c r="A45021" s="3" t="str">
        <f>IFERROR(__xludf.DUMMYFUNCTION("GOOGLETRANSLATE(A45021,""en"",""pt"")"),"Velocidade, Qualidade")</f>
        <v>Velocidade, Qualidade</v>
      </c>
      <c r="B45021" s="3">
        <v>1</v>
      </c>
    </row>
    <row r="45022" ht="15.75" customHeight="1" spans="1:2">
      <c r="A45022" s="3" t="str">
        <f>IFERROR(__xludf.DUMMYFUNCTION("GOOGLETRANSLATE(A45022,""en"",""pt"")"),"Grande qualidade e preço")</f>
        <v>Grande qualidade e preço</v>
      </c>
      <c r="B45022" s="3">
        <v>1</v>
      </c>
    </row>
    <row r="45023" ht="15.75" customHeight="1" spans="1:2">
      <c r="A45023" s="3" t="str">
        <f>IFERROR(__xludf.DUMMYFUNCTION("GOOGLETRANSLATE(A45023,""en"",""pt"")"),"de impressora decente")</f>
        <v>de impressora decente</v>
      </c>
      <c r="B45023" s="3">
        <v>1</v>
      </c>
    </row>
    <row r="45024" ht="15.75" customHeight="1" spans="1:2">
      <c r="A45024" s="3" t="str">
        <f>IFERROR(__xludf.DUMMYFUNCTION("GOOGLETRANSLATE(A45024,""en"",""pt"")"),"qualidade de saída, silencioso")</f>
        <v>qualidade de saída, silencioso</v>
      </c>
      <c r="B45024" s="3">
        <v>1</v>
      </c>
    </row>
    <row r="45025" ht="15.75" customHeight="1" spans="1:2">
      <c r="A45025" s="3" t="str">
        <f>IFERROR(__xludf.DUMMYFUNCTION("GOOGLETRANSLATE(A45025,""en"",""pt"")"),"Barato, excelente qualidade de imagem, impressão rápida, muito tranquilo.")</f>
        <v>Barato, excelente qualidade de imagem, impressão rápida, muito tranquilo.</v>
      </c>
      <c r="B45025" s="3">
        <v>1</v>
      </c>
    </row>
    <row r="45026" ht="15.75" customHeight="1" spans="1:2">
      <c r="A45026" s="3" t="str">
        <f>IFERROR(__xludf.DUMMYFUNCTION("GOOGLETRANSLATE(A45026,""en"",""pt"")"),"muitos recursos para bom preço")</f>
        <v>muitos recursos para bom preço</v>
      </c>
      <c r="B45026" s="3">
        <v>1</v>
      </c>
    </row>
    <row r="45027" ht="15.75" customHeight="1" spans="1:2">
      <c r="A45027" s="3" t="str">
        <f>IFERROR(__xludf.DUMMYFUNCTION("GOOGLETRANSLATE(A45027,""en"",""pt"")"),"funciona de forma rápida")</f>
        <v>funciona de forma rápida</v>
      </c>
      <c r="B45027" s="3">
        <v>1</v>
      </c>
    </row>
    <row r="45028" ht="15.75" customHeight="1" spans="1:2">
      <c r="A45028" s="3" t="str">
        <f>IFERROR(__xludf.DUMMYFUNCTION("GOOGLETRANSLATE(A45028,""en"",""pt"")"),"acessibilidade")</f>
        <v>acessibilidade</v>
      </c>
      <c r="B45028" s="3">
        <v>1</v>
      </c>
    </row>
    <row r="45029" ht="15.75" customHeight="1" spans="1:2">
      <c r="A45029" s="3" t="str">
        <f>IFERROR(__xludf.DUMMYFUNCTION("GOOGLETRANSLATE(A45029,""en"",""pt"")"),"grande valor, batatas fritas de impressão preto, perto de impressões a cores com qualidade fotográfica")</f>
        <v>grande valor, batatas fritas de impressão preto, perto de impressões a cores com qualidade fotográfica</v>
      </c>
      <c r="B45029" s="3">
        <v>1</v>
      </c>
    </row>
    <row r="45030" ht="15.75" customHeight="1" spans="1:2">
      <c r="A45030" s="3" t="str">
        <f>IFERROR(__xludf.DUMMYFUNCTION("GOOGLETRANSLATE(A45030,""en"",""pt"")"),"Confiável, claro, moderadamente rápido")</f>
        <v>Confiável, claro, moderadamente rápido</v>
      </c>
      <c r="B45030" s="3">
        <v>1</v>
      </c>
    </row>
    <row r="45031" ht="15.75" customHeight="1" spans="1:2">
      <c r="A45031" s="3" t="str">
        <f>IFERROR(__xludf.DUMMYFUNCTION("GOOGLETRANSLATE(A45031,""en"",""pt"")"),"cor &amp; amp; amp; cartuchos pretos, preço bom")</f>
        <v>cor &amp; amp; amp; cartuchos pretos, preço bom</v>
      </c>
      <c r="B45031" s="3">
        <v>1</v>
      </c>
    </row>
    <row r="45032" ht="15.75" customHeight="1" spans="1:2">
      <c r="A45032" s="3" t="str">
        <f>IFERROR(__xludf.DUMMYFUNCTION("GOOGLETRANSLATE(A45032,""en"",""pt"")"),"impressão muito rápido")</f>
        <v>impressão muito rápido</v>
      </c>
      <c r="B45032" s="3">
        <v>1</v>
      </c>
    </row>
    <row r="45033" ht="15.75" customHeight="1" spans="1:2">
      <c r="A45033" s="3" t="str">
        <f>IFERROR(__xludf.DUMMYFUNCTION("GOOGLETRANSLATE(A45033,""en"",""pt"")"),"silencioso e eficiente")</f>
        <v>silencioso e eficiente</v>
      </c>
      <c r="B45033" s="3">
        <v>1</v>
      </c>
    </row>
    <row r="45034" ht="15.75" customHeight="1" spans="1:2">
      <c r="A45034" s="3" t="str">
        <f>IFERROR(__xludf.DUMMYFUNCTION("GOOGLETRANSLATE(A45034,""en"",""pt"")"),"Compacto, silencioso, limpo imprimir tanto em preto e branco ea cores")</f>
        <v>Compacto, silencioso, limpo imprimir tanto em preto e branco ea cores</v>
      </c>
      <c r="B45034" s="3">
        <v>1</v>
      </c>
    </row>
    <row r="45035" ht="15.75" customHeight="1" spans="1:2">
      <c r="A45035" s="3" t="str">
        <f>IFERROR(__xludf.DUMMYFUNCTION("GOOGLETRANSLATE(A45035,""en"",""pt"")"),"qualidade")</f>
        <v>qualidade</v>
      </c>
      <c r="B45035" s="3">
        <v>1</v>
      </c>
    </row>
    <row r="45036" ht="15.75" customHeight="1" spans="1:2">
      <c r="A45036" s="3" t="str">
        <f>IFERROR(__xludf.DUMMYFUNCTION("GOOGLETRANSLATE(A45036,""en"",""pt"")"),"Fiável e barato")</f>
        <v>Fiável e barato</v>
      </c>
      <c r="B45036" s="3">
        <v>1</v>
      </c>
    </row>
    <row r="45037" ht="15.75" customHeight="1" spans="1:2">
      <c r="A45037" s="3" t="str">
        <f>IFERROR(__xludf.DUMMYFUNCTION("GOOGLETRANSLATE(A45037,""en"",""pt"")"),"Facilidade de instalação, utilização.")</f>
        <v>Facilidade de instalação, utilização.</v>
      </c>
      <c r="B45037" s="3">
        <v>1</v>
      </c>
    </row>
    <row r="45038" ht="15.75" customHeight="1" spans="1:2">
      <c r="A45038" s="3" t="str">
        <f>IFERROR(__xludf.DUMMYFUNCTION("GOOGLETRANSLATE(A45038,""en"",""pt"")"),"Grande Color. Ótimo preço")</f>
        <v>Grande Color. Ótimo preço</v>
      </c>
      <c r="B45038" s="3">
        <v>1</v>
      </c>
    </row>
    <row r="45039" ht="15.75" customHeight="1" spans="1:2">
      <c r="A45039" s="3" t="str">
        <f>IFERROR(__xludf.DUMMYFUNCTION("GOOGLETRANSLATE(A45039,""en"",""pt"")"),"Excelente impressão, usa papel comum, não se desligou")</f>
        <v>Excelente impressão, usa papel comum, não se desligou</v>
      </c>
      <c r="B45039" s="3">
        <v>1</v>
      </c>
    </row>
    <row r="45040" ht="15.75" customHeight="1" spans="1:2">
      <c r="A45040" s="3" t="str">
        <f>IFERROR(__xludf.DUMMYFUNCTION("GOOGLETRANSLATE(A45040,""en"",""pt"")"),"fácil de usar e instalar, software que vem com ele, não muito caro")</f>
        <v>fácil de usar e instalar, software que vem com ele, não muito caro</v>
      </c>
      <c r="B45040" s="3">
        <v>1</v>
      </c>
    </row>
    <row r="45041" ht="15.75" customHeight="1" spans="1:2">
      <c r="A45041" s="3" t="str">
        <f>IFERROR(__xludf.DUMMYFUNCTION("GOOGLETRANSLATE(A45041,""en"",""pt"")"),"Velocidade, qualidade de impressão")</f>
        <v>Velocidade, qualidade de impressão</v>
      </c>
      <c r="B45041" s="3">
        <v>1</v>
      </c>
    </row>
    <row r="45042" ht="15.75" customHeight="1" spans="1:2">
      <c r="A45042" s="3" t="str">
        <f>IFERROR(__xludf.DUMMYFUNCTION("GOOGLETRANSLATE(A45042,""en"",""pt"")"),"facilidade de uso, qualidade, preço")</f>
        <v>facilidade de uso, qualidade, preço</v>
      </c>
      <c r="B45042" s="3">
        <v>1</v>
      </c>
    </row>
    <row r="45043" ht="15.75" customHeight="1" spans="1:2">
      <c r="A45043" s="3" t="str">
        <f>IFERROR(__xludf.DUMMYFUNCTION("GOOGLETRANSLATE(A45043,""en"",""pt"")"),"nunca compotas, facilidade de mudar de tinta")</f>
        <v>nunca compotas, facilidade de mudar de tinta</v>
      </c>
      <c r="B45043" s="3">
        <v>1</v>
      </c>
    </row>
    <row r="45044" ht="15.75" customHeight="1" spans="1:2">
      <c r="A45044" s="3" t="str">
        <f>IFERROR(__xludf.DUMMYFUNCTION("GOOGLETRANSLATE(A45044,""en"",""pt"")"),"barato, de alta qualidade, pequeno, calmo")</f>
        <v>barato, de alta qualidade, pequeno, calmo</v>
      </c>
      <c r="B45044" s="3">
        <v>1</v>
      </c>
    </row>
    <row r="45045" ht="15.75" customHeight="1" spans="1:2">
      <c r="A45045" s="3" t="str">
        <f>IFERROR(__xludf.DUMMYFUNCTION("GOOGLETRANSLATE(A45045,""en"",""pt"")"),"bom valor, boa qualidade")</f>
        <v>bom valor, boa qualidade</v>
      </c>
      <c r="B45045" s="3">
        <v>1</v>
      </c>
    </row>
    <row r="45046" ht="15.75" customHeight="1" spans="1:2">
      <c r="A45046" s="3" t="str">
        <f>IFERROR(__xludf.DUMMYFUNCTION("GOOGLETRANSLATE(A45046,""en"",""pt"")"),"Excelente qualidade e preços razoáveis")</f>
        <v>Excelente qualidade e preços razoáveis</v>
      </c>
      <c r="B45046" s="3">
        <v>1</v>
      </c>
    </row>
    <row r="45047" ht="15.75" customHeight="1" spans="1:2">
      <c r="A45047" s="3" t="str">
        <f>IFERROR(__xludf.DUMMYFUNCTION("GOOGLETRANSLATE(A45047,""en"",""pt"")"),"confiável, de qualidade")</f>
        <v>confiável, de qualidade</v>
      </c>
      <c r="B45047" s="3">
        <v>1</v>
      </c>
    </row>
    <row r="45048" ht="15.75" customHeight="1" spans="1:2">
      <c r="A45048" s="3" t="str">
        <f>IFERROR(__xludf.DUMMYFUNCTION("GOOGLETRANSLATE(A45048,""en"",""pt"")"),"Grande qualidade de foto")</f>
        <v>Grande qualidade de foto</v>
      </c>
      <c r="B45048" s="3">
        <v>1</v>
      </c>
    </row>
    <row r="45049" ht="15.75" customHeight="1" spans="1:2">
      <c r="A45049" s="3" t="str">
        <f>IFERROR(__xludf.DUMMYFUNCTION("GOOGLETRANSLATE(A45049,""en"",""pt"")"),"imprime rápido, cor, preto e branco, foto-como fotos, fácil de usar")</f>
        <v>imprime rápido, cor, preto e branco, foto-como fotos, fácil de usar</v>
      </c>
      <c r="B45049" s="3">
        <v>1</v>
      </c>
    </row>
    <row r="45050" ht="15.75" customHeight="1" spans="1:2">
      <c r="A45050" s="3" t="str">
        <f>IFERROR(__xludf.DUMMYFUNCTION("GOOGLETRANSLATE(A45050,""en"",""pt"")"),"Fácil de usar")</f>
        <v>Fácil de usar</v>
      </c>
      <c r="B45050" s="3">
        <v>1</v>
      </c>
    </row>
    <row r="45051" ht="15.75" customHeight="1" spans="1:2">
      <c r="A45051" s="3" t="str">
        <f>IFERROR(__xludf.DUMMYFUNCTION("GOOGLETRANSLATE(A45051,""en"",""pt"")"),"Preço, Qualidade &amp; amp; amp; cor")</f>
        <v>Preço, Qualidade &amp; amp; amp; cor</v>
      </c>
      <c r="B45051" s="3">
        <v>1</v>
      </c>
    </row>
    <row r="45052" ht="15.75" customHeight="1" spans="1:2">
      <c r="A45052" s="3" t="str">
        <f>IFERROR(__xludf.DUMMYFUNCTION("GOOGLETRANSLATE(A45052,""en"",""pt"")"),"Barato, rápido, confiável, fácil")</f>
        <v>Barato, rápido, confiável, fácil</v>
      </c>
      <c r="B45052" s="3">
        <v>1</v>
      </c>
    </row>
    <row r="45053" ht="15.75" customHeight="1" spans="1:2">
      <c r="A45053" s="3" t="str">
        <f>IFERROR(__xludf.DUMMYFUNCTION("GOOGLETRANSLATE(A45053,""en"",""pt"")"),"multifuncional")</f>
        <v>multifuncional</v>
      </c>
      <c r="B45053" s="3">
        <v>1</v>
      </c>
    </row>
    <row r="45054" ht="15.75" customHeight="1" spans="1:2">
      <c r="A45054" s="3" t="str">
        <f>IFERROR(__xludf.DUMMYFUNCTION("GOOGLETRANSLATE(A45054,""en"",""pt"")"),"Preço")</f>
        <v>Preço</v>
      </c>
      <c r="B45054" s="3">
        <v>1</v>
      </c>
    </row>
    <row r="45055" ht="15.75" customHeight="1" spans="1:2">
      <c r="A45055" s="3" t="str">
        <f>IFERROR(__xludf.DUMMYFUNCTION("GOOGLETRANSLATE(A45055,""en"",""pt"")"),"Excelente velocidade, cartuchos dupla, alimentador de papel inferior, usa a tecnologia de camadas PhotoRET-II, e que preço !!")</f>
        <v>Excelente velocidade, cartuchos dupla, alimentador de papel inferior, usa a tecnologia de camadas PhotoRET-II, e que preço !!</v>
      </c>
      <c r="B45055" s="3">
        <v>1</v>
      </c>
    </row>
    <row r="45056" ht="15.75" customHeight="1" spans="1:2">
      <c r="A45056" s="3" t="str">
        <f>IFERROR(__xludf.DUMMYFUNCTION("GOOGLETRANSLATE(A45056,""en"",""pt"")"),"Qualidade")</f>
        <v>Qualidade</v>
      </c>
      <c r="B45056" s="3">
        <v>1</v>
      </c>
    </row>
    <row r="45057" ht="15.75" customHeight="1" spans="1:2">
      <c r="A45057" s="3" t="str">
        <f>IFERROR(__xludf.DUMMYFUNCTION("GOOGLETRANSLATE(A45057,""en"",""pt"")"),"Fácil de usar, variedade de opções")</f>
        <v>Fácil de usar, variedade de opções</v>
      </c>
      <c r="B45057" s="3">
        <v>1</v>
      </c>
    </row>
    <row r="45058" ht="15.75" customHeight="1" spans="1:2">
      <c r="A45058" s="3" t="str">
        <f>IFERROR(__xludf.DUMMYFUNCTION("GOOGLETRANSLATE(A45058,""en"",""pt"")"),"Fácil de usar!")</f>
        <v>Fácil de usar!</v>
      </c>
      <c r="B45058" s="3">
        <v>1</v>
      </c>
    </row>
    <row r="45059" ht="15.75" customHeight="1" spans="1:2">
      <c r="A45059" s="3" t="str">
        <f>IFERROR(__xludf.DUMMYFUNCTION("GOOGLETRANSLATE(A45059,""en"",""pt"")"),"acessíveis e incrível")</f>
        <v>acessíveis e incrível</v>
      </c>
      <c r="B45059" s="3">
        <v>1</v>
      </c>
    </row>
    <row r="45060" ht="15.75" customHeight="1" spans="1:2">
      <c r="A45060" s="3" t="str">
        <f>IFERROR(__xludf.DUMMYFUNCTION("GOOGLETRANSLATE(A45060,""en"",""pt"")"),"Rápido, barato e não bebe tinta pelo galão.")</f>
        <v>Rápido, barato e não bebe tinta pelo galão.</v>
      </c>
      <c r="B45060" s="3">
        <v>1</v>
      </c>
    </row>
    <row r="45061" ht="15.75" customHeight="1" spans="1:2">
      <c r="A45061" s="3" t="str">
        <f>IFERROR(__xludf.DUMMYFUNCTION("GOOGLETRANSLATE(A45061,""en"",""pt"")"),"Grande qualidade de cor")</f>
        <v>Grande qualidade de cor</v>
      </c>
      <c r="B45061" s="3">
        <v>1</v>
      </c>
    </row>
    <row r="45062" ht="15.75" customHeight="1" spans="1:2">
      <c r="A45062" s="3" t="str">
        <f>IFERROR(__xludf.DUMMYFUNCTION("GOOGLETRANSLATE(A45062,""en"",""pt"")"),"rápida, clara e eficiente!")</f>
        <v>rápida, clara e eficiente!</v>
      </c>
      <c r="B45062" s="3">
        <v>1</v>
      </c>
    </row>
    <row r="45063" ht="15.75" customHeight="1" spans="1:2">
      <c r="A45063" s="3" t="str">
        <f>IFERROR(__xludf.DUMMYFUNCTION("GOOGLETRANSLATE(A45063,""en"",""pt"")"),"Boa qualidade e bom preço, confiável")</f>
        <v>Boa qualidade e bom preço, confiável</v>
      </c>
      <c r="B45063" s="3">
        <v>1</v>
      </c>
    </row>
    <row r="45064" ht="15.75" customHeight="1" spans="1:2">
      <c r="A45064" s="3" t="str">
        <f>IFERROR(__xludf.DUMMYFUNCTION("GOOGLETRANSLATE(A45064,""en"",""pt"")"),"seguro")</f>
        <v>seguro</v>
      </c>
      <c r="B45064" s="3">
        <v>1</v>
      </c>
    </row>
    <row r="45065" ht="15.75" customHeight="1" spans="1:2">
      <c r="A45065" s="3" t="str">
        <f>IFERROR(__xludf.DUMMYFUNCTION("GOOGLETRANSLATE(A45065,""en"",""pt"")"),"Preço, qualidade de impressão, versatilidade")</f>
        <v>Preço, qualidade de impressão, versatilidade</v>
      </c>
      <c r="B45065" s="3">
        <v>1</v>
      </c>
    </row>
    <row r="45066" ht="15.75" customHeight="1" spans="1:2">
      <c r="A45066" s="3" t="str">
        <f>IFERROR(__xludf.DUMMYFUNCTION("GOOGLETRANSLATE(A45066,""en"",""pt"")"),"Fácil de usar, plug and play")</f>
        <v>Fácil de usar, plug and play</v>
      </c>
      <c r="B45066" s="3">
        <v>1</v>
      </c>
    </row>
    <row r="45067" ht="15.75" customHeight="1" spans="1:2">
      <c r="A45067" s="3" t="str">
        <f>IFERROR(__xludf.DUMMYFUNCTION("GOOGLETRANSLATE(A45067,""en"",""pt"")"),"Grande qualidade de cor, bastante rápido, barato")</f>
        <v>Grande qualidade de cor, bastante rápido, barato</v>
      </c>
      <c r="B45067" s="3">
        <v>1</v>
      </c>
    </row>
    <row r="45068" ht="15.75" customHeight="1" spans="1:2">
      <c r="A45068" s="3" t="str">
        <f>IFERROR(__xludf.DUMMYFUNCTION("GOOGLETRANSLATE(A45068,""en"",""pt"")"),"vida como cores de impressão")</f>
        <v>vida como cores de impressão</v>
      </c>
      <c r="B45068" s="3">
        <v>1</v>
      </c>
    </row>
    <row r="45069" ht="15.75" customHeight="1" spans="1:2">
      <c r="A45069" s="3" t="str">
        <f>IFERROR(__xludf.DUMMYFUNCTION("GOOGLETRANSLATE(A45069,""en"",""pt"")"),"Claro, cor verdadeira, versátil.")</f>
        <v>Claro, cor verdadeira, versátil.</v>
      </c>
      <c r="B45069" s="3">
        <v>1</v>
      </c>
    </row>
    <row r="45070" ht="15.75" customHeight="1" spans="1:2">
      <c r="A45070" s="3" t="str">
        <f>IFERROR(__xludf.DUMMYFUNCTION("GOOGLETRANSLATE(A45070,""en"",""pt"")"),"Grande qualidade de impressão, facilidade de uso")</f>
        <v>Grande qualidade de impressão, facilidade de uso</v>
      </c>
      <c r="B45070" s="3">
        <v>1</v>
      </c>
    </row>
    <row r="45071" ht="15.75" customHeight="1" spans="1:2">
      <c r="A45071" s="3" t="str">
        <f>IFERROR(__xludf.DUMMYFUNCTION("GOOGLETRANSLATE(A45071,""en"",""pt"")"),"A grande qualidade, preço baixo, fácil de substituir os cartuchos de tinta")</f>
        <v>A grande qualidade, preço baixo, fácil de substituir os cartuchos de tinta</v>
      </c>
      <c r="B45071" s="3">
        <v>1</v>
      </c>
    </row>
    <row r="45072" ht="15.75" customHeight="1" spans="1:2">
      <c r="A45072" s="3" t="str">
        <f>IFERROR(__xludf.DUMMYFUNCTION("GOOGLETRANSLATE(A45072,""en"",""pt"")"),"Custo confiável e razoável")</f>
        <v>Custo confiável e razoável</v>
      </c>
      <c r="B45072" s="3">
        <v>1</v>
      </c>
    </row>
    <row r="45073" ht="15.75" customHeight="1" spans="1:2">
      <c r="A45073" s="3" t="str">
        <f>IFERROR(__xludf.DUMMYFUNCTION("GOOGLETRANSLATE(A45073,""en"",""pt"")"),"rápido, silencioso, de boa qualidade")</f>
        <v>rápido, silencioso, de boa qualidade</v>
      </c>
      <c r="B45073" s="3">
        <v>1</v>
      </c>
    </row>
    <row r="45074" ht="15.75" customHeight="1" spans="1:2">
      <c r="A45074" s="3" t="str">
        <f>IFERROR(__xludf.DUMMYFUNCTION("GOOGLETRANSLATE(A45074,""en"",""pt"")"),"Rápido, boa qualidade de impressão.")</f>
        <v>Rápido, boa qualidade de impressão.</v>
      </c>
      <c r="B45074" s="3">
        <v>1</v>
      </c>
    </row>
    <row r="45075" ht="15.75" customHeight="1" spans="1:2">
      <c r="A45075" s="3" t="str">
        <f>IFERROR(__xludf.DUMMYFUNCTION("GOOGLETRANSLATE(A45075,""en"",""pt"")"),"não estragar; imagens nítidas e claras; boa ergonomia")</f>
        <v>não estragar; imagens nítidas e claras; boa ergonomia</v>
      </c>
      <c r="B45075" s="3">
        <v>1</v>
      </c>
    </row>
    <row r="45076" ht="15.75" customHeight="1" spans="1:2">
      <c r="A45076" s="3" t="str">
        <f>IFERROR(__xludf.DUMMYFUNCTION("GOOGLETRANSLATE(A45076,""en"",""pt"")"),"Performance, Preço, Software Bonus, Top é plana, de modo que você pode empilhar coisas sobre ele!")</f>
        <v>Performance, Preço, Software Bonus, Top é plana, de modo que você pode empilhar coisas sobre ele!</v>
      </c>
      <c r="B45076" s="3">
        <v>1</v>
      </c>
    </row>
    <row r="45077" ht="15.75" customHeight="1" spans="1:2">
      <c r="A45077" s="3" t="str">
        <f>IFERROR(__xludf.DUMMYFUNCTION("GOOGLETRANSLATE(A45077,""en"",""pt"")"),"alisar Printing")</f>
        <v>alisar Printing</v>
      </c>
      <c r="B45077" s="3">
        <v>1</v>
      </c>
    </row>
    <row r="45078" ht="15.75" customHeight="1" spans="1:2">
      <c r="A45078" s="3" t="str">
        <f>IFERROR(__xludf.DUMMYFUNCTION("GOOGLETRANSLATE(A45078,""en"",""pt"")"),"Barato, fácil de usar impressora para impressão ocasional")</f>
        <v>Barato, fácil de usar impressora para impressão ocasional</v>
      </c>
      <c r="B45078" s="3">
        <v>1</v>
      </c>
    </row>
    <row r="45079" ht="15.75" customHeight="1" spans="1:2">
      <c r="A45079" s="3" t="str">
        <f>IFERROR(__xludf.DUMMYFUNCTION("GOOGLETRANSLATE(A45079,""en"",""pt"")"),"Baixo preço, alta qualidade")</f>
        <v>Baixo preço, alta qualidade</v>
      </c>
      <c r="B45079" s="3">
        <v>1</v>
      </c>
    </row>
    <row r="45080" ht="15.75" customHeight="1" spans="1:2">
      <c r="A45080" s="3" t="str">
        <f>IFERROR(__xludf.DUMMYFUNCTION("GOOGLETRANSLATE(A45080,""en"",""pt"")"),"impressões de qualidade bom. Ótimo preço para o que pode fazer.")</f>
        <v>impressões de qualidade bom. Ótimo preço para o que pode fazer.</v>
      </c>
      <c r="B45080" s="3">
        <v>1</v>
      </c>
    </row>
    <row r="45081" ht="15.75" customHeight="1" spans="1:2">
      <c r="A45081" s="3" t="str">
        <f>IFERROR(__xludf.DUMMYFUNCTION("GOOGLETRANSLATE(A45081,""en"",""pt"")"),"Muito confiável, fácil de configurar e usar, qualidade a preços acessíveis ... verdadeiramente um acéfalo!")</f>
        <v>Muito confiável, fácil de configurar e usar, qualidade a preços acessíveis ... verdadeiramente um acéfalo!</v>
      </c>
      <c r="B45081" s="3">
        <v>1</v>
      </c>
    </row>
    <row r="45082" ht="15.75" customHeight="1" spans="1:2">
      <c r="A45082" s="3" t="str">
        <f>IFERROR(__xludf.DUMMYFUNCTION("GOOGLETRANSLATE(A45082,""en"",""pt"")"),"Imprime belas imagens.")</f>
        <v>Imprime belas imagens.</v>
      </c>
      <c r="B45082" s="3">
        <v>1</v>
      </c>
    </row>
    <row r="45083" ht="15.75" customHeight="1" spans="1:2">
      <c r="A45083" s="3" t="str">
        <f>IFERROR(__xludf.DUMMYFUNCTION("GOOGLETRANSLATE(A45083,""en"",""pt"")"),"impressoras de baixo custo")</f>
        <v>impressoras de baixo custo</v>
      </c>
      <c r="B45083" s="3">
        <v>1</v>
      </c>
    </row>
    <row r="45084" ht="15.75" customHeight="1" spans="1:2">
      <c r="A45084" s="3" t="str">
        <f>IFERROR(__xludf.DUMMYFUNCTION("GOOGLETRANSLATE(A45084,""en"",""pt"")"),"Barato, acessível, Fast")</f>
        <v>Barato, acessível, Fast</v>
      </c>
      <c r="B45084" s="3">
        <v>1</v>
      </c>
    </row>
    <row r="45085" ht="15.75" customHeight="1" spans="1:2">
      <c r="A45085" s="3" t="str">
        <f>IFERROR(__xludf.DUMMYFUNCTION("GOOGLETRANSLATE(A45085,""en"",""pt"")"),"Faz um grande trabalho")</f>
        <v>Faz um grande trabalho</v>
      </c>
      <c r="B45085" s="3">
        <v>1</v>
      </c>
    </row>
    <row r="45086" ht="15.75" customHeight="1" spans="1:2">
      <c r="A45086" s="3" t="str">
        <f>IFERROR(__xludf.DUMMYFUNCTION("GOOGLETRANSLATE(A45086,""en"",""pt"")"),"tempo mais confiável, bom valor")</f>
        <v>tempo mais confiável, bom valor</v>
      </c>
      <c r="B45086" s="3">
        <v>1</v>
      </c>
    </row>
    <row r="45087" ht="15.75" customHeight="1" spans="1:2">
      <c r="A45087" s="3" t="str">
        <f>IFERROR(__xludf.DUMMYFUNCTION("GOOGLETRANSLATE(A45087,""en"",""pt"")"),"RÁPIDO, excelente qualidade de texto e cor")</f>
        <v>RÁPIDO, excelente qualidade de texto e cor</v>
      </c>
      <c r="B45087" s="3">
        <v>1</v>
      </c>
    </row>
    <row r="45088" ht="15.75" customHeight="1" spans="1:2">
      <c r="A45088" s="3" t="str">
        <f>IFERROR(__xludf.DUMMYFUNCTION("GOOGLETRANSLATE(A45088,""en"",""pt"")"),"Infalível, grandes impressões a cores, rápido, sem complicações")</f>
        <v>Infalível, grandes impressões a cores, rápido, sem complicações</v>
      </c>
      <c r="B45088" s="3">
        <v>1</v>
      </c>
    </row>
    <row r="45089" ht="15.75" customHeight="1" spans="1:2">
      <c r="A45089" s="3" t="str">
        <f>IFERROR(__xludf.DUMMYFUNCTION("GOOGLETRANSLATE(A45089,""en"",""pt"")"),"Boa qualidade de impressão fácil de configurar para um único computador.")</f>
        <v>Boa qualidade de impressão fácil de configurar para um único computador.</v>
      </c>
      <c r="B45089" s="3">
        <v>1</v>
      </c>
    </row>
    <row r="45090" ht="15.75" customHeight="1" spans="1:2">
      <c r="A45090" s="3" t="str">
        <f>IFERROR(__xludf.DUMMYFUNCTION("GOOGLETRANSLATE(A45090,""en"",""pt"")"),"imprimir qualidade, facilidade de uso")</f>
        <v>imprimir qualidade, facilidade de uso</v>
      </c>
      <c r="B45090" s="3">
        <v>1</v>
      </c>
    </row>
    <row r="45091" ht="15.75" customHeight="1" spans="1:2">
      <c r="A45091" s="3" t="str">
        <f>IFERROR(__xludf.DUMMYFUNCTION("GOOGLETRANSLATE(A45091,""en"",""pt"")"),"beleza global")</f>
        <v>beleza global</v>
      </c>
      <c r="B45091" s="3">
        <v>1</v>
      </c>
    </row>
    <row r="45092" ht="15.75" customHeight="1" spans="1:2">
      <c r="A45092" s="3" t="str">
        <f>IFERROR(__xludf.DUMMYFUNCTION("GOOGLETRANSLATE(A45092,""en"",""pt"")"),"Fácil de usar, a impressão de excelente qualidade em preto e cor")</f>
        <v>Fácil de usar, a impressão de excelente qualidade em preto e cor</v>
      </c>
      <c r="B45092" s="3">
        <v>1</v>
      </c>
    </row>
    <row r="45093" ht="15.75" customHeight="1" spans="1:2">
      <c r="A45093" s="3" t="str">
        <f>IFERROR(__xludf.DUMMYFUNCTION("GOOGLETRANSLATE(A45093,""en"",""pt"")"),"bom preço, boa qualidade, boa cor")</f>
        <v>bom preço, boa qualidade, boa cor</v>
      </c>
      <c r="B45093" s="3">
        <v>1</v>
      </c>
    </row>
    <row r="45094" ht="15.75" customHeight="1" spans="1:2">
      <c r="A45094" s="3" t="str">
        <f>IFERROR(__xludf.DUMMYFUNCTION("GOOGLETRANSLATE(A45094,""en"",""pt"")"),"boa qualidade")</f>
        <v>boa qualidade</v>
      </c>
      <c r="B45094" s="3">
        <v>1</v>
      </c>
    </row>
    <row r="45095" ht="15.75" customHeight="1" spans="1:2">
      <c r="A45095" s="3" t="str">
        <f>IFERROR(__xludf.DUMMYFUNCTION("GOOGLETRANSLATE(A45095,""en"",""pt"")"),"Great Quality Foto")</f>
        <v>Great Quality Foto</v>
      </c>
      <c r="B45095" s="3">
        <v>1</v>
      </c>
    </row>
    <row r="45096" ht="15.75" customHeight="1" spans="1:2">
      <c r="A45096" s="3" t="str">
        <f>IFERROR(__xludf.DUMMYFUNCTION("GOOGLETRANSLATE(A45096,""en"",""pt"")"),"rápido, imagem confiável, eficiente de tinta, compacto, de alta qualidade")</f>
        <v>rápido, imagem confiável, eficiente de tinta, compacto, de alta qualidade</v>
      </c>
      <c r="B45096" s="3">
        <v>1</v>
      </c>
    </row>
    <row r="45097" ht="15.75" customHeight="1" spans="1:2">
      <c r="A45097" s="3" t="str">
        <f>IFERROR(__xludf.DUMMYFUNCTION("GOOGLETRANSLATE(A45097,""en"",""pt"")"),"Qualidade, velocidade")</f>
        <v>Qualidade, velocidade</v>
      </c>
      <c r="B45097" s="3">
        <v>1</v>
      </c>
    </row>
    <row r="45098" ht="15.75" customHeight="1" spans="1:2">
      <c r="A45098" s="3" t="str">
        <f>IFERROR(__xludf.DUMMYFUNCTION("GOOGLETRANSLATE(A45098,""en"",""pt"")"),"Excelente qualidade, confiável, fácil de usar.")</f>
        <v>Excelente qualidade, confiável, fácil de usar.</v>
      </c>
      <c r="B45098" s="3">
        <v>1</v>
      </c>
    </row>
    <row r="45099" ht="15.75" customHeight="1" spans="1:2">
      <c r="A45099" s="3" t="str">
        <f>IFERROR(__xludf.DUMMYFUNCTION("GOOGLETRANSLATE(A45099,""en"",""pt"")"),"versátil e eficiente")</f>
        <v>versátil e eficiente</v>
      </c>
      <c r="B45099" s="3">
        <v>1</v>
      </c>
    </row>
    <row r="45100" ht="15.75" customHeight="1" spans="1:2">
      <c r="A45100" s="3" t="str">
        <f>IFERROR(__xludf.DUMMYFUNCTION("GOOGLETRANSLATE(A45100,""en"",""pt"")"),"Excelente qualidade de cor e tinta preta.")</f>
        <v>Excelente qualidade de cor e tinta preta.</v>
      </c>
      <c r="B45100" s="3">
        <v>1</v>
      </c>
    </row>
    <row r="45101" ht="15.75" customHeight="1" spans="1:2">
      <c r="A45101" s="3" t="str">
        <f>IFERROR(__xludf.DUMMYFUNCTION("GOOGLETRANSLATE(A45101,""en"",""pt"")"),"cavalo de trabalho sólida. Excelente qualidade e confiabilidade.")</f>
        <v>cavalo de trabalho sólida. Excelente qualidade e confiabilidade.</v>
      </c>
      <c r="B45101" s="3">
        <v>1</v>
      </c>
    </row>
    <row r="45102" ht="15.75" customHeight="1" spans="1:2">
      <c r="A45102" s="3" t="str">
        <f>IFERROR(__xludf.DUMMYFUNCTION("GOOGLETRANSLATE(A45102,""en"",""pt"")"),"Grande qualidade e tranquilidade.")</f>
        <v>Grande qualidade e tranquilidade.</v>
      </c>
      <c r="B45102" s="3">
        <v>1</v>
      </c>
    </row>
    <row r="45103" ht="15.75" customHeight="1" spans="1:2">
      <c r="A45103" s="3" t="str">
        <f>IFERROR(__xludf.DUMMYFUNCTION("GOOGLETRANSLATE(A45103,""en"",""pt"")"),"silencioso, rápido, atraente, excelente qualidade de impressão")</f>
        <v>silencioso, rápido, atraente, excelente qualidade de impressão</v>
      </c>
      <c r="B45103" s="3">
        <v>1</v>
      </c>
    </row>
    <row r="45104" ht="15.75" customHeight="1" spans="1:2">
      <c r="A45104" s="3" t="str">
        <f>IFERROR(__xludf.DUMMYFUNCTION("GOOGLETRANSLATE(A45104,""en"",""pt"")"),"qualidade, facilidade de uso, baixa manutenção")</f>
        <v>qualidade, facilidade de uso, baixa manutenção</v>
      </c>
      <c r="B45104" s="3">
        <v>1</v>
      </c>
    </row>
    <row r="45105" ht="15.75" customHeight="1" spans="1:2">
      <c r="A45105" s="3" t="str">
        <f>IFERROR(__xludf.DUMMYFUNCTION("GOOGLETRANSLATE(A45105,""en"",""pt"")"),"CONFIABILIDADE, saída de impressão, reimpressão qualidade fotográfica, fácil de tinta")</f>
        <v>CONFIABILIDADE, saída de impressão, reimpressão qualidade fotográfica, fácil de tinta</v>
      </c>
      <c r="B45105" s="3">
        <v>1</v>
      </c>
    </row>
    <row r="45106" ht="15.75" customHeight="1" spans="1:2">
      <c r="A45106" s="3" t="str">
        <f>IFERROR(__xludf.DUMMYFUNCTION("GOOGLETRANSLATE(A45106,""en"",""pt"")"),", Velocidade, trabalho de qualidade tranquila")</f>
        <v>, Velocidade, trabalho de qualidade tranquila</v>
      </c>
      <c r="B45106" s="3">
        <v>1</v>
      </c>
    </row>
    <row r="45107" ht="15.75" customHeight="1" spans="1:2">
      <c r="A45107" s="3" t="str">
        <f>IFERROR(__xludf.DUMMYFUNCTION("GOOGLETRANSLATE(A45107,""en"",""pt"")"),"de impressora resistente, fácil de usar, rápido, impressão de qualidade barato.")</f>
        <v>de impressora resistente, fácil de usar, rápido, impressão de qualidade barato.</v>
      </c>
      <c r="B45107" s="3">
        <v>1</v>
      </c>
    </row>
    <row r="45108" ht="15.75" customHeight="1" spans="1:2">
      <c r="A45108" s="3" t="str">
        <f>IFERROR(__xludf.DUMMYFUNCTION("GOOGLETRANSLATE(A45108,""en"",""pt"")"),"Boa saída, fácil instalação, alta confiabilidade.")</f>
        <v>Boa saída, fácil instalação, alta confiabilidade.</v>
      </c>
      <c r="B45108" s="3">
        <v>1</v>
      </c>
    </row>
    <row r="45109" ht="15.75" customHeight="1" spans="1:2">
      <c r="A45109" s="3" t="str">
        <f>IFERROR(__xludf.DUMMYFUNCTION("GOOGLETRANSLATE(A45109,""en"",""pt"")"),"impressões claramente")</f>
        <v>impressões claramente</v>
      </c>
      <c r="B45109" s="3">
        <v>1</v>
      </c>
    </row>
    <row r="45110" ht="15.75" customHeight="1" spans="1:2">
      <c r="A45110" s="3" t="str">
        <f>IFERROR(__xludf.DUMMYFUNCTION("GOOGLETRANSLATE(A45110,""en"",""pt"")"),"Vibração e claridade de vários projectos")</f>
        <v>Vibração e claridade de vários projectos</v>
      </c>
      <c r="B45110" s="3">
        <v>1</v>
      </c>
    </row>
    <row r="45111" ht="15.75" customHeight="1" spans="1:2">
      <c r="A45111" s="3" t="str">
        <f>IFERROR(__xludf.DUMMYFUNCTION("GOOGLETRANSLATE(A45111,""en"",""pt"")"),"Qualidade de imagem nítida, fácil de usar / instalar, imprime em uma grande variedade de tipos de papel.")</f>
        <v>Qualidade de imagem nítida, fácil de usar / instalar, imprime em uma grande variedade de tipos de papel.</v>
      </c>
      <c r="B45111" s="3">
        <v>1</v>
      </c>
    </row>
    <row r="45112" ht="15.75" customHeight="1" spans="1:2">
      <c r="A45112" s="3" t="str">
        <f>IFERROR(__xludf.DUMMYFUNCTION("GOOGLETRANSLATE(A45112,""en"",""pt"")"),"Photo Quality, barato, fácil de usar")</f>
        <v>Photo Quality, barato, fácil de usar</v>
      </c>
      <c r="B45112" s="3">
        <v>1</v>
      </c>
    </row>
    <row r="45113" ht="15.75" customHeight="1" spans="1:2">
      <c r="A45113" s="3" t="str">
        <f>IFERROR(__xludf.DUMMYFUNCTION("GOOGLETRANSLATE(A45113,""en"",""pt"")"),"boa quility")</f>
        <v>boa quility</v>
      </c>
      <c r="B45113" s="3">
        <v>1</v>
      </c>
    </row>
    <row r="45114" ht="15.75" customHeight="1" spans="1:2">
      <c r="A45114" s="3" t="str">
        <f>IFERROR(__xludf.DUMMYFUNCTION("GOOGLETRANSLATE(A45114,""en"",""pt"")"),"imprime fotos grandes")</f>
        <v>imprime fotos grandes</v>
      </c>
      <c r="B45114" s="3">
        <v>1</v>
      </c>
    </row>
    <row r="45115" ht="15.75" customHeight="1" spans="1:2">
      <c r="A45115" s="3" t="str">
        <f>IFERROR(__xludf.DUMMYFUNCTION("GOOGLETRANSLATE(A45115,""en"",""pt"")"),"Grande impressora para textos, gráficos e fotos.")</f>
        <v>Grande impressora para textos, gráficos e fotos.</v>
      </c>
      <c r="B45115" s="3">
        <v>1</v>
      </c>
    </row>
    <row r="45116" ht="15.75" customHeight="1" spans="1:2">
      <c r="A45116" s="3" t="str">
        <f>IFERROR(__xludf.DUMMYFUNCTION("GOOGLETRANSLATE(A45116,""en"",""pt"")"),"A grande qualidade, velocidade excepcional, tranquila")</f>
        <v>A grande qualidade, velocidade excepcional, tranquila</v>
      </c>
      <c r="B45116" s="3">
        <v>1</v>
      </c>
    </row>
    <row r="45117" ht="15.75" customHeight="1" spans="1:2">
      <c r="A45117" s="3" t="str">
        <f>IFERROR(__xludf.DUMMYFUNCTION("GOOGLETRANSLATE(A45117,""en"",""pt"")"),"cor decente e qualidade pelos preços")</f>
        <v>cor decente e qualidade pelos preços</v>
      </c>
      <c r="B45117" s="3">
        <v>1</v>
      </c>
    </row>
    <row r="45118" ht="15.75" customHeight="1" spans="1:2">
      <c r="A45118" s="3" t="str">
        <f>IFERROR(__xludf.DUMMYFUNCTION("GOOGLETRANSLATE(A45118,""en"",""pt"")"),"Velocidade, qualidade, facilidade de uso, preço")</f>
        <v>Velocidade, qualidade, facilidade de uso, preço</v>
      </c>
      <c r="B45118" s="3">
        <v>1</v>
      </c>
    </row>
    <row r="45119" ht="15.75" customHeight="1" spans="1:2">
      <c r="A45119" s="3" t="str">
        <f>IFERROR(__xludf.DUMMYFUNCTION("GOOGLETRANSLATE(A45119,""en"",""pt"")"),"sem problemas")</f>
        <v>sem problemas</v>
      </c>
      <c r="B45119" s="3">
        <v>1</v>
      </c>
    </row>
    <row r="45120" ht="15.75" customHeight="1" spans="1:2">
      <c r="A45120" s="3" t="str">
        <f>IFERROR(__xludf.DUMMYFUNCTION("GOOGLETRANSLATE(A45120,""en"",""pt"")"),"Speedy, Quieto, versátil")</f>
        <v>Speedy, Quieto, versátil</v>
      </c>
      <c r="B45120" s="3">
        <v>1</v>
      </c>
    </row>
    <row r="45121" ht="15.75" customHeight="1" spans="1:2">
      <c r="A45121" s="3" t="str">
        <f>IFERROR(__xludf.DUMMYFUNCTION("GOOGLETRANSLATE(A45121,""en"",""pt"")"),"Barato, de excelente qualidade.")</f>
        <v>Barato, de excelente qualidade.</v>
      </c>
      <c r="B45121" s="3">
        <v>1</v>
      </c>
    </row>
    <row r="45122" ht="15.75" customHeight="1" spans="1:2">
      <c r="A45122" s="3" t="str">
        <f>IFERROR(__xludf.DUMMYFUNCTION("GOOGLETRANSLATE(A45122,""en"",""pt"")"),"gráficos acessíveis e ótimas impressão")</f>
        <v>gráficos acessíveis e ótimas impressão</v>
      </c>
      <c r="B45122" s="3">
        <v>1</v>
      </c>
    </row>
    <row r="45123" ht="15.75" customHeight="1" spans="1:2">
      <c r="A45123" s="3" t="str">
        <f>IFERROR(__xludf.DUMMYFUNCTION("GOOGLETRANSLATE(A45123,""en"",""pt"")"),"velocidade e clareza, de baixo custo")</f>
        <v>velocidade e clareza, de baixo custo</v>
      </c>
      <c r="B45123" s="3">
        <v>1</v>
      </c>
    </row>
    <row r="45124" ht="15.75" customHeight="1" spans="1:2">
      <c r="A45124" s="3" t="str">
        <f>IFERROR(__xludf.DUMMYFUNCTION("GOOGLETRANSLATE(A45124,""en"",""pt"")"),"Fácil de usar e configurar com qualquer programa")</f>
        <v>Fácil de usar e configurar com qualquer programa</v>
      </c>
      <c r="B45124" s="3">
        <v>1</v>
      </c>
    </row>
    <row r="45125" ht="15.75" customHeight="1" spans="1:2">
      <c r="A45125" s="3" t="str">
        <f>IFERROR(__xludf.DUMMYFUNCTION("GOOGLETRANSLATE(A45125,""en"",""pt"")"),"Velocidade, qualidade de impressão, confiabilidade")</f>
        <v>Velocidade, qualidade de impressão, confiabilidade</v>
      </c>
      <c r="B45125" s="3">
        <v>1</v>
      </c>
    </row>
    <row r="45126" ht="15.75" customHeight="1" spans="1:2">
      <c r="A45126" s="3" t="str">
        <f>IFERROR(__xludf.DUMMYFUNCTION("GOOGLETRANSLATE(A45126,""en"",""pt"")"),"velocidade e qualidade de imagem")</f>
        <v>velocidade e qualidade de imagem</v>
      </c>
      <c r="B45126" s="3">
        <v>1</v>
      </c>
    </row>
    <row r="45127" ht="15.75" customHeight="1" spans="1:2">
      <c r="A45127" s="3" t="str">
        <f>IFERROR(__xludf.DUMMYFUNCTION("GOOGLETRANSLATE(A45127,""en"",""pt"")"),"Grande qualidade de impressão e gráficos")</f>
        <v>Grande qualidade de impressão e gráficos</v>
      </c>
      <c r="B45127" s="3">
        <v>1</v>
      </c>
    </row>
    <row r="45128" ht="15.75" customHeight="1" spans="1:2">
      <c r="A45128" s="3" t="str">
        <f>IFERROR(__xludf.DUMMYFUNCTION("GOOGLETRANSLATE(A45128,""en"",""pt"")"),"Rápido, silencioso, afiado")</f>
        <v>Rápido, silencioso, afiado</v>
      </c>
      <c r="B45128" s="3">
        <v>1</v>
      </c>
    </row>
    <row r="45129" ht="15.75" customHeight="1" spans="1:2">
      <c r="A45129" s="3" t="str">
        <f>IFERROR(__xludf.DUMMYFUNCTION("GOOGLETRANSLATE(A45129,""en"",""pt"")"),"Grande cor, fácil de instalar")</f>
        <v>Grande cor, fácil de instalar</v>
      </c>
      <c r="B45129" s="3">
        <v>1</v>
      </c>
    </row>
    <row r="45130" ht="15.75" customHeight="1" spans="1:2">
      <c r="A45130" s="3" t="str">
        <f>IFERROR(__xludf.DUMMYFUNCTION("GOOGLETRANSLATE(A45130,""en"",""pt"")"),"rápido, grandes cor pics, tranquila .....")</f>
        <v>rápido, grandes cor pics, tranquila .....</v>
      </c>
      <c r="B45130" s="3">
        <v>1</v>
      </c>
    </row>
    <row r="45131" ht="15.75" customHeight="1" spans="1:2">
      <c r="A45131" s="3" t="str">
        <f>IFERROR(__xludf.DUMMYFUNCTION("GOOGLETRANSLATE(A45131,""en"",""pt"")"),"fácil de usar")</f>
        <v>fácil de usar</v>
      </c>
      <c r="B45131" s="3">
        <v>1</v>
      </c>
    </row>
    <row r="45132" ht="15.75" customHeight="1" spans="1:2">
      <c r="A45132" s="3" t="str">
        <f>IFERROR(__xludf.DUMMYFUNCTION("GOOGLETRANSLATE(A45132,""en"",""pt"")"),"impressões a cores de alta resolução, rápido, fácil de configurar")</f>
        <v>impressões a cores de alta resolução, rápido, fácil de configurar</v>
      </c>
      <c r="B45132" s="3">
        <v>1</v>
      </c>
    </row>
    <row r="45133" ht="15.75" customHeight="1" spans="1:2">
      <c r="A45133" s="3" t="str">
        <f>IFERROR(__xludf.DUMMYFUNCTION("GOOGLETRANSLATE(A45133,""en"",""pt"")"),"grande qualidade, impressão rápida")</f>
        <v>grande qualidade, impressão rápida</v>
      </c>
      <c r="B45133" s="3">
        <v>1</v>
      </c>
    </row>
    <row r="45134" ht="15.75" customHeight="1" spans="1:2">
      <c r="A45134" s="3" t="str">
        <f>IFERROR(__xludf.DUMMYFUNCTION("GOOGLETRANSLATE(A45134,""en"",""pt"")"),"Rápido e fácil")</f>
        <v>Rápido e fácil</v>
      </c>
      <c r="B45134" s="3">
        <v>1</v>
      </c>
    </row>
    <row r="45135" ht="15.75" customHeight="1" spans="1:2">
      <c r="A45135" s="3" t="str">
        <f>IFERROR(__xludf.DUMMYFUNCTION("GOOGLETRANSLATE(A45135,""en"",""pt"")"),"tudo")</f>
        <v>tudo</v>
      </c>
      <c r="B45135" s="3">
        <v>1</v>
      </c>
    </row>
    <row r="45136" ht="15.75" customHeight="1" spans="1:2">
      <c r="A45136" s="3" t="str">
        <f>IFERROR(__xludf.DUMMYFUNCTION("GOOGLETRANSLATE(A45136,""en"",""pt"")"),"Confiável, bastante, tamanho e qualidade.")</f>
        <v>Confiável, bastante, tamanho e qualidade.</v>
      </c>
      <c r="B45136" s="3">
        <v>1</v>
      </c>
    </row>
    <row r="45137" ht="15.75" customHeight="1" spans="1:2">
      <c r="A45137" s="3" t="str">
        <f>IFERROR(__xludf.DUMMYFUNCTION("GOOGLETRANSLATE(A45137,""en"",""pt"")"),"Printer Grande Qualidade")</f>
        <v>Printer Grande Qualidade</v>
      </c>
      <c r="B45137" s="3">
        <v>1</v>
      </c>
    </row>
    <row r="45138" ht="15.75" customHeight="1" spans="1:2">
      <c r="A45138" s="3" t="str">
        <f>IFERROR(__xludf.DUMMYFUNCTION("GOOGLETRANSLATE(A45138,""en"",""pt"")"),"Tamanho, Preço, Qualidade, Velocidade")</f>
        <v>Tamanho, Preço, Qualidade, Velocidade</v>
      </c>
      <c r="B45138" s="3">
        <v>1</v>
      </c>
    </row>
    <row r="45139" ht="15.75" customHeight="1" spans="1:2">
      <c r="A45139" s="3" t="str">
        <f>IFERROR(__xludf.DUMMYFUNCTION("GOOGLETRANSLATE(A45139,""en"",""pt"")"),"toneladas deles")</f>
        <v>toneladas deles</v>
      </c>
      <c r="B45139" s="3">
        <v>1</v>
      </c>
    </row>
    <row r="45140" ht="15.75" customHeight="1" spans="1:2">
      <c r="A45140" s="3" t="str">
        <f>IFERROR(__xludf.DUMMYFUNCTION("GOOGLETRANSLATE(A45140,""en"",""pt"")"),"A qualidade da foto, raramente compotas, topo da linha impressora")</f>
        <v>A qualidade da foto, raramente compotas, topo da linha impressora</v>
      </c>
      <c r="B45140" s="3">
        <v>1</v>
      </c>
    </row>
    <row r="45141" ht="15.75" customHeight="1" spans="1:2">
      <c r="A45141" s="3" t="str">
        <f>IFERROR(__xludf.DUMMYFUNCTION("GOOGLETRANSLATE(A45141,""en"",""pt"")"),"Impressora de qualidade com o nome de Qualidade HP")</f>
        <v>Impressora de qualidade com o nome de Qualidade HP</v>
      </c>
      <c r="B45141" s="3">
        <v>1</v>
      </c>
    </row>
    <row r="45142" ht="15.75" customHeight="1" spans="1:2">
      <c r="A45142" s="3" t="str">
        <f>IFERROR(__xludf.DUMMYFUNCTION("GOOGLETRANSLATE(A45142,""en"",""pt"")"),"grande cor, funciona bem, entrou para a preços")</f>
        <v>grande cor, funciona bem, entrou para a preços</v>
      </c>
      <c r="B45142" s="3">
        <v>1</v>
      </c>
    </row>
    <row r="45143" ht="15.75" customHeight="1" spans="1:2">
      <c r="A45143" s="3" t="str">
        <f>IFERROR(__xludf.DUMMYFUNCTION("GOOGLETRANSLATE(A45143,""en"",""pt"")"),"nítido, preto rápido e impressão branco; impressão em cores detalhada; fácil de usar")</f>
        <v>nítido, preto rápido e impressão branco; impressão em cores detalhada; fácil de usar</v>
      </c>
      <c r="B45143" s="3">
        <v>1</v>
      </c>
    </row>
    <row r="45144" ht="15.75" customHeight="1" spans="1:2">
      <c r="A45144" s="3" t="str">
        <f>IFERROR(__xludf.DUMMYFUNCTION("GOOGLETRANSLATE(A45144,""en"",""pt"")"),"confiabilidade, qualidade de impressão, facilidade de set-up &amp; amp; amp; usar")</f>
        <v>confiabilidade, qualidade de impressão, facilidade de set-up &amp; amp; amp; usar</v>
      </c>
      <c r="B45144" s="3">
        <v>1</v>
      </c>
    </row>
    <row r="45145" ht="15.75" customHeight="1" spans="1:2">
      <c r="A45145" s="3" t="str">
        <f>IFERROR(__xludf.DUMMYFUNCTION("GOOGLETRANSLATE(A45145,""en"",""pt"")"),"Faz um trabalho muito bom se você configurar corretamente.")</f>
        <v>Faz um trabalho muito bom se você configurar corretamente.</v>
      </c>
      <c r="B45145" s="3">
        <v>1</v>
      </c>
    </row>
    <row r="45146" ht="15.75" customHeight="1" spans="1:2">
      <c r="A45146" s="3" t="str">
        <f>IFERROR(__xludf.DUMMYFUNCTION("GOOGLETRANSLATE(A45146,""en"",""pt"")"),"reprodução da foto qualidade admirável")</f>
        <v>reprodução da foto qualidade admirável</v>
      </c>
      <c r="B45146" s="3">
        <v>1</v>
      </c>
    </row>
    <row r="45147" ht="15.75" customHeight="1" spans="1:2">
      <c r="A45147" s="3" t="str">
        <f>IFERROR(__xludf.DUMMYFUNCTION("GOOGLETRANSLATE(A45147,""en"",""pt"")"),"qualidade de impressão clara, cor grande")</f>
        <v>qualidade de impressão clara, cor grande</v>
      </c>
      <c r="B45147" s="3">
        <v>1</v>
      </c>
    </row>
    <row r="45148" ht="15.75" customHeight="1" spans="1:2">
      <c r="A45148" s="3" t="str">
        <f>IFERROR(__xludf.DUMMYFUNCTION("GOOGLETRANSLATE(A45148,""en"",""pt"")"),"Silencioso, econômico, sem problemas")</f>
        <v>Silencioso, econômico, sem problemas</v>
      </c>
      <c r="B45148" s="3">
        <v>1</v>
      </c>
    </row>
    <row r="45149" ht="15.75" customHeight="1" spans="1:2">
      <c r="A45149" s="3" t="str">
        <f>IFERROR(__xludf.DUMMYFUNCTION("GOOGLETRANSLATE(A45149,""en"",""pt"")"),"Qualidade, estilo")</f>
        <v>Qualidade, estilo</v>
      </c>
      <c r="B45149" s="3">
        <v>1</v>
      </c>
    </row>
    <row r="45150" ht="15.75" customHeight="1" spans="1:2">
      <c r="A45150" s="3" t="str">
        <f>IFERROR(__xludf.DUMMYFUNCTION("GOOGLETRANSLATE(A45150,""en"",""pt"")"),"PhotoRetII / III é trully a melhor tecnologia de impressão atualmente avilable. saída Photo-Prof semi.")</f>
        <v>PhotoRetII / III é trully a melhor tecnologia de impressão atualmente avilable. saída Photo-Prof semi.</v>
      </c>
      <c r="B45150" s="3">
        <v>1</v>
      </c>
    </row>
    <row r="45151" ht="15.75" customHeight="1" spans="1:2">
      <c r="A45151" s="3" t="str">
        <f>IFERROR(__xludf.DUMMYFUNCTION("GOOGLETRANSLATE(A45151,""en"",""pt"")"),"qualidade, confiabilidade e preço")</f>
        <v>qualidade, confiabilidade e preço</v>
      </c>
      <c r="B45151" s="3">
        <v>1</v>
      </c>
    </row>
    <row r="45152" ht="15.75" customHeight="1" spans="1:2">
      <c r="A45152" s="3" t="str">
        <f>IFERROR(__xludf.DUMMYFUNCTION("GOOGLETRANSLATE(A45152,""en"",""pt"")"),"Boa qualidade de impressão, rápida")</f>
        <v>Boa qualidade de impressão, rápida</v>
      </c>
      <c r="B45152" s="3">
        <v>1</v>
      </c>
    </row>
    <row r="45153" ht="15.75" customHeight="1" spans="1:2">
      <c r="A45153" s="3" t="str">
        <f>IFERROR(__xludf.DUMMYFUNCTION("GOOGLETRANSLATE(A45153,""en"",""pt"")"),"Barato")</f>
        <v>Barato</v>
      </c>
      <c r="B45153" s="3">
        <v>1</v>
      </c>
    </row>
    <row r="45154" ht="15.75" customHeight="1" spans="1:2">
      <c r="A45154" s="3" t="str">
        <f>IFERROR(__xludf.DUMMYFUNCTION("GOOGLETRANSLATE(A45154,""en"",""pt"")"),"texto bem geral e saída de imagem.")</f>
        <v>texto bem geral e saída de imagem.</v>
      </c>
      <c r="B45154" s="3">
        <v>1</v>
      </c>
    </row>
    <row r="45155" ht="15.75" customHeight="1" spans="1:2">
      <c r="A45155" s="3" t="str">
        <f>IFERROR(__xludf.DUMMYFUNCTION("GOOGLETRANSLATE(A45155,""en"",""pt"")"),"Serviço")</f>
        <v>Serviço</v>
      </c>
      <c r="B45155" s="3">
        <v>1</v>
      </c>
    </row>
    <row r="45156" ht="15.75" customHeight="1" spans="1:2">
      <c r="A45156" s="3" t="str">
        <f>IFERROR(__xludf.DUMMYFUNCTION("GOOGLETRANSLATE(A45156,""en"",""pt"")"),"grande cor, barato")</f>
        <v>grande cor, barato</v>
      </c>
      <c r="B45156" s="3">
        <v>1</v>
      </c>
    </row>
    <row r="45157" ht="15.75" customHeight="1" spans="1:2">
      <c r="A45157" s="3" t="str">
        <f>IFERROR(__xludf.DUMMYFUNCTION("GOOGLETRANSLATE(A45157,""en"",""pt"")"),"Excelente Qualidade da impressão: cartuchos de baixo custo; Confiável")</f>
        <v>Excelente Qualidade da impressão: cartuchos de baixo custo; Confiável</v>
      </c>
      <c r="B45157" s="3">
        <v>1</v>
      </c>
    </row>
    <row r="45158" ht="15.75" customHeight="1" spans="1:2">
      <c r="A45158" s="3" t="str">
        <f>IFERROR(__xludf.DUMMYFUNCTION("GOOGLETRANSLATE(A45158,""en"",""pt"")"),"Nítidas e cópias claras")</f>
        <v>Nítidas e cópias claras</v>
      </c>
      <c r="B45158" s="3">
        <v>1</v>
      </c>
    </row>
    <row r="45159" ht="15.75" customHeight="1" spans="1:2">
      <c r="A45159" s="3" t="str">
        <f>IFERROR(__xludf.DUMMYFUNCTION("GOOGLETRANSLATE(A45159,""en"",""pt"")"),"Simples de configurar e usar; fácil de cartuchos de mudança; versátil")</f>
        <v>Simples de configurar e usar; fácil de cartuchos de mudança; versátil</v>
      </c>
      <c r="B45159" s="3">
        <v>1</v>
      </c>
    </row>
    <row r="45160" ht="15.75" customHeight="1" spans="1:2">
      <c r="A45160" s="3" t="str">
        <f>IFERROR(__xludf.DUMMYFUNCTION("GOOGLETRANSLATE(A45160,""en"",""pt"")"),"Alta confiabilidade e excelente qualidade torna uma escolha superior")</f>
        <v>Alta confiabilidade e excelente qualidade torna uma escolha superior</v>
      </c>
      <c r="B45160" s="3">
        <v>1</v>
      </c>
    </row>
    <row r="45161" ht="15.75" customHeight="1" spans="1:2">
      <c r="A45161" s="3" t="str">
        <f>IFERROR(__xludf.DUMMYFUNCTION("GOOGLETRANSLATE(A45161,""en"",""pt"")"),"Photo Quality Prints")</f>
        <v>Photo Quality Prints</v>
      </c>
      <c r="B45161" s="3">
        <v>1</v>
      </c>
    </row>
    <row r="45162" ht="15.75" customHeight="1" spans="1:2">
      <c r="A45162" s="3" t="str">
        <f>IFERROR(__xludf.DUMMYFUNCTION("GOOGLETRANSLATE(A45162,""en"",""pt"")"),"Rápido, confiável, produto de QUALIDADE")</f>
        <v>Rápido, confiável, produto de QUALIDADE</v>
      </c>
      <c r="B45162" s="3">
        <v>1</v>
      </c>
    </row>
    <row r="45163" ht="15.75" customHeight="1" spans="1:2">
      <c r="A45163" s="3" t="str">
        <f>IFERROR(__xludf.DUMMYFUNCTION("GOOGLETRANSLATE(A45163,""en"",""pt"")"),"Preço, confiabilidade, suporte, facilidade de uso e manutenção")</f>
        <v>Preço, confiabilidade, suporte, facilidade de uso e manutenção</v>
      </c>
      <c r="B45163" s="3">
        <v>1</v>
      </c>
    </row>
    <row r="45164" ht="15.75" customHeight="1" spans="1:2">
      <c r="A45164" s="3" t="str">
        <f>IFERROR(__xludf.DUMMYFUNCTION("GOOGLETRANSLATE(A45164,""en"",""pt"")"),"Versatilidade, confiabilidade, custo eficaz")</f>
        <v>Versatilidade, confiabilidade, custo eficaz</v>
      </c>
      <c r="B45164" s="3">
        <v>1</v>
      </c>
    </row>
    <row r="45165" ht="15.75" customHeight="1" spans="1:2">
      <c r="A45165" s="3" t="str">
        <f>IFERROR(__xludf.DUMMYFUNCTION("GOOGLETRANSLATE(A45165,""en"",""pt"")"),"Barato, de boa qualidade")</f>
        <v>Barato, de boa qualidade</v>
      </c>
      <c r="B45165" s="3">
        <v>1</v>
      </c>
    </row>
    <row r="45166" ht="15.75" customHeight="1" spans="1:2">
      <c r="A45166" s="3" t="str">
        <f>IFERROR(__xludf.DUMMYFUNCTION("GOOGLETRANSLATE(A45166,""en"",""pt"")"),"barato")</f>
        <v>barato</v>
      </c>
      <c r="B45166" s="3">
        <v>1</v>
      </c>
    </row>
    <row r="45167" ht="15.75" customHeight="1" spans="1:2">
      <c r="A45167" s="3" t="str">
        <f>IFERROR(__xludf.DUMMYFUNCTION("GOOGLETRANSLATE(A45167,""en"",""pt"")"),"Otima qualidade! grande velocidade! liga-se ao imprimir! grande cuidado cliente!")</f>
        <v>Otima qualidade! grande velocidade! liga-se ao imprimir! grande cuidado cliente!</v>
      </c>
      <c r="B45167" s="3">
        <v>1</v>
      </c>
    </row>
    <row r="45168" ht="15.75" customHeight="1" spans="1:2">
      <c r="A45168" s="3" t="str">
        <f>IFERROR(__xludf.DUMMYFUNCTION("GOOGLETRANSLATE(A45168,""en"",""pt"")"),"Imprime belas fotos de qualidade, fácil de usar")</f>
        <v>Imprime belas fotos de qualidade, fácil de usar</v>
      </c>
      <c r="B45168" s="3">
        <v>1</v>
      </c>
    </row>
    <row r="45169" ht="15.75" customHeight="1" spans="1:2">
      <c r="A45169" s="3" t="str">
        <f>IFERROR(__xludf.DUMMYFUNCTION("GOOGLETRANSLATE(A45169,""en"",""pt"")"),"excelente qualidade de impressão, a preços acessíveis, duráveis, nunca compotas, fácil de usar")</f>
        <v>excelente qualidade de impressão, a preços acessíveis, duráveis, nunca compotas, fácil de usar</v>
      </c>
      <c r="B45169" s="3">
        <v>1</v>
      </c>
    </row>
    <row r="45170" ht="15.75" customHeight="1" spans="1:2">
      <c r="A45170" s="3" t="str">
        <f>IFERROR(__xludf.DUMMYFUNCTION("GOOGLETRANSLATE(A45170,""en"",""pt"")"),"Produz uma grande Impresso produtos")</f>
        <v>Produz uma grande Impresso produtos</v>
      </c>
      <c r="B45170" s="3">
        <v>1</v>
      </c>
    </row>
    <row r="45171" ht="15.75" customHeight="1" spans="1:2">
      <c r="A45171" s="3" t="str">
        <f>IFERROR(__xludf.DUMMYFUNCTION("GOOGLETRANSLATE(A45171,""en"",""pt"")"),"Facilidade de uso, qualidade e operação silenciosa")</f>
        <v>Facilidade de uso, qualidade e operação silenciosa</v>
      </c>
      <c r="B45171" s="3">
        <v>1</v>
      </c>
    </row>
    <row r="45172" ht="15.75" customHeight="1" spans="1:2">
      <c r="A45172" s="3" t="str">
        <f>IFERROR(__xludf.DUMMYFUNCTION("GOOGLETRANSLATE(A45172,""en"",""pt"")"),"grande texto e impressão de fotos")</f>
        <v>grande texto e impressão de fotos</v>
      </c>
      <c r="B45172" s="3">
        <v>1</v>
      </c>
    </row>
    <row r="45173" ht="15.75" customHeight="1" spans="1:2">
      <c r="A45173" s="3" t="str">
        <f>IFERROR(__xludf.DUMMYFUNCTION("GOOGLETRANSLATE(A45173,""en"",""pt"")"),"Grande impressão e excelente preço")</f>
        <v>Grande impressão e excelente preço</v>
      </c>
      <c r="B45173" s="3">
        <v>1</v>
      </c>
    </row>
    <row r="45174" ht="15.75" customHeight="1" spans="1:2">
      <c r="A45174" s="3" t="str">
        <f>IFERROR(__xludf.DUMMYFUNCTION("GOOGLETRANSLATE(A45174,""en"",""pt"")"),"Um bom software, dura ao longo do tempo")</f>
        <v>Um bom software, dura ao longo do tempo</v>
      </c>
      <c r="B45174" s="3">
        <v>1</v>
      </c>
    </row>
    <row r="45175" ht="15.75" customHeight="1" spans="1:2">
      <c r="A45175" s="3" t="str">
        <f>IFERROR(__xludf.DUMMYFUNCTION("GOOGLETRANSLATE(A45175,""en"",""pt"")"),"printing..Good de alta qualidade para ter cópias de coisas")</f>
        <v>printing..Good de alta qualidade para ter cópias de coisas</v>
      </c>
      <c r="B45175" s="3">
        <v>1</v>
      </c>
    </row>
    <row r="45176" ht="15.75" customHeight="1" spans="1:2">
      <c r="A45176" s="3" t="str">
        <f>IFERROR(__xludf.DUMMYFUNCTION("GOOGLETRANSLATE(A45176,""en"",""pt"")"),"Durabilidade, qualidade de imagem, operação silenciosa, velocidade.")</f>
        <v>Durabilidade, qualidade de imagem, operação silenciosa, velocidade.</v>
      </c>
      <c r="B45176" s="3">
        <v>1</v>
      </c>
    </row>
    <row r="45177" ht="15.75" customHeight="1" spans="1:2">
      <c r="A45177" s="3" t="str">
        <f>IFERROR(__xludf.DUMMYFUNCTION("GOOGLETRANSLATE(A45177,""en"",""pt"")"),"de baixo custo, as impressões de qualidade")</f>
        <v>de baixo custo, as impressões de qualidade</v>
      </c>
      <c r="B45177" s="3">
        <v>1</v>
      </c>
    </row>
    <row r="45178" ht="15.75" customHeight="1" spans="1:2">
      <c r="A45178" s="3" t="str">
        <f>IFERROR(__xludf.DUMMYFUNCTION("GOOGLETRANSLATE(A45178,""en"",""pt"")"),"fino obras quando nova")</f>
        <v>fino obras quando nova</v>
      </c>
      <c r="B45178" s="3">
        <v>1</v>
      </c>
    </row>
    <row r="45179" ht="15.75" customHeight="1" spans="1:2">
      <c r="A45179" s="3" t="str">
        <f>IFERROR(__xludf.DUMMYFUNCTION("GOOGLETRANSLATE(A45179,""en"",""pt"")"),"Uma impressora de preço médio com características de alto preço.")</f>
        <v>Uma impressora de preço médio com características de alto preço.</v>
      </c>
      <c r="B45179" s="3">
        <v>1</v>
      </c>
    </row>
    <row r="45180" ht="15.75" customHeight="1" spans="1:2">
      <c r="A45180" s="3" t="str">
        <f>IFERROR(__xludf.DUMMYFUNCTION("GOOGLETRANSLATE(A45180,""en"",""pt"")"),"Tudo!")</f>
        <v>Tudo!</v>
      </c>
      <c r="B45180" s="3">
        <v>1</v>
      </c>
    </row>
    <row r="45181" ht="15.75" customHeight="1" spans="1:2">
      <c r="A45181" s="3" t="str">
        <f>IFERROR(__xludf.DUMMYFUNCTION("GOOGLETRANSLATE(A45181,""en"",""pt"")"),"operação silenciosa, facilidade de uso, você recebe mais do que aquilo que você paga")</f>
        <v>operação silenciosa, facilidade de uso, você recebe mais do que aquilo que você paga</v>
      </c>
      <c r="B45181" s="3">
        <v>1</v>
      </c>
    </row>
    <row r="45182" ht="15.75" customHeight="1" spans="1:2">
      <c r="A45182" s="3" t="str">
        <f>IFERROR(__xludf.DUMMYFUNCTION("GOOGLETRANSLATE(A45182,""en"",""pt"")"),"Preço, qualidade, durabilidade.")</f>
        <v>Preço, qualidade, durabilidade.</v>
      </c>
      <c r="B45182" s="3">
        <v>1</v>
      </c>
    </row>
    <row r="45183" ht="15.75" customHeight="1" spans="1:2">
      <c r="A45183" s="3" t="str">
        <f>IFERROR(__xludf.DUMMYFUNCTION("GOOGLETRANSLATE(A45183,""en"",""pt"")"),"Rápido, confiável")</f>
        <v>Rápido, confiável</v>
      </c>
      <c r="B45183" s="3">
        <v>1</v>
      </c>
    </row>
    <row r="45184" ht="15.75" customHeight="1" spans="1:2">
      <c r="A45184" s="3" t="str">
        <f>IFERROR(__xludf.DUMMYFUNCTION("GOOGLETRANSLATE(A45184,""en"",""pt"")"),"impressão decente, cartuchos último poço")</f>
        <v>impressão decente, cartuchos último poço</v>
      </c>
      <c r="B45184" s="3">
        <v>1</v>
      </c>
    </row>
    <row r="45185" ht="15.75" customHeight="1" spans="1:2">
      <c r="A45185" s="3" t="str">
        <f>IFERROR(__xludf.DUMMYFUNCTION("GOOGLETRANSLATE(A45185,""en"",""pt"")"),"impressão rápida, saída de texto decente")</f>
        <v>impressão rápida, saída de texto decente</v>
      </c>
      <c r="B45185" s="3">
        <v>1</v>
      </c>
    </row>
    <row r="45186" ht="15.75" customHeight="1" spans="1:2">
      <c r="A45186" s="3" t="str">
        <f>IFERROR(__xludf.DUMMYFUNCTION("GOOGLETRANSLATE(A45186,""en"",""pt"")"),"boa qualidade de impressão")</f>
        <v>boa qualidade de impressão</v>
      </c>
      <c r="B45186" s="3">
        <v>1</v>
      </c>
    </row>
    <row r="45187" ht="15.75" customHeight="1" spans="1:2">
      <c r="A45187" s="3" t="str">
        <f>IFERROR(__xludf.DUMMYFUNCTION("GOOGLETRANSLATE(A45187,""en"",""pt"")"),"Barato, fácil de usar, de boa qualidade.")</f>
        <v>Barato, fácil de usar, de boa qualidade.</v>
      </c>
      <c r="B45187" s="3">
        <v>1</v>
      </c>
    </row>
    <row r="45188" ht="15.75" customHeight="1" spans="1:2">
      <c r="A45188" s="3" t="str">
        <f>IFERROR(__xludf.DUMMYFUNCTION("GOOGLETRANSLATE(A45188,""en"",""pt"")"),"Esta impressora é uma impressora grande arranque.")</f>
        <v>Esta impressora é uma impressora grande arranque.</v>
      </c>
      <c r="B45188" s="3">
        <v>1</v>
      </c>
    </row>
    <row r="45189" ht="15.75" customHeight="1" spans="1:2">
      <c r="A45189" s="3" t="str">
        <f>IFERROR(__xludf.DUMMYFUNCTION("GOOGLETRANSLATE(A45189,""en"",""pt"")"),"Excelente qualidade de impressão de foto")</f>
        <v>Excelente qualidade de impressão de foto</v>
      </c>
      <c r="B45189" s="3">
        <v>1</v>
      </c>
    </row>
    <row r="45190" ht="15.75" customHeight="1" spans="1:2">
      <c r="A45190" s="3" t="str">
        <f>IFERROR(__xludf.DUMMYFUNCTION("GOOGLETRANSLATE(A45190,""en"",""pt"")"),"Um pouco de impressora resistente que vai sobreviver seus cartuchos de novo e de novo!")</f>
        <v>Um pouco de impressora resistente que vai sobreviver seus cartuchos de novo e de novo!</v>
      </c>
      <c r="B45190" s="3">
        <v>1</v>
      </c>
    </row>
    <row r="45191" ht="15.75" customHeight="1" spans="1:2">
      <c r="A45191" s="3" t="str">
        <f>IFERROR(__xludf.DUMMYFUNCTION("GOOGLETRANSLATE(A45191,""en"",""pt"")"),"grande qualidade de impressão, preço")</f>
        <v>grande qualidade de impressão, preço</v>
      </c>
      <c r="B45191" s="3">
        <v>1</v>
      </c>
    </row>
    <row r="45192" ht="15.75" customHeight="1" spans="1:2">
      <c r="A45192" s="3" t="str">
        <f>IFERROR(__xludf.DUMMYFUNCTION("GOOGLETRANSLATE(A45192,""en"",""pt"")"),"Pequeno, leve, de fácil instalação, barato")</f>
        <v>Pequeno, leve, de fácil instalação, barato</v>
      </c>
      <c r="B45192" s="3">
        <v>1</v>
      </c>
    </row>
    <row r="45193" ht="15.75" customHeight="1" spans="1:2">
      <c r="A45193" s="3" t="str">
        <f>IFERROR(__xludf.DUMMYFUNCTION("GOOGLETRANSLATE(A45193,""en"",""pt"")"),"Rápido, confiável, boa qualidade")</f>
        <v>Rápido, confiável, boa qualidade</v>
      </c>
      <c r="B45193" s="3">
        <v>1</v>
      </c>
    </row>
    <row r="45194" ht="15.75" customHeight="1" spans="1:2">
      <c r="A45194" s="3" t="str">
        <f>IFERROR(__xludf.DUMMYFUNCTION("GOOGLETRANSLATE(A45194,""en"",""pt"")"),"Confiável, qualidade de impressão")</f>
        <v>Confiável, qualidade de impressão</v>
      </c>
      <c r="B45194" s="3">
        <v>1</v>
      </c>
    </row>
    <row r="45195" ht="15.75" customHeight="1" spans="1:2">
      <c r="A45195" s="3" t="str">
        <f>IFERROR(__xludf.DUMMYFUNCTION("GOOGLETRANSLATE(A45195,""en"",""pt"")"),"Muito confiável, Quieto, fez a última pegada pequena,")</f>
        <v>Muito confiável, Quieto, fez a última pegada pequena,</v>
      </c>
      <c r="B45195" s="3">
        <v>1</v>
      </c>
    </row>
    <row r="45196" ht="15.75" customHeight="1" spans="1:2">
      <c r="A45196" s="3" t="str">
        <f>IFERROR(__xludf.DUMMYFUNCTION("GOOGLETRANSLATE(A45196,""en"",""pt"")"),"A qualidade de impressão é excelente")</f>
        <v>A qualidade de impressão é excelente</v>
      </c>
      <c r="B45196" s="3">
        <v>1</v>
      </c>
    </row>
    <row r="45197" ht="15.75" customHeight="1" spans="1:2">
      <c r="A45197" s="3" t="str">
        <f>IFERROR(__xludf.DUMMYFUNCTION("GOOGLETRANSLATE(A45197,""en"",""pt"")"),"Fácil de usar, a mais alta qualidade de impressão. Excelente máquina.")</f>
        <v>Fácil de usar, a mais alta qualidade de impressão. Excelente máquina.</v>
      </c>
      <c r="B45197" s="3">
        <v>1</v>
      </c>
    </row>
    <row r="45198" ht="15.75" customHeight="1" spans="1:2">
      <c r="A45198" s="3" t="str">
        <f>IFERROR(__xludf.DUMMYFUNCTION("GOOGLETRANSLATE(A45198,""en"",""pt"")"),"foto perto de perfeita qualidade de impressão")</f>
        <v>foto perto de perfeita qualidade de impressão</v>
      </c>
      <c r="B45198" s="3">
        <v>1</v>
      </c>
    </row>
    <row r="45199" ht="15.75" customHeight="1" spans="1:2">
      <c r="A45199" s="3" t="str">
        <f>IFERROR(__xludf.DUMMYFUNCTION("GOOGLETRANSLATE(A45199,""en"",""pt"")"),"qualidade de saída, construção e suporte de driver.")</f>
        <v>qualidade de saída, construção e suporte de driver.</v>
      </c>
      <c r="B45199" s="3">
        <v>1</v>
      </c>
    </row>
    <row r="45200" ht="15.75" customHeight="1" spans="1:2">
      <c r="A45200" s="3" t="str">
        <f>IFERROR(__xludf.DUMMYFUNCTION("GOOGLETRANSLATE(A45200,""en"",""pt"")"),"Confiáveis, resultados de impressão de alta qualidade.")</f>
        <v>Confiáveis, resultados de impressão de alta qualidade.</v>
      </c>
      <c r="B45200" s="3">
        <v>1</v>
      </c>
    </row>
    <row r="45201" ht="15.75" customHeight="1" spans="1:2">
      <c r="A45201" s="3" t="str">
        <f>IFERROR(__xludf.DUMMYFUNCTION("GOOGLETRANSLATE(A45201,""en"",""pt"")"),"imprime bem, rapidamente")</f>
        <v>imprime bem, rapidamente</v>
      </c>
      <c r="B45201" s="3">
        <v>1</v>
      </c>
    </row>
    <row r="45202" ht="15.75" customHeight="1" spans="1:2">
      <c r="A45202" s="3" t="str">
        <f>IFERROR(__xludf.DUMMYFUNCTION("GOOGLETRANSLATE(A45202,""en"",""pt"")"),"Baixo custo, alta qualidade de impressão, bandeja de papel de carregamento frontal")</f>
        <v>Baixo custo, alta qualidade de impressão, bandeja de papel de carregamento frontal</v>
      </c>
      <c r="B45202" s="3">
        <v>1</v>
      </c>
    </row>
    <row r="45203" ht="15.75" customHeight="1" spans="1:2">
      <c r="A45203" s="3" t="str">
        <f>IFERROR(__xludf.DUMMYFUNCTION("GOOGLETRANSLATE(A45203,""en"",""pt"")"),"Grande qualidade de impressão")</f>
        <v>Grande qualidade de impressão</v>
      </c>
      <c r="B45203" s="3">
        <v>1</v>
      </c>
    </row>
    <row r="45204" ht="15.75" customHeight="1" spans="1:2">
      <c r="A45204" s="3" t="str">
        <f>IFERROR(__xludf.DUMMYFUNCTION("GOOGLETRANSLATE(A45204,""en"",""pt"")"),"velocidade de impressão rápida, ótima resolução, papel nunca compotas")</f>
        <v>velocidade de impressão rápida, ótima resolução, papel nunca compotas</v>
      </c>
      <c r="B45204" s="3">
        <v>1</v>
      </c>
    </row>
    <row r="45205" ht="15.75" customHeight="1" spans="1:2">
      <c r="A45205" s="3" t="str">
        <f>IFERROR(__xludf.DUMMYFUNCTION("GOOGLETRANSLATE(A45205,""en"",""pt"")"),"Excelente qualidade de imagem, fácil de usar")</f>
        <v>Excelente qualidade de imagem, fácil de usar</v>
      </c>
      <c r="B45205" s="3">
        <v>1</v>
      </c>
    </row>
    <row r="45206" ht="15.75" customHeight="1" spans="1:2">
      <c r="A45206" s="3" t="str">
        <f>IFERROR(__xludf.DUMMYFUNCTION("GOOGLETRANSLATE(A45206,""en"",""pt"")"),"Barato, confiável")</f>
        <v>Barato, confiável</v>
      </c>
      <c r="B45206" s="3">
        <v>1</v>
      </c>
    </row>
    <row r="45207" ht="15.75" customHeight="1" spans="1:2">
      <c r="A45207" s="3" t="str">
        <f>IFERROR(__xludf.DUMMYFUNCTION("GOOGLETRANSLATE(A45207,""en"",""pt"")"),"Boa velocidade, corre tranquila")</f>
        <v>Boa velocidade, corre tranquila</v>
      </c>
      <c r="B45207" s="3">
        <v>1</v>
      </c>
    </row>
    <row r="45208" ht="15.75" customHeight="1" spans="1:2">
      <c r="A45208" s="3" t="str">
        <f>IFERROR(__xludf.DUMMYFUNCTION("GOOGLETRANSLATE(A45208,""en"",""pt"")"),"Boa qualidade de impressão")</f>
        <v>Boa qualidade de impressão</v>
      </c>
      <c r="B45208" s="3">
        <v>1</v>
      </c>
    </row>
    <row r="45209" ht="15.75" customHeight="1" spans="1:2">
      <c r="A45209" s="3" t="str">
        <f>IFERROR(__xludf.DUMMYFUNCTION("GOOGLETRANSLATE(A45209,""en"",""pt"")"),"rápido, silencioso,, impressão de qualidade confiável")</f>
        <v>rápido, silencioso,, impressão de qualidade confiável</v>
      </c>
      <c r="B45209" s="3">
        <v>1</v>
      </c>
    </row>
    <row r="45210" ht="15.75" customHeight="1" spans="1:2">
      <c r="A45210" s="3" t="str">
        <f>IFERROR(__xludf.DUMMYFUNCTION("GOOGLETRANSLATE(A45210,""en"",""pt"")"),"boa impressão, de alta qualidade")</f>
        <v>boa impressão, de alta qualidade</v>
      </c>
      <c r="B45210" s="3">
        <v>1</v>
      </c>
    </row>
    <row r="45211" ht="15.75" customHeight="1" spans="1:2">
      <c r="A45211" s="3" t="str">
        <f>IFERROR(__xludf.DUMMYFUNCTION("GOOGLETRANSLATE(A45211,""en"",""pt"")"),"Grande qualidade por seu preço!")</f>
        <v>Grande qualidade por seu preço!</v>
      </c>
      <c r="B45211" s="3">
        <v>1</v>
      </c>
    </row>
    <row r="45212" ht="15.75" customHeight="1" spans="1:2">
      <c r="A45212" s="3" t="str">
        <f>IFERROR(__xludf.DUMMYFUNCTION("GOOGLETRANSLATE(A45212,""en"",""pt"")"),"limpo, legível, silencioso e eficiente")</f>
        <v>limpo, legível, silencioso e eficiente</v>
      </c>
      <c r="B45212" s="3">
        <v>1</v>
      </c>
    </row>
    <row r="45213" ht="15.75" customHeight="1" spans="1:2">
      <c r="A45213" s="3" t="str">
        <f>IFERROR(__xludf.DUMMYFUNCTION("GOOGLETRANSLATE(A45213,""en"",""pt"")"),", Grande saída rápida")</f>
        <v>, Grande saída rápida</v>
      </c>
      <c r="B45213" s="3">
        <v>1</v>
      </c>
    </row>
    <row r="45214" ht="15.75" customHeight="1" spans="1:2">
      <c r="A45214" s="3" t="str">
        <f>IFERROR(__xludf.DUMMYFUNCTION("GOOGLETRANSLATE(A45214,""en"",""pt"")"),"Prints lindamente!")</f>
        <v>Prints lindamente!</v>
      </c>
      <c r="B45214" s="3">
        <v>1</v>
      </c>
    </row>
    <row r="45215" ht="15.75" customHeight="1" spans="1:2">
      <c r="A45215" s="3" t="str">
        <f>IFERROR(__xludf.DUMMYFUNCTION("GOOGLETRANSLATE(A45215,""en"",""pt"")"),"Excelente qualidade de imagem, impressora barata!")</f>
        <v>Excelente qualidade de imagem, impressora barata!</v>
      </c>
      <c r="B45215" s="3">
        <v>1</v>
      </c>
    </row>
    <row r="45216" ht="15.75" customHeight="1" spans="1:2">
      <c r="A45216" s="3" t="str">
        <f>IFERROR(__xludf.DUMMYFUNCTION("GOOGLETRANSLATE(A45216,""en"",""pt"")"),"velocidade de impressão decente, de boa qualidade (preto e cor), de baixo custo")</f>
        <v>velocidade de impressão decente, de boa qualidade (preto e cor), de baixo custo</v>
      </c>
      <c r="B45216" s="3">
        <v>1</v>
      </c>
    </row>
    <row r="45217" ht="15.75" customHeight="1" spans="1:2">
      <c r="A45217" s="3" t="str">
        <f>IFERROR(__xludf.DUMMYFUNCTION("GOOGLETRANSLATE(A45217,""en"",""pt"")"),"preço decente, bom para texto")</f>
        <v>preço decente, bom para texto</v>
      </c>
      <c r="B45217" s="3">
        <v>1</v>
      </c>
    </row>
    <row r="45218" ht="15.75" customHeight="1" spans="1:2">
      <c r="A45218" s="3" t="str">
        <f>IFERROR(__xludf.DUMMYFUNCTION("GOOGLETRANSLATE(A45218,""en"",""pt"")"),"A qualidade de impressão, atendimento ao cliente HP")</f>
        <v>A qualidade de impressão, atendimento ao cliente HP</v>
      </c>
      <c r="B45218" s="3">
        <v>1</v>
      </c>
    </row>
    <row r="45219" ht="15.75" customHeight="1" spans="1:2">
      <c r="A45219" s="3" t="str">
        <f>IFERROR(__xludf.DUMMYFUNCTION("GOOGLETRANSLATE(A45219,""en"",""pt"")"),"Boa qualidade de impressão, silencioso, confiável")</f>
        <v>Boa qualidade de impressão, silencioso, confiável</v>
      </c>
      <c r="B45219" s="3">
        <v>1</v>
      </c>
    </row>
    <row r="45220" ht="15.75" customHeight="1" spans="1:2">
      <c r="A45220" s="3" t="str">
        <f>IFERROR(__xludf.DUMMYFUNCTION("GOOGLETRANSLATE(A45220,""en"",""pt"")"),"obras a uma velocidade boa, a cor quase perfeita, não jam")</f>
        <v>obras a uma velocidade boa, a cor quase perfeita, não jam</v>
      </c>
      <c r="B45220" s="3">
        <v>1</v>
      </c>
    </row>
    <row r="45221" ht="15.75" customHeight="1" spans="1:2">
      <c r="A45221" s="3" t="str">
        <f>IFERROR(__xludf.DUMMYFUNCTION("GOOGLETRANSLATE(A45221,""en"",""pt"")"),"Qualidade ótima impressão, Fast, Quiet")</f>
        <v>Qualidade ótima impressão, Fast, Quiet</v>
      </c>
      <c r="B45221" s="3">
        <v>1</v>
      </c>
    </row>
    <row r="45222" ht="15.75" customHeight="1" spans="1:2">
      <c r="A45222" s="3" t="str">
        <f>IFERROR(__xludf.DUMMYFUNCTION("GOOGLETRANSLATE(A45222,""en"",""pt"")"),"Rápido, fácil de instalar, barato")</f>
        <v>Rápido, fácil de instalar, barato</v>
      </c>
      <c r="B45222" s="3">
        <v>1</v>
      </c>
    </row>
    <row r="45223" ht="15.75" customHeight="1" spans="1:2">
      <c r="A45223" s="3" t="str">
        <f>IFERROR(__xludf.DUMMYFUNCTION("GOOGLETRANSLATE(A45223,""en"",""pt"")"),"Muito fácil configuração e instalação")</f>
        <v>Muito fácil configuração e instalação</v>
      </c>
      <c r="B45223" s="3">
        <v>1</v>
      </c>
    </row>
    <row r="45224" ht="15.75" customHeight="1" spans="1:2">
      <c r="A45224" s="3" t="str">
        <f>IFERROR(__xludf.DUMMYFUNCTION("GOOGLETRANSLATE(A45224,""en"",""pt"")"),"Preço / Desempenho, típico qualidade HP")</f>
        <v>Preço / Desempenho, típico qualidade HP</v>
      </c>
      <c r="B45224" s="3">
        <v>1</v>
      </c>
    </row>
    <row r="45225" ht="15.75" customHeight="1" spans="1:2">
      <c r="A45225" s="3" t="str">
        <f>IFERROR(__xludf.DUMMYFUNCTION("GOOGLETRANSLATE(A45225,""en"",""pt"")"),"qualidade superior para o baixo custo")</f>
        <v>qualidade superior para o baixo custo</v>
      </c>
      <c r="B45225" s="3">
        <v>1</v>
      </c>
    </row>
    <row r="45226" ht="15.75" customHeight="1" spans="1:2">
      <c r="A45226" s="3" t="str">
        <f>IFERROR(__xludf.DUMMYFUNCTION("GOOGLETRANSLATE(A45226,""en"",""pt"")"),"Faz um ótimo trabalho com impressão a cores")</f>
        <v>Faz um ótimo trabalho com impressão a cores</v>
      </c>
      <c r="B45226" s="3">
        <v>1</v>
      </c>
    </row>
    <row r="45227" ht="15.75" customHeight="1" spans="1:2">
      <c r="A45227" s="3" t="str">
        <f>IFERROR(__xludf.DUMMYFUNCTION("GOOGLETRANSLATE(A45227,""en"",""pt"")"),"Preço, qualidade de cor e preto &amp; amp; amp; impressão branco, fácil set-up")</f>
        <v>Preço, qualidade de cor e preto &amp; amp; amp; impressão branco, fácil set-up</v>
      </c>
      <c r="B45227" s="3">
        <v>1</v>
      </c>
    </row>
    <row r="45228" ht="15.75" customHeight="1" spans="1:2">
      <c r="A45228" s="3" t="str">
        <f>IFERROR(__xludf.DUMMYFUNCTION("GOOGLETRANSLATE(A45228,""en"",""pt"")"),"Boa qualidade, boa velocidade, a preços acessíveis")</f>
        <v>Boa qualidade, boa velocidade, a preços acessíveis</v>
      </c>
      <c r="B45228" s="3">
        <v>1</v>
      </c>
    </row>
    <row r="45229" ht="15.75" customHeight="1" spans="1:2">
      <c r="A45229" s="3" t="str">
        <f>IFERROR(__xludf.DUMMYFUNCTION("GOOGLETRANSLATE(A45229,""en"",""pt"")"),"Fácil e confiável")</f>
        <v>Fácil e confiável</v>
      </c>
      <c r="B45229" s="3">
        <v>1</v>
      </c>
    </row>
    <row r="45230" ht="15.75" customHeight="1" spans="1:2">
      <c r="A45230" s="3" t="str">
        <f>IFERROR(__xludf.DUMMYFUNCTION("GOOGLETRANSLATE(A45230,""en"",""pt"")"),"Qualidade, ligação USB, alimentação de tinta")</f>
        <v>Qualidade, ligação USB, alimentação de tinta</v>
      </c>
      <c r="B45230" s="3">
        <v>1</v>
      </c>
    </row>
    <row r="45231" ht="15.75" customHeight="1" spans="1:2">
      <c r="A45231" s="3" t="str">
        <f>IFERROR(__xludf.DUMMYFUNCTION("GOOGLETRANSLATE(A45231,""en"",""pt"")"),"Fácil de usar, fácil de configurar")</f>
        <v>Fácil de usar, fácil de configurar</v>
      </c>
      <c r="B45231" s="3">
        <v>1</v>
      </c>
    </row>
    <row r="45232" ht="15.75" customHeight="1" spans="1:2">
      <c r="A45232" s="3" t="str">
        <f>IFERROR(__xludf.DUMMYFUNCTION("GOOGLETRANSLATE(A45232,""en"",""pt"")"),"Preço, qualidade, USB")</f>
        <v>Preço, qualidade, USB</v>
      </c>
      <c r="B45232" s="3">
        <v>1</v>
      </c>
    </row>
    <row r="45233" ht="15.75" customHeight="1" spans="1:2">
      <c r="A45233" s="3" t="str">
        <f>IFERROR(__xludf.DUMMYFUNCTION("GOOGLETRANSLATE(A45233,""en"",""pt"")"),"Boa qualidade de cor, texto nítido, mais rápido do que a maioria dos jatos de tinta de cor.")</f>
        <v>Boa qualidade de cor, texto nítido, mais rápido do que a maioria dos jatos de tinta de cor.</v>
      </c>
      <c r="B45233" s="3">
        <v>1</v>
      </c>
    </row>
    <row r="45234" ht="15.75" customHeight="1" spans="1:2">
      <c r="A45234" s="3" t="str">
        <f>IFERROR(__xludf.DUMMYFUNCTION("GOOGLETRANSLATE(A45234,""en"",""pt"")"),"Preço, velocidade, qualidade, facilidade de uso / instalação")</f>
        <v>Preço, velocidade, qualidade, facilidade de uso / instalação</v>
      </c>
      <c r="B45234" s="3">
        <v>1</v>
      </c>
    </row>
    <row r="45235" ht="15.75" customHeight="1" spans="1:2">
      <c r="A45235" s="3" t="str">
        <f>IFERROR(__xludf.DUMMYFUNCTION("GOOGLETRANSLATE(A45235,""en"",""pt"")"),"Good on Graphics, muito rápido, silencioso, Grande Printer")</f>
        <v>Good on Graphics, muito rápido, silencioso, Grande Printer</v>
      </c>
      <c r="B45235" s="3">
        <v>1</v>
      </c>
    </row>
    <row r="45236" ht="15.75" customHeight="1" spans="1:2">
      <c r="A45236" s="3" t="str">
        <f>IFERROR(__xludf.DUMMYFUNCTION("GOOGLETRANSLATE(A45236,""en"",""pt"")"),"velocidade de impressão, reprodução de fotos")</f>
        <v>velocidade de impressão, reprodução de fotos</v>
      </c>
      <c r="B45236" s="3">
        <v>1</v>
      </c>
    </row>
    <row r="45237" ht="15.75" customHeight="1" spans="1:2">
      <c r="A45237" s="3" t="str">
        <f>IFERROR(__xludf.DUMMYFUNCTION("GOOGLETRANSLATE(A45237,""en"",""pt"")"),"Grande cor PICTURES")</f>
        <v>Grande cor PICTURES</v>
      </c>
      <c r="B45237" s="3">
        <v>1</v>
      </c>
    </row>
    <row r="45238" ht="15.75" customHeight="1" spans="1:2">
      <c r="A45238" s="3" t="str">
        <f>IFERROR(__xludf.DUMMYFUNCTION("GOOGLETRANSLATE(A45238,""en"",""pt"")"),"Cor Tecnologia Smart III, impressão frente e verso, Fast, Quite.")</f>
        <v>Cor Tecnologia Smart III, impressão frente e verso, Fast, Quite.</v>
      </c>
      <c r="B45238" s="3">
        <v>1</v>
      </c>
    </row>
    <row r="45239" ht="15.75" customHeight="1" spans="1:2">
      <c r="A45239" s="3" t="str">
        <f>IFERROR(__xludf.DUMMYFUNCTION("GOOGLETRANSLATE(A45239,""en"",""pt"")"),"Grande qualidade de impressão, facilidade de instalação, facilidade de uso.")</f>
        <v>Grande qualidade de impressão, facilidade de instalação, facilidade de uso.</v>
      </c>
      <c r="B45239" s="3">
        <v>1</v>
      </c>
    </row>
    <row r="45240" ht="15.75" customHeight="1" spans="1:2">
      <c r="A45240" s="3" t="str">
        <f>IFERROR(__xludf.DUMMYFUNCTION("GOOGLETRANSLATE(A45240,""en"",""pt"")"),"Ótimo preço, boa qualidade")</f>
        <v>Ótimo preço, boa qualidade</v>
      </c>
      <c r="B45240" s="3">
        <v>1</v>
      </c>
    </row>
    <row r="45241" ht="15.75" customHeight="1" spans="1:2">
      <c r="A45241" s="3" t="str">
        <f>IFERROR(__xludf.DUMMYFUNCTION("GOOGLETRANSLATE(A45241,""en"",""pt"")"),"Rápido, fácil instalação, boa impressão")</f>
        <v>Rápido, fácil instalação, boa impressão</v>
      </c>
      <c r="B45241" s="3">
        <v>1</v>
      </c>
    </row>
    <row r="45242" ht="15.75" customHeight="1" spans="1:2">
      <c r="A45242" s="3" t="str">
        <f>IFERROR(__xludf.DUMMYFUNCTION("GOOGLETRANSLATE(A45242,""en"",""pt"")"),"Qualidade, tranquila e acessível")</f>
        <v>Qualidade, tranquila e acessível</v>
      </c>
      <c r="B45242" s="3">
        <v>1</v>
      </c>
    </row>
    <row r="45243" ht="15.75" customHeight="1" spans="1:2">
      <c r="A45243" s="3" t="str">
        <f>IFERROR(__xludf.DUMMYFUNCTION("GOOGLETRANSLATE(A45243,""en"",""pt"")"),"Limpo, impressora de nível de entrada rápida.")</f>
        <v>Limpo, impressora de nível de entrada rápida.</v>
      </c>
      <c r="B45243" s="3">
        <v>1</v>
      </c>
    </row>
    <row r="45244" ht="15.75" customHeight="1" spans="1:2">
      <c r="A45244" s="3" t="str">
        <f>IFERROR(__xludf.DUMMYFUNCTION("GOOGLETRANSLATE(A45244,""en"",""pt"")"),"Ótimo preço, boa velocidade e qualidade de imagem")</f>
        <v>Ótimo preço, boa velocidade e qualidade de imagem</v>
      </c>
      <c r="B45244" s="3">
        <v>1</v>
      </c>
    </row>
    <row r="45245" ht="15.75" customHeight="1" spans="1:2">
      <c r="A45245" s="3" t="str">
        <f>IFERROR(__xludf.DUMMYFUNCTION("GOOGLETRANSLATE(A45245,""en"",""pt"")"),"Imagem, velocidade, qualidade e grande serviço ao cliente")</f>
        <v>Imagem, velocidade, qualidade e grande serviço ao cliente</v>
      </c>
      <c r="B45245" s="3">
        <v>1</v>
      </c>
    </row>
    <row r="45246" ht="15.75" customHeight="1" spans="1:2">
      <c r="A45246" s="3" t="str">
        <f>IFERROR(__xludf.DUMMYFUNCTION("GOOGLETRANSLATE(A45246,""en"",""pt"")"),"barato, rápido")</f>
        <v>barato, rápido</v>
      </c>
      <c r="B45246" s="3">
        <v>1</v>
      </c>
    </row>
    <row r="45247" ht="15.75" customHeight="1" spans="1:2">
      <c r="A45247" s="3" t="str">
        <f>IFERROR(__xludf.DUMMYFUNCTION("GOOGLETRANSLATE(A45247,""en"",""pt"")"),"Qualidade de impressão rápida tranquila")</f>
        <v>Qualidade de impressão rápida tranquila</v>
      </c>
      <c r="B45247" s="3">
        <v>1</v>
      </c>
    </row>
    <row r="45248" ht="15.75" customHeight="1" spans="1:2">
      <c r="A45248" s="3" t="str">
        <f>IFERROR(__xludf.DUMMYFUNCTION("GOOGLETRANSLATE(A45248,""en"",""pt"")"),"rápida e boa cor")</f>
        <v>rápida e boa cor</v>
      </c>
      <c r="B45248" s="3">
        <v>1</v>
      </c>
    </row>
    <row r="45249" ht="15.75" customHeight="1" spans="1:2">
      <c r="A45249" s="3" t="str">
        <f>IFERROR(__xludf.DUMMYFUNCTION("GOOGLETRANSLATE(A45249,""en"",""pt"")"),"Rápido, confiável e barato")</f>
        <v>Rápido, confiável e barato</v>
      </c>
      <c r="B45249" s="3">
        <v>1</v>
      </c>
    </row>
    <row r="45250" ht="15.75" customHeight="1" spans="1:2">
      <c r="A45250" s="3" t="str">
        <f>IFERROR(__xludf.DUMMYFUNCTION("GOOGLETRANSLATE(A45250,""en"",""pt"")"),"Imprime documentos de grande qualidade")</f>
        <v>Imprime documentos de grande qualidade</v>
      </c>
      <c r="B45250" s="3">
        <v>1</v>
      </c>
    </row>
    <row r="45251" ht="15.75" customHeight="1" spans="1:2">
      <c r="A45251" s="3" t="str">
        <f>IFERROR(__xludf.DUMMYFUNCTION("GOOGLETRANSLATE(A45251,""en"",""pt"")"),"acessível, qualidade maravilhosa em qualquer papel")</f>
        <v>acessível, qualidade maravilhosa em qualquer papel</v>
      </c>
      <c r="B45251" s="3">
        <v>1</v>
      </c>
    </row>
    <row r="45252" ht="15.75" customHeight="1" spans="1:2">
      <c r="A45252" s="3" t="str">
        <f>IFERROR(__xludf.DUMMYFUNCTION("GOOGLETRANSLATE(A45252,""en"",""pt"")"),"É confiável")</f>
        <v>É confiável</v>
      </c>
      <c r="B45252" s="3">
        <v>1</v>
      </c>
    </row>
    <row r="45253" ht="15.75" customHeight="1" spans="1:2">
      <c r="A45253" s="3" t="str">
        <f>IFERROR(__xludf.DUMMYFUNCTION("GOOGLETRANSLATE(A45253,""en"",""pt"")"),"Fácil de usar")</f>
        <v>Fácil de usar</v>
      </c>
      <c r="B45253" s="3">
        <v>1</v>
      </c>
    </row>
    <row r="45254" ht="15.75" customHeight="1" spans="1:2">
      <c r="A45254" s="3" t="str">
        <f>IFERROR(__xludf.DUMMYFUNCTION("GOOGLETRANSLATE(A45254,""en"",""pt"")"),"barato, de saída mesmo que 890cse, manuseamento de papel excepcional, HP preto")</f>
        <v>barato, de saída mesmo que 890cse, manuseamento de papel excepcional, HP preto</v>
      </c>
      <c r="B45254" s="3">
        <v>1</v>
      </c>
    </row>
    <row r="45255" ht="15.75" customHeight="1" spans="1:2">
      <c r="A45255" s="3" t="str">
        <f>IFERROR(__xludf.DUMMYFUNCTION("GOOGLETRANSLATE(A45255,""en"",""pt"")"),"Imagens de boa qualidade")</f>
        <v>Imagens de boa qualidade</v>
      </c>
      <c r="B45255" s="3">
        <v>1</v>
      </c>
    </row>
    <row r="45256" ht="15.75" customHeight="1" spans="1:2">
      <c r="A45256" s="3" t="str">
        <f>IFERROR(__xludf.DUMMYFUNCTION("GOOGLETRANSLATE(A45256,""en"",""pt"")"),"Grande impressão de fotos, texto descida, USB e interface paralela")</f>
        <v>Grande impressão de fotos, texto descida, USB e interface paralela</v>
      </c>
      <c r="B45256" s="3">
        <v>1</v>
      </c>
    </row>
    <row r="45257" ht="15.75" customHeight="1" spans="1:2">
      <c r="A45257" s="3" t="str">
        <f>IFERROR(__xludf.DUMMYFUNCTION("GOOGLETRANSLATE(A45257,""en"",""pt"")"),"Produz alta impressões de qualidade, fácil de configurar &amp; amp; amp; Use, a preços razoáveis, Fun Software ...")</f>
        <v>Produz alta impressões de qualidade, fácil de configurar &amp; amp; amp; Use, a preços razoáveis, Fun Software ...</v>
      </c>
      <c r="B45257" s="3">
        <v>1</v>
      </c>
    </row>
    <row r="45258" ht="15.75" customHeight="1" spans="1:2">
      <c r="A45258" s="3" t="str">
        <f>IFERROR(__xludf.DUMMYFUNCTION("GOOGLETRANSLATE(A45258,""en"",""pt"")"),"Muito rápido, o desempenho Grande")</f>
        <v>Muito rápido, o desempenho Grande</v>
      </c>
      <c r="B45258" s="3">
        <v>1</v>
      </c>
    </row>
    <row r="45259" ht="15.75" customHeight="1" spans="1:2">
      <c r="A45259" s="3" t="str">
        <f>IFERROR(__xludf.DUMMYFUNCTION("GOOGLETRANSLATE(A45259,""en"",""pt"")"),"excelente qualidade de impressão")</f>
        <v>excelente qualidade de impressão</v>
      </c>
      <c r="B45259" s="3">
        <v>1</v>
      </c>
    </row>
    <row r="45260" ht="15.75" customHeight="1" spans="1:2">
      <c r="A45260" s="3" t="str">
        <f>IFERROR(__xludf.DUMMYFUNCTION("GOOGLETRANSLATE(A45260,""en"",""pt"")"),"Barato")</f>
        <v>Barato</v>
      </c>
      <c r="B45260" s="3">
        <v>1</v>
      </c>
    </row>
    <row r="45261" ht="15.75" customHeight="1" spans="1:2">
      <c r="A45261" s="3" t="str">
        <f>IFERROR(__xludf.DUMMYFUNCTION("GOOGLETRANSLATE(A45261,""en"",""pt"")"),"muito boa qualidade de impressão, forma permite que você se sentar-lo em uma prateleira")</f>
        <v>muito boa qualidade de impressão, forma permite que você se sentar-lo em uma prateleira</v>
      </c>
      <c r="B45261" s="3">
        <v>1</v>
      </c>
    </row>
    <row r="45262" ht="15.75" customHeight="1" spans="1:2">
      <c r="A45262" s="3" t="str">
        <f>IFERROR(__xludf.DUMMYFUNCTION("GOOGLETRANSLATE(A45262,""en"",""pt"")"),"Fácil de usar, impressão de alta qualidade")</f>
        <v>Fácil de usar, impressão de alta qualidade</v>
      </c>
      <c r="B45262" s="3">
        <v>1</v>
      </c>
    </row>
    <row r="45263" ht="15.75" customHeight="1" spans="1:2">
      <c r="A45263" s="3" t="str">
        <f>IFERROR(__xludf.DUMMYFUNCTION("GOOGLETRANSLATE(A45263,""en"",""pt"")"),"Rápido, barato, excelente qualidade")</f>
        <v>Rápido, barato, excelente qualidade</v>
      </c>
      <c r="B45263" s="3">
        <v>1</v>
      </c>
    </row>
    <row r="45264" ht="15.75" customHeight="1" spans="1:2">
      <c r="A45264" s="3" t="str">
        <f>IFERROR(__xludf.DUMMYFUNCTION("GOOGLETRANSLATE(A45264,""en"",""pt"")"),"ótima qualidade pelo o preço")</f>
        <v>ótima qualidade pelo o preço</v>
      </c>
      <c r="B45264" s="3">
        <v>1</v>
      </c>
    </row>
    <row r="45265" ht="15.75" customHeight="1" spans="1:2">
      <c r="A45265" s="3" t="str">
        <f>IFERROR(__xludf.DUMMYFUNCTION("GOOGLETRANSLATE(A45265,""en"",""pt"")"),"qualidade de impressão")</f>
        <v>qualidade de impressão</v>
      </c>
      <c r="B45265" s="3">
        <v>1</v>
      </c>
    </row>
    <row r="45266" ht="15.75" customHeight="1" spans="1:2">
      <c r="A45266" s="3" t="str">
        <f>IFERROR(__xludf.DUMMYFUNCTION("GOOGLETRANSLATE(A45266,""en"",""pt"")"),"velocidade, resolução, facilidade de configuração, suporte USB")</f>
        <v>velocidade, resolução, facilidade de configuração, suporte USB</v>
      </c>
      <c r="B45266" s="3">
        <v>1</v>
      </c>
    </row>
    <row r="45267" ht="15.75" customHeight="1" spans="1:2">
      <c r="A45267" s="3" t="str">
        <f>IFERROR(__xludf.DUMMYFUNCTION("GOOGLETRANSLATE(A45267,""en"",""pt"")"),"qualidade de impressão, se encaixa no espaço pequeno")</f>
        <v>qualidade de impressão, se encaixa no espaço pequeno</v>
      </c>
      <c r="B45267" s="3">
        <v>1</v>
      </c>
    </row>
    <row r="45268" ht="15.75" customHeight="1" spans="1:2">
      <c r="A45268" s="3" t="str">
        <f>IFERROR(__xludf.DUMMYFUNCTION("GOOGLETRANSLATE(A45268,""en"",""pt"")"),"Grande qualidade de impressão para uma impressora de menor preço")</f>
        <v>Grande qualidade de impressão para uma impressora de menor preço</v>
      </c>
      <c r="B45268" s="3">
        <v>1</v>
      </c>
    </row>
    <row r="45269" ht="15.75" customHeight="1" spans="1:2">
      <c r="A45269" s="3" t="str">
        <f>IFERROR(__xludf.DUMMYFUNCTION("GOOGLETRANSLATE(A45269,""en"",""pt"")"),"Oh homem ... você quer que eu enumerá-los todos?")</f>
        <v>Oh homem ... você quer que eu enumerá-los todos?</v>
      </c>
      <c r="B45269" s="3">
        <v>1</v>
      </c>
    </row>
    <row r="45270" ht="15.75" customHeight="1" spans="1:2">
      <c r="A45270" s="3" t="str">
        <f>IFERROR(__xludf.DUMMYFUNCTION("GOOGLETRANSLATE(A45270,""en"",""pt"")"),"Fácil de usar")</f>
        <v>Fácil de usar</v>
      </c>
      <c r="B45270" s="3">
        <v>1</v>
      </c>
    </row>
    <row r="45271" ht="15.75" customHeight="1" spans="1:2">
      <c r="A45271" s="3" t="str">
        <f>IFERROR(__xludf.DUMMYFUNCTION("GOOGLETRANSLATE(A45271,""en"",""pt"")"),"Qualidade de impressão é grande")</f>
        <v>Qualidade de impressão é grande</v>
      </c>
      <c r="B45271" s="3">
        <v>1</v>
      </c>
    </row>
    <row r="45272" ht="15.75" customHeight="1" spans="1:2">
      <c r="A45272" s="3" t="str">
        <f>IFERROR(__xludf.DUMMYFUNCTION("GOOGLETRANSLATE(A45272,""en"",""pt"")"),"Impressões de grande qualidade.")</f>
        <v>Impressões de grande qualidade.</v>
      </c>
      <c r="B45272" s="3">
        <v>1</v>
      </c>
    </row>
    <row r="45273" ht="15.75" customHeight="1" spans="1:2">
      <c r="A45273" s="3" t="str">
        <f>IFERROR(__xludf.DUMMYFUNCTION("GOOGLETRANSLATE(A45273,""en"",""pt"")"),"Imprime rápida e silenciosamente e nunca falha")</f>
        <v>Imprime rápida e silenciosamente e nunca falha</v>
      </c>
      <c r="B45273" s="3">
        <v>1</v>
      </c>
    </row>
    <row r="45274" ht="15.75" customHeight="1" spans="1:2">
      <c r="A45274" s="3" t="str">
        <f>IFERROR(__xludf.DUMMYFUNCTION("GOOGLETRANSLATE(A45274,""en"",""pt"")"),"resultados de qualidade, cabeça de impressão nova com cada cartucho, consistente")</f>
        <v>resultados de qualidade, cabeça de impressão nova com cada cartucho, consistente</v>
      </c>
      <c r="B45274" s="3">
        <v>1</v>
      </c>
    </row>
    <row r="45275" ht="15.75" customHeight="1" spans="1:2">
      <c r="A45275" s="3" t="str">
        <f>IFERROR(__xludf.DUMMYFUNCTION("GOOGLETRANSLATE(A45275,""en"",""pt"")"),"grande qualidade de impressão")</f>
        <v>grande qualidade de impressão</v>
      </c>
      <c r="B45275" s="3">
        <v>1</v>
      </c>
    </row>
    <row r="45276" ht="15.75" customHeight="1" spans="1:2">
      <c r="A45276" s="3" t="str">
        <f>IFERROR(__xludf.DUMMYFUNCTION("GOOGLETRANSLATE(A45276,""en"",""pt"")"),"impressão clara e grandes cores!")</f>
        <v>impressão clara e grandes cores!</v>
      </c>
      <c r="B45276" s="3">
        <v>1</v>
      </c>
    </row>
    <row r="45277" ht="15.75" customHeight="1" spans="1:2">
      <c r="A45277" s="3" t="str">
        <f>IFERROR(__xludf.DUMMYFUNCTION("GOOGLETRANSLATE(A45277,""en"",""pt"")"),"Preço, facilidade de uso, qualidade")</f>
        <v>Preço, facilidade de uso, qualidade</v>
      </c>
      <c r="B45277" s="3">
        <v>1</v>
      </c>
    </row>
    <row r="45278" ht="15.75" customHeight="1" spans="1:2">
      <c r="A45278" s="3" t="str">
        <f>IFERROR(__xludf.DUMMYFUNCTION("GOOGLETRANSLATE(A45278,""en"",""pt"")"),"Bom preço, ea empresa fazer este cuidados impressora sobre seus clientes.")</f>
        <v>Bom preço, ea empresa fazer este cuidados impressora sobre seus clientes.</v>
      </c>
      <c r="B45278" s="3">
        <v>1</v>
      </c>
    </row>
    <row r="45279" ht="15.75" customHeight="1" spans="1:2">
      <c r="A45279" s="3" t="str">
        <f>IFERROR(__xludf.DUMMYFUNCTION("GOOGLETRANSLATE(A45279,""en"",""pt"")"),"Great todos em torno de impressora")</f>
        <v>Great todos em torno de impressora</v>
      </c>
      <c r="B45279" s="3">
        <v>1</v>
      </c>
    </row>
    <row r="45280" ht="15.75" customHeight="1" spans="1:2">
      <c r="A45280" s="3" t="str">
        <f>IFERROR(__xludf.DUMMYFUNCTION("GOOGLETRANSLATE(A45280,""en"",""pt"")"),"Barato (US $ 99,99) Fast &amp; amp; Fácil (assim como eu gosto deles)")</f>
        <v>Barato (US $ 99,99) Fast &amp; amp; Fácil (assim como eu gosto deles)</v>
      </c>
      <c r="B45280" s="3">
        <v>1</v>
      </c>
    </row>
    <row r="45281" ht="15.75" customHeight="1" spans="1:2">
      <c r="A45281" s="3" t="str">
        <f>IFERROR(__xludf.DUMMYFUNCTION("GOOGLETRANSLATE(A45281,""en"",""pt"")"),"Silencioso, rápido, bom a qualidade de impressão. O nome HP")</f>
        <v>Silencioso, rápido, bom a qualidade de impressão. O nome HP</v>
      </c>
      <c r="B45281" s="3">
        <v>1</v>
      </c>
    </row>
    <row r="45282" ht="15.75" customHeight="1" spans="1:2">
      <c r="A45282" s="3" t="str">
        <f>IFERROR(__xludf.DUMMYFUNCTION("GOOGLETRANSLATE(A45282,""en"",""pt"")"),"compacto, fácil de configurar, interface USB, boa qualidade de impressão")</f>
        <v>compacto, fácil de configurar, interface USB, boa qualidade de impressão</v>
      </c>
      <c r="B45282" s="3">
        <v>1</v>
      </c>
    </row>
    <row r="45283" ht="15.75" customHeight="1" spans="1:2">
      <c r="A45283" s="3" t="str">
        <f>IFERROR(__xludf.DUMMYFUNCTION("GOOGLETRANSLATE(A45283,""en"",""pt"")"),"cartucho de tinta é recarregável, tinta durar um tempo, rápido e parece ser bom")</f>
        <v>cartucho de tinta é recarregável, tinta durar um tempo, rápido e parece ser bom</v>
      </c>
      <c r="B45283" s="3">
        <v>1</v>
      </c>
    </row>
    <row r="45284" ht="15.75" customHeight="1" spans="1:2">
      <c r="A45284" s="3" t="str">
        <f>IFERROR(__xludf.DUMMYFUNCTION("GOOGLETRANSLATE(A45284,""en"",""pt"")"),"barato, qualidade razoável")</f>
        <v>barato, qualidade razoável</v>
      </c>
      <c r="B45284" s="3">
        <v>1</v>
      </c>
    </row>
    <row r="45285" ht="15.75" customHeight="1" spans="1:2">
      <c r="A45285" s="3" t="str">
        <f>IFERROR(__xludf.DUMMYFUNCTION("GOOGLETRANSLATE(A45285,""en"",""pt"")"),"Acessíveis, cores de alta qualidade, os negros de qualidade laser.")</f>
        <v>Acessíveis, cores de alta qualidade, os negros de qualidade laser.</v>
      </c>
      <c r="B45285" s="3">
        <v>1</v>
      </c>
    </row>
    <row r="45286" ht="15.75" customHeight="1" spans="1:2">
      <c r="A45286" s="3" t="str">
        <f>IFERROR(__xludf.DUMMYFUNCTION("GOOGLETRANSLATE(A45286,""en"",""pt"")"),"Muito baixo preço, boa cor qualidade, rápido e operação silenciosa")</f>
        <v>Muito baixo preço, boa cor qualidade, rápido e operação silenciosa</v>
      </c>
      <c r="B45286" s="3">
        <v>1</v>
      </c>
    </row>
    <row r="45287" ht="15.75" customHeight="1" spans="1:2">
      <c r="A45287" s="3" t="str">
        <f>IFERROR(__xludf.DUMMYFUNCTION("GOOGLETRANSLATE(A45287,""en"",""pt"")"),"bela qualidade de impressão, muito fácil de instalar e usar, boas opções, há congestionamentos")</f>
        <v>bela qualidade de impressão, muito fácil de instalar e usar, boas opções, há congestionamentos</v>
      </c>
      <c r="B45287" s="3">
        <v>1</v>
      </c>
    </row>
    <row r="45288" ht="15.75" customHeight="1" spans="1:2">
      <c r="A45288" s="3" t="str">
        <f>IFERROR(__xludf.DUMMYFUNCTION("GOOGLETRANSLATE(A45288,""en"",""pt"")"),"O baixo preço torna muito convento")</f>
        <v>O baixo preço torna muito convento</v>
      </c>
      <c r="B45288" s="3">
        <v>1</v>
      </c>
    </row>
    <row r="45289" ht="15.75" customHeight="1" spans="1:2">
      <c r="A45289" s="3" t="str">
        <f>IFERROR(__xludf.DUMMYFUNCTION("GOOGLETRANSLATE(A45289,""en"",""pt"")"),"qualidade HP, nunca compotas, Quieto, saída agradável Photo")</f>
        <v>qualidade HP, nunca compotas, Quieto, saída agradável Photo</v>
      </c>
      <c r="B45289" s="3">
        <v>1</v>
      </c>
    </row>
    <row r="45290" ht="15.75" customHeight="1" spans="1:2">
      <c r="A45290" s="3" t="str">
        <f>IFERROR(__xludf.DUMMYFUNCTION("GOOGLETRANSLATE(A45290,""en"",""pt"")"),"Eu nunca tive um atolamento de papel ou qualquer problema com ele.")</f>
        <v>Eu nunca tive um atolamento de papel ou qualquer problema com ele.</v>
      </c>
      <c r="B45290" s="3">
        <v>1</v>
      </c>
    </row>
    <row r="45291" ht="15.75" customHeight="1" spans="1:2">
      <c r="A45291" s="3" t="str">
        <f>IFERROR(__xludf.DUMMYFUNCTION("GOOGLETRANSLATE(A45291,""en"",""pt"")"),"Parece legal")</f>
        <v>Parece legal</v>
      </c>
      <c r="B45291" s="3">
        <v>1</v>
      </c>
    </row>
    <row r="45292" ht="15.75" customHeight="1" spans="1:2">
      <c r="A45292" s="3" t="str">
        <f>IFERROR(__xludf.DUMMYFUNCTION("GOOGLETRANSLATE(A45292,""en"",""pt"")"),"Impressora grande, contanto que você não precisar imprimir nada.")</f>
        <v>Impressora grande, contanto que você não precisar imprimir nada.</v>
      </c>
      <c r="B45292" s="3">
        <v>1</v>
      </c>
    </row>
    <row r="45293" ht="15.75" customHeight="1" spans="1:2">
      <c r="A45293" s="3" t="str">
        <f>IFERROR(__xludf.DUMMYFUNCTION("GOOGLETRANSLATE(A45293,""en"",""pt"")"),"Barato, confiável e impressões rapidamente.")</f>
        <v>Barato, confiável e impressões rapidamente.</v>
      </c>
      <c r="B45293" s="3">
        <v>1</v>
      </c>
    </row>
    <row r="45294" ht="15.75" customHeight="1" spans="1:2">
      <c r="A45294" s="3" t="str">
        <f>IFERROR(__xludf.DUMMYFUNCTION("GOOGLETRANSLATE(A45294,""en"",""pt"")"),"Ótimo preço, de fácil instalação e imprime rápido!")</f>
        <v>Ótimo preço, de fácil instalação e imprime rápido!</v>
      </c>
      <c r="B45294" s="3">
        <v>1</v>
      </c>
    </row>
    <row r="45295" ht="15.75" customHeight="1" spans="1:2">
      <c r="A45295" s="3" t="str">
        <f>IFERROR(__xludf.DUMMYFUNCTION("GOOGLETRANSLATE(A45295,""en"",""pt"")"),"Fácil de instalar &amp; amp; usar. boa saída de baixa $$")</f>
        <v>Fácil de instalar &amp; amp; usar. boa saída de baixa $$</v>
      </c>
      <c r="B45295" s="3">
        <v>1</v>
      </c>
    </row>
    <row r="45296" ht="15.75" customHeight="1" spans="1:2">
      <c r="A45296" s="3" t="str">
        <f>IFERROR(__xludf.DUMMYFUNCTION("GOOGLETRANSLATE(A45296,""en"",""pt"")"),"barato, de alta qualidade, pequeno, calmo")</f>
        <v>barato, de alta qualidade, pequeno, calmo</v>
      </c>
      <c r="B45296" s="3">
        <v>1</v>
      </c>
    </row>
    <row r="45297" ht="15.75" customHeight="1" spans="1:2">
      <c r="A45297" s="3" t="str">
        <f>IFERROR(__xludf.DUMMYFUNCTION("GOOGLETRANSLATE(A45297,""en"",""pt"")"),"Preço, ótimas fotos mesmo em papel comum, cartuchos de tinta grandes")</f>
        <v>Preço, ótimas fotos mesmo em papel comum, cartuchos de tinta grandes</v>
      </c>
      <c r="B45297" s="3">
        <v>1</v>
      </c>
    </row>
    <row r="45298" ht="15.75" customHeight="1" spans="1:2">
      <c r="A45298" s="3" t="str">
        <f>IFERROR(__xludf.DUMMYFUNCTION("GOOGLETRANSLATE(A45298,""en"",""pt"")"),"velocidade de impressão adequada, boa qualidade de impressão, econômico")</f>
        <v>velocidade de impressão adequada, boa qualidade de impressão, econômico</v>
      </c>
      <c r="B45298" s="3">
        <v>1</v>
      </c>
    </row>
    <row r="45299" ht="15.75" customHeight="1" spans="1:2">
      <c r="A45299" s="3" t="str">
        <f>IFERROR(__xludf.DUMMYFUNCTION("GOOGLETRANSLATE(A45299,""en"",""pt"")"),"grande qualidade, rápido, silencioso, de baixo custo")</f>
        <v>grande qualidade, rápido, silencioso, de baixo custo</v>
      </c>
      <c r="B45299" s="3">
        <v>1</v>
      </c>
    </row>
    <row r="45300" ht="15.75" customHeight="1" spans="1:2">
      <c r="A45300" s="3" t="str">
        <f>IFERROR(__xludf.DUMMYFUNCTION("GOOGLETRANSLATE(A45300,""en"",""pt"")"),"GREAT, impressões CLARAMENTE")</f>
        <v>GREAT, impressões CLARAMENTE</v>
      </c>
      <c r="B45300" s="3">
        <v>1</v>
      </c>
    </row>
    <row r="45301" ht="15.75" customHeight="1" spans="1:2">
      <c r="A45301" s="3" t="str">
        <f>IFERROR(__xludf.DUMMYFUNCTION("GOOGLETRANSLATE(A45301,""en"",""pt"")"),"imagens profundas claras")</f>
        <v>imagens profundas claras</v>
      </c>
      <c r="B45301" s="3">
        <v>1</v>
      </c>
    </row>
    <row r="45302" ht="15.75" customHeight="1" spans="1:2">
      <c r="A45302" s="3" t="str">
        <f>IFERROR(__xludf.DUMMYFUNCTION("GOOGLETRANSLATE(A45302,""en"",""pt"")"),"Wonderful Printer")</f>
        <v>Wonderful Printer</v>
      </c>
      <c r="B45302" s="3">
        <v>1</v>
      </c>
    </row>
    <row r="45303" ht="15.75" customHeight="1" spans="1:2">
      <c r="A45303" s="3" t="str">
        <f>IFERROR(__xludf.DUMMYFUNCTION("GOOGLETRANSLATE(A45303,""en"",""pt"")"),"Impressão rápida e clara.")</f>
        <v>Impressão rápida e clara.</v>
      </c>
      <c r="B45303" s="3">
        <v>1</v>
      </c>
    </row>
    <row r="45304" ht="15.75" customHeight="1" spans="1:2">
      <c r="A45304" s="3" t="str">
        <f>IFERROR(__xludf.DUMMYFUNCTION("GOOGLETRANSLATE(A45304,""en"",""pt"")"),"Cor e impressão a preto são excelentes, muito amigável")</f>
        <v>Cor e impressão a preto são excelentes, muito amigável</v>
      </c>
      <c r="B45304" s="3">
        <v>1</v>
      </c>
    </row>
    <row r="45305" ht="15.75" customHeight="1" spans="1:2">
      <c r="A45305" s="3" t="str">
        <f>IFERROR(__xludf.DUMMYFUNCTION("GOOGLETRANSLATE(A45305,""en"",""pt"")"),"fácil na tinta, imprime phots mais barato do que a maioria das impressoras")</f>
        <v>fácil na tinta, imprime phots mais barato do que a maioria das impressoras</v>
      </c>
      <c r="B45305" s="3">
        <v>1</v>
      </c>
    </row>
    <row r="45306" ht="15.75" customHeight="1" spans="1:2">
      <c r="A45306" s="3" t="str">
        <f>IFERROR(__xludf.DUMMYFUNCTION("GOOGLETRANSLATE(A45306,""en"",""pt"")"),"Foto Ret. 2 Tecnologia, (perfeito para fotos), velocidade excelente, ótimo para usuários domésticos, apoiados por atendimento ao cliente HP!")</f>
        <v>Foto Ret. 2 Tecnologia, (perfeito para fotos), velocidade excelente, ótimo para usuários domésticos, apoiados por atendimento ao cliente HP!</v>
      </c>
      <c r="B45306" s="3">
        <v>1</v>
      </c>
    </row>
    <row r="45307" ht="15.75" customHeight="1" spans="1:2">
      <c r="A45307" s="3" t="str">
        <f>IFERROR(__xludf.DUMMYFUNCTION("GOOGLETRANSLATE(A45307,""en"",""pt"")"),"Silencioso,, grande impressão rápida")</f>
        <v>Silencioso,, grande impressão rápida</v>
      </c>
      <c r="B45307" s="3">
        <v>1</v>
      </c>
    </row>
    <row r="45308" ht="15.75" customHeight="1" spans="1:2">
      <c r="A45308" s="3" t="str">
        <f>IFERROR(__xludf.DUMMYFUNCTION("GOOGLETRANSLATE(A45308,""en"",""pt"")"),"Parece bom, impressões grande")</f>
        <v>Parece bom, impressões grande</v>
      </c>
      <c r="B45308" s="3">
        <v>1</v>
      </c>
    </row>
    <row r="45309" ht="15.75" customHeight="1" spans="1:2">
      <c r="A45309" s="3" t="str">
        <f>IFERROR(__xludf.DUMMYFUNCTION("GOOGLETRANSLATE(A45309,""en"",""pt"")"),"Excelente qualidade, de baixa manutenção, grandes cartuchos, velocidade de impressão rápida, baixo preço")</f>
        <v>Excelente qualidade, de baixa manutenção, grandes cartuchos, velocidade de impressão rápida, baixo preço</v>
      </c>
      <c r="B45309" s="3">
        <v>1</v>
      </c>
    </row>
    <row r="45310" ht="15.75" customHeight="1" spans="1:2">
      <c r="A45310" s="3" t="str">
        <f>IFERROR(__xludf.DUMMYFUNCTION("GOOGLETRANSLATE(A45310,""en"",""pt"")"),"Rápido, fotos de qualidade, grande cor e facilidade de uso")</f>
        <v>Rápido, fotos de qualidade, grande cor e facilidade de uso</v>
      </c>
      <c r="B45310" s="3">
        <v>1</v>
      </c>
    </row>
    <row r="45311" ht="15.75" customHeight="1" spans="1:2">
      <c r="A45311" s="3" t="str">
        <f>IFERROR(__xludf.DUMMYFUNCTION("GOOGLETRANSLATE(A45311,""en"",""pt"")"),"perfeição simples")</f>
        <v>perfeição simples</v>
      </c>
      <c r="B45311" s="3">
        <v>1</v>
      </c>
    </row>
    <row r="45312" ht="15.75" customHeight="1" spans="1:2">
      <c r="A45312" s="3" t="str">
        <f>IFERROR(__xludf.DUMMYFUNCTION("GOOGLETRANSLATE(A45312,""en"",""pt"")"),"Muitos")</f>
        <v>Muitos</v>
      </c>
      <c r="B45312" s="3">
        <v>1</v>
      </c>
    </row>
    <row r="45313" ht="15.75" customHeight="1" spans="1:2">
      <c r="A45313" s="3" t="str">
        <f>IFERROR(__xludf.DUMMYFUNCTION("GOOGLETRANSLATE(A45313,""en"",""pt"")"),"qualidade fotográfica, o uso de tinta")</f>
        <v>qualidade fotográfica, o uso de tinta</v>
      </c>
      <c r="B45313" s="3">
        <v>1</v>
      </c>
    </row>
    <row r="45314" ht="15.75" customHeight="1" spans="1:2">
      <c r="A45314" s="3" t="str">
        <f>IFERROR(__xludf.DUMMYFUNCTION("GOOGLETRANSLATE(A45314,""en"",""pt"")"),"Excelente qualidade de impressão, 10ppm em preto e branco EconoFast, arrefecer novo estilo")</f>
        <v>Excelente qualidade de impressão, 10ppm em preto e branco EconoFast, arrefecer novo estilo</v>
      </c>
      <c r="B45314" s="3">
        <v>1</v>
      </c>
    </row>
    <row r="45315" ht="15.75" customHeight="1" spans="1:2">
      <c r="A45315" s="3" t="str">
        <f>IFERROR(__xludf.DUMMYFUNCTION("GOOGLETRANSLATE(A45315,""en"",""pt"")"),"baixo preço, excelente qualidade de impressão")</f>
        <v>baixo preço, excelente qualidade de impressão</v>
      </c>
      <c r="B45315" s="3">
        <v>1</v>
      </c>
    </row>
    <row r="45316" ht="15.75" customHeight="1" spans="1:2">
      <c r="A45316" s="3" t="str">
        <f>IFERROR(__xludf.DUMMYFUNCTION("GOOGLETRANSLATE(A45316,""en"",""pt"")"),"HP sempre faz bons produtos, e este é o seu melhor impressora jato de tinta")</f>
        <v>HP sempre faz bons produtos, e este é o seu melhor impressora jato de tinta</v>
      </c>
      <c r="B45316" s="3">
        <v>1</v>
      </c>
    </row>
    <row r="45317" ht="15.75" customHeight="1" spans="1:2">
      <c r="A45317" s="3" t="str">
        <f>IFERROR(__xludf.DUMMYFUNCTION("GOOGLETRANSLATE(A45317,""en"",""pt"")"),"Barato, simples de usar, razoavelmente rápido, silencioso e compacto, e produz impressão de qualidade superior")</f>
        <v>Barato, simples de usar, razoavelmente rápido, silencioso e compacto, e produz impressão de qualidade superior</v>
      </c>
      <c r="B45317" s="3">
        <v>1</v>
      </c>
    </row>
    <row r="45318" ht="15.75" customHeight="1" spans="1:2">
      <c r="A45318" s="3" t="str">
        <f>IFERROR(__xludf.DUMMYFUNCTION("GOOGLETRANSLATE(A45318,""en"",""pt"")"),"Ótimo preço, qualidade de impressão")</f>
        <v>Ótimo preço, qualidade de impressão</v>
      </c>
      <c r="B45318" s="3">
        <v>1</v>
      </c>
    </row>
    <row r="45319" ht="15.75" customHeight="1" spans="1:2">
      <c r="A45319" s="3" t="str">
        <f>IFERROR(__xludf.DUMMYFUNCTION("GOOGLETRANSLATE(A45319,""en"",""pt"")"),"Grande qualidade de impressão, a preços acessíveis")</f>
        <v>Grande qualidade de impressão, a preços acessíveis</v>
      </c>
      <c r="B45319" s="3">
        <v>1</v>
      </c>
    </row>
    <row r="45320" ht="15.75" customHeight="1" spans="1:2">
      <c r="A45320" s="3" t="str">
        <f>IFERROR(__xludf.DUMMYFUNCTION("GOOGLETRANSLATE(A45320,""en"",""pt"")"),"texto nítido, velocidade média, fácil de usar e acessível")</f>
        <v>texto nítido, velocidade média, fácil de usar e acessível</v>
      </c>
      <c r="B45320" s="3">
        <v>1</v>
      </c>
    </row>
    <row r="45321" ht="15.75" customHeight="1" spans="1:2">
      <c r="A45321" s="3" t="str">
        <f>IFERROR(__xludf.DUMMYFUNCTION("GOOGLETRANSLATE(A45321,""en"",""pt"")"),"Boa impressão diária em casa, facilidade de uso, nome HP.")</f>
        <v>Boa impressão diária em casa, facilidade de uso, nome HP.</v>
      </c>
      <c r="B45321" s="3">
        <v>1</v>
      </c>
    </row>
    <row r="45322" ht="15.75" customHeight="1" spans="1:2">
      <c r="A45322" s="3" t="str">
        <f>IFERROR(__xludf.DUMMYFUNCTION("GOOGLETRANSLATE(A45322,""en"",""pt"")"),"qualidade HP, operação silenciosa")</f>
        <v>qualidade HP, operação silenciosa</v>
      </c>
      <c r="B45322" s="3">
        <v>1</v>
      </c>
    </row>
    <row r="45323" ht="15.75" customHeight="1" spans="1:2">
      <c r="A45323" s="3" t="str">
        <f>IFERROR(__xludf.DUMMYFUNCTION("GOOGLETRANSLATE(A45323,""en"",""pt"")"),"Tranquilos, a preços razoáveis, excelentes impressões rápidas")</f>
        <v>Tranquilos, a preços razoáveis, excelentes impressões rápidas</v>
      </c>
      <c r="B45323" s="3">
        <v>1</v>
      </c>
    </row>
    <row r="45324" ht="15.75" customHeight="1" spans="1:2">
      <c r="A45324" s="3" t="str">
        <f>IFERROR(__xludf.DUMMYFUNCTION("GOOGLETRANSLATE(A45324,""en"",""pt"")"),"Fácil de configurar e de alta qualidade drivers de impressão boas janelas")</f>
        <v>Fácil de configurar e de alta qualidade drivers de impressão boas janelas</v>
      </c>
      <c r="B45324" s="3">
        <v>1</v>
      </c>
    </row>
    <row r="45325" ht="15.75" customHeight="1" spans="1:2">
      <c r="A45325" s="3" t="str">
        <f>IFERROR(__xludf.DUMMYFUNCTION("GOOGLETRANSLATE(A45325,""en"",""pt"")"),"Funciona")</f>
        <v>Funciona</v>
      </c>
      <c r="B45325" s="3">
        <v>1</v>
      </c>
    </row>
    <row r="45326" ht="15.75" customHeight="1" spans="1:2">
      <c r="A45326" s="3" t="str">
        <f>IFERROR(__xludf.DUMMYFUNCTION("GOOGLETRANSLATE(A45326,""en"",""pt"")"),"Superb preto e impressão em cores! Excelente Qualidade foto!")</f>
        <v>Superb preto e impressão em cores! Excelente Qualidade foto!</v>
      </c>
      <c r="B45326" s="3">
        <v>1</v>
      </c>
    </row>
    <row r="45327" ht="15.75" customHeight="1" spans="1:2">
      <c r="A45327" s="3" t="str">
        <f>IFERROR(__xludf.DUMMYFUNCTION("GOOGLETRANSLATE(A45327,""en"",""pt"")"),"Conclui assim muitas tarefas.")</f>
        <v>Conclui assim muitas tarefas.</v>
      </c>
      <c r="B45327" s="3">
        <v>1</v>
      </c>
    </row>
    <row r="45328" ht="15.75" customHeight="1" spans="1:2">
      <c r="A45328" s="3" t="str">
        <f>IFERROR(__xludf.DUMMYFUNCTION("GOOGLETRANSLATE(A45328,""en"",""pt"")"),"vibrante cor, modelo confiável, controle de software fácil")</f>
        <v>vibrante cor, modelo confiável, controle de software fácil</v>
      </c>
      <c r="B45328" s="3">
        <v>1</v>
      </c>
    </row>
    <row r="45329" ht="15.75" customHeight="1" spans="1:2">
      <c r="A45329" s="3" t="str">
        <f>IFERROR(__xludf.DUMMYFUNCTION("GOOGLETRANSLATE(A45329,""en"",""pt"")"),"Calmo, rápido, de qualidade! Barato e cabos incluídos.")</f>
        <v>Calmo, rápido, de qualidade! Barato e cabos incluídos.</v>
      </c>
      <c r="B45329" s="3">
        <v>1</v>
      </c>
    </row>
    <row r="45330" ht="15.75" customHeight="1" spans="1:2">
      <c r="A45330" s="3" t="str">
        <f>IFERROR(__xludf.DUMMYFUNCTION("GOOGLETRANSLATE(A45330,""en"",""pt"")"),"Cheap &amp; amp; # 13; &amp; amp; # 10; a qualidade de impressão")</f>
        <v>Cheap &amp; amp; # 13; &amp; amp; # 10; a qualidade de impressão</v>
      </c>
      <c r="B45330" s="3">
        <v>1</v>
      </c>
    </row>
    <row r="45331" ht="15.75" customHeight="1" spans="1:2">
      <c r="A45331" s="3" t="str">
        <f>IFERROR(__xludf.DUMMYFUNCTION("GOOGLETRANSLATE(A45331,""en"",""pt"")"),"Muito fácil de configurar, de boa qualidade")</f>
        <v>Muito fácil de configurar, de boa qualidade</v>
      </c>
      <c r="B45331" s="3">
        <v>1</v>
      </c>
    </row>
    <row r="45332" ht="15.75" customHeight="1" spans="1:2">
      <c r="A45332" s="3" t="str">
        <f>IFERROR(__xludf.DUMMYFUNCTION("GOOGLETRANSLATE(A45332,""en"",""pt"")"),"Fácil de instalar. Quieto! Excelente qualidade de impressão.")</f>
        <v>Fácil de instalar. Quieto! Excelente qualidade de impressão.</v>
      </c>
      <c r="B45332" s="3">
        <v>1</v>
      </c>
    </row>
    <row r="45333" ht="15.75" customHeight="1" spans="1:2">
      <c r="A45333" s="3" t="str">
        <f>IFERROR(__xludf.DUMMYFUNCTION("GOOGLETRANSLATE(A45333,""en"",""pt"")"),"Velocidade, preço")</f>
        <v>Velocidade, preço</v>
      </c>
      <c r="B45333" s="3">
        <v>1</v>
      </c>
    </row>
    <row r="45334" ht="15.75" customHeight="1" spans="1:2">
      <c r="A45334" s="3" t="str">
        <f>IFERROR(__xludf.DUMMYFUNCTION("GOOGLETRANSLATE(A45334,""en"",""pt"")"),"Grande saída fotográfica, muito bom preço.")</f>
        <v>Grande saída fotográfica, muito bom preço.</v>
      </c>
      <c r="B45334" s="3">
        <v>1</v>
      </c>
    </row>
    <row r="45335" ht="15.75" customHeight="1" spans="1:2">
      <c r="A45335" s="3" t="str">
        <f>IFERROR(__xludf.DUMMYFUNCTION("GOOGLETRANSLATE(A45335,""en"",""pt"")"),"A grande qualidade, especialmente para o preço; fácil de operar.")</f>
        <v>A grande qualidade, especialmente para o preço; fácil de operar.</v>
      </c>
      <c r="B45335" s="3">
        <v>1</v>
      </c>
    </row>
    <row r="45336" ht="15.75" customHeight="1" spans="1:2">
      <c r="A45336" s="3" t="str">
        <f>IFERROR(__xludf.DUMMYFUNCTION("GOOGLETRANSLATE(A45336,""en"",""pt"")"),"Calmo, Fast, excelente qualidade de texto, utilização de tinta Minimal.")</f>
        <v>Calmo, Fast, excelente qualidade de texto, utilização de tinta Minimal.</v>
      </c>
      <c r="B45336" s="3">
        <v>1</v>
      </c>
    </row>
    <row r="45337" ht="15.75" customHeight="1" spans="1:2">
      <c r="A45337" s="3" t="str">
        <f>IFERROR(__xludf.DUMMYFUNCTION("GOOGLETRANSLATE(A45337,""en"",""pt"")"),"Silencioso, qualidade de impressão, atendimento ao cliente HP")</f>
        <v>Silencioso, qualidade de impressão, atendimento ao cliente HP</v>
      </c>
      <c r="B45337" s="3">
        <v>1</v>
      </c>
    </row>
    <row r="45338" ht="15.75" customHeight="1" spans="1:2">
      <c r="A45338" s="3" t="str">
        <f>IFERROR(__xludf.DUMMYFUNCTION("GOOGLETRANSLATE(A45338,""en"",""pt"")"),"Executa bom (quando funciona)")</f>
        <v>Executa bom (quando funciona)</v>
      </c>
      <c r="B45338" s="3">
        <v>1</v>
      </c>
    </row>
    <row r="45339" ht="15.75" customHeight="1" spans="1:2">
      <c r="A45339" s="3" t="str">
        <f>IFERROR(__xludf.DUMMYFUNCTION("GOOGLETRANSLATE(A45339,""en"",""pt"")"),"Fácil de usar")</f>
        <v>Fácil de usar</v>
      </c>
      <c r="B45339" s="3">
        <v>1</v>
      </c>
    </row>
    <row r="45340" ht="15.75" customHeight="1" spans="1:2">
      <c r="A45340" s="3" t="str">
        <f>IFERROR(__xludf.DUMMYFUNCTION("GOOGLETRANSLATE(A45340,""en"",""pt"")"),"A grande qualidade, bastante, rápido, confiável")</f>
        <v>A grande qualidade, bastante, rápido, confiável</v>
      </c>
      <c r="B45340" s="3">
        <v>1</v>
      </c>
    </row>
    <row r="45341" ht="15.75" customHeight="1" spans="1:2">
      <c r="A45341" s="3" t="str">
        <f>IFERROR(__xludf.DUMMYFUNCTION("GOOGLETRANSLATE(A45341,""en"",""pt"")"),"Acessível e durável.")</f>
        <v>Acessível e durável.</v>
      </c>
      <c r="B45341" s="3">
        <v>1</v>
      </c>
    </row>
    <row r="45342" ht="15.75" customHeight="1" spans="1:2">
      <c r="A45342" s="3" t="str">
        <f>IFERROR(__xludf.DUMMYFUNCTION("GOOGLETRANSLATE(A45342,""en"",""pt"")"),"Excelente qualidade de impressão; fácil de instalar; muito barato")</f>
        <v>Excelente qualidade de impressão; fácil de instalar; muito barato</v>
      </c>
      <c r="B45342" s="3">
        <v>1</v>
      </c>
    </row>
    <row r="45343" ht="15.75" customHeight="1" spans="1:2">
      <c r="A45343" s="3" t="str">
        <f>IFERROR(__xludf.DUMMYFUNCTION("GOOGLETRANSLATE(A45343,""en"",""pt"")"),"Excelente qualidade de impressão, eu o prefiro a qualquer outro ...")</f>
        <v>Excelente qualidade de impressão, eu o prefiro a qualquer outro ...</v>
      </c>
      <c r="B45343" s="3">
        <v>1</v>
      </c>
    </row>
    <row r="45344" ht="15.75" customHeight="1" spans="1:2">
      <c r="A45344" s="3" t="str">
        <f>IFERROR(__xludf.DUMMYFUNCTION("GOOGLETRANSLATE(A45344,""en"",""pt"")"),"história da marca top-shelf HP não pode ser negado! Preço baixo. cartuchos de impressão separados.")</f>
        <v>história da marca top-shelf HP não pode ser negado! Preço baixo. cartuchos de impressão separados.</v>
      </c>
      <c r="B45344" s="3">
        <v>1</v>
      </c>
    </row>
    <row r="45345" ht="15.75" customHeight="1" spans="1:2">
      <c r="A45345" s="3" t="str">
        <f>IFERROR(__xludf.DUMMYFUNCTION("GOOGLETRANSLATE(A45345,""en"",""pt"")"),"Boa qualidade de imagem, muito barato.")</f>
        <v>Boa qualidade de imagem, muito barato.</v>
      </c>
      <c r="B45345" s="3">
        <v>1</v>
      </c>
    </row>
    <row r="45346" ht="15.75" customHeight="1" spans="1:2">
      <c r="A45346" s="3" t="str">
        <f>IFERROR(__xludf.DUMMYFUNCTION("GOOGLETRANSLATE(A45346,""en"",""pt"")"),"boas imagens claras, boas impressões a cores")</f>
        <v>boas imagens claras, boas impressões a cores</v>
      </c>
      <c r="B45346" s="3">
        <v>1</v>
      </c>
    </row>
    <row r="45347" ht="15.75" customHeight="1" spans="1:2">
      <c r="A45347" s="3" t="str">
        <f>IFERROR(__xludf.DUMMYFUNCTION("GOOGLETRANSLATE(A45347,""en"",""pt"")"),"Prints grande, há atolamentos de papel, tamanho compacto e design, fácil de usar")</f>
        <v>Prints grande, há atolamentos de papel, tamanho compacto e design, fácil de usar</v>
      </c>
      <c r="B45347" s="3">
        <v>1</v>
      </c>
    </row>
    <row r="45348" ht="15.75" customHeight="1" spans="1:2">
      <c r="A45348" s="3" t="str">
        <f>IFERROR(__xludf.DUMMYFUNCTION("GOOGLETRANSLATE(A45348,""en"",""pt"")"),"Qualidade de impressão, facilidade de uso")</f>
        <v>Qualidade de impressão, facilidade de uso</v>
      </c>
      <c r="B45348" s="3">
        <v>1</v>
      </c>
    </row>
    <row r="45349" ht="15.75" customHeight="1" spans="1:2">
      <c r="A45349" s="3" t="str">
        <f>IFERROR(__xludf.DUMMYFUNCTION("GOOGLETRANSLATE(A45349,""en"",""pt"")"),"Alta qualidade de impressão / preço excelente!")</f>
        <v>Alta qualidade de impressão / preço excelente!</v>
      </c>
      <c r="B45349" s="3">
        <v>1</v>
      </c>
    </row>
    <row r="45350" ht="15.75" customHeight="1" spans="1:2">
      <c r="A45350" s="3" t="str">
        <f>IFERROR(__xludf.DUMMYFUNCTION("GOOGLETRANSLATE(A45350,""en"",""pt"")"),"ótimo para copiar imagens")</f>
        <v>ótimo para copiar imagens</v>
      </c>
      <c r="B45350" s="3">
        <v>1</v>
      </c>
    </row>
    <row r="45351" ht="15.75" customHeight="1" spans="1:2">
      <c r="A45351" s="3" t="str">
        <f>IFERROR(__xludf.DUMMYFUNCTION("GOOGLETRANSLATE(A45351,""en"",""pt"")"),"qualidade de impressão, alta ppm, de longa duração")</f>
        <v>qualidade de impressão, alta ppm, de longa duração</v>
      </c>
      <c r="B45351" s="3">
        <v>1</v>
      </c>
    </row>
    <row r="45352" ht="15.75" customHeight="1" spans="1:2">
      <c r="A45352" s="3" t="str">
        <f>IFERROR(__xludf.DUMMYFUNCTION("GOOGLETRANSLATE(A45352,""en"",""pt"")"),"recursos caros, preço baixo")</f>
        <v>recursos caros, preço baixo</v>
      </c>
      <c r="B45352" s="3">
        <v>1</v>
      </c>
    </row>
    <row r="45353" ht="15.75" customHeight="1" spans="1:2">
      <c r="A45353" s="3" t="str">
        <f>IFERROR(__xludf.DUMMYFUNCTION("GOOGLETRANSLATE(A45353,""en"",""pt"")"),"Confiável, boa impressão.")</f>
        <v>Confiável, boa impressão.</v>
      </c>
      <c r="B45353" s="3">
        <v>1</v>
      </c>
    </row>
    <row r="45354" ht="15.75" customHeight="1" spans="1:2">
      <c r="A45354" s="3" t="str">
        <f>IFERROR(__xludf.DUMMYFUNCTION("GOOGLETRANSLATE(A45354,""en"",""pt"")"),"Qualidade de impressão, durabilidade, facilidade de instalação")</f>
        <v>Qualidade de impressão, durabilidade, facilidade de instalação</v>
      </c>
      <c r="B45354" s="3">
        <v>1</v>
      </c>
    </row>
    <row r="45355" ht="15.75" customHeight="1" spans="1:2">
      <c r="A45355" s="3" t="str">
        <f>IFERROR(__xludf.DUMMYFUNCTION("GOOGLETRANSLATE(A45355,""en"",""pt"")"),"Acessível, Produção de Excelência, não faz jam")</f>
        <v>Acessível, Produção de Excelência, não faz jam</v>
      </c>
      <c r="B45355" s="3">
        <v>1</v>
      </c>
    </row>
    <row r="45356" ht="15.75" customHeight="1" spans="1:2">
      <c r="A45356" s="3" t="str">
        <f>IFERROR(__xludf.DUMMYFUNCTION("GOOGLETRANSLATE(A45356,""en"",""pt"")"),"Wonderful Quaility")</f>
        <v>Wonderful Quaility</v>
      </c>
      <c r="B45356" s="3">
        <v>1</v>
      </c>
    </row>
    <row r="45357" ht="15.75" customHeight="1" spans="1:2">
      <c r="A45357" s="3" t="str">
        <f>IFERROR(__xludf.DUMMYFUNCTION("GOOGLETRANSLATE(A45357,""en"",""pt"")"),"Não colocado incorretamente")</f>
        <v>Não colocado incorretamente</v>
      </c>
      <c r="B45357" s="3">
        <v>1</v>
      </c>
    </row>
    <row r="45358" ht="15.75" customHeight="1" spans="1:2">
      <c r="A45358" s="3" t="str">
        <f>IFERROR(__xludf.DUMMYFUNCTION("GOOGLETRANSLATE(A45358,""en"",""pt"")"),"Ótima qualidade pelo o preço.")</f>
        <v>Ótima qualidade pelo o preço.</v>
      </c>
      <c r="B45358" s="3">
        <v>1</v>
      </c>
    </row>
    <row r="45359" ht="15.75" customHeight="1" spans="1:2">
      <c r="A45359" s="3" t="str">
        <f>IFERROR(__xludf.DUMMYFUNCTION("GOOGLETRANSLATE(A45359,""en"",""pt"")"),"qualidade de texto e imagens fotográficas")</f>
        <v>qualidade de texto e imagens fotográficas</v>
      </c>
      <c r="B45359" s="3">
        <v>1</v>
      </c>
    </row>
    <row r="45360" ht="15.75" customHeight="1" spans="1:2">
      <c r="A45360" s="3" t="str">
        <f>IFERROR(__xludf.DUMMYFUNCTION("GOOGLETRANSLATE(A45360,""en"",""pt"")"),"Preço, HP, Foto")</f>
        <v>Preço, HP, Foto</v>
      </c>
      <c r="B45360" s="3">
        <v>1</v>
      </c>
    </row>
    <row r="45361" ht="15.75" customHeight="1" spans="1:2">
      <c r="A45361" s="3" t="str">
        <f>IFERROR(__xludf.DUMMYFUNCTION("GOOGLETRANSLATE(A45361,""en"",""pt"")"),"Muito barato, bastante boa resolução")</f>
        <v>Muito barato, bastante boa resolução</v>
      </c>
      <c r="B45361" s="3">
        <v>1</v>
      </c>
    </row>
    <row r="45362" ht="15.75" customHeight="1" spans="1:2">
      <c r="A45362" s="3" t="str">
        <f>IFERROR(__xludf.DUMMYFUNCTION("GOOGLETRANSLATE(A45362,""en"",""pt"")"),"Cor tecnologia de camadas")</f>
        <v>Cor tecnologia de camadas</v>
      </c>
      <c r="B45362" s="3">
        <v>1</v>
      </c>
    </row>
    <row r="45363" ht="15.75" customHeight="1" spans="1:2">
      <c r="A45363" s="3" t="str">
        <f>IFERROR(__xludf.DUMMYFUNCTION("GOOGLETRANSLATE(A45363,""en"",""pt"")"),"simples de instalar, imprimir texto claro, barato")</f>
        <v>simples de instalar, imprimir texto claro, barato</v>
      </c>
      <c r="B45363" s="3">
        <v>1</v>
      </c>
    </row>
    <row r="45364" ht="15.75" customHeight="1" spans="1:2">
      <c r="A45364" s="3" t="str">
        <f>IFERROR(__xludf.DUMMYFUNCTION("GOOGLETRANSLATE(A45364,""en"",""pt"")"),"Confiança no nome e preço")</f>
        <v>Confiança no nome e preço</v>
      </c>
      <c r="B45364" s="3">
        <v>1</v>
      </c>
    </row>
    <row r="45365" ht="15.75" customHeight="1" spans="1:2">
      <c r="A45365" s="3" t="str">
        <f>IFERROR(__xludf.DUMMYFUNCTION("GOOGLETRANSLATE(A45365,""en"",""pt"")"),"Você sempre pode multar HP para ser um produto confiável.")</f>
        <v>Você sempre pode multar HP para ser um produto confiável.</v>
      </c>
      <c r="B45365" s="3">
        <v>1</v>
      </c>
    </row>
    <row r="45366" ht="15.75" customHeight="1" spans="1:2">
      <c r="A45366" s="3" t="str">
        <f>IFERROR(__xludf.DUMMYFUNCTION("GOOGLETRANSLATE(A45366,""en"",""pt"")"),"Novo preço baixo. Produto de qualidade")</f>
        <v>Novo preço baixo. Produto de qualidade</v>
      </c>
      <c r="B45366" s="3">
        <v>1</v>
      </c>
    </row>
    <row r="45367" ht="15.75" customHeight="1" spans="1:2">
      <c r="A45367" s="3" t="str">
        <f>IFERROR(__xludf.DUMMYFUNCTION("GOOGLETRANSLATE(A45367,""en"",""pt"")"),"Muito acessível, fácil de instalar, belas imagens a cores")</f>
        <v>Muito acessível, fácil de instalar, belas imagens a cores</v>
      </c>
      <c r="B45367" s="3">
        <v>1</v>
      </c>
    </row>
    <row r="45368" ht="15.75" customHeight="1" spans="1:2">
      <c r="A45368" s="3" t="str">
        <f>IFERROR(__xludf.DUMMYFUNCTION("GOOGLETRANSLATE(A45368,""en"",""pt"")"),"Boa compra para o dinheiro, muito, fácil set-up, manuseio de papel bom")</f>
        <v>Boa compra para o dinheiro, muito, fácil set-up, manuseio de papel bom</v>
      </c>
      <c r="B45368" s="3">
        <v>1</v>
      </c>
    </row>
    <row r="45369" ht="15.75" customHeight="1" spans="1:2">
      <c r="A45369" s="3" t="str">
        <f>IFERROR(__xludf.DUMMYFUNCTION("GOOGLETRANSLATE(A45369,""en"",""pt"")"),"Simples de instalar, fácil de usar, boa velocidade de impressão, de grande qualidade.")</f>
        <v>Simples de instalar, fácil de usar, boa velocidade de impressão, de grande qualidade.</v>
      </c>
      <c r="B45369" s="3">
        <v>1</v>
      </c>
    </row>
    <row r="45370" ht="15.75" customHeight="1" spans="1:2">
      <c r="A45370" s="3" t="str">
        <f>IFERROR(__xludf.DUMMYFUNCTION("GOOGLETRANSLATE(A45370,""en"",""pt"")"),"Grande impressão de qualidade por um preço acessível.")</f>
        <v>Grande impressão de qualidade por um preço acessível.</v>
      </c>
      <c r="B45370" s="3">
        <v>1</v>
      </c>
    </row>
    <row r="45371" ht="15.75" customHeight="1" spans="1:2">
      <c r="A45371" s="3" t="str">
        <f>IFERROR(__xludf.DUMMYFUNCTION("GOOGLETRANSLATE(A45371,""en"",""pt"")"),"excelente qualidade, cartucho de dupla")</f>
        <v>excelente qualidade, cartucho de dupla</v>
      </c>
      <c r="B45371" s="3">
        <v>1</v>
      </c>
    </row>
    <row r="45372" ht="15.75" customHeight="1" spans="1:2">
      <c r="A45372" s="3" t="str">
        <f>IFERROR(__xludf.DUMMYFUNCTION("GOOGLETRANSLATE(A45372,""en"",""pt"")"),"Relativamente barato")</f>
        <v>Relativamente barato</v>
      </c>
      <c r="B45372" s="3">
        <v>1</v>
      </c>
    </row>
    <row r="45373" ht="15.75" customHeight="1" spans="1:2">
      <c r="A45373" s="3" t="str">
        <f>IFERROR(__xludf.DUMMYFUNCTION("GOOGLETRANSLATE(A45373,""en"",""pt"")"),"Grande qualidade de impressão, você pode confiar HP")</f>
        <v>Grande qualidade de impressão, você pode confiar HP</v>
      </c>
      <c r="B45373" s="3">
        <v>1</v>
      </c>
    </row>
    <row r="45374" ht="15.75" customHeight="1" spans="1:2">
      <c r="A45374" s="3" t="str">
        <f>IFERROR(__xludf.DUMMYFUNCTION("GOOGLETRANSLATE(A45374,""en"",""pt"")"),"Boa qualidade de impressão")</f>
        <v>Boa qualidade de impressão</v>
      </c>
      <c r="B45374" s="3">
        <v>1</v>
      </c>
    </row>
    <row r="45375" ht="15.75" customHeight="1" spans="1:2">
      <c r="A45375" s="3" t="str">
        <f>IFERROR(__xludf.DUMMYFUNCTION("GOOGLETRANSLATE(A45375,""en"",""pt"")"),"Facilidade de uso, compatibilidade, cor de alta qualidade para preço pago")</f>
        <v>Facilidade de uso, compatibilidade, cor de alta qualidade para preço pago</v>
      </c>
      <c r="B45375" s="3">
        <v>1</v>
      </c>
    </row>
    <row r="45376" ht="15.75" customHeight="1" spans="1:2">
      <c r="A45376" s="3" t="str">
        <f>IFERROR(__xludf.DUMMYFUNCTION("GOOGLETRANSLATE(A45376,""en"",""pt"")"),"acessíveis, grandes imagens, e não preso em mim uma vez")</f>
        <v>acessíveis, grandes imagens, e não preso em mim uma vez</v>
      </c>
      <c r="B45376" s="3">
        <v>1</v>
      </c>
    </row>
    <row r="45377" ht="15.75" customHeight="1" spans="1:2">
      <c r="A45377" s="3" t="str">
        <f>IFERROR(__xludf.DUMMYFUNCTION("GOOGLETRANSLATE(A45377,""en"",""pt"")"),"A qualidade da foto, tranquilo, tinta de longa duração, a qualidade do texto")</f>
        <v>A qualidade da foto, tranquilo, tinta de longa duração, a qualidade do texto</v>
      </c>
      <c r="B45377" s="3">
        <v>1</v>
      </c>
    </row>
    <row r="45378" ht="15.75" customHeight="1" spans="1:2">
      <c r="A45378" s="3" t="str">
        <f>IFERROR(__xludf.DUMMYFUNCTION("GOOGLETRANSLATE(A45378,""en"",""pt"")"),"Baixo custo inicial; Carregamento frontal;")</f>
        <v>Baixo custo inicial; Carregamento frontal;</v>
      </c>
      <c r="B45378" s="3">
        <v>1</v>
      </c>
    </row>
    <row r="45379" ht="15.75" customHeight="1" spans="1:2">
      <c r="A45379" s="3" t="str">
        <f>IFERROR(__xludf.DUMMYFUNCTION("GOOGLETRANSLATE(A45379,""en"",""pt"")"),"Uma impressora de confiança; Barato")</f>
        <v>Uma impressora de confiança; Barato</v>
      </c>
      <c r="B45379" s="3">
        <v>1</v>
      </c>
    </row>
    <row r="45380" ht="15.75" customHeight="1" spans="1:2">
      <c r="A45380" s="3" t="str">
        <f>IFERROR(__xludf.DUMMYFUNCTION("GOOGLETRANSLATE(A45380,""en"",""pt"")"),"Rápido preto &amp; amp; texto branco e cor, suporte do cartucho duplo")</f>
        <v>Rápido preto &amp; amp; texto branco e cor, suporte do cartucho duplo</v>
      </c>
      <c r="B45380" s="3">
        <v>1</v>
      </c>
    </row>
    <row r="45381" ht="15.75" customHeight="1" spans="1:2">
      <c r="A45381" s="3" t="str">
        <f>IFERROR(__xludf.DUMMYFUNCTION("GOOGLETRANSLATE(A45381,""en"",""pt"")"),"A grande qualidade, bem construído, silencioso")</f>
        <v>A grande qualidade, bem construído, silencioso</v>
      </c>
      <c r="B45381" s="3">
        <v>1</v>
      </c>
    </row>
    <row r="45382" ht="15.75" customHeight="1" spans="1:2">
      <c r="A45382" s="3" t="str">
        <f>IFERROR(__xludf.DUMMYFUNCTION("GOOGLETRANSLATE(A45382,""en"",""pt"")"),"Simples de usar")</f>
        <v>Simples de usar</v>
      </c>
      <c r="B45382" s="3">
        <v>1</v>
      </c>
    </row>
    <row r="45383" ht="15.75" customHeight="1" spans="1:2">
      <c r="A45383" s="3" t="str">
        <f>IFERROR(__xludf.DUMMYFUNCTION("GOOGLETRANSLATE(A45383,""en"",""pt"")"),"Rápido, fácil instalação, de boa qualidade")</f>
        <v>Rápido, fácil instalação, de boa qualidade</v>
      </c>
      <c r="B45383" s="3">
        <v>1</v>
      </c>
    </row>
    <row r="45384" ht="15.75" customHeight="1" spans="1:2">
      <c r="A45384" s="3" t="str">
        <f>IFERROR(__xludf.DUMMYFUNCTION("GOOGLETRANSLATE(A45384,""en"",""pt"")"),"Barato, fácil configuração e uso, impressões a cores ea preto e branco com facilidade, não muito grande.")</f>
        <v>Barato, fácil configuração e uso, impressões a cores ea preto e branco com facilidade, não muito grande.</v>
      </c>
      <c r="B45384" s="3">
        <v>1</v>
      </c>
    </row>
    <row r="45385" ht="15.75" customHeight="1" spans="1:2">
      <c r="A45385" s="3" t="str">
        <f>IFERROR(__xludf.DUMMYFUNCTION("GOOGLETRANSLATE(A45385,""en"",""pt"")"),"Relativamente barato, rápido, Prints Nicely")</f>
        <v>Relativamente barato, rápido, Prints Nicely</v>
      </c>
      <c r="B45385" s="3">
        <v>1</v>
      </c>
    </row>
    <row r="45386" ht="15.75" customHeight="1" spans="1:2">
      <c r="A45386" s="3" t="str">
        <f>IFERROR(__xludf.DUMMYFUNCTION("GOOGLETRANSLATE(A45386,""en"",""pt"")"),"Rápido")</f>
        <v>Rápido</v>
      </c>
      <c r="B45386" s="3">
        <v>1</v>
      </c>
    </row>
    <row r="45387" ht="15.75" customHeight="1" spans="1:2">
      <c r="A45387" s="3" t="str">
        <f>IFERROR(__xludf.DUMMYFUNCTION("GOOGLETRANSLATE(A45387,""en"",""pt"")"),"saída de alta qualidade e preço")</f>
        <v>saída de alta qualidade e preço</v>
      </c>
      <c r="B45387" s="3">
        <v>1</v>
      </c>
    </row>
    <row r="45388" ht="15.75" customHeight="1" spans="1:2">
      <c r="A45388" s="3" t="str">
        <f>IFERROR(__xludf.DUMMYFUNCTION("GOOGLETRANSLATE(A45388,""en"",""pt"")"),"Barata ainda boa qualidade, cartucho de tinta grande")</f>
        <v>Barata ainda boa qualidade, cartucho de tinta grande</v>
      </c>
      <c r="B45388" s="3">
        <v>1</v>
      </c>
    </row>
    <row r="45389" ht="15.75" customHeight="1" spans="1:2">
      <c r="A45389" s="3" t="str">
        <f>IFERROR(__xludf.DUMMYFUNCTION("GOOGLETRANSLATE(A45389,""en"",""pt"")"),"A grande qualidade, fácil de usar.")</f>
        <v>A grande qualidade, fácil de usar.</v>
      </c>
      <c r="B45389" s="3">
        <v>1</v>
      </c>
    </row>
    <row r="45390" ht="15.75" customHeight="1" spans="1:2">
      <c r="A45390" s="3" t="str">
        <f>IFERROR(__xludf.DUMMYFUNCTION("GOOGLETRANSLATE(A45390,""en"",""pt"")"),"Jamais compotas, muito bom de saída com software de gerenciamento de cores")</f>
        <v>Jamais compotas, muito bom de saída com software de gerenciamento de cores</v>
      </c>
      <c r="B45390" s="3">
        <v>1</v>
      </c>
    </row>
    <row r="45391" ht="15.75" customHeight="1" spans="1:2">
      <c r="A45391" s="3" t="str">
        <f>IFERROR(__xludf.DUMMYFUNCTION("GOOGLETRANSLATE(A45391,""en"",""pt"")"),"Jamais compotas, muito bom de saída com software de gerenciamento de cores")</f>
        <v>Jamais compotas, muito bom de saída com software de gerenciamento de cores</v>
      </c>
      <c r="B45391" s="3">
        <v>1</v>
      </c>
    </row>
    <row r="45392" ht="15.75" customHeight="1" spans="1:2">
      <c r="A45392" s="3" t="str">
        <f>IFERROR(__xludf.DUMMYFUNCTION("GOOGLETRANSLATE(A45392,""en"",""pt"")"),"Longo prazo confiável para alimentação de papel e qualidade de impressão.")</f>
        <v>Longo prazo confiável para alimentação de papel e qualidade de impressão.</v>
      </c>
      <c r="B45392" s="3">
        <v>1</v>
      </c>
    </row>
    <row r="45393" ht="15.75" customHeight="1" spans="1:2">
      <c r="A45393" s="3" t="str">
        <f>IFERROR(__xludf.DUMMYFUNCTION("GOOGLETRANSLATE(A45393,""en"",""pt"")"),"Boa velocidade, grande qualidade")</f>
        <v>Boa velocidade, grande qualidade</v>
      </c>
      <c r="B45393" s="3">
        <v>1</v>
      </c>
    </row>
    <row r="45394" ht="15.75" customHeight="1" spans="1:2">
      <c r="A45394" s="3" t="str">
        <f>IFERROR(__xludf.DUMMYFUNCTION("GOOGLETRANSLATE(A45394,""en"",""pt"")"),"Velocidade, qualidade de impressão, USB / Paralela")</f>
        <v>Velocidade, qualidade de impressão, USB / Paralela</v>
      </c>
      <c r="B45394" s="3">
        <v>1</v>
      </c>
    </row>
    <row r="45395" ht="15.75" customHeight="1" spans="1:2">
      <c r="A45395" s="3" t="str">
        <f>IFERROR(__xludf.DUMMYFUNCTION("GOOGLETRANSLATE(A45395,""en"",""pt"")"),"Great pics, grande velocidade")</f>
        <v>Great pics, grande velocidade</v>
      </c>
      <c r="B45395" s="3">
        <v>1</v>
      </c>
    </row>
    <row r="45396" ht="15.75" customHeight="1" spans="1:2">
      <c r="A45396" s="3" t="str">
        <f>IFERROR(__xludf.DUMMYFUNCTION("GOOGLETRANSLATE(A45396,""en"",""pt"")"),"velocidade, das graduações de cores, resolução de imagem, a nitidez de impressão")</f>
        <v>velocidade, das graduações de cores, resolução de imagem, a nitidez de impressão</v>
      </c>
      <c r="B45396" s="3">
        <v>1</v>
      </c>
    </row>
    <row r="45397" ht="15.75" customHeight="1" spans="1:2">
      <c r="A45397" s="3" t="str">
        <f>IFERROR(__xludf.DUMMYFUNCTION("GOOGLETRANSLATE(A45397,""en"",""pt"")"),"Custo e qualidade")</f>
        <v>Custo e qualidade</v>
      </c>
      <c r="B45397" s="3">
        <v>1</v>
      </c>
    </row>
    <row r="45398" ht="15.75" customHeight="1" spans="1:2">
      <c r="A45398" s="3" t="str">
        <f>IFERROR(__xludf.DUMMYFUNCTION("GOOGLETRANSLATE(A45398,""en"",""pt"")"),"Robusto. Rápido. Grande produto de saída.")</f>
        <v>Robusto. Rápido. Grande produto de saída.</v>
      </c>
      <c r="B45398" s="3">
        <v>1</v>
      </c>
    </row>
    <row r="45399" ht="15.75" customHeight="1" spans="1:2">
      <c r="A45399" s="3" t="str">
        <f>IFERROR(__xludf.DUMMYFUNCTION("GOOGLETRANSLATE(A45399,""en"",""pt"")"),"Fácil de instalar, impressões claras")</f>
        <v>Fácil de instalar, impressões claras</v>
      </c>
      <c r="B45399" s="3">
        <v>1</v>
      </c>
    </row>
    <row r="45400" ht="15.75" customHeight="1" spans="1:2">
      <c r="A45400" s="3" t="str">
        <f>IFERROR(__xludf.DUMMYFUNCTION("GOOGLETRANSLATE(A45400,""en"",""pt"")"),"Imprimir Qualidade e Conservação de tinta")</f>
        <v>Imprimir Qualidade e Conservação de tinta</v>
      </c>
      <c r="B45400" s="3">
        <v>1</v>
      </c>
    </row>
    <row r="45401" ht="15.75" customHeight="1" spans="1:2">
      <c r="A45401" s="3" t="str">
        <f>IFERROR(__xludf.DUMMYFUNCTION("GOOGLETRANSLATE(A45401,""en"",""pt"")"),"Barato, Great Quality imprimir em papel normal, rápido e silencioso")</f>
        <v>Barato, Great Quality imprimir em papel normal, rápido e silencioso</v>
      </c>
      <c r="B45401" s="3">
        <v>1</v>
      </c>
    </row>
    <row r="45402" ht="15.75" customHeight="1" spans="1:2">
      <c r="A45402" s="3" t="str">
        <f>IFERROR(__xludf.DUMMYFUNCTION("GOOGLETRANSLATE(A45402,""en"",""pt"")"),"Rápido. qualidade Terrific. design mais elegante")</f>
        <v>Rápido. qualidade Terrific. design mais elegante</v>
      </c>
      <c r="B45402" s="3">
        <v>1</v>
      </c>
    </row>
    <row r="45403" ht="15.75" customHeight="1" spans="1:2">
      <c r="A45403" s="3" t="str">
        <f>IFERROR(__xludf.DUMMYFUNCTION("GOOGLETRANSLATE(A45403,""en"",""pt"")"),"Qualidade, Velocidade, USB, Preço")</f>
        <v>Qualidade, Velocidade, USB, Preço</v>
      </c>
      <c r="B45403" s="3">
        <v>1</v>
      </c>
    </row>
    <row r="45404" ht="15.75" customHeight="1" spans="1:2">
      <c r="A45404" s="3" t="str">
        <f>IFERROR(__xludf.DUMMYFUNCTION("GOOGLETRANSLATE(A45404,""en"",""pt"")"),"impressão de qualidade, rápido para a família e confiável")</f>
        <v>impressão de qualidade, rápido para a família e confiável</v>
      </c>
      <c r="B45404" s="3">
        <v>1</v>
      </c>
    </row>
    <row r="45405" ht="15.75" customHeight="1" spans="1:2">
      <c r="A45405" s="3" t="str">
        <f>IFERROR(__xludf.DUMMYFUNCTION("GOOGLETRANSLATE(A45405,""en"",""pt"")"),"Boa Crisp cores, Fast Black &amp; amp; amp; Branco, design simples")</f>
        <v>Boa Crisp cores, Fast Black &amp; amp; amp; Branco, design simples</v>
      </c>
      <c r="B45405" s="3">
        <v>1</v>
      </c>
    </row>
    <row r="45406" ht="15.75" customHeight="1" spans="1:2">
      <c r="A45406" s="3" t="str">
        <f>IFERROR(__xludf.DUMMYFUNCTION("GOOGLETRANSLATE(A45406,""en"",""pt"")"),"Excelente velocidade de impressão e qualidade")</f>
        <v>Excelente velocidade de impressão e qualidade</v>
      </c>
      <c r="B45406" s="3">
        <v>1</v>
      </c>
    </row>
    <row r="45407" ht="15.75" customHeight="1" spans="1:2">
      <c r="A45407" s="3" t="str">
        <f>IFERROR(__xludf.DUMMYFUNCTION("GOOGLETRANSLATE(A45407,""en"",""pt"")"),"Grande qualidade de saída, tranquila")</f>
        <v>Grande qualidade de saída, tranquila</v>
      </c>
      <c r="B45407" s="3">
        <v>1</v>
      </c>
    </row>
    <row r="45408" ht="15.75" customHeight="1" spans="1:2">
      <c r="A45408" s="3" t="str">
        <f>IFERROR(__xludf.DUMMYFUNCTION("GOOGLETRANSLATE(A45408,""en"",""pt"")"),"Imprimir qualidade, velocidade")</f>
        <v>Imprimir qualidade, velocidade</v>
      </c>
      <c r="B45408" s="3">
        <v>1</v>
      </c>
    </row>
    <row r="45409" ht="15.75" customHeight="1" spans="1:2">
      <c r="A45409" s="3" t="str">
        <f>IFERROR(__xludf.DUMMYFUNCTION("GOOGLETRANSLATE(A45409,""en"",""pt"")"),"Rápido, fácil de usar, a qualidade incrível, ótimo para de fotografia")</f>
        <v>Rápido, fácil de usar, a qualidade incrível, ótimo para de fotografia</v>
      </c>
      <c r="B45409" s="3">
        <v>1</v>
      </c>
    </row>
    <row r="45410" ht="15.75" customHeight="1" spans="1:2">
      <c r="A45410" s="3" t="str">
        <f>IFERROR(__xludf.DUMMYFUNCTION("GOOGLETRANSLATE(A45410,""en"",""pt"")"),"Ótimo preço, qualidade de impressão impressionante!")</f>
        <v>Ótimo preço, qualidade de impressão impressionante!</v>
      </c>
      <c r="B45410" s="3">
        <v>1</v>
      </c>
    </row>
    <row r="45411" ht="15.75" customHeight="1" spans="1:2">
      <c r="A45411" s="3" t="str">
        <f>IFERROR(__xludf.DUMMYFUNCTION("GOOGLETRANSLATE(A45411,""en"",""pt"")"),"bastante simples para qualquer nitwit de configurar (eu incluído)")</f>
        <v>bastante simples para qualquer nitwit de configurar (eu incluído)</v>
      </c>
      <c r="B45411" s="3">
        <v>1</v>
      </c>
    </row>
    <row r="45412" ht="15.75" customHeight="1" spans="1:2">
      <c r="A45412" s="3" t="str">
        <f>IFERROR(__xludf.DUMMYFUNCTION("GOOGLETRANSLATE(A45412,""en"",""pt"")"),"qualidade da foto MARAVILHOSO")</f>
        <v>qualidade da foto MARAVILHOSO</v>
      </c>
      <c r="B45412" s="3">
        <v>1</v>
      </c>
    </row>
    <row r="45413" ht="15.75" customHeight="1" spans="1:2">
      <c r="A45413" s="3" t="str">
        <f>IFERROR(__xludf.DUMMYFUNCTION("GOOGLETRANSLATE(A45413,""en"",""pt"")"),"mãos para baixo o melhor para o fanfarrão: velocidade, resolução, qualidade")</f>
        <v>mãos para baixo o melhor para o fanfarrão: velocidade, resolução, qualidade</v>
      </c>
      <c r="B45413" s="3">
        <v>1</v>
      </c>
    </row>
    <row r="45414" ht="15.75" customHeight="1" spans="1:2">
      <c r="A45414" s="3" t="str">
        <f>IFERROR(__xludf.DUMMYFUNCTION("GOOGLETRANSLATE(A45414,""en"",""pt"")"),"Ótimas fotos")</f>
        <v>Ótimas fotos</v>
      </c>
      <c r="B45414" s="3">
        <v>1</v>
      </c>
    </row>
    <row r="45415" ht="15.75" customHeight="1" spans="1:2">
      <c r="A45415" s="3" t="str">
        <f>IFERROR(__xludf.DUMMYFUNCTION("GOOGLETRANSLATE(A45415,""en"",""pt"")"),"velocidade, conveniência, eficiência, profissional")</f>
        <v>velocidade, conveniência, eficiência, profissional</v>
      </c>
      <c r="B45415" s="3">
        <v>1</v>
      </c>
    </row>
    <row r="45416" ht="15.75" customHeight="1" spans="1:2">
      <c r="A45416" s="3" t="str">
        <f>IFERROR(__xludf.DUMMYFUNCTION("GOOGLETRANSLATE(A45416,""en"",""pt"")"),"batata frita fotos, moderadamente rápido. fácil e econômica")</f>
        <v>batata frita fotos, moderadamente rápido. fácil e econômica</v>
      </c>
      <c r="B45416" s="3">
        <v>1</v>
      </c>
    </row>
    <row r="45417" ht="15.75" customHeight="1" spans="1:2">
      <c r="A45417" s="3" t="str">
        <f>IFERROR(__xludf.DUMMYFUNCTION("GOOGLETRANSLATE(A45417,""en"",""pt"")"),"Rápido, grande texto e cor, tranquila")</f>
        <v>Rápido, grande texto e cor, tranquila</v>
      </c>
      <c r="B45417" s="3">
        <v>1</v>
      </c>
    </row>
    <row r="45418" ht="15.75" customHeight="1" spans="1:2">
      <c r="A45418" s="3" t="str">
        <f>IFERROR(__xludf.DUMMYFUNCTION("GOOGLETRANSLATE(A45418,""en"",""pt"")"),"Hardware é confiável. Conservas de tinta.")</f>
        <v>Hardware é confiável. Conservas de tinta.</v>
      </c>
      <c r="B45418" s="3">
        <v>1</v>
      </c>
    </row>
    <row r="45419" ht="15.75" customHeight="1" spans="1:2">
      <c r="A45419" s="3" t="str">
        <f>IFERROR(__xludf.DUMMYFUNCTION("GOOGLETRANSLATE(A45419,""en"",""pt"")"),"porta USB, econômico, velocidade, de alta qualidade")</f>
        <v>porta USB, econômico, velocidade, de alta qualidade</v>
      </c>
      <c r="B45419" s="3">
        <v>1</v>
      </c>
    </row>
    <row r="45420" ht="15.75" customHeight="1" spans="1:2">
      <c r="A45420" s="3" t="str">
        <f>IFERROR(__xludf.DUMMYFUNCTION("GOOGLETRANSLATE(A45420,""en"",""pt"")"),"Boa velocidade de impressão, excelente qualidade, preço razoável")</f>
        <v>Boa velocidade de impressão, excelente qualidade, preço razoável</v>
      </c>
      <c r="B45420" s="3">
        <v>1</v>
      </c>
    </row>
    <row r="45421" ht="15.75" customHeight="1" spans="1:2">
      <c r="A45421" s="3" t="str">
        <f>IFERROR(__xludf.DUMMYFUNCTION("GOOGLETRANSLATE(A45421,""en"",""pt"")"),"impressão rápida, grandes cores, impressora grande")</f>
        <v>impressão rápida, grandes cores, impressora grande</v>
      </c>
      <c r="B45421" s="3">
        <v>1</v>
      </c>
    </row>
    <row r="45422" ht="15.75" customHeight="1" spans="1:2">
      <c r="A45422" s="3" t="str">
        <f>IFERROR(__xludf.DUMMYFUNCTION("GOOGLETRANSLATE(A45422,""en"",""pt"")"),"aperfeiçoar para imprimir imagens")</f>
        <v>aperfeiçoar para imprimir imagens</v>
      </c>
      <c r="B45422" s="3">
        <v>1</v>
      </c>
    </row>
    <row r="45423" ht="15.75" customHeight="1" spans="1:2">
      <c r="A45423" s="3" t="str">
        <f>IFERROR(__xludf.DUMMYFUNCTION("GOOGLETRANSLATE(A45423,""en"",""pt"")"),"Muita tinta de impressão, foto-qualidade, vem com um monte de software")</f>
        <v>Muita tinta de impressão, foto-qualidade, vem com um monte de software</v>
      </c>
      <c r="B45423" s="3">
        <v>1</v>
      </c>
    </row>
    <row r="45424" ht="15.75" customHeight="1" spans="1:2">
      <c r="A45424" s="3" t="str">
        <f>IFERROR(__xludf.DUMMYFUNCTION("GOOGLETRANSLATE(A45424,""en"",""pt"")"),"Excelente todos os produtos ao redor")</f>
        <v>Excelente todos os produtos ao redor</v>
      </c>
      <c r="B45424" s="3">
        <v>1</v>
      </c>
    </row>
    <row r="45425" ht="15.75" customHeight="1" spans="1:2">
      <c r="A45425" s="3" t="str">
        <f>IFERROR(__xludf.DUMMYFUNCTION("GOOGLETRANSLATE(A45425,""en"",""pt"")"),"Grande velocidade e preço")</f>
        <v>Grande velocidade e preço</v>
      </c>
      <c r="B45425" s="3">
        <v>1</v>
      </c>
    </row>
    <row r="45426" ht="15.75" customHeight="1" spans="1:2">
      <c r="A45426" s="3" t="str">
        <f>IFERROR(__xludf.DUMMYFUNCTION("GOOGLETRANSLATE(A45426,""en"",""pt"")"),"Bom preço, disponível, cópias da qualidade")</f>
        <v>Bom preço, disponível, cópias da qualidade</v>
      </c>
      <c r="B45426" s="3">
        <v>1</v>
      </c>
    </row>
    <row r="45427" ht="15.75" customHeight="1" spans="1:2">
      <c r="A45427" s="3" t="str">
        <f>IFERROR(__xludf.DUMMYFUNCTION("GOOGLETRANSLATE(A45427,""en"",""pt"")"),"impressões de qualidade de forma rápida")</f>
        <v>impressões de qualidade de forma rápida</v>
      </c>
      <c r="B45427" s="3">
        <v>1</v>
      </c>
    </row>
    <row r="45428" ht="15.75" customHeight="1" spans="1:2">
      <c r="A45428" s="3" t="str">
        <f>IFERROR(__xludf.DUMMYFUNCTION("GOOGLETRANSLATE(A45428,""en"",""pt"")"),"Custo, qualidade de impressão, confiabilidade")</f>
        <v>Custo, qualidade de impressão, confiabilidade</v>
      </c>
      <c r="B45428" s="3">
        <v>1</v>
      </c>
    </row>
    <row r="45429" ht="15.75" customHeight="1" spans="1:2">
      <c r="A45429" s="3" t="str">
        <f>IFERROR(__xludf.DUMMYFUNCTION("GOOGLETRANSLATE(A45429,""en"",""pt"")"),"Excelente resultado ao imprimir fotos.")</f>
        <v>Excelente resultado ao imprimir fotos.</v>
      </c>
      <c r="B45429" s="3">
        <v>1</v>
      </c>
    </row>
    <row r="45430" ht="15.75" customHeight="1" spans="1:2">
      <c r="A45430" s="3" t="str">
        <f>IFERROR(__xludf.DUMMYFUNCTION("GOOGLETRANSLATE(A45430,""en"",""pt"")"),"Perfeito! Pequeno, rápido, silencioso, conveniente")</f>
        <v>Perfeito! Pequeno, rápido, silencioso, conveniente</v>
      </c>
      <c r="B45430" s="3">
        <v>1</v>
      </c>
    </row>
    <row r="45431" ht="15.75" customHeight="1" spans="1:2">
      <c r="A45431" s="3" t="str">
        <f>IFERROR(__xludf.DUMMYFUNCTION("GOOGLETRANSLATE(A45431,""en"",""pt"")"),"Crisp, tranquilo e impressão rápida")</f>
        <v>Crisp, tranquilo e impressão rápida</v>
      </c>
      <c r="B45431" s="3">
        <v>1</v>
      </c>
    </row>
    <row r="45432" ht="15.75" customHeight="1" spans="1:2">
      <c r="A45432" s="3" t="str">
        <f>IFERROR(__xludf.DUMMYFUNCTION("GOOGLETRANSLATE(A45432,""en"",""pt"")"),"Valor, Cor, Custo")</f>
        <v>Valor, Cor, Custo</v>
      </c>
      <c r="B45432" s="3">
        <v>1</v>
      </c>
    </row>
    <row r="45433" ht="15.75" customHeight="1" spans="1:2">
      <c r="A45433" s="3" t="str">
        <f>IFERROR(__xludf.DUMMYFUNCTION("GOOGLETRANSLATE(A45433,""en"",""pt"")"),"Baseada em USB, eficiente, cor de boa qualidade")</f>
        <v>Baseada em USB, eficiente, cor de boa qualidade</v>
      </c>
      <c r="B45433" s="3">
        <v>1</v>
      </c>
    </row>
    <row r="45434" ht="15.75" customHeight="1" spans="1:2">
      <c r="A45434" s="3" t="str">
        <f>IFERROR(__xludf.DUMMYFUNCTION("GOOGLETRANSLATE(A45434,""en"",""pt"")"),"Imprimir tudo")</f>
        <v>Imprimir tudo</v>
      </c>
      <c r="B45434" s="3">
        <v>1</v>
      </c>
    </row>
    <row r="45435" ht="15.75" customHeight="1" spans="1:2">
      <c r="A45435" s="3" t="str">
        <f>IFERROR(__xludf.DUMMYFUNCTION("GOOGLETRANSLATE(A45435,""en"",""pt"")"),"Grande velocidade; Bom Qualidade Foto; Texto crisp")</f>
        <v>Grande velocidade; Bom Qualidade Foto; Texto crisp</v>
      </c>
      <c r="B45435" s="3">
        <v>1</v>
      </c>
    </row>
    <row r="45436" ht="15.75" customHeight="1" spans="1:2">
      <c r="A45436" s="3" t="str">
        <f>IFERROR(__xludf.DUMMYFUNCTION("GOOGLETRANSLATE(A45436,""en"",""pt"")"),"Fácil de usar com ótimas fotos")</f>
        <v>Fácil de usar com ótimas fotos</v>
      </c>
      <c r="B45436" s="3">
        <v>1</v>
      </c>
    </row>
    <row r="45437" ht="15.75" customHeight="1" spans="1:2">
      <c r="A45437" s="3" t="str">
        <f>IFERROR(__xludf.DUMMYFUNCTION("GOOGLETRANSLATE(A45437,""en"",""pt"")"),"Excelente qualidade de imagem")</f>
        <v>Excelente qualidade de imagem</v>
      </c>
      <c r="B45437" s="3">
        <v>1</v>
      </c>
    </row>
    <row r="45438" ht="15.75" customHeight="1" spans="1:2">
      <c r="A45438" s="3" t="str">
        <f>IFERROR(__xludf.DUMMYFUNCTION("GOOGLETRANSLATE(A45438,""en"",""pt"")"),"Qualidade, Long tinta durável, bom preço, durável")</f>
        <v>Qualidade, Long tinta durável, bom preço, durável</v>
      </c>
      <c r="B45438" s="3">
        <v>1</v>
      </c>
    </row>
    <row r="45439" ht="15.75" customHeight="1" spans="1:2">
      <c r="A45439" s="3" t="str">
        <f>IFERROR(__xludf.DUMMYFUNCTION("GOOGLETRANSLATE(A45439,""en"",""pt"")"),"Fast Boa qualidade- Relaible-")</f>
        <v>Fast Boa qualidade- Relaible-</v>
      </c>
      <c r="B45439" s="3">
        <v>1</v>
      </c>
    </row>
    <row r="45440" ht="15.75" customHeight="1" spans="1:2">
      <c r="A45440" s="3" t="str">
        <f>IFERROR(__xludf.DUMMYFUNCTION("GOOGLETRANSLATE(A45440,""en"",""pt"")"),"A qualidade de impressão, software, velocidade")</f>
        <v>A qualidade de impressão, software, velocidade</v>
      </c>
      <c r="B45440" s="3">
        <v>1</v>
      </c>
    </row>
    <row r="45441" ht="15.75" customHeight="1" spans="1:2">
      <c r="A45441" s="3" t="str">
        <f>IFERROR(__xludf.DUMMYFUNCTION("GOOGLETRANSLATE(A45441,""en"",""pt"")"),"FAC FÁCIL! impressão bonita, cores brilhantes, rápido!")</f>
        <v>FAC FÁCIL! impressão bonita, cores brilhantes, rápido!</v>
      </c>
      <c r="B45441" s="3">
        <v>1</v>
      </c>
    </row>
    <row r="45442" ht="15.75" customHeight="1" spans="1:2">
      <c r="A45442" s="3" t="str">
        <f>IFERROR(__xludf.DUMMYFUNCTION("GOOGLETRANSLATE(A45442,""en"",""pt"")"),"Rápido. Grande qualidade de impressão!")</f>
        <v>Rápido. Grande qualidade de impressão!</v>
      </c>
      <c r="B45442" s="3">
        <v>1</v>
      </c>
    </row>
    <row r="45443" ht="15.75" customHeight="1" spans="1:2">
      <c r="A45443" s="3" t="str">
        <f>IFERROR(__xludf.DUMMYFUNCTION("GOOGLETRANSLATE(A45443,""en"",""pt"")"),"Barato, ótima qualidade de impressão, usa pouca tinta por impressão, raramente compotas, pode imprimir envelopes, impressões rapidamente.")</f>
        <v>Barato, ótima qualidade de impressão, usa pouca tinta por impressão, raramente compotas, pode imprimir envelopes, impressões rapidamente.</v>
      </c>
      <c r="B45443" s="3">
        <v>1</v>
      </c>
    </row>
    <row r="45444" ht="15.75" customHeight="1" spans="1:2">
      <c r="A45444" s="3" t="str">
        <f>IFERROR(__xludf.DUMMYFUNCTION("GOOGLETRANSLATE(A45444,""en"",""pt"")"),"boa qualidade e cor")</f>
        <v>boa qualidade e cor</v>
      </c>
      <c r="B45444" s="3">
        <v>1</v>
      </c>
    </row>
    <row r="45445" ht="15.75" customHeight="1" spans="1:2">
      <c r="A45445" s="3" t="str">
        <f>IFERROR(__xludf.DUMMYFUNCTION("GOOGLETRANSLATE(A45445,""en"",""pt"")"),"conectividade USB, facilidade de uso, qualidade das impressões")</f>
        <v>conectividade USB, facilidade de uso, qualidade das impressões</v>
      </c>
      <c r="B45445" s="3">
        <v>1</v>
      </c>
    </row>
    <row r="45446" ht="15.75" customHeight="1" spans="1:2">
      <c r="A45446" s="3" t="str">
        <f>IFERROR(__xludf.DUMMYFUNCTION("GOOGLETRANSLATE(A45446,""en"",""pt"")"),"rápido, confiável, de boa qualidade")</f>
        <v>rápido, confiável, de boa qualidade</v>
      </c>
      <c r="B45446" s="3">
        <v>1</v>
      </c>
    </row>
    <row r="45447" ht="15.75" customHeight="1" spans="1:2">
      <c r="A45447" s="3" t="str">
        <f>IFERROR(__xludf.DUMMYFUNCTION("GOOGLETRANSLATE(A45447,""en"",""pt"")"),"fácil de usar, acessível")</f>
        <v>fácil de usar, acessível</v>
      </c>
      <c r="B45447" s="3">
        <v>1</v>
      </c>
    </row>
    <row r="45448" ht="15.75" customHeight="1" spans="1:2">
      <c r="A45448" s="3" t="str">
        <f>IFERROR(__xludf.DUMMYFUNCTION("GOOGLETRANSLATE(A45448,""en"",""pt"")"),"Otima qualidade! Faz um bom trabalho. Fotos está ótimo! Muito eficiente!")</f>
        <v>Otima qualidade! Faz um bom trabalho. Fotos está ótimo! Muito eficiente!</v>
      </c>
      <c r="B45448" s="3">
        <v>1</v>
      </c>
    </row>
    <row r="45449" ht="15.75" customHeight="1" spans="1:2">
      <c r="A45449" s="3" t="str">
        <f>IFERROR(__xludf.DUMMYFUNCTION("GOOGLETRANSLATE(A45449,""en"",""pt"")"),"Rápido, grande qualidade de texto &amp; amp; ilustrações, o uso de pouca tinta")</f>
        <v>Rápido, grande qualidade de texto &amp; amp; ilustrações, o uso de pouca tinta</v>
      </c>
      <c r="B45449" s="3">
        <v>1</v>
      </c>
    </row>
    <row r="45450" ht="15.75" customHeight="1" spans="1:2">
      <c r="A45450" s="3" t="str">
        <f>IFERROR(__xludf.DUMMYFUNCTION("GOOGLETRANSLATE(A45450,""en"",""pt"")"),"Fácil de usar; sem atolamentos de papel; qualidade decente")</f>
        <v>Fácil de usar; sem atolamentos de papel; qualidade decente</v>
      </c>
      <c r="B45450" s="3">
        <v>1</v>
      </c>
    </row>
    <row r="45451" ht="15.75" customHeight="1" spans="1:2">
      <c r="A45451" s="3" t="str">
        <f>IFERROR(__xludf.DUMMYFUNCTION("GOOGLETRANSLATE(A45451,""en"",""pt"")"),"bela máquina")</f>
        <v>bela máquina</v>
      </c>
      <c r="B45451" s="3">
        <v>1</v>
      </c>
    </row>
    <row r="45452" ht="15.75" customHeight="1" spans="1:2">
      <c r="A45452" s="3" t="str">
        <f>IFERROR(__xludf.DUMMYFUNCTION("GOOGLETRANSLATE(A45452,""en"",""pt"")"),"Confiável")</f>
        <v>Confiável</v>
      </c>
      <c r="B45452" s="3">
        <v>1</v>
      </c>
    </row>
    <row r="45453" ht="15.75" customHeight="1" spans="1:2">
      <c r="A45453" s="3" t="str">
        <f>IFERROR(__xludf.DUMMYFUNCTION("GOOGLETRANSLATE(A45453,""en"",""pt"")"),"cópias nítidas em cores e em preto e branco")</f>
        <v>cópias nítidas em cores e em preto e branco</v>
      </c>
      <c r="B45453" s="3">
        <v>1</v>
      </c>
    </row>
    <row r="45454" ht="15.75" customHeight="1" spans="1:2">
      <c r="A45454" s="3" t="str">
        <f>IFERROR(__xludf.DUMMYFUNCTION("GOOGLETRANSLATE(A45454,""en"",""pt"")"),"Boa resolução e qualidade de impressão")</f>
        <v>Boa resolução e qualidade de impressão</v>
      </c>
      <c r="B45454" s="3">
        <v>1</v>
      </c>
    </row>
    <row r="45455" ht="15.75" customHeight="1" spans="1:2">
      <c r="A45455" s="3" t="str">
        <f>IFERROR(__xludf.DUMMYFUNCTION("GOOGLETRANSLATE(A45455,""en"",""pt"")"),"Rápido, confiável, fácil de usar impressora. Vibrantes, cores brilhantes")</f>
        <v>Rápido, confiável, fácil de usar impressora. Vibrantes, cores brilhantes</v>
      </c>
      <c r="B45455" s="3">
        <v>1</v>
      </c>
    </row>
    <row r="45456" ht="15.75" customHeight="1" spans="1:2">
      <c r="A45456" s="3" t="str">
        <f>IFERROR(__xludf.DUMMYFUNCTION("GOOGLETRANSLATE(A45456,""en"",""pt"")"),"qualidade de cor e facilidade de uso")</f>
        <v>qualidade de cor e facilidade de uso</v>
      </c>
      <c r="B45456" s="3">
        <v>1</v>
      </c>
    </row>
    <row r="45457" ht="15.75" customHeight="1" spans="1:2">
      <c r="A45457" s="3" t="str">
        <f>IFERROR(__xludf.DUMMYFUNCTION("GOOGLETRANSLATE(A45457,""en"",""pt"")"),"grande qualidade de impressão, fácil de operar")</f>
        <v>grande qualidade de impressão, fácil de operar</v>
      </c>
      <c r="B45457" s="3">
        <v>1</v>
      </c>
    </row>
    <row r="45458" ht="15.75" customHeight="1" spans="1:2">
      <c r="A45458" s="3" t="str">
        <f>IFERROR(__xludf.DUMMYFUNCTION("GOOGLETRANSLATE(A45458,""en"",""pt"")"),"Velocidade, qualidade de impressão e cor, tranquila")</f>
        <v>Velocidade, qualidade de impressão e cor, tranquila</v>
      </c>
      <c r="B45458" s="3">
        <v>1</v>
      </c>
    </row>
    <row r="45459" ht="15.75" customHeight="1" spans="1:2">
      <c r="A45459" s="3" t="str">
        <f>IFERROR(__xludf.DUMMYFUNCTION("GOOGLETRANSLATE(A45459,""en"",""pt"")"),"produção de qualidade")</f>
        <v>produção de qualidade</v>
      </c>
      <c r="B45459" s="3">
        <v>1</v>
      </c>
    </row>
    <row r="45460" ht="15.75" customHeight="1" spans="1:2">
      <c r="A45460" s="3" t="str">
        <f>IFERROR(__xludf.DUMMYFUNCTION("GOOGLETRANSLATE(A45460,""en"",""pt"")"),"cor bonita, precisa; velozes")</f>
        <v>cor bonita, precisa; velozes</v>
      </c>
      <c r="B45460" s="3">
        <v>1</v>
      </c>
    </row>
    <row r="45461" ht="15.75" customHeight="1" spans="1:2">
      <c r="A45461" s="3" t="str">
        <f>IFERROR(__xludf.DUMMYFUNCTION("GOOGLETRANSLATE(A45461,""en"",""pt"")"),"USB, velocidade, qualidade fotográfica impressões")</f>
        <v>USB, velocidade, qualidade fotográfica impressões</v>
      </c>
      <c r="B45461" s="3">
        <v>1</v>
      </c>
    </row>
    <row r="45462" ht="15.75" customHeight="1" spans="1:2">
      <c r="A45462" s="3" t="str">
        <f>IFERROR(__xludf.DUMMYFUNCTION("GOOGLETRANSLATE(A45462,""en"",""pt"")"),"grande jato de tinta colorida rápida, capacidades de rede")</f>
        <v>grande jato de tinta colorida rápida, capacidades de rede</v>
      </c>
      <c r="B45462" s="3">
        <v>1</v>
      </c>
    </row>
    <row r="45463" ht="15.75" customHeight="1" spans="1:2">
      <c r="A45463" s="3" t="str">
        <f>IFERROR(__xludf.DUMMYFUNCTION("GOOGLETRANSLATE(A45463,""en"",""pt"")"),"10 páginas por minuto Velocidade de impressão preto, 6 cores")</f>
        <v>10 páginas por minuto Velocidade de impressão preto, 6 cores</v>
      </c>
      <c r="B45463" s="3">
        <v>1</v>
      </c>
    </row>
    <row r="45464" ht="15.75" customHeight="1" spans="1:2">
      <c r="A45464" s="3" t="str">
        <f>IFERROR(__xludf.DUMMYFUNCTION("GOOGLETRANSLATE(A45464,""en"",""pt"")"),"Custo eficaz, rápido, de alta qualidade, tranquila")</f>
        <v>Custo eficaz, rápido, de alta qualidade, tranquila</v>
      </c>
      <c r="B45464" s="3">
        <v>1</v>
      </c>
    </row>
    <row r="45465" ht="15.75" customHeight="1" spans="1:2">
      <c r="A45465" s="3" t="str">
        <f>IFERROR(__xludf.DUMMYFUNCTION("GOOGLETRANSLATE(A45465,""en"",""pt"")"),"texto nítido, ppm rápido")</f>
        <v>texto nítido, ppm rápido</v>
      </c>
      <c r="B45465" s="3">
        <v>1</v>
      </c>
    </row>
    <row r="45466" ht="15.75" customHeight="1" spans="1:2">
      <c r="A45466" s="3" t="str">
        <f>IFERROR(__xludf.DUMMYFUNCTION("GOOGLETRANSLATE(A45466,""en"",""pt"")"),"Um bom software e assistência técnica")</f>
        <v>Um bom software e assistência técnica</v>
      </c>
      <c r="B45466" s="3">
        <v>1</v>
      </c>
    </row>
    <row r="45467" ht="15.75" customHeight="1" spans="1:2">
      <c r="A45467" s="3" t="str">
        <f>IFERROR(__xludf.DUMMYFUNCTION("GOOGLETRANSLATE(A45467,""en"",""pt"")"),"Qualidade média Imprimir")</f>
        <v>Qualidade média Imprimir</v>
      </c>
      <c r="B45467" s="3">
        <v>1</v>
      </c>
    </row>
    <row r="45468" ht="15.75" customHeight="1" spans="1:2">
      <c r="A45468" s="3" t="str">
        <f>IFERROR(__xludf.DUMMYFUNCTION("GOOGLETRANSLATE(A45468,""en"",""pt"")"),"Qualidade e velocidade")</f>
        <v>Qualidade e velocidade</v>
      </c>
      <c r="B45468" s="3">
        <v>1</v>
      </c>
    </row>
    <row r="45469" ht="15.75" customHeight="1" spans="1:2">
      <c r="A45469" s="3" t="str">
        <f>IFERROR(__xludf.DUMMYFUNCTION("GOOGLETRANSLATE(A45469,""en"",""pt"")"),"de saída e clareza de cores juntamente com rapidez e silêncio")</f>
        <v>de saída e clareza de cores juntamente com rapidez e silêncio</v>
      </c>
      <c r="B45469" s="3">
        <v>1</v>
      </c>
    </row>
    <row r="45470" ht="15.75" customHeight="1" spans="1:2">
      <c r="A45470" s="3" t="str">
        <f>IFERROR(__xludf.DUMMYFUNCTION("GOOGLETRANSLATE(A45470,""en"",""pt"")"),"grande projeto")</f>
        <v>grande projeto</v>
      </c>
      <c r="B45470" s="3">
        <v>1</v>
      </c>
    </row>
    <row r="45471" ht="15.75" customHeight="1" spans="1:2">
      <c r="A45471" s="3" t="str">
        <f>IFERROR(__xludf.DUMMYFUNCTION("GOOGLETRANSLATE(A45471,""en"",""pt"")"),"Velocidade, cor")</f>
        <v>Velocidade, cor</v>
      </c>
      <c r="B45471" s="3">
        <v>1</v>
      </c>
    </row>
    <row r="45472" ht="15.75" customHeight="1" spans="1:2">
      <c r="A45472" s="3" t="str">
        <f>IFERROR(__xludf.DUMMYFUNCTION("GOOGLETRANSLATE(A45472,""en"",""pt"")"),"excelentes impressões")</f>
        <v>excelentes impressões</v>
      </c>
      <c r="B45472" s="3">
        <v>1</v>
      </c>
    </row>
    <row r="45473" ht="15.75" customHeight="1" spans="1:2">
      <c r="A45473" s="3" t="str">
        <f>IFERROR(__xludf.DUMMYFUNCTION("GOOGLETRANSLATE(A45473,""en"",""pt"")"),"boa qualidade de impressão")</f>
        <v>boa qualidade de impressão</v>
      </c>
      <c r="B45473" s="3">
        <v>1</v>
      </c>
    </row>
    <row r="45474" ht="15.75" customHeight="1" spans="1:2">
      <c r="A45474" s="3" t="str">
        <f>IFERROR(__xludf.DUMMYFUNCTION("GOOGLETRANSLATE(A45474,""en"",""pt"")"),"Grande qualidade de impressão")</f>
        <v>Grande qualidade de impressão</v>
      </c>
      <c r="B45474" s="3">
        <v>1</v>
      </c>
    </row>
    <row r="45475" ht="15.75" customHeight="1" spans="1:2">
      <c r="A45475" s="3" t="str">
        <f>IFERROR(__xludf.DUMMYFUNCTION("GOOGLETRANSLATE(A45475,""en"",""pt"")"),"Great Prints, tranquila, muito")</f>
        <v>Great Prints, tranquila, muito</v>
      </c>
      <c r="B45475" s="3">
        <v>1</v>
      </c>
    </row>
    <row r="45476" ht="15.75" customHeight="1" spans="1:2">
      <c r="A45476" s="3" t="str">
        <f>IFERROR(__xludf.DUMMYFUNCTION("GOOGLETRANSLATE(A45476,""en"",""pt"")"),"Rápido, tanto a impressão de texto e cor")</f>
        <v>Rápido, tanto a impressão de texto e cor</v>
      </c>
      <c r="B45476" s="3">
        <v>1</v>
      </c>
    </row>
    <row r="45477" ht="15.75" customHeight="1" spans="1:2">
      <c r="A45477" s="3" t="str">
        <f>IFERROR(__xludf.DUMMYFUNCTION("GOOGLETRANSLATE(A45477,""en"",""pt"")"),"Fácil set-up e usar. Relativamente pequena pegada")</f>
        <v>Fácil set-up e usar. Relativamente pequena pegada</v>
      </c>
      <c r="B45477" s="3">
        <v>1</v>
      </c>
    </row>
    <row r="45478" ht="15.75" customHeight="1" spans="1:2">
      <c r="A45478" s="3" t="str">
        <f>IFERROR(__xludf.DUMMYFUNCTION("GOOGLETRANSLATE(A45478,""en"",""pt"")"),"fácil de instalar &amp; amp; amp; ocupa pouco espaço na mesa")</f>
        <v>fácil de instalar &amp; amp; amp; ocupa pouco espaço na mesa</v>
      </c>
      <c r="B45478" s="3">
        <v>1</v>
      </c>
    </row>
    <row r="45479" ht="15.75" customHeight="1" spans="1:2">
      <c r="A45479" s="3" t="str">
        <f>IFERROR(__xludf.DUMMYFUNCTION("GOOGLETRANSLATE(A45479,""en"",""pt"")"),"Grande qualidade de impressão")</f>
        <v>Grande qualidade de impressão</v>
      </c>
      <c r="B45479" s="3">
        <v>1</v>
      </c>
    </row>
    <row r="45480" ht="15.75" customHeight="1" spans="1:2">
      <c r="A45480" s="3" t="str">
        <f>IFERROR(__xludf.DUMMYFUNCTION("GOOGLETRANSLATE(A45480,""en"",""pt"")"),"muito tranquila, a tinta não mancha, e é confiável")</f>
        <v>muito tranquila, a tinta não mancha, e é confiável</v>
      </c>
      <c r="B45480" s="3">
        <v>1</v>
      </c>
    </row>
    <row r="45481" ht="15.75" customHeight="1" spans="1:2">
      <c r="A45481" s="3" t="str">
        <f>IFERROR(__xludf.DUMMYFUNCTION("GOOGLETRANSLATE(A45481,""en"",""pt"")"),"Rápido, grande qualidade")</f>
        <v>Rápido, grande qualidade</v>
      </c>
      <c r="B45481" s="3">
        <v>1</v>
      </c>
    </row>
    <row r="45482" ht="15.75" customHeight="1" spans="1:2">
      <c r="A45482" s="3" t="str">
        <f>IFERROR(__xludf.DUMMYFUNCTION("GOOGLETRANSLATE(A45482,""en"",""pt"")"),"Pequena, de alta qualidade, rápido")</f>
        <v>Pequena, de alta qualidade, rápido</v>
      </c>
      <c r="B45482" s="3">
        <v>1</v>
      </c>
    </row>
    <row r="45483" ht="15.75" customHeight="1" spans="1:2">
      <c r="A45483" s="3" t="str">
        <f>IFERROR(__xludf.DUMMYFUNCTION("GOOGLETRANSLATE(A45483,""en"",""pt"")"),"Qualidade de impressão, silencioso, HP Marca")</f>
        <v>Qualidade de impressão, silencioso, HP Marca</v>
      </c>
      <c r="B45483" s="3">
        <v>1</v>
      </c>
    </row>
    <row r="45484" ht="15.75" customHeight="1" spans="1:2">
      <c r="A45484" s="3" t="str">
        <f>IFERROR(__xludf.DUMMYFUNCTION("GOOGLETRANSLATE(A45484,""en"",""pt"")"),"Excelente impressão a um preço excelente.")</f>
        <v>Excelente impressão a um preço excelente.</v>
      </c>
      <c r="B45484" s="3">
        <v>1</v>
      </c>
    </row>
    <row r="45485" ht="15.75" customHeight="1" spans="1:2">
      <c r="A45485" s="3" t="str">
        <f>IFERROR(__xludf.DUMMYFUNCTION("GOOGLETRANSLATE(A45485,""en"",""pt"")"),"velocidade, qualidade")</f>
        <v>velocidade, qualidade</v>
      </c>
      <c r="B45485" s="3">
        <v>1</v>
      </c>
    </row>
    <row r="45486" ht="15.75" customHeight="1" spans="1:2">
      <c r="A45486" s="3" t="str">
        <f>IFERROR(__xludf.DUMMYFUNCTION("GOOGLETRANSLATE(A45486,""en"",""pt"")")," Rápido qualidade de impressão clara")</f>
        <v> Rápido qualidade de impressão clara</v>
      </c>
      <c r="B45486" s="3">
        <v>1</v>
      </c>
    </row>
    <row r="45487" ht="15.75" customHeight="1" spans="1:2">
      <c r="A45487" s="3" t="str">
        <f>IFERROR(__xludf.DUMMYFUNCTION("GOOGLETRANSLATE(A45487,""en"",""pt"")"),"Excelente quase melhor qualidade de impressão, confiável")</f>
        <v>Excelente quase melhor qualidade de impressão, confiável</v>
      </c>
      <c r="B45487" s="3">
        <v>1</v>
      </c>
    </row>
    <row r="45488" ht="15.75" customHeight="1" spans="1:2">
      <c r="A45488" s="3" t="str">
        <f>IFERROR(__xludf.DUMMYFUNCTION("GOOGLETRANSLATE(A45488,""en"",""pt"")"),"mais negros negros - mais profundos cores verdadeiras, não manchas / tinta desaparecendo, não obstruir ou secar, impressora rápida, qualidade de imagem excepcional")</f>
        <v>mais negros negros - mais profundos cores verdadeiras, não manchas / tinta desaparecendo, não obstruir ou secar, impressora rápida, qualidade de imagem excepcional</v>
      </c>
      <c r="B45488" s="3">
        <v>1</v>
      </c>
    </row>
    <row r="45489" ht="15.75" customHeight="1" spans="1:2">
      <c r="A45489" s="3" t="str">
        <f>IFERROR(__xludf.DUMMYFUNCTION("GOOGLETRANSLATE(A45489,""en"",""pt"")"),"Rápido, eficiente, Baixo custo operacional, qualidade de impressão Superior")</f>
        <v>Rápido, eficiente, Baixo custo operacional, qualidade de impressão Superior</v>
      </c>
      <c r="B45489" s="3">
        <v>1</v>
      </c>
    </row>
    <row r="45490" ht="15.75" customHeight="1" spans="1:2">
      <c r="A45490" s="3" t="str">
        <f>IFERROR(__xludf.DUMMYFUNCTION("GOOGLETRANSLATE(A45490,""en"",""pt"")"),"durável")</f>
        <v>durável</v>
      </c>
      <c r="B45490" s="3">
        <v>1</v>
      </c>
    </row>
    <row r="45491" ht="15.75" customHeight="1" spans="1:2">
      <c r="A45491" s="3" t="str">
        <f>IFERROR(__xludf.DUMMYFUNCTION("GOOGLETRANSLATE(A45491,""en"",""pt"")"),"saída rápida e excelente qualidade")</f>
        <v>saída rápida e excelente qualidade</v>
      </c>
      <c r="B45491" s="3">
        <v>1</v>
      </c>
    </row>
    <row r="45492" ht="15.75" customHeight="1" spans="1:2">
      <c r="A45492" s="3" t="str">
        <f>IFERROR(__xludf.DUMMYFUNCTION("GOOGLETRANSLATE(A45492,""en"",""pt"")"),"texto jato de tinta de qualidade laser e jato de tinta os papéis mais brancos.")</f>
        <v>texto jato de tinta de qualidade laser e jato de tinta os papéis mais brancos.</v>
      </c>
      <c r="B45492" s="3">
        <v>1</v>
      </c>
    </row>
    <row r="45493" ht="15.75" customHeight="1" spans="1:2">
      <c r="A45493" s="3" t="str">
        <f>IFERROR(__xludf.DUMMYFUNCTION("GOOGLETRANSLATE(A45493,""en"",""pt"")"),"Superior qualidade de impressão, velocidade rápida, resistente &amp; amp; amp; durável")</f>
        <v>Superior qualidade de impressão, velocidade rápida, resistente &amp; amp; amp; durável</v>
      </c>
      <c r="B45493" s="3">
        <v>1</v>
      </c>
    </row>
    <row r="45494" ht="15.75" customHeight="1" spans="1:2">
      <c r="A45494" s="3" t="str">
        <f>IFERROR(__xludf.DUMMYFUNCTION("GOOGLETRANSLATE(A45494,""en"",""pt"")"),"impressão rápida e de boa qualidade")</f>
        <v>impressão rápida e de boa qualidade</v>
      </c>
      <c r="B45494" s="3">
        <v>1</v>
      </c>
    </row>
    <row r="45495" ht="15.75" customHeight="1" spans="1:2">
      <c r="A45495" s="3" t="str">
        <f>IFERROR(__xludf.DUMMYFUNCTION("GOOGLETRANSLATE(A45495,""en"",""pt"")"),"Qualidade, confiabilidade")</f>
        <v>Qualidade, confiabilidade</v>
      </c>
      <c r="B45495" s="3">
        <v>1</v>
      </c>
    </row>
    <row r="45496" ht="15.75" customHeight="1" spans="1:2">
      <c r="A45496" s="3" t="str">
        <f>IFERROR(__xludf.DUMMYFUNCTION("GOOGLETRANSLATE(A45496,""en"",""pt"")"),"Grande Texto &amp; amp; amp; Gráficos; Grande uso de tinta.")</f>
        <v>Grande Texto &amp; amp; amp; Gráficos; Grande uso de tinta.</v>
      </c>
      <c r="B45496" s="3">
        <v>1</v>
      </c>
    </row>
    <row r="45497" ht="15.75" customHeight="1" spans="1:2">
      <c r="A45497" s="3" t="str">
        <f>IFERROR(__xludf.DUMMYFUNCTION("GOOGLETRANSLATE(A45497,""en"",""pt"")"),"Grande qualidade de impressão, velocidade e confiabilidade")</f>
        <v>Grande qualidade de impressão, velocidade e confiabilidade</v>
      </c>
      <c r="B45497" s="3">
        <v>1</v>
      </c>
    </row>
    <row r="45498" ht="15.75" customHeight="1" spans="1:2">
      <c r="A45498" s="3" t="str">
        <f>IFERROR(__xludf.DUMMYFUNCTION("GOOGLETRANSLATE(A45498,""en"",""pt"")"),"Velocidade, boa qualidade de impressão, maciez")</f>
        <v>Velocidade, boa qualidade de impressão, maciez</v>
      </c>
      <c r="B45498" s="3">
        <v>1</v>
      </c>
    </row>
    <row r="45499" ht="15.75" customHeight="1" spans="1:2">
      <c r="A45499" s="3" t="str">
        <f>IFERROR(__xludf.DUMMYFUNCTION("GOOGLETRANSLATE(A45499,""en"",""pt"")"),"Muito rápido, bom tamanho, fácil configuração, porta USB ou parralel amigável")</f>
        <v>Muito rápido, bom tamanho, fácil configuração, porta USB ou parralel amigável</v>
      </c>
      <c r="B45499" s="3">
        <v>1</v>
      </c>
    </row>
    <row r="45500" ht="15.75" customHeight="1" spans="1:2">
      <c r="A45500" s="3" t="str">
        <f>IFERROR(__xludf.DUMMYFUNCTION("GOOGLETRANSLATE(A45500,""en"",""pt"")"),"Grande qualidade de impressão e bastante demasiado")</f>
        <v>Grande qualidade de impressão e bastante demasiado</v>
      </c>
      <c r="B45500" s="3">
        <v>1</v>
      </c>
    </row>
    <row r="45501" ht="15.75" customHeight="1" spans="1:2">
      <c r="A45501" s="3" t="str">
        <f>IFERROR(__xludf.DUMMYFUNCTION("GOOGLETRANSLATE(A45501,""en"",""pt"")"),"grande Cor")</f>
        <v>grande Cor</v>
      </c>
      <c r="B45501" s="3">
        <v>1</v>
      </c>
    </row>
    <row r="45502" ht="15.75" customHeight="1" spans="1:2">
      <c r="A45502" s="3" t="str">
        <f>IFERROR(__xludf.DUMMYFUNCTION("GOOGLETRANSLATE(A45502,""en"",""pt"")"),"Velocidade, qualidade, facilidade de uso")</f>
        <v>Velocidade, qualidade, facilidade de uso</v>
      </c>
      <c r="B45502" s="3">
        <v>1</v>
      </c>
    </row>
    <row r="45503" ht="15.75" customHeight="1" spans="1:2">
      <c r="A45503" s="3" t="str">
        <f>IFERROR(__xludf.DUMMYFUNCTION("GOOGLETRANSLATE(A45503,""en"",""pt"")"),"Boa velocidade, de grande qualidade, muito tranquila")</f>
        <v>Boa velocidade, de grande qualidade, muito tranquila</v>
      </c>
      <c r="B45503" s="3">
        <v>1</v>
      </c>
    </row>
    <row r="45504" ht="15.75" customHeight="1" spans="1:2">
      <c r="A45504" s="3" t="str">
        <f>IFERROR(__xludf.DUMMYFUNCTION("GOOGLETRANSLATE(A45504,""en"",""pt"")"),"imprimir qualidade, cor")</f>
        <v>imprimir qualidade, cor</v>
      </c>
      <c r="B45504" s="3">
        <v>1</v>
      </c>
    </row>
    <row r="45505" ht="15.75" customHeight="1" spans="1:2">
      <c r="A45505" s="3" t="str">
        <f>IFERROR(__xludf.DUMMYFUNCTION("GOOGLETRANSLATE(A45505,""en"",""pt"")"),"Fácil de usar")</f>
        <v>Fácil de usar</v>
      </c>
      <c r="B45505" s="3">
        <v>1</v>
      </c>
    </row>
    <row r="45506" ht="15.75" customHeight="1" spans="1:2">
      <c r="A45506" s="3" t="str">
        <f>IFERROR(__xludf.DUMMYFUNCTION("GOOGLETRANSLATE(A45506,""en"",""pt"")"),"Mais rápido do que a impressão Média, fácil de usar &amp; amp; É um HP!")</f>
        <v>Mais rápido do que a impressão Média, fácil de usar &amp; amp; É um HP!</v>
      </c>
      <c r="B45506" s="3">
        <v>1</v>
      </c>
    </row>
    <row r="45507" ht="15.75" customHeight="1" spans="1:2">
      <c r="A45507" s="3" t="str">
        <f>IFERROR(__xludf.DUMMYFUNCTION("GOOGLETRANSLATE(A45507,""en"",""pt"")"),"otima qualidade")</f>
        <v>otima qualidade</v>
      </c>
      <c r="B45507" s="3">
        <v>1</v>
      </c>
    </row>
    <row r="45508" ht="15.75" customHeight="1" spans="1:2">
      <c r="A45508" s="3" t="str">
        <f>IFERROR(__xludf.DUMMYFUNCTION("GOOGLETRANSLATE(A45508,""en"",""pt"")"),"Fácil de configurar e usar, há congestionamentos de papel, imprime bem em cartolina")</f>
        <v>Fácil de configurar e usar, há congestionamentos de papel, imprime bem em cartolina</v>
      </c>
      <c r="B45508" s="3">
        <v>1</v>
      </c>
    </row>
    <row r="45509" ht="15.75" customHeight="1" spans="1:2">
      <c r="A45509" s="3" t="str">
        <f>IFERROR(__xludf.DUMMYFUNCTION("GOOGLETRANSLATE(A45509,""en"",""pt"")"),"Calmo, papel estabelece, agradável grandes reservatórios de tinta planas, rápido.")</f>
        <v>Calmo, papel estabelece, agradável grandes reservatórios de tinta planas, rápido.</v>
      </c>
      <c r="B45509" s="3">
        <v>1</v>
      </c>
    </row>
    <row r="45510" ht="15.75" customHeight="1" spans="1:2">
      <c r="A45510" s="3" t="str">
        <f>IFERROR(__xludf.DUMMYFUNCTION("GOOGLETRANSLATE(A45510,""en"",""pt"")"),"Velocidade, qualidade, estável no Windows")</f>
        <v>Velocidade, qualidade, estável no Windows</v>
      </c>
      <c r="B45510" s="3">
        <v>1</v>
      </c>
    </row>
    <row r="45511" ht="15.75" customHeight="1" spans="1:2">
      <c r="A45511" s="3" t="str">
        <f>IFERROR(__xludf.DUMMYFUNCTION("GOOGLETRANSLATE(A45511,""en"",""pt"")"),"Imprime documentos de texto rápidas, fotos de qualidade.")</f>
        <v>Imprime documentos de texto rápidas, fotos de qualidade.</v>
      </c>
      <c r="B45511" s="3">
        <v>1</v>
      </c>
    </row>
    <row r="45512" ht="15.75" customHeight="1" spans="1:2">
      <c r="A45512" s="3" t="str">
        <f>IFERROR(__xludf.DUMMYFUNCTION("GOOGLETRANSLATE(A45512,""en"",""pt"")"),"Grande qualidade fotográfica, cartuchos de vida longa, e mais rápido do que a maioria.")</f>
        <v>Grande qualidade fotográfica, cartuchos de vida longa, e mais rápido do que a maioria.</v>
      </c>
      <c r="B45512" s="3">
        <v>1</v>
      </c>
    </row>
    <row r="45513" ht="15.75" customHeight="1" spans="1:2">
      <c r="A45513" s="3" t="str">
        <f>IFERROR(__xludf.DUMMYFUNCTION("GOOGLETRANSLATE(A45513,""en"",""pt"")"),"grande cor")</f>
        <v>grande cor</v>
      </c>
      <c r="B45513" s="3">
        <v>1</v>
      </c>
    </row>
    <row r="45514" ht="15.75" customHeight="1" spans="1:2">
      <c r="A45514" s="3" t="str">
        <f>IFERROR(__xludf.DUMMYFUNCTION("GOOGLETRANSLATE(A45514,""en"",""pt"")"),"Acessíveis e de alta qualidade de imagens e texto, dobre a bandeja de papel.")</f>
        <v>Acessíveis e de alta qualidade de imagens e texto, dobre a bandeja de papel.</v>
      </c>
      <c r="B45514" s="3">
        <v>1</v>
      </c>
    </row>
    <row r="45515" ht="15.75" customHeight="1" spans="1:2">
      <c r="A45515" s="3" t="str">
        <f>IFERROR(__xludf.DUMMYFUNCTION("GOOGLETRANSLATE(A45515,""en"",""pt"")"),"excelentes imagens e gráficos em papéis fotográficos. Low primeira tag preço de custo.")</f>
        <v>excelentes imagens e gráficos em papéis fotográficos. Low primeira tag preço de custo.</v>
      </c>
      <c r="B45515" s="3">
        <v>1</v>
      </c>
    </row>
    <row r="45516" ht="15.75" customHeight="1" spans="1:2">
      <c r="A45516" s="3" t="str">
        <f>IFERROR(__xludf.DUMMYFUNCTION("GOOGLETRANSLATE(A45516,""en"",""pt"")"),"Barato, a qualidade de impressão decente, você pode dizer DeskJet 930!")</f>
        <v>Barato, a qualidade de impressão decente, você pode dizer DeskJet 930!</v>
      </c>
      <c r="B45516" s="3">
        <v>1</v>
      </c>
    </row>
    <row r="45517" ht="15.75" customHeight="1" spans="1:2">
      <c r="A45517" s="3" t="str">
        <f>IFERROR(__xludf.DUMMYFUNCTION("GOOGLETRANSLATE(A45517,""en"",""pt"")"),"Barato, fácil de usar, fácil de configurar")</f>
        <v>Barato, fácil de usar, fácil de configurar</v>
      </c>
      <c r="B45517" s="3">
        <v>1</v>
      </c>
    </row>
    <row r="45518" ht="15.75" customHeight="1" spans="1:2">
      <c r="A45518" s="3" t="str">
        <f>IFERROR(__xludf.DUMMYFUNCTION("GOOGLETRANSLATE(A45518,""en"",""pt"")"),"cores de alta qualidade, ligação USB, muito calmo, tamanho compacto")</f>
        <v>cores de alta qualidade, ligação USB, muito calmo, tamanho compacto</v>
      </c>
      <c r="B45518" s="3">
        <v>1</v>
      </c>
    </row>
    <row r="45519" ht="15.75" customHeight="1" spans="1:2">
      <c r="A45519" s="3" t="str">
        <f>IFERROR(__xludf.DUMMYFUNCTION("GOOGLETRANSLATE(A45519,""en"",""pt"")"),"Silencioso, impressão agradável, confiável")</f>
        <v>Silencioso, impressão agradável, confiável</v>
      </c>
      <c r="B45519" s="3">
        <v>1</v>
      </c>
    </row>
    <row r="45520" ht="15.75" customHeight="1" spans="1:2">
      <c r="A45520" s="3" t="str">
        <f>IFERROR(__xludf.DUMMYFUNCTION("GOOGLETRANSLATE(A45520,""en"",""pt"")"),"É um HP! Rápido, grande qualidade de impressão.")</f>
        <v>É um HP! Rápido, grande qualidade de impressão.</v>
      </c>
      <c r="B45520" s="3">
        <v>1</v>
      </c>
    </row>
    <row r="45521" ht="15.75" customHeight="1" spans="1:2">
      <c r="A45521" s="3" t="str">
        <f>IFERROR(__xludf.DUMMYFUNCTION("GOOGLETRANSLATE(A45521,""en"",""pt"")"),"porta LPT1 USB e e, a menos de US $ 99, a qualidade da imagem do wonderfull")</f>
        <v>porta LPT1 USB e e, a menos de US $ 99, a qualidade da imagem do wonderfull</v>
      </c>
      <c r="B45521" s="3">
        <v>1</v>
      </c>
    </row>
    <row r="45522" ht="15.75" customHeight="1" spans="1:2">
      <c r="A45522" s="3" t="str">
        <f>IFERROR(__xludf.DUMMYFUNCTION("GOOGLETRANSLATE(A45522,""en"",""pt"")"),"preço barato, silencioso, fácil de usar, sólido!")</f>
        <v>preço barato, silencioso, fácil de usar, sólido!</v>
      </c>
      <c r="B45522" s="3">
        <v>1</v>
      </c>
    </row>
    <row r="45523" ht="15.75" customHeight="1" spans="1:2">
      <c r="A45523" s="3" t="str">
        <f>IFERROR(__xludf.DUMMYFUNCTION("GOOGLETRANSLATE(A45523,""en"",""pt"")"),"Fácil de instalar, facilidade de uso, há congestionamentos de papel, grande resolução")</f>
        <v>Fácil de instalar, facilidade de uso, há congestionamentos de papel, grande resolução</v>
      </c>
      <c r="B45523" s="3">
        <v>1</v>
      </c>
    </row>
    <row r="45524" ht="15.75" customHeight="1" spans="1:2">
      <c r="A45524" s="3" t="str">
        <f>IFERROR(__xludf.DUMMYFUNCTION("GOOGLETRANSLATE(A45524,""en"",""pt"")"),"muito barato")</f>
        <v>muito barato</v>
      </c>
      <c r="B45524" s="3">
        <v>1</v>
      </c>
    </row>
    <row r="45525" ht="15.75" customHeight="1" spans="1:2">
      <c r="A45525" s="3" t="str">
        <f>IFERROR(__xludf.DUMMYFUNCTION("GOOGLETRANSLATE(A45525,""en"",""pt"")"),"Características, tamanho, qualidade de impressão, silencioso")</f>
        <v>Características, tamanho, qualidade de impressão, silencioso</v>
      </c>
      <c r="B45525" s="3">
        <v>1</v>
      </c>
    </row>
    <row r="45526" ht="15.75" customHeight="1" spans="1:2">
      <c r="A45526" s="3" t="str">
        <f>IFERROR(__xludf.DUMMYFUNCTION("GOOGLETRANSLATE(A45526,""en"",""pt"")"),"Preço, Software, facilidade de uso e instalação, qualidade de impressão.")</f>
        <v>Preço, Software, facilidade de uso e instalação, qualidade de impressão.</v>
      </c>
      <c r="B45526" s="3">
        <v>1</v>
      </c>
    </row>
    <row r="45527" ht="15.75" customHeight="1" spans="1:2">
      <c r="A45527" s="3" t="str">
        <f>IFERROR(__xludf.DUMMYFUNCTION("GOOGLETRANSLATE(A45527,""en"",""pt"")"),"Bastante e excelente para o dinheiro agora que o preço caiu")</f>
        <v>Bastante e excelente para o dinheiro agora que o preço caiu</v>
      </c>
      <c r="B45527" s="3">
        <v>1</v>
      </c>
    </row>
    <row r="45528" ht="15.75" customHeight="1" spans="1:2">
      <c r="A45528" s="3" t="str">
        <f>IFERROR(__xludf.DUMMYFUNCTION("GOOGLETRANSLATE(A45528,""en"",""pt"")"),"Excelente qualidade de impressão e facilidade de uso.")</f>
        <v>Excelente qualidade de impressão e facilidade de uso.</v>
      </c>
      <c r="B45528" s="3">
        <v>1</v>
      </c>
    </row>
    <row r="45529" ht="15.75" customHeight="1" spans="1:2">
      <c r="A45529" s="3" t="str">
        <f>IFERROR(__xludf.DUMMYFUNCTION("GOOGLETRANSLATE(A45529,""en"",""pt"")"),"Controles amigáveis, tranquila")</f>
        <v>Controles amigáveis, tranquila</v>
      </c>
      <c r="B45529" s="3">
        <v>1</v>
      </c>
    </row>
    <row r="45530" ht="15.75" customHeight="1" spans="1:2">
      <c r="A45530" s="3" t="str">
        <f>IFERROR(__xludf.DUMMYFUNCTION("GOOGLETRANSLATE(A45530,""en"",""pt"")"),"Durável, longa vida tinta, preço.")</f>
        <v>Durável, longa vida tinta, preço.</v>
      </c>
      <c r="B45530" s="3">
        <v>1</v>
      </c>
    </row>
    <row r="45531" ht="15.75" customHeight="1" spans="1:2">
      <c r="A45531" s="3" t="str">
        <f>IFERROR(__xludf.DUMMYFUNCTION("GOOGLETRANSLATE(A45531,""en"",""pt"")"),"Nenhum")</f>
        <v>Nenhum</v>
      </c>
      <c r="B45531" s="3">
        <v>1</v>
      </c>
    </row>
    <row r="45532" ht="15.75" customHeight="1" spans="1:2">
      <c r="A45532" s="3" t="str">
        <f>IFERROR(__xludf.DUMMYFUNCTION("GOOGLETRANSLATE(A45532,""en"",""pt"")"),"NADA")</f>
        <v>NADA</v>
      </c>
      <c r="B45532" s="3">
        <v>1</v>
      </c>
    </row>
    <row r="45533" ht="15.75" customHeight="1" spans="1:2">
      <c r="A45533" s="3" t="str">
        <f>IFERROR(__xludf.DUMMYFUNCTION("GOOGLETRANSLATE(A45533,""en"",""pt"")"),"texto de qualidade laser, baixos custos de tinta e confiabilidade")</f>
        <v>texto de qualidade laser, baixos custos de tinta e confiabilidade</v>
      </c>
      <c r="B45533" s="3">
        <v>1</v>
      </c>
    </row>
    <row r="45534" ht="15.75" customHeight="1" spans="1:2">
      <c r="A45534" s="3" t="str">
        <f>IFERROR(__xludf.DUMMYFUNCTION("GOOGLETRANSLATE(A45534,""en"",""pt"")"),"Grande quality.Quiet impressão.")</f>
        <v>Grande quality.Quiet impressão.</v>
      </c>
      <c r="B45534" s="3">
        <v>1</v>
      </c>
    </row>
    <row r="45535" ht="15.75" customHeight="1" spans="1:2">
      <c r="A45535" s="3" t="str">
        <f>IFERROR(__xludf.DUMMYFUNCTION("GOOGLETRANSLATE(A45535,""en"",""pt"")"),"Grande cor e velocidade a um preço excelente")</f>
        <v>Grande cor e velocidade a um preço excelente</v>
      </c>
      <c r="B45535" s="3">
        <v>1</v>
      </c>
    </row>
    <row r="45536" ht="15.75" customHeight="1" spans="1:2">
      <c r="A45536" s="3" t="str">
        <f>IFERROR(__xludf.DUMMYFUNCTION("GOOGLETRANSLATE(A45536,""en"",""pt"")"),"Um grande impressora em um bom preço.")</f>
        <v>Um grande impressora em um bom preço.</v>
      </c>
      <c r="B45536" s="3">
        <v>1</v>
      </c>
    </row>
    <row r="45537" ht="15.75" customHeight="1" spans="1:2">
      <c r="A45537" s="3" t="str">
        <f>IFERROR(__xludf.DUMMYFUNCTION("GOOGLETRANSLATE(A45537,""en"",""pt"")"),"Quieto. saída Crisp.")</f>
        <v>Quieto. saída Crisp.</v>
      </c>
      <c r="B45537" s="3">
        <v>1</v>
      </c>
    </row>
    <row r="45538" ht="15.75" customHeight="1" spans="1:2">
      <c r="A45538" s="3" t="str">
        <f>IFERROR(__xludf.DUMMYFUNCTION("GOOGLETRANSLATE(A45538,""en"",""pt"")"),"texto e gráficos bonitos; fácil de usar.")</f>
        <v>texto e gráficos bonitos; fácil de usar.</v>
      </c>
      <c r="B45538" s="3">
        <v>1</v>
      </c>
    </row>
    <row r="45539" ht="15.75" customHeight="1" spans="1:2">
      <c r="A45539" s="3" t="str">
        <f>IFERROR(__xludf.DUMMYFUNCTION("GOOGLETRANSLATE(A45539,""en"",""pt"")"),"Imprimir qualidade, bom valor nas tintas")</f>
        <v>Imprimir qualidade, bom valor nas tintas</v>
      </c>
      <c r="B45539" s="3">
        <v>1</v>
      </c>
    </row>
    <row r="45540" ht="15.75" customHeight="1" spans="1:2">
      <c r="A45540" s="3" t="str">
        <f>IFERROR(__xludf.DUMMYFUNCTION("GOOGLETRANSLATE(A45540,""en"",""pt"")"),"qualidade rápido, silencioso e excelente")</f>
        <v>qualidade rápido, silencioso e excelente</v>
      </c>
      <c r="B45540" s="3">
        <v>1</v>
      </c>
    </row>
    <row r="45541" ht="15.75" customHeight="1" spans="1:2">
      <c r="A45541" s="3" t="str">
        <f>IFERROR(__xludf.DUMMYFUNCTION("GOOGLETRANSLATE(A45541,""en"",""pt"")"),"eles estão sempre abaixo")</f>
        <v>eles estão sempre abaixo</v>
      </c>
      <c r="B45541" s="3">
        <v>1</v>
      </c>
    </row>
    <row r="45542" ht="15.75" customHeight="1" spans="1:2">
      <c r="A45542" s="3" t="str">
        <f>IFERROR(__xludf.DUMMYFUNCTION("GOOGLETRANSLATE(A45542,""en"",""pt"")"),"serviço ao cliente confiável, excelente impressão e qualidade de imagem")</f>
        <v>serviço ao cliente confiável, excelente impressão e qualidade de imagem</v>
      </c>
      <c r="B45542" s="3">
        <v>1</v>
      </c>
    </row>
    <row r="45543" ht="15.75" customHeight="1" spans="1:2">
      <c r="A45543" s="3" t="str">
        <f>IFERROR(__xludf.DUMMYFUNCTION("GOOGLETRANSLATE(A45543,""en"",""pt"")"),"Acalmar a impressão a um preço acessível, por um nome que você pode confiar.")</f>
        <v>Acalmar a impressão a um preço acessível, por um nome que você pode confiar.</v>
      </c>
      <c r="B45543" s="3">
        <v>1</v>
      </c>
    </row>
    <row r="45544" ht="15.75" customHeight="1" spans="1:2">
      <c r="A45544" s="3" t="str">
        <f>IFERROR(__xludf.DUMMYFUNCTION("GOOGLETRANSLATE(A45544,""en"",""pt"")"),"Fácil de usar, ótima resolução, de baixo custo")</f>
        <v>Fácil de usar, ótima resolução, de baixo custo</v>
      </c>
      <c r="B45544" s="3">
        <v>1</v>
      </c>
    </row>
    <row r="45545" ht="15.75" customHeight="1" spans="1:2">
      <c r="A45545" s="3" t="str">
        <f>IFERROR(__xludf.DUMMYFUNCTION("GOOGLETRANSLATE(A45545,""en"",""pt"")"),"Grande texto, imagem &amp; amp; qualidade de cor, de baixo custo, bastante rápido")</f>
        <v>Grande texto, imagem &amp; amp; qualidade de cor, de baixo custo, bastante rápido</v>
      </c>
      <c r="B45545" s="3">
        <v>1</v>
      </c>
    </row>
    <row r="45546" ht="15.75" customHeight="1" spans="1:2">
      <c r="A45546" s="3" t="str">
        <f>IFERROR(__xludf.DUMMYFUNCTION("GOOGLETRANSLATE(A45546,""en"",""pt"")"),"Rápido, grande qualidade")</f>
        <v>Rápido, grande qualidade</v>
      </c>
      <c r="B45546" s="3">
        <v>1</v>
      </c>
    </row>
    <row r="45547" ht="15.75" customHeight="1" spans="1:2">
      <c r="A45547" s="3" t="str">
        <f>IFERROR(__xludf.DUMMYFUNCTION("GOOGLETRANSLATE(A45547,""en"",""pt"")"),"Ótimas fotos!!")</f>
        <v>Ótimas fotos!!</v>
      </c>
      <c r="B45547" s="3">
        <v>1</v>
      </c>
    </row>
    <row r="45548" ht="15.75" customHeight="1" spans="1:2">
      <c r="A45548" s="3" t="str">
        <f>IFERROR(__xludf.DUMMYFUNCTION("GOOGLETRANSLATE(A45548,""en"",""pt"")"),"rápido, bandeja dobra, impressão clara")</f>
        <v>rápido, bandeja dobra, impressão clara</v>
      </c>
      <c r="B45548" s="3">
        <v>1</v>
      </c>
    </row>
    <row r="45549" ht="15.75" customHeight="1" spans="1:2">
      <c r="A45549" s="3" t="str">
        <f>IFERROR(__xludf.DUMMYFUNCTION("GOOGLETRANSLATE(A45549,""en"",""pt"")"),"economizando bandeja de papel espaço, Custo")</f>
        <v>economizando bandeja de papel espaço, Custo</v>
      </c>
      <c r="B45549" s="3">
        <v>1</v>
      </c>
    </row>
    <row r="45550" ht="15.75" customHeight="1" spans="1:2">
      <c r="A45550" s="3" t="str">
        <f>IFERROR(__xludf.DUMMYFUNCTION("GOOGLETRANSLATE(A45550,""en"",""pt"")"),"Grande Prints, grande Cor")</f>
        <v>Grande Prints, grande Cor</v>
      </c>
      <c r="B45550" s="3">
        <v>1</v>
      </c>
    </row>
    <row r="45551" ht="15.75" customHeight="1" spans="1:2">
      <c r="A45551" s="3" t="str">
        <f>IFERROR(__xludf.DUMMYFUNCTION("GOOGLETRANSLATE(A45551,""en"",""pt"")"),"Excelente qualidade de impressão para menos de US $ 200")</f>
        <v>Excelente qualidade de impressão para menos de US $ 200</v>
      </c>
      <c r="B45551" s="3">
        <v>1</v>
      </c>
    </row>
    <row r="45552" ht="15.75" customHeight="1" spans="1:2">
      <c r="A45552" s="3" t="str">
        <f>IFERROR(__xludf.DUMMYFUNCTION("GOOGLETRANSLATE(A45552,""en"",""pt"")"),"ATUALIZAR!!! De melhor qualidade que eu já vi para jato de tinta")</f>
        <v>ATUALIZAR!!! De melhor qualidade que eu já vi para jato de tinta</v>
      </c>
      <c r="B45552" s="3">
        <v>1</v>
      </c>
    </row>
    <row r="45553" ht="15.75" customHeight="1" spans="1:2">
      <c r="A45553" s="3" t="str">
        <f>IFERROR(__xludf.DUMMYFUNCTION("GOOGLETRANSLATE(A45553,""en"",""pt"")"),"Suave, muito, boa economia de tinta, grande qualidade fotográfica, e excelente preço.")</f>
        <v>Suave, muito, boa economia de tinta, grande qualidade fotográfica, e excelente preço.</v>
      </c>
      <c r="B45553" s="3">
        <v>1</v>
      </c>
    </row>
    <row r="45554" ht="15.75" customHeight="1" spans="1:2">
      <c r="A45554" s="3" t="str">
        <f>IFERROR(__xludf.DUMMYFUNCTION("GOOGLETRANSLATE(A45554,""en"",""pt"")"),"Excelente qualidade de impressão de imagem, rápida e silenciosa impressora a cores 9ppm / ~ 8 ppm em modo económico, baixo custo e grande estrondo para seu fanfarrão, boa economia de tinta, e mesmo motor de impressão como 950 e 970 impressoras da série (n"&amp;"a maior parte)")</f>
        <v>Excelente qualidade de impressão de imagem, rápida e silenciosa impressora a cores 9ppm / ~ 8 ppm em modo económico, baixo custo e grande estrondo para seu fanfarrão, boa economia de tinta, e mesmo motor de impressão como 950 e 970 impressoras da série (na maior parte)</v>
      </c>
      <c r="B45554" s="3">
        <v>1</v>
      </c>
    </row>
    <row r="45555" ht="15.75" customHeight="1" spans="1:2">
      <c r="A45555" s="3" t="str">
        <f>IFERROR(__xludf.DUMMYFUNCTION("GOOGLETRANSLATE(A45555,""en"",""pt"")"),"Relativamente barato, rápido tanto em B &amp; amp; amp; W / cores, cor grande")</f>
        <v>Relativamente barato, rápido tanto em B &amp; amp; amp; W / cores, cor grande</v>
      </c>
      <c r="B45555" s="3">
        <v>1</v>
      </c>
    </row>
    <row r="45556" ht="15.75" customHeight="1" spans="1:2">
      <c r="A45556" s="3" t="str">
        <f>IFERROR(__xludf.DUMMYFUNCTION("GOOGLETRANSLATE(A45556,""en"",""pt"")"),"Grande Valor, impressão a cores de alta qualidade, Quieto, Produto HP")</f>
        <v>Grande Valor, impressão a cores de alta qualidade, Quieto, Produto HP</v>
      </c>
      <c r="B45556" s="3">
        <v>1</v>
      </c>
    </row>
    <row r="45557" ht="15.75" customHeight="1" spans="1:2">
      <c r="A45557" s="3" t="str">
        <f>IFERROR(__xludf.DUMMYFUNCTION("GOOGLETRANSLATE(A45557,""en"",""pt"")"),"Grande impressão Ótimo preço")</f>
        <v>Grande impressão Ótimo preço</v>
      </c>
      <c r="B45557" s="3">
        <v>1</v>
      </c>
    </row>
    <row r="45558" ht="15.75" customHeight="1" spans="1:2">
      <c r="A45558" s="3" t="str">
        <f>IFERROR(__xludf.DUMMYFUNCTION("GOOGLETRANSLATE(A45558,""en"",""pt"")"),"Excelente qualidade de impressão, bom preço")</f>
        <v>Excelente qualidade de impressão, bom preço</v>
      </c>
      <c r="B45558" s="3">
        <v>1</v>
      </c>
    </row>
    <row r="45559" ht="15.75" customHeight="1" spans="1:2">
      <c r="A45559" s="3" t="str">
        <f>IFERROR(__xludf.DUMMYFUNCTION("GOOGLETRANSLATE(A45559,""en"",""pt"")"),"Valor, qualidade de cor, dobre a bandeja")</f>
        <v>Valor, qualidade de cor, dobre a bandeja</v>
      </c>
      <c r="B45559" s="3">
        <v>1</v>
      </c>
    </row>
    <row r="45560" ht="15.75" customHeight="1" spans="1:2">
      <c r="A45560" s="3" t="str">
        <f>IFERROR(__xludf.DUMMYFUNCTION("GOOGLETRANSLATE(A45560,""en"",""pt"")"),"Ótimo preço, excelente qualidade de impressão")</f>
        <v>Ótimo preço, excelente qualidade de impressão</v>
      </c>
      <c r="B45560" s="3">
        <v>1</v>
      </c>
    </row>
    <row r="45561" ht="15.75" customHeight="1" spans="1:2">
      <c r="A45561" s="3" t="str">
        <f>IFERROR(__xludf.DUMMYFUNCTION("GOOGLETRANSLATE(A45561,""en"",""pt"")"),"qualidade de impressão, velocidade")</f>
        <v>qualidade de impressão, velocidade</v>
      </c>
      <c r="B45561" s="3">
        <v>1</v>
      </c>
    </row>
    <row r="45562" ht="15.75" customHeight="1" spans="1:2">
      <c r="A45562" s="3" t="str">
        <f>IFERROR(__xludf.DUMMYFUNCTION("GOOGLETRANSLATE(A45562,""en"",""pt"")"),"barato, impressão de alta qualidade")</f>
        <v>barato, impressão de alta qualidade</v>
      </c>
      <c r="B45562" s="3">
        <v>1</v>
      </c>
    </row>
    <row r="45563" ht="15.75" customHeight="1" spans="1:2">
      <c r="A45563" s="3" t="str">
        <f>IFERROR(__xludf.DUMMYFUNCTION("GOOGLETRANSLATE(A45563,""en"",""pt"")"),"Rápido, grande resolução, sem alimentação / problemas de congestionamento")</f>
        <v>Rápido, grande resolução, sem alimentação / problemas de congestionamento</v>
      </c>
      <c r="B45563" s="3">
        <v>1</v>
      </c>
    </row>
    <row r="45564" ht="15.75" customHeight="1" spans="1:2">
      <c r="A45564" s="3" t="str">
        <f>IFERROR(__xludf.DUMMYFUNCTION("GOOGLETRANSLATE(A45564,""en"",""pt"")"),"Acessível, design puro, protetor de espaço, relativamente mais rápido.")</f>
        <v>Acessível, design puro, protetor de espaço, relativamente mais rápido.</v>
      </c>
      <c r="B45564" s="3">
        <v>1</v>
      </c>
    </row>
    <row r="45565" ht="15.75" customHeight="1" spans="1:2">
      <c r="A45565" s="3" t="str">
        <f>IFERROR(__xludf.DUMMYFUNCTION("GOOGLETRANSLATE(A45565,""en"",""pt"")"),"Excelente Qualidade, Espaço Saving Features, grande velocidade")</f>
        <v>Excelente Qualidade, Espaço Saving Features, grande velocidade</v>
      </c>
      <c r="B45565" s="3">
        <v>1</v>
      </c>
    </row>
    <row r="45566" ht="15.75" customHeight="1" spans="1:2">
      <c r="A45566" s="3" t="str">
        <f>IFERROR(__xludf.DUMMYFUNCTION("GOOGLETRANSLATE(A45566,""en"",""pt"")"),"TUDO É BOM")</f>
        <v>TUDO É BOM</v>
      </c>
      <c r="B45566" s="3">
        <v>1</v>
      </c>
    </row>
    <row r="45567" ht="15.75" customHeight="1" spans="1:2">
      <c r="A45567" s="3" t="str">
        <f>IFERROR(__xludf.DUMMYFUNCTION("GOOGLETRANSLATE(A45567,""en"",""pt"")"),"grande vida para o cartridges..how partida sobre os cheios ?? Apenas se preparando para descobrir!")</f>
        <v>grande vida para o cartridges..how partida sobre os cheios ?? Apenas se preparando para descobrir!</v>
      </c>
      <c r="B45567" s="3">
        <v>1</v>
      </c>
    </row>
    <row r="45568" ht="15.75" customHeight="1" spans="1:2">
      <c r="A45568" s="3" t="str">
        <f>IFERROR(__xludf.DUMMYFUNCTION("GOOGLETRANSLATE(A45568,""en"",""pt"")"),"resultados fantásticos a um preço excelente, rápido, silencioso e fácil de usar e instalar.")</f>
        <v>resultados fantásticos a um preço excelente, rápido, silencioso e fácil de usar e instalar.</v>
      </c>
      <c r="B45568" s="3">
        <v>1</v>
      </c>
    </row>
    <row r="45569" ht="15.75" customHeight="1" spans="1:2">
      <c r="A45569" s="3" t="str">
        <f>IFERROR(__xludf.DUMMYFUNCTION("GOOGLETRANSLATE(A45569,""en"",""pt"")"),"Grande qualidade mesmo em papel comum, Super-quiet, barato, boa compatibilidade")</f>
        <v>Grande qualidade mesmo em papel comum, Super-quiet, barato, boa compatibilidade</v>
      </c>
      <c r="B45569" s="3">
        <v>1</v>
      </c>
    </row>
    <row r="45570" ht="15.75" customHeight="1" spans="1:2">
      <c r="A45570" s="3" t="str">
        <f>IFERROR(__xludf.DUMMYFUNCTION("GOOGLETRANSLATE(A45570,""en"",""pt"")"),"trabalhos de impressão encantadores, grandes fotos")</f>
        <v>trabalhos de impressão encantadores, grandes fotos</v>
      </c>
      <c r="B45570" s="3">
        <v>1</v>
      </c>
    </row>
    <row r="45571" ht="15.75" customHeight="1" spans="1:2">
      <c r="A45571" s="3" t="str">
        <f>IFERROR(__xludf.DUMMYFUNCTION("GOOGLETRANSLATE(A45571,""en"",""pt"")"),"produto de qualidade w / boa saída. Calmo e acessível")</f>
        <v>produto de qualidade w / boa saída. Calmo e acessível</v>
      </c>
      <c r="B45571" s="3">
        <v>1</v>
      </c>
    </row>
    <row r="45572" ht="15.75" customHeight="1" spans="1:2">
      <c r="A45572" s="3" t="str">
        <f>IFERROR(__xludf.DUMMYFUNCTION("GOOGLETRANSLATE(A45572,""en"",""pt"")"),"impressão de qualidade claro, preço")</f>
        <v>impressão de qualidade claro, preço</v>
      </c>
      <c r="B45572" s="3">
        <v>1</v>
      </c>
    </row>
    <row r="45573" ht="15.75" customHeight="1" spans="1:2">
      <c r="A45573" s="3" t="str">
        <f>IFERROR(__xludf.DUMMYFUNCTION("GOOGLETRANSLATE(A45573,""en"",""pt"")"),"silencioso, mais rápido, grande foto em papel fotográfico")</f>
        <v>silencioso, mais rápido, grande foto em papel fotográfico</v>
      </c>
      <c r="B45573" s="3">
        <v>1</v>
      </c>
    </row>
    <row r="45574" ht="15.75" customHeight="1" spans="1:2">
      <c r="A45574" s="3" t="str">
        <f>IFERROR(__xludf.DUMMYFUNCTION("GOOGLETRANSLATE(A45574,""en"",""pt"")"),"Grandes fotos, rápidas e gratuitas com desconto")</f>
        <v>Grandes fotos, rápidas e gratuitas com desconto</v>
      </c>
      <c r="B45574" s="3">
        <v>1</v>
      </c>
    </row>
    <row r="45575" ht="15.75" customHeight="1" spans="1:2">
      <c r="A45575" s="3" t="str">
        <f>IFERROR(__xludf.DUMMYFUNCTION("GOOGLETRANSLATE(A45575,""en"",""pt"")"),"Saída excelente, silencioso, rápido, barato, pequeno")</f>
        <v>Saída excelente, silencioso, rápido, barato, pequeno</v>
      </c>
      <c r="B45575" s="3">
        <v>1</v>
      </c>
    </row>
    <row r="45576" ht="15.75" customHeight="1" spans="1:2">
      <c r="A45576" s="3" t="str">
        <f>IFERROR(__xludf.DUMMYFUNCTION("GOOGLETRANSLATE(A45576,""en"",""pt"")"),"impressão lado dois")</f>
        <v>impressão lado dois</v>
      </c>
      <c r="B45576" s="3">
        <v>1</v>
      </c>
    </row>
    <row r="45577" ht="15.75" customHeight="1" spans="1:2">
      <c r="A45577" s="3" t="str">
        <f>IFERROR(__xludf.DUMMYFUNCTION("GOOGLETRANSLATE(A45577,""en"",""pt"")"),"Silencioso, 2400x1200 dpi, Pequeno (bandeja dobrável), USB, Nível de tinta Monitoramento")</f>
        <v>Silencioso, 2400x1200 dpi, Pequeno (bandeja dobrável), USB, Nível de tinta Monitoramento</v>
      </c>
      <c r="B45577" s="3">
        <v>1</v>
      </c>
    </row>
    <row r="45578" ht="15.75" customHeight="1" spans="1:2">
      <c r="A45578" s="3" t="str">
        <f>IFERROR(__xludf.DUMMYFUNCTION("GOOGLETRANSLATE(A45578,""en"",""pt"")"),"Grande qualidade de impressão e velocidade")</f>
        <v>Grande qualidade de impressão e velocidade</v>
      </c>
      <c r="B45578" s="3">
        <v>1</v>
      </c>
    </row>
    <row r="45579" ht="15.75" customHeight="1" spans="1:2">
      <c r="A45579" s="3" t="str">
        <f>IFERROR(__xludf.DUMMYFUNCTION("GOOGLETRANSLATE(A45579,""en"",""pt"")"),"Velocidade, qualidade, cor, preço")</f>
        <v>Velocidade, qualidade, cor, preço</v>
      </c>
      <c r="B45579" s="3">
        <v>1</v>
      </c>
    </row>
    <row r="45580" ht="15.75" customHeight="1" spans="1:2">
      <c r="A45580" s="3" t="str">
        <f>IFERROR(__xludf.DUMMYFUNCTION("GOOGLETRANSLATE(A45580,""en"",""pt"")"),"Impressionante qualidade de impressão, muito calmo")</f>
        <v>Impressionante qualidade de impressão, muito calmo</v>
      </c>
      <c r="B45580" s="3">
        <v>1</v>
      </c>
    </row>
    <row r="45581" ht="15.75" customHeight="1" spans="1:2">
      <c r="A45581" s="3" t="str">
        <f>IFERROR(__xludf.DUMMYFUNCTION("GOOGLETRANSLATE(A45581,""en"",""pt"")"),"Tudo")</f>
        <v>Tudo</v>
      </c>
      <c r="B45581" s="3">
        <v>1</v>
      </c>
    </row>
    <row r="45582" ht="15.75" customHeight="1" spans="1:2">
      <c r="A45582" s="3" t="str">
        <f>IFERROR(__xludf.DUMMYFUNCTION("GOOGLETRANSLATE(A45582,""en"",""pt"")"),"texto rápido, Impressões de qualidade, Poucos compotas, durável, USB ou paralela, tinta de longa duração")</f>
        <v>texto rápido, Impressões de qualidade, Poucos compotas, durável, USB ou paralela, tinta de longa duração</v>
      </c>
      <c r="B45582" s="3">
        <v>1</v>
      </c>
    </row>
    <row r="45583" ht="15.75" customHeight="1" spans="1:2">
      <c r="A45583" s="3" t="str">
        <f>IFERROR(__xludf.DUMMYFUNCTION("GOOGLETRANSLATE(A45583,""en"",""pt"")"),"fotografias, velocidade")</f>
        <v>fotografias, velocidade</v>
      </c>
      <c r="B45583" s="3">
        <v>1</v>
      </c>
    </row>
    <row r="45584" ht="15.75" customHeight="1" spans="1:2">
      <c r="A45584" s="3" t="str">
        <f>IFERROR(__xludf.DUMMYFUNCTION("GOOGLETRANSLATE(A45584,""en"",""pt"")"),"Qualidade de impressão, preço e agradável Chassis")</f>
        <v>Qualidade de impressão, preço e agradável Chassis</v>
      </c>
      <c r="B45584" s="3">
        <v>1</v>
      </c>
    </row>
    <row r="45585" ht="15.75" customHeight="1" spans="1:2">
      <c r="A45585" s="3" t="str">
        <f>IFERROR(__xludf.DUMMYFUNCTION("GOOGLETRANSLATE(A45585,""en"",""pt"")"),"Grande qualidade de impressão e velocidade")</f>
        <v>Grande qualidade de impressão e velocidade</v>
      </c>
      <c r="B45585" s="3">
        <v>1</v>
      </c>
    </row>
    <row r="45586" ht="15.75" customHeight="1" spans="1:2">
      <c r="A45586" s="3" t="str">
        <f>IFERROR(__xludf.DUMMYFUNCTION("GOOGLETRANSLATE(A45586,""en"",""pt"")"),"Grande impressão, bem construído, fácil de usar / manter")</f>
        <v>Grande impressão, bem construído, fácil de usar / manter</v>
      </c>
      <c r="B45586" s="3">
        <v>1</v>
      </c>
    </row>
    <row r="45587" ht="15.75" customHeight="1" spans="1:2">
      <c r="A45587" s="3" t="str">
        <f>IFERROR(__xludf.DUMMYFUNCTION("GOOGLETRANSLATE(A45587,""en"",""pt"")"),"Mais rápida, maior resolução, qualidade boa foto")</f>
        <v>Mais rápida, maior resolução, qualidade boa foto</v>
      </c>
      <c r="B45587" s="3">
        <v>1</v>
      </c>
    </row>
    <row r="45588" ht="15.75" customHeight="1" spans="1:2">
      <c r="A45588" s="3" t="str">
        <f>IFERROR(__xludf.DUMMYFUNCTION("GOOGLETRANSLATE(A45588,""en"",""pt"")"),"economia de espaço, imagens de alta qualidade, barato")</f>
        <v>economia de espaço, imagens de alta qualidade, barato</v>
      </c>
      <c r="B45588" s="3">
        <v>1</v>
      </c>
    </row>
    <row r="45589" ht="15.75" customHeight="1" spans="1:2">
      <c r="A45589" s="3" t="str">
        <f>IFERROR(__xludf.DUMMYFUNCTION("GOOGLETRANSLATE(A45589,""en"",""pt"")"),"Grande impressora para um ótimo preço")</f>
        <v>Grande impressora para um ótimo preço</v>
      </c>
      <c r="B45589" s="3">
        <v>1</v>
      </c>
    </row>
    <row r="45590" ht="15.75" customHeight="1" spans="1:2">
      <c r="A45590" s="3" t="str">
        <f>IFERROR(__xludf.DUMMYFUNCTION("GOOGLETRANSLATE(A45590,""en"",""pt"")"),"baixo preço, tranquila, qualidade de cor grande")</f>
        <v>baixo preço, tranquila, qualidade de cor grande</v>
      </c>
      <c r="B45590" s="3">
        <v>1</v>
      </c>
    </row>
    <row r="45591" ht="15.75" customHeight="1" spans="1:2">
      <c r="A45591" s="3" t="str">
        <f>IFERROR(__xludf.DUMMYFUNCTION("GOOGLETRANSLATE(A45591,""en"",""pt"")"),"Rápido, excelente qualidade, economizando espaço")</f>
        <v>Rápido, excelente qualidade, economizando espaço</v>
      </c>
      <c r="B45591" s="3">
        <v>1</v>
      </c>
    </row>
    <row r="45592" ht="15.75" customHeight="1" spans="1:2">
      <c r="A45592" s="3" t="str">
        <f>IFERROR(__xludf.DUMMYFUNCTION("GOOGLETRANSLATE(A45592,""en"",""pt"")"),"De alta qualidade, bem driver de software projetado, tranquila")</f>
        <v>De alta qualidade, bem driver de software projetado, tranquila</v>
      </c>
      <c r="B45592" s="3">
        <v>1</v>
      </c>
    </row>
    <row r="45593" ht="15.75" customHeight="1" spans="1:2">
      <c r="A45593" s="3" t="str">
        <f>IFERROR(__xludf.DUMMYFUNCTION("GOOGLETRANSLATE(A45593,""en"",""pt"")"),"Boa aparência, cartuchos de tinta grandes")</f>
        <v>Boa aparência, cartuchos de tinta grandes</v>
      </c>
      <c r="B45593" s="3">
        <v>1</v>
      </c>
    </row>
    <row r="45594" ht="15.75" customHeight="1" spans="1:2">
      <c r="A45594" s="3" t="str">
        <f>IFERROR(__xludf.DUMMYFUNCTION("GOOGLETRANSLATE(A45594,""en"",""pt"")"),"É rápido, fácil de instalar e usar, compacto.")</f>
        <v>É rápido, fácil de instalar e usar, compacto.</v>
      </c>
      <c r="B45594" s="3">
        <v>1</v>
      </c>
    </row>
    <row r="45595" ht="15.75" customHeight="1" spans="1:2">
      <c r="A45595" s="3" t="str">
        <f>IFERROR(__xludf.DUMMYFUNCTION("GOOGLETRANSLATE(A45595,""en"",""pt"")"),"grande valor, grandes impressões a cores")</f>
        <v>grande valor, grandes impressões a cores</v>
      </c>
      <c r="B45595" s="3">
        <v>1</v>
      </c>
    </row>
    <row r="45596" ht="15.75" customHeight="1" spans="1:2">
      <c r="A45596" s="3" t="str">
        <f>IFERROR(__xludf.DUMMYFUNCTION("GOOGLETRANSLATE(A45596,""en"",""pt"")"),"Muito fácil de usar, ótimo custo-benefício")</f>
        <v>Muito fácil de usar, ótimo custo-benefício</v>
      </c>
      <c r="B45596" s="3">
        <v>1</v>
      </c>
    </row>
    <row r="45597" ht="15.75" customHeight="1" spans="1:2">
      <c r="A45597" s="3" t="str">
        <f>IFERROR(__xludf.DUMMYFUNCTION("GOOGLETRANSLATE(A45597,""en"",""pt"")"),"Barato, de grande qualidade, USB")</f>
        <v>Barato, de grande qualidade, USB</v>
      </c>
      <c r="B45597" s="3">
        <v>1</v>
      </c>
    </row>
    <row r="45598" ht="15.75" customHeight="1" spans="1:2">
      <c r="A45598" s="3" t="str">
        <f>IFERROR(__xludf.DUMMYFUNCTION("GOOGLETRANSLATE(A45598,""en"",""pt"")"),"excelente qualidade de impressão, facilidade de uso")</f>
        <v>excelente qualidade de impressão, facilidade de uso</v>
      </c>
      <c r="B45598" s="3">
        <v>1</v>
      </c>
    </row>
    <row r="45599" ht="15.75" customHeight="1" spans="1:2">
      <c r="A45599" s="3" t="str">
        <f>IFERROR(__xludf.DUMMYFUNCTION("GOOGLETRANSLATE(A45599,""en"",""pt"")"),"Fácil de configurar &amp; amp; usar. Excelente qualidade de trabalhos e imagens de impressão.")</f>
        <v>Fácil de configurar &amp; amp; usar. Excelente qualidade de trabalhos e imagens de impressão.</v>
      </c>
      <c r="B45599" s="3">
        <v>1</v>
      </c>
    </row>
    <row r="45600" ht="15.75" customHeight="1" spans="1:2">
      <c r="A45600" s="3" t="str">
        <f>IFERROR(__xludf.DUMMYFUNCTION("GOOGLETRANSLATE(A45600,""en"",""pt"")"),"preço, impressora de boa qualidade, rápido, suporta tanto USB e paralela")</f>
        <v>preço, impressora de boa qualidade, rápido, suporta tanto USB e paralela</v>
      </c>
      <c r="B45600" s="3">
        <v>1</v>
      </c>
    </row>
    <row r="45601" ht="15.75" customHeight="1" spans="1:2">
      <c r="A45601" s="3" t="str">
        <f>IFERROR(__xludf.DUMMYFUNCTION("GOOGLETRANSLATE(A45601,""en"",""pt"")"),"Configuração rápida e fácil de usar &amp; amp;. # 13; &amp; amp; # 10;")</f>
        <v>Configuração rápida e fácil de usar &amp; amp;. # 13; &amp; amp; # 10;</v>
      </c>
      <c r="B45601" s="3">
        <v>1</v>
      </c>
    </row>
    <row r="45602" ht="15.75" customHeight="1" spans="1:2">
      <c r="A45602" s="3" t="str">
        <f>IFERROR(__xludf.DUMMYFUNCTION("GOOGLETRANSLATE(A45602,""en"",""pt"")"),"Impressora boa qualidade em um caso compacto.")</f>
        <v>Impressora boa qualidade em um caso compacto.</v>
      </c>
      <c r="B45602" s="3">
        <v>1</v>
      </c>
    </row>
    <row r="45603" ht="15.75" customHeight="1" spans="1:2">
      <c r="A45603" s="3" t="str">
        <f>IFERROR(__xludf.DUMMYFUNCTION("GOOGLETRANSLATE(A45603,""en"",""pt"")"),"Inacreditável Resolução de impressão !! Quieto. Acessível.")</f>
        <v>Inacreditável Resolução de impressão !! Quieto. Acessível.</v>
      </c>
      <c r="B45603" s="3">
        <v>1</v>
      </c>
    </row>
    <row r="45604" ht="15.75" customHeight="1" spans="1:2">
      <c r="A45604" s="3" t="str">
        <f>IFERROR(__xludf.DUMMYFUNCTION("GOOGLETRANSLATE(A45604,""en"",""pt"")"),"HP confiável e qualidade de impressão. bandeja de papel dobrável, interface USB, indicador de nível de cartucho de impressão")</f>
        <v>HP confiável e qualidade de impressão. bandeja de papel dobrável, interface USB, indicador de nível de cartucho de impressão</v>
      </c>
      <c r="B45604" s="3">
        <v>1</v>
      </c>
    </row>
    <row r="45605" ht="15.75" customHeight="1" spans="1:2">
      <c r="A45605" s="3" t="str">
        <f>IFERROR(__xludf.DUMMYFUNCTION("GOOGLETRANSLATE(A45605,""en"",""pt"")"),"Qualidade barato, bonito Print, Top Marca, muito calma, USB / Interface Paralela, tamanho pequeno Física")</f>
        <v>Qualidade barato, bonito Print, Top Marca, muito calma, USB / Interface Paralela, tamanho pequeno Física</v>
      </c>
      <c r="B45605" s="3">
        <v>1</v>
      </c>
    </row>
    <row r="45606" ht="15.75" customHeight="1" spans="1:2">
      <c r="A45606" s="3" t="str">
        <f>IFERROR(__xludf.DUMMYFUNCTION("GOOGLETRANSLATE(A45606,""en"",""pt"")"),"Impressões de grande qualidade, fácil de usar, fácil de carregamento de papel")</f>
        <v>Impressões de grande qualidade, fácil de usar, fácil de carregamento de papel</v>
      </c>
      <c r="B45606" s="3">
        <v>1</v>
      </c>
    </row>
    <row r="45607" ht="15.75" customHeight="1" spans="1:2">
      <c r="A45607" s="3" t="str">
        <f>IFERROR(__xludf.DUMMYFUNCTION("GOOGLETRANSLATE(A45607,""en"",""pt"")"),"A grande qualidade,, sem problemas de alimentação extremamente silencioso")</f>
        <v>A grande qualidade,, sem problemas de alimentação extremamente silencioso</v>
      </c>
      <c r="B45607" s="3">
        <v>1</v>
      </c>
    </row>
    <row r="45608" ht="15.75" customHeight="1" spans="1:2">
      <c r="A45608" s="3" t="str">
        <f>IFERROR(__xludf.DUMMYFUNCTION("GOOGLETRANSLATE(A45608,""en"",""pt"")"),"12 páginas / min (B &amp; amp; W), Páginas 5 / min (cor), silencioso, económico, fácil de instalar")</f>
        <v>12 páginas / min (B &amp; amp; W), Páginas 5 / min (cor), silencioso, económico, fácil de instalar</v>
      </c>
      <c r="B45608" s="3">
        <v>1</v>
      </c>
    </row>
    <row r="45609" ht="15.75" customHeight="1" spans="1:2">
      <c r="A45609" s="3" t="str">
        <f>IFERROR(__xludf.DUMMYFUNCTION("GOOGLETRANSLATE(A45609,""en"",""pt"")"),"velocidade, durabilidade, espaço")</f>
        <v>velocidade, durabilidade, espaço</v>
      </c>
      <c r="B45609" s="3">
        <v>1</v>
      </c>
    </row>
    <row r="45610" ht="15.75" customHeight="1" spans="1:2">
      <c r="A45610" s="3" t="str">
        <f>IFERROR(__xludf.DUMMYFUNCTION("GOOGLETRANSLATE(A45610,""en"",""pt"")"),"Silencioso, grande impressão de fotos")</f>
        <v>Silencioso, grande impressão de fotos</v>
      </c>
      <c r="B45610" s="3">
        <v>1</v>
      </c>
    </row>
    <row r="45611" ht="15.75" customHeight="1" spans="1:2">
      <c r="A45611" s="3" t="str">
        <f>IFERROR(__xludf.DUMMYFUNCTION("GOOGLETRANSLATE(A45611,""en"",""pt"")"),"Boa qualidade de impressão, boa reprodução de foto, e bom preço")</f>
        <v>Boa qualidade de impressão, boa reprodução de foto, e bom preço</v>
      </c>
      <c r="B45611" s="3">
        <v>1</v>
      </c>
    </row>
    <row r="45612" ht="15.75" customHeight="1" spans="1:2">
      <c r="A45612" s="3" t="str">
        <f>IFERROR(__xludf.DUMMYFUNCTION("GOOGLETRANSLATE(A45612,""en"",""pt"")"),"Preço, facilidade de uso, clareza de impressão")</f>
        <v>Preço, facilidade de uso, clareza de impressão</v>
      </c>
      <c r="B45612" s="3">
        <v>1</v>
      </c>
    </row>
    <row r="45613" ht="15.75" customHeight="1" spans="1:2">
      <c r="A45613" s="3" t="str">
        <f>IFERROR(__xludf.DUMMYFUNCTION("GOOGLETRANSLATE(A45613,""en"",""pt"")"),"Tranquila, fácil de usar e acessível.")</f>
        <v>Tranquila, fácil de usar e acessível.</v>
      </c>
      <c r="B45613" s="3">
        <v>1</v>
      </c>
    </row>
    <row r="45614" ht="15.75" customHeight="1" spans="1:2">
      <c r="A45614" s="3" t="str">
        <f>IFERROR(__xludf.DUMMYFUNCTION("GOOGLETRANSLATE(A45614,""en"",""pt"")"),"Simples de instalar e usar, Quase excelente qualidade de impressão, preço justo")</f>
        <v>Simples de instalar e usar, Quase excelente qualidade de impressão, preço justo</v>
      </c>
      <c r="B45614" s="3">
        <v>1</v>
      </c>
    </row>
    <row r="45615" ht="15.75" customHeight="1" spans="1:2">
      <c r="A45615" s="3" t="str">
        <f>IFERROR(__xludf.DUMMYFUNCTION("GOOGLETRANSLATE(A45615,""en"",""pt"")"),"Bastante rápido, texto nítido, de boa qualidade, mesmo com papel médio")</f>
        <v>Bastante rápido, texto nítido, de boa qualidade, mesmo com papel médio</v>
      </c>
      <c r="B45615" s="3">
        <v>1</v>
      </c>
    </row>
    <row r="45616" ht="15.75" customHeight="1" spans="1:2">
      <c r="A45616" s="3" t="str">
        <f>IFERROR(__xludf.DUMMYFUNCTION("GOOGLETRANSLATE(A45616,""en"",""pt"")"),"Grande Printer - Grande Valor - grande qualidade!")</f>
        <v>Grande Printer - Grande Valor - grande qualidade!</v>
      </c>
      <c r="B45616" s="3">
        <v>1</v>
      </c>
    </row>
    <row r="45617" ht="15.75" customHeight="1" spans="1:2">
      <c r="A45617" s="3" t="str">
        <f>IFERROR(__xludf.DUMMYFUNCTION("GOOGLETRANSLATE(A45617,""en"",""pt"")"),"Sussurro, impressão rápida e acessível")</f>
        <v>Sussurro, impressão rápida e acessível</v>
      </c>
      <c r="B45617" s="3">
        <v>1</v>
      </c>
    </row>
    <row r="45618" ht="15.75" customHeight="1" spans="1:2">
      <c r="A45618" s="3" t="str">
        <f>IFERROR(__xludf.DUMMYFUNCTION("GOOGLETRANSLATE(A45618,""en"",""pt"")"),"Clareza e velocidade é de primeira qualidade.")</f>
        <v>Clareza e velocidade é de primeira qualidade.</v>
      </c>
      <c r="B45618" s="3">
        <v>1</v>
      </c>
    </row>
    <row r="45619" ht="15.75" customHeight="1" spans="1:2">
      <c r="A45619" s="3" t="str">
        <f>IFERROR(__xludf.DUMMYFUNCTION("GOOGLETRANSLATE(A45619,""en"",""pt"")"),"entrada de baixo custo no mercado de impressão a cores")</f>
        <v>entrada de baixo custo no mercado de impressão a cores</v>
      </c>
      <c r="B45619" s="3">
        <v>1</v>
      </c>
    </row>
    <row r="45620" ht="15.75" customHeight="1" spans="1:2">
      <c r="A45620" s="3" t="str">
        <f>IFERROR(__xludf.DUMMYFUNCTION("GOOGLETRANSLATE(A45620,""en"",""pt"")"),"Fácil de usar, barato, cor agradável impressões")</f>
        <v>Fácil de usar, barato, cor agradável impressões</v>
      </c>
      <c r="B45620" s="3">
        <v>1</v>
      </c>
    </row>
    <row r="45621" ht="15.75" customHeight="1" spans="1:2">
      <c r="A45621" s="3" t="str">
        <f>IFERROR(__xludf.DUMMYFUNCTION("GOOGLETRANSLATE(A45621,""en"",""pt"")"),"excelente reprodução de foto; facilidade de instalação e uso")</f>
        <v>excelente reprodução de foto; facilidade de instalação e uso</v>
      </c>
      <c r="B45621" s="3">
        <v>1</v>
      </c>
    </row>
    <row r="45622" ht="15.75" customHeight="1" spans="1:2">
      <c r="A45622" s="3" t="str">
        <f>IFERROR(__xludf.DUMMYFUNCTION("GOOGLETRANSLATE(A45622,""en"",""pt"")"),"Very nice impressões de alta cor, B / impressão W é muito rápido.")</f>
        <v>Very nice impressões de alta cor, B / impressão W é muito rápido.</v>
      </c>
      <c r="B45622" s="3">
        <v>1</v>
      </c>
    </row>
    <row r="45623" ht="15.75" customHeight="1" spans="1:2">
      <c r="A45623" s="3" t="str">
        <f>IFERROR(__xludf.DUMMYFUNCTION("GOOGLETRANSLATE(A45623,""en"",""pt"")"),"bastante calma, boa qualidade de texto, decentes imagens de qualidade")</f>
        <v>bastante calma, boa qualidade de texto, decentes imagens de qualidade</v>
      </c>
      <c r="B45623" s="3">
        <v>1</v>
      </c>
    </row>
    <row r="45624" ht="15.75" customHeight="1" spans="1:2">
      <c r="A45624" s="3" t="str">
        <f>IFERROR(__xludf.DUMMYFUNCTION("GOOGLETRANSLATE(A45624,""en"",""pt"")"),"qualidade incrível, faz fotos muito bem!")</f>
        <v>qualidade incrível, faz fotos muito bem!</v>
      </c>
      <c r="B45624" s="3">
        <v>1</v>
      </c>
    </row>
    <row r="45625" ht="15.75" customHeight="1" spans="1:2">
      <c r="A45625" s="3" t="str">
        <f>IFERROR(__xludf.DUMMYFUNCTION("GOOGLETRANSLATE(A45625,""en"",""pt"")"),"Excelente manuseio de papel, qualidade de impressão superior")</f>
        <v>Excelente manuseio de papel, qualidade de impressão superior</v>
      </c>
      <c r="B45625" s="3">
        <v>1</v>
      </c>
    </row>
    <row r="45626" ht="15.75" customHeight="1" spans="1:2">
      <c r="A45626" s="3" t="str">
        <f>IFERROR(__xludf.DUMMYFUNCTION("GOOGLETRANSLATE(A45626,""en"",""pt"")"),"operação silenciosa, de alimentação de papel com carregamento frontal")</f>
        <v>operação silenciosa, de alimentação de papel com carregamento frontal</v>
      </c>
      <c r="B45626" s="3">
        <v>1</v>
      </c>
    </row>
    <row r="45627" ht="15.75" customHeight="1" spans="1:2">
      <c r="A45627" s="3" t="str">
        <f>IFERROR(__xludf.DUMMYFUNCTION("GOOGLETRANSLATE(A45627,""en"",""pt"")"),"Impressão rápida Balck e cores iguais; Muitas opções; Grande Prints Camera")</f>
        <v>Impressão rápida Balck e cores iguais; Muitas opções; Grande Prints Camera</v>
      </c>
      <c r="B45627" s="3">
        <v>1</v>
      </c>
    </row>
    <row r="45628" ht="15.75" customHeight="1" spans="1:2">
      <c r="A45628" s="3" t="str">
        <f>IFERROR(__xludf.DUMMYFUNCTION("GOOGLETRANSLATE(A45628,""en"",""pt"")"),"qualidade de imagem incrível!")</f>
        <v>qualidade de imagem incrível!</v>
      </c>
      <c r="B45628" s="3">
        <v>1</v>
      </c>
    </row>
    <row r="45629" ht="15.75" customHeight="1" spans="1:2">
      <c r="A45629" s="3" t="str">
        <f>IFERROR(__xludf.DUMMYFUNCTION("GOOGLETRANSLATE(A45629,""en"",""pt"")"),"Impressora de alta qualidade, bom cor rendition.")</f>
        <v>Impressora de alta qualidade, bom cor rendition.</v>
      </c>
      <c r="B45629" s="3">
        <v>1</v>
      </c>
    </row>
    <row r="45630" ht="15.75" customHeight="1" spans="1:2">
      <c r="A45630" s="3" t="str">
        <f>IFERROR(__xludf.DUMMYFUNCTION("GOOGLETRANSLATE(A45630,""en"",""pt"")"),"bastante confiável com XP e Linux")</f>
        <v>bastante confiável com XP e Linux</v>
      </c>
      <c r="B45630" s="3">
        <v>1</v>
      </c>
    </row>
    <row r="45631" ht="15.75" customHeight="1" spans="1:2">
      <c r="A45631" s="3" t="str">
        <f>IFERROR(__xludf.DUMMYFUNCTION("GOOGLETRANSLATE(A45631,""en"",""pt"")"),"Saída excelente fotografia. Rápido B &amp; amp; amp; W de saída.")</f>
        <v>Saída excelente fotografia. Rápido B &amp; amp; amp; W de saída.</v>
      </c>
      <c r="B45631" s="3">
        <v>1</v>
      </c>
    </row>
    <row r="45632" ht="15.75" customHeight="1" spans="1:2">
      <c r="A45632" s="3" t="str">
        <f>IFERROR(__xludf.DUMMYFUNCTION("GOOGLETRANSLATE(A45632,""en"",""pt"")"),"Qualidade excelente impressão, Fast &amp; amp; amp; Calmo, Interface USB")</f>
        <v>Qualidade excelente impressão, Fast &amp; amp; amp; Calmo, Interface USB</v>
      </c>
      <c r="B45632" s="3">
        <v>1</v>
      </c>
    </row>
    <row r="45633" ht="15.75" customHeight="1" spans="1:2">
      <c r="A45633" s="3" t="str">
        <f>IFERROR(__xludf.DUMMYFUNCTION("GOOGLETRANSLATE(A45633,""en"",""pt"")"),"Valor, qualidade, design")</f>
        <v>Valor, qualidade, design</v>
      </c>
      <c r="B45633" s="3">
        <v>1</v>
      </c>
    </row>
    <row r="45634" ht="15.75" customHeight="1" spans="1:2">
      <c r="A45634" s="3" t="str">
        <f>IFERROR(__xludf.DUMMYFUNCTION("GOOGLETRANSLATE(A45634,""en"",""pt"")"),"Limpar, impressão a cores nítidas e realistas")</f>
        <v>Limpar, impressão a cores nítidas e realistas</v>
      </c>
      <c r="B45634" s="3">
        <v>1</v>
      </c>
    </row>
    <row r="45635" ht="15.75" customHeight="1" spans="1:2">
      <c r="A45635" s="3" t="str">
        <f>IFERROR(__xludf.DUMMYFUNCTION("GOOGLETRANSLATE(A45635,""en"",""pt"")"),"Grande engenharia, produção e bom preço")</f>
        <v>Grande engenharia, produção e bom preço</v>
      </c>
      <c r="B45635" s="3">
        <v>1</v>
      </c>
    </row>
    <row r="45636" ht="15.75" customHeight="1" spans="1:2">
      <c r="A45636" s="3" t="str">
        <f>IFERROR(__xludf.DUMMYFUNCTION("GOOGLETRANSLATE(A45636,""en"",""pt"")"),"Barato")</f>
        <v>Barato</v>
      </c>
      <c r="B45636" s="3">
        <v>1</v>
      </c>
    </row>
    <row r="45637" ht="15.75" customHeight="1" spans="1:2">
      <c r="A45637" s="3" t="str">
        <f>IFERROR(__xludf.DUMMYFUNCTION("GOOGLETRANSLATE(A45637,""en"",""pt"")"),"impressão quailty alta, boas velocidades.")</f>
        <v>impressão quailty alta, boas velocidades.</v>
      </c>
      <c r="B45637" s="3">
        <v>1</v>
      </c>
    </row>
    <row r="45638" ht="15.75" customHeight="1" spans="1:2">
      <c r="A45638" s="3" t="str">
        <f>IFERROR(__xludf.DUMMYFUNCTION("GOOGLETRANSLATE(A45638,""en"",""pt"")"),"Qualidade das impressões, velocidade, preço, facilidade de uso")</f>
        <v>Qualidade das impressões, velocidade, preço, facilidade de uso</v>
      </c>
      <c r="B45638" s="3">
        <v>1</v>
      </c>
    </row>
    <row r="45639" ht="15.75" customHeight="1" spans="1:2">
      <c r="A45639" s="3" t="str">
        <f>IFERROR(__xludf.DUMMYFUNCTION("GOOGLETRANSLATE(A45639,""en"",""pt"")"),"Baixo custo anual, cores da foto brilhantes, texto clara e nítida.")</f>
        <v>Baixo custo anual, cores da foto brilhantes, texto clara e nítida.</v>
      </c>
      <c r="B45639" s="3">
        <v>1</v>
      </c>
    </row>
    <row r="45640" ht="15.75" customHeight="1" spans="1:2">
      <c r="A45640" s="3" t="str">
        <f>IFERROR(__xludf.DUMMYFUNCTION("GOOGLETRANSLATE(A45640,""en"",""pt"")"),"Imprime fotos também.")</f>
        <v>Imprime fotos também.</v>
      </c>
      <c r="B45640" s="3">
        <v>1</v>
      </c>
    </row>
    <row r="45641" ht="15.75" customHeight="1" spans="1:2">
      <c r="A45641" s="3" t="str">
        <f>IFERROR(__xludf.DUMMYFUNCTION("GOOGLETRANSLATE(A45641,""en"",""pt"")"),"Silencioso, linda qualidade de impressão, relativamente rápido")</f>
        <v>Silencioso, linda qualidade de impressão, relativamente rápido</v>
      </c>
      <c r="B45641" s="3">
        <v>1</v>
      </c>
    </row>
    <row r="45642" ht="15.75" customHeight="1" spans="1:2">
      <c r="A45642" s="3" t="str">
        <f>IFERROR(__xludf.DUMMYFUNCTION("GOOGLETRANSLATE(A45642,""en"",""pt"")"),"Excelentes impressão de fotos")</f>
        <v>Excelentes impressão de fotos</v>
      </c>
      <c r="B45642" s="3">
        <v>1</v>
      </c>
    </row>
    <row r="45643" ht="15.75" customHeight="1" spans="1:2">
      <c r="A45643" s="3" t="str">
        <f>IFERROR(__xludf.DUMMYFUNCTION("GOOGLETRANSLATE(A45643,""en"",""pt"")"),"Soberbo, imagem nítida cor / texto. Quieto. Um pouco mais rápido do que a norma para menos de $ 200.")</f>
        <v>Soberbo, imagem nítida cor / texto. Quieto. Um pouco mais rápido do que a norma para menos de $ 200.</v>
      </c>
      <c r="B45643" s="3">
        <v>1</v>
      </c>
    </row>
    <row r="45644" ht="15.75" customHeight="1" spans="1:2">
      <c r="A45644" s="3" t="str">
        <f>IFERROR(__xludf.DUMMYFUNCTION("GOOGLETRANSLATE(A45644,""en"",""pt"")"),"Grande qualidade de foto, preço acessível, não um espaço de-porco.")</f>
        <v>Grande qualidade de foto, preço acessível, não um espaço de-porco.</v>
      </c>
      <c r="B45644" s="3">
        <v>1</v>
      </c>
    </row>
    <row r="45645" ht="15.75" customHeight="1" spans="1:2">
      <c r="A45645" s="3" t="str">
        <f>IFERROR(__xludf.DUMMYFUNCTION("GOOGLETRANSLATE(A45645,""en"",""pt"")"),"imagens maravilhosas, alta velocidade, e fácil de usar!")</f>
        <v>imagens maravilhosas, alta velocidade, e fácil de usar!</v>
      </c>
      <c r="B45645" s="3">
        <v>1</v>
      </c>
    </row>
    <row r="45646" ht="15.75" customHeight="1" spans="1:2">
      <c r="A45646" s="3" t="str">
        <f>IFERROR(__xludf.DUMMYFUNCTION("GOOGLETRANSLATE(A45646,""en"",""pt"")"),"impressões impressionantes, qualidade do processo de fotografia, tem a cor &amp; amp; b / w, ao mesmo tempo.")</f>
        <v>impressões impressionantes, qualidade do processo de fotografia, tem a cor &amp; amp; b / w, ao mesmo tempo.</v>
      </c>
      <c r="B45646" s="3">
        <v>1</v>
      </c>
    </row>
    <row r="45647" ht="15.75" customHeight="1" spans="1:2">
      <c r="A45647" s="3" t="str">
        <f>IFERROR(__xludf.DUMMYFUNCTION("GOOGLETRANSLATE(A45647,""en"",""pt"")"),"User Friendly em todos os aspectos")</f>
        <v>User Friendly em todos os aspectos</v>
      </c>
      <c r="B45647" s="3">
        <v>1</v>
      </c>
    </row>
    <row r="45648" ht="15.75" customHeight="1" spans="1:2">
      <c r="A45648" s="3" t="str">
        <f>IFERROR(__xludf.DUMMYFUNCTION("GOOGLETRANSLATE(A45648,""en"",""pt"")"),"Silencioso, rápido, grande qualidade de cor")</f>
        <v>Silencioso, rápido, grande qualidade de cor</v>
      </c>
      <c r="B45648" s="3">
        <v>1</v>
      </c>
    </row>
    <row r="45649" ht="15.75" customHeight="1" spans="1:2">
      <c r="A45649" s="3" t="str">
        <f>IFERROR(__xludf.DUMMYFUNCTION("GOOGLETRANSLATE(A45649,""en"",""pt"")"),"Rápido, silencioso e que a tinta realmente dura.")</f>
        <v>Rápido, silencioso e que a tinta realmente dura.</v>
      </c>
      <c r="B45649" s="3">
        <v>1</v>
      </c>
    </row>
    <row r="45650" ht="15.75" customHeight="1" spans="1:2">
      <c r="A45650" s="3" t="str">
        <f>IFERROR(__xludf.DUMMYFUNCTION("GOOGLETRANSLATE(A45650,""en"",""pt"")"),"Preço; Rapidez; Qualidade")</f>
        <v>Preço; Rapidez; Qualidade</v>
      </c>
      <c r="B45650" s="3">
        <v>1</v>
      </c>
    </row>
    <row r="45651" ht="15.75" customHeight="1" spans="1:2">
      <c r="A45651" s="3" t="str">
        <f>IFERROR(__xludf.DUMMYFUNCTION("GOOGLETRANSLATE(A45651,""en"",""pt"")"),"Muito quieto. Indicador de tinta")</f>
        <v>Muito quieto. Indicador de tinta</v>
      </c>
      <c r="B45651" s="3">
        <v>1</v>
      </c>
    </row>
    <row r="45652" ht="15.75" customHeight="1" spans="1:2">
      <c r="A45652" s="3" t="str">
        <f>IFERROR(__xludf.DUMMYFUNCTION("GOOGLETRANSLATE(A45652,""en"",""pt"")"),"Impressora boa para o dinheiro. imagens nítidas.")</f>
        <v>Impressora boa para o dinheiro. imagens nítidas.</v>
      </c>
      <c r="B45652" s="3">
        <v>1</v>
      </c>
    </row>
    <row r="45653" ht="15.75" customHeight="1" spans="1:2">
      <c r="A45653" s="3" t="str">
        <f>IFERROR(__xludf.DUMMYFUNCTION("GOOGLETRANSLATE(A45653,""en"",""pt"")"),"Sólidos de Construção, Quiet")</f>
        <v>Sólidos de Construção, Quiet</v>
      </c>
      <c r="B45653" s="3">
        <v>1</v>
      </c>
    </row>
    <row r="45654" ht="15.75" customHeight="1" spans="1:2">
      <c r="A45654" s="3" t="str">
        <f>IFERROR(__xludf.DUMMYFUNCTION("GOOGLETRANSLATE(A45654,""en"",""pt"")"),"Muito clara e nítida, barato, luz, USB, suporte técnico, cartrages longa duração")</f>
        <v>Muito clara e nítida, barato, luz, USB, suporte técnico, cartrages longa duração</v>
      </c>
      <c r="B45654" s="3">
        <v>1</v>
      </c>
    </row>
    <row r="45655" ht="15.75" customHeight="1" spans="1:2">
      <c r="A45655" s="3" t="str">
        <f>IFERROR(__xludf.DUMMYFUNCTION("GOOGLETRANSLATE(A45655,""en"",""pt"")"),"Baixa qualidade boa custo.")</f>
        <v>Baixa qualidade boa custo.</v>
      </c>
      <c r="B45655" s="3">
        <v>1</v>
      </c>
    </row>
    <row r="45656" ht="15.75" customHeight="1" spans="1:2">
      <c r="A45656" s="3" t="str">
        <f>IFERROR(__xludf.DUMMYFUNCTION("GOOGLETRANSLATE(A45656,""en"",""pt"")"),"Barato, eficaz, perfeito para um estudante universitário.")</f>
        <v>Barato, eficaz, perfeito para um estudante universitário.</v>
      </c>
      <c r="B45656" s="3">
        <v>1</v>
      </c>
    </row>
    <row r="45657" ht="15.75" customHeight="1" spans="1:2">
      <c r="A45657" s="3" t="str">
        <f>IFERROR(__xludf.DUMMYFUNCTION("GOOGLETRANSLATE(A45657,""en"",""pt"")"),"Calmo, Quick, dobre a bandeja de papel")</f>
        <v>Calmo, Quick, dobre a bandeja de papel</v>
      </c>
      <c r="B45657" s="3">
        <v>1</v>
      </c>
    </row>
    <row r="45658" ht="15.75" customHeight="1" spans="1:2">
      <c r="A45658" s="3" t="str">
        <f>IFERROR(__xludf.DUMMYFUNCTION("GOOGLETRANSLATE(A45658,""en"",""pt"")"),"Fácil de usar, opções, infalível, bom preço para o que você, velocidade decente, cor e memória")</f>
        <v>Fácil de usar, opções, infalível, bom preço para o que você, velocidade decente, cor e memória</v>
      </c>
      <c r="B45658" s="3">
        <v>1</v>
      </c>
    </row>
    <row r="45659" ht="15.75" customHeight="1" spans="1:2">
      <c r="A45659" s="3" t="str">
        <f>IFERROR(__xludf.DUMMYFUNCTION("GOOGLETRANSLATE(A45659,""en"",""pt"")"),"É relativamente barato, rápido e tem grande qualidade de impressão")</f>
        <v>É relativamente barato, rápido e tem grande qualidade de impressão</v>
      </c>
      <c r="B45659" s="3">
        <v>1</v>
      </c>
    </row>
    <row r="45660" ht="15.75" customHeight="1" spans="1:2">
      <c r="A45660" s="3" t="str">
        <f>IFERROR(__xludf.DUMMYFUNCTION("GOOGLETRANSLATE(A45660,""en"",""pt"")"),"Qualidade e preço")</f>
        <v>Qualidade e preço</v>
      </c>
      <c r="B45660" s="3">
        <v>1</v>
      </c>
    </row>
    <row r="45661" ht="15.75" customHeight="1" spans="1:2">
      <c r="A45661" s="3" t="str">
        <f>IFERROR(__xludf.DUMMYFUNCTION("GOOGLETRANSLATE(A45661,""en"",""pt"")"),"USB e Paralela, excelente qualidade de impressão")</f>
        <v>USB e Paralela, excelente qualidade de impressão</v>
      </c>
      <c r="B45661" s="3">
        <v>1</v>
      </c>
    </row>
    <row r="45662" ht="15.75" customHeight="1" spans="1:2">
      <c r="A45662" s="3" t="str">
        <f>IFERROR(__xludf.DUMMYFUNCTION("GOOGLETRANSLATE(A45662,""en"",""pt"")"),"ótimo preço, melhor qualidade")</f>
        <v>ótimo preço, melhor qualidade</v>
      </c>
      <c r="B45662" s="3">
        <v>1</v>
      </c>
    </row>
    <row r="45663" ht="15.75" customHeight="1" spans="1:2">
      <c r="A45663" s="3" t="str">
        <f>IFERROR(__xludf.DUMMYFUNCTION("GOOGLETRANSLATE(A45663,""en"",""pt"")"),"Foto qualidade de cor, pode monitorar os níveis de tinta")</f>
        <v>Foto qualidade de cor, pode monitorar os níveis de tinta</v>
      </c>
      <c r="B45663" s="3">
        <v>1</v>
      </c>
    </row>
    <row r="45664" ht="15.75" customHeight="1" spans="1:2">
      <c r="A45664" s="3" t="str">
        <f>IFERROR(__xludf.DUMMYFUNCTION("GOOGLETRANSLATE(A45664,""en"",""pt"")"),"Boa qualidade de saída, alimentação confiável, barata")</f>
        <v>Boa qualidade de saída, alimentação confiável, barata</v>
      </c>
      <c r="B45664" s="3">
        <v>1</v>
      </c>
    </row>
    <row r="45665" ht="15.75" customHeight="1" spans="1:2">
      <c r="A45665" s="3" t="str">
        <f>IFERROR(__xludf.DUMMYFUNCTION("GOOGLETRANSLATE(A45665,""en"",""pt"")"),"cores vivas imagens, texto preto nítido")</f>
        <v>cores vivas imagens, texto preto nítido</v>
      </c>
      <c r="B45665" s="3">
        <v>1</v>
      </c>
    </row>
    <row r="45666" ht="15.75" customHeight="1" spans="1:2">
      <c r="A45666" s="3" t="str">
        <f>IFERROR(__xludf.DUMMYFUNCTION("GOOGLETRANSLATE(A45666,""en"",""pt"")"),"excelentes impressões que procuram, rápido, silencioso")</f>
        <v>excelentes impressões que procuram, rápido, silencioso</v>
      </c>
      <c r="B45666" s="3">
        <v>1</v>
      </c>
    </row>
    <row r="45667" ht="15.75" customHeight="1" spans="1:2">
      <c r="A45667" s="3" t="str">
        <f>IFERROR(__xludf.DUMMYFUNCTION("GOOGLETRANSLATE(A45667,""en"",""pt"")"),"Custo, velocidade, qualidade, serviço")</f>
        <v>Custo, velocidade, qualidade, serviço</v>
      </c>
      <c r="B45667" s="3">
        <v>1</v>
      </c>
    </row>
    <row r="45668" ht="15.75" customHeight="1" spans="1:2">
      <c r="A45668" s="3" t="str">
        <f>IFERROR(__xludf.DUMMYFUNCTION("GOOGLETRANSLATE(A45668,""en"",""pt"")"),"Grande, barato")</f>
        <v>Grande, barato</v>
      </c>
      <c r="B45668" s="3">
        <v>1</v>
      </c>
    </row>
    <row r="45669" ht="15.75" customHeight="1" spans="1:2">
      <c r="A45669" s="3" t="str">
        <f>IFERROR(__xludf.DUMMYFUNCTION("GOOGLETRANSLATE(A45669,""en"",""pt"")"),"estrondo para o fanfarrão")</f>
        <v>estrondo para o fanfarrão</v>
      </c>
      <c r="B45669" s="3">
        <v>1</v>
      </c>
    </row>
    <row r="45670" ht="15.75" customHeight="1" spans="1:2">
      <c r="A45670" s="3" t="str">
        <f>IFERROR(__xludf.DUMMYFUNCTION("GOOGLETRANSLATE(A45670,""en"",""pt"")"),"Grande qualidade da foto, impressão rápida, tranquila")</f>
        <v>Grande qualidade da foto, impressão rápida, tranquila</v>
      </c>
      <c r="B45670" s="3">
        <v>1</v>
      </c>
    </row>
    <row r="45671" ht="15.75" customHeight="1" spans="1:2">
      <c r="A45671" s="3" t="str">
        <f>IFERROR(__xludf.DUMMYFUNCTION("GOOGLETRANSLATE(A45671,""en"",""pt"")"),"ótimo para fotos, tranquila")</f>
        <v>ótimo para fotos, tranquila</v>
      </c>
      <c r="B45671" s="3">
        <v>1</v>
      </c>
    </row>
    <row r="45672" ht="15.75" customHeight="1" spans="1:2">
      <c r="A45672" s="3" t="str">
        <f>IFERROR(__xludf.DUMMYFUNCTION("GOOGLETRANSLATE(A45672,""en"",""pt"")"),"impressora grande para o preço !!!")</f>
        <v>impressora grande para o preço !!!</v>
      </c>
      <c r="B45672" s="3">
        <v>1</v>
      </c>
    </row>
    <row r="45673" ht="15.75" customHeight="1" spans="1:2">
      <c r="A45673" s="3" t="str">
        <f>IFERROR(__xludf.DUMMYFUNCTION("GOOGLETRANSLATE(A45673,""en"",""pt"")"),"Otima qualidade. Projeto pequeno. Tag pequeno preço.")</f>
        <v>Otima qualidade. Projeto pequeno. Tag pequeno preço.</v>
      </c>
      <c r="B45673" s="3">
        <v>1</v>
      </c>
    </row>
    <row r="45674" ht="15.75" customHeight="1" spans="1:2">
      <c r="A45674" s="3" t="str">
        <f>IFERROR(__xludf.DUMMYFUNCTION("GOOGLETRANSLATE(A45674,""en"",""pt"")"),"Imprimir qualidade, preço e eficiência")</f>
        <v>Imprimir qualidade, preço e eficiência</v>
      </c>
      <c r="B45674" s="3">
        <v>1</v>
      </c>
    </row>
    <row r="45675" ht="15.75" customHeight="1" spans="1:2">
      <c r="A45675" s="3" t="str">
        <f>IFERROR(__xludf.DUMMYFUNCTION("GOOGLETRANSLATE(A45675,""en"",""pt"")"),"excelente qualidade de impressão, baixo ruído, manutenção de automóveis")</f>
        <v>excelente qualidade de impressão, baixo ruído, manutenção de automóveis</v>
      </c>
      <c r="B45675" s="3">
        <v>1</v>
      </c>
    </row>
    <row r="45676" ht="15.75" customHeight="1" spans="1:2">
      <c r="A45676" s="3" t="str">
        <f>IFERROR(__xludf.DUMMYFUNCTION("GOOGLETRANSLATE(A45676,""en"",""pt"")"),"Silencioso, rápido, barato")</f>
        <v>Silencioso, rápido, barato</v>
      </c>
      <c r="B45676" s="3">
        <v>1</v>
      </c>
    </row>
    <row r="45677" ht="15.75" customHeight="1" spans="1:2">
      <c r="A45677" s="3" t="str">
        <f>IFERROR(__xludf.DUMMYFUNCTION("GOOGLETRANSLATE(A45677,""en"",""pt"")"),"grande impressão de qualidade, preço excelente, muitas opções de diversão")</f>
        <v>grande impressão de qualidade, preço excelente, muitas opções de diversão</v>
      </c>
      <c r="B45677" s="3">
        <v>1</v>
      </c>
    </row>
    <row r="45678" ht="15.75" customHeight="1" spans="1:2">
      <c r="A45678" s="3" t="str">
        <f>IFERROR(__xludf.DUMMYFUNCTION("GOOGLETRANSLATE(A45678,""en"",""pt"")"),"A grande qualidade, grande velocidade, durabilidade")</f>
        <v>A grande qualidade, grande velocidade, durabilidade</v>
      </c>
      <c r="B45678" s="3">
        <v>1</v>
      </c>
    </row>
    <row r="45679" ht="15.75" customHeight="1" spans="1:2">
      <c r="A45679" s="3" t="str">
        <f>IFERROR(__xludf.DUMMYFUNCTION("GOOGLETRANSLATE(A45679,""en"",""pt"")"),"Velocidade, Noise")</f>
        <v>Velocidade, Noise</v>
      </c>
      <c r="B45679" s="3">
        <v>1</v>
      </c>
    </row>
    <row r="45680" ht="15.75" customHeight="1" spans="1:2">
      <c r="A45680" s="3" t="str">
        <f>IFERROR(__xludf.DUMMYFUNCTION("GOOGLETRANSLATE(A45680,""en"",""pt"")"),"Confiável e acessível")</f>
        <v>Confiável e acessível</v>
      </c>
      <c r="B45680" s="3">
        <v>1</v>
      </c>
    </row>
    <row r="45681" ht="15.75" customHeight="1" spans="1:2">
      <c r="A45681" s="3" t="str">
        <f>IFERROR(__xludf.DUMMYFUNCTION("GOOGLETRANSLATE(A45681,""en"",""pt"")"),"boa qualidade e velocidade para o preço")</f>
        <v>boa qualidade e velocidade para o preço</v>
      </c>
      <c r="B45681" s="3">
        <v>1</v>
      </c>
    </row>
    <row r="45682" ht="15.75" customHeight="1" spans="1:2">
      <c r="A45682" s="3" t="str">
        <f>IFERROR(__xludf.DUMMYFUNCTION("GOOGLETRANSLATE(A45682,""en"",""pt"")"),"rápido, de boa qualidade, tranquila, eficiente")</f>
        <v>rápido, de boa qualidade, tranquila, eficiente</v>
      </c>
      <c r="B45682" s="3">
        <v>1</v>
      </c>
    </row>
    <row r="45683" ht="15.75" customHeight="1" spans="1:2">
      <c r="A45683" s="3" t="str">
        <f>IFERROR(__xludf.DUMMYFUNCTION("GOOGLETRANSLATE(A45683,""en"",""pt"")"),"Boa combinação de características / preço / qualidade")</f>
        <v>Boa combinação de características / preço / qualidade</v>
      </c>
      <c r="B45683" s="3">
        <v>1</v>
      </c>
    </row>
    <row r="45684" ht="15.75" customHeight="1" spans="1:2">
      <c r="A45684" s="3" t="str">
        <f>IFERROR(__xludf.DUMMYFUNCTION("GOOGLETRANSLATE(A45684,""en"",""pt"")"),"A grande qualidade, fácil de usar")</f>
        <v>A grande qualidade, fácil de usar</v>
      </c>
      <c r="B45684" s="3">
        <v>1</v>
      </c>
    </row>
    <row r="45685" ht="15.75" customHeight="1" spans="1:2">
      <c r="A45685" s="3" t="str">
        <f>IFERROR(__xludf.DUMMYFUNCTION("GOOGLETRANSLATE(A45685,""en"",""pt"")"),"não posso pensar em qualquer")</f>
        <v>não posso pensar em qualquer</v>
      </c>
      <c r="B45685" s="3">
        <v>1</v>
      </c>
    </row>
    <row r="45686" ht="15.75" customHeight="1" spans="1:2">
      <c r="A45686" s="3" t="str">
        <f>IFERROR(__xludf.DUMMYFUNCTION("GOOGLETRANSLATE(A45686,""en"",""pt"")"),"Trabalhou após uma queda")</f>
        <v>Trabalhou após uma queda</v>
      </c>
      <c r="B45686" s="3">
        <v>1</v>
      </c>
    </row>
    <row r="45687" ht="15.75" customHeight="1" spans="1:2">
      <c r="A45687" s="3" t="str">
        <f>IFERROR(__xludf.DUMMYFUNCTION("GOOGLETRANSLATE(A45687,""en"",""pt"")"),"nenhum atolamento de papel, durável, barato, a qualidade da foto")</f>
        <v>nenhum atolamento de papel, durável, barato, a qualidade da foto</v>
      </c>
      <c r="B45687" s="3">
        <v>1</v>
      </c>
    </row>
    <row r="45688" ht="15.75" customHeight="1" spans="1:2">
      <c r="A45688" s="3" t="str">
        <f>IFERROR(__xludf.DUMMYFUNCTION("GOOGLETRANSLATE(A45688,""en"",""pt"")"),"Velocidade, qualidade, confiabilidade")</f>
        <v>Velocidade, qualidade, confiabilidade</v>
      </c>
      <c r="B45688" s="3">
        <v>1</v>
      </c>
    </row>
    <row r="45689" ht="15.75" customHeight="1" spans="1:2">
      <c r="A45689" s="3" t="str">
        <f>IFERROR(__xludf.DUMMYFUNCTION("GOOGLETRANSLATE(A45689,""en"",""pt"")"),"USB ou paralelo compatível.")</f>
        <v>USB ou paralelo compatível.</v>
      </c>
      <c r="B45689" s="3">
        <v>1</v>
      </c>
    </row>
    <row r="45690" ht="15.75" customHeight="1" spans="1:2">
      <c r="A45690" s="3" t="str">
        <f>IFERROR(__xludf.DUMMYFUNCTION("GOOGLETRANSLATE(A45690,""en"",""pt"")"),"Excelente qualidade de impressão, rápida e fácil de configurar e usar")</f>
        <v>Excelente qualidade de impressão, rápida e fácil de configurar e usar</v>
      </c>
      <c r="B45690" s="3">
        <v>1</v>
      </c>
    </row>
    <row r="45691" ht="15.75" customHeight="1" spans="1:2">
      <c r="A45691" s="3" t="str">
        <f>IFERROR(__xludf.DUMMYFUNCTION("GOOGLETRANSLATE(A45691,""en"",""pt"")"),"nice body, papel bandeja dobrar, dois acessório sided")</f>
        <v>nice body, papel bandeja dobrar, dois acessório sided</v>
      </c>
      <c r="B45691" s="3">
        <v>1</v>
      </c>
    </row>
    <row r="45692" ht="15.75" customHeight="1" spans="1:2">
      <c r="A45692" s="3" t="str">
        <f>IFERROR(__xludf.DUMMYFUNCTION("GOOGLETRANSLATE(A45692,""en"",""pt"")"),"Excelente resolução, boa velocidade, grandes recursos")</f>
        <v>Excelente resolução, boa velocidade, grandes recursos</v>
      </c>
      <c r="B45692" s="3">
        <v>1</v>
      </c>
    </row>
    <row r="45693" ht="15.75" customHeight="1" spans="1:2">
      <c r="A45693" s="3" t="str">
        <f>IFERROR(__xludf.DUMMYFUNCTION("GOOGLETRANSLATE(A45693,""en"",""pt"")"),"fácil de instalar, impressão de boa qualidade")</f>
        <v>fácil de instalar, impressão de boa qualidade</v>
      </c>
      <c r="B45693" s="3">
        <v>1</v>
      </c>
    </row>
    <row r="45694" ht="15.75" customHeight="1" spans="1:2">
      <c r="A45694" s="3" t="str">
        <f>IFERROR(__xludf.DUMMYFUNCTION("GOOGLETRANSLATE(A45694,""en"",""pt"")"),"Excelente cor e nitidez, pedaço de bolo para operar")</f>
        <v>Excelente cor e nitidez, pedaço de bolo para operar</v>
      </c>
      <c r="B45694" s="3">
        <v>1</v>
      </c>
    </row>
    <row r="45695" ht="15.75" customHeight="1" spans="1:2">
      <c r="A45695" s="3" t="str">
        <f>IFERROR(__xludf.DUMMYFUNCTION("GOOGLETRANSLATE(A45695,""en"",""pt"")"),"Otima qualidade")</f>
        <v>Otima qualidade</v>
      </c>
      <c r="B45695" s="3">
        <v>1</v>
      </c>
    </row>
    <row r="45696" ht="15.75" customHeight="1" spans="1:2">
      <c r="A45696" s="3" t="str">
        <f>IFERROR(__xludf.DUMMYFUNCTION("GOOGLETRANSLATE(A45696,""en"",""pt"")"),"Texto velocidade de impressão, cor agradável impressões para &amp; amp; lt; $ 200")</f>
        <v>Texto velocidade de impressão, cor agradável impressões para &amp; amp; lt; $ 200</v>
      </c>
      <c r="B45696" s="3">
        <v>1</v>
      </c>
    </row>
    <row r="45697" ht="15.75" customHeight="1" spans="1:2">
      <c r="A45697" s="3" t="str">
        <f>IFERROR(__xludf.DUMMYFUNCTION("GOOGLETRANSLATE(A45697,""en"",""pt"")"),"Grande qualidade de impressão e relativamente rápido")</f>
        <v>Grande qualidade de impressão e relativamente rápido</v>
      </c>
      <c r="B45697" s="3">
        <v>1</v>
      </c>
    </row>
    <row r="45698" ht="15.75" customHeight="1" spans="1:2">
      <c r="A45698" s="3" t="str">
        <f>IFERROR(__xludf.DUMMYFUNCTION("GOOGLETRANSLATE(A45698,""en"",""pt"")"),"Grande velocidade, impressão a cores, e muito tranquila.")</f>
        <v>Grande velocidade, impressão a cores, e muito tranquila.</v>
      </c>
      <c r="B45698" s="3">
        <v>1</v>
      </c>
    </row>
    <row r="45699" ht="15.75" customHeight="1" spans="1:2">
      <c r="A45699" s="3" t="str">
        <f>IFERROR(__xludf.DUMMYFUNCTION("GOOGLETRANSLATE(A45699,""en"",""pt"")"),"Rápido, qualidade, preço")</f>
        <v>Rápido, qualidade, preço</v>
      </c>
      <c r="B45699" s="3">
        <v>1</v>
      </c>
    </row>
    <row r="45700" ht="15.75" customHeight="1" spans="1:2">
      <c r="A45700" s="3" t="str">
        <f>IFERROR(__xludf.DUMMYFUNCTION("GOOGLETRANSLATE(A45700,""en"",""pt"")"),"Super fácil de configurar, cartuchos duram mais do que os modelos comparáveis, de boa qualidade")</f>
        <v>Super fácil de configurar, cartuchos duram mais do que os modelos comparáveis, de boa qualidade</v>
      </c>
      <c r="B45700" s="3">
        <v>1</v>
      </c>
    </row>
    <row r="45701" ht="15.75" customHeight="1" spans="1:2">
      <c r="A45701" s="3" t="str">
        <f>IFERROR(__xludf.DUMMYFUNCTION("GOOGLETRANSLATE(A45701,""en"",""pt"")"),"Muito calmo, nítidas Printing")</f>
        <v>Muito calmo, nítidas Printing</v>
      </c>
      <c r="B45701" s="3">
        <v>1</v>
      </c>
    </row>
    <row r="45702" ht="15.75" customHeight="1" spans="1:2">
      <c r="A45702" s="3" t="str">
        <f>IFERROR(__xludf.DUMMYFUNCTION("GOOGLETRANSLATE(A45702,""en"",""pt"")"),"A grande qualidade, características interessantes, velocidade de impressão decente.")</f>
        <v>A grande qualidade, características interessantes, velocidade de impressão decente.</v>
      </c>
      <c r="B45702" s="3">
        <v>1</v>
      </c>
    </row>
    <row r="45703" ht="15.75" customHeight="1" spans="1:2">
      <c r="A45703" s="3" t="str">
        <f>IFERROR(__xludf.DUMMYFUNCTION("GOOGLETRANSLATE(A45703,""en"",""pt"")"),"Calmo, excelente qualidade para o preço, durável, e um ótimo preço baixo")</f>
        <v>Calmo, excelente qualidade para o preço, durável, e um ótimo preço baixo</v>
      </c>
      <c r="B45703" s="3">
        <v>1</v>
      </c>
    </row>
    <row r="45704" ht="15.75" customHeight="1" spans="1:2">
      <c r="A45704" s="3" t="str">
        <f>IFERROR(__xludf.DUMMYFUNCTION("GOOGLETRANSLATE(A45704,""en"",""pt"")"),"Excelente qualidade de impressão. Preço. applets pacote acessível.")</f>
        <v>Excelente qualidade de impressão. Preço. applets pacote acessível.</v>
      </c>
      <c r="B45704" s="3">
        <v>1</v>
      </c>
    </row>
    <row r="45705" ht="15.75" customHeight="1" spans="1:2">
      <c r="A45705" s="3" t="str">
        <f>IFERROR(__xludf.DUMMYFUNCTION("GOOGLETRANSLATE(A45705,""en"",""pt"")"),"Confiável, impressora resistente, a qualidade do texto incrível, botão Job Cancel. Quieto!")</f>
        <v>Confiável, impressora resistente, a qualidade do texto incrível, botão Job Cancel. Quieto!</v>
      </c>
      <c r="B45705" s="3">
        <v>1</v>
      </c>
    </row>
    <row r="45706" ht="15.75" customHeight="1" spans="1:2">
      <c r="A45706" s="3" t="str">
        <f>IFERROR(__xludf.DUMMYFUNCTION("GOOGLETRANSLATE(A45706,""en"",""pt"")"),"Clean and quiet")</f>
        <v>Clean and quiet</v>
      </c>
      <c r="B45706" s="3">
        <v>1</v>
      </c>
    </row>
    <row r="45707" ht="15.75" customHeight="1" spans="1:2">
      <c r="A45707" s="3" t="str">
        <f>IFERROR(__xludf.DUMMYFUNCTION("GOOGLETRANSLATE(A45707,""en"",""pt"")"),"imagem e texto de qualidade, preço, nenhum atolamento de papel, pode usar cabo paralelo ou USB.")</f>
        <v>imagem e texto de qualidade, preço, nenhum atolamento de papel, pode usar cabo paralelo ou USB.</v>
      </c>
      <c r="B45707" s="3">
        <v>1</v>
      </c>
    </row>
    <row r="45708" ht="15.75" customHeight="1" spans="1:2">
      <c r="A45708" s="3" t="str">
        <f>IFERROR(__xludf.DUMMYFUNCTION("GOOGLETRANSLATE(A45708,""en"",""pt"")"),"Tranquilos, muitos recursos, Compact (Bandeja de papel se dobra para mais espaço de trabalho), ótimo preço")</f>
        <v>Tranquilos, muitos recursos, Compact (Bandeja de papel se dobra para mais espaço de trabalho), ótimo preço</v>
      </c>
      <c r="B45708" s="3">
        <v>1</v>
      </c>
    </row>
    <row r="45709" ht="15.75" customHeight="1" spans="1:2">
      <c r="A45709" s="3" t="str">
        <f>IFERROR(__xludf.DUMMYFUNCTION("GOOGLETRANSLATE(A45709,""en"",""pt"")"),"Grandes figuras coloridas, dobre a bandeja de papel, rápido. HP!")</f>
        <v>Grandes figuras coloridas, dobre a bandeja de papel, rápido. HP!</v>
      </c>
      <c r="B45709" s="3">
        <v>1</v>
      </c>
    </row>
    <row r="45710" ht="15.75" customHeight="1" spans="1:2">
      <c r="A45710" s="3" t="str">
        <f>IFERROR(__xludf.DUMMYFUNCTION("GOOGLETRANSLATE(A45710,""en"",""pt"")"),"Excelente qualidade de impressão para um jato de tinta. bastante compacta com uma bandeja de papel dobrável.")</f>
        <v>Excelente qualidade de impressão para um jato de tinta. bastante compacta com uma bandeja de papel dobrável.</v>
      </c>
      <c r="B45710" s="3">
        <v>1</v>
      </c>
    </row>
    <row r="45711" ht="15.75" customHeight="1" spans="1:2">
      <c r="A45711" s="3" t="str">
        <f>IFERROR(__xludf.DUMMYFUNCTION("GOOGLETRANSLATE(A45711,""en"",""pt"")"),"limpar a impressão colorida; impressão silenciosa")</f>
        <v>limpar a impressão colorida; impressão silenciosa</v>
      </c>
      <c r="B45711" s="3">
        <v>1</v>
      </c>
    </row>
    <row r="45712" ht="15.75" customHeight="1" spans="1:2">
      <c r="A45712" s="3" t="str">
        <f>IFERROR(__xludf.DUMMYFUNCTION("GOOGLETRANSLATE(A45712,""en"",""pt"")"),"impressão de texto muito nítido. Uso Cor Viva. Photo Printing é excepcional.")</f>
        <v>impressão de texto muito nítido. Uso Cor Viva. Photo Printing é excepcional.</v>
      </c>
      <c r="B45712" s="3">
        <v>1</v>
      </c>
    </row>
    <row r="45713" ht="15.75" customHeight="1" spans="1:2">
      <c r="A45713" s="3" t="str">
        <f>IFERROR(__xludf.DUMMYFUNCTION("GOOGLETRANSLATE(A45713,""en"",""pt"")"),"impressão de qualidade decente, bom preço, rápido, silencioso. Pequeno em tamanho.")</f>
        <v>impressão de qualidade decente, bom preço, rápido, silencioso. Pequeno em tamanho.</v>
      </c>
      <c r="B45713" s="3">
        <v>1</v>
      </c>
    </row>
    <row r="45714" ht="15.75" customHeight="1" spans="1:2">
      <c r="A45714" s="3" t="str">
        <f>IFERROR(__xludf.DUMMYFUNCTION("GOOGLETRANSLATE(A45714,""en"",""pt"")"),"Grande cor e texto.")</f>
        <v>Grande cor e texto.</v>
      </c>
      <c r="B45714" s="3">
        <v>1</v>
      </c>
    </row>
    <row r="45715" ht="15.75" customHeight="1" spans="1:2">
      <c r="A45715" s="3" t="str">
        <f>IFERROR(__xludf.DUMMYFUNCTION("GOOGLETRANSLATE(A45715,""en"",""pt"")"),"marca HP")</f>
        <v>marca HP</v>
      </c>
      <c r="B45715" s="3">
        <v>1</v>
      </c>
    </row>
    <row r="45716" ht="15.75" customHeight="1" spans="1:2">
      <c r="A45716" s="3" t="str">
        <f>IFERROR(__xludf.DUMMYFUNCTION("GOOGLETRANSLATE(A45716,""en"",""pt"")"),"Baixo preço, boa qualidade, controladores carregados em recursos, fonte de alimentação integral.")</f>
        <v>Baixo preço, boa qualidade, controladores carregados em recursos, fonte de alimentação integral.</v>
      </c>
      <c r="B45716" s="3">
        <v>1</v>
      </c>
    </row>
    <row r="45717" ht="15.75" customHeight="1" spans="1:2">
      <c r="A45717" s="3" t="str">
        <f>IFERROR(__xludf.DUMMYFUNCTION("GOOGLETRANSLATE(A45717,""en"",""pt"")"),"Muito rápido, Foto qualidade-WOW!")</f>
        <v>Muito rápido, Foto qualidade-WOW!</v>
      </c>
      <c r="B45717" s="3">
        <v>1</v>
      </c>
    </row>
    <row r="45718" ht="15.75" customHeight="1" spans="1:2">
      <c r="A45718" s="3" t="str">
        <f>IFERROR(__xludf.DUMMYFUNCTION("GOOGLETRANSLATE(A45718,""en"",""pt"")"),"Dobra-se a bandeja de papel; muito quieto; boa velocidade; excelente saída; preço")</f>
        <v>Dobra-se a bandeja de papel; muito quieto; boa velocidade; excelente saída; preço</v>
      </c>
      <c r="B45718" s="3">
        <v>1</v>
      </c>
    </row>
    <row r="45719" ht="15.75" customHeight="1" spans="1:2">
      <c r="A45719" s="3" t="str">
        <f>IFERROR(__xludf.DUMMYFUNCTION("GOOGLETRANSLATE(A45719,""en"",""pt"")"),"Rápido, silencioso, fácil de usar, não muito caro")</f>
        <v>Rápido, silencioso, fácil de usar, não muito caro</v>
      </c>
      <c r="B45719" s="3">
        <v>1</v>
      </c>
    </row>
    <row r="45720" ht="15.75" customHeight="1" spans="1:2">
      <c r="A45720" s="3" t="str">
        <f>IFERROR(__xludf.DUMMYFUNCTION("GOOGLETRANSLATE(A45720,""en"",""pt"")"),"Silencioso, compacto, facilidade de uso. &amp; Amp; # 13; &amp; amp; # 10;")</f>
        <v>Silencioso, compacto, facilidade de uso. &amp; Amp; # 13; &amp; amp; # 10;</v>
      </c>
      <c r="B45720" s="3">
        <v>1</v>
      </c>
    </row>
    <row r="45721" ht="15.75" customHeight="1" spans="1:2">
      <c r="A45721" s="3" t="str">
        <f>IFERROR(__xludf.DUMMYFUNCTION("GOOGLETRANSLATE(A45721,""en"",""pt"")"),"Preço, qualidade de impressão, facilidade de uso")</f>
        <v>Preço, qualidade de impressão, facilidade de uso</v>
      </c>
      <c r="B45721" s="3">
        <v>1</v>
      </c>
    </row>
    <row r="45722" ht="15.75" customHeight="1" spans="1:2">
      <c r="A45722" s="3" t="str">
        <f>IFERROR(__xludf.DUMMYFUNCTION("GOOGLETRANSLATE(A45722,""en"",""pt"")"),"Boa qualidade de impressão")</f>
        <v>Boa qualidade de impressão</v>
      </c>
      <c r="B45722" s="3">
        <v>1</v>
      </c>
    </row>
    <row r="45723" ht="15.75" customHeight="1" spans="1:2">
      <c r="A45723" s="3" t="str">
        <f>IFERROR(__xludf.DUMMYFUNCTION("GOOGLETRANSLATE(A45723,""en"",""pt"")"),"Velocidade não é mau para uso doméstico, confiável")</f>
        <v>Velocidade não é mau para uso doméstico, confiável</v>
      </c>
      <c r="B45723" s="3">
        <v>1</v>
      </c>
    </row>
    <row r="45724" ht="15.75" customHeight="1" spans="1:2">
      <c r="A45724" s="3" t="str">
        <f>IFERROR(__xludf.DUMMYFUNCTION("GOOGLETRANSLATE(A45724,""en"",""pt"")"),"QUIET, rápido, de baixo custo, fácil de usar interfaces de, cores brilhantes, capacidade USB")</f>
        <v>QUIET, rápido, de baixo custo, fácil de usar interfaces de, cores brilhantes, capacidade USB</v>
      </c>
      <c r="B45724" s="3">
        <v>1</v>
      </c>
    </row>
    <row r="45725" ht="15.75" customHeight="1" spans="1:2">
      <c r="A45725" s="3" t="str">
        <f>IFERROR(__xludf.DUMMYFUNCTION("GOOGLETRANSLATE(A45725,""en"",""pt"")"),"rápido, silencioso, excelente saída, compacto, resistente, USB ou paralela, Dos compatível")</f>
        <v>rápido, silencioso, excelente saída, compacto, resistente, USB ou paralela, Dos compatível</v>
      </c>
      <c r="B45725" s="3">
        <v>1</v>
      </c>
    </row>
    <row r="45726" ht="15.75" customHeight="1" spans="1:2">
      <c r="A45726" s="3" t="str">
        <f>IFERROR(__xludf.DUMMYFUNCTION("GOOGLETRANSLATE(A45726,""en"",""pt"")"),"Barato, impressão de cor acentuada")</f>
        <v>Barato, impressão de cor acentuada</v>
      </c>
      <c r="B45726" s="3">
        <v>1</v>
      </c>
    </row>
    <row r="45727" ht="15.75" customHeight="1" spans="1:2">
      <c r="A45727" s="3" t="str">
        <f>IFERROR(__xludf.DUMMYFUNCTION("GOOGLETRANSLATE(A45727,""en"",""pt"")"),"Nome, velocidade, preço.")</f>
        <v>Nome, velocidade, preço.</v>
      </c>
      <c r="B45727" s="3">
        <v>1</v>
      </c>
    </row>
    <row r="45728" ht="15.75" customHeight="1" spans="1:2">
      <c r="A45728" s="3" t="str">
        <f>IFERROR(__xludf.DUMMYFUNCTION("GOOGLETRANSLATE(A45728,""en"",""pt"")"),"imprime 9 páginas por minuto, 7,5 páginas por minuto em cores")</f>
        <v>imprime 9 páginas por minuto, 7,5 páginas por minuto em cores</v>
      </c>
      <c r="B45728" s="3">
        <v>1</v>
      </c>
    </row>
    <row r="45729" ht="15.75" customHeight="1" spans="1:2">
      <c r="A45729" s="3" t="str">
        <f>IFERROR(__xludf.DUMMYFUNCTION("GOOGLETRANSLATE(A45729,""en"",""pt"")"),"O preço, a velocidade, a qualidade, a confiabilidade da impressora HP, consumíveis de impressão de baixo custo")</f>
        <v>O preço, a velocidade, a qualidade, a confiabilidade da impressora HP, consumíveis de impressão de baixo custo</v>
      </c>
      <c r="B45729" s="3">
        <v>1</v>
      </c>
    </row>
    <row r="45730" ht="15.75" customHeight="1" spans="1:2">
      <c r="A45730" s="3" t="str">
        <f>IFERROR(__xludf.DUMMYFUNCTION("GOOGLETRANSLATE(A45730,""en"",""pt"")"),"Preço, confiabilidade geral, a interface dupla, a qualidade de saída, silencioso, rápido para o dinheiro.")</f>
        <v>Preço, confiabilidade geral, a interface dupla, a qualidade de saída, silencioso, rápido para o dinheiro.</v>
      </c>
      <c r="B45730" s="3">
        <v>1</v>
      </c>
    </row>
    <row r="45731" ht="15.75" customHeight="1" spans="1:2">
      <c r="A45731" s="3" t="str">
        <f>IFERROR(__xludf.DUMMYFUNCTION("GOOGLETRANSLATE(A45731,""en"",""pt"")"),"grandes imagens, tintas recarregados facilmente, barato")</f>
        <v>grandes imagens, tintas recarregados facilmente, barato</v>
      </c>
      <c r="B45731" s="3">
        <v>1</v>
      </c>
    </row>
    <row r="45732" ht="15.75" customHeight="1" spans="1:2">
      <c r="A45732" s="3" t="str">
        <f>IFERROR(__xludf.DUMMYFUNCTION("GOOGLETRANSLATE(A45732,""en"",""pt"")"),"Preço, Imprimir velocidade, tamanho, Look, Som")</f>
        <v>Preço, Imprimir velocidade, tamanho, Look, Som</v>
      </c>
      <c r="B45732" s="3">
        <v>1</v>
      </c>
    </row>
    <row r="45733" ht="15.75" customHeight="1" spans="1:2">
      <c r="A45733" s="3" t="str">
        <f>IFERROR(__xludf.DUMMYFUNCTION("GOOGLETRANSLATE(A45733,""en"",""pt"")"),"desempenho acessível. Instalação fácil. Bang-para-buck.")</f>
        <v>desempenho acessível. Instalação fácil. Bang-para-buck.</v>
      </c>
      <c r="B45733" s="3">
        <v>1</v>
      </c>
    </row>
    <row r="45734" ht="15.75" customHeight="1" spans="1:2">
      <c r="A45734" s="3" t="str">
        <f>IFERROR(__xludf.DUMMYFUNCTION("GOOGLETRANSLATE(A45734,""en"",""pt"")"),"Silencioso, preto e branco impressão muito rápido")</f>
        <v>Silencioso, preto e branco impressão muito rápido</v>
      </c>
      <c r="B45734" s="3">
        <v>1</v>
      </c>
    </row>
    <row r="45735" ht="15.75" customHeight="1" spans="1:2">
      <c r="A45735" s="3" t="str">
        <f>IFERROR(__xludf.DUMMYFUNCTION("GOOGLETRANSLATE(A45735,""en"",""pt"")"),"Fácil de usar, imprime bem")</f>
        <v>Fácil de usar, imprime bem</v>
      </c>
      <c r="B45735" s="3">
        <v>1</v>
      </c>
    </row>
    <row r="45736" ht="15.75" customHeight="1" spans="1:2">
      <c r="A45736" s="3" t="str">
        <f>IFERROR(__xludf.DUMMYFUNCTION("GOOGLETRANSLATE(A45736,""en"",""pt"")"),"Barato; acalmar a impressão; impressão de boa qualidade")</f>
        <v>Barato; acalmar a impressão; impressão de boa qualidade</v>
      </c>
      <c r="B45736" s="3">
        <v>1</v>
      </c>
    </row>
    <row r="45737" ht="15.75" customHeight="1" spans="1:2">
      <c r="A45737" s="3" t="str">
        <f>IFERROR(__xludf.DUMMYFUNCTION("GOOGLETRANSLATE(A45737,""en"",""pt"")"),"boa aparência???")</f>
        <v>boa aparência???</v>
      </c>
      <c r="B45737" s="3">
        <v>1</v>
      </c>
    </row>
    <row r="45738" ht="15.75" customHeight="1" spans="1:2">
      <c r="A45738" s="3" t="str">
        <f>IFERROR(__xludf.DUMMYFUNCTION("GOOGLETRANSLATE(A45738,""en"",""pt"")"),"Fácil de usar, boa aparência aparência, tamanho pequeno, impressões lindamente, preço excelente")</f>
        <v>Fácil de usar, boa aparência aparência, tamanho pequeno, impressões lindamente, preço excelente</v>
      </c>
      <c r="B45738" s="3">
        <v>1</v>
      </c>
    </row>
    <row r="45739" ht="15.75" customHeight="1" spans="1:2">
      <c r="A45739" s="3" t="str">
        <f>IFERROR(__xludf.DUMMYFUNCTION("GOOGLETRANSLATE(A45739,""en"",""pt"")"),"Grande qualidade de impressão de fotos, preço extremamente baixo de impressão")</f>
        <v>Grande qualidade de impressão de fotos, preço extremamente baixo de impressão</v>
      </c>
      <c r="B45739" s="3">
        <v>1</v>
      </c>
    </row>
    <row r="45740" ht="15.75" customHeight="1" spans="1:2">
      <c r="A45740" s="3" t="str">
        <f>IFERROR(__xludf.DUMMYFUNCTION("GOOGLETRANSLATE(A45740,""en"",""pt"")"),"Barato, excelente qualidade de texto.")</f>
        <v>Barato, excelente qualidade de texto.</v>
      </c>
      <c r="B45740" s="3">
        <v>1</v>
      </c>
    </row>
    <row r="45741" ht="15.75" customHeight="1" spans="1:2">
      <c r="A45741" s="3" t="str">
        <f>IFERROR(__xludf.DUMMYFUNCTION("GOOGLETRANSLATE(A45741,""en"",""pt"")"),"Fácil configuração, uma impressão rápida, impressão silenciosa, cartuchos fácil mudar")</f>
        <v>Fácil configuração, uma impressão rápida, impressão silenciosa, cartuchos fácil mudar</v>
      </c>
      <c r="B45741" s="3">
        <v>1</v>
      </c>
    </row>
    <row r="45742" ht="15.75" customHeight="1" spans="1:2">
      <c r="A45742" s="3" t="str">
        <f>IFERROR(__xludf.DUMMYFUNCTION("GOOGLETRANSLATE(A45742,""en"",""pt"")"),"Bom, Fast,")</f>
        <v>Bom, Fast,</v>
      </c>
      <c r="B45742" s="3">
        <v>1</v>
      </c>
    </row>
    <row r="45743" ht="15.75" customHeight="1" spans="1:2">
      <c r="A45743" s="3" t="str">
        <f>IFERROR(__xludf.DUMMYFUNCTION("GOOGLETRANSLATE(A45743,""en"",""pt"")"),"Qualidade de impressão; Rapidez; Valor")</f>
        <v>Qualidade de impressão; Rapidez; Valor</v>
      </c>
      <c r="B45743" s="3">
        <v>1</v>
      </c>
    </row>
    <row r="45744" ht="15.75" customHeight="1" spans="1:2">
      <c r="A45744" s="3" t="str">
        <f>IFERROR(__xludf.DUMMYFUNCTION("GOOGLETRANSLATE(A45744,""en"",""pt"")"),"Silencioso, rápido, parece bom")</f>
        <v>Silencioso, rápido, parece bom</v>
      </c>
      <c r="B45744" s="3">
        <v>1</v>
      </c>
    </row>
    <row r="45745" ht="15.75" customHeight="1" spans="1:2">
      <c r="A45745" s="3" t="str">
        <f>IFERROR(__xludf.DUMMYFUNCTION("GOOGLETRANSLATE(A45745,""en"",""pt"")"),"2400 x 1200 dpi para de fotos / gráficos; 600 x 600 dpi para texto; 4MB de RAM embutida")</f>
        <v>2400 x 1200 dpi para de fotos / gráficos; 600 x 600 dpi para texto; 4MB de RAM embutida</v>
      </c>
      <c r="B45745" s="3">
        <v>1</v>
      </c>
    </row>
    <row r="45746" ht="15.75" customHeight="1" spans="1:2">
      <c r="A45746" s="3" t="str">
        <f>IFERROR(__xludf.DUMMYFUNCTION("GOOGLETRANSLATE(A45746,""en"",""pt"")"),"Claros, os trabalhos de impressão de boa qualidade")</f>
        <v>Claros, os trabalhos de impressão de boa qualidade</v>
      </c>
      <c r="B45746" s="3">
        <v>1</v>
      </c>
    </row>
    <row r="45747" ht="15.75" customHeight="1" spans="1:2">
      <c r="A45747" s="3" t="str">
        <f>IFERROR(__xludf.DUMMYFUNCTION("GOOGLETRANSLATE(A45747,""en"",""pt"")"),"isto")</f>
        <v>isto</v>
      </c>
      <c r="B45747" s="3">
        <v>1</v>
      </c>
    </row>
    <row r="45748" ht="15.75" customHeight="1" spans="1:2">
      <c r="A45748" s="3" t="str">
        <f>IFERROR(__xludf.DUMMYFUNCTION("GOOGLETRANSLATE(A45748,""en"",""pt"")"),"HP Quality")</f>
        <v>HP Quality</v>
      </c>
      <c r="B45748" s="3">
        <v>1</v>
      </c>
    </row>
    <row r="45749" ht="15.75" customHeight="1" spans="1:2">
      <c r="A45749" s="3" t="str">
        <f>IFERROR(__xludf.DUMMYFUNCTION("GOOGLETRANSLATE(A45749,""en"",""pt"")"),"excelente qualidade, aparência física é boa, fácil de usar, Bom software")</f>
        <v>excelente qualidade, aparência física é boa, fácil de usar, Bom software</v>
      </c>
      <c r="B45749" s="3">
        <v>1</v>
      </c>
    </row>
    <row r="45750" ht="15.75" customHeight="1" spans="1:2">
      <c r="A45750" s="3" t="str">
        <f>IFERROR(__xludf.DUMMYFUNCTION("GOOGLETRANSLATE(A45750,""en"",""pt"")"),"rápida, tranquila e bonito")</f>
        <v>rápida, tranquila e bonito</v>
      </c>
      <c r="B45750" s="3">
        <v>1</v>
      </c>
    </row>
    <row r="45751" ht="15.75" customHeight="1" spans="1:2">
      <c r="A45751" s="3" t="str">
        <f>IFERROR(__xludf.DUMMYFUNCTION("GOOGLETRANSLATE(A45751,""en"",""pt"")"),"Cópias de qualidade maravilhosa, tranquila, fácil de usar")</f>
        <v>Cópias de qualidade maravilhosa, tranquila, fácil de usar</v>
      </c>
      <c r="B45751" s="3">
        <v>1</v>
      </c>
    </row>
    <row r="45752" ht="15.75" customHeight="1" spans="1:2">
      <c r="A45752" s="3" t="str">
        <f>IFERROR(__xludf.DUMMYFUNCTION("GOOGLETRANSLATE(A45752,""en"",""pt"")"),"Rápido, cor, imprime uma série de coisas")</f>
        <v>Rápido, cor, imprime uma série de coisas</v>
      </c>
      <c r="B45752" s="3">
        <v>1</v>
      </c>
    </row>
    <row r="45753" ht="15.75" customHeight="1" spans="1:2">
      <c r="A45753" s="3" t="str">
        <f>IFERROR(__xludf.DUMMYFUNCTION("GOOGLETRANSLATE(A45753,""en"",""pt"")"),"Olha grande, qualidade e preço!")</f>
        <v>Olha grande, qualidade e preço!</v>
      </c>
      <c r="B45753" s="3">
        <v>1</v>
      </c>
    </row>
    <row r="45754" ht="15.75" customHeight="1" spans="1:2">
      <c r="A45754" s="3" t="str">
        <f>IFERROR(__xludf.DUMMYFUNCTION("GOOGLETRANSLATE(A45754,""en"",""pt"")"),"Grande qualidade de impressão, bandeja de papel diversificada, impressora rápida, garantia e qualidade HP, baixo custo de consumíveis")</f>
        <v>Grande qualidade de impressão, bandeja de papel diversificada, impressora rápida, garantia e qualidade HP, baixo custo de consumíveis</v>
      </c>
      <c r="B45754" s="3">
        <v>1</v>
      </c>
    </row>
    <row r="45755" ht="15.75" customHeight="1" spans="1:2">
      <c r="A45755" s="3" t="str">
        <f>IFERROR(__xludf.DUMMYFUNCTION("GOOGLETRANSLATE(A45755,""en"",""pt"")"),"Costumava ser um scanner bem")</f>
        <v>Costumava ser um scanner bem</v>
      </c>
      <c r="B45755" s="3">
        <v>1</v>
      </c>
    </row>
    <row r="45756" ht="15.75" customHeight="1" spans="1:2">
      <c r="A45756" s="3" t="str">
        <f>IFERROR(__xludf.DUMMYFUNCTION("GOOGLETRANSLATE(A45756,""en"",""pt"")"),"de alta qualidade, rápido,")</f>
        <v>de alta qualidade, rápido,</v>
      </c>
      <c r="B45756" s="3">
        <v>1</v>
      </c>
    </row>
    <row r="45757" ht="15.75" customHeight="1" spans="1:2">
      <c r="A45757" s="3" t="str">
        <f>IFERROR(__xludf.DUMMYFUNCTION("GOOGLETRANSLATE(A45757,""en"",""pt"")"),"cores brilhantes e b / w impressão, imprime em papel tamanho da foto")</f>
        <v>cores brilhantes e b / w impressão, imprime em papel tamanho da foto</v>
      </c>
      <c r="B45757" s="3">
        <v>1</v>
      </c>
    </row>
    <row r="45758" ht="15.75" customHeight="1" spans="1:2">
      <c r="A45758" s="3" t="str">
        <f>IFERROR(__xludf.DUMMYFUNCTION("GOOGLETRANSLATE(A45758,""en"",""pt"")"),"Não sei")</f>
        <v>Não sei</v>
      </c>
      <c r="B45758" s="3">
        <v>1</v>
      </c>
    </row>
    <row r="45759" ht="15.75" customHeight="1" spans="1:2">
      <c r="A45759" s="3" t="str">
        <f>IFERROR(__xludf.DUMMYFUNCTION("GOOGLETRANSLATE(A45759,""en"",""pt"")"),"Otima qualidade")</f>
        <v>Otima qualidade</v>
      </c>
      <c r="B45759" s="3">
        <v>1</v>
      </c>
    </row>
    <row r="45760" ht="15.75" customHeight="1" spans="1:2">
      <c r="A45760" s="3" t="str">
        <f>IFERROR(__xludf.DUMMYFUNCTION("GOOGLETRANSLATE(A45760,""en"",""pt"")"),"Prints rapidamente, grande qualidade de cor para o preço, tranquila, boa aparência, simples de usar e configurar")</f>
        <v>Prints rapidamente, grande qualidade de cor para o preço, tranquila, boa aparência, simples de usar e configurar</v>
      </c>
      <c r="B45760" s="3">
        <v>1</v>
      </c>
    </row>
    <row r="45761" ht="15.75" customHeight="1" spans="1:2">
      <c r="A45761" s="3" t="str">
        <f>IFERROR(__xludf.DUMMYFUNCTION("GOOGLETRANSLATE(A45761,""en"",""pt"")"),"A impressão sólida, rápido, silencioso, vida longa cartucho")</f>
        <v>A impressão sólida, rápido, silencioso, vida longa cartucho</v>
      </c>
      <c r="B45761" s="3">
        <v>1</v>
      </c>
    </row>
    <row r="45762" ht="15.75" customHeight="1" spans="1:2">
      <c r="A45762" s="3" t="str">
        <f>IFERROR(__xludf.DUMMYFUNCTION("GOOGLETRANSLATE(A45762,""en"",""pt"")"),"velocidade, qualidade, nome")</f>
        <v>velocidade, qualidade, nome</v>
      </c>
      <c r="B45762" s="3">
        <v>1</v>
      </c>
    </row>
    <row r="45763" ht="15.75" customHeight="1" spans="1:2">
      <c r="A45763" s="3" t="str">
        <f>IFERROR(__xludf.DUMMYFUNCTION("GOOGLETRANSLATE(A45763,""en"",""pt"")"),"excelente qualidade de impressão em papel fotográfico, tranquila, laser azul afiado")</f>
        <v>excelente qualidade de impressão em papel fotográfico, tranquila, laser azul afiado</v>
      </c>
      <c r="B45763" s="3">
        <v>1</v>
      </c>
    </row>
    <row r="45764" ht="15.75" customHeight="1" spans="1:2">
      <c r="A45764" s="3" t="str">
        <f>IFERROR(__xludf.DUMMYFUNCTION("GOOGLETRANSLATE(A45764,""en"",""pt"")"),"Muito tranquila, fácil de configurar, personagens vivas e imagens.")</f>
        <v>Muito tranquila, fácil de configurar, personagens vivas e imagens.</v>
      </c>
      <c r="B45764" s="3">
        <v>1</v>
      </c>
    </row>
    <row r="45765" ht="15.75" customHeight="1" spans="1:2">
      <c r="A45765" s="3" t="str">
        <f>IFERROR(__xludf.DUMMYFUNCTION("GOOGLETRANSLATE(A45765,""en"",""pt"")"),"Eficiente e silencioso, de baixo custo")</f>
        <v>Eficiente e silencioso, de baixo custo</v>
      </c>
      <c r="B45765" s="3">
        <v>1</v>
      </c>
    </row>
    <row r="45766" ht="15.75" customHeight="1" spans="1:2">
      <c r="A45766" s="3" t="str">
        <f>IFERROR(__xludf.DUMMYFUNCTION("GOOGLETRANSLATE(A45766,""en"",""pt"")"),"Muito quieto. carga de papel frontal")</f>
        <v>Muito quieto. carga de papel frontal</v>
      </c>
      <c r="B45766" s="3">
        <v>1</v>
      </c>
    </row>
    <row r="45767" ht="15.75" customHeight="1" spans="1:2">
      <c r="A45767" s="3" t="str">
        <f>IFERROR(__xludf.DUMMYFUNCTION("GOOGLETRANSLATE(A45767,""en"",""pt"")"),"Grande qualidade da foto, a qualidade do texto média.")</f>
        <v>Grande qualidade da foto, a qualidade do texto média.</v>
      </c>
      <c r="B45767" s="3">
        <v>1</v>
      </c>
    </row>
    <row r="45768" ht="15.75" customHeight="1" spans="1:2">
      <c r="A45768" s="3" t="str">
        <f>IFERROR(__xludf.DUMMYFUNCTION("GOOGLETRANSLATE(A45768,""en"",""pt"")"),"Boa qualidade")</f>
        <v>Boa qualidade</v>
      </c>
      <c r="B45768" s="3">
        <v>1</v>
      </c>
    </row>
    <row r="45769" ht="15.75" customHeight="1" spans="1:2">
      <c r="A45769" s="3" t="str">
        <f>IFERROR(__xludf.DUMMYFUNCTION("GOOGLETRANSLATE(A45769,""en"",""pt"")"),"Qualidade de texto, Tamanho")</f>
        <v>Qualidade de texto, Tamanho</v>
      </c>
      <c r="B45769" s="3">
        <v>1</v>
      </c>
    </row>
    <row r="45770" ht="15.75" customHeight="1" spans="1:2">
      <c r="A45770" s="3" t="str">
        <f>IFERROR(__xludf.DUMMYFUNCTION("GOOGLETRANSLATE(A45770,""en"",""pt"")"),"Excelentes impressões, tranquila exceptionaly")</f>
        <v>Excelentes impressões, tranquila exceptionaly</v>
      </c>
      <c r="B45770" s="3">
        <v>1</v>
      </c>
    </row>
    <row r="45771" ht="15.75" customHeight="1" spans="1:2">
      <c r="A45771" s="3" t="str">
        <f>IFERROR(__xludf.DUMMYFUNCTION("GOOGLETRANSLATE(A45771,""en"",""pt"")"),"compacto, a qualidade da foto, tranquilo")</f>
        <v>compacto, a qualidade da foto, tranquilo</v>
      </c>
      <c r="B45771" s="3">
        <v>1</v>
      </c>
    </row>
    <row r="45772" ht="15.75" customHeight="1" spans="1:2">
      <c r="A45772" s="3" t="str">
        <f>IFERROR(__xludf.DUMMYFUNCTION("GOOGLETRANSLATE(A45772,""en"",""pt"")"),"Grande saída, mesmo em papel comum")</f>
        <v>Grande saída, mesmo em papel comum</v>
      </c>
      <c r="B45772" s="3">
        <v>1</v>
      </c>
    </row>
    <row r="45773" ht="15.75" customHeight="1" spans="1:2">
      <c r="A45773" s="3" t="str">
        <f>IFERROR(__xludf.DUMMYFUNCTION("GOOGLETRANSLATE(A45773,""en"",""pt"")"),"Astounding Foto-qualidade imprime, rápido, silencioso, elegante, econômico (tinta), versáteis")</f>
        <v>Astounding Foto-qualidade imprime, rápido, silencioso, elegante, econômico (tinta), versáteis</v>
      </c>
      <c r="B45773" s="3">
        <v>1</v>
      </c>
    </row>
    <row r="45774" ht="15.75" customHeight="1" spans="1:2">
      <c r="A45774" s="3" t="str">
        <f>IFERROR(__xludf.DUMMYFUNCTION("GOOGLETRANSLATE(A45774,""en"",""pt"")"),"custo razoável, rápido, grande qualidade, botão de cancelamento.")</f>
        <v>custo razoável, rápido, grande qualidade, botão de cancelamento.</v>
      </c>
      <c r="B45774" s="3">
        <v>1</v>
      </c>
    </row>
    <row r="45775" ht="15.75" customHeight="1" spans="1:2">
      <c r="A45775" s="3" t="str">
        <f>IFERROR(__xludf.DUMMYFUNCTION("GOOGLETRANSLATE(A45775,""en"",""pt"")"),"facilidade de uso e configuração, saída de alta qualidade, bastante elevado ppm")</f>
        <v>facilidade de uso e configuração, saída de alta qualidade, bastante elevado ppm</v>
      </c>
      <c r="B45775" s="3">
        <v>1</v>
      </c>
    </row>
    <row r="45776" ht="15.75" customHeight="1" spans="1:2">
      <c r="A45776" s="3" t="str">
        <f>IFERROR(__xludf.DUMMYFUNCTION("GOOGLETRANSLATE(A45776,""en"",""pt"")"),"Excelente qualidade de foto")</f>
        <v>Excelente qualidade de foto</v>
      </c>
      <c r="B45776" s="3">
        <v>1</v>
      </c>
    </row>
    <row r="45777" ht="15.75" customHeight="1" spans="1:2">
      <c r="A45777" s="3" t="str">
        <f>IFERROR(__xludf.DUMMYFUNCTION("GOOGLETRANSLATE(A45777,""en"",""pt"")"),"Impressão de qualidade para ambas as fotos e tipo é excelente")</f>
        <v>Impressão de qualidade para ambas as fotos e tipo é excelente</v>
      </c>
      <c r="B45777" s="3">
        <v>1</v>
      </c>
    </row>
    <row r="45778" ht="15.75" customHeight="1" spans="1:2">
      <c r="A45778" s="3" t="str">
        <f>IFERROR(__xludf.DUMMYFUNCTION("GOOGLETRANSLATE(A45778,""en"",""pt"")"),"grandes gráficos")</f>
        <v>grandes gráficos</v>
      </c>
      <c r="B45778" s="3">
        <v>1</v>
      </c>
    </row>
    <row r="45779" ht="15.75" customHeight="1" spans="1:2">
      <c r="A45779" s="3" t="str">
        <f>IFERROR(__xludf.DUMMYFUNCTION("GOOGLETRANSLATE(A45779,""en"",""pt"")"),"Velocidade / reprodução incrível foto")</f>
        <v>Velocidade / reprodução incrível foto</v>
      </c>
      <c r="B45779" s="3">
        <v>1</v>
      </c>
    </row>
    <row r="45780" ht="15.75" customHeight="1" spans="1:2">
      <c r="A45780" s="3" t="str">
        <f>IFERROR(__xludf.DUMMYFUNCTION("GOOGLETRANSLATE(A45780,""en"",""pt"")"),"qualidade fotos coloridas, rápido, silencioso")</f>
        <v>qualidade fotos coloridas, rápido, silencioso</v>
      </c>
      <c r="B45780" s="3">
        <v>1</v>
      </c>
    </row>
    <row r="45781" ht="15.75" customHeight="1" spans="1:2">
      <c r="A45781" s="3" t="str">
        <f>IFERROR(__xludf.DUMMYFUNCTION("GOOGLETRANSLATE(A45781,""en"",""pt"")"),"Fácil de usar, confiável, de boa qualidade.")</f>
        <v>Fácil de usar, confiável, de boa qualidade.</v>
      </c>
      <c r="B45781" s="3">
        <v>1</v>
      </c>
    </row>
    <row r="45782" ht="15.75" customHeight="1" spans="1:2">
      <c r="A45782" s="3" t="str">
        <f>IFERROR(__xludf.DUMMYFUNCTION("GOOGLETRANSLATE(A45782,""en"",""pt"")"),"Bom valor para o custo")</f>
        <v>Bom valor para o custo</v>
      </c>
      <c r="B45782" s="3">
        <v>1</v>
      </c>
    </row>
    <row r="45783" ht="15.75" customHeight="1" spans="1:2">
      <c r="A45783" s="3" t="str">
        <f>IFERROR(__xludf.DUMMYFUNCTION("GOOGLETRANSLATE(A45783,""en"",""pt"")"),"Rápido, de qualidade tranquila e boa foto")</f>
        <v>Rápido, de qualidade tranquila e boa foto</v>
      </c>
      <c r="B45783" s="3">
        <v>1</v>
      </c>
    </row>
    <row r="45784" ht="15.75" customHeight="1" spans="1:2">
      <c r="A45784" s="3" t="str">
        <f>IFERROR(__xludf.DUMMYFUNCTION("GOOGLETRANSLATE(A45784,""en"",""pt"")"),"Facilidade de set-up, a qualidade de fotos")</f>
        <v>Facilidade de set-up, a qualidade de fotos</v>
      </c>
      <c r="B45784" s="3">
        <v>1</v>
      </c>
    </row>
    <row r="45785" ht="15.75" customHeight="1" spans="1:2">
      <c r="A45785" s="3" t="str">
        <f>IFERROR(__xludf.DUMMYFUNCTION("GOOGLETRANSLATE(A45785,""en"",""pt"")"),"impressões muito nítidas e coloridas. Fácil de usar. Quieto. Rápido. Drop preço de US $ 100.")</f>
        <v>impressões muito nítidas e coloridas. Fácil de usar. Quieto. Rápido. Drop preço de US $ 100.</v>
      </c>
      <c r="B45785" s="3">
        <v>1</v>
      </c>
    </row>
    <row r="45786" ht="15.75" customHeight="1" spans="1:2">
      <c r="A45786" s="3" t="str">
        <f>IFERROR(__xludf.DUMMYFUNCTION("GOOGLETRANSLATE(A45786,""en"",""pt"")"),"print Super qualidade de fotos e texto!")</f>
        <v>print Super qualidade de fotos e texto!</v>
      </c>
      <c r="B45786" s="3">
        <v>1</v>
      </c>
    </row>
    <row r="45787" ht="15.75" customHeight="1" spans="1:2">
      <c r="A45787" s="3" t="str">
        <f>IFERROR(__xludf.DUMMYFUNCTION("GOOGLETRANSLATE(A45787,""en"",""pt"")"),"qualidade de saída agradável, silencioso, rápido")</f>
        <v>qualidade de saída agradável, silencioso, rápido</v>
      </c>
      <c r="B45787" s="3">
        <v>1</v>
      </c>
    </row>
    <row r="45788" ht="15.75" customHeight="1" spans="1:2">
      <c r="A45788" s="3" t="str">
        <f>IFERROR(__xludf.DUMMYFUNCTION("GOOGLETRANSLATE(A45788,""en"",""pt"")"),"imagens soberbas de todos os tipos. Os cartuchos são um valor bom &amp; amp;. # 13; &amp; amp; # 10;")</f>
        <v>imagens soberbas de todos os tipos. Os cartuchos são um valor bom &amp; amp;. # 13; &amp; amp; # 10;</v>
      </c>
      <c r="B45788" s="3">
        <v>1</v>
      </c>
    </row>
    <row r="45789" ht="15.75" customHeight="1" spans="1:2">
      <c r="A45789" s="3" t="str">
        <f>IFERROR(__xludf.DUMMYFUNCTION("GOOGLETRANSLATE(A45789,""en"",""pt"")"),"Silencioso, rápido, fácil de usar")</f>
        <v>Silencioso, rápido, fácil de usar</v>
      </c>
      <c r="B45789" s="3">
        <v>1</v>
      </c>
    </row>
    <row r="45790" ht="15.75" customHeight="1" spans="1:2">
      <c r="A45790" s="3" t="str">
        <f>IFERROR(__xludf.DUMMYFUNCTION("GOOGLETRANSLATE(A45790,""en"",""pt"")"),"boa impressão regular e fotos de qualidade")</f>
        <v>boa impressão regular e fotos de qualidade</v>
      </c>
      <c r="B45790" s="3">
        <v>1</v>
      </c>
    </row>
    <row r="45791" ht="15.75" customHeight="1" spans="1:2">
      <c r="A45791" s="3" t="str">
        <f>IFERROR(__xludf.DUMMYFUNCTION("GOOGLETRANSLATE(A45791,""en"",""pt"")"),"Excelente qualidade de impressão, rápido, bom software incluído, Quieto, barato para operar.")</f>
        <v>Excelente qualidade de impressão, rápido, bom software incluído, Quieto, barato para operar.</v>
      </c>
      <c r="B45791" s="3">
        <v>1</v>
      </c>
    </row>
    <row r="45792" ht="15.75" customHeight="1" spans="1:2">
      <c r="A45792" s="3" t="s">
        <v>220</v>
      </c>
      <c r="B45792" s="3">
        <v>1</v>
      </c>
    </row>
    <row r="45793" ht="15.75" customHeight="1" spans="1:2">
      <c r="A45793" s="3" t="str">
        <f>IFERROR(__xludf.DUMMYFUNCTION("GOOGLETRANSLATE(A45793,""en"",""pt"")"),"Excelente modo de cor.")</f>
        <v>Excelente modo de cor.</v>
      </c>
      <c r="B45793" s="3">
        <v>1</v>
      </c>
    </row>
    <row r="45794" ht="15.75" customHeight="1" spans="1:2">
      <c r="A45794" s="3" t="str">
        <f>IFERROR(__xludf.DUMMYFUNCTION("GOOGLETRANSLATE(A45794,""en"",""pt"")"),"Um monte de recursos. impressão de qualidade.")</f>
        <v>Um monte de recursos. impressão de qualidade.</v>
      </c>
      <c r="B45794" s="3">
        <v>1</v>
      </c>
    </row>
    <row r="45795" ht="15.75" customHeight="1" spans="1:2">
      <c r="A45795" s="3" t="str">
        <f>IFERROR(__xludf.DUMMYFUNCTION("GOOGLETRANSLATE(A45795,""en"",""pt"")"),"Tamanho, velocidade, qualidade, aparência, características, tipos de conexão (USB, paralela)")</f>
        <v>Tamanho, velocidade, qualidade, aparência, características, tipos de conexão (USB, paralela)</v>
      </c>
      <c r="B45795" s="3">
        <v>1</v>
      </c>
    </row>
    <row r="45796" ht="15.75" customHeight="1" spans="1:2">
      <c r="A45796" s="3" t="str">
        <f>IFERROR(__xludf.DUMMYFUNCTION("GOOGLETRANSLATE(A45796,""en"",""pt"")"),"Fácil, nunca tive qualquer problema com ele.")</f>
        <v>Fácil, nunca tive qualquer problema com ele.</v>
      </c>
      <c r="B45796" s="3">
        <v>1</v>
      </c>
    </row>
    <row r="45797" ht="15.75" customHeight="1" spans="1:2">
      <c r="A45797" s="3" t="str">
        <f>IFERROR(__xludf.DUMMYFUNCTION("GOOGLETRANSLATE(A45797,""en"",""pt"")"),"papel pedaços de forma rápida e eficiente")</f>
        <v>papel pedaços de forma rápida e eficiente</v>
      </c>
      <c r="B45797" s="3">
        <v>1</v>
      </c>
    </row>
    <row r="45798" ht="15.75" customHeight="1" spans="1:2">
      <c r="A45798" s="3" t="str">
        <f>IFERROR(__xludf.DUMMYFUNCTION("GOOGLETRANSLATE(A45798,""en"",""pt"")"),"Rápido, boa qualidade de impressão, instalação fácil, 8mb garantia built-in memória de 1 ano.")</f>
        <v>Rápido, boa qualidade de impressão, instalação fácil, 8mb garantia built-in memória de 1 ano.</v>
      </c>
      <c r="B45798" s="3">
        <v>1</v>
      </c>
    </row>
    <row r="45799" ht="15.75" customHeight="1" spans="1:2">
      <c r="A45799" s="3" t="str">
        <f>IFERROR(__xludf.DUMMYFUNCTION("GOOGLETRANSLATE(A45799,""en"",""pt"")"),"impressão de fotos de grande qualidade")</f>
        <v>impressão de fotos de grande qualidade</v>
      </c>
      <c r="B45799" s="3">
        <v>1</v>
      </c>
    </row>
    <row r="45800" ht="15.75" customHeight="1" spans="1:2">
      <c r="A45800" s="3" t="str">
        <f>IFERROR(__xludf.DUMMYFUNCTION("GOOGLETRANSLATE(A45800,""en"",""pt"")"),"impressões de grande qualidade foto")</f>
        <v>impressões de grande qualidade foto</v>
      </c>
      <c r="B45800" s="3">
        <v>1</v>
      </c>
    </row>
    <row r="45801" ht="15.75" customHeight="1" spans="1:2">
      <c r="A45801" s="3" t="str">
        <f>IFERROR(__xludf.DUMMYFUNCTION("GOOGLETRANSLATE(A45801,""en"",""pt"")"),"Grande qualidade de foto Cartões, barato em tinta a longo prazo.")</f>
        <v>Grande qualidade de foto Cartões, barato em tinta a longo prazo.</v>
      </c>
      <c r="B45801" s="3">
        <v>1</v>
      </c>
    </row>
    <row r="45802" ht="15.75" customHeight="1" spans="1:2">
      <c r="A45802" s="3" t="str">
        <f>IFERROR(__xludf.DUMMYFUNCTION("GOOGLETRANSLATE(A45802,""en"",""pt"")"),"Fácil de usar, excelentes resultados")</f>
        <v>Fácil de usar, excelentes resultados</v>
      </c>
      <c r="B45802" s="3">
        <v>1</v>
      </c>
    </row>
    <row r="45803" ht="15.75" customHeight="1" spans="1:2">
      <c r="A45803" s="3" t="str">
        <f>IFERROR(__xludf.DUMMYFUNCTION("GOOGLETRANSLATE(A45803,""en"",""pt"")"),"Impressões precisas Pictures (em cor e preto / branco), fácil de usar e eficiente.")</f>
        <v>Impressões precisas Pictures (em cor e preto / branco), fácil de usar e eficiente.</v>
      </c>
      <c r="B45803" s="3">
        <v>1</v>
      </c>
    </row>
    <row r="45804" ht="15.75" customHeight="1" spans="1:2">
      <c r="A45804" s="3" t="str">
        <f>IFERROR(__xludf.DUMMYFUNCTION("GOOGLETRANSLATE(A45804,""en"",""pt"")"),"efeitos sonoros desordenadas no escritório. Impresso horas do dia para que todos pudessem dormir.")</f>
        <v>efeitos sonoros desordenadas no escritório. Impresso horas do dia para que todos pudessem dormir.</v>
      </c>
      <c r="B45804" s="3">
        <v>1</v>
      </c>
    </row>
    <row r="45805" ht="15.75" customHeight="1" spans="1:2">
      <c r="A45805" s="3" t="str">
        <f>IFERROR(__xludf.DUMMYFUNCTION("GOOGLETRANSLATE(A45805,""en"",""pt"")"),"qualidade, preço, design agradável, Foto Ret III &amp; amp; # 133;")</f>
        <v>qualidade, preço, design agradável, Foto Ret III &amp; amp; # 133;</v>
      </c>
      <c r="B45805" s="3">
        <v>1</v>
      </c>
    </row>
    <row r="45806" ht="15.75" customHeight="1" spans="1:2">
      <c r="A45806" s="3" t="str">
        <f>IFERROR(__xludf.DUMMYFUNCTION("GOOGLETRANSLATE(A45806,""en"",""pt"")"),"Alta Qualidade impressões a cores")</f>
        <v>Alta Qualidade impressões a cores</v>
      </c>
      <c r="B45806" s="3">
        <v>1</v>
      </c>
    </row>
    <row r="45807" ht="15.75" customHeight="1" spans="1:2">
      <c r="A45807" s="3" t="str">
        <f>IFERROR(__xludf.DUMMYFUNCTION("GOOGLETRANSLATE(A45807,""en"",""pt"")"),"Rápido, custo relativamente baixo")</f>
        <v>Rápido, custo relativamente baixo</v>
      </c>
      <c r="B45807" s="3">
        <v>1</v>
      </c>
    </row>
    <row r="45808" ht="15.75" customHeight="1" spans="1:2">
      <c r="A45808" s="3" t="str">
        <f>IFERROR(__xludf.DUMMYFUNCTION("GOOGLETRANSLATE(A45808,""en"",""pt"")"),"Ela imprime rápido, fácil de configurar, a qualidade de impressão é grande, e Indicador de tinta")</f>
        <v>Ela imprime rápido, fácil de configurar, a qualidade de impressão é grande, e Indicador de tinta</v>
      </c>
      <c r="B45808" s="3">
        <v>1</v>
      </c>
    </row>
    <row r="45809" ht="15.75" customHeight="1" spans="1:2">
      <c r="A45809" s="3" t="str">
        <f>IFERROR(__xludf.DUMMYFUNCTION("GOOGLETRANSLATE(A45809,""en"",""pt"")"),"Printer OK para o aluno / 1 utilizador tempo")</f>
        <v>Printer OK para o aluno / 1 utilizador tempo</v>
      </c>
      <c r="B45809" s="3">
        <v>1</v>
      </c>
    </row>
    <row r="45810" ht="15.75" customHeight="1" spans="1:2">
      <c r="A45810" s="3" t="str">
        <f>IFERROR(__xludf.DUMMYFUNCTION("GOOGLETRANSLATE(A45810,""en"",""pt"")"),"Muito rápido, resistente, possui uma bandeja de papel grande, preço razoável.")</f>
        <v>Muito rápido, resistente, possui uma bandeja de papel grande, preço razoável.</v>
      </c>
      <c r="B45810" s="3">
        <v>1</v>
      </c>
    </row>
    <row r="45811" ht="15.75" customHeight="1" spans="1:2">
      <c r="A45811" s="3" t="str">
        <f>IFERROR(__xludf.DUMMYFUNCTION("GOOGLETRANSLATE(A45811,""en"",""pt"")"),"Facilidade de uso, o software instalado sem problemas.")</f>
        <v>Facilidade de uso, o software instalado sem problemas.</v>
      </c>
      <c r="B45811" s="3">
        <v>1</v>
      </c>
    </row>
    <row r="45812" ht="15.75" customHeight="1" spans="1:2">
      <c r="A45812" s="3" t="str">
        <f>IFERROR(__xludf.DUMMYFUNCTION("GOOGLETRANSLATE(A45812,""en"",""pt"")"),"Grande qualidade de impressão, velocidade de laser-like, consumíveis de impressão de baixo custo.")</f>
        <v>Grande qualidade de impressão, velocidade de laser-like, consumíveis de impressão de baixo custo.</v>
      </c>
      <c r="B45812" s="3">
        <v>1</v>
      </c>
    </row>
    <row r="45813" ht="15.75" customHeight="1" spans="1:2">
      <c r="A45813" s="3" t="str">
        <f>IFERROR(__xludf.DUMMYFUNCTION("GOOGLETRANSLATE(A45813,""en"",""pt"")"),"Excelente qualidade, rápido e confiável. Você tem que obter esta impressora!")</f>
        <v>Excelente qualidade, rápido e confiável. Você tem que obter esta impressora!</v>
      </c>
      <c r="B45813" s="3">
        <v>1</v>
      </c>
    </row>
    <row r="45814" ht="15.75" customHeight="1" spans="1:2">
      <c r="A45814" s="3" t="s">
        <v>221</v>
      </c>
      <c r="B45814" s="3">
        <v>1</v>
      </c>
    </row>
    <row r="45815" ht="15.75" customHeight="1" spans="1:2">
      <c r="A45815" s="3" t="str">
        <f>IFERROR(__xludf.DUMMYFUNCTION("GOOGLETRANSLATE(A45815,""en"",""pt"")"),"Rápido e grande resolução")</f>
        <v>Rápido e grande resolução</v>
      </c>
      <c r="B45815" s="3">
        <v>1</v>
      </c>
    </row>
    <row r="45816" ht="15.75" customHeight="1" spans="1:2">
      <c r="A45816" s="3" t="str">
        <f>IFERROR(__xludf.DUMMYFUNCTION("GOOGLETRANSLATE(A45816,""en"",""pt"")"),"A qualidade de impressão, velocidade, não é realmente caro")</f>
        <v>A qualidade de impressão, velocidade, não é realmente caro</v>
      </c>
      <c r="B45816" s="3">
        <v>1</v>
      </c>
    </row>
    <row r="45817" ht="15.75" customHeight="1" spans="1:2">
      <c r="A45817" s="3" t="str">
        <f>IFERROR(__xludf.DUMMYFUNCTION("GOOGLETRANSLATE(A45817,""en"",""pt"")"),"Grande impressão de qualidade para PrintJobs diárias e fotos.")</f>
        <v>Grande impressão de qualidade para PrintJobs diárias e fotos.</v>
      </c>
      <c r="B45817" s="3">
        <v>1</v>
      </c>
    </row>
    <row r="45818" ht="15.75" customHeight="1" spans="1:2">
      <c r="A45818" s="3" t="str">
        <f>IFERROR(__xludf.DUMMYFUNCTION("GOOGLETRANSLATE(A45818,""en"",""pt"")"),"impressão rápida, excelente qualidade, Quiet and Great Price")</f>
        <v>impressão rápida, excelente qualidade, Quiet and Great Price</v>
      </c>
      <c r="B45818" s="3">
        <v>1</v>
      </c>
    </row>
    <row r="45819" ht="15.75" customHeight="1" spans="1:2">
      <c r="A45819" s="3" t="str">
        <f>IFERROR(__xludf.DUMMYFUNCTION("GOOGLETRANSLATE(A45819,""en"",""pt"")"),"PPM decente, qualidade de cor, paralela ou USB capaz, opções agradáveis")</f>
        <v>PPM decente, qualidade de cor, paralela ou USB capaz, opções agradáveis</v>
      </c>
      <c r="B45819" s="3">
        <v>1</v>
      </c>
    </row>
    <row r="45820" ht="15.75" customHeight="1" spans="1:2">
      <c r="A45820" s="3" t="str">
        <f>IFERROR(__xludf.DUMMYFUNCTION("GOOGLETRANSLATE(A45820,""en"",""pt"")"),"Fantástico cores impressão de fotos, sensor Auto-papel, impressão rápida")</f>
        <v>Fantástico cores impressão de fotos, sensor Auto-papel, impressão rápida</v>
      </c>
      <c r="B45820" s="3">
        <v>1</v>
      </c>
    </row>
    <row r="45821" ht="15.75" customHeight="1" spans="1:2">
      <c r="A45821" s="3" t="str">
        <f>IFERROR(__xludf.DUMMYFUNCTION("GOOGLETRANSLATE(A45821,""en"",""pt"")"),"Grande impressão acelera tanto B &amp; amp; W / Color. qualidade da foto Crisp")</f>
        <v>Grande impressão acelera tanto B &amp; amp; W / Color. qualidade da foto Crisp</v>
      </c>
      <c r="B45821" s="3">
        <v>1</v>
      </c>
    </row>
    <row r="45822" ht="15.75" customHeight="1" spans="1:2">
      <c r="A45822" s="3" t="str">
        <f>IFERROR(__xludf.DUMMYFUNCTION("GOOGLETRANSLATE(A45822,""en"",""pt"")"),"Uma impressora muito rápido com qualidade de foto brilhante.")</f>
        <v>Uma impressora muito rápido com qualidade de foto brilhante.</v>
      </c>
      <c r="B45822" s="3">
        <v>1</v>
      </c>
    </row>
    <row r="45823" ht="15.75" customHeight="1" spans="1:2">
      <c r="A45823" s="3" t="str">
        <f>IFERROR(__xludf.DUMMYFUNCTION("GOOGLETRANSLATE(A45823,""en"",""pt"")"),"Rápido, saída de alta qualidade a um preço acessível!")</f>
        <v>Rápido, saída de alta qualidade a um preço acessível!</v>
      </c>
      <c r="B45823" s="3">
        <v>1</v>
      </c>
    </row>
    <row r="45824" ht="15.75" customHeight="1" spans="1:2">
      <c r="A45824" s="3" t="str">
        <f>IFERROR(__xludf.DUMMYFUNCTION("GOOGLETRANSLATE(A45824,""en"",""pt"")"),"Grande qualidade de impressão, velocidade de laser-like, consumíveis de impressão de baixo custo.")</f>
        <v>Grande qualidade de impressão, velocidade de laser-like, consumíveis de impressão de baixo custo.</v>
      </c>
      <c r="B45824" s="3">
        <v>1</v>
      </c>
    </row>
    <row r="45825" ht="15.75" customHeight="1" spans="1:2">
      <c r="A45825" s="3" t="str">
        <f>IFERROR(__xludf.DUMMYFUNCTION("GOOGLETRANSLATE(A45825,""en"",""pt"")"),"belas fotos a um bom preço")</f>
        <v>belas fotos a um bom preço</v>
      </c>
      <c r="B45825" s="3">
        <v>1</v>
      </c>
    </row>
    <row r="45826" ht="15.75" customHeight="1" spans="1:2">
      <c r="A45826" s="3" t="str">
        <f>IFERROR(__xludf.DUMMYFUNCTION("GOOGLETRANSLATE(A45826,""en"",""pt"")"),"Limpar texto preto; Belos gráficos e impressões de fotografias; construção sólida e bandeja de papel de 150 folhas.")</f>
        <v>Limpar texto preto; Belos gráficos e impressões de fotografias; construção sólida e bandeja de papel de 150 folhas.</v>
      </c>
      <c r="B45826" s="3">
        <v>1</v>
      </c>
    </row>
    <row r="45827" ht="15.75" customHeight="1" spans="1:2">
      <c r="A45827" s="3" t="str">
        <f>IFERROR(__xludf.DUMMYFUNCTION("GOOGLETRANSLATE(A45827,""en"",""pt"")"),"Velocidade, uso de uso, configuração rápida, impressão frente e verso.")</f>
        <v>Velocidade, uso de uso, configuração rápida, impressão frente e verso.</v>
      </c>
      <c r="B45827" s="3">
        <v>1</v>
      </c>
    </row>
    <row r="45828" ht="15.75" customHeight="1" spans="1:2">
      <c r="A45828" s="3" t="str">
        <f>IFERROR(__xludf.DUMMYFUNCTION("GOOGLETRANSLATE(A45828,""en"",""pt"")"),"qualidade de saída, velocidade, duplex")</f>
        <v>qualidade de saída, velocidade, duplex</v>
      </c>
      <c r="B45828" s="3">
        <v>1</v>
      </c>
    </row>
    <row r="45829" ht="15.75" customHeight="1" spans="1:2">
      <c r="A45829" s="3" t="str">
        <f>IFERROR(__xludf.DUMMYFUNCTION("GOOGLETRANSLATE(A45829,""en"",""pt"")"),"saída de texto rápido e repro fotográfica superior.")</f>
        <v>saída de texto rápido e repro fotográfica superior.</v>
      </c>
      <c r="B45829" s="3">
        <v>1</v>
      </c>
    </row>
    <row r="45830" ht="15.75" customHeight="1" spans="1:2">
      <c r="A45830" s="3" t="str">
        <f>IFERROR(__xludf.DUMMYFUNCTION("GOOGLETRANSLATE(A45830,""en"",""pt"")"),"plug-and-play, impressão frente e verso, a saída de cores, design bonito, tranquilidade")</f>
        <v>plug-and-play, impressão frente e verso, a saída de cores, design bonito, tranquilidade</v>
      </c>
      <c r="B45830" s="3">
        <v>1</v>
      </c>
    </row>
    <row r="45831" ht="15.75" customHeight="1" spans="1:2">
      <c r="A45831" s="3" t="str">
        <f>IFERROR(__xludf.DUMMYFUNCTION("GOOGLETRANSLATE(A45831,""en"",""pt"")"),"excelente cor e qualidade de impressão preto, compacto, com preços moderados")</f>
        <v>excelente cor e qualidade de impressão preto, compacto, com preços moderados</v>
      </c>
      <c r="B45831" s="3">
        <v>1</v>
      </c>
    </row>
    <row r="45832" ht="15.75" customHeight="1" spans="1:2">
      <c r="A45832" s="3" t="str">
        <f>IFERROR(__xludf.DUMMYFUNCTION("GOOGLETRANSLATE(A45832,""en"",""pt"")"),"Duplos de impressão, silencioso ,, Estável")</f>
        <v>Duplos de impressão, silencioso ,, Estável</v>
      </c>
      <c r="B45832" s="3">
        <v>1</v>
      </c>
    </row>
    <row r="45833" ht="15.75" customHeight="1" spans="1:2">
      <c r="A45833" s="3" t="str">
        <f>IFERROR(__xludf.DUMMYFUNCTION("GOOGLETRANSLATE(A45833,""en"",""pt"")"),"Excelente qualidade de impressão, rápida")</f>
        <v>Excelente qualidade de impressão, rápida</v>
      </c>
      <c r="B45833" s="3">
        <v>1</v>
      </c>
    </row>
    <row r="45834" ht="15.75" customHeight="1" spans="1:2">
      <c r="A45834" s="3" t="str">
        <f>IFERROR(__xludf.DUMMYFUNCTION("GOOGLETRANSLATE(A45834,""en"",""pt"")"),"impressão muito rápido")</f>
        <v>impressão muito rápido</v>
      </c>
      <c r="B45834" s="3">
        <v>1</v>
      </c>
    </row>
    <row r="45835" ht="15.75" customHeight="1" spans="1:2">
      <c r="A45835" s="3" t="str">
        <f>IFERROR(__xludf.DUMMYFUNCTION("GOOGLETRANSLATE(A45835,""en"",""pt"")"),"impressão muito boa qualidade")</f>
        <v>impressão muito boa qualidade</v>
      </c>
      <c r="B45835" s="3">
        <v>1</v>
      </c>
    </row>
    <row r="45836" ht="15.75" customHeight="1" spans="1:2">
      <c r="A45836" s="3" t="str">
        <f>IFERROR(__xludf.DUMMYFUNCTION("GOOGLETRANSLATE(A45836,""en"",""pt"")"),"Qualidade e precisão")</f>
        <v>Qualidade e precisão</v>
      </c>
      <c r="B45836" s="3">
        <v>1</v>
      </c>
    </row>
    <row r="45837" ht="15.75" customHeight="1" spans="1:2">
      <c r="A45837" s="3" t="str">
        <f>IFERROR(__xludf.DUMMYFUNCTION("GOOGLETRANSLATE(A45837,""en"",""pt"")"),"saída muito agradável. Quieto. alimentação de papel funciona bem. Full-duplex.")</f>
        <v>saída muito agradável. Quieto. alimentação de papel funciona bem. Full-duplex.</v>
      </c>
      <c r="B45837" s="3">
        <v>1</v>
      </c>
    </row>
    <row r="45838" ht="15.75" customHeight="1" spans="1:2">
      <c r="A45838" s="3" t="str">
        <f>IFERROR(__xludf.DUMMYFUNCTION("GOOGLETRANSLATE(A45838,""en"",""pt"")"),"Boa qualidade de impressão, fáceis recursos extras, Quieto, efficeint custo, bem desenhado")</f>
        <v>Boa qualidade de impressão, fáceis recursos extras, Quieto, efficeint custo, bem desenhado</v>
      </c>
      <c r="B45838" s="3">
        <v>1</v>
      </c>
    </row>
    <row r="45839" ht="15.75" customHeight="1" spans="1:2">
      <c r="A45839" s="3" t="str">
        <f>IFERROR(__xludf.DUMMYFUNCTION("GOOGLETRANSLATE(A45839,""en"",""pt"")"),"Qualidade ... velocidade ...")</f>
        <v>Qualidade ... velocidade ...</v>
      </c>
      <c r="B45839" s="3">
        <v>1</v>
      </c>
    </row>
    <row r="45840" ht="15.75" customHeight="1" spans="1:2">
      <c r="A45840" s="3" t="str">
        <f>IFERROR(__xludf.DUMMYFUNCTION("GOOGLETRANSLATE(A45840,""en"",""pt"")"),"B &amp; amp; amp; W Qualidade de impressão, velocidade, fiabilidade, silencioso, e de longa duração cartuchos de tinta")</f>
        <v>B &amp; amp; amp; W Qualidade de impressão, velocidade, fiabilidade, silencioso, e de longa duração cartuchos de tinta</v>
      </c>
      <c r="B45840" s="3">
        <v>1</v>
      </c>
    </row>
    <row r="45841" ht="15.75" customHeight="1" spans="1:2">
      <c r="A45841" s="3" t="str">
        <f>IFERROR(__xludf.DUMMYFUNCTION("GOOGLETRANSLATE(A45841,""en"",""pt"")"),"resolução, velocidade, tecnologia")</f>
        <v>resolução, velocidade, tecnologia</v>
      </c>
      <c r="B45841" s="3">
        <v>1</v>
      </c>
    </row>
    <row r="45842" ht="15.75" customHeight="1" spans="1:2">
      <c r="A45842" s="3" t="str">
        <f>IFERROR(__xludf.DUMMYFUNCTION("GOOGLETRANSLATE(A45842,""en"",""pt"")"),"grande qualidade de impressão, grandes recursos de anúncios")</f>
        <v>grande qualidade de impressão, grandes recursos de anúncios</v>
      </c>
      <c r="B45842" s="3">
        <v>1</v>
      </c>
    </row>
    <row r="45843" ht="15.75" customHeight="1" spans="1:2">
      <c r="A45843" s="3" t="str">
        <f>IFERROR(__xludf.DUMMYFUNCTION("GOOGLETRANSLATE(A45843,""en"",""pt"")"),"Velocidade, baixo nível de ruído, alinhamento do cartucho de auto, construção geral")</f>
        <v>Velocidade, baixo nível de ruído, alinhamento do cartucho de auto, construção geral</v>
      </c>
      <c r="B45843" s="3">
        <v>1</v>
      </c>
    </row>
    <row r="45844" ht="15.75" customHeight="1" spans="1:2">
      <c r="A45844" s="3" t="str">
        <f>IFERROR(__xludf.DUMMYFUNCTION("GOOGLETRANSLATE(A45844,""en"",""pt"")"),"impressão rápida, a qualidade da foto")</f>
        <v>impressão rápida, a qualidade da foto</v>
      </c>
      <c r="B45844" s="3">
        <v>1</v>
      </c>
    </row>
    <row r="45845" ht="15.75" customHeight="1" spans="1:2">
      <c r="A45845" s="3" t="str">
        <f>IFERROR(__xludf.DUMMYFUNCTION("GOOGLETRANSLATE(A45845,""en"",""pt"")"),"vivas coloridas, texto nítido")</f>
        <v>vivas coloridas, texto nítido</v>
      </c>
      <c r="B45845" s="3">
        <v>1</v>
      </c>
    </row>
    <row r="45846" ht="15.75" customHeight="1" spans="1:2">
      <c r="A45846" s="3" t="str">
        <f>IFERROR(__xludf.DUMMYFUNCTION("GOOGLETRANSLATE(A45846,""en"",""pt"")"),"recurso de impressão frente e verso")</f>
        <v>recurso de impressão frente e verso</v>
      </c>
      <c r="B45846" s="3">
        <v>1</v>
      </c>
    </row>
    <row r="45847" ht="15.75" customHeight="1" spans="1:2">
      <c r="A45847" s="3" t="str">
        <f>IFERROR(__xludf.DUMMYFUNCTION("GOOGLETRANSLATE(A45847,""en"",""pt"")"),"nítidas, foto clara impressões realistas")</f>
        <v>nítidas, foto clara impressões realistas</v>
      </c>
      <c r="B45847" s="3">
        <v>1</v>
      </c>
    </row>
    <row r="45848" ht="15.75" customHeight="1" spans="1:2">
      <c r="A45848" s="3" t="str">
        <f>IFERROR(__xludf.DUMMYFUNCTION("GOOGLETRANSLATE(A45848,""en"",""pt"")"),"custo da tinta, impressão 2X.")</f>
        <v>custo da tinta, impressão 2X.</v>
      </c>
      <c r="B45848" s="3">
        <v>1</v>
      </c>
    </row>
    <row r="45849" ht="15.75" customHeight="1" spans="1:2">
      <c r="A45849" s="3" t="str">
        <f>IFERROR(__xludf.DUMMYFUNCTION("GOOGLETRANSLATE(A45849,""en"",""pt"")"),"qualidade de impressão, relativamente rápido, Duplex incluídos, grandes fotos!")</f>
        <v>qualidade de impressão, relativamente rápido, Duplex incluídos, grandes fotos!</v>
      </c>
      <c r="B45849" s="3">
        <v>1</v>
      </c>
    </row>
    <row r="45850" ht="15.75" customHeight="1" spans="1:2">
      <c r="A45850" s="3" t="str">
        <f>IFERROR(__xludf.DUMMYFUNCTION("GOOGLETRANSLATE(A45850,""en"",""pt"")"),"Rápido, a impressão a cores de alta qualidade.")</f>
        <v>Rápido, a impressão a cores de alta qualidade.</v>
      </c>
      <c r="B45850" s="3">
        <v>1</v>
      </c>
    </row>
    <row r="45851" ht="15.75" customHeight="1" spans="1:2">
      <c r="A45851" s="3" t="str">
        <f>IFERROR(__xludf.DUMMYFUNCTION("GOOGLETRANSLATE(A45851,""en"",""pt"")"),"Grande qualidade da foto. Muito fácil de usar.")</f>
        <v>Grande qualidade da foto. Muito fácil de usar.</v>
      </c>
      <c r="B45851" s="3">
        <v>1</v>
      </c>
    </row>
    <row r="45852" ht="15.75" customHeight="1" spans="1:2">
      <c r="A45852" s="3" t="str">
        <f>IFERROR(__xludf.DUMMYFUNCTION("GOOGLETRANSLATE(A45852,""en"",""pt"")"),"saída de qualidade, fácil de usar, acessível, ótimo suporte da HP")</f>
        <v>saída de qualidade, fácil de usar, acessível, ótimo suporte da HP</v>
      </c>
      <c r="B45852" s="3">
        <v>1</v>
      </c>
    </row>
    <row r="45853" ht="15.75" customHeight="1" spans="1:2">
      <c r="A45853" s="3" t="str">
        <f>IFERROR(__xludf.DUMMYFUNCTION("GOOGLETRANSLATE(A45853,""en"",""pt"")"),"Auto dupla face recurso, tranquila, um design elegante.")</f>
        <v>Auto dupla face recurso, tranquila, um design elegante.</v>
      </c>
      <c r="B45853" s="3">
        <v>1</v>
      </c>
    </row>
    <row r="45854" ht="15.75" customHeight="1" spans="1:2">
      <c r="A45854" s="3" t="str">
        <f>IFERROR(__xludf.DUMMYFUNCTION("GOOGLETRANSLATE(A45854,""en"",""pt"")"),"Excelente qualidade de imagem! impressão frente e verso")</f>
        <v>Excelente qualidade de imagem! impressão frente e verso</v>
      </c>
      <c r="B45854" s="3">
        <v>1</v>
      </c>
    </row>
    <row r="45855" ht="15.75" customHeight="1" spans="1:2">
      <c r="A45855" s="3" t="str">
        <f>IFERROR(__xludf.DUMMYFUNCTION("GOOGLETRANSLATE(A45855,""en"",""pt"")"),"velocidade, qualidade de impressão")</f>
        <v>velocidade, qualidade de impressão</v>
      </c>
      <c r="B45855" s="3">
        <v>1</v>
      </c>
    </row>
    <row r="45856" ht="15.75" customHeight="1" spans="1:2">
      <c r="A45856" s="3" t="str">
        <f>IFERROR(__xludf.DUMMYFUNCTION("GOOGLETRANSLATE(A45856,""en"",""pt"")"),"sharp-clara impressão / super tranquilo. fácil de set-up")</f>
        <v>sharp-clara impressão / super tranquilo. fácil de set-up</v>
      </c>
      <c r="B45856" s="3">
        <v>1</v>
      </c>
    </row>
    <row r="45857" ht="15.75" customHeight="1" spans="1:2">
      <c r="A45857" s="3" t="str">
        <f>IFERROR(__xludf.DUMMYFUNCTION("GOOGLETRANSLATE(A45857,""en"",""pt"")"),"Grande qualidade de impressão geral. Foto imprime grande em papel de tamanho padrão.")</f>
        <v>Grande qualidade de impressão geral. Foto imprime grande em papel de tamanho padrão.</v>
      </c>
      <c r="B45857" s="3">
        <v>1</v>
      </c>
    </row>
    <row r="45858" ht="15.75" customHeight="1" spans="1:2">
      <c r="A45858" s="3" t="str">
        <f>IFERROR(__xludf.DUMMYFUNCTION("GOOGLETRANSLATE(A45858,""en"",""pt"")"),"Rápido, grande qualidade de foto")</f>
        <v>Rápido, grande qualidade de foto</v>
      </c>
      <c r="B45858" s="3">
        <v>1</v>
      </c>
    </row>
    <row r="45859" ht="15.75" customHeight="1" spans="1:2">
      <c r="A45859" s="3" t="str">
        <f>IFERROR(__xludf.DUMMYFUNCTION("GOOGLETRANSLATE(A45859,""en"",""pt"")"),"É da impressora um profissional, você pode imprimir fotos de qualidade, tem tantos recursos")</f>
        <v>É da impressora um profissional, você pode imprimir fotos de qualidade, tem tantos recursos</v>
      </c>
      <c r="B45859" s="3">
        <v>1</v>
      </c>
    </row>
    <row r="45860" ht="15.75" customHeight="1" spans="1:2">
      <c r="A45860" s="3" t="str">
        <f>IFERROR(__xludf.DUMMYFUNCTION("GOOGLETRANSLATE(A45860,""en"",""pt"")"),"Double Sided Printing, alta velocidade, muitas opções de impressão, Versátil")</f>
        <v>Double Sided Printing, alta velocidade, muitas opções de impressão, Versátil</v>
      </c>
      <c r="B45860" s="3">
        <v>1</v>
      </c>
    </row>
    <row r="45861" ht="15.75" customHeight="1" spans="1:2">
      <c r="A45861" s="3" t="str">
        <f>IFERROR(__xludf.DUMMYFUNCTION("GOOGLETRANSLATE(A45861,""en"",""pt"")"),"muito forte, de alta resolução, rápida, 2 impressão frente e verso")</f>
        <v>muito forte, de alta resolução, rápida, 2 impressão frente e verso</v>
      </c>
      <c r="B45861" s="3">
        <v>1</v>
      </c>
    </row>
    <row r="45862" ht="15.75" customHeight="1" spans="1:2">
      <c r="A45862" s="3" t="str">
        <f>IFERROR(__xludf.DUMMYFUNCTION("GOOGLETRANSLATE(A45862,""en"",""pt"")"),"modo de impressão duplex, excelente resolução, Fast! espaço menor")</f>
        <v>modo de impressão duplex, excelente resolução, Fast! espaço menor</v>
      </c>
      <c r="B45862" s="3">
        <v>1</v>
      </c>
    </row>
    <row r="45863" ht="15.75" customHeight="1" spans="1:2">
      <c r="A45863" s="3" t="str">
        <f>IFERROR(__xludf.DUMMYFUNCTION("GOOGLETRANSLATE(A45863,""en"",""pt"")"),"texto incrível e impressões fotográficas")</f>
        <v>texto incrível e impressões fotográficas</v>
      </c>
      <c r="B45863" s="3">
        <v>1</v>
      </c>
    </row>
    <row r="45864" ht="15.75" customHeight="1" spans="1:2">
      <c r="A45864" s="3" t="str">
        <f>IFERROR(__xludf.DUMMYFUNCTION("GOOGLETRANSLATE(A45864,""en"",""pt"")"),"Grande qualidade de impressão, mantém-se sob uso frequente")</f>
        <v>Grande qualidade de impressão, mantém-se sob uso frequente</v>
      </c>
      <c r="B45864" s="3">
        <v>1</v>
      </c>
    </row>
    <row r="45865" ht="15.75" customHeight="1" spans="1:2">
      <c r="A45865" s="3" t="str">
        <f>IFERROR(__xludf.DUMMYFUNCTION("GOOGLETRANSLATE(A45865,""en"",""pt"")"),"altas velocidades de impressão, excelente qualidade de impressão, feito para a maioria dos trabalhos de impressão.")</f>
        <v>altas velocidades de impressão, excelente qualidade de impressão, feito para a maioria dos trabalhos de impressão.</v>
      </c>
      <c r="B45865" s="3">
        <v>1</v>
      </c>
    </row>
    <row r="45866" ht="15.75" customHeight="1" spans="1:2">
      <c r="A45866" s="3" t="str">
        <f>IFERROR(__xludf.DUMMYFUNCTION("GOOGLETRANSLATE(A45866,""en"",""pt"")"),"máquina de qualidade super e até agora tem a confiabilidade da HP")</f>
        <v>máquina de qualidade super e até agora tem a confiabilidade da HP</v>
      </c>
      <c r="B45866" s="3">
        <v>1</v>
      </c>
    </row>
    <row r="45867" ht="15.75" customHeight="1" spans="1:2">
      <c r="A45867" s="3" t="str">
        <f>IFERROR(__xludf.DUMMYFUNCTION("GOOGLETRANSLATE(A45867,""en"",""pt"")"),"Boa qualidade, bom preço")</f>
        <v>Boa qualidade, bom preço</v>
      </c>
      <c r="B45867" s="3">
        <v>1</v>
      </c>
    </row>
    <row r="45868" ht="15.75" customHeight="1" spans="1:2">
      <c r="A45868" s="3" t="str">
        <f>IFERROR(__xludf.DUMMYFUNCTION("GOOGLETRANSLATE(A45868,""en"",""pt"")"),"Rápido, grande impressão, bem parecida da impressora, porta USB")</f>
        <v>Rápido, grande impressão, bem parecida da impressora, porta USB</v>
      </c>
      <c r="B45868" s="3">
        <v>1</v>
      </c>
    </row>
    <row r="45869" ht="15.75" customHeight="1" spans="1:2">
      <c r="A45869" s="3" t="str">
        <f>IFERROR(__xludf.DUMMYFUNCTION("GOOGLETRANSLATE(A45869,""en"",""pt"")"),"grande qualidade, capacidades de impressão agradáveis")</f>
        <v>grande qualidade, capacidades de impressão agradáveis</v>
      </c>
      <c r="B45869" s="3">
        <v>1</v>
      </c>
    </row>
    <row r="45870" ht="15.75" customHeight="1" spans="1:2">
      <c r="A45870" s="3" t="str">
        <f>IFERROR(__xludf.DUMMYFUNCTION("GOOGLETRANSLATE(A45870,""en"",""pt"")"),"qualidade de impressão excepcional (ambos fotografia e texto). Acessível Duplex Value.")</f>
        <v>qualidade de impressão excepcional (ambos fotografia e texto). Acessível Duplex Value.</v>
      </c>
      <c r="B45870" s="3">
        <v>1</v>
      </c>
    </row>
    <row r="45871" ht="15.75" customHeight="1" spans="1:2">
      <c r="A45871" s="3" t="str">
        <f>IFERROR(__xludf.DUMMYFUNCTION("GOOGLETRANSLATE(A45871,""en"",""pt"")"),"Fácil dois lados cópia, impressão de boa qualidade")</f>
        <v>Fácil dois lados cópia, impressão de boa qualidade</v>
      </c>
      <c r="B45871" s="3">
        <v>1</v>
      </c>
    </row>
    <row r="45872" ht="15.75" customHeight="1" spans="1:2">
      <c r="A45872" s="3" t="str">
        <f>IFERROR(__xludf.DUMMYFUNCTION("GOOGLETRANSLATE(A45872,""en"",""pt"")"),"Excelente qualidade, grande capacidade de fotografia")</f>
        <v>Excelente qualidade, grande capacidade de fotografia</v>
      </c>
      <c r="B45872" s="3">
        <v>1</v>
      </c>
    </row>
    <row r="45873" ht="15.75" customHeight="1" spans="1:2">
      <c r="A45873" s="3" t="str">
        <f>IFERROR(__xludf.DUMMYFUNCTION("GOOGLETRANSLATE(A45873,""en"",""pt"")"),"de alta qualidade, muito rápido, 2 lados impressão")</f>
        <v>de alta qualidade, muito rápido, 2 lados impressão</v>
      </c>
      <c r="B45873" s="3">
        <v>1</v>
      </c>
    </row>
    <row r="45874" ht="15.75" customHeight="1" spans="1:2">
      <c r="A45874" s="3" t="str">
        <f>IFERROR(__xludf.DUMMYFUNCTION("GOOGLETRANSLATE(A45874,""en"",""pt"")"),"resolução, duplex automático, parece bom")</f>
        <v>resolução, duplex automático, parece bom</v>
      </c>
      <c r="B45874" s="3">
        <v>1</v>
      </c>
    </row>
    <row r="45875" ht="15.75" customHeight="1" spans="1:2">
      <c r="A45875" s="3" t="str">
        <f>IFERROR(__xludf.DUMMYFUNCTION("GOOGLETRANSLATE(A45875,""en"",""pt"")"),"Rápido e eficiente, com resultados profissionais. Capaz de imprimir dois lados.")</f>
        <v>Rápido e eficiente, com resultados profissionais. Capaz de imprimir dois lados.</v>
      </c>
      <c r="B45875" s="3">
        <v>1</v>
      </c>
    </row>
    <row r="45876" ht="15.75" customHeight="1" spans="1:2">
      <c r="A45876" s="3" t="str">
        <f>IFERROR(__xludf.DUMMYFUNCTION("GOOGLETRANSLATE(A45876,""en"",""pt"")"),"qualidade de impressão, velocidade, facilidade de uso")</f>
        <v>qualidade de impressão, velocidade, facilidade de uso</v>
      </c>
      <c r="B45876" s="3">
        <v>1</v>
      </c>
    </row>
    <row r="45877" ht="15.75" customHeight="1" spans="1:2">
      <c r="A45877" s="3" t="str">
        <f>IFERROR(__xludf.DUMMYFUNCTION("GOOGLETRANSLATE(A45877,""en"",""pt"")"),"Imbatível, impressão de qualidade a preços acessíveis, foto")</f>
        <v>Imbatível, impressão de qualidade a preços acessíveis, foto</v>
      </c>
      <c r="B45877" s="3">
        <v>1</v>
      </c>
    </row>
    <row r="45878" ht="15.75" customHeight="1" spans="1:2">
      <c r="A45878" s="3" t="str">
        <f>IFERROR(__xludf.DUMMYFUNCTION("GOOGLETRANSLATE(A45878,""en"",""pt"")"),"Boa velocidade, de alta qualidade Imagens")</f>
        <v>Boa velocidade, de alta qualidade Imagens</v>
      </c>
      <c r="B45878" s="3">
        <v>1</v>
      </c>
    </row>
    <row r="45879" ht="15.75" customHeight="1" spans="1:2">
      <c r="A45879" s="3" t="str">
        <f>IFERROR(__xludf.DUMMYFUNCTION("GOOGLETRANSLATE(A45879,""en"",""pt"")"),"rápido &amp; amp; amp; Excelente qualidade de impressão")</f>
        <v>rápido &amp; amp; amp; Excelente qualidade de impressão</v>
      </c>
      <c r="B45879" s="3">
        <v>1</v>
      </c>
    </row>
    <row r="45880" ht="15.75" customHeight="1" spans="1:2">
      <c r="A45880" s="3" t="str">
        <f>IFERROR(__xludf.DUMMYFUNCTION("GOOGLETRANSLATE(A45880,""en"",""pt"")"),"impressão frente e verso, velocidade")</f>
        <v>impressão frente e verso, velocidade</v>
      </c>
      <c r="B45880" s="3">
        <v>1</v>
      </c>
    </row>
    <row r="45881" ht="15.75" customHeight="1" spans="1:2">
      <c r="A45881" s="3" t="str">
        <f>IFERROR(__xludf.DUMMYFUNCTION("GOOGLETRANSLATE(A45881,""en"",""pt"")"),"características agradáveis ​​como 2 impressão frente e verso, excelente saída")</f>
        <v>características agradáveis ​​como 2 impressão frente e verso, excelente saída</v>
      </c>
      <c r="B45881" s="3">
        <v>1</v>
      </c>
    </row>
    <row r="45882" ht="15.75" customHeight="1" spans="1:2">
      <c r="A45882" s="3" t="str">
        <f>IFERROR(__xludf.DUMMYFUNCTION("GOOGLETRANSLATE(A45882,""en"",""pt"")"),"QUIET, conveniente, ótima resolução e qualidade")</f>
        <v>QUIET, conveniente, ótima resolução e qualidade</v>
      </c>
      <c r="B45882" s="3">
        <v>1</v>
      </c>
    </row>
    <row r="45883" ht="15.75" customHeight="1" spans="1:2">
      <c r="A45883" s="3" t="str">
        <f>IFERROR(__xludf.DUMMYFUNCTION("GOOGLETRANSLATE(A45883,""en"",""pt"")"),"tudo")</f>
        <v>tudo</v>
      </c>
      <c r="B45883" s="3">
        <v>1</v>
      </c>
    </row>
    <row r="45884" ht="15.75" customHeight="1" spans="1:2">
      <c r="A45884" s="3" t="str">
        <f>IFERROR(__xludf.DUMMYFUNCTION("GOOGLETRANSLATE(A45884,""en"",""pt"")"),"saída excelente, rápido, silencioso")</f>
        <v>saída excelente, rápido, silencioso</v>
      </c>
      <c r="B45884" s="3">
        <v>1</v>
      </c>
    </row>
    <row r="45885" ht="15.75" customHeight="1" spans="1:2">
      <c r="A45885" s="3" t="str">
        <f>IFERROR(__xludf.DUMMYFUNCTION("GOOGLETRANSLATE(A45885,""en"",""pt"")"),"Excelente qualidade e é divertido de ver o papel voar para fora depois de imprimir")</f>
        <v>Excelente qualidade e é divertido de ver o papel voar para fora depois de imprimir</v>
      </c>
      <c r="B45885" s="3">
        <v>1</v>
      </c>
    </row>
    <row r="45886" ht="15.75" customHeight="1" spans="1:2">
      <c r="A45886" s="3" t="str">
        <f>IFERROR(__xludf.DUMMYFUNCTION("GOOGLETRANSLATE(A45886,""en"",""pt"")"),"Muito afiadas, profissionais impressões procura")</f>
        <v>Muito afiadas, profissionais impressões procura</v>
      </c>
      <c r="B45886" s="3">
        <v>1</v>
      </c>
    </row>
    <row r="45887" ht="15.75" customHeight="1" spans="1:2">
      <c r="A45887" s="3" t="str">
        <f>IFERROR(__xludf.DUMMYFUNCTION("GOOGLETRANSLATE(A45887,""en"",""pt"")"),"12 páginas por minuto a tinta preta, 10 páginas por minuto a cor, resistente a borrar; tinta de secagem rápida, Belas fotos com qualidade fotográfica.")</f>
        <v>12 páginas por minuto a tinta preta, 10 páginas por minuto a cor, resistente a borrar; tinta de secagem rápida, Belas fotos com qualidade fotográfica.</v>
      </c>
      <c r="B45887" s="3">
        <v>1</v>
      </c>
    </row>
    <row r="45888" ht="15.75" customHeight="1" spans="1:2">
      <c r="A45888" s="3" t="str">
        <f>IFERROR(__xludf.DUMMYFUNCTION("GOOGLETRANSLATE(A45888,""en"",""pt"")"),"rápido, qualidade e economia de papel dupla capacidade impressão frente e verso")</f>
        <v>rápido, qualidade e economia de papel dupla capacidade impressão frente e verso</v>
      </c>
      <c r="B45888" s="3">
        <v>1</v>
      </c>
    </row>
    <row r="45889" ht="15.75" customHeight="1" spans="1:2">
      <c r="A45889" s="3" t="str">
        <f>IFERROR(__xludf.DUMMYFUNCTION("GOOGLETRANSLATE(A45889,""en"",""pt"")"),"Grandes fotos e impressão de dois lados")</f>
        <v>Grandes fotos e impressão de dois lados</v>
      </c>
      <c r="B45889" s="3">
        <v>1</v>
      </c>
    </row>
    <row r="45890" ht="15.75" customHeight="1" spans="1:2">
      <c r="A45890" s="3" t="str">
        <f>IFERROR(__xludf.DUMMYFUNCTION("GOOGLETRANSLATE(A45890,""en"",""pt"")"),"durablity, qualidade de impressão")</f>
        <v>durablity, qualidade de impressão</v>
      </c>
      <c r="B45890" s="3">
        <v>1</v>
      </c>
    </row>
    <row r="45891" ht="15.75" customHeight="1" spans="1:2">
      <c r="A45891" s="3" t="str">
        <f>IFERROR(__xludf.DUMMYFUNCTION("GOOGLETRANSLATE(A45891,""en"",""pt"")"),"Muito alta qualidade a um baixo custo")</f>
        <v>Muito alta qualidade a um baixo custo</v>
      </c>
      <c r="B45891" s="3">
        <v>1</v>
      </c>
    </row>
    <row r="45892" ht="15.75" customHeight="1" spans="1:2">
      <c r="A45892" s="3" t="str">
        <f>IFERROR(__xludf.DUMMYFUNCTION("GOOGLETRANSLATE(A45892,""en"",""pt"")"),"Rápido e impressão silenciosa, cópias coloridas Estou orgulhoso de enviar os meus clientes")</f>
        <v>Rápido e impressão silenciosa, cópias coloridas Estou orgulhoso de enviar os meus clientes</v>
      </c>
      <c r="B45892" s="3">
        <v>1</v>
      </c>
    </row>
    <row r="45893" ht="15.75" customHeight="1" spans="1:2">
      <c r="A45893" s="3" t="str">
        <f>IFERROR(__xludf.DUMMYFUNCTION("GOOGLETRANSLATE(A45893,""en"",""pt"")"),"suporte por telefone ao vivo, a resposta fax; Rede; um ano de garantia de peças e mão de obra &amp; amp; # 13; &amp; amp; # 10;")</f>
        <v>suporte por telefone ao vivo, a resposta fax; Rede; um ano de garantia de peças e mão de obra &amp; amp; # 13; &amp; amp; # 10;</v>
      </c>
      <c r="B45893" s="3">
        <v>1</v>
      </c>
    </row>
    <row r="45894" ht="15.75" customHeight="1" spans="1:2">
      <c r="A45894" s="3" t="str">
        <f>IFERROR(__xludf.DUMMYFUNCTION("GOOGLETRANSLATE(A45894,""en"",""pt"")"),"Very Nice Printer, velocidade excepcional")</f>
        <v>Very Nice Printer, velocidade excepcional</v>
      </c>
      <c r="B45894" s="3">
        <v>1</v>
      </c>
    </row>
    <row r="45895" ht="15.75" customHeight="1" spans="1:2">
      <c r="A45895" s="3" t="str">
        <f>IFERROR(__xludf.DUMMYFUNCTION("GOOGLETRANSLATE(A45895,""en"",""pt"")"),"Very nice qualidade de impressão. impressão em dois lados também é bom!")</f>
        <v>Very nice qualidade de impressão. impressão em dois lados também é bom!</v>
      </c>
      <c r="B45895" s="3">
        <v>1</v>
      </c>
    </row>
    <row r="45896" ht="15.75" customHeight="1" spans="1:2">
      <c r="A45896" s="3" t="str">
        <f>IFERROR(__xludf.DUMMYFUNCTION("GOOGLETRANSLATE(A45896,""en"",""pt"")"),"Boa impressão Velocidade / Excelente Qualidade / Sólidos de Construção / Easy Set-Up")</f>
        <v>Boa impressão Velocidade / Excelente Qualidade / Sólidos de Construção / Easy Set-Up</v>
      </c>
      <c r="B45896" s="3">
        <v>1</v>
      </c>
    </row>
    <row r="45897" ht="15.75" customHeight="1" spans="1:2">
      <c r="A45897" s="3" t="str">
        <f>IFERROR(__xludf.DUMMYFUNCTION("GOOGLETRANSLATE(A45897,""en"",""pt"")"),"Impressão de qualidade cada vez")</f>
        <v>Impressão de qualidade cada vez</v>
      </c>
      <c r="B45897" s="3">
        <v>1</v>
      </c>
    </row>
    <row r="45898" ht="15.75" customHeight="1" spans="1:2">
      <c r="A45898" s="3" t="str">
        <f>IFERROR(__xludf.DUMMYFUNCTION("GOOGLETRANSLATE(A45898,""en"",""pt"")"),"impressão, silencioso, de longa duração cartuchos de tinta, alimentação envelope, qualidade de impressão em frente e verso")</f>
        <v>impressão, silencioso, de longa duração cartuchos de tinta, alimentação envelope, qualidade de impressão em frente e verso</v>
      </c>
      <c r="B45898" s="3">
        <v>1</v>
      </c>
    </row>
    <row r="45899" ht="15.75" customHeight="1" spans="1:2">
      <c r="A45899" s="3" t="str">
        <f>IFERROR(__xludf.DUMMYFUNCTION("GOOGLETRANSLATE(A45899,""en"",""pt"")"),"Muito rápido")</f>
        <v>Muito rápido</v>
      </c>
      <c r="B45899" s="3">
        <v>1</v>
      </c>
    </row>
    <row r="45900" ht="15.75" customHeight="1" spans="1:2">
      <c r="A45900" s="3" t="str">
        <f>IFERROR(__xludf.DUMMYFUNCTION("GOOGLETRANSLATE(A45900,""en"",""pt"")"),"impressões de alta qualidade, muita velocidade melhorada de PhotoSmart originais")</f>
        <v>impressões de alta qualidade, muita velocidade melhorada de PhotoSmart originais</v>
      </c>
      <c r="B45900" s="3">
        <v>1</v>
      </c>
    </row>
    <row r="45901" ht="15.75" customHeight="1" spans="1:2">
      <c r="A45901" s="3" t="str">
        <f>IFERROR(__xludf.DUMMYFUNCTION("GOOGLETRANSLATE(A45901,""en"",""pt"")"),"Grande cor; resolução; desempenho silencioso; Rapidez; duplex; qualidade HP")</f>
        <v>Grande cor; resolução; desempenho silencioso; Rapidez; duplex; qualidade HP</v>
      </c>
      <c r="B45901" s="3">
        <v>1</v>
      </c>
    </row>
    <row r="45902" ht="15.75" customHeight="1" spans="1:2">
      <c r="A45902" s="3" t="str">
        <f>IFERROR(__xludf.DUMMYFUNCTION("GOOGLETRANSLATE(A45902,""en"",""pt"")"),"impressão frente e verso, as impressões de alta qualidade, tranquila")</f>
        <v>impressão frente e verso, as impressões de alta qualidade, tranquila</v>
      </c>
      <c r="B45902" s="3">
        <v>1</v>
      </c>
    </row>
    <row r="45903" ht="15.75" customHeight="1" spans="1:2">
      <c r="A45903" s="3" t="str">
        <f>IFERROR(__xludf.DUMMYFUNCTION("GOOGLETRANSLATE(A45903,""en"",""pt"")"),"duplex automático, silencioso, rápido &amp; amp; amp; de qualidade profissional")</f>
        <v>duplex automático, silencioso, rápido &amp; amp; amp; de qualidade profissional</v>
      </c>
      <c r="B45903" s="3">
        <v>1</v>
      </c>
    </row>
    <row r="45904" ht="15.75" customHeight="1" spans="1:2">
      <c r="A45904" s="3" t="str">
        <f>IFERROR(__xludf.DUMMYFUNCTION("GOOGLETRANSLATE(A45904,""en"",""pt"")"),"Excelente qualidade de cor")</f>
        <v>Excelente qualidade de cor</v>
      </c>
      <c r="B45904" s="3">
        <v>1</v>
      </c>
    </row>
    <row r="45905" ht="15.75" customHeight="1" spans="1:2">
      <c r="A45905" s="3" t="str">
        <f>IFERROR(__xludf.DUMMYFUNCTION("GOOGLETRANSLATE(A45905,""en"",""pt"")"),"velocidade, qualidade de cor")</f>
        <v>velocidade, qualidade de cor</v>
      </c>
      <c r="B45905" s="3">
        <v>1</v>
      </c>
    </row>
    <row r="45906" ht="15.75" customHeight="1" spans="1:2">
      <c r="A45906" s="3" t="str">
        <f>IFERROR(__xludf.DUMMYFUNCTION("GOOGLETRANSLATE(A45906,""en"",""pt"")"),"É rápido e silencioso")</f>
        <v>É rápido e silencioso</v>
      </c>
      <c r="B45906" s="3">
        <v>1</v>
      </c>
    </row>
    <row r="45907" ht="15.75" customHeight="1" spans="1:2">
      <c r="A45907" s="3" t="str">
        <f>IFERROR(__xludf.DUMMYFUNCTION("GOOGLETRANSLATE(A45907,""en"",""pt"")"),"qualidade da foto inacreditável; quieto; sem aquecimento")</f>
        <v>qualidade da foto inacreditável; quieto; sem aquecimento</v>
      </c>
      <c r="B45907" s="3">
        <v>1</v>
      </c>
    </row>
    <row r="45908" ht="15.75" customHeight="1" spans="1:2">
      <c r="A45908" s="3" t="str">
        <f>IFERROR(__xludf.DUMMYFUNCTION("GOOGLETRANSLATE(A45908,""en"",""pt"")"),"Qualidade, velocidade, tranquila")</f>
        <v>Qualidade, velocidade, tranquila</v>
      </c>
      <c r="B45908" s="3">
        <v>1</v>
      </c>
    </row>
    <row r="45909" ht="15.75" customHeight="1" spans="1:2">
      <c r="A45909" s="3" t="str">
        <f>IFERROR(__xludf.DUMMYFUNCTION("GOOGLETRANSLATE(A45909,""en"",""pt"")"),"styling, resolução de impressão, cor bonita foto, preço, manuseio de papel")</f>
        <v>styling, resolução de impressão, cor bonita foto, preço, manuseio de papel</v>
      </c>
      <c r="B45909" s="3">
        <v>1</v>
      </c>
    </row>
    <row r="45910" ht="15.75" customHeight="1" spans="1:2">
      <c r="A45910" s="3" t="str">
        <f>IFERROR(__xludf.DUMMYFUNCTION("GOOGLETRANSLATE(A45910,""en"",""pt"")"),"Não hesite")</f>
        <v>Não hesite</v>
      </c>
      <c r="B45910" s="3">
        <v>1</v>
      </c>
    </row>
    <row r="45911" ht="15.75" customHeight="1" spans="1:2">
      <c r="A45911" s="3" t="str">
        <f>IFERROR(__xludf.DUMMYFUNCTION("GOOGLETRANSLATE(A45911,""en"",""pt"")"),"impressão duplex, capacidades de ligação dupla")</f>
        <v>impressão duplex, capacidades de ligação dupla</v>
      </c>
      <c r="B45911" s="3">
        <v>1</v>
      </c>
    </row>
    <row r="45912" ht="15.75" customHeight="1" spans="1:2">
      <c r="A45912" s="3" t="str">
        <f>IFERROR(__xludf.DUMMYFUNCTION("GOOGLETRANSLATE(A45912,""en"",""pt"")"),"rápido, excelente qualidade de impressão")</f>
        <v>rápido, excelente qualidade de impressão</v>
      </c>
      <c r="B45912" s="3">
        <v>1</v>
      </c>
    </row>
    <row r="45913" ht="15.75" customHeight="1" spans="1:2">
      <c r="A45913" s="3" t="str">
        <f>IFERROR(__xludf.DUMMYFUNCTION("GOOGLETRANSLATE(A45913,""en"",""pt"")"),"TUDO!")</f>
        <v>TUDO!</v>
      </c>
      <c r="B45913" s="3">
        <v>1</v>
      </c>
    </row>
    <row r="45914" ht="15.75" customHeight="1" spans="1:2">
      <c r="A45914" s="3" t="str">
        <f>IFERROR(__xludf.DUMMYFUNCTION("GOOGLETRANSLATE(A45914,""en"",""pt"")"),"rápido, silencioso, design agradável")</f>
        <v>rápido, silencioso, design agradável</v>
      </c>
      <c r="B45914" s="3">
        <v>1</v>
      </c>
    </row>
    <row r="45915" ht="15.75" customHeight="1" spans="1:2">
      <c r="A45915" s="3" t="str">
        <f>IFERROR(__xludf.DUMMYFUNCTION("GOOGLETRANSLATE(A45915,""en"",""pt"")"),"Grandes gráficos, frente e verso automática de impressão, bastante alta velocidade")</f>
        <v>Grandes gráficos, frente e verso automática de impressão, bastante alta velocidade</v>
      </c>
      <c r="B45915" s="3">
        <v>1</v>
      </c>
    </row>
    <row r="45916" ht="15.75" customHeight="1" spans="1:2">
      <c r="A45916" s="3" t="str">
        <f>IFERROR(__xludf.DUMMYFUNCTION("GOOGLETRANSLATE(A45916,""en"",""pt"")"),"Alta qualidade, fácil e tranquila")</f>
        <v>Alta qualidade, fácil e tranquila</v>
      </c>
      <c r="B45916" s="3">
        <v>1</v>
      </c>
    </row>
    <row r="45917" ht="15.75" customHeight="1" spans="1:2">
      <c r="A45917" s="3" t="str">
        <f>IFERROR(__xludf.DUMMYFUNCTION("GOOGLETRANSLATE(A45917,""en"",""pt"")"),"grandes impressões de qualidade de fotos &amp; amp; amp; texto")</f>
        <v>grandes impressões de qualidade de fotos &amp; amp; amp; texto</v>
      </c>
      <c r="B45917" s="3">
        <v>1</v>
      </c>
    </row>
    <row r="45918" ht="15.75" customHeight="1" spans="1:2">
      <c r="A45918" s="3" t="str">
        <f>IFERROR(__xludf.DUMMYFUNCTION("GOOGLETRANSLATE(A45918,""en"",""pt"")"),"qualidade de impressão superior em ambos os materiais simples e revestido. construção de qualidade. operação silenciosa. Excelente serviço ao cliente ao longo do web site telefone e empresa. Imprime em ambos os lados do papel automaticamente.")</f>
        <v>qualidade de impressão superior em ambos os materiais simples e revestido. construção de qualidade. operação silenciosa. Excelente serviço ao cliente ao longo do web site telefone e empresa. Imprime em ambos os lados do papel automaticamente.</v>
      </c>
      <c r="B45918" s="3">
        <v>1</v>
      </c>
    </row>
    <row r="45919" ht="15.75" customHeight="1" spans="1:2">
      <c r="A45919" s="3" t="str">
        <f>IFERROR(__xludf.DUMMYFUNCTION("GOOGLETRANSLATE(A45919,""en"",""pt"")"),"Qualidade, Velocidade")</f>
        <v>Qualidade, Velocidade</v>
      </c>
      <c r="B45919" s="3">
        <v>1</v>
      </c>
    </row>
    <row r="45920" ht="15.75" customHeight="1" spans="1:2">
      <c r="A45920" s="3" t="str">
        <f>IFERROR(__xludf.DUMMYFUNCTION("GOOGLETRANSLATE(A45920,""en"",""pt"")"),"impressão dupla face, silencioso, rápido")</f>
        <v>impressão dupla face, silencioso, rápido</v>
      </c>
      <c r="B45920" s="3">
        <v>1</v>
      </c>
    </row>
    <row r="45921" ht="15.75" customHeight="1" spans="1:2">
      <c r="A45921" s="3" t="str">
        <f>IFERROR(__xludf.DUMMYFUNCTION("GOOGLETRANSLATE(A45921,""en"",""pt"")"),"Excelente Qualidade, Laser-Like velocidade, dupla face impressão")</f>
        <v>Excelente Qualidade, Laser-Like velocidade, dupla face impressão</v>
      </c>
      <c r="B45921" s="3">
        <v>1</v>
      </c>
    </row>
    <row r="45922" ht="15.75" customHeight="1" spans="1:2">
      <c r="A45922" s="3" t="str">
        <f>IFERROR(__xludf.DUMMYFUNCTION("GOOGLETRANSLATE(A45922,""en"",""pt"")"),"Grande qualidade, velocidade e com aparência profissional.")</f>
        <v>Grande qualidade, velocidade e com aparência profissional.</v>
      </c>
      <c r="B45922" s="3">
        <v>1</v>
      </c>
    </row>
    <row r="45923" ht="15.75" customHeight="1" spans="1:2">
      <c r="A45923" s="3" t="str">
        <f>IFERROR(__xludf.DUMMYFUNCTION("GOOGLETRANSLATE(A45923,""en"",""pt"")"),"Rápido, silencioso, impressões lindamente, impressão frente e verso.")</f>
        <v>Rápido, silencioso, impressões lindamente, impressão frente e verso.</v>
      </c>
      <c r="B45923" s="3">
        <v>1</v>
      </c>
    </row>
    <row r="45924" ht="15.75" customHeight="1" spans="1:2">
      <c r="A45924" s="3" t="str">
        <f>IFERROR(__xludf.DUMMYFUNCTION("GOOGLETRANSLATE(A45924,""en"",""pt"")"),"Fun Projeto amigável!")</f>
        <v>Fun Projeto amigável!</v>
      </c>
      <c r="B45924" s="3">
        <v>1</v>
      </c>
    </row>
    <row r="45925" ht="15.75" customHeight="1" spans="1:2">
      <c r="A45925" s="3" t="str">
        <f>IFERROR(__xludf.DUMMYFUNCTION("GOOGLETRANSLATE(A45925,""en"",""pt"")"),"Alta velocidade, muito calma, Instant On Feature, Dupla Face Impressão")</f>
        <v>Alta velocidade, muito calma, Instant On Feature, Dupla Face Impressão</v>
      </c>
      <c r="B45925" s="3">
        <v>1</v>
      </c>
    </row>
    <row r="45926" ht="15.75" customHeight="1" spans="1:2">
      <c r="A45926" s="3" t="str">
        <f>IFERROR(__xludf.DUMMYFUNCTION("GOOGLETRANSLATE(A45926,""en"",""pt"")"),"Impressionante qualidade de impressão, rápida e silenciosa. cor e tons consistente.")</f>
        <v>Impressionante qualidade de impressão, rápida e silenciosa. cor e tons consistente.</v>
      </c>
      <c r="B45926" s="3">
        <v>1</v>
      </c>
    </row>
    <row r="45927" ht="15.75" customHeight="1" spans="1:2">
      <c r="A45927" s="3" t="str">
        <f>IFERROR(__xludf.DUMMYFUNCTION("GOOGLETRANSLATE(A45927,""en"",""pt"")"),"Rápido fácil instalação, 99% do hardware incluído, marca, impressão frente e verso, 10 páginas por minuto em cores e 12 páginas por minuto em preto, Grã Software")</f>
        <v>Rápido fácil instalação, 99% do hardware incluído, marca, impressão frente e verso, 10 páginas por minuto em cores e 12 páginas por minuto em preto, Grã Software</v>
      </c>
      <c r="B45927" s="3">
        <v>1</v>
      </c>
    </row>
    <row r="45928" ht="15.75" customHeight="1" spans="1:2">
      <c r="A45928" s="3" t="str">
        <f>IFERROR(__xludf.DUMMYFUNCTION("GOOGLETRANSLATE(A45928,""en"",""pt"")"),"Impressão de alta qualidade")</f>
        <v>Impressão de alta qualidade</v>
      </c>
      <c r="B45928" s="3">
        <v>1</v>
      </c>
    </row>
    <row r="45929" ht="15.75" customHeight="1" spans="1:2">
      <c r="A45929" s="3" t="str">
        <f>IFERROR(__xludf.DUMMYFUNCTION("GOOGLETRANSLATE(A45929,""en"",""pt"")"),"Grande qualidade de impressão")</f>
        <v>Grande qualidade de impressão</v>
      </c>
      <c r="B45929" s="3">
        <v>1</v>
      </c>
    </row>
    <row r="45930" ht="15.75" customHeight="1" spans="1:2">
      <c r="A45930" s="3" t="str">
        <f>IFERROR(__xludf.DUMMYFUNCTION("GOOGLETRANSLATE(A45930,""en"",""pt"")"),"Rápido, batata frita, confiável e de boa aparência!")</f>
        <v>Rápido, batata frita, confiável e de boa aparência!</v>
      </c>
      <c r="B45930" s="3">
        <v>1</v>
      </c>
    </row>
    <row r="45931" ht="15.75" customHeight="1" spans="1:2">
      <c r="A45931" s="3" t="str">
        <f>IFERROR(__xludf.DUMMYFUNCTION("GOOGLETRANSLATE(A45931,""en"",""pt"")"),"Velocidade, cor, tranquilo, bom texto")</f>
        <v>Velocidade, cor, tranquilo, bom texto</v>
      </c>
      <c r="B45931" s="3">
        <v>1</v>
      </c>
    </row>
    <row r="45932" ht="15.75" customHeight="1" spans="1:2">
      <c r="A45932" s="3" t="str">
        <f>IFERROR(__xludf.DUMMYFUNCTION("GOOGLETRANSLATE(A45932,""en"",""pt"")"),"Facilidade de uso, qualidade")</f>
        <v>Facilidade de uso, qualidade</v>
      </c>
      <c r="B45932" s="3">
        <v>1</v>
      </c>
    </row>
    <row r="45933" ht="15.75" customHeight="1" spans="1:2">
      <c r="A45933" s="3" t="str">
        <f>IFERROR(__xludf.DUMMYFUNCTION("GOOGLETRANSLATE(A45933,""en"",""pt"")"),"Rápido, cor grande, grande imagem.")</f>
        <v>Rápido, cor grande, grande imagem.</v>
      </c>
      <c r="B45933" s="3">
        <v>1</v>
      </c>
    </row>
    <row r="45934" ht="15.75" customHeight="1" spans="1:2">
      <c r="A45934" s="3" t="str">
        <f>IFERROR(__xludf.DUMMYFUNCTION("GOOGLETRANSLATE(A45934,""en"",""pt"")"),"2400x1200 !! característica embalada")</f>
        <v>2400x1200 !! característica embalada</v>
      </c>
      <c r="B45934" s="3">
        <v>1</v>
      </c>
    </row>
    <row r="45935" ht="15.75" customHeight="1" spans="1:2">
      <c r="A45935" s="3" t="str">
        <f>IFERROR(__xludf.DUMMYFUNCTION("GOOGLETRANSLATE(A45935,""en"",""pt"")"),"Excelente para impressões de fotografias")</f>
        <v>Excelente para impressões de fotografias</v>
      </c>
      <c r="B45935" s="3">
        <v>1</v>
      </c>
    </row>
    <row r="45936" ht="15.75" customHeight="1" spans="1:2">
      <c r="A45936" s="3" t="str">
        <f>IFERROR(__xludf.DUMMYFUNCTION("GOOGLETRANSLATE(A45936,""en"",""pt"")"),"Rápido, tranquilo, bom preço")</f>
        <v>Rápido, tranquilo, bom preço</v>
      </c>
      <c r="B45936" s="3">
        <v>1</v>
      </c>
    </row>
    <row r="45937" ht="15.75" customHeight="1" spans="1:2">
      <c r="A45937" s="3" t="str">
        <f>IFERROR(__xludf.DUMMYFUNCTION("GOOGLETRANSLATE(A45937,""en"",""pt"")"),"Boa qualidade, em geral,")</f>
        <v>Boa qualidade, em geral,</v>
      </c>
      <c r="B45937" s="3">
        <v>1</v>
      </c>
    </row>
    <row r="45938" ht="15.75" customHeight="1" spans="1:2">
      <c r="A45938" s="3" t="str">
        <f>IFERROR(__xludf.DUMMYFUNCTION("GOOGLETRANSLATE(A45938,""en"",""pt"")"),"MUITO MUITO RÁPIDO !!! A qualidade da foto")</f>
        <v>MUITO MUITO RÁPIDO !!! A qualidade da foto</v>
      </c>
      <c r="B45938" s="3">
        <v>1</v>
      </c>
    </row>
    <row r="45939" ht="15.75" customHeight="1" spans="1:2">
      <c r="A45939" s="3" t="str">
        <f>IFERROR(__xludf.DUMMYFUNCTION("GOOGLETRANSLATE(A45939,""en"",""pt"")"),"Imprime documentos rápidos")</f>
        <v>Imprime documentos rápidos</v>
      </c>
      <c r="B45939" s="3">
        <v>1</v>
      </c>
    </row>
    <row r="45940" ht="15.75" customHeight="1" spans="1:2">
      <c r="A45940" s="3" t="str">
        <f>IFERROR(__xludf.DUMMYFUNCTION("GOOGLETRANSLATE(A45940,""en"",""pt"")"),"Bom em todo o papel")</f>
        <v>Bom em todo o papel</v>
      </c>
      <c r="B45940" s="3">
        <v>1</v>
      </c>
    </row>
    <row r="45941" ht="15.75" customHeight="1" spans="1:2">
      <c r="A45941" s="3" t="str">
        <f>IFERROR(__xludf.DUMMYFUNCTION("GOOGLETRANSLATE(A45941,""en"",""pt"")"),"Imagem de qualidade, preço, duas cópias frente e verso")</f>
        <v>Imagem de qualidade, preço, duas cópias frente e verso</v>
      </c>
      <c r="B45941" s="3">
        <v>1</v>
      </c>
    </row>
    <row r="45942" ht="15.75" customHeight="1" spans="1:2">
      <c r="A45942" s="3" t="str">
        <f>IFERROR(__xludf.DUMMYFUNCTION("GOOGLETRANSLATE(A45942,""en"",""pt"")"),"boa qualidade")</f>
        <v>boa qualidade</v>
      </c>
      <c r="B45942" s="3">
        <v>1</v>
      </c>
    </row>
    <row r="45943" ht="15.75" customHeight="1" spans="1:2">
      <c r="A45943" s="3" t="str">
        <f>IFERROR(__xludf.DUMMYFUNCTION("GOOGLETRANSLATE(A45943,""en"",""pt"")"),"realmente muito boa qualidade")</f>
        <v>realmente muito boa qualidade</v>
      </c>
      <c r="B45943" s="3">
        <v>1</v>
      </c>
    </row>
    <row r="45944" ht="15.75" customHeight="1" spans="1:2">
      <c r="A45944" s="3" t="str">
        <f>IFERROR(__xludf.DUMMYFUNCTION("GOOGLETRANSLATE(A45944,""en"",""pt"")"),"impressão de alta resolução de fotografias, impressão de documentos batata frita, alimentos ajustáveis")</f>
        <v>impressão de alta resolução de fotografias, impressão de documentos batata frita, alimentos ajustáveis</v>
      </c>
      <c r="B45944" s="3">
        <v>1</v>
      </c>
    </row>
    <row r="45945" ht="15.75" customHeight="1" spans="1:2">
      <c r="A45945" s="3" t="str">
        <f>IFERROR(__xludf.DUMMYFUNCTION("GOOGLETRANSLATE(A45945,""en"",""pt"")"),"impressão frente e verso, facilidade de uso, luz de aviso de fluido de baixa de impressora")</f>
        <v>impressão frente e verso, facilidade de uso, luz de aviso de fluido de baixa de impressora</v>
      </c>
      <c r="B45945" s="3">
        <v>1</v>
      </c>
    </row>
    <row r="45946" ht="15.75" customHeight="1" spans="1:2">
      <c r="A45946" s="3" t="str">
        <f>IFERROR(__xludf.DUMMYFUNCTION("GOOGLETRANSLATE(A45946,""en"",""pt"")"),"rápido, impressões belo, ótimo para fotos")</f>
        <v>rápido, impressões belo, ótimo para fotos</v>
      </c>
      <c r="B45946" s="3">
        <v>1</v>
      </c>
    </row>
    <row r="45947" ht="15.75" customHeight="1" spans="1:2">
      <c r="A45947" s="3" t="str">
        <f>IFERROR(__xludf.DUMMYFUNCTION("GOOGLETRANSLATE(A45947,""en"",""pt"")"),"nítidas, foto clara impressões realistas")</f>
        <v>nítidas, foto clara impressões realistas</v>
      </c>
      <c r="B45947" s="3">
        <v>1</v>
      </c>
    </row>
    <row r="45948" ht="15.75" customHeight="1" spans="1:2">
      <c r="A45948" s="3" t="str">
        <f>IFERROR(__xludf.DUMMYFUNCTION("GOOGLETRANSLATE(A45948,""en"",""pt"")"),"Printer excelente, Duplex, altas velocidades, dimensões reduzidas")</f>
        <v>Printer excelente, Duplex, altas velocidades, dimensões reduzidas</v>
      </c>
      <c r="B45948" s="3">
        <v>1</v>
      </c>
    </row>
    <row r="45949" ht="15.75" customHeight="1" spans="1:2">
      <c r="A45949" s="3" t="str">
        <f>IFERROR(__xludf.DUMMYFUNCTION("GOOGLETRANSLATE(A45949,""en"",""pt"")"),"boa imagem")</f>
        <v>boa imagem</v>
      </c>
      <c r="B45949" s="3">
        <v>1</v>
      </c>
    </row>
    <row r="45950" ht="15.75" customHeight="1" spans="1:2">
      <c r="A45950" s="3" t="str">
        <f>IFERROR(__xludf.DUMMYFUNCTION("GOOGLETRANSLATE(A45950,""en"",""pt"")"),"Rapidamente imprime até cor lindamente roupas e documentos em preto e branco")</f>
        <v>Rapidamente imprime até cor lindamente roupas e documentos em preto e branco</v>
      </c>
      <c r="B45950" s="3">
        <v>1</v>
      </c>
    </row>
    <row r="45951" ht="15.75" customHeight="1" spans="1:2">
      <c r="A45951" s="3" t="str">
        <f>IFERROR(__xludf.DUMMYFUNCTION("GOOGLETRANSLATE(A45951,""en"",""pt"")"),"cor de qualidade fotográfica, de alta velocidade, sussurro")</f>
        <v>cor de qualidade fotográfica, de alta velocidade, sussurro</v>
      </c>
      <c r="B45951" s="3">
        <v>1</v>
      </c>
    </row>
    <row r="45952" ht="15.75" customHeight="1" spans="1:2">
      <c r="A45952" s="3" t="str">
        <f>IFERROR(__xludf.DUMMYFUNCTION("GOOGLETRANSLATE(A45952,""en"",""pt"")"),"Leia abaixo")</f>
        <v>Leia abaixo</v>
      </c>
      <c r="B45952" s="3">
        <v>1</v>
      </c>
    </row>
    <row r="45953" ht="15.75" customHeight="1" spans="1:2">
      <c r="A45953" s="3" t="str">
        <f>IFERROR(__xludf.DUMMYFUNCTION("GOOGLETRANSLATE(A45953,""en"",""pt"")"),"características agradáveis")</f>
        <v>características agradáveis</v>
      </c>
      <c r="B45953" s="3">
        <v>1</v>
      </c>
    </row>
    <row r="45954" ht="15.75" customHeight="1" spans="1:2">
      <c r="A45954" s="3" t="str">
        <f>IFERROR(__xludf.DUMMYFUNCTION("GOOGLETRANSLATE(A45954,""en"",""pt"")"),"otima qualidade")</f>
        <v>otima qualidade</v>
      </c>
      <c r="B45954" s="3">
        <v>1</v>
      </c>
    </row>
    <row r="45955" ht="15.75" customHeight="1" spans="1:2">
      <c r="A45955" s="3" t="str">
        <f>IFERROR(__xludf.DUMMYFUNCTION("GOOGLETRANSLATE(A45955,""en"",""pt"")"),"impressão frente e verso automática, compatível com USB, Fast e impressão silenciosa, impressões de papel normal Excepcionalmente afiadas.")</f>
        <v>impressão frente e verso automática, compatível com USB, Fast e impressão silenciosa, impressões de papel normal Excepcionalmente afiadas.</v>
      </c>
      <c r="B45955" s="3">
        <v>1</v>
      </c>
    </row>
    <row r="45956" ht="15.75" customHeight="1" spans="1:2">
      <c r="A45956" s="3" t="str">
        <f>IFERROR(__xludf.DUMMYFUNCTION("GOOGLETRANSLATE(A45956,""en"",""pt"")"),"apego Duplex: ótima maneira de economizar papel.")</f>
        <v>apego Duplex: ótima maneira de economizar papel.</v>
      </c>
      <c r="B45956" s="3">
        <v>1</v>
      </c>
    </row>
    <row r="45957" ht="15.75" customHeight="1" spans="1:2">
      <c r="A45957" s="3" t="str">
        <f>IFERROR(__xludf.DUMMYFUNCTION("GOOGLETRANSLATE(A45957,""en"",""pt"")"),"Incrível qualidade, bom velocidade e silencioso")</f>
        <v>Incrível qualidade, bom velocidade e silencioso</v>
      </c>
      <c r="B45957" s="3">
        <v>1</v>
      </c>
    </row>
    <row r="45958" ht="15.75" customHeight="1" spans="1:2">
      <c r="A45958" s="3" t="str">
        <f>IFERROR(__xludf.DUMMYFUNCTION("GOOGLETRANSLATE(A45958,""en"",""pt"")"),"A impressora jato de tinta mais fino já feito na história do universo")</f>
        <v>A impressora jato de tinta mais fino já feito na história do universo</v>
      </c>
      <c r="B45958" s="3">
        <v>1</v>
      </c>
    </row>
    <row r="45959" ht="15.75" customHeight="1" spans="1:2">
      <c r="A45959" s="3" t="str">
        <f>IFERROR(__xludf.DUMMYFUNCTION("GOOGLETRANSLATE(A45959,""en"",""pt"")"),"impressão rápida, excelente qualidade de impressão, garantia HP, módulo duplex, &amp; amp; preço baixo")</f>
        <v>impressão rápida, excelente qualidade de impressão, garantia HP, módulo duplex, &amp; amp; preço baixo</v>
      </c>
      <c r="B45959" s="3">
        <v>1</v>
      </c>
    </row>
    <row r="45960" ht="15.75" customHeight="1" spans="1:2">
      <c r="A45960" s="3" t="str">
        <f>IFERROR(__xludf.DUMMYFUNCTION("GOOGLETRANSLATE(A45960,""en"",""pt"")"),"Auto-dupla face impressão, grande resolução.")</f>
        <v>Auto-dupla face impressão, grande resolução.</v>
      </c>
      <c r="B45960" s="3">
        <v>1</v>
      </c>
    </row>
    <row r="45961" ht="15.75" customHeight="1" spans="1:2">
      <c r="A45961" s="3" t="str">
        <f>IFERROR(__xludf.DUMMYFUNCTION("GOOGLETRANSLATE(A45961,""en"",""pt"")"),"Super qualidade de impressão, silencioso, saltos, simplesmente todo bom &amp; amp, # 13; &amp; amp; # 10;")</f>
        <v>Super qualidade de impressão, silencioso, saltos, simplesmente todo bom &amp; amp, # 13; &amp; amp; # 10;</v>
      </c>
      <c r="B45961" s="3">
        <v>1</v>
      </c>
    </row>
    <row r="45962" ht="15.75" customHeight="1" spans="1:2">
      <c r="A45962" s="3" t="str">
        <f>IFERROR(__xludf.DUMMYFUNCTION("GOOGLETRANSLATE(A45962,""en"",""pt"")"),"A HP Deskjet 970cxi é muito bom para usar em alguns computadores.")</f>
        <v>A HP Deskjet 970cxi é muito bom para usar em alguns computadores.</v>
      </c>
      <c r="B45962" s="3">
        <v>1</v>
      </c>
    </row>
    <row r="45963" ht="15.75" customHeight="1" spans="1:2">
      <c r="A45963" s="3" t="str">
        <f>IFERROR(__xludf.DUMMYFUNCTION("GOOGLETRANSLATE(A45963,""en"",""pt"")"),"impressões de qualidade de foto, impressões agradável e rápido e é muito calmo!")</f>
        <v>impressões de qualidade de foto, impressões agradável e rápido e é muito calmo!</v>
      </c>
      <c r="B45963" s="3">
        <v>1</v>
      </c>
    </row>
    <row r="45964" ht="15.75" customHeight="1" spans="1:2">
      <c r="A45964" s="3" t="str">
        <f>IFERROR(__xludf.DUMMYFUNCTION("GOOGLETRANSLATE(A45964,""en"",""pt"")"),"Very Nice Printer, velocidade excepcional")</f>
        <v>Very Nice Printer, velocidade excepcional</v>
      </c>
      <c r="B45964" s="3">
        <v>1</v>
      </c>
    </row>
    <row r="45965" ht="15.75" customHeight="1" spans="1:2">
      <c r="A45965" s="3" t="str">
        <f>IFERROR(__xludf.DUMMYFUNCTION("GOOGLETRANSLATE(A45965,""en"",""pt"")"),"bom preço, boas fotos")</f>
        <v>bom preço, boas fotos</v>
      </c>
      <c r="B45965" s="3">
        <v>1</v>
      </c>
    </row>
    <row r="45966" ht="15.75" customHeight="1" spans="1:2">
      <c r="A45966" s="3" t="str">
        <f>IFERROR(__xludf.DUMMYFUNCTION("GOOGLETRANSLATE(A45966,""en"",""pt"")"),"impressão de alta qualidade, em preto e branco ou cor.")</f>
        <v>impressão de alta qualidade, em preto e branco ou cor.</v>
      </c>
      <c r="B45966" s="3">
        <v>1</v>
      </c>
    </row>
    <row r="45967" ht="15.75" customHeight="1" spans="1:2">
      <c r="A45967" s="3" t="str">
        <f>IFERROR(__xludf.DUMMYFUNCTION("GOOGLETRANSLATE(A45967,""en"",""pt"")"),"impressão frente e verso, texto nítido, bons gráficos")</f>
        <v>impressão frente e verso, texto nítido, bons gráficos</v>
      </c>
      <c r="B45967" s="3">
        <v>1</v>
      </c>
    </row>
    <row r="45968" ht="15.75" customHeight="1" spans="1:2">
      <c r="A45968" s="3" t="str">
        <f>IFERROR(__xludf.DUMMYFUNCTION("GOOGLETRANSLATE(A45968,""en"",""pt"")"),"Fácil de usar, rápido, conectividade USB")</f>
        <v>Fácil de usar, rápido, conectividade USB</v>
      </c>
      <c r="B45968" s="3">
        <v>1</v>
      </c>
    </row>
    <row r="45969" ht="15.75" customHeight="1" spans="1:2">
      <c r="A45969" s="3" t="str">
        <f>IFERROR(__xludf.DUMMYFUNCTION("GOOGLETRANSLATE(A45969,""en"",""pt"")"),"Palavras impressas são de fácil leitura &amp; amp;. # 13; &amp; amp; # 10; Prints em alta velocidade")</f>
        <v>Palavras impressas são de fácil leitura &amp; amp;. # 13; &amp; amp; # 10; Prints em alta velocidade</v>
      </c>
      <c r="B45969" s="3">
        <v>1</v>
      </c>
    </row>
    <row r="45970" ht="15.75" customHeight="1" spans="1:2">
      <c r="A45970" s="3" t="str">
        <f>IFERROR(__xludf.DUMMYFUNCTION("GOOGLETRANSLATE(A45970,""en"",""pt"")"),"Facilidade de uso, compatível com Mac, atraente, acessível, valor para o dinheiro")</f>
        <v>Facilidade de uso, compatível com Mac, atraente, acessível, valor para o dinheiro</v>
      </c>
      <c r="B45970" s="3">
        <v>1</v>
      </c>
    </row>
    <row r="45971" ht="15.75" customHeight="1" spans="1:2">
      <c r="A45971" s="3" t="str">
        <f>IFERROR(__xludf.DUMMYFUNCTION("GOOGLETRANSLATE(A45971,""en"",""pt"")"),"impressão frente e verso, as impressões de alta qualidade, tranquila")</f>
        <v>impressão frente e verso, as impressões de alta qualidade, tranquila</v>
      </c>
      <c r="B45971" s="3">
        <v>1</v>
      </c>
    </row>
    <row r="45972" ht="15.75" customHeight="1" spans="1:2">
      <c r="A45972" s="3" t="str">
        <f>IFERROR(__xludf.DUMMYFUNCTION("GOOGLETRANSLATE(A45972,""en"",""pt"")"),"Extremamente rápido imprimir no modo de rascunho / preto. 2 impressão lados")</f>
        <v>Extremamente rápido imprimir no modo de rascunho / preto. 2 impressão lados</v>
      </c>
      <c r="B45972" s="3">
        <v>1</v>
      </c>
    </row>
    <row r="45973" ht="15.75" customHeight="1" spans="1:2">
      <c r="A45973" s="3" t="str">
        <f>IFERROR(__xludf.DUMMYFUNCTION("GOOGLETRANSLATE(A45973,""en"",""pt"")"),"Grande Printer geral")</f>
        <v>Grande Printer geral</v>
      </c>
      <c r="B45973" s="3">
        <v>1</v>
      </c>
    </row>
    <row r="45974" ht="15.75" customHeight="1" spans="1:2">
      <c r="A45974" s="3" t="str">
        <f>IFERROR(__xludf.DUMMYFUNCTION("GOOGLETRANSLATE(A45974,""en"",""pt"")"),"Duplos de impressão, qualidade de impressão, especialmente em fotos, caixa de ferramentas, facilidade de utilização, velocidade usando USB")</f>
        <v>Duplos de impressão, qualidade de impressão, especialmente em fotos, caixa de ferramentas, facilidade de utilização, velocidade usando USB</v>
      </c>
      <c r="B45974" s="3">
        <v>1</v>
      </c>
    </row>
    <row r="45975" ht="15.75" customHeight="1" spans="1:2">
      <c r="A45975" s="3" t="str">
        <f>IFERROR(__xludf.DUMMYFUNCTION("GOOGLETRANSLATE(A45975,""en"",""pt"")"),"A qualidade de impressão, impressão automática de 2 faces, USB ou paralela")</f>
        <v>A qualidade de impressão, impressão automática de 2 faces, USB ou paralela</v>
      </c>
      <c r="B45975" s="3">
        <v>1</v>
      </c>
    </row>
    <row r="45976" ht="15.75" customHeight="1" spans="1:2">
      <c r="A45976" s="3" t="str">
        <f>IFERROR(__xludf.DUMMYFUNCTION("GOOGLETRANSLATE(A45976,""en"",""pt"")"),"impressão duplex. confiabilidade HP. Fácil de usar.")</f>
        <v>impressão duplex. confiabilidade HP. Fácil de usar.</v>
      </c>
      <c r="B45976" s="3">
        <v>1</v>
      </c>
    </row>
    <row r="45977" ht="15.75" customHeight="1" spans="1:2">
      <c r="A45977" s="3" t="str">
        <f>IFERROR(__xludf.DUMMYFUNCTION("GOOGLETRANSLATE(A45977,""en"",""pt"")"),"Excelente marca - impressão sempre sai legível.")</f>
        <v>Excelente marca - impressão sempre sai legível.</v>
      </c>
      <c r="B45977" s="3">
        <v>1</v>
      </c>
    </row>
    <row r="45978" ht="15.75" customHeight="1" spans="1:2">
      <c r="A45978" s="3" t="str">
        <f>IFERROR(__xludf.DUMMYFUNCTION("GOOGLETRANSLATE(A45978,""en"",""pt"")"),"Alta qualidade da impressão pode imprimir fotografias, impressão dupla face.")</f>
        <v>Alta qualidade da impressão pode imprimir fotografias, impressão dupla face.</v>
      </c>
      <c r="B45978" s="3">
        <v>1</v>
      </c>
    </row>
    <row r="45979" ht="15.75" customHeight="1" spans="1:2">
      <c r="A45979" s="3" t="str">
        <f>IFERROR(__xludf.DUMMYFUNCTION("GOOGLETRANSLATE(A45979,""en"",""pt"")"),"impressão frente e verso")</f>
        <v>impressão frente e verso</v>
      </c>
      <c r="B45979" s="3">
        <v>1</v>
      </c>
    </row>
    <row r="45980" ht="15.75" customHeight="1" spans="1:2">
      <c r="A45980" s="3" t="str">
        <f>IFERROR(__xludf.DUMMYFUNCTION("GOOGLETRANSLATE(A45980,""en"",""pt"")"),"Boa qualidade de impressão. Imprime rápido. Ótimo para uso doméstico.")</f>
        <v>Boa qualidade de impressão. Imprime rápido. Ótimo para uso doméstico.</v>
      </c>
      <c r="B45980" s="3">
        <v>1</v>
      </c>
    </row>
    <row r="45981" ht="15.75" customHeight="1" spans="1:2">
      <c r="A45981" s="3" t="str">
        <f>IFERROR(__xludf.DUMMYFUNCTION("GOOGLETRANSLATE(A45981,""en"",""pt"")"),"alta resolução, ótimo para fotos")</f>
        <v>alta resolução, ótimo para fotos</v>
      </c>
      <c r="B45981" s="3">
        <v>1</v>
      </c>
    </row>
    <row r="45982" ht="15.75" customHeight="1" spans="1:2">
      <c r="A45982" s="3" t="str">
        <f>IFERROR(__xludf.DUMMYFUNCTION("GOOGLETRANSLATE(A45982,""en"",""pt"")"),"Muito rápido para a saída de alta qualidade. Muito quieto")</f>
        <v>Muito rápido para a saída de alta qualidade. Muito quieto</v>
      </c>
      <c r="B45982" s="3">
        <v>1</v>
      </c>
    </row>
    <row r="45983" ht="15.75" customHeight="1" spans="1:2">
      <c r="A45983" s="3" t="str">
        <f>IFERROR(__xludf.DUMMYFUNCTION("GOOGLETRANSLATE(A45983,""en"",""pt"")"),"impressão de fotos de alta qualidade, bem como textos e gráficos.")</f>
        <v>impressão de fotos de alta qualidade, bem como textos e gráficos.</v>
      </c>
      <c r="B45983" s="3">
        <v>1</v>
      </c>
    </row>
    <row r="45984" ht="15.75" customHeight="1" spans="1:2">
      <c r="A45984" s="3" t="str">
        <f>IFERROR(__xludf.DUMMYFUNCTION("GOOGLETRANSLATE(A45984,""en"",""pt"")"),"boa resolução, empresa confiável")</f>
        <v>boa resolução, empresa confiável</v>
      </c>
      <c r="B45984" s="3">
        <v>1</v>
      </c>
    </row>
    <row r="45985" ht="15.75" customHeight="1" spans="1:2">
      <c r="A45985" s="3" t="str">
        <f>IFERROR(__xludf.DUMMYFUNCTION("GOOGLETRANSLATE(A45985,""en"",""pt"")"),"Bolsas de tinta")</f>
        <v>Bolsas de tinta</v>
      </c>
      <c r="B45985" s="3">
        <v>1</v>
      </c>
    </row>
    <row r="45986" ht="15.75" customHeight="1" spans="1:2">
      <c r="A45986" s="3" t="str">
        <f>IFERROR(__xludf.DUMMYFUNCTION("GOOGLETRANSLATE(A45986,""en"",""pt"")"),"Breve, a impressão clara, com fácil set-up.")</f>
        <v>Breve, a impressão clara, com fácil set-up.</v>
      </c>
      <c r="B45986" s="3">
        <v>1</v>
      </c>
    </row>
    <row r="45987" ht="15.75" customHeight="1" spans="1:2">
      <c r="A45987" s="3" t="str">
        <f>IFERROR(__xludf.DUMMYFUNCTION("GOOGLETRANSLATE(A45987,""en"",""pt"")"),"Rápido, inacreditável fotos coloridas.")</f>
        <v>Rápido, inacreditável fotos coloridas.</v>
      </c>
      <c r="B45987" s="3">
        <v>1</v>
      </c>
    </row>
    <row r="45988" ht="15.75" customHeight="1" spans="1:2">
      <c r="A45988" s="3" t="str">
        <f>IFERROR(__xludf.DUMMYFUNCTION("GOOGLETRANSLATE(A45988,""en"",""pt"")"),"MUITO boa cor e qualidade da imagem.")</f>
        <v>MUITO boa cor e qualidade da imagem.</v>
      </c>
      <c r="B45988" s="3">
        <v>1</v>
      </c>
    </row>
    <row r="45989" ht="15.75" customHeight="1" spans="1:2">
      <c r="A45989" s="3" t="str">
        <f>IFERROR(__xludf.DUMMYFUNCTION("GOOGLETRANSLATE(A45989,""en"",""pt"")"),"Superlativa qualidade de impressão, tranquilidade, velocidade, impressão frente e verso é fab")</f>
        <v>Superlativa qualidade de impressão, tranquilidade, velocidade, impressão frente e verso é fab</v>
      </c>
      <c r="B45989" s="3">
        <v>1</v>
      </c>
    </row>
    <row r="45990" ht="15.75" customHeight="1" spans="1:2">
      <c r="A45990" s="3" t="str">
        <f>IFERROR(__xludf.DUMMYFUNCTION("GOOGLETRANSLATE(A45990,""en"",""pt"")"),"Magazine e impressões de qualidade de processamento de fotos!")</f>
        <v>Magazine e impressões de qualidade de processamento de fotos!</v>
      </c>
      <c r="B45990" s="3">
        <v>1</v>
      </c>
    </row>
    <row r="45991" ht="15.75" customHeight="1" spans="1:2">
      <c r="A45991" s="3" t="str">
        <f>IFERROR(__xludf.DUMMYFUNCTION("GOOGLETRANSLATE(A45991,""en"",""pt"")"),"Tudo, qualidade excelente foto")</f>
        <v>Tudo, qualidade excelente foto</v>
      </c>
      <c r="B45991" s="3">
        <v>1</v>
      </c>
    </row>
    <row r="45992" ht="15.75" customHeight="1" spans="1:2">
      <c r="A45992" s="3" t="str">
        <f>IFERROR(__xludf.DUMMYFUNCTION("GOOGLETRANSLATE(A45992,""en"",""pt"")"),"Nome &amp; amp; qualidade são grandes como sempre com a HP.")</f>
        <v>Nome &amp; amp; qualidade são grandes como sempre com a HP.</v>
      </c>
      <c r="B45992" s="3">
        <v>1</v>
      </c>
    </row>
    <row r="45993" ht="15.75" customHeight="1" spans="1:2">
      <c r="A45993" s="3" t="str">
        <f>IFERROR(__xludf.DUMMYFUNCTION("GOOGLETRANSLATE(A45993,""en"",""pt"")"),"cores brilhantes, preto rápido, de qualidade HP")</f>
        <v>cores brilhantes, preto rápido, de qualidade HP</v>
      </c>
      <c r="B45993" s="3">
        <v>1</v>
      </c>
    </row>
    <row r="45994" ht="15.75" customHeight="1" spans="1:2">
      <c r="A45994" s="3" t="str">
        <f>IFERROR(__xludf.DUMMYFUNCTION("GOOGLETRANSLATE(A45994,""en"",""pt"")"),"É uma impressora de boa qualidade")</f>
        <v>É uma impressora de boa qualidade</v>
      </c>
      <c r="B45994" s="3">
        <v>1</v>
      </c>
    </row>
    <row r="45995" ht="15.75" customHeight="1" spans="1:2">
      <c r="A45995" s="3" t="str">
        <f>IFERROR(__xludf.DUMMYFUNCTION("GOOGLETRANSLATE(A45995,""en"",""pt"")"),"Crisp, impressões fotográficas claras realistas ....")</f>
        <v>Crisp, impressões fotográficas claras realistas ....</v>
      </c>
      <c r="B45995" s="3">
        <v>1</v>
      </c>
    </row>
    <row r="45996" ht="15.75" customHeight="1" spans="1:2">
      <c r="A45996" s="3" t="str">
        <f>IFERROR(__xludf.DUMMYFUNCTION("GOOGLETRANSLATE(A45996,""en"",""pt"")"),"Boa preto nítido e cores branco e grande. A velocidade é muito boa.")</f>
        <v>Boa preto nítido e cores branco e grande. A velocidade é muito boa.</v>
      </c>
      <c r="B45996" s="3">
        <v>1</v>
      </c>
    </row>
    <row r="45997" ht="15.75" customHeight="1" spans="1:2">
      <c r="A45997" s="3" t="str">
        <f>IFERROR(__xludf.DUMMYFUNCTION("GOOGLETRANSLATE(A45997,""en"",""pt"")"),"Imprimir e qualidade de construção, a velocidade, o uso de tinta, muito, tinta oi capacidade, impressão frente e verso.")</f>
        <v>Imprimir e qualidade de construção, a velocidade, o uso de tinta, muito, tinta oi capacidade, impressão frente e verso.</v>
      </c>
      <c r="B45997" s="3">
        <v>1</v>
      </c>
    </row>
    <row r="45998" ht="15.75" customHeight="1" spans="1:2">
      <c r="A45998" s="3" t="str">
        <f>IFERROR(__xludf.DUMMYFUNCTION("GOOGLETRANSLATE(A45998,""en"",""pt"")"),"qualidade agradável em graus de cinza, gráficos coloridos, jam livre, apego duplex")</f>
        <v>qualidade agradável em graus de cinza, gráficos coloridos, jam livre, apego duplex</v>
      </c>
      <c r="B45998" s="3">
        <v>1</v>
      </c>
    </row>
    <row r="45999" ht="15.75" customHeight="1" spans="1:2">
      <c r="A45999" s="3" t="str">
        <f>IFERROR(__xludf.DUMMYFUNCTION("GOOGLETRANSLATE(A45999,""en"",""pt"")"),"grande qualidade de impressão, impressão em 2 faces, alimentador de envelopes, bom preço")</f>
        <v>grande qualidade de impressão, impressão em 2 faces, alimentador de envelopes, bom preço</v>
      </c>
      <c r="B45999" s="3">
        <v>1</v>
      </c>
    </row>
    <row r="46000" ht="15.75" customHeight="1" spans="1:2">
      <c r="A46000" s="3" t="str">
        <f>IFERROR(__xludf.DUMMYFUNCTION("GOOGLETRANSLATE(A46000,""en"",""pt"")"),"cópia maravilhosa e qualidade de cor. Às vezes impressões rápidas ... ver lista contras")</f>
        <v>cópia maravilhosa e qualidade de cor. Às vezes impressões rápidas ... ver lista contras</v>
      </c>
      <c r="B46000" s="3">
        <v>1</v>
      </c>
    </row>
    <row r="46001" ht="15.75" customHeight="1" spans="1:2">
      <c r="A46001" s="3" t="str">
        <f>IFERROR(__xludf.DUMMYFUNCTION("GOOGLETRANSLATE(A46001,""en"",""pt"")"),"Relativamente tranqüila como jatos de tinta ir, boa saída de cor, auto 2 lados impressão.")</f>
        <v>Relativamente tranqüila como jatos de tinta ir, boa saída de cor, auto 2 lados impressão.</v>
      </c>
      <c r="B46001" s="3">
        <v>1</v>
      </c>
    </row>
    <row r="46002" ht="15.75" customHeight="1" spans="1:2">
      <c r="A46002" s="3" t="str">
        <f>IFERROR(__xludf.DUMMYFUNCTION("GOOGLETRANSLATE(A46002,""en"",""pt"")"),"qualidade, garantia, flexibilidade")</f>
        <v>qualidade, garantia, flexibilidade</v>
      </c>
      <c r="B46002" s="3">
        <v>1</v>
      </c>
    </row>
    <row r="46003" ht="15.75" customHeight="1" spans="1:2">
      <c r="A46003" s="3" t="str">
        <f>IFERROR(__xludf.DUMMYFUNCTION("GOOGLETRANSLATE(A46003,""en"",""pt"")"),"rápido, silencioso, IR, de grande qualidade")</f>
        <v>rápido, silencioso, IR, de grande qualidade</v>
      </c>
      <c r="B46003" s="3">
        <v>1</v>
      </c>
    </row>
    <row r="46004" ht="15.75" customHeight="1" spans="1:2">
      <c r="A46004" s="3" t="str">
        <f>IFERROR(__xludf.DUMMYFUNCTION("GOOGLETRANSLATE(A46004,""en"",""pt"")"),"A qualidade de impressão e velocidade dramaticamente melhorada da nossa impressora antiga")</f>
        <v>A qualidade de impressão e velocidade dramaticamente melhorada da nossa impressora antiga</v>
      </c>
      <c r="B46004" s="3">
        <v>1</v>
      </c>
    </row>
    <row r="46005" ht="15.75" customHeight="1" spans="1:2">
      <c r="A46005" s="3" t="str">
        <f>IFERROR(__xludf.DUMMYFUNCTION("GOOGLETRANSLATE(A46005,""en"",""pt"")"),"Bem, ele faz uma boa aparência.")</f>
        <v>Bem, ele faz uma boa aparência.</v>
      </c>
      <c r="B46005" s="3">
        <v>1</v>
      </c>
    </row>
    <row r="46006" ht="15.75" customHeight="1" spans="1:2">
      <c r="A46006" s="3" t="str">
        <f>IFERROR(__xludf.DUMMYFUNCTION("GOOGLETRANSLATE(A46006,""en"",""pt"")"),"Qualidade, Velocidade")</f>
        <v>Qualidade, Velocidade</v>
      </c>
      <c r="B46006" s="3">
        <v>1</v>
      </c>
    </row>
    <row r="46007" ht="15.75" customHeight="1" spans="1:2">
      <c r="A46007" s="3" t="str">
        <f>IFERROR(__xludf.DUMMYFUNCTION("GOOGLETRANSLATE(A46007,""en"",""pt"")"),"Ummm ... Eu acho que não queimou meus livros e tentar me fazer ajudar a levar o mundo")</f>
        <v>Ummm ... Eu acho que não queimou meus livros e tentar me fazer ajudar a levar o mundo</v>
      </c>
      <c r="B46007" s="3">
        <v>1</v>
      </c>
    </row>
    <row r="46008" ht="15.75" customHeight="1" spans="1:2">
      <c r="A46008" s="3" t="str">
        <f>IFERROR(__xludf.DUMMYFUNCTION("GOOGLETRANSLATE(A46008,""en"",""pt"")"),"Rápido, confiável, de grande qualidade, muitos extras.")</f>
        <v>Rápido, confiável, de grande qualidade, muitos extras.</v>
      </c>
      <c r="B46008" s="3">
        <v>1</v>
      </c>
    </row>
    <row r="46009" ht="15.75" customHeight="1" spans="1:2">
      <c r="A46009" s="3" t="str">
        <f>IFERROR(__xludf.DUMMYFUNCTION("GOOGLETRANSLATE(A46009,""en"",""pt"")"),"excelente qualidade, excelente velocidade")</f>
        <v>excelente qualidade, excelente velocidade</v>
      </c>
      <c r="B46009" s="3">
        <v>1</v>
      </c>
    </row>
    <row r="46010" ht="15.75" customHeight="1" spans="1:2">
      <c r="A46010" s="3" t="str">
        <f>IFERROR(__xludf.DUMMYFUNCTION("GOOGLETRANSLATE(A46010,""en"",""pt"")"),"Tamanho certo, grandes recursos, HP Quality")</f>
        <v>Tamanho certo, grandes recursos, HP Quality</v>
      </c>
      <c r="B46010" s="3">
        <v>1</v>
      </c>
    </row>
    <row r="46011" ht="15.75" customHeight="1" spans="1:2">
      <c r="A46011" s="3" t="str">
        <f>IFERROR(__xludf.DUMMYFUNCTION("GOOGLETRANSLATE(A46011,""en"",""pt"")"),"Muito rápido e eficiente da tinta, Decentemente razoáveis, qualidade Grande foto")</f>
        <v>Muito rápido e eficiente da tinta, Decentemente razoáveis, qualidade Grande foto</v>
      </c>
      <c r="B46011" s="3">
        <v>1</v>
      </c>
    </row>
    <row r="46012" ht="15.75" customHeight="1" spans="1:2">
      <c r="A46012" s="3" t="str">
        <f>IFERROR(__xludf.DUMMYFUNCTION("GOOGLETRANSLATE(A46012,""en"",""pt"")"),"Grande qualidade de impressão")</f>
        <v>Grande qualidade de impressão</v>
      </c>
      <c r="B46012" s="3">
        <v>1</v>
      </c>
    </row>
    <row r="46013" ht="15.75" customHeight="1" spans="1:2">
      <c r="A46013" s="3" t="str">
        <f>IFERROR(__xludf.DUMMYFUNCTION("GOOGLETRANSLATE(A46013,""en"",""pt"")"),"Rápido, resultados nítidos e cores precisas, impressão em 2 faces, alimentador de envelopes")</f>
        <v>Rápido, resultados nítidos e cores precisas, impressão em 2 faces, alimentador de envelopes</v>
      </c>
      <c r="B46013" s="3">
        <v>1</v>
      </c>
    </row>
    <row r="46014" ht="15.75" customHeight="1" spans="1:2">
      <c r="A46014" s="3" t="str">
        <f>IFERROR(__xludf.DUMMYFUNCTION("GOOGLETRANSLATE(A46014,""en"",""pt"")"),"Impressão rápida e Alguns gadgets legal para aqueles que deles necessitam, tinta de baixo custo")</f>
        <v>Impressão rápida e Alguns gadgets legal para aqueles que deles necessitam, tinta de baixo custo</v>
      </c>
      <c r="B46014" s="3">
        <v>1</v>
      </c>
    </row>
    <row r="46015" ht="15.75" customHeight="1" spans="1:2">
      <c r="A46015" s="3" t="str">
        <f>IFERROR(__xludf.DUMMYFUNCTION("GOOGLETRANSLATE(A46015,""en"",""pt"")"),"Conectividade, software, velocidade, qualidade de impressão, dois automática frente e verso, o reconhecimento do papel")</f>
        <v>Conectividade, software, velocidade, qualidade de impressão, dois automática frente e verso, o reconhecimento do papel</v>
      </c>
      <c r="B46015" s="3">
        <v>1</v>
      </c>
    </row>
    <row r="46016" ht="15.75" customHeight="1" spans="1:2">
      <c r="A46016" s="3" t="str">
        <f>IFERROR(__xludf.DUMMYFUNCTION("GOOGLETRANSLATE(A46016,""en"",""pt"")"),"Fácil de instalar, fácil de usar, os lotes de excelentes características.")</f>
        <v>Fácil de instalar, fácil de usar, os lotes de excelentes características.</v>
      </c>
      <c r="B46016" s="3">
        <v>1</v>
      </c>
    </row>
    <row r="46017" ht="15.75" customHeight="1" spans="1:2">
      <c r="A46017" s="3" t="str">
        <f>IFERROR(__xludf.DUMMYFUNCTION("GOOGLETRANSLATE(A46017,""en"",""pt"")"),"Super tranquilo 2 impressão frente e verso")</f>
        <v>Super tranquilo 2 impressão frente e verso</v>
      </c>
      <c r="B46017" s="3">
        <v>1</v>
      </c>
    </row>
    <row r="46018" ht="15.75" customHeight="1" spans="1:2">
      <c r="A46018" s="3" t="str">
        <f>IFERROR(__xludf.DUMMYFUNCTION("GOOGLETRANSLATE(A46018,""en"",""pt"")"),"impressão de texto muito rápido, de boa qualidade fotos, impressão em 2 faces, automática de papel tipo de sensor")</f>
        <v>impressão de texto muito rápido, de boa qualidade fotos, impressão em 2 faces, automática de papel tipo de sensor</v>
      </c>
      <c r="B46018" s="3">
        <v>1</v>
      </c>
    </row>
    <row r="46019" ht="15.75" customHeight="1" spans="1:2">
      <c r="A46019" s="3" t="str">
        <f>IFERROR(__xludf.DUMMYFUNCTION("GOOGLETRANSLATE(A46019,""en"",""pt"")"),"Excelente qualidade de impressão, cartuchos de tinta dupla.")</f>
        <v>Excelente qualidade de impressão, cartuchos de tinta dupla.</v>
      </c>
      <c r="B46019" s="3">
        <v>1</v>
      </c>
    </row>
    <row r="46020" ht="15.75" customHeight="1" spans="1:2">
      <c r="A46020" s="3" t="str">
        <f>IFERROR(__xludf.DUMMYFUNCTION("GOOGLETRANSLATE(A46020,""en"",""pt"")"),"Excelente qualidade de imagem.")</f>
        <v>Excelente qualidade de imagem.</v>
      </c>
      <c r="B46020" s="3">
        <v>1</v>
      </c>
    </row>
    <row r="46021" ht="15.75" customHeight="1" spans="1:2">
      <c r="A46021" s="3" t="str">
        <f>IFERROR(__xludf.DUMMYFUNCTION("GOOGLETRANSLATE(A46021,""en"",""pt"")"),"Grande qualidade de impressão, impressora extremamente rápida (laser como velocidades), garantia HP e qualidade, consumíveis de impressão de baixo custo, sensor infravermelho. módulo duplex incluído!")</f>
        <v>Grande qualidade de impressão, impressora extremamente rápida (laser como velocidades), garantia HP e qualidade, consumíveis de impressão de baixo custo, sensor infravermelho. módulo duplex incluído!</v>
      </c>
      <c r="B46021" s="3">
        <v>1</v>
      </c>
    </row>
    <row r="46022" ht="15.75" customHeight="1" spans="1:2">
      <c r="A46022" s="3" t="str">
        <f>IFERROR(__xludf.DUMMYFUNCTION("GOOGLETRANSLATE(A46022,""en"",""pt"")"),"rápido, silencioso, IR, de grande qualidade")</f>
        <v>rápido, silencioso, IR, de grande qualidade</v>
      </c>
      <c r="B46022" s="3">
        <v>1</v>
      </c>
    </row>
    <row r="46023" ht="15.75" customHeight="1" spans="1:2">
      <c r="A46023" s="3" t="str">
        <f>IFERROR(__xludf.DUMMYFUNCTION("GOOGLETRANSLATE(A46023,""en"",""pt"")"),"saída muito rápida, impressão de boa qualidade, capacidade de impressão frente e verso")</f>
        <v>saída muito rápida, impressão de boa qualidade, capacidade de impressão frente e verso</v>
      </c>
      <c r="B46023" s="3">
        <v>1</v>
      </c>
    </row>
    <row r="46024" ht="15.75" customHeight="1" spans="1:2">
      <c r="A46024" s="3" t="str">
        <f>IFERROR(__xludf.DUMMYFUNCTION("GOOGLETRANSLATE(A46024,""en"",""pt"")"),"Um fantástico Hewlett Packard Deskjet")</f>
        <v>Um fantástico Hewlett Packard Deskjet</v>
      </c>
      <c r="B46024" s="3">
        <v>1</v>
      </c>
    </row>
    <row r="46025" ht="15.75" customHeight="1" spans="1:2">
      <c r="A46025" s="3" t="str">
        <f>IFERROR(__xludf.DUMMYFUNCTION("GOOGLETRANSLATE(A46025,""en"",""pt"")"),"Baixo custo, alta qualidade e rápido!")</f>
        <v>Baixo custo, alta qualidade e rápido!</v>
      </c>
      <c r="B46025" s="3">
        <v>1</v>
      </c>
    </row>
    <row r="46026" ht="15.75" customHeight="1" spans="1:2">
      <c r="A46026" s="3" t="str">
        <f>IFERROR(__xludf.DUMMYFUNCTION("GOOGLETRANSLATE(A46026,""en"",""pt"")"),"Rápido")</f>
        <v>Rápido</v>
      </c>
      <c r="B46026" s="3">
        <v>1</v>
      </c>
    </row>
    <row r="46027" ht="15.75" customHeight="1" spans="1:2">
      <c r="A46027" s="3" t="str">
        <f>IFERROR(__xludf.DUMMYFUNCTION("GOOGLETRANSLATE(A46027,""en"",""pt"")"),"Rápida, tranquila, fácil de instalar")</f>
        <v>Rápida, tranquila, fácil de instalar</v>
      </c>
      <c r="B46027" s="3">
        <v>1</v>
      </c>
    </row>
    <row r="46028" ht="15.75" customHeight="1" spans="1:2">
      <c r="A46028" s="3" t="str">
        <f>IFERROR(__xludf.DUMMYFUNCTION("GOOGLETRANSLATE(A46028,""en"",""pt"")"),"Rápida, tranquila, fácil de instalar")</f>
        <v>Rápida, tranquila, fácil de instalar</v>
      </c>
      <c r="B46028" s="3">
        <v>1</v>
      </c>
    </row>
    <row r="46029" ht="15.75" customHeight="1" spans="1:2">
      <c r="A46029" s="3" t="str">
        <f>IFERROR(__xludf.DUMMYFUNCTION("GOOGLETRANSLATE(A46029,""en"",""pt"")"),"Pequeno e rápido.")</f>
        <v>Pequeno e rápido.</v>
      </c>
      <c r="B46029" s="3">
        <v>1</v>
      </c>
    </row>
    <row r="46030" ht="15.75" customHeight="1" spans="1:2">
      <c r="A46030" s="3" t="str">
        <f>IFERROR(__xludf.DUMMYFUNCTION("GOOGLETRANSLATE(A46030,""en"",""pt"")"),"qualidade HP, rápido e impressão afiada")</f>
        <v>qualidade HP, rápido e impressão afiada</v>
      </c>
      <c r="B46030" s="3">
        <v>1</v>
      </c>
    </row>
    <row r="46031" ht="15.75" customHeight="1" spans="1:2">
      <c r="A46031" s="3" t="str">
        <f>IFERROR(__xludf.DUMMYFUNCTION("GOOGLETRANSLATE(A46031,""en"",""pt"")"),"Configuração fácil e rápida")</f>
        <v>Configuração fácil e rápida</v>
      </c>
      <c r="B46031" s="3">
        <v>1</v>
      </c>
    </row>
    <row r="46032" ht="15.75" customHeight="1" spans="1:2">
      <c r="A46032" s="3" t="str">
        <f>IFERROR(__xludf.DUMMYFUNCTION("GOOGLETRANSLATE(A46032,""en"",""pt"")"),"Robusto, confiável, rápido impressão de trabalhos complexos")</f>
        <v>Robusto, confiável, rápido impressão de trabalhos complexos</v>
      </c>
      <c r="B46032" s="3">
        <v>1</v>
      </c>
    </row>
    <row r="46033" ht="15.75" customHeight="1" spans="1:2">
      <c r="A46033" s="3" t="str">
        <f>IFERROR(__xludf.DUMMYFUNCTION("GOOGLETRANSLATE(A46033,""en"",""pt"")"),"impressão limpo e fácil de usar, se encaixa na minha mesa")</f>
        <v>impressão limpo e fácil de usar, se encaixa na minha mesa</v>
      </c>
      <c r="B46033" s="3">
        <v>1</v>
      </c>
    </row>
    <row r="46034" ht="15.75" customHeight="1" spans="1:2">
      <c r="A46034" s="3" t="str">
        <f>IFERROR(__xludf.DUMMYFUNCTION("GOOGLETRANSLATE(A46034,""en"",""pt"")"),"Fácil de usar, de grande qualidade e vale o dinheiro")</f>
        <v>Fácil de usar, de grande qualidade e vale o dinheiro</v>
      </c>
      <c r="B46034" s="3">
        <v>1</v>
      </c>
    </row>
    <row r="46035" ht="15.75" customHeight="1" spans="1:2">
      <c r="A46035" s="3" t="str">
        <f>IFERROR(__xludf.DUMMYFUNCTION("GOOGLETRANSLATE(A46035,""en"",""pt"")"),"O tamanho pequeno, acessível, de qualidade de impressão &amp; amp; Rapidez.")</f>
        <v>O tamanho pequeno, acessível, de qualidade de impressão &amp; amp; Rapidez.</v>
      </c>
      <c r="B46035" s="3">
        <v>1</v>
      </c>
    </row>
    <row r="46036" ht="15.75" customHeight="1" spans="1:2">
      <c r="A46036" s="3" t="str">
        <f>IFERROR(__xludf.DUMMYFUNCTION("GOOGLETRANSLATE(A46036,""en"",""pt"")"),"boa qualidade de impressão, fácil de usar, de baixo custo")</f>
        <v>boa qualidade de impressão, fácil de usar, de baixo custo</v>
      </c>
      <c r="B46036" s="3">
        <v>1</v>
      </c>
    </row>
    <row r="46037" ht="15.75" customHeight="1" spans="1:2">
      <c r="A46037" s="3" t="str">
        <f>IFERROR(__xludf.DUMMYFUNCTION("GOOGLETRANSLATE(A46037,""en"",""pt"")"),"Barato, boa qualidade de impressão, Fast")</f>
        <v>Barato, boa qualidade de impressão, Fast</v>
      </c>
      <c r="B46037" s="3">
        <v>1</v>
      </c>
    </row>
    <row r="46038" ht="15.75" customHeight="1" spans="1:2">
      <c r="A46038" s="3" t="str">
        <f>IFERROR(__xludf.DUMMYFUNCTION("GOOGLETRANSLATE(A46038,""en"",""pt"")"),"Rápido e sem problemas")</f>
        <v>Rápido e sem problemas</v>
      </c>
      <c r="B46038" s="3">
        <v>1</v>
      </c>
    </row>
    <row r="46039" ht="15.75" customHeight="1" spans="1:2">
      <c r="A46039" s="3" t="str">
        <f>IFERROR(__xludf.DUMMYFUNCTION("GOOGLETRANSLATE(A46039,""en"",""pt"")"),"600 dpi, rápido, texto e gráficos imprimir bem, aceita variedade de meios, bandeja de papel horizontal")</f>
        <v>600 dpi, rápido, texto e gráficos imprimir bem, aceita variedade de meios, bandeja de papel horizontal</v>
      </c>
      <c r="B46039" s="3">
        <v>1</v>
      </c>
    </row>
    <row r="46040" ht="15.75" customHeight="1" spans="1:2">
      <c r="A46040" s="3" t="str">
        <f>IFERROR(__xludf.DUMMYFUNCTION("GOOGLETRANSLATE(A46040,""en"",""pt"")"),"Excelente qualidade, baixo custo de propriedade, rápido, fácil")</f>
        <v>Excelente qualidade, baixo custo de propriedade, rápido, fácil</v>
      </c>
      <c r="B46040" s="3">
        <v>1</v>
      </c>
    </row>
    <row r="46041" ht="15.75" customHeight="1" spans="1:2">
      <c r="A46041" s="3" t="str">
        <f>IFERROR(__xludf.DUMMYFUNCTION("GOOGLETRANSLATE(A46041,""en"",""pt"")"),"qualidade HP sólida que é duradouro e saída de alta qualidade.")</f>
        <v>qualidade HP sólida que é duradouro e saída de alta qualidade.</v>
      </c>
      <c r="B46041" s="3">
        <v>1</v>
      </c>
    </row>
    <row r="46042" ht="15.75" customHeight="1" spans="1:2">
      <c r="A46042" s="3" t="str">
        <f>IFERROR(__xludf.DUMMYFUNCTION("GOOGLETRANSLATE(A46042,""en"",""pt"")"),"Baixo custo e custo de operação com qualidade de impressão HP.")</f>
        <v>Baixo custo e custo de operação com qualidade de impressão HP.</v>
      </c>
      <c r="B46042" s="3">
        <v>1</v>
      </c>
    </row>
    <row r="46043" ht="15.75" customHeight="1" spans="1:2">
      <c r="A46043" s="3" t="str">
        <f>IFERROR(__xludf.DUMMYFUNCTION("GOOGLETRANSLATE(A46043,""en"",""pt"")"),"impressão ultra-rápida, baixo preço, tamanho pequeno, a qualidade de impressão, feita pela HP.")</f>
        <v>impressão ultra-rápida, baixo preço, tamanho pequeno, a qualidade de impressão, feita pela HP.</v>
      </c>
      <c r="B46043" s="3">
        <v>1</v>
      </c>
    </row>
    <row r="46044" ht="15.75" customHeight="1" spans="1:2">
      <c r="A46044" s="3" t="str">
        <f>IFERROR(__xludf.DUMMYFUNCTION("GOOGLETRANSLATE(A46044,""en"",""pt"")"),"Pequeno, rápido, bom trabalho de impressão de qualidade, de HP.")</f>
        <v>Pequeno, rápido, bom trabalho de impressão de qualidade, de HP.</v>
      </c>
      <c r="B46044" s="3">
        <v>1</v>
      </c>
    </row>
    <row r="46045" ht="15.75" customHeight="1" spans="1:2">
      <c r="A46045" s="3" t="str">
        <f>IFERROR(__xludf.DUMMYFUNCTION("GOOGLETRANSLATE(A46045,""en"",""pt"")"),"Custo, nome HP, funciona bem até que ele quebra")</f>
        <v>Custo, nome HP, funciona bem até que ele quebra</v>
      </c>
      <c r="B46045" s="3">
        <v>1</v>
      </c>
    </row>
    <row r="46046" ht="15.75" customHeight="1" spans="1:2">
      <c r="A46046" s="3" t="str">
        <f>IFERROR(__xludf.DUMMYFUNCTION("GOOGLETRANSLATE(A46046,""en"",""pt"")"),"impressão de qualidade profissional, ser tão criativo como você quer ser.")</f>
        <v>impressão de qualidade profissional, ser tão criativo como você quer ser.</v>
      </c>
      <c r="B46046" s="3">
        <v>1</v>
      </c>
    </row>
    <row r="46047" ht="15.75" customHeight="1" spans="1:2">
      <c r="A46047" s="3" t="str">
        <f>IFERROR(__xludf.DUMMYFUNCTION("GOOGLETRANSLATE(A46047,""en"",""pt"")"),"Impressão rápida e afiada! Toner continua indo e indo ... fácil de configurar / uso - anexos disponíveis")</f>
        <v>Impressão rápida e afiada! Toner continua indo e indo ... fácil de configurar / uso - anexos disponíveis</v>
      </c>
      <c r="B46047" s="3">
        <v>1</v>
      </c>
    </row>
    <row r="46048" ht="15.75" customHeight="1" spans="1:2">
      <c r="A46048" s="3" t="s">
        <v>222</v>
      </c>
      <c r="B46048" s="3">
        <v>1</v>
      </c>
    </row>
    <row r="46049" ht="15.75" customHeight="1" spans="1:2">
      <c r="A46049" s="3" t="str">
        <f>IFERROR(__xludf.DUMMYFUNCTION("GOOGLETRANSLATE(A46049,""en"",""pt"")"),"Bom para pouco espaço na mesa. velocidade de impressão justa e boa qualidade de impressão")</f>
        <v>Bom para pouco espaço na mesa. velocidade de impressão justa e boa qualidade de impressão</v>
      </c>
      <c r="B46049" s="3">
        <v>1</v>
      </c>
    </row>
    <row r="46050" ht="15.75" customHeight="1" spans="1:2">
      <c r="A46050" s="3" t="str">
        <f>IFERROR(__xludf.DUMMYFUNCTION("GOOGLETRANSLATE(A46050,""en"",""pt"")"),"O tamanho pequeno, imprime boas cópias")</f>
        <v>O tamanho pequeno, imprime boas cópias</v>
      </c>
      <c r="B46050" s="3">
        <v>1</v>
      </c>
    </row>
    <row r="46051" ht="15.75" customHeight="1" spans="1:2">
      <c r="A46051" s="3" t="str">
        <f>IFERROR(__xludf.DUMMYFUNCTION("GOOGLETRANSLATE(A46051,""en"",""pt"")"),"confiável, de boa qualidade")</f>
        <v>confiável, de boa qualidade</v>
      </c>
      <c r="B46051" s="3">
        <v>1</v>
      </c>
    </row>
    <row r="46052" ht="15.75" customHeight="1" spans="1:2">
      <c r="A46052" s="3" t="str">
        <f>IFERROR(__xludf.DUMMYFUNCTION("GOOGLETRANSLATE(A46052,""en"",""pt"")"),"pequeno, compacto")</f>
        <v>pequeno, compacto</v>
      </c>
      <c r="B46052" s="3">
        <v>1</v>
      </c>
    </row>
    <row r="46053" ht="15.75" customHeight="1" spans="1:2">
      <c r="A46053" s="3" t="str">
        <f>IFERROR(__xludf.DUMMYFUNCTION("GOOGLETRANSLATE(A46053,""en"",""pt"")"),"Quando imprime uma página sem atolar e que a tinta não mancha, isso parece ótimo!")</f>
        <v>Quando imprime uma página sem atolar e que a tinta não mancha, isso parece ótimo!</v>
      </c>
      <c r="B46053" s="3">
        <v>1</v>
      </c>
    </row>
    <row r="46054" ht="15.75" customHeight="1" spans="1:2">
      <c r="A46054" s="3" t="str">
        <f>IFERROR(__xludf.DUMMYFUNCTION("GOOGLETRANSLATE(A46054,""en"",""pt"")"),"Razoavelmente barato, boa impressão com qualidade laser.")</f>
        <v>Razoavelmente barato, boa impressão com qualidade laser.</v>
      </c>
      <c r="B46054" s="3">
        <v>1</v>
      </c>
    </row>
    <row r="46055" ht="15.75" customHeight="1" spans="1:2">
      <c r="A46055" s="3" t="str">
        <f>IFERROR(__xludf.DUMMYFUNCTION("GOOGLETRANSLATE(A46055,""en"",""pt"")"),"Boa qualidade de impressão,")</f>
        <v>Boa qualidade de impressão,</v>
      </c>
      <c r="B46055" s="3">
        <v>1</v>
      </c>
    </row>
    <row r="46056" ht="15.75" customHeight="1" spans="1:2">
      <c r="A46056" s="3" t="str">
        <f>IFERROR(__xludf.DUMMYFUNCTION("GOOGLETRANSLATE(A46056,""en"",""pt"")"),"texto qualidade laser e gráficos ... quando esta imprime")</f>
        <v>texto qualidade laser e gráficos ... quando esta imprime</v>
      </c>
      <c r="B46056" s="3">
        <v>1</v>
      </c>
    </row>
    <row r="46057" ht="15.75" customHeight="1" spans="1:2">
      <c r="A46057" s="3" t="str">
        <f>IFERROR(__xludf.DUMMYFUNCTION("GOOGLETRANSLATE(A46057,""en"",""pt"")"),"Qualidade de texto, a saída de impressão muito boa")</f>
        <v>Qualidade de texto, a saída de impressão muito boa</v>
      </c>
      <c r="B46057" s="3">
        <v>1</v>
      </c>
    </row>
    <row r="46058" ht="15.75" customHeight="1" spans="1:2">
      <c r="A46058" s="3" t="str">
        <f>IFERROR(__xludf.DUMMYFUNCTION("GOOGLETRANSLATE(A46058,""en"",""pt"")"),"Cópia agradável.")</f>
        <v>Cópia agradável.</v>
      </c>
      <c r="B46058" s="3">
        <v>1</v>
      </c>
    </row>
    <row r="46059" ht="15.75" customHeight="1" spans="1:2">
      <c r="A46059" s="3" t="str">
        <f>IFERROR(__xludf.DUMMYFUNCTION("GOOGLETRANSLATE(A46059,""en"",""pt"")"),"Acessível, fácil de usar, Crisp Lettering")</f>
        <v>Acessível, fácil de usar, Crisp Lettering</v>
      </c>
      <c r="B46059" s="3">
        <v>1</v>
      </c>
    </row>
    <row r="46060" ht="15.75" customHeight="1" spans="1:2">
      <c r="A46060" s="3" t="str">
        <f>IFERROR(__xludf.DUMMYFUNCTION("GOOGLETRANSLATE(A46060,""en"",""pt"")"),"páginas muito econômicos, claramente impressos")</f>
        <v>páginas muito econômicos, claramente impressos</v>
      </c>
      <c r="B46060" s="3">
        <v>1</v>
      </c>
    </row>
    <row r="46061" ht="15.75" customHeight="1" spans="1:2">
      <c r="A46061" s="3" t="str">
        <f>IFERROR(__xludf.DUMMYFUNCTION("GOOGLETRANSLATE(A46061,""en"",""pt"")"),"Qualidade, velocidade, preço.")</f>
        <v>Qualidade, velocidade, preço.</v>
      </c>
      <c r="B46061" s="3">
        <v>1</v>
      </c>
    </row>
    <row r="46062" ht="15.75" customHeight="1" spans="1:2">
      <c r="A46062" s="3" t="str">
        <f>IFERROR(__xludf.DUMMYFUNCTION("GOOGLETRANSLATE(A46062,""en"",""pt"")"),"Eu não pagar por isso. (Board of ed. Fez)")</f>
        <v>Eu não pagar por isso. (Board of ed. Fez)</v>
      </c>
      <c r="B46062" s="3">
        <v>1</v>
      </c>
    </row>
    <row r="46063" ht="15.75" customHeight="1" spans="1:2">
      <c r="A46063" s="3" t="str">
        <f>IFERROR(__xludf.DUMMYFUNCTION("GOOGLETRANSLATE(A46063,""en"",""pt"")"),"boas impressões, scanner, copiadora, de baixa manutenção")</f>
        <v>boas impressões, scanner, copiadora, de baixa manutenção</v>
      </c>
      <c r="B46063" s="3">
        <v>1</v>
      </c>
    </row>
    <row r="46064" ht="15.75" customHeight="1" spans="1:2">
      <c r="A46064" s="3" t="str">
        <f>IFERROR(__xludf.DUMMYFUNCTION("GOOGLETRANSLATE(A46064,""en"",""pt"")"),"Elegante, simples, rápido, silencioso")</f>
        <v>Elegante, simples, rápido, silencioso</v>
      </c>
      <c r="B46064" s="3">
        <v>1</v>
      </c>
    </row>
    <row r="46065" ht="15.75" customHeight="1" spans="1:2">
      <c r="A46065" s="3" t="str">
        <f>IFERROR(__xludf.DUMMYFUNCTION("GOOGLETRANSLATE(A46065,""en"",""pt"")"),"Pegada pequena, fácil de configurar.")</f>
        <v>Pegada pequena, fácil de configurar.</v>
      </c>
      <c r="B46065" s="3">
        <v>1</v>
      </c>
    </row>
    <row r="46066" ht="15.75" customHeight="1" spans="1:2">
      <c r="A46066" s="3" t="str">
        <f>IFERROR(__xludf.DUMMYFUNCTION("GOOGLETRANSLATE(A46066,""en"",""pt"")"),"Conveniente, acessível,")</f>
        <v>Conveniente, acessível,</v>
      </c>
      <c r="B46066" s="3">
        <v>1</v>
      </c>
    </row>
    <row r="46067" ht="15.75" customHeight="1" spans="1:2">
      <c r="A46067" s="3" t="str">
        <f>IFERROR(__xludf.DUMMYFUNCTION("GOOGLETRANSLATE(A46067,""en"",""pt"")"),"rápido, afiado, substitui o seu aparelho de fax, software muito bom")</f>
        <v>rápido, afiado, substitui o seu aparelho de fax, software muito bom</v>
      </c>
      <c r="B46067" s="3">
        <v>1</v>
      </c>
    </row>
    <row r="46068" ht="15.75" customHeight="1" spans="1:2">
      <c r="A46068" s="3" t="str">
        <f>IFERROR(__xludf.DUMMYFUNCTION("GOOGLETRANSLATE(A46068,""en"",""pt"")"),"toner dura 4000 páginas, mais rápido do que a jato de tinta")</f>
        <v>toner dura 4000 páginas, mais rápido do que a jato de tinta</v>
      </c>
      <c r="B46068" s="3">
        <v>1</v>
      </c>
    </row>
    <row r="46069" ht="15.75" customHeight="1" spans="1:2">
      <c r="A46069" s="3" t="str">
        <f>IFERROR(__xludf.DUMMYFUNCTION("GOOGLETRANSLATE(A46069,""en"",""pt"")"),"Rápido, de alta qualidade, livre de manutenção")</f>
        <v>Rápido, de alta qualidade, livre de manutenção</v>
      </c>
      <c r="B46069" s="3">
        <v>1</v>
      </c>
    </row>
    <row r="46070" ht="15.75" customHeight="1" spans="1:2">
      <c r="A46070" s="3" t="str">
        <f>IFERROR(__xludf.DUMMYFUNCTION("GOOGLETRANSLATE(A46070,""en"",""pt"")"),"velocidade é OK")</f>
        <v>velocidade é OK</v>
      </c>
      <c r="B46070" s="3">
        <v>1</v>
      </c>
    </row>
    <row r="46071" ht="15.75" customHeight="1" spans="1:2">
      <c r="A46071" s="3" t="str">
        <f>IFERROR(__xludf.DUMMYFUNCTION("GOOGLETRANSLATE(A46071,""en"",""pt"")"),"pode imprimir / digitalização / cópia")</f>
        <v>pode imprimir / digitalização / cópia</v>
      </c>
      <c r="B46071" s="3">
        <v>1</v>
      </c>
    </row>
    <row r="46072" ht="15.75" customHeight="1" spans="1:2">
      <c r="A46072" s="3" t="str">
        <f>IFERROR(__xludf.DUMMYFUNCTION("GOOGLETRANSLATE(A46072,""en"",""pt"")"),"Barato (ish!), Impressora laser decente")</f>
        <v>Barato (ish!), Impressora laser decente</v>
      </c>
      <c r="B46072" s="3">
        <v>1</v>
      </c>
    </row>
    <row r="46073" ht="15.75" customHeight="1" spans="1:2">
      <c r="A46073" s="3" t="s">
        <v>223</v>
      </c>
      <c r="B46073" s="3">
        <v>1</v>
      </c>
    </row>
    <row r="46074" ht="15.75" customHeight="1" spans="1:2">
      <c r="A46074" s="3" t="str">
        <f>IFERROR(__xludf.DUMMYFUNCTION("GOOGLETRANSLATE(A46074,""en"",""pt"")"),"compacto, preço certo, excelente qualidade de impressão e quantidade, coper")</f>
        <v>compacto, preço certo, excelente qualidade de impressão e quantidade, coper</v>
      </c>
      <c r="B46074" s="3">
        <v>1</v>
      </c>
    </row>
    <row r="46075" ht="15.75" customHeight="1" spans="1:2">
      <c r="A46075" s="3" t="str">
        <f>IFERROR(__xludf.DUMMYFUNCTION("GOOGLETRANSLATE(A46075,""en"",""pt"")"),"Belo design. Impressora, scanner, copiadora em um. Rápido e confiável.")</f>
        <v>Belo design. Impressora, scanner, copiadora em um. Rápido e confiável.</v>
      </c>
      <c r="B46075" s="3">
        <v>1</v>
      </c>
    </row>
    <row r="46076" ht="15.75" customHeight="1" spans="1:2">
      <c r="A46076" s="3" t="str">
        <f>IFERROR(__xludf.DUMMYFUNCTION("GOOGLETRANSLATE(A46076,""en"",""pt"")"),"rápido &amp; amp; impressão clara")</f>
        <v>rápido &amp; amp; impressão clara</v>
      </c>
      <c r="B46076" s="3">
        <v>1</v>
      </c>
    </row>
    <row r="46077" ht="15.75" customHeight="1" spans="1:2">
      <c r="A46077" s="3" t="str">
        <f>IFERROR(__xludf.DUMMYFUNCTION("GOOGLETRANSLATE(A46077,""en"",""pt"")"),"Impressora a laser. Tamanho.")</f>
        <v>Impressora a laser. Tamanho.</v>
      </c>
      <c r="B46077" s="3">
        <v>1</v>
      </c>
    </row>
    <row r="46078" ht="15.75" customHeight="1" spans="1:2">
      <c r="A46078" s="3" t="str">
        <f>IFERROR(__xludf.DUMMYFUNCTION("GOOGLETRANSLATE(A46078,""en"",""pt"")"),"Muito rápido, imagem nítida, agradável dpi")</f>
        <v>Muito rápido, imagem nítida, agradável dpi</v>
      </c>
      <c r="B46078" s="3">
        <v>1</v>
      </c>
    </row>
    <row r="46079" ht="15.75" customHeight="1" spans="1:2">
      <c r="A46079" s="3" t="str">
        <f>IFERROR(__xludf.DUMMYFUNCTION("GOOGLETRANSLATE(A46079,""en"",""pt"")"),"Boa qualidade a um preço justo")</f>
        <v>Boa qualidade a um preço justo</v>
      </c>
      <c r="B46079" s="3">
        <v>1</v>
      </c>
    </row>
    <row r="46080" ht="15.75" customHeight="1" spans="1:2">
      <c r="A46080" s="3" t="str">
        <f>IFERROR(__xludf.DUMMYFUNCTION("GOOGLETRANSLATE(A46080,""en"",""pt"")"),"Flexability, confiabilidade HP")</f>
        <v>Flexability, confiabilidade HP</v>
      </c>
      <c r="B46080" s="3">
        <v>1</v>
      </c>
    </row>
    <row r="46081" ht="15.75" customHeight="1" spans="1:2">
      <c r="A46081" s="3" t="str">
        <f>IFERROR(__xludf.DUMMYFUNCTION("GOOGLETRANSLATE(A46081,""en"",""pt"")"),"impressão rápida para o seu tamanho, multifunções")</f>
        <v>impressão rápida para o seu tamanho, multifunções</v>
      </c>
      <c r="B46081" s="3">
        <v>1</v>
      </c>
    </row>
    <row r="46082" ht="15.75" customHeight="1" spans="1:2">
      <c r="A46082" s="3" t="str">
        <f>IFERROR(__xludf.DUMMYFUNCTION("GOOGLETRANSLATE(A46082,""en"",""pt"")"),"excelente desempenho")</f>
        <v>excelente desempenho</v>
      </c>
      <c r="B46082" s="3">
        <v>1</v>
      </c>
    </row>
    <row r="46083" ht="15.75" customHeight="1" spans="1:2">
      <c r="A46083" s="3" t="str">
        <f>IFERROR(__xludf.DUMMYFUNCTION("GOOGLETRANSLATE(A46083,""en"",""pt"")"),"Limpar, de impressão nítida. operação silenciosa. Valor decente. Pequena pegada.")</f>
        <v>Limpar, de impressão nítida. operação silenciosa. Valor decente. Pequena pegada.</v>
      </c>
      <c r="B46083" s="3">
        <v>1</v>
      </c>
    </row>
    <row r="46084" ht="15.75" customHeight="1" spans="1:2">
      <c r="A46084" s="3" t="str">
        <f>IFERROR(__xludf.DUMMYFUNCTION("GOOGLETRANSLATE(A46084,""en"",""pt"")"),"muitas capacidades")</f>
        <v>muitas capacidades</v>
      </c>
      <c r="B46084" s="3">
        <v>1</v>
      </c>
    </row>
    <row r="46085" ht="15.75" customHeight="1" spans="1:2">
      <c r="A46085" s="3" t="str">
        <f>IFERROR(__xludf.DUMMYFUNCTION("GOOGLETRANSLATE(A46085,""en"",""pt"")"),"texto nítido")</f>
        <v>texto nítido</v>
      </c>
      <c r="B46085" s="3">
        <v>1</v>
      </c>
    </row>
    <row r="46086" ht="15.75" customHeight="1" spans="1:2">
      <c r="A46086" s="3" t="str">
        <f>IFERROR(__xludf.DUMMYFUNCTION("GOOGLETRANSLATE(A46086,""en"",""pt"")"),"Impressão de alta qualidade com consumíveis de baixo custo")</f>
        <v>Impressão de alta qualidade com consumíveis de baixo custo</v>
      </c>
      <c r="B46086" s="3">
        <v>1</v>
      </c>
    </row>
    <row r="46087" ht="15.75" customHeight="1" spans="1:2">
      <c r="A46087" s="3" t="str">
        <f>IFERROR(__xludf.DUMMYFUNCTION("GOOGLETRANSLATE(A46087,""en"",""pt"")"),"Qualidade de Impressão &amp; amp; amp; Confiabilidade")</f>
        <v>Qualidade de Impressão &amp; amp; amp; Confiabilidade</v>
      </c>
      <c r="B46087" s="3">
        <v>1</v>
      </c>
    </row>
    <row r="46088" ht="15.75" customHeight="1" spans="1:2">
      <c r="A46088" s="3" t="str">
        <f>IFERROR(__xludf.DUMMYFUNCTION("GOOGLETRANSLATE(A46088,""en"",""pt"")"),"custo de manutenção menor do que outras impressoras; rep alta qualidade")</f>
        <v>custo de manutenção menor do que outras impressoras; rep alta qualidade</v>
      </c>
      <c r="B46088" s="3">
        <v>1</v>
      </c>
    </row>
    <row r="46089" ht="15.75" customHeight="1" spans="1:2">
      <c r="A46089" s="3" t="str">
        <f>IFERROR(__xludf.DUMMYFUNCTION("GOOGLETRANSLATE(A46089,""en"",""pt"")"),"Rápido, silencioso, boa qualidade de impressão, e incrivelmente fácil de configurar e usar.")</f>
        <v>Rápido, silencioso, boa qualidade de impressão, e incrivelmente fácil de configurar e usar.</v>
      </c>
      <c r="B46089" s="3">
        <v>1</v>
      </c>
    </row>
    <row r="46090" ht="15.75" customHeight="1" spans="1:2">
      <c r="A46090" s="3" t="str">
        <f>IFERROR(__xludf.DUMMYFUNCTION("GOOGLETRANSLATE(A46090,""en"",""pt"")"),"Bem construído, totalmente suportados, fácil de instalar e usar, etc.")</f>
        <v>Bem construído, totalmente suportados, fácil de instalar e usar, etc.</v>
      </c>
      <c r="B46090" s="3">
        <v>1</v>
      </c>
    </row>
    <row r="46091" ht="15.75" customHeight="1" spans="1:2">
      <c r="A46091" s="3" t="str">
        <f>IFERROR(__xludf.DUMMYFUNCTION("GOOGLETRANSLATE(A46091,""en"",""pt"")"),"tamanho pequeno, muito rápido, acessível, nunca quaisquer problemas, é muito útil")</f>
        <v>tamanho pequeno, muito rápido, acessível, nunca quaisquer problemas, é muito útil</v>
      </c>
      <c r="B46091" s="3">
        <v>1</v>
      </c>
    </row>
    <row r="46092" ht="15.75" customHeight="1" spans="1:2">
      <c r="A46092" s="3" t="str">
        <f>IFERROR(__xludf.DUMMYFUNCTION("GOOGLETRANSLATE(A46092,""en"",""pt"")"),"Rápido, boa impressão para a maioria das aplicações")</f>
        <v>Rápido, boa impressão para a maioria das aplicações</v>
      </c>
      <c r="B46092" s="3">
        <v>1</v>
      </c>
    </row>
    <row r="46093" ht="15.75" customHeight="1" spans="1:2">
      <c r="A46093" s="3" t="str">
        <f>IFERROR(__xludf.DUMMYFUNCTION("GOOGLETRANSLATE(A46093,""en"",""pt"")"),"Pequeno, Fast Velocidade de impressão, Grande Qualidade de Impressão")</f>
        <v>Pequeno, Fast Velocidade de impressão, Grande Qualidade de Impressão</v>
      </c>
      <c r="B46093" s="3">
        <v>1</v>
      </c>
    </row>
    <row r="46094" ht="15.75" customHeight="1" spans="1:2">
      <c r="A46094" s="3" t="str">
        <f>IFERROR(__xludf.DUMMYFUNCTION("GOOGLETRANSLATE(A46094,""en"",""pt"")"),"fácil de instalar, networkable, a produção confiável de boa qualidade")</f>
        <v>fácil de instalar, networkable, a produção confiável de boa qualidade</v>
      </c>
      <c r="B46094" s="3">
        <v>1</v>
      </c>
    </row>
    <row r="46095" ht="15.75" customHeight="1" spans="1:2">
      <c r="A46095" s="3" t="str">
        <f>IFERROR(__xludf.DUMMYFUNCTION("GOOGLETRANSLATE(A46095,""en"",""pt"")"),"Qualidade ... velocidade ...")</f>
        <v>Qualidade ... velocidade ...</v>
      </c>
      <c r="B46095" s="3">
        <v>1</v>
      </c>
    </row>
    <row r="46096" ht="15.75" customHeight="1" spans="1:2">
      <c r="A46096" s="3" t="str">
        <f>IFERROR(__xludf.DUMMYFUNCTION("GOOGLETRANSLATE(A46096,""en"",""pt"")"),"Pequeno, boa qualidade de construção")</f>
        <v>Pequeno, boa qualidade de construção</v>
      </c>
      <c r="B46096" s="3">
        <v>1</v>
      </c>
    </row>
    <row r="46097" ht="15.75" customHeight="1" spans="1:2">
      <c r="A46097" s="3" t="str">
        <f>IFERROR(__xludf.DUMMYFUNCTION("GOOGLETRANSLATE(A46097,""en"",""pt"")"),"Confiável e barata para imprimir.")</f>
        <v>Confiável e barata para imprimir.</v>
      </c>
      <c r="B46097" s="3">
        <v>1</v>
      </c>
    </row>
    <row r="46098" ht="15.75" customHeight="1" spans="1:2">
      <c r="A46098" s="3" t="str">
        <f>IFERROR(__xludf.DUMMYFUNCTION("GOOGLETRANSLATE(A46098,""en"",""pt"")"),"fácil de usar, de grande qualidade, rápido")</f>
        <v>fácil de usar, de grande qualidade, rápido</v>
      </c>
      <c r="B46098" s="3">
        <v>1</v>
      </c>
    </row>
    <row r="46099" ht="15.75" customHeight="1" spans="1:2">
      <c r="A46099" s="3" t="str">
        <f>IFERROR(__xludf.DUMMYFUNCTION("GOOGLETRANSLATE(A46099,""en"",""pt"")"),"A qualidade de impressão, velocidade de impressão")</f>
        <v>A qualidade de impressão, velocidade de impressão</v>
      </c>
      <c r="B46099" s="3">
        <v>1</v>
      </c>
    </row>
    <row r="46100" ht="15.75" customHeight="1" spans="1:2">
      <c r="A46100" s="3" t="str">
        <f>IFERROR(__xludf.DUMMYFUNCTION("GOOGLETRANSLATE(A46100,""en"",""pt"")"),"qualidade de impressão")</f>
        <v>qualidade de impressão</v>
      </c>
      <c r="B46100" s="3">
        <v>1</v>
      </c>
    </row>
    <row r="46101" ht="15.75" customHeight="1" spans="1:2">
      <c r="A46101" s="3" t="str">
        <f>IFERROR(__xludf.DUMMYFUNCTION("GOOGLETRANSLATE(A46101,""en"",""pt"")"),"alta qualidade, produto barato")</f>
        <v>alta qualidade, produto barato</v>
      </c>
      <c r="B46101" s="3">
        <v>1</v>
      </c>
    </row>
    <row r="46102" ht="15.75" customHeight="1" spans="1:2">
      <c r="A46102" s="3" t="str">
        <f>IFERROR(__xludf.DUMMYFUNCTION("GOOGLETRANSLATE(A46102,""en"",""pt"")"),"rápido, poderoso, fácil de instalar")</f>
        <v>rápido, poderoso, fácil de instalar</v>
      </c>
      <c r="B46102" s="3">
        <v>1</v>
      </c>
    </row>
    <row r="46103" ht="15.75" customHeight="1" spans="1:2">
      <c r="A46103" s="3" t="str">
        <f>IFERROR(__xludf.DUMMYFUNCTION("GOOGLETRANSLATE(A46103,""en"",""pt"")"),"impressão de qualidade excelente; muito user-friendly")</f>
        <v>impressão de qualidade excelente; muito user-friendly</v>
      </c>
      <c r="B46103" s="3">
        <v>1</v>
      </c>
    </row>
    <row r="46104" ht="15.75" customHeight="1" spans="1:2">
      <c r="A46104" s="3" t="str">
        <f>IFERROR(__xludf.DUMMYFUNCTION("GOOGLETRANSLATE(A46104,""en"",""pt"")"),"velocidade, qualidade, confiabilidade")</f>
        <v>velocidade, qualidade, confiabilidade</v>
      </c>
      <c r="B46104" s="3">
        <v>1</v>
      </c>
    </row>
    <row r="46105" ht="15.75" customHeight="1" spans="1:2">
      <c r="A46105" s="3" t="str">
        <f>IFERROR(__xludf.DUMMYFUNCTION("GOOGLETRANSLATE(A46105,""en"",""pt"")"),"qualidade de impressão")</f>
        <v>qualidade de impressão</v>
      </c>
      <c r="B46105" s="3">
        <v>1</v>
      </c>
    </row>
    <row r="46106" ht="15.75" customHeight="1" spans="1:2">
      <c r="A46106" s="3" t="str">
        <f>IFERROR(__xludf.DUMMYFUNCTION("GOOGLETRANSLATE(A46106,""en"",""pt"")"),"A grande qualidade, muito confiável, fácil de usar")</f>
        <v>A grande qualidade, muito confiável, fácil de usar</v>
      </c>
      <c r="B46106" s="3">
        <v>1</v>
      </c>
    </row>
    <row r="46107" ht="15.75" customHeight="1" spans="1:2">
      <c r="A46107" s="3" t="str">
        <f>IFERROR(__xludf.DUMMYFUNCTION("GOOGLETRANSLATE(A46107,""en"",""pt"")"),"Grande qualidade de impressão, o nome HP.")</f>
        <v>Grande qualidade de impressão, o nome HP.</v>
      </c>
      <c r="B46107" s="3">
        <v>1</v>
      </c>
    </row>
    <row r="46108" ht="15.75" customHeight="1" spans="1:2">
      <c r="A46108" s="3" t="str">
        <f>IFERROR(__xludf.DUMMYFUNCTION("GOOGLETRANSLATE(A46108,""en"",""pt"")"),"Produz trabalhos de impressão de qualidade, digitalizar imagens e cópias")</f>
        <v>Produz trabalhos de impressão de qualidade, digitalizar imagens e cópias</v>
      </c>
      <c r="B46108" s="3">
        <v>1</v>
      </c>
    </row>
    <row r="46109" ht="15.75" customHeight="1" spans="1:2">
      <c r="A46109" s="3" t="str">
        <f>IFERROR(__xludf.DUMMYFUNCTION("GOOGLETRANSLATE(A46109,""en"",""pt"")"),"Tudo")</f>
        <v>Tudo</v>
      </c>
      <c r="B46109" s="3">
        <v>1</v>
      </c>
    </row>
    <row r="46110" ht="15.75" customHeight="1" spans="1:2">
      <c r="A46110" s="3" t="str">
        <f>IFERROR(__xludf.DUMMYFUNCTION("GOOGLETRANSLATE(A46110,""en"",""pt"")"),"tudo em um, pegada pequena")</f>
        <v>tudo em um, pegada pequena</v>
      </c>
      <c r="B46110" s="3">
        <v>1</v>
      </c>
    </row>
    <row r="46111" ht="15.75" customHeight="1" spans="1:2">
      <c r="A46111" s="3" t="str">
        <f>IFERROR(__xludf.DUMMYFUNCTION("GOOGLETRANSLATE(A46111,""en"",""pt"")"),"Compacto, excelente qualidade de impressão, bem construído")</f>
        <v>Compacto, excelente qualidade de impressão, bem construído</v>
      </c>
      <c r="B46111" s="3">
        <v>1</v>
      </c>
    </row>
    <row r="46112" ht="15.75" customHeight="1" spans="1:2">
      <c r="A46112" s="3" t="str">
        <f>IFERROR(__xludf.DUMMYFUNCTION("GOOGLETRANSLATE(A46112,""en"",""pt"")"),"velocidade, multi função")</f>
        <v>velocidade, multi função</v>
      </c>
      <c r="B46112" s="3">
        <v>1</v>
      </c>
    </row>
    <row r="46113" ht="15.75" customHeight="1" spans="1:2">
      <c r="A46113" s="3" t="str">
        <f>IFERROR(__xludf.DUMMYFUNCTION("GOOGLETRANSLATE(A46113,""en"",""pt"")"),"Printer altamente confiável com poucos problemas de manutenção")</f>
        <v>Printer altamente confiável com poucos problemas de manutenção</v>
      </c>
      <c r="B46113" s="3">
        <v>1</v>
      </c>
    </row>
    <row r="46114" ht="15.75" customHeight="1" spans="1:2">
      <c r="A46114" s="3" t="str">
        <f>IFERROR(__xludf.DUMMYFUNCTION("GOOGLETRANSLATE(A46114,""en"",""pt"")"),"Rápido, compacto e elegante, qualidade superior")</f>
        <v>Rápido, compacto e elegante, qualidade superior</v>
      </c>
      <c r="B46114" s="3">
        <v>1</v>
      </c>
    </row>
    <row r="46115" ht="15.75" customHeight="1" spans="1:2">
      <c r="A46115" s="3" t="str">
        <f>IFERROR(__xludf.DUMMYFUNCTION("GOOGLETRANSLATE(A46115,""en"",""pt"")"),"Pequenas dimensões, nome HP.")</f>
        <v>Pequenas dimensões, nome HP.</v>
      </c>
      <c r="B46115" s="3">
        <v>1</v>
      </c>
    </row>
    <row r="46116" ht="15.75" customHeight="1" spans="1:2">
      <c r="A46116" s="3" t="str">
        <f>IFERROR(__xludf.DUMMYFUNCTION("GOOGLETRANSLATE(A46116,""en"",""pt"")"),"incrível qualidade de impressão, o toner duradoura, e velocidade.")</f>
        <v>incrível qualidade de impressão, o toner duradoura, e velocidade.</v>
      </c>
      <c r="B46116" s="3">
        <v>1</v>
      </c>
    </row>
    <row r="46117" ht="15.75" customHeight="1" spans="1:2">
      <c r="A46117" s="3" t="str">
        <f>IFERROR(__xludf.DUMMYFUNCTION("GOOGLETRANSLATE(A46117,""en"",""pt"")"),"Bom preço em uma impressora a laser pessoal. impressão nítida.")</f>
        <v>Bom preço em uma impressora a laser pessoal. impressão nítida.</v>
      </c>
      <c r="B46117" s="3">
        <v>1</v>
      </c>
    </row>
    <row r="46118" ht="15.75" customHeight="1" spans="1:2">
      <c r="A46118" s="3" t="str">
        <f>IFERROR(__xludf.DUMMYFUNCTION("GOOGLETRANSLATE(A46118,""en"",""pt"")"),"Pequenas, barato, mais rápido do que a tinta jactos")</f>
        <v>Pequenas, barato, mais rápido do que a tinta jactos</v>
      </c>
      <c r="B46118" s="3">
        <v>1</v>
      </c>
    </row>
    <row r="46119" ht="15.75" customHeight="1" spans="1:2">
      <c r="A46119" s="3" t="str">
        <f>IFERROR(__xludf.DUMMYFUNCTION("GOOGLETRANSLATE(A46119,""en"",""pt"")"),"HP, Fácil de usar, e expansível, dois caminhos de saída de papel, suporte envelope confiável")</f>
        <v>HP, Fácil de usar, e expansível, dois caminhos de saída de papel, suporte envelope confiável</v>
      </c>
      <c r="B46119" s="3">
        <v>1</v>
      </c>
    </row>
    <row r="46120" ht="15.75" customHeight="1" spans="1:2">
      <c r="A46120" s="3" t="str">
        <f>IFERROR(__xludf.DUMMYFUNCTION("GOOGLETRANSLATE(A46120,""en"",""pt"")"),"rápida e clara")</f>
        <v>rápida e clara</v>
      </c>
      <c r="B46120" s="3">
        <v>1</v>
      </c>
    </row>
    <row r="46121" ht="15.75" customHeight="1" spans="1:2">
      <c r="A46121" s="3" t="str">
        <f>IFERROR(__xludf.DUMMYFUNCTION("GOOGLETRANSLATE(A46121,""en"",""pt"")"),"Quando funciona, é rápido, de alta qualidade e tem uma pegada pequena área de trabalho")</f>
        <v>Quando funciona, é rápido, de alta qualidade e tem uma pegada pequena área de trabalho</v>
      </c>
      <c r="B46121" s="3">
        <v>1</v>
      </c>
    </row>
    <row r="46122" ht="15.75" customHeight="1" spans="1:2">
      <c r="A46122" s="3" t="str">
        <f>IFERROR(__xludf.DUMMYFUNCTION("GOOGLETRANSLATE(A46122,""en"",""pt"")"),"Bom, caso branco. Tamanho compacto.")</f>
        <v>Bom, caso branco. Tamanho compacto.</v>
      </c>
      <c r="B46122" s="3">
        <v>1</v>
      </c>
    </row>
    <row r="46123" ht="15.75" customHeight="1" spans="1:2">
      <c r="A46123" s="3" t="str">
        <f>IFERROR(__xludf.DUMMYFUNCTION("GOOGLETRANSLATE(A46123,""en"",""pt"")"),"Muito confiável! Fácil de configurar.")</f>
        <v>Muito confiável! Fácil de configurar.</v>
      </c>
      <c r="B46123" s="3">
        <v>1</v>
      </c>
    </row>
    <row r="46124" ht="15.75" customHeight="1" spans="1:2">
      <c r="A46124" s="3" t="str">
        <f>IFERROR(__xludf.DUMMYFUNCTION("GOOGLETRANSLATE(A46124,""en"",""pt"")"),"Qualidade e Confiabilidade")</f>
        <v>Qualidade e Confiabilidade</v>
      </c>
      <c r="B46124" s="3">
        <v>1</v>
      </c>
    </row>
    <row r="46125" ht="15.75" customHeight="1" spans="1:2">
      <c r="A46125" s="3" t="str">
        <f>IFERROR(__xludf.DUMMYFUNCTION("GOOGLETRANSLATE(A46125,""en"",""pt"")"),"Boa qualidade de impressão, barato, pode ser atualizado")</f>
        <v>Boa qualidade de impressão, barato, pode ser atualizado</v>
      </c>
      <c r="B46125" s="3">
        <v>1</v>
      </c>
    </row>
    <row r="46126" ht="15.75" customHeight="1" spans="1:2">
      <c r="A46126" s="3" t="str">
        <f>IFERROR(__xludf.DUMMYFUNCTION("GOOGLETRANSLATE(A46126,""en"",""pt"")"),"agradável, imagem nítida, rápido!")</f>
        <v>agradável, imagem nítida, rápido!</v>
      </c>
      <c r="B46126" s="3">
        <v>1</v>
      </c>
    </row>
    <row r="46127" ht="15.75" customHeight="1" spans="1:2">
      <c r="A46127" s="3" t="str">
        <f>IFERROR(__xludf.DUMMYFUNCTION("GOOGLETRANSLATE(A46127,""en"",""pt"")"),"Boas impressões, preço OK, a instalação fácil.")</f>
        <v>Boas impressões, preço OK, a instalação fácil.</v>
      </c>
      <c r="B46127" s="3">
        <v>1</v>
      </c>
    </row>
    <row r="46128" ht="15.75" customHeight="1" spans="1:2">
      <c r="A46128" s="3" t="str">
        <f>IFERROR(__xludf.DUMMYFUNCTION("GOOGLETRANSLATE(A46128,""en"",""pt"")"),"confiável, não vai quebrar")</f>
        <v>confiável, não vai quebrar</v>
      </c>
      <c r="B46128" s="3">
        <v>1</v>
      </c>
    </row>
    <row r="46129" ht="15.75" customHeight="1" spans="1:2">
      <c r="A46129" s="3" t="str">
        <f>IFERROR(__xludf.DUMMYFUNCTION("GOOGLETRANSLATE(A46129,""en"",""pt"")"),"compacto, rápido, silencioso")</f>
        <v>compacto, rápido, silencioso</v>
      </c>
      <c r="B46129" s="3">
        <v>1</v>
      </c>
    </row>
    <row r="46130" ht="15.75" customHeight="1" spans="1:2">
      <c r="A46130" s="3" t="str">
        <f>IFERROR(__xludf.DUMMYFUNCTION("GOOGLETRANSLATE(A46130,""en"",""pt"")"),"Confiabilidade, Small Form Factor")</f>
        <v>Confiabilidade, Small Form Factor</v>
      </c>
      <c r="B46130" s="3">
        <v>1</v>
      </c>
    </row>
    <row r="46131" ht="15.75" customHeight="1" spans="1:2">
      <c r="A46131" s="3" t="str">
        <f>IFERROR(__xludf.DUMMYFUNCTION("GOOGLETRANSLATE(A46131,""en"",""pt"")"),"Grande impressora a laser para um único usuário")</f>
        <v>Grande impressora a laser para um único usuário</v>
      </c>
      <c r="B46131" s="3">
        <v>1</v>
      </c>
    </row>
    <row r="46132" ht="15.75" customHeight="1" spans="1:2">
      <c r="A46132" s="3" t="str">
        <f>IFERROR(__xludf.DUMMYFUNCTION("GOOGLETRANSLATE(A46132,""en"",""pt"")"),"Pequena pegada; Fácil carregamento de papel")</f>
        <v>Pequena pegada; Fácil carregamento de papel</v>
      </c>
      <c r="B46132" s="3">
        <v>1</v>
      </c>
    </row>
    <row r="46133" ht="15.75" customHeight="1" spans="1:2">
      <c r="A46133" s="3" t="str">
        <f>IFERROR(__xludf.DUMMYFUNCTION("GOOGLETRANSLATE(A46133,""en"",""pt"")"),"Pequeno, fácil de configurar, pacote de software simples. recarga de cartuchos baratos. impressão barato ao longo do tempo.")</f>
        <v>Pequeno, fácil de configurar, pacote de software simples. recarga de cartuchos baratos. impressão barato ao longo do tempo.</v>
      </c>
      <c r="B46133" s="3">
        <v>1</v>
      </c>
    </row>
    <row r="46134" ht="15.75" customHeight="1" spans="1:2">
      <c r="A46134" s="3" t="str">
        <f>IFERROR(__xludf.DUMMYFUNCTION("GOOGLETRANSLATE(A46134,""en"",""pt"")"),"Nome HP, pegada pequena, baixo preço")</f>
        <v>Nome HP, pegada pequena, baixo preço</v>
      </c>
      <c r="B46134" s="3">
        <v>1</v>
      </c>
    </row>
    <row r="46135" ht="15.75" customHeight="1" spans="1:2">
      <c r="A46135" s="3" t="str">
        <f>IFERROR(__xludf.DUMMYFUNCTION("GOOGLETRANSLATE(A46135,""en"",""pt"")"),"Uma empresa global de bom.")</f>
        <v>Uma empresa global de bom.</v>
      </c>
      <c r="B46135" s="3">
        <v>1</v>
      </c>
    </row>
    <row r="46136" ht="15.75" customHeight="1" spans="1:2">
      <c r="A46136" s="3" t="str">
        <f>IFERROR(__xludf.DUMMYFUNCTION("GOOGLETRANSLATE(A46136,""en"",""pt"")"),"forma compacta, o modo de poupança de energia totalmente tranquila, grande saída de texto")</f>
        <v>forma compacta, o modo de poupança de energia totalmente tranquila, grande saída de texto</v>
      </c>
      <c r="B46136" s="3">
        <v>1</v>
      </c>
    </row>
    <row r="46137" ht="15.75" customHeight="1" spans="1:2">
      <c r="A46137" s="3" t="str">
        <f>IFERROR(__xludf.DUMMYFUNCTION("GOOGLETRANSLATE(A46137,""en"",""pt"")"),". Rápido e limpo &amp; amp; # 9;")</f>
        <v>. Rápido e limpo &amp; amp; # 9;</v>
      </c>
      <c r="B46137" s="3">
        <v>1</v>
      </c>
    </row>
    <row r="46138" ht="15.75" customHeight="1" spans="1:2">
      <c r="A46138" s="3" t="str">
        <f>IFERROR(__xludf.DUMMYFUNCTION("GOOGLETRANSLATE(A46138,""en"",""pt"")"),"novo design agradável, facilidade de uso, flexível")</f>
        <v>novo design agradável, facilidade de uso, flexível</v>
      </c>
      <c r="B46138" s="3">
        <v>1</v>
      </c>
    </row>
    <row r="46139" ht="15.75" customHeight="1" spans="1:2">
      <c r="A46139" s="3" t="str">
        <f>IFERROR(__xludf.DUMMYFUNCTION("GOOGLETRANSLATE(A46139,""en"",""pt"")"),"Portas USB e paralela para facilitar o compartilhamento de impressora")</f>
        <v>Portas USB e paralela para facilitar o compartilhamento de impressora</v>
      </c>
      <c r="B46139" s="3">
        <v>1</v>
      </c>
    </row>
    <row r="46140" ht="15.75" customHeight="1" spans="1:2">
      <c r="A46140" s="3" t="str">
        <f>IFERROR(__xludf.DUMMYFUNCTION("GOOGLETRANSLATE(A46140,""en"",""pt"")"),"1200 dpi &amp; amp; # 13; &amp; amp; # 10; toner microfino")</f>
        <v>1200 dpi &amp; amp; # 13; &amp; amp; # 10; toner microfino</v>
      </c>
      <c r="B46140" s="3">
        <v>1</v>
      </c>
    </row>
    <row r="46141" ht="15.75" customHeight="1" spans="1:2">
      <c r="A46141" s="3" t="str">
        <f>IFERROR(__xludf.DUMMYFUNCTION("GOOGLETRANSLATE(A46141,""en"",""pt"")"),"fácil de configurar, grande bandeja de papel, impressão rápida, PS nível 2, USB")</f>
        <v>fácil de configurar, grande bandeja de papel, impressão rápida, PS nível 2, USB</v>
      </c>
      <c r="B46141" s="3">
        <v>1</v>
      </c>
    </row>
    <row r="46142" ht="15.75" customHeight="1" spans="1:2">
      <c r="A46142" s="3" t="str">
        <f>IFERROR(__xludf.DUMMYFUNCTION("GOOGLETRANSLATE(A46142,""en"",""pt"")"),"excelente qualidade de impressão, velocidade incrível, tinta barata, design agradável")</f>
        <v>excelente qualidade de impressão, velocidade incrível, tinta barata, design agradável</v>
      </c>
      <c r="B46142" s="3">
        <v>1</v>
      </c>
    </row>
    <row r="46143" ht="15.75" customHeight="1" spans="1:2">
      <c r="A46143" s="3" t="str">
        <f>IFERROR(__xludf.DUMMYFUNCTION("GOOGLETRANSLATE(A46143,""en"",""pt"")"),"excelente qualidade de impressão, velocidade incrível, tinta barata, design agradável")</f>
        <v>excelente qualidade de impressão, velocidade incrível, tinta barata, design agradável</v>
      </c>
      <c r="B46143" s="3">
        <v>1</v>
      </c>
    </row>
    <row r="46144" ht="15.75" customHeight="1" spans="1:2">
      <c r="A46144" s="3" t="str">
        <f>IFERROR(__xludf.DUMMYFUNCTION("GOOGLETRANSLATE(A46144,""en"",""pt"")"),"alimentação de papel horizontal, de alta resolução, relativamente rápido, relativamente barato")</f>
        <v>alimentação de papel horizontal, de alta resolução, relativamente rápido, relativamente barato</v>
      </c>
      <c r="B46144" s="3">
        <v>1</v>
      </c>
    </row>
    <row r="46145" ht="15.75" customHeight="1" spans="1:2">
      <c r="A46145" s="3" t="str">
        <f>IFERROR(__xludf.DUMMYFUNCTION("GOOGLETRANSLATE(A46145,""en"",""pt"")"),"Bom preço. Fácil instalação e boa qualidade de impressão.")</f>
        <v>Bom preço. Fácil instalação e boa qualidade de impressão.</v>
      </c>
      <c r="B46145" s="3">
        <v>1</v>
      </c>
    </row>
    <row r="46146" ht="15.75" customHeight="1" spans="1:2">
      <c r="A46146" s="3" t="str">
        <f>IFERROR(__xludf.DUMMYFUNCTION("GOOGLETRANSLATE(A46146,""en"",""pt"")"),"É um HP")</f>
        <v>É um HP</v>
      </c>
      <c r="B46146" s="3">
        <v>1</v>
      </c>
    </row>
    <row r="46147" ht="15.75" customHeight="1" spans="1:2">
      <c r="A46147" s="3" t="str">
        <f>IFERROR(__xludf.DUMMYFUNCTION("GOOGLETRANSLATE(A46147,""en"",""pt"")"),"impressora de bom nível de entrada")</f>
        <v>impressora de bom nível de entrada</v>
      </c>
      <c r="B46147" s="3">
        <v>1</v>
      </c>
    </row>
    <row r="46148" ht="15.75" customHeight="1" spans="1:2">
      <c r="A46148" s="3" t="str">
        <f>IFERROR(__xludf.DUMMYFUNCTION("GOOGLETRANSLATE(A46148,""en"",""pt"")"),"Barato, impressão rápida")</f>
        <v>Barato, impressão rápida</v>
      </c>
      <c r="B46148" s="3">
        <v>1</v>
      </c>
    </row>
    <row r="46149" ht="15.75" customHeight="1" spans="1:2">
      <c r="A46149" s="3" t="str">
        <f>IFERROR(__xludf.DUMMYFUNCTION("GOOGLETRANSLATE(A46149,""en"",""pt"")"),"Rápido, rede opcional, compatível com USB 2.0")</f>
        <v>Rápido, rede opcional, compatível com USB 2.0</v>
      </c>
      <c r="B46149" s="3">
        <v>1</v>
      </c>
    </row>
    <row r="46150" ht="15.75" customHeight="1" spans="1:2">
      <c r="A46150" s="3" t="str">
        <f>IFERROR(__xludf.DUMMYFUNCTION("GOOGLETRANSLATE(A46150,""en"",""pt"")"),"Emulação PostScript Nível 2, velocidade, compatibilidade, qualidade de impressão")</f>
        <v>Emulação PostScript Nível 2, velocidade, compatibilidade, qualidade de impressão</v>
      </c>
      <c r="B46150" s="3">
        <v>1</v>
      </c>
    </row>
    <row r="46151" ht="15.75" customHeight="1" spans="1:2">
      <c r="A46151" s="3" t="str">
        <f>IFERROR(__xludf.DUMMYFUNCTION("GOOGLETRANSLATE(A46151,""en"",""pt"")"),"Muito boa resolução, a impressão rápida, bastante acessível, suportes PC e Mac.")</f>
        <v>Muito boa resolução, a impressão rápida, bastante acessível, suportes PC e Mac.</v>
      </c>
      <c r="B46151" s="3">
        <v>1</v>
      </c>
    </row>
    <row r="46152" ht="15.75" customHeight="1" spans="1:2">
      <c r="A46152" s="3" t="str">
        <f>IFERROR(__xludf.DUMMYFUNCTION("GOOGLETRANSLATE(A46152,""en"",""pt"")"),"Speedy impressão, fácil de usar, preço")</f>
        <v>Speedy impressão, fácil de usar, preço</v>
      </c>
      <c r="B46152" s="3">
        <v>1</v>
      </c>
    </row>
    <row r="46153" ht="15.75" customHeight="1" spans="1:2">
      <c r="A46153" s="3" t="str">
        <f>IFERROR(__xludf.DUMMYFUNCTION("GOOGLETRANSLATE(A46153,""en"",""pt"")"),"Barato, atualizável")</f>
        <v>Barato, atualizável</v>
      </c>
      <c r="B46153" s="3">
        <v>1</v>
      </c>
    </row>
    <row r="46154" ht="15.75" customHeight="1" spans="1:2">
      <c r="A46154" s="3" t="str">
        <f>IFERROR(__xludf.DUMMYFUNCTION("GOOGLETRANSLATE(A46154,""en"",""pt"")"),"impressão de texto muito rápido.")</f>
        <v>impressão de texto muito rápido.</v>
      </c>
      <c r="B46154" s="3">
        <v>1</v>
      </c>
    </row>
    <row r="46155" ht="15.75" customHeight="1" spans="1:2">
      <c r="A46155" s="3" t="str">
        <f>IFERROR(__xludf.DUMMYFUNCTION("GOOGLETRANSLATE(A46155,""en"",""pt"")"),"Rápido, fácil!")</f>
        <v>Rápido, fácil!</v>
      </c>
      <c r="B46155" s="3">
        <v>1</v>
      </c>
    </row>
    <row r="46156" ht="15.75" customHeight="1" spans="1:2">
      <c r="A46156" s="3" t="str">
        <f>IFERROR(__xludf.DUMMYFUNCTION("GOOGLETRANSLATE(A46156,""en"",""pt"")"),"Impressões rápidas, texto limpo, fácil configuração, ótimo para impressão de envelopes")</f>
        <v>Impressões rápidas, texto limpo, fácil configuração, ótimo para impressão de envelopes</v>
      </c>
      <c r="B46156" s="3">
        <v>1</v>
      </c>
    </row>
    <row r="46157" ht="15.75" customHeight="1" spans="1:2">
      <c r="A46157" s="3" t="str">
        <f>IFERROR(__xludf.DUMMYFUNCTION("GOOGLETRANSLATE(A46157,""en"",""pt"")"),"Rápido, Bom Crisp Pages, Quiet")</f>
        <v>Rápido, Bom Crisp Pages, Quiet</v>
      </c>
      <c r="B46157" s="3">
        <v>1</v>
      </c>
    </row>
    <row r="46158" ht="15.75" customHeight="1" spans="1:2">
      <c r="A46158" s="3" t="str">
        <f>IFERROR(__xludf.DUMMYFUNCTION("GOOGLETRANSLATE(A46158,""en"",""pt"")"),"Excelente impressora de qualidade. Rápido e fácil de configurar. Bandeja de papel grande.")</f>
        <v>Excelente impressora de qualidade. Rápido e fácil de configurar. Bandeja de papel grande.</v>
      </c>
      <c r="B46158" s="3">
        <v>1</v>
      </c>
    </row>
    <row r="46159" ht="15.75" customHeight="1" spans="1:2">
      <c r="A46159" s="3" t="str">
        <f>IFERROR(__xludf.DUMMYFUNCTION("GOOGLETRANSLATE(A46159,""en"",""pt"")"),"Barato, pequeno, rápido")</f>
        <v>Barato, pequeno, rápido</v>
      </c>
      <c r="B46159" s="3">
        <v>1</v>
      </c>
    </row>
    <row r="46160" ht="15.75" customHeight="1" spans="1:2">
      <c r="A46160" s="3" t="str">
        <f>IFERROR(__xludf.DUMMYFUNCTION("GOOGLETRANSLATE(A46160,""en"",""pt"")"),"Rápido, saída de alta qualidade")</f>
        <v>Rápido, saída de alta qualidade</v>
      </c>
      <c r="B46160" s="3">
        <v>1</v>
      </c>
    </row>
    <row r="46161" ht="15.75" customHeight="1" spans="1:2">
      <c r="A46161" s="3" t="str">
        <f>IFERROR(__xludf.DUMMYFUNCTION("GOOGLETRANSLATE(A46161,""en"",""pt"")"),"Fácil de instalar - Problema livre")</f>
        <v>Fácil de instalar - Problema livre</v>
      </c>
      <c r="B46161" s="3">
        <v>1</v>
      </c>
    </row>
    <row r="46162" ht="15.75" customHeight="1" spans="1:2">
      <c r="A46162" s="3" t="str">
        <f>IFERROR(__xludf.DUMMYFUNCTION("GOOGLETRANSLATE(A46162,""en"",""pt"")"),"Ótimo para pequenos grupos de trabalho. Quieto; imprime rapidamente; alguns atolamentos de papel; afiada, impressões claras.")</f>
        <v>Ótimo para pequenos grupos de trabalho. Quieto; imprime rapidamente; alguns atolamentos de papel; afiada, impressões claras.</v>
      </c>
      <c r="B46162" s="3">
        <v>1</v>
      </c>
    </row>
    <row r="46163" ht="15.75" customHeight="1" spans="1:2">
      <c r="A46163" s="3" t="str">
        <f>IFERROR(__xludf.DUMMYFUNCTION("GOOGLETRANSLATE(A46163,""en"",""pt"")"),"Qualidade da produção; preço; Rapidez")</f>
        <v>Qualidade da produção; preço; Rapidez</v>
      </c>
      <c r="B46163" s="3">
        <v>1</v>
      </c>
    </row>
    <row r="46164" ht="15.75" customHeight="1" spans="1:2">
      <c r="A46164" s="3" t="str">
        <f>IFERROR(__xludf.DUMMYFUNCTION("GOOGLETRANSLATE(A46164,""en"",""pt"")"),"Muito rápido, muito acessível, Toner barato, Grande Texto Qualidade, Compatível com Mac")</f>
        <v>Muito rápido, muito acessível, Toner barato, Grande Texto Qualidade, Compatível com Mac</v>
      </c>
      <c r="B46164" s="3">
        <v>1</v>
      </c>
    </row>
    <row r="46165" ht="15.75" customHeight="1" spans="1:2">
      <c r="A46165" s="3" t="str">
        <f>IFERROR(__xludf.DUMMYFUNCTION("GOOGLETRANSLATE(A46165,""en"",""pt"")"),"Crisp escuro texto preto, saída excelente foto, muito rápido, muito pequeno")</f>
        <v>Crisp escuro texto preto, saída excelente foto, muito rápido, muito pequeno</v>
      </c>
      <c r="B46165" s="3">
        <v>1</v>
      </c>
    </row>
    <row r="46166" ht="15.75" customHeight="1" spans="1:2">
      <c r="A46166" s="3" t="str">
        <f>IFERROR(__xludf.DUMMYFUNCTION("GOOGLETRANSLATE(A46166,""en"",""pt"")"),"alisar, rápido, bandeja de papel compacto, grande")</f>
        <v>alisar, rápido, bandeja de papel compacto, grande</v>
      </c>
      <c r="B46166" s="3">
        <v>1</v>
      </c>
    </row>
    <row r="46167" ht="15.75" customHeight="1" spans="1:2">
      <c r="A46167" s="3" t="str">
        <f>IFERROR(__xludf.DUMMYFUNCTION("GOOGLETRANSLATE(A46167,""en"",""pt"")"),"Prós não importa se é de congestionamentos praticamente todos os tempo.")</f>
        <v>Prós não importa se é de congestionamentos praticamente todos os tempo.</v>
      </c>
      <c r="B46167" s="3">
        <v>1</v>
      </c>
    </row>
    <row r="46168" ht="15.75" customHeight="1" spans="1:2">
      <c r="A46168" s="3" t="str">
        <f>IFERROR(__xludf.DUMMYFUNCTION("GOOGLETRANSLATE(A46168,""en"",""pt"")"),", Ótimos gráficos, suporte USB RÁPIDO")</f>
        <v>, Ótimos gráficos, suporte USB RÁPIDO</v>
      </c>
      <c r="B46168" s="3">
        <v>1</v>
      </c>
    </row>
    <row r="46169" ht="15.75" customHeight="1" spans="1:2">
      <c r="A46169" s="3" t="str">
        <f>IFERROR(__xludf.DUMMYFUNCTION("GOOGLETRANSLATE(A46169,""en"",""pt"")"),"Rápido, barato, ótimo B / W de impressão")</f>
        <v>Rápido, barato, ótimo B / W de impressão</v>
      </c>
      <c r="B46169" s="3">
        <v>1</v>
      </c>
    </row>
    <row r="46170" ht="15.75" customHeight="1" spans="1:2">
      <c r="A46170" s="3" t="str">
        <f>IFERROR(__xludf.DUMMYFUNCTION("GOOGLETRANSLATE(A46170,""en"",""pt"")"),"Rápido, texto nítido, proeminente projeto.")</f>
        <v>Rápido, texto nítido, proeminente projeto.</v>
      </c>
      <c r="B46170" s="3">
        <v>1</v>
      </c>
    </row>
    <row r="46171" ht="15.75" customHeight="1" spans="1:2">
      <c r="A46171" s="3" t="str">
        <f>IFERROR(__xludf.DUMMYFUNCTION("GOOGLETRANSLATE(A46171,""en"",""pt"")"),"preço razoável, rápido, silencioso")</f>
        <v>preço razoável, rápido, silencioso</v>
      </c>
      <c r="B46171" s="3">
        <v>1</v>
      </c>
    </row>
    <row r="46172" ht="15.75" customHeight="1" spans="1:2">
      <c r="A46172" s="3" t="str">
        <f>IFERROR(__xludf.DUMMYFUNCTION("GOOGLETRANSLATE(A46172,""en"",""pt"")"),"Very Fast Printing for texto e gráficos, Mac e PC compatível.")</f>
        <v>Very Fast Printing for texto e gráficos, Mac e PC compatível.</v>
      </c>
      <c r="B46172" s="3">
        <v>1</v>
      </c>
    </row>
    <row r="46173" ht="15.75" customHeight="1" spans="1:2">
      <c r="A46173" s="3" t="str">
        <f>IFERROR(__xludf.DUMMYFUNCTION("GOOGLETRANSLATE(A46173,""en"",""pt"")"),"Impressora grande pouco para trabalhos de impressão extremidade inferior")</f>
        <v>Impressora grande pouco para trabalhos de impressão extremidade inferior</v>
      </c>
      <c r="B46173" s="3">
        <v>1</v>
      </c>
    </row>
    <row r="46174" ht="15.75" customHeight="1" spans="1:2">
      <c r="A46174" s="3" t="str">
        <f>IFERROR(__xludf.DUMMYFUNCTION("GOOGLETRANSLATE(A46174,""en"",""pt"")"),"porta de IV, versão pronta para rede (TN), velocidade")</f>
        <v>porta de IV, versão pronta para rede (TN), velocidade</v>
      </c>
      <c r="B46174" s="3">
        <v>1</v>
      </c>
    </row>
    <row r="46175" ht="15.75" customHeight="1" spans="1:2">
      <c r="A46175" s="3" t="str">
        <f>IFERROR(__xludf.DUMMYFUNCTION("GOOGLETRANSLATE(A46175,""en"",""pt"")"),"impressão de alta qualidade, alimentação envelope individual, conexão de infravermelho (se você tem isso), vem com 8 meg de memória")</f>
        <v>impressão de alta qualidade, alimentação envelope individual, conexão de infravermelho (se você tem isso), vem com 8 meg de memória</v>
      </c>
      <c r="B46175" s="3">
        <v>1</v>
      </c>
    </row>
    <row r="46176" ht="15.75" customHeight="1" spans="1:2">
      <c r="A46176" s="3" t="str">
        <f>IFERROR(__xludf.DUMMYFUNCTION("GOOGLETRANSLATE(A46176,""en"",""pt"")"),"É um HP. E não é terrivelmente caro.")</f>
        <v>É um HP. E não é terrivelmente caro.</v>
      </c>
      <c r="B46176" s="3">
        <v>1</v>
      </c>
    </row>
    <row r="46177" ht="15.75" customHeight="1" spans="1:2">
      <c r="A46177" s="3" t="str">
        <f>IFERROR(__xludf.DUMMYFUNCTION("GOOGLETRANSLATE(A46177,""en"",""pt"")"),"rápido, grande resolução")</f>
        <v>rápido, grande resolução</v>
      </c>
      <c r="B46177" s="3">
        <v>1</v>
      </c>
    </row>
    <row r="46178" ht="15.75" customHeight="1" spans="1:2">
      <c r="A46178" s="3" t="str">
        <f>IFERROR(__xludf.DUMMYFUNCTION("GOOGLETRANSLATE(A46178,""en"",""pt"")"),"1200x1200 dpi, 10 pgs / min., Infravermelho, o Anular recurso trabalho de impressão")</f>
        <v>1200x1200 dpi, 10 pgs / min., Infravermelho, o Anular recurso trabalho de impressão</v>
      </c>
      <c r="B46178" s="3">
        <v>1</v>
      </c>
    </row>
    <row r="46179" ht="15.75" customHeight="1" spans="1:2">
      <c r="A46179" s="3" t="str">
        <f>IFERROR(__xludf.DUMMYFUNCTION("GOOGLETRANSLATE(A46179,""en"",""pt"")"),"Rápido, confiável, versátil")</f>
        <v>Rápido, confiável, versátil</v>
      </c>
      <c r="B46179" s="3">
        <v>1</v>
      </c>
    </row>
    <row r="46180" ht="15.75" customHeight="1" spans="1:2">
      <c r="A46180" s="3" t="str">
        <f>IFERROR(__xludf.DUMMYFUNCTION("GOOGLETRANSLATE(A46180,""en"",""pt"")"),"Faz bem o texto normal")</f>
        <v>Faz bem o texto normal</v>
      </c>
      <c r="B46180" s="3">
        <v>1</v>
      </c>
    </row>
    <row r="46181" ht="15.75" customHeight="1" spans="1:2">
      <c r="A46181" s="3" t="str">
        <f>IFERROR(__xludf.DUMMYFUNCTION("GOOGLETRANSLATE(A46181,""en"",""pt"")"),"impressora irá durar muito mais tempo")</f>
        <v>impressora irá durar muito mais tempo</v>
      </c>
      <c r="B46181" s="3">
        <v>1</v>
      </c>
    </row>
    <row r="46182" ht="15.75" customHeight="1" spans="1:2">
      <c r="A46182" s="3" t="str">
        <f>IFERROR(__xludf.DUMMYFUNCTION("GOOGLETRANSLATE(A46182,""en"",""pt"")"),"confiável, caminho de papel direto, IrDA")</f>
        <v>confiável, caminho de papel direto, IrDA</v>
      </c>
      <c r="B46182" s="3">
        <v>1</v>
      </c>
    </row>
    <row r="46183" ht="15.75" customHeight="1" spans="1:2">
      <c r="A46183" s="3" t="str">
        <f>IFERROR(__xludf.DUMMYFUNCTION("GOOGLETRANSLATE(A46183,""en"",""pt"")"),"Qualidade, Confiabilidade, instale fácil motorista.")</f>
        <v>Qualidade, Confiabilidade, instale fácil motorista.</v>
      </c>
      <c r="B46183" s="3">
        <v>1</v>
      </c>
    </row>
    <row r="46184" ht="15.75" customHeight="1" spans="1:2">
      <c r="A46184" s="3" t="str">
        <f>IFERROR(__xludf.DUMMYFUNCTION("GOOGLETRANSLATE(A46184,""en"",""pt"")"),"grande impressão de texto, velocidade decente")</f>
        <v>grande impressão de texto, velocidade decente</v>
      </c>
      <c r="B46184" s="3">
        <v>1</v>
      </c>
    </row>
    <row r="46185" ht="15.75" customHeight="1" spans="1:2">
      <c r="A46185" s="3" t="str">
        <f>IFERROR(__xludf.DUMMYFUNCTION("GOOGLETRANSLATE(A46185,""en"",""pt"")"),"Velocidade, durabilidade, facilidade de uso, custo")</f>
        <v>Velocidade, durabilidade, facilidade de uso, custo</v>
      </c>
      <c r="B46185" s="3">
        <v>1</v>
      </c>
    </row>
    <row r="46186" ht="15.75" customHeight="1" spans="1:2">
      <c r="A46186" s="3" t="str">
        <f>IFERROR(__xludf.DUMMYFUNCTION("GOOGLETRANSLATE(A46186,""en"",""pt"")"),"IR Porto, excelente qualidade de impressão, velocidade decente")</f>
        <v>IR Porto, excelente qualidade de impressão, velocidade decente</v>
      </c>
      <c r="B46186" s="3">
        <v>1</v>
      </c>
    </row>
    <row r="46187" ht="15.75" customHeight="1" spans="1:2">
      <c r="A46187" s="3" t="str">
        <f>IFERROR(__xludf.DUMMYFUNCTION("GOOGLETRANSLATE(A46187,""en"",""pt"")"),"qualidade decente, boa impressão, espécie de rápido")</f>
        <v>qualidade decente, boa impressão, espécie de rápido</v>
      </c>
      <c r="B46187" s="3">
        <v>1</v>
      </c>
    </row>
    <row r="46188" ht="15.75" customHeight="1" spans="1:2">
      <c r="A46188" s="3" t="str">
        <f>IFERROR(__xludf.DUMMYFUNCTION("GOOGLETRANSLATE(A46188,""en"",""pt"")"),"é uma HP")</f>
        <v>é uma HP</v>
      </c>
      <c r="B46188" s="3">
        <v>1</v>
      </c>
    </row>
    <row r="46189" ht="15.75" customHeight="1" spans="1:2">
      <c r="A46189" s="3" t="str">
        <f>IFERROR(__xludf.DUMMYFUNCTION("GOOGLETRANSLATE(A46189,""en"",""pt"")"),"software fácil. driver PostScript. porta de infravermelho. Quieto.")</f>
        <v>software fácil. driver PostScript. porta de infravermelho. Quieto.</v>
      </c>
      <c r="B46189" s="3">
        <v>1</v>
      </c>
    </row>
    <row r="46190" ht="15.75" customHeight="1" spans="1:2">
      <c r="A46190" s="3" t="str">
        <f>IFERROR(__xludf.DUMMYFUNCTION("GOOGLETRANSLATE(A46190,""en"",""pt"")"),"impressora de pouco entusiasta com vida longa, a impressão de uma ampla variedade de mídias")</f>
        <v>impressora de pouco entusiasta com vida longa, a impressão de uma ampla variedade de mídias</v>
      </c>
      <c r="B46190" s="3">
        <v>1</v>
      </c>
    </row>
    <row r="46191" ht="15.75" customHeight="1" spans="1:2">
      <c r="A46191" s="3" t="str">
        <f>IFERROR(__xludf.DUMMYFUNCTION("GOOGLETRANSLATE(A46191,""en"",""pt"")"),"Excelente qualidade de impressão e nunca falha.")</f>
        <v>Excelente qualidade de impressão e nunca falha.</v>
      </c>
      <c r="B46191" s="3">
        <v>1</v>
      </c>
    </row>
    <row r="46192" ht="15.75" customHeight="1" spans="1:2">
      <c r="A46192" s="3" t="str">
        <f>IFERROR(__xludf.DUMMYFUNCTION("GOOGLETRANSLATE(A46192,""en"",""pt"")"),"rápido, grande procura, manutenção barata, grande com rótulos, não envelopes")</f>
        <v>rápido, grande procura, manutenção barata, grande com rótulos, não envelopes</v>
      </c>
      <c r="B46192" s="3">
        <v>1</v>
      </c>
    </row>
    <row r="46193" ht="15.75" customHeight="1" spans="1:2">
      <c r="A46193" s="3" t="str">
        <f>IFERROR(__xludf.DUMMYFUNCTION("GOOGLETRANSLATE(A46193,""en"",""pt"")"),"saída afiada, velocidade rápida")</f>
        <v>saída afiada, velocidade rápida</v>
      </c>
      <c r="B46193" s="3">
        <v>1</v>
      </c>
    </row>
    <row r="46194" ht="15.75" customHeight="1" spans="1:2">
      <c r="A46194" s="3" t="str">
        <f>IFERROR(__xludf.DUMMYFUNCTION("GOOGLETRANSLATE(A46194,""en"",""pt"")"),"Confiável e profissional Quality Prints")</f>
        <v>Confiável e profissional Quality Prints</v>
      </c>
      <c r="B46194" s="3">
        <v>1</v>
      </c>
    </row>
    <row r="46195" ht="15.75" customHeight="1" spans="1:2">
      <c r="A46195" s="3" t="str">
        <f>IFERROR(__xludf.DUMMYFUNCTION("GOOGLETRANSLATE(A46195,""en"",""pt"")"),"Saída de texto nítido, Quiet")</f>
        <v>Saída de texto nítido, Quiet</v>
      </c>
      <c r="B46195" s="3">
        <v>1</v>
      </c>
    </row>
    <row r="46196" ht="15.75" customHeight="1" spans="1:2">
      <c r="A46196" s="3" t="str">
        <f>IFERROR(__xludf.DUMMYFUNCTION("GOOGLETRANSLATE(A46196,""en"",""pt"")"),"rápido, boas imagens PL6 1200 bpi.")</f>
        <v>rápido, boas imagens PL6 1200 bpi.</v>
      </c>
      <c r="B46196" s="3">
        <v>1</v>
      </c>
    </row>
    <row r="46197" ht="15.75" customHeight="1" spans="1:2">
      <c r="A46197" s="3" t="str">
        <f>IFERROR(__xludf.DUMMYFUNCTION("GOOGLETRANSLATE(A46197,""en"",""pt"")"),"Mac / Windows Autoswitch")</f>
        <v>Mac / Windows Autoswitch</v>
      </c>
      <c r="B46197" s="3">
        <v>1</v>
      </c>
    </row>
    <row r="46198" ht="15.75" customHeight="1" spans="1:2">
      <c r="A46198" s="3" t="str">
        <f>IFERROR(__xludf.DUMMYFUNCTION("GOOGLETRANSLATE(A46198,""en"",""pt"")"),"confiável e econômica no longo prazo")</f>
        <v>confiável e econômica no longo prazo</v>
      </c>
      <c r="B46198" s="3">
        <v>1</v>
      </c>
    </row>
    <row r="46199" ht="15.75" customHeight="1" spans="1:2">
      <c r="A46199" s="3" t="str">
        <f>IFERROR(__xludf.DUMMYFUNCTION("GOOGLETRANSLATE(A46199,""en"",""pt"")"),"Confiável, de boa qualidade")</f>
        <v>Confiável, de boa qualidade</v>
      </c>
      <c r="B46199" s="3">
        <v>1</v>
      </c>
    </row>
    <row r="46200" ht="15.75" customHeight="1" spans="1:2">
      <c r="A46200" s="3" t="str">
        <f>IFERROR(__xludf.DUMMYFUNCTION("GOOGLETRANSLATE(A46200,""en"",""pt"")"),"Silencioso, pegada pequena")</f>
        <v>Silencioso, pegada pequena</v>
      </c>
      <c r="B46200" s="3">
        <v>1</v>
      </c>
    </row>
    <row r="46201" ht="15.75" customHeight="1" spans="1:2">
      <c r="A46201" s="3" t="str">
        <f>IFERROR(__xludf.DUMMYFUNCTION("GOOGLETRANSLATE(A46201,""en"",""pt"")"),"Rápido, versátil, excelente valor para o dinheiro")</f>
        <v>Rápido, versátil, excelente valor para o dinheiro</v>
      </c>
      <c r="B46201" s="3">
        <v>1</v>
      </c>
    </row>
    <row r="46202" ht="15.75" customHeight="1" spans="1:2">
      <c r="A46202" s="3" t="str">
        <f>IFERROR(__xludf.DUMMYFUNCTION("GOOGLETRANSLATE(A46202,""en"",""pt"")"),"Multifuncional e de fácil utilização e configuração.")</f>
        <v>Multifuncional e de fácil utilização e configuração.</v>
      </c>
      <c r="B46202" s="3">
        <v>1</v>
      </c>
    </row>
    <row r="46203" ht="15.75" customHeight="1" spans="1:2">
      <c r="A46203" s="3" t="str">
        <f>IFERROR(__xludf.DUMMYFUNCTION("GOOGLETRANSLATE(A46203,""en"",""pt"")"),"protetor de espaço, impressão de alta qualidade")</f>
        <v>protetor de espaço, impressão de alta qualidade</v>
      </c>
      <c r="B46203" s="3">
        <v>1</v>
      </c>
    </row>
    <row r="46204" ht="15.75" customHeight="1" spans="1:2">
      <c r="A46204" s="3" t="str">
        <f>IFERROR(__xludf.DUMMYFUNCTION("GOOGLETRANSLATE(A46204,""en"",""pt"")"),"Velocidade, funcionalidade, Olhe")</f>
        <v>Velocidade, funcionalidade, Olhe</v>
      </c>
      <c r="B46204" s="3">
        <v>1</v>
      </c>
    </row>
    <row r="46205" ht="15.75" customHeight="1" spans="1:2">
      <c r="A46205" s="3" t="str">
        <f>IFERROR(__xludf.DUMMYFUNCTION("GOOGLETRANSLATE(A46205,""en"",""pt"")"),"hardware da impressora excelente e software.")</f>
        <v>hardware da impressora excelente e software.</v>
      </c>
      <c r="B46205" s="3">
        <v>1</v>
      </c>
    </row>
    <row r="46206" ht="15.75" customHeight="1" spans="1:2">
      <c r="A46206" s="3" t="str">
        <f>IFERROR(__xludf.DUMMYFUNCTION("GOOGLETRANSLATE(A46206,""en"",""pt"")"),"Um grande tudo em uma máquina para o pequeno escritório !!")</f>
        <v>Um grande tudo em uma máquina para o pequeno escritório !!</v>
      </c>
      <c r="B46206" s="3">
        <v>1</v>
      </c>
    </row>
    <row r="46207" ht="15.75" customHeight="1" spans="1:2">
      <c r="A46207" s="3" t="str">
        <f>IFERROR(__xludf.DUMMYFUNCTION("GOOGLETRANSLATE(A46207,""en"",""pt"")"),"Um monte de funções, fisicamente atraente, fácil de usar")</f>
        <v>Um monte de funções, fisicamente atraente, fácil de usar</v>
      </c>
      <c r="B46207" s="3">
        <v>1</v>
      </c>
    </row>
    <row r="46208" ht="15.75" customHeight="1" spans="1:2">
      <c r="A46208" s="3" t="str">
        <f>IFERROR(__xludf.DUMMYFUNCTION("GOOGLETRANSLATE(A46208,""en"",""pt"")"),"boa qualidade de impressão")</f>
        <v>boa qualidade de impressão</v>
      </c>
      <c r="B46208" s="3">
        <v>1</v>
      </c>
    </row>
    <row r="46209" ht="15.75" customHeight="1" spans="1:2">
      <c r="A46209" s="3" t="str">
        <f>IFERROR(__xludf.DUMMYFUNCTION("GOOGLETRANSLATE(A46209,""en"",""pt"")"),"Muito rápido. qualidade de impressão a laser e fax")</f>
        <v>Muito rápido. qualidade de impressão a laser e fax</v>
      </c>
      <c r="B46209" s="3">
        <v>1</v>
      </c>
    </row>
    <row r="46210" ht="15.75" customHeight="1" spans="1:2">
      <c r="A46210" s="3" t="str">
        <f>IFERROR(__xludf.DUMMYFUNCTION("GOOGLETRANSLATE(A46210,""en"",""pt"")"),"Nao muitos")</f>
        <v>Nao muitos</v>
      </c>
      <c r="B46210" s="3">
        <v>1</v>
      </c>
    </row>
    <row r="46211" ht="15.75" customHeight="1" spans="1:2">
      <c r="A46211" s="3" t="str">
        <f>IFERROR(__xludf.DUMMYFUNCTION("GOOGLETRANSLATE(A46211,""en"",""pt"")"),"Verdadeiramente um burro de carga para pequenos escritórios.")</f>
        <v>Verdadeiramente um burro de carga para pequenos escritórios.</v>
      </c>
      <c r="B46211" s="3">
        <v>1</v>
      </c>
    </row>
    <row r="46212" ht="15.75" customHeight="1" spans="1:2">
      <c r="A46212" s="3" t="str">
        <f>IFERROR(__xludf.DUMMYFUNCTION("GOOGLETRANSLATE(A46212,""en"",""pt"")"),"Rápido, fácil de usar, confiáveis, energeticamente eficiente")</f>
        <v>Rápido, fácil de usar, confiáveis, energeticamente eficiente</v>
      </c>
      <c r="B46212" s="3">
        <v>1</v>
      </c>
    </row>
    <row r="46213" ht="15.75" customHeight="1" spans="1:2">
      <c r="A46213" s="3" t="str">
        <f>IFERROR(__xludf.DUMMYFUNCTION("GOOGLETRANSLATE(A46213,""en"",""pt"")"),"Muitas opções, manuseio de papel, multi-plataforma.")</f>
        <v>Muitas opções, manuseio de papel, multi-plataforma.</v>
      </c>
      <c r="B46213" s="3">
        <v>1</v>
      </c>
    </row>
    <row r="46214" ht="15.75" customHeight="1" spans="1:2">
      <c r="A46214" s="3" t="str">
        <f>IFERROR(__xludf.DUMMYFUNCTION("GOOGLETRANSLATE(A46214,""en"",""pt"")"),"A impressora é um bom, rápido, impressora compacta")</f>
        <v>A impressora é um bom, rápido, impressora compacta</v>
      </c>
      <c r="B46214" s="3">
        <v>1</v>
      </c>
    </row>
    <row r="46215" ht="15.75" customHeight="1" spans="1:2">
      <c r="A46215" s="3" t="str">
        <f>IFERROR(__xludf.DUMMYFUNCTION("GOOGLETRANSLATE(A46215,""en"",""pt"")"),"Qualidade de imagem, facilidade de uso")</f>
        <v>Qualidade de imagem, facilidade de uso</v>
      </c>
      <c r="B46215" s="3">
        <v>1</v>
      </c>
    </row>
    <row r="46216" ht="15.75" customHeight="1" spans="1:2">
      <c r="A46216" s="3" t="str">
        <f>IFERROR(__xludf.DUMMYFUNCTION("GOOGLETRANSLATE(A46216,""en"",""pt"")"),"Rápido, confiável, pode lidar com a impressão em rede, de baixo custo")</f>
        <v>Rápido, confiável, pode lidar com a impressão em rede, de baixo custo</v>
      </c>
      <c r="B46216" s="3">
        <v>1</v>
      </c>
    </row>
    <row r="46217" ht="15.75" customHeight="1" spans="1:2">
      <c r="A46217" s="3" t="str">
        <f>IFERROR(__xludf.DUMMYFUNCTION("GOOGLETRANSLATE(A46217,""en"",""pt"")"),"boa qualidade, fácil de manter, fiável")</f>
        <v>boa qualidade, fácil de manter, fiável</v>
      </c>
      <c r="B46217" s="3">
        <v>1</v>
      </c>
    </row>
    <row r="46218" ht="15.75" customHeight="1" spans="1:2">
      <c r="A46218" s="3" t="str">
        <f>IFERROR(__xludf.DUMMYFUNCTION("GOOGLETRANSLATE(A46218,""en"",""pt"")"),"Low consumíveis custar. Impressão rápida e tranquila. Robusto e confiável como um tijolo.")</f>
        <v>Low consumíveis custar. Impressão rápida e tranquila. Robusto e confiável como um tijolo.</v>
      </c>
      <c r="B46218" s="3">
        <v>1</v>
      </c>
    </row>
    <row r="46219" ht="15.75" customHeight="1" spans="1:2">
      <c r="A46219" s="3" t="str">
        <f>IFERROR(__xludf.DUMMYFUNCTION("GOOGLETRANSLATE(A46219,""en"",""pt"")"),"fácil de configurar, operar todos os formatos de papel, de excelente qualidade")</f>
        <v>fácil de configurar, operar todos os formatos de papel, de excelente qualidade</v>
      </c>
      <c r="B46219" s="3">
        <v>1</v>
      </c>
    </row>
    <row r="46220" ht="15.75" customHeight="1" spans="1:2">
      <c r="A46220" s="3" t="str">
        <f>IFERROR(__xludf.DUMMYFUNCTION("GOOGLETRANSLATE(A46220,""en"",""pt"")"),"Rápido, confiável, ótimo para escritório corporativo ou SOHO")</f>
        <v>Rápido, confiável, ótimo para escritório corporativo ou SOHO</v>
      </c>
      <c r="B46220" s="3">
        <v>1</v>
      </c>
    </row>
    <row r="46221" ht="15.75" customHeight="1" spans="1:2">
      <c r="A46221" s="3" t="str">
        <f>IFERROR(__xludf.DUMMYFUNCTION("GOOGLETRANSLATE(A46221,""en"",""pt"")"),"Excelente valor, silencioso, confiável. saída muito boa qualidade.")</f>
        <v>Excelente valor, silencioso, confiável. saída muito boa qualidade.</v>
      </c>
      <c r="B46221" s="3">
        <v>1</v>
      </c>
    </row>
    <row r="46222" ht="15.75" customHeight="1" spans="1:2">
      <c r="A46222" s="3" t="str">
        <f>IFERROR(__xludf.DUMMYFUNCTION("GOOGLETRANSLATE(A46222,""en"",""pt"")"),"Muito durável. Levanta-se a abuso")</f>
        <v>Muito durável. Levanta-se a abuso</v>
      </c>
      <c r="B46222" s="3">
        <v>1</v>
      </c>
    </row>
    <row r="46223" ht="15.75" customHeight="1" spans="1:2">
      <c r="A46223" s="3" t="str">
        <f>IFERROR(__xludf.DUMMYFUNCTION("GOOGLETRANSLATE(A46223,""en"",""pt"")"),"Trabalha duro e faz seu trabalho perfeitamente.")</f>
        <v>Trabalha duro e faz seu trabalho perfeitamente.</v>
      </c>
      <c r="B46223" s="3">
        <v>1</v>
      </c>
    </row>
    <row r="46224" ht="15.75" customHeight="1" spans="1:2">
      <c r="A46224" s="3" t="str">
        <f>IFERROR(__xludf.DUMMYFUNCTION("GOOGLETRANSLATE(A46224,""en"",""pt"")"),"Muito rápido, impressora confiável")</f>
        <v>Muito rápido, impressora confiável</v>
      </c>
      <c r="B46224" s="3">
        <v>1</v>
      </c>
    </row>
    <row r="46225" ht="15.75" customHeight="1" spans="1:2">
      <c r="A46225" s="3" t="str">
        <f>IFERROR(__xludf.DUMMYFUNCTION("GOOGLETRANSLATE(A46225,""en"",""pt"")"),"Tamanho, confiabilidade")</f>
        <v>Tamanho, confiabilidade</v>
      </c>
      <c r="B46225" s="3">
        <v>1</v>
      </c>
    </row>
    <row r="46226" ht="15.75" customHeight="1" spans="1:2">
      <c r="A46226" s="3" t="str">
        <f>IFERROR(__xludf.DUMMYFUNCTION("GOOGLETRANSLATE(A46226,""en"",""pt"")"),"Grande manuseio de papel, de alta qualidade, alto volume")</f>
        <v>Grande manuseio de papel, de alta qualidade, alto volume</v>
      </c>
      <c r="B46226" s="3">
        <v>1</v>
      </c>
    </row>
    <row r="46227" ht="15.75" customHeight="1" spans="1:2">
      <c r="A46227" s="3" t="str">
        <f>IFERROR(__xludf.DUMMYFUNCTION("GOOGLETRANSLATE(A46227,""en"",""pt"")"),"Muito rápido, versatilidade, qualidade de impressão")</f>
        <v>Muito rápido, versatilidade, qualidade de impressão</v>
      </c>
      <c r="B46227" s="3">
        <v>1</v>
      </c>
    </row>
    <row r="46228" ht="15.75" customHeight="1" spans="1:2">
      <c r="A46228" s="3" t="str">
        <f>IFERROR(__xludf.DUMMYFUNCTION("GOOGLETRANSLATE(A46228,""en"",""pt"")"),"impressora grande de longa duração")</f>
        <v>impressora grande de longa duração</v>
      </c>
      <c r="B46228" s="3">
        <v>1</v>
      </c>
    </row>
    <row r="46229" ht="15.75" customHeight="1" spans="1:2">
      <c r="A46229" s="3" t="str">
        <f>IFERROR(__xludf.DUMMYFUNCTION("GOOGLETRANSLATE(A46229,""en"",""pt"")"),"bom desempenho")</f>
        <v>bom desempenho</v>
      </c>
      <c r="B46229" s="3">
        <v>1</v>
      </c>
    </row>
    <row r="46230" ht="15.75" customHeight="1" spans="1:2">
      <c r="A46230" s="3" t="str">
        <f>IFERROR(__xludf.DUMMYFUNCTION("GOOGLETRANSLATE(A46230,""en"",""pt"")"),"Rápido e confiável")</f>
        <v>Rápido e confiável</v>
      </c>
      <c r="B46230" s="3">
        <v>1</v>
      </c>
    </row>
    <row r="46231" ht="15.75" customHeight="1" spans="1:2">
      <c r="A46231" s="3" t="str">
        <f>IFERROR(__xludf.DUMMYFUNCTION("GOOGLETRANSLATE(A46231,""en"",""pt"")"),"muito rápido, muito robusta, muito confiável, versátil")</f>
        <v>muito rápido, muito robusta, muito confiável, versátil</v>
      </c>
      <c r="B46231" s="3">
        <v>1</v>
      </c>
    </row>
    <row r="46232" ht="15.75" customHeight="1" spans="1:2">
      <c r="A46232" s="3" t="str">
        <f>IFERROR(__xludf.DUMMYFUNCTION("GOOGLETRANSLATE(A46232,""en"",""pt"")"),"rápido, confiável, fácil de usar, fácil de configurar, simplesmente funciona um bocado de impressora")</f>
        <v>rápido, confiável, fácil de usar, fácil de configurar, simplesmente funciona um bocado de impressora</v>
      </c>
      <c r="B46232" s="3">
        <v>1</v>
      </c>
    </row>
    <row r="46233" ht="15.75" customHeight="1" spans="1:2">
      <c r="A46233" s="3" t="str">
        <f>IFERROR(__xludf.DUMMYFUNCTION("GOOGLETRANSLATE(A46233,""en"",""pt"")"),"Recursos (4050 Series), controles do painel, Duplex disponíveis")</f>
        <v>Recursos (4050 Series), controles do painel, Duplex disponíveis</v>
      </c>
      <c r="B46233" s="3">
        <v>1</v>
      </c>
    </row>
    <row r="46234" ht="15.75" customHeight="1" spans="1:2">
      <c r="A46234" s="3" t="str">
        <f>IFERROR(__xludf.DUMMYFUNCTION("GOOGLETRANSLATE(A46234,""en"",""pt"")"),"Impressão é nítida e clara")</f>
        <v>Impressão é nítida e clara</v>
      </c>
      <c r="B46234" s="3">
        <v>1</v>
      </c>
    </row>
    <row r="46235" ht="15.75" customHeight="1" spans="1:2">
      <c r="A46235" s="3" t="str">
        <f>IFERROR(__xludf.DUMMYFUNCTION("GOOGLETRANSLATE(A46235,""en"",""pt"")"),"rápido para imprimir, papel geralmente não sofre 'efeito dobra'")</f>
        <v>rápido para imprimir, papel geralmente não sofre 'efeito dobra'</v>
      </c>
      <c r="B46235" s="3">
        <v>1</v>
      </c>
    </row>
    <row r="46236" ht="15.75" customHeight="1" spans="1:2">
      <c r="A46236" s="3" t="str">
        <f>IFERROR(__xludf.DUMMYFUNCTION("GOOGLETRANSLATE(A46236,""en"",""pt"")"),"Eu tenho que instalar essas impressoras. Eles são fáceis de instalar.")</f>
        <v>Eu tenho que instalar essas impressoras. Eles são fáceis de instalar.</v>
      </c>
      <c r="B46236" s="3">
        <v>1</v>
      </c>
    </row>
    <row r="46237" ht="15.75" customHeight="1" spans="1:2">
      <c r="A46237" s="3" t="str">
        <f>IFERROR(__xludf.DUMMYFUNCTION("GOOGLETRANSLATE(A46237,""en"",""pt"")"),"impressão BW afiada e consistente bonito.")</f>
        <v>impressão BW afiada e consistente bonito.</v>
      </c>
      <c r="B46237" s="3">
        <v>1</v>
      </c>
    </row>
    <row r="46238" ht="15.75" customHeight="1" spans="1:2">
      <c r="A46238" s="3" t="str">
        <f>IFERROR(__xludf.DUMMYFUNCTION("GOOGLETRANSLATE(A46238,""en"",""pt"")"),"Blazing rápidas imagens, nítidas")</f>
        <v>Blazing rápidas imagens, nítidas</v>
      </c>
      <c r="B46238" s="3">
        <v>1</v>
      </c>
    </row>
    <row r="46239" ht="15.75" customHeight="1" spans="1:2">
      <c r="A46239" s="3" t="str">
        <f>IFERROR(__xludf.DUMMYFUNCTION("GOOGLETRANSLATE(A46239,""en"",""pt"")"),"Rápido, durável, impressão de alta qualidade")</f>
        <v>Rápido, durável, impressão de alta qualidade</v>
      </c>
      <c r="B46239" s="3">
        <v>1</v>
      </c>
    </row>
    <row r="46240" ht="15.75" customHeight="1" spans="1:2">
      <c r="A46240" s="3" t="str">
        <f>IFERROR(__xludf.DUMMYFUNCTION("GOOGLETRANSLATE(A46240,""en"",""pt"")"),"Robusto, confiável e compacto. Fácil de usar e manter.")</f>
        <v>Robusto, confiável e compacto. Fácil de usar e manter.</v>
      </c>
      <c r="B46240" s="3">
        <v>1</v>
      </c>
    </row>
    <row r="46241" ht="15.75" customHeight="1" spans="1:2">
      <c r="A46241" s="3" t="str">
        <f>IFERROR(__xludf.DUMMYFUNCTION("GOOGLETRANSLATE(A46241,""en"",""pt"")"),"Relativamente rápido, durável")</f>
        <v>Relativamente rápido, durável</v>
      </c>
      <c r="B46241" s="3">
        <v>1</v>
      </c>
    </row>
    <row r="46242" ht="15.75" customHeight="1" spans="1:2">
      <c r="A46242" s="3" t="str">
        <f>IFERROR(__xludf.DUMMYFUNCTION("GOOGLETRANSLATE(A46242,""en"",""pt"")"),"Rápido, excelente conectividade, na luz tonner")</f>
        <v>Rápido, excelente conectividade, na luz tonner</v>
      </c>
      <c r="B46242" s="3">
        <v>1</v>
      </c>
    </row>
    <row r="46243" ht="15.75" customHeight="1" spans="1:2">
      <c r="A46243" s="3" t="str">
        <f>IFERROR(__xludf.DUMMYFUNCTION("GOOGLETRANSLATE(A46243,""en"",""pt"")"),"relâmpago rápido, ótima resolução, networkable")</f>
        <v>relâmpago rápido, ótima resolução, networkable</v>
      </c>
      <c r="B46243" s="3">
        <v>1</v>
      </c>
    </row>
    <row r="46244" ht="15.75" customHeight="1" spans="1:2">
      <c r="A46244" s="3" t="str">
        <f>IFERROR(__xludf.DUMMYFUNCTION("GOOGLETRANSLATE(A46244,""en"",""pt"")"),"Agradável e compacto")</f>
        <v>Agradável e compacto</v>
      </c>
      <c r="B46244" s="3">
        <v>1</v>
      </c>
    </row>
    <row r="46245" ht="15.75" customHeight="1" spans="1:2">
      <c r="A46245" s="3" t="str">
        <f>IFERROR(__xludf.DUMMYFUNCTION("GOOGLETRANSLATE(A46245,""en"",""pt"")"),"Rápida, escalável e Software Easy.")</f>
        <v>Rápida, escalável e Software Easy.</v>
      </c>
      <c r="B46245" s="3">
        <v>1</v>
      </c>
    </row>
    <row r="46246" ht="15.75" customHeight="1" spans="1:2">
      <c r="A46246" s="3" t="str">
        <f>IFERROR(__xludf.DUMMYFUNCTION("GOOGLETRANSLATE(A46246,""en"",""pt"")"),"Grande qualidade de impressão, confiável e fácil de configurar.")</f>
        <v>Grande qualidade de impressão, confiável e fácil de configurar.</v>
      </c>
      <c r="B46246" s="3">
        <v>1</v>
      </c>
    </row>
    <row r="46247" ht="15.75" customHeight="1" spans="1:2">
      <c r="A46247" s="3" t="str">
        <f>IFERROR(__xludf.DUMMYFUNCTION("GOOGLETRANSLATE(A46247,""en"",""pt"")"),"muito rápido, grande impressão de texto fácil de usar")</f>
        <v>muito rápido, grande impressão de texto fácil de usar</v>
      </c>
      <c r="B46247" s="3">
        <v>1</v>
      </c>
    </row>
    <row r="46248" ht="15.75" customHeight="1" spans="1:2">
      <c r="A46248" s="3" t="str">
        <f>IFERROR(__xludf.DUMMYFUNCTION("GOOGLETRANSLATE(A46248,""en"",""pt"")"),"Trabalha duro, boa qualidade de impressão, velocidade decente")</f>
        <v>Trabalha duro, boa qualidade de impressão, velocidade decente</v>
      </c>
      <c r="B46248" s="3">
        <v>1</v>
      </c>
    </row>
    <row r="46249" ht="15.75" customHeight="1" spans="1:2">
      <c r="A46249" s="3" t="str">
        <f>IFERROR(__xludf.DUMMYFUNCTION("GOOGLETRANSLATE(A46249,""en"",""pt"")"),"cavalo de trabalho")</f>
        <v>cavalo de trabalho</v>
      </c>
      <c r="B46249" s="3">
        <v>1</v>
      </c>
    </row>
    <row r="46250" ht="15.75" customHeight="1" spans="1:2">
      <c r="A46250" s="3" t="str">
        <f>IFERROR(__xludf.DUMMYFUNCTION("GOOGLETRANSLATE(A46250,""en"",""pt"")"),"Leva um lickin' e continua a tickin'")</f>
        <v>Leva um lickin' e continua a tickin'</v>
      </c>
      <c r="B46250" s="3">
        <v>1</v>
      </c>
    </row>
    <row r="46251" ht="15.75" customHeight="1" spans="1:2">
      <c r="A46251" s="3" t="str">
        <f>IFERROR(__xludf.DUMMYFUNCTION("GOOGLETRANSLATE(A46251,""en"",""pt"")"),"Construído em rede, memória de 16MB e duas bandejas de papel")</f>
        <v>Construído em rede, memória de 16MB e duas bandejas de papel</v>
      </c>
      <c r="B46251" s="3">
        <v>1</v>
      </c>
    </row>
    <row r="46252" ht="15.75" customHeight="1" spans="1:2">
      <c r="A46252" s="3" t="str">
        <f>IFERROR(__xludf.DUMMYFUNCTION("GOOGLETRANSLATE(A46252,""en"",""pt"")"),"motor rápido, configuração de rede fácil, trabalha com Win2K como um profissional, excelente qualidade de imagem!")</f>
        <v>motor rápido, configuração de rede fácil, trabalha com Win2K como um profissional, excelente qualidade de imagem!</v>
      </c>
      <c r="B46252" s="3">
        <v>1</v>
      </c>
    </row>
    <row r="46253" ht="15.75" customHeight="1" spans="1:2">
      <c r="A46253" s="3" t="str">
        <f>IFERROR(__xludf.DUMMYFUNCTION("GOOGLETRANSLATE(A46253,""en"",""pt"")"),"texto rápido e de alta qualidade, fácil conexão de rede")</f>
        <v>texto rápido e de alta qualidade, fácil conexão de rede</v>
      </c>
      <c r="B46253" s="3">
        <v>1</v>
      </c>
    </row>
    <row r="46254" ht="15.75" customHeight="1" spans="1:2">
      <c r="A46254" s="3" t="str">
        <f>IFERROR(__xludf.DUMMYFUNCTION("GOOGLETRANSLATE(A46254,""en"",""pt"")"),"Rápido, muito clara, muito confiável")</f>
        <v>Rápido, muito clara, muito confiável</v>
      </c>
      <c r="B46254" s="3">
        <v>1</v>
      </c>
    </row>
    <row r="46255" ht="15.75" customHeight="1" spans="1:2">
      <c r="A46255" s="3" t="str">
        <f>IFERROR(__xludf.DUMMYFUNCTION("GOOGLETRANSLATE(A46255,""en"",""pt"")"),"Qualidade da produção, custo de consumíveis, Características")</f>
        <v>Qualidade da produção, custo de consumíveis, Características</v>
      </c>
      <c r="B46255" s="3">
        <v>1</v>
      </c>
    </row>
    <row r="46256" ht="15.75" customHeight="1" spans="1:2">
      <c r="A46256" s="3" t="str">
        <f>IFERROR(__xludf.DUMMYFUNCTION("GOOGLETRANSLATE(A46256,""en"",""pt"")"),"Velocidade, versatilidade, networking")</f>
        <v>Velocidade, versatilidade, networking</v>
      </c>
      <c r="B46256" s="3">
        <v>1</v>
      </c>
    </row>
    <row r="46257" ht="15.75" customHeight="1" spans="1:2">
      <c r="A46257" s="3" t="str">
        <f>IFERROR(__xludf.DUMMYFUNCTION("GOOGLETRANSLATE(A46257,""en"",""pt"")"),"rápido, expansível, confiável")</f>
        <v>rápido, expansível, confiável</v>
      </c>
      <c r="B46257" s="3">
        <v>1</v>
      </c>
    </row>
    <row r="46258" ht="15.75" customHeight="1" spans="1:2">
      <c r="A46258" s="3" t="str">
        <f>IFERROR(__xludf.DUMMYFUNCTION("GOOGLETRANSLATE(A46258,""en"",""pt"")"),"MUITO alta qualidade, grande compatibilidade, facilidade de instalação, capacidade de volume e velocidade")</f>
        <v>MUITO alta qualidade, grande compatibilidade, facilidade de instalação, capacidade de volume e velocidade</v>
      </c>
      <c r="B46258" s="3">
        <v>1</v>
      </c>
    </row>
    <row r="46259" ht="15.75" customHeight="1" spans="1:2">
      <c r="A46259" s="3" t="str">
        <f>IFERROR(__xludf.DUMMYFUNCTION("GOOGLETRANSLATE(A46259,""en"",""pt"")"),"Rápido, de alta qualidade, confiável")</f>
        <v>Rápido, de alta qualidade, confiável</v>
      </c>
      <c r="B46259" s="3">
        <v>1</v>
      </c>
    </row>
    <row r="46260" ht="15.75" customHeight="1" spans="1:2">
      <c r="A46260" s="3" t="str">
        <f>IFERROR(__xludf.DUMMYFUNCTION("GOOGLETRANSLATE(A46260,""en"",""pt"")"),"Rápido, impressora de alta qualidade que dura e dura ...")</f>
        <v>Rápido, impressora de alta qualidade que dura e dura ...</v>
      </c>
      <c r="B46260" s="3">
        <v>1</v>
      </c>
    </row>
    <row r="46261" ht="15.75" customHeight="1" spans="1:2">
      <c r="A46261" s="3" t="str">
        <f>IFERROR(__xludf.DUMMYFUNCTION("GOOGLETRANSLATE(A46261,""en"",""pt"")"),"Bastante rápido impressão para um uso em escritório pequeno ou impressora a laser pessoal.")</f>
        <v>Bastante rápido impressão para um uso em escritório pequeno ou impressora a laser pessoal.</v>
      </c>
      <c r="B46261" s="3">
        <v>1</v>
      </c>
    </row>
    <row r="46262" ht="15.75" customHeight="1" spans="1:2">
      <c r="A46262" s="3" t="str">
        <f>IFERROR(__xludf.DUMMYFUNCTION("GOOGLETRANSLATE(A46262,""en"",""pt"")"),"impressão rápida, ocupa muito pouco espaço na mesa e confiável.")</f>
        <v>impressão rápida, ocupa muito pouco espaço na mesa e confiável.</v>
      </c>
      <c r="B46262" s="3">
        <v>1</v>
      </c>
    </row>
    <row r="46263" ht="15.75" customHeight="1" spans="1:2">
      <c r="A46263" s="3" t="str">
        <f>IFERROR(__xludf.DUMMYFUNCTION("GOOGLETRANSLATE(A46263,""en"",""pt"")"),"Pequeno, na posição vertical, simples de usar")</f>
        <v>Pequeno, na posição vertical, simples de usar</v>
      </c>
      <c r="B46263" s="3">
        <v>1</v>
      </c>
    </row>
    <row r="46264" ht="15.75" customHeight="1" spans="1:2">
      <c r="A46264" s="3" t="str">
        <f>IFERROR(__xludf.DUMMYFUNCTION("GOOGLETRANSLATE(A46264,""en"",""pt"")"),"Barato, confiável, compacto")</f>
        <v>Barato, confiável, compacto</v>
      </c>
      <c r="B46264" s="3">
        <v>1</v>
      </c>
    </row>
    <row r="46265" ht="15.75" customHeight="1" spans="1:2">
      <c r="A46265" s="3" t="str">
        <f>IFERROR(__xludf.DUMMYFUNCTION("GOOGLETRANSLATE(A46265,""en"",""pt"")"),"Confiável, impressora laser de baixo custo")</f>
        <v>Confiável, impressora laser de baixo custo</v>
      </c>
      <c r="B46265" s="3">
        <v>1</v>
      </c>
    </row>
    <row r="46266" ht="15.75" customHeight="1" spans="1:2">
      <c r="A46266" s="3" t="str">
        <f>IFERROR(__xludf.DUMMYFUNCTION("GOOGLETRANSLATE(A46266,""en"",""pt"")"),"Impressão rápida e de alta qualidade")</f>
        <v>Impressão rápida e de alta qualidade</v>
      </c>
      <c r="B46266" s="3">
        <v>1</v>
      </c>
    </row>
    <row r="46267" ht="15.75" customHeight="1" spans="1:2">
      <c r="A46267" s="3" t="str">
        <f>IFERROR(__xludf.DUMMYFUNCTION("GOOGLETRANSLATE(A46267,""en"",""pt"")"),"b &amp; amp; w 600x600 dpi, a qualidade do texto é bom, ok qualidade de imagem, luz")</f>
        <v>b &amp; amp; w 600x600 dpi, a qualidade do texto é bom, ok qualidade de imagem, luz</v>
      </c>
      <c r="B46267" s="3">
        <v>1</v>
      </c>
    </row>
    <row r="46268" ht="15.75" customHeight="1" spans="1:2">
      <c r="A46268" s="3" t="str">
        <f>IFERROR(__xludf.DUMMYFUNCTION("GOOGLETRANSLATE(A46268,""en"",""pt"")"),"confiável, fácil de usar")</f>
        <v>confiável, fácil de usar</v>
      </c>
      <c r="B46268" s="3">
        <v>1</v>
      </c>
    </row>
    <row r="46269" ht="15.75" customHeight="1" spans="1:2">
      <c r="A46269" s="3" t="str">
        <f>IFERROR(__xludf.DUMMYFUNCTION("GOOGLETRANSLATE(A46269,""en"",""pt"")"),"Tamanho de impressão, impressão de qualidade")</f>
        <v>Tamanho de impressão, impressão de qualidade</v>
      </c>
      <c r="B46269" s="3">
        <v>1</v>
      </c>
    </row>
    <row r="46270" ht="15.75" customHeight="1" spans="1:2">
      <c r="A46270" s="3" t="str">
        <f>IFERROR(__xludf.DUMMYFUNCTION("GOOGLETRANSLATE(A46270,""en"",""pt"")"),"Excelente qualidade de impressão especialmente para o preço.")</f>
        <v>Excelente qualidade de impressão especialmente para o preço.</v>
      </c>
      <c r="B46270" s="3">
        <v>1</v>
      </c>
    </row>
    <row r="46271" ht="15.75" customHeight="1" spans="1:2">
      <c r="A46271" s="3" t="str">
        <f>IFERROR(__xludf.DUMMYFUNCTION("GOOGLETRANSLATE(A46271,""en"",""pt"")"),"Steady, confiável, eficiente e versátil Printer")</f>
        <v>Steady, confiável, eficiente e versátil Printer</v>
      </c>
      <c r="B46271" s="3">
        <v>1</v>
      </c>
    </row>
    <row r="46272" ht="15.75" customHeight="1" spans="1:2">
      <c r="A46272" s="3" t="str">
        <f>IFERROR(__xludf.DUMMYFUNCTION("GOOGLETRANSLATE(A46272,""en"",""pt"")"),"pegada pequena - não uma kluge, boa qualidade de impressão especialmente em fotos.")</f>
        <v>pegada pequena - não uma kluge, boa qualidade de impressão especialmente em fotos.</v>
      </c>
      <c r="B46272" s="3">
        <v>1</v>
      </c>
    </row>
    <row r="46273" ht="15.75" customHeight="1" spans="1:2">
      <c r="A46273" s="3" t="str">
        <f>IFERROR(__xludf.DUMMYFUNCTION("GOOGLETRANSLATE(A46273,""en"",""pt"")"),"é uma HP")</f>
        <v>é uma HP</v>
      </c>
      <c r="B46273" s="3">
        <v>1</v>
      </c>
    </row>
    <row r="46274" ht="15.75" customHeight="1" spans="1:2">
      <c r="A46274" s="3" t="str">
        <f>IFERROR(__xludf.DUMMYFUNCTION("GOOGLETRANSLATE(A46274,""en"",""pt"")"),"Resistente, durável, resiste secretários tolas")</f>
        <v>Resistente, durável, resiste secretários tolas</v>
      </c>
      <c r="B46274" s="3">
        <v>1</v>
      </c>
    </row>
    <row r="46275" ht="15.75" customHeight="1" spans="1:2">
      <c r="A46275" s="3" t="str">
        <f>IFERROR(__xludf.DUMMYFUNCTION("GOOGLETRANSLATE(A46275,""en"",""pt"")"),"pequena pegada")</f>
        <v>pequena pegada</v>
      </c>
      <c r="B46275" s="3">
        <v>1</v>
      </c>
    </row>
    <row r="46276" ht="15.75" customHeight="1" spans="1:2">
      <c r="A46276" s="3" t="str">
        <f>IFERROR(__xludf.DUMMYFUNCTION("GOOGLETRANSLATE(A46276,""en"",""pt"")"),"excelente como um peso de papel")</f>
        <v>excelente como um peso de papel</v>
      </c>
      <c r="B46276" s="3">
        <v>1</v>
      </c>
    </row>
    <row r="46277" ht="15.75" customHeight="1" spans="1:2">
      <c r="A46277" s="3" t="str">
        <f>IFERROR(__xludf.DUMMYFUNCTION("GOOGLETRANSLATE(A46277,""en"",""pt"")"),"grande qualidade, impressão rápida")</f>
        <v>grande qualidade, impressão rápida</v>
      </c>
      <c r="B46277" s="3">
        <v>1</v>
      </c>
    </row>
    <row r="46278" ht="15.75" customHeight="1" spans="1:2">
      <c r="A46278" s="3" t="str">
        <f>IFERROR(__xludf.DUMMYFUNCTION("GOOGLETRANSLATE(A46278,""en"",""pt"")"),"Compactar. A capacidade de impressão especialmente clara.")</f>
        <v>Compactar. A capacidade de impressão especialmente clara.</v>
      </c>
      <c r="B46278" s="3">
        <v>1</v>
      </c>
    </row>
    <row r="46279" ht="15.75" customHeight="1" spans="1:2">
      <c r="A46279" s="3" t="str">
        <f>IFERROR(__xludf.DUMMYFUNCTION("GOOGLETRANSLATE(A46279,""en"",""pt"")"),"basicamente nenhum")</f>
        <v>basicamente nenhum</v>
      </c>
      <c r="B46279" s="3">
        <v>1</v>
      </c>
    </row>
    <row r="46280" ht="15.75" customHeight="1" spans="1:2">
      <c r="A46280" s="3" t="str">
        <f>IFERROR(__xludf.DUMMYFUNCTION("GOOGLETRANSLATE(A46280,""en"",""pt"")"),"Prints silêncio, os trabalhos de impressão de boa qualidade")</f>
        <v>Prints silêncio, os trabalhos de impressão de boa qualidade</v>
      </c>
      <c r="B46280" s="3">
        <v>1</v>
      </c>
    </row>
    <row r="46281" ht="15.75" customHeight="1" spans="1:2">
      <c r="A46281" s="3" t="str">
        <f>IFERROR(__xludf.DUMMYFUNCTION("GOOGLETRANSLATE(A46281,""en"",""pt"")"),"Um pouco pegada pequena, e é uma impressora a laser verdade.")</f>
        <v>Um pouco pegada pequena, e é uma impressora a laser verdade.</v>
      </c>
      <c r="B46281" s="3">
        <v>1</v>
      </c>
    </row>
    <row r="46282" ht="15.75" customHeight="1" spans="1:2">
      <c r="A46282" s="3" t="str">
        <f>IFERROR(__xludf.DUMMYFUNCTION("GOOGLETRANSLATE(A46282,""en"",""pt"")"),"Toma o lugar de quatro máquinas.")</f>
        <v>Toma o lugar de quatro máquinas.</v>
      </c>
      <c r="B46282" s="3">
        <v>1</v>
      </c>
    </row>
    <row r="46283" ht="15.75" customHeight="1" spans="1:2">
      <c r="A46283" s="3" t="str">
        <f>IFERROR(__xludf.DUMMYFUNCTION("GOOGLETRANSLATE(A46283,""en"",""pt"")"),"Você não precisa do software para utilizar esta impressora")</f>
        <v>Você não precisa do software para utilizar esta impressora</v>
      </c>
      <c r="B46283" s="3">
        <v>1</v>
      </c>
    </row>
    <row r="46284" ht="15.75" customHeight="1" spans="1:2">
      <c r="A46284" s="3" t="str">
        <f>IFERROR(__xludf.DUMMYFUNCTION("GOOGLETRANSLATE(A46284,""en"",""pt"")"),"compacto, fácil de ler as instruções, grande qualidade de impressão")</f>
        <v>compacto, fácil de ler as instruções, grande qualidade de impressão</v>
      </c>
      <c r="B46284" s="3">
        <v>1</v>
      </c>
    </row>
    <row r="46285" ht="15.75" customHeight="1" spans="1:2">
      <c r="A46285" s="3" t="str">
        <f>IFERROR(__xludf.DUMMYFUNCTION("GOOGLETRANSLATE(A46285,""en"",""pt"")"),"todos os recursos em um")</f>
        <v>todos os recursos em um</v>
      </c>
      <c r="B46285" s="3">
        <v>1</v>
      </c>
    </row>
    <row r="46286" ht="15.75" customHeight="1" spans="1:2">
      <c r="A46286" s="3" t="str">
        <f>IFERROR(__xludf.DUMMYFUNCTION("GOOGLETRANSLATE(A46286,""en"",""pt"")"),"tudo em um, grande poupança de espaço ...")</f>
        <v>tudo em um, grande poupança de espaço ...</v>
      </c>
      <c r="B46286" s="3">
        <v>1</v>
      </c>
    </row>
    <row r="46287" ht="15.75" customHeight="1" spans="1:2">
      <c r="A46287" s="3" t="str">
        <f>IFERROR(__xludf.DUMMYFUNCTION("GOOGLETRANSLATE(A46287,""en"",""pt"")"),"Simples, vista agradável, Qualidade digitalização e impressão")</f>
        <v>Simples, vista agradável, Qualidade digitalização e impressão</v>
      </c>
      <c r="B46287" s="3">
        <v>1</v>
      </c>
    </row>
    <row r="46288" ht="15.75" customHeight="1" spans="1:2">
      <c r="A46288" s="3" t="str">
        <f>IFERROR(__xludf.DUMMYFUNCTION("GOOGLETRANSLATE(A46288,""en"",""pt"")"),"preço barato; à moda; bom software")</f>
        <v>preço barato; à moda; bom software</v>
      </c>
      <c r="B46288" s="3">
        <v>1</v>
      </c>
    </row>
    <row r="46289" ht="15.75" customHeight="1" spans="1:2">
      <c r="A46289" s="3" t="str">
        <f>IFERROR(__xludf.DUMMYFUNCTION("GOOGLETRANSLATE(A46289,""en"",""pt"")"),"feito pela HP, 4-in-1")</f>
        <v>feito pela HP, 4-in-1</v>
      </c>
      <c r="B46289" s="3">
        <v>1</v>
      </c>
    </row>
    <row r="46290" ht="15.75" customHeight="1" spans="1:2">
      <c r="A46290" s="3" t="str">
        <f>IFERROR(__xludf.DUMMYFUNCTION("GOOGLETRANSLATE(A46290,""en"",""pt"")"),"Nenhum")</f>
        <v>Nenhum</v>
      </c>
      <c r="B46290" s="3">
        <v>1</v>
      </c>
    </row>
    <row r="46291" ht="15.75" customHeight="1" spans="1:2">
      <c r="A46291" s="3" t="str">
        <f>IFERROR(__xludf.DUMMYFUNCTION("GOOGLETRANSLATE(A46291,""en"",""pt"")"),"Grande Valor, todas as características que você quer")</f>
        <v>Grande Valor, todas as características que você quer</v>
      </c>
      <c r="B46291" s="3">
        <v>1</v>
      </c>
    </row>
    <row r="46292" ht="15.75" customHeight="1" spans="1:2">
      <c r="A46292" s="3" t="str">
        <f>IFERROR(__xludf.DUMMYFUNCTION("GOOGLETRANSLATE(A46292,""en"",""pt"")"),"Great todos em um combo para o dinheiro.")</f>
        <v>Great todos em um combo para o dinheiro.</v>
      </c>
      <c r="B46292" s="3">
        <v>1</v>
      </c>
    </row>
    <row r="46293" ht="15.75" customHeight="1" spans="1:2">
      <c r="A46293" s="3" t="str">
        <f>IFERROR(__xludf.DUMMYFUNCTION("GOOGLETRANSLATE(A46293,""en"",""pt"")"),"imprimir e qualidade de digitalização decente")</f>
        <v>imprimir e qualidade de digitalização decente</v>
      </c>
      <c r="B46293" s="3">
        <v>1</v>
      </c>
    </row>
    <row r="46294" ht="15.75" customHeight="1" spans="1:2">
      <c r="A46294" s="3" t="str">
        <f>IFERROR(__xludf.DUMMYFUNCTION("GOOGLETRANSLATE(A46294,""en"",""pt"")"),"Boa qualidade de impressão, recursos de fax agradáveis")</f>
        <v>Boa qualidade de impressão, recursos de fax agradáveis</v>
      </c>
      <c r="B46294" s="3">
        <v>1</v>
      </c>
    </row>
    <row r="46295" ht="15.75" customHeight="1" spans="1:2">
      <c r="A46295" s="3" t="str">
        <f>IFERROR(__xludf.DUMMYFUNCTION("GOOGLETRANSLATE(A46295,""en"",""pt"")"),"barato e pequeno")</f>
        <v>barato e pequeno</v>
      </c>
      <c r="B46295" s="3">
        <v>1</v>
      </c>
    </row>
    <row r="46296" ht="15.75" customHeight="1" spans="1:2">
      <c r="A46296" s="3" t="str">
        <f>IFERROR(__xludf.DUMMYFUNCTION("GOOGLETRANSLATE(A46296,""en"",""pt"")"),"Multi-função de conveniência")</f>
        <v>Multi-função de conveniência</v>
      </c>
      <c r="B46296" s="3">
        <v>1</v>
      </c>
    </row>
    <row r="46297" ht="15.75" customHeight="1" spans="1:2">
      <c r="A46297" s="3" t="str">
        <f>IFERROR(__xludf.DUMMYFUNCTION("GOOGLETRANSLATE(A46297,""en"",""pt"")"),"hey, é quatro-em-um!")</f>
        <v>hey, é quatro-em-um!</v>
      </c>
      <c r="B46297" s="3">
        <v>1</v>
      </c>
    </row>
    <row r="46298" ht="15.75" customHeight="1" spans="1:2">
      <c r="A46298" s="3" t="str">
        <f>IFERROR(__xludf.DUMMYFUNCTION("GOOGLETRANSLATE(A46298,""en"",""pt"")"),"4 em 1")</f>
        <v>4 em 1</v>
      </c>
      <c r="B46298" s="3">
        <v>1</v>
      </c>
    </row>
    <row r="46299" ht="15.75" customHeight="1" spans="1:2">
      <c r="A46299" s="3" t="str">
        <f>IFERROR(__xludf.DUMMYFUNCTION("GOOGLETRANSLATE(A46299,""en"",""pt"")"),"Lote de funções para o preço, fácil de usar, grande apoio")</f>
        <v>Lote de funções para o preço, fácil de usar, grande apoio</v>
      </c>
      <c r="B46299" s="3">
        <v>1</v>
      </c>
    </row>
    <row r="46300" ht="15.75" customHeight="1" spans="1:2">
      <c r="A46300" s="3" t="str">
        <f>IFERROR(__xludf.DUMMYFUNCTION("GOOGLETRANSLATE(A46300,""en"",""pt"")"),"Nenhum")</f>
        <v>Nenhum</v>
      </c>
      <c r="B46300" s="3">
        <v>1</v>
      </c>
    </row>
    <row r="46301" ht="15.75" customHeight="1" spans="1:2">
      <c r="A46301" s="3" t="str">
        <f>IFERROR(__xludf.DUMMYFUNCTION("GOOGLETRANSLATE(A46301,""en"",""pt"")"),"preço")</f>
        <v>preço</v>
      </c>
      <c r="B46301" s="3">
        <v>1</v>
      </c>
    </row>
    <row r="46302" ht="15.75" customHeight="1" spans="1:2">
      <c r="A46302" s="3" t="str">
        <f>IFERROR(__xludf.DUMMYFUNCTION("GOOGLETRANSLATE(A46302,""en"",""pt"")"),"Ele tem um design compacto")</f>
        <v>Ele tem um design compacto</v>
      </c>
      <c r="B46302" s="3">
        <v>1</v>
      </c>
    </row>
    <row r="46303" ht="15.75" customHeight="1" spans="1:2">
      <c r="A46303" s="3" t="str">
        <f>IFERROR(__xludf.DUMMYFUNCTION("GOOGLETRANSLATE(A46303,""en"",""pt"")"),"Realiza tarefas SOHO razoavelmente bem")</f>
        <v>Realiza tarefas SOHO razoavelmente bem</v>
      </c>
      <c r="B46303" s="3">
        <v>1</v>
      </c>
    </row>
    <row r="46304" ht="15.75" customHeight="1" spans="1:2">
      <c r="A46304" s="3" t="str">
        <f>IFERROR(__xludf.DUMMYFUNCTION("GOOGLETRANSLATE(A46304,""en"",""pt"")"),"Amigo do usuário")</f>
        <v>Amigo do usuário</v>
      </c>
      <c r="B46304" s="3">
        <v>1</v>
      </c>
    </row>
    <row r="46305" ht="15.75" customHeight="1" spans="1:2">
      <c r="A46305" s="3" t="str">
        <f>IFERROR(__xludf.DUMMYFUNCTION("GOOGLETRANSLATE(A46305,""en"",""pt"")"),"Tudo ao seu alcance")</f>
        <v>Tudo ao seu alcance</v>
      </c>
      <c r="B46305" s="3">
        <v>1</v>
      </c>
    </row>
    <row r="46306" ht="15.75" customHeight="1" spans="1:2">
      <c r="A46306" s="3" t="str">
        <f>IFERROR(__xludf.DUMMYFUNCTION("GOOGLETRANSLATE(A46306,""en"",""pt"")"),"fácil configuração, faz o que diz que vai.")</f>
        <v>fácil configuração, faz o que diz que vai.</v>
      </c>
      <c r="B46306" s="3">
        <v>1</v>
      </c>
    </row>
    <row r="46307" ht="15.75" customHeight="1" spans="1:2">
      <c r="A46307" s="3" t="str">
        <f>IFERROR(__xludf.DUMMYFUNCTION("GOOGLETRANSLATE(A46307,""en"",""pt"")"),"versatilidade; durabilidade")</f>
        <v>versatilidade; durabilidade</v>
      </c>
      <c r="B46307" s="3">
        <v>1</v>
      </c>
    </row>
    <row r="46308" ht="15.75" customHeight="1" spans="1:2">
      <c r="A46308" s="3" t="str">
        <f>IFERROR(__xludf.DUMMYFUNCTION("GOOGLETRANSLATE(A46308,""en"",""pt"")"),"Impressora / Scanner / Copiadora / Fax tudo em um")</f>
        <v>Impressora / Scanner / Copiadora / Fax tudo em um</v>
      </c>
      <c r="B46308" s="3">
        <v>1</v>
      </c>
    </row>
    <row r="46309" ht="15.75" customHeight="1" spans="1:2">
      <c r="A46309" s="3" t="str">
        <f>IFERROR(__xludf.DUMMYFUNCTION("GOOGLETRANSLATE(A46309,""en"",""pt"")"),"All-in-one é útil, ótimo preço, excelente qualidade")</f>
        <v>All-in-one é útil, ótimo preço, excelente qualidade</v>
      </c>
      <c r="B46309" s="3">
        <v>1</v>
      </c>
    </row>
    <row r="46310" ht="15.75" customHeight="1" spans="1:2">
      <c r="A46310" s="3" t="str">
        <f>IFERROR(__xludf.DUMMYFUNCTION("GOOGLETRANSLATE(A46310,""en"",""pt"")"),"Boa impressora, copiadora e ok scanner, um bom software com ele")</f>
        <v>Boa impressora, copiadora e ok scanner, um bom software com ele</v>
      </c>
      <c r="B46310" s="3">
        <v>1</v>
      </c>
    </row>
    <row r="46311" ht="15.75" customHeight="1" spans="1:2">
      <c r="A46311" s="3" t="str">
        <f>IFERROR(__xludf.DUMMYFUNCTION("GOOGLETRANSLATE(A46311,""en"",""pt"")"),"executa muitas tarefas bem, bom preço, não muito volumosos, confiáveis")</f>
        <v>executa muitas tarefas bem, bom preço, não muito volumosos, confiáveis</v>
      </c>
      <c r="B46311" s="3">
        <v>1</v>
      </c>
    </row>
    <row r="46312" ht="15.75" customHeight="1" spans="1:2">
      <c r="A46312" s="3" t="str">
        <f>IFERROR(__xludf.DUMMYFUNCTION("GOOGLETRANSLATE(A46312,""en"",""pt"")"),"4 funções,")</f>
        <v>4 funções,</v>
      </c>
      <c r="B46312" s="3">
        <v>1</v>
      </c>
    </row>
    <row r="46313" ht="15.75" customHeight="1" spans="1:2">
      <c r="A46313" s="3" t="str">
        <f>IFERROR(__xludf.DUMMYFUNCTION("GOOGLETRANSLATE(A46313,""en"",""pt"")"),"Múltiplas funções.")</f>
        <v>Múltiplas funções.</v>
      </c>
      <c r="B46313" s="3">
        <v>1</v>
      </c>
    </row>
    <row r="46314" ht="15.75" customHeight="1" spans="1:2">
      <c r="A46314" s="3" t="str">
        <f>IFERROR(__xludf.DUMMYFUNCTION("GOOGLETRANSLATE(A46314,""en"",""pt"")"),"4-máquinas-em-1 - para um preço barato sujeira.")</f>
        <v>4-máquinas-em-1 - para um preço barato sujeira.</v>
      </c>
      <c r="B46314" s="3">
        <v>1</v>
      </c>
    </row>
    <row r="46315" ht="15.75" customHeight="1" spans="1:2">
      <c r="A46315" s="3" t="str">
        <f>IFERROR(__xludf.DUMMYFUNCTION("GOOGLETRANSLATE(A46315,""en"",""pt"")"),"Confiável; menos dispendioso e mais fácil de configurar do que comprar componentes individuais")</f>
        <v>Confiável; menos dispendioso e mais fácil de configurar do que comprar componentes individuais</v>
      </c>
      <c r="B46315" s="3">
        <v>1</v>
      </c>
    </row>
    <row r="46316" ht="15.75" customHeight="1" spans="1:2">
      <c r="A46316" s="3" t="str">
        <f>IFERROR(__xludf.DUMMYFUNCTION("GOOGLETRANSLATE(A46316,""en"",""pt"")"),"barato e pequeno")</f>
        <v>barato e pequeno</v>
      </c>
      <c r="B46316" s="3">
        <v>1</v>
      </c>
    </row>
    <row r="46317" ht="15.75" customHeight="1" spans="1:2">
      <c r="A46317" s="3" t="str">
        <f>IFERROR(__xludf.DUMMYFUNCTION("GOOGLETRANSLATE(A46317,""en"",""pt"")"),"Não é venenosa")</f>
        <v>Não é venenosa</v>
      </c>
      <c r="B46317" s="3">
        <v>1</v>
      </c>
    </row>
    <row r="46318" ht="15.75" customHeight="1" spans="1:2">
      <c r="A46318" s="3" t="str">
        <f>IFERROR(__xludf.DUMMYFUNCTION("GOOGLETRANSLATE(A46318,""en"",""pt"")"),"Os trabalhos de fax")</f>
        <v>Os trabalhos de fax</v>
      </c>
      <c r="B46318" s="3">
        <v>1</v>
      </c>
    </row>
    <row r="46319" ht="15.75" customHeight="1" spans="1:2">
      <c r="A46319" s="3" t="str">
        <f>IFERROR(__xludf.DUMMYFUNCTION("GOOGLETRANSLATE(A46319,""en"",""pt"")"),"Looks realmente effecient")</f>
        <v>Looks realmente effecient</v>
      </c>
      <c r="B46319" s="3">
        <v>1</v>
      </c>
    </row>
    <row r="46320" ht="15.75" customHeight="1" spans="1:2">
      <c r="A46320" s="3" t="str">
        <f>IFERROR(__xludf.DUMMYFUNCTION("GOOGLETRANSLATE(A46320,""en"",""pt"")"),"confiável, boa cor, fácil de controle")</f>
        <v>confiável, boa cor, fácil de controle</v>
      </c>
      <c r="B46320" s="3">
        <v>1</v>
      </c>
    </row>
    <row r="46321" ht="15.75" customHeight="1" spans="1:2">
      <c r="A46321" s="3" t="str">
        <f>IFERROR(__xludf.DUMMYFUNCTION("GOOGLETRANSLATE(A46321,""en"",""pt"")"),"Preço")</f>
        <v>Preço</v>
      </c>
      <c r="B46321" s="3">
        <v>1</v>
      </c>
    </row>
    <row r="46322" ht="15.75" customHeight="1" spans="1:2">
      <c r="A46322" s="3" t="str">
        <f>IFERROR(__xludf.DUMMYFUNCTION("GOOGLETRANSLATE(A46322,""en"",""pt"")"),"Rápido, fácil de usar, não é caro, marca confiável")</f>
        <v>Rápido, fácil de usar, não é caro, marca confiável</v>
      </c>
      <c r="B46322" s="3">
        <v>1</v>
      </c>
    </row>
    <row r="46323" ht="15.75" customHeight="1" spans="1:2">
      <c r="A46323" s="3" t="str">
        <f>IFERROR(__xludf.DUMMYFUNCTION("GOOGLETRANSLATE(A46323,""en"",""pt"")"),"Bom valor, versátil, combina várias funções")</f>
        <v>Bom valor, versátil, combina várias funções</v>
      </c>
      <c r="B46323" s="3">
        <v>1</v>
      </c>
    </row>
    <row r="46324" ht="15.75" customHeight="1" spans="1:2">
      <c r="A46324" s="3" t="str">
        <f>IFERROR(__xludf.DUMMYFUNCTION("GOOGLETRANSLATE(A46324,""en"",""pt"")"),"máquina confiável Bom para quantidade limitada de espaço e dinheiro.")</f>
        <v>máquina confiável Bom para quantidade limitada de espaço e dinheiro.</v>
      </c>
      <c r="B46324" s="3">
        <v>1</v>
      </c>
    </row>
    <row r="46325" ht="15.75" customHeight="1" spans="1:2">
      <c r="A46325" s="3" t="str">
        <f>IFERROR(__xludf.DUMMYFUNCTION("GOOGLETRANSLATE(A46325,""en"",""pt"")"),"Relativamente barato para comprar")</f>
        <v>Relativamente barato para comprar</v>
      </c>
      <c r="B46325" s="3">
        <v>1</v>
      </c>
    </row>
    <row r="46326" ht="15.75" customHeight="1" spans="1:2">
      <c r="A46326" s="3" t="str">
        <f>IFERROR(__xludf.DUMMYFUNCTION("GOOGLETRANSLATE(A46326,""en"",""pt"")"),"NENHUM")</f>
        <v>NENHUM</v>
      </c>
      <c r="B46326" s="3">
        <v>1</v>
      </c>
    </row>
    <row r="46327" ht="15.75" customHeight="1" spans="1:2">
      <c r="A46327" s="3" t="str">
        <f>IFERROR(__xludf.DUMMYFUNCTION("GOOGLETRANSLATE(A46327,""en"",""pt"")"),"barato e pequeno, fax a cores")</f>
        <v>barato e pequeno, fax a cores</v>
      </c>
      <c r="B46327" s="3">
        <v>1</v>
      </c>
    </row>
    <row r="46328" ht="15.75" customHeight="1" spans="1:2">
      <c r="A46328" s="3" t="str">
        <f>IFERROR(__xludf.DUMMYFUNCTION("GOOGLETRANSLATE(A46328,""en"",""pt"")"),"Fax é agradável e limpo")</f>
        <v>Fax é agradável e limpo</v>
      </c>
      <c r="B46328" s="3">
        <v>1</v>
      </c>
    </row>
    <row r="46329" ht="15.75" customHeight="1" spans="1:2">
      <c r="A46329" s="3" t="str">
        <f>IFERROR(__xludf.DUMMYFUNCTION("GOOGLETRANSLATE(A46329,""en"",""pt"")"),"Qualidade de impressão, facilidade de instalação &amp; amp; amp; Use, preço, tamanho")</f>
        <v>Qualidade de impressão, facilidade de instalação &amp; amp; amp; Use, preço, tamanho</v>
      </c>
      <c r="B46329" s="3">
        <v>1</v>
      </c>
    </row>
    <row r="46330" ht="15.75" customHeight="1" spans="1:2">
      <c r="A46330" s="3" t="str">
        <f>IFERROR(__xludf.DUMMYFUNCTION("GOOGLETRANSLATE(A46330,""en"",""pt"")"),"muito versátil")</f>
        <v>muito versátil</v>
      </c>
      <c r="B46330" s="3">
        <v>1</v>
      </c>
    </row>
    <row r="46331" ht="15.75" customHeight="1" spans="1:2">
      <c r="A46331" s="3" t="str">
        <f>IFERROR(__xludf.DUMMYFUNCTION("GOOGLETRANSLATE(A46331,""en"",""pt"")"),"Custo eficiente, confiável, de grande qualidade.")</f>
        <v>Custo eficiente, confiável, de grande qualidade.</v>
      </c>
      <c r="B46331" s="3">
        <v>1</v>
      </c>
    </row>
    <row r="46332" ht="15.75" customHeight="1" spans="1:2">
      <c r="A46332" s="3" t="str">
        <f>IFERROR(__xludf.DUMMYFUNCTION("GOOGLETRANSLATE(A46332,""en"",""pt"")"),"multi-funcional")</f>
        <v>multi-funcional</v>
      </c>
      <c r="B46332" s="3">
        <v>1</v>
      </c>
    </row>
    <row r="46333" ht="15.75" customHeight="1" spans="1:2">
      <c r="A46333" s="3" t="str">
        <f>IFERROR(__xludf.DUMMYFUNCTION("GOOGLETRANSLATE(A46333,""en"",""pt"")"),"ele pode enviar por fax, imprimir e copiar")</f>
        <v>ele pode enviar por fax, imprimir e copiar</v>
      </c>
      <c r="B46333" s="3">
        <v>1</v>
      </c>
    </row>
    <row r="46334" ht="15.75" customHeight="1" spans="1:2">
      <c r="A46334" s="3" t="str">
        <f>IFERROR(__xludf.DUMMYFUNCTION("GOOGLETRANSLATE(A46334,""en"",""pt"")"),"Economiza espaço Desk.")</f>
        <v>Economiza espaço Desk.</v>
      </c>
      <c r="B46334" s="3">
        <v>1</v>
      </c>
    </row>
    <row r="46335" ht="15.75" customHeight="1" spans="1:2">
      <c r="A46335" s="3" t="str">
        <f>IFERROR(__xludf.DUMMYFUNCTION("GOOGLETRANSLATE(A46335,""en"",""pt"")"),"Confiável, bastante fácil de usar.")</f>
        <v>Confiável, bastante fácil de usar.</v>
      </c>
      <c r="B46335" s="3">
        <v>1</v>
      </c>
    </row>
    <row r="46336" ht="15.75" customHeight="1" spans="1:2">
      <c r="A46336" s="3" t="str">
        <f>IFERROR(__xludf.DUMMYFUNCTION("GOOGLETRANSLATE(A46336,""en"",""pt"")"),"AS FOTOS COR são realmente clara e verdadeira!")</f>
        <v>AS FOTOS COR são realmente clara e verdadeira!</v>
      </c>
      <c r="B46336" s="3">
        <v>1</v>
      </c>
    </row>
    <row r="46337" ht="15.75" customHeight="1" spans="1:2">
      <c r="A46337" s="3" t="str">
        <f>IFERROR(__xludf.DUMMYFUNCTION("GOOGLETRANSLATE(A46337,""en"",""pt"")"),"protetor de espaço")</f>
        <v>protetor de espaço</v>
      </c>
      <c r="B46337" s="3">
        <v>1</v>
      </c>
    </row>
    <row r="46338" ht="15.75" customHeight="1" spans="1:2">
      <c r="A46338" s="3" t="str">
        <f>IFERROR(__xludf.DUMMYFUNCTION("GOOGLETRANSLATE(A46338,""en"",""pt"")"),"IMPRESSORA ECONÔMICO BOM PARA PEQUENA escritório ou em casa")</f>
        <v>IMPRESSORA ECONÔMICO BOM PARA PEQUENA escritório ou em casa</v>
      </c>
      <c r="B46338" s="3">
        <v>1</v>
      </c>
    </row>
    <row r="46339" ht="15.75" customHeight="1" spans="1:2">
      <c r="A46339" s="3" t="str">
        <f>IFERROR(__xludf.DUMMYFUNCTION("GOOGLETRANSLATE(A46339,""en"",""pt"")"),"Muitos recursos para a faixa de preço.")</f>
        <v>Muitos recursos para a faixa de preço.</v>
      </c>
      <c r="B46339" s="3">
        <v>1</v>
      </c>
    </row>
    <row r="46340" ht="15.75" customHeight="1" spans="1:2">
      <c r="A46340" s="3" t="str">
        <f>IFERROR(__xludf.DUMMYFUNCTION("GOOGLETRANSLATE(A46340,""en"",""pt"")"),"boa qualidade &amp; amp; numerosos capabiities.")</f>
        <v>boa qualidade &amp; amp; numerosos capabiities.</v>
      </c>
      <c r="B46340" s="3">
        <v>1</v>
      </c>
    </row>
    <row r="46341" ht="15.75" customHeight="1" spans="1:2">
      <c r="A46341" s="3" t="str">
        <f>IFERROR(__xludf.DUMMYFUNCTION("GOOGLETRANSLATE(A46341,""en"",""pt"")"),"O recurso de fax, e recurso de digitalização")</f>
        <v>O recurso de fax, e recurso de digitalização</v>
      </c>
      <c r="B46341" s="3">
        <v>1</v>
      </c>
    </row>
    <row r="46342" ht="15.75" customHeight="1" spans="1:2">
      <c r="A46342" s="3" t="str">
        <f>IFERROR(__xludf.DUMMYFUNCTION("GOOGLETRANSLATE(A46342,""en"",""pt"")"),"Facilidade de uso para todas as idades; adequado para casa ou escritório")</f>
        <v>Facilidade de uso para todas as idades; adequado para casa ou escritório</v>
      </c>
      <c r="B46342" s="3">
        <v>1</v>
      </c>
    </row>
    <row r="46343" ht="15.75" customHeight="1" spans="1:2">
      <c r="A46343" s="3" t="str">
        <f>IFERROR(__xludf.DUMMYFUNCTION("GOOGLETRANSLATE(A46343,""en"",""pt"")"),"sem problemas, apenas funciona bem")</f>
        <v>sem problemas, apenas funciona bem</v>
      </c>
      <c r="B46343" s="3">
        <v>1</v>
      </c>
    </row>
    <row r="46344" ht="15.75" customHeight="1" spans="1:2">
      <c r="A46344" s="3" t="str">
        <f>IFERROR(__xludf.DUMMYFUNCTION("GOOGLETRANSLATE(A46344,""en"",""pt"")"),"Barato, com uma enorme versatilidade e qualidade HP")</f>
        <v>Barato, com uma enorme versatilidade e qualidade HP</v>
      </c>
      <c r="B46344" s="3">
        <v>1</v>
      </c>
    </row>
    <row r="46345" ht="15.75" customHeight="1" spans="1:2">
      <c r="A46345" s="3" t="str">
        <f>IFERROR(__xludf.DUMMYFUNCTION("GOOGLETRANSLATE(A46345,""en"",""pt"")"),"Fácil de usar e impressões de boa qualidade.")</f>
        <v>Fácil de usar e impressões de boa qualidade.</v>
      </c>
      <c r="B46345" s="3">
        <v>1</v>
      </c>
    </row>
    <row r="46346" ht="15.75" customHeight="1" spans="1:2">
      <c r="A46346" s="3" t="str">
        <f>IFERROR(__xludf.DUMMYFUNCTION("GOOGLETRANSLATE(A46346,""en"",""pt"")"),"compacto, elegante e fácil de usar")</f>
        <v>compacto, elegante e fácil de usar</v>
      </c>
      <c r="B46346" s="3">
        <v>1</v>
      </c>
    </row>
    <row r="46347" ht="15.75" customHeight="1" spans="1:2">
      <c r="A46347" s="3" t="str">
        <f>IFERROR(__xludf.DUMMYFUNCTION("GOOGLETRANSLATE(A46347,""en"",""pt"")"),"Parece elegante, e oferece multifunctions a um muito bom preço.")</f>
        <v>Parece elegante, e oferece multifunctions a um muito bom preço.</v>
      </c>
      <c r="B46347" s="3">
        <v>1</v>
      </c>
    </row>
    <row r="46348" ht="15.75" customHeight="1" spans="1:2">
      <c r="A46348" s="3" t="str">
        <f>IFERROR(__xludf.DUMMYFUNCTION("GOOGLETRANSLATE(A46348,""en"",""pt"")"),"IMPRESSORA ECONÔMICO BOM PARA PEQUENA offie ou casa")</f>
        <v>IMPRESSORA ECONÔMICO BOM PARA PEQUENA offie ou casa</v>
      </c>
      <c r="B46348" s="3">
        <v>1</v>
      </c>
    </row>
    <row r="46349" ht="15.75" customHeight="1" spans="1:2">
      <c r="A46349" s="3" t="str">
        <f>IFERROR(__xludf.DUMMYFUNCTION("GOOGLETRANSLATE(A46349,""en"",""pt"")"),"Fax funciona muito bem.")</f>
        <v>Fax funciona muito bem.</v>
      </c>
      <c r="B46349" s="3">
        <v>1</v>
      </c>
    </row>
    <row r="46350" ht="15.75" customHeight="1" spans="1:2">
      <c r="A46350" s="3" t="str">
        <f>IFERROR(__xludf.DUMMYFUNCTION("GOOGLETRANSLATE(A46350,""en"",""pt"")"),"barato e pequeno, fax a cores")</f>
        <v>barato e pequeno, fax a cores</v>
      </c>
      <c r="B46350" s="3">
        <v>1</v>
      </c>
    </row>
    <row r="46351" ht="15.75" customHeight="1" spans="1:2">
      <c r="A46351" s="3" t="str">
        <f>IFERROR(__xludf.DUMMYFUNCTION("GOOGLETRANSLATE(A46351,""en"",""pt"")"),"Fácil de usar")</f>
        <v>Fácil de usar</v>
      </c>
      <c r="B46351" s="3">
        <v>1</v>
      </c>
    </row>
    <row r="46352" ht="15.75" customHeight="1" spans="1:2">
      <c r="A46352" s="3" t="str">
        <f>IFERROR(__xludf.DUMMYFUNCTION("GOOGLETRANSLATE(A46352,""en"",""pt"")"),"Funciona bem, tem um monte de opções")</f>
        <v>Funciona bem, tem um monte de opções</v>
      </c>
      <c r="B46352" s="3">
        <v>1</v>
      </c>
    </row>
    <row r="46353" ht="15.75" customHeight="1" spans="1:2">
      <c r="A46353" s="3" t="str">
        <f>IFERROR(__xludf.DUMMYFUNCTION("GOOGLETRANSLATE(A46353,""en"",""pt"")"),"fácil acesso ao importante trabalho sendo feito")</f>
        <v>fácil acesso ao importante trabalho sendo feito</v>
      </c>
      <c r="B46353" s="3">
        <v>1</v>
      </c>
    </row>
    <row r="46354" ht="15.75" customHeight="1" spans="1:2">
      <c r="A46354" s="3" t="str">
        <f>IFERROR(__xludf.DUMMYFUNCTION("GOOGLETRANSLATE(A46354,""en"",""pt"")"),"trabalha metade do tempo")</f>
        <v>trabalha metade do tempo</v>
      </c>
      <c r="B46354" s="3">
        <v>1</v>
      </c>
    </row>
    <row r="46355" ht="15.75" customHeight="1" spans="1:2">
      <c r="A46355" s="3" t="str">
        <f>IFERROR(__xludf.DUMMYFUNCTION("GOOGLETRANSLATE(A46355,""en"",""pt"")"),"Características, tamanho")</f>
        <v>Características, tamanho</v>
      </c>
      <c r="B46355" s="3">
        <v>1</v>
      </c>
    </row>
    <row r="46356" ht="15.75" customHeight="1" spans="1:2">
      <c r="A46356" s="3" t="str">
        <f>IFERROR(__xludf.DUMMYFUNCTION("GOOGLETRANSLATE(A46356,""en"",""pt"")"),"comprado a um preço excelente, fácil de usar, conveniente")</f>
        <v>comprado a um preço excelente, fácil de usar, conveniente</v>
      </c>
      <c r="B46356" s="3">
        <v>1</v>
      </c>
    </row>
    <row r="46357" ht="15.75" customHeight="1" spans="1:2">
      <c r="A46357" s="3" t="str">
        <f>IFERROR(__xludf.DUMMYFUNCTION("GOOGLETRANSLATE(A46357,""en"",""pt"")"),"Usos múltiplos - fax, copiadora, impressora a cores")</f>
        <v>Usos múltiplos - fax, copiadora, impressora a cores</v>
      </c>
      <c r="B46357" s="3">
        <v>1</v>
      </c>
    </row>
    <row r="46358" ht="15.75" customHeight="1" spans="1:2">
      <c r="A46358" s="3" t="str">
        <f>IFERROR(__xludf.DUMMYFUNCTION("GOOGLETRANSLATE(A46358,""en"",""pt"")"),"Convienient, parece ser bom,")</f>
        <v>Convienient, parece ser bom,</v>
      </c>
      <c r="B46358" s="3">
        <v>1</v>
      </c>
    </row>
    <row r="46359" ht="15.75" customHeight="1" spans="1:2">
      <c r="A46359" s="3" t="str">
        <f>IFERROR(__xludf.DUMMYFUNCTION("GOOGLETRANSLATE(A46359,""en"",""pt"")"),"Barato, ainda funciona independentemente dos meus abusos")</f>
        <v>Barato, ainda funciona independentemente dos meus abusos</v>
      </c>
      <c r="B46359" s="3">
        <v>1</v>
      </c>
    </row>
    <row r="46360" ht="15.75" customHeight="1" spans="1:2">
      <c r="A46360" s="3" t="str">
        <f>IFERROR(__xludf.DUMMYFUNCTION("GOOGLETRANSLATE(A46360,""en"",""pt"")"),"barato e pequeno, fax a cores")</f>
        <v>barato e pequeno, fax a cores</v>
      </c>
      <c r="B46360" s="3">
        <v>1</v>
      </c>
    </row>
    <row r="46361" ht="15.75" customHeight="1" spans="1:2">
      <c r="A46361" s="3" t="str">
        <f>IFERROR(__xludf.DUMMYFUNCTION("GOOGLETRANSLATE(A46361,""en"",""pt"")"),"boa cor, durável, fácil de usar")</f>
        <v>boa cor, durável, fácil de usar</v>
      </c>
      <c r="B46361" s="3">
        <v>1</v>
      </c>
    </row>
    <row r="46362" ht="15.75" customHeight="1" spans="1:2">
      <c r="A46362" s="3" t="str">
        <f>IFERROR(__xludf.DUMMYFUNCTION("GOOGLETRANSLATE(A46362,""en"",""pt"")"),"facilidade de uso, opções e aplicações incluídas digitalização, tamanho")</f>
        <v>facilidade de uso, opções e aplicações incluídas digitalização, tamanho</v>
      </c>
      <c r="B46362" s="3">
        <v>1</v>
      </c>
    </row>
    <row r="46363" ht="15.75" customHeight="1" spans="1:2">
      <c r="A46363" s="3" t="str">
        <f>IFERROR(__xludf.DUMMYFUNCTION("GOOGLETRANSLATE(A46363,""en"",""pt"")"),"parece bom e tem boa qualidade de impressão")</f>
        <v>parece bom e tem boa qualidade de impressão</v>
      </c>
      <c r="B46363" s="3">
        <v>1</v>
      </c>
    </row>
    <row r="46364" ht="15.75" customHeight="1" spans="1:2">
      <c r="A46364" s="3" t="str">
        <f>IFERROR(__xludf.DUMMYFUNCTION("GOOGLETRANSLATE(A46364,""en"",""pt"")"),"Boa todo luz máquina dever")</f>
        <v>Boa todo luz máquina dever</v>
      </c>
      <c r="B46364" s="3">
        <v>1</v>
      </c>
    </row>
    <row r="46365" ht="15.75" customHeight="1" spans="1:2">
      <c r="A46365" s="3" t="str">
        <f>IFERROR(__xludf.DUMMYFUNCTION("GOOGLETRANSLATE(A46365,""en"",""pt"")"),"software simples, grande reprodução de cor barato")</f>
        <v>software simples, grande reprodução de cor barato</v>
      </c>
      <c r="B46365" s="3">
        <v>1</v>
      </c>
    </row>
    <row r="46366" ht="15.75" customHeight="1" spans="1:2">
      <c r="A46366" s="3" t="s">
        <v>224</v>
      </c>
      <c r="B46366" s="3">
        <v>1</v>
      </c>
    </row>
    <row r="46367" ht="15.75" customHeight="1" spans="1:2">
      <c r="A46367" s="3" t="str">
        <f>IFERROR(__xludf.DUMMYFUNCTION("GOOGLETRANSLATE(A46367,""en"",""pt"")"),"qualidade decente, bom para uso doméstico como um tudo-em-uma máquina")</f>
        <v>qualidade decente, bom para uso doméstico como um tudo-em-uma máquina</v>
      </c>
      <c r="B46367" s="3">
        <v>1</v>
      </c>
    </row>
    <row r="46368" ht="15.75" customHeight="1" spans="1:2">
      <c r="A46368" s="3" t="str">
        <f>IFERROR(__xludf.DUMMYFUNCTION("GOOGLETRANSLATE(A46368,""en"",""pt"")"),"Grande qualidade All in One mais ele vai copiar, fax, e tamanho documentos legais de digitalização.")</f>
        <v>Grande qualidade All in One mais ele vai copiar, fax, e tamanho documentos legais de digitalização.</v>
      </c>
      <c r="B46368" s="3">
        <v>1</v>
      </c>
    </row>
    <row r="46369" ht="15.75" customHeight="1" spans="1:2">
      <c r="A46369" s="3" t="str">
        <f>IFERROR(__xludf.DUMMYFUNCTION("GOOGLETRANSLATE(A46369,""en"",""pt"")"),"Grande facilidade de uso com a caminhada até fax e como digitalização cópia machine.Fast.")</f>
        <v>Grande facilidade de uso com a caminhada até fax e como digitalização cópia machine.Fast.</v>
      </c>
      <c r="B46369" s="3">
        <v>1</v>
      </c>
    </row>
    <row r="46370" ht="15.75" customHeight="1" spans="1:2">
      <c r="A46370" s="3" t="str">
        <f>IFERROR(__xludf.DUMMYFUNCTION("GOOGLETRANSLATE(A46370,""en"",""pt"")"),"Faz tudo, grande qualidade de impressão")</f>
        <v>Faz tudo, grande qualidade de impressão</v>
      </c>
      <c r="B46370" s="3">
        <v>1</v>
      </c>
    </row>
    <row r="46371" ht="15.75" customHeight="1" spans="1:2">
      <c r="A46371" s="3" t="str">
        <f>IFERROR(__xludf.DUMMYFUNCTION("GOOGLETRANSLATE(A46371,""en"",""pt"")"),"Rápido e boa qualidade de impressão. Boa manuseio de papel.")</f>
        <v>Rápido e boa qualidade de impressão. Boa manuseio de papel.</v>
      </c>
      <c r="B46371" s="3">
        <v>1</v>
      </c>
    </row>
    <row r="46372" ht="15.75" customHeight="1" spans="1:2">
      <c r="A46372" s="3" t="str">
        <f>IFERROR(__xludf.DUMMYFUNCTION("GOOGLETRANSLATE(A46372,""en"",""pt"")"),"Qualidade de impressão")</f>
        <v>Qualidade de impressão</v>
      </c>
      <c r="B46372" s="3">
        <v>1</v>
      </c>
    </row>
    <row r="46373" ht="15.75" customHeight="1" spans="1:2">
      <c r="A46373" s="3" t="str">
        <f>IFERROR(__xludf.DUMMYFUNCTION("GOOGLETRANSLATE(A46373,""en"",""pt"")"),"Fácil deve ligar / instalar ,, fácil de usar, de alta qualidade de impressão, digitalização e cópias")</f>
        <v>Fácil deve ligar / instalar ,, fácil de usar, de alta qualidade de impressão, digitalização e cópias</v>
      </c>
      <c r="B46373" s="3">
        <v>1</v>
      </c>
    </row>
    <row r="46374" ht="15.75" customHeight="1" spans="1:2">
      <c r="A46374" s="3" t="str">
        <f>IFERROR(__xludf.DUMMYFUNCTION("GOOGLETRANSLATE(A46374,""en"",""pt"")"),"Imprimir qualidade, facilidade de uso, a vida do cartucho de tinta, capacidade de papel tamanho ofício.")</f>
        <v>Imprimir qualidade, facilidade de uso, a vida do cartucho de tinta, capacidade de papel tamanho ofício.</v>
      </c>
      <c r="B46374" s="3">
        <v>1</v>
      </c>
    </row>
    <row r="46375" ht="15.75" customHeight="1" spans="1:2">
      <c r="A46375" s="3" t="str">
        <f>IFERROR(__xludf.DUMMYFUNCTION("GOOGLETRANSLATE(A46375,""en"",""pt"")"),"Boa qualidade de impressão.")</f>
        <v>Boa qualidade de impressão.</v>
      </c>
      <c r="B46375" s="3">
        <v>1</v>
      </c>
    </row>
    <row r="46376" ht="15.75" customHeight="1" spans="1:2">
      <c r="A46376" s="3" t="s">
        <v>225</v>
      </c>
      <c r="B46376" s="3">
        <v>1</v>
      </c>
    </row>
    <row r="46377" ht="15.75" customHeight="1" spans="1:2">
      <c r="A46377" s="3" t="str">
        <f>IFERROR(__xludf.DUMMYFUNCTION("GOOGLETRANSLATE(A46377,""en"",""pt"")"),"Excelentes características e disposição física.")</f>
        <v>Excelentes características e disposição física.</v>
      </c>
      <c r="B46377" s="3">
        <v>1</v>
      </c>
    </row>
    <row r="46378" ht="15.75" customHeight="1" spans="1:2">
      <c r="A46378" s="3" t="str">
        <f>IFERROR(__xludf.DUMMYFUNCTION("GOOGLETRANSLATE(A46378,""en"",""pt"")"),"UAU!!! Isso faz de tudo e bem. I liberado cerca de 3 sq.ft. de espaço no balcão.")</f>
        <v>UAU!!! Isso faz de tudo e bem. I liberado cerca de 3 sq.ft. de espaço no balcão.</v>
      </c>
      <c r="B46378" s="3">
        <v>1</v>
      </c>
    </row>
    <row r="46379" ht="15.75" customHeight="1" spans="1:2">
      <c r="A46379" s="3" t="str">
        <f>IFERROR(__xludf.DUMMYFUNCTION("GOOGLETRANSLATE(A46379,""en"",""pt"")"),"Grande impressão para uma multifuncional. Leitor de cartão. Fotocopiadora. software photo")</f>
        <v>Grande impressão para uma multifuncional. Leitor de cartão. Fotocopiadora. software photo</v>
      </c>
      <c r="B46379" s="3">
        <v>1</v>
      </c>
    </row>
    <row r="46380" ht="15.75" customHeight="1" spans="1:2">
      <c r="A46380" s="3" t="str">
        <f>IFERROR(__xludf.DUMMYFUNCTION("GOOGLETRANSLATE(A46380,""en"",""pt"")"),"Substituído 3 máquinas. Boa qualidade de impressão. Grande Scanner. ADF incluído")</f>
        <v>Substituído 3 máquinas. Boa qualidade de impressão. Grande Scanner. ADF incluído</v>
      </c>
      <c r="B46380" s="3">
        <v>1</v>
      </c>
    </row>
    <row r="46381" ht="15.75" customHeight="1" spans="1:2">
      <c r="A46381" s="3" t="str">
        <f>IFERROR(__xludf.DUMMYFUNCTION("GOOGLETRANSLATE(A46381,""en"",""pt"")"),"Foto fantástica impressão ao usar prémio papel brilhante. máquina confiável.")</f>
        <v>Foto fantástica impressão ao usar prémio papel brilhante. máquina confiável.</v>
      </c>
      <c r="B46381" s="3">
        <v>1</v>
      </c>
    </row>
    <row r="46382" ht="15.75" customHeight="1" spans="1:2">
      <c r="A46382" s="3" t="str">
        <f>IFERROR(__xludf.DUMMYFUNCTION("GOOGLETRANSLATE(A46382,""en"",""pt"")"),"impressão rápida, ótimas fotos, bons serviços públicos, de fácil instalação")</f>
        <v>impressão rápida, ótimas fotos, bons serviços públicos, de fácil instalação</v>
      </c>
      <c r="B46382" s="3">
        <v>1</v>
      </c>
    </row>
    <row r="46383" ht="15.75" customHeight="1" spans="1:2">
      <c r="A46383" s="3" t="str">
        <f>IFERROR(__xludf.DUMMYFUNCTION("GOOGLETRANSLATE(A46383,""en"",""pt"")"),"UMA MÁQUINA DE VOCÊ se apaixonar")</f>
        <v>UMA MÁQUINA DE VOCÊ se apaixonar</v>
      </c>
      <c r="B46383" s="3">
        <v>1</v>
      </c>
    </row>
    <row r="46384" ht="15.75" customHeight="1" spans="1:2">
      <c r="A46384" s="3" t="str">
        <f>IFERROR(__xludf.DUMMYFUNCTION("GOOGLETRANSLATE(A46384,""en"",""pt"")"),"Excelente qualidade de impressão, fax e digitalização.")</f>
        <v>Excelente qualidade de impressão, fax e digitalização.</v>
      </c>
      <c r="B46384" s="3">
        <v>1</v>
      </c>
    </row>
    <row r="46385" ht="15.75" customHeight="1" spans="1:2">
      <c r="A46385" s="3" t="str">
        <f>IFERROR(__xludf.DUMMYFUNCTION("GOOGLETRANSLATE(A46385,""en"",""pt"")"),"Muito eficaz, grandes recursos especiais de cópia, belas impressões.")</f>
        <v>Muito eficaz, grandes recursos especiais de cópia, belas impressões.</v>
      </c>
      <c r="B46385" s="3">
        <v>1</v>
      </c>
    </row>
    <row r="46386" ht="15.75" customHeight="1" spans="1:2">
      <c r="A46386" s="3" t="str">
        <f>IFERROR(__xludf.DUMMYFUNCTION("GOOGLETRANSLATE(A46386,""en"",""pt"")"),"Tudo em um. Fax, Cópia, Impressora. O que mais há a dizer")</f>
        <v>Tudo em um. Fax, Cópia, Impressora. O que mais há a dizer</v>
      </c>
      <c r="B46386" s="3">
        <v>1</v>
      </c>
    </row>
    <row r="46387" ht="15.75" customHeight="1" spans="1:2">
      <c r="A46387" s="3" t="str">
        <f>IFERROR(__xludf.DUMMYFUNCTION("GOOGLETRANSLATE(A46387,""en"",""pt"")"),"boa qualidade de saída")</f>
        <v>boa qualidade de saída</v>
      </c>
      <c r="B46387" s="3">
        <v>1</v>
      </c>
    </row>
    <row r="46388" ht="15.75" customHeight="1" spans="1:2">
      <c r="A46388" s="3" t="str">
        <f>IFERROR(__xludf.DUMMYFUNCTION("GOOGLETRANSLATE(A46388,""en"",""pt"")"),"Boa impressão de fotos e documentos no seu computador")</f>
        <v>Boa impressão de fotos e documentos no seu computador</v>
      </c>
      <c r="B46388" s="3">
        <v>1</v>
      </c>
    </row>
    <row r="46389" ht="15.75" customHeight="1" spans="1:2">
      <c r="A46389" s="3" t="str">
        <f>IFERROR(__xludf.DUMMYFUNCTION("GOOGLETRANSLATE(A46389,""en"",""pt"")"),"Muito confiável, fácil de usar, bem geral em todas as funções")</f>
        <v>Muito confiável, fácil de usar, bem geral em todas as funções</v>
      </c>
      <c r="B46389" s="3">
        <v>1</v>
      </c>
    </row>
    <row r="46390" ht="15.75" customHeight="1" spans="1:2">
      <c r="A46390" s="3" t="str">
        <f>IFERROR(__xludf.DUMMYFUNCTION("GOOGLETRANSLATE(A46390,""en"",""pt"")"),"Bom para digitalizar para Acrobat.")</f>
        <v>Bom para digitalizar para Acrobat.</v>
      </c>
      <c r="B46390" s="3">
        <v>1</v>
      </c>
    </row>
    <row r="46391" ht="15.75" customHeight="1" spans="1:2">
      <c r="A46391" s="3" t="str">
        <f>IFERROR(__xludf.DUMMYFUNCTION("GOOGLETRANSLATE(A46391,""en"",""pt"")"),"Grande qualidade de impressão, boa cor, fácil de usar")</f>
        <v>Grande qualidade de impressão, boa cor, fácil de usar</v>
      </c>
      <c r="B46391" s="3">
        <v>1</v>
      </c>
    </row>
    <row r="46392" ht="15.75" customHeight="1" spans="1:2">
      <c r="A46392" s="3" t="str">
        <f>IFERROR(__xludf.DUMMYFUNCTION("GOOGLETRANSLATE(A46392,""en"",""pt"")"),"Parece muito bom e idéia de all-in-one é excelente.")</f>
        <v>Parece muito bom e idéia de all-in-one é excelente.</v>
      </c>
      <c r="B46392" s="3">
        <v>1</v>
      </c>
    </row>
    <row r="46393" ht="15.75" customHeight="1" spans="1:2">
      <c r="A46393" s="3" t="str">
        <f>IFERROR(__xludf.DUMMYFUNCTION("GOOGLETRANSLATE(A46393,""en"",""pt"")"),"grandes Opções")</f>
        <v>grandes Opções</v>
      </c>
      <c r="B46393" s="3">
        <v>1</v>
      </c>
    </row>
    <row r="46394" ht="15.75" customHeight="1" spans="1:2">
      <c r="A46394" s="3" t="str">
        <f>IFERROR(__xludf.DUMMYFUNCTION("GOOGLETRANSLATE(A46394,""en"",""pt"")"),"qualidade HP, rápido e excelentes impressões, e fácil de usar.")</f>
        <v>qualidade HP, rápido e excelentes impressões, e fácil de usar.</v>
      </c>
      <c r="B46394" s="3">
        <v>1</v>
      </c>
    </row>
    <row r="46395" ht="15.75" customHeight="1" spans="1:2">
      <c r="A46395" s="3" t="s">
        <v>226</v>
      </c>
      <c r="B46395" s="3">
        <v>1</v>
      </c>
    </row>
    <row r="46396" ht="15.75" customHeight="1" spans="1:2">
      <c r="A46396" s="3" t="str">
        <f>IFERROR(__xludf.DUMMYFUNCTION("GOOGLETRANSLATE(A46396,""en"",""pt"")"),"Impressora boa qualidade jato de tinta e copiadora colorida")</f>
        <v>Impressora boa qualidade jato de tinta e copiadora colorida</v>
      </c>
      <c r="B46396" s="3">
        <v>1</v>
      </c>
    </row>
    <row r="46397" ht="15.75" customHeight="1" spans="1:2">
      <c r="A46397" s="3" t="str">
        <f>IFERROR(__xludf.DUMMYFUNCTION("GOOGLETRANSLATE(A46397,""en"",""pt"")"),"Excelente qualidade em quase todas as áreas")</f>
        <v>Excelente qualidade em quase todas as áreas</v>
      </c>
      <c r="B46397" s="3">
        <v>1</v>
      </c>
    </row>
    <row r="46398" ht="15.75" customHeight="1" spans="1:2">
      <c r="A46398" s="3" t="str">
        <f>IFERROR(__xludf.DUMMYFUNCTION("GOOGLETRANSLATE(A46398,""en"",""pt"")"),"Tudo")</f>
        <v>Tudo</v>
      </c>
      <c r="B46398" s="3">
        <v>1</v>
      </c>
    </row>
    <row r="46399" ht="15.75" customHeight="1" spans="1:2">
      <c r="A46399" s="3" t="str">
        <f>IFERROR(__xludf.DUMMYFUNCTION("GOOGLETRANSLATE(A46399,""en"",""pt"")"),"ferragens")</f>
        <v>ferragens</v>
      </c>
      <c r="B46399" s="3">
        <v>1</v>
      </c>
    </row>
    <row r="46400" ht="15.75" customHeight="1" spans="1:2">
      <c r="A46400" s="3" t="str">
        <f>IFERROR(__xludf.DUMMYFUNCTION("GOOGLETRANSLATE(A46400,""en"",""pt"")"),"Fácil de usar, rápido impressão e cópia, excelente qualidade de impressão.")</f>
        <v>Fácil de usar, rápido impressão e cópia, excelente qualidade de impressão.</v>
      </c>
      <c r="B46400" s="3">
        <v>1</v>
      </c>
    </row>
    <row r="46401" ht="15.75" customHeight="1" spans="1:2">
      <c r="A46401" s="3" t="str">
        <f>IFERROR(__xludf.DUMMYFUNCTION("GOOGLETRANSLATE(A46401,""en"",""pt"")"),"Good (intencional) multifuncionalidade em um único dispositivo. copiadora jato de tinta decente")</f>
        <v>Good (intencional) multifuncionalidade em um único dispositivo. copiadora jato de tinta decente</v>
      </c>
      <c r="B46401" s="3">
        <v>1</v>
      </c>
    </row>
    <row r="46402" ht="15.75" customHeight="1" spans="1:2">
      <c r="A46402" s="3" t="str">
        <f>IFERROR(__xludf.DUMMYFUNCTION("GOOGLETRANSLATE(A46402,""en"",""pt"")"),"Imprimir e qualidade de digitalização; integração")</f>
        <v>Imprimir e qualidade de digitalização; integração</v>
      </c>
      <c r="B46402" s="3">
        <v>1</v>
      </c>
    </row>
    <row r="46403" ht="15.75" customHeight="1" spans="1:2">
      <c r="A46403" s="3" t="str">
        <f>IFERROR(__xludf.DUMMYFUNCTION("GOOGLETRANSLATE(A46403,""en"",""pt"")"),"Grande digitalização, grande impressão, excelente cópia")</f>
        <v>Grande digitalização, grande impressão, excelente cópia</v>
      </c>
      <c r="B46403" s="3">
        <v>1</v>
      </c>
    </row>
    <row r="46404" ht="15.75" customHeight="1" spans="1:2">
      <c r="A46404" s="3" t="str">
        <f>IFERROR(__xludf.DUMMYFUNCTION("GOOGLETRANSLATE(A46404,""en"",""pt"")"),"imprimir qualidade, facilidade de uso")</f>
        <v>imprimir qualidade, facilidade de uso</v>
      </c>
      <c r="B46404" s="3">
        <v>1</v>
      </c>
    </row>
    <row r="46405" ht="15.75" customHeight="1" spans="1:2">
      <c r="A46405" s="3" t="str">
        <f>IFERROR(__xludf.DUMMYFUNCTION("GOOGLETRANSLATE(A46405,""en"",""pt"")"),"Claro e simples")</f>
        <v>Claro e simples</v>
      </c>
      <c r="B46405" s="3">
        <v>1</v>
      </c>
    </row>
    <row r="46406" ht="15.75" customHeight="1" spans="1:2">
      <c r="A46406" s="3" t="str">
        <f>IFERROR(__xludf.DUMMYFUNCTION("GOOGLETRANSLATE(A46406,""en"",""pt"")"),"Excelente valor para o dinheiro")</f>
        <v>Excelente valor para o dinheiro</v>
      </c>
      <c r="B46406" s="3">
        <v>1</v>
      </c>
    </row>
    <row r="46407" ht="15.75" customHeight="1" spans="1:2">
      <c r="A46407" s="3" t="str">
        <f>IFERROR(__xludf.DUMMYFUNCTION("GOOGLETRANSLATE(A46407,""en"",""pt"")"),"Simples de usar tudo-em-uma máquina, grande qualidade")</f>
        <v>Simples de usar tudo-em-uma máquina, grande qualidade</v>
      </c>
      <c r="B46407" s="3">
        <v>1</v>
      </c>
    </row>
    <row r="46408" ht="15.75" customHeight="1" spans="1:2">
      <c r="A46408" s="3" t="str">
        <f>IFERROR(__xludf.DUMMYFUNCTION("GOOGLETRANSLATE(A46408,""en"",""pt"")"),"características, velocidade, resolução, eficiência")</f>
        <v>características, velocidade, resolução, eficiência</v>
      </c>
      <c r="B46408" s="3">
        <v>1</v>
      </c>
    </row>
    <row r="46409" ht="15.75" customHeight="1" spans="1:2">
      <c r="A46409" s="3" t="str">
        <f>IFERROR(__xludf.DUMMYFUNCTION("GOOGLETRANSLATE(A46409,""en"",""pt"")"),"impressora, copiadora")</f>
        <v>impressora, copiadora</v>
      </c>
      <c r="B46409" s="3">
        <v>1</v>
      </c>
    </row>
    <row r="46410" ht="15.75" customHeight="1" spans="1:2">
      <c r="A46410" s="3" t="str">
        <f>IFERROR(__xludf.DUMMYFUNCTION("GOOGLETRANSLATE(A46410,""en"",""pt"")"),"ferragens")</f>
        <v>ferragens</v>
      </c>
      <c r="B46410" s="3">
        <v>1</v>
      </c>
    </row>
    <row r="46411" ht="15.75" customHeight="1" spans="1:2">
      <c r="A46411" s="3" t="str">
        <f>IFERROR(__xludf.DUMMYFUNCTION("GOOGLETRANSLATE(A46411,""en"",""pt"")"),"Menos caro do que comprar todas as funções separadamente")</f>
        <v>Menos caro do que comprar todas as funções separadamente</v>
      </c>
      <c r="B46411" s="3">
        <v>1</v>
      </c>
    </row>
    <row r="46412" ht="15.75" customHeight="1" spans="1:2">
      <c r="A46412" s="3" t="str">
        <f>IFERROR(__xludf.DUMMYFUNCTION("GOOGLETRANSLATE(A46412,""en"",""pt"")"),"Cor Cópia de qualidade e opções de &amp; amp; # 13; &amp; amp; # 10; &amp; amp qualidade de impressão a cores; # 13; &amp; amp; # 10;")</f>
        <v>Cor Cópia de qualidade e opções de &amp; amp; # 13; &amp; amp; # 10; &amp; amp qualidade de impressão a cores; # 13; &amp; amp; # 10;</v>
      </c>
      <c r="B46412" s="3">
        <v>1</v>
      </c>
    </row>
    <row r="46413" ht="15.75" customHeight="1" spans="1:2">
      <c r="A46413" s="3" t="str">
        <f>IFERROR(__xludf.DUMMYFUNCTION("GOOGLETRANSLATE(A46413,""en"",""pt"")"),"bom preço, grande qualidade de cópia e impressão")</f>
        <v>bom preço, grande qualidade de cópia e impressão</v>
      </c>
      <c r="B46413" s="3">
        <v>1</v>
      </c>
    </row>
    <row r="46414" ht="15.75" customHeight="1" spans="1:2">
      <c r="A46414" s="3" t="str">
        <f>IFERROR(__xludf.DUMMYFUNCTION("GOOGLETRANSLATE(A46414,""en"",""pt"")"),"Excelente qualidade e resolução &amp; amp; # 13; &amp; amp; # 10; Fácil de operar &amp; amp; # 13; &amp; amp; # 10; Grande apoio / termos de garantia &amp; amp; # 13; &amp; amp; # 10;")</f>
        <v>Excelente qualidade e resolução &amp; amp; # 13; &amp; amp; # 10; Fácil de operar &amp; amp; # 13; &amp; amp; # 10; Grande apoio / termos de garantia &amp; amp; # 13; &amp; amp; # 10;</v>
      </c>
      <c r="B46414" s="3">
        <v>1</v>
      </c>
    </row>
    <row r="46415" ht="15.75" customHeight="1" spans="1:2">
      <c r="A46415" s="3" t="str">
        <f>IFERROR(__xludf.DUMMYFUNCTION("GOOGLETRANSLATE(A46415,""en"",""pt"")"),"3 em 1")</f>
        <v>3 em 1</v>
      </c>
      <c r="B46415" s="3">
        <v>1</v>
      </c>
    </row>
    <row r="46416" ht="15.75" customHeight="1" spans="1:2">
      <c r="A46416" s="3" t="str">
        <f>IFERROR(__xludf.DUMMYFUNCTION("GOOGLETRANSLATE(A46416,""en"",""pt"")"),"Qualidade das digitalizações, cópias e cópias são grandes.")</f>
        <v>Qualidade das digitalizações, cópias e cópias são grandes.</v>
      </c>
      <c r="B46416" s="3">
        <v>1</v>
      </c>
    </row>
    <row r="46417" ht="15.75" customHeight="1" spans="1:2">
      <c r="A46417" s="3" t="str">
        <f>IFERROR(__xludf.DUMMYFUNCTION("GOOGLETRANSLATE(A46417,""en"",""pt"")"),"Grande qualidade de impressão, cheio de recursos, confiável, fácil de usar")</f>
        <v>Grande qualidade de impressão, cheio de recursos, confiável, fácil de usar</v>
      </c>
      <c r="B46417" s="3">
        <v>1</v>
      </c>
    </row>
    <row r="46418" ht="15.75" customHeight="1" spans="1:2">
      <c r="A46418" s="3" t="str">
        <f>IFERROR(__xludf.DUMMYFUNCTION("GOOGLETRANSLATE(A46418,""en"",""pt"")"),"Quatro funções de alta qualidade em uma unidade. Excelentes cópias de qualidade.")</f>
        <v>Quatro funções de alta qualidade em uma unidade. Excelentes cópias de qualidade.</v>
      </c>
      <c r="B46418" s="3">
        <v>1</v>
      </c>
    </row>
    <row r="46419" ht="15.75" customHeight="1" spans="1:2">
      <c r="A46419" s="3" t="str">
        <f>IFERROR(__xludf.DUMMYFUNCTION("GOOGLETRANSLATE(A46419,""en"",""pt"")"),"saída de boa qualidade")</f>
        <v>saída de boa qualidade</v>
      </c>
      <c r="B46419" s="3">
        <v>1</v>
      </c>
    </row>
    <row r="46420" ht="15.75" customHeight="1" spans="1:2">
      <c r="A46420" s="3" t="str">
        <f>IFERROR(__xludf.DUMMYFUNCTION("GOOGLETRANSLATE(A46420,""en"",""pt"")"),"Set é facilmente, parece ok - é isso.")</f>
        <v>Set é facilmente, parece ok - é isso.</v>
      </c>
      <c r="B46420" s="3">
        <v>1</v>
      </c>
    </row>
    <row r="46421" ht="15.75" customHeight="1" spans="1:2">
      <c r="A46421" s="3" t="str">
        <f>IFERROR(__xludf.DUMMYFUNCTION("GOOGLETRANSLATE(A46421,""en"",""pt"")"),"velocidade de impressão alta, fácil de instalar, pode imprimir durante a digitalização ou receber fax")</f>
        <v>velocidade de impressão alta, fácil de instalar, pode imprimir durante a digitalização ou receber fax</v>
      </c>
      <c r="B46421" s="3">
        <v>1</v>
      </c>
    </row>
    <row r="46422" ht="15.75" customHeight="1" spans="1:2">
      <c r="A46422" s="3" t="str">
        <f>IFERROR(__xludf.DUMMYFUNCTION("GOOGLETRANSLATE(A46422,""en"",""pt"")"),"Imprimindo qualidade, velocidade, Multitarefas, custo-benefício, confiabilidade HP")</f>
        <v>Imprimindo qualidade, velocidade, Multitarefas, custo-benefício, confiabilidade HP</v>
      </c>
      <c r="B46422" s="3">
        <v>1</v>
      </c>
    </row>
    <row r="46423" ht="15.75" customHeight="1" spans="1:2">
      <c r="A46423" s="3" t="str">
        <f>IFERROR(__xludf.DUMMYFUNCTION("GOOGLETRANSLATE(A46423,""en"",""pt"")"),"Tudo em um, fácil de configurar &amp; amp; uso, qualidade de impressão grande")</f>
        <v>Tudo em um, fácil de configurar &amp; amp; uso, qualidade de impressão grande</v>
      </c>
      <c r="B46423" s="3">
        <v>1</v>
      </c>
    </row>
    <row r="46424" ht="15.75" customHeight="1" spans="1:2">
      <c r="A46424" s="3" t="str">
        <f>IFERROR(__xludf.DUMMYFUNCTION("GOOGLETRANSLATE(A46424,""en"",""pt"")"),"Excelente hardware (ler os outros comentários)")</f>
        <v>Excelente hardware (ler os outros comentários)</v>
      </c>
      <c r="B46424" s="3">
        <v>1</v>
      </c>
    </row>
    <row r="46425" ht="15.75" customHeight="1" spans="1:2">
      <c r="A46425" s="3" t="str">
        <f>IFERROR(__xludf.DUMMYFUNCTION("GOOGLETRANSLATE(A46425,""en"",""pt"")"),"Excelente Qualidade para uma LaserJet, pegada pequeno para o escritório em casa")</f>
        <v>Excelente Qualidade para uma LaserJet, pegada pequeno para o escritório em casa</v>
      </c>
      <c r="B46425" s="3">
        <v>1</v>
      </c>
    </row>
    <row r="46426" ht="15.75" customHeight="1" spans="1:2">
      <c r="A46426" s="3" t="str">
        <f>IFERROR(__xludf.DUMMYFUNCTION("GOOGLETRANSLATE(A46426,""en"",""pt"")"),"Robusto, bem concebido, com todos os recursos.")</f>
        <v>Robusto, bem concebido, com todos os recursos.</v>
      </c>
      <c r="B46426" s="3">
        <v>1</v>
      </c>
    </row>
    <row r="46427" ht="15.75" customHeight="1" spans="1:2">
      <c r="A46427" s="3" t="str">
        <f>IFERROR(__xludf.DUMMYFUNCTION("GOOGLETRANSLATE(A46427,""en"",""pt"")"),"All-In-One, Garantia, qualidade, fácil de usar")</f>
        <v>All-In-One, Garantia, qualidade, fácil de usar</v>
      </c>
      <c r="B46427" s="3">
        <v>1</v>
      </c>
    </row>
    <row r="46428" ht="15.75" customHeight="1" spans="1:2">
      <c r="A46428" s="3" t="str">
        <f>IFERROR(__xludf.DUMMYFUNCTION("GOOGLETRANSLATE(A46428,""en"",""pt"")"),"máquina eficiente com todos os recursos que você pode querer")</f>
        <v>máquina eficiente com todos os recursos que você pode querer</v>
      </c>
      <c r="B46428" s="3">
        <v>1</v>
      </c>
    </row>
    <row r="46429" ht="15.75" customHeight="1" spans="1:2">
      <c r="A46429" s="3" t="str">
        <f>IFERROR(__xludf.DUMMYFUNCTION("GOOGLETRANSLATE(A46429,""en"",""pt"")"),"Tem todos os sinos e assobios, excelente qualidade de impressão")</f>
        <v>Tem todos os sinos e assobios, excelente qualidade de impressão</v>
      </c>
      <c r="B46429" s="3">
        <v>1</v>
      </c>
    </row>
    <row r="46430" ht="15.75" customHeight="1" spans="1:2">
      <c r="A46430" s="3" t="str">
        <f>IFERROR(__xludf.DUMMYFUNCTION("GOOGLETRANSLATE(A46430,""en"",""pt"")"),"impressão rápida")</f>
        <v>impressão rápida</v>
      </c>
      <c r="B46430" s="3">
        <v>1</v>
      </c>
    </row>
    <row r="46431" ht="15.75" customHeight="1" spans="1:2">
      <c r="A46431" s="3" t="str">
        <f>IFERROR(__xludf.DUMMYFUNCTION("GOOGLETRANSLATE(A46431,""en"",""pt"")"),"Burro de carga, nunca reclama")</f>
        <v>Burro de carga, nunca reclama</v>
      </c>
      <c r="B46431" s="3">
        <v>1</v>
      </c>
    </row>
    <row r="46432" ht="15.75" customHeight="1" spans="1:2">
      <c r="A46432" s="3" t="str">
        <f>IFERROR(__xludf.DUMMYFUNCTION("GOOGLETRANSLATE(A46432,""en"",""pt"")"),"leve")</f>
        <v>leve</v>
      </c>
      <c r="B46432" s="3">
        <v>1</v>
      </c>
    </row>
    <row r="46433" ht="15.75" customHeight="1" spans="1:2">
      <c r="A46433" s="3" t="str">
        <f>IFERROR(__xludf.DUMMYFUNCTION("GOOGLETRANSLATE(A46433,""en"",""pt"")"),"impressões de boa e razoavelmente rápido.")</f>
        <v>impressões de boa e razoavelmente rápido.</v>
      </c>
      <c r="B46433" s="3">
        <v>1</v>
      </c>
    </row>
    <row r="46434" ht="15.75" customHeight="1" spans="1:2">
      <c r="A46434" s="3" t="str">
        <f>IFERROR(__xludf.DUMMYFUNCTION("GOOGLETRANSLATE(A46434,""en"",""pt"")"),"Design que economiza espaço")</f>
        <v>Design que economiza espaço</v>
      </c>
      <c r="B46434" s="3">
        <v>1</v>
      </c>
    </row>
    <row r="46435" ht="15.75" customHeight="1" spans="1:2">
      <c r="A46435" s="3" t="str">
        <f>IFERROR(__xludf.DUMMYFUNCTION("GOOGLETRANSLATE(A46435,""en"",""pt"")"),"Printer \ digitalizador \ copiadora \ fax é perfeito para a pequena empresa.")</f>
        <v>Printer \ digitalizador \ copiadora \ fax é perfeito para a pequena empresa.</v>
      </c>
      <c r="B46435" s="3">
        <v>1</v>
      </c>
    </row>
    <row r="46436" ht="15.75" customHeight="1" spans="1:2">
      <c r="A46436" s="3" t="str">
        <f>IFERROR(__xludf.DUMMYFUNCTION("GOOGLETRANSLATE(A46436,""en"",""pt"")"),"Combina quatro máquinas em um")</f>
        <v>Combina quatro máquinas em um</v>
      </c>
      <c r="B46436" s="3">
        <v>1</v>
      </c>
    </row>
    <row r="46437" ht="15.75" customHeight="1" spans="1:2">
      <c r="A46437" s="3" t="str">
        <f>IFERROR(__xludf.DUMMYFUNCTION("GOOGLETRANSLATE(A46437,""en"",""pt"")"),"Fácil de usar, o produto de boa qualidade, boa velocidade")</f>
        <v>Fácil de usar, o produto de boa qualidade, boa velocidade</v>
      </c>
      <c r="B46437" s="3">
        <v>1</v>
      </c>
    </row>
    <row r="46438" ht="15.75" customHeight="1" spans="1:2">
      <c r="A46438" s="3" t="str">
        <f>IFERROR(__xludf.DUMMYFUNCTION("GOOGLETRANSLATE(A46438,""en"",""pt"")"),"Tudo em um, fácil de configurar &amp; amp; uso, qualidade de impressão grande")</f>
        <v>Tudo em um, fácil de configurar &amp; amp; uso, qualidade de impressão grande</v>
      </c>
      <c r="B46438" s="3">
        <v>1</v>
      </c>
    </row>
    <row r="46439" ht="15.75" customHeight="1" spans="1:2">
      <c r="A46439" s="3" t="str">
        <f>IFERROR(__xludf.DUMMYFUNCTION("GOOGLETRANSLATE(A46439,""en"",""pt"")"),"Grande impressora, scanner e fax")</f>
        <v>Grande impressora, scanner e fax</v>
      </c>
      <c r="B46439" s="3">
        <v>1</v>
      </c>
    </row>
    <row r="46440" ht="15.75" customHeight="1" spans="1:2">
      <c r="A46440" s="3" t="str">
        <f>IFERROR(__xludf.DUMMYFUNCTION("GOOGLETRANSLATE(A46440,""en"",""pt"")"),"Excelente qualidade de imagem, a maioria das coisas funcionam como anunciado")</f>
        <v>Excelente qualidade de imagem, a maioria das coisas funcionam como anunciado</v>
      </c>
      <c r="B46440" s="3">
        <v>1</v>
      </c>
    </row>
    <row r="46441" ht="15.75" customHeight="1" spans="1:2">
      <c r="A46441" s="3" t="str">
        <f>IFERROR(__xludf.DUMMYFUNCTION("GOOGLETRANSLATE(A46441,""en"",""pt"")"),"máquina agradável multifunções para o preço")</f>
        <v>máquina agradável multifunções para o preço</v>
      </c>
      <c r="B46441" s="3">
        <v>1</v>
      </c>
    </row>
    <row r="46442" ht="15.75" customHeight="1" spans="1:2">
      <c r="A46442" s="3" t="str">
        <f>IFERROR(__xludf.DUMMYFUNCTION("GOOGLETRANSLATE(A46442,""en"",""pt"")"),"4-in-1 impressora, copiadora, fax, scanner")</f>
        <v>4-in-1 impressora, copiadora, fax, scanner</v>
      </c>
      <c r="B46442" s="3">
        <v>1</v>
      </c>
    </row>
    <row r="46443" ht="15.75" customHeight="1" spans="1:2">
      <c r="A46443" s="3" t="str">
        <f>IFERROR(__xludf.DUMMYFUNCTION("GOOGLETRANSLATE(A46443,""en"",""pt"")"),"muitos recursos")</f>
        <v>muitos recursos</v>
      </c>
      <c r="B46443" s="3">
        <v>1</v>
      </c>
    </row>
    <row r="46444" ht="15.75" customHeight="1" spans="1:2">
      <c r="A46444" s="3" t="str">
        <f>IFERROR(__xludf.DUMMYFUNCTION("GOOGLETRANSLATE(A46444,""en"",""pt"")"),"Qualidade de topo em todo - e qualidade da foto que parece que saiu de uma câmara escura")</f>
        <v>Qualidade de topo em todo - e qualidade da foto que parece que saiu de uma câmara escura</v>
      </c>
      <c r="B46444" s="3">
        <v>1</v>
      </c>
    </row>
    <row r="46445" ht="15.75" customHeight="1" spans="1:2">
      <c r="A46445" s="3" t="str">
        <f>IFERROR(__xludf.DUMMYFUNCTION("GOOGLETRANSLATE(A46445,""en"",""pt"")"),"Excelente impressão, qualidade de digitalização e cópia")</f>
        <v>Excelente impressão, qualidade de digitalização e cópia</v>
      </c>
      <c r="B46445" s="3">
        <v>1</v>
      </c>
    </row>
    <row r="46446" ht="15.75" customHeight="1" spans="1:2">
      <c r="A46446" s="3" t="str">
        <f>IFERROR(__xludf.DUMMYFUNCTION("GOOGLETRANSLATE(A46446,""en"",""pt"")"),"grandes imagens, velocidade, fax fácil")</f>
        <v>grandes imagens, velocidade, fax fácil</v>
      </c>
      <c r="B46446" s="3">
        <v>1</v>
      </c>
    </row>
    <row r="46447" ht="15.75" customHeight="1" spans="1:2">
      <c r="A46447" s="3" t="str">
        <f>IFERROR(__xludf.DUMMYFUNCTION("GOOGLETRANSLATE(A46447,""en"",""pt"")"),"Qualidade da impressão a qualidade preto / branco e cor, do scanner, e a velocidade com que ela produz uma cópia ou enviar um fax")</f>
        <v>Qualidade da impressão a qualidade preto / branco e cor, do scanner, e a velocidade com que ela produz uma cópia ou enviar um fax</v>
      </c>
      <c r="B46447" s="3">
        <v>1</v>
      </c>
    </row>
    <row r="46448" ht="15.75" customHeight="1" spans="1:2">
      <c r="A46448" s="3" t="str">
        <f>IFERROR(__xludf.DUMMYFUNCTION("GOOGLETRANSLATE(A46448,""en"",""pt"")"),"Ele faz tudo!")</f>
        <v>Ele faz tudo!</v>
      </c>
      <c r="B46448" s="3">
        <v>1</v>
      </c>
    </row>
    <row r="46449" ht="15.75" customHeight="1" spans="1:2">
      <c r="A46449" s="3" t="str">
        <f>IFERROR(__xludf.DUMMYFUNCTION("GOOGLETRANSLATE(A46449,""en"",""pt"")"),"Versatilidade, suporte técnico, facilidade de uso")</f>
        <v>Versatilidade, suporte técnico, facilidade de uso</v>
      </c>
      <c r="B46449" s="3">
        <v>1</v>
      </c>
    </row>
    <row r="46450" ht="15.75" customHeight="1" spans="1:2">
      <c r="A46450" s="3" t="str">
        <f>IFERROR(__xludf.DUMMYFUNCTION("GOOGLETRANSLATE(A46450,""en"",""pt"")"),"O tamanho pequeno e fácil de usar.")</f>
        <v>O tamanho pequeno e fácil de usar.</v>
      </c>
      <c r="B46450" s="3">
        <v>1</v>
      </c>
    </row>
    <row r="46451" ht="15.75" customHeight="1" spans="1:2">
      <c r="A46451" s="3" t="str">
        <f>IFERROR(__xludf.DUMMYFUNCTION("GOOGLETRANSLATE(A46451,""en"",""pt"")"),"digitalização decente qualidade, alimentador automático de documentos de 30 páginas, impressão de qualidade decente, barato, bom fax")</f>
        <v>digitalização decente qualidade, alimentador automático de documentos de 30 páginas, impressão de qualidade decente, barato, bom fax</v>
      </c>
      <c r="B46451" s="3">
        <v>1</v>
      </c>
    </row>
    <row r="46452" ht="15.75" customHeight="1" spans="1:2">
      <c r="A46452" s="3" t="str">
        <f>IFERROR(__xludf.DUMMYFUNCTION("GOOGLETRANSLATE(A46452,""en"",""pt"")"),"Impressão rápida e digitalização. Ambos são de boa qualidade. alimentador de folhas é grande.")</f>
        <v>Impressão rápida e digitalização. Ambos são de boa qualidade. alimentador de folhas é grande.</v>
      </c>
      <c r="B46452" s="3">
        <v>1</v>
      </c>
    </row>
    <row r="46453" ht="15.75" customHeight="1" spans="1:2">
      <c r="A46453" s="3" t="str">
        <f>IFERROR(__xludf.DUMMYFUNCTION("GOOGLETRANSLATE(A46453,""en"",""pt"")"),"Faz tudo e faz bem")</f>
        <v>Faz tudo e faz bem</v>
      </c>
      <c r="B46453" s="3">
        <v>1</v>
      </c>
    </row>
    <row r="46454" ht="15.75" customHeight="1" spans="1:2">
      <c r="A46454" s="3" t="str">
        <f>IFERROR(__xludf.DUMMYFUNCTION("GOOGLETRANSLATE(A46454,""en"",""pt"")"),"É uma copiadora, fax, impressora &amp; amp; escâner tudo em um.")</f>
        <v>É uma copiadora, fax, impressora &amp; amp; escâner tudo em um.</v>
      </c>
      <c r="B46454" s="3">
        <v>1</v>
      </c>
    </row>
    <row r="46455" ht="15.75" customHeight="1" spans="1:2">
      <c r="A46455" s="3" t="str">
        <f>IFERROR(__xludf.DUMMYFUNCTION("GOOGLETRANSLATE(A46455,""en"",""pt"")"),"Um tudo em uma solução para a casa ou escritório.")</f>
        <v>Um tudo em uma solução para a casa ou escritório.</v>
      </c>
      <c r="B46455" s="3">
        <v>1</v>
      </c>
    </row>
    <row r="46456" ht="15.75" customHeight="1" spans="1:2">
      <c r="A46456" s="3" t="str">
        <f>IFERROR(__xludf.DUMMYFUNCTION("GOOGLETRANSLATE(A46456,""en"",""pt"")"),"12ppm (rápida), leito, boa qualidade de cor, alimentador")</f>
        <v>12ppm (rápida), leito, boa qualidade de cor, alimentador</v>
      </c>
      <c r="B46456" s="3">
        <v>1</v>
      </c>
    </row>
    <row r="46457" ht="15.75" customHeight="1" spans="1:2">
      <c r="A46457" s="3" t="str">
        <f>IFERROR(__xludf.DUMMYFUNCTION("GOOGLETRANSLATE(A46457,""en"",""pt"")"),"Contém fax, copiadora, scanner e impressora tudo em um, portanto, ocupa pouco espaço.")</f>
        <v>Contém fax, copiadora, scanner e impressora tudo em um, portanto, ocupa pouco espaço.</v>
      </c>
      <c r="B46457" s="3">
        <v>1</v>
      </c>
    </row>
    <row r="46458" ht="15.75" customHeight="1" spans="1:2">
      <c r="A46458" s="3" t="str">
        <f>IFERROR(__xludf.DUMMYFUNCTION("GOOGLETRANSLATE(A46458,""en"",""pt"")"),"Saída, velocidade, scanner &amp; amp; funções de fax, versatilidade")</f>
        <v>Saída, velocidade, scanner &amp; amp; funções de fax, versatilidade</v>
      </c>
      <c r="B46458" s="3">
        <v>1</v>
      </c>
    </row>
    <row r="46459" ht="15.75" customHeight="1" spans="1:2">
      <c r="A46459" s="3" t="str">
        <f>IFERROR(__xludf.DUMMYFUNCTION("GOOGLETRANSLATE(A46459,""en"",""pt"")"),"Versátil, com boas características para uma situação de escritório do mundo real.")</f>
        <v>Versátil, com boas características para uma situação de escritório do mundo real.</v>
      </c>
      <c r="B46459" s="3">
        <v>1</v>
      </c>
    </row>
    <row r="46460" ht="15.75" customHeight="1" spans="1:2">
      <c r="A46460" s="3" t="str">
        <f>IFERROR(__xludf.DUMMYFUNCTION("GOOGLETRANSLATE(A46460,""en"",""pt"")"),"Fácil de usar, de grande qualidade, Tudo o que você esperaria de um HP")</f>
        <v>Fácil de usar, de grande qualidade, Tudo o que você esperaria de um HP</v>
      </c>
      <c r="B46460" s="3">
        <v>1</v>
      </c>
    </row>
    <row r="46461" ht="15.75" customHeight="1" spans="1:2">
      <c r="A46461" s="3" t="str">
        <f>IFERROR(__xludf.DUMMYFUNCTION("GOOGLETRANSLATE(A46461,""en"",""pt"")"),"Saída Photo Quality, executar várias tarefas ao mesmo tempo, confiável")</f>
        <v>Saída Photo Quality, executar várias tarefas ao mesmo tempo, confiável</v>
      </c>
      <c r="B46461" s="3">
        <v>1</v>
      </c>
    </row>
    <row r="46462" ht="15.75" customHeight="1" spans="1:2">
      <c r="A46462" s="3" t="str">
        <f>IFERROR(__xludf.DUMMYFUNCTION("GOOGLETRANSLATE(A46462,""en"",""pt"")"),"boa resolução, impressão de fotos relativamente fast.excellent. um cavalo de trabalho.")</f>
        <v>boa resolução, impressão de fotos relativamente fast.excellent. um cavalo de trabalho.</v>
      </c>
      <c r="B46462" s="3">
        <v>1</v>
      </c>
    </row>
    <row r="46463" ht="15.75" customHeight="1" spans="1:2">
      <c r="A46463" s="3" t="str">
        <f>IFERROR(__xludf.DUMMYFUNCTION("GOOGLETRANSLATE(A46463,""en"",""pt"")"),"Uma tentativa razoavelmente realizado na construção de um tudo-em-uma máquina.")</f>
        <v>Uma tentativa razoavelmente realizado na construção de um tudo-em-uma máquina.</v>
      </c>
      <c r="B46463" s="3">
        <v>1</v>
      </c>
    </row>
    <row r="46464" ht="15.75" customHeight="1" spans="1:2">
      <c r="A46464" s="3" t="str">
        <f>IFERROR(__xludf.DUMMYFUNCTION("GOOGLETRANSLATE(A46464,""en"",""pt"")"),"flexibilidade, criatividade, facilidade de uso")</f>
        <v>flexibilidade, criatividade, facilidade de uso</v>
      </c>
      <c r="B46464" s="3">
        <v>1</v>
      </c>
    </row>
    <row r="46465" ht="15.75" customHeight="1" spans="1:2">
      <c r="A46465" s="3" t="str">
        <f>IFERROR(__xludf.DUMMYFUNCTION("GOOGLETRANSLATE(A46465,""en"",""pt"")"),"boa qualidade cópias &amp; amp; amp; impressões, faz tudo necessidade I")</f>
        <v>boa qualidade cópias &amp; amp; amp; impressões, faz tudo necessidade I</v>
      </c>
      <c r="B46465" s="3">
        <v>1</v>
      </c>
    </row>
    <row r="46466" ht="15.75" customHeight="1" spans="1:2">
      <c r="A46466" s="3" t="str">
        <f>IFERROR(__xludf.DUMMYFUNCTION("GOOGLETRANSLATE(A46466,""en"",""pt"")"),"Rápido, qualidade de impressão, digitalização e cópia!")</f>
        <v>Rápido, qualidade de impressão, digitalização e cópia!</v>
      </c>
      <c r="B46466" s="3">
        <v>1</v>
      </c>
    </row>
    <row r="46467" ht="15.75" customHeight="1" spans="1:2">
      <c r="A46467" s="3" t="str">
        <f>IFERROR(__xludf.DUMMYFUNCTION("GOOGLETRANSLATE(A46467,""en"",""pt"")"),"Rápido, confiável &amp; amp; amp; Otima qualidade")</f>
        <v>Rápido, confiável &amp; amp; amp; Otima qualidade</v>
      </c>
      <c r="B46467" s="3">
        <v>1</v>
      </c>
    </row>
    <row r="46468" ht="15.75" customHeight="1" spans="1:2">
      <c r="A46468" s="3" t="str">
        <f>IFERROR(__xludf.DUMMYFUNCTION("GOOGLETRANSLATE(A46468,""en"",""pt"")"),"Apenas funciona ... todas as funções funcionam como anunciado")</f>
        <v>Apenas funciona ... todas as funções funcionam como anunciado</v>
      </c>
      <c r="B46468" s="3">
        <v>1</v>
      </c>
    </row>
    <row r="46469" ht="15.75" customHeight="1" spans="1:2">
      <c r="A46469" s="3" t="str">
        <f>IFERROR(__xludf.DUMMYFUNCTION("GOOGLETRANSLATE(A46469,""en"",""pt"")"),"grande, confiável máquina de três-em-um, design compacto")</f>
        <v>grande, confiável máquina de três-em-um, design compacto</v>
      </c>
      <c r="B46469" s="3">
        <v>1</v>
      </c>
    </row>
    <row r="46470" ht="15.75" customHeight="1" spans="1:2">
      <c r="A46470" s="3" t="str">
        <f>IFERROR(__xludf.DUMMYFUNCTION("GOOGLETRANSLATE(A46470,""en"",""pt"")"),"capacidades multi-uso que atendem todas as minhas necessidades de negócios")</f>
        <v>capacidades multi-uso que atendem todas as minhas necessidades de negócios</v>
      </c>
      <c r="B46470" s="3">
        <v>1</v>
      </c>
    </row>
    <row r="46471" ht="15.75" customHeight="1" spans="1:2">
      <c r="A46471" s="3" t="str">
        <f>IFERROR(__xludf.DUMMYFUNCTION("GOOGLETRANSLATE(A46471,""en"",""pt"")"),"Excelente qualidade e quantidade para a faixa de preço.")</f>
        <v>Excelente qualidade e quantidade para a faixa de preço.</v>
      </c>
      <c r="B46471" s="3">
        <v>1</v>
      </c>
    </row>
    <row r="46472" ht="15.75" customHeight="1" spans="1:2">
      <c r="A46472" s="3" t="str">
        <f>IFERROR(__xludf.DUMMYFUNCTION("GOOGLETRANSLATE(A46472,""en"",""pt"")"),"impressão rápida, impressão de alta qualidade e scans, pode ser otimizado para o tipo de papel")</f>
        <v>impressão rápida, impressão de alta qualidade e scans, pode ser otimizado para o tipo de papel</v>
      </c>
      <c r="B46472" s="3">
        <v>1</v>
      </c>
    </row>
    <row r="46473" ht="15.75" customHeight="1" spans="1:2">
      <c r="A46473" s="3" t="str">
        <f>IFERROR(__xludf.DUMMYFUNCTION("GOOGLETRANSLATE(A46473,""en"",""pt"")"),"Rápido,-de aquecimento rápido, características acessíveis.")</f>
        <v>Rápido,-de aquecimento rápido, características acessíveis.</v>
      </c>
      <c r="B46473" s="3">
        <v>1</v>
      </c>
    </row>
    <row r="46474" ht="15.75" customHeight="1" spans="1:2">
      <c r="A46474" s="3" t="str">
        <f>IFERROR(__xludf.DUMMYFUNCTION("GOOGLETRANSLATE(A46474,""en"",""pt"")"),"Copiadora, scanner, impressora tudo em uma máquina HP bastante tranquilo")</f>
        <v>Copiadora, scanner, impressora tudo em uma máquina HP bastante tranquilo</v>
      </c>
      <c r="B46474" s="3">
        <v>1</v>
      </c>
    </row>
    <row r="46475" ht="15.75" customHeight="1" spans="1:2">
      <c r="A46475" s="3" t="str">
        <f>IFERROR(__xludf.DUMMYFUNCTION("GOOGLETRANSLATE(A46475,""en"",""pt"")"),"versátil, de grande qualidade de impressão e scans nicely")</f>
        <v>versátil, de grande qualidade de impressão e scans nicely</v>
      </c>
      <c r="B46475" s="3">
        <v>1</v>
      </c>
    </row>
    <row r="46476" ht="15.75" customHeight="1" spans="1:2">
      <c r="A46476" s="3" t="str">
        <f>IFERROR(__xludf.DUMMYFUNCTION("GOOGLETRANSLATE(A46476,""en"",""pt"")"),"grande impressora e copiadora, multifuncionais e com preços razoáveis")</f>
        <v>grande impressora e copiadora, multifuncionais e com preços razoáveis</v>
      </c>
      <c r="B46476" s="3">
        <v>1</v>
      </c>
    </row>
    <row r="46477" ht="15.75" customHeight="1" spans="1:2">
      <c r="A46477" s="3" t="str">
        <f>IFERROR(__xludf.DUMMYFUNCTION("GOOGLETRANSLATE(A46477,""en"",""pt"")"),"excelente qualidade de imagem")</f>
        <v>excelente qualidade de imagem</v>
      </c>
      <c r="B46477" s="3">
        <v>1</v>
      </c>
    </row>
    <row r="46478" ht="15.75" customHeight="1" spans="1:2">
      <c r="A46478" s="3" t="str">
        <f>IFERROR(__xludf.DUMMYFUNCTION("GOOGLETRANSLATE(A46478,""en"",""pt"")"),"Fácil acesso às bandejas de tinta e papel")</f>
        <v>Fácil acesso às bandejas de tinta e papel</v>
      </c>
      <c r="B46478" s="3">
        <v>1</v>
      </c>
    </row>
    <row r="46479" ht="15.75" customHeight="1" spans="1:2">
      <c r="A46479" s="3" t="str">
        <f>IFERROR(__xludf.DUMMYFUNCTION("GOOGLETRANSLATE(A46479,""en"",""pt"")"),"Alta qualidade, tamanho compacto, fácil de manter")</f>
        <v>Alta qualidade, tamanho compacto, fácil de manter</v>
      </c>
      <c r="B46479" s="3">
        <v>1</v>
      </c>
    </row>
    <row r="46480" ht="15.75" customHeight="1" spans="1:2">
      <c r="A46480" s="3" t="str">
        <f>IFERROR(__xludf.DUMMYFUNCTION("GOOGLETRANSLATE(A46480,""en"",""pt"")"),"Grande qualidade e velocidade")</f>
        <v>Grande qualidade e velocidade</v>
      </c>
      <c r="B46480" s="3">
        <v>1</v>
      </c>
    </row>
    <row r="46481" ht="15.75" customHeight="1" spans="1:2">
      <c r="A46481" s="3" t="str">
        <f>IFERROR(__xludf.DUMMYFUNCTION("GOOGLETRANSLATE(A46481,""en"",""pt"")"),"COLOR Copy &amp; amp; amp; amp; Scan &amp; amp; Imprimir em um único produto HP")</f>
        <v>COLOR Copy &amp; amp; amp; amp; Scan &amp; amp; Imprimir em um único produto HP</v>
      </c>
      <c r="B46481" s="3">
        <v>1</v>
      </c>
    </row>
    <row r="46482" ht="15.75" customHeight="1" spans="1:2">
      <c r="A46482" s="3" t="str">
        <f>IFERROR(__xludf.DUMMYFUNCTION("GOOGLETRANSLATE(A46482,""en"",""pt"")"),"Versatilidade, cama plana, redes, configuração")</f>
        <v>Versatilidade, cama plana, redes, configuração</v>
      </c>
      <c r="B46482" s="3">
        <v>1</v>
      </c>
    </row>
    <row r="46483" ht="15.75" customHeight="1" spans="1:2">
      <c r="A46483" s="3" t="str">
        <f>IFERROR(__xludf.DUMMYFUNCTION("GOOGLETRANSLATE(A46483,""en"",""pt"")"),"Conveniente, fácil de operar, fácil de manter.")</f>
        <v>Conveniente, fácil de operar, fácil de manter.</v>
      </c>
      <c r="B46483" s="3">
        <v>1</v>
      </c>
    </row>
    <row r="46484" ht="15.75" customHeight="1" spans="1:2">
      <c r="A46484" s="3" t="str">
        <f>IFERROR(__xludf.DUMMYFUNCTION("GOOGLETRANSLATE(A46484,""en"",""pt"")"),"impressora colorida, scanner a cores, copiadora colorida, fax, valor e economia de espaço, qualidade HP")</f>
        <v>impressora colorida, scanner a cores, copiadora colorida, fax, valor e economia de espaço, qualidade HP</v>
      </c>
      <c r="B46484" s="3">
        <v>1</v>
      </c>
    </row>
    <row r="46485" ht="15.75" customHeight="1" spans="1:2">
      <c r="A46485" s="3" t="str">
        <f>IFERROR(__xludf.DUMMYFUNCTION("GOOGLETRANSLATE(A46485,""en"",""pt"")"),"Faz tudo, rápido, saída de qualidade, fácil de usar")</f>
        <v>Faz tudo, rápido, saída de qualidade, fácil de usar</v>
      </c>
      <c r="B46485" s="3">
        <v>1</v>
      </c>
    </row>
    <row r="46486" ht="15.75" customHeight="1" spans="1:2">
      <c r="A46486" s="3" t="str">
        <f>IFERROR(__xludf.DUMMYFUNCTION("GOOGLETRANSLATE(A46486,""en"",""pt"")"),"Acessíveis, de alta qualidade, ciclo de dever elevado")</f>
        <v>Acessíveis, de alta qualidade, ciclo de dever elevado</v>
      </c>
      <c r="B46486" s="3">
        <v>1</v>
      </c>
    </row>
    <row r="46487" ht="15.75" customHeight="1" spans="1:2">
      <c r="A46487" s="3" t="str">
        <f>IFERROR(__xludf.DUMMYFUNCTION("GOOGLETRANSLATE(A46487,""en"",""pt"")"),"velocidade, qualidade de impressão e cópia")</f>
        <v>velocidade, qualidade de impressão e cópia</v>
      </c>
      <c r="B46487" s="3">
        <v>1</v>
      </c>
    </row>
    <row r="46488" ht="15.75" customHeight="1" spans="1:2">
      <c r="A46488" s="3" t="str">
        <f>IFERROR(__xludf.DUMMYFUNCTION("GOOGLETRANSLATE(A46488,""en"",""pt"")"),"Robusta máquina executa com perfeição")</f>
        <v>Robusta máquina executa com perfeição</v>
      </c>
      <c r="B46488" s="3">
        <v>1</v>
      </c>
    </row>
    <row r="46489" ht="15.75" customHeight="1" spans="1:2">
      <c r="A46489" s="3" t="str">
        <f>IFERROR(__xludf.DUMMYFUNCTION("GOOGLETRANSLATE(A46489,""en"",""pt"")"),"Rápido, fácil e duradouro")</f>
        <v>Rápido, fácil e duradouro</v>
      </c>
      <c r="B46489" s="3">
        <v>1</v>
      </c>
    </row>
    <row r="46490" ht="15.75" customHeight="1" spans="1:2">
      <c r="A46490" s="3" t="str">
        <f>IFERROR(__xludf.DUMMYFUNCTION("GOOGLETRANSLATE(A46490,""en"",""pt"")"),"Excelente desempenho, a longevidade")</f>
        <v>Excelente desempenho, a longevidade</v>
      </c>
      <c r="B46490" s="3">
        <v>1</v>
      </c>
    </row>
    <row r="46491" ht="15.75" customHeight="1" spans="1:2">
      <c r="A46491" s="3" t="str">
        <f>IFERROR(__xludf.DUMMYFUNCTION("GOOGLETRANSLATE(A46491,""en"",""pt"")"),", Saída de cor absolutamente maravilhoso rápido mesmo em papel comum")</f>
        <v>, Saída de cor absolutamente maravilhoso rápido mesmo em papel comum</v>
      </c>
      <c r="B46491" s="3">
        <v>1</v>
      </c>
    </row>
    <row r="46492" ht="15.75" customHeight="1" spans="1:2">
      <c r="A46492" s="3" t="str">
        <f>IFERROR(__xludf.DUMMYFUNCTION("GOOGLETRANSLATE(A46492,""en"",""pt"")"),"Fax, copiadora, scanner e impressora tudo em um.")</f>
        <v>Fax, copiadora, scanner e impressora tudo em um.</v>
      </c>
      <c r="B46492" s="3">
        <v>1</v>
      </c>
    </row>
    <row r="46493" ht="15.75" customHeight="1" spans="1:2">
      <c r="A46493" s="3" t="str">
        <f>IFERROR(__xludf.DUMMYFUNCTION("GOOGLETRANSLATE(A46493,""en"",""pt"")"),"O jato de escritório é apenas &amp; amp; # 13; &amp; amp; # 10; tão bom quanto os sais nome: Jet")</f>
        <v>O jato de escritório é apenas &amp; amp; # 13; &amp; amp; # 10; tão bom quanto os sais nome: Jet</v>
      </c>
      <c r="B46493" s="3">
        <v>1</v>
      </c>
    </row>
    <row r="46494" ht="15.75" customHeight="1" spans="1:2">
      <c r="A46494" s="3" t="str">
        <f>IFERROR(__xludf.DUMMYFUNCTION("GOOGLETRANSLATE(A46494,""en"",""pt"")"),"Ele faxes, digitalizações, cópias e impressões como um sonho!")</f>
        <v>Ele faxes, digitalizações, cópias e impressões como um sonho!</v>
      </c>
      <c r="B46494" s="3">
        <v>1</v>
      </c>
    </row>
    <row r="46495" ht="15.75" customHeight="1" spans="1:2">
      <c r="A46495" s="3" t="str">
        <f>IFERROR(__xludf.DUMMYFUNCTION("GOOGLETRANSLATE(A46495,""en"",""pt"")"),"Space-Saver para escritórios domésticos, qualidade de impressão como os profissionais")</f>
        <v>Space-Saver para escritórios domésticos, qualidade de impressão como os profissionais</v>
      </c>
      <c r="B46495" s="3">
        <v>1</v>
      </c>
    </row>
    <row r="46496" ht="15.75" customHeight="1" spans="1:2">
      <c r="A46496" s="3" t="str">
        <f>IFERROR(__xludf.DUMMYFUNCTION("GOOGLETRANSLATE(A46496,""en"",""pt"")"),"Simples de usar")</f>
        <v>Simples de usar</v>
      </c>
      <c r="B46496" s="3">
        <v>1</v>
      </c>
    </row>
    <row r="46497" ht="15.75" customHeight="1" spans="1:2">
      <c r="A46497" s="3" t="str">
        <f>IFERROR(__xludf.DUMMYFUNCTION("GOOGLETRANSLATE(A46497,""en"",""pt"")"),"Utiliza um cartucho comum, boa funcionalidade")</f>
        <v>Utiliza um cartucho comum, boa funcionalidade</v>
      </c>
      <c r="B46497" s="3">
        <v>1</v>
      </c>
    </row>
    <row r="46498" ht="15.75" customHeight="1" spans="1:2">
      <c r="A46498" s="3" t="str">
        <f>IFERROR(__xludf.DUMMYFUNCTION("GOOGLETRANSLATE(A46498,""en"",""pt"")"),"rápido, independente, poderosa")</f>
        <v>rápido, independente, poderosa</v>
      </c>
      <c r="B46498" s="3">
        <v>1</v>
      </c>
    </row>
    <row r="46499" ht="15.75" customHeight="1" spans="1:2">
      <c r="A46499" s="3" t="str">
        <f>IFERROR(__xludf.DUMMYFUNCTION("GOOGLETRANSLATE(A46499,""en"",""pt"")"),"Ele faz tudo, muito fácil de usar.")</f>
        <v>Ele faz tudo, muito fácil de usar.</v>
      </c>
      <c r="B46499" s="3">
        <v>1</v>
      </c>
    </row>
    <row r="46500" ht="15.75" customHeight="1" spans="1:2">
      <c r="A46500" s="3" t="str">
        <f>IFERROR(__xludf.DUMMYFUNCTION("GOOGLETRANSLATE(A46500,""en"",""pt"")"),"Tamanho, Clear imprimir, fácil de usar")</f>
        <v>Tamanho, Clear imprimir, fácil de usar</v>
      </c>
      <c r="B46500" s="3">
        <v>1</v>
      </c>
    </row>
    <row r="46501" ht="15.75" customHeight="1" spans="1:2">
      <c r="A46501" s="3" t="str">
        <f>IFERROR(__xludf.DUMMYFUNCTION("GOOGLETRANSLATE(A46501,""en"",""pt"")"),"Imprimir qualidade, velocidade, velocidade do fax &amp; amp; funções, Fiabilidade")</f>
        <v>Imprimir qualidade, velocidade, velocidade do fax &amp; amp; funções, Fiabilidade</v>
      </c>
      <c r="B46501" s="3">
        <v>1</v>
      </c>
    </row>
    <row r="46502" ht="15.75" customHeight="1" spans="1:2">
      <c r="A46502" s="3" t="str">
        <f>IFERROR(__xludf.DUMMYFUNCTION("GOOGLETRANSLATE(A46502,""en"",""pt"")"),"Conclui quatro funções de uma máquina.")</f>
        <v>Conclui quatro funções de uma máquina.</v>
      </c>
      <c r="B46502" s="3">
        <v>1</v>
      </c>
    </row>
    <row r="46503" ht="15.75" customHeight="1" spans="1:2">
      <c r="A46503" s="3" t="str">
        <f>IFERROR(__xludf.DUMMYFUNCTION("GOOGLETRANSLATE(A46503,""en"",""pt"")"),"nitidez impressionante de impressão, facilidade de uso é excelente, você não pode fazer melhor")</f>
        <v>nitidez impressionante de impressão, facilidade de uso é excelente, você não pode fazer melhor</v>
      </c>
      <c r="B46503" s="3">
        <v>1</v>
      </c>
    </row>
    <row r="46504" ht="15.75" customHeight="1" spans="1:2">
      <c r="A46504" s="3" t="str">
        <f>IFERROR(__xludf.DUMMYFUNCTION("GOOGLETRANSLATE(A46504,""en"",""pt"")"),"Múltiplas funções, fácil de instalar, fácil de usar. Uma maravilha quatro-em-um.")</f>
        <v>Múltiplas funções, fácil de instalar, fácil de usar. Uma maravilha quatro-em-um.</v>
      </c>
      <c r="B46504" s="3">
        <v>1</v>
      </c>
    </row>
    <row r="46505" ht="15.75" customHeight="1" spans="1:2">
      <c r="A46505" s="3" t="str">
        <f>IFERROR(__xludf.DUMMYFUNCTION("GOOGLETRANSLATE(A46505,""en"",""pt"")"),"Muito Bom para uso doméstico.")</f>
        <v>Muito Bom para uso doméstico.</v>
      </c>
      <c r="B46505" s="3">
        <v>1</v>
      </c>
    </row>
    <row r="46506" ht="15.75" customHeight="1" spans="1:2">
      <c r="A46506" s="3" t="str">
        <f>IFERROR(__xludf.DUMMYFUNCTION("GOOGLETRANSLATE(A46506,""en"",""pt"")"),"Versátil, sólida, boa qualidade de impressão, a qualidade boa cópia")</f>
        <v>Versátil, sólida, boa qualidade de impressão, a qualidade boa cópia</v>
      </c>
      <c r="B46506" s="3">
        <v>1</v>
      </c>
    </row>
    <row r="46507" ht="15.75" customHeight="1" spans="1:2">
      <c r="A46507" s="3" t="str">
        <f>IFERROR(__xludf.DUMMYFUNCTION("GOOGLETRANSLATE(A46507,""en"",""pt"")"),"preto speedy e uma impressora branco, multitasks!")</f>
        <v>preto speedy e uma impressora branco, multitasks!</v>
      </c>
      <c r="B46507" s="3">
        <v>1</v>
      </c>
    </row>
    <row r="46508" ht="15.75" customHeight="1" spans="1:2">
      <c r="A46508" s="3" t="str">
        <f>IFERROR(__xludf.DUMMYFUNCTION("GOOGLETRANSLATE(A46508,""en"",""pt"")"),"Cor capacidade fax, scanner, copiadora")</f>
        <v>Cor capacidade fax, scanner, copiadora</v>
      </c>
      <c r="B46508" s="3">
        <v>1</v>
      </c>
    </row>
    <row r="46509" ht="15.75" customHeight="1" spans="1:2">
      <c r="A46509" s="3" t="str">
        <f>IFERROR(__xludf.DUMMYFUNCTION("GOOGLETRANSLATE(A46509,""en"",""pt"")"),"imprimir qualidade, facilidade de uso")</f>
        <v>imprimir qualidade, facilidade de uso</v>
      </c>
      <c r="B46509" s="3">
        <v>1</v>
      </c>
    </row>
    <row r="46510" ht="15.75" customHeight="1" spans="1:2">
      <c r="A46510" s="3" t="str">
        <f>IFERROR(__xludf.DUMMYFUNCTION("GOOGLETRANSLATE(A46510,""en"",""pt"")"),"marca confiável, acessível, de boa qualidade, olhada abaixo")</f>
        <v>marca confiável, acessível, de boa qualidade, olhada abaixo</v>
      </c>
      <c r="B46510" s="3">
        <v>1</v>
      </c>
    </row>
    <row r="46511" ht="15.75" customHeight="1" spans="1:2">
      <c r="A46511" s="3" t="str">
        <f>IFERROR(__xludf.DUMMYFUNCTION("GOOGLETRANSLATE(A46511,""en"",""pt"")"),"Ele faz tudo")</f>
        <v>Ele faz tudo</v>
      </c>
      <c r="B46511" s="3">
        <v>1</v>
      </c>
    </row>
    <row r="46512" ht="15.75" customHeight="1" spans="1:2">
      <c r="A46512" s="3" t="str">
        <f>IFERROR(__xludf.DUMMYFUNCTION("GOOGLETRANSLATE(A46512,""en"",""pt"")"),"Valor, Qualidade, Velocidade, Versátil, Quiet")</f>
        <v>Valor, Qualidade, Velocidade, Versátil, Quiet</v>
      </c>
      <c r="B46512" s="3">
        <v>1</v>
      </c>
    </row>
    <row r="46513" ht="15.75" customHeight="1" spans="1:2">
      <c r="A46513" s="3" t="str">
        <f>IFERROR(__xludf.DUMMYFUNCTION("GOOGLETRANSLATE(A46513,""en"",""pt"")"),"digitalização a cores de qualidade e impressão")</f>
        <v>digitalização a cores de qualidade e impressão</v>
      </c>
      <c r="B46513" s="3">
        <v>1</v>
      </c>
    </row>
    <row r="46514" ht="15.75" customHeight="1" spans="1:2">
      <c r="A46514" s="3" t="str">
        <f>IFERROR(__xludf.DUMMYFUNCTION("GOOGLETRANSLATE(A46514,""en"",""pt"")"),"Simplicidade, resolução, a cores")</f>
        <v>Simplicidade, resolução, a cores</v>
      </c>
      <c r="B46514" s="3">
        <v>1</v>
      </c>
    </row>
    <row r="46515" ht="15.75" customHeight="1" spans="1:2">
      <c r="A46515" s="3" t="str">
        <f>IFERROR(__xludf.DUMMYFUNCTION("GOOGLETRANSLATE(A46515,""en"",""pt"")"),"Versatilidade, facilidade de uso, Funcional")</f>
        <v>Versatilidade, facilidade de uso, Funcional</v>
      </c>
      <c r="B46515" s="3">
        <v>1</v>
      </c>
    </row>
    <row r="46516" ht="15.75" customHeight="1" spans="1:2">
      <c r="A46516" s="3" t="str">
        <f>IFERROR(__xludf.DUMMYFUNCTION("GOOGLETRANSLATE(A46516,""en"",""pt"")"),"4 produtos populares combinados em 1. Menos desordem. Mais espaço.")</f>
        <v>4 produtos populares combinados em 1. Menos desordem. Mais espaço.</v>
      </c>
      <c r="B46516" s="3">
        <v>1</v>
      </c>
    </row>
    <row r="46517" ht="15.75" customHeight="1" spans="1:2">
      <c r="A46517" s="3" t="str">
        <f>IFERROR(__xludf.DUMMYFUNCTION("GOOGLETRANSLATE(A46517,""en"",""pt"")"),"HP Fiabilidade, cor nítida e impressão preto")</f>
        <v>HP Fiabilidade, cor nítida e impressão preto</v>
      </c>
      <c r="B46517" s="3">
        <v>1</v>
      </c>
    </row>
    <row r="46518" ht="15.75" customHeight="1" spans="1:2">
      <c r="A46518" s="3" t="str">
        <f>IFERROR(__xludf.DUMMYFUNCTION("GOOGLETRANSLATE(A46518,""en"",""pt"")"),"Tudo sobre ele")</f>
        <v>Tudo sobre ele</v>
      </c>
      <c r="B46518" s="3">
        <v>1</v>
      </c>
    </row>
    <row r="46519" ht="15.75" customHeight="1" spans="1:2">
      <c r="A46519" s="3" t="str">
        <f>IFERROR(__xludf.DUMMYFUNCTION("GOOGLETRANSLATE(A46519,""en"",""pt"")"),"muito acessível")</f>
        <v>muito acessível</v>
      </c>
      <c r="B46519" s="3">
        <v>1</v>
      </c>
    </row>
    <row r="46520" ht="15.75" customHeight="1" spans="1:2">
      <c r="A46520" s="3" t="str">
        <f>IFERROR(__xludf.DUMMYFUNCTION("GOOGLETRANSLATE(A46520,""en"",""pt"")"),"É da HP")</f>
        <v>É da HP</v>
      </c>
      <c r="B46520" s="3">
        <v>1</v>
      </c>
    </row>
    <row r="46521" ht="15.75" customHeight="1" spans="1:2">
      <c r="A46521" s="3" t="str">
        <f>IFERROR(__xludf.DUMMYFUNCTION("GOOGLETRANSLATE(A46521,""en"",""pt"")"),"Fácil, de boa qualidade")</f>
        <v>Fácil, de boa qualidade</v>
      </c>
      <c r="B46521" s="3">
        <v>1</v>
      </c>
    </row>
    <row r="46522" ht="15.75" customHeight="1" spans="1:2">
      <c r="A46522" s="3" t="str">
        <f>IFERROR(__xludf.DUMMYFUNCTION("GOOGLETRANSLATE(A46522,""en"",""pt"")"),"relativamente pequena pegada considerando capacidades, fácil de usar, rápido para um jato de tinta")</f>
        <v>relativamente pequena pegada considerando capacidades, fácil de usar, rápido para um jato de tinta</v>
      </c>
      <c r="B46522" s="3">
        <v>1</v>
      </c>
    </row>
    <row r="46523" ht="15.75" customHeight="1" spans="1:2">
      <c r="A46523" s="4" t="str">
        <f>IFERROR(__xludf.DUMMYFUNCTION("GOOGLETRANSLATE(A46523,""en"",""pt"")"),"http://www.epinions.com/welcome.html?member=schumanfu2")</f>
        <v>http://www.epinions.com/welcome.html?member=schumanfu2</v>
      </c>
      <c r="B46523" s="3">
        <v>1</v>
      </c>
    </row>
    <row r="46524" ht="15.75" customHeight="1" spans="1:2">
      <c r="A46524" s="3" t="str">
        <f>IFERROR(__xludf.DUMMYFUNCTION("GOOGLETRANSLATE(A46524,""en"",""pt"")"),"qualidade bonita e muito rápido")</f>
        <v>qualidade bonita e muito rápido</v>
      </c>
      <c r="B46524" s="3">
        <v>1</v>
      </c>
    </row>
    <row r="46525" ht="15.75" customHeight="1" spans="1:2">
      <c r="A46525" s="3" t="str">
        <f>IFERROR(__xludf.DUMMYFUNCTION("GOOGLETRANSLATE(A46525,""en"",""pt"")"),"Rápido, silencioso e de boa qualidade")</f>
        <v>Rápido, silencioso e de boa qualidade</v>
      </c>
      <c r="B46525" s="3">
        <v>1</v>
      </c>
    </row>
    <row r="46526" ht="15.75" customHeight="1" spans="1:2">
      <c r="A46526" s="3" t="str">
        <f>IFERROR(__xludf.DUMMYFUNCTION("GOOGLETRANSLATE(A46526,""en"",""pt"")"),"máquina de qualidade de uma marca forte")</f>
        <v>máquina de qualidade de uma marca forte</v>
      </c>
      <c r="B46526" s="3">
        <v>1</v>
      </c>
    </row>
    <row r="46527" ht="15.75" customHeight="1" spans="1:2">
      <c r="A46527" s="3" t="str">
        <f>IFERROR(__xludf.DUMMYFUNCTION("GOOGLETRANSLATE(A46527,""en"",""pt"")"),"HP OfficeJet T45 é boa máquina, as possibilidades são muito altos.")</f>
        <v>HP OfficeJet T45 é boa máquina, as possibilidades são muito altos.</v>
      </c>
      <c r="B46527" s="3">
        <v>1</v>
      </c>
    </row>
    <row r="46528" ht="15.75" customHeight="1" spans="1:2">
      <c r="A46528" s="3" t="str">
        <f>IFERROR(__xludf.DUMMYFUNCTION("GOOGLETRANSLATE(A46528,""en"",""pt"")"),"imagens claras e não adornos")</f>
        <v>imagens claras e não adornos</v>
      </c>
      <c r="B46528" s="3">
        <v>1</v>
      </c>
    </row>
    <row r="46529" ht="15.75" customHeight="1" spans="1:2">
      <c r="A46529" s="3" t="str">
        <f>IFERROR(__xludf.DUMMYFUNCTION("GOOGLETRANSLATE(A46529,""en"",""pt"")"),"Ame as capacidades multifuncionais e facilidade de uso.")</f>
        <v>Ame as capacidades multifuncionais e facilidade de uso.</v>
      </c>
      <c r="B46529" s="3">
        <v>1</v>
      </c>
    </row>
    <row r="46530" ht="15.75" customHeight="1" spans="1:2">
      <c r="A46530" s="3" t="str">
        <f>IFERROR(__xludf.DUMMYFUNCTION("GOOGLETRANSLATE(A46530,""en"",""pt"")"),"Ink é muito razoável, muito fácil de operar.")</f>
        <v>Ink é muito razoável, muito fácil de operar.</v>
      </c>
      <c r="B46530" s="3">
        <v>1</v>
      </c>
    </row>
    <row r="46531" ht="15.75" customHeight="1" spans="1:2">
      <c r="A46531" s="3" t="str">
        <f>IFERROR(__xludf.DUMMYFUNCTION("GOOGLETRANSLATE(A46531,""en"",""pt"")"),"Clara, nítida, impressão rápida. opção de impressão Economia de economizar em cartuchos de tinta.")</f>
        <v>Clara, nítida, impressão rápida. opção de impressão Economia de economizar em cartuchos de tinta.</v>
      </c>
      <c r="B46531" s="3">
        <v>1</v>
      </c>
    </row>
    <row r="46532" ht="15.75" customHeight="1" spans="1:2">
      <c r="A46532" s="3" t="str">
        <f>IFERROR(__xludf.DUMMYFUNCTION("GOOGLETRANSLATE(A46532,""en"",""pt"")"),"Rápido, confiável, fácil de usar, produz excelentes resultados")</f>
        <v>Rápido, confiável, fácil de usar, produz excelentes resultados</v>
      </c>
      <c r="B46532" s="3">
        <v>1</v>
      </c>
    </row>
    <row r="46533" ht="15.75" customHeight="1" spans="1:2">
      <c r="A46533" s="3" t="str">
        <f>IFERROR(__xludf.DUMMYFUNCTION("GOOGLETRANSLATE(A46533,""en"",""pt"")"),"Robusto e fiável; fácil de aprender.")</f>
        <v>Robusto e fiável; fácil de aprender.</v>
      </c>
      <c r="B46533" s="3">
        <v>1</v>
      </c>
    </row>
    <row r="46534" ht="15.75" customHeight="1" spans="1:2">
      <c r="A46534" s="3" t="str">
        <f>IFERROR(__xludf.DUMMYFUNCTION("GOOGLETRANSLATE(A46534,""en"",""pt"")"),"ótimo")</f>
        <v>ótimo</v>
      </c>
      <c r="B46534" s="3">
        <v>1</v>
      </c>
    </row>
    <row r="46535" ht="15.75" customHeight="1" spans="1:2">
      <c r="A46535" s="3" t="str">
        <f>IFERROR(__xludf.DUMMYFUNCTION("GOOGLETRANSLATE(A46535,""en"",""pt"")"),"Compacto, Grande dpi, rápido, fácil de usar")</f>
        <v>Compacto, Grande dpi, rápido, fácil de usar</v>
      </c>
      <c r="B46535" s="3">
        <v>1</v>
      </c>
    </row>
    <row r="46536" ht="15.75" customHeight="1" spans="1:2">
      <c r="A46536" s="3" t="str">
        <f>IFERROR(__xludf.DUMMYFUNCTION("GOOGLETRANSLATE(A46536,""en"",""pt"")"),"Sem falhas, fácil instalação.")</f>
        <v>Sem falhas, fácil instalação.</v>
      </c>
      <c r="B46536" s="3">
        <v>1</v>
      </c>
    </row>
    <row r="46537" ht="15.75" customHeight="1" spans="1:2">
      <c r="A46537" s="3" t="str">
        <f>IFERROR(__xludf.DUMMYFUNCTION("GOOGLETRANSLATE(A46537,""en"",""pt"")"),"Fácil de usar, a qualidade de imagem")</f>
        <v>Fácil de usar, a qualidade de imagem</v>
      </c>
      <c r="B46537" s="3">
        <v>1</v>
      </c>
    </row>
    <row r="46538" ht="15.75" customHeight="1" spans="1:2">
      <c r="A46538" s="3" t="str">
        <f>IFERROR(__xludf.DUMMYFUNCTION("GOOGLETRANSLATE(A46538,""en"",""pt"")"),"Boa velocidade, super qualidade, ótimos recursos")</f>
        <v>Boa velocidade, super qualidade, ótimos recursos</v>
      </c>
      <c r="B46538" s="3">
        <v>1</v>
      </c>
    </row>
    <row r="46539" ht="15.75" customHeight="1" spans="1:2">
      <c r="A46539" s="3" t="str">
        <f>IFERROR(__xludf.DUMMYFUNCTION("GOOGLETRANSLATE(A46539,""en"",""pt"")"),"Fácil de configurar. Excelente qualidade de impressão. Boa qualidade da digitalização.")</f>
        <v>Fácil de configurar. Excelente qualidade de impressão. Boa qualidade da digitalização.</v>
      </c>
      <c r="B46539" s="3">
        <v>1</v>
      </c>
    </row>
    <row r="46540" ht="15.75" customHeight="1" spans="1:2">
      <c r="A46540" s="3" t="str">
        <f>IFERROR(__xludf.DUMMYFUNCTION("GOOGLETRANSLATE(A46540,""en"",""pt"")"),"Boa velocidade, super qualidade, excelentes características")</f>
        <v>Boa velocidade, super qualidade, excelentes características</v>
      </c>
      <c r="B46540" s="3">
        <v>1</v>
      </c>
    </row>
    <row r="46541" ht="15.75" customHeight="1" spans="1:2">
      <c r="A46541" s="3" t="str">
        <f>IFERROR(__xludf.DUMMYFUNCTION("GOOGLETRANSLATE(A46541,""en"",""pt"")"),"Fácil de set-up, e uma brisa para uso")</f>
        <v>Fácil de set-up, e uma brisa para uso</v>
      </c>
      <c r="B46541" s="3">
        <v>1</v>
      </c>
    </row>
    <row r="46542" ht="15.75" customHeight="1" spans="1:2">
      <c r="A46542" s="3" t="str">
        <f>IFERROR(__xludf.DUMMYFUNCTION("GOOGLETRANSLATE(A46542,""en"",""pt"")"),"qualidade de impressão ok; barato tudo-em-um; USB; atraente")</f>
        <v>qualidade de impressão ok; barato tudo-em-um; USB; atraente</v>
      </c>
      <c r="B46542" s="3">
        <v>1</v>
      </c>
    </row>
    <row r="46543" ht="15.75" customHeight="1" spans="1:2">
      <c r="A46543" s="3" t="str">
        <f>IFERROR(__xludf.DUMMYFUNCTION("GOOGLETRANSLATE(A46543,""en"",""pt"")"),"Facilidade de uso, impressão de boa qualidade")</f>
        <v>Facilidade de uso, impressão de boa qualidade</v>
      </c>
      <c r="B46543" s="3">
        <v>1</v>
      </c>
    </row>
    <row r="46544" ht="15.75" customHeight="1" spans="1:2">
      <c r="A46544" s="3" t="str">
        <f>IFERROR(__xludf.DUMMYFUNCTION("GOOGLETRANSLATE(A46544,""en"",""pt"")"),"Fácil de configurar e instalar")</f>
        <v>Fácil de configurar e instalar</v>
      </c>
      <c r="B46544" s="3">
        <v>1</v>
      </c>
    </row>
    <row r="46545" ht="15.75" customHeight="1" spans="1:2">
      <c r="A46545" s="3" t="str">
        <f>IFERROR(__xludf.DUMMYFUNCTION("GOOGLETRANSLATE(A46545,""en"",""pt"")"),"compacto, fácil de usar, impressões de alta qualidade")</f>
        <v>compacto, fácil de usar, impressões de alta qualidade</v>
      </c>
      <c r="B46545" s="3">
        <v>1</v>
      </c>
    </row>
    <row r="46546" ht="15.75" customHeight="1" spans="1:2">
      <c r="A46546" s="3" t="str">
        <f>IFERROR(__xludf.DUMMYFUNCTION("GOOGLETRANSLATE(A46546,""en"",""pt"")"),"1. Copiar &amp; amp; # 13; &amp; amp; # 10; 2. Comum, mas a jato de tinta caro com a impressora jato de tinta 900X série, &amp; amp; # 13; &amp; amp; # 10;")</f>
        <v>1. Copiar &amp; amp; # 13; &amp; amp; # 10; 2. Comum, mas a jato de tinta caro com a impressora jato de tinta 900X série, &amp; amp; # 13; &amp; amp; # 10;</v>
      </c>
      <c r="B46546" s="3">
        <v>1</v>
      </c>
    </row>
    <row r="46547" ht="15.75" customHeight="1" spans="1:2">
      <c r="A46547" s="3" t="str">
        <f>IFERROR(__xludf.DUMMYFUNCTION("GOOGLETRANSLATE(A46547,""en"",""pt"")"),"Boa, razoável, compacto, sem problemas com o Windows 2000 Professional")</f>
        <v>Boa, razoável, compacto, sem problemas com o Windows 2000 Professional</v>
      </c>
      <c r="B46547" s="3">
        <v>1</v>
      </c>
    </row>
    <row r="46548" ht="15.75" customHeight="1" spans="1:2">
      <c r="A46548" s="3" t="str">
        <f>IFERROR(__xludf.DUMMYFUNCTION("GOOGLETRANSLATE(A46548,""en"",""pt"")"),"Confiável; Qualidade muito boa; excelente valor para o all-in-one")</f>
        <v>Confiável; Qualidade muito boa; excelente valor para o all-in-one</v>
      </c>
      <c r="B46548" s="3">
        <v>1</v>
      </c>
    </row>
    <row r="46549" ht="15.75" customHeight="1" spans="1:2">
      <c r="A46549" s="3" t="str">
        <f>IFERROR(__xludf.DUMMYFUNCTION("GOOGLETRANSLATE(A46549,""en"",""pt"")"),"Impressionante qualidade, grandes impressões a cores. Rápida e tranquila.")</f>
        <v>Impressionante qualidade, grandes impressões a cores. Rápida e tranquila.</v>
      </c>
      <c r="B46549" s="3">
        <v>1</v>
      </c>
    </row>
    <row r="46550" ht="15.75" customHeight="1" spans="1:2">
      <c r="A46550" s="3" t="str">
        <f>IFERROR(__xludf.DUMMYFUNCTION("GOOGLETRANSLATE(A46550,""en"",""pt"")"),"Bom preço, qualidade decente")</f>
        <v>Bom preço, qualidade decente</v>
      </c>
      <c r="B46550" s="3">
        <v>1</v>
      </c>
    </row>
    <row r="46551" ht="15.75" customHeight="1" spans="1:2">
      <c r="A46551" s="3" t="str">
        <f>IFERROR(__xludf.DUMMYFUNCTION("GOOGLETRANSLATE(A46551,""en"",""pt"")"),"Elegante, competitiva e impressionante")</f>
        <v>Elegante, competitiva e impressionante</v>
      </c>
      <c r="B46551" s="3">
        <v>1</v>
      </c>
    </row>
    <row r="46552" ht="15.75" customHeight="1" spans="1:2">
      <c r="A46552" s="3" t="str">
        <f>IFERROR(__xludf.DUMMYFUNCTION("GOOGLETRANSLATE(A46552,""en"",""pt"")"),"Tudo! A qualidade é incrível!")</f>
        <v>Tudo! A qualidade é incrível!</v>
      </c>
      <c r="B46552" s="3">
        <v>1</v>
      </c>
    </row>
    <row r="46553" ht="15.75" customHeight="1" spans="1:2">
      <c r="A46553" s="3" t="str">
        <f>IFERROR(__xludf.DUMMYFUNCTION("GOOGLETRANSLATE(A46553,""en"",""pt"")"),"Preço razoável. Fácil de usar, muito boa qualidade de saída.")</f>
        <v>Preço razoável. Fácil de usar, muito boa qualidade de saída.</v>
      </c>
      <c r="B46553" s="3">
        <v>1</v>
      </c>
    </row>
    <row r="46554" ht="15.75" customHeight="1" spans="1:2">
      <c r="A46554" s="3" t="str">
        <f>IFERROR(__xludf.DUMMYFUNCTION("GOOGLETRANSLATE(A46554,""en"",""pt"")"),"Boa velocidade de digitalização e qualidade da digitalização. Fácil de usar, acessível, pegada pequena.")</f>
        <v>Boa velocidade de digitalização e qualidade da digitalização. Fácil de usar, acessível, pegada pequena.</v>
      </c>
      <c r="B46554" s="3">
        <v>1</v>
      </c>
    </row>
    <row r="46555" ht="15.75" customHeight="1" spans="1:2">
      <c r="A46555" s="3" t="str">
        <f>IFERROR(__xludf.DUMMYFUNCTION("GOOGLETRANSLATE(A46555,""en"",""pt"")"),"funcionalidade Wonderful")</f>
        <v>funcionalidade Wonderful</v>
      </c>
      <c r="B46555" s="3">
        <v>1</v>
      </c>
    </row>
    <row r="46556" ht="15.75" customHeight="1" spans="1:2">
      <c r="A46556" s="3" t="str">
        <f>IFERROR(__xludf.DUMMYFUNCTION("GOOGLETRANSLATE(A46556,""en"",""pt"")"),"bom tamanho")</f>
        <v>bom tamanho</v>
      </c>
      <c r="B46556" s="3">
        <v>1</v>
      </c>
    </row>
    <row r="46557" ht="15.75" customHeight="1" spans="1:2">
      <c r="A46557" s="3" t="str">
        <f>IFERROR(__xludf.DUMMYFUNCTION("GOOGLETRANSLATE(A46557,""en"",""pt"")"),"Eficiente, confiável, atraente")</f>
        <v>Eficiente, confiável, atraente</v>
      </c>
      <c r="B46557" s="3">
        <v>1</v>
      </c>
    </row>
    <row r="46558" ht="15.75" customHeight="1" spans="1:2">
      <c r="A46558" s="3" t="str">
        <f>IFERROR(__xludf.DUMMYFUNCTION("GOOGLETRANSLATE(A46558,""en"",""pt"")"),"Faz tudo. E em cores")</f>
        <v>Faz tudo. E em cores</v>
      </c>
      <c r="B46558" s="3">
        <v>1</v>
      </c>
    </row>
    <row r="46559" ht="15.75" customHeight="1" spans="1:2">
      <c r="A46559" s="3" t="str">
        <f>IFERROR(__xludf.DUMMYFUNCTION("GOOGLETRANSLATE(A46559,""en"",""pt"")"),"Atraente Combo Deal, Médio Qualidade da impressão, muito compatível w / Windows 2000")</f>
        <v>Atraente Combo Deal, Médio Qualidade da impressão, muito compatível w / Windows 2000</v>
      </c>
      <c r="B46559" s="3">
        <v>1</v>
      </c>
    </row>
    <row r="46560" ht="15.75" customHeight="1" spans="1:2">
      <c r="A46560" s="3" t="str">
        <f>IFERROR(__xludf.DUMMYFUNCTION("GOOGLETRANSLATE(A46560,""en"",""pt"")"),"Design que economiza espaço")</f>
        <v>Design que economiza espaço</v>
      </c>
      <c r="B46560" s="3">
        <v>1</v>
      </c>
    </row>
    <row r="46561" ht="15.75" customHeight="1" spans="1:2">
      <c r="A46561" s="3" t="str">
        <f>IFERROR(__xludf.DUMMYFUNCTION("GOOGLETRANSLATE(A46561,""en"",""pt"")"),"Pacote conveniente pequena")</f>
        <v>Pacote conveniente pequena</v>
      </c>
      <c r="B46561" s="3">
        <v>1</v>
      </c>
    </row>
    <row r="46562" ht="15.75" customHeight="1" spans="1:2">
      <c r="A46562" s="3" t="str">
        <f>IFERROR(__xludf.DUMMYFUNCTION("GOOGLETRANSLATE(A46562,""en"",""pt"")"),"Nada de bom para dizer. O produto era inútil e voltou.")</f>
        <v>Nada de bom para dizer. O produto era inútil e voltou.</v>
      </c>
      <c r="B46562" s="3">
        <v>1</v>
      </c>
    </row>
    <row r="46563" ht="15.75" customHeight="1" spans="1:2">
      <c r="A46563" s="3" t="str">
        <f>IFERROR(__xludf.DUMMYFUNCTION("GOOGLETRANSLATE(A46563,""en"",""pt"")"),"Em vez compacto para todas as características, disposição simples dos botões, a qualidade de impressão")</f>
        <v>Em vez compacto para todas as características, disposição simples dos botões, a qualidade de impressão</v>
      </c>
      <c r="B46563" s="3">
        <v>1</v>
      </c>
    </row>
    <row r="46564" ht="15.75" customHeight="1" spans="1:2">
      <c r="A46564" s="3" t="str">
        <f>IFERROR(__xludf.DUMMYFUNCTION("GOOGLETRANSLATE(A46564,""en"",""pt"")"),"desempenho relação preço alto. Versátil. Característica embalada. Durável. Fácil de usar.")</f>
        <v>desempenho relação preço alto. Versátil. Característica embalada. Durável. Fácil de usar.</v>
      </c>
      <c r="B46564" s="3">
        <v>1</v>
      </c>
    </row>
    <row r="46565" ht="15.75" customHeight="1" spans="1:2">
      <c r="A46565" s="3" t="str">
        <f>IFERROR(__xludf.DUMMYFUNCTION("GOOGLETRANSLATE(A46565,""en"",""pt"")"),"Bom preço, um monte de recursos, fácil de usar")</f>
        <v>Bom preço, um monte de recursos, fácil de usar</v>
      </c>
      <c r="B46565" s="3">
        <v>1</v>
      </c>
    </row>
    <row r="46566" ht="15.75" customHeight="1" spans="1:2">
      <c r="A46566" s="3" t="str">
        <f>IFERROR(__xludf.DUMMYFUNCTION("GOOGLETRANSLATE(A46566,""en"",""pt"")"),"Projetado para um propósito e um único propósito")</f>
        <v>Projetado para um propósito e um único propósito</v>
      </c>
      <c r="B46566" s="3">
        <v>1</v>
      </c>
    </row>
    <row r="46567" ht="15.75" customHeight="1" spans="1:2">
      <c r="A46567" s="3" t="str">
        <f>IFERROR(__xludf.DUMMYFUNCTION("GOOGLETRANSLATE(A46567,""en"",""pt"")"),"Impressões de grande qualidade, tamanho compacto, construído em leitor de cartão de memória")</f>
        <v>Impressões de grande qualidade, tamanho compacto, construído em leitor de cartão de memória</v>
      </c>
      <c r="B46567" s="3">
        <v>1</v>
      </c>
    </row>
    <row r="46568" ht="15.75" customHeight="1" spans="1:2">
      <c r="A46568" s="3" t="str">
        <f>IFERROR(__xludf.DUMMYFUNCTION("GOOGLETRANSLATE(A46568,""en"",""pt"")"),"design compacto, fácil de usar, de alta qualidade, não necessita de um computador")</f>
        <v>design compacto, fácil de usar, de alta qualidade, não necessita de um computador</v>
      </c>
      <c r="B46568" s="3">
        <v>1</v>
      </c>
    </row>
    <row r="46569" ht="15.75" customHeight="1" spans="1:2">
      <c r="A46569" s="3" t="str">
        <f>IFERROR(__xludf.DUMMYFUNCTION("GOOGLETRANSLATE(A46569,""en"",""pt"")"),"bom tamanho, boa qualidade de imagem.")</f>
        <v>bom tamanho, boa qualidade de imagem.</v>
      </c>
      <c r="B46569" s="3">
        <v>1</v>
      </c>
    </row>
    <row r="46570" ht="15.75" customHeight="1" spans="1:2">
      <c r="A46570" s="3" t="str">
        <f>IFERROR(__xludf.DUMMYFUNCTION("GOOGLETRANSLATE(A46570,""en"",""pt"")"),"Tamanho pequeno. Nenhum computador necessário. Grandes impressões. Grande incluído software.")</f>
        <v>Tamanho pequeno. Nenhum computador necessário. Grandes impressões. Grande incluído software.</v>
      </c>
      <c r="B46570" s="3">
        <v>1</v>
      </c>
    </row>
    <row r="46571" ht="15.75" customHeight="1" spans="1:2">
      <c r="A46571" s="3" t="str">
        <f>IFERROR(__xludf.DUMMYFUNCTION("GOOGLETRANSLATE(A46571,""en"",""pt"")"),"Soberbo, de alta resolução, de jacto de tinta de impressora")</f>
        <v>Soberbo, de alta resolução, de jacto de tinta de impressora</v>
      </c>
      <c r="B46571" s="3">
        <v>1</v>
      </c>
    </row>
    <row r="46572" ht="15.75" customHeight="1" spans="1:2">
      <c r="A46572" s="3" t="str">
        <f>IFERROR(__xludf.DUMMYFUNCTION("GOOGLETRANSLATE(A46572,""en"",""pt"")"),"Grande impressões de fotografias")</f>
        <v>Grande impressões de fotografias</v>
      </c>
      <c r="B46572" s="3">
        <v>1</v>
      </c>
    </row>
    <row r="46573" ht="15.75" customHeight="1" spans="1:2">
      <c r="A46573" s="3" t="str">
        <f>IFERROR(__xludf.DUMMYFUNCTION("GOOGLETRANSLATE(A46573,""en"",""pt"")"),"Compacto, fácil de configurar, impressões de boa qualidade")</f>
        <v>Compacto, fácil de configurar, impressões de boa qualidade</v>
      </c>
      <c r="B46573" s="3">
        <v>1</v>
      </c>
    </row>
    <row r="46574" ht="15.75" customHeight="1" spans="1:2">
      <c r="A46574" s="3" t="str">
        <f>IFERROR(__xludf.DUMMYFUNCTION("GOOGLETRANSLATE(A46574,""en"",""pt"")"),"fácil de usar")</f>
        <v>fácil de usar</v>
      </c>
      <c r="B46574" s="3">
        <v>1</v>
      </c>
    </row>
    <row r="46575" ht="15.75" customHeight="1" spans="1:2">
      <c r="A46575" s="3" t="str">
        <f>IFERROR(__xludf.DUMMYFUNCTION("GOOGLETRANSLATE(A46575,""en"",""pt"")"),"Compacto, portátil, 1200 X 2400 dpi, Suporte, tempo de impressão rápida capaz sozinho")</f>
        <v>Compacto, portátil, 1200 X 2400 dpi, Suporte, tempo de impressão rápida capaz sozinho</v>
      </c>
      <c r="B46575" s="3">
        <v>1</v>
      </c>
    </row>
    <row r="46576" ht="15.75" customHeight="1" spans="1:2">
      <c r="A46576" s="3" t="str">
        <f>IFERROR(__xludf.DUMMYFUNCTION("GOOGLETRANSLATE(A46576,""en"",""pt"")"),"Excelente qualidade de impressão, leitor de cartão, portátil")</f>
        <v>Excelente qualidade de impressão, leitor de cartão, portátil</v>
      </c>
      <c r="B46576" s="3">
        <v>1</v>
      </c>
    </row>
    <row r="46577" ht="15.75" customHeight="1" spans="1:2">
      <c r="A46577" s="3" t="str">
        <f>IFERROR(__xludf.DUMMYFUNCTION("GOOGLETRANSLATE(A46577,""en"",""pt"")"),"Tamanho, Mobilidade, velocidade e qualidade de impressão")</f>
        <v>Tamanho, Mobilidade, velocidade e qualidade de impressão</v>
      </c>
      <c r="B46577" s="3">
        <v>1</v>
      </c>
    </row>
    <row r="46578" ht="15.75" customHeight="1" spans="1:2">
      <c r="A46578" s="3" t="str">
        <f>IFERROR(__xludf.DUMMYFUNCTION("GOOGLETRANSLATE(A46578,""en"",""pt"")"),"UAU! Grande qualidade - tão fácil!")</f>
        <v>UAU! Grande qualidade - tão fácil!</v>
      </c>
      <c r="B46578" s="3">
        <v>1</v>
      </c>
    </row>
    <row r="46579" ht="15.75" customHeight="1" spans="1:2">
      <c r="A46579" s="3" t="str">
        <f>IFERROR(__xludf.DUMMYFUNCTION("GOOGLETRANSLATE(A46579,""en"",""pt"")"),"rápido, preciso e limpo!")</f>
        <v>rápido, preciso e limpo!</v>
      </c>
      <c r="B46579" s="3">
        <v>1</v>
      </c>
    </row>
    <row r="46580" ht="15.75" customHeight="1" spans="1:2">
      <c r="A46580" s="3" t="str">
        <f>IFERROR(__xludf.DUMMYFUNCTION("GOOGLETRANSLATE(A46580,""en"",""pt"")"),"Qualidade, preço, durabilidade, facilidade de uso, projeto, Marca, ampla disseminação mercado.")</f>
        <v>Qualidade, preço, durabilidade, facilidade de uso, projeto, Marca, ampla disseminação mercado.</v>
      </c>
      <c r="B46580" s="3">
        <v>1</v>
      </c>
    </row>
    <row r="46581" ht="15.75" customHeight="1" spans="1:2">
      <c r="A46581" s="3" t="str">
        <f>IFERROR(__xludf.DUMMYFUNCTION("GOOGLETRANSLATE(A46581,""en"",""pt"")"),"Excelente qualidade, impressora tranquila.")</f>
        <v>Excelente qualidade, impressora tranquila.</v>
      </c>
      <c r="B46581" s="3">
        <v>1</v>
      </c>
    </row>
    <row r="46582" ht="15.75" customHeight="1" spans="1:2">
      <c r="A46582" s="3" t="str">
        <f>IFERROR(__xludf.DUMMYFUNCTION("GOOGLETRANSLATE(A46582,""en"",""pt"")"),"Impecável qualidade de impressão. Imprime com velocidade e confiança.")</f>
        <v>Impecável qualidade de impressão. Imprime com velocidade e confiança.</v>
      </c>
      <c r="B46582" s="3">
        <v>1</v>
      </c>
    </row>
    <row r="46583" ht="15.75" customHeight="1" spans="1:2">
      <c r="A46583" s="3" t="str">
        <f>IFERROR(__xludf.DUMMYFUNCTION("GOOGLETRANSLATE(A46583,""en"",""pt"")"),"capacidade de ler e imprimir a partir de cartões de memória")</f>
        <v>capacidade de ler e imprimir a partir de cartões de memória</v>
      </c>
      <c r="B46583" s="3">
        <v>1</v>
      </c>
    </row>
    <row r="46584" ht="15.75" customHeight="1" spans="1:2">
      <c r="A46584" s="3" t="str">
        <f>IFERROR(__xludf.DUMMYFUNCTION("GOOGLETRANSLATE(A46584,""en"",""pt"")"),"Grande Cor, laser texto de qualidade de impressão, ranhuras photocard, e muito mais.")</f>
        <v>Grande Cor, laser texto de qualidade de impressão, ranhuras photocard, e muito mais.</v>
      </c>
      <c r="B46584" s="3">
        <v>1</v>
      </c>
    </row>
    <row r="46585" ht="15.75" customHeight="1" spans="1:2">
      <c r="A46585" s="3" t="str">
        <f>IFERROR(__xludf.DUMMYFUNCTION("GOOGLETRANSLATE(A46585,""en"",""pt"")"),"Muito, muito rápido para documentos. Grande qualidade para fotos.")</f>
        <v>Muito, muito rápido para documentos. Grande qualidade para fotos.</v>
      </c>
      <c r="B46585" s="3">
        <v>1</v>
      </c>
    </row>
    <row r="46586" ht="15.75" customHeight="1" spans="1:2">
      <c r="A46586" s="3" t="str">
        <f>IFERROR(__xludf.DUMMYFUNCTION("GOOGLETRANSLATE(A46586,""en"",""pt"")"),"qualidade incrível, muito calmo")</f>
        <v>qualidade incrível, muito calmo</v>
      </c>
      <c r="B46586" s="3">
        <v>1</v>
      </c>
    </row>
    <row r="46587" ht="15.75" customHeight="1" spans="1:2">
      <c r="A46587" s="3" t="str">
        <f>IFERROR(__xludf.DUMMYFUNCTION("GOOGLETRANSLATE(A46587,""en"",""pt"")"),"Grande clareza, cor vívida, muitas opções")</f>
        <v>Grande clareza, cor vívida, muitas opções</v>
      </c>
      <c r="B46587" s="3">
        <v>1</v>
      </c>
    </row>
    <row r="46588" ht="15.75" customHeight="1" spans="1:2">
      <c r="A46588" s="3" t="str">
        <f>IFERROR(__xludf.DUMMYFUNCTION("GOOGLETRANSLATE(A46588,""en"",""pt"")"),"Grande qualidade de impressão, impressão de texto rápido, a interface incrível para SmartMedia e cartões CompactFlash, grandes inkwells")</f>
        <v>Grande qualidade de impressão, impressão de texto rápido, a interface incrível para SmartMedia e cartões CompactFlash, grandes inkwells</v>
      </c>
      <c r="B46588" s="3">
        <v>1</v>
      </c>
    </row>
    <row r="46589" ht="15.75" customHeight="1" spans="1:2">
      <c r="A46589" s="3" t="str">
        <f>IFERROR(__xludf.DUMMYFUNCTION("GOOGLETRANSLATE(A46589,""en"",""pt"")"),"A cor e clareza de fotos é fantástico, fácil de usar, design elegante")</f>
        <v>A cor e clareza de fotos é fantástico, fácil de usar, design elegante</v>
      </c>
      <c r="B46589" s="3">
        <v>1</v>
      </c>
    </row>
    <row r="46590" ht="15.75" customHeight="1" spans="1:2">
      <c r="A46590" s="3" t="str">
        <f>IFERROR(__xludf.DUMMYFUNCTION("GOOGLETRANSLATE(A46590,""en"",""pt"")"),"Preço, qualidade, confiabilidade")</f>
        <v>Preço, qualidade, confiabilidade</v>
      </c>
      <c r="B46590" s="3">
        <v>1</v>
      </c>
    </row>
    <row r="46591" ht="15.75" customHeight="1" spans="1:2">
      <c r="A46591" s="3" t="str">
        <f>IFERROR(__xludf.DUMMYFUNCTION("GOOGLETRANSLATE(A46591,""en"",""pt"")"),"Grandes fotos, impressão de cartão inteligente útil, com duração por um bom tempo.")</f>
        <v>Grandes fotos, impressão de cartão inteligente útil, com duração por um bom tempo.</v>
      </c>
      <c r="B46591" s="3">
        <v>1</v>
      </c>
    </row>
    <row r="46592" ht="15.75" customHeight="1" spans="1:2">
      <c r="A46592" s="3" t="str">
        <f>IFERROR(__xludf.DUMMYFUNCTION("GOOGLETRANSLATE(A46592,""en"",""pt"")"),"Low Printer custo, alta qualidade fotos, Projecto de modo Disponível. Slots para SmartMedia e CompactFlash")</f>
        <v>Low Printer custo, alta qualidade fotos, Projecto de modo Disponível. Slots para SmartMedia e CompactFlash</v>
      </c>
      <c r="B46592" s="3">
        <v>1</v>
      </c>
    </row>
    <row r="46593" ht="15.75" customHeight="1" spans="1:2">
      <c r="A46593" s="3" t="str">
        <f>IFERROR(__xludf.DUMMYFUNCTION("GOOGLETRANSLATE(A46593,""en"",""pt"")"),"qualidade cópias de software uso de grande bem de tinta")</f>
        <v>qualidade cópias de software uso de grande bem de tinta</v>
      </c>
      <c r="B46593" s="3">
        <v>1</v>
      </c>
    </row>
    <row r="46594" ht="15.75" customHeight="1" spans="1:2">
      <c r="A46594" s="3" t="str">
        <f>IFERROR(__xludf.DUMMYFUNCTION("GOOGLETRANSLATE(A46594,""en"",""pt"")"),"Grande qualidade de impressão")</f>
        <v>Grande qualidade de impressão</v>
      </c>
      <c r="B46594" s="3">
        <v>1</v>
      </c>
    </row>
    <row r="46595" ht="15.75" customHeight="1" spans="1:2">
      <c r="A46595" s="3" t="str">
        <f>IFERROR(__xludf.DUMMYFUNCTION("GOOGLETRANSLATE(A46595,""en"",""pt"")"),"Grande valor, fácil de configurar")</f>
        <v>Grande valor, fácil de configurar</v>
      </c>
      <c r="B46595" s="3">
        <v>1</v>
      </c>
    </row>
    <row r="46596" ht="15.75" customHeight="1" spans="1:2">
      <c r="A46596" s="3" t="str">
        <f>IFERROR(__xludf.DUMMYFUNCTION("GOOGLETRANSLATE(A46596,""en"",""pt"")"),"A qualidade é bom para uma impressora de casa.")</f>
        <v>A qualidade é bom para uma impressora de casa.</v>
      </c>
      <c r="B46596" s="3">
        <v>1</v>
      </c>
    </row>
    <row r="46597" ht="15.75" customHeight="1" spans="1:2">
      <c r="A46597" s="3" t="str">
        <f>IFERROR(__xludf.DUMMYFUNCTION("GOOGLETRANSLATE(A46597,""en"",""pt"")"),"boa qualidade, mais silencioso do que os modelos anteriores, não agitar a mesa.")</f>
        <v>boa qualidade, mais silencioso do que os modelos anteriores, não agitar a mesa.</v>
      </c>
      <c r="B46597" s="3">
        <v>1</v>
      </c>
    </row>
    <row r="46598" ht="15.75" customHeight="1" spans="1:2">
      <c r="A46598" s="3" t="str">
        <f>IFERROR(__xludf.DUMMYFUNCTION("GOOGLETRANSLATE(A46598,""en"",""pt"")"),"Ela produz imagens de descida.")</f>
        <v>Ela produz imagens de descida.</v>
      </c>
      <c r="B46598" s="3">
        <v>1</v>
      </c>
    </row>
    <row r="46599" ht="15.75" customHeight="1" spans="1:2">
      <c r="A46599" s="3" t="str">
        <f>IFERROR(__xludf.DUMMYFUNCTION("GOOGLETRANSLATE(A46599,""en"",""pt"")"),"Belas Prints foto!")</f>
        <v>Belas Prints foto!</v>
      </c>
      <c r="B46599" s="3">
        <v>1</v>
      </c>
    </row>
    <row r="46600" ht="15.75" customHeight="1" spans="1:2">
      <c r="A46600" s="3" t="str">
        <f>IFERROR(__xludf.DUMMYFUNCTION("GOOGLETRANSLATE(A46600,""en"",""pt"")"),"Fácil set-up e impressão rápida.")</f>
        <v>Fácil set-up e impressão rápida.</v>
      </c>
      <c r="B46600" s="3">
        <v>1</v>
      </c>
    </row>
    <row r="46601" ht="15.75" customHeight="1" spans="1:2">
      <c r="A46601" s="3" t="str">
        <f>IFERROR(__xludf.DUMMYFUNCTION("GOOGLETRANSLATE(A46601,""en"",""pt"")"),"Grande qualidade de impressão a cores. Pode imprimir directamente a partir de cartões de memória flash de câmera digital.")</f>
        <v>Grande qualidade de impressão a cores. Pode imprimir directamente a partir de cartões de memória flash de câmera digital.</v>
      </c>
      <c r="B46601" s="3">
        <v>1</v>
      </c>
    </row>
    <row r="46602" ht="15.75" customHeight="1" spans="1:2">
      <c r="A46602" s="3" t="str">
        <f>IFERROR(__xludf.DUMMYFUNCTION("GOOGLETRANSLATE(A46602,""en"",""pt"")"),"saída impressionante - é realmente de cair o queixo.")</f>
        <v>saída impressionante - é realmente de cair o queixo.</v>
      </c>
      <c r="B46602" s="3">
        <v>1</v>
      </c>
    </row>
    <row r="46603" ht="15.75" customHeight="1" spans="1:2">
      <c r="A46603" s="3" t="str">
        <f>IFERROR(__xludf.DUMMYFUNCTION("GOOGLETRANSLATE(A46603,""en"",""pt"")"),"Leitores de mídia! qualidade de impressão impressionante. E tão quieta!")</f>
        <v>Leitores de mídia! qualidade de impressão impressionante. E tão quieta!</v>
      </c>
      <c r="B46603" s="3">
        <v>1</v>
      </c>
    </row>
    <row r="46604" ht="15.75" customHeight="1" spans="1:2">
      <c r="A46604" s="3" t="str">
        <f>IFERROR(__xludf.DUMMYFUNCTION("GOOGLETRANSLATE(A46604,""en"",""pt"")"),"Boa qualidade.")</f>
        <v>Boa qualidade.</v>
      </c>
      <c r="B46604" s="3">
        <v>1</v>
      </c>
    </row>
    <row r="46605" ht="15.75" customHeight="1" spans="1:2">
      <c r="A46605" s="3" t="str">
        <f>IFERROR(__xludf.DUMMYFUNCTION("GOOGLETRANSLATE(A46605,""en"",""pt"")"),"Transferências de cartão de memória, grande cor e resolução")</f>
        <v>Transferências de cartão de memória, grande cor e resolução</v>
      </c>
      <c r="B46605" s="3">
        <v>1</v>
      </c>
    </row>
    <row r="46606" ht="15.75" customHeight="1" spans="1:2">
      <c r="A46606" s="3" t="str">
        <f>IFERROR(__xludf.DUMMYFUNCTION("GOOGLETRANSLATE(A46606,""en"",""pt"")"),"Muito user-friendly; excelente qualidade de impressão.")</f>
        <v>Muito user-friendly; excelente qualidade de impressão.</v>
      </c>
      <c r="B46606" s="3">
        <v>1</v>
      </c>
    </row>
    <row r="46607" ht="15.75" customHeight="1" spans="1:2">
      <c r="A46607" s="3" t="str">
        <f>IFERROR(__xludf.DUMMYFUNCTION("GOOGLETRANSLATE(A46607,""en"",""pt"")"),"Muito fácil de usar, imprime grande")</f>
        <v>Muito fácil de usar, imprime grande</v>
      </c>
      <c r="B46607" s="3">
        <v>1</v>
      </c>
    </row>
    <row r="46608" ht="15.75" customHeight="1" spans="1:2">
      <c r="A46608" s="3" t="str">
        <f>IFERROR(__xludf.DUMMYFUNCTION("GOOGLETRANSLATE(A46608,""en"",""pt"")"),"Tudo ao redor versátil impressora e, entrada de cartão de mídia inteligente.")</f>
        <v>Tudo ao redor versátil impressora e, entrada de cartão de mídia inteligente.</v>
      </c>
      <c r="B46608" s="3">
        <v>1</v>
      </c>
    </row>
    <row r="46609" ht="15.75" customHeight="1" spans="1:2">
      <c r="A46609" s="3" t="str">
        <f>IFERROR(__xludf.DUMMYFUNCTION("GOOGLETRANSLATE(A46609,""en"",""pt"")"),"rápidas verdadeiros impressões a cores EM CIRCULAÇÃO")</f>
        <v>rápidas verdadeiros impressões a cores EM CIRCULAÇÃO</v>
      </c>
      <c r="B46609" s="3">
        <v>1</v>
      </c>
    </row>
    <row r="46610" ht="15.75" customHeight="1" spans="1:2">
      <c r="A46610" s="3" t="str">
        <f>IFERROR(__xludf.DUMMYFUNCTION("GOOGLETRANSLATE(A46610,""en"",""pt"")"),"impressão de qualidade impressionante")</f>
        <v>impressão de qualidade impressionante</v>
      </c>
      <c r="B46610" s="3">
        <v>1</v>
      </c>
    </row>
    <row r="46611" ht="15.75" customHeight="1" spans="1:2">
      <c r="A46611" s="3" t="str">
        <f>IFERROR(__xludf.DUMMYFUNCTION("GOOGLETRANSLATE(A46611,""en"",""pt"")"),"Produz belas impressões com qualidade fotográfica.")</f>
        <v>Produz belas impressões com qualidade fotográfica.</v>
      </c>
      <c r="B46611" s="3">
        <v>1</v>
      </c>
    </row>
    <row r="46612" ht="15.75" customHeight="1" spans="1:2">
      <c r="A46612" s="3" t="str">
        <f>IFERROR(__xludf.DUMMYFUNCTION("GOOGLETRANSLATE(A46612,""en"",""pt"")"),"Qualidade de imagem, velocidade de impressão, slots de cartão de flash compacto e cartões de mídia inteligentes.")</f>
        <v>Qualidade de imagem, velocidade de impressão, slots de cartão de flash compacto e cartões de mídia inteligentes.</v>
      </c>
      <c r="B46612" s="3">
        <v>1</v>
      </c>
    </row>
    <row r="46613" ht="15.75" customHeight="1" spans="1:2">
      <c r="A46613" s="3" t="str">
        <f>IFERROR(__xludf.DUMMYFUNCTION("GOOGLETRANSLATE(A46613,""en"",""pt"")"),"Grandes impressões para o fotógrafo digital iniciante")</f>
        <v>Grandes impressões para o fotógrafo digital iniciante</v>
      </c>
      <c r="B46613" s="3">
        <v>1</v>
      </c>
    </row>
    <row r="46614" ht="15.75" customHeight="1" spans="1:2">
      <c r="A46614" s="3" t="str">
        <f>IFERROR(__xludf.DUMMYFUNCTION("GOOGLETRANSLATE(A46614,""en"",""pt"")"),"impressões de alta qualidade, tanto para uses.Quite normal e foto, rápido e muito sexy ...")</f>
        <v>impressões de alta qualidade, tanto para uses.Quite normal e foto, rápido e muito sexy ...</v>
      </c>
      <c r="B46614" s="3">
        <v>1</v>
      </c>
    </row>
    <row r="46615" ht="15.75" customHeight="1" spans="1:2">
      <c r="A46615" s="3" t="str">
        <f>IFERROR(__xludf.DUMMYFUNCTION("GOOGLETRANSLATE(A46615,""en"",""pt"")"),"saída brilhante em qualquer papel. Rápido, fácil de usar, prático, não precisa de um computador para imprimir.")</f>
        <v>saída brilhante em qualquer papel. Rápido, fácil de usar, prático, não precisa de um computador para imprimir.</v>
      </c>
      <c r="B46615" s="3">
        <v>1</v>
      </c>
    </row>
    <row r="46616" ht="15.75" customHeight="1" spans="1:2">
      <c r="A46616" s="3" t="str">
        <f>IFERROR(__xludf.DUMMYFUNCTION("GOOGLETRANSLATE(A46616,""en"",""pt"")"),"Imprimir Qualidade, flexibilidade, velocidade")</f>
        <v>Imprimir Qualidade, flexibilidade, velocidade</v>
      </c>
      <c r="B46616" s="3">
        <v>1</v>
      </c>
    </row>
    <row r="46617" ht="15.75" customHeight="1" spans="1:2">
      <c r="A46617" s="3" t="str">
        <f>IFERROR(__xludf.DUMMYFUNCTION("GOOGLETRANSLATE(A46617,""en"",""pt"")"),"Rápido, silencioso e muito confiável.")</f>
        <v>Rápido, silencioso e muito confiável.</v>
      </c>
      <c r="B46617" s="3">
        <v>1</v>
      </c>
    </row>
    <row r="46618" ht="15.75" customHeight="1" spans="1:2">
      <c r="A46618" s="3" t="str">
        <f>IFERROR(__xludf.DUMMYFUNCTION("GOOGLETRANSLATE(A46618,""en"",""pt"")"),", impressões rápidas e tranquila, cartão de mídia")</f>
        <v>, impressões rápidas e tranquila, cartão de mídia</v>
      </c>
      <c r="B46618" s="3">
        <v>1</v>
      </c>
    </row>
    <row r="46619" ht="15.75" customHeight="1" spans="1:2">
      <c r="A46619" s="3" t="str">
        <f>IFERROR(__xludf.DUMMYFUNCTION("GOOGLETRANSLATE(A46619,""en"",""pt"")"),"Rápido. A qualidade da foto. Parece legal, também.")</f>
        <v>Rápido. A qualidade da foto. Parece legal, também.</v>
      </c>
      <c r="B46619" s="3">
        <v>1</v>
      </c>
    </row>
    <row r="46620" ht="15.75" customHeight="1" spans="1:2">
      <c r="A46620" s="3" t="str">
        <f>IFERROR(__xludf.DUMMYFUNCTION("GOOGLETRANSLATE(A46620,""en"",""pt"")"),"Rápido. A qualidade da foto. Parece legal, também.")</f>
        <v>Rápido. A qualidade da foto. Parece legal, também.</v>
      </c>
      <c r="B46620" s="3">
        <v>1</v>
      </c>
    </row>
    <row r="46621" ht="15.75" customHeight="1" spans="1:2">
      <c r="A46621" s="3" t="str">
        <f>IFERROR(__xludf.DUMMYFUNCTION("GOOGLETRANSLATE(A46621,""en"",""pt"")"),"Fácil de configurar, imagens nítidas")</f>
        <v>Fácil de configurar, imagens nítidas</v>
      </c>
      <c r="B46621" s="3">
        <v>1</v>
      </c>
    </row>
    <row r="46622" ht="15.75" customHeight="1" spans="1:2">
      <c r="A46622" s="3" t="str">
        <f>IFERROR(__xludf.DUMMYFUNCTION("GOOGLETRANSLATE(A46622,""en"",""pt"")"),"grandes 8x10 fotos, slots para Smart Media / Compact Flash, 4x6 e 8.5x11 bandejas, silencioso, rápido.")</f>
        <v>grandes 8x10 fotos, slots para Smart Media / Compact Flash, 4x6 e 8.5x11 bandejas, silencioso, rápido.</v>
      </c>
      <c r="B46622" s="3">
        <v>1</v>
      </c>
    </row>
    <row r="46623" ht="15.75" customHeight="1" spans="1:2">
      <c r="A46623" s="3" t="str">
        <f>IFERROR(__xludf.DUMMYFUNCTION("GOOGLETRANSLATE(A46623,""en"",""pt"")"),"conveniência")</f>
        <v>conveniência</v>
      </c>
      <c r="B46623" s="3">
        <v>1</v>
      </c>
    </row>
    <row r="46624" ht="15.75" customHeight="1" spans="1:2">
      <c r="A46624" s="3" t="str">
        <f>IFERROR(__xludf.DUMMYFUNCTION("GOOGLETRANSLATE(A46624,""en"",""pt"")"),"Grandes características para o preço.")</f>
        <v>Grandes características para o preço.</v>
      </c>
      <c r="B46624" s="3">
        <v>1</v>
      </c>
    </row>
    <row r="46625" ht="15.75" customHeight="1" spans="1:2">
      <c r="A46625" s="3" t="str">
        <f>IFERROR(__xludf.DUMMYFUNCTION("GOOGLETRANSLATE(A46625,""en"",""pt"")"),"modo autônomo, de alta qualidade de impressão (mesmo em um papel usual), impressão frente e verso")</f>
        <v>modo autônomo, de alta qualidade de impressão (mesmo em um papel usual), impressão frente e verso</v>
      </c>
      <c r="B46625" s="3">
        <v>1</v>
      </c>
    </row>
    <row r="46626" ht="15.75" customHeight="1" spans="1:2">
      <c r="A46626" s="3" t="str">
        <f>IFERROR(__xludf.DUMMYFUNCTION("GOOGLETRANSLATE(A46626,""en"",""pt"")"),"Grande fabricante de foto e impressão frente e verso.")</f>
        <v>Grande fabricante de foto e impressão frente e verso.</v>
      </c>
      <c r="B46626" s="3">
        <v>1</v>
      </c>
    </row>
    <row r="46627" ht="15.75" customHeight="1" spans="1:2">
      <c r="A46627" s="3" t="str">
        <f>IFERROR(__xludf.DUMMYFUNCTION("GOOGLETRANSLATE(A46627,""en"",""pt"")"),"Photo Quality Prints, Impressão Duplex, Limpar texto Impressão")</f>
        <v>Photo Quality Prints, Impressão Duplex, Limpar texto Impressão</v>
      </c>
      <c r="B46627" s="3">
        <v>1</v>
      </c>
    </row>
    <row r="46628" ht="15.75" customHeight="1" spans="1:2">
      <c r="A46628" s="3" t="str">
        <f>IFERROR(__xludf.DUMMYFUNCTION("GOOGLETRANSLATE(A46628,""en"",""pt"")"),"Grandes cópias da foto, fácil de usar")</f>
        <v>Grandes cópias da foto, fácil de usar</v>
      </c>
      <c r="B46628" s="3">
        <v>1</v>
      </c>
    </row>
    <row r="46629" ht="15.75" customHeight="1" spans="1:2">
      <c r="A46629" s="3" t="str">
        <f>IFERROR(__xludf.DUMMYFUNCTION("GOOGLETRANSLATE(A46629,""en"",""pt"")"),"instalação simples, resultados brilhantes")</f>
        <v>instalação simples, resultados brilhantes</v>
      </c>
      <c r="B46629" s="3">
        <v>1</v>
      </c>
    </row>
    <row r="46630" ht="15.75" customHeight="1" spans="1:2">
      <c r="A46630" s="3" t="str">
        <f>IFERROR(__xludf.DUMMYFUNCTION("GOOGLETRANSLATE(A46630,""en"",""pt"")"),"Multi-Purpose, facilidade de uso, Grande foto &amp; amp; amp; Extremamente silencioso ao imprimir")</f>
        <v>Multi-Purpose, facilidade de uso, Grande foto &amp; amp; amp; Extremamente silencioso ao imprimir</v>
      </c>
      <c r="B46630" s="3">
        <v>1</v>
      </c>
    </row>
    <row r="46631" ht="15.75" customHeight="1" spans="1:2">
      <c r="A46631" s="3" t="str">
        <f>IFERROR(__xludf.DUMMYFUNCTION("GOOGLETRANSLATE(A46631,""en"",""pt"")"),"PC e Mac amigável")</f>
        <v>PC e Mac amigável</v>
      </c>
      <c r="B46631" s="3">
        <v>1</v>
      </c>
    </row>
    <row r="46632" ht="15.75" customHeight="1" spans="1:2">
      <c r="A46632" s="3" t="str">
        <f>IFERROR(__xludf.DUMMYFUNCTION("GOOGLETRANSLATE(A46632,""en"",""pt"")"),"Laser-como a qualidade, amostra de papel fotográfico brilho incluída, indicador de LCD, bandeja de alimentação de papel duplo")</f>
        <v>Laser-como a qualidade, amostra de papel fotográfico brilho incluída, indicador de LCD, bandeja de alimentação de papel duplo</v>
      </c>
      <c r="B46632" s="3">
        <v>1</v>
      </c>
    </row>
    <row r="46633" ht="15.75" customHeight="1" spans="1:2">
      <c r="A46633" s="3" t="str">
        <f>IFERROR(__xludf.DUMMYFUNCTION("GOOGLETRANSLATE(A46633,""en"",""pt"")"),"que as impressoras concorrentes de sublimação de tinta de resolução e cor.")</f>
        <v>que as impressoras concorrentes de sublimação de tinta de resolução e cor.</v>
      </c>
      <c r="B46633" s="3">
        <v>1</v>
      </c>
    </row>
    <row r="46634" ht="15.75" customHeight="1" spans="1:2">
      <c r="A46634" s="3" t="str">
        <f>IFERROR(__xludf.DUMMYFUNCTION("GOOGLETRANSLATE(A46634,""en"",""pt"")"),"Qualidade de Imagem, Fácil de configurar, Versatilidade")</f>
        <v>Qualidade de Imagem, Fácil de configurar, Versatilidade</v>
      </c>
      <c r="B46634" s="3">
        <v>1</v>
      </c>
    </row>
    <row r="46635" ht="15.75" customHeight="1" spans="1:2">
      <c r="A46635" s="3" t="str">
        <f>IFERROR(__xludf.DUMMYFUNCTION("GOOGLETRANSLATE(A46635,""en"",""pt"")"),"Pode fazer praticamente qualquer coisa")</f>
        <v>Pode fazer praticamente qualquer coisa</v>
      </c>
      <c r="B46635" s="3">
        <v>1</v>
      </c>
    </row>
    <row r="46636" ht="15.75" customHeight="1" spans="1:2">
      <c r="A46636" s="3" t="str">
        <f>IFERROR(__xludf.DUMMYFUNCTION("GOOGLETRANSLATE(A46636,""en"",""pt"")"),"Grande Photo Quality, Imprimir fotos sem um computador!")</f>
        <v>Grande Photo Quality, Imprimir fotos sem um computador!</v>
      </c>
      <c r="B46636" s="3">
        <v>1</v>
      </c>
    </row>
    <row r="46637" ht="15.75" customHeight="1" spans="1:2">
      <c r="A46637" s="3" t="str">
        <f>IFERROR(__xludf.DUMMYFUNCTION("GOOGLETRANSLATE(A46637,""en"",""pt"")"),"Top-notch qualidade da foto. Rápido e grande para o texto. Quieto.")</f>
        <v>Top-notch qualidade da foto. Rápido e grande para o texto. Quieto.</v>
      </c>
      <c r="B46637" s="3">
        <v>1</v>
      </c>
    </row>
    <row r="46638" ht="15.75" customHeight="1" spans="1:2">
      <c r="A46638" s="3" t="str">
        <f>IFERROR(__xludf.DUMMYFUNCTION("GOOGLETRANSLATE(A46638,""en"",""pt"")"),"Seis cores de tinta, novo e elegante design, impressão sem margens. Funciona com OSX.")</f>
        <v>Seis cores de tinta, novo e elegante design, impressão sem margens. Funciona com OSX.</v>
      </c>
      <c r="B46638" s="3">
        <v>1</v>
      </c>
    </row>
    <row r="46639" ht="15.75" customHeight="1" spans="1:2">
      <c r="A46639" s="3" t="str">
        <f>IFERROR(__xludf.DUMMYFUNCTION("GOOGLETRANSLATE(A46639,""en"",""pt"")"),"fotos OMG estão saindo desta máquina!")</f>
        <v>fotos OMG estão saindo desta máquina!</v>
      </c>
      <c r="B46639" s="3">
        <v>1</v>
      </c>
    </row>
    <row r="46640" ht="15.75" customHeight="1" spans="1:2">
      <c r="A46640" s="3" t="str">
        <f>IFERROR(__xludf.DUMMYFUNCTION("GOOGLETRANSLATE(A46640,""en"",""pt"")"),"Grandes impressões, user-friendly, leitor de cartões e software adicional útil.")</f>
        <v>Grandes impressões, user-friendly, leitor de cartões e software adicional útil.</v>
      </c>
      <c r="B46640" s="3">
        <v>1</v>
      </c>
    </row>
    <row r="46641" ht="15.75" customHeight="1" spans="1:2">
      <c r="A46641" s="3" t="str">
        <f>IFERROR(__xludf.DUMMYFUNCTION("GOOGLETRANSLATE(A46641,""en"",""pt"")"),"Excelente qualidade de impressão, ótimo para câmeras digitais")</f>
        <v>Excelente qualidade de impressão, ótimo para câmeras digitais</v>
      </c>
      <c r="B46641" s="3">
        <v>1</v>
      </c>
    </row>
    <row r="46642" ht="15.75" customHeight="1" spans="1:2">
      <c r="A46642" s="3" t="str">
        <f>IFERROR(__xludf.DUMMYFUNCTION("GOOGLETRANSLATE(A46642,""en"",""pt"")"),"leitor de cartão, boas cópias.")</f>
        <v>leitor de cartão, boas cópias.</v>
      </c>
      <c r="B46642" s="3">
        <v>1</v>
      </c>
    </row>
    <row r="46643" ht="15.75" customHeight="1" spans="1:2">
      <c r="A46643" s="3" t="str">
        <f>IFERROR(__xludf.DUMMYFUNCTION("GOOGLETRANSLATE(A46643,""en"",""pt"")"),"Elegante, rápido e excelentes impressões de fotografias")</f>
        <v>Elegante, rápido e excelentes impressões de fotografias</v>
      </c>
      <c r="B46643" s="3">
        <v>1</v>
      </c>
    </row>
    <row r="46644" ht="15.75" customHeight="1" spans="1:2">
      <c r="A46644" s="3" t="str">
        <f>IFERROR(__xludf.DUMMYFUNCTION("GOOGLETRANSLATE(A46644,""en"",""pt"")"),"Excelente qualidade de impressão.")</f>
        <v>Excelente qualidade de impressão.</v>
      </c>
      <c r="B46644" s="3">
        <v>1</v>
      </c>
    </row>
    <row r="46645" ht="15.75" customHeight="1" spans="1:2">
      <c r="A46645" s="3" t="str">
        <f>IFERROR(__xludf.DUMMYFUNCTION("GOOGLETRANSLATE(A46645,""en"",""pt"")"),"Esta é uma grande impressora de qualidade fotográfica.")</f>
        <v>Esta é uma grande impressora de qualidade fotográfica.</v>
      </c>
      <c r="B46645" s="3">
        <v>1</v>
      </c>
    </row>
    <row r="46646" ht="15.75" customHeight="1" spans="1:2">
      <c r="A46646" s="3" t="str">
        <f>IFERROR(__xludf.DUMMYFUNCTION("GOOGLETRANSLATE(A46646,""en"",""pt"")"),"belas impressões, impressora grande cavalo de batalha, eu disse impressão bonita?")</f>
        <v>belas impressões, impressora grande cavalo de batalha, eu disse impressão bonita?</v>
      </c>
      <c r="B46646" s="3">
        <v>1</v>
      </c>
    </row>
    <row r="46647" ht="15.75" customHeight="1" spans="1:2">
      <c r="A46647" s="3" t="str">
        <f>IFERROR(__xludf.DUMMYFUNCTION("GOOGLETRANSLATE(A46647,""en"",""pt"")"),"Grande qualidade de foto e tranquilo.")</f>
        <v>Grande qualidade de foto e tranquilo.</v>
      </c>
      <c r="B46647" s="3">
        <v>1</v>
      </c>
    </row>
    <row r="46648" ht="15.75" customHeight="1" spans="1:2">
      <c r="A46648" s="3" t="str">
        <f>IFERROR(__xludf.DUMMYFUNCTION("GOOGLETRANSLATE(A46648,""en"",""pt"")"),"Imprima directamente a partir de cartões de memória digital. A impressão sem margens em 4x6 do tamanho da foto.")</f>
        <v>Imprima directamente a partir de cartões de memória digital. A impressão sem margens em 4x6 do tamanho da foto.</v>
      </c>
      <c r="B46648" s="3">
        <v>1</v>
      </c>
    </row>
    <row r="46649" ht="15.75" customHeight="1" spans="1:2">
      <c r="A46649" s="3" t="str">
        <f>IFERROR(__xludf.DUMMYFUNCTION("GOOGLETRANSLATE(A46649,""en"",""pt"")"),"Ótimas fotos! Muito bom em projetos cor.")</f>
        <v>Ótimas fotos! Muito bom em projetos cor.</v>
      </c>
      <c r="B46649" s="3">
        <v>1</v>
      </c>
    </row>
    <row r="46650" ht="15.75" customHeight="1" spans="1:2">
      <c r="A46650" s="3" t="str">
        <f>IFERROR(__xludf.DUMMYFUNCTION("GOOGLETRANSLATE(A46650,""en"",""pt"")"),"Fantástico em todo impressora de volta - grandes gráficos, fotos e texto.")</f>
        <v>Fantástico em todo impressora de volta - grandes gráficos, fotos e texto.</v>
      </c>
      <c r="B46650" s="3">
        <v>1</v>
      </c>
    </row>
    <row r="46651" ht="15.75" customHeight="1" spans="1:2">
      <c r="A46651" s="3" t="str">
        <f>IFERROR(__xludf.DUMMYFUNCTION("GOOGLETRANSLATE(A46651,""en"",""pt"")"),"Notável qualidade de impressão de fotos.")</f>
        <v>Notável qualidade de impressão de fotos.</v>
      </c>
      <c r="B46651" s="3">
        <v>1</v>
      </c>
    </row>
    <row r="46652" ht="15.75" customHeight="1" spans="1:2">
      <c r="A46652" s="3" t="str">
        <f>IFERROR(__xludf.DUMMYFUNCTION("GOOGLETRANSLATE(A46652,""en"",""pt"")"),"Alta qualidade da impressão fotográfica a um preço acessível")</f>
        <v>Alta qualidade da impressão fotográfica a um preço acessível</v>
      </c>
      <c r="B46652" s="3">
        <v>1</v>
      </c>
    </row>
    <row r="46653" ht="15.75" customHeight="1" spans="1:2">
      <c r="A46653" s="3" t="str">
        <f>IFERROR(__xludf.DUMMYFUNCTION("GOOGLETRANSLATE(A46653,""en"",""pt"")"),"excelente qualidade de imagem, facilidade de uso")</f>
        <v>excelente qualidade de imagem, facilidade de uso</v>
      </c>
      <c r="B46653" s="3">
        <v>1</v>
      </c>
    </row>
    <row r="46654" ht="15.75" customHeight="1" spans="1:2">
      <c r="A46654" s="3" t="str">
        <f>IFERROR(__xludf.DUMMYFUNCTION("GOOGLETRANSLATE(A46654,""en"",""pt"")"),"excelente qualidade de impressão, não poderia ser mais fácil de usar")</f>
        <v>excelente qualidade de impressão, não poderia ser mais fácil de usar</v>
      </c>
      <c r="B46654" s="3">
        <v>1</v>
      </c>
    </row>
    <row r="46655" ht="15.75" customHeight="1" spans="1:2">
      <c r="A46655" s="3" t="str">
        <f>IFERROR(__xludf.DUMMYFUNCTION("GOOGLETRANSLATE(A46655,""en"",""pt"")"),"Foto de excelente qualidade. Construído em leitores de cartões. Pode imprimir sem um PC.")</f>
        <v>Foto de excelente qualidade. Construído em leitores de cartões. Pode imprimir sem um PC.</v>
      </c>
      <c r="B46655" s="3">
        <v>1</v>
      </c>
    </row>
    <row r="46656" ht="15.75" customHeight="1" spans="1:2">
      <c r="A46656" s="3" t="str">
        <f>IFERROR(__xludf.DUMMYFUNCTION("GOOGLETRANSLATE(A46656,""en"",""pt"")"),"Muito boa qualidade de fotos com papéis superiores. Fácil de usar leitor de cartão de memória / gravador. excelente preço")</f>
        <v>Muito boa qualidade de fotos com papéis superiores. Fácil de usar leitor de cartão de memória / gravador. excelente preço</v>
      </c>
      <c r="B46656" s="3">
        <v>1</v>
      </c>
    </row>
    <row r="46657" ht="15.75" customHeight="1" spans="1:2">
      <c r="A46657" s="3" t="str">
        <f>IFERROR(__xludf.DUMMYFUNCTION("GOOGLETRANSLATE(A46657,""en"",""pt"")"),"Imprimir suas fotos sem um computador e visualizá-los na tela LCD da impressora.")</f>
        <v>Imprimir suas fotos sem um computador e visualizá-los na tela LCD da impressora.</v>
      </c>
      <c r="B46657" s="3">
        <v>1</v>
      </c>
    </row>
    <row r="46658" ht="15.75" customHeight="1" spans="1:2">
      <c r="A46658" s="3" t="str">
        <f>IFERROR(__xludf.DUMMYFUNCTION("GOOGLETRANSLATE(A46658,""en"",""pt"")"),"Excelente qualidade de detalhe, excelente impressão geral, LCD a cores, aceita muitos tipos de cartão")</f>
        <v>Excelente qualidade de detalhe, excelente impressão geral, LCD a cores, aceita muitos tipos de cartão</v>
      </c>
      <c r="B46658" s="3">
        <v>1</v>
      </c>
    </row>
    <row r="46659" ht="15.75" customHeight="1" spans="1:2">
      <c r="A46659" s="3" t="str">
        <f>IFERROR(__xludf.DUMMYFUNCTION("GOOGLETRANSLATE(A46659,""en"",""pt"")"),"Leve, fácil de instalar")</f>
        <v>Leve, fácil de instalar</v>
      </c>
      <c r="B46659" s="3">
        <v>1</v>
      </c>
    </row>
    <row r="46660" ht="15.75" customHeight="1" spans="1:2">
      <c r="A46660" s="3" t="str">
        <f>IFERROR(__xludf.DUMMYFUNCTION("GOOGLETRANSLATE(A46660,""en"",""pt"")"),"A qualidade é impressionante, a velocidade é excelente, a tela LCD é grande ....")</f>
        <v>A qualidade é impressionante, a velocidade é excelente, a tela LCD é grande ....</v>
      </c>
      <c r="B46660" s="3">
        <v>1</v>
      </c>
    </row>
    <row r="46661" ht="15.75" customHeight="1" spans="1:2">
      <c r="A46661" s="3" t="str">
        <f>IFERROR(__xludf.DUMMYFUNCTION("GOOGLETRANSLATE(A46661,""en"",""pt"")"),"Tranquila, atraente, robusto, confiável, tinta de qualidade, bandeja 4x6 separado, impressões soberbas após o ajuste software")</f>
        <v>Tranquila, atraente, robusto, confiável, tinta de qualidade, bandeja 4x6 separado, impressões soberbas após o ajuste software</v>
      </c>
      <c r="B46661" s="3">
        <v>1</v>
      </c>
    </row>
    <row r="46662" ht="15.75" customHeight="1" spans="1:2">
      <c r="A46662" s="3" t="str">
        <f>IFERROR(__xludf.DUMMYFUNCTION("GOOGLETRANSLATE(A46662,""en"",""pt"")"),"Altamente versátil recursos de entrada, rápido texto velocidade de impressão, grande saída de impressão, intuitivas, a HP confiabilidade histórica.")</f>
        <v>Altamente versátil recursos de entrada, rápido texto velocidade de impressão, grande saída de impressão, intuitivas, a HP confiabilidade histórica.</v>
      </c>
      <c r="B46662" s="3">
        <v>1</v>
      </c>
    </row>
    <row r="46663" ht="15.75" customHeight="1" spans="1:2">
      <c r="A46663" s="3" t="str">
        <f>IFERROR(__xludf.DUMMYFUNCTION("GOOGLETRANSLATE(A46663,""en"",""pt"")"),"Imprimir a partir do cartão de memória digital sem usar um computador, a maioria dos formatos de cartão de memória suportada.")</f>
        <v>Imprimir a partir do cartão de memória digital sem usar um computador, a maioria dos formatos de cartão de memória suportada.</v>
      </c>
      <c r="B46663" s="3">
        <v>1</v>
      </c>
    </row>
    <row r="46664" ht="15.75" customHeight="1" spans="1:2">
      <c r="A46664" s="3" t="str">
        <f>IFERROR(__xludf.DUMMYFUNCTION("GOOGLETRANSLATE(A46664,""en"",""pt"")"),"grande qualidade de impressão. comporta o cartucho 3-cor extra. slots de cartão de memória. detém 4x6 papel.")</f>
        <v>grande qualidade de impressão. comporta o cartucho 3-cor extra. slots de cartão de memória. detém 4x6 papel.</v>
      </c>
      <c r="B46664" s="3">
        <v>1</v>
      </c>
    </row>
    <row r="46665" ht="15.75" customHeight="1" spans="1:2">
      <c r="A46665" s="3" t="str">
        <f>IFERROR(__xludf.DUMMYFUNCTION("GOOGLETRANSLATE(A46665,""en"",""pt"")"),"LCD, qualidade impressões agradáveis, e é fácil de usar")</f>
        <v>LCD, qualidade impressões agradáveis, e é fácil de usar</v>
      </c>
      <c r="B46665" s="3">
        <v>1</v>
      </c>
    </row>
    <row r="46666" ht="15.75" customHeight="1" spans="1:2">
      <c r="A46666" s="3" t="str">
        <f>IFERROR(__xludf.DUMMYFUNCTION("GOOGLETRANSLATE(A46666,""en"",""pt"")"),"Qualidade de imagem, facilidade de instalação, Preço Reduzido ($ 299)! Deve comprar!")</f>
        <v>Qualidade de imagem, facilidade de instalação, Preço Reduzido ($ 299)! Deve comprar!</v>
      </c>
      <c r="B46666" s="3">
        <v>1</v>
      </c>
    </row>
    <row r="46667" ht="15.75" customHeight="1" spans="1:2">
      <c r="A46667" s="3" t="str">
        <f>IFERROR(__xludf.DUMMYFUNCTION("GOOGLETRANSLATE(A46667,""en"",""pt"")"),"Excelente qualidade de imagem, fácil de usar, imprime diretamente do cartão de memória")</f>
        <v>Excelente qualidade de imagem, fácil de usar, imprime diretamente do cartão de memória</v>
      </c>
      <c r="B46667" s="3">
        <v>1</v>
      </c>
    </row>
    <row r="46668" ht="15.75" customHeight="1" spans="1:2">
      <c r="A46668" s="3" t="str">
        <f>IFERROR(__xludf.DUMMYFUNCTION("GOOGLETRANSLATE(A46668,""en"",""pt"")"),"Imprimir as imagens que deseja &amp; amp;. # 13; &amp; amp; # 10; Escolha o tamanho &amp; amp;. # 13; &amp; amp; # 10; Salvar imagens para pc de impressão &amp; amp;. # 13; &amp; amp; # 10;")</f>
        <v>Imprimir as imagens que deseja &amp; amp;. # 13; &amp; amp; # 10; Escolha o tamanho &amp; amp;. # 13; &amp; amp; # 10; Salvar imagens para pc de impressão &amp; amp;. # 13; &amp; amp; # 10;</v>
      </c>
      <c r="B46668" s="3">
        <v>1</v>
      </c>
    </row>
    <row r="46669" ht="15.75" customHeight="1" spans="1:2">
      <c r="A46669" s="3" t="str">
        <f>IFERROR(__xludf.DUMMYFUNCTION("GOOGLETRANSLATE(A46669,""en"",""pt"")"),"Excelente qualidade de imagem, muito fácil de operar, bom valor")</f>
        <v>Excelente qualidade de imagem, muito fácil de operar, bom valor</v>
      </c>
      <c r="B46669" s="3">
        <v>1</v>
      </c>
    </row>
    <row r="46670" ht="15.75" customHeight="1" spans="1:2">
      <c r="A46670" s="3" t="str">
        <f>IFERROR(__xludf.DUMMYFUNCTION("GOOGLETRANSLATE(A46670,""en"",""pt"")"),"impressão conveniente de seu cartão de memória da câmera digital e um bom preço")</f>
        <v>impressão conveniente de seu cartão de memória da câmera digital e um bom preço</v>
      </c>
      <c r="B46670" s="3">
        <v>1</v>
      </c>
    </row>
    <row r="46671" ht="15.75" customHeight="1" spans="1:2">
      <c r="A46671" s="3" t="str">
        <f>IFERROR(__xludf.DUMMYFUNCTION("GOOGLETRANSLATE(A46671,""en"",""pt"")"),"impressões de alta qualidade")</f>
        <v>impressões de alta qualidade</v>
      </c>
      <c r="B46671" s="3">
        <v>1</v>
      </c>
    </row>
    <row r="46672" ht="15.75" customHeight="1" spans="1:2">
      <c r="A46672" s="3" t="str">
        <f>IFERROR(__xludf.DUMMYFUNCTION("GOOGLETRANSLATE(A46672,""en"",""pt"")"),"Grandes fotos o melhor ótimo preço")</f>
        <v>Grandes fotos o melhor ótimo preço</v>
      </c>
      <c r="B46672" s="3">
        <v>1</v>
      </c>
    </row>
    <row r="46673" ht="15.75" customHeight="1" spans="1:2">
      <c r="A46673" s="3" t="str">
        <f>IFERROR(__xludf.DUMMYFUNCTION("GOOGLETRANSLATE(A46673,""en"",""pt"")"),"baixo custo, boa qualidade")</f>
        <v>baixo custo, boa qualidade</v>
      </c>
      <c r="B46673" s="3">
        <v>1</v>
      </c>
    </row>
    <row r="46674" ht="15.75" customHeight="1" spans="1:2">
      <c r="A46674" s="3" t="str">
        <f>IFERROR(__xludf.DUMMYFUNCTION("GOOGLETRANSLATE(A46674,""en"",""pt"")"),"Alta qualidade fotográfica resultados, confiável, fácil de usar.")</f>
        <v>Alta qualidade fotográfica resultados, confiável, fácil de usar.</v>
      </c>
      <c r="B46674" s="3">
        <v>1</v>
      </c>
    </row>
    <row r="46675" ht="15.75" customHeight="1" spans="1:2">
      <c r="A46675" s="3" t="str">
        <f>IFERROR(__xludf.DUMMYFUNCTION("GOOGLETRANSLATE(A46675,""en"",""pt"")"),"cor supurb")</f>
        <v>cor supurb</v>
      </c>
      <c r="B46675" s="3">
        <v>1</v>
      </c>
    </row>
    <row r="46676" ht="15.75" customHeight="1" spans="1:2">
      <c r="A46676" s="3" t="str">
        <f>IFERROR(__xludf.DUMMYFUNCTION("GOOGLETRANSLATE(A46676,""en"",""pt"")"),"bom preço ótimas fotos")</f>
        <v>bom preço ótimas fotos</v>
      </c>
      <c r="B46676" s="3">
        <v>1</v>
      </c>
    </row>
    <row r="46677" ht="15.75" customHeight="1" spans="1:2">
      <c r="A46677" s="3" t="str">
        <f>IFERROR(__xludf.DUMMYFUNCTION("GOOGLETRANSLATE(A46677,""en"",""pt"")"),"Facilidade de instalação e operação, software")</f>
        <v>Facilidade de instalação e operação, software</v>
      </c>
      <c r="B46677" s="3">
        <v>1</v>
      </c>
    </row>
    <row r="46678" ht="15.75" customHeight="1" spans="1:2">
      <c r="A46678" s="3" t="str">
        <f>IFERROR(__xludf.DUMMYFUNCTION("GOOGLETRANSLATE(A46678,""en"",""pt"")"),"Você vai pensar que você está produzindo fotos")</f>
        <v>Você vai pensar que você está produzindo fotos</v>
      </c>
      <c r="B46678" s="3">
        <v>1</v>
      </c>
    </row>
    <row r="46679" ht="15.75" customHeight="1" spans="1:2">
      <c r="A46679" s="3" t="str">
        <f>IFERROR(__xludf.DUMMYFUNCTION("GOOGLETRANSLATE(A46679,""en"",""pt"")"),"qualidade -o melhor")</f>
        <v>qualidade -o melhor</v>
      </c>
      <c r="B46679" s="3">
        <v>1</v>
      </c>
    </row>
    <row r="46680" ht="15.75" customHeight="1" spans="1:2">
      <c r="A46680" s="3" t="str">
        <f>IFERROR(__xludf.DUMMYFUNCTION("GOOGLETRANSLATE(A46680,""en"",""pt"")"),"fotos maravilhosas")</f>
        <v>fotos maravilhosas</v>
      </c>
      <c r="B46680" s="3">
        <v>1</v>
      </c>
    </row>
    <row r="46681" ht="15.75" customHeight="1" spans="1:2">
      <c r="A46681" s="3" t="str">
        <f>IFERROR(__xludf.DUMMYFUNCTION("GOOGLETRANSLATE(A46681,""en"",""pt"")"),"A melhor qualidade de impressão conhecida para o!")</f>
        <v>A melhor qualidade de impressão conhecida para o!</v>
      </c>
      <c r="B46681" s="3">
        <v>1</v>
      </c>
    </row>
    <row r="46682" ht="15.75" customHeight="1" spans="1:2">
      <c r="A46682" s="3" t="str">
        <f>IFERROR(__xludf.DUMMYFUNCTION("GOOGLETRANSLATE(A46682,""en"",""pt"")"),"Boa qualidade de imagem, relativamente barato")</f>
        <v>Boa qualidade de imagem, relativamente barato</v>
      </c>
      <c r="B46682" s="3">
        <v>1</v>
      </c>
    </row>
    <row r="46683" ht="15.75" customHeight="1" spans="1:2">
      <c r="A46683" s="3" t="str">
        <f>IFERROR(__xludf.DUMMYFUNCTION("GOOGLETRANSLATE(A46683,""en"",""pt"")"),"Possui capacidade para imprimir com ou sem computador ler para aprender mais grandes características.")</f>
        <v>Possui capacidade para imprimir com ou sem computador ler para aprender mais grandes características.</v>
      </c>
      <c r="B46683" s="3">
        <v>1</v>
      </c>
    </row>
    <row r="46684" ht="15.75" customHeight="1" spans="1:2">
      <c r="A46684" s="3" t="str">
        <f>IFERROR(__xludf.DUMMYFUNCTION("GOOGLETRANSLATE(A46684,""en"",""pt"")"),"impressões de boa qualidade!")</f>
        <v>impressões de boa qualidade!</v>
      </c>
      <c r="B46684" s="3">
        <v>1</v>
      </c>
    </row>
    <row r="46685" ht="15.75" customHeight="1" spans="1:2">
      <c r="A46685" s="3" t="str">
        <f>IFERROR(__xludf.DUMMYFUNCTION("GOOGLETRANSLATE(A46685,""en"",""pt"")"),"Fácil de usar e imprime ótimo!")</f>
        <v>Fácil de usar e imprime ótimo!</v>
      </c>
      <c r="B46685" s="3">
        <v>1</v>
      </c>
    </row>
    <row r="46686" ht="15.75" customHeight="1" spans="1:2">
      <c r="A46686" s="3" t="str">
        <f>IFERROR(__xludf.DUMMYFUNCTION("GOOGLETRANSLATE(A46686,""en"",""pt"")"),"recurso leitor de Smart Card")</f>
        <v>recurso leitor de Smart Card</v>
      </c>
      <c r="B46686" s="3">
        <v>1</v>
      </c>
    </row>
    <row r="46687" ht="15.75" customHeight="1" spans="1:2">
      <c r="A46687" s="3" t="str">
        <f>IFERROR(__xludf.DUMMYFUNCTION("GOOGLETRANSLATE(A46687,""en"",""pt"")"),"Fácil de configurar e usar, de grande qualidade, agradável velocidade.")</f>
        <v>Fácil de configurar e usar, de grande qualidade, agradável velocidade.</v>
      </c>
      <c r="B46687" s="3">
        <v>1</v>
      </c>
    </row>
    <row r="46688" ht="15.75" customHeight="1" spans="1:2">
      <c r="A46688" s="3" t="str">
        <f>IFERROR(__xludf.DUMMYFUNCTION("GOOGLETRANSLATE(A46688,""en"",""pt"")"),"&amp; Lt; i &amp; gt; Excelente saída Photo Quality &amp; lt; / i &amp; gt;")</f>
        <v>&amp; Lt; i &amp; gt; Excelente saída Photo Quality &amp; lt; / i &amp; gt;</v>
      </c>
      <c r="B46688" s="3">
        <v>1</v>
      </c>
    </row>
    <row r="46689" ht="15.75" customHeight="1" spans="1:2">
      <c r="A46689" s="3" t="str">
        <f>IFERROR(__xludf.DUMMYFUNCTION("GOOGLETRANSLATE(A46689,""en"",""pt"")"),"grande impressão de fotos")</f>
        <v>grande impressão de fotos</v>
      </c>
      <c r="B46689" s="3">
        <v>1</v>
      </c>
    </row>
    <row r="46690" ht="15.75" customHeight="1" spans="1:2">
      <c r="A46690" s="3" t="str">
        <f>IFERROR(__xludf.DUMMYFUNCTION("GOOGLETRANSLATE(A46690,""en"",""pt"")"),"Qualidade de impressão é impressionante!")</f>
        <v>Qualidade de impressão é impressionante!</v>
      </c>
      <c r="B46690" s="3">
        <v>1</v>
      </c>
    </row>
    <row r="46691" ht="15.75" customHeight="1" spans="1:2">
      <c r="A46691" s="3" t="str">
        <f>IFERROR(__xludf.DUMMYFUNCTION("GOOGLETRANSLATE(A46691,""en"",""pt"")"),"Compact Flash e Smart Media leitor embutido, 4x6"" bandeja de papel")</f>
        <v>Compact Flash e Smart Media leitor embutido, 4x6" bandeja de papel</v>
      </c>
      <c r="B46691" s="3">
        <v>1</v>
      </c>
    </row>
    <row r="46692" ht="15.75" customHeight="1" spans="1:2">
      <c r="A46692" s="3" t="str">
        <f>IFERROR(__xludf.DUMMYFUNCTION("GOOGLETRANSLATE(A46692,""en"",""pt"")"),"belo design, impressão rápida de qualidade, tratamento de papel, opções de caixa de ferramentas / diagnóstico")</f>
        <v>belo design, impressão rápida de qualidade, tratamento de papel, opções de caixa de ferramentas / diagnóstico</v>
      </c>
      <c r="B46692" s="3">
        <v>1</v>
      </c>
    </row>
    <row r="46693" ht="15.75" customHeight="1" spans="1:2">
      <c r="A46693" s="3" t="str">
        <f>IFERROR(__xludf.DUMMYFUNCTION("GOOGLETRANSLATE(A46693,""en"",""pt"")"),"Bom Qualidade da impressão, acesso directo ao cartões de fotos (pode usar w / o computador)")</f>
        <v>Bom Qualidade da impressão, acesso directo ao cartões de fotos (pode usar w / o computador)</v>
      </c>
      <c r="B46693" s="3">
        <v>1</v>
      </c>
    </row>
    <row r="46694" ht="15.75" customHeight="1" spans="1:2">
      <c r="A46694" s="3" t="str">
        <f>IFERROR(__xludf.DUMMYFUNCTION("GOOGLETRANSLATE(A46694,""en"",""pt"")"),"Slot para cartão de memória, 4x6 Foto Papel Bandeja, Thumbnail Impressão (diretamente do cartão de memória), Durabilidade")</f>
        <v>Slot para cartão de memória, 4x6 Foto Papel Bandeja, Thumbnail Impressão (diretamente do cartão de memória), Durabilidade</v>
      </c>
      <c r="B46694" s="3">
        <v>1</v>
      </c>
    </row>
    <row r="46695" ht="15.75" customHeight="1" spans="1:2">
      <c r="A46695" s="3" t="str">
        <f>IFERROR(__xludf.DUMMYFUNCTION("GOOGLETRANSLATE(A46695,""en"",""pt"")"),"Qualidade de impressão")</f>
        <v>Qualidade de impressão</v>
      </c>
      <c r="B46695" s="3">
        <v>1</v>
      </c>
    </row>
    <row r="46696" ht="15.75" customHeight="1" spans="1:2">
      <c r="A46696" s="3" t="str">
        <f>IFERROR(__xludf.DUMMYFUNCTION("GOOGLETRANSLATE(A46696,""en"",""pt"")"),"A grande qualidade, aceita uma variedade de tipos de papel")</f>
        <v>A grande qualidade, aceita uma variedade de tipos de papel</v>
      </c>
      <c r="B46696" s="3">
        <v>1</v>
      </c>
    </row>
    <row r="46697" ht="15.75" customHeight="1" spans="1:2">
      <c r="A46697" s="3" t="str">
        <f>IFERROR(__xludf.DUMMYFUNCTION("GOOGLETRANSLATE(A46697,""en"",""pt"")"),"Qualidade de impressão de fotos. Smartmedia e Compactflash interface. A velocidade de impressão.")</f>
        <v>Qualidade de impressão de fotos. Smartmedia e Compactflash interface. A velocidade de impressão.</v>
      </c>
      <c r="B46697" s="3">
        <v>1</v>
      </c>
    </row>
    <row r="46698" ht="15.75" customHeight="1" spans="1:2">
      <c r="A46698" s="3" t="str">
        <f>IFERROR(__xludf.DUMMYFUNCTION("GOOGLETRANSLATE(A46698,""en"",""pt"")"),"preços, clareza, recursos")</f>
        <v>preços, clareza, recursos</v>
      </c>
      <c r="B46698" s="3">
        <v>1</v>
      </c>
    </row>
    <row r="46699" ht="15.75" customHeight="1" spans="1:2">
      <c r="A46699" s="3" t="str">
        <f>IFERROR(__xludf.DUMMYFUNCTION("GOOGLETRANSLATE(A46699,""en"",""pt"")"),"Foto impressões de qualidade, tranquila")</f>
        <v>Foto impressões de qualidade, tranquila</v>
      </c>
      <c r="B46699" s="3">
        <v>1</v>
      </c>
    </row>
    <row r="46700" ht="15.75" customHeight="1" spans="1:2">
      <c r="A46700" s="3" t="str">
        <f>IFERROR(__xludf.DUMMYFUNCTION("GOOGLETRANSLATE(A46700,""en"",""pt"")"),"Excelente qualidade de impressão. Ótimo para fotos.")</f>
        <v>Excelente qualidade de impressão. Ótimo para fotos.</v>
      </c>
      <c r="B46700" s="3">
        <v>1</v>
      </c>
    </row>
    <row r="46701" ht="15.75" customHeight="1" spans="1:2">
      <c r="A46701" s="3" t="str">
        <f>IFERROR(__xludf.DUMMYFUNCTION("GOOGLETRANSLATE(A46701,""en"",""pt"")"),"Incrível Qualidade de impressão, impressão Quick Photo, Quiet.")</f>
        <v>Incrível Qualidade de impressão, impressão Quick Photo, Quiet.</v>
      </c>
      <c r="B46701" s="3">
        <v>1</v>
      </c>
    </row>
    <row r="46702" ht="15.75" customHeight="1" spans="1:2">
      <c r="A46702" s="3" t="str">
        <f>IFERROR(__xludf.DUMMYFUNCTION("GOOGLETRANSLATE(A46702,""en"",""pt"")"),"impressões surpreendentes, preço baixo, de alta resolução, Braindead instalar")</f>
        <v>impressões surpreendentes, preço baixo, de alta resolução, Braindead instalar</v>
      </c>
      <c r="B46702" s="3">
        <v>1</v>
      </c>
    </row>
    <row r="46703" ht="15.75" customHeight="1" spans="1:2">
      <c r="A46703" s="3" t="str">
        <f>IFERROR(__xludf.DUMMYFUNCTION("GOOGLETRANSLATE(A46703,""en"",""pt"")"),"característica embalada; simples, saída de qualidade, preço")</f>
        <v>característica embalada; simples, saída de qualidade, preço</v>
      </c>
      <c r="B46703" s="3">
        <v>1</v>
      </c>
    </row>
    <row r="46704" ht="15.75" customHeight="1" spans="1:2">
      <c r="A46704" s="3" t="str">
        <f>IFERROR(__xludf.DUMMYFUNCTION("GOOGLETRANSLATE(A46704,""en"",""pt"")"),"Menos de US $ 200, Grande foto de qualidade, grande texto")</f>
        <v>Menos de US $ 200, Grande foto de qualidade, grande texto</v>
      </c>
      <c r="B46704" s="3">
        <v>1</v>
      </c>
    </row>
    <row r="46705" ht="15.75" customHeight="1" spans="1:2">
      <c r="A46705" s="3" t="str">
        <f>IFERROR(__xludf.DUMMYFUNCTION("GOOGLETRANSLATE(A46705,""en"",""pt"")"),"Impressão rápida e grande impressão de fotografias, pode imprimir diretamente a partir da câmera.")</f>
        <v>Impressão rápida e grande impressão de fotografias, pode imprimir diretamente a partir da câmera.</v>
      </c>
      <c r="B46705" s="3">
        <v>1</v>
      </c>
    </row>
    <row r="46706" ht="15.75" customHeight="1" spans="1:2">
      <c r="A46706" s="3" t="str">
        <f>IFERROR(__xludf.DUMMYFUNCTION("GOOGLETRANSLATE(A46706,""en"",""pt"")"),"Refrigere o design, capacidade de imprimir directamente a partir de cartões de memória sem um computador, a capacidade de baixar fotos de cartões de memória para o computador, impressão a cores rápida")</f>
        <v>Refrigere o design, capacidade de imprimir directamente a partir de cartões de memória sem um computador, a capacidade de baixar fotos de cartões de memória para o computador, impressão a cores rápida</v>
      </c>
      <c r="B46706" s="3">
        <v>1</v>
      </c>
    </row>
    <row r="46707" ht="15.75" customHeight="1" spans="1:2">
      <c r="A46707" s="3" t="str">
        <f>IFERROR(__xludf.DUMMYFUNCTION("GOOGLETRANSLATE(A46707,""en"",""pt"")"),"Grande Printer fotográfica")</f>
        <v>Grande Printer fotográfica</v>
      </c>
      <c r="B46707" s="3">
        <v>1</v>
      </c>
    </row>
    <row r="46708" ht="15.75" customHeight="1" spans="1:2">
      <c r="A46708" s="3" t="str">
        <f>IFERROR(__xludf.DUMMYFUNCTION("GOOGLETRANSLATE(A46708,""en"",""pt"")"),"Calmo, Fast, Lê ""cartões de memória"" (não varas Sony Memory) diretamente, Funciona bem no papel barato.")</f>
        <v>Calmo, Fast, Lê "cartões de memória" (não varas Sony Memory) diretamente, Funciona bem no papel barato.</v>
      </c>
      <c r="B46708" s="3">
        <v>1</v>
      </c>
    </row>
    <row r="46709" ht="15.75" customHeight="1" spans="1:2">
      <c r="A46709" s="3" t="str">
        <f>IFERROR(__xludf.DUMMYFUNCTION("GOOGLETRANSLATE(A46709,""en"",""pt"")"),"Grandes fotos, fácil de usar, rápido e silencioso")</f>
        <v>Grandes fotos, fácil de usar, rápido e silencioso</v>
      </c>
      <c r="B46709" s="3">
        <v>1</v>
      </c>
    </row>
    <row r="46710" ht="15.75" customHeight="1" spans="1:2">
      <c r="A46710" s="3" t="str">
        <f>IFERROR(__xludf.DUMMYFUNCTION("GOOGLETRANSLATE(A46710,""en"",""pt"")"),"Maior de impressora já construído")</f>
        <v>Maior de impressora já construído</v>
      </c>
      <c r="B46710" s="3">
        <v>1</v>
      </c>
    </row>
    <row r="46711" ht="15.75" customHeight="1" spans="1:2">
      <c r="A46711" s="3" t="str">
        <f>IFERROR(__xludf.DUMMYFUNCTION("GOOGLETRANSLATE(A46711,""en"",""pt"")"),"Tranquilos, totalmente caracterizado, impressões de grande qualidade")</f>
        <v>Tranquilos, totalmente caracterizado, impressões de grande qualidade</v>
      </c>
      <c r="B46711" s="3">
        <v>1</v>
      </c>
    </row>
    <row r="46712" ht="15.75" customHeight="1" spans="1:2">
      <c r="A46712" s="3" t="str">
        <f>IFERROR(__xludf.DUMMYFUNCTION("GOOGLETRANSLATE(A46712,""en"",""pt"")"),"Assassino imprime especialmente em papel fotográfico")</f>
        <v>Assassino imprime especialmente em papel fotográfico</v>
      </c>
      <c r="B46712" s="3">
        <v>1</v>
      </c>
    </row>
    <row r="46713" ht="15.75" customHeight="1" spans="1:2">
      <c r="A46713" s="3" t="str">
        <f>IFERROR(__xludf.DUMMYFUNCTION("GOOGLETRANSLATE(A46713,""en"",""pt"")"),"Grande foto impressão de qualidade")</f>
        <v>Grande foto impressão de qualidade</v>
      </c>
      <c r="B46713" s="3">
        <v>1</v>
      </c>
    </row>
    <row r="46714" ht="15.75" customHeight="1" spans="1:2">
      <c r="A46714" s="3" t="str">
        <f>IFERROR(__xludf.DUMMYFUNCTION("GOOGLETRANSLATE(A46714,""en"",""pt"")"),"fotos georgeous")</f>
        <v>fotos georgeous</v>
      </c>
      <c r="B46714" s="3">
        <v>1</v>
      </c>
    </row>
    <row r="46715" ht="15.75" customHeight="1" spans="1:2">
      <c r="A46715" s="3" t="str">
        <f>IFERROR(__xludf.DUMMYFUNCTION("GOOGLETRANSLATE(A46715,""en"",""pt"")"),"rápida, impressora de alta qualidade e impressão")</f>
        <v>rápida, impressora de alta qualidade e impressão</v>
      </c>
      <c r="B46715" s="3">
        <v>1</v>
      </c>
    </row>
    <row r="46716" ht="15.75" customHeight="1" spans="1:2">
      <c r="A46716" s="3" t="str">
        <f>IFERROR(__xludf.DUMMYFUNCTION("GOOGLETRANSLATE(A46716,""en"",""pt"")"),"Grande qualidade de impressão de fotos; tempos de impressão rápidas")</f>
        <v>Grande qualidade de impressão de fotos; tempos de impressão rápidas</v>
      </c>
      <c r="B46716" s="3">
        <v>1</v>
      </c>
    </row>
    <row r="46717" ht="15.75" customHeight="1" spans="1:2">
      <c r="A46717" s="3" t="str">
        <f>IFERROR(__xludf.DUMMYFUNCTION("GOOGLETRANSLATE(A46717,""en"",""pt"")"),"Photo Quality.")</f>
        <v>Photo Quality.</v>
      </c>
      <c r="B46717" s="3">
        <v>1</v>
      </c>
    </row>
    <row r="46718" ht="15.75" customHeight="1" spans="1:2">
      <c r="A46718" s="3" t="str">
        <f>IFERROR(__xludf.DUMMYFUNCTION("GOOGLETRANSLATE(A46718,""en"",""pt"")"),"USB compatível. Excelentes, imagens com qualidade de estúdio")</f>
        <v>USB compatível. Excelentes, imagens com qualidade de estúdio</v>
      </c>
      <c r="B46718" s="3">
        <v>1</v>
      </c>
    </row>
    <row r="46719" ht="15.75" customHeight="1" spans="1:2">
      <c r="A46719" s="3" t="str">
        <f>IFERROR(__xludf.DUMMYFUNCTION("GOOGLETRANSLATE(A46719,""en"",""pt"")"),"produção de qualidade Foto, software fácil, versatilidade e inovador!")</f>
        <v>produção de qualidade Foto, software fácil, versatilidade e inovador!</v>
      </c>
      <c r="B46719" s="3">
        <v>1</v>
      </c>
    </row>
    <row r="46720" ht="15.75" customHeight="1" spans="1:2">
      <c r="A46720" s="3" t="str">
        <f>IFERROR(__xludf.DUMMYFUNCTION("GOOGLETRANSLATE(A46720,""en"",""pt"")"),"Boa qualidade de impressão")</f>
        <v>Boa qualidade de impressão</v>
      </c>
      <c r="B46720" s="3">
        <v>1</v>
      </c>
    </row>
    <row r="46721" ht="15.75" customHeight="1" spans="1:2">
      <c r="A46721" s="3" t="str">
        <f>IFERROR(__xludf.DUMMYFUNCTION("GOOGLETRANSLATE(A46721,""en"",""pt"")"),"Grandes impressões. leitor de cartão conveniente.")</f>
        <v>Grandes impressões. leitor de cartão conveniente.</v>
      </c>
      <c r="B46721" s="3">
        <v>1</v>
      </c>
    </row>
    <row r="46722" ht="15.75" customHeight="1" spans="1:2">
      <c r="A46722" s="3" t="str">
        <f>IFERROR(__xludf.DUMMYFUNCTION("GOOGLETRANSLATE(A46722,""en"",""pt"")"),"qualidade incrível")</f>
        <v>qualidade incrível</v>
      </c>
      <c r="B46722" s="3">
        <v>1</v>
      </c>
    </row>
    <row r="46723" ht="15.75" customHeight="1" spans="1:2">
      <c r="A46723" s="3" t="str">
        <f>IFERROR(__xludf.DUMMYFUNCTION("GOOGLETRANSLATE(A46723,""en"",""pt"")"),"Facilidade de uso, qualidade muito agradável, muito rápido para um jato de tinta")</f>
        <v>Facilidade de uso, qualidade muito agradável, muito rápido para um jato de tinta</v>
      </c>
      <c r="B46723" s="3">
        <v>1</v>
      </c>
    </row>
    <row r="46724" ht="15.75" customHeight="1" spans="1:2">
      <c r="A46724" s="3" t="str">
        <f>IFERROR(__xludf.DUMMYFUNCTION("GOOGLETRANSLATE(A46724,""en"",""pt"")"),"Fantástica qualidade de foto! Capaz de funcionar sem estar conectado a um computador.")</f>
        <v>Fantástica qualidade de foto! Capaz de funcionar sem estar conectado a um computador.</v>
      </c>
      <c r="B46724" s="3">
        <v>1</v>
      </c>
    </row>
    <row r="46725" ht="15.75" customHeight="1" spans="1:2">
      <c r="A46725" s="3" t="str">
        <f>IFERROR(__xludf.DUMMYFUNCTION("GOOGLETRANSLATE(A46725,""en"",""pt"")"),"Incrível qualidade fotográfica, configuração USB fácil!")</f>
        <v>Incrível qualidade fotográfica, configuração USB fácil!</v>
      </c>
      <c r="B46725" s="3">
        <v>1</v>
      </c>
    </row>
    <row r="46726" ht="15.75" customHeight="1" spans="1:2">
      <c r="A46726" s="3" t="str">
        <f>IFERROR(__xludf.DUMMYFUNCTION("GOOGLETRANSLATE(A46726,""en"",""pt"")"),"agradáveis ​​impressões fotográficas; imprimir a partir de cartão de memória flash")</f>
        <v>agradáveis ​​impressões fotográficas; imprimir a partir de cartão de memória flash</v>
      </c>
      <c r="B46726" s="3">
        <v>1</v>
      </c>
    </row>
    <row r="46727" ht="15.75" customHeight="1" spans="1:2">
      <c r="A46727" s="3" t="str">
        <f>IFERROR(__xludf.DUMMYFUNCTION("GOOGLETRANSLATE(A46727,""en"",""pt"")"),"Produção, qualidade, características, tranquila")</f>
        <v>Produção, qualidade, características, tranquila</v>
      </c>
      <c r="B46727" s="3">
        <v>1</v>
      </c>
    </row>
    <row r="46728" ht="15.75" customHeight="1" spans="1:2">
      <c r="A46728" s="3" t="str">
        <f>IFERROR(__xludf.DUMMYFUNCTION("GOOGLETRANSLATE(A46728,""en"",""pt"")"),"Excelente qualidade de imagem, boa qualidade de texto, bastante rápida")</f>
        <v>Excelente qualidade de imagem, boa qualidade de texto, bastante rápida</v>
      </c>
      <c r="B46728" s="3">
        <v>1</v>
      </c>
    </row>
    <row r="46729" ht="15.75" customHeight="1" spans="1:2">
      <c r="A46729" s="3" t="str">
        <f>IFERROR(__xludf.DUMMYFUNCTION("GOOGLETRANSLATE(A46729,""en"",""pt"")"),"Pictures não imprimir muito agradável")</f>
        <v>Pictures não imprimir muito agradável</v>
      </c>
      <c r="B46729" s="3">
        <v>1</v>
      </c>
    </row>
    <row r="46730" ht="15.75" customHeight="1" spans="1:2">
      <c r="A46730" s="3" t="str">
        <f>IFERROR(__xludf.DUMMYFUNCTION("GOOGLETRANSLATE(A46730,""en"",""pt"")"),"Brilliant qualidade da foto. Aceita cartões de memória. Silencioso, rápido, uma excelente impressão geral.")</f>
        <v>Brilliant qualidade da foto. Aceita cartões de memória. Silencioso, rápido, uma excelente impressão geral.</v>
      </c>
      <c r="B46730" s="3">
        <v>1</v>
      </c>
    </row>
    <row r="46731" ht="15.75" customHeight="1" spans="1:2">
      <c r="A46731" s="3" t="str">
        <f>IFERROR(__xludf.DUMMYFUNCTION("GOOGLETRANSLATE(A46731,""en"",""pt"")"),"Rápido, boa qualidade de impressão de fotos de página inteira, lê cartões de memória.")</f>
        <v>Rápido, boa qualidade de impressão de fotos de página inteira, lê cartões de memória.</v>
      </c>
      <c r="B46731" s="3">
        <v>1</v>
      </c>
    </row>
    <row r="46732" ht="15.75" customHeight="1" spans="1:2">
      <c r="A46732" s="3" t="str">
        <f>IFERROR(__xludf.DUMMYFUNCTION("GOOGLETRANSLATE(A46732,""en"",""pt"")"),"Bom texto, excelente &amp; amp cores; leitores Builtin Card.")</f>
        <v>Bom texto, excelente &amp; amp cores; leitores Builtin Card.</v>
      </c>
      <c r="B46732" s="3">
        <v>1</v>
      </c>
    </row>
    <row r="46733" ht="15.75" customHeight="1" spans="1:2">
      <c r="A46733" s="3" t="str">
        <f>IFERROR(__xludf.DUMMYFUNCTION("GOOGLETRANSLATE(A46733,""en"",""pt"")"),"belas fotos quando estava trabalhando. leitor de cartão rápido.")</f>
        <v>belas fotos quando estava trabalhando. leitor de cartão rápido.</v>
      </c>
      <c r="B46733" s="3">
        <v>1</v>
      </c>
    </row>
    <row r="46734" ht="15.75" customHeight="1" spans="1:2">
      <c r="A46734" s="3" t="str">
        <f>IFERROR(__xludf.DUMMYFUNCTION("GOOGLETRANSLATE(A46734,""en"",""pt"")"),"Operação silenciosa, belas impressões de qualidade, fácil de usar")</f>
        <v>Operação silenciosa, belas impressões de qualidade, fácil de usar</v>
      </c>
      <c r="B46734" s="3">
        <v>1</v>
      </c>
    </row>
    <row r="46735" ht="15.75" customHeight="1" spans="1:2">
      <c r="A46735" s="3" t="str">
        <f>IFERROR(__xludf.DUMMYFUNCTION("GOOGLETRANSLATE(A46735,""en"",""pt"")"),"Excelente melhor qualidade de impressão")</f>
        <v>Excelente melhor qualidade de impressão</v>
      </c>
      <c r="B46735" s="3">
        <v>1</v>
      </c>
    </row>
    <row r="46736" ht="15.75" customHeight="1" spans="1:2">
      <c r="A46736" s="3" t="str">
        <f>IFERROR(__xludf.DUMMYFUNCTION("GOOGLETRANSLATE(A46736,""en"",""pt"")"),"Conveniente verdadeira qualidade fotográfica a um preço acessível")</f>
        <v>Conveniente verdadeira qualidade fotográfica a um preço acessível</v>
      </c>
      <c r="B46736" s="3">
        <v>1</v>
      </c>
    </row>
    <row r="46737" ht="15.75" customHeight="1" spans="1:2">
      <c r="A46737" s="3" t="str">
        <f>IFERROR(__xludf.DUMMYFUNCTION("GOOGLETRANSLATE(A46737,""en"",""pt"")"),"O melhor no mercado")</f>
        <v>O melhor no mercado</v>
      </c>
      <c r="B46737" s="3">
        <v>1</v>
      </c>
    </row>
    <row r="46738" ht="15.75" customHeight="1" spans="1:2">
      <c r="A46738" s="3" t="str">
        <f>IFERROR(__xludf.DUMMYFUNCTION("GOOGLETRANSLATE(A46738,""en"",""pt"")"),"grande qualidade fotográfica, alta velocidade de impressão, leitor de cartão de memória")</f>
        <v>grande qualidade fotográfica, alta velocidade de impressão, leitor de cartão de memória</v>
      </c>
      <c r="B46738" s="3">
        <v>1</v>
      </c>
    </row>
    <row r="46739" ht="15.75" customHeight="1" spans="1:2">
      <c r="A46739" s="3" t="str">
        <f>IFERROR(__xludf.DUMMYFUNCTION("GOOGLETRANSLATE(A46739,""en"",""pt"")"),"Facilidade de uso (usando a porta USB) Produz excelentes impressões.")</f>
        <v>Facilidade de uso (usando a porta USB) Produz excelentes impressões.</v>
      </c>
      <c r="B46739" s="3">
        <v>1</v>
      </c>
    </row>
    <row r="46740" ht="15.75" customHeight="1" spans="1:2">
      <c r="A46740" s="3" t="str">
        <f>IFERROR(__xludf.DUMMYFUNCTION("GOOGLETRANSLATE(A46740,""en"",""pt"")"),"Grande qualidade de impressão, aparência geral bom para a própria impressora - é incrível!")</f>
        <v>Grande qualidade de impressão, aparência geral bom para a própria impressora - é incrível!</v>
      </c>
      <c r="B46740" s="3">
        <v>1</v>
      </c>
    </row>
    <row r="46741" ht="15.75" customHeight="1" spans="1:2">
      <c r="A46741" s="3" t="str">
        <f>IFERROR(__xludf.DUMMYFUNCTION("GOOGLETRANSLATE(A46741,""en"",""pt"")"),"Melhor impressão de fotos ainda. Muito quieto. impressão frente e verso")</f>
        <v>Melhor impressão de fotos ainda. Muito quieto. impressão frente e verso</v>
      </c>
      <c r="B46741" s="3">
        <v>1</v>
      </c>
    </row>
    <row r="46742" ht="15.75" customHeight="1" spans="1:2">
      <c r="A46742" s="3" t="str">
        <f>IFERROR(__xludf.DUMMYFUNCTION("GOOGLETRANSLATE(A46742,""en"",""pt"")"),"perto a qualidade da foto, preço, velocidade decente")</f>
        <v>perto a qualidade da foto, preço, velocidade decente</v>
      </c>
      <c r="B46742" s="3">
        <v>1</v>
      </c>
    </row>
    <row r="46743" ht="15.75" customHeight="1" spans="1:2">
      <c r="A46743" s="3" t="str">
        <f>IFERROR(__xludf.DUMMYFUNCTION("GOOGLETRANSLATE(A46743,""en"",""pt"")"),"saída muito bom danado foto com boa gama de cores em vários tipos de mídia")</f>
        <v>saída muito bom danado foto com boa gama de cores em vários tipos de mídia</v>
      </c>
      <c r="B46743" s="3">
        <v>1</v>
      </c>
    </row>
    <row r="46744" ht="15.75" customHeight="1" spans="1:2">
      <c r="A46744" s="3" t="str">
        <f>IFERROR(__xludf.DUMMYFUNCTION("GOOGLETRANSLATE(A46744,""en"",""pt"")"),"Excelente tempo de impressão de cor e B &amp; amp; W, Grandes fotos também! Frente e verso recurso de impressão")</f>
        <v>Excelente tempo de impressão de cor e B &amp; amp; W, Grandes fotos também! Frente e verso recurso de impressão</v>
      </c>
      <c r="B46744" s="3">
        <v>1</v>
      </c>
    </row>
    <row r="46745" ht="15.75" customHeight="1" spans="1:2">
      <c r="A46745" s="3" t="str">
        <f>IFERROR(__xludf.DUMMYFUNCTION("GOOGLETRANSLATE(A46745,""en"",""pt"")"),"Excelente qualidade de imagem")</f>
        <v>Excelente qualidade de imagem</v>
      </c>
      <c r="B46745" s="3">
        <v>1</v>
      </c>
    </row>
    <row r="46746" ht="15.75" customHeight="1" spans="1:2">
      <c r="A46746" s="3" t="str">
        <f>IFERROR(__xludf.DUMMYFUNCTION("GOOGLETRANSLATE(A46746,""en"",""pt"")"),"Foto de excelente qualidade, difícil dizer a partir de originais. software empacotado maravilhoso e bandeja 4x6 photopaper.")</f>
        <v>Foto de excelente qualidade, difícil dizer a partir de originais. software empacotado maravilhoso e bandeja 4x6 photopaper.</v>
      </c>
      <c r="B46746" s="3">
        <v>1</v>
      </c>
    </row>
    <row r="46747" ht="15.75" customHeight="1" spans="1:2">
      <c r="A46747" s="3" t="str">
        <f>IFERROR(__xludf.DUMMYFUNCTION("GOOGLETRANSLATE(A46747,""en"",""pt"")"),"sem necessidade de um computador, USB suportado")</f>
        <v>sem necessidade de um computador, USB suportado</v>
      </c>
      <c r="B46747" s="3">
        <v>1</v>
      </c>
    </row>
    <row r="46748" ht="15.75" customHeight="1" spans="1:2">
      <c r="A46748" s="3" t="str">
        <f>IFERROR(__xludf.DUMMYFUNCTION("GOOGLETRANSLATE(A46748,""en"",""pt"")"),"Foto de qualidade impressa. O dobro tomou partido a impressão. Rápido rápido rápido.")</f>
        <v>Foto de qualidade impressa. O dobro tomou partido a impressão. Rápido rápido rápido.</v>
      </c>
      <c r="B46748" s="3">
        <v>1</v>
      </c>
    </row>
    <row r="46749" ht="15.75" customHeight="1" spans="1:2">
      <c r="A46749" s="3" t="str">
        <f>IFERROR(__xludf.DUMMYFUNCTION("GOOGLETRANSLATE(A46749,""en"",""pt"")"),"TUDO")</f>
        <v>TUDO</v>
      </c>
      <c r="B46749" s="3">
        <v>1</v>
      </c>
    </row>
    <row r="46750" ht="15.75" customHeight="1" spans="1:2">
      <c r="A46750" s="3" t="str">
        <f>IFERROR(__xludf.DUMMYFUNCTION("GOOGLETRANSLATE(A46750,""en"",""pt"")"),"Não se pode dizer sem instalar")</f>
        <v>Não se pode dizer sem instalar</v>
      </c>
      <c r="B46750" s="3">
        <v>1</v>
      </c>
    </row>
    <row r="46751" ht="15.75" customHeight="1" spans="1:2">
      <c r="A46751" s="3" t="str">
        <f>IFERROR(__xludf.DUMMYFUNCTION("GOOGLETRANSLATE(A46751,""en"",""pt"")"),"Excelente qualidade de foto, e também a impressão de texto de alta qualidade em papel comum")</f>
        <v>Excelente qualidade de foto, e também a impressão de texto de alta qualidade em papel comum</v>
      </c>
      <c r="B46751" s="3">
        <v>1</v>
      </c>
    </row>
    <row r="46752" ht="15.75" customHeight="1" spans="1:2">
      <c r="A46752" s="3" t="str">
        <f>IFERROR(__xludf.DUMMYFUNCTION("GOOGLETRANSLATE(A46752,""en"",""pt"")"),"Versatilidade")</f>
        <v>Versatilidade</v>
      </c>
      <c r="B46752" s="3">
        <v>1</v>
      </c>
    </row>
    <row r="46753" ht="15.75" customHeight="1" spans="1:2">
      <c r="A46753" s="3" t="str">
        <f>IFERROR(__xludf.DUMMYFUNCTION("GOOGLETRANSLATE(A46753,""en"",""pt"")"),"Grande Pictures, grandes recursos, extremamente versátil")</f>
        <v>Grande Pictures, grandes recursos, extremamente versátil</v>
      </c>
      <c r="B46753" s="3">
        <v>1</v>
      </c>
    </row>
    <row r="46754" ht="15.75" customHeight="1" spans="1:2">
      <c r="A46754" s="3" t="str">
        <f>IFERROR(__xludf.DUMMYFUNCTION("GOOGLETRANSLATE(A46754,""en"",""pt"")"),"Printer maravilhoso, um dos melhores para fotos ... faz jus ao nome!")</f>
        <v>Printer maravilhoso, um dos melhores para fotos ... faz jus ao nome!</v>
      </c>
      <c r="B46754" s="3">
        <v>1</v>
      </c>
    </row>
    <row r="46755" ht="15.75" customHeight="1" spans="1:2">
      <c r="A46755" s="3" t="str">
        <f>IFERROR(__xludf.DUMMYFUNCTION("GOOGLETRANSLATE(A46755,""en"",""pt"")"),"Tudo!")</f>
        <v>Tudo!</v>
      </c>
      <c r="B46755" s="3">
        <v>1</v>
      </c>
    </row>
    <row r="46756" ht="15.75" customHeight="1" spans="1:2">
      <c r="A46756" s="3" t="str">
        <f>IFERROR(__xludf.DUMMYFUNCTION("GOOGLETRANSLATE(A46756,""en"",""pt"")"),"Excelente impressora com boa qualidade")</f>
        <v>Excelente impressora com boa qualidade</v>
      </c>
      <c r="B46756" s="3">
        <v>1</v>
      </c>
    </row>
    <row r="46757" ht="15.75" customHeight="1" spans="1:2">
      <c r="A46757" s="3" t="str">
        <f>IFERROR(__xludf.DUMMYFUNCTION("GOOGLETRANSLATE(A46757,""en"",""pt"")"),"1200X2400 dpi, cor 10 ppm, impressão lateral dupla")</f>
        <v>1200X2400 dpi, cor 10 ppm, impressão lateral dupla</v>
      </c>
      <c r="B46757" s="3">
        <v>1</v>
      </c>
    </row>
    <row r="46758" ht="15.75" customHeight="1" spans="1:2">
      <c r="A46758" s="3" t="str">
        <f>IFERROR(__xludf.DUMMYFUNCTION("GOOGLETRANSLATE(A46758,""en"",""pt"")"),"preço, qualidade excelente, 2 cartuchos (uma cor, um preto), capacidade de imprimir directamente a partir de suportes de armazenamento de câmera digital, você pode copiar dados de um cartão de memória na impressora ao computador")</f>
        <v>preço, qualidade excelente, 2 cartuchos (uma cor, um preto), capacidade de imprimir directamente a partir de suportes de armazenamento de câmera digital, você pode copiar dados de um cartão de memória na impressora ao computador</v>
      </c>
      <c r="B46758" s="3">
        <v>1</v>
      </c>
    </row>
    <row r="46759" ht="15.75" customHeight="1" spans="1:2">
      <c r="A46759" s="3" t="str">
        <f>IFERROR(__xludf.DUMMYFUNCTION("GOOGLETRANSLATE(A46759,""en"",""pt"")"),"imagens de qualidade super e de impressão normal")</f>
        <v>imagens de qualidade super e de impressão normal</v>
      </c>
      <c r="B46759" s="3">
        <v>1</v>
      </c>
    </row>
    <row r="46760" ht="15.75" customHeight="1" spans="1:2">
      <c r="A46760" s="3" t="str">
        <f>IFERROR(__xludf.DUMMYFUNCTION("GOOGLETRANSLATE(A46760,""en"",""pt"")"),"alta qualidade")</f>
        <v>alta qualidade</v>
      </c>
      <c r="B46760" s="3">
        <v>1</v>
      </c>
    </row>
    <row r="46761" ht="15.75" customHeight="1" spans="1:2">
      <c r="A46761" s="3" t="str">
        <f>IFERROR(__xludf.DUMMYFUNCTION("GOOGLETRANSLATE(A46761,""en"",""pt"")"),"Multi-purpose, grande projeto, rápido e pequeno")</f>
        <v>Multi-purpose, grande projeto, rápido e pequeno</v>
      </c>
      <c r="B46761" s="3">
        <v>1</v>
      </c>
    </row>
    <row r="46762" ht="15.75" customHeight="1" spans="1:2">
      <c r="A46762" s="3" t="str">
        <f>IFERROR(__xludf.DUMMYFUNCTION("GOOGLETRANSLATE(A46762,""en"",""pt"")"),"grande qualidade fotográfica")</f>
        <v>grande qualidade fotográfica</v>
      </c>
      <c r="B46762" s="3">
        <v>1</v>
      </c>
    </row>
    <row r="46763" ht="15.75" customHeight="1" spans="1:2">
      <c r="A46763" s="3" t="str">
        <f>IFERROR(__xludf.DUMMYFUNCTION("GOOGLETRANSLATE(A46763,""en"",""pt"")"),"A verdadeira qualidade fotográfica, operação silenciosa")</f>
        <v>A verdadeira qualidade fotográfica, operação silenciosa</v>
      </c>
      <c r="B46763" s="3">
        <v>1</v>
      </c>
    </row>
    <row r="46764" ht="15.75" customHeight="1" spans="1:2">
      <c r="A46764" s="3" t="str">
        <f>IFERROR(__xludf.DUMMYFUNCTION("GOOGLETRANSLATE(A46764,""en"",""pt"")"),"qualidade incrível, ranhuras CompactFlash e SmartMedia, auto-alinhamento periodicamente, impressora de dupla face add-on incluída, porta IR, computador não é obrigatório, 8 MB, resolução enorme, porta paralela / USB, 4,7 ppm a preto na melhor qualidade, 3"&amp;",1 ppm a cores a melhor qualidade, t")</f>
        <v>qualidade incrível, ranhuras CompactFlash e SmartMedia, auto-alinhamento periodicamente, impressora de dupla face add-on incluída, porta IR, computador não é obrigatório, 8 MB, resolução enorme, porta paralela / USB, 4,7 ppm a preto na melhor qualidade, 3,1 ppm a cores a melhor qualidade, t</v>
      </c>
      <c r="B46764" s="3">
        <v>1</v>
      </c>
    </row>
    <row r="46765" ht="15.75" customHeight="1" spans="1:2">
      <c r="A46765" s="3" t="str">
        <f>IFERROR(__xludf.DUMMYFUNCTION("GOOGLETRANSLATE(A46765,""en"",""pt"")"),"Grande qualidade de impressão. Pode lidar com cartões de memória e papéis variados.")</f>
        <v>Grande qualidade de impressão. Pode lidar com cartões de memória e papéis variados.</v>
      </c>
      <c r="B46765" s="3">
        <v>1</v>
      </c>
    </row>
    <row r="46766" ht="15.75" customHeight="1" spans="1:2">
      <c r="A46766" s="3" t="str">
        <f>IFERROR(__xludf.DUMMYFUNCTION("GOOGLETRANSLATE(A46766,""en"",""pt"")"),"Imprime fotos como se eles foram levados para um desenvolvedor foto ...")</f>
        <v>Imprime fotos como se eles foram levados para um desenvolvedor foto ...</v>
      </c>
      <c r="B46766" s="3">
        <v>1</v>
      </c>
    </row>
    <row r="46767" ht="15.75" customHeight="1" spans="1:2">
      <c r="A46767" s="3" t="str">
        <f>IFERROR(__xludf.DUMMYFUNCTION("GOOGLETRANSLATE(A46767,""en"",""pt"")"),"Grande velocidade, qualidade, preço e durabilidade. HP tem o pensamento de todos os aspectos da impressão de fotos e colocá-lo a esta impressora que pode até mesmo ficar sozinho w / o um anexo de PC!")</f>
        <v>Grande velocidade, qualidade, preço e durabilidade. HP tem o pensamento de todos os aspectos da impressão de fotos e colocá-lo a esta impressora que pode até mesmo ficar sozinho w / o um anexo de PC!</v>
      </c>
      <c r="B46767" s="3">
        <v>1</v>
      </c>
    </row>
    <row r="46768" ht="15.75" customHeight="1" spans="1:2">
      <c r="A46768" s="3" t="str">
        <f>IFERROR(__xludf.DUMMYFUNCTION("GOOGLETRANSLATE(A46768,""en"",""pt"")"),"Wonderful qualidade de imagem, elimina duplexador manuseio de papel para imprimir documentos em frente e verso.")</f>
        <v>Wonderful qualidade de imagem, elimina duplexador manuseio de papel para imprimir documentos em frente e verso.</v>
      </c>
      <c r="B46768" s="3">
        <v>1</v>
      </c>
    </row>
    <row r="46769" ht="15.75" customHeight="1" spans="1:2">
      <c r="A46769" s="3" t="str">
        <f>IFERROR(__xludf.DUMMYFUNCTION("GOOGLETRANSLATE(A46769,""en"",""pt"")"),"Qualidade impressionante Poster, extremamente fácil de usar, não é caro")</f>
        <v>Qualidade impressionante Poster, extremamente fácil de usar, não é caro</v>
      </c>
      <c r="B46769" s="3">
        <v>1</v>
      </c>
    </row>
    <row r="46770" ht="15.75" customHeight="1" spans="1:2">
      <c r="A46770" s="3" t="str">
        <f>IFERROR(__xludf.DUMMYFUNCTION("GOOGLETRANSLATE(A46770,""en"",""pt"")"),"Grande velocidade no projecto. Duplexador. Boa qualidade de imagem. unidade revolucionária nele do dia.")</f>
        <v>Grande velocidade no projecto. Duplexador. Boa qualidade de imagem. unidade revolucionária nele do dia.</v>
      </c>
      <c r="B46770" s="3">
        <v>1</v>
      </c>
    </row>
    <row r="46771" ht="15.75" customHeight="1" spans="1:2">
      <c r="A46771" s="3" t="str">
        <f>IFERROR(__xludf.DUMMYFUNCTION("GOOGLETRANSLATE(A46771,""en"",""pt"")"),"Fotos assim como a partir de uma loja de impressão! Grande velocidade, fácil de usar.")</f>
        <v>Fotos assim como a partir de uma loja de impressão! Grande velocidade, fácil de usar.</v>
      </c>
      <c r="B46771" s="3">
        <v>1</v>
      </c>
    </row>
    <row r="46772" ht="15.75" customHeight="1" spans="1:2">
      <c r="A46772" s="3" t="str">
        <f>IFERROR(__xludf.DUMMYFUNCTION("GOOGLETRANSLATE(A46772,""en"",""pt"")"),"facilidade de uso, de fácil instalação,")</f>
        <v>facilidade de uso, de fácil instalação,</v>
      </c>
      <c r="B46772" s="3">
        <v>1</v>
      </c>
    </row>
    <row r="46773" ht="15.75" customHeight="1" spans="1:2">
      <c r="A46773" s="3" t="str">
        <f>IFERROR(__xludf.DUMMYFUNCTION("GOOGLETRANSLATE(A46773,""en"",""pt"")"),"Very nice impressora / scanner")</f>
        <v>Very nice impressora / scanner</v>
      </c>
      <c r="B46773" s="3">
        <v>1</v>
      </c>
    </row>
    <row r="46774" ht="15.75" customHeight="1" spans="1:2">
      <c r="A46774" s="3" t="str">
        <f>IFERROR(__xludf.DUMMYFUNCTION("GOOGLETRANSLATE(A46774,""en"",""pt"")"),"A grande qualidade, velocidade rápida, limpo que procuram, muitas opções, barato, e acima de tudo, é feito pela HP.")</f>
        <v>A grande qualidade, velocidade rápida, limpo que procuram, muitas opções, barato, e acima de tudo, é feito pela HP.</v>
      </c>
      <c r="B46774" s="3">
        <v>1</v>
      </c>
    </row>
    <row r="46775" ht="15.75" customHeight="1" spans="1:2">
      <c r="A46775" s="3" t="str">
        <f>IFERROR(__xludf.DUMMYFUNCTION("GOOGLETRANSLATE(A46775,""en"",""pt"")"),"GREAT ALL_IN_ONE! Rápido, simples, acessível! Muito compacto!")</f>
        <v>GREAT ALL_IN_ONE! Rápido, simples, acessível! Muito compacto!</v>
      </c>
      <c r="B46775" s="3">
        <v>1</v>
      </c>
    </row>
    <row r="46776" ht="15.75" customHeight="1" spans="1:2">
      <c r="A46776" s="3" t="str">
        <f>IFERROR(__xludf.DUMMYFUNCTION("GOOGLETRANSLATE(A46776,""en"",""pt"")"),"muito boa qualidade de impressão, boa digitalização de mesa, cópia rápida sem computador, muito bem concebido")</f>
        <v>muito boa qualidade de impressão, boa digitalização de mesa, cópia rápida sem computador, muito bem concebido</v>
      </c>
      <c r="B46776" s="3">
        <v>1</v>
      </c>
    </row>
    <row r="46777" ht="15.75" customHeight="1" spans="1:2">
      <c r="A46777" s="3" t="str">
        <f>IFERROR(__xludf.DUMMYFUNCTION("GOOGLETRANSLATE(A46777,""en"",""pt"")"),"Muito bom preço, excelente qualidade em todas as funções.")</f>
        <v>Muito bom preço, excelente qualidade em todas as funções.</v>
      </c>
      <c r="B46777" s="3">
        <v>1</v>
      </c>
    </row>
    <row r="46778" ht="15.75" customHeight="1" spans="1:2">
      <c r="A46778" s="3" t="str">
        <f>IFERROR(__xludf.DUMMYFUNCTION("GOOGLETRANSLATE(A46778,""en"",""pt"")"),"Excelente duplicação, bem documentado sobre o uso do produto")</f>
        <v>Excelente duplicação, bem documentado sobre o uso do produto</v>
      </c>
      <c r="B46778" s="3">
        <v>1</v>
      </c>
    </row>
    <row r="46779" ht="15.75" customHeight="1" spans="1:2">
      <c r="A46779" s="3" t="str">
        <f>IFERROR(__xludf.DUMMYFUNCTION("GOOGLETRANSLATE(A46779,""en"",""pt"")"),"Imprimir, digitalizar e copiar sem cantos de corte")</f>
        <v>Imprimir, digitalizar e copiar sem cantos de corte</v>
      </c>
      <c r="B46779" s="3">
        <v>1</v>
      </c>
    </row>
    <row r="46780" ht="15.75" customHeight="1" spans="1:2">
      <c r="A46780" s="3" t="str">
        <f>IFERROR(__xludf.DUMMYFUNCTION("GOOGLETRANSLATE(A46780,""en"",""pt"")"),"A qualidade de impressão é muito marcante. As cores aparecem verdadeiro ao original.")</f>
        <v>A qualidade de impressão é muito marcante. As cores aparecem verdadeiro ao original.</v>
      </c>
      <c r="B46780" s="3">
        <v>1</v>
      </c>
    </row>
    <row r="46781" ht="15.75" customHeight="1" spans="1:2">
      <c r="A46781" s="3" t="str">
        <f>IFERROR(__xludf.DUMMYFUNCTION("GOOGLETRANSLATE(A46781,""en"",""pt"")"),"Excelente impressão / digitalização / cópia de qualidade para o dinheiro")</f>
        <v>Excelente impressão / digitalização / cópia de qualidade para o dinheiro</v>
      </c>
      <c r="B46781" s="3">
        <v>1</v>
      </c>
    </row>
    <row r="46782" ht="15.75" customHeight="1" spans="1:2">
      <c r="A46782" s="3" t="str">
        <f>IFERROR(__xludf.DUMMYFUNCTION("GOOGLETRANSLATE(A46782,""en"",""pt"")"),"Características muito boas e de qualidade a um preço de barganha.")</f>
        <v>Características muito boas e de qualidade a um preço de barganha.</v>
      </c>
      <c r="B46782" s="3">
        <v>1</v>
      </c>
    </row>
    <row r="46783" ht="15.75" customHeight="1" spans="1:2">
      <c r="A46783" s="3" t="str">
        <f>IFERROR(__xludf.DUMMYFUNCTION("GOOGLETRANSLATE(A46783,""en"",""pt"")"),"Grande qualidade de impressão. Fique recurso de cópia por si só é acessível.")</f>
        <v>Grande qualidade de impressão. Fique recurso de cópia por si só é acessível.</v>
      </c>
      <c r="B46783" s="3">
        <v>1</v>
      </c>
    </row>
    <row r="46784" ht="15.75" customHeight="1" spans="1:2">
      <c r="A46784" s="3" t="str">
        <f>IFERROR(__xludf.DUMMYFUNCTION("GOOGLETRANSLATE(A46784,""en"",""pt"")"),"Inclui um monte de recursos")</f>
        <v>Inclui um monte de recursos</v>
      </c>
      <c r="B46784" s="3">
        <v>1</v>
      </c>
    </row>
    <row r="46785" ht="15.75" customHeight="1" spans="1:2">
      <c r="A46785" s="3" t="str">
        <f>IFERROR(__xludf.DUMMYFUNCTION("GOOGLETRANSLATE(A46785,""en"",""pt"")"),"Rápido, confiável, fácil de usar e eficiente, compatível.")</f>
        <v>Rápido, confiável, fácil de usar e eficiente, compatível.</v>
      </c>
      <c r="B46785" s="3">
        <v>1</v>
      </c>
    </row>
    <row r="46786" ht="15.75" customHeight="1" spans="1:2">
      <c r="A46786" s="3" t="str">
        <f>IFERROR(__xludf.DUMMYFUNCTION("GOOGLETRANSLATE(A46786,""en"",""pt"")"),"Contém uma impressora, scanner e copiadora colorida tudo em uma máquina")</f>
        <v>Contém uma impressora, scanner e copiadora colorida tudo em uma máquina</v>
      </c>
      <c r="B46786" s="3">
        <v>1</v>
      </c>
    </row>
    <row r="46787" ht="15.75" customHeight="1" spans="1:2">
      <c r="A46787" s="3" t="str">
        <f>IFERROR(__xludf.DUMMYFUNCTION("GOOGLETRANSLATE(A46787,""en"",""pt"")"),"imprimir &amp; amp; qualidade de digitalização, grandes cópias de cor, tamanho compacto, preço modesto")</f>
        <v>imprimir &amp; amp; qualidade de digitalização, grandes cópias de cor, tamanho compacto, preço modesto</v>
      </c>
      <c r="B46787" s="3">
        <v>1</v>
      </c>
    </row>
    <row r="46788" ht="15.75" customHeight="1" spans="1:2">
      <c r="A46788" s="3" t="str">
        <f>IFERROR(__xludf.DUMMYFUNCTION("GOOGLETRANSLATE(A46788,""en"",""pt"")"),"imagens de qualidade de Nice; Fácil de usar")</f>
        <v>imagens de qualidade de Nice; Fácil de usar</v>
      </c>
      <c r="B46788" s="3">
        <v>1</v>
      </c>
    </row>
    <row r="46789" ht="15.75" customHeight="1" spans="1:2">
      <c r="A46789" s="3" t="str">
        <f>IFERROR(__xludf.DUMMYFUNCTION("GOOGLETRANSLATE(A46789,""en"",""pt"")"),"grande texto e fotos, excelente leitor de memória, scanner rápido e fax, cópias superiores")</f>
        <v>grande texto e fotos, excelente leitor de memória, scanner rápido e fax, cópias superiores</v>
      </c>
      <c r="B46789" s="3">
        <v>1</v>
      </c>
    </row>
    <row r="46790" ht="15.75" customHeight="1" spans="1:2">
      <c r="A46790" s="3" t="str">
        <f>IFERROR(__xludf.DUMMYFUNCTION("GOOGLETRANSLATE(A46790,""en"",""pt"")"),"Facilidade de uso, fácil de configurar.")</f>
        <v>Facilidade de uso, fácil de configurar.</v>
      </c>
      <c r="B46790" s="3">
        <v>1</v>
      </c>
    </row>
    <row r="46791" ht="15.75" customHeight="1" spans="1:2">
      <c r="A46791" s="3" t="str">
        <f>IFERROR(__xludf.DUMMYFUNCTION("GOOGLETRANSLATE(A46791,""en"",""pt"")"),"Muito bom scanner, impressora e leitor de cartão")</f>
        <v>Muito bom scanner, impressora e leitor de cartão</v>
      </c>
      <c r="B46791" s="3">
        <v>1</v>
      </c>
    </row>
    <row r="46792" ht="15.75" customHeight="1" spans="1:2">
      <c r="A46792" s="3" t="str">
        <f>IFERROR(__xludf.DUMMYFUNCTION("GOOGLETRANSLATE(A46792,""en"",""pt"")"),"Boa saída de impressão, digitalização decente, recursos de fax, copiadora Boas habilidades")</f>
        <v>Boa saída de impressão, digitalização decente, recursos de fax, copiadora Boas habilidades</v>
      </c>
      <c r="B46792" s="3">
        <v>1</v>
      </c>
    </row>
    <row r="46793" ht="15.75" customHeight="1" spans="1:2">
      <c r="A46793" s="3" t="str">
        <f>IFERROR(__xludf.DUMMYFUNCTION("GOOGLETRANSLATE(A46793,""en"",""pt"")"),"Simples de usar, fácil de configurar, excelentes impressões de qualidade !!!")</f>
        <v>Simples de usar, fácil de configurar, excelentes impressões de qualidade !!!</v>
      </c>
      <c r="B46793" s="3">
        <v>1</v>
      </c>
    </row>
    <row r="46794" ht="15.75" customHeight="1" spans="1:2">
      <c r="A46794" s="3" t="str">
        <f>IFERROR(__xludf.DUMMYFUNCTION("GOOGLETRANSLATE(A46794,""en"",""pt"")"),"Fácil de usar, imprime fotos digitais sem um computador. Excelente qualidade de imagem")</f>
        <v>Fácil de usar, imprime fotos digitais sem um computador. Excelente qualidade de imagem</v>
      </c>
      <c r="B46794" s="3">
        <v>1</v>
      </c>
    </row>
    <row r="46795" ht="15.75" customHeight="1" spans="1:2">
      <c r="A46795" s="3" t="str">
        <f>IFERROR(__xludf.DUMMYFUNCTION("GOOGLETRANSLATE(A46795,""en"",""pt"")"),"Acessível, scanner de mesa, boa qualidade de impressão, espaço salvo.")</f>
        <v>Acessível, scanner de mesa, boa qualidade de impressão, espaço salvo.</v>
      </c>
      <c r="B46795" s="3">
        <v>1</v>
      </c>
    </row>
    <row r="46796" ht="15.75" customHeight="1" spans="1:2">
      <c r="A46796" s="3" t="str">
        <f>IFERROR(__xludf.DUMMYFUNCTION("GOOGLETRANSLATE(A46796,""en"",""pt"")"),"Excelente qualidade de impressão de fotos. scanner de alta resolução. verificação rápida de documentos de fax.")</f>
        <v>Excelente qualidade de impressão de fotos. scanner de alta resolução. verificação rápida de documentos de fax.</v>
      </c>
      <c r="B46796" s="3">
        <v>1</v>
      </c>
    </row>
    <row r="46797" ht="15.75" customHeight="1" spans="1:2">
      <c r="A46797" s="3" t="str">
        <f>IFERROR(__xludf.DUMMYFUNCTION("GOOGLETRANSLATE(A46797,""en"",""pt"")"),"É um tudo em um.")</f>
        <v>É um tudo em um.</v>
      </c>
      <c r="B46797" s="3">
        <v>1</v>
      </c>
    </row>
    <row r="46798" ht="15.75" customHeight="1" spans="1:2">
      <c r="A46798" s="3" t="str">
        <f>IFERROR(__xludf.DUMMYFUNCTION("GOOGLETRANSLATE(A46798,""en"",""pt"")"),"Compact &amp; amp; bem especificado para o dinheiro")</f>
        <v>Compact &amp; amp; bem especificado para o dinheiro</v>
      </c>
      <c r="B46798" s="3">
        <v>1</v>
      </c>
    </row>
    <row r="46799" ht="15.75" customHeight="1" spans="1:2">
      <c r="A46799" s="3" t="str">
        <f>IFERROR(__xludf.DUMMYFUNCTION("GOOGLETRANSLATE(A46799,""en"",""pt"")"),"Excelentes capacidades de impressão, versátil, scanner, fax, copiadora, mais?")</f>
        <v>Excelentes capacidades de impressão, versátil, scanner, fax, copiadora, mais?</v>
      </c>
      <c r="B46799" s="3">
        <v>1</v>
      </c>
    </row>
    <row r="46800" ht="15.75" customHeight="1" spans="1:2">
      <c r="A46800" s="3" t="str">
        <f>IFERROR(__xludf.DUMMYFUNCTION("GOOGLETRANSLATE(A46800,""en"",""pt"")"),"Digitalizações, cópias, faxes e impressões! É um HP !! Lustroso")</f>
        <v>Digitalizações, cópias, faxes e impressões! É um HP !! Lustroso</v>
      </c>
      <c r="B46800" s="3">
        <v>1</v>
      </c>
    </row>
    <row r="46801" ht="15.75" customHeight="1" spans="1:2">
      <c r="A46801" s="3" t="str">
        <f>IFERROR(__xludf.DUMMYFUNCTION("GOOGLETRANSLATE(A46801,""en"",""pt"")"),"6-em-1 leitor de cartão, copiar ou imprimir fotografias sem computador, qualidade geral boa")</f>
        <v>6-em-1 leitor de cartão, copiar ou imprimir fotografias sem computador, qualidade geral boa</v>
      </c>
      <c r="B46801" s="3">
        <v>1</v>
      </c>
    </row>
    <row r="46802" ht="15.75" customHeight="1" spans="1:2">
      <c r="A46802" s="3" t="str">
        <f>IFERROR(__xludf.DUMMYFUNCTION("GOOGLETRANSLATE(A46802,""en"",""pt"")"),"recursos, pequeno para um tudo-em-um com recursos de fax.")</f>
        <v>recursos, pequeno para um tudo-em-um com recursos de fax.</v>
      </c>
      <c r="B46802" s="3">
        <v>1</v>
      </c>
    </row>
    <row r="46803" ht="15.75" customHeight="1" spans="1:2">
      <c r="A46803" s="3" t="str">
        <f>IFERROR(__xludf.DUMMYFUNCTION("GOOGLETRANSLATE(A46803,""en"",""pt"")"),"Excelente fax, impressão, funções de digitalização.")</f>
        <v>Excelente fax, impressão, funções de digitalização.</v>
      </c>
      <c r="B46803" s="3">
        <v>1</v>
      </c>
    </row>
    <row r="46804" ht="15.75" customHeight="1" spans="1:2">
      <c r="A46804" s="3" t="str">
        <f>IFERROR(__xludf.DUMMYFUNCTION("GOOGLETRANSLATE(A46804,""en"",""pt"")"),"Compact, Bom negócio para tantas funções. Nice ""wow"" factor quando os amigos vêm.")</f>
        <v>Compact, Bom negócio para tantas funções. Nice "wow" factor quando os amigos vêm.</v>
      </c>
      <c r="B46804" s="3">
        <v>1</v>
      </c>
    </row>
    <row r="46805" ht="15.75" customHeight="1" spans="1:2">
      <c r="A46805" s="3" t="str">
        <f>IFERROR(__xludf.DUMMYFUNCTION("GOOGLETRANSLATE(A46805,""en"",""pt"")"),"Fácil de usar, scanner de mesa, muito calmo, muitas opções.")</f>
        <v>Fácil de usar, scanner de mesa, muito calmo, muitas opções.</v>
      </c>
      <c r="B46805" s="3">
        <v>1</v>
      </c>
    </row>
    <row r="46806" ht="15.75" customHeight="1" spans="1:2">
      <c r="A46806" s="3" t="str">
        <f>IFERROR(__xludf.DUMMYFUNCTION("GOOGLETRANSLATE(A46806,""en"",""pt"")"),"Fácil de configurar. Muito boa digitalização qualidade / impressão.")</f>
        <v>Fácil de configurar. Muito boa digitalização qualidade / impressão.</v>
      </c>
      <c r="B46806" s="3">
        <v>1</v>
      </c>
    </row>
    <row r="46807" ht="15.75" customHeight="1" spans="1:2">
      <c r="A46807" s="3" t="str">
        <f>IFERROR(__xludf.DUMMYFUNCTION("GOOGLETRANSLATE(A46807,""en"",""pt"")"),"impressão foto impressionante, dispositivo multi-função conveniente")</f>
        <v>impressão foto impressionante, dispositivo multi-função conveniente</v>
      </c>
      <c r="B46807" s="3">
        <v>1</v>
      </c>
    </row>
    <row r="46808" ht="15.75" customHeight="1" spans="1:2">
      <c r="A46808" s="3" t="str">
        <f>IFERROR(__xludf.DUMMYFUNCTION("GOOGLETRANSLATE(A46808,""en"",""pt"")"),"Grande qualidade com muitos recursos")</f>
        <v>Grande qualidade com muitos recursos</v>
      </c>
      <c r="B46808" s="3">
        <v>1</v>
      </c>
    </row>
    <row r="46809" ht="15.75" customHeight="1" spans="1:2">
      <c r="A46809" s="3" t="str">
        <f>IFERROR(__xludf.DUMMYFUNCTION("GOOGLETRANSLATE(A46809,""en"",""pt"")"),"Mulitfunction-in-one, 6 tipo Memory Card Reader")</f>
        <v>Mulitfunction-in-one, 6 tipo Memory Card Reader</v>
      </c>
      <c r="B46809" s="3">
        <v>1</v>
      </c>
    </row>
    <row r="46810" ht="15.75" customHeight="1" spans="1:2">
      <c r="A46810" s="3" t="str">
        <f>IFERROR(__xludf.DUMMYFUNCTION("GOOGLETRANSLATE(A46810,""en"",""pt"")"),"6-in-1 Card Reader, Folha de prova Feature, imprimir fotografias ou Use Copier sem ter de computador no")</f>
        <v>6-in-1 Card Reader, Folha de prova Feature, imprimir fotografias ou Use Copier sem ter de computador no</v>
      </c>
      <c r="B46810" s="3">
        <v>1</v>
      </c>
    </row>
    <row r="46811" ht="15.75" customHeight="1" spans="1:2">
      <c r="A46811" s="3" t="str">
        <f>IFERROR(__xludf.DUMMYFUNCTION("GOOGLETRANSLATE(A46811,""en"",""pt"")"),"Fácil de usar")</f>
        <v>Fácil de usar</v>
      </c>
      <c r="B46811" s="3">
        <v>1</v>
      </c>
    </row>
    <row r="46812" ht="15.75" customHeight="1" spans="1:2">
      <c r="A46812" s="3" t="str">
        <f>IFERROR(__xludf.DUMMYFUNCTION("GOOGLETRANSLATE(A46812,""en"",""pt"")"),"Imprime, digitaliza e Cópias")</f>
        <v>Imprime, digitaliza e Cópias</v>
      </c>
      <c r="B46812" s="3">
        <v>1</v>
      </c>
    </row>
    <row r="46813" ht="15.75" customHeight="1" spans="1:2">
      <c r="A46813" s="3" t="str">
        <f>IFERROR(__xludf.DUMMYFUNCTION("GOOGLETRANSLATE(A46813,""en"",""pt"")"),"robusto, de grande qualidade de impressão, fácil configuração")</f>
        <v>robusto, de grande qualidade de impressão, fácil configuração</v>
      </c>
      <c r="B46813" s="3">
        <v>1</v>
      </c>
    </row>
    <row r="46814" ht="15.75" customHeight="1" spans="1:2">
      <c r="A46814" s="3" t="str">
        <f>IFERROR(__xludf.DUMMYFUNCTION("GOOGLETRANSLATE(A46814,""en"",""pt"")"),"impressão rápida, design agradável, fácil de operar.")</f>
        <v>impressão rápida, design agradável, fácil de operar.</v>
      </c>
      <c r="B46814" s="3">
        <v>1</v>
      </c>
    </row>
    <row r="46815" ht="15.75" customHeight="1" spans="1:2">
      <c r="A46815" s="3" t="str">
        <f>IFERROR(__xludf.DUMMYFUNCTION("GOOGLETRANSLATE(A46815,""en"",""pt"")"),"Muito boa resolução, a impressão rápida, bastante acessível, cor de impressão disponível.")</f>
        <v>Muito boa resolução, a impressão rápida, bastante acessível, cor de impressão disponível.</v>
      </c>
      <c r="B46815" s="3">
        <v>1</v>
      </c>
    </row>
    <row r="46816" ht="15.75" customHeight="1" spans="1:2">
      <c r="A46816" s="3" t="str">
        <f>IFERROR(__xludf.DUMMYFUNCTION("GOOGLETRANSLATE(A46816,""en"",""pt"")"),"Rápido, fácil instalação. XP compatível. Tri-função a um custo mínimo")</f>
        <v>Rápido, fácil instalação. XP compatível. Tri-função a um custo mínimo</v>
      </c>
      <c r="B46816" s="3">
        <v>1</v>
      </c>
    </row>
    <row r="46817" ht="15.75" customHeight="1" spans="1:2">
      <c r="A46817" s="3" t="str">
        <f>IFERROR(__xludf.DUMMYFUNCTION("GOOGLETRANSLATE(A46817,""en"",""pt"")"),"muitas páginas por minuto com o Windows 2000")</f>
        <v>muitas páginas por minuto com o Windows 2000</v>
      </c>
      <c r="B46817" s="3">
        <v>1</v>
      </c>
    </row>
    <row r="46818" ht="15.75" customHeight="1" spans="1:2">
      <c r="A46818" s="3" t="str">
        <f>IFERROR(__xludf.DUMMYFUNCTION("GOOGLETRANSLATE(A46818,""en"",""pt"")"),"Uma brisa de configurar. Eu segui as instruções exatamente e sem problemas em tudo.")</f>
        <v>Uma brisa de configurar. Eu segui as instruções exatamente e sem problemas em tudo.</v>
      </c>
      <c r="B46818" s="3">
        <v>1</v>
      </c>
    </row>
    <row r="46819" ht="15.75" customHeight="1" spans="1:2">
      <c r="A46819" s="3" t="str">
        <f>IFERROR(__xludf.DUMMYFUNCTION("GOOGLETRANSLATE(A46819,""en"",""pt"")"),"funciona w / WIN XP")</f>
        <v>funciona w / WIN XP</v>
      </c>
      <c r="B46819" s="3">
        <v>1</v>
      </c>
    </row>
    <row r="46820" ht="15.75" customHeight="1" spans="1:2">
      <c r="A46820" s="3" t="str">
        <f>IFERROR(__xludf.DUMMYFUNCTION("GOOGLETRANSLATE(A46820,""en"",""pt"")"),"muito bem embalado (riso)")</f>
        <v>muito bem embalado (riso)</v>
      </c>
      <c r="B46820" s="3">
        <v>1</v>
      </c>
    </row>
    <row r="46821" ht="15.75" customHeight="1" spans="1:2">
      <c r="A46821" s="3" t="str">
        <f>IFERROR(__xludf.DUMMYFUNCTION("GOOGLETRANSLATE(A46821,""en"",""pt"")"),"Barato")</f>
        <v>Barato</v>
      </c>
      <c r="B46821" s="3">
        <v>1</v>
      </c>
    </row>
    <row r="46822" ht="15.75" customHeight="1" spans="1:2">
      <c r="A46822" s="3" t="str">
        <f>IFERROR(__xludf.DUMMYFUNCTION("GOOGLETRANSLATE(A46822,""en"",""pt"")"),"boa preto e copiadora branco, cartuchos de tinta mais baratos do que a maioria, pode copiar sem um PC")</f>
        <v>boa preto e copiadora branco, cartuchos de tinta mais baratos do que a maioria, pode copiar sem um PC</v>
      </c>
      <c r="B46822" s="3">
        <v>1</v>
      </c>
    </row>
    <row r="46823" ht="15.75" customHeight="1" spans="1:2">
      <c r="A46823" s="3" t="str">
        <f>IFERROR(__xludf.DUMMYFUNCTION("GOOGLETRANSLATE(A46823,""en"",""pt"")"),"Digitaliza, copia &amp; amp; Prints - All in One !, Acessível")</f>
        <v>Digitaliza, copia &amp; amp; Prints - All in One !, Acessível</v>
      </c>
      <c r="B46823" s="3">
        <v>1</v>
      </c>
    </row>
    <row r="46824" ht="15.75" customHeight="1" spans="1:2">
      <c r="A46824" s="3" t="str">
        <f>IFERROR(__xludf.DUMMYFUNCTION("GOOGLETRANSLATE(A46824,""en"",""pt"")"),"Fácil de usar, razoavelmente rápido e boa qualidade de imagem. Menor do que os modelos anteriores.")</f>
        <v>Fácil de usar, razoavelmente rápido e boa qualidade de imagem. Menor do que os modelos anteriores.</v>
      </c>
      <c r="B46824" s="3">
        <v>1</v>
      </c>
    </row>
    <row r="46825" ht="15.75" customHeight="1" spans="1:2">
      <c r="A46825" s="3" t="str">
        <f>IFERROR(__xludf.DUMMYFUNCTION("GOOGLETRANSLATE(A46825,""en"",""pt"")"),"pegada pequena, boa velocidade, baixo custo operacional.")</f>
        <v>pegada pequena, boa velocidade, baixo custo operacional.</v>
      </c>
      <c r="B46825" s="3">
        <v>1</v>
      </c>
    </row>
    <row r="46826" ht="15.75" customHeight="1" spans="1:2">
      <c r="A46826" s="3" t="str">
        <f>IFERROR(__xludf.DUMMYFUNCTION("GOOGLETRANSLATE(A46826,""en"",""pt"")"),"Fácil de obter digitalizações para e-mail. Melhor qualidade de impressão e mais rápido do que X83 ou A3000.")</f>
        <v>Fácil de obter digitalizações para e-mail. Melhor qualidade de impressão e mais rápido do que X83 ou A3000.</v>
      </c>
      <c r="B46826" s="3">
        <v>1</v>
      </c>
    </row>
    <row r="46827" ht="15.75" customHeight="1" spans="1:2">
      <c r="A46827" s="3" t="str">
        <f>IFERROR(__xludf.DUMMYFUNCTION("GOOGLETRANSLATE(A46827,""en"",""pt"")"),"Scans bem, cópias rapidamente, Fotocópias sem esforço, barato")</f>
        <v>Scans bem, cópias rapidamente, Fotocópias sem esforço, barato</v>
      </c>
      <c r="B46827" s="3">
        <v>1</v>
      </c>
    </row>
    <row r="46828" ht="15.75" customHeight="1" spans="1:2">
      <c r="A46828" s="3" t="str">
        <f>IFERROR(__xludf.DUMMYFUNCTION("GOOGLETRANSLATE(A46828,""en"",""pt"")"),"Prints &amp; amp; cópias nicely &amp; amp; é atraente.")</f>
        <v>Prints &amp; amp; cópias nicely &amp; amp; é atraente.</v>
      </c>
      <c r="B46828" s="3">
        <v>1</v>
      </c>
    </row>
    <row r="46829" ht="15.75" customHeight="1" spans="1:2">
      <c r="A46829" s="3" t="str">
        <f>IFERROR(__xludf.DUMMYFUNCTION("GOOGLETRANSLATE(A46829,""en"",""pt"")"),"Um pouco tranquila, afetiva")</f>
        <v>Um pouco tranquila, afetiva</v>
      </c>
      <c r="B46829" s="3">
        <v>1</v>
      </c>
    </row>
    <row r="46830" ht="15.75" customHeight="1" spans="1:2">
      <c r="A46830" s="3" t="str">
        <f>IFERROR(__xludf.DUMMYFUNCTION("GOOGLETRANSLATE(A46830,""en"",""pt"")"),"Muitas funções utilizáveis ​​a partir do painel da impressora ou computador &amp; amp;. # 13; &amp; amp; # 10; Boa software incluído.")</f>
        <v>Muitas funções utilizáveis ​​a partir do painel da impressora ou computador &amp; amp;. # 13; &amp; amp; # 10; Boa software incluído.</v>
      </c>
      <c r="B46830" s="3">
        <v>1</v>
      </c>
    </row>
    <row r="46831" ht="15.75" customHeight="1" spans="1:2">
      <c r="A46831" s="3" t="str">
        <f>IFERROR(__xludf.DUMMYFUNCTION("GOOGLETRANSLATE(A46831,""en"",""pt"")"),"Imprimir, digitalizar e copiar tudo em uma máquina. Fácil de usar como um profissional.")</f>
        <v>Imprimir, digitalizar e copiar tudo em uma máquina. Fácil de usar como um profissional.</v>
      </c>
      <c r="B46831" s="3">
        <v>1</v>
      </c>
    </row>
    <row r="46832" ht="15.75" customHeight="1" spans="1:2">
      <c r="A46832" s="3" t="str">
        <f>IFERROR(__xludf.DUMMYFUNCTION("GOOGLETRANSLATE(A46832,""en"",""pt"")"),"Rápido, silencioso, outras coisas")</f>
        <v>Rápido, silencioso, outras coisas</v>
      </c>
      <c r="B46832" s="3">
        <v>1</v>
      </c>
    </row>
    <row r="46833" ht="15.75" customHeight="1" spans="1:2">
      <c r="A46833" s="3" t="str">
        <f>IFERROR(__xludf.DUMMYFUNCTION("GOOGLETRANSLATE(A46833,""en"",""pt"")"),"É ÓTIMO.")</f>
        <v>É ÓTIMO.</v>
      </c>
      <c r="B46833" s="3">
        <v>1</v>
      </c>
    </row>
    <row r="46834" ht="15.75" customHeight="1" spans="1:2">
      <c r="A46834" s="3" t="str">
        <f>IFERROR(__xludf.DUMMYFUNCTION("GOOGLETRANSLATE(A46834,""en"",""pt"")"),"Imprime 11 páginas por minuto em preto e branco e 8,5 na cor")</f>
        <v>Imprime 11 páginas por minuto em preto e branco e 8,5 na cor</v>
      </c>
      <c r="B46834" s="3">
        <v>1</v>
      </c>
    </row>
    <row r="46835" ht="15.75" customHeight="1" spans="1:2">
      <c r="A46835" s="3" t="str">
        <f>IFERROR(__xludf.DUMMYFUNCTION("GOOGLETRANSLATE(A46835,""en"",""pt"")"),"Limpa mesa de ambos impressora e scanner, copiadora grande para uso doméstico,")</f>
        <v>Limpa mesa de ambos impressora e scanner, copiadora grande para uso doméstico,</v>
      </c>
      <c r="B46835" s="3">
        <v>1</v>
      </c>
    </row>
    <row r="46836" ht="15.75" customHeight="1" spans="1:2">
      <c r="A46836" s="3" t="str">
        <f>IFERROR(__xludf.DUMMYFUNCTION("GOOGLETRANSLATE(A46836,""en"",""pt"")"),"Ótimo produto. funciona w / XP.")</f>
        <v>Ótimo produto. funciona w / XP.</v>
      </c>
      <c r="B46836" s="3">
        <v>1</v>
      </c>
    </row>
    <row r="46837" ht="15.75" customHeight="1" spans="1:2">
      <c r="A46837" s="3" t="str">
        <f>IFERROR(__xludf.DUMMYFUNCTION("GOOGLETRANSLATE(A46837,""en"",""pt"")"),"Rápido, confiável, FACILIDADE DE USO, &amp; amp; Tinteiros ÚLTIMA MUITO TEMPO!")</f>
        <v>Rápido, confiável, FACILIDADE DE USO, &amp; amp; Tinteiros ÚLTIMA MUITO TEMPO!</v>
      </c>
      <c r="B46837" s="3">
        <v>1</v>
      </c>
    </row>
    <row r="46838" ht="15.75" customHeight="1" spans="1:2">
      <c r="A46838" s="3" t="str">
        <f>IFERROR(__xludf.DUMMYFUNCTION("GOOGLETRANSLATE(A46838,""en"",""pt"")"),"Rápido, silencioso, fácil de usar, sem congestionamentos até o momento")</f>
        <v>Rápido, silencioso, fácil de usar, sem congestionamentos até o momento</v>
      </c>
      <c r="B46838" s="3">
        <v>1</v>
      </c>
    </row>
    <row r="46839" ht="15.75" customHeight="1" spans="1:2">
      <c r="A46839" s="3" t="str">
        <f>IFERROR(__xludf.DUMMYFUNCTION("GOOGLETRANSLATE(A46839,""en"",""pt"")"),"Uma unidade em um, rápido, e grande produto.")</f>
        <v>Uma unidade em um, rápido, e grande produto.</v>
      </c>
      <c r="B46839" s="3">
        <v>1</v>
      </c>
    </row>
    <row r="46840" ht="15.75" customHeight="1" spans="1:2">
      <c r="A46840" s="3" t="str">
        <f>IFERROR(__xludf.DUMMYFUNCTION("GOOGLETRANSLATE(A46840,""en"",""pt"")"),"Grande valor em um all-in-one máquina")</f>
        <v>Grande valor em um all-in-one máquina</v>
      </c>
      <c r="B46840" s="3">
        <v>1</v>
      </c>
    </row>
    <row r="46841" ht="15.75" customHeight="1" spans="1:2">
      <c r="A46841" s="3" t="str">
        <f>IFERROR(__xludf.DUMMYFUNCTION("GOOGLETRANSLATE(A46841,""en"",""pt"")"),"impressão lindo e digitalização.")</f>
        <v>impressão lindo e digitalização.</v>
      </c>
      <c r="B46841" s="3">
        <v>1</v>
      </c>
    </row>
    <row r="46842" ht="15.75" customHeight="1" spans="1:2">
      <c r="A46842" s="3" t="str">
        <f>IFERROR(__xludf.DUMMYFUNCTION("GOOGLETRANSLATE(A46842,""en"",""pt"")"),"Muito simples de usar - a leste fora da caixa ligar - grande software")</f>
        <v>Muito simples de usar - a leste fora da caixa ligar - grande software</v>
      </c>
      <c r="B46842" s="3">
        <v>1</v>
      </c>
    </row>
    <row r="46843" ht="15.75" customHeight="1" spans="1:2">
      <c r="A46843" s="3" t="str">
        <f>IFERROR(__xludf.DUMMYFUNCTION("GOOGLETRANSLATE(A46843,""en"",""pt"")"),"Grande capacidade multifuncional, slots de mídia, grandes impressões")</f>
        <v>Grande capacidade multifuncional, slots de mídia, grandes impressões</v>
      </c>
      <c r="B46843" s="3">
        <v>1</v>
      </c>
    </row>
    <row r="46844" ht="15.75" customHeight="1" spans="1:2">
      <c r="A46844" s="3" t="str">
        <f>IFERROR(__xludf.DUMMYFUNCTION("GOOGLETRANSLATE(A46844,""en"",""pt"")"),"Imprime excelentes fotos e cópias de qualidade.")</f>
        <v>Imprime excelentes fotos e cópias de qualidade.</v>
      </c>
      <c r="B46844" s="3">
        <v>1</v>
      </c>
    </row>
    <row r="46845" ht="15.75" customHeight="1" spans="1:2">
      <c r="A46845" s="3" t="str">
        <f>IFERROR(__xludf.DUMMYFUNCTION("GOOGLETRANSLATE(A46845,""en"",""pt"")"),"Multi função, fácil de usar, impressão de alta qualidade,")</f>
        <v>Multi função, fácil de usar, impressão de alta qualidade,</v>
      </c>
      <c r="B46845" s="3">
        <v>1</v>
      </c>
    </row>
    <row r="46846" ht="15.75" customHeight="1" spans="1:2">
      <c r="A46846" s="3" t="str">
        <f>IFERROR(__xludf.DUMMYFUNCTION("GOOGLETRANSLATE(A46846,""en"",""pt"")"),"Excelente máquina All-in-One. Impressão de fotografias capacidades sem ligar o computador!")</f>
        <v>Excelente máquina All-in-One. Impressão de fotografias capacidades sem ligar o computador!</v>
      </c>
      <c r="B46846" s="3">
        <v>1</v>
      </c>
    </row>
    <row r="46847" ht="15.75" customHeight="1" spans="1:2">
      <c r="A46847" s="3" t="str">
        <f>IFERROR(__xludf.DUMMYFUNCTION("GOOGLETRANSLATE(A46847,""en"",""pt"")"),"digitalização de mesa, cópia de cor, fácil de operar")</f>
        <v>digitalização de mesa, cópia de cor, fácil de operar</v>
      </c>
      <c r="B46847" s="3">
        <v>1</v>
      </c>
    </row>
    <row r="46848" ht="15.75" customHeight="1" spans="1:2">
      <c r="A46848" s="3" t="str">
        <f>IFERROR(__xludf.DUMMYFUNCTION("GOOGLETRANSLATE(A46848,""en"",""pt"")"),"Digitalização, impressão, fax, cópia")</f>
        <v>Digitalização, impressão, fax, cópia</v>
      </c>
      <c r="B46848" s="3">
        <v>1</v>
      </c>
    </row>
    <row r="46849" ht="15.75" customHeight="1" spans="1:2">
      <c r="A46849" s="3" t="str">
        <f>IFERROR(__xludf.DUMMYFUNCTION("GOOGLETRANSLATE(A46849,""en"",""pt"")"),"Scanner, impressora a jato de tinta a cores, Fax, e foto center tudo em um!")</f>
        <v>Scanner, impressora a jato de tinta a cores, Fax, e foto center tudo em um!</v>
      </c>
      <c r="B46849" s="3">
        <v>1</v>
      </c>
    </row>
    <row r="46850" ht="15.75" customHeight="1" spans="1:2">
      <c r="A46850" s="3" t="str">
        <f>IFERROR(__xludf.DUMMYFUNCTION("GOOGLETRANSLATE(A46850,""en"",""pt"")"),"Grande capacidade multifuncional, slots de mídia, estampas grandes &amp; amp; # 13; &amp; amp; # 10;")</f>
        <v>Grande capacidade multifuncional, slots de mídia, estampas grandes &amp; amp; # 13; &amp; amp; # 10;</v>
      </c>
      <c r="B46850" s="3">
        <v>1</v>
      </c>
    </row>
    <row r="46851" ht="15.75" customHeight="1" spans="1:2">
      <c r="A46851" s="3" t="str">
        <f>IFERROR(__xludf.DUMMYFUNCTION("GOOGLETRANSLATE(A46851,""en"",""pt"")"),"Grande qualidade de acabamento, excelente design e funcionalidade")</f>
        <v>Grande qualidade de acabamento, excelente design e funcionalidade</v>
      </c>
      <c r="B46851" s="3">
        <v>1</v>
      </c>
    </row>
    <row r="46852" ht="15.75" customHeight="1" spans="1:2">
      <c r="A46852" s="3" t="str">
        <f>IFERROR(__xludf.DUMMYFUNCTION("GOOGLETRANSLATE(A46852,""en"",""pt"")"),"Ele faz quase tudo! Talvez até mesmo ajudar a pagar o aluguel. ; D")</f>
        <v>Ele faz quase tudo! Talvez até mesmo ajudar a pagar o aluguel. ; D</v>
      </c>
      <c r="B46852" s="3">
        <v>1</v>
      </c>
    </row>
    <row r="46853" ht="15.75" customHeight="1" spans="1:2">
      <c r="A46853" s="3" t="str">
        <f>IFERROR(__xludf.DUMMYFUNCTION("GOOGLETRANSLATE(A46853,""en"",""pt"")"),"Top qualidade a tudo o que faz. As funções de câmera digitais são unbeleivable.")</f>
        <v>Top qualidade a tudo o que faz. As funções de câmera digitais são unbeleivable.</v>
      </c>
      <c r="B46853" s="3">
        <v>1</v>
      </c>
    </row>
    <row r="46854" ht="15.75" customHeight="1" spans="1:2">
      <c r="A46854" s="3" t="str">
        <f>IFERROR(__xludf.DUMMYFUNCTION("GOOGLETRANSLATE(A46854,""en"",""pt"")"),"máquina de escritório grande para todos os fins")</f>
        <v>máquina de escritório grande para todos os fins</v>
      </c>
      <c r="B46854" s="3">
        <v>1</v>
      </c>
    </row>
    <row r="46855" ht="15.75" customHeight="1" spans="1:2">
      <c r="A46855" s="3" t="str">
        <f>IFERROR(__xludf.DUMMYFUNCTION("GOOGLETRANSLATE(A46855,""en"",""pt"")"),"Grande qualidade de cor, tranquilo e muito fácil de usar.")</f>
        <v>Grande qualidade de cor, tranquilo e muito fácil de usar.</v>
      </c>
      <c r="B46855" s="3">
        <v>1</v>
      </c>
    </row>
    <row r="46856" ht="15.75" customHeight="1" spans="1:2">
      <c r="A46856" s="3" t="str">
        <f>IFERROR(__xludf.DUMMYFUNCTION("GOOGLETRANSLATE(A46856,""en"",""pt"")"),"Fácil de usar, imprime fotos IMPRESSIONANTE, olhando agradável e tranquilo.")</f>
        <v>Fácil de usar, imprime fotos IMPRESSIONANTE, olhando agradável e tranquilo.</v>
      </c>
      <c r="B46856" s="3">
        <v>1</v>
      </c>
    </row>
    <row r="46857" ht="15.75" customHeight="1" spans="1:2">
      <c r="A46857" s="3" t="str">
        <f>IFERROR(__xludf.DUMMYFUNCTION("GOOGLETRANSLATE(A46857,""en"",""pt"")"),"Copia, digitaliza e faxes")</f>
        <v>Copia, digitaliza e faxes</v>
      </c>
      <c r="B46857" s="3">
        <v>1</v>
      </c>
    </row>
    <row r="46858" ht="15.75" customHeight="1" spans="1:2">
      <c r="A46858" s="3" t="str">
        <f>IFERROR(__xludf.DUMMYFUNCTION("GOOGLETRANSLATE(A46858,""en"",""pt"")"),"Multi-recursos para um grande preço.")</f>
        <v>Multi-recursos para um grande preço.</v>
      </c>
      <c r="B46858" s="3">
        <v>1</v>
      </c>
    </row>
    <row r="46859" ht="15.75" customHeight="1" spans="1:2">
      <c r="A46859" s="3" t="str">
        <f>IFERROR(__xludf.DUMMYFUNCTION("GOOGLETRANSLATE(A46859,""en"",""pt"")"),"Nice all-in-one máquina, pequeno, decente e fácil de usar.")</f>
        <v>Nice all-in-one máquina, pequeno, decente e fácil de usar.</v>
      </c>
      <c r="B46859" s="3">
        <v>1</v>
      </c>
    </row>
    <row r="46860" ht="15.75" customHeight="1" spans="1:2">
      <c r="A46860" s="3" t="str">
        <f>IFERROR(__xludf.DUMMYFUNCTION("GOOGLETRANSLATE(A46860,""en"",""pt"")"),"2400x1200 Foto imprime em papel fotográfico, o uso multi-função")</f>
        <v>2400x1200 Foto imprime em papel fotográfico, o uso multi-função</v>
      </c>
      <c r="B46860" s="3">
        <v>1</v>
      </c>
    </row>
    <row r="46861" ht="15.75" customHeight="1" spans="1:2">
      <c r="A46861" s="3" t="str">
        <f>IFERROR(__xludf.DUMMYFUNCTION("GOOGLETRANSLATE(A46861,""en"",""pt"")"),"Tudo que você precisa em uma unidade")</f>
        <v>Tudo que você precisa em uma unidade</v>
      </c>
      <c r="B46861" s="3">
        <v>1</v>
      </c>
    </row>
    <row r="46862" ht="15.75" customHeight="1" spans="1:2">
      <c r="A46862" s="3" t="str">
        <f>IFERROR(__xludf.DUMMYFUNCTION("GOOGLETRANSLATE(A46862,""en"",""pt"")"),"Suporta MAC OSX &amp; amp; 9. executa funções da maior parte do tempo.")</f>
        <v>Suporta MAC OSX &amp; amp; 9. executa funções da maior parte do tempo.</v>
      </c>
      <c r="B46862" s="3">
        <v>1</v>
      </c>
    </row>
    <row r="46863" ht="15.75" customHeight="1" spans="1:2">
      <c r="A46863" s="3" t="str">
        <f>IFERROR(__xludf.DUMMYFUNCTION("GOOGLETRANSLATE(A46863,""en"",""pt"")"),"Download de imagens a partir de um flashcard")</f>
        <v>Download de imagens a partir de um flashcard</v>
      </c>
      <c r="B46863" s="3">
        <v>1</v>
      </c>
    </row>
    <row r="46864" ht="15.75" customHeight="1" spans="1:2">
      <c r="A46864" s="3" t="str">
        <f>IFERROR(__xludf.DUMMYFUNCTION("GOOGLETRANSLATE(A46864,""en"",""pt"")"),"Tamanho compacto. Excelente qualidade de impressão. Rápido cópia e impressão, exceto cor.")</f>
        <v>Tamanho compacto. Excelente qualidade de impressão. Rápido cópia e impressão, exceto cor.</v>
      </c>
      <c r="B46864" s="3">
        <v>1</v>
      </c>
    </row>
    <row r="46865" ht="15.75" customHeight="1" spans="1:2">
      <c r="A46865" s="3" t="str">
        <f>IFERROR(__xludf.DUMMYFUNCTION("GOOGLETRANSLATE(A46865,""en"",""pt"")"),"Verificações e cópias bem. Preço baixo.")</f>
        <v>Verificações e cópias bem. Preço baixo.</v>
      </c>
      <c r="B46865" s="3">
        <v>1</v>
      </c>
    </row>
    <row r="46866" ht="15.75" customHeight="1" spans="1:2">
      <c r="A46866" s="3" t="str">
        <f>IFERROR(__xludf.DUMMYFUNCTION("GOOGLETRANSLATE(A46866,""en"",""pt"")"),"Pequena pegada")</f>
        <v>Pequena pegada</v>
      </c>
      <c r="B46866" s="3">
        <v>1</v>
      </c>
    </row>
    <row r="46867" ht="15.75" customHeight="1" spans="1:2">
      <c r="A46867" s="3" t="str">
        <f>IFERROR(__xludf.DUMMYFUNCTION("GOOGLETRANSLATE(A46867,""en"",""pt"")")," Muito espaço mais na minha mesa! Barato, muito claro, a impressão nítida.")</f>
        <v> Muito espaço mais na minha mesa! Barato, muito claro, a impressão nítida.</v>
      </c>
      <c r="B46867" s="3">
        <v>1</v>
      </c>
    </row>
    <row r="46868" ht="15.75" customHeight="1" spans="1:2">
      <c r="A46868" s="3" t="str">
        <f>IFERROR(__xludf.DUMMYFUNCTION("GOOGLETRANSLATE(A46868,""en"",""pt"")"),"custo pequeno. Leva apenas tanto espaço como uma impressora padrão. Grande qualidade de impressão.")</f>
        <v>custo pequeno. Leva apenas tanto espaço como uma impressora padrão. Grande qualidade de impressão.</v>
      </c>
      <c r="B46868" s="3">
        <v>1</v>
      </c>
    </row>
    <row r="46869" ht="15.75" customHeight="1" spans="1:2">
      <c r="A46869" s="3" t="str">
        <f>IFERROR(__xludf.DUMMYFUNCTION("GOOGLETRANSLATE(A46869,""en"",""pt"")"),"tamanho pequeno, faz tudo com facilidade, user-friendly")</f>
        <v>tamanho pequeno, faz tudo com facilidade, user-friendly</v>
      </c>
      <c r="B46869" s="3">
        <v>1</v>
      </c>
    </row>
    <row r="46870" ht="15.75" customHeight="1" spans="1:2">
      <c r="A46870" s="3" t="str">
        <f>IFERROR(__xludf.DUMMYFUNCTION("GOOGLETRANSLATE(A46870,""en"",""pt"")"),"4800 dpi a cores, Scanner 600x19200 dpi 36-bit, Copiadora rápido, Menos desktop espaço")</f>
        <v>4800 dpi a cores, Scanner 600x19200 dpi 36-bit, Copiadora rápido, Menos desktop espaço</v>
      </c>
      <c r="B46870" s="3">
        <v>1</v>
      </c>
    </row>
    <row r="46871" ht="15.75" customHeight="1" spans="1:2">
      <c r="A46871" s="3" t="str">
        <f>IFERROR(__xludf.DUMMYFUNCTION("GOOGLETRANSLATE(A46871,""en"",""pt"")"),"tamanho pequeno, barato")</f>
        <v>tamanho pequeno, barato</v>
      </c>
      <c r="B46871" s="3">
        <v>1</v>
      </c>
    </row>
    <row r="46872" ht="15.75" customHeight="1" spans="1:2">
      <c r="A46872" s="3" t="str">
        <f>IFERROR(__xludf.DUMMYFUNCTION("GOOGLETRANSLATE(A46872,""en"",""pt"")"),"Pegada pequena, a qualidade de impressão")</f>
        <v>Pegada pequena, a qualidade de impressão</v>
      </c>
      <c r="B46872" s="3">
        <v>1</v>
      </c>
    </row>
    <row r="46873" ht="15.75" customHeight="1" spans="1:2">
      <c r="A46873" s="3" t="str">
        <f>IFERROR(__xludf.DUMMYFUNCTION("GOOGLETRANSLATE(A46873,""en"",""pt"")"),"compacto, versátil, alisar procura, os cartuchos de tinta preta e de cor incluído")</f>
        <v>compacto, versátil, alisar procura, os cartuchos de tinta preta e de cor incluído</v>
      </c>
      <c r="B46873" s="3">
        <v>1</v>
      </c>
    </row>
    <row r="46874" ht="15.75" customHeight="1" spans="1:2">
      <c r="A46874" s="3" t="str">
        <f>IFERROR(__xludf.DUMMYFUNCTION("GOOGLETRANSLATE(A46874,""en"",""pt"")"),"tamanho compacto e conveniência, qualidade HP.")</f>
        <v>tamanho compacto e conveniência, qualidade HP.</v>
      </c>
      <c r="B46874" s="3">
        <v>1</v>
      </c>
    </row>
    <row r="46875" ht="15.75" customHeight="1" spans="1:2">
      <c r="A46875" s="3" t="str">
        <f>IFERROR(__xludf.DUMMYFUNCTION("GOOGLETRANSLATE(A46875,""en"",""pt"")"),"Faz tudo o que era para fazer e faz isso muito bem.")</f>
        <v>Faz tudo o que era para fazer e faz isso muito bem.</v>
      </c>
      <c r="B46875" s="3">
        <v>1</v>
      </c>
    </row>
    <row r="46876" ht="15.75" customHeight="1" spans="1:2">
      <c r="A46876" s="3" t="str">
        <f>IFERROR(__xludf.DUMMYFUNCTION("GOOGLETRANSLATE(A46876,""en"",""pt"")"),"Prático")</f>
        <v>Prático</v>
      </c>
      <c r="B46876" s="3">
        <v>1</v>
      </c>
    </row>
    <row r="46877" ht="15.75" customHeight="1" spans="1:2">
      <c r="A46877" s="3" t="str">
        <f>IFERROR(__xludf.DUMMYFUNCTION("GOOGLETRANSLATE(A46877,""en"",""pt"")"),"Fácil de usar, fácil transição entre as funções, de super cópias coloridas")</f>
        <v>Fácil de usar, fácil transição entre as funções, de super cópias coloridas</v>
      </c>
      <c r="B46877" s="3">
        <v>1</v>
      </c>
    </row>
    <row r="46878" ht="15.75" customHeight="1" spans="1:2">
      <c r="A46878" s="3" t="str">
        <f>IFERROR(__xludf.DUMMYFUNCTION("GOOGLETRANSLATE(A46878,""en"",""pt"")"),"Imprimir, copiar, digitalizar e enviar faxes a partir de uma unidade!")</f>
        <v>Imprimir, copiar, digitalizar e enviar faxes a partir de uma unidade!</v>
      </c>
      <c r="B46878" s="3">
        <v>1</v>
      </c>
    </row>
    <row r="46879" ht="15.75" customHeight="1" spans="1:2">
      <c r="A46879" s="3" t="str">
        <f>IFERROR(__xludf.DUMMYFUNCTION("GOOGLETRANSLATE(A46879,""en"",""pt"")"),"economizando recursos são uma grande adição de tinta; FABULOSO Atendimento ao Cliente; Os preços muito competitivos!")</f>
        <v>economizando recursos são uma grande adição de tinta; FABULOSO Atendimento ao Cliente; Os preços muito competitivos!</v>
      </c>
      <c r="B46879" s="3">
        <v>1</v>
      </c>
    </row>
    <row r="46880" ht="15.75" customHeight="1" spans="1:2">
      <c r="A46880" s="3" t="str">
        <f>IFERROR(__xludf.DUMMYFUNCTION("GOOGLETRANSLATE(A46880,""en"",""pt"")"),"estilo compacto, confiável, all-in-one")</f>
        <v>estilo compacto, confiável, all-in-one</v>
      </c>
      <c r="B46880" s="3">
        <v>1</v>
      </c>
    </row>
    <row r="46881" ht="15.75" customHeight="1" spans="1:2">
      <c r="A46881" s="3" t="str">
        <f>IFERROR(__xludf.DUMMYFUNCTION("GOOGLETRANSLATE(A46881,""en"",""pt"")"),"preço razoável, cartuchos de tinta preta de baixo custo, alimentador de documentos de 35 páginas.")</f>
        <v>preço razoável, cartuchos de tinta preta de baixo custo, alimentador de documentos de 35 páginas.</v>
      </c>
      <c r="B46881" s="3">
        <v>1</v>
      </c>
    </row>
    <row r="46882" ht="15.75" customHeight="1" spans="1:2">
      <c r="A46882" s="3" t="str">
        <f>IFERROR(__xludf.DUMMYFUNCTION("GOOGLETRANSLATE(A46882,""en"",""pt"")"),"versátil, fácil de usar, muito boa qualidade de impressão")</f>
        <v>versátil, fácil de usar, muito boa qualidade de impressão</v>
      </c>
      <c r="B46882" s="3">
        <v>1</v>
      </c>
    </row>
    <row r="46883" ht="15.75" customHeight="1" spans="1:2">
      <c r="A46883" s="3" t="str">
        <f>IFERROR(__xludf.DUMMYFUNCTION("GOOGLETRANSLATE(A46883,""en"",""pt"")"),"Alta qualidade, cartuchos parecem durar para sempre, convienent.")</f>
        <v>Alta qualidade, cartuchos parecem durar para sempre, convienent.</v>
      </c>
      <c r="B46883" s="3">
        <v>1</v>
      </c>
    </row>
    <row r="46884" ht="15.75" customHeight="1" spans="1:2">
      <c r="A46884" s="3" t="str">
        <f>IFERROR(__xludf.DUMMYFUNCTION("GOOGLETRANSLATE(A46884,""en"",""pt"")"),"Boa qualidade de impressão, alimentador de folhas, grande memória.")</f>
        <v>Boa qualidade de impressão, alimentador de folhas, grande memória.</v>
      </c>
      <c r="B46884" s="3">
        <v>1</v>
      </c>
    </row>
    <row r="46885" ht="15.75" customHeight="1" spans="1:2">
      <c r="A46885" s="3" t="str">
        <f>IFERROR(__xludf.DUMMYFUNCTION("GOOGLETRANSLATE(A46885,""en"",""pt"")"),"barato! Um bom software de conectividade, suporte USB, CF, design compacto, fácil de usar")</f>
        <v>barato! Um bom software de conectividade, suporte USB, CF, design compacto, fácil de usar</v>
      </c>
      <c r="B46885" s="3">
        <v>1</v>
      </c>
    </row>
    <row r="46886" ht="15.75" customHeight="1" spans="1:2">
      <c r="A46886" s="3" t="str">
        <f>IFERROR(__xludf.DUMMYFUNCTION("GOOGLETRANSLATE(A46886,""en"",""pt"")"),"Bom, pequeno câmera. Fácil de usar.")</f>
        <v>Bom, pequeno câmera. Fácil de usar.</v>
      </c>
      <c r="B46886" s="3">
        <v>1</v>
      </c>
    </row>
    <row r="46887" ht="15.75" customHeight="1" spans="1:2">
      <c r="A46887" s="3" t="str">
        <f>IFERROR(__xludf.DUMMYFUNCTION("GOOGLETRANSLATE(A46887,""en"",""pt"")"),"plug and play, facilidade de uso, LCD, grandes fotos ao ar livre, se bons Lighting- boas fotos")</f>
        <v>plug and play, facilidade de uso, LCD, grandes fotos ao ar livre, se bons Lighting- boas fotos</v>
      </c>
      <c r="B46887" s="3">
        <v>1</v>
      </c>
    </row>
    <row r="46888" ht="15.75" customHeight="1" spans="1:2">
      <c r="A46888" s="3" t="str">
        <f>IFERROR(__xludf.DUMMYFUNCTION("GOOGLETRANSLATE(A46888,""en"",""pt"")"),"discagem agradável jog")</f>
        <v>discagem agradável jog</v>
      </c>
      <c r="B46888" s="3">
        <v>1</v>
      </c>
    </row>
    <row r="46889" ht="15.75" customHeight="1" spans="1:2">
      <c r="A46889" s="3" t="str">
        <f>IFERROR(__xludf.DUMMYFUNCTION("GOOGLETRANSLATE(A46889,""en"",""pt"")"),"Barato com qualidade de imagem relativamente decente")</f>
        <v>Barato com qualidade de imagem relativamente decente</v>
      </c>
      <c r="B46889" s="3">
        <v>1</v>
      </c>
    </row>
    <row r="46890" ht="15.75" customHeight="1" spans="1:2">
      <c r="A46890" s="3" t="str">
        <f>IFERROR(__xludf.DUMMYFUNCTION("GOOGLETRANSLATE(A46890,""en"",""pt"")"),"Muito fácil de usar. Excelente qualidade de imagem para o preço. Fácil upload.")</f>
        <v>Muito fácil de usar. Excelente qualidade de imagem para o preço. Fácil upload.</v>
      </c>
      <c r="B46890" s="3">
        <v>1</v>
      </c>
    </row>
    <row r="46891" ht="15.75" customHeight="1" spans="1:2">
      <c r="A46891" s="3" t="str">
        <f>IFERROR(__xludf.DUMMYFUNCTION("GOOGLETRANSLATE(A46891,""en"",""pt"")"),"Barato, ecrã LCD, Flash, CF slot de mídia.")</f>
        <v>Barato, ecrã LCD, Flash, CF slot de mídia.</v>
      </c>
      <c r="B46891" s="3">
        <v>1</v>
      </c>
    </row>
    <row r="46892" ht="15.75" customHeight="1" spans="1:2">
      <c r="A46892" s="3" t="str">
        <f>IFERROR(__xludf.DUMMYFUNCTION("GOOGLETRANSLATE(A46892,""en"",""pt"")"),"422 fotos na melhor qualidade com 128 MB, tela de LCD, corpo sólido, temporizador, informação de data, hora,")</f>
        <v>422 fotos na melhor qualidade com 128 MB, tela de LCD, corpo sólido, temporizador, informação de data, hora,</v>
      </c>
      <c r="B46892" s="3">
        <v>1</v>
      </c>
    </row>
    <row r="46893" ht="15.75" customHeight="1" spans="1:2">
      <c r="A46893" s="3" t="str">
        <f>IFERROR(__xludf.DUMMYFUNCTION("GOOGLETRANSLATE(A46893,""en"",""pt"")"),"Acessível, fácil de usar")</f>
        <v>Acessível, fácil de usar</v>
      </c>
      <c r="B46893" s="3">
        <v>1</v>
      </c>
    </row>
    <row r="46894" ht="15.75" customHeight="1" spans="1:2">
      <c r="A46894" s="3" t="str">
        <f>IFERROR(__xludf.DUMMYFUNCTION("GOOGLETRANSLATE(A46894,""en"",""pt"")"),"Imagens claras, muito agradável de dinheiro.")</f>
        <v>Imagens claras, muito agradável de dinheiro.</v>
      </c>
      <c r="B46894" s="3">
        <v>1</v>
      </c>
    </row>
    <row r="46895" ht="15.75" customHeight="1" spans="1:2">
      <c r="A46895" s="3" t="str">
        <f>IFERROR(__xludf.DUMMYFUNCTION("GOOGLETRANSLATE(A46895,""en"",""pt"")"),"O preço")</f>
        <v>O preço</v>
      </c>
      <c r="B46895" s="3">
        <v>1</v>
      </c>
    </row>
    <row r="46896" ht="15.75" customHeight="1" spans="1:2">
      <c r="A46896" s="3" t="str">
        <f>IFERROR(__xludf.DUMMYFUNCTION("GOOGLETRANSLATE(A46896,""en"",""pt"")"),"pode olhar para fotos na câmera, câmera digital básica, boas para iniciantes")</f>
        <v>pode olhar para fotos na câmera, câmera digital básica, boas para iniciantes</v>
      </c>
      <c r="B46896" s="3">
        <v>1</v>
      </c>
    </row>
    <row r="46897" ht="15.75" customHeight="1" spans="1:2">
      <c r="A46897" s="3" t="str">
        <f>IFERROR(__xludf.DUMMYFUNCTION("GOOGLETRANSLATE(A46897,""en"",""pt"")"),"fotos maravilhosas leva")</f>
        <v>fotos maravilhosas leva</v>
      </c>
      <c r="B46897" s="3">
        <v>1</v>
      </c>
    </row>
    <row r="46898" ht="15.75" customHeight="1" spans="1:2">
      <c r="A46898" s="3" t="str">
        <f>IFERROR(__xludf.DUMMYFUNCTION("GOOGLETRANSLATE(A46898,""en"",""pt"")"),"Você não tem que ter o filme desenvolvido.")</f>
        <v>Você não tem que ter o filme desenvolvido.</v>
      </c>
      <c r="B46898" s="3">
        <v>1</v>
      </c>
    </row>
    <row r="46899" ht="15.75" customHeight="1" spans="1:2">
      <c r="A46899" s="3" t="str">
        <f>IFERROR(__xludf.DUMMYFUNCTION("GOOGLETRANSLATE(A46899,""en"",""pt"")"),"preços razoáveis, leva boas fotos, fácil de carregar no computador")</f>
        <v>preços razoáveis, leva boas fotos, fácil de carregar no computador</v>
      </c>
      <c r="B46899" s="3">
        <v>1</v>
      </c>
    </row>
    <row r="46900" ht="15.75" customHeight="1" spans="1:2">
      <c r="A46900" s="3" t="str">
        <f>IFERROR(__xludf.DUMMYFUNCTION("GOOGLETRANSLATE(A46900,""en"",""pt"")"),"Preço, qualidade da foto, facilidade de uso.")</f>
        <v>Preço, qualidade da foto, facilidade de uso.</v>
      </c>
      <c r="B46900" s="3">
        <v>1</v>
      </c>
    </row>
    <row r="46901" ht="15.75" customHeight="1" spans="1:2">
      <c r="A46901" s="3" t="str">
        <f>IFERROR(__xludf.DUMMYFUNCTION("GOOGLETRANSLATE(A46901,""en"",""pt"")"),"Pendentes Fotos, alta resolução para Preço")</f>
        <v>Pendentes Fotos, alta resolução para Preço</v>
      </c>
      <c r="B46901" s="3">
        <v>1</v>
      </c>
    </row>
    <row r="46902" ht="15.75" customHeight="1" spans="1:2">
      <c r="A46902" s="3" t="str">
        <f>IFERROR(__xludf.DUMMYFUNCTION("GOOGLETRANSLATE(A46902,""en"",""pt"")"),"Barato")</f>
        <v>Barato</v>
      </c>
      <c r="B46902" s="3">
        <v>1</v>
      </c>
    </row>
    <row r="46903" ht="15.75" customHeight="1" spans="1:2">
      <c r="A46903" s="3" t="str">
        <f>IFERROR(__xludf.DUMMYFUNCTION("GOOGLETRANSLATE(A46903,""en"",""pt"")"),"Barato, fácil de usar")</f>
        <v>Barato, fácil de usar</v>
      </c>
      <c r="B46903" s="3">
        <v>1</v>
      </c>
    </row>
    <row r="46904" ht="15.75" customHeight="1" spans="1:2">
      <c r="A46904" s="3" t="str">
        <f>IFERROR(__xludf.DUMMYFUNCTION("GOOGLETRANSLATE(A46904,""en"",""pt"")"),"Preço de compra")</f>
        <v>Preço de compra</v>
      </c>
      <c r="B46904" s="3">
        <v>1</v>
      </c>
    </row>
    <row r="46905" ht="15.75" customHeight="1" spans="1:2">
      <c r="A46905" s="3" t="str">
        <f>IFERROR(__xludf.DUMMYFUNCTION("GOOGLETRANSLATE(A46905,""en"",""pt"")"),"Muito boa qualidade de imagem, extremamente fácil de usar.")</f>
        <v>Muito boa qualidade de imagem, extremamente fácil de usar.</v>
      </c>
      <c r="B46905" s="3">
        <v>1</v>
      </c>
    </row>
    <row r="46906" ht="15.75" customHeight="1" spans="1:2">
      <c r="A46906" s="3" t="str">
        <f>IFERROR(__xludf.DUMMYFUNCTION("GOOGLETRANSLATE(A46906,""en"",""pt"")"),"Baixo preço, boa qualidade de imagem, facilidade de uso.")</f>
        <v>Baixo preço, boa qualidade de imagem, facilidade de uso.</v>
      </c>
      <c r="B46906" s="3">
        <v>1</v>
      </c>
    </row>
    <row r="46907" ht="15.75" customHeight="1" spans="1:2">
      <c r="A46907" s="3" t="str">
        <f>IFERROR(__xludf.DUMMYFUNCTION("GOOGLETRANSLATE(A46907,""en"",""pt"")"),"Fácil de usar, para o usuário básico, uma boa digicam arranque")</f>
        <v>Fácil de usar, para o usuário básico, uma boa digicam arranque</v>
      </c>
      <c r="B46907" s="3">
        <v>1</v>
      </c>
    </row>
    <row r="46908" ht="15.75" customHeight="1" spans="1:2">
      <c r="A46908" s="3" t="str">
        <f>IFERROR(__xludf.DUMMYFUNCTION("GOOGLETRANSLATE(A46908,""en"",""pt"")"),"Realmente barato, conexão USB")</f>
        <v>Realmente barato, conexão USB</v>
      </c>
      <c r="B46908" s="3">
        <v>1</v>
      </c>
    </row>
    <row r="46909" ht="15.75" customHeight="1" spans="1:2">
      <c r="A46909" s="3" t="str">
        <f>IFERROR(__xludf.DUMMYFUNCTION("GOOGLETRANSLATE(A46909,""en"",""pt"")"),"preço barato, grandes fotos na maioria das vezes, um bom valor para o seu dinheiro")</f>
        <v>preço barato, grandes fotos na maioria das vezes, um bom valor para o seu dinheiro</v>
      </c>
      <c r="B46909" s="3">
        <v>1</v>
      </c>
    </row>
    <row r="46910" ht="15.75" customHeight="1" spans="1:2">
      <c r="A46910" s="3" t="str">
        <f>IFERROR(__xludf.DUMMYFUNCTION("GOOGLETRANSLATE(A46910,""en"",""pt"")"),"Barato, simples, megapixel, carga da bateria fácil, LCD. Prefere assuntos ainda")</f>
        <v>Barato, simples, megapixel, carga da bateria fácil, LCD. Prefere assuntos ainda</v>
      </c>
      <c r="B46910" s="3">
        <v>1</v>
      </c>
    </row>
    <row r="46911" ht="15.75" customHeight="1" spans="1:2">
      <c r="A46911" s="3" t="str">
        <f>IFERROR(__xludf.DUMMYFUNCTION("GOOGLETRANSLATE(A46911,""en"",""pt"")"),"fácil de usar, barato")</f>
        <v>fácil de usar, barato</v>
      </c>
      <c r="B46911" s="3">
        <v>1</v>
      </c>
    </row>
    <row r="46912" ht="15.75" customHeight="1" spans="1:2">
      <c r="A46912" s="3" t="str">
        <f>IFERROR(__xludf.DUMMYFUNCTION("GOOGLETRANSLATE(A46912,""en"",""pt"")"),"Nice kits, baixo preço.")</f>
        <v>Nice kits, baixo preço.</v>
      </c>
      <c r="B46912" s="3">
        <v>1</v>
      </c>
    </row>
    <row r="46913" ht="15.75" customHeight="1" spans="1:2">
      <c r="A46913" s="3" t="str">
        <f>IFERROR(__xludf.DUMMYFUNCTION("GOOGLETRANSLATE(A46913,""en"",""pt"")"),"Boas fotos claras, de fácil instalação e uso com o software incluído.")</f>
        <v>Boas fotos claras, de fácil instalação e uso com o software incluído.</v>
      </c>
      <c r="B46913" s="3">
        <v>1</v>
      </c>
    </row>
    <row r="46914" ht="15.75" customHeight="1" spans="1:2">
      <c r="A46914" s="3" t="str">
        <f>IFERROR(__xludf.DUMMYFUNCTION("GOOGLETRANSLATE(A46914,""en"",""pt"")"),"Fotos com bom aspecto e é fácil de usar.")</f>
        <v>Fotos com bom aspecto e é fácil de usar.</v>
      </c>
      <c r="B46914" s="3">
        <v>1</v>
      </c>
    </row>
    <row r="46915" ht="15.75" customHeight="1" spans="1:2">
      <c r="A46915" s="3" t="str">
        <f>IFERROR(__xludf.DUMMYFUNCTION("GOOGLETRANSLATE(A46915,""en"",""pt"")"),"Barato")</f>
        <v>Barato</v>
      </c>
      <c r="B46915" s="3">
        <v>1</v>
      </c>
    </row>
    <row r="46916" ht="15.75" customHeight="1" spans="1:2">
      <c r="A46916" s="3" t="str">
        <f>IFERROR(__xludf.DUMMYFUNCTION("GOOGLETRANSLATE(A46916,""en"",""pt"")"),"USB para conexão rápida, tela de lcd, barato")</f>
        <v>USB para conexão rápida, tela de lcd, barato</v>
      </c>
      <c r="B46916" s="3">
        <v>1</v>
      </c>
    </row>
    <row r="46917" ht="15.75" customHeight="1" spans="1:2">
      <c r="A46917" s="3" t="str">
        <f>IFERROR(__xludf.DUMMYFUNCTION("GOOGLETRANSLATE(A46917,""en"",""pt"")"),"Acessível, de boa qualidade, e fácil de usar.")</f>
        <v>Acessível, de boa qualidade, e fácil de usar.</v>
      </c>
      <c r="B46917" s="3">
        <v>1</v>
      </c>
    </row>
    <row r="46918" ht="15.75" customHeight="1" spans="1:2">
      <c r="A46918" s="3" t="str">
        <f>IFERROR(__xludf.DUMMYFUNCTION("GOOGLETRANSLATE(A46918,""en"",""pt"")"),"fácil de usar, ótimo suporte técnico barato, durável")</f>
        <v>fácil de usar, ótimo suporte técnico barato, durável</v>
      </c>
      <c r="B46918" s="3">
        <v>1</v>
      </c>
    </row>
    <row r="46919" ht="15.75" customHeight="1" spans="1:2">
      <c r="A46919" s="3" t="s">
        <v>227</v>
      </c>
      <c r="B46919" s="3">
        <v>1</v>
      </c>
    </row>
    <row r="46920" ht="15.75" customHeight="1" spans="1:2">
      <c r="A46920" s="3" t="str">
        <f>IFERROR(__xludf.DUMMYFUNCTION("GOOGLETRANSLATE(A46920,""en"",""pt"")"),"Excelente Qualidade No Matter What Pixel Setting!")</f>
        <v>Excelente Qualidade No Matter What Pixel Setting!</v>
      </c>
      <c r="B46920" s="3">
        <v>1</v>
      </c>
    </row>
    <row r="46921" ht="15.75" customHeight="1" spans="1:2">
      <c r="A46921" s="3" t="str">
        <f>IFERROR(__xludf.DUMMYFUNCTION("GOOGLETRANSLATE(A46921,""en"",""pt"")"),"Ótimo kits digitais, impressionante pics, preço, capaz de ver as fotos depois de tomar.")</f>
        <v>Ótimo kits digitais, impressionante pics, preço, capaz de ver as fotos depois de tomar.</v>
      </c>
      <c r="B46921" s="3">
        <v>1</v>
      </c>
    </row>
    <row r="46922" ht="15.75" customHeight="1" spans="1:2">
      <c r="A46922" s="3" t="str">
        <f>IFERROR(__xludf.DUMMYFUNCTION("GOOGLETRANSLATE(A46922,""en"",""pt"")"),"Foi barato.")</f>
        <v>Foi barato.</v>
      </c>
      <c r="B46922" s="3">
        <v>1</v>
      </c>
    </row>
    <row r="46923" ht="15.75" customHeight="1" spans="1:2">
      <c r="A46923" s="3" t="str">
        <f>IFERROR(__xludf.DUMMYFUNCTION("GOOGLETRANSLATE(A46923,""en"",""pt"")"),"É barato. É simples de usar. relação desempenho / preço é, no final, alto.")</f>
        <v>É barato. É simples de usar. relação desempenho / preço é, no final, alto.</v>
      </c>
      <c r="B46923" s="3">
        <v>1</v>
      </c>
    </row>
    <row r="46924" ht="15.75" customHeight="1" spans="1:2">
      <c r="A46924" s="3" t="str">
        <f>IFERROR(__xludf.DUMMYFUNCTION("GOOGLETRANSLATE(A46924,""en"",""pt"")"),"Barato, fácil de fazer upload de imagens para o seu PC, fácil de usar")</f>
        <v>Barato, fácil de fazer upload de imagens para o seu PC, fácil de usar</v>
      </c>
      <c r="B46924" s="3">
        <v>1</v>
      </c>
    </row>
    <row r="46925" ht="15.75" customHeight="1" spans="1:2">
      <c r="A46925" s="3" t="str">
        <f>IFERROR(__xludf.DUMMYFUNCTION("GOOGLETRANSLATE(A46925,""en"",""pt"")"),"Desculpe, não consigo pensar em nenhum.")</f>
        <v>Desculpe, não consigo pensar em nenhum.</v>
      </c>
      <c r="B46925" s="3">
        <v>1</v>
      </c>
    </row>
    <row r="46926" ht="15.75" customHeight="1" spans="1:2">
      <c r="A46926" s="3" t="str">
        <f>IFERROR(__xludf.DUMMYFUNCTION("GOOGLETRANSLATE(A46926,""en"",""pt"")"),"Barato, boa qualidade de imagem, fácil de usar")</f>
        <v>Barato, boa qualidade de imagem, fácil de usar</v>
      </c>
      <c r="B46926" s="3">
        <v>1</v>
      </c>
    </row>
    <row r="46927" ht="15.75" customHeight="1" spans="1:2">
      <c r="A46927" s="3" t="str">
        <f>IFERROR(__xludf.DUMMYFUNCTION("GOOGLETRANSLATE(A46927,""en"",""pt"")"),"Baixo custo")</f>
        <v>Baixo custo</v>
      </c>
      <c r="B46927" s="3">
        <v>1</v>
      </c>
    </row>
    <row r="46928" ht="15.75" customHeight="1" spans="1:2">
      <c r="A46928" s="3" t="str">
        <f>IFERROR(__xludf.DUMMYFUNCTION("GOOGLETRANSLATE(A46928,""en"",""pt"")"),"Leva imagens de alta qualidade.")</f>
        <v>Leva imagens de alta qualidade.</v>
      </c>
      <c r="B46928" s="3">
        <v>1</v>
      </c>
    </row>
    <row r="46929" ht="15.75" customHeight="1" spans="1:2">
      <c r="A46929" s="3" t="str">
        <f>IFERROR(__xludf.DUMMYFUNCTION("GOOGLETRANSLATE(A46929,""en"",""pt"")"),"LCD, 1.3 MP, Auto Tudo, grande qualidade de construção!")</f>
        <v>LCD, 1.3 MP, Auto Tudo, grande qualidade de construção!</v>
      </c>
      <c r="B46929" s="3">
        <v>1</v>
      </c>
    </row>
    <row r="46930" ht="15.75" customHeight="1" spans="1:2">
      <c r="A46930" s="3" t="str">
        <f>IFERROR(__xludf.DUMMYFUNCTION("GOOGLETRANSLATE(A46930,""en"",""pt"")"),"Fácil de usar, barato, flash, boa qualidade de imagem")</f>
        <v>Fácil de usar, barato, flash, boa qualidade de imagem</v>
      </c>
      <c r="B46930" s="3">
        <v>1</v>
      </c>
    </row>
    <row r="46931" ht="15.75" customHeight="1" spans="1:2">
      <c r="A46931" s="3" t="str">
        <f>IFERROR(__xludf.DUMMYFUNCTION("GOOGLETRANSLATE(A46931,""en"",""pt"")"),"Fácil de usar, boa acesso a imagens rápidas")</f>
        <v>Fácil de usar, boa acesso a imagens rápidas</v>
      </c>
      <c r="B46931" s="3">
        <v>1</v>
      </c>
    </row>
    <row r="46932" ht="15.75" customHeight="1" spans="1:2">
      <c r="A46932" s="3" t="str">
        <f>IFERROR(__xludf.DUMMYFUNCTION("GOOGLETRANSLATE(A46932,""en"",""pt"")"),"barato, difícil de estragar, fácil de usar jog dial para menus simples")</f>
        <v>barato, difícil de estragar, fácil de usar jog dial para menus simples</v>
      </c>
      <c r="B46932" s="3">
        <v>1</v>
      </c>
    </row>
    <row r="46933" ht="15.75" customHeight="1" spans="1:2">
      <c r="A46933" s="3" t="str">
        <f>IFERROR(__xludf.DUMMYFUNCTION("GOOGLETRANSLATE(A46933,""en"",""pt"")"),"Ótimas fotos! Fácil, fácil, fácil de usar!")</f>
        <v>Ótimas fotos! Fácil, fácil, fácil de usar!</v>
      </c>
      <c r="B46933" s="3">
        <v>1</v>
      </c>
    </row>
    <row r="46934" ht="15.75" customHeight="1" spans="1:2">
      <c r="A46934" s="3" t="str">
        <f>IFERROR(__xludf.DUMMYFUNCTION("GOOGLETRANSLATE(A46934,""en"",""pt"")"),"Tem grandes figuras no ajuste de alta qualidade")</f>
        <v>Tem grandes figuras no ajuste de alta qualidade</v>
      </c>
      <c r="B46934" s="3">
        <v>1</v>
      </c>
    </row>
    <row r="46935" ht="15.75" customHeight="1" spans="1:2">
      <c r="A46935" s="3" t="str">
        <f>IFERROR(__xludf.DUMMYFUNCTION("GOOGLETRANSLATE(A46935,""en"",""pt"")"),"câmera digital barata, grande qualidade a alta resolução")</f>
        <v>câmera digital barata, grande qualidade a alta resolução</v>
      </c>
      <c r="B46935" s="3">
        <v>1</v>
      </c>
    </row>
    <row r="46936" ht="15.75" customHeight="1" spans="1:2">
      <c r="A46936" s="3" t="str">
        <f>IFERROR(__xludf.DUMMYFUNCTION("GOOGLETRANSLATE(A46936,""en"",""pt"")"),"Menos caro do que outras câmeras de 2 megapixels!")</f>
        <v>Menos caro do que outras câmeras de 2 megapixels!</v>
      </c>
      <c r="B46936" s="3">
        <v>1</v>
      </c>
    </row>
    <row r="46937" ht="15.75" customHeight="1" spans="1:2">
      <c r="A46937" s="3" t="str">
        <f>IFERROR(__xludf.DUMMYFUNCTION("GOOGLETRANSLATE(A46937,""en"",""pt"")"),"Fácil de usar; transfere rapidamente; tira fotos excelentes.")</f>
        <v>Fácil de usar; transfere rapidamente; tira fotos excelentes.</v>
      </c>
      <c r="B46937" s="3">
        <v>1</v>
      </c>
    </row>
    <row r="46938" ht="15.75" customHeight="1" spans="1:2">
      <c r="A46938" s="3" t="str">
        <f>IFERROR(__xludf.DUMMYFUNCTION("GOOGLETRANSLATE(A46938,""en"",""pt"")"),"Barato, alta resolução, fácil de usar")</f>
        <v>Barato, alta resolução, fácil de usar</v>
      </c>
      <c r="B46938" s="3">
        <v>1</v>
      </c>
    </row>
    <row r="46939" ht="15.75" customHeight="1" spans="1:2">
      <c r="A46939" s="3" t="str">
        <f>IFERROR(__xludf.DUMMYFUNCTION("GOOGLETRANSLATE(A46939,""en"",""pt"")"),"Atualmente, um bom negócio em uma câmera digital de nível de entrada")</f>
        <v>Atualmente, um bom negócio em uma câmera digital de nível de entrada</v>
      </c>
      <c r="B46939" s="3">
        <v>1</v>
      </c>
    </row>
    <row r="46940" ht="15.75" customHeight="1" spans="1:2">
      <c r="A46940" s="3" t="str">
        <f>IFERROR(__xludf.DUMMYFUNCTION("GOOGLETRANSLATE(A46940,""en"",""pt"")"),"Fácil de usar. janela de imagem digital.")</f>
        <v>Fácil de usar. janela de imagem digital.</v>
      </c>
      <c r="B46940" s="3">
        <v>1</v>
      </c>
    </row>
    <row r="46941" ht="15.75" customHeight="1" spans="1:2">
      <c r="A46941" s="3" t="str">
        <f>IFERROR(__xludf.DUMMYFUNCTION("GOOGLETRANSLATE(A46941,""en"",""pt"")"),"Ótimas fotos")</f>
        <v>Ótimas fotos</v>
      </c>
      <c r="B46941" s="3">
        <v>1</v>
      </c>
    </row>
    <row r="46942" ht="15.75" customHeight="1" spans="1:2">
      <c r="A46942" s="3" t="str">
        <f>IFERROR(__xludf.DUMMYFUNCTION("GOOGLETRANSLATE(A46942,""en"",""pt"")"),"Fácil de menus de uso, bateria de longa duração, fácil de usar software")</f>
        <v>Fácil de menus de uso, bateria de longa duração, fácil de usar software</v>
      </c>
      <c r="B46942" s="3">
        <v>1</v>
      </c>
    </row>
    <row r="46943" ht="15.75" customHeight="1" spans="1:2">
      <c r="A46943" s="3" t="str">
        <f>IFERROR(__xludf.DUMMYFUNCTION("GOOGLETRANSLATE(A46943,""en"",""pt"")"),"Excelente qualidade de imagem, muito fácil de usar, ótimo software")</f>
        <v>Excelente qualidade de imagem, muito fácil de usar, ótimo software</v>
      </c>
      <c r="B46943" s="3">
        <v>1</v>
      </c>
    </row>
    <row r="46944" ht="15.75" customHeight="1" spans="1:2">
      <c r="A46944" s="3" t="str">
        <f>IFERROR(__xludf.DUMMYFUNCTION("GOOGLETRANSLATE(A46944,""en"",""pt"")"),"fácil de usar, durável, bateria de longa duração")</f>
        <v>fácil de usar, durável, bateria de longa duração</v>
      </c>
      <c r="B46944" s="3">
        <v>1</v>
      </c>
    </row>
    <row r="46945" ht="15.75" customHeight="1" spans="1:2">
      <c r="A46945" s="3" t="str">
        <f>IFERROR(__xludf.DUMMYFUNCTION("GOOGLETRANSLATE(A46945,""en"",""pt"")"),"fácil de usar leva grandes fotos")</f>
        <v>fácil de usar leva grandes fotos</v>
      </c>
      <c r="B46945" s="3">
        <v>1</v>
      </c>
    </row>
    <row r="46946" ht="15.75" customHeight="1" spans="1:2">
      <c r="A46946" s="3" t="str">
        <f>IFERROR(__xludf.DUMMYFUNCTION("GOOGLETRANSLATE(A46946,""en"",""pt"")"),"Sólida construção, facilidade de uso e precisão de cor")</f>
        <v>Sólida construção, facilidade de uso e precisão de cor</v>
      </c>
      <c r="B46946" s="3">
        <v>1</v>
      </c>
    </row>
    <row r="46947" ht="15.75" customHeight="1" spans="1:2">
      <c r="A46947" s="3" t="str">
        <f>IFERROR(__xludf.DUMMYFUNCTION("GOOGLETRANSLATE(A46947,""en"",""pt"")"),"  Fácil de usar. À moda.")</f>
        <v>  Fácil de usar. À moda.</v>
      </c>
      <c r="B46947" s="3">
        <v>1</v>
      </c>
    </row>
    <row r="46948" ht="15.75" customHeight="1" spans="1:2">
      <c r="A46948" s="3" t="str">
        <f>IFERROR(__xludf.DUMMYFUNCTION("GOOGLETRANSLATE(A46948,""en"",""pt"")"),"Custo -Low, -LCD display é muito bom, muito claro")</f>
        <v>Custo -Low, -LCD display é muito bom, muito claro</v>
      </c>
      <c r="B46948" s="3">
        <v>1</v>
      </c>
    </row>
    <row r="46949" ht="15.75" customHeight="1" spans="1:2">
      <c r="A46949" s="3" t="str">
        <f>IFERROR(__xludf.DUMMYFUNCTION("GOOGLETRANSLATE(A46949,""en"",""pt"")"),"câmera digital bom começo")</f>
        <v>câmera digital bom começo</v>
      </c>
      <c r="B46949" s="3">
        <v>1</v>
      </c>
    </row>
    <row r="46950" ht="15.75" customHeight="1" spans="1:2">
      <c r="A46950" s="3" t="str">
        <f>IFERROR(__xludf.DUMMYFUNCTION("GOOGLETRANSLATE(A46950,""en"",""pt"")"),"excelentes fotos de qualidade, muitos sobre as opções de câmera, acessível, baixo consumo de bateria, fácil de usar, durável")</f>
        <v>excelentes fotos de qualidade, muitos sobre as opções de câmera, acessível, baixo consumo de bateria, fácil de usar, durável</v>
      </c>
      <c r="B46950" s="3">
        <v>1</v>
      </c>
    </row>
    <row r="46951" ht="15.75" customHeight="1" spans="1:2">
      <c r="A46951" s="3" t="str">
        <f>IFERROR(__xludf.DUMMYFUNCTION("GOOGLETRANSLATE(A46951,""en"",""pt"")"),"imagens de boa qualidade, fácil de usar")</f>
        <v>imagens de boa qualidade, fácil de usar</v>
      </c>
      <c r="B46951" s="3">
        <v>1</v>
      </c>
    </row>
    <row r="46952" ht="15.75" customHeight="1" spans="1:2">
      <c r="A46952" s="3" t="str">
        <f>IFERROR(__xludf.DUMMYFUNCTION("GOOGLETRANSLATE(A46952,""en"",""pt"")"),"Fácil de usar.")</f>
        <v>Fácil de usar.</v>
      </c>
      <c r="B46952" s="3">
        <v>1</v>
      </c>
    </row>
    <row r="46953" ht="15.75" customHeight="1" spans="1:2">
      <c r="A46953" s="3" t="str">
        <f>IFERROR(__xludf.DUMMYFUNCTION("GOOGLETRANSLATE(A46953,""en"",""pt"")"),"cover-fits lente closeable bem em mão parece ser robusto")</f>
        <v>cover-fits lente closeable bem em mão parece ser robusto</v>
      </c>
      <c r="B46953" s="3">
        <v>1</v>
      </c>
    </row>
    <row r="46954" ht="15.75" customHeight="1" spans="1:2">
      <c r="A46954" s="3" t="str">
        <f>IFERROR(__xludf.DUMMYFUNCTION("GOOGLETRANSLATE(A46954,""en"",""pt"")"),"Facilidade de uso, qualidade de imagem")</f>
        <v>Facilidade de uso, qualidade de imagem</v>
      </c>
      <c r="B46954" s="3">
        <v>1</v>
      </c>
    </row>
    <row r="46955" ht="15.75" customHeight="1" spans="1:2">
      <c r="A46955" s="3" t="str">
        <f>IFERROR(__xludf.DUMMYFUNCTION("GOOGLETRANSLATE(A46955,""en"",""pt"")"),"Fácil de usar, leve.")</f>
        <v>Fácil de usar, leve.</v>
      </c>
      <c r="B46955" s="3">
        <v>1</v>
      </c>
    </row>
    <row r="46956" ht="15.75" customHeight="1" spans="1:2">
      <c r="A46956" s="3" t="str">
        <f>IFERROR(__xludf.DUMMYFUNCTION("GOOGLETRANSLATE(A46956,""en"",""pt"")"),"Excelente qualidade de imagem mesmo com pouca luz, as transferências de imagem rápido usando o cabo USB,")</f>
        <v>Excelente qualidade de imagem mesmo com pouca luz, as transferências de imagem rápido usando o cabo USB,</v>
      </c>
      <c r="B46956" s="3">
        <v>1</v>
      </c>
    </row>
    <row r="46957" ht="15.75" customHeight="1" spans="1:2">
      <c r="A46957" s="3" t="s">
        <v>228</v>
      </c>
      <c r="B46957" s="3">
        <v>1</v>
      </c>
    </row>
    <row r="46958" ht="15.75" customHeight="1" spans="1:2">
      <c r="A46958" s="3" t="str">
        <f>IFERROR(__xludf.DUMMYFUNCTION("GOOGLETRANSLATE(A46958,""en"",""pt"")"),"Tamanho compacto, relativa facilidade de utilização.")</f>
        <v>Tamanho compacto, relativa facilidade de utilização.</v>
      </c>
      <c r="B46958" s="3">
        <v>1</v>
      </c>
    </row>
    <row r="46959" ht="15.75" customHeight="1" spans="1:2">
      <c r="A46959" s="3" t="str">
        <f>IFERROR(__xludf.DUMMYFUNCTION("GOOGLETRANSLATE(A46959,""en"",""pt"")"),"fantástica câmera para o preço")</f>
        <v>fantástica câmera para o preço</v>
      </c>
      <c r="B46959" s="3">
        <v>1</v>
      </c>
    </row>
    <row r="46960" ht="15.75" customHeight="1" spans="1:2">
      <c r="A46960" s="3" t="str">
        <f>IFERROR(__xludf.DUMMYFUNCTION("GOOGLETRANSLATE(A46960,""en"",""pt"")"),"muito acessível")</f>
        <v>muito acessível</v>
      </c>
      <c r="B46960" s="3">
        <v>1</v>
      </c>
    </row>
    <row r="46961" ht="15.75" customHeight="1" spans="1:2">
      <c r="A46961" s="3" t="str">
        <f>IFERROR(__xludf.DUMMYFUNCTION("GOOGLETRANSLATE(A46961,""en"",""pt"")"),"Preço, USB, Tamanho do Camera")</f>
        <v>Preço, USB, Tamanho do Camera</v>
      </c>
      <c r="B46961" s="3">
        <v>1</v>
      </c>
    </row>
    <row r="46962" ht="15.75" customHeight="1" spans="1:2">
      <c r="A46962" s="3" t="str">
        <f>IFERROR(__xludf.DUMMYFUNCTION("GOOGLETRANSLATE(A46962,""en"",""pt"")"),"Fácil de configurar e usar. Grandes fotos de qualidade.")</f>
        <v>Fácil de configurar e usar. Grandes fotos de qualidade.</v>
      </c>
      <c r="B46962" s="3">
        <v>1</v>
      </c>
    </row>
    <row r="46963" ht="15.75" customHeight="1" spans="1:2">
      <c r="A46963" s="3" t="str">
        <f>IFERROR(__xludf.DUMMYFUNCTION("GOOGLETRANSLATE(A46963,""en"",""pt"")"),"Leve, fácil de uso, qualidade excelente imagem")</f>
        <v>Leve, fácil de uso, qualidade excelente imagem</v>
      </c>
      <c r="B46963" s="3">
        <v>1</v>
      </c>
    </row>
    <row r="46964" ht="15.75" customHeight="1" spans="1:2">
      <c r="A46964" s="3" t="str">
        <f>IFERROR(__xludf.DUMMYFUNCTION("GOOGLETRANSLATE(A46964,""en"",""pt"")"),"porta USB, ótimo para iniciantes, fácil de usar, ótimo preço, qualidade imagens.")</f>
        <v>porta USB, ótimo para iniciantes, fácil de usar, ótimo preço, qualidade imagens.</v>
      </c>
      <c r="B46964" s="3">
        <v>1</v>
      </c>
    </row>
    <row r="46965" ht="15.75" customHeight="1" spans="1:2">
      <c r="A46965" s="3" t="str">
        <f>IFERROR(__xludf.DUMMYFUNCTION("GOOGLETRANSLATE(A46965,""en"",""pt"")"),"FÁCIL! Tem grandes figuras e imagens são fáceis de editar.")</f>
        <v>FÁCIL! Tem grandes figuras e imagens são fáceis de editar.</v>
      </c>
      <c r="B46965" s="3">
        <v>1</v>
      </c>
    </row>
    <row r="46966" ht="15.75" customHeight="1" spans="1:2">
      <c r="A46966" s="3" t="str">
        <f>IFERROR(__xludf.DUMMYFUNCTION("GOOGLETRANSLATE(A46966,""en"",""pt"")"),"Fácil de usar para o novato, USB torna a transferência de uma brisa.")</f>
        <v>Fácil de usar para o novato, USB torna a transferência de uma brisa.</v>
      </c>
      <c r="B46966" s="3">
        <v>1</v>
      </c>
    </row>
    <row r="46967" ht="15.75" customHeight="1" spans="1:2">
      <c r="A46967" s="3" t="str">
        <f>IFERROR(__xludf.DUMMYFUNCTION("GOOGLETRANSLATE(A46967,""en"",""pt"")"),"Barato. Software é intuitivo.")</f>
        <v>Barato. Software é intuitivo.</v>
      </c>
      <c r="B46967" s="3">
        <v>1</v>
      </c>
    </row>
    <row r="46968" ht="15.75" customHeight="1" spans="1:2">
      <c r="A46968" s="3" t="str">
        <f>IFERROR(__xludf.DUMMYFUNCTION("GOOGLETRANSLATE(A46968,""en"",""pt"")"),"Fácil de usar, tira fotos agradáveis, pequenas e leves, economiza US $ de filme de compra")</f>
        <v>Fácil de usar, tira fotos agradáveis, pequenas e leves, economiza US $ de filme de compra</v>
      </c>
      <c r="B46968" s="3">
        <v>1</v>
      </c>
    </row>
    <row r="46969" ht="15.75" customHeight="1" spans="1:2">
      <c r="A46969" s="3" t="str">
        <f>IFERROR(__xludf.DUMMYFUNCTION("GOOGLETRANSLATE(A46969,""en"",""pt"")"),"Grande Iniciantes Camera")</f>
        <v>Grande Iniciantes Camera</v>
      </c>
      <c r="B46969" s="3">
        <v>1</v>
      </c>
    </row>
    <row r="46970" ht="15.75" customHeight="1" spans="1:2">
      <c r="A46970" s="3" t="str">
        <f>IFERROR(__xludf.DUMMYFUNCTION("GOOGLETRANSLATE(A46970,""en"",""pt"")"),"2.1 resolução Mexapixel, 1,8"" LCD, 2.5x zoom digital")</f>
        <v>2.1 resolução Mexapixel, 1,8" LCD, 2.5x zoom digital</v>
      </c>
      <c r="B46970" s="3">
        <v>1</v>
      </c>
    </row>
    <row r="46971" ht="15.75" customHeight="1" spans="1:2">
      <c r="A46971" s="3" t="str">
        <f>IFERROR(__xludf.DUMMYFUNCTION("GOOGLETRANSLATE(A46971,""en"",""pt"")"),"não pode ser mais fácil de usar! Coloque baterias e começar tirando.")</f>
        <v>não pode ser mais fácil de usar! Coloque baterias e começar tirando.</v>
      </c>
      <c r="B46971" s="3">
        <v>1</v>
      </c>
    </row>
    <row r="46972" ht="15.75" customHeight="1" spans="1:2">
      <c r="A46972" s="3" t="str">
        <f>IFERROR(__xludf.DUMMYFUNCTION("GOOGLETRANSLATE(A46972,""en"",""pt"")"),"preço razoável, capacidades de zoom")</f>
        <v>preço razoável, capacidades de zoom</v>
      </c>
      <c r="B46972" s="3">
        <v>1</v>
      </c>
    </row>
    <row r="46973" ht="15.75" customHeight="1" spans="1:2">
      <c r="A46973" s="3" t="str">
        <f>IFERROR(__xludf.DUMMYFUNCTION("GOOGLETRANSLATE(A46973,""en"",""pt"")"),"Fácil de usar; Expansível com cartões CompactFlash; Ótimo preço.")</f>
        <v>Fácil de usar; Expansível com cartões CompactFlash; Ótimo preço.</v>
      </c>
      <c r="B46973" s="3">
        <v>1</v>
      </c>
    </row>
    <row r="46974" ht="15.75" customHeight="1" spans="1:2">
      <c r="A46974" s="3" t="str">
        <f>IFERROR(__xludf.DUMMYFUNCTION("GOOGLETRANSLATE(A46974,""en"",""pt"")"),"Fácil de usar, a qualidade de imagem decente")</f>
        <v>Fácil de usar, a qualidade de imagem decente</v>
      </c>
      <c r="B46974" s="3">
        <v>1</v>
      </c>
    </row>
    <row r="46975" ht="15.75" customHeight="1" spans="1:2">
      <c r="A46975" s="3" t="str">
        <f>IFERROR(__xludf.DUMMYFUNCTION("GOOGLETRANSLATE(A46975,""en"",""pt"")"),"É simples de usar e tira fotos decentes.")</f>
        <v>É simples de usar e tira fotos decentes.</v>
      </c>
      <c r="B46975" s="3">
        <v>1</v>
      </c>
    </row>
    <row r="46976" ht="15.75" customHeight="1" spans="1:2">
      <c r="A46976" s="3" t="str">
        <f>IFERROR(__xludf.DUMMYFUNCTION("GOOGLETRANSLATE(A46976,""en"",""pt"")"),"2.1 mega pixel")</f>
        <v>2.1 mega pixel</v>
      </c>
      <c r="B46976" s="3">
        <v>1</v>
      </c>
    </row>
    <row r="46977" ht="15.75" customHeight="1" spans="1:2">
      <c r="A46977" s="3" t="str">
        <f>IFERROR(__xludf.DUMMYFUNCTION("GOOGLETRANSLATE(A46977,""en"",""pt"")"),"baterias padrão duplo A, qualidade de imagem, facilidade de operação")</f>
        <v>baterias padrão duplo A, qualidade de imagem, facilidade de operação</v>
      </c>
      <c r="B46977" s="3">
        <v>1</v>
      </c>
    </row>
    <row r="46978" ht="15.75" customHeight="1" spans="1:2">
      <c r="A46978" s="3" t="str">
        <f>IFERROR(__xludf.DUMMYFUNCTION("GOOGLETRANSLATE(A46978,""en"",""pt"")"),"Hã? nenhum agora com uma melhor fora da câmera")</f>
        <v>Hã? nenhum agora com uma melhor fora da câmera</v>
      </c>
      <c r="B46978" s="3">
        <v>1</v>
      </c>
    </row>
    <row r="46979" ht="15.75" customHeight="1" spans="1:2">
      <c r="A46979" s="3" t="str">
        <f>IFERROR(__xludf.DUMMYFUNCTION("GOOGLETRANSLATE(A46979,""en"",""pt"")"),"definição de imagem, aparência agradável")</f>
        <v>definição de imagem, aparência agradável</v>
      </c>
      <c r="B46979" s="3">
        <v>1</v>
      </c>
    </row>
    <row r="46980" ht="15.75" customHeight="1" spans="1:2">
      <c r="A46980" s="3" t="str">
        <f>IFERROR(__xludf.DUMMYFUNCTION("GOOGLETRANSLATE(A46980,""en"",""pt"")"),"Simples de usar, com a maioria de todas as características das marcas mais caras.")</f>
        <v>Simples de usar, com a maioria de todas as características das marcas mais caras.</v>
      </c>
      <c r="B46980" s="3">
        <v>1</v>
      </c>
    </row>
    <row r="46981" ht="15.75" customHeight="1" spans="1:2">
      <c r="A46981" s="3" t="str">
        <f>IFERROR(__xludf.DUMMYFUNCTION("GOOGLETRANSLATE(A46981,""en"",""pt"")"),"boa qualidade de imagem, fácil de usar")</f>
        <v>boa qualidade de imagem, fácil de usar</v>
      </c>
      <c r="B46981" s="3">
        <v>1</v>
      </c>
    </row>
    <row r="46982" ht="15.75" customHeight="1" spans="1:2">
      <c r="A46982" s="3" t="str">
        <f>IFERROR(__xludf.DUMMYFUNCTION("GOOGLETRANSLATE(A46982,""en"",""pt"")"),"Boa forma; luz; boa qualidade de imagem")</f>
        <v>Boa forma; luz; boa qualidade de imagem</v>
      </c>
      <c r="B46982" s="3">
        <v>1</v>
      </c>
    </row>
    <row r="46983" ht="15.75" customHeight="1" spans="1:2">
      <c r="A46983" s="3" t="str">
        <f>IFERROR(__xludf.DUMMYFUNCTION("GOOGLETRANSLATE(A46983,""en"",""pt"")"),"Grande arroz, ótima resolução, uma pechincha para um pf 2,1")</f>
        <v>Grande arroz, ótima resolução, uma pechincha para um pf 2,1</v>
      </c>
      <c r="B46983" s="3">
        <v>1</v>
      </c>
    </row>
    <row r="46984" ht="15.75" customHeight="1" spans="1:2">
      <c r="A46984" s="3" t="str">
        <f>IFERROR(__xludf.DUMMYFUNCTION("GOOGLETRANSLATE(A46984,""en"",""pt"")"),"muitas características &amp; amp; boa qualidade de imagem")</f>
        <v>muitas características &amp; amp; boa qualidade de imagem</v>
      </c>
      <c r="B46984" s="3">
        <v>1</v>
      </c>
    </row>
    <row r="46985" ht="15.75" customHeight="1" spans="1:2">
      <c r="A46985" s="3" t="str">
        <f>IFERROR(__xludf.DUMMYFUNCTION("GOOGLETRANSLATE(A46985,""en"",""pt"")"),"Fácil de usar, ótima câmera para o preço")</f>
        <v>Fácil de usar, ótima câmera para o preço</v>
      </c>
      <c r="B46985" s="3">
        <v>1</v>
      </c>
    </row>
    <row r="46986" ht="15.75" customHeight="1" spans="1:2">
      <c r="A46986" s="3" t="str">
        <f>IFERROR(__xludf.DUMMYFUNCTION("GOOGLETRANSLATE(A46986,""en"",""pt"")"),"software fornecido, conexão USB, tela de LCD, zoom digital")</f>
        <v>software fornecido, conexão USB, tela de LCD, zoom digital</v>
      </c>
      <c r="B46986" s="3">
        <v>1</v>
      </c>
    </row>
    <row r="46987" ht="15.75" customHeight="1" spans="1:2">
      <c r="A46987" s="3" t="str">
        <f>IFERROR(__xludf.DUMMYFUNCTION("GOOGLETRANSLATE(A46987,""en"",""pt"")"),"2.1 megapixel, facilidade de uso, reprodução de cores bastante precisa, rastreamento on viewfinder melhor do que os modelos mais antigos")</f>
        <v>2.1 megapixel, facilidade de uso, reprodução de cores bastante precisa, rastreamento on viewfinder melhor do que os modelos mais antigos</v>
      </c>
      <c r="B46987" s="3">
        <v>1</v>
      </c>
    </row>
    <row r="46988" ht="15.75" customHeight="1" spans="1:2">
      <c r="A46988" s="3" t="str">
        <f>IFERROR(__xludf.DUMMYFUNCTION("GOOGLETRANSLATE(A46988,""en"",""pt"")"),"ótimo para usuários casuais, agradável apresenta para faixa de preço, fácil de usar")</f>
        <v>ótimo para usuários casuais, agradável apresenta para faixa de preço, fácil de usar</v>
      </c>
      <c r="B46988" s="3">
        <v>1</v>
      </c>
    </row>
    <row r="46989" ht="15.75" customHeight="1" spans="1:2">
      <c r="A46989" s="3" t="str">
        <f>IFERROR(__xludf.DUMMYFUNCTION("GOOGLETRANSLATE(A46989,""en"",""pt"")"),"Excelente conteúdo recurso para o dinheiro, imagens de boa qualidade, porta USB user-friendly.")</f>
        <v>Excelente conteúdo recurso para o dinheiro, imagens de boa qualidade, porta USB user-friendly.</v>
      </c>
      <c r="B46989" s="3">
        <v>1</v>
      </c>
    </row>
    <row r="46990" ht="15.75" customHeight="1" spans="1:2">
      <c r="A46990" s="3" t="str">
        <f>IFERROR(__xludf.DUMMYFUNCTION("GOOGLETRANSLATE(A46990,""en"",""pt"")"),"2.1 Megapixel, barato, fácil de usar")</f>
        <v>2.1 Megapixel, barato, fácil de usar</v>
      </c>
      <c r="B46990" s="3">
        <v>1</v>
      </c>
    </row>
    <row r="46991" ht="15.75" customHeight="1" spans="1:2">
      <c r="A46991" s="3" t="str">
        <f>IFERROR(__xludf.DUMMYFUNCTION("GOOGLETRANSLATE(A46991,""en"",""pt"")"),"Preço, 2.1 megapixels, muito fácil de usar")</f>
        <v>Preço, 2.1 megapixels, muito fácil de usar</v>
      </c>
      <c r="B46991" s="3">
        <v>1</v>
      </c>
    </row>
    <row r="46992" ht="15.75" customHeight="1" spans="1:2">
      <c r="A46992" s="3" t="str">
        <f>IFERROR(__xludf.DUMMYFUNCTION("GOOGLETRANSLATE(A46992,""en"",""pt"")"),"Grandes fotos, compacto para transportar, fácil de usar.")</f>
        <v>Grandes fotos, compacto para transportar, fácil de usar.</v>
      </c>
      <c r="B46992" s="3">
        <v>1</v>
      </c>
    </row>
    <row r="46993" ht="15.75" customHeight="1" spans="1:2">
      <c r="A46993" s="3" t="str">
        <f>IFERROR(__xludf.DUMMYFUNCTION("GOOGLETRANSLATE(A46993,""en"",""pt"")"),"Fácil de usar, imagens de boa qualidade, comparativamente muito barata")</f>
        <v>Fácil de usar, imagens de boa qualidade, comparativamente muito barata</v>
      </c>
      <c r="B46993" s="3">
        <v>1</v>
      </c>
    </row>
    <row r="46994" ht="15.75" customHeight="1" spans="1:2">
      <c r="A46994" s="3" t="str">
        <f>IFERROR(__xludf.DUMMYFUNCTION("GOOGLETRANSLATE(A46994,""en"",""pt"")"),"alta resolução, facilidade de uso")</f>
        <v>alta resolução, facilidade de uso</v>
      </c>
      <c r="B46994" s="3">
        <v>1</v>
      </c>
    </row>
    <row r="46995" ht="15.75" customHeight="1" spans="1:2">
      <c r="A46995" s="3" t="str">
        <f>IFERROR(__xludf.DUMMYFUNCTION("GOOGLETRANSLATE(A46995,""en"",""pt"")"),"Acessível, câmera de 2 megapixel user-friendly com interface USB; usa pilhas AA comuns.")</f>
        <v>Acessível, câmera de 2 megapixel user-friendly com interface USB; usa pilhas AA comuns.</v>
      </c>
      <c r="B46995" s="3">
        <v>1</v>
      </c>
    </row>
    <row r="46996" ht="15.75" customHeight="1" spans="1:2">
      <c r="A46996" s="3" t="str">
        <f>IFERROR(__xludf.DUMMYFUNCTION("GOOGLETRANSLATE(A46996,""en"",""pt"")"),"Relação preço / Megapixel, tela LCD, facilidade de uso, TUDO AUTOMATIC, Grande Software Bundle")</f>
        <v>Relação preço / Megapixel, tela LCD, facilidade de uso, TUDO AUTOMATIC, Grande Software Bundle</v>
      </c>
      <c r="B46996" s="3">
        <v>1</v>
      </c>
    </row>
    <row r="46997" ht="15.75" customHeight="1" spans="1:2">
      <c r="A46997" s="3" t="str">
        <f>IFERROR(__xludf.DUMMYFUNCTION("GOOGLETRANSLATE(A46997,""en"",""pt"")"),"Compact &amp; amp; # 13; &amp; amp; # 10; Fácil de usar &amp; amp; # 13; &amp; amp; # 10;")</f>
        <v>Compact &amp; amp; # 13; &amp; amp; # 10; Fácil de usar &amp; amp; # 13; &amp; amp; # 10;</v>
      </c>
      <c r="B46997" s="3">
        <v>1</v>
      </c>
    </row>
    <row r="46998" ht="15.75" customHeight="1" spans="1:2">
      <c r="A46998" s="3" t="str">
        <f>IFERROR(__xludf.DUMMYFUNCTION("GOOGLETRANSLATE(A46998,""en"",""pt"")"),"Fácil de usar. Compacto para transportar. Software de computador é simples de usar.")</f>
        <v>Fácil de usar. Compacto para transportar. Software de computador é simples de usar.</v>
      </c>
      <c r="B46998" s="3">
        <v>1</v>
      </c>
    </row>
    <row r="46999" ht="15.75" customHeight="1" spans="1:2">
      <c r="A46999" s="3" t="str">
        <f>IFERROR(__xludf.DUMMYFUNCTION("GOOGLETRANSLATE(A46999,""en"",""pt"")"),"Compacto, fácil de usar, fácil de fazer upload de fotos para o PC")</f>
        <v>Compacto, fácil de usar, fácil de fazer upload de fotos para o PC</v>
      </c>
      <c r="B46999" s="3">
        <v>1</v>
      </c>
    </row>
    <row r="47000" ht="15.75" customHeight="1" spans="1:2">
      <c r="A47000" s="3" t="str">
        <f>IFERROR(__xludf.DUMMYFUNCTION("GOOGLETRANSLATE(A47000,""en"",""pt"")"),"Bom preço")</f>
        <v>Bom preço</v>
      </c>
      <c r="B47000" s="3">
        <v>1</v>
      </c>
    </row>
    <row r="47001" ht="15.75" customHeight="1" spans="1:2">
      <c r="A47001" s="3" t="str">
        <f>IFERROR(__xludf.DUMMYFUNCTION("GOOGLETRANSLATE(A47001,""en"",""pt"")"),"Fácil de usar, imagens de alta qualidade, interface USB rápido.")</f>
        <v>Fácil de usar, imagens de alta qualidade, interface USB rápido.</v>
      </c>
      <c r="B47001" s="3">
        <v>1</v>
      </c>
    </row>
    <row r="47002" ht="15.75" customHeight="1" spans="1:2">
      <c r="A47002" s="3" t="str">
        <f>IFERROR(__xludf.DUMMYFUNCTION("GOOGLETRANSLATE(A47002,""en"",""pt"")"),"Um grande iniciante ou câmera digital de qualidade profissional!")</f>
        <v>Um grande iniciante ou câmera digital de qualidade profissional!</v>
      </c>
      <c r="B47002" s="3">
        <v>1</v>
      </c>
    </row>
    <row r="47003" ht="15.75" customHeight="1" spans="1:2">
      <c r="A47003" s="3" t="str">
        <f>IFERROR(__xludf.DUMMYFUNCTION("GOOGLETRANSLATE(A47003,""en"",""pt"")"),"Fácil de usar; Imagens de boa qualidade")</f>
        <v>Fácil de usar; Imagens de boa qualidade</v>
      </c>
      <c r="B47003" s="3">
        <v>1</v>
      </c>
    </row>
    <row r="47004" ht="15.75" customHeight="1" spans="1:2">
      <c r="A47004" s="3" t="str">
        <f>IFERROR(__xludf.DUMMYFUNCTION("GOOGLETRANSLATE(A47004,""en"",""pt"")"),"Muito fácil de aprender e usar. As imagens são de excelente qualidade para o envio através da internet.")</f>
        <v>Muito fácil de aprender e usar. As imagens são de excelente qualidade para o envio através da internet.</v>
      </c>
      <c r="B47004" s="3">
        <v>1</v>
      </c>
    </row>
    <row r="47005" ht="15.75" customHeight="1" spans="1:2">
      <c r="A47005" s="3" t="str">
        <f>IFERROR(__xludf.DUMMYFUNCTION("GOOGLETRANSLATE(A47005,""en"",""pt"")"),"Fácil de usar, fotos nítidas e renderização boa cor")</f>
        <v>Fácil de usar, fotos nítidas e renderização boa cor</v>
      </c>
      <c r="B47005" s="3">
        <v>1</v>
      </c>
    </row>
    <row r="47006" ht="15.75" customHeight="1" spans="1:2">
      <c r="A47006" s="3" t="str">
        <f>IFERROR(__xludf.DUMMYFUNCTION("GOOGLETRANSLATE(A47006,""en"",""pt"")"),"Conveniente, fácil de usar o menu")</f>
        <v>Conveniente, fácil de usar o menu</v>
      </c>
      <c r="B47006" s="3">
        <v>1</v>
      </c>
    </row>
    <row r="47007" ht="15.75" customHeight="1" spans="1:2">
      <c r="A47007" s="3" t="str">
        <f>IFERROR(__xludf.DUMMYFUNCTION("GOOGLETRANSLATE(A47007,""en"",""pt"")"),"tamanho médio, leve, muito fácil de usar")</f>
        <v>tamanho médio, leve, muito fácil de usar</v>
      </c>
      <c r="B47007" s="3">
        <v>1</v>
      </c>
    </row>
    <row r="47008" ht="15.75" customHeight="1" spans="1:2">
      <c r="A47008" s="3" t="str">
        <f>IFERROR(__xludf.DUMMYFUNCTION("GOOGLETRANSLATE(A47008,""en"",""pt"")"),"Fácil de usar, boas fotos.")</f>
        <v>Fácil de usar, boas fotos.</v>
      </c>
      <c r="B47008" s="3">
        <v>1</v>
      </c>
    </row>
    <row r="47009" ht="15.75" customHeight="1" spans="1:2">
      <c r="A47009" s="3" t="str">
        <f>IFERROR(__xludf.DUMMYFUNCTION("GOOGLETRANSLATE(A47009,""en"",""pt"")"),"Fácil de usar")</f>
        <v>Fácil de usar</v>
      </c>
      <c r="B47009" s="3">
        <v>1</v>
      </c>
    </row>
    <row r="47010" ht="15.75" customHeight="1" spans="1:2">
      <c r="A47010" s="3" t="str">
        <f>IFERROR(__xludf.DUMMYFUNCTION("GOOGLETRANSLATE(A47010,""en"",""pt"")"),"Toma muito claras e nítidas fotos")</f>
        <v>Toma muito claras e nítidas fotos</v>
      </c>
      <c r="B47010" s="3">
        <v>1</v>
      </c>
    </row>
    <row r="47011" ht="15.75" customHeight="1" spans="1:2">
      <c r="A47011" s="3" t="str">
        <f>IFERROR(__xludf.DUMMYFUNCTION("GOOGLETRANSLATE(A47011,""en"",""pt"")"),"carregado com características, 2x câmera digital, leve e compacto")</f>
        <v>carregado com características, 2x câmera digital, leve e compacto</v>
      </c>
      <c r="B47011" s="3">
        <v>1</v>
      </c>
    </row>
    <row r="47012" ht="15.75" customHeight="1" spans="1:2">
      <c r="A47012" s="3" t="str">
        <f>IFERROR(__xludf.DUMMYFUNCTION("GOOGLETRANSLATE(A47012,""en"",""pt"")"),"Fácil de usar; leve, conexão USB")</f>
        <v>Fácil de usar; leve, conexão USB</v>
      </c>
      <c r="B47012" s="3">
        <v>1</v>
      </c>
    </row>
    <row r="47013" ht="15.75" customHeight="1" spans="1:2">
      <c r="A47013" s="3" t="str">
        <f>IFERROR(__xludf.DUMMYFUNCTION("GOOGLETRANSLATE(A47013,""en"",""pt"")"),"Pequeno, leve, fácil de usar, boas características, 10 segundo temporizador")</f>
        <v>Pequeno, leve, fácil de usar, boas características, 10 segundo temporizador</v>
      </c>
      <c r="B47013" s="3">
        <v>1</v>
      </c>
    </row>
    <row r="47014" ht="15.75" customHeight="1" spans="1:2">
      <c r="A47014" s="3" t="str">
        <f>IFERROR(__xludf.DUMMYFUNCTION("GOOGLETRANSLATE(A47014,""en"",""pt"")"),"Grandes características / preço para economicamente minded. imagens de alta qualidade.")</f>
        <v>Grandes características / preço para economicamente minded. imagens de alta qualidade.</v>
      </c>
      <c r="B47014" s="3">
        <v>1</v>
      </c>
    </row>
    <row r="47015" ht="15.75" customHeight="1" spans="1:2">
      <c r="A47015" s="3" t="str">
        <f>IFERROR(__xludf.DUMMYFUNCTION("GOOGLETRANSLATE(A47015,""en"",""pt"")"),"Ótima câmera a um preço excelente")</f>
        <v>Ótima câmera a um preço excelente</v>
      </c>
      <c r="B47015" s="3">
        <v>1</v>
      </c>
    </row>
    <row r="47016" ht="15.75" customHeight="1" spans="1:2">
      <c r="A47016" s="3" t="str">
        <f>IFERROR(__xludf.DUMMYFUNCTION("GOOGLETRANSLATE(A47016,""en"",""pt"")"),"memória interna de 8MB &amp; amp;. # 13; &amp; amp; # 10; Facilidade de uso &amp; amp;. # 13; &amp; amp; # 10; compacto")</f>
        <v>memória interna de 8MB &amp; amp;. # 13; &amp; amp; # 10; Facilidade de uso &amp; amp;. # 13; &amp; amp; # 10; compacto</v>
      </c>
      <c r="B47016" s="3">
        <v>1</v>
      </c>
    </row>
    <row r="47017" ht="15.75" customHeight="1" spans="1:2">
      <c r="A47017" s="3" t="str">
        <f>IFERROR(__xludf.DUMMYFUNCTION("GOOGLETRANSLATE(A47017,""en"",""pt"")"),"Pode ser usado com o Windows e Macintosh, design elegante")</f>
        <v>Pode ser usado com o Windows e Macintosh, design elegante</v>
      </c>
      <c r="B47017" s="3">
        <v>1</v>
      </c>
    </row>
    <row r="47018" ht="15.75" customHeight="1" spans="1:2">
      <c r="A47018" s="3" t="str">
        <f>IFERROR(__xludf.DUMMYFUNCTION("GOOGLETRANSLATE(A47018,""en"",""pt"")"),"preço, fácil de usar, ótimo software, tela.")</f>
        <v>preço, fácil de usar, ótimo software, tela.</v>
      </c>
      <c r="B47018" s="3">
        <v>1</v>
      </c>
    </row>
    <row r="47019" ht="15.75" customHeight="1" spans="1:2">
      <c r="A47019" s="3" t="str">
        <f>IFERROR(__xludf.DUMMYFUNCTION("GOOGLETRANSLATE(A47019,""en"",""pt"")"),"Ótima câmera pelo preço.")</f>
        <v>Ótima câmera pelo preço.</v>
      </c>
      <c r="B47019" s="3">
        <v>1</v>
      </c>
    </row>
    <row r="47020" ht="15.75" customHeight="1" spans="1:2">
      <c r="A47020" s="3" t="str">
        <f>IFERROR(__xludf.DUMMYFUNCTION("GOOGLETRANSLATE(A47020,""en"",""pt"")"),"Extremamente fácil de usar.")</f>
        <v>Extremamente fácil de usar.</v>
      </c>
      <c r="B47020" s="3">
        <v>1</v>
      </c>
    </row>
    <row r="47021" ht="15.75" customHeight="1" spans="1:2">
      <c r="A47021" s="3" t="str">
        <f>IFERROR(__xludf.DUMMYFUNCTION("GOOGLETRANSLATE(A47021,""en"",""pt"")"),"Grande preço, fácil de usar, NO FILME !!")</f>
        <v>Grande preço, fácil de usar, NO FILME !!</v>
      </c>
      <c r="B47021" s="3">
        <v>1</v>
      </c>
    </row>
    <row r="47022" ht="15.75" customHeight="1" spans="1:2">
      <c r="A47022" s="3" t="str">
        <f>IFERROR(__xludf.DUMMYFUNCTION("GOOGLETRANSLATE(A47022,""en"",""pt"")"),"Barato, fácil de usar")</f>
        <v>Barato, fácil de usar</v>
      </c>
      <c r="B47022" s="3">
        <v>1</v>
      </c>
    </row>
    <row r="47023" ht="15.75" customHeight="1" spans="1:2">
      <c r="A47023" s="3" t="str">
        <f>IFERROR(__xludf.DUMMYFUNCTION("GOOGLETRANSLATE(A47023,""en"",""pt"")"),"Facilidade de uso, preço.")</f>
        <v>Facilidade de uso, preço.</v>
      </c>
      <c r="B47023" s="3">
        <v>1</v>
      </c>
    </row>
    <row r="47024" ht="15.75" customHeight="1" spans="1:2">
      <c r="A47024" s="3" t="str">
        <f>IFERROR(__xludf.DUMMYFUNCTION("GOOGLETRANSLATE(A47024,""en"",""pt"")"),"O tamanho pequeno, muito fácil de usar")</f>
        <v>O tamanho pequeno, muito fácil de usar</v>
      </c>
      <c r="B47024" s="3">
        <v>1</v>
      </c>
    </row>
    <row r="47025" ht="15.75" customHeight="1" spans="1:2">
      <c r="A47025" s="3" t="str">
        <f>IFERROR(__xludf.DUMMYFUNCTION("GOOGLETRANSLATE(A47025,""en"",""pt"")"),"Fácil de usar")</f>
        <v>Fácil de usar</v>
      </c>
      <c r="B47025" s="3">
        <v>1</v>
      </c>
    </row>
    <row r="47026" ht="15.75" customHeight="1" spans="1:2">
      <c r="A47026" s="3" t="str">
        <f>IFERROR(__xludf.DUMMYFUNCTION("GOOGLETRANSLATE(A47026,""en"",""pt"")"),"Boa câmera para quem pretende gastar pouco. Bom valor.")</f>
        <v>Boa câmera para quem pretende gastar pouco. Bom valor.</v>
      </c>
      <c r="B47026" s="3">
        <v>1</v>
      </c>
    </row>
    <row r="47027" ht="15.75" customHeight="1" spans="1:2">
      <c r="A47027" s="3" t="str">
        <f>IFERROR(__xludf.DUMMYFUNCTION("GOOGLETRANSLATE(A47027,""en"",""pt"")"),"fotos claras, boa cor, muito fácil de usar.")</f>
        <v>fotos claras, boa cor, muito fácil de usar.</v>
      </c>
      <c r="B47027" s="3">
        <v>1</v>
      </c>
    </row>
    <row r="47028" ht="15.75" customHeight="1" spans="1:2">
      <c r="A47028" s="3" t="str">
        <f>IFERROR(__xludf.DUMMYFUNCTION("GOOGLETRANSLATE(A47028,""en"",""pt"")"),"As imagens são muito bom para este preço")</f>
        <v>As imagens são muito bom para este preço</v>
      </c>
      <c r="B47028" s="3">
        <v>1</v>
      </c>
    </row>
    <row r="47029" ht="15.75" customHeight="1" spans="1:2">
      <c r="A47029" s="3" t="str">
        <f>IFERROR(__xludf.DUMMYFUNCTION("GOOGLETRANSLATE(A47029,""en"",""pt"")"),"Bom preço para 2.3 Megapixels, fácil de usar, excelente compatibilidade WinXP.")</f>
        <v>Bom preço para 2.3 Megapixels, fácil de usar, excelente compatibilidade WinXP.</v>
      </c>
      <c r="B47029" s="3">
        <v>1</v>
      </c>
    </row>
    <row r="47030" ht="15.75" customHeight="1" spans="1:2">
      <c r="A47030" s="3" t="str">
        <f>IFERROR(__xludf.DUMMYFUNCTION("GOOGLETRANSLATE(A47030,""en"",""pt"")"),"Muito fácil de usar, pequeno e peso leve. grande software")</f>
        <v>Muito fácil de usar, pequeno e peso leve. grande software</v>
      </c>
      <c r="B47030" s="3">
        <v>1</v>
      </c>
    </row>
    <row r="47031" ht="15.75" customHeight="1" spans="1:2">
      <c r="A47031" s="3" t="str">
        <f>IFERROR(__xludf.DUMMYFUNCTION("GOOGLETRANSLATE(A47031,""en"",""pt"")"),"Fácil de operar")</f>
        <v>Fácil de operar</v>
      </c>
      <c r="B47031" s="3">
        <v>1</v>
      </c>
    </row>
    <row r="47032" ht="15.75" customHeight="1" spans="1:2">
      <c r="A47032" s="3" t="str">
        <f>IFERROR(__xludf.DUMMYFUNCTION("GOOGLETRANSLATE(A47032,""en"",""pt"")"),"Fácil de tirar fotos e baixá-los.")</f>
        <v>Fácil de tirar fotos e baixá-los.</v>
      </c>
      <c r="B47032" s="3">
        <v>1</v>
      </c>
    </row>
    <row r="47033" ht="15.75" customHeight="1" spans="1:2">
      <c r="A47033" s="3" t="str">
        <f>IFERROR(__xludf.DUMMYFUNCTION("GOOGLETRANSLATE(A47033,""en"",""pt"")"),"barato, fácil de usar")</f>
        <v>barato, fácil de usar</v>
      </c>
      <c r="B47033" s="3">
        <v>1</v>
      </c>
    </row>
    <row r="47034" ht="15.75" customHeight="1" spans="1:2">
      <c r="A47034" s="3" t="str">
        <f>IFERROR(__xludf.DUMMYFUNCTION("GOOGLETRANSLATE(A47034,""en"",""pt"")"),"Excelente qualidade de imagem para o preço.")</f>
        <v>Excelente qualidade de imagem para o preço.</v>
      </c>
      <c r="B47034" s="3">
        <v>1</v>
      </c>
    </row>
    <row r="47035" ht="15.75" customHeight="1" spans="1:2">
      <c r="A47035" s="3" t="str">
        <f>IFERROR(__xludf.DUMMYFUNCTION("GOOGLETRANSLATE(A47035,""en"",""pt"")"),"Grande compra para o $$")</f>
        <v>Grande compra para o $$</v>
      </c>
      <c r="B47035" s="3">
        <v>1</v>
      </c>
    </row>
    <row r="47036" ht="15.75" customHeight="1" spans="1:2">
      <c r="A47036" s="3" t="str">
        <f>IFERROR(__xludf.DUMMYFUNCTION("GOOGLETRANSLATE(A47036,""en"",""pt"")"),"Leve, fácil de usar, leva até 100 fotos +")</f>
        <v>Leve, fácil de usar, leva até 100 fotos +</v>
      </c>
      <c r="B47036" s="3">
        <v>1</v>
      </c>
    </row>
    <row r="47037" ht="15.75" customHeight="1" spans="1:2">
      <c r="A47037" s="3" t="str">
        <f>IFERROR(__xludf.DUMMYFUNCTION("GOOGLETRANSLATE(A47037,""en"",""pt"")"),"Fácil de usar, fotos de boa qualidade, plug and software jogo")</f>
        <v>Fácil de usar, fotos de boa qualidade, plug and software jogo</v>
      </c>
      <c r="B47037" s="3">
        <v>1</v>
      </c>
    </row>
    <row r="47038" ht="15.75" customHeight="1" spans="1:2">
      <c r="A47038" s="3" t="str">
        <f>IFERROR(__xludf.DUMMYFUNCTION("GOOGLETRANSLATE(A47038,""en"",""pt"")"),"Fácil de usar, não muito sofisticado")</f>
        <v>Fácil de usar, não muito sofisticado</v>
      </c>
      <c r="B47038" s="3">
        <v>1</v>
      </c>
    </row>
    <row r="47039" ht="15.75" customHeight="1" spans="1:2">
      <c r="A47039" s="3" t="str">
        <f>IFERROR(__xludf.DUMMYFUNCTION("GOOGLETRANSLATE(A47039,""en"",""pt"")"),"Fácil de usar, bastante grande armazenamento, boas características, fotos decentes de qualidade.")</f>
        <v>Fácil de usar, bastante grande armazenamento, boas características, fotos decentes de qualidade.</v>
      </c>
      <c r="B47039" s="3">
        <v>1</v>
      </c>
    </row>
    <row r="47040" ht="15.75" customHeight="1" spans="1:2">
      <c r="A47040" s="3" t="str">
        <f>IFERROR(__xludf.DUMMYFUNCTION("GOOGLETRANSLATE(A47040,""en"",""pt"")"),"pilhas não-proprietários (AA) e de armazenamento (CF), pequena, lcd ViewScreen, 3 resoluções")</f>
        <v>pilhas não-proprietários (AA) e de armazenamento (CF), pequena, lcd ViewScreen, 3 resoluções</v>
      </c>
      <c r="B47040" s="3">
        <v>1</v>
      </c>
    </row>
    <row r="47041" ht="15.75" customHeight="1" spans="1:2">
      <c r="A47041" s="3" t="str">
        <f>IFERROR(__xludf.DUMMYFUNCTION("GOOGLETRANSLATE(A47041,""en"",""pt"")"),"Excelente qualidade de imagem, auto-flash, controle de olhos vermelhos, agradável LCD")</f>
        <v>Excelente qualidade de imagem, auto-flash, controle de olhos vermelhos, agradável LCD</v>
      </c>
      <c r="B47041" s="3">
        <v>1</v>
      </c>
    </row>
    <row r="47042" ht="15.75" customHeight="1" spans="1:2">
      <c r="A47042" s="3" t="str">
        <f>IFERROR(__xludf.DUMMYFUNCTION("GOOGLETRANSLATE(A47042,""en"",""pt"")"),"o preço certo, fácil de usar, muito durável")</f>
        <v>o preço certo, fácil de usar, muito durável</v>
      </c>
      <c r="B47042" s="3">
        <v>1</v>
      </c>
    </row>
    <row r="47043" ht="15.75" customHeight="1" spans="1:2">
      <c r="A47043" s="3" t="str">
        <f>IFERROR(__xludf.DUMMYFUNCTION("GOOGLETRANSLATE(A47043,""en"",""pt"")"),"Ummm ...")</f>
        <v>Ummm ...</v>
      </c>
      <c r="B47043" s="3">
        <v>1</v>
      </c>
    </row>
    <row r="47044" ht="15.75" customHeight="1" spans="1:2">
      <c r="A47044" s="3" t="str">
        <f>IFERROR(__xludf.DUMMYFUNCTION("GOOGLETRANSLATE(A47044,""en"",""pt"")"),"Fácil de usar, ótimo software, luz, barato.")</f>
        <v>Fácil de usar, ótimo software, luz, barato.</v>
      </c>
      <c r="B47044" s="3">
        <v>1</v>
      </c>
    </row>
    <row r="47045" ht="15.75" customHeight="1" spans="1:2">
      <c r="A47045" s="3" t="str">
        <f>IFERROR(__xludf.DUMMYFUNCTION("GOOGLETRANSLATE(A47045,""en"",""pt"")"),"pequeno e leve, excelente qualidade de imagem, grande valor, elegante e fácil de usar, junto com um bom software")</f>
        <v>pequeno e leve, excelente qualidade de imagem, grande valor, elegante e fácil de usar, junto com um bom software</v>
      </c>
      <c r="B47045" s="3">
        <v>1</v>
      </c>
    </row>
    <row r="47046" ht="15.75" customHeight="1" spans="1:2">
      <c r="A47046" s="3" t="str">
        <f>IFERROR(__xludf.DUMMYFUNCTION("GOOGLETRANSLATE(A47046,""en"",""pt"")"),"Leve &amp; amp; pequeno; grande software &amp; amp; características; Fácil de usar")</f>
        <v>Leve &amp; amp; pequeno; grande software &amp; amp; características; Fácil de usar</v>
      </c>
      <c r="B47046" s="3">
        <v>1</v>
      </c>
    </row>
    <row r="47047" ht="15.75" customHeight="1" spans="1:2">
      <c r="A47047" s="3" t="str">
        <f>IFERROR(__xludf.DUMMYFUNCTION("GOOGLETRANSLATE(A47047,""en"",""pt"")"),"tamanho conveniente, fácil de usar, expansível, um bom software")</f>
        <v>tamanho conveniente, fácil de usar, expansível, um bom software</v>
      </c>
      <c r="B47047" s="3">
        <v>1</v>
      </c>
    </row>
    <row r="47048" ht="15.75" customHeight="1" spans="1:2">
      <c r="A47048" s="3" t="str">
        <f>IFERROR(__xludf.DUMMYFUNCTION("GOOGLETRANSLATE(A47048,""en"",""pt"")"),"Fácil de usar. Simpático e pequeno.")</f>
        <v>Fácil de usar. Simpático e pequeno.</v>
      </c>
      <c r="B47048" s="3">
        <v>1</v>
      </c>
    </row>
    <row r="47049" ht="15.75" customHeight="1" spans="1:2">
      <c r="A47049" s="3" t="str">
        <f>IFERROR(__xludf.DUMMYFUNCTION("GOOGLETRANSLATE(A47049,""en"",""pt"")"),"Ambos câmera e software fácil de usar. Excelente qualidade de imagem se ao ar livre.")</f>
        <v>Ambos câmera e software fácil de usar. Excelente qualidade de imagem se ao ar livre.</v>
      </c>
      <c r="B47049" s="3">
        <v>1</v>
      </c>
    </row>
    <row r="47050" ht="15.75" customHeight="1" spans="1:2">
      <c r="A47050" s="3" t="str">
        <f>IFERROR(__xludf.DUMMYFUNCTION("GOOGLETRANSLATE(A47050,""en"",""pt"")"),"2.3 megapixels, preço baixo")</f>
        <v>2.3 megapixels, preço baixo</v>
      </c>
      <c r="B47050" s="3">
        <v>1</v>
      </c>
    </row>
    <row r="47051" ht="15.75" customHeight="1" spans="1:2">
      <c r="A47051" s="3" t="str">
        <f>IFERROR(__xludf.DUMMYFUNCTION("GOOGLETRANSLATE(A47051,""en"",""pt"")"),"Boa câmera pequena, ótimo para pessoas que não tomar um monte de fotos.")</f>
        <v>Boa câmera pequena, ótimo para pessoas que não tomar um monte de fotos.</v>
      </c>
      <c r="B47051" s="3">
        <v>1</v>
      </c>
    </row>
    <row r="47052" ht="15.75" customHeight="1" spans="1:2">
      <c r="A47052" s="3" t="str">
        <f>IFERROR(__xludf.DUMMYFUNCTION("GOOGLETRANSLATE(A47052,""en"",""pt"")"),"Os extras decentes para o preço")</f>
        <v>Os extras decentes para o preço</v>
      </c>
      <c r="B47052" s="3">
        <v>1</v>
      </c>
    </row>
    <row r="47053" ht="15.75" customHeight="1" spans="1:2">
      <c r="A47053" s="3" t="str">
        <f>IFERROR(__xludf.DUMMYFUNCTION("GOOGLETRANSLATE(A47053,""en"",""pt"")"),"Grande qualidade da foto, faz menos me olhar como um profissional")</f>
        <v>Grande qualidade da foto, faz menos me olhar como um profissional</v>
      </c>
      <c r="B47053" s="3">
        <v>1</v>
      </c>
    </row>
    <row r="47054" ht="15.75" customHeight="1" spans="1:2">
      <c r="A47054" s="3" t="str">
        <f>IFERROR(__xludf.DUMMYFUNCTION("GOOGLETRANSLATE(A47054,""en"",""pt"")"),"Fácil de usar, o recurso de vídeo, tira ótimas fotos")</f>
        <v>Fácil de usar, o recurso de vídeo, tira ótimas fotos</v>
      </c>
      <c r="B47054" s="3">
        <v>1</v>
      </c>
    </row>
    <row r="47055" ht="15.75" customHeight="1" spans="1:2">
      <c r="A47055" s="3" t="str">
        <f>IFERROR(__xludf.DUMMYFUNCTION("GOOGLETRANSLATE(A47055,""en"",""pt"")"),"Fácil de usar, tira boas fotos, 4x de zoom,")</f>
        <v>Fácil de usar, tira boas fotos, 4x de zoom,</v>
      </c>
      <c r="B47055" s="3">
        <v>1</v>
      </c>
    </row>
    <row r="47056" ht="15.75" customHeight="1" spans="1:2">
      <c r="A47056" s="3" t="str">
        <f>IFERROR(__xludf.DUMMYFUNCTION("GOOGLETRANSLATE(A47056,""en"",""pt"")"),"Muito fácil de usar, imagens de boa qualidade")</f>
        <v>Muito fácil de usar, imagens de boa qualidade</v>
      </c>
      <c r="B47056" s="3">
        <v>1</v>
      </c>
    </row>
    <row r="47057" ht="15.75" customHeight="1" spans="1:2">
      <c r="A47057" s="3" t="str">
        <f>IFERROR(__xludf.DUMMYFUNCTION("GOOGLETRANSLATE(A47057,""en"",""pt"")"),"PREÇO!!! Pode demorar 30 segundos de vídeo clipes, fotos decentes")</f>
        <v>PREÇO!!! Pode demorar 30 segundos de vídeo clipes, fotos decentes</v>
      </c>
      <c r="B47057" s="3">
        <v>1</v>
      </c>
    </row>
    <row r="47058" ht="15.75" customHeight="1" spans="1:2">
      <c r="A47058" s="3" t="str">
        <f>IFERROR(__xludf.DUMMYFUNCTION("GOOGLETRANSLATE(A47058,""en"",""pt"")"),"pequeno, compacto, fácil de usar")</f>
        <v>pequeno, compacto, fácil de usar</v>
      </c>
      <c r="B47058" s="3">
        <v>1</v>
      </c>
    </row>
    <row r="47059" ht="15.75" customHeight="1" spans="1:2">
      <c r="A47059" s="3" t="str">
        <f>IFERROR(__xludf.DUMMYFUNCTION("GOOGLETRANSLATE(A47059,""en"",""pt"")"),"É realmente fácil de usar. ,")</f>
        <v>É realmente fácil de usar. ,</v>
      </c>
      <c r="B47059" s="3">
        <v>1</v>
      </c>
    </row>
    <row r="47060" ht="15.75" customHeight="1" spans="1:2">
      <c r="A47060" s="3" t="str">
        <f>IFERROR(__xludf.DUMMYFUNCTION("GOOGLETRANSLATE(A47060,""en"",""pt"")"),"ecrã TFT ,, expansão na memória, visor")</f>
        <v>ecrã TFT ,, expansão na memória, visor</v>
      </c>
      <c r="B47060" s="3">
        <v>1</v>
      </c>
    </row>
    <row r="47061" ht="15.75" customHeight="1" spans="1:2">
      <c r="A47061" s="3" t="str">
        <f>IFERROR(__xludf.DUMMYFUNCTION("GOOGLETRANSLATE(A47061,""en"",""pt"")"),"A preços razoáveis, configurações de qualidade de imagem, temporizador")</f>
        <v>A preços razoáveis, configurações de qualidade de imagem, temporizador</v>
      </c>
      <c r="B47061" s="3">
        <v>1</v>
      </c>
    </row>
    <row r="47062" ht="15.75" customHeight="1" spans="1:2">
      <c r="A47062" s="3" t="str">
        <f>IFERROR(__xludf.DUMMYFUNCTION("GOOGLETRANSLATE(A47062,""en"",""pt"")"),"Câmera boa para o preço. Usa pilhas AA; boa vida útil da bateria.")</f>
        <v>Câmera boa para o preço. Usa pilhas AA; boa vida útil da bateria.</v>
      </c>
      <c r="B47062" s="3">
        <v>1</v>
      </c>
    </row>
    <row r="47063" ht="15.75" customHeight="1" spans="1:2">
      <c r="A47063" s="3" t="str">
        <f>IFERROR(__xludf.DUMMYFUNCTION("GOOGLETRANSLATE(A47063,""en"",""pt"")"),"Barato, fácil de usar, boa câmara baixa final")</f>
        <v>Barato, fácil de usar, boa câmara baixa final</v>
      </c>
      <c r="B47063" s="3">
        <v>1</v>
      </c>
    </row>
    <row r="47064" ht="15.75" customHeight="1" spans="1:2">
      <c r="A47064" s="3" t="str">
        <f>IFERROR(__xludf.DUMMYFUNCTION("GOOGLETRANSLATE(A47064,""en"",""pt"")"),"Fácil de usar, bom preço, ótimas fotos")</f>
        <v>Fácil de usar, bom preço, ótimas fotos</v>
      </c>
      <c r="B47064" s="3">
        <v>1</v>
      </c>
    </row>
    <row r="47065" ht="15.75" customHeight="1" spans="1:2">
      <c r="A47065" s="3" t="str">
        <f>IFERROR(__xludf.DUMMYFUNCTION("GOOGLETRANSLATE(A47065,""en"",""pt"")"),"leve,, cabos USB compactos incluídos, imprime diretamente para impressoras HP w / computador")</f>
        <v>leve,, cabos USB compactos incluídos, imprime diretamente para impressoras HP w / computador</v>
      </c>
      <c r="B47065" s="3">
        <v>1</v>
      </c>
    </row>
    <row r="47066" ht="15.75" customHeight="1" spans="1:2">
      <c r="A47066" s="3" t="str">
        <f>IFERROR(__xludf.DUMMYFUNCTION("GOOGLETRANSLATE(A47066,""en"",""pt"")"),"qualidade de imagem decente")</f>
        <v>qualidade de imagem decente</v>
      </c>
      <c r="B47066" s="3">
        <v>1</v>
      </c>
    </row>
    <row r="47067" ht="15.75" customHeight="1" spans="1:2">
      <c r="A47067" s="3" t="str">
        <f>IFERROR(__xludf.DUMMYFUNCTION("GOOGLETRANSLATE(A47067,""en"",""pt"")"),"Grande zoom, redução de olhos vermelhos")</f>
        <v>Grande zoom, redução de olhos vermelhos</v>
      </c>
      <c r="B47067" s="3">
        <v>1</v>
      </c>
    </row>
    <row r="47068" ht="15.75" customHeight="1" spans="1:2">
      <c r="A47068" s="3" t="str">
        <f>IFERROR(__xludf.DUMMYFUNCTION("GOOGLETRANSLATE(A47068,""en"",""pt"")"),"interface muito simples com computador e impressora. Bastante compacto.")</f>
        <v>interface muito simples com computador e impressora. Bastante compacto.</v>
      </c>
      <c r="B47068" s="3">
        <v>1</v>
      </c>
    </row>
    <row r="47069" ht="15.75" customHeight="1" spans="1:2">
      <c r="A47069" s="3" t="str">
        <f>IFERROR(__xludf.DUMMYFUNCTION("GOOGLETRANSLATE(A47069,""en"",""pt"")"),"Bom para um usuário câmera digital primeira vez.")</f>
        <v>Bom para um usuário câmera digital primeira vez.</v>
      </c>
      <c r="B47069" s="3">
        <v>1</v>
      </c>
    </row>
    <row r="47070" ht="15.75" customHeight="1" spans="1:2">
      <c r="A47070" s="3" t="str">
        <f>IFERROR(__xludf.DUMMYFUNCTION("GOOGLETRANSLATE(A47070,""en"",""pt"")"),"HP 612 é uma câmera digital muito fácil e leva boas fotos.")</f>
        <v>HP 612 é uma câmera digital muito fácil e leva boas fotos.</v>
      </c>
      <c r="B47070" s="3">
        <v>1</v>
      </c>
    </row>
    <row r="47071" ht="15.75" customHeight="1" spans="1:2">
      <c r="A47071" s="3" t="str">
        <f>IFERROR(__xludf.DUMMYFUNCTION("GOOGLETRANSLATE(A47071,""en"",""pt"")"),"Ótimas fotos! Fácil de usar!")</f>
        <v>Ótimas fotos! Fácil de usar!</v>
      </c>
      <c r="B47071" s="3">
        <v>1</v>
      </c>
    </row>
    <row r="47072" ht="15.75" customHeight="1" spans="1:2">
      <c r="A47072" s="3" t="str">
        <f>IFERROR(__xludf.DUMMYFUNCTION("GOOGLETRANSLATE(A47072,""en"",""pt"")"),"Fácil de usar, ótimo display LCD, fotos Nice")</f>
        <v>Fácil de usar, ótimo display LCD, fotos Nice</v>
      </c>
      <c r="B47072" s="3">
        <v>1</v>
      </c>
    </row>
    <row r="47073" ht="15.75" customHeight="1" spans="1:2">
      <c r="A47073" s="3" t="str">
        <f>IFERROR(__xludf.DUMMYFUNCTION("GOOGLETRANSLATE(A47073,""en"",""pt"")"),"Boa resolução em fotos, fácil de descobrir como tirar fotos e upload.")</f>
        <v>Boa resolução em fotos, fácil de descobrir como tirar fotos e upload.</v>
      </c>
      <c r="B47073" s="3">
        <v>1</v>
      </c>
    </row>
    <row r="47074" ht="15.75" customHeight="1" spans="1:2">
      <c r="A47074" s="3" t="str">
        <f>IFERROR(__xludf.DUMMYFUNCTION("GOOGLETRANSLATE(A47074,""en"",""pt"")"),"Fácil de usar, de baixo preço, imagens de boa qualidade")</f>
        <v>Fácil de usar, de baixo preço, imagens de boa qualidade</v>
      </c>
      <c r="B47074" s="3">
        <v>1</v>
      </c>
    </row>
    <row r="47075" ht="15.75" customHeight="1" spans="1:2">
      <c r="A47075" s="3" t="str">
        <f>IFERROR(__xludf.DUMMYFUNCTION("GOOGLETRANSLATE(A47075,""en"",""pt"")"),"Fácil de usar, imagem boa do dia")</f>
        <v>Fácil de usar, imagem boa do dia</v>
      </c>
      <c r="B47075" s="3">
        <v>1</v>
      </c>
    </row>
    <row r="47076" ht="15.75" customHeight="1" spans="1:2">
      <c r="A47076" s="3" t="str">
        <f>IFERROR(__xludf.DUMMYFUNCTION("GOOGLETRANSLATE(A47076,""en"",""pt"")"),"Fácil de usar, relativamente barato para tirar fotos de qualidade")</f>
        <v>Fácil de usar, relativamente barato para tirar fotos de qualidade</v>
      </c>
      <c r="B47076" s="3">
        <v>1</v>
      </c>
    </row>
    <row r="47077" ht="15.75" customHeight="1" spans="1:2">
      <c r="A47077" s="3" t="str">
        <f>IFERROR(__xludf.DUMMYFUNCTION("GOOGLETRANSLATE(A47077,""en"",""pt"")"),"Toma Limpar Shots, fácil de usar, boas características para Preço")</f>
        <v>Toma Limpar Shots, fácil de usar, boas características para Preço</v>
      </c>
      <c r="B47077" s="3">
        <v>1</v>
      </c>
    </row>
    <row r="47078" ht="15.75" customHeight="1" spans="1:2">
      <c r="A47078" s="3" t="str">
        <f>IFERROR(__xludf.DUMMYFUNCTION("GOOGLETRANSLATE(A47078,""en"",""pt"")"),"simples de operar, fácil sobre o talão de cheques, decentes de qualidade pics, leve")</f>
        <v>simples de operar, fácil sobre o talão de cheques, decentes de qualidade pics, leve</v>
      </c>
      <c r="B47078" s="3">
        <v>1</v>
      </c>
    </row>
    <row r="47079" ht="15.75" customHeight="1" spans="1:2">
      <c r="A47079" s="3" t="str">
        <f>IFERROR(__xludf.DUMMYFUNCTION("GOOGLETRANSLATE(A47079,""en"",""pt"")"),"Facilidade de uso, preço, a resolução da imagem")</f>
        <v>Facilidade de uso, preço, a resolução da imagem</v>
      </c>
      <c r="B47079" s="3">
        <v>1</v>
      </c>
    </row>
    <row r="47080" ht="15.75" customHeight="1" spans="1:2">
      <c r="A47080" s="3" t="str">
        <f>IFERROR(__xludf.DUMMYFUNCTION("GOOGLETRANSLATE(A47080,""en"",""pt"")"),"Câmera excelente valor, com muitas características grandes.")</f>
        <v>Câmera excelente valor, com muitas características grandes.</v>
      </c>
      <c r="B47080" s="3">
        <v>1</v>
      </c>
    </row>
    <row r="47081" ht="15.75" customHeight="1" spans="1:2">
      <c r="A47081" s="3" t="str">
        <f>IFERROR(__xludf.DUMMYFUNCTION("GOOGLETRANSLATE(A47081,""en"",""pt"")"),"Excelente qualidade de imagem; Fácil de usar o software e hardware; Não muito caro; Muitas opções de fotografia.")</f>
        <v>Excelente qualidade de imagem; Fácil de usar o software e hardware; Não muito caro; Muitas opções de fotografia.</v>
      </c>
      <c r="B47081" s="3">
        <v>1</v>
      </c>
    </row>
    <row r="47082" ht="15.75" customHeight="1" spans="1:2">
      <c r="A47082" s="3" t="str">
        <f>IFERROR(__xludf.DUMMYFUNCTION("GOOGLETRANSLATE(A47082,""en"",""pt"")"),"baterias &amp; amp std; Memória &amp; amp; fator de forma. Fácil de usar, boas configurações automáticas.")</f>
        <v>baterias &amp; amp std; Memória &amp; amp; fator de forma. Fácil de usar, boas configurações automáticas.</v>
      </c>
      <c r="B47082" s="3">
        <v>1</v>
      </c>
    </row>
    <row r="47083" ht="15.75" customHeight="1" spans="1:2">
      <c r="A47083" s="3" t="str">
        <f>IFERROR(__xludf.DUMMYFUNCTION("GOOGLETRANSLATE(A47083,""en"",""pt"")"),"Barato, tudo incluído, simples de usar.")</f>
        <v>Barato, tudo incluído, simples de usar.</v>
      </c>
      <c r="B47083" s="3">
        <v>1</v>
      </c>
    </row>
    <row r="47084" ht="15.75" customHeight="1" spans="1:2">
      <c r="A47084" s="3" t="str">
        <f>IFERROR(__xludf.DUMMYFUNCTION("GOOGLETRANSLATE(A47084,""en"",""pt"")"),"fotos subúrbio, apontar e disparar, boa vida da bateria, excelente serviço ao cliente, à prova de manequim.")</f>
        <v>fotos subúrbio, apontar e disparar, boa vida da bateria, excelente serviço ao cliente, à prova de manequim.</v>
      </c>
      <c r="B47084" s="3">
        <v>1</v>
      </c>
    </row>
    <row r="47085" ht="15.75" customHeight="1" spans="1:2">
      <c r="A47085" s="3" t="str">
        <f>IFERROR(__xludf.DUMMYFUNCTION("GOOGLETRANSLATE(A47085,""en"",""pt"")"),"Boa óptica e ergonomia, ótimo preço.")</f>
        <v>Boa óptica e ergonomia, ótimo preço.</v>
      </c>
      <c r="B47085" s="3">
        <v>1</v>
      </c>
    </row>
    <row r="47086" ht="15.75" customHeight="1" spans="1:2">
      <c r="A47086" s="3" t="str">
        <f>IFERROR(__xludf.DUMMYFUNCTION("GOOGLETRANSLATE(A47086,""en"",""pt"")"),"qualidade qualidade, preço, imagem. Atendimento ao Cliente pessoas. Lentes Pentax. Programas")</f>
        <v>qualidade qualidade, preço, imagem. Atendimento ao Cliente pessoas. Lentes Pentax. Programas</v>
      </c>
      <c r="B47086" s="3">
        <v>1</v>
      </c>
    </row>
    <row r="47087" ht="15.75" customHeight="1" spans="1:2">
      <c r="A47087" s="3" t="str">
        <f>IFERROR(__xludf.DUMMYFUNCTION("GOOGLETRANSLATE(A47087,""en"",""pt"")"),"Muito fácil de usar, não muito volumoso.")</f>
        <v>Muito fácil de usar, não muito volumoso.</v>
      </c>
      <c r="B47087" s="3">
        <v>1</v>
      </c>
    </row>
    <row r="47088" ht="15.75" customHeight="1" spans="1:2">
      <c r="A47088" s="3" t="str">
        <f>IFERROR(__xludf.DUMMYFUNCTION("GOOGLETRANSLATE(A47088,""en"",""pt"")"),"Leva grandes tiros, vem com cartão de 16MB, muitos recursos e software legal.")</f>
        <v>Leva grandes tiros, vem com cartão de 16MB, muitos recursos e software legal.</v>
      </c>
      <c r="B47088" s="3">
        <v>1</v>
      </c>
    </row>
    <row r="47089" ht="15.75" customHeight="1" spans="1:2">
      <c r="A47089" s="3" t="str">
        <f>IFERROR(__xludf.DUMMYFUNCTION("GOOGLETRANSLATE(A47089,""en"",""pt"")"),"Fácil de usar. Boas fotos.")</f>
        <v>Fácil de usar. Boas fotos.</v>
      </c>
      <c r="B47089" s="3">
        <v>1</v>
      </c>
    </row>
    <row r="47090" ht="15.75" customHeight="1" spans="1:2">
      <c r="A47090" s="3" t="str">
        <f>IFERROR(__xludf.DUMMYFUNCTION("GOOGLETRANSLATE(A47090,""en"",""pt"")"),"Ótimo para obter seus pés molhados em digital para o preço, ótimo para tiros rápidos")</f>
        <v>Ótimo para obter seus pés molhados em digital para o preço, ótimo para tiros rápidos</v>
      </c>
      <c r="B47090" s="3">
        <v>1</v>
      </c>
    </row>
    <row r="47091" ht="15.75" customHeight="1" spans="1:2">
      <c r="A47091" s="3" t="str">
        <f>IFERROR(__xludf.DUMMYFUNCTION("GOOGLETRANSLATE(A47091,""en"",""pt"")"),"Excelente qualidade de imagem, boas substituições manuais, agradável aparência e ergonomia.")</f>
        <v>Excelente qualidade de imagem, boas substituições manuais, agradável aparência e ergonomia.</v>
      </c>
      <c r="B47091" s="3">
        <v>1</v>
      </c>
    </row>
    <row r="47092" ht="15.75" customHeight="1" spans="1:2">
      <c r="A47092" s="3" t="str">
        <f>IFERROR(__xludf.DUMMYFUNCTION("GOOGLETRANSLATE(A47092,""en"",""pt"")"),"Fácil de usar.")</f>
        <v>Fácil de usar.</v>
      </c>
      <c r="B47092" s="3">
        <v>1</v>
      </c>
    </row>
    <row r="47093" ht="15.75" customHeight="1" spans="1:2">
      <c r="A47093" s="3" t="str">
        <f>IFERROR(__xludf.DUMMYFUNCTION("GOOGLETRANSLATE(A47093,""en"",""pt"")"),"caso confortável, boa variedade de opção, obturador controla uma grande vantagem, preço")</f>
        <v>caso confortável, boa variedade de opção, obturador controla uma grande vantagem, preço</v>
      </c>
      <c r="B47093" s="3">
        <v>1</v>
      </c>
    </row>
    <row r="47094" ht="15.75" customHeight="1" spans="1:2">
      <c r="A47094" s="3" t="str">
        <f>IFERROR(__xludf.DUMMYFUNCTION("GOOGLETRANSLATE(A47094,""en"",""pt"")"),"As imagens nítidas, cor grande, muitas opções")</f>
        <v>As imagens nítidas, cor grande, muitas opções</v>
      </c>
      <c r="B47094" s="3">
        <v>1</v>
      </c>
    </row>
    <row r="47095" ht="15.75" customHeight="1" spans="1:2">
      <c r="A47095" s="3" t="str">
        <f>IFERROR(__xludf.DUMMYFUNCTION("GOOGLETRANSLATE(A47095,""en"",""pt"")"),"Conveniente, bom preço")</f>
        <v>Conveniente, bom preço</v>
      </c>
      <c r="B47095" s="3">
        <v>1</v>
      </c>
    </row>
    <row r="47096" ht="15.75" customHeight="1" spans="1:2">
      <c r="A47096" s="3" t="str">
        <f>IFERROR(__xludf.DUMMYFUNCTION("GOOGLETRANSLATE(A47096,""en"",""pt"")"),"Fácil de operar, excelente qualidade, preços razoáveis, a memória é barata")</f>
        <v>Fácil de operar, excelente qualidade, preços razoáveis, a memória é barata</v>
      </c>
      <c r="B47096" s="3">
        <v>1</v>
      </c>
    </row>
    <row r="47097" ht="15.75" customHeight="1" spans="1:2">
      <c r="A47097" s="3" t="str">
        <f>IFERROR(__xludf.DUMMYFUNCTION("GOOGLETRANSLATE(A47097,""en"",""pt"")"),"Fácil de usar, a qualidade")</f>
        <v>Fácil de usar, a qualidade</v>
      </c>
      <c r="B47097" s="3">
        <v>1</v>
      </c>
    </row>
    <row r="47098" ht="15.75" customHeight="1" spans="1:2">
      <c r="A47098" s="3" t="str">
        <f>IFERROR(__xludf.DUMMYFUNCTION("GOOGLETRANSLATE(A47098,""en"",""pt"")"),"Rápido, divertido e fácil de usar!")</f>
        <v>Rápido, divertido e fácil de usar!</v>
      </c>
      <c r="B47098" s="3">
        <v>1</v>
      </c>
    </row>
    <row r="47099" ht="15.75" customHeight="1" spans="1:2">
      <c r="A47099" s="3" t="str">
        <f>IFERROR(__xludf.DUMMYFUNCTION("GOOGLETRANSLATE(A47099,""en"",""pt"")"),"2.11 MP, os rendimentos Prints grandes, Pentax ZOOM Lens, muitas opções de controle manual.")</f>
        <v>2.11 MP, os rendimentos Prints grandes, Pentax ZOOM Lens, muitas opções de controle manual.</v>
      </c>
      <c r="B47099" s="3">
        <v>1</v>
      </c>
    </row>
    <row r="47100" ht="15.75" customHeight="1" spans="1:2">
      <c r="A47100" s="3" t="str">
        <f>IFERROR(__xludf.DUMMYFUNCTION("GOOGLETRANSLATE(A47100,""en"",""pt"")"),"controlos manuais, tanto LCD e visor, flash ajustável, óptima gama de lente")</f>
        <v>controlos manuais, tanto LCD e visor, flash ajustável, óptima gama de lente</v>
      </c>
      <c r="B47100" s="3">
        <v>1</v>
      </c>
    </row>
    <row r="47101" ht="15.75" customHeight="1" spans="1:2">
      <c r="A47101" s="3" t="str">
        <f>IFERROR(__xludf.DUMMYFUNCTION("GOOGLETRANSLATE(A47101,""en"",""pt"")"),"O Melhor 'para bater a bola!'")</f>
        <v>O Melhor 'para bater a bola!'</v>
      </c>
      <c r="B47101" s="3">
        <v>1</v>
      </c>
    </row>
    <row r="47102" ht="15.75" customHeight="1" spans="1:2">
      <c r="A47102" s="3" t="str">
        <f>IFERROR(__xludf.DUMMYFUNCTION("GOOGLETRANSLATE(A47102,""en"",""pt"")"),"3x / zoom óptica, lente Pentax, muito bom flash, 2 níveis de ISO, o suporte da HP.")</f>
        <v>3x / zoom óptica, lente Pentax, muito bom flash, 2 níveis de ISO, o suporte da HP.</v>
      </c>
      <c r="B47102" s="3">
        <v>1</v>
      </c>
    </row>
    <row r="47103" ht="15.75" customHeight="1" spans="1:2">
      <c r="A47103" s="3" t="str">
        <f>IFERROR(__xludf.DUMMYFUNCTION("GOOGLETRANSLATE(A47103,""en"",""pt"")"),"Grandes recursos, desempenho, Upgradable")</f>
        <v>Grandes recursos, desempenho, Upgradable</v>
      </c>
      <c r="B47103" s="3">
        <v>1</v>
      </c>
    </row>
    <row r="47104" ht="15.75" customHeight="1" spans="1:2">
      <c r="A47104" s="3" t="str">
        <f>IFERROR(__xludf.DUMMYFUNCTION("GOOGLETRANSLATE(A47104,""en"",""pt"")"),"Fotos excelentes, ótimo software incluído com 618xi")</f>
        <v>Fotos excelentes, ótimo software incluído com 618xi</v>
      </c>
      <c r="B47104" s="3">
        <v>1</v>
      </c>
    </row>
    <row r="47105" ht="15.75" customHeight="1" spans="1:2">
      <c r="A47105" s="3" t="str">
        <f>IFERROR(__xludf.DUMMYFUNCTION("GOOGLETRANSLATE(A47105,""en"",""pt"")"),"Imagens fantásticas para o dinheiro. Apontar e disparar como nenhum outro.")</f>
        <v>Imagens fantásticas para o dinheiro. Apontar e disparar como nenhum outro.</v>
      </c>
      <c r="B47105" s="3">
        <v>1</v>
      </c>
    </row>
    <row r="47106" ht="15.75" customHeight="1" spans="1:2">
      <c r="A47106" s="3" t="str">
        <f>IFERROR(__xludf.DUMMYFUNCTION("GOOGLETRANSLATE(A47106,""en"",""pt"")"),"Excelente resolução, excelentes características, capazes de adicionar áudio a suas fotos e clipes de vídeo!")</f>
        <v>Excelente resolução, excelentes características, capazes de adicionar áudio a suas fotos e clipes de vídeo!</v>
      </c>
      <c r="B47106" s="3">
        <v>1</v>
      </c>
    </row>
    <row r="47107" ht="15.75" customHeight="1" spans="1:2">
      <c r="A47107" s="3" t="str">
        <f>IFERROR(__xludf.DUMMYFUNCTION("GOOGLETRANSLATE(A47107,""en"",""pt"")"),"Preço razoável")</f>
        <v>Preço razoável</v>
      </c>
      <c r="B47107" s="3">
        <v>1</v>
      </c>
    </row>
    <row r="47108" ht="15.75" customHeight="1" spans="1:2">
      <c r="A47108" s="3" t="str">
        <f>IFERROR(__xludf.DUMMYFUNCTION("GOOGLETRANSLATE(A47108,""en"",""pt"")"),"Grande qualidade de imagem, compacto")</f>
        <v>Grande qualidade de imagem, compacto</v>
      </c>
      <c r="B47108" s="3">
        <v>1</v>
      </c>
    </row>
    <row r="47109" ht="15.75" customHeight="1" spans="1:2">
      <c r="A47109" s="3" t="str">
        <f>IFERROR(__xludf.DUMMYFUNCTION("GOOGLETRANSLATE(A47109,""en"",""pt"")"),"Facilidade de uso, até mesmo um novato como eu pode obter grande pix.")</f>
        <v>Facilidade de uso, até mesmo um novato como eu pode obter grande pix.</v>
      </c>
      <c r="B47109" s="3">
        <v>1</v>
      </c>
    </row>
    <row r="47110" ht="15.75" customHeight="1" spans="1:2">
      <c r="A47110" s="3" t="str">
        <f>IFERROR(__xludf.DUMMYFUNCTION("GOOGLETRANSLATE(A47110,""en"",""pt"")"),"Boa qualidade de imagem (o 25 levou)")</f>
        <v>Boa qualidade de imagem (o 25 levou)</v>
      </c>
      <c r="B47110" s="3">
        <v>1</v>
      </c>
    </row>
    <row r="47111" ht="15.75" customHeight="1" spans="1:2">
      <c r="A47111" s="3" t="str">
        <f>IFERROR(__xludf.DUMMYFUNCTION("GOOGLETRANSLATE(A47111,""en"",""pt"")"),"Durabilidade, tamanho, zoom, opções")</f>
        <v>Durabilidade, tamanho, zoom, opções</v>
      </c>
      <c r="B47111" s="3">
        <v>1</v>
      </c>
    </row>
    <row r="47112" ht="15.75" customHeight="1" spans="1:2">
      <c r="A47112" s="3" t="str">
        <f>IFERROR(__xludf.DUMMYFUNCTION("GOOGLETRANSLATE(A47112,""en"",""pt"")"),"preço, qualidade da foto, construído em memória")</f>
        <v>preço, qualidade da foto, construído em memória</v>
      </c>
      <c r="B47112" s="3">
        <v>1</v>
      </c>
    </row>
    <row r="47113" ht="15.75" customHeight="1" spans="1:2">
      <c r="A47113" s="3" t="str">
        <f>IFERROR(__xludf.DUMMYFUNCTION("GOOGLETRANSLATE(A47113,""en"",""pt"")"),"Simples de usar, de preço, de 3,3 MP")</f>
        <v>Simples de usar, de preço, de 3,3 MP</v>
      </c>
      <c r="B47113" s="3">
        <v>1</v>
      </c>
    </row>
    <row r="47114" ht="15.75" customHeight="1" spans="1:2">
      <c r="A47114" s="3" t="str">
        <f>IFERROR(__xludf.DUMMYFUNCTION("GOOGLETRANSLATE(A47114,""en"",""pt"")"),"A câmera captura imagens de grande qualidade. Cartão SD e tamanho pequeno.")</f>
        <v>A câmera captura imagens de grande qualidade. Cartão SD e tamanho pequeno.</v>
      </c>
      <c r="B47114" s="3">
        <v>1</v>
      </c>
    </row>
    <row r="47115" ht="15.75" customHeight="1" spans="1:2">
      <c r="A47115" s="3" t="str">
        <f>IFERROR(__xludf.DUMMYFUNCTION("GOOGLETRANSLATE(A47115,""en"",""pt"")"),"Preço")</f>
        <v>Preço</v>
      </c>
      <c r="B47115" s="3">
        <v>1</v>
      </c>
    </row>
    <row r="47116" ht="15.75" customHeight="1" spans="1:2">
      <c r="A47116" s="3" t="str">
        <f>IFERROR(__xludf.DUMMYFUNCTION("GOOGLETRANSLATE(A47116,""en"",""pt"")"),"Excelente qualidade, grandes recursos, confortável de segurar!")</f>
        <v>Excelente qualidade, grandes recursos, confortável de segurar!</v>
      </c>
      <c r="B47116" s="3">
        <v>1</v>
      </c>
    </row>
    <row r="47117" ht="15.75" customHeight="1" spans="1:2">
      <c r="A47117" s="3" t="str">
        <f>IFERROR(__xludf.DUMMYFUNCTION("GOOGLETRANSLATE(A47117,""en"",""pt"")"),"Excelente qualidade de imagem que é muito simples de usar com meus outros produtos HP")</f>
        <v>Excelente qualidade de imagem que é muito simples de usar com meus outros produtos HP</v>
      </c>
      <c r="B47117" s="3">
        <v>1</v>
      </c>
    </row>
    <row r="47118" ht="15.75" customHeight="1" spans="1:2">
      <c r="A47118" s="3" t="str">
        <f>IFERROR(__xludf.DUMMYFUNCTION("GOOGLETRANSLATE(A47118,""en"",""pt"")"),"Fácil de usar e produz fotos de qualidade")</f>
        <v>Fácil de usar e produz fotos de qualidade</v>
      </c>
      <c r="B47118" s="3">
        <v>1</v>
      </c>
    </row>
    <row r="47119" ht="15.75" customHeight="1" spans="1:2">
      <c r="A47119" s="3" t="str">
        <f>IFERROR(__xludf.DUMMYFUNCTION("GOOGLETRANSLATE(A47119,""en"",""pt"")"),"Toneladas de recursos, fácil de usar, resolução fantástica")</f>
        <v>Toneladas de recursos, fácil de usar, resolução fantástica</v>
      </c>
      <c r="B47119" s="3">
        <v>1</v>
      </c>
    </row>
    <row r="47120" ht="15.75" customHeight="1" spans="1:2">
      <c r="A47120" s="3" t="str">
        <f>IFERROR(__xludf.DUMMYFUNCTION("GOOGLETRANSLATE(A47120,""en"",""pt"")"),"Fácil de usar, com excelentes resultados.")</f>
        <v>Fácil de usar, com excelentes resultados.</v>
      </c>
      <c r="B47120" s="3">
        <v>1</v>
      </c>
    </row>
    <row r="47121" ht="15.75" customHeight="1" spans="1:2">
      <c r="A47121" s="3" t="str">
        <f>IFERROR(__xludf.DUMMYFUNCTION("GOOGLETRANSLATE(A47121,""en"",""pt"")"),"Os profissionais vão gostar deste. Lotes dos sinos &amp; amp; assobios!")</f>
        <v>Os profissionais vão gostar deste. Lotes dos sinos &amp; amp; assobios!</v>
      </c>
      <c r="B47121" s="3">
        <v>1</v>
      </c>
    </row>
    <row r="47122" ht="15.75" customHeight="1" spans="1:2">
      <c r="A47122" s="3" t="str">
        <f>IFERROR(__xludf.DUMMYFUNCTION("GOOGLETRANSLATE(A47122,""en"",""pt"")"),"Bom zoom, grava vídeo decente qualidade com som, tamanho compacto, bom preço.")</f>
        <v>Bom zoom, grava vídeo decente qualidade com som, tamanho compacto, bom preço.</v>
      </c>
      <c r="B47122" s="3">
        <v>1</v>
      </c>
    </row>
    <row r="47123" ht="15.75" customHeight="1" spans="1:2">
      <c r="A47123" s="3" t="str">
        <f>IFERROR(__xludf.DUMMYFUNCTION("GOOGLETRANSLATE(A47123,""en"",""pt"")"),"Esta câmera é tentador porque tem tantos recursos. Grande lente de zoom também!")</f>
        <v>Esta câmera é tentador porque tem tantos recursos. Grande lente de zoom também!</v>
      </c>
      <c r="B47123" s="3">
        <v>1</v>
      </c>
    </row>
    <row r="47124" ht="15.75" customHeight="1" spans="1:2">
      <c r="A47124" s="3" t="str">
        <f>IFERROR(__xludf.DUMMYFUNCTION("GOOGLETRANSLATE(A47124,""en"",""pt"")"),"Preço baixo")</f>
        <v>Preço baixo</v>
      </c>
      <c r="B47124" s="3">
        <v>1</v>
      </c>
    </row>
    <row r="47125" ht="15.75" customHeight="1" spans="1:2">
      <c r="A47125" s="3" t="str">
        <f>IFERROR(__xludf.DUMMYFUNCTION("GOOGLETRANSLATE(A47125,""en"",""pt"")"),"boa imagem em pleno sol")</f>
        <v>boa imagem em pleno sol</v>
      </c>
      <c r="B47125" s="3">
        <v>1</v>
      </c>
    </row>
    <row r="47126" ht="15.75" customHeight="1" spans="1:2">
      <c r="A47126" s="3" t="str">
        <f>IFERROR(__xludf.DUMMYFUNCTION("GOOGLETRANSLATE(A47126,""en"",""pt"")"),"Excelente qualidade de imagem, facilidade de operação")</f>
        <v>Excelente qualidade de imagem, facilidade de operação</v>
      </c>
      <c r="B47126" s="3">
        <v>1</v>
      </c>
    </row>
    <row r="47127" ht="15.75" customHeight="1" spans="1:2">
      <c r="A47127" s="3" t="str">
        <f>IFERROR(__xludf.DUMMYFUNCTION("GOOGLETRANSLATE(A47127,""en"",""pt"")"),"Muito fácil de usar. Grandes imagens no computador / impressora. recursos suficientes para satisfazer qualquer um")</f>
        <v>Muito fácil de usar. Grandes imagens no computador / impressora. recursos suficientes para satisfazer qualquer um</v>
      </c>
      <c r="B47127" s="3">
        <v>1</v>
      </c>
    </row>
    <row r="47128" ht="15.75" customHeight="1" spans="1:2">
      <c r="A47128" s="3" t="str">
        <f>IFERROR(__xludf.DUMMYFUNCTION("GOOGLETRANSLATE(A47128,""en"",""pt"")"),"Limpar 4 tiros megapixel, 2 filmes minutos")</f>
        <v>Limpar 4 tiros megapixel, 2 filmes minutos</v>
      </c>
      <c r="B47128" s="3">
        <v>1</v>
      </c>
    </row>
    <row r="47129" ht="15.75" customHeight="1" spans="1:2">
      <c r="A47129" s="3" t="str">
        <f>IFERROR(__xludf.DUMMYFUNCTION("GOOGLETRANSLATE(A47129,""en"",""pt"")"),"tamanho, qualidade de imagem, durabilidade, funcionalidade de vídeo, temporizador")</f>
        <v>tamanho, qualidade de imagem, durabilidade, funcionalidade de vídeo, temporizador</v>
      </c>
      <c r="B47129" s="3">
        <v>1</v>
      </c>
    </row>
    <row r="47130" ht="15.75" customHeight="1" spans="1:2">
      <c r="A47130" s="3" t="str">
        <f>IFERROR(__xludf.DUMMYFUNCTION("GOOGLETRANSLATE(A47130,""en"",""pt"")"),"Compact, muitos recursos, facilidade de uso")</f>
        <v>Compact, muitos recursos, facilidade de uso</v>
      </c>
      <c r="B47130" s="3">
        <v>1</v>
      </c>
    </row>
    <row r="47131" ht="15.75" customHeight="1" spans="1:2">
      <c r="A47131" s="3" t="str">
        <f>IFERROR(__xludf.DUMMYFUNCTION("GOOGLETRANSLATE(A47131,""en"",""pt"")"),"fotos impressionantes (mesmo com pouca luz!) peso leve, boa qualidade de construção, bom zoom, grande interface!")</f>
        <v>fotos impressionantes (mesmo com pouca luz!) peso leve, boa qualidade de construção, bom zoom, grande interface!</v>
      </c>
      <c r="B47131" s="3">
        <v>1</v>
      </c>
    </row>
    <row r="47132" ht="15.75" customHeight="1" spans="1:2">
      <c r="A47132" s="3" t="str">
        <f>IFERROR(__xludf.DUMMYFUNCTION("GOOGLETRANSLATE(A47132,""en"",""pt"")"),"Muito fácil de usar fora da direita da caixa")</f>
        <v>Muito fácil de usar fora da direita da caixa</v>
      </c>
      <c r="B47132" s="3">
        <v>1</v>
      </c>
    </row>
    <row r="47133" ht="15.75" customHeight="1" spans="1:2">
      <c r="A47133" s="3" t="str">
        <f>IFERROR(__xludf.DUMMYFUNCTION("GOOGLETRANSLATE(A47133,""en"",""pt"")"),"8x de zoom óptico, resolução de 4 megapixels")</f>
        <v>8x de zoom óptico, resolução de 4 megapixels</v>
      </c>
      <c r="B47133" s="3">
        <v>1</v>
      </c>
    </row>
    <row r="47134" ht="15.75" customHeight="1" spans="1:2">
      <c r="A47134" s="3" t="str">
        <f>IFERROR(__xludf.DUMMYFUNCTION("GOOGLETRANSLATE(A47134,""en"",""pt"")"),"Grandes imagens, interface intuitiva, downloads fácil.")</f>
        <v>Grandes imagens, interface intuitiva, downloads fácil.</v>
      </c>
      <c r="B47134" s="3">
        <v>1</v>
      </c>
    </row>
    <row r="47135" ht="15.75" customHeight="1" spans="1:2">
      <c r="A47135" s="3" t="str">
        <f>IFERROR(__xludf.DUMMYFUNCTION("GOOGLETRANSLATE(A47135,""en"",""pt"")"),"Super fotos nítidas, comparável à minha SLR. Muito fácil de usar. grande zoom")</f>
        <v>Super fotos nítidas, comparável à minha SLR. Muito fácil de usar. grande zoom</v>
      </c>
      <c r="B47135" s="3">
        <v>1</v>
      </c>
    </row>
    <row r="47136" ht="15.75" customHeight="1" spans="1:2">
      <c r="A47136" s="3" t="str">
        <f>IFERROR(__xludf.DUMMYFUNCTION("GOOGLETRANSLATE(A47136,""en"",""pt"")"),"Grande zoom, bom conjunto de recursos")</f>
        <v>Grande zoom, bom conjunto de recursos</v>
      </c>
      <c r="B47136" s="3">
        <v>1</v>
      </c>
    </row>
    <row r="47137" ht="15.75" customHeight="1" spans="1:2">
      <c r="A47137" s="3" t="str">
        <f>IFERROR(__xludf.DUMMYFUNCTION("GOOGLETRANSLATE(A47137,""en"",""pt"")"),"imagens de alta qualidade")</f>
        <v>imagens de alta qualidade</v>
      </c>
      <c r="B47137" s="3">
        <v>1</v>
      </c>
    </row>
    <row r="47138" ht="15.75" customHeight="1" spans="1:2">
      <c r="A47138" s="3" t="str">
        <f>IFERROR(__xludf.DUMMYFUNCTION("GOOGLETRANSLATE(A47138,""en"",""pt"")"),"Grande capacidade de zoom, estrutura de menus intuitivos, imagens de alta qualidade, grande valor")</f>
        <v>Grande capacidade de zoom, estrutura de menus intuitivos, imagens de alta qualidade, grande valor</v>
      </c>
      <c r="B47138" s="3">
        <v>1</v>
      </c>
    </row>
    <row r="47139" ht="15.75" customHeight="1" spans="1:2">
      <c r="A47139" s="3" t="str">
        <f>IFERROR(__xludf.DUMMYFUNCTION("GOOGLETRANSLATE(A47139,""en"",""pt"")"),"Excelentes Zoom, fotos nítidas mesmo em configurações de alta zoom digital, informações EXIF ​​em todas as fotos")</f>
        <v>Excelentes Zoom, fotos nítidas mesmo em configurações de alta zoom digital, informações EXIF ​​em todas as fotos</v>
      </c>
      <c r="B47139" s="3">
        <v>1</v>
      </c>
    </row>
    <row r="47140" ht="15.75" customHeight="1" spans="1:2">
      <c r="A47140" s="3" t="str">
        <f>IFERROR(__xludf.DUMMYFUNCTION("GOOGLETRANSLATE(A47140,""en"",""pt"")"),"A grande qualidade, zoom impressionante, bom preservação da bateria, modo de vídeo")</f>
        <v>A grande qualidade, zoom impressionante, bom preservação da bateria, modo de vídeo</v>
      </c>
      <c r="B47140" s="3">
        <v>1</v>
      </c>
    </row>
    <row r="47141" ht="15.75" customHeight="1" spans="1:2">
      <c r="A47141" s="3" t="str">
        <f>IFERROR(__xludf.DUMMYFUNCTION("GOOGLETRANSLATE(A47141,""en"",""pt"")"),"Muito bom zoom, LCD no visor é grande, barato, leva tiros da noite")</f>
        <v>Muito bom zoom, LCD no visor é grande, barato, leva tiros da noite</v>
      </c>
      <c r="B47141" s="3">
        <v>1</v>
      </c>
    </row>
    <row r="47142" ht="15.75" customHeight="1" spans="1:2">
      <c r="A47142" s="3" t="str">
        <f>IFERROR(__xludf.DUMMYFUNCTION("GOOGLETRANSLATE(A47142,""en"",""pt"")"),"zoom óptico de 8x, boas fotos mesmo à noite. Operação fácil. bateries AA")</f>
        <v>zoom óptico de 8x, boas fotos mesmo à noite. Operação fácil. bateries AA</v>
      </c>
      <c r="B47142" s="3">
        <v>1</v>
      </c>
    </row>
    <row r="47143" ht="15.75" customHeight="1" spans="1:2">
      <c r="A47143" s="3" t="str">
        <f>IFERROR(__xludf.DUMMYFUNCTION("GOOGLETRANSLATE(A47143,""en"",""pt"")"),"solução novato acessível")</f>
        <v>solução novato acessível</v>
      </c>
      <c r="B47143" s="3">
        <v>1</v>
      </c>
    </row>
    <row r="47144" ht="15.75" customHeight="1" spans="1:2">
      <c r="A47144" s="3" t="str">
        <f>IFERROR(__xludf.DUMMYFUNCTION("GOOGLETRANSLATE(A47144,""en"",""pt"")"),"facilidade de uso, grande software")</f>
        <v>facilidade de uso, grande software</v>
      </c>
      <c r="B47144" s="3">
        <v>1</v>
      </c>
    </row>
    <row r="47145" ht="15.75" customHeight="1" spans="1:2">
      <c r="A47145" s="3" t="str">
        <f>IFERROR(__xludf.DUMMYFUNCTION("GOOGLETRANSLATE(A47145,""en"",""pt"")"),"Preço, facilidade de uso")</f>
        <v>Preço, facilidade de uso</v>
      </c>
      <c r="B47145" s="3">
        <v>1</v>
      </c>
    </row>
    <row r="47146" ht="15.75" customHeight="1" spans="1:2">
      <c r="A47146" s="3" t="str">
        <f>IFERROR(__xludf.DUMMYFUNCTION("GOOGLETRANSLATE(A47146,""en"",""pt"")"),"Preço e 1 Megapixel")</f>
        <v>Preço e 1 Megapixel</v>
      </c>
      <c r="B47146" s="3">
        <v>1</v>
      </c>
    </row>
    <row r="47147" ht="15.75" customHeight="1" spans="1:2">
      <c r="A47147" s="3" t="str">
        <f>IFERROR(__xludf.DUMMYFUNCTION("GOOGLETRANSLATE(A47147,""en"",""pt"")"),"De melhor qualidade disponível para o preço.")</f>
        <v>De melhor qualidade disponível para o preço.</v>
      </c>
      <c r="B47147" s="3">
        <v>1</v>
      </c>
    </row>
    <row r="47148" ht="15.75" customHeight="1" spans="1:2">
      <c r="A47148" s="3" t="str">
        <f>IFERROR(__xludf.DUMMYFUNCTION("GOOGLETRANSLATE(A47148,""en"",""pt"")"),"Fácil de usar com grandes resultados!")</f>
        <v>Fácil de usar com grandes resultados!</v>
      </c>
      <c r="B47148" s="3">
        <v>1</v>
      </c>
    </row>
    <row r="47149" ht="15.75" customHeight="1" spans="1:2">
      <c r="A47149" s="3" t="str">
        <f>IFERROR(__xludf.DUMMYFUNCTION("GOOGLETRANSLATE(A47149,""en"",""pt"")"),"Nenhum")</f>
        <v>Nenhum</v>
      </c>
      <c r="B47149" s="3">
        <v>1</v>
      </c>
    </row>
    <row r="47150" ht="15.75" customHeight="1" spans="1:2">
      <c r="A47150" s="3" t="str">
        <f>IFERROR(__xludf.DUMMYFUNCTION("GOOGLETRANSLATE(A47150,""en"",""pt"")"),"qualidade da foto")</f>
        <v>qualidade da foto</v>
      </c>
      <c r="B47150" s="3">
        <v>1</v>
      </c>
    </row>
    <row r="47151" ht="15.75" customHeight="1" spans="1:2">
      <c r="A47151" s="3" t="str">
        <f>IFERROR(__xludf.DUMMYFUNCTION("GOOGLETRANSLATE(A47151,""en"",""pt"")"),"pode escolher as imagens para manter")</f>
        <v>pode escolher as imagens para manter</v>
      </c>
      <c r="B47151" s="3">
        <v>1</v>
      </c>
    </row>
    <row r="47152" ht="15.75" customHeight="1" spans="1:2">
      <c r="A47152" s="3" t="str">
        <f>IFERROR(__xludf.DUMMYFUNCTION("GOOGLETRANSLATE(A47152,""en"",""pt"")"),"Fotos instantâneas para compartilhar com familiares no www")</f>
        <v>Fotos instantâneas para compartilhar com familiares no www</v>
      </c>
      <c r="B47152" s="3">
        <v>1</v>
      </c>
    </row>
    <row r="47153" ht="15.75" customHeight="1" spans="1:2">
      <c r="A47153" s="3" t="str">
        <f>IFERROR(__xludf.DUMMYFUNCTION("GOOGLETRANSLATE(A47153,""en"",""pt"")"),"Maravilhoso")</f>
        <v>Maravilhoso</v>
      </c>
      <c r="B47153" s="3">
        <v>1</v>
      </c>
    </row>
    <row r="47154" ht="15.75" customHeight="1" spans="1:2">
      <c r="A47154" s="3" t="str">
        <f>IFERROR(__xludf.DUMMYFUNCTION("GOOGLETRANSLATE(A47154,""en"",""pt"")"),"Muitas opções que atendam às suas necessidades")</f>
        <v>Muitas opções que atendam às suas necessidades</v>
      </c>
      <c r="B47154" s="3">
        <v>1</v>
      </c>
    </row>
    <row r="47155" ht="15.75" customHeight="1" spans="1:2">
      <c r="A47155" s="3" t="str">
        <f>IFERROR(__xludf.DUMMYFUNCTION("GOOGLETRANSLATE(A47155,""en"",""pt"")"),"Durável, fácil de usar, fotos de qualidade, memória flash compacto")</f>
        <v>Durável, fácil de usar, fotos de qualidade, memória flash compacto</v>
      </c>
      <c r="B47155" s="3">
        <v>1</v>
      </c>
    </row>
    <row r="47156" ht="15.75" customHeight="1" spans="1:2">
      <c r="A47156" s="3" t="str">
        <f>IFERROR(__xludf.DUMMYFUNCTION("GOOGLETRANSLATE(A47156,""en"",""pt"")"),"simples, fotos de alta qualidade, versáteis")</f>
        <v>simples, fotos de alta qualidade, versáteis</v>
      </c>
      <c r="B47156" s="3">
        <v>1</v>
      </c>
    </row>
    <row r="47157" ht="15.75" customHeight="1" spans="1:2">
      <c r="A47157" s="3" t="str">
        <f>IFERROR(__xludf.DUMMYFUNCTION("GOOGLETRANSLATE(A47157,""en"",""pt"")"),"A grande imagem, cor, facilidade de uso")</f>
        <v>A grande imagem, cor, facilidade de uso</v>
      </c>
      <c r="B47157" s="3">
        <v>1</v>
      </c>
    </row>
    <row r="47158" ht="15.75" customHeight="1" spans="1:2">
      <c r="A47158" s="3" t="str">
        <f>IFERROR(__xludf.DUMMYFUNCTION("GOOGLETRANSLATE(A47158,""en"",""pt"")"),"Muito fácil de usar, bom flash, viewfinder grande")</f>
        <v>Muito fácil de usar, bom flash, viewfinder grande</v>
      </c>
      <c r="B47158" s="3">
        <v>1</v>
      </c>
    </row>
    <row r="47159" ht="15.75" customHeight="1" spans="1:2">
      <c r="A47159" s="3" t="str">
        <f>IFERROR(__xludf.DUMMYFUNCTION("GOOGLETRANSLATE(A47159,""en"",""pt"")"),"Excelente qualidade de imagem, facilidade de uso, display LCD.")</f>
        <v>Excelente qualidade de imagem, facilidade de uso, display LCD.</v>
      </c>
      <c r="B47159" s="3">
        <v>1</v>
      </c>
    </row>
    <row r="47160" ht="15.75" customHeight="1" spans="1:2">
      <c r="A47160" s="3" t="str">
        <f>IFERROR(__xludf.DUMMYFUNCTION("GOOGLETRANSLATE(A47160,""en"",""pt"")"),"quando funciona, é uma câmera ok para o preço")</f>
        <v>quando funciona, é uma câmera ok para o preço</v>
      </c>
      <c r="B47160" s="3">
        <v>1</v>
      </c>
    </row>
    <row r="47161" ht="15.75" customHeight="1" spans="1:2">
      <c r="A47161" s="3" t="str">
        <f>IFERROR(__xludf.DUMMYFUNCTION("GOOGLETRANSLATE(A47161,""en"",""pt"")"),"qualidade de imagem e LCD, menores controles manuais e qualidade óptica no barato.")</f>
        <v>qualidade de imagem e LCD, menores controles manuais e qualidade óptica no barato.</v>
      </c>
      <c r="B47161" s="3">
        <v>1</v>
      </c>
    </row>
    <row r="47162" ht="15.75" customHeight="1" spans="1:2">
      <c r="A47162" s="3" t="str">
        <f>IFERROR(__xludf.DUMMYFUNCTION("GOOGLETRANSLATE(A47162,""en"",""pt"")"),"Muito simples, de boa qualidade, e de grande valor.")</f>
        <v>Muito simples, de boa qualidade, e de grande valor.</v>
      </c>
      <c r="B47162" s="3">
        <v>1</v>
      </c>
    </row>
    <row r="47163" ht="15.75" customHeight="1" spans="1:2">
      <c r="A47163" s="3" t="str">
        <f>IFERROR(__xludf.DUMMYFUNCTION("GOOGLETRANSLATE(A47163,""en"",""pt"")"),"Claras e imagens de qualidade, dia ou noite, tela de visualização.")</f>
        <v>Claras e imagens de qualidade, dia ou noite, tela de visualização.</v>
      </c>
      <c r="B47163" s="3">
        <v>1</v>
      </c>
    </row>
    <row r="47164" ht="15.75" customHeight="1" spans="1:2">
      <c r="A47164" s="3" t="str">
        <f>IFERROR(__xludf.DUMMYFUNCTION("GOOGLETRANSLATE(A47164,""en"",""pt"")"),"Muito fácil de usar")</f>
        <v>Muito fácil de usar</v>
      </c>
      <c r="B47164" s="3">
        <v>1</v>
      </c>
    </row>
    <row r="47165" ht="15.75" customHeight="1" spans="1:2">
      <c r="A47165" s="3" t="str">
        <f>IFERROR(__xludf.DUMMYFUNCTION("GOOGLETRANSLATE(A47165,""en"",""pt"")"),"Igual a 35 mm. Esta é uma das melhores câmeras pequenas. &amp; Amp; # 13; &amp; amp; # 10; A + câmera !!")</f>
        <v>Igual a 35 mm. Esta é uma das melhores câmeras pequenas. &amp; Amp; # 13; &amp; amp; # 10; A + câmera !!</v>
      </c>
      <c r="B47165" s="3">
        <v>1</v>
      </c>
    </row>
    <row r="47166" ht="15.75" customHeight="1" spans="1:2">
      <c r="A47166" s="3" t="str">
        <f>IFERROR(__xludf.DUMMYFUNCTION("GOOGLETRANSLATE(A47166,""en"",""pt"")"),"Fácil de usar, boa câmera tamanho.")</f>
        <v>Fácil de usar, boa câmera tamanho.</v>
      </c>
      <c r="B47166" s="3">
        <v>1</v>
      </c>
    </row>
    <row r="47167" ht="15.75" customHeight="1" spans="1:2">
      <c r="A47167" s="3" t="str">
        <f>IFERROR(__xludf.DUMMYFUNCTION("GOOGLETRANSLATE(A47167,""en"",""pt"")"),"Grandes fotos preço barato")</f>
        <v>Grandes fotos preço barato</v>
      </c>
      <c r="B47167" s="3">
        <v>1</v>
      </c>
    </row>
    <row r="47168" ht="15.75" customHeight="1" spans="1:2">
      <c r="A47168" s="3" t="str">
        <f>IFERROR(__xludf.DUMMYFUNCTION("GOOGLETRANSLATE(A47168,""en"",""pt"")"),"Fácil de usar, fotos de alta qualidade, barato, divertido.")</f>
        <v>Fácil de usar, fotos de alta qualidade, barato, divertido.</v>
      </c>
      <c r="B47168" s="3">
        <v>1</v>
      </c>
    </row>
    <row r="47169" ht="15.75" customHeight="1" spans="1:2">
      <c r="A47169" s="3" t="s">
        <v>229</v>
      </c>
      <c r="B47169" s="3">
        <v>1</v>
      </c>
    </row>
    <row r="47170" ht="15.75" customHeight="1" spans="1:2">
      <c r="A47170" s="3" t="str">
        <f>IFERROR(__xludf.DUMMYFUNCTION("GOOGLETRANSLATE(A47170,""en"",""pt"")"),"fotos muito claras")</f>
        <v>fotos muito claras</v>
      </c>
      <c r="B47170" s="3">
        <v>1</v>
      </c>
    </row>
    <row r="47171" ht="15.75" customHeight="1" spans="1:2">
      <c r="A47171" s="3" t="str">
        <f>IFERROR(__xludf.DUMMYFUNCTION("GOOGLETRANSLATE(A47171,""en"",""pt"")"),"Ótimas fotos")</f>
        <v>Ótimas fotos</v>
      </c>
      <c r="B47171" s="3">
        <v>1</v>
      </c>
    </row>
    <row r="47172" ht="15.75" customHeight="1" spans="1:2">
      <c r="A47172" s="3" t="str">
        <f>IFERROR(__xludf.DUMMYFUNCTION("GOOGLETRANSLATE(A47172,""en"",""pt"")"),"Facilidade de uso e qualidade")</f>
        <v>Facilidade de uso e qualidade</v>
      </c>
      <c r="B47172" s="3">
        <v>1</v>
      </c>
    </row>
    <row r="47173" ht="15.75" customHeight="1" spans="1:2">
      <c r="A47173" s="3" t="str">
        <f>IFERROR(__xludf.DUMMYFUNCTION("GOOGLETRANSLATE(A47173,""en"",""pt"")"),"fácil, de grande qualidade")</f>
        <v>fácil, de grande qualidade</v>
      </c>
      <c r="B47173" s="3">
        <v>1</v>
      </c>
    </row>
    <row r="47174" ht="15.75" customHeight="1" spans="1:2">
      <c r="A47174" s="3" t="str">
        <f>IFERROR(__xludf.DUMMYFUNCTION("GOOGLETRANSLATE(A47174,""en"",""pt"")"),"Fácil de usar, HP Quality e apoio, baixo custo, Great primeira câmera / família!")</f>
        <v>Fácil de usar, HP Quality e apoio, baixo custo, Great primeira câmera / família!</v>
      </c>
      <c r="B47174" s="3">
        <v>1</v>
      </c>
    </row>
    <row r="47175" ht="15.75" customHeight="1" spans="1:2">
      <c r="A47175" s="3" t="str">
        <f>IFERROR(__xludf.DUMMYFUNCTION("GOOGLETRANSLATE(A47175,""en"",""pt"")"),"Amigo do usuário!")</f>
        <v>Amigo do usuário!</v>
      </c>
      <c r="B47175" s="3">
        <v>1</v>
      </c>
    </row>
    <row r="47176" ht="15.75" customHeight="1" spans="1:2">
      <c r="A47176" s="3" t="str">
        <f>IFERROR(__xludf.DUMMYFUNCTION("GOOGLETRANSLATE(A47176,""en"",""pt"")"),"fácil de usar")</f>
        <v>fácil de usar</v>
      </c>
      <c r="B47176" s="3">
        <v>1</v>
      </c>
    </row>
    <row r="47177" ht="15.75" customHeight="1" spans="1:2">
      <c r="A47177" s="3" t="str">
        <f>IFERROR(__xludf.DUMMYFUNCTION("GOOGLETRANSLATE(A47177,""en"",""pt"")"),"muito fácil de tirar ótimas fotos")</f>
        <v>muito fácil de tirar ótimas fotos</v>
      </c>
      <c r="B47177" s="3">
        <v>1</v>
      </c>
    </row>
    <row r="47178" ht="15.75" customHeight="1" spans="1:2">
      <c r="A47178" s="3" t="str">
        <f>IFERROR(__xludf.DUMMYFUNCTION("GOOGLETRANSLATE(A47178,""en"",""pt"")"),"Rápido e fácil")</f>
        <v>Rápido e fácil</v>
      </c>
      <c r="B47178" s="3">
        <v>1</v>
      </c>
    </row>
    <row r="47179" ht="15.75" customHeight="1" spans="1:2">
      <c r="A47179" s="3" t="str">
        <f>IFERROR(__xludf.DUMMYFUNCTION("GOOGLETRANSLATE(A47179,""en"",""pt"")"),"qualidade fotográfica barato e superb")</f>
        <v>qualidade fotográfica barato e superb</v>
      </c>
      <c r="B47179" s="3">
        <v>1</v>
      </c>
    </row>
    <row r="47180" ht="15.75" customHeight="1" spans="1:2">
      <c r="A47180" s="3" t="str">
        <f>IFERROR(__xludf.DUMMYFUNCTION("GOOGLETRANSLATE(A47180,""en"",""pt"")"),"Tem grandes figuras")</f>
        <v>Tem grandes figuras</v>
      </c>
      <c r="B47180" s="3">
        <v>1</v>
      </c>
    </row>
    <row r="47181" ht="15.75" customHeight="1" spans="1:2">
      <c r="A47181" s="3" t="str">
        <f>IFERROR(__xludf.DUMMYFUNCTION("GOOGLETRANSLATE(A47181,""en"",""pt"")"),"Baixo custo, a tecnologia flash compacto")</f>
        <v>Baixo custo, a tecnologia flash compacto</v>
      </c>
      <c r="B47181" s="3">
        <v>1</v>
      </c>
    </row>
    <row r="47182" ht="15.75" customHeight="1" spans="1:2">
      <c r="A47182" s="3" t="str">
        <f>IFERROR(__xludf.DUMMYFUNCTION("GOOGLETRANSLATE(A47182,""en"",""pt"")"),"pilhas AA, mídia Compact Flash, tela de LCD, foco automático")</f>
        <v>pilhas AA, mídia Compact Flash, tela de LCD, foco automático</v>
      </c>
      <c r="B47182" s="3">
        <v>1</v>
      </c>
    </row>
    <row r="47183" ht="15.75" customHeight="1" spans="1:2">
      <c r="A47183" s="3" t="str">
        <f>IFERROR(__xludf.DUMMYFUNCTION("GOOGLETRANSLATE(A47183,""en"",""pt"")"),"Fácil de usar, boas fotos")</f>
        <v>Fácil de usar, boas fotos</v>
      </c>
      <c r="B47183" s="3">
        <v>1</v>
      </c>
    </row>
    <row r="47184" ht="15.75" customHeight="1" spans="1:2">
      <c r="A47184" s="3" t="str">
        <f>IFERROR(__xludf.DUMMYFUNCTION("GOOGLETRANSLATE(A47184,""en"",""pt"")"),"Preço, características, cartão de memória Zoom, Standard")</f>
        <v>Preço, características, cartão de memória Zoom, Standard</v>
      </c>
      <c r="B47184" s="3">
        <v>1</v>
      </c>
    </row>
    <row r="47185" ht="15.75" customHeight="1" spans="1:2">
      <c r="A47185" s="3" t="str">
        <f>IFERROR(__xludf.DUMMYFUNCTION("GOOGLETRANSLATE(A47185,""en"",""pt"")"),"Fácil de usar, robusto, boa qualidade de imagem")</f>
        <v>Fácil de usar, robusto, boa qualidade de imagem</v>
      </c>
      <c r="B47185" s="3">
        <v>1</v>
      </c>
    </row>
    <row r="47186" ht="15.75" customHeight="1" spans="1:2">
      <c r="A47186" s="3" t="str">
        <f>IFERROR(__xludf.DUMMYFUNCTION("GOOGLETRANSLATE(A47186,""en"",""pt"")"),"Atualmente disponível em 200, redução de olhos vermelhos, a capacidade decente.")</f>
        <v>Atualmente disponível em 200, redução de olhos vermelhos, a capacidade decente.</v>
      </c>
      <c r="B47186" s="3">
        <v>1</v>
      </c>
    </row>
    <row r="47187" ht="15.75" customHeight="1" spans="1:2">
      <c r="A47187" s="3" t="str">
        <f>IFERROR(__xludf.DUMMYFUNCTION("GOOGLETRANSLATE(A47187,""en"",""pt"")"),"fotos de qualidade, fácil de usar, de preço.")</f>
        <v>fotos de qualidade, fácil de usar, de preço.</v>
      </c>
      <c r="B47187" s="3">
        <v>1</v>
      </c>
    </row>
    <row r="47188" ht="15.75" customHeight="1" spans="1:2">
      <c r="A47188" s="3" t="str">
        <f>IFERROR(__xludf.DUMMYFUNCTION("GOOGLETRANSLATE(A47188,""en"",""pt"")"),"Fácil de usar, de baixo preço, usos memória flash")</f>
        <v>Fácil de usar, de baixo preço, usos memória flash</v>
      </c>
      <c r="B47188" s="3">
        <v>1</v>
      </c>
    </row>
    <row r="47189" ht="15.75" customHeight="1" spans="1:2">
      <c r="A47189" s="3" t="str">
        <f>IFERROR(__xludf.DUMMYFUNCTION("GOOGLETRANSLATE(A47189,""en"",""pt"")"),"Barato, de boa qualidade, fácil de usar")</f>
        <v>Barato, de boa qualidade, fácil de usar</v>
      </c>
      <c r="B47189" s="3">
        <v>1</v>
      </c>
    </row>
    <row r="47190" ht="15.75" customHeight="1" spans="1:2">
      <c r="A47190" s="3" t="str">
        <f>IFERROR(__xludf.DUMMYFUNCTION("GOOGLETRANSLATE(A47190,""en"",""pt"")"),"quality = high, preço = baixa")</f>
        <v>quality = high, preço = baixa</v>
      </c>
      <c r="B47190" s="3">
        <v>1</v>
      </c>
    </row>
    <row r="47191" ht="15.75" customHeight="1" spans="1:2">
      <c r="A47191" s="3" t="str">
        <f>IFERROR(__xludf.DUMMYFUNCTION("GOOGLETRANSLATE(A47191,""en"",""pt"")"),"Excelente imagem em condições de luz")</f>
        <v>Excelente imagem em condições de luz</v>
      </c>
      <c r="B47191" s="3">
        <v>1</v>
      </c>
    </row>
    <row r="47192" ht="15.75" customHeight="1" spans="1:2">
      <c r="A47192" s="3" t="s">
        <v>230</v>
      </c>
      <c r="B47192" s="3">
        <v>1</v>
      </c>
    </row>
    <row r="47193" ht="15.75" customHeight="1" spans="1:2">
      <c r="A47193" s="3" t="str">
        <f>IFERROR(__xludf.DUMMYFUNCTION("GOOGLETRANSLATE(A47193,""en"",""pt"")"),"Muito amigável")</f>
        <v>Muito amigável</v>
      </c>
      <c r="B47193" s="3">
        <v>1</v>
      </c>
    </row>
    <row r="47194" ht="15.75" customHeight="1" spans="1:2">
      <c r="A47194" s="3" t="str">
        <f>IFERROR(__xludf.DUMMYFUNCTION("GOOGLETRANSLATE(A47194,""en"",""pt"")"),"preço, facilidade de uso")</f>
        <v>preço, facilidade de uso</v>
      </c>
      <c r="B47194" s="3">
        <v>1</v>
      </c>
    </row>
    <row r="47195" ht="15.75" customHeight="1" spans="1:2">
      <c r="A47195" s="3" t="str">
        <f>IFERROR(__xludf.DUMMYFUNCTION("GOOGLETRANSLATE(A47195,""en"",""pt"")"),"excelente produto")</f>
        <v>excelente produto</v>
      </c>
      <c r="B47195" s="3">
        <v>1</v>
      </c>
    </row>
    <row r="47196" ht="15.75" customHeight="1" spans="1:2">
      <c r="A47196" s="3" t="str">
        <f>IFERROR(__xludf.DUMMYFUNCTION("GOOGLETRANSLATE(A47196,""en"",""pt"")"),"Preço, qualidade, amigável")</f>
        <v>Preço, qualidade, amigável</v>
      </c>
      <c r="B47196" s="3">
        <v>1</v>
      </c>
    </row>
    <row r="47197" ht="15.75" customHeight="1" spans="1:2">
      <c r="A47197" s="3" t="str">
        <f>IFERROR(__xludf.DUMMYFUNCTION("GOOGLETRANSLATE(A47197,""en"",""pt"")"),"Prós: Fácil de usar, Imagem excelente qualidade em todas as resoluções (superfino, fino e básica)")</f>
        <v>Prós: Fácil de usar, Imagem excelente qualidade em todas as resoluções (superfino, fino e básica)</v>
      </c>
      <c r="B47197" s="3">
        <v>1</v>
      </c>
    </row>
    <row r="47198" ht="15.75" customHeight="1" spans="1:2">
      <c r="A47198" s="3" t="s">
        <v>231</v>
      </c>
      <c r="B47198" s="3">
        <v>1</v>
      </c>
    </row>
    <row r="47199" ht="15.75" customHeight="1" spans="1:2">
      <c r="A47199" s="3" t="str">
        <f>IFERROR(__xludf.DUMMYFUNCTION("GOOGLETRANSLATE(A47199,""en"",""pt"")"),"Ótima câmera confiança nome u")</f>
        <v>Ótima câmera confiança nome u</v>
      </c>
      <c r="B47199" s="3">
        <v>1</v>
      </c>
    </row>
    <row r="47200" ht="15.75" customHeight="1" spans="1:2">
      <c r="A47200" s="3" t="str">
        <f>IFERROR(__xludf.DUMMYFUNCTION("GOOGLETRANSLATE(A47200,""en"",""pt"")"),"Camera é simples de usar; Save Money, fotos de alta qualidade; fotos instantâneas; ver fotos na TV, PC ou câmera instantaneamente")</f>
        <v>Camera é simples de usar; Save Money, fotos de alta qualidade; fotos instantâneas; ver fotos na TV, PC ou câmera instantaneamente</v>
      </c>
      <c r="B47200" s="3">
        <v>1</v>
      </c>
    </row>
    <row r="47201" ht="15.75" customHeight="1" spans="1:2">
      <c r="A47201" s="3" t="str">
        <f>IFERROR(__xludf.DUMMYFUNCTION("GOOGLETRANSLATE(A47201,""en"",""pt"")"),"de preços ao consumidor")</f>
        <v>de preços ao consumidor</v>
      </c>
      <c r="B47201" s="3">
        <v>1</v>
      </c>
    </row>
    <row r="47202" ht="15.75" customHeight="1" spans="1:2">
      <c r="A47202" s="3" t="str">
        <f>IFERROR(__xludf.DUMMYFUNCTION("GOOGLETRANSLATE(A47202,""en"",""pt"")"),"Preço, qualidade das fotos")</f>
        <v>Preço, qualidade das fotos</v>
      </c>
      <c r="B47202" s="3">
        <v>1</v>
      </c>
    </row>
    <row r="47203" ht="15.75" customHeight="1" spans="1:2">
      <c r="A47203" s="3" t="str">
        <f>IFERROR(__xludf.DUMMYFUNCTION("GOOGLETRANSLATE(A47203,""en"",""pt"")"),"fácil de operar e acessível")</f>
        <v>fácil de operar e acessível</v>
      </c>
      <c r="B47203" s="3">
        <v>1</v>
      </c>
    </row>
    <row r="47204" ht="15.75" customHeight="1" spans="1:2">
      <c r="A47204" s="3" t="str">
        <f>IFERROR(__xludf.DUMMYFUNCTION("GOOGLETRANSLATE(A47204,""en"",""pt"")"),"Acessibilidade, facilidade de uso, foto digital de qualidade de")</f>
        <v>Acessibilidade, facilidade de uso, foto digital de qualidade de</v>
      </c>
      <c r="B47204" s="3">
        <v>1</v>
      </c>
    </row>
    <row r="47205" ht="15.75" customHeight="1" spans="1:2">
      <c r="A47205" s="3" t="str">
        <f>IFERROR(__xludf.DUMMYFUNCTION("GOOGLETRANSLATE(A47205,""en"",""pt"")"),"Preço, facilidade de uso, software")</f>
        <v>Preço, facilidade de uso, software</v>
      </c>
      <c r="B47205" s="3">
        <v>1</v>
      </c>
    </row>
    <row r="47206" ht="15.75" customHeight="1" spans="1:2">
      <c r="A47206" s="3" t="str">
        <f>IFERROR(__xludf.DUMMYFUNCTION("GOOGLETRANSLATE(A47206,""en"",""pt"")"),"Fácil de usar e menus fáceis, de boa qualidade!")</f>
        <v>Fácil de usar e menus fáceis, de boa qualidade!</v>
      </c>
      <c r="B47206" s="3">
        <v>1</v>
      </c>
    </row>
    <row r="47207" ht="15.75" customHeight="1" spans="1:2">
      <c r="A47207" s="3" t="str">
        <f>IFERROR(__xludf.DUMMYFUNCTION("GOOGLETRANSLATE(A47207,""en"",""pt"")"),"preço, qualidade da foto, facilidade de uso")</f>
        <v>preço, qualidade da foto, facilidade de uso</v>
      </c>
      <c r="B47207" s="3">
        <v>1</v>
      </c>
    </row>
    <row r="47208" ht="15.75" customHeight="1" spans="1:2">
      <c r="A47208" s="3" t="str">
        <f>IFERROR(__xludf.DUMMYFUNCTION("GOOGLETRANSLATE(A47208,""en"",""pt"")"),"Boa qualidade de imagem")</f>
        <v>Boa qualidade de imagem</v>
      </c>
      <c r="B47208" s="3">
        <v>1</v>
      </c>
    </row>
    <row r="47209" ht="15.75" customHeight="1" spans="1:2">
      <c r="A47209" s="3" t="str">
        <f>IFERROR(__xludf.DUMMYFUNCTION("GOOGLETRANSLATE(A47209,""en"",""pt"")"),"Barato")</f>
        <v>Barato</v>
      </c>
      <c r="B47209" s="3">
        <v>1</v>
      </c>
    </row>
    <row r="47210" ht="15.75" customHeight="1" spans="1:2">
      <c r="A47210" s="3" t="str">
        <f>IFERROR(__xludf.DUMMYFUNCTION("GOOGLETRANSLATE(A47210,""en"",""pt"")"),"fácil, a qualidade")</f>
        <v>fácil, a qualidade</v>
      </c>
      <c r="B47210" s="3">
        <v>1</v>
      </c>
    </row>
    <row r="47211" ht="15.75" customHeight="1" spans="1:2">
      <c r="A47211" s="3" t="str">
        <f>IFERROR(__xludf.DUMMYFUNCTION("GOOGLETRANSLATE(A47211,""en"",""pt"")"),"pronto para usar fora da direita da caixa")</f>
        <v>pronto para usar fora da direita da caixa</v>
      </c>
      <c r="B47211" s="3">
        <v>1</v>
      </c>
    </row>
    <row r="47212" ht="15.75" customHeight="1" spans="1:2">
      <c r="A47212" s="3" t="str">
        <f>IFERROR(__xludf.DUMMYFUNCTION("GOOGLETRANSLATE(A47212,""en"",""pt"")"),"Preço - Qualidade -Facilidade de uso")</f>
        <v>Preço - Qualidade -Facilidade de uso</v>
      </c>
      <c r="B47212" s="3">
        <v>1</v>
      </c>
    </row>
    <row r="47213" ht="15.75" customHeight="1" spans="1:2">
      <c r="A47213" s="3" t="str">
        <f>IFERROR(__xludf.DUMMYFUNCTION("GOOGLETRANSLATE(A47213,""en"",""pt"")"),"user friendly, muitos usos, custos")</f>
        <v>user friendly, muitos usos, custos</v>
      </c>
      <c r="B47213" s="3">
        <v>1</v>
      </c>
    </row>
    <row r="47214" ht="15.75" customHeight="1" spans="1:2">
      <c r="A47214" s="3" t="str">
        <f>IFERROR(__xludf.DUMMYFUNCTION("GOOGLETRANSLATE(A47214,""en"",""pt"")"),"boas imagens claras, foco automático e flash nada para definir.")</f>
        <v>boas imagens claras, foco automático e flash nada para definir.</v>
      </c>
      <c r="B47214" s="3">
        <v>1</v>
      </c>
    </row>
    <row r="47215" ht="15.75" customHeight="1" spans="1:2">
      <c r="A47215" s="3" t="str">
        <f>IFERROR(__xludf.DUMMYFUNCTION("GOOGLETRANSLATE(A47215,""en"",""pt"")"),"Facilidade de uso, rentável.")</f>
        <v>Facilidade de uso, rentável.</v>
      </c>
      <c r="B47215" s="3">
        <v>1</v>
      </c>
    </row>
    <row r="47216" ht="15.75" customHeight="1" spans="1:2">
      <c r="A47216" s="3" t="str">
        <f>IFERROR(__xludf.DUMMYFUNCTION("GOOGLETRANSLATE(A47216,""en"",""pt"")"),"Fácil de usar")</f>
        <v>Fácil de usar</v>
      </c>
      <c r="B47216" s="3">
        <v>1</v>
      </c>
    </row>
    <row r="47217" ht="15.75" customHeight="1" spans="1:2">
      <c r="A47217" s="3" t="str">
        <f>IFERROR(__xludf.DUMMYFUNCTION("GOOGLETRANSLATE(A47217,""en"",""pt"")"),"grande qualidade da foto, fácil para iniciantes")</f>
        <v>grande qualidade da foto, fácil para iniciantes</v>
      </c>
      <c r="B47217" s="3">
        <v>1</v>
      </c>
    </row>
    <row r="47218" ht="15.75" customHeight="1" spans="1:2">
      <c r="A47218" s="3" t="str">
        <f>IFERROR(__xludf.DUMMYFUNCTION("GOOGLETRANSLATE(A47218,""en"",""pt"")"),"cor")</f>
        <v>cor</v>
      </c>
      <c r="B47218" s="3">
        <v>1</v>
      </c>
    </row>
    <row r="47219" ht="15.75" customHeight="1" spans="1:2">
      <c r="A47219" s="3" t="str">
        <f>IFERROR(__xludf.DUMMYFUNCTION("GOOGLETRANSLATE(A47219,""en"",""pt"")"),"Preço, Foto qualidade e facilidade de uso")</f>
        <v>Preço, Foto qualidade e facilidade de uso</v>
      </c>
      <c r="B47219" s="3">
        <v>1</v>
      </c>
    </row>
    <row r="47220" ht="15.75" customHeight="1" spans="1:2">
      <c r="A47220" s="3" t="str">
        <f>IFERROR(__xludf.DUMMYFUNCTION("GOOGLETRANSLATE(A47220,""en"",""pt"")"),"fácil de operar")</f>
        <v>fácil de operar</v>
      </c>
      <c r="B47220" s="3">
        <v>1</v>
      </c>
    </row>
    <row r="47221" ht="15.75" customHeight="1" spans="1:2">
      <c r="A47221" s="3" t="str">
        <f>IFERROR(__xludf.DUMMYFUNCTION("GOOGLETRANSLATE(A47221,""en"",""pt"")"),"Barato-leve-fácil de usar-ótimas fotos de qualidade")</f>
        <v>Barato-leve-fácil de usar-ótimas fotos de qualidade</v>
      </c>
      <c r="B47221" s="3">
        <v>1</v>
      </c>
    </row>
    <row r="47222" ht="15.75" customHeight="1" spans="1:2">
      <c r="A47222" s="3" t="str">
        <f>IFERROR(__xludf.DUMMYFUNCTION("GOOGLETRANSLATE(A47222,""en"",""pt"")"),"imagens claras, Hp")</f>
        <v>imagens claras, Hp</v>
      </c>
      <c r="B47222" s="3">
        <v>1</v>
      </c>
    </row>
    <row r="47223" ht="15.75" customHeight="1" spans="1:2">
      <c r="A47223" s="3" t="str">
        <f>IFERROR(__xludf.DUMMYFUNCTION("GOOGLETRANSLATE(A47223,""en"",""pt"")"),"fácil de usar")</f>
        <v>fácil de usar</v>
      </c>
      <c r="B47223" s="3">
        <v>1</v>
      </c>
    </row>
    <row r="47224" ht="15.75" customHeight="1" spans="1:2">
      <c r="A47224" s="3" t="str">
        <f>IFERROR(__xludf.DUMMYFUNCTION("GOOGLETRANSLATE(A47224,""en"",""pt"")"),"Características, Usabilidade")</f>
        <v>Características, Usabilidade</v>
      </c>
      <c r="B47224" s="3">
        <v>1</v>
      </c>
    </row>
    <row r="47225" ht="15.75" customHeight="1" spans="1:2">
      <c r="A47225" s="3" t="str">
        <f>IFERROR(__xludf.DUMMYFUNCTION("GOOGLETRANSLATE(A47225,""en"",""pt"")"),"fácil de usar")</f>
        <v>fácil de usar</v>
      </c>
      <c r="B47225" s="3">
        <v>1</v>
      </c>
    </row>
    <row r="47226" ht="15.75" customHeight="1" spans="1:2">
      <c r="A47226" s="3" t="str">
        <f>IFERROR(__xludf.DUMMYFUNCTION("GOOGLETRANSLATE(A47226,""en"",""pt"")"),"fotos muito nítidas")</f>
        <v>fotos muito nítidas</v>
      </c>
      <c r="B47226" s="3">
        <v>1</v>
      </c>
    </row>
    <row r="47227" ht="15.75" customHeight="1" spans="1:2">
      <c r="A47227" s="3" t="str">
        <f>IFERROR(__xludf.DUMMYFUNCTION("GOOGLETRANSLATE(A47227,""en"",""pt"")"),"preço, qualidade e facilidade de uso")</f>
        <v>preço, qualidade e facilidade de uso</v>
      </c>
      <c r="B47227" s="3">
        <v>1</v>
      </c>
    </row>
    <row r="47228" ht="15.75" customHeight="1" spans="1:2">
      <c r="A47228" s="3" t="str">
        <f>IFERROR(__xludf.DUMMYFUNCTION("GOOGLETRANSLATE(A47228,""en"",""pt"")"),"Muito fácil de usar, barato, várias resoluções, versátil")</f>
        <v>Muito fácil de usar, barato, várias resoluções, versátil</v>
      </c>
      <c r="B47228" s="3">
        <v>1</v>
      </c>
    </row>
    <row r="47229" ht="15.75" customHeight="1" spans="1:2">
      <c r="A47229" s="3" t="str">
        <f>IFERROR(__xludf.DUMMYFUNCTION("GOOGLETRANSLATE(A47229,""en"",""pt"")"),"preço, qualidade de imagem,")</f>
        <v>preço, qualidade de imagem,</v>
      </c>
      <c r="B47229" s="3">
        <v>1</v>
      </c>
    </row>
    <row r="47230" ht="15.75" customHeight="1" spans="1:2">
      <c r="A47230" s="3" t="str">
        <f>IFERROR(__xludf.DUMMYFUNCTION("GOOGLETRANSLATE(A47230,""en"",""pt"")"),"Fácil de usar, apenas US $ 270")</f>
        <v>Fácil de usar, apenas US $ 270</v>
      </c>
      <c r="B47230" s="3">
        <v>1</v>
      </c>
    </row>
    <row r="47231" ht="15.75" customHeight="1" spans="1:2">
      <c r="A47231" s="3" t="str">
        <f>IFERROR(__xludf.DUMMYFUNCTION("GOOGLETRANSLATE(A47231,""en"",""pt"")"),"Facilidade de uso, acessibilidade")</f>
        <v>Facilidade de uso, acessibilidade</v>
      </c>
      <c r="B47231" s="3">
        <v>1</v>
      </c>
    </row>
    <row r="47232" ht="15.75" customHeight="1" spans="1:2">
      <c r="A47232" s="3" t="str">
        <f>IFERROR(__xludf.DUMMYFUNCTION("GOOGLETRANSLATE(A47232,""en"",""pt"")"),"fácil de usar, não muito caro")</f>
        <v>fácil de usar, não muito caro</v>
      </c>
      <c r="B47232" s="3">
        <v>1</v>
      </c>
    </row>
    <row r="47233" ht="15.75" customHeight="1" spans="1:2">
      <c r="A47233" s="3" t="str">
        <f>IFERROR(__xludf.DUMMYFUNCTION("GOOGLETRANSLATE(A47233,""en"",""pt"")"),"Tão / qualidade de imagem")</f>
        <v>Tão / qualidade de imagem</v>
      </c>
      <c r="B47233" s="3">
        <v>1</v>
      </c>
    </row>
    <row r="47234" ht="15.75" customHeight="1" spans="1:2">
      <c r="A47234" s="3" t="str">
        <f>IFERROR(__xludf.DUMMYFUNCTION("GOOGLETRANSLATE(A47234,""en"",""pt"")"),"Preço, Quaility, software, e facilidade de uso")</f>
        <v>Preço, Quaility, software, e facilidade de uso</v>
      </c>
      <c r="B47234" s="3">
        <v>1</v>
      </c>
    </row>
    <row r="47235" ht="15.75" customHeight="1" spans="1:2">
      <c r="A47235" s="3" t="str">
        <f>IFERROR(__xludf.DUMMYFUNCTION("GOOGLETRANSLATE(A47235,""en"",""pt"")"),"6")</f>
        <v>6</v>
      </c>
      <c r="B47235" s="3">
        <v>1</v>
      </c>
    </row>
    <row r="47236" ht="15.75" customHeight="1" spans="1:2">
      <c r="A47236" s="3" t="str">
        <f>IFERROR(__xludf.DUMMYFUNCTION("GOOGLETRANSLATE(A47236,""en"",""pt"")"),"Preço, LCD")</f>
        <v>Preço, LCD</v>
      </c>
      <c r="B47236" s="3">
        <v>1</v>
      </c>
    </row>
    <row r="47237" ht="15.75" customHeight="1" spans="1:2">
      <c r="A47237" s="3" t="str">
        <f>IFERROR(__xludf.DUMMYFUNCTION("GOOGLETRANSLATE(A47237,""en"",""pt"")"),"Sem desperdiçado Pictures, Save e dinheiro MARCA")</f>
        <v>Sem desperdiçado Pictures, Save e dinheiro MARCA</v>
      </c>
      <c r="B47237" s="3">
        <v>1</v>
      </c>
    </row>
    <row r="47238" ht="15.75" customHeight="1" spans="1:2">
      <c r="A47238" s="3" t="str">
        <f>IFERROR(__xludf.DUMMYFUNCTION("GOOGLETRANSLATE(A47238,""en"",""pt"")"),"fácil e pequeno")</f>
        <v>fácil e pequeno</v>
      </c>
      <c r="B47238" s="3">
        <v>1</v>
      </c>
    </row>
    <row r="47239" ht="15.75" customHeight="1" spans="1:2">
      <c r="A47239" s="3" t="str">
        <f>IFERROR(__xludf.DUMMYFUNCTION("GOOGLETRANSLATE(A47239,""en"",""pt"")"),"Preço, qualidade, valor, facilidade de uso")</f>
        <v>Preço, qualidade, valor, facilidade de uso</v>
      </c>
      <c r="B47239" s="3">
        <v>1</v>
      </c>
    </row>
    <row r="47240" ht="15.75" customHeight="1" spans="1:2">
      <c r="A47240" s="3" t="str">
        <f>IFERROR(__xludf.DUMMYFUNCTION("GOOGLETRANSLATE(A47240,""en"",""pt"")"),"fácil de usar, FUN")</f>
        <v>fácil de usar, FUN</v>
      </c>
      <c r="B47240" s="3">
        <v>1</v>
      </c>
    </row>
    <row r="47241" ht="15.75" customHeight="1" spans="1:2">
      <c r="A47241" s="3" t="str">
        <f>IFERROR(__xludf.DUMMYFUNCTION("GOOGLETRANSLATE(A47241,""en"",""pt"")"),"grande dispositivo")</f>
        <v>grande dispositivo</v>
      </c>
      <c r="B47241" s="3">
        <v>1</v>
      </c>
    </row>
    <row r="47242" ht="15.75" customHeight="1" spans="1:2">
      <c r="A47242" s="3" t="str">
        <f>IFERROR(__xludf.DUMMYFUNCTION("GOOGLETRANSLATE(A47242,""en"",""pt"")"),"Barato e elegante")</f>
        <v>Barato e elegante</v>
      </c>
      <c r="B47242" s="3">
        <v>1</v>
      </c>
    </row>
    <row r="47243" ht="15.75" customHeight="1" spans="1:2">
      <c r="A47243" s="3" t="str">
        <f>IFERROR(__xludf.DUMMYFUNCTION("GOOGLETRANSLATE(A47243,""en"",""pt"")"),"barato, boa resolução")</f>
        <v>barato, boa resolução</v>
      </c>
      <c r="B47243" s="3">
        <v>1</v>
      </c>
    </row>
    <row r="47244" ht="15.75" customHeight="1" spans="1:2">
      <c r="A47244" s="3" t="str">
        <f>IFERROR(__xludf.DUMMYFUNCTION("GOOGLETRANSLATE(A47244,""en"",""pt"")"),"Fácil de usar, grande resolução")</f>
        <v>Fácil de usar, grande resolução</v>
      </c>
      <c r="B47244" s="3">
        <v>1</v>
      </c>
    </row>
    <row r="47245" ht="15.75" customHeight="1" spans="1:2">
      <c r="A47245" s="3" t="str">
        <f>IFERROR(__xludf.DUMMYFUNCTION("GOOGLETRANSLATE(A47245,""en"",""pt"")"),"Custo, facilidade de uso, qualidade de fotos")</f>
        <v>Custo, facilidade de uso, qualidade de fotos</v>
      </c>
      <c r="B47245" s="3">
        <v>1</v>
      </c>
    </row>
    <row r="47246" ht="15.75" customHeight="1" spans="1:2">
      <c r="A47246" s="3" t="str">
        <f>IFERROR(__xludf.DUMMYFUNCTION("GOOGLETRANSLATE(A47246,""en"",""pt"")"),"Grande qualidade para o dinheiro")</f>
        <v>Grande qualidade para o dinheiro</v>
      </c>
      <c r="B47246" s="3">
        <v>1</v>
      </c>
    </row>
    <row r="47247" ht="15.75" customHeight="1" spans="1:2">
      <c r="A47247" s="3" t="str">
        <f>IFERROR(__xludf.DUMMYFUNCTION("GOOGLETRANSLATE(A47247,""en"",""pt"")"),"Excelente qualidade de imagem, preço razoável, rico em recursos, armazenamento de memória CompactFlash")</f>
        <v>Excelente qualidade de imagem, preço razoável, rico em recursos, armazenamento de memória CompactFlash</v>
      </c>
      <c r="B47247" s="3">
        <v>1</v>
      </c>
    </row>
    <row r="47248" ht="15.75" customHeight="1" spans="1:2">
      <c r="A47248" s="3" t="str">
        <f>IFERROR(__xludf.DUMMYFUNCTION("GOOGLETRANSLATE(A47248,""en"",""pt"")"),"fotos finos de qualidade para menos de US $ 300")</f>
        <v>fotos finos de qualidade para menos de US $ 300</v>
      </c>
      <c r="B47248" s="3">
        <v>1</v>
      </c>
    </row>
    <row r="47249" ht="15.75" customHeight="1" spans="1:2">
      <c r="A47249" s="3" t="str">
        <f>IFERROR(__xludf.DUMMYFUNCTION("GOOGLETRANSLATE(A47249,""en"",""pt"")"),"Fácil de usar, durável, Grande Photo Quality.")</f>
        <v>Fácil de usar, durável, Grande Photo Quality.</v>
      </c>
      <c r="B47249" s="3">
        <v>1</v>
      </c>
    </row>
    <row r="47250" ht="15.75" customHeight="1" spans="1:2">
      <c r="A47250" s="3" t="str">
        <f>IFERROR(__xludf.DUMMYFUNCTION("GOOGLETRANSLATE(A47250,""en"",""pt"")"),"zoom")</f>
        <v>zoom</v>
      </c>
      <c r="B47250" s="3">
        <v>1</v>
      </c>
    </row>
    <row r="47251" ht="15.75" customHeight="1" spans="1:2">
      <c r="A47251" s="3" t="str">
        <f>IFERROR(__xludf.DUMMYFUNCTION("GOOGLETRANSLATE(A47251,""en"",""pt"")"),"fácil de usar")</f>
        <v>fácil de usar</v>
      </c>
      <c r="B47251" s="3">
        <v>1</v>
      </c>
    </row>
    <row r="47252" ht="15.75" customHeight="1" spans="1:2">
      <c r="A47252" s="3" t="str">
        <f>IFERROR(__xludf.DUMMYFUNCTION("GOOGLETRANSLATE(A47252,""en"",""pt"")"),"Melhor câmera no mercado, especialmente a esse preço")</f>
        <v>Melhor câmera no mercado, especialmente a esse preço</v>
      </c>
      <c r="B47252" s="3">
        <v>1</v>
      </c>
    </row>
    <row r="47253" ht="15.75" customHeight="1" spans="1:2">
      <c r="A47253" s="3" t="str">
        <f>IFERROR(__xludf.DUMMYFUNCTION("GOOGLETRANSLATE(A47253,""en"",""pt"")"),"opções de menu fácil, características funcionais")</f>
        <v>opções de menu fácil, características funcionais</v>
      </c>
      <c r="B47253" s="3">
        <v>1</v>
      </c>
    </row>
    <row r="47254" ht="15.75" customHeight="1" spans="1:2">
      <c r="A47254" s="3" t="str">
        <f>IFERROR(__xludf.DUMMYFUNCTION("GOOGLETRANSLATE(A47254,""en"",""pt"")"),"Bom valor para o dinheiro como câmera digital de partida, vida útil da bateria decente se cuidado com LCD, fácil de usar")</f>
        <v>Bom valor para o dinheiro como câmera digital de partida, vida útil da bateria decente se cuidado com LCD, fácil de usar</v>
      </c>
      <c r="B47254" s="3">
        <v>1</v>
      </c>
    </row>
    <row r="47255" ht="15.75" customHeight="1" spans="1:2">
      <c r="A47255" s="3" t="str">
        <f>IFERROR(__xludf.DUMMYFUNCTION("GOOGLETRANSLATE(A47255,""en"",""pt"")"),"Barato, resistente, fácil de usar")</f>
        <v>Barato, resistente, fácil de usar</v>
      </c>
      <c r="B47255" s="3">
        <v>1</v>
      </c>
    </row>
    <row r="47256" ht="15.75" customHeight="1" spans="1:2">
      <c r="A47256" s="3" t="str">
        <f>IFERROR(__xludf.DUMMYFUNCTION("GOOGLETRANSLATE(A47256,""en"",""pt"")"),"Boa câmera durável")</f>
        <v>Boa câmera durável</v>
      </c>
      <c r="B47256" s="3">
        <v>1</v>
      </c>
    </row>
    <row r="47257" ht="15.75" customHeight="1" spans="1:2">
      <c r="A47257" s="3" t="str">
        <f>IFERROR(__xludf.DUMMYFUNCTION("GOOGLETRANSLATE(A47257,""en"",""pt"")"),"Boa qualidade de imagem, operação intuitiva, muito apropriadamente razoável.")</f>
        <v>Boa qualidade de imagem, operação intuitiva, muito apropriadamente razoável.</v>
      </c>
      <c r="B47257" s="3">
        <v>1</v>
      </c>
    </row>
    <row r="47258" ht="15.75" customHeight="1" spans="1:2">
      <c r="A47258" s="3" t="str">
        <f>IFERROR(__xludf.DUMMYFUNCTION("GOOGLETRANSLATE(A47258,""en"",""pt"")"),"Agradáveis ​​ao ar livre fotos")</f>
        <v>Agradáveis ​​ao ar livre fotos</v>
      </c>
      <c r="B47258" s="3">
        <v>1</v>
      </c>
    </row>
    <row r="47259" ht="15.75" customHeight="1" spans="1:2">
      <c r="A47259" s="3" t="str">
        <f>IFERROR(__xludf.DUMMYFUNCTION("GOOGLETRANSLATE(A47259,""en"",""pt"")"),"fácil de usar")</f>
        <v>fácil de usar</v>
      </c>
      <c r="B47259" s="3">
        <v>1</v>
      </c>
    </row>
    <row r="47260" ht="15.75" customHeight="1" spans="1:2">
      <c r="A47260" s="3" t="str">
        <f>IFERROR(__xludf.DUMMYFUNCTION("GOOGLETRANSLATE(A47260,""en"",""pt"")"),"Ótima câmera para iniciantes")</f>
        <v>Ótima câmera para iniciantes</v>
      </c>
      <c r="B47260" s="3">
        <v>1</v>
      </c>
    </row>
    <row r="47261" ht="15.75" customHeight="1" spans="1:2">
      <c r="A47261" s="3" t="str">
        <f>IFERROR(__xludf.DUMMYFUNCTION("GOOGLETRANSLATE(A47261,""en"",""pt"")"),"Fácil de usar, ótimo software")</f>
        <v>Fácil de usar, ótimo software</v>
      </c>
      <c r="B47261" s="3">
        <v>1</v>
      </c>
    </row>
    <row r="47262" ht="15.75" customHeight="1" spans="1:2">
      <c r="A47262" s="3" t="str">
        <f>IFERROR(__xludf.DUMMYFUNCTION("GOOGLETRANSLATE(A47262,""en"",""pt"")"),"há problemas para descobrir como usá-lo.")</f>
        <v>há problemas para descobrir como usá-lo.</v>
      </c>
      <c r="B47262" s="3">
        <v>1</v>
      </c>
    </row>
    <row r="47263" ht="15.75" customHeight="1" spans="1:2">
      <c r="A47263" s="3" t="s">
        <v>122</v>
      </c>
      <c r="B47263" s="3">
        <v>1</v>
      </c>
    </row>
    <row r="47264" ht="15.75" customHeight="1" spans="1:2">
      <c r="A47264" s="3" t="str">
        <f>IFERROR(__xludf.DUMMYFUNCTION("GOOGLETRANSLATE(A47264,""en"",""pt"")"),"Ótimo preço, belas fotos, a tela é um plus")</f>
        <v>Ótimo preço, belas fotos, a tela é um plus</v>
      </c>
      <c r="B47264" s="3">
        <v>1</v>
      </c>
    </row>
    <row r="47265" ht="15.75" customHeight="1" spans="1:2">
      <c r="A47265" s="3" t="str">
        <f>IFERROR(__xludf.DUMMYFUNCTION("GOOGLETRANSLATE(A47265,""en"",""pt"")"),"Barato, fácil de usar, fotos de boa qualidade")</f>
        <v>Barato, fácil de usar, fotos de boa qualidade</v>
      </c>
      <c r="B47265" s="3">
        <v>1</v>
      </c>
    </row>
    <row r="47266" ht="15.75" customHeight="1" spans="1:2">
      <c r="A47266" s="3" t="s">
        <v>232</v>
      </c>
      <c r="B47266" s="3">
        <v>1</v>
      </c>
    </row>
    <row r="47267" ht="15.75" customHeight="1" spans="1:2">
      <c r="A47267" s="3" t="str">
        <f>IFERROR(__xludf.DUMMYFUNCTION("GOOGLETRANSLATE(A47267,""en"",""pt"")"),"Ótimas fotos")</f>
        <v>Ótimas fotos</v>
      </c>
      <c r="B47267" s="3">
        <v>1</v>
      </c>
    </row>
    <row r="47268" ht="15.75" customHeight="1" spans="1:2">
      <c r="A47268" s="3" t="str">
        <f>IFERROR(__xludf.DUMMYFUNCTION("GOOGLETRANSLATE(A47268,""en"",""pt"")"),"imagens muito agradáveis ​​baixo preço")</f>
        <v>imagens muito agradáveis ​​baixo preço</v>
      </c>
      <c r="B47268" s="3">
        <v>1</v>
      </c>
    </row>
    <row r="47269" ht="15.75" customHeight="1" spans="1:2">
      <c r="A47269" s="3" t="str">
        <f>IFERROR(__xludf.DUMMYFUNCTION("GOOGLETRANSLATE(A47269,""en"",""pt"")"),"Facilidade de uso, as baterias 4AA, compacto")</f>
        <v>Facilidade de uso, as baterias 4AA, compacto</v>
      </c>
      <c r="B47269" s="3">
        <v>1</v>
      </c>
    </row>
    <row r="47270" ht="15.75" customHeight="1" spans="1:2">
      <c r="A47270" s="3" t="str">
        <f>IFERROR(__xludf.DUMMYFUNCTION("GOOGLETRANSLATE(A47270,""en"",""pt"")"),"realmente fácil de usar")</f>
        <v>realmente fácil de usar</v>
      </c>
      <c r="B47270" s="3">
        <v>1</v>
      </c>
    </row>
    <row r="47271" ht="15.75" customHeight="1" spans="1:2">
      <c r="A47271" s="3" t="str">
        <f>IFERROR(__xludf.DUMMYFUNCTION("GOOGLETRANSLATE(A47271,""en"",""pt"")"),"boa qualidade pelo preço")</f>
        <v>boa qualidade pelo preço</v>
      </c>
      <c r="B47271" s="3">
        <v>1</v>
      </c>
    </row>
    <row r="47272" ht="15.75" customHeight="1" spans="1:2">
      <c r="A47272" s="3" t="s">
        <v>233</v>
      </c>
      <c r="B47272" s="3">
        <v>1</v>
      </c>
    </row>
    <row r="47273" ht="15.75" customHeight="1" spans="1:2">
      <c r="A47273" s="3" t="str">
        <f>IFERROR(__xludf.DUMMYFUNCTION("GOOGLETRANSLATE(A47273,""en"",""pt"")"),"fácil de usar")</f>
        <v>fácil de usar</v>
      </c>
      <c r="B47273" s="3">
        <v>1</v>
      </c>
    </row>
    <row r="47274" ht="15.75" customHeight="1" spans="1:2">
      <c r="A47274" s="3" t="str">
        <f>IFERROR(__xludf.DUMMYFUNCTION("GOOGLETRANSLATE(A47274,""en"",""pt"")"),"Fácil de usar, bom preço")</f>
        <v>Fácil de usar, bom preço</v>
      </c>
      <c r="B47274" s="3">
        <v>1</v>
      </c>
    </row>
    <row r="47275" ht="15.75" customHeight="1" spans="1:2">
      <c r="A47275" s="3" t="str">
        <f>IFERROR(__xludf.DUMMYFUNCTION("GOOGLETRANSLATE(A47275,""en"",""pt"")"),"muitas Características")</f>
        <v>muitas Características</v>
      </c>
      <c r="B47275" s="3">
        <v>1</v>
      </c>
    </row>
    <row r="47276" ht="15.75" customHeight="1" spans="1:2">
      <c r="A47276" s="3" t="str">
        <f>IFERROR(__xludf.DUMMYFUNCTION("GOOGLETRANSLATE(A47276,""en"",""pt"")"),"confiáveis, bons pics, bons preços")</f>
        <v>confiáveis, bons pics, bons preços</v>
      </c>
      <c r="B47276" s="3">
        <v>1</v>
      </c>
    </row>
    <row r="47277" ht="15.75" customHeight="1" spans="1:2">
      <c r="A47277" s="3" t="str">
        <f>IFERROR(__xludf.DUMMYFUNCTION("GOOGLETRANSLATE(A47277,""en"",""pt"")"),"Fácil de usar, acessível.")</f>
        <v>Fácil de usar, acessível.</v>
      </c>
      <c r="B47277" s="3">
        <v>1</v>
      </c>
    </row>
    <row r="47278" ht="15.75" customHeight="1" spans="1:2">
      <c r="A47278" s="3" t="str">
        <f>IFERROR(__xludf.DUMMYFUNCTION("GOOGLETRANSLATE(A47278,""en"",""pt"")"),"Preço, boa qualidade de imagem, facilidade de uso.")</f>
        <v>Preço, boa qualidade de imagem, facilidade de uso.</v>
      </c>
      <c r="B47278" s="3">
        <v>1</v>
      </c>
    </row>
    <row r="47279" ht="15.75" customHeight="1" spans="1:2">
      <c r="A47279" s="3" t="str">
        <f>IFERROR(__xludf.DUMMYFUNCTION("GOOGLETRANSLATE(A47279,""en"",""pt"")"),"Ótimo para fotos web")</f>
        <v>Ótimo para fotos web</v>
      </c>
      <c r="B47279" s="3">
        <v>1</v>
      </c>
    </row>
    <row r="47280" ht="15.75" customHeight="1" spans="1:2">
      <c r="A47280" s="3" t="str">
        <f>IFERROR(__xludf.DUMMYFUNCTION("GOOGLETRANSLATE(A47280,""en"",""pt"")"),"Fácil de usar, grandes recursos, imagens claras, preço excelente, muito espaço de armazenamento.")</f>
        <v>Fácil de usar, grandes recursos, imagens claras, preço excelente, muito espaço de armazenamento.</v>
      </c>
      <c r="B47280" s="3">
        <v>1</v>
      </c>
    </row>
    <row r="47281" ht="15.75" customHeight="1" spans="1:2">
      <c r="A47281" s="3" t="str">
        <f>IFERROR(__xludf.DUMMYFUNCTION("GOOGLETRANSLATE(A47281,""en"",""pt"")"),"Barato, excelente 1 megapixel qualidade de imagem para o preço, bem construído")</f>
        <v>Barato, excelente 1 megapixel qualidade de imagem para o preço, bem construído</v>
      </c>
      <c r="B47281" s="3">
        <v>1</v>
      </c>
    </row>
    <row r="47282" ht="15.75" customHeight="1" spans="1:2">
      <c r="A47282" s="3" t="str">
        <f>IFERROR(__xludf.DUMMYFUNCTION("GOOGLETRANSLATE(A47282,""en"",""pt"")"),"excelente desempenho, recursos completos para o preço.")</f>
        <v>excelente desempenho, recursos completos para o preço.</v>
      </c>
      <c r="B47282" s="3">
        <v>1</v>
      </c>
    </row>
    <row r="47283" ht="15.75" customHeight="1" spans="1:2">
      <c r="A47283" s="3" t="str">
        <f>IFERROR(__xludf.DUMMYFUNCTION("GOOGLETRANSLATE(A47283,""en"",""pt"")"),"Barato, tem muitas fotos e anti-olhos vermelhos.")</f>
        <v>Barato, tem muitas fotos e anti-olhos vermelhos.</v>
      </c>
      <c r="B47283" s="3">
        <v>1</v>
      </c>
    </row>
    <row r="47284" ht="15.75" customHeight="1" spans="1:2">
      <c r="A47284" s="3" t="str">
        <f>IFERROR(__xludf.DUMMYFUNCTION("GOOGLETRANSLATE(A47284,""en"",""pt"")"),"fotos de qualidade, display LCD com easy-to-use do menu")</f>
        <v>fotos de qualidade, display LCD com easy-to-use do menu</v>
      </c>
      <c r="B47284" s="3">
        <v>1</v>
      </c>
    </row>
    <row r="47285" ht="15.75" customHeight="1" spans="1:2">
      <c r="A47285" s="3" t="str">
        <f>IFERROR(__xludf.DUMMYFUNCTION("GOOGLETRANSLATE(A47285,""en"",""pt"")"),"Pics são boas, fácil de usar")</f>
        <v>Pics são boas, fácil de usar</v>
      </c>
      <c r="B47285" s="3">
        <v>1</v>
      </c>
    </row>
    <row r="47286" ht="15.75" customHeight="1" spans="1:2">
      <c r="A47286" s="3" t="str">
        <f>IFERROR(__xludf.DUMMYFUNCTION("GOOGLETRANSLATE(A47286,""en"",""pt"")"),"Ótima câmera digital básica")</f>
        <v>Ótima câmera digital básica</v>
      </c>
      <c r="B47286" s="3">
        <v>1</v>
      </c>
    </row>
    <row r="47287" ht="15.75" customHeight="1" spans="1:2">
      <c r="A47287" s="3" t="str">
        <f>IFERROR(__xludf.DUMMYFUNCTION("GOOGLETRANSLATE(A47287,""en"",""pt"")"),"A qualidade da foto, tela de LCD, facilidade de uso")</f>
        <v>A qualidade da foto, tela de LCD, facilidade de uso</v>
      </c>
      <c r="B47287" s="3">
        <v>1</v>
      </c>
    </row>
    <row r="47288" ht="15.75" customHeight="1" spans="1:2">
      <c r="A47288" s="3" t="str">
        <f>IFERROR(__xludf.DUMMYFUNCTION("GOOGLETRANSLATE(A47288,""en"",""pt"")"),"facilidade de uso / bom software aparência normal /")</f>
        <v>facilidade de uso / bom software aparência normal /</v>
      </c>
      <c r="B47288" s="3">
        <v>1</v>
      </c>
    </row>
    <row r="47289" ht="15.75" customHeight="1" spans="1:2">
      <c r="A47289" s="3" t="str">
        <f>IFERROR(__xludf.DUMMYFUNCTION("GOOGLETRANSLATE(A47289,""en"",""pt"")"),"otima qualidade")</f>
        <v>otima qualidade</v>
      </c>
      <c r="B47289" s="3">
        <v>1</v>
      </c>
    </row>
    <row r="47290" ht="15.75" customHeight="1" spans="1:2">
      <c r="A47290" s="3" t="str">
        <f>IFERROR(__xludf.DUMMYFUNCTION("GOOGLETRANSLATE(A47290,""en"",""pt"")"),"Preço, peso, LCD")</f>
        <v>Preço, peso, LCD</v>
      </c>
      <c r="B47290" s="3">
        <v>1</v>
      </c>
    </row>
    <row r="47291" ht="15.75" customHeight="1" spans="1:2">
      <c r="A47291" s="3" t="str">
        <f>IFERROR(__xludf.DUMMYFUNCTION("GOOGLETRANSLATE(A47291,""en"",""pt"")"),"fotos de boa qualidade")</f>
        <v>fotos de boa qualidade</v>
      </c>
      <c r="B47291" s="3">
        <v>1</v>
      </c>
    </row>
    <row r="47292" ht="15.75" customHeight="1" spans="1:2">
      <c r="A47292" s="3" t="str">
        <f>IFERROR(__xludf.DUMMYFUNCTION("GOOGLETRANSLATE(A47292,""en"",""pt"")"),"Acessível, fácil de usar, grandes recursos.")</f>
        <v>Acessível, fácil de usar, grandes recursos.</v>
      </c>
      <c r="B47292" s="3">
        <v>1</v>
      </c>
    </row>
    <row r="47293" ht="15.75" customHeight="1" spans="1:2">
      <c r="A47293" s="3" t="str">
        <f>IFERROR(__xludf.DUMMYFUNCTION("GOOGLETRANSLATE(A47293,""en"",""pt"")"),"o tamanho, o peso, a simplicidade")</f>
        <v>o tamanho, o peso, a simplicidade</v>
      </c>
      <c r="B47293" s="3">
        <v>1</v>
      </c>
    </row>
    <row r="47294" ht="15.75" customHeight="1" spans="1:2">
      <c r="A47294" s="3" t="str">
        <f>IFERROR(__xludf.DUMMYFUNCTION("GOOGLETRANSLATE(A47294,""en"",""pt"")"),"Bom preço, boas fotos.")</f>
        <v>Bom preço, boas fotos.</v>
      </c>
      <c r="B47294" s="3">
        <v>1</v>
      </c>
    </row>
    <row r="47295" ht="15.75" customHeight="1" spans="1:2">
      <c r="A47295" s="3" t="str">
        <f>IFERROR(__xludf.DUMMYFUNCTION("GOOGLETRANSLATE(A47295,""en"",""pt"")"),"qualidade agradável para o preço; muitos recursos")</f>
        <v>qualidade agradável para o preço; muitos recursos</v>
      </c>
      <c r="B47295" s="3">
        <v>1</v>
      </c>
    </row>
    <row r="47296" ht="15.75" customHeight="1" spans="1:2">
      <c r="A47296" s="3" t="str">
        <f>IFERROR(__xludf.DUMMYFUNCTION("GOOGLETRANSLATE(A47296,""en"",""pt"")"),"Preço, gráfico de qualidade, vida útil da bateria intercambiável cartão de memória, Controles do LCD e aparência")</f>
        <v>Preço, gráfico de qualidade, vida útil da bateria intercambiável cartão de memória, Controles do LCD e aparência</v>
      </c>
      <c r="B47296" s="3">
        <v>1</v>
      </c>
    </row>
    <row r="47297" ht="15.75" customHeight="1" spans="1:2">
      <c r="A47297" s="3" t="str">
        <f>IFERROR(__xludf.DUMMYFUNCTION("GOOGLETRANSLATE(A47297,""en"",""pt"")"),"Fácil de usar, conexão para computador ou TV")</f>
        <v>Fácil de usar, conexão para computador ou TV</v>
      </c>
      <c r="B47297" s="3">
        <v>1</v>
      </c>
    </row>
    <row r="47298" ht="15.75" customHeight="1" spans="1:2">
      <c r="A47298" s="3" t="str">
        <f>IFERROR(__xludf.DUMMYFUNCTION("GOOGLETRANSLATE(A47298,""en"",""pt"")"),"Nada além de elogios.")</f>
        <v>Nada além de elogios.</v>
      </c>
      <c r="B47298" s="3">
        <v>1</v>
      </c>
    </row>
    <row r="47299" ht="15.75" customHeight="1" spans="1:2">
      <c r="A47299" s="3" t="str">
        <f>IFERROR(__xludf.DUMMYFUNCTION("GOOGLETRANSLATE(A47299,""en"",""pt"")"),"Grandes fotos, melhores capacidades de expansão, fácil de usar")</f>
        <v>Grandes fotos, melhores capacidades de expansão, fácil de usar</v>
      </c>
      <c r="B47299" s="3">
        <v>1</v>
      </c>
    </row>
    <row r="47300" ht="15.75" customHeight="1" spans="1:2">
      <c r="A47300" s="3" t="str">
        <f>IFERROR(__xludf.DUMMYFUNCTION("GOOGLETRANSLATE(A47300,""en"",""pt"")"),"Muito fácil de configurar e usar")</f>
        <v>Muito fácil de configurar e usar</v>
      </c>
      <c r="B47300" s="3">
        <v>1</v>
      </c>
    </row>
    <row r="47301" ht="15.75" customHeight="1" spans="1:2">
      <c r="A47301" s="3" t="str">
        <f>IFERROR(__xludf.DUMMYFUNCTION("GOOGLETRANSLATE(A47301,""en"",""pt"")"),"Grande qualidade da foto, fácil de usar, ótimo software, transfere automaticamente, display LCD nas costas")</f>
        <v>Grande qualidade da foto, fácil de usar, ótimo software, transfere automaticamente, display LCD nas costas</v>
      </c>
      <c r="B47301" s="3">
        <v>1</v>
      </c>
    </row>
    <row r="47302" ht="15.75" customHeight="1" spans="1:2">
      <c r="A47302" s="3" t="str">
        <f>IFERROR(__xludf.DUMMYFUNCTION("GOOGLETRANSLATE(A47302,""en"",""pt"")"),"Grande imagem fácil de usar")</f>
        <v>Grande imagem fácil de usar</v>
      </c>
      <c r="B47302" s="3">
        <v>1</v>
      </c>
    </row>
    <row r="47303" ht="15.75" customHeight="1" spans="1:2">
      <c r="A47303" s="3" t="str">
        <f>IFERROR(__xludf.DUMMYFUNCTION("GOOGLETRANSLATE(A47303,""en"",""pt"")"),"Facilidade de uso para novatos e pro tanto")</f>
        <v>Facilidade de uso para novatos e pro tanto</v>
      </c>
      <c r="B47303" s="3">
        <v>1</v>
      </c>
    </row>
    <row r="47304" ht="15.75" customHeight="1" spans="1:2">
      <c r="A47304" s="3" t="str">
        <f>IFERROR(__xludf.DUMMYFUNCTION("GOOGLETRANSLATE(A47304,""en"",""pt"")"),"Custo, facilidade de uso, qualidade de imagem")</f>
        <v>Custo, facilidade de uso, qualidade de imagem</v>
      </c>
      <c r="B47304" s="3">
        <v>1</v>
      </c>
    </row>
    <row r="47305" ht="15.75" customHeight="1" spans="1:2">
      <c r="A47305" s="3" t="str">
        <f>IFERROR(__xludf.DUMMYFUNCTION("GOOGLETRANSLATE(A47305,""en"",""pt"")"),"vem com baterries / alguns requierd conjunto")</f>
        <v>vem com baterries / alguns requierd conjunto</v>
      </c>
      <c r="B47305" s="3">
        <v>1</v>
      </c>
    </row>
    <row r="47306" ht="15.75" customHeight="1" spans="1:2">
      <c r="A47306" s="3" t="str">
        <f>IFERROR(__xludf.DUMMYFUNCTION("GOOGLETRANSLATE(A47306,""en"",""pt"")"),"Boa qualidade de imagem, Bateria de Longa Duração, ótimo preço")</f>
        <v>Boa qualidade de imagem, Bateria de Longa Duração, ótimo preço</v>
      </c>
      <c r="B47306" s="3">
        <v>1</v>
      </c>
    </row>
    <row r="47307" ht="15.75" customHeight="1" spans="1:2">
      <c r="A47307" s="3" t="str">
        <f>IFERROR(__xludf.DUMMYFUNCTION("GOOGLETRANSLATE(A47307,""en"",""pt"")"),"Preço, exibição na tela, facilidade de uso")</f>
        <v>Preço, exibição na tela, facilidade de uso</v>
      </c>
      <c r="B47307" s="3">
        <v>1</v>
      </c>
    </row>
    <row r="47308" ht="15.75" customHeight="1" spans="1:2">
      <c r="A47308" s="3" t="str">
        <f>IFERROR(__xludf.DUMMYFUNCTION("GOOGLETRANSLATE(A47308,""en"",""pt"")"),"Bom preço, fácil de usar")</f>
        <v>Bom preço, fácil de usar</v>
      </c>
      <c r="B47308" s="3">
        <v>1</v>
      </c>
    </row>
    <row r="47309" ht="15.75" customHeight="1" spans="1:2">
      <c r="A47309" s="3" t="str">
        <f>IFERROR(__xludf.DUMMYFUNCTION("GOOGLETRANSLATE(A47309,""en"",""pt"")"),"fácil de operar")</f>
        <v>fácil de operar</v>
      </c>
      <c r="B47309" s="3">
        <v>1</v>
      </c>
    </row>
    <row r="47310" ht="15.75" customHeight="1" spans="1:2">
      <c r="A47310" s="3" t="str">
        <f>IFERROR(__xludf.DUMMYFUNCTION("GOOGLETRANSLATE(A47310,""en"",""pt"")"),"Fácil de usar, mas ainda tem grandes figuras.")</f>
        <v>Fácil de usar, mas ainda tem grandes figuras.</v>
      </c>
      <c r="B47310" s="3">
        <v>1</v>
      </c>
    </row>
    <row r="47311" ht="15.75" customHeight="1" spans="1:2">
      <c r="A47311" s="3" t="str">
        <f>IFERROR(__xludf.DUMMYFUNCTION("GOOGLETRANSLATE(A47311,""en"",""pt"")"),"Megapixel no preço excelente")</f>
        <v>Megapixel no preço excelente</v>
      </c>
      <c r="B47311" s="3">
        <v>1</v>
      </c>
    </row>
    <row r="47312" ht="15.75" customHeight="1" spans="1:2">
      <c r="A47312" s="3" t="str">
        <f>IFERROR(__xludf.DUMMYFUNCTION("GOOGLETRANSLATE(A47312,""en"",""pt"")"),"Point and Simplicity Atire")</f>
        <v>Point and Simplicity Atire</v>
      </c>
      <c r="B47312" s="3">
        <v>1</v>
      </c>
    </row>
    <row r="47313" ht="15.75" customHeight="1" spans="1:2">
      <c r="A47313" s="3" t="str">
        <f>IFERROR(__xludf.DUMMYFUNCTION("GOOGLETRANSLATE(A47313,""en"",""pt"")"),"Nenhum")</f>
        <v>Nenhum</v>
      </c>
      <c r="B47313" s="3">
        <v>1</v>
      </c>
    </row>
    <row r="47314" ht="15.75" customHeight="1" spans="1:2">
      <c r="A47314" s="3" t="str">
        <f>IFERROR(__xludf.DUMMYFUNCTION("GOOGLETRANSLATE(A47314,""en"",""pt"")"),"boas fotos, câmera pequena")</f>
        <v>boas fotos, câmera pequena</v>
      </c>
      <c r="B47314" s="3">
        <v>1</v>
      </c>
    </row>
    <row r="47315" ht="15.75" customHeight="1" spans="1:2">
      <c r="A47315" s="3" t="str">
        <f>IFERROR(__xludf.DUMMYFUNCTION("GOOGLETRANSLATE(A47315,""en"",""pt"")"),"Tudo")</f>
        <v>Tudo</v>
      </c>
      <c r="B47315" s="3">
        <v>1</v>
      </c>
    </row>
    <row r="47316" ht="15.75" customHeight="1" spans="1:2">
      <c r="A47316" s="3" t="str">
        <f>IFERROR(__xludf.DUMMYFUNCTION("GOOGLETRANSLATE(A47316,""en"",""pt"")"),"roda dianteira giratória, 5 pontos arnês, leve, fácil montagem")</f>
        <v>roda dianteira giratória, 5 pontos arnês, leve, fácil montagem</v>
      </c>
      <c r="B47316" s="3">
        <v>1</v>
      </c>
    </row>
    <row r="47317" ht="15.75" customHeight="1" spans="1:2">
      <c r="A47317" s="3" t="str">
        <f>IFERROR(__xludf.DUMMYFUNCTION("GOOGLETRANSLATE(A47317,""en"",""pt"")"),"Fácil montagem, grande passeio, &amp; amp; acessível.")</f>
        <v>Fácil montagem, grande passeio, &amp; amp; acessível.</v>
      </c>
      <c r="B47317" s="3">
        <v>1</v>
      </c>
    </row>
    <row r="47318" ht="15.75" customHeight="1" spans="1:2">
      <c r="A47318" s="3" t="str">
        <f>IFERROR(__xludf.DUMMYFUNCTION("GOOGLETRANSLATE(A47318,""en"",""pt"")"),"Transforma em um centavo, armazenamento ... muito a lista!")</f>
        <v>Transforma em um centavo, armazenamento ... muito a lista!</v>
      </c>
      <c r="B47318" s="3">
        <v>1</v>
      </c>
    </row>
    <row r="47319" ht="15.75" customHeight="1" spans="1:2">
      <c r="A47319" s="3" t="str">
        <f>IFERROR(__xludf.DUMMYFUNCTION("GOOGLETRANSLATE(A47319,""en"",""pt"")"),"Fácil de transformar, assento é acolchoado")</f>
        <v>Fácil de transformar, assento é acolchoado</v>
      </c>
      <c r="B47319" s="3">
        <v>1</v>
      </c>
    </row>
    <row r="47320" ht="15.75" customHeight="1" spans="1:2">
      <c r="A47320" s="3" t="str">
        <f>IFERROR(__xludf.DUMMYFUNCTION("GOOGLETRANSLATE(A47320,""en"",""pt"")"),"Fácil de impulso &amp; amp; dirigir com uma mão !, Fácil de dobrar e desdobrar!")</f>
        <v>Fácil de impulso &amp; amp; dirigir com uma mão !, Fácil de dobrar e desdobrar!</v>
      </c>
      <c r="B47320" s="3">
        <v>1</v>
      </c>
    </row>
    <row r="47321" ht="15.75" customHeight="1" spans="1:2">
      <c r="A47321" s="3" t="str">
        <f>IFERROR(__xludf.DUMMYFUNCTION("GOOGLETRANSLATE(A47321,""en"",""pt"")"),"fácil de usar, alças bem, muitos recursos para o preço")</f>
        <v>fácil de usar, alças bem, muitos recursos para o preço</v>
      </c>
      <c r="B47321" s="3">
        <v>1</v>
      </c>
    </row>
    <row r="47322" ht="15.75" customHeight="1" spans="1:2">
      <c r="A47322" s="3" t="str">
        <f>IFERROR(__xludf.DUMMYFUNCTION("GOOGLETRANSLATE(A47322,""en"",""pt"")"),"bom passeio, converte-se facilmente, confortável para a criança, alça ajustável, Olha grande")</f>
        <v>bom passeio, converte-se facilmente, confortável para a criança, alça ajustável, Olha grande</v>
      </c>
      <c r="B47322" s="3">
        <v>1</v>
      </c>
    </row>
    <row r="47323" ht="15.75" customHeight="1" spans="1:2">
      <c r="A47323" s="3" t="str">
        <f>IFERROR(__xludf.DUMMYFUNCTION("GOOGLETRANSLATE(A47323,""en"",""pt"")"),"Ajustável em altura alça, rodas pneumáticas, apertado raio de viragem, muda para um atleta, resistente.")</f>
        <v>Ajustável em altura alça, rodas pneumáticas, apertado raio de viragem, muda para um atleta, resistente.</v>
      </c>
      <c r="B47323" s="3">
        <v>1</v>
      </c>
    </row>
    <row r="47324" ht="15.75" customHeight="1" spans="1:2">
      <c r="A47324" s="3" t="str">
        <f>IFERROR(__xludf.DUMMYFUNCTION("GOOGLETRANSLATE(A47324,""en"",""pt"")"),"EASY dobrar, fácil de conduzir e muito mais!")</f>
        <v>EASY dobrar, fácil de conduzir e muito mais!</v>
      </c>
      <c r="B47324" s="3">
        <v>1</v>
      </c>
    </row>
    <row r="47325" ht="15.75" customHeight="1" spans="1:2">
      <c r="A47325" s="3" t="str">
        <f>IFERROR(__xludf.DUMMYFUNCTION("GOOGLETRANSLATE(A47325,""en"",""pt"")"),"Um foldability mão, pneus, utilizável com assentos infantis para crianças 50lb, alça ajustável.")</f>
        <v>Um foldability mão, pneus, utilizável com assentos infantis para crianças 50lb, alça ajustável.</v>
      </c>
      <c r="B47325" s="3">
        <v>1</v>
      </c>
    </row>
    <row r="47326" ht="15.75" customHeight="1" spans="1:2">
      <c r="A47326" s="3" t="str">
        <f>IFERROR(__xludf.DUMMYFUNCTION("GOOGLETRANSLATE(A47326,""en"",""pt"")"),"Bonito, bonito, carrinho de criança bonito com nenhuma roda de plástico feio!")</f>
        <v>Bonito, bonito, carrinho de criança bonito com nenhuma roda de plástico feio!</v>
      </c>
      <c r="B47326" s="3">
        <v>1</v>
      </c>
    </row>
    <row r="47327" ht="15.75" customHeight="1" spans="1:2">
      <c r="A47327" s="3" t="str">
        <f>IFERROR(__xludf.DUMMYFUNCTION("GOOGLETRANSLATE(A47327,""en"",""pt"")"),"leve, fácil de direção, compacto passeio, lisa")</f>
        <v>leve, fácil de direção, compacto passeio, lisa</v>
      </c>
      <c r="B47327" s="3">
        <v>1</v>
      </c>
    </row>
    <row r="47328" ht="15.75" customHeight="1" spans="1:2">
      <c r="A47328" s="3" t="str">
        <f>IFERROR(__xludf.DUMMYFUNCTION("GOOGLETRANSLATE(A47328,""en"",""pt"")"),"Transforma em um centavo; abre com uma mão; alisar passeio para o bebê")</f>
        <v>Transforma em um centavo; abre com uma mão; alisar passeio para o bebê</v>
      </c>
      <c r="B47328" s="3">
        <v>1</v>
      </c>
    </row>
    <row r="47329" ht="15.75" customHeight="1" spans="1:2">
      <c r="A47329" s="3" t="str">
        <f>IFERROR(__xludf.DUMMYFUNCTION("GOOGLETRANSLATE(A47329,""en"",""pt"")"),"teste")</f>
        <v>teste</v>
      </c>
      <c r="B47329" s="3">
        <v>1</v>
      </c>
    </row>
    <row r="47330" ht="15.75" customHeight="1" spans="1:2">
      <c r="A47330" s="3" t="str">
        <f>IFERROR(__xludf.DUMMYFUNCTION("GOOGLETRANSLATE(A47330,""en"",""pt"")"),"bom funcionamento, acessível, alça ajustável para pessoas baixas e altas ... um salva-vidas!")</f>
        <v>bom funcionamento, acessível, alça ajustável para pessoas baixas e altas ... um salva-vidas!</v>
      </c>
      <c r="B47330" s="3">
        <v>1</v>
      </c>
    </row>
    <row r="47331" ht="15.75" customHeight="1" spans="1:2">
      <c r="A47331" s="3" t="str">
        <f>IFERROR(__xludf.DUMMYFUNCTION("GOOGLETRANSLATE(A47331,""en"",""pt"")"),"Manobrabilidade, pode caber a maioria dos portadores infantis, fácil montagem")</f>
        <v>Manobrabilidade, pode caber a maioria dos portadores infantis, fácil montagem</v>
      </c>
      <c r="B47331" s="3">
        <v>1</v>
      </c>
    </row>
    <row r="47332" ht="15.75" customHeight="1" spans="1:2">
      <c r="A47332" s="3" t="str">
        <f>IFERROR(__xludf.DUMMYFUNCTION("GOOGLETRANSLATE(A47332,""en"",""pt"")"),"Alise passeio, pneus, fácil de boi e prende a criança até 50 libras")</f>
        <v>Alise passeio, pneus, fácil de boi e prende a criança até 50 libras</v>
      </c>
      <c r="B47332" s="3">
        <v>1</v>
      </c>
    </row>
    <row r="47333" ht="15.75" customHeight="1" spans="1:2">
      <c r="A47333" s="3" t="str">
        <f>IFERROR(__xludf.DUMMYFUNCTION("GOOGLETRANSLATE(A47333,""en"",""pt"")"),"Fácil de boi &amp; amp; excelente uma mão dobra. Confortável para o bebê &amp; amp; nos.")</f>
        <v>Fácil de boi &amp; amp; excelente uma mão dobra. Confortável para o bebê &amp; amp; nos.</v>
      </c>
      <c r="B47333" s="3">
        <v>1</v>
      </c>
    </row>
    <row r="47334" ht="15.75" customHeight="1" spans="1:2">
      <c r="A47334" s="3" t="str">
        <f>IFERROR(__xludf.DUMMYFUNCTION("GOOGLETRANSLATE(A47334,""en"",""pt"")"),"Portátil, funcional, extremamente móvel")</f>
        <v>Portátil, funcional, extremamente móvel</v>
      </c>
      <c r="B47334" s="3">
        <v>1</v>
      </c>
    </row>
    <row r="47335" ht="15.75" customHeight="1" spans="1:2">
      <c r="A47335" s="3" t="str">
        <f>IFERROR(__xludf.DUMMYFUNCTION("GOOGLETRANSLATE(A47335,""en"",""pt"")"),"Grandes Opções, recurso de vídeo, pequeno, fácil de carregar, fácil de atualizar memória")</f>
        <v>Grandes Opções, recurso de vídeo, pequeno, fácil de carregar, fácil de atualizar memória</v>
      </c>
      <c r="B47335" s="3">
        <v>1</v>
      </c>
    </row>
    <row r="47336" ht="15.75" customHeight="1" spans="1:2">
      <c r="A47336" s="3" t="str">
        <f>IFERROR(__xludf.DUMMYFUNCTION("GOOGLETRANSLATE(A47336,""en"",""pt"")"),"Qualidade de imagens grandes, de tamanho médio")</f>
        <v>Qualidade de imagens grandes, de tamanho médio</v>
      </c>
      <c r="B47336" s="3">
        <v>1</v>
      </c>
    </row>
    <row r="47337" ht="15.75" customHeight="1" spans="1:2">
      <c r="A47337" s="3" t="str">
        <f>IFERROR(__xludf.DUMMYFUNCTION("GOOGLETRANSLATE(A47337,""en"",""pt"")"),"Ótimo para fotos colocados ,, imagens de boa qualidade., Tempo de revisão rápida de fotos")</f>
        <v>Ótimo para fotos colocados ,, imagens de boa qualidade., Tempo de revisão rápida de fotos</v>
      </c>
      <c r="B47337" s="3">
        <v>1</v>
      </c>
    </row>
    <row r="47338" ht="15.75" customHeight="1" spans="1:2">
      <c r="A47338" s="3" t="str">
        <f>IFERROR(__xludf.DUMMYFUNCTION("GOOGLETRANSLATE(A47338,""en"",""pt"")"),"Vários diferentes modos disponíveis com excelentes fotos e vídeos de qualidade")</f>
        <v>Vários diferentes modos disponíveis com excelentes fotos e vídeos de qualidade</v>
      </c>
      <c r="B47338" s="3">
        <v>1</v>
      </c>
    </row>
    <row r="47339" ht="15.75" customHeight="1" spans="1:2">
      <c r="A47339" s="3" t="str">
        <f>IFERROR(__xludf.DUMMYFUNCTION("GOOGLETRANSLATE(A47339,""en"",""pt"")"),"Baixo preço para 3+ mega pixels; Vem com um carregador e adaptador AC")</f>
        <v>Baixo preço para 3+ mega pixels; Vem com um carregador e adaptador AC</v>
      </c>
      <c r="B47339" s="3">
        <v>1</v>
      </c>
    </row>
    <row r="47340" ht="15.75" customHeight="1" spans="1:2">
      <c r="A47340" s="3" t="str">
        <f>IFERROR(__xludf.DUMMYFUNCTION("GOOGLETRANSLATE(A47340,""en"",""pt"")"),"design pequeno e design leve, visor")</f>
        <v>design pequeno e design leve, visor</v>
      </c>
      <c r="B47340" s="3">
        <v>1</v>
      </c>
    </row>
    <row r="47341" ht="15.75" customHeight="1" spans="1:2">
      <c r="A47341" s="3" t="str">
        <f>IFERROR(__xludf.DUMMYFUNCTION("GOOGLETRANSLATE(A47341,""en"",""pt"")"),"Grandes características / modos, de alta resolução, fidelidade de cor, excelente medição")</f>
        <v>Grandes características / modos, de alta resolução, fidelidade de cor, excelente medição</v>
      </c>
      <c r="B47341" s="3">
        <v>1</v>
      </c>
    </row>
    <row r="47342" ht="15.75" customHeight="1" spans="1:2">
      <c r="A47342" s="3" t="str">
        <f>IFERROR(__xludf.DUMMYFUNCTION("GOOGLETRANSLATE(A47342,""en"",""pt"")"),"Lotes de características, modo manual, Compact, $$ Valor, 3.3 Megapixels")</f>
        <v>Lotes de características, modo manual, Compact, $$ Valor, 3.3 Megapixels</v>
      </c>
      <c r="B47342" s="3">
        <v>1</v>
      </c>
    </row>
    <row r="47343" ht="15.75" customHeight="1" spans="1:2">
      <c r="A47343" s="3" t="str">
        <f>IFERROR(__xludf.DUMMYFUNCTION("GOOGLETRANSLATE(A47343,""en"",""pt"")"),"alto desempenho, baixo custo")</f>
        <v>alto desempenho, baixo custo</v>
      </c>
      <c r="B47343" s="3">
        <v>1</v>
      </c>
    </row>
    <row r="47344" ht="15.75" customHeight="1" spans="1:2">
      <c r="A47344" s="3" t="str">
        <f>IFERROR(__xludf.DUMMYFUNCTION("GOOGLETRANSLATE(A47344,""en"",""pt"")"),"marca muito respeitável")</f>
        <v>marca muito respeitável</v>
      </c>
      <c r="B47344" s="3">
        <v>1</v>
      </c>
    </row>
    <row r="47345" ht="15.75" customHeight="1" spans="1:2">
      <c r="A47345" s="3" t="str">
        <f>IFERROR(__xludf.DUMMYFUNCTION("GOOGLETRANSLATE(A47345,""en"",""pt"")"),"É pequeno e tem muitas funções, e os discos segurar um monte de fotos.")</f>
        <v>É pequeno e tem muitas funções, e os discos segurar um monte de fotos.</v>
      </c>
      <c r="B47345" s="3">
        <v>1</v>
      </c>
    </row>
    <row r="47346" ht="15.75" customHeight="1" spans="1:2">
      <c r="A47346" s="3" t="str">
        <f>IFERROR(__xludf.DUMMYFUNCTION("GOOGLETRANSLATE(A47346,""en"",""pt"")"),"Super barato, e funções. Ótimo para as crianças.")</f>
        <v>Super barato, e funções. Ótimo para as crianças.</v>
      </c>
      <c r="B47346" s="3">
        <v>1</v>
      </c>
    </row>
    <row r="47347" ht="15.75" customHeight="1" spans="1:2">
      <c r="A47347" s="3" t="str">
        <f>IFERROR(__xludf.DUMMYFUNCTION("GOOGLETRANSLATE(A47347,""en"",""pt"")"),"Barato, usb &amp; amp; série, ok w / win xp, leve, leva uma surra")</f>
        <v>Barato, usb &amp; amp; série, ok w / win xp, leve, leva uma surra</v>
      </c>
      <c r="B47347" s="3">
        <v>1</v>
      </c>
    </row>
    <row r="47348" ht="15.75" customHeight="1" spans="1:2">
      <c r="A47348" s="3" t="str">
        <f>IFERROR(__xludf.DUMMYFUNCTION("GOOGLETRANSLATE(A47348,""en"",""pt"")"),"Cheap &amp; amp; # 13; &amp; amp; # 10; fácil de usar")</f>
        <v>Cheap &amp; amp; # 13; &amp; amp; # 10; fácil de usar</v>
      </c>
      <c r="B47348" s="3">
        <v>1</v>
      </c>
    </row>
    <row r="47349" ht="15.75" customHeight="1" spans="1:2">
      <c r="A47349" s="3" t="str">
        <f>IFERROR(__xludf.DUMMYFUNCTION("GOOGLETRANSLATE(A47349,""en"",""pt"")"),"leve, acessível")</f>
        <v>leve, acessível</v>
      </c>
      <c r="B47349" s="3">
        <v>1</v>
      </c>
    </row>
    <row r="47350" ht="15.75" customHeight="1" spans="1:2">
      <c r="A47350" s="3" t="str">
        <f>IFERROR(__xludf.DUMMYFUNCTION("GOOGLETRANSLATE(A47350,""en"",""pt"")"),"Fácil de usar, acessível")</f>
        <v>Fácil de usar, acessível</v>
      </c>
      <c r="B47350" s="3">
        <v>1</v>
      </c>
    </row>
    <row r="47351" ht="15.75" customHeight="1" spans="1:2">
      <c r="A47351" s="3" t="str">
        <f>IFERROR(__xludf.DUMMYFUNCTION("GOOGLETRANSLATE(A47351,""en"",""pt"")"),"Barato")</f>
        <v>Barato</v>
      </c>
      <c r="B47351" s="3">
        <v>1</v>
      </c>
    </row>
    <row r="47352" ht="15.75" customHeight="1" spans="1:2">
      <c r="A47352" s="3" t="str">
        <f>IFERROR(__xludf.DUMMYFUNCTION("GOOGLETRANSLATE(A47352,""en"",""pt"")"),"Barato, fácil de usar software")</f>
        <v>Barato, fácil de usar software</v>
      </c>
      <c r="B47352" s="3">
        <v>1</v>
      </c>
    </row>
    <row r="47353" ht="15.75" customHeight="1" spans="1:2">
      <c r="A47353" s="3" t="str">
        <f>IFERROR(__xludf.DUMMYFUNCTION("GOOGLETRANSLATE(A47353,""en"",""pt"")"),"câmera barata")</f>
        <v>câmera barata</v>
      </c>
      <c r="B47353" s="3">
        <v>1</v>
      </c>
    </row>
    <row r="47354" ht="15.75" customHeight="1" spans="1:2">
      <c r="A47354" s="3" t="str">
        <f>IFERROR(__xludf.DUMMYFUNCTION("GOOGLETRANSLATE(A47354,""en"",""pt"")"),"Baixo custo, cabo USB bonito, padrão")</f>
        <v>Baixo custo, cabo USB bonito, padrão</v>
      </c>
      <c r="B47354" s="3">
        <v>1</v>
      </c>
    </row>
    <row r="47355" ht="15.75" customHeight="1" spans="1:2">
      <c r="A47355" s="3" t="str">
        <f>IFERROR(__xludf.DUMMYFUNCTION("GOOGLETRANSLATE(A47355,""en"",""pt"")"),"Ótimo preço")</f>
        <v>Ótimo preço</v>
      </c>
      <c r="B47355" s="3">
        <v>1</v>
      </c>
    </row>
    <row r="47356" ht="15.75" customHeight="1" spans="1:2">
      <c r="A47356" s="3" t="str">
        <f>IFERROR(__xludf.DUMMYFUNCTION("GOOGLETRANSLATE(A47356,""en"",""pt"")"),"Barato, durável")</f>
        <v>Barato, durável</v>
      </c>
      <c r="B47356" s="3">
        <v>1</v>
      </c>
    </row>
    <row r="47357" ht="15.75" customHeight="1" spans="1:2">
      <c r="A47357" s="3" t="str">
        <f>IFERROR(__xludf.DUMMYFUNCTION("GOOGLETRANSLATE(A47357,""en"",""pt"")"),"Pequeno, leve e bonito")</f>
        <v>Pequeno, leve e bonito</v>
      </c>
      <c r="B47357" s="3">
        <v>1</v>
      </c>
    </row>
    <row r="47358" ht="15.75" customHeight="1" spans="1:2">
      <c r="A47358" s="3" t="str">
        <f>IFERROR(__xludf.DUMMYFUNCTION("GOOGLETRANSLATE(A47358,""en"",""pt"")"),"Barato, robusto, conexão USB, flash, barato funcionar")</f>
        <v>Barato, robusto, conexão USB, flash, barato funcionar</v>
      </c>
      <c r="B47358" s="3">
        <v>1</v>
      </c>
    </row>
    <row r="47359" ht="15.75" customHeight="1" spans="1:2">
      <c r="A47359" s="3" t="str">
        <f>IFERROR(__xludf.DUMMYFUNCTION("GOOGLETRANSLATE(A47359,""en"",""pt"")"),"Grande clique e atirar, o foco da câmera livre. Ótima câmera primeira vez")</f>
        <v>Grande clique e atirar, o foco da câmera livre. Ótima câmera primeira vez</v>
      </c>
      <c r="B47359" s="3">
        <v>1</v>
      </c>
    </row>
    <row r="47360" ht="15.75" customHeight="1" spans="1:2">
      <c r="A47360" s="3" t="str">
        <f>IFERROR(__xludf.DUMMYFUNCTION("GOOGLETRANSLATE(A47360,""en"",""pt"")"),"Rápido para baixar imagens em seu computador")</f>
        <v>Rápido para baixar imagens em seu computador</v>
      </c>
      <c r="B47360" s="3">
        <v>1</v>
      </c>
    </row>
    <row r="47361" ht="15.75" customHeight="1" spans="1:2">
      <c r="A47361" s="3" t="str">
        <f>IFERROR(__xludf.DUMMYFUNCTION("GOOGLETRANSLATE(A47361,""en"",""pt"")"),"NÃO CARO")</f>
        <v>NÃO CARO</v>
      </c>
      <c r="B47361" s="3">
        <v>1</v>
      </c>
    </row>
    <row r="47362" ht="15.75" customHeight="1" spans="1:2">
      <c r="A47362" s="3" t="str">
        <f>IFERROR(__xludf.DUMMYFUNCTION("GOOGLETRANSLATE(A47362,""en"",""pt"")"),"Grande software vem com câmera")</f>
        <v>Grande software vem com câmera</v>
      </c>
      <c r="B47362" s="3">
        <v>1</v>
      </c>
    </row>
    <row r="47363" ht="15.75" customHeight="1" spans="1:2">
      <c r="A47363" s="3" t="str">
        <f>IFERROR(__xludf.DUMMYFUNCTION("GOOGLETRANSLATE(A47363,""en"",""pt"")"),"Apropriada para o dinheiro")</f>
        <v>Apropriada para o dinheiro</v>
      </c>
      <c r="B47363" s="3">
        <v>1</v>
      </c>
    </row>
    <row r="47364" ht="15.75" customHeight="1" spans="1:2">
      <c r="A47364" s="3" t="str">
        <f>IFERROR(__xludf.DUMMYFUNCTION("GOOGLETRANSLATE(A47364,""en"",""pt"")"),"Rápido, conveniente, não complicada")</f>
        <v>Rápido, conveniente, não complicada</v>
      </c>
      <c r="B47364" s="3">
        <v>1</v>
      </c>
    </row>
    <row r="47365" ht="15.75" customHeight="1" spans="1:2">
      <c r="A47365" s="3" t="str">
        <f>IFERROR(__xludf.DUMMYFUNCTION("GOOGLETRANSLATE(A47365,""en"",""pt"")"),"Nenhum")</f>
        <v>Nenhum</v>
      </c>
      <c r="B47365" s="3">
        <v>1</v>
      </c>
    </row>
    <row r="47366" ht="15.75" customHeight="1" spans="1:2">
      <c r="A47366" s="3" t="str">
        <f>IFERROR(__xludf.DUMMYFUNCTION("GOOGLETRANSLATE(A47366,""en"",""pt"")"),"É olhar fresco")</f>
        <v>É olhar fresco</v>
      </c>
      <c r="B47366" s="3">
        <v>1</v>
      </c>
    </row>
    <row r="47367" ht="15.75" customHeight="1" spans="1:2">
      <c r="A47367" s="3" t="str">
        <f>IFERROR(__xludf.DUMMYFUNCTION("GOOGLETRANSLATE(A47367,""en"",""pt"")"),"Barato")</f>
        <v>Barato</v>
      </c>
      <c r="B47367" s="3">
        <v>1</v>
      </c>
    </row>
    <row r="47368" ht="15.75" customHeight="1" spans="1:2">
      <c r="A47368" s="3" t="str">
        <f>IFERROR(__xludf.DUMMYFUNCTION("GOOGLETRANSLATE(A47368,""en"",""pt"")"),"Excelente software para acompanhar câmera")</f>
        <v>Excelente software para acompanhar câmera</v>
      </c>
      <c r="B47368" s="3">
        <v>1</v>
      </c>
    </row>
    <row r="47369" ht="15.75" customHeight="1" spans="1:2">
      <c r="A47369" s="3" t="str">
        <f>IFERROR(__xludf.DUMMYFUNCTION("GOOGLETRANSLATE(A47369,""en"",""pt"")"),"Barato, fácil, bom software")</f>
        <v>Barato, fácil, bom software</v>
      </c>
      <c r="B47369" s="3">
        <v>1</v>
      </c>
    </row>
    <row r="47370" ht="15.75" customHeight="1" spans="1:2">
      <c r="A47370" s="3" t="str">
        <f>IFERROR(__xludf.DUMMYFUNCTION("GOOGLETRANSLATE(A47370,""en"",""pt"")"),"Barato; cores Fisher / preço-esque torná-lo difícil de perder")</f>
        <v>Barato; cores Fisher / preço-esque torná-lo difícil de perder</v>
      </c>
      <c r="B47370" s="3">
        <v>1</v>
      </c>
    </row>
    <row r="47371" ht="15.75" customHeight="1" spans="1:2">
      <c r="A47371" s="3" t="str">
        <f>IFERROR(__xludf.DUMMYFUNCTION("GOOGLETRANSLATE(A47371,""en"",""pt"")"),"Fácil de usar &amp; amp; # 13; &amp; amp; # 10; Lightweight")</f>
        <v>Fácil de usar &amp; amp; # 13; &amp; amp; # 10; Lightweight</v>
      </c>
      <c r="B47371" s="3">
        <v>1</v>
      </c>
    </row>
    <row r="47372" ht="15.75" customHeight="1" spans="1:2">
      <c r="A47372" s="3" t="str">
        <f>IFERROR(__xludf.DUMMYFUNCTION("GOOGLETRANSLATE(A47372,""en"",""pt"")"),"É uma câmera digital!")</f>
        <v>É uma câmera digital!</v>
      </c>
      <c r="B47372" s="3">
        <v>1</v>
      </c>
    </row>
    <row r="47373" ht="15.75" customHeight="1" spans="1:2">
      <c r="A47373" s="3" t="str">
        <f>IFERROR(__xludf.DUMMYFUNCTION("GOOGLETRANSLATE(A47373,""en"",""pt"")"),"barato")</f>
        <v>barato</v>
      </c>
      <c r="B47373" s="3">
        <v>1</v>
      </c>
    </row>
    <row r="47374" ht="15.75" customHeight="1" spans="1:2">
      <c r="A47374" s="3" t="str">
        <f>IFERROR(__xludf.DUMMYFUNCTION("GOOGLETRANSLATE(A47374,""en"",""pt"")"),"Isso parece legal")</f>
        <v>Isso parece legal</v>
      </c>
      <c r="B47374" s="3">
        <v>1</v>
      </c>
    </row>
    <row r="47375" ht="15.75" customHeight="1" spans="1:2">
      <c r="A47375" s="3" t="str">
        <f>IFERROR(__xludf.DUMMYFUNCTION("GOOGLETRANSLATE(A47375,""en"",""pt"")"),"Fácil de usar, trabalha em um computador Windows ou Macintosh, vem com todos os cabos.")</f>
        <v>Fácil de usar, trabalha em um computador Windows ou Macintosh, vem com todos os cabos.</v>
      </c>
      <c r="B47375" s="3">
        <v>1</v>
      </c>
    </row>
    <row r="47376" ht="15.75" customHeight="1" spans="1:2">
      <c r="A47376" s="3" t="str">
        <f>IFERROR(__xludf.DUMMYFUNCTION("GOOGLETRANSLATE(A47376,""en"",""pt"")"),"Preço $ 30 dólares no Wal-mart")</f>
        <v>Preço $ 30 dólares no Wal-mart</v>
      </c>
      <c r="B47376" s="3">
        <v>1</v>
      </c>
    </row>
    <row r="47377" ht="15.75" customHeight="1" spans="1:2">
      <c r="A47377" s="3" t="str">
        <f>IFERROR(__xludf.DUMMYFUNCTION("GOOGLETRANSLATE(A47377,""en"",""pt"")"),"Não é muito dinheiro e é uma forma de obter imagens para o computador.")</f>
        <v>Não é muito dinheiro e é uma forma de obter imagens para o computador.</v>
      </c>
      <c r="B47377" s="3">
        <v>1</v>
      </c>
    </row>
    <row r="47378" ht="15.75" customHeight="1" spans="1:2">
      <c r="A47378" s="3" t="str">
        <f>IFERROR(__xludf.DUMMYFUNCTION("GOOGLETRANSLATE(A47378,""en"",""pt"")"),"Barato e fácil de usar.")</f>
        <v>Barato e fácil de usar.</v>
      </c>
      <c r="B47378" s="3">
        <v>1</v>
      </c>
    </row>
    <row r="47379" ht="15.75" customHeight="1" spans="1:2">
      <c r="A47379" s="3" t="str">
        <f>IFERROR(__xludf.DUMMYFUNCTION("GOOGLETRANSLATE(A47379,""en"",""pt"")"),"Pequeno, leve, fácil de usar e acessível.")</f>
        <v>Pequeno, leve, fácil de usar e acessível.</v>
      </c>
      <c r="B47379" s="3">
        <v>1</v>
      </c>
    </row>
    <row r="47380" ht="15.75" customHeight="1" spans="1:2">
      <c r="A47380" s="3" t="str">
        <f>IFERROR(__xludf.DUMMYFUNCTION("GOOGLETRANSLATE(A47380,""en"",""pt"")"),"Baratos, fair imagens")</f>
        <v>Baratos, fair imagens</v>
      </c>
      <c r="B47380" s="3">
        <v>1</v>
      </c>
    </row>
    <row r="47381" ht="15.75" customHeight="1" spans="1:2">
      <c r="A47381" s="3" t="str">
        <f>IFERROR(__xludf.DUMMYFUNCTION("GOOGLETRANSLATE(A47381,""en"",""pt"")"),"Preço")</f>
        <v>Preço</v>
      </c>
      <c r="B47381" s="3">
        <v>1</v>
      </c>
    </row>
    <row r="47382" ht="15.75" customHeight="1" spans="1:2">
      <c r="A47382" s="3" t="str">
        <f>IFERROR(__xludf.DUMMYFUNCTION("GOOGLETRANSLATE(A47382,""en"",""pt"")"),"Fácil de entender")</f>
        <v>Fácil de entender</v>
      </c>
      <c r="B47382" s="3">
        <v>1</v>
      </c>
    </row>
    <row r="47383" ht="15.75" customHeight="1" spans="1:2">
      <c r="A47383" s="3" t="str">
        <f>IFERROR(__xludf.DUMMYFUNCTION("GOOGLETRANSLATE(A47383,""en"",""pt"")"),"Barato, durável, qualidade decente")</f>
        <v>Barato, durável, qualidade decente</v>
      </c>
      <c r="B47383" s="3">
        <v>1</v>
      </c>
    </row>
    <row r="47384" ht="15.75" customHeight="1" spans="1:2">
      <c r="A47384" s="3" t="str">
        <f>IFERROR(__xludf.DUMMYFUNCTION("GOOGLETRANSLATE(A47384,""en"",""pt"")"),"Preço baixo; Aceitável para um adulto que vai se contentar com apenas ok.")</f>
        <v>Preço baixo; Aceitável para um adulto que vai se contentar com apenas ok.</v>
      </c>
      <c r="B47384" s="3">
        <v>1</v>
      </c>
    </row>
    <row r="47385" ht="15.75" customHeight="1" spans="1:2">
      <c r="A47385" s="3" t="str">
        <f>IFERROR(__xludf.DUMMYFUNCTION("GOOGLETRANSLATE(A47385,""en"",""pt"")"),"Cheap Boas fotos nos lugares certos")</f>
        <v>Cheap Boas fotos nos lugares certos</v>
      </c>
      <c r="B47385" s="3">
        <v>1</v>
      </c>
    </row>
    <row r="47386" ht="15.75" customHeight="1" spans="1:2">
      <c r="A47386" s="3" t="str">
        <f>IFERROR(__xludf.DUMMYFUNCTION("GOOGLETRANSLATE(A47386,""en"",""pt"")"),"fotos decentes excelente preço e")</f>
        <v>fotos decentes excelente preço e</v>
      </c>
      <c r="B47386" s="3">
        <v>1</v>
      </c>
    </row>
    <row r="47387" ht="15.75" customHeight="1" spans="1:2">
      <c r="A47387" s="3" t="str">
        <f>IFERROR(__xludf.DUMMYFUNCTION("GOOGLETRANSLATE(A47387,""en"",""pt"")"),"Ele veio com softwear")</f>
        <v>Ele veio com softwear</v>
      </c>
      <c r="B47387" s="3">
        <v>1</v>
      </c>
    </row>
    <row r="47388" ht="15.75" customHeight="1" spans="1:2">
      <c r="A47388" s="3" t="str">
        <f>IFERROR(__xludf.DUMMYFUNCTION("GOOGLETRANSLATE(A47388,""en"",""pt"")"),", Fácil de usar, software fácil barato.")</f>
        <v>, Fácil de usar, software fácil barato.</v>
      </c>
      <c r="B47388" s="3">
        <v>1</v>
      </c>
    </row>
    <row r="47389" ht="15.75" customHeight="1" spans="1:2">
      <c r="A47389" s="3" t="str">
        <f>IFERROR(__xludf.DUMMYFUNCTION("GOOGLETRANSLATE(A47389,""en"",""pt"")"),"Muito durável, custa muito pouco, ótimo software")</f>
        <v>Muito durável, custa muito pouco, ótimo software</v>
      </c>
      <c r="B47389" s="3">
        <v>1</v>
      </c>
    </row>
    <row r="47390" ht="15.75" customHeight="1" spans="1:2">
      <c r="A47390" s="3" t="str">
        <f>IFERROR(__xludf.DUMMYFUNCTION("GOOGLETRANSLATE(A47390,""en"",""pt"")"),"ótimo para pessoas que querem corrigir seus maus imagens !!")</f>
        <v>ótimo para pessoas que querem corrigir seus maus imagens !!</v>
      </c>
      <c r="B47390" s="3">
        <v>1</v>
      </c>
    </row>
    <row r="47391" ht="15.75" customHeight="1" spans="1:2">
      <c r="A47391" s="3" t="str">
        <f>IFERROR(__xludf.DUMMYFUNCTION("GOOGLETRANSLATE(A47391,""en"",""pt"")"),"câmera digital barata")</f>
        <v>câmera digital barata</v>
      </c>
      <c r="B47391" s="3">
        <v>1</v>
      </c>
    </row>
    <row r="47392" ht="15.75" customHeight="1" spans="1:2">
      <c r="A47392" s="3" t="str">
        <f>IFERROR(__xludf.DUMMYFUNCTION("GOOGLETRANSLATE(A47392,""en"",""pt"")"),"funciona com o toque de um botão")</f>
        <v>funciona com o toque de um botão</v>
      </c>
      <c r="B47392" s="3">
        <v>1</v>
      </c>
    </row>
    <row r="47393" ht="15.75" customHeight="1" spans="1:2">
      <c r="A47393" s="3" t="str">
        <f>IFERROR(__xludf.DUMMYFUNCTION("GOOGLETRANSLATE(A47393,""en"",""pt"")"),"barato, boas fotos, fácil de usar")</f>
        <v>barato, boas fotos, fácil de usar</v>
      </c>
      <c r="B47393" s="3">
        <v>1</v>
      </c>
    </row>
    <row r="47394" ht="15.75" customHeight="1" spans="1:2">
      <c r="A47394" s="3" t="str">
        <f>IFERROR(__xludf.DUMMYFUNCTION("GOOGLETRANSLATE(A47394,""en"",""pt"")"),"Fácil de usar.")</f>
        <v>Fácil de usar.</v>
      </c>
      <c r="B47394" s="3">
        <v>1</v>
      </c>
    </row>
    <row r="47395" ht="15.75" customHeight="1" spans="1:2">
      <c r="A47395" s="3" t="str">
        <f>IFERROR(__xludf.DUMMYFUNCTION("GOOGLETRANSLATE(A47395,""en"",""pt"")"),"Bastante decente para alguém apenas aprender a usar uma câmera digital")</f>
        <v>Bastante decente para alguém apenas aprender a usar uma câmera digital</v>
      </c>
      <c r="B47395" s="3">
        <v>1</v>
      </c>
    </row>
    <row r="47396" ht="15.75" customHeight="1" spans="1:2">
      <c r="A47396" s="3" t="str">
        <f>IFERROR(__xludf.DUMMYFUNCTION("GOOGLETRANSLATE(A47396,""en"",""pt"")"),"Barato")</f>
        <v>Barato</v>
      </c>
      <c r="B47396" s="3">
        <v>1</v>
      </c>
    </row>
    <row r="47397" ht="15.75" customHeight="1" spans="1:2">
      <c r="A47397" s="3" t="str">
        <f>IFERROR(__xludf.DUMMYFUNCTION("GOOGLETRANSLATE(A47397,""en"",""pt"")"),"Barato, fácil de usar.")</f>
        <v>Barato, fácil de usar.</v>
      </c>
      <c r="B47397" s="3">
        <v>1</v>
      </c>
    </row>
    <row r="47398" ht="15.75" customHeight="1" spans="1:2">
      <c r="A47398" s="3" t="str">
        <f>IFERROR(__xludf.DUMMYFUNCTION("GOOGLETRANSLATE(A47398,""en"",""pt"")"),"Fácil de usar, trabalha em um computador Windows ou Macintosh, vem com todos os cabos.")</f>
        <v>Fácil de usar, trabalha em um computador Windows ou Macintosh, vem com todos os cabos.</v>
      </c>
      <c r="B47398" s="3">
        <v>1</v>
      </c>
    </row>
    <row r="47399" ht="15.75" customHeight="1" spans="1:2">
      <c r="A47399" s="3" t="str">
        <f>IFERROR(__xludf.DUMMYFUNCTION("GOOGLETRANSLATE(A47399,""en"",""pt"")"),"Nenhum")</f>
        <v>Nenhum</v>
      </c>
      <c r="B47399" s="3">
        <v>1</v>
      </c>
    </row>
    <row r="47400" ht="15.75" customHeight="1" spans="1:2">
      <c r="A47400" s="3" t="str">
        <f>IFERROR(__xludf.DUMMYFUNCTION("GOOGLETRANSLATE(A47400,""en"",""pt"")"),"Software, usb &amp; amp; amp; cabos seriais")</f>
        <v>Software, usb &amp; amp; amp; cabos seriais</v>
      </c>
      <c r="B47400" s="3">
        <v>1</v>
      </c>
    </row>
    <row r="47401" ht="15.75" customHeight="1" spans="1:2">
      <c r="A47401" s="3" t="str">
        <f>IFERROR(__xludf.DUMMYFUNCTION("GOOGLETRANSLATE(A47401,""en"",""pt"")"),"preço, facilidade de uso")</f>
        <v>preço, facilidade de uso</v>
      </c>
      <c r="B47401" s="3">
        <v>1</v>
      </c>
    </row>
    <row r="47402" ht="15.75" customHeight="1" spans="1:2">
      <c r="A47402" s="3" t="str">
        <f>IFERROR(__xludf.DUMMYFUNCTION("GOOGLETRANSLATE(A47402,""en"",""pt"")"),"Preço")</f>
        <v>Preço</v>
      </c>
      <c r="B47402" s="3">
        <v>1</v>
      </c>
    </row>
    <row r="47403" ht="15.75" customHeight="1" spans="1:2">
      <c r="A47403" s="3" t="str">
        <f>IFERROR(__xludf.DUMMYFUNCTION("GOOGLETRANSLATE(A47403,""en"",""pt"")"),"Foi divertido para brincar em primeiro lugar!")</f>
        <v>Foi divertido para brincar em primeiro lugar!</v>
      </c>
      <c r="B47403" s="3">
        <v>1</v>
      </c>
    </row>
    <row r="47404" ht="15.75" customHeight="1" spans="1:2">
      <c r="A47404" s="3" t="str">
        <f>IFERROR(__xludf.DUMMYFUNCTION("GOOGLETRANSLATE(A47404,""en"",""pt"")"),"preço, imagens claras, fáceis de baixar as fotos para o computador")</f>
        <v>preço, imagens claras, fáceis de baixar as fotos para o computador</v>
      </c>
      <c r="B47404" s="3">
        <v>1</v>
      </c>
    </row>
    <row r="47405" ht="15.75" customHeight="1" spans="1:2">
      <c r="A47405" s="3" t="str">
        <f>IFERROR(__xludf.DUMMYFUNCTION("GOOGLETRANSLATE(A47405,""en"",""pt"")"),"Fácil de usar, parece legal, nenhum filme :)")</f>
        <v>Fácil de usar, parece legal, nenhum filme :)</v>
      </c>
      <c r="B47405" s="3">
        <v>1</v>
      </c>
    </row>
    <row r="47406" ht="15.75" customHeight="1" spans="1:2">
      <c r="A47406" s="3" t="str">
        <f>IFERROR(__xludf.DUMMYFUNCTION("GOOGLETRANSLATE(A47406,""en"",""pt"")"),"Barato, fácil de usar")</f>
        <v>Barato, fácil de usar</v>
      </c>
      <c r="B47406" s="3">
        <v>1</v>
      </c>
    </row>
    <row r="47407" ht="15.75" customHeight="1" spans="1:2">
      <c r="A47407" s="3" t="str">
        <f>IFERROR(__xludf.DUMMYFUNCTION("GOOGLETRANSLATE(A47407,""en"",""pt"")"),"fácil de usar")</f>
        <v>fácil de usar</v>
      </c>
      <c r="B47407" s="3">
        <v>1</v>
      </c>
    </row>
    <row r="47408" ht="15.75" customHeight="1" spans="1:2">
      <c r="A47408" s="3" t="str">
        <f>IFERROR(__xludf.DUMMYFUNCTION("GOOGLETRANSLATE(A47408,""en"",""pt"")"),"simples de usar, embalagem atraente")</f>
        <v>simples de usar, embalagem atraente</v>
      </c>
      <c r="B47408" s="3">
        <v>1</v>
      </c>
    </row>
    <row r="47409" ht="15.75" customHeight="1" spans="1:2">
      <c r="A47409" s="3" t="str">
        <f>IFERROR(__xludf.DUMMYFUNCTION("GOOGLETRANSLATE(A47409,""en"",""pt"")"),"Grande qualidade por menos de $ 100")</f>
        <v>Grande qualidade por menos de $ 100</v>
      </c>
      <c r="B47409" s="3">
        <v>1</v>
      </c>
    </row>
    <row r="47410" ht="15.75" customHeight="1" spans="1:2">
      <c r="A47410" s="3" t="str">
        <f>IFERROR(__xludf.DUMMYFUNCTION("GOOGLETRANSLATE(A47410,""en"",""pt"")"),"Barato")</f>
        <v>Barato</v>
      </c>
      <c r="B47410" s="3">
        <v>1</v>
      </c>
    </row>
    <row r="47411" ht="15.75" customHeight="1" spans="1:2">
      <c r="A47411" s="3" t="str">
        <f>IFERROR(__xludf.DUMMYFUNCTION("GOOGLETRANSLATE(A47411,""en"",""pt"")"),"Bom para iniciantes (crianças)")</f>
        <v>Bom para iniciantes (crianças)</v>
      </c>
      <c r="B47411" s="3">
        <v>1</v>
      </c>
    </row>
    <row r="47412" ht="15.75" customHeight="1" spans="1:2">
      <c r="A47412" s="3" t="str">
        <f>IFERROR(__xludf.DUMMYFUNCTION("GOOGLETRANSLATE(A47412,""en"",""pt"")"),"Preço, peso leve")</f>
        <v>Preço, peso leve</v>
      </c>
      <c r="B47412" s="3">
        <v>1</v>
      </c>
    </row>
    <row r="47413" ht="15.75" customHeight="1" spans="1:2">
      <c r="A47413" s="3" t="str">
        <f>IFERROR(__xludf.DUMMYFUNCTION("GOOGLETRANSLATE(A47413,""en"",""pt"")"),"Fácil de operar")</f>
        <v>Fácil de operar</v>
      </c>
      <c r="B47413" s="3">
        <v>1</v>
      </c>
    </row>
    <row r="47414" ht="15.75" customHeight="1" spans="1:2">
      <c r="A47414" s="3" t="str">
        <f>IFERROR(__xludf.DUMMYFUNCTION("GOOGLETRANSLATE(A47414,""en"",""pt"")"),"durável, feita para mãos pequenas")</f>
        <v>durável, feita para mãos pequenas</v>
      </c>
      <c r="B47414" s="3">
        <v>1</v>
      </c>
    </row>
    <row r="47415" ht="15.75" customHeight="1" spans="1:2">
      <c r="A47415" s="3" t="str">
        <f>IFERROR(__xludf.DUMMYFUNCTION("GOOGLETRANSLATE(A47415,""en"",""pt"")"),"Muitas fotos, escolher")</f>
        <v>Muitas fotos, escolher</v>
      </c>
      <c r="B47415" s="3">
        <v>1</v>
      </c>
    </row>
    <row r="47416" ht="15.75" customHeight="1" spans="1:2">
      <c r="A47416" s="3" t="str">
        <f>IFERROR(__xludf.DUMMYFUNCTION("GOOGLETRANSLATE(A47416,""en"",""pt"")"),"barato, bom software")</f>
        <v>barato, bom software</v>
      </c>
      <c r="B47416" s="3">
        <v>1</v>
      </c>
    </row>
    <row r="47417" ht="15.75" customHeight="1" spans="1:2">
      <c r="A47417" s="3" t="str">
        <f>IFERROR(__xludf.DUMMYFUNCTION("GOOGLETRANSLATE(A47417,""en"",""pt"")"),"Ótimo preço, ótimo Software")</f>
        <v>Ótimo preço, ótimo Software</v>
      </c>
      <c r="B47417" s="3">
        <v>1</v>
      </c>
    </row>
    <row r="47418" ht="15.75" customHeight="1" spans="1:2">
      <c r="A47418" s="3" t="str">
        <f>IFERROR(__xludf.DUMMYFUNCTION("GOOGLETRANSLATE(A47418,""en"",""pt"")"),"Mais barato que você pode comprar &amp; amp; amp; fácil de usar")</f>
        <v>Mais barato que você pode comprar &amp; amp; amp; fácil de usar</v>
      </c>
      <c r="B47418" s="3">
        <v>1</v>
      </c>
    </row>
    <row r="47419" ht="15.75" customHeight="1" spans="1:2">
      <c r="A47419" s="3" t="str">
        <f>IFERROR(__xludf.DUMMYFUNCTION("GOOGLETRANSLATE(A47419,""en"",""pt"")"),"Grande ferramenta para iniciantes")</f>
        <v>Grande ferramenta para iniciantes</v>
      </c>
      <c r="B47419" s="3">
        <v>1</v>
      </c>
    </row>
    <row r="47420" ht="15.75" customHeight="1" spans="1:2">
      <c r="A47420" s="3" t="str">
        <f>IFERROR(__xludf.DUMMYFUNCTION("GOOGLETRANSLATE(A47420,""en"",""pt"")"),"Barato, diversão, rápido e fácil!")</f>
        <v>Barato, diversão, rápido e fácil!</v>
      </c>
      <c r="B47420" s="3">
        <v>1</v>
      </c>
    </row>
    <row r="47421" ht="15.75" customHeight="1" spans="1:2">
      <c r="A47421" s="3" t="str">
        <f>IFERROR(__xludf.DUMMYFUNCTION("GOOGLETRANSLATE(A47421,""en"",""pt"")"),"Preço e facilidade de uso")</f>
        <v>Preço e facilidade de uso</v>
      </c>
      <c r="B47421" s="3">
        <v>1</v>
      </c>
    </row>
    <row r="47422" ht="15.75" customHeight="1" spans="1:2">
      <c r="A47422" s="3" t="str">
        <f>IFERROR(__xludf.DUMMYFUNCTION("GOOGLETRANSLATE(A47422,""en"",""pt"")"),"Você não tem que ser conectado ao computador para tirar fotos")</f>
        <v>Você não tem que ser conectado ao computador para tirar fotos</v>
      </c>
      <c r="B47422" s="3">
        <v>1</v>
      </c>
    </row>
    <row r="47423" ht="15.75" customHeight="1" spans="1:2">
      <c r="A47423" s="3" t="str">
        <f>IFERROR(__xludf.DUMMYFUNCTION("GOOGLETRANSLATE(A47423,""en"",""pt"")"),"uma parada boa porta")</f>
        <v>uma parada boa porta</v>
      </c>
      <c r="B47423" s="3">
        <v>1</v>
      </c>
    </row>
    <row r="47424" ht="15.75" customHeight="1" spans="1:2">
      <c r="A47424" s="3" t="str">
        <f>IFERROR(__xludf.DUMMYFUNCTION("GOOGLETRANSLATE(A47424,""en"",""pt"")"),"Barato!")</f>
        <v>Barato!</v>
      </c>
      <c r="B47424" s="3">
        <v>1</v>
      </c>
    </row>
    <row r="47425" ht="15.75" customHeight="1" spans="1:2">
      <c r="A47425" s="3" t="str">
        <f>IFERROR(__xludf.DUMMYFUNCTION("GOOGLETRANSLATE(A47425,""en"",""pt"")"),"hmmm .... é um bom peso de papel, um bom software")</f>
        <v>hmmm .... é um bom peso de papel, um bom software</v>
      </c>
      <c r="B47425" s="3">
        <v>1</v>
      </c>
    </row>
    <row r="47426" ht="15.75" customHeight="1" spans="1:2">
      <c r="A47426" s="3" t="str">
        <f>IFERROR(__xludf.DUMMYFUNCTION("GOOGLETRANSLATE(A47426,""en"",""pt"")"),"leve")</f>
        <v>leve</v>
      </c>
      <c r="B47426" s="3">
        <v>1</v>
      </c>
    </row>
    <row r="47427" ht="15.75" customHeight="1" spans="1:2">
      <c r="A47427" s="3" t="str">
        <f>IFERROR(__xludf.DUMMYFUNCTION("GOOGLETRANSLATE(A47427,""en"",""pt"")"),"Bom, maneira barata de entrar em fotografia digital")</f>
        <v>Bom, maneira barata de entrar em fotografia digital</v>
      </c>
      <c r="B47427" s="3">
        <v>1</v>
      </c>
    </row>
    <row r="47428" ht="15.75" customHeight="1" spans="1:2">
      <c r="A47428" s="3" t="str">
        <f>IFERROR(__xludf.DUMMYFUNCTION("GOOGLETRANSLATE(A47428,""en"",""pt"")"),"fácil de usar. nenhum filme ou cartões necessário.")</f>
        <v>fácil de usar. nenhum filme ou cartões necessário.</v>
      </c>
      <c r="B47428" s="3">
        <v>1</v>
      </c>
    </row>
    <row r="47429" ht="15.75" customHeight="1" spans="1:2">
      <c r="A47429" s="3" t="str">
        <f>IFERROR(__xludf.DUMMYFUNCTION("GOOGLETRANSLATE(A47429,""en"",""pt"")"),"Barato, Picture it Software")</f>
        <v>Barato, Picture it Software</v>
      </c>
      <c r="B47429" s="3">
        <v>1</v>
      </c>
    </row>
    <row r="47430" ht="15.75" customHeight="1" spans="1:2">
      <c r="A47430" s="3" t="str">
        <f>IFERROR(__xludf.DUMMYFUNCTION("GOOGLETRANSLATE(A47430,""en"",""pt"")"),"Barato")</f>
        <v>Barato</v>
      </c>
      <c r="B47430" s="3">
        <v>1</v>
      </c>
    </row>
    <row r="47431" ht="15.75" customHeight="1" spans="1:2">
      <c r="A47431" s="3" t="str">
        <f>IFERROR(__xludf.DUMMYFUNCTION("GOOGLETRANSLATE(A47431,""en"",""pt"")"),"olhou durável")</f>
        <v>olhou durável</v>
      </c>
      <c r="B47431" s="3">
        <v>1</v>
      </c>
    </row>
    <row r="47432" ht="15.75" customHeight="1" spans="1:2">
      <c r="A47432" s="3" t="str">
        <f>IFERROR(__xludf.DUMMYFUNCTION("GOOGLETRANSLATE(A47432,""en"",""pt"")"),"Diversão para eventos, muito leve")</f>
        <v>Diversão para eventos, muito leve</v>
      </c>
      <c r="B47432" s="3">
        <v>1</v>
      </c>
    </row>
    <row r="47433" ht="15.75" customHeight="1" spans="1:2">
      <c r="A47433" s="3" t="str">
        <f>IFERROR(__xludf.DUMMYFUNCTION("GOOGLETRANSLATE(A47433,""en"",""pt"")"),"barato, leve, fácil de usar")</f>
        <v>barato, leve, fácil de usar</v>
      </c>
      <c r="B47433" s="3">
        <v>1</v>
      </c>
    </row>
    <row r="47434" ht="15.75" customHeight="1" spans="1:2">
      <c r="A47434" s="3" t="str">
        <f>IFERROR(__xludf.DUMMYFUNCTION("GOOGLETRANSLATE(A47434,""en"",""pt"")"),"Nenhum")</f>
        <v>Nenhum</v>
      </c>
      <c r="B47434" s="3">
        <v>1</v>
      </c>
    </row>
    <row r="47435" ht="15.75" customHeight="1" spans="1:2">
      <c r="A47435" s="3" t="str">
        <f>IFERROR(__xludf.DUMMYFUNCTION("GOOGLETRANSLATE(A47435,""en"",""pt"")"),"Nenhum")</f>
        <v>Nenhum</v>
      </c>
      <c r="B47435" s="3">
        <v>1</v>
      </c>
    </row>
    <row r="47436" ht="15.75" customHeight="1" spans="1:2">
      <c r="A47436" s="3" t="str">
        <f>IFERROR(__xludf.DUMMYFUNCTION("GOOGLETRANSLATE(A47436,""en"",""pt"")"),"fácil de usar")</f>
        <v>fácil de usar</v>
      </c>
      <c r="B47436" s="3">
        <v>1</v>
      </c>
    </row>
    <row r="47437" ht="15.75" customHeight="1" spans="1:2">
      <c r="A47437" s="3" t="str">
        <f>IFERROR(__xludf.DUMMYFUNCTION("GOOGLETRANSLATE(A47437,""en"",""pt"")"),"Barato, vida GREAT bateria, algumas de suas imagens são OK para o uso da web se medicou-se, inclui ambos os cabos seriais e USB.")</f>
        <v>Barato, vida GREAT bateria, algumas de suas imagens são OK para o uso da web se medicou-se, inclui ambos os cabos seriais e USB.</v>
      </c>
      <c r="B47437" s="3">
        <v>1</v>
      </c>
    </row>
    <row r="47438" ht="15.75" customHeight="1" spans="1:2">
      <c r="A47438" s="3" t="str">
        <f>IFERROR(__xludf.DUMMYFUNCTION("GOOGLETRANSLATE(A47438,""en"",""pt"")"),"Barato, leve como uma nuvem")</f>
        <v>Barato, leve como uma nuvem</v>
      </c>
      <c r="B47438" s="3">
        <v>1</v>
      </c>
    </row>
    <row r="47439" ht="15.75" customHeight="1" spans="1:2">
      <c r="A47439" s="3" t="str">
        <f>IFERROR(__xludf.DUMMYFUNCTION("GOOGLETRANSLATE(A47439,""en"",""pt"")"),"fotos digitais quik")</f>
        <v>fotos digitais quik</v>
      </c>
      <c r="B47439" s="3">
        <v>1</v>
      </c>
    </row>
    <row r="47440" ht="15.75" customHeight="1" spans="1:2">
      <c r="A47440" s="3" t="str">
        <f>IFERROR(__xludf.DUMMYFUNCTION("GOOGLETRANSLATE(A47440,""en"",""pt"")"),"barato, divertido para brincar.")</f>
        <v>barato, divertido para brincar.</v>
      </c>
      <c r="B47440" s="3">
        <v>1</v>
      </c>
    </row>
    <row r="47441" ht="15.75" customHeight="1" spans="1:2">
      <c r="A47441" s="3" t="str">
        <f>IFERROR(__xludf.DUMMYFUNCTION("GOOGLETRANSLATE(A47441,""en"",""pt"")"),"É leve.")</f>
        <v>É leve.</v>
      </c>
      <c r="B47441" s="3">
        <v>1</v>
      </c>
    </row>
    <row r="47442" ht="15.75" customHeight="1" spans="1:2">
      <c r="A47442" s="3" t="str">
        <f>IFERROR(__xludf.DUMMYFUNCTION("GOOGLETRANSLATE(A47442,""en"",""pt"")"),"barato, estilo agradável, funciona bem")</f>
        <v>barato, estilo agradável, funciona bem</v>
      </c>
      <c r="B47442" s="3">
        <v>1</v>
      </c>
    </row>
    <row r="47443" ht="15.75" customHeight="1" spans="1:2">
      <c r="A47443" s="3" t="str">
        <f>IFERROR(__xludf.DUMMYFUNCTION("GOOGLETRANSLATE(A47443,""en"",""pt"")"),"Bom preço")</f>
        <v>Bom preço</v>
      </c>
      <c r="B47443" s="3">
        <v>1</v>
      </c>
    </row>
    <row r="47444" ht="15.75" customHeight="1" spans="1:2">
      <c r="A47444" s="3" t="str">
        <f>IFERROR(__xludf.DUMMYFUNCTION("GOOGLETRANSLATE(A47444,""en"",""pt"")"),"facilidade de uso, aparência robusta, vem com 2 programas")</f>
        <v>facilidade de uso, aparência robusta, vem com 2 programas</v>
      </c>
      <c r="B47444" s="3">
        <v>1</v>
      </c>
    </row>
    <row r="47445" ht="15.75" customHeight="1" spans="1:2">
      <c r="A47445" s="3" t="str">
        <f>IFERROR(__xludf.DUMMYFUNCTION("GOOGLETRANSLATE(A47445,""en"",""pt"")"),"barato")</f>
        <v>barato</v>
      </c>
      <c r="B47445" s="3">
        <v>1</v>
      </c>
    </row>
    <row r="47446" ht="15.75" customHeight="1" spans="1:2">
      <c r="A47446" s="3" t="str">
        <f>IFERROR(__xludf.DUMMYFUNCTION("GOOGLETRANSLATE(A47446,""en"",""pt"")"),"barato")</f>
        <v>barato</v>
      </c>
      <c r="B47446" s="3">
        <v>1</v>
      </c>
    </row>
    <row r="47447" ht="15.75" customHeight="1" spans="1:2">
      <c r="A47447" s="3" t="str">
        <f>IFERROR(__xludf.DUMMYFUNCTION("GOOGLETRANSLATE(A47447,""en"",""pt"")"),"Barato e fácil")</f>
        <v>Barato e fácil</v>
      </c>
      <c r="B47447" s="3">
        <v>1</v>
      </c>
    </row>
    <row r="47448" ht="15.75" customHeight="1" spans="1:2">
      <c r="A47448" s="3" t="str">
        <f>IFERROR(__xludf.DUMMYFUNCTION("GOOGLETRANSLATE(A47448,""en"",""pt"")"),"barato")</f>
        <v>barato</v>
      </c>
      <c r="B47448" s="3">
        <v>1</v>
      </c>
    </row>
    <row r="47449" ht="15.75" customHeight="1" spans="1:2">
      <c r="A47449" s="3" t="str">
        <f>IFERROR(__xludf.DUMMYFUNCTION("GOOGLETRANSLATE(A47449,""en"",""pt"")"),"barato, e leva fotos, tais como eles são")</f>
        <v>barato, e leva fotos, tais como eles são</v>
      </c>
      <c r="B47449" s="3">
        <v>1</v>
      </c>
    </row>
    <row r="47450" ht="15.75" customHeight="1" spans="1:2">
      <c r="A47450" s="3" t="str">
        <f>IFERROR(__xludf.DUMMYFUNCTION("GOOGLETRANSLATE(A47450,""en"",""pt"")"),"pretty imagens claras e diversão e software fácil incluído.")</f>
        <v>pretty imagens claras e diversão e software fácil incluído.</v>
      </c>
      <c r="B47450" s="3">
        <v>1</v>
      </c>
    </row>
    <row r="47451" ht="15.75" customHeight="1" spans="1:2">
      <c r="A47451" s="3" t="str">
        <f>IFERROR(__xludf.DUMMYFUNCTION("GOOGLETRANSLATE(A47451,""en"",""pt"")"),"Fácil de operar")</f>
        <v>Fácil de operar</v>
      </c>
      <c r="B47451" s="3">
        <v>1</v>
      </c>
    </row>
    <row r="47452" ht="15.75" customHeight="1" spans="1:2">
      <c r="A47452" s="3" t="str">
        <f>IFERROR(__xludf.DUMMYFUNCTION("GOOGLETRANSLATE(A47452,""en"",""pt"")"),"dom gratuito de passagem")</f>
        <v>dom gratuito de passagem</v>
      </c>
      <c r="B47452" s="3">
        <v>1</v>
      </c>
    </row>
    <row r="47453" ht="15.75" customHeight="1" spans="1:2">
      <c r="A47453" s="3" t="str">
        <f>IFERROR(__xludf.DUMMYFUNCTION("GOOGLETRANSLATE(A47453,""en"",""pt"")"),"preço")</f>
        <v>preço</v>
      </c>
      <c r="B47453" s="3">
        <v>1</v>
      </c>
    </row>
    <row r="47454" ht="15.75" customHeight="1" spans="1:2">
      <c r="A47454" s="3" t="str">
        <f>IFERROR(__xludf.DUMMYFUNCTION("GOOGLETRANSLATE(A47454,""en"",""pt"")"),"Facilidade de uso, baixo custo")</f>
        <v>Facilidade de uso, baixo custo</v>
      </c>
      <c r="B47454" s="3">
        <v>1</v>
      </c>
    </row>
    <row r="47455" ht="15.75" customHeight="1" spans="1:2">
      <c r="A47455" s="3" t="str">
        <f>IFERROR(__xludf.DUMMYFUNCTION("GOOGLETRANSLATE(A47455,""en"",""pt"")"),"Nenhum")</f>
        <v>Nenhum</v>
      </c>
      <c r="B47455" s="3">
        <v>1</v>
      </c>
    </row>
    <row r="47456" ht="15.75" customHeight="1" spans="1:2">
      <c r="A47456" s="3" t="str">
        <f>IFERROR(__xludf.DUMMYFUNCTION("GOOGLETRANSLATE(A47456,""en"",""pt"")"),"ótimo para as crianças &amp; amp; amp; de e-mail")</f>
        <v>ótimo para as crianças &amp; amp; amp; de e-mail</v>
      </c>
      <c r="B47456" s="3">
        <v>1</v>
      </c>
    </row>
    <row r="47457" ht="15.75" customHeight="1" spans="1:2">
      <c r="A47457" s="3" t="str">
        <f>IFERROR(__xludf.DUMMYFUNCTION("GOOGLETRANSLATE(A47457,""en"",""pt"")"),"É fácil de usar")</f>
        <v>É fácil de usar</v>
      </c>
      <c r="B47457" s="3">
        <v>1</v>
      </c>
    </row>
    <row r="47458" ht="15.75" customHeight="1" spans="1:2">
      <c r="A47458" s="3" t="str">
        <f>IFERROR(__xludf.DUMMYFUNCTION("GOOGLETRANSLATE(A47458,""en"",""pt"")"),"Barato")</f>
        <v>Barato</v>
      </c>
      <c r="B47458" s="3">
        <v>1</v>
      </c>
    </row>
    <row r="47459" ht="15.75" customHeight="1" spans="1:2">
      <c r="A47459" s="3" t="str">
        <f>IFERROR(__xludf.DUMMYFUNCTION("GOOGLETRANSLATE(A47459,""en"",""pt"")"),"Sem correr para a loja para o cinema")</f>
        <v>Sem correr para a loja para o cinema</v>
      </c>
      <c r="B47459" s="3">
        <v>1</v>
      </c>
    </row>
    <row r="47460" ht="15.75" customHeight="1" spans="1:2">
      <c r="A47460" s="3" t="str">
        <f>IFERROR(__xludf.DUMMYFUNCTION("GOOGLETRANSLATE(A47460,""en"",""pt"")"),"Um grande valor para o iniciante")</f>
        <v>Um grande valor para o iniciante</v>
      </c>
      <c r="B47460" s="3">
        <v>1</v>
      </c>
    </row>
    <row r="47461" ht="15.75" customHeight="1" spans="1:2">
      <c r="A47461" s="3" t="str">
        <f>IFERROR(__xludf.DUMMYFUNCTION("GOOGLETRANSLATE(A47461,""en"",""pt"")"),"$ 80")</f>
        <v>$ 80</v>
      </c>
      <c r="B47461" s="3">
        <v>1</v>
      </c>
    </row>
    <row r="47462" ht="15.75" customHeight="1" spans="1:2">
      <c r="A47462" s="3" t="str">
        <f>IFERROR(__xludf.DUMMYFUNCTION("GOOGLETRANSLATE(A47462,""en"",""pt"")"),"preço")</f>
        <v>preço</v>
      </c>
      <c r="B47462" s="3">
        <v>1</v>
      </c>
    </row>
    <row r="47463" ht="15.75" customHeight="1" spans="1:2">
      <c r="A47463" s="3" t="str">
        <f>IFERROR(__xludf.DUMMYFUNCTION("GOOGLETRANSLATE(A47463,""en"",""pt"")"),"barato, fácil de usar")</f>
        <v>barato, fácil de usar</v>
      </c>
      <c r="B47463" s="3">
        <v>1</v>
      </c>
    </row>
    <row r="47464" ht="15.75" customHeight="1" spans="1:2">
      <c r="A47464" s="3" t="str">
        <f>IFERROR(__xludf.DUMMYFUNCTION("GOOGLETRANSLATE(A47464,""en"",""pt"")"),"Nenhum")</f>
        <v>Nenhum</v>
      </c>
      <c r="B47464" s="3">
        <v>1</v>
      </c>
    </row>
    <row r="47465" ht="15.75" customHeight="1" spans="1:2">
      <c r="A47465" s="3" t="str">
        <f>IFERROR(__xludf.DUMMYFUNCTION("GOOGLETRANSLATE(A47465,""en"",""pt"")"),"barato")</f>
        <v>barato</v>
      </c>
      <c r="B47465" s="3">
        <v>1</v>
      </c>
    </row>
    <row r="47466" ht="15.75" customHeight="1" spans="1:2">
      <c r="A47466" s="3" t="str">
        <f>IFERROR(__xludf.DUMMYFUNCTION("GOOGLETRANSLATE(A47466,""en"",""pt"")"),"durablity")</f>
        <v>durablity</v>
      </c>
      <c r="B47466" s="3">
        <v>1</v>
      </c>
    </row>
    <row r="47467" ht="15.75" customHeight="1" spans="1:2">
      <c r="A47467" s="3" t="str">
        <f>IFERROR(__xludf.DUMMYFUNCTION("GOOGLETRANSLATE(A47467,""en"",""pt"")"),"baixo preço, fácil de usar")</f>
        <v>baixo preço, fácil de usar</v>
      </c>
      <c r="B47467" s="3">
        <v>1</v>
      </c>
    </row>
    <row r="47468" ht="15.75" customHeight="1" spans="1:2">
      <c r="A47468" s="3" t="str">
        <f>IFERROR(__xludf.DUMMYFUNCTION("GOOGLETRANSLATE(A47468,""en"",""pt"")"),"Leve, interface USB conveniente, slot MulitMediaCard")</f>
        <v>Leve, interface USB conveniente, slot MulitMediaCard</v>
      </c>
      <c r="B47468" s="3">
        <v>1</v>
      </c>
    </row>
    <row r="47469" ht="15.75" customHeight="1" spans="1:2">
      <c r="A47469" s="3" t="str">
        <f>IFERROR(__xludf.DUMMYFUNCTION("GOOGLETRANSLATE(A47469,""en"",""pt"")"),"preço, facilidade de uso, durável")</f>
        <v>preço, facilidade de uso, durável</v>
      </c>
      <c r="B47469" s="3">
        <v>1</v>
      </c>
    </row>
    <row r="47470" ht="15.75" customHeight="1" spans="1:2">
      <c r="A47470" s="3" t="str">
        <f>IFERROR(__xludf.DUMMYFUNCTION("GOOGLETRANSLATE(A47470,""en"",""pt"")"),"Barato")</f>
        <v>Barato</v>
      </c>
      <c r="B47470" s="3">
        <v>1</v>
      </c>
    </row>
    <row r="47471" ht="15.75" customHeight="1" spans="1:2">
      <c r="A47471" s="3" t="str">
        <f>IFERROR(__xludf.DUMMYFUNCTION("GOOGLETRANSLATE(A47471,""en"",""pt"")"),"Pequeno, elegante")</f>
        <v>Pequeno, elegante</v>
      </c>
      <c r="B47471" s="3">
        <v>1</v>
      </c>
    </row>
    <row r="47472" ht="15.75" customHeight="1" spans="1:2">
      <c r="A47472" s="3" t="str">
        <f>IFERROR(__xludf.DUMMYFUNCTION("GOOGLETRANSLATE(A47472,""en"",""pt"")"),"preço, software")</f>
        <v>preço, software</v>
      </c>
      <c r="B47472" s="3">
        <v>1</v>
      </c>
    </row>
    <row r="47473" ht="15.75" customHeight="1" spans="1:2">
      <c r="A47473" s="3" t="str">
        <f>IFERROR(__xludf.DUMMYFUNCTION("GOOGLETRANSLATE(A47473,""en"",""pt"")"),"Barato")</f>
        <v>Barato</v>
      </c>
      <c r="B47473" s="3">
        <v>1</v>
      </c>
    </row>
    <row r="47474" ht="15.75" customHeight="1" spans="1:2">
      <c r="A47474" s="3" t="str">
        <f>IFERROR(__xludf.DUMMYFUNCTION("GOOGLETRANSLATE(A47474,""en"",""pt"")"),"caixa de plástico, durável, bateria de longa duração.")</f>
        <v>caixa de plástico, durável, bateria de longa duração.</v>
      </c>
      <c r="B47474" s="3">
        <v>1</v>
      </c>
    </row>
    <row r="47475" ht="15.75" customHeight="1" spans="1:2">
      <c r="A47475" s="3" t="str">
        <f>IFERROR(__xludf.DUMMYFUNCTION("GOOGLETRANSLATE(A47475,""en"",""pt"")"),"Barato, fotos decentes, muito fácil de usar")</f>
        <v>Barato, fotos decentes, muito fácil de usar</v>
      </c>
      <c r="B47475" s="3">
        <v>1</v>
      </c>
    </row>
    <row r="47476" ht="15.75" customHeight="1" spans="1:2">
      <c r="A47476" s="3" t="str">
        <f>IFERROR(__xludf.DUMMYFUNCTION("GOOGLETRANSLATE(A47476,""en"",""pt"")"),"Fácil de usar, muito barato")</f>
        <v>Fácil de usar, muito barato</v>
      </c>
      <c r="B47476" s="3">
        <v>1</v>
      </c>
    </row>
    <row r="47477" ht="15.75" customHeight="1" spans="1:2">
      <c r="A47477" s="3" t="str">
        <f>IFERROR(__xludf.DUMMYFUNCTION("GOOGLETRANSLATE(A47477,""en"",""pt"")"),"Ótimo preço, boas fotos, fácil de configurar")</f>
        <v>Ótimo preço, boas fotos, fácil de configurar</v>
      </c>
      <c r="B47477" s="3">
        <v>1</v>
      </c>
    </row>
    <row r="47478" ht="15.75" customHeight="1" spans="1:2">
      <c r="A47478" s="3" t="str">
        <f>IFERROR(__xludf.DUMMYFUNCTION("GOOGLETRANSLATE(A47478,""en"",""pt"")"),"Qualidade para o preço, facilidade de uso")</f>
        <v>Qualidade para o preço, facilidade de uso</v>
      </c>
      <c r="B47478" s="3">
        <v>1</v>
      </c>
    </row>
    <row r="47479" ht="15.75" customHeight="1" spans="1:2">
      <c r="A47479" s="3" t="str">
        <f>IFERROR(__xludf.DUMMYFUNCTION("GOOGLETRANSLATE(A47479,""en"",""pt"")"),"Barato")</f>
        <v>Barato</v>
      </c>
      <c r="B47479" s="3">
        <v>1</v>
      </c>
    </row>
    <row r="47480" ht="15.75" customHeight="1" spans="1:2">
      <c r="A47480" s="3" t="str">
        <f>IFERROR(__xludf.DUMMYFUNCTION("GOOGLETRANSLATE(A47480,""en"",""pt"")"),"pequeno, leve, bonito")</f>
        <v>pequeno, leve, bonito</v>
      </c>
      <c r="B47480" s="3">
        <v>1</v>
      </c>
    </row>
    <row r="47481" ht="15.75" customHeight="1" spans="1:2">
      <c r="A47481" s="3" t="str">
        <f>IFERROR(__xludf.DUMMYFUNCTION("GOOGLETRANSLATE(A47481,""en"",""pt"")"),"Barato, durável")</f>
        <v>Barato, durável</v>
      </c>
      <c r="B47481" s="3">
        <v>1</v>
      </c>
    </row>
    <row r="47482" ht="15.75" customHeight="1" spans="1:2">
      <c r="A47482" s="3" t="str">
        <f>IFERROR(__xludf.DUMMYFUNCTION("GOOGLETRANSLATE(A47482,""en"",""pt"")"),"Uau! Minha primeira cam digital.")</f>
        <v>Uau! Minha primeira cam digital.</v>
      </c>
      <c r="B47482" s="3">
        <v>1</v>
      </c>
    </row>
    <row r="47483" ht="15.75" customHeight="1" spans="1:2">
      <c r="A47483" s="3" t="str">
        <f>IFERROR(__xludf.DUMMYFUNCTION("GOOGLETRANSLATE(A47483,""en"",""pt"")"),"Barato, software divertido, 3.0 tem um flash!")</f>
        <v>Barato, software divertido, 3.0 tem um flash!</v>
      </c>
      <c r="B47483" s="3">
        <v>1</v>
      </c>
    </row>
    <row r="47484" ht="15.75" customHeight="1" spans="1:2">
      <c r="A47484" s="3" t="str">
        <f>IFERROR(__xludf.DUMMYFUNCTION("GOOGLETRANSLATE(A47484,""en"",""pt"")"),"É muito leve, detém 21 pic. e compatível com a portas série")</f>
        <v>É muito leve, detém 21 pic. e compatível com a portas série</v>
      </c>
      <c r="B47484" s="3">
        <v>1</v>
      </c>
    </row>
    <row r="47485" ht="15.75" customHeight="1" spans="1:2">
      <c r="A47485" s="3" t="str">
        <f>IFERROR(__xludf.DUMMYFUNCTION("GOOGLETRANSLATE(A47485,""en"",""pt"")"),"Boa qualidade de imagem, bom preço")</f>
        <v>Boa qualidade de imagem, bom preço</v>
      </c>
      <c r="B47485" s="3">
        <v>1</v>
      </c>
    </row>
    <row r="47486" ht="15.75" customHeight="1" spans="1:2">
      <c r="A47486" s="3" t="str">
        <f>IFERROR(__xludf.DUMMYFUNCTION("GOOGLETRANSLATE(A47486,""en"",""pt"")"),"Fácil, barato, divertido")</f>
        <v>Fácil, barato, divertido</v>
      </c>
      <c r="B47486" s="3">
        <v>1</v>
      </c>
    </row>
    <row r="47487" ht="15.75" customHeight="1" spans="1:2">
      <c r="A47487" s="3" t="str">
        <f>IFERROR(__xludf.DUMMYFUNCTION("GOOGLETRANSLATE(A47487,""en"",""pt"")"),"Acessível")</f>
        <v>Acessível</v>
      </c>
      <c r="B47487" s="3">
        <v>1</v>
      </c>
    </row>
    <row r="47488" ht="15.75" customHeight="1" spans="1:2">
      <c r="A47488" s="3" t="str">
        <f>IFERROR(__xludf.DUMMYFUNCTION("GOOGLETRANSLATE(A47488,""en"",""pt"")"),"Grande para o fim acima")</f>
        <v>Grande para o fim acima</v>
      </c>
      <c r="B47488" s="3">
        <v>1</v>
      </c>
    </row>
    <row r="47489" ht="15.75" customHeight="1" spans="1:2">
      <c r="A47489" s="3" t="str">
        <f>IFERROR(__xludf.DUMMYFUNCTION("GOOGLETRANSLATE(A47489,""en"",""pt"")"),"Qualidade de imagem, fácil de aprender e usar")</f>
        <v>Qualidade de imagem, fácil de aprender e usar</v>
      </c>
      <c r="B47489" s="3">
        <v>1</v>
      </c>
    </row>
    <row r="47490" ht="15.75" customHeight="1" spans="1:2">
      <c r="A47490" s="3" t="str">
        <f>IFERROR(__xludf.DUMMYFUNCTION("GOOGLETRANSLATE(A47490,""en"",""pt"")"),"Boa qualidade de imagem, a revisão instantânea")</f>
        <v>Boa qualidade de imagem, a revisão instantânea</v>
      </c>
      <c r="B47490" s="3">
        <v>1</v>
      </c>
    </row>
    <row r="47491" ht="15.75" customHeight="1" spans="1:2">
      <c r="A47491" s="3" t="str">
        <f>IFERROR(__xludf.DUMMYFUNCTION("GOOGLETRANSLATE(A47491,""en"",""pt"")"),"a própria simplicidade para uso")</f>
        <v>a própria simplicidade para uso</v>
      </c>
      <c r="B47491" s="3">
        <v>1</v>
      </c>
    </row>
    <row r="47492" ht="15.75" customHeight="1" spans="1:2">
      <c r="A47492" s="3" t="str">
        <f>IFERROR(__xludf.DUMMYFUNCTION("GOOGLETRANSLATE(A47492,""en"",""pt"")"),"qualidade de imagem, facilidade de uso")</f>
        <v>qualidade de imagem, facilidade de uso</v>
      </c>
      <c r="B47492" s="3">
        <v>1</v>
      </c>
    </row>
    <row r="47493" ht="15.75" customHeight="1" spans="1:2">
      <c r="A47493" s="3" t="str">
        <f>IFERROR(__xludf.DUMMYFUNCTION("GOOGLETRANSLATE(A47493,""en"",""pt"")"),"Grandes fotos, configurações personalizadas")</f>
        <v>Grandes fotos, configurações personalizadas</v>
      </c>
      <c r="B47493" s="3">
        <v>1</v>
      </c>
    </row>
    <row r="47494" ht="15.75" customHeight="1" spans="1:2">
      <c r="A47494" s="3" t="str">
        <f>IFERROR(__xludf.DUMMYFUNCTION("GOOGLETRANSLATE(A47494,""en"",""pt"")"),"Fácil de usar, excelente qualidade de imagem")</f>
        <v>Fácil de usar, excelente qualidade de imagem</v>
      </c>
      <c r="B47494" s="3">
        <v>1</v>
      </c>
    </row>
    <row r="47495" ht="15.75" customHeight="1" spans="1:2">
      <c r="A47495" s="3" t="str">
        <f>IFERROR(__xludf.DUMMYFUNCTION("GOOGLETRANSLATE(A47495,""en"",""pt"")"),"Preço")</f>
        <v>Preço</v>
      </c>
      <c r="B47495" s="3">
        <v>1</v>
      </c>
    </row>
    <row r="47496" ht="15.75" customHeight="1" spans="1:2">
      <c r="A47496" s="3" t="str">
        <f>IFERROR(__xludf.DUMMYFUNCTION("GOOGLETRANSLATE(A47496,""en"",""pt"")"),"A very nice câmera para o preço")</f>
        <v>A very nice câmera para o preço</v>
      </c>
      <c r="B47496" s="3">
        <v>1</v>
      </c>
    </row>
    <row r="47497" ht="15.75" customHeight="1" spans="1:2">
      <c r="A47497" s="3" t="str">
        <f>IFERROR(__xludf.DUMMYFUNCTION("GOOGLETRANSLATE(A47497,""en"",""pt"")"),"Versátil e um pouco mais barato.")</f>
        <v>Versátil e um pouco mais barato.</v>
      </c>
      <c r="B47497" s="3">
        <v>1</v>
      </c>
    </row>
    <row r="47498" ht="15.75" customHeight="1" spans="1:2">
      <c r="A47498" s="3" t="str">
        <f>IFERROR(__xludf.DUMMYFUNCTION("GOOGLETRANSLATE(A47498,""en"",""pt"")"),"Preço a relação qualidade")</f>
        <v>Preço a relação qualidade</v>
      </c>
      <c r="B47498" s="3">
        <v>1</v>
      </c>
    </row>
    <row r="47499" ht="15.75" customHeight="1" spans="1:2">
      <c r="A47499" s="3" t="str">
        <f>IFERROR(__xludf.DUMMYFUNCTION("GOOGLETRANSLATE(A47499,""en"",""pt"")"),"barato ainda totalmente funcional")</f>
        <v>barato ainda totalmente funcional</v>
      </c>
      <c r="B47499" s="3">
        <v>1</v>
      </c>
    </row>
    <row r="47500" ht="15.75" customHeight="1" spans="1:2">
      <c r="A47500" s="3" t="str">
        <f>IFERROR(__xludf.DUMMYFUNCTION("GOOGLETRANSLATE(A47500,""en"",""pt"")"),"Fácil de usar, boa cor e qualidade")</f>
        <v>Fácil de usar, boa cor e qualidade</v>
      </c>
      <c r="B47500" s="3">
        <v>1</v>
      </c>
    </row>
    <row r="47501" ht="15.75" customHeight="1" spans="1:2">
      <c r="A47501" s="3" t="str">
        <f>IFERROR(__xludf.DUMMYFUNCTION("GOOGLETRANSLATE(A47501,""en"",""pt"")"),"qualidade de resolução muito boa")</f>
        <v>qualidade de resolução muito boa</v>
      </c>
      <c r="B47501" s="3">
        <v>1</v>
      </c>
    </row>
    <row r="47502" ht="15.75" customHeight="1" spans="1:2">
      <c r="A47502" s="3" t="str">
        <f>IFERROR(__xludf.DUMMYFUNCTION("GOOGLETRANSLATE(A47502,""en"",""pt"")"),"Compacto, fácil de usar")</f>
        <v>Compacto, fácil de usar</v>
      </c>
      <c r="B47502" s="3">
        <v>1</v>
      </c>
    </row>
    <row r="47503" ht="15.75" customHeight="1" spans="1:2">
      <c r="A47503" s="3" t="str">
        <f>IFERROR(__xludf.DUMMYFUNCTION("GOOGLETRANSLATE(A47503,""en"",""pt"")"),"simples, básico, fácil de ler direções")</f>
        <v>simples, básico, fácil de ler direções</v>
      </c>
      <c r="B47503" s="3">
        <v>1</v>
      </c>
    </row>
    <row r="47504" ht="15.75" customHeight="1" spans="1:2">
      <c r="A47504" s="3" t="str">
        <f>IFERROR(__xludf.DUMMYFUNCTION("GOOGLETRANSLATE(A47504,""en"",""pt"")"),"Barato, fácil de usar, divertido")</f>
        <v>Barato, fácil de usar, divertido</v>
      </c>
      <c r="B47504" s="3">
        <v>1</v>
      </c>
    </row>
    <row r="47505" ht="15.75" customHeight="1" spans="1:2">
      <c r="A47505" s="3" t="str">
        <f>IFERROR(__xludf.DUMMYFUNCTION("GOOGLETRANSLATE(A47505,""en"",""pt"")"),"boas fotos, fácil de usar, capacidade de adicionar lentes leva")</f>
        <v>boas fotos, fácil de usar, capacidade de adicionar lentes leva</v>
      </c>
      <c r="B47505" s="3">
        <v>1</v>
      </c>
    </row>
    <row r="47506" ht="15.75" customHeight="1" spans="1:2">
      <c r="A47506" s="3" t="str">
        <f>IFERROR(__xludf.DUMMYFUNCTION("GOOGLETRANSLATE(A47506,""en"",""pt"")"),"Fácil de usar, boa qualidade de imagem")</f>
        <v>Fácil de usar, boa qualidade de imagem</v>
      </c>
      <c r="B47506" s="3">
        <v>1</v>
      </c>
    </row>
    <row r="47507" ht="15.75" customHeight="1" spans="1:2">
      <c r="A47507" s="3" t="str">
        <f>IFERROR(__xludf.DUMMYFUNCTION("GOOGLETRANSLATE(A47507,""en"",""pt"")"),"comparáveis ​​aos modelos mais caros")</f>
        <v>comparáveis ​​aos modelos mais caros</v>
      </c>
      <c r="B47507" s="3">
        <v>1</v>
      </c>
    </row>
    <row r="47508" ht="15.75" customHeight="1" spans="1:2">
      <c r="A47508" s="3" t="str">
        <f>IFERROR(__xludf.DUMMYFUNCTION("GOOGLETRANSLATE(A47508,""en"",""pt"")"),"Características vs preço")</f>
        <v>Características vs preço</v>
      </c>
      <c r="B47508" s="3">
        <v>1</v>
      </c>
    </row>
    <row r="47509" ht="15.75" customHeight="1" spans="1:2">
      <c r="A47509" s="3" t="str">
        <f>IFERROR(__xludf.DUMMYFUNCTION("GOOGLETRANSLATE(A47509,""en"",""pt"")"),"Compact, os downloads rápidos, nítido e imagens nítidas")</f>
        <v>Compact, os downloads rápidos, nítido e imagens nítidas</v>
      </c>
      <c r="B47509" s="3">
        <v>1</v>
      </c>
    </row>
    <row r="47510" ht="15.75" customHeight="1" spans="1:2">
      <c r="A47510" s="3" t="str">
        <f>IFERROR(__xludf.DUMMYFUNCTION("GOOGLETRANSLATE(A47510,""en"",""pt"")"),"Bom preço, facilidade de uso, muitos recursos")</f>
        <v>Bom preço, facilidade de uso, muitos recursos</v>
      </c>
      <c r="B47510" s="3">
        <v>1</v>
      </c>
    </row>
    <row r="47511" ht="15.75" customHeight="1" spans="1:2">
      <c r="A47511" s="3" t="str">
        <f>IFERROR(__xludf.DUMMYFUNCTION("GOOGLETRANSLATE(A47511,""en"",""pt"")"),"barato, fácil de usar")</f>
        <v>barato, fácil de usar</v>
      </c>
      <c r="B47511" s="3">
        <v>1</v>
      </c>
    </row>
    <row r="47512" ht="15.75" customHeight="1" spans="1:2">
      <c r="A47512" s="3" t="str">
        <f>IFERROR(__xludf.DUMMYFUNCTION("GOOGLETRANSLATE(A47512,""en"",""pt"")"),"Boa qualidade de imagem, de baixo custo, características básicas")</f>
        <v>Boa qualidade de imagem, de baixo custo, características básicas</v>
      </c>
      <c r="B47512" s="3">
        <v>1</v>
      </c>
    </row>
    <row r="47513" ht="15.75" customHeight="1" spans="1:2">
      <c r="A47513" s="3" t="str">
        <f>IFERROR(__xludf.DUMMYFUNCTION("GOOGLETRANSLATE(A47513,""en"",""pt"")"),"câmera digital boa todos os dias")</f>
        <v>câmera digital boa todos os dias</v>
      </c>
      <c r="B47513" s="3">
        <v>1</v>
      </c>
    </row>
    <row r="47514" ht="15.75" customHeight="1" spans="1:2">
      <c r="A47514" s="3" t="str">
        <f>IFERROR(__xludf.DUMMYFUNCTION("GOOGLETRANSLATE(A47514,""en"",""pt"")"),"Ótima aparência e valor")</f>
        <v>Ótima aparência e valor</v>
      </c>
      <c r="B47514" s="3">
        <v>1</v>
      </c>
    </row>
    <row r="47515" ht="15.75" customHeight="1" spans="1:2">
      <c r="A47515" s="3" t="str">
        <f>IFERROR(__xludf.DUMMYFUNCTION("GOOGLETRANSLATE(A47515,""en"",""pt"")"),"Fácil de usar, boa qualidade fotos")</f>
        <v>Fácil de usar, boa qualidade fotos</v>
      </c>
      <c r="B47515" s="3">
        <v>1</v>
      </c>
    </row>
    <row r="47516" ht="15.75" customHeight="1" spans="1:2">
      <c r="A47516" s="3" t="str">
        <f>IFERROR(__xludf.DUMMYFUNCTION("GOOGLETRANSLATE(A47516,""en"",""pt"")"),"Fácil de usar, tira fotos claras")</f>
        <v>Fácil de usar, tira fotos claras</v>
      </c>
      <c r="B47516" s="3">
        <v>1</v>
      </c>
    </row>
    <row r="47517" ht="15.75" customHeight="1" spans="1:2">
      <c r="A47517" s="3" t="str">
        <f>IFERROR(__xludf.DUMMYFUNCTION("GOOGLETRANSLATE(A47517,""en"",""pt"")"),"imagens de boa qualidade")</f>
        <v>imagens de boa qualidade</v>
      </c>
      <c r="B47517" s="3">
        <v>1</v>
      </c>
    </row>
    <row r="47518" ht="15.75" customHeight="1" spans="1:2">
      <c r="A47518" s="3" t="str">
        <f>IFERROR(__xludf.DUMMYFUNCTION("GOOGLETRANSLATE(A47518,""en"",""pt"")"),"Preço, qualidade de imagem, facilidade de uso")</f>
        <v>Preço, qualidade de imagem, facilidade de uso</v>
      </c>
      <c r="B47518" s="3">
        <v>1</v>
      </c>
    </row>
    <row r="47519" ht="15.75" customHeight="1" spans="1:2">
      <c r="A47519" s="3" t="str">
        <f>IFERROR(__xludf.DUMMYFUNCTION("GOOGLETRANSLATE(A47519,""en"",""pt"")"),"Grandes fotos para o preço pago muito bem construído.")</f>
        <v>Grandes fotos para o preço pago muito bem construído.</v>
      </c>
      <c r="B47519" s="3">
        <v>1</v>
      </c>
    </row>
    <row r="47520" ht="15.75" customHeight="1" spans="1:2">
      <c r="A47520" s="3" t="str">
        <f>IFERROR(__xludf.DUMMYFUNCTION("GOOGLETRANSLATE(A47520,""en"",""pt"")"),"Barato, muito resistente leitor de cartão de construção, USB incluído.")</f>
        <v>Barato, muito resistente leitor de cartão de construção, USB incluído.</v>
      </c>
      <c r="B47520" s="3">
        <v>1</v>
      </c>
    </row>
    <row r="47521" ht="15.75" customHeight="1" spans="1:2">
      <c r="A47521" s="3" t="str">
        <f>IFERROR(__xludf.DUMMYFUNCTION("GOOGLETRANSLATE(A47521,""en"",""pt"")"),"Handy, simples de usar")</f>
        <v>Handy, simples de usar</v>
      </c>
      <c r="B47521" s="3">
        <v>1</v>
      </c>
    </row>
    <row r="47522" ht="15.75" customHeight="1" spans="1:2">
      <c r="A47522" s="3" t="str">
        <f>IFERROR(__xludf.DUMMYFUNCTION("GOOGLETRANSLATE(A47522,""en"",""pt"")"),"Tira fotos nítidas, cargas diretamente em meu computador")</f>
        <v>Tira fotos nítidas, cargas diretamente em meu computador</v>
      </c>
      <c r="B47522" s="3">
        <v>1</v>
      </c>
    </row>
    <row r="47523" ht="15.75" customHeight="1" spans="1:2">
      <c r="A47523" s="3" t="str">
        <f>IFERROR(__xludf.DUMMYFUNCTION("GOOGLETRANSLATE(A47523,""en"",""pt"")"),"Boas fotos, bom tamanho, fácil de transportar e usar, bom conjunto de recursos")</f>
        <v>Boas fotos, bom tamanho, fácil de transportar e usar, bom conjunto de recursos</v>
      </c>
      <c r="B47523" s="3">
        <v>1</v>
      </c>
    </row>
    <row r="47524" ht="15.75" customHeight="1" spans="1:2">
      <c r="A47524" s="3" t="str">
        <f>IFERROR(__xludf.DUMMYFUNCTION("GOOGLETRANSLATE(A47524,""en"",""pt"")"),"Bom valor cam para a câmera de 1 megapixel")</f>
        <v>Bom valor cam para a câmera de 1 megapixel</v>
      </c>
      <c r="B47524" s="3">
        <v>1</v>
      </c>
    </row>
    <row r="47525" ht="15.75" customHeight="1" spans="1:2">
      <c r="A47525" s="3" t="str">
        <f>IFERROR(__xludf.DUMMYFUNCTION("GOOGLETRANSLATE(A47525,""en"",""pt"")"),"Leve, grande digital para alguém que acabou de entrar era câmera digital")</f>
        <v>Leve, grande digital para alguém que acabou de entrar era câmera digital</v>
      </c>
      <c r="B47525" s="3">
        <v>1</v>
      </c>
    </row>
    <row r="47526" ht="15.75" customHeight="1" spans="1:2">
      <c r="A47526" s="3" t="str">
        <f>IFERROR(__xludf.DUMMYFUNCTION("GOOGLETRANSLATE(A47526,""en"",""pt"")"),"Facilmente transferir fotos para o seu PC usando um cabo")</f>
        <v>Facilmente transferir fotos para o seu PC usando um cabo</v>
      </c>
      <c r="B47526" s="3">
        <v>1</v>
      </c>
    </row>
    <row r="47527" ht="15.75" customHeight="1" spans="1:2">
      <c r="A47527" s="3" t="str">
        <f>IFERROR(__xludf.DUMMYFUNCTION("GOOGLETRANSLATE(A47527,""en"",""pt"")"),"de fácil utilização, simples, corpo de aparência agradável")</f>
        <v>de fácil utilização, simples, corpo de aparência agradável</v>
      </c>
      <c r="B47527" s="3">
        <v>1</v>
      </c>
    </row>
    <row r="47528" ht="15.75" customHeight="1" spans="1:2">
      <c r="A47528" s="3" t="str">
        <f>IFERROR(__xludf.DUMMYFUNCTION("GOOGLETRANSLATE(A47528,""en"",""pt"")"),"luz, facilidade de utilização, qualidade grande foto")</f>
        <v>luz, facilidade de utilização, qualidade grande foto</v>
      </c>
      <c r="B47528" s="3">
        <v>1</v>
      </c>
    </row>
    <row r="47529" ht="15.75" customHeight="1" spans="1:2">
      <c r="A47529" s="3" t="str">
        <f>IFERROR(__xludf.DUMMYFUNCTION("GOOGLETRANSLATE(A47529,""en"",""pt"")"),"facilidade de uso, zoom óptico, imagens de boa qualidade")</f>
        <v>facilidade de uso, zoom óptico, imagens de boa qualidade</v>
      </c>
      <c r="B47529" s="3">
        <v>1</v>
      </c>
    </row>
    <row r="47530" ht="15.75" customHeight="1" spans="1:2">
      <c r="A47530" s="3" t="str">
        <f>IFERROR(__xludf.DUMMYFUNCTION("GOOGLETRANSLATE(A47530,""en"",""pt"")"),"De alta qualidade, fácil de usar, divertido.")</f>
        <v>De alta qualidade, fácil de usar, divertido.</v>
      </c>
      <c r="B47530" s="3">
        <v>1</v>
      </c>
    </row>
    <row r="47531" ht="15.75" customHeight="1" spans="1:2">
      <c r="A47531" s="3" t="str">
        <f>IFERROR(__xludf.DUMMYFUNCTION("GOOGLETRANSLATE(A47531,""en"",""pt"")"),"grande valor megapixel câmera digital, transferência de arquivos USB")</f>
        <v>grande valor megapixel câmera digital, transferência de arquivos USB</v>
      </c>
      <c r="B47531" s="3">
        <v>1</v>
      </c>
    </row>
    <row r="47532" ht="15.75" customHeight="1" spans="1:2">
      <c r="A47532" s="3" t="str">
        <f>IFERROR(__xludf.DUMMYFUNCTION("GOOGLETRANSLATE(A47532,""en"",""pt"")"),"relativamente barata; versátil")</f>
        <v>relativamente barata; versátil</v>
      </c>
      <c r="B47532" s="3">
        <v>1</v>
      </c>
    </row>
    <row r="47533" ht="15.75" customHeight="1" spans="1:2">
      <c r="A47533" s="3" t="str">
        <f>IFERROR(__xludf.DUMMYFUNCTION("GOOGLETRANSLATE(A47533,""en"",""pt"")"),"Preço, facilidade de uso, qualidade de foto")</f>
        <v>Preço, facilidade de uso, qualidade de foto</v>
      </c>
      <c r="B47533" s="3">
        <v>1</v>
      </c>
    </row>
    <row r="47534" ht="15.75" customHeight="1" spans="1:2">
      <c r="A47534" s="3" t="str">
        <f>IFERROR(__xludf.DUMMYFUNCTION("GOOGLETRANSLATE(A47534,""en"",""pt"")"),"Fácil de usar, muito bom de saída")</f>
        <v>Fácil de usar, muito bom de saída</v>
      </c>
      <c r="B47534" s="3">
        <v>1</v>
      </c>
    </row>
    <row r="47535" ht="15.75" customHeight="1" spans="1:2">
      <c r="A47535" s="3" t="str">
        <f>IFERROR(__xludf.DUMMYFUNCTION("GOOGLETRANSLATE(A47535,""en"",""pt"")"),"Fácil de usar, ótimo olhando fotos")</f>
        <v>Fácil de usar, ótimo olhando fotos</v>
      </c>
      <c r="B47535" s="3">
        <v>1</v>
      </c>
    </row>
    <row r="47536" ht="15.75" customHeight="1" spans="1:2">
      <c r="A47536" s="3" t="str">
        <f>IFERROR(__xludf.DUMMYFUNCTION("GOOGLETRANSLATE(A47536,""en"",""pt"")"),"fotos muito claras com uma resolução regular, leve ,, e muito confiável")</f>
        <v>fotos muito claras com uma resolução regular, leve ,, e muito confiável</v>
      </c>
      <c r="B47536" s="3">
        <v>1</v>
      </c>
    </row>
    <row r="47537" ht="15.75" customHeight="1" spans="1:2">
      <c r="A47537" s="3" t="str">
        <f>IFERROR(__xludf.DUMMYFUNCTION("GOOGLETRANSLATE(A47537,""en"",""pt"")"),"Preço, qualidade, basicamente tudo")</f>
        <v>Preço, qualidade, basicamente tudo</v>
      </c>
      <c r="B47537" s="3">
        <v>1</v>
      </c>
    </row>
    <row r="47538" ht="15.75" customHeight="1" spans="1:2">
      <c r="A47538" s="3" t="str">
        <f>IFERROR(__xludf.DUMMYFUNCTION("GOOGLETRANSLATE(A47538,""en"",""pt"")"),"Boa resolução, tela de bom tamanho, fácil de usar")</f>
        <v>Boa resolução, tela de bom tamanho, fácil de usar</v>
      </c>
      <c r="B47538" s="3">
        <v>1</v>
      </c>
    </row>
    <row r="47539" ht="15.75" customHeight="1" spans="1:2">
      <c r="A47539" s="3" t="str">
        <f>IFERROR(__xludf.DUMMYFUNCTION("GOOGLETRANSLATE(A47539,""en"",""pt"")"),"Nitidez de imagem, a Kodak Nome, facilidade de uso, Zoom")</f>
        <v>Nitidez de imagem, a Kodak Nome, facilidade de uso, Zoom</v>
      </c>
      <c r="B47539" s="3">
        <v>1</v>
      </c>
    </row>
    <row r="47540" ht="15.75" customHeight="1" spans="1:2">
      <c r="A47540" s="3" t="str">
        <f>IFERROR(__xludf.DUMMYFUNCTION("GOOGLETRANSLATE(A47540,""en"",""pt"")"),"Fácil de usar, o preço é certo, você economiza dinheiro no longo prazo, se você gosta de tirar fotos.")</f>
        <v>Fácil de usar, o preço é certo, você economiza dinheiro no longo prazo, se você gosta de tirar fotos.</v>
      </c>
      <c r="B47540" s="3">
        <v>1</v>
      </c>
    </row>
    <row r="47541" ht="15.75" customHeight="1" spans="1:2">
      <c r="A47541" s="3" t="str">
        <f>IFERROR(__xludf.DUMMYFUNCTION("GOOGLETRANSLATE(A47541,""en"",""pt"")"),"Muito simples")</f>
        <v>Muito simples</v>
      </c>
      <c r="B47541" s="3">
        <v>1</v>
      </c>
    </row>
    <row r="47542" ht="15.75" customHeight="1" spans="1:2">
      <c r="A47542" s="3" t="str">
        <f>IFERROR(__xludf.DUMMYFUNCTION("GOOGLETRANSLATE(A47542,""en"",""pt"")"),"preço, e compacto, qualidade de imagem user-friendly")</f>
        <v>preço, e compacto, qualidade de imagem user-friendly</v>
      </c>
      <c r="B47542" s="3">
        <v>1</v>
      </c>
    </row>
    <row r="47543" ht="15.75" customHeight="1" spans="1:2">
      <c r="A47543" s="3" t="str">
        <f>IFERROR(__xludf.DUMMYFUNCTION("GOOGLETRANSLATE(A47543,""en"",""pt"")"),"Boa ergonomia e nítidas fotos macro, flash bom, fácil de usar")</f>
        <v>Boa ergonomia e nítidas fotos macro, flash bom, fácil de usar</v>
      </c>
      <c r="B47543" s="3">
        <v>1</v>
      </c>
    </row>
    <row r="47544" ht="15.75" customHeight="1" spans="1:2">
      <c r="A47544" s="3" t="str">
        <f>IFERROR(__xludf.DUMMYFUNCTION("GOOGLETRANSLATE(A47544,""en"",""pt"")"),"Preço, tamanho pequeno, caixa de metal, Marca, zoom óptico.")</f>
        <v>Preço, tamanho pequeno, caixa de metal, Marca, zoom óptico.</v>
      </c>
      <c r="B47544" s="3">
        <v>1</v>
      </c>
    </row>
    <row r="47545" ht="15.75" customHeight="1" spans="1:2">
      <c r="A47545" s="3" t="str">
        <f>IFERROR(__xludf.DUMMYFUNCTION("GOOGLETRANSLATE(A47545,""en"",""pt"")"),"Fácil para um iniciante para uso!")</f>
        <v>Fácil para um iniciante para uso!</v>
      </c>
      <c r="B47545" s="3">
        <v>1</v>
      </c>
    </row>
    <row r="47546" ht="15.75" customHeight="1" spans="1:2">
      <c r="A47546" s="3" t="str">
        <f>IFERROR(__xludf.DUMMYFUNCTION("GOOGLETRANSLATE(A47546,""en"",""pt"")"),"A câmera tem suas vantagens, pequeno, leve, fácil de operar e manusear.")</f>
        <v>A câmera tem suas vantagens, pequeno, leve, fácil de operar e manusear.</v>
      </c>
      <c r="B47546" s="3">
        <v>1</v>
      </c>
    </row>
    <row r="47547" ht="15.75" customHeight="1" spans="1:2">
      <c r="A47547" s="3" t="str">
        <f>IFERROR(__xludf.DUMMYFUNCTION("GOOGLETRANSLATE(A47547,""en"",""pt"")"),"Fácil de usar, imagens agradáveis, muito portátil")</f>
        <v>Fácil de usar, imagens agradáveis, muito portátil</v>
      </c>
      <c r="B47547" s="3">
        <v>1</v>
      </c>
    </row>
    <row r="47548" ht="15.75" customHeight="1" spans="1:2">
      <c r="A47548" s="3" t="str">
        <f>IFERROR(__xludf.DUMMYFUNCTION("GOOGLETRANSLATE(A47548,""en"",""pt"")"),"Boa qualidade de foto, tela LCD de permitir que você visualize fotos")</f>
        <v>Boa qualidade de foto, tela LCD de permitir que você visualize fotos</v>
      </c>
      <c r="B47548" s="3">
        <v>1</v>
      </c>
    </row>
    <row r="47549" ht="15.75" customHeight="1" spans="1:2">
      <c r="A47549" s="3" t="str">
        <f>IFERROR(__xludf.DUMMYFUNCTION("GOOGLETRANSLATE(A47549,""en"",""pt"")"),"Barato, resistente, suficientemente pequeno para caber no bolso, flash excelente, fácil de usar.")</f>
        <v>Barato, resistente, suficientemente pequeno para caber no bolso, flash excelente, fácil de usar.</v>
      </c>
      <c r="B47549" s="3">
        <v>1</v>
      </c>
    </row>
    <row r="47550" ht="15.75" customHeight="1" spans="1:2">
      <c r="A47550" s="3" t="str">
        <f>IFERROR(__xludf.DUMMYFUNCTION("GOOGLETRANSLATE(A47550,""en"",""pt"")"),"Fácil de usar, ótimas fotos.")</f>
        <v>Fácil de usar, ótimas fotos.</v>
      </c>
      <c r="B47550" s="3">
        <v>1</v>
      </c>
    </row>
    <row r="47551" ht="15.75" customHeight="1" spans="1:2">
      <c r="A47551" s="3" t="str">
        <f>IFERROR(__xludf.DUMMYFUNCTION("GOOGLETRANSLATE(A47551,""en"",""pt"")"),"Card Reader Compact, de alta qualidade Pics, USB")</f>
        <v>Card Reader Compact, de alta qualidade Pics, USB</v>
      </c>
      <c r="B47551" s="3">
        <v>1</v>
      </c>
    </row>
    <row r="47552" ht="15.75" customHeight="1" spans="1:2">
      <c r="A47552" s="3" t="str">
        <f>IFERROR(__xludf.DUMMYFUNCTION("GOOGLETRANSLATE(A47552,""en"",""pt"")"),"Fácil de usar, ótimas fotos")</f>
        <v>Fácil de usar, ótimas fotos</v>
      </c>
      <c r="B47552" s="3">
        <v>1</v>
      </c>
    </row>
    <row r="47553" ht="15.75" customHeight="1" spans="1:2">
      <c r="A47553" s="3" t="str">
        <f>IFERROR(__xludf.DUMMYFUNCTION("GOOGLETRANSLATE(A47553,""en"",""pt"")"),"Fácil de usar, ótimo software, pequeno")</f>
        <v>Fácil de usar, ótimo software, pequeno</v>
      </c>
      <c r="B47553" s="3">
        <v>1</v>
      </c>
    </row>
    <row r="47554" ht="15.75" customHeight="1" spans="1:2">
      <c r="A47554" s="3" t="str">
        <f>IFERROR(__xludf.DUMMYFUNCTION("GOOGLETRANSLATE(A47554,""en"",""pt"")"),"Facilidade de uso, qualidade das imagens")</f>
        <v>Facilidade de uso, qualidade das imagens</v>
      </c>
      <c r="B47554" s="3">
        <v>1</v>
      </c>
    </row>
    <row r="47555" ht="15.75" customHeight="1" spans="1:2">
      <c r="A47555" s="3" t="str">
        <f>IFERROR(__xludf.DUMMYFUNCTION("GOOGLETRANSLATE(A47555,""en"",""pt"")"),"Fácil de usar, pequeno e boas fotos")</f>
        <v>Fácil de usar, pequeno e boas fotos</v>
      </c>
      <c r="B47555" s="3">
        <v>1</v>
      </c>
    </row>
    <row r="47556" ht="15.75" customHeight="1" spans="1:2">
      <c r="A47556" s="3" t="str">
        <f>IFERROR(__xludf.DUMMYFUNCTION("GOOGLETRANSLATE(A47556,""en"",""pt"")"),"Boa qualidade de imagem, leve, elegante, boa interface")</f>
        <v>Boa qualidade de imagem, leve, elegante, boa interface</v>
      </c>
      <c r="B47556" s="3">
        <v>1</v>
      </c>
    </row>
    <row r="47557" ht="15.75" customHeight="1" spans="1:2">
      <c r="A47557" s="3" t="str">
        <f>IFERROR(__xludf.DUMMYFUNCTION("GOOGLETRANSLATE(A47557,""en"",""pt"")"),"fácil de operar, capaz de ver a imagem imediatamente")</f>
        <v>fácil de operar, capaz de ver a imagem imediatamente</v>
      </c>
      <c r="B47557" s="3">
        <v>1</v>
      </c>
    </row>
    <row r="47558" ht="15.75" customHeight="1" spans="1:2">
      <c r="A47558" s="3" t="str">
        <f>IFERROR(__xludf.DUMMYFUNCTION("GOOGLETRANSLATE(A47558,""en"",""pt"")"),"As imagens nítidas")</f>
        <v>As imagens nítidas</v>
      </c>
      <c r="B47558" s="3">
        <v>1</v>
      </c>
    </row>
    <row r="47559" ht="15.75" customHeight="1" spans="1:2">
      <c r="A47559" s="3" t="str">
        <f>IFERROR(__xludf.DUMMYFUNCTION("GOOGLETRANSLATE(A47559,""en"",""pt"")"),"Grande sensação geral e qualidade")</f>
        <v>Grande sensação geral e qualidade</v>
      </c>
      <c r="B47559" s="3">
        <v>1</v>
      </c>
    </row>
    <row r="47560" ht="15.75" customHeight="1" spans="1:2">
      <c r="A47560" s="3" t="str">
        <f>IFERROR(__xludf.DUMMYFUNCTION("GOOGLETRANSLATE(A47560,""en"",""pt"")"),"1'8 polegadas LCD View Finder")</f>
        <v>1'8 polegadas LCD View Finder</v>
      </c>
      <c r="B47560" s="3">
        <v>1</v>
      </c>
    </row>
    <row r="47561" ht="15.75" customHeight="1" spans="1:2">
      <c r="A47561" s="3" t="str">
        <f>IFERROR(__xludf.DUMMYFUNCTION("GOOGLETRANSLATE(A47561,""en"",""pt"")"),"leve, interface simples, autotimer, fora de vídeo")</f>
        <v>leve, interface simples, autotimer, fora de vídeo</v>
      </c>
      <c r="B47561" s="3">
        <v>1</v>
      </c>
    </row>
    <row r="47562" ht="15.75" customHeight="1" spans="1:2">
      <c r="A47562" s="3" t="str">
        <f>IFERROR(__xludf.DUMMYFUNCTION("GOOGLETRANSLATE(A47562,""en"",""pt"")"),"Fácil de usar, ótimas fotos, preço bom")</f>
        <v>Fácil de usar, ótimas fotos, preço bom</v>
      </c>
      <c r="B47562" s="3">
        <v>1</v>
      </c>
    </row>
    <row r="47563" ht="15.75" customHeight="1" spans="1:2">
      <c r="A47563" s="3" t="str">
        <f>IFERROR(__xludf.DUMMYFUNCTION("GOOGLETRANSLATE(A47563,""en"",""pt"")"),"fácil de usar")</f>
        <v>fácil de usar</v>
      </c>
      <c r="B47563" s="3">
        <v>1</v>
      </c>
    </row>
    <row r="47564" ht="15.75" customHeight="1" spans="1:2">
      <c r="A47564" s="3" t="str">
        <f>IFERROR(__xludf.DUMMYFUNCTION("GOOGLETRANSLATE(A47564,""en"",""pt"")"),"fotos de qualidade por um preço razoável.")</f>
        <v>fotos de qualidade por um preço razoável.</v>
      </c>
      <c r="B47564" s="3">
        <v>1</v>
      </c>
    </row>
    <row r="47565" ht="15.75" customHeight="1" spans="1:2">
      <c r="A47565" s="3" t="str">
        <f>IFERROR(__xludf.DUMMYFUNCTION("GOOGLETRANSLATE(A47565,""en"",""pt"")"),"Usa Compact Flash, pilhas AA &amp; amp; amp; tem grandes figuras")</f>
        <v>Usa Compact Flash, pilhas AA &amp; amp; amp; tem grandes figuras</v>
      </c>
      <c r="B47565" s="3">
        <v>1</v>
      </c>
    </row>
    <row r="47566" ht="15.75" customHeight="1" spans="1:2">
      <c r="A47566" s="3" t="str">
        <f>IFERROR(__xludf.DUMMYFUNCTION("GOOGLETRANSLATE(A47566,""en"",""pt"")"),"De facil operação")</f>
        <v>De facil operação</v>
      </c>
      <c r="B47566" s="3">
        <v>1</v>
      </c>
    </row>
    <row r="47567" ht="15.75" customHeight="1" spans="1:2">
      <c r="A47567" s="3" t="str">
        <f>IFERROR(__xludf.DUMMYFUNCTION("GOOGLETRANSLATE(A47567,""en"",""pt"")"),"compacto, de baixo custo, simples")</f>
        <v>compacto, de baixo custo, simples</v>
      </c>
      <c r="B47567" s="3">
        <v>1</v>
      </c>
    </row>
    <row r="47568" ht="15.75" customHeight="1" spans="1:2">
      <c r="A47568" s="3" t="str">
        <f>IFERROR(__xludf.DUMMYFUNCTION("GOOGLETRANSLATE(A47568,""en"",""pt"")"),"Fácil de usar, ótimas fotos, menor custo")</f>
        <v>Fácil de usar, ótimas fotos, menor custo</v>
      </c>
      <c r="B47568" s="3">
        <v>1</v>
      </c>
    </row>
    <row r="47569" ht="15.75" customHeight="1" spans="1:2">
      <c r="A47569" s="3" t="str">
        <f>IFERROR(__xludf.DUMMYFUNCTION("GOOGLETRANSLATE(A47569,""en"",""pt"")"),"Alta Qualidade, Transferência rápida, baixo custo")</f>
        <v>Alta Qualidade, Transferência rápida, baixo custo</v>
      </c>
      <c r="B47569" s="3">
        <v>1</v>
      </c>
    </row>
    <row r="47570" ht="15.75" customHeight="1" spans="1:2">
      <c r="A47570" s="3" t="str">
        <f>IFERROR(__xludf.DUMMYFUNCTION("GOOGLETRANSLATE(A47570,""en"",""pt"")"),"Boas opções, grande foco automático")</f>
        <v>Boas opções, grande foco automático</v>
      </c>
      <c r="B47570" s="3">
        <v>1</v>
      </c>
    </row>
    <row r="47571" ht="15.75" customHeight="1" spans="1:2">
      <c r="A47571" s="3" t="str">
        <f>IFERROR(__xludf.DUMMYFUNCTION("GOOGLETRANSLATE(A47571,""en"",""pt"")"),"Grandes dentro tiros. Flash funciona bem.")</f>
        <v>Grandes dentro tiros. Flash funciona bem.</v>
      </c>
      <c r="B47571" s="3">
        <v>1</v>
      </c>
    </row>
    <row r="47572" ht="15.75" customHeight="1" spans="1:2">
      <c r="A47572" s="3" t="str">
        <f>IFERROR(__xludf.DUMMYFUNCTION("GOOGLETRANSLATE(A47572,""en"",""pt"")"),"Melhor produto em sua faixa de preço, muitas opções, fácil de usar, grande apoio e garantia")</f>
        <v>Melhor produto em sua faixa de preço, muitas opções, fácil de usar, grande apoio e garantia</v>
      </c>
      <c r="B47572" s="3">
        <v>1</v>
      </c>
    </row>
    <row r="47573" ht="15.75" customHeight="1" spans="1:2">
      <c r="A47573" s="3" t="str">
        <f>IFERROR(__xludf.DUMMYFUNCTION("GOOGLETRANSLATE(A47573,""en"",""pt"")"),"Pequenas, sexy, ergonomicamente maravilhosas, ótimas fotos")</f>
        <v>Pequenas, sexy, ergonomicamente maravilhosas, ótimas fotos</v>
      </c>
      <c r="B47573" s="3">
        <v>1</v>
      </c>
    </row>
    <row r="47574" ht="15.75" customHeight="1" spans="1:2">
      <c r="A47574" s="3" t="str">
        <f>IFERROR(__xludf.DUMMYFUNCTION("GOOGLETRANSLATE(A47574,""en"",""pt"")"),"Photo Quality, facilidade de uso, apresenta.")</f>
        <v>Photo Quality, facilidade de uso, apresenta.</v>
      </c>
      <c r="B47574" s="3">
        <v>1</v>
      </c>
    </row>
    <row r="47575" ht="15.75" customHeight="1" spans="1:2">
      <c r="A47575" s="3" t="str">
        <f>IFERROR(__xludf.DUMMYFUNCTION("GOOGLETRANSLATE(A47575,""en"",""pt"")"),"Tamanho, peso e qualidade.")</f>
        <v>Tamanho, peso e qualidade.</v>
      </c>
      <c r="B47575" s="3">
        <v>1</v>
      </c>
    </row>
    <row r="47576" ht="15.75" customHeight="1" spans="1:2">
      <c r="A47576" s="3" t="str">
        <f>IFERROR(__xludf.DUMMYFUNCTION("GOOGLETRANSLATE(A47576,""en"",""pt"")"),"Looks agradável, amigável, divertido de usar.")</f>
        <v>Looks agradável, amigável, divertido de usar.</v>
      </c>
      <c r="B47576" s="3">
        <v>1</v>
      </c>
    </row>
    <row r="47577" ht="15.75" customHeight="1" spans="1:2">
      <c r="A47577" s="3" t="str">
        <f>IFERROR(__xludf.DUMMYFUNCTION("GOOGLETRANSLATE(A47577,""en"",""pt"")"),"Equipado com recursos utilizáveis. memória expansível")</f>
        <v>Equipado com recursos utilizáveis. memória expansível</v>
      </c>
      <c r="B47577" s="3">
        <v>1</v>
      </c>
    </row>
    <row r="47578" ht="15.75" customHeight="1" spans="1:2">
      <c r="A47578" s="3" t="str">
        <f>IFERROR(__xludf.DUMMYFUNCTION("GOOGLETRANSLATE(A47578,""en"",""pt"")"),"design pequeno e elegante, facilidade de uso, imagens de boa qualidade.")</f>
        <v>design pequeno e elegante, facilidade de uso, imagens de boa qualidade.</v>
      </c>
      <c r="B47578" s="3">
        <v>1</v>
      </c>
    </row>
    <row r="47579" ht="15.75" customHeight="1" spans="1:2">
      <c r="A47579" s="3" t="str">
        <f>IFERROR(__xludf.DUMMYFUNCTION("GOOGLETRANSLATE(A47579,""en"",""pt"")"),"Fácil de entender e seguir o manual, fácil de câmera uso e todas as suas características, não muito caro para compra")</f>
        <v>Fácil de entender e seguir o manual, fácil de câmera uso e todas as suas características, não muito caro para compra</v>
      </c>
      <c r="B47579" s="3">
        <v>1</v>
      </c>
    </row>
    <row r="47580" ht="15.75" customHeight="1" spans="1:2">
      <c r="A47580" s="3" t="str">
        <f>IFERROR(__xludf.DUMMYFUNCTION("GOOGLETRANSLATE(A47580,""en"",""pt"")"),"tudo")</f>
        <v>tudo</v>
      </c>
      <c r="B47580" s="3">
        <v>1</v>
      </c>
    </row>
    <row r="47581" ht="15.75" customHeight="1" spans="1:2">
      <c r="A47581" s="3" t="str">
        <f>IFERROR(__xludf.DUMMYFUNCTION("GOOGLETRANSLATE(A47581,""en"",""pt"")"),"Tamanho de bolso, fácil de operar")</f>
        <v>Tamanho de bolso, fácil de operar</v>
      </c>
      <c r="B47581" s="3">
        <v>1</v>
      </c>
    </row>
    <row r="47582" ht="15.75" customHeight="1" spans="1:2">
      <c r="A47582" s="3" t="str">
        <f>IFERROR(__xludf.DUMMYFUNCTION("GOOGLETRANSLATE(A47582,""en"",""pt"")"),"Profissional de fotos padrão para a web")</f>
        <v>Profissional de fotos padrão para a web</v>
      </c>
      <c r="B47582" s="3">
        <v>1</v>
      </c>
    </row>
    <row r="47583" ht="15.75" customHeight="1" spans="1:2">
      <c r="A47583" s="3" t="str">
        <f>IFERROR(__xludf.DUMMYFUNCTION("GOOGLETRANSLATE(A47583,""en"",""pt"")"),"Qualidade da imagem, preço e facilidade de uso")</f>
        <v>Qualidade da imagem, preço e facilidade de uso</v>
      </c>
      <c r="B47583" s="3">
        <v>1</v>
      </c>
    </row>
    <row r="47584" ht="15.75" customHeight="1" spans="1:2">
      <c r="A47584" s="3" t="str">
        <f>IFERROR(__xludf.DUMMYFUNCTION("GOOGLETRANSLATE(A47584,""en"",""pt"")"),"compacta pequena")</f>
        <v>compacta pequena</v>
      </c>
      <c r="B47584" s="3">
        <v>1</v>
      </c>
    </row>
    <row r="47585" ht="15.75" customHeight="1" spans="1:2">
      <c r="A47585" s="3" t="str">
        <f>IFERROR(__xludf.DUMMYFUNCTION("GOOGLETRANSLATE(A47585,""en"",""pt"")"),"impressionantes imagens de qualidade, fácil de usar, downloads rápidos")</f>
        <v>impressionantes imagens de qualidade, fácil de usar, downloads rápidos</v>
      </c>
      <c r="B47585" s="3">
        <v>1</v>
      </c>
    </row>
    <row r="47586" ht="15.75" customHeight="1" spans="1:2">
      <c r="A47586" s="3" t="str">
        <f>IFERROR(__xludf.DUMMYFUNCTION("GOOGLETRANSLATE(A47586,""en"",""pt"")"),"Ótimas fotos; fácil de usar")</f>
        <v>Ótimas fotos; fácil de usar</v>
      </c>
      <c r="B47586" s="3">
        <v>1</v>
      </c>
    </row>
    <row r="47587" ht="15.75" customHeight="1" spans="1:2">
      <c r="A47587" s="3" t="str">
        <f>IFERROR(__xludf.DUMMYFUNCTION("GOOGLETRANSLATE(A47587,""en"",""pt"")"),"Valor para o dinheiro, compacto")</f>
        <v>Valor para o dinheiro, compacto</v>
      </c>
      <c r="B47587" s="3">
        <v>1</v>
      </c>
    </row>
    <row r="47588" ht="15.75" customHeight="1" spans="1:2">
      <c r="A47588" s="3" t="str">
        <f>IFERROR(__xludf.DUMMYFUNCTION("GOOGLETRANSLATE(A47588,""en"",""pt"")"),"Fácil de usar, Grande detalhe &amp; amp; amp; cor, vibrante!")</f>
        <v>Fácil de usar, Grande detalhe &amp; amp; amp; cor, vibrante!</v>
      </c>
      <c r="B47588" s="3">
        <v>1</v>
      </c>
    </row>
    <row r="47589" ht="15.75" customHeight="1" spans="1:2">
      <c r="A47589" s="3" t="str">
        <f>IFERROR(__xludf.DUMMYFUNCTION("GOOGLETRANSLATE(A47589,""en"",""pt"")"),"DIVERSÃO!")</f>
        <v>DIVERSÃO!</v>
      </c>
      <c r="B47589" s="3">
        <v>1</v>
      </c>
    </row>
    <row r="47590" ht="15.75" customHeight="1" spans="1:2">
      <c r="A47590" s="3" t="str">
        <f>IFERROR(__xludf.DUMMYFUNCTION("GOOGLETRANSLATE(A47590,""en"",""pt"")"),"Excelente qualidade de imagem")</f>
        <v>Excelente qualidade de imagem</v>
      </c>
      <c r="B47590" s="3">
        <v>1</v>
      </c>
    </row>
    <row r="47591" ht="15.75" customHeight="1" spans="1:2">
      <c r="A47591" s="3" t="str">
        <f>IFERROR(__xludf.DUMMYFUNCTION("GOOGLETRANSLATE(A47591,""en"",""pt"")"),"qualidade de construção, valor")</f>
        <v>qualidade de construção, valor</v>
      </c>
      <c r="B47591" s="3">
        <v>1</v>
      </c>
    </row>
    <row r="47592" ht="15.75" customHeight="1" spans="1:2">
      <c r="A47592" s="3" t="str">
        <f>IFERROR(__xludf.DUMMYFUNCTION("GOOGLETRANSLATE(A47592,""en"",""pt"")"),"Bom preço")</f>
        <v>Bom preço</v>
      </c>
      <c r="B47592" s="3">
        <v>1</v>
      </c>
    </row>
    <row r="47593" ht="15.75" customHeight="1" spans="1:2">
      <c r="A47593" s="3" t="str">
        <f>IFERROR(__xludf.DUMMYFUNCTION("GOOGLETRANSLATE(A47593,""en"",""pt"")"),"Ótima câmera, bom preço")</f>
        <v>Ótima câmera, bom preço</v>
      </c>
      <c r="B47593" s="3">
        <v>1</v>
      </c>
    </row>
    <row r="47594" ht="15.75" customHeight="1" spans="1:2">
      <c r="A47594" s="3" t="str">
        <f>IFERROR(__xludf.DUMMYFUNCTION("GOOGLETRANSLATE(A47594,""en"",""pt"")"),"Perfeito Pictures Every Time")</f>
        <v>Perfeito Pictures Every Time</v>
      </c>
      <c r="B47594" s="3">
        <v>1</v>
      </c>
    </row>
    <row r="47595" ht="15.75" customHeight="1" spans="1:2">
      <c r="A47595" s="3" t="str">
        <f>IFERROR(__xludf.DUMMYFUNCTION("GOOGLETRANSLATE(A47595,""en"",""pt"")"),"imagens nítidas")</f>
        <v>imagens nítidas</v>
      </c>
      <c r="B47595" s="3">
        <v>1</v>
      </c>
    </row>
    <row r="47596" ht="15.75" customHeight="1" spans="1:2">
      <c r="A47596" s="3" t="str">
        <f>IFERROR(__xludf.DUMMYFUNCTION("GOOGLETRANSLATE(A47596,""en"",""pt"")"),"preço, facilidade de uso, os lotes de características úteis")</f>
        <v>preço, facilidade de uso, os lotes de características úteis</v>
      </c>
      <c r="B47596" s="3">
        <v>1</v>
      </c>
    </row>
    <row r="47597" ht="15.75" customHeight="1" spans="1:2">
      <c r="A47597" s="3" t="str">
        <f>IFERROR(__xludf.DUMMYFUNCTION("GOOGLETRANSLATE(A47597,""en"",""pt"")"),"bom valor, leitor USB, tiros de boa qualidade, pequeno")</f>
        <v>bom valor, leitor USB, tiros de boa qualidade, pequeno</v>
      </c>
      <c r="B47597" s="3">
        <v>1</v>
      </c>
    </row>
    <row r="47598" ht="15.75" customHeight="1" spans="1:2">
      <c r="A47598" s="3" t="str">
        <f>IFERROR(__xludf.DUMMYFUNCTION("GOOGLETRANSLATE(A47598,""en"",""pt"")"),"Qualidade, preço, facilidade de uso")</f>
        <v>Qualidade, preço, facilidade de uso</v>
      </c>
      <c r="B47598" s="3">
        <v>1</v>
      </c>
    </row>
    <row r="47599" ht="15.75" customHeight="1" spans="1:2">
      <c r="A47599" s="3" t="str">
        <f>IFERROR(__xludf.DUMMYFUNCTION("GOOGLETRANSLATE(A47599,""en"",""pt"")"),"bom preço, boas fotos, perfeito para o uso da web")</f>
        <v>bom preço, boas fotos, perfeito para o uso da web</v>
      </c>
      <c r="B47599" s="3">
        <v>1</v>
      </c>
    </row>
    <row r="47600" ht="15.75" customHeight="1" spans="1:2">
      <c r="A47600" s="3" t="str">
        <f>IFERROR(__xludf.DUMMYFUNCTION("GOOGLETRANSLATE(A47600,""en"",""pt"")"),"Elegante, elegante, ótimas fotos, fácil de usar, grande valor, tudo realmente!")</f>
        <v>Elegante, elegante, ótimas fotos, fácil de usar, grande valor, tudo realmente!</v>
      </c>
      <c r="B47600" s="3">
        <v>1</v>
      </c>
    </row>
    <row r="47601" ht="15.75" customHeight="1" spans="1:2">
      <c r="A47601" s="3" t="str">
        <f>IFERROR(__xludf.DUMMYFUNCTION("GOOGLETRANSLATE(A47601,""en"",""pt"")"),"durável, peso leve, pequeno, fácil de usar")</f>
        <v>durável, peso leve, pequeno, fácil de usar</v>
      </c>
      <c r="B47601" s="3">
        <v>1</v>
      </c>
    </row>
    <row r="47602" ht="15.75" customHeight="1" spans="1:2">
      <c r="A47602" s="3" t="str">
        <f>IFERROR(__xludf.DUMMYFUNCTION("GOOGLETRANSLATE(A47602,""en"",""pt"")"),"Barato, boa qualidade Pics, Repleto de recursos")</f>
        <v>Barato, boa qualidade Pics, Repleto de recursos</v>
      </c>
      <c r="B47602" s="3">
        <v>1</v>
      </c>
    </row>
    <row r="47603" ht="15.75" customHeight="1" spans="1:2">
      <c r="A47603" s="3" t="str">
        <f>IFERROR(__xludf.DUMMYFUNCTION("GOOGLETRANSLATE(A47603,""en"",""pt"")"),"Ser capaz de fotos de exclusão como você levá-los")</f>
        <v>Ser capaz de fotos de exclusão como você levá-los</v>
      </c>
      <c r="B47603" s="3">
        <v>1</v>
      </c>
    </row>
    <row r="47604" ht="15.75" customHeight="1" spans="1:2">
      <c r="A47604" s="3" t="str">
        <f>IFERROR(__xludf.DUMMYFUNCTION("GOOGLETRANSLATE(A47604,""en"",""pt"")"),"Fácil de usar e fotos de qualidade")</f>
        <v>Fácil de usar e fotos de qualidade</v>
      </c>
      <c r="B47604" s="3">
        <v>1</v>
      </c>
    </row>
    <row r="47605" ht="15.75" customHeight="1" spans="1:2">
      <c r="A47605" s="3" t="str">
        <f>IFERROR(__xludf.DUMMYFUNCTION("GOOGLETRANSLATE(A47605,""en"",""pt"")"),"Fácil de usar, boas fotos, preços razoáveis")</f>
        <v>Fácil de usar, boas fotos, preços razoáveis</v>
      </c>
      <c r="B47605" s="3">
        <v>1</v>
      </c>
    </row>
    <row r="47606" ht="15.75" customHeight="1" spans="1:2">
      <c r="A47606" s="3" t="str">
        <f>IFERROR(__xludf.DUMMYFUNCTION("GOOGLETRANSLATE(A47606,""en"",""pt"")"),"Resistente, zoom óptico")</f>
        <v>Resistente, zoom óptico</v>
      </c>
      <c r="B47606" s="3">
        <v>1</v>
      </c>
    </row>
    <row r="47607" ht="15.75" customHeight="1" spans="1:2">
      <c r="A47607" s="3" t="str">
        <f>IFERROR(__xludf.DUMMYFUNCTION("GOOGLETRANSLATE(A47607,""en"",""pt"")"),"Facilidade de uso, fotos muito boas dentro sem movimento")</f>
        <v>Facilidade de uso, fotos muito boas dentro sem movimento</v>
      </c>
      <c r="B47607" s="3">
        <v>1</v>
      </c>
    </row>
    <row r="47608" ht="15.75" customHeight="1" spans="1:2">
      <c r="A47608" s="3" t="str">
        <f>IFERROR(__xludf.DUMMYFUNCTION("GOOGLETRANSLATE(A47608,""en"",""pt"")"),"Fácil de usar, acessível.")</f>
        <v>Fácil de usar, acessível.</v>
      </c>
      <c r="B47608" s="3">
        <v>1</v>
      </c>
    </row>
    <row r="47609" ht="15.75" customHeight="1" spans="1:2">
      <c r="A47609" s="3" t="str">
        <f>IFERROR(__xludf.DUMMYFUNCTION("GOOGLETRANSLATE(A47609,""en"",""pt"")"),"Excelente compra para o baixo custo! Funciona tão bem como as câmeras digitais mais caras !! Fácil e rápido de aprender a usar!")</f>
        <v>Excelente compra para o baixo custo! Funciona tão bem como as câmeras digitais mais caras !! Fácil e rápido de aprender a usar!</v>
      </c>
      <c r="B47609" s="3">
        <v>1</v>
      </c>
    </row>
    <row r="47610" ht="15.75" customHeight="1" spans="1:2">
      <c r="A47610" s="3" t="str">
        <f>IFERROR(__xludf.DUMMYFUNCTION("GOOGLETRANSLATE(A47610,""en"",""pt"")"),"compactos, olhando agradável, muito boas fotos")</f>
        <v>compactos, olhando agradável, muito boas fotos</v>
      </c>
      <c r="B47610" s="3">
        <v>1</v>
      </c>
    </row>
    <row r="47611" ht="15.75" customHeight="1" spans="1:2">
      <c r="A47611" s="3" t="str">
        <f>IFERROR(__xludf.DUMMYFUNCTION("GOOGLETRANSLATE(A47611,""en"",""pt"")"),"Rápido, fácil, conveniente")</f>
        <v>Rápido, fácil, conveniente</v>
      </c>
      <c r="B47611" s="3">
        <v>1</v>
      </c>
    </row>
    <row r="47612" ht="15.75" customHeight="1" spans="1:2">
      <c r="A47612" s="3" t="str">
        <f>IFERROR(__xludf.DUMMYFUNCTION("GOOGLETRANSLATE(A47612,""en"",""pt"")"),"Veja fotos imediatamente.")</f>
        <v>Veja fotos imediatamente.</v>
      </c>
      <c r="B47612" s="3">
        <v>1</v>
      </c>
    </row>
    <row r="47613" ht="15.75" customHeight="1" spans="1:2">
      <c r="A47613" s="3" t="str">
        <f>IFERROR(__xludf.DUMMYFUNCTION("GOOGLETRANSLATE(A47613,""en"",""pt"")"),"Preço, facilidade de uso")</f>
        <v>Preço, facilidade de uso</v>
      </c>
      <c r="B47613" s="3">
        <v>1</v>
      </c>
    </row>
    <row r="47614" ht="15.75" customHeight="1" spans="1:2">
      <c r="A47614" s="3" t="str">
        <f>IFERROR(__xludf.DUMMYFUNCTION("GOOGLETRANSLATE(A47614,""en"",""pt"")"),"Grandes imagens, grandes recursos. Estou apaixonado!")</f>
        <v>Grandes imagens, grandes recursos. Estou apaixonado!</v>
      </c>
      <c r="B47614" s="3">
        <v>1</v>
      </c>
    </row>
    <row r="47615" ht="15.75" customHeight="1" spans="1:2">
      <c r="A47615" s="3" t="str">
        <f>IFERROR(__xludf.DUMMYFUNCTION("GOOGLETRANSLATE(A47615,""en"",""pt"")"),"Compacto e fácil de usar")</f>
        <v>Compacto e fácil de usar</v>
      </c>
      <c r="B47615" s="3">
        <v>1</v>
      </c>
    </row>
    <row r="47616" ht="15.75" customHeight="1" spans="1:2">
      <c r="A47616" s="3" t="str">
        <f>IFERROR(__xludf.DUMMYFUNCTION("GOOGLETRANSLATE(A47616,""en"",""pt"")"),"Estrondo para o fanfarrão, Mega-pixel, LCD por menos de $ 300")</f>
        <v>Estrondo para o fanfarrão, Mega-pixel, LCD por menos de $ 300</v>
      </c>
      <c r="B47616" s="3">
        <v>1</v>
      </c>
    </row>
    <row r="47617" ht="15.75" customHeight="1" spans="1:2">
      <c r="A47617" s="3" t="s">
        <v>234</v>
      </c>
      <c r="B47617" s="3">
        <v>1</v>
      </c>
    </row>
    <row r="47618" ht="15.75" customHeight="1" spans="1:2">
      <c r="A47618" s="3" t="str">
        <f>IFERROR(__xludf.DUMMYFUNCTION("GOOGLETRANSLATE(A47618,""en"",""pt"")"),"Fácil de configurar, fácil de usar")</f>
        <v>Fácil de configurar, fácil de usar</v>
      </c>
      <c r="B47618" s="3">
        <v>1</v>
      </c>
    </row>
    <row r="47619" ht="15.75" customHeight="1" spans="1:2">
      <c r="A47619" s="3" t="str">
        <f>IFERROR(__xludf.DUMMYFUNCTION("GOOGLETRANSLATE(A47619,""en"",""pt"")"),"Você pode apagar uma imagem se você não gostar dele. Nenhum filme desperdiçado ou à espera de filme a ser processado.")</f>
        <v>Você pode apagar uma imagem se você não gostar dele. Nenhum filme desperdiçado ou à espera de filme a ser processado.</v>
      </c>
      <c r="B47619" s="3">
        <v>1</v>
      </c>
    </row>
    <row r="47620" ht="15.75" customHeight="1" spans="1:2">
      <c r="A47620" s="3" t="str">
        <f>IFERROR(__xludf.DUMMYFUNCTION("GOOGLETRANSLATE(A47620,""en"",""pt"")"),"imagem de boa qualidade, fácil de usar, redução de olhos vermelhos e outras ótimas opções, &amp; amp; amp; preço acessível.")</f>
        <v>imagem de boa qualidade, fácil de usar, redução de olhos vermelhos e outras ótimas opções, &amp; amp; amp; preço acessível.</v>
      </c>
      <c r="B47620" s="3">
        <v>1</v>
      </c>
    </row>
    <row r="47621" ht="15.75" customHeight="1" spans="1:2">
      <c r="A47621" s="3" t="str">
        <f>IFERROR(__xludf.DUMMYFUNCTION("GOOGLETRANSLATE(A47621,""en"",""pt"")"),"Digital, muitas fotos, fácil de usar")</f>
        <v>Digital, muitas fotos, fácil de usar</v>
      </c>
      <c r="B47621" s="3">
        <v>1</v>
      </c>
    </row>
    <row r="47622" ht="15.75" customHeight="1" spans="1:2">
      <c r="A47622" s="3" t="str">
        <f>IFERROR(__xludf.DUMMYFUNCTION("GOOGLETRANSLATE(A47622,""en"",""pt"")"),"Muito fácil de usar, Lojas de grande número de tiros")</f>
        <v>Muito fácil de usar, Lojas de grande número de tiros</v>
      </c>
      <c r="B47622" s="3">
        <v>1</v>
      </c>
    </row>
    <row r="47623" ht="15.75" customHeight="1" spans="1:2">
      <c r="A47623" s="3" t="str">
        <f>IFERROR(__xludf.DUMMYFUNCTION("GOOGLETRANSLATE(A47623,""en"",""pt"")"),"Fácil de usar, o peso leve, câmera sensação agradável")</f>
        <v>Fácil de usar, o peso leve, câmera sensação agradável</v>
      </c>
      <c r="B47623" s="3">
        <v>1</v>
      </c>
    </row>
    <row r="47624" ht="15.75" customHeight="1" spans="1:2">
      <c r="A47624" s="3" t="str">
        <f>IFERROR(__xludf.DUMMYFUNCTION("GOOGLETRANSLATE(A47624,""en"",""pt"")"),"Kokak DC215")</f>
        <v>Kokak DC215</v>
      </c>
      <c r="B47624" s="3">
        <v>1</v>
      </c>
    </row>
    <row r="47625" ht="15.75" customHeight="1" spans="1:2">
      <c r="A47625" s="3" t="str">
        <f>IFERROR(__xludf.DUMMYFUNCTION("GOOGLETRANSLATE(A47625,""en"",""pt"")"),"boa imagem, boa interface, bom preço")</f>
        <v>boa imagem, boa interface, bom preço</v>
      </c>
      <c r="B47625" s="3">
        <v>1</v>
      </c>
    </row>
    <row r="47626" ht="15.75" customHeight="1" spans="1:2">
      <c r="A47626" s="3" t="str">
        <f>IFERROR(__xludf.DUMMYFUNCTION("GOOGLETRANSLATE(A47626,""en"",""pt"")"),"tamanho, peso, opções de foto")</f>
        <v>tamanho, peso, opções de foto</v>
      </c>
      <c r="B47626" s="3">
        <v>1</v>
      </c>
    </row>
    <row r="47627" ht="15.75" customHeight="1" spans="1:2">
      <c r="A47627" s="3" t="str">
        <f>IFERROR(__xludf.DUMMYFUNCTION("GOOGLETRANSLATE(A47627,""en"",""pt"")"),"Simples de usar, muita clareza e Reprodução de Cor")</f>
        <v>Simples de usar, muita clareza e Reprodução de Cor</v>
      </c>
      <c r="B47627" s="3">
        <v>1</v>
      </c>
    </row>
    <row r="47628" ht="15.75" customHeight="1" spans="1:2">
      <c r="A47628" s="3" t="str">
        <f>IFERROR(__xludf.DUMMYFUNCTION("GOOGLETRANSLATE(A47628,""en"",""pt"")"),"câmara corpo sólido. Boa interior, e-mail, &amp; amp; amp; menores as fotos de qualidade impressos. Muito fácil de usar, e uma boa documentação.")</f>
        <v>câmara corpo sólido. Boa interior, e-mail, &amp; amp; amp; menores as fotos de qualidade impressos. Muito fácil de usar, e uma boa documentação.</v>
      </c>
      <c r="B47628" s="3">
        <v>1</v>
      </c>
    </row>
    <row r="47629" ht="15.75" customHeight="1" spans="1:2">
      <c r="A47629" s="3" t="str">
        <f>IFERROR(__xludf.DUMMYFUNCTION("GOOGLETRANSLATE(A47629,""en"",""pt"")"),"Fácil de usar")</f>
        <v>Fácil de usar</v>
      </c>
      <c r="B47629" s="3">
        <v>1</v>
      </c>
    </row>
    <row r="47630" ht="15.75" customHeight="1" spans="1:2">
      <c r="A47630" s="3" t="str">
        <f>IFERROR(__xludf.DUMMYFUNCTION("GOOGLETRANSLATE(A47630,""en"",""pt"")"),"grande qualidade fotográfica")</f>
        <v>grande qualidade fotográfica</v>
      </c>
      <c r="B47630" s="3">
        <v>1</v>
      </c>
    </row>
    <row r="47631" ht="15.75" customHeight="1" spans="1:2">
      <c r="A47631" s="3" t="str">
        <f>IFERROR(__xludf.DUMMYFUNCTION("GOOGLETRANSLATE(A47631,""en"",""pt"")"),"uma excelente introdução à fotografia digital")</f>
        <v>uma excelente introdução à fotografia digital</v>
      </c>
      <c r="B47631" s="3">
        <v>1</v>
      </c>
    </row>
    <row r="47632" ht="15.75" customHeight="1" spans="1:2">
      <c r="A47632" s="3" t="str">
        <f>IFERROR(__xludf.DUMMYFUNCTION("GOOGLETRANSLATE(A47632,""en"",""pt"")"),"Fácil de usar e entender")</f>
        <v>Fácil de usar e entender</v>
      </c>
      <c r="B47632" s="3">
        <v>1</v>
      </c>
    </row>
    <row r="47633" ht="15.75" customHeight="1" spans="1:2">
      <c r="A47633" s="3" t="str">
        <f>IFERROR(__xludf.DUMMYFUNCTION("GOOGLETRANSLATE(A47633,""en"",""pt"")"),"Fácil de usar")</f>
        <v>Fácil de usar</v>
      </c>
      <c r="B47633" s="3">
        <v>1</v>
      </c>
    </row>
    <row r="47634" ht="15.75" customHeight="1" spans="1:2">
      <c r="A47634" s="3" t="str">
        <f>IFERROR(__xludf.DUMMYFUNCTION("GOOGLETRANSLATE(A47634,""en"",""pt"")"),"qualidade, availablity, tela de lcd, estilo")</f>
        <v>qualidade, availablity, tela de lcd, estilo</v>
      </c>
      <c r="B47634" s="3">
        <v>1</v>
      </c>
    </row>
    <row r="47635" ht="15.75" customHeight="1" spans="1:2">
      <c r="A47635" s="3" t="str">
        <f>IFERROR(__xludf.DUMMYFUNCTION("GOOGLETRANSLATE(A47635,""en"",""pt"")"),"A imagem impressionante tomada, utilização fácil")</f>
        <v>A imagem impressionante tomada, utilização fácil</v>
      </c>
      <c r="B47635" s="3">
        <v>1</v>
      </c>
    </row>
    <row r="47636" ht="15.75" customHeight="1" spans="1:2">
      <c r="A47636" s="3" t="str">
        <f>IFERROR(__xludf.DUMMYFUNCTION("GOOGLETRANSLATE(A47636,""en"",""pt"")"),"Facilidade de utilização, as funções de, baixo custo")</f>
        <v>Facilidade de utilização, as funções de, baixo custo</v>
      </c>
      <c r="B47636" s="3">
        <v>1</v>
      </c>
    </row>
    <row r="47637" ht="15.75" customHeight="1" spans="1:2">
      <c r="A47637" s="3" t="str">
        <f>IFERROR(__xludf.DUMMYFUNCTION("GOOGLETRANSLATE(A47637,""en"",""pt"")"),"Preço, durabilidade, garantia, recursos")</f>
        <v>Preço, durabilidade, garantia, recursos</v>
      </c>
      <c r="B47637" s="3">
        <v>1</v>
      </c>
    </row>
    <row r="47638" ht="15.75" customHeight="1" spans="1:2">
      <c r="A47638" s="3" t="str">
        <f>IFERROR(__xludf.DUMMYFUNCTION("GOOGLETRANSLATE(A47638,""en"",""pt"")"),"1 Megapixel, Preço, Zoom, Fácil de usar, grande qualidade interior.")</f>
        <v>1 Megapixel, Preço, Zoom, Fácil de usar, grande qualidade interior.</v>
      </c>
      <c r="B47638" s="3">
        <v>1</v>
      </c>
    </row>
    <row r="47639" ht="15.75" customHeight="1" spans="1:2">
      <c r="A47639" s="3" t="str">
        <f>IFERROR(__xludf.DUMMYFUNCTION("GOOGLETRANSLATE(A47639,""en"",""pt"")"),"Fácil de usar, display LCD superior informativa, se sente de boa qualidade, qualidade de imagem feira")</f>
        <v>Fácil de usar, display LCD superior informativa, se sente de boa qualidade, qualidade de imagem feira</v>
      </c>
      <c r="B47639" s="3">
        <v>1</v>
      </c>
    </row>
    <row r="47640" ht="15.75" customHeight="1" spans="1:2">
      <c r="A47640" s="3" t="str">
        <f>IFERROR(__xludf.DUMMYFUNCTION("GOOGLETRANSLATE(A47640,""en"",""pt"")"),"Qualidade Kodak revestimento de lente; pequeno, leve; versátil; grande cor; imagens nítidas; grandes close-ups, noite-shots.")</f>
        <v>Qualidade Kodak revestimento de lente; pequeno, leve; versátil; grande cor; imagens nítidas; grandes close-ups, noite-shots.</v>
      </c>
      <c r="B47640" s="3">
        <v>1</v>
      </c>
    </row>
    <row r="47641" ht="15.75" customHeight="1" spans="1:2">
      <c r="A47641" s="3" t="str">
        <f>IFERROR(__xludf.DUMMYFUNCTION("GOOGLETRANSLATE(A47641,""en"",""pt"")"),"preço, facilidade de uso, fotos agradáveis ​​de qualidade, tela de LCD, tamanho pequeno, 2x de zoom")</f>
        <v>preço, facilidade de uso, fotos agradáveis ​​de qualidade, tela de LCD, tamanho pequeno, 2x de zoom</v>
      </c>
      <c r="B47641" s="3">
        <v>1</v>
      </c>
    </row>
    <row r="47642" ht="15.75" customHeight="1" spans="1:2">
      <c r="A47642" s="3" t="str">
        <f>IFERROR(__xludf.DUMMYFUNCTION("GOOGLETRANSLATE(A47642,""en"",""pt"")"),"Fácil de usar, boa qualidade de imagem")</f>
        <v>Fácil de usar, boa qualidade de imagem</v>
      </c>
      <c r="B47642" s="3">
        <v>1</v>
      </c>
    </row>
    <row r="47643" ht="15.75" customHeight="1" spans="1:2">
      <c r="A47643" s="3" t="str">
        <f>IFERROR(__xludf.DUMMYFUNCTION("GOOGLETRANSLATE(A47643,""en"",""pt"")"),"Grande qualidade fotografias, cartão Compact Flash, vale a pena peso em ouro!")</f>
        <v>Grande qualidade fotografias, cartão Compact Flash, vale a pena peso em ouro!</v>
      </c>
      <c r="B47643" s="3">
        <v>1</v>
      </c>
    </row>
    <row r="47644" ht="15.75" customHeight="1" spans="1:2">
      <c r="A47644" s="3" t="str">
        <f>IFERROR(__xludf.DUMMYFUNCTION("GOOGLETRANSLATE(A47644,""en"",""pt"")"),"Fácil de usar, fotos decentes de qualidade, boas características para o preço.")</f>
        <v>Fácil de usar, fotos decentes de qualidade, boas características para o preço.</v>
      </c>
      <c r="B47644" s="3">
        <v>1</v>
      </c>
    </row>
    <row r="47645" ht="15.75" customHeight="1" spans="1:2">
      <c r="A47645" s="3" t="str">
        <f>IFERROR(__xludf.DUMMYFUNCTION("GOOGLETRANSLATE(A47645,""en"",""pt"")"),"Pequeno, resistente. Barato para o que você. Scandisk USB para transferência de fotos.")</f>
        <v>Pequeno, resistente. Barato para o que você. Scandisk USB para transferência de fotos.</v>
      </c>
      <c r="B47645" s="3">
        <v>1</v>
      </c>
    </row>
    <row r="47646" ht="15.75" customHeight="1" spans="1:2">
      <c r="A47646" s="3" t="str">
        <f>IFERROR(__xludf.DUMMYFUNCTION("GOOGLETRANSLATE(A47646,""en"",""pt"")"),"Muito fácil de usar com fotos de qualidade.")</f>
        <v>Muito fácil de usar com fotos de qualidade.</v>
      </c>
      <c r="B47646" s="3">
        <v>1</v>
      </c>
    </row>
    <row r="47647" ht="15.75" customHeight="1" spans="1:2">
      <c r="A47647" s="3" t="str">
        <f>IFERROR(__xludf.DUMMYFUNCTION("GOOGLETRANSLATE(A47647,""en"",""pt"")"),"Lojas muitas imagens, não há necessidade de filme de mudança depois de 24 exposições!")</f>
        <v>Lojas muitas imagens, não há necessidade de filme de mudança depois de 24 exposições!</v>
      </c>
      <c r="B47647" s="3">
        <v>1</v>
      </c>
    </row>
    <row r="47648" ht="15.75" customHeight="1" spans="1:2">
      <c r="A47648" s="3" t="str">
        <f>IFERROR(__xludf.DUMMYFUNCTION("GOOGLETRANSLATE(A47648,""en"",""pt"")"),"Excelentes Fechar imagens para cima.")</f>
        <v>Excelentes Fechar imagens para cima.</v>
      </c>
      <c r="B47648" s="3">
        <v>1</v>
      </c>
    </row>
    <row r="47649" ht="15.75" customHeight="1" spans="1:2">
      <c r="A47649" s="3" t="str">
        <f>IFERROR(__xludf.DUMMYFUNCTION("GOOGLETRANSLATE(A47649,""en"",""pt"")"),"redução de olhos vermelhos Zoom, Flash /, fácil de usar, Limpar fotos")</f>
        <v>redução de olhos vermelhos Zoom, Flash /, fácil de usar, Limpar fotos</v>
      </c>
      <c r="B47649" s="3">
        <v>1</v>
      </c>
    </row>
    <row r="47650" ht="15.75" customHeight="1" spans="1:2">
      <c r="A47650" s="3" t="str">
        <f>IFERROR(__xludf.DUMMYFUNCTION("GOOGLETRANSLATE(A47650,""en"",""pt"")"),"Ótima câmera, excelentes fotos!")</f>
        <v>Ótima câmera, excelentes fotos!</v>
      </c>
      <c r="B47650" s="3">
        <v>1</v>
      </c>
    </row>
    <row r="47651" ht="15.75" customHeight="1" spans="1:2">
      <c r="A47651" s="3" t="str">
        <f>IFERROR(__xludf.DUMMYFUNCTION("GOOGLETRANSLATE(A47651,""en"",""pt"")"),"Não muito caro. boas muito close-ups. Construído muito resistente.")</f>
        <v>Não muito caro. boas muito close-ups. Construído muito resistente.</v>
      </c>
      <c r="B47651" s="3">
        <v>1</v>
      </c>
    </row>
    <row r="47652" ht="15.75" customHeight="1" spans="1:2">
      <c r="A47652" s="3" t="str">
        <f>IFERROR(__xludf.DUMMYFUNCTION("GOOGLETRANSLATE(A47652,""en"",""pt"")"),"Grande resultado em um pequeno pacote bonito")</f>
        <v>Grande resultado em um pequeno pacote bonito</v>
      </c>
      <c r="B47652" s="3">
        <v>1</v>
      </c>
    </row>
    <row r="47653" ht="15.75" customHeight="1" spans="1:2">
      <c r="A47653" s="3" t="str">
        <f>IFERROR(__xludf.DUMMYFUNCTION("GOOGLETRANSLATE(A47653,""en"",""pt"")"),"Fácil de usar, muitas fotos, de boa qualidade, fácil transferência para computadores.")</f>
        <v>Fácil de usar, muitas fotos, de boa qualidade, fácil transferência para computadores.</v>
      </c>
      <c r="B47653" s="3">
        <v>1</v>
      </c>
    </row>
    <row r="47654" ht="15.75" customHeight="1" spans="1:2">
      <c r="A47654" s="3" t="str">
        <f>IFERROR(__xludf.DUMMYFUNCTION("GOOGLETRANSLATE(A47654,""en"",""pt"")"),"Compacto e digitais")</f>
        <v>Compacto e digitais</v>
      </c>
      <c r="B47654" s="3">
        <v>1</v>
      </c>
    </row>
    <row r="47655" ht="15.75" customHeight="1" spans="1:2">
      <c r="A47655" s="3" t="str">
        <f>IFERROR(__xludf.DUMMYFUNCTION("GOOGLETRANSLATE(A47655,""en"",""pt"")"),"USB, facilidade de uso, ótimas fotos")</f>
        <v>USB, facilidade de uso, ótimas fotos</v>
      </c>
      <c r="B47655" s="3">
        <v>1</v>
      </c>
    </row>
    <row r="47656" ht="15.75" customHeight="1" spans="1:2">
      <c r="A47656" s="3" t="str">
        <f>IFERROR(__xludf.DUMMYFUNCTION("GOOGLETRANSLATE(A47656,""en"",""pt"")"),"Todos os extras que veio com ele são fáceis de usar. A opção de olhar através do olho mágico ou vê-lo na tela.")</f>
        <v>Todos os extras que veio com ele são fáceis de usar. A opção de olhar através do olho mágico ou vê-lo na tela.</v>
      </c>
      <c r="B47656" s="3">
        <v>1</v>
      </c>
    </row>
    <row r="47657" ht="15.75" customHeight="1" spans="1:2">
      <c r="A47657" s="3" t="str">
        <f>IFERROR(__xludf.DUMMYFUNCTION("GOOGLETRANSLATE(A47657,""en"",""pt"")"),"comparáveis ​​aos modelos mais caros")</f>
        <v>comparáveis ​​aos modelos mais caros</v>
      </c>
      <c r="B47657" s="3">
        <v>1</v>
      </c>
    </row>
    <row r="47658" ht="15.75" customHeight="1" spans="1:2">
      <c r="A47658" s="3" t="str">
        <f>IFERROR(__xludf.DUMMYFUNCTION("GOOGLETRANSLATE(A47658,""en"",""pt"")"),"fotos grandes, grande qualidade")</f>
        <v>fotos grandes, grande qualidade</v>
      </c>
      <c r="B47658" s="3">
        <v>1</v>
      </c>
    </row>
    <row r="47659" ht="15.75" customHeight="1" spans="1:2">
      <c r="A47659" s="3" t="str">
        <f>IFERROR(__xludf.DUMMYFUNCTION("GOOGLETRANSLATE(A47659,""en"",""pt"")"),"fotos maravilhosas, apagar o que você não gosta, fácil")</f>
        <v>fotos maravilhosas, apagar o que você não gosta, fácil</v>
      </c>
      <c r="B47659" s="3">
        <v>1</v>
      </c>
    </row>
    <row r="47660" ht="15.75" customHeight="1" spans="1:2">
      <c r="A47660" s="3" t="str">
        <f>IFERROR(__xludf.DUMMYFUNCTION("GOOGLETRANSLATE(A47660,""en"",""pt"")"),"Compact, tamanho prático")</f>
        <v>Compact, tamanho prático</v>
      </c>
      <c r="B47660" s="3">
        <v>1</v>
      </c>
    </row>
    <row r="47661" ht="15.75" customHeight="1" spans="1:2">
      <c r="A47661" s="3" t="str">
        <f>IFERROR(__xludf.DUMMYFUNCTION("GOOGLETRANSLATE(A47661,""en"",""pt"")"),"Terrific qualidade da foto, grande apoio, fácil de usar")</f>
        <v>Terrific qualidade da foto, grande apoio, fácil de usar</v>
      </c>
      <c r="B47661" s="3">
        <v>1</v>
      </c>
    </row>
    <row r="47662" ht="15.75" customHeight="1" spans="1:2">
      <c r="A47662" s="3" t="str">
        <f>IFERROR(__xludf.DUMMYFUNCTION("GOOGLETRANSLATE(A47662,""en"",""pt"")"),"Grandes diurnas imagens, muito fácil de usar")</f>
        <v>Grandes diurnas imagens, muito fácil de usar</v>
      </c>
      <c r="B47662" s="3">
        <v>1</v>
      </c>
    </row>
    <row r="47663" ht="15.75" customHeight="1" spans="1:2">
      <c r="A47663" s="3" t="str">
        <f>IFERROR(__xludf.DUMMYFUNCTION("GOOGLETRANSLATE(A47663,""en"",""pt"")"),"zoom óptico, a vida da bateria, tamanho")</f>
        <v>zoom óptico, a vida da bateria, tamanho</v>
      </c>
      <c r="B47663" s="3">
        <v>1</v>
      </c>
    </row>
    <row r="47664" ht="15.75" customHeight="1" spans="1:2">
      <c r="A47664" s="3" t="str">
        <f>IFERROR(__xludf.DUMMYFUNCTION("GOOGLETRANSLATE(A47664,""en"",""pt"")"),"Conexão USB, pode tirar fotos em rápida sucessão, rápido e fácil de usar para webmasters")</f>
        <v>Conexão USB, pode tirar fotos em rápida sucessão, rápido e fácil de usar para webmasters</v>
      </c>
      <c r="B47664" s="3">
        <v>1</v>
      </c>
    </row>
    <row r="47665" ht="15.75" customHeight="1" spans="1:2">
      <c r="A47665" s="3" t="str">
        <f>IFERROR(__xludf.DUMMYFUNCTION("GOOGLETRANSLATE(A47665,""en"",""pt"")"),"Tira boas fotos, e muitos deles antes de baixar.")</f>
        <v>Tira boas fotos, e muitos deles antes de baixar.</v>
      </c>
      <c r="B47665" s="3">
        <v>1</v>
      </c>
    </row>
    <row r="47666" ht="15.75" customHeight="1" spans="1:2">
      <c r="A47666" s="3" t="str">
        <f>IFERROR(__xludf.DUMMYFUNCTION("GOOGLETRANSLATE(A47666,""en"",""pt"")"),"Ótimas fotos")</f>
        <v>Ótimas fotos</v>
      </c>
      <c r="B47666" s="3">
        <v>1</v>
      </c>
    </row>
    <row r="47667" ht="15.75" customHeight="1" spans="1:2">
      <c r="A47667" s="3" t="str">
        <f>IFERROR(__xludf.DUMMYFUNCTION("GOOGLETRANSLATE(A47667,""en"",""pt"")"),"pequeno, fácil de transportar")</f>
        <v>pequeno, fácil de transportar</v>
      </c>
      <c r="B47667" s="3">
        <v>1</v>
      </c>
    </row>
    <row r="47668" ht="15.75" customHeight="1" spans="1:2">
      <c r="A47668" s="3" t="str">
        <f>IFERROR(__xludf.DUMMYFUNCTION("GOOGLETRANSLATE(A47668,""en"",""pt"")"),"Grandes tiros, boa bateria, Digital")</f>
        <v>Grandes tiros, boa bateria, Digital</v>
      </c>
      <c r="B47668" s="3">
        <v>1</v>
      </c>
    </row>
    <row r="47669" ht="15.75" customHeight="1" spans="1:2">
      <c r="A47669" s="3" t="str">
        <f>IFERROR(__xludf.DUMMYFUNCTION("GOOGLETRANSLATE(A47669,""en"",""pt"")"),"Fácil de usar, leva mini disco, escolha em qualidade de imagem, escolha de cor, B &amp; amp; amp; W, sépia, carregador de bateria e baterias incluídas, zoom")</f>
        <v>Fácil de usar, leva mini disco, escolha em qualidade de imagem, escolha de cor, B &amp; amp; amp; W, sépia, carregador de bateria e baterias incluídas, zoom</v>
      </c>
      <c r="B47669" s="3">
        <v>1</v>
      </c>
    </row>
    <row r="47670" ht="15.75" customHeight="1" spans="1:2">
      <c r="A47670" s="3" t="str">
        <f>IFERROR(__xludf.DUMMYFUNCTION("GOOGLETRANSLATE(A47670,""en"",""pt"")"),"Fácil de usar")</f>
        <v>Fácil de usar</v>
      </c>
      <c r="B47670" s="3">
        <v>1</v>
      </c>
    </row>
    <row r="47671" ht="15.75" customHeight="1" spans="1:2">
      <c r="A47671" s="3" t="str">
        <f>IFERROR(__xludf.DUMMYFUNCTION("GOOGLETRANSLATE(A47671,""en"",""pt"")"),"Fácil de usar, confiável")</f>
        <v>Fácil de usar, confiável</v>
      </c>
      <c r="B47671" s="3">
        <v>1</v>
      </c>
    </row>
    <row r="47672" ht="15.75" customHeight="1" spans="1:2">
      <c r="A47672" s="3" t="str">
        <f>IFERROR(__xludf.DUMMYFUNCTION("GOOGLETRANSLATE(A47672,""en"",""pt"")"),"Fácil de usar; Bom valor para o dinheiro; Ótima câmera para o novato")</f>
        <v>Fácil de usar; Bom valor para o dinheiro; Ótima câmera para o novato</v>
      </c>
      <c r="B47672" s="3">
        <v>1</v>
      </c>
    </row>
    <row r="47673" ht="15.75" customHeight="1" spans="1:2">
      <c r="A47673" s="3" t="str">
        <f>IFERROR(__xludf.DUMMYFUNCTION("GOOGLETRANSLATE(A47673,""en"",""pt"")"),"zoom óptico, bateria de longa duração, a facilidade de utilização")</f>
        <v>zoom óptico, bateria de longa duração, a facilidade de utilização</v>
      </c>
      <c r="B47673" s="3">
        <v>1</v>
      </c>
    </row>
    <row r="47674" ht="15.75" customHeight="1" spans="1:2">
      <c r="A47674" s="3" t="str">
        <f>IFERROR(__xludf.DUMMYFUNCTION("GOOGLETRANSLATE(A47674,""en"",""pt"")"),"tirar muitas fotos w / o ter que recarregar qualquer coisa, agradável de focagem automática, preço razoável para a sua qualidade")</f>
        <v>tirar muitas fotos w / o ter que recarregar qualquer coisa, agradável de focagem automática, preço razoável para a sua qualidade</v>
      </c>
      <c r="B47674" s="3">
        <v>1</v>
      </c>
    </row>
    <row r="47675" ht="15.75" customHeight="1" spans="1:2">
      <c r="A47675" s="3" t="str">
        <f>IFERROR(__xludf.DUMMYFUNCTION("GOOGLETRANSLATE(A47675,""en"",""pt"")"),"Usr qualidade amigável e boa")</f>
        <v>Usr qualidade amigável e boa</v>
      </c>
      <c r="B47675" s="3">
        <v>1</v>
      </c>
    </row>
    <row r="47676" ht="15.75" customHeight="1" spans="1:2">
      <c r="A47676" s="3" t="str">
        <f>IFERROR(__xludf.DUMMYFUNCTION("GOOGLETRANSLATE(A47676,""en"",""pt"")"),"Pequeno, fácil de usar, ótimo preço.")</f>
        <v>Pequeno, fácil de usar, ótimo preço.</v>
      </c>
      <c r="B47676" s="3">
        <v>1</v>
      </c>
    </row>
    <row r="47677" ht="15.75" customHeight="1" spans="1:2">
      <c r="A47677" s="3" t="str">
        <f>IFERROR(__xludf.DUMMYFUNCTION("GOOGLETRANSLATE(A47677,""en"",""pt"")"),"Não um")</f>
        <v>Não um</v>
      </c>
      <c r="B47677" s="3">
        <v>1</v>
      </c>
    </row>
    <row r="47678" ht="15.75" customHeight="1" spans="1:2">
      <c r="A47678" s="3" t="str">
        <f>IFERROR(__xludf.DUMMYFUNCTION("GOOGLETRANSLATE(A47678,""en"",""pt"")"),"Fácil de usar, ver fotos instantaneamente e os de exclusão que você não quer")</f>
        <v>Fácil de usar, ver fotos instantaneamente e os de exclusão que você não quer</v>
      </c>
      <c r="B47678" s="3">
        <v>1</v>
      </c>
    </row>
    <row r="47679" ht="15.75" customHeight="1" spans="1:2">
      <c r="A47679" s="3" t="str">
        <f>IFERROR(__xludf.DUMMYFUNCTION("GOOGLETRANSLATE(A47679,""en"",""pt"")"),"Facilidade de uso, de grande qualidade, cartão de memória bastante grande.")</f>
        <v>Facilidade de uso, de grande qualidade, cartão de memória bastante grande.</v>
      </c>
      <c r="B47679" s="3">
        <v>1</v>
      </c>
    </row>
    <row r="47680" ht="15.75" customHeight="1" spans="1:2">
      <c r="A47680" s="3" t="str">
        <f>IFERROR(__xludf.DUMMYFUNCTION("GOOGLETRANSLATE(A47680,""en"",""pt"")"),"boa aparência, facilidade de uso, a preços acessíveis")</f>
        <v>boa aparência, facilidade de uso, a preços acessíveis</v>
      </c>
      <c r="B47680" s="3">
        <v>1</v>
      </c>
    </row>
    <row r="47681" ht="15.75" customHeight="1" spans="1:2">
      <c r="A47681" s="3" t="str">
        <f>IFERROR(__xludf.DUMMYFUNCTION("GOOGLETRANSLATE(A47681,""en"",""pt"")"),"Fácil de usar, boas fotos")</f>
        <v>Fácil de usar, boas fotos</v>
      </c>
      <c r="B47681" s="3">
        <v>1</v>
      </c>
    </row>
    <row r="47682" ht="15.75" customHeight="1" spans="1:2">
      <c r="A47682" s="3" t="str">
        <f>IFERROR(__xludf.DUMMYFUNCTION("GOOGLETRANSLATE(A47682,""en"",""pt"")"),"compacta, excelente qualidade, divertido de usar")</f>
        <v>compacta, excelente qualidade, divertido de usar</v>
      </c>
      <c r="B47682" s="3">
        <v>1</v>
      </c>
    </row>
    <row r="47683" ht="15.75" customHeight="1" spans="1:2">
      <c r="A47683" s="3" t="str">
        <f>IFERROR(__xludf.DUMMYFUNCTION("GOOGLETRANSLATE(A47683,""en"",""pt"")"),"Facilidade de uso, imagens de qualidade, seletividade de fotos")</f>
        <v>Facilidade de uso, imagens de qualidade, seletividade de fotos</v>
      </c>
      <c r="B47683" s="3">
        <v>1</v>
      </c>
    </row>
    <row r="47684" ht="15.75" customHeight="1" spans="1:2">
      <c r="A47684" s="3" t="str">
        <f>IFERROR(__xludf.DUMMYFUNCTION("GOOGLETRANSLATE(A47684,""en"",""pt"")"),"Superb rendição de cor, As imagens nítidas, potente e fácil de usar")</f>
        <v>Superb rendição de cor, As imagens nítidas, potente e fácil de usar</v>
      </c>
      <c r="B47684" s="3">
        <v>1</v>
      </c>
    </row>
    <row r="47685" ht="15.75" customHeight="1" spans="1:2">
      <c r="A47685" s="3" t="str">
        <f>IFERROR(__xludf.DUMMYFUNCTION("GOOGLETRANSLATE(A47685,""en"",""pt"")"),"facilidade de uso, apresenta")</f>
        <v>facilidade de uso, apresenta</v>
      </c>
      <c r="B47685" s="3">
        <v>1</v>
      </c>
    </row>
    <row r="47686" ht="15.75" customHeight="1" spans="1:2">
      <c r="A47686" s="3" t="str">
        <f>IFERROR(__xludf.DUMMYFUNCTION("GOOGLETRANSLATE(A47686,""en"",""pt"")"),"pequeno, leve, resistente, de baixo custo, viewfinder")</f>
        <v>pequeno, leve, resistente, de baixo custo, viewfinder</v>
      </c>
      <c r="B47686" s="3">
        <v>1</v>
      </c>
    </row>
    <row r="47687" ht="15.75" customHeight="1" spans="1:2">
      <c r="A47687" s="3" t="str">
        <f>IFERROR(__xludf.DUMMYFUNCTION("GOOGLETRANSLATE(A47687,""en"",""pt"")"),"A vida da bateria, a qualidade de imagem")</f>
        <v>A vida da bateria, a qualidade de imagem</v>
      </c>
      <c r="B47687" s="3">
        <v>1</v>
      </c>
    </row>
    <row r="47688" ht="15.75" customHeight="1" spans="1:2">
      <c r="A47688" s="3" t="str">
        <f>IFERROR(__xludf.DUMMYFUNCTION("GOOGLETRANSLATE(A47688,""en"",""pt"")"),"Ótimo preço, ótimo Imagens, facilidade de uso")</f>
        <v>Ótimo preço, ótimo Imagens, facilidade de uso</v>
      </c>
      <c r="B47688" s="3">
        <v>1</v>
      </c>
    </row>
    <row r="47689" ht="15.75" customHeight="1" spans="1:2">
      <c r="A47689" s="3" t="str">
        <f>IFERROR(__xludf.DUMMYFUNCTION("GOOGLETRANSLATE(A47689,""en"",""pt"")"),"1.3 megapixels vai te 54 fotos em 640 x 800")</f>
        <v>1.3 megapixels vai te 54 fotos em 640 x 800</v>
      </c>
      <c r="B47689" s="3">
        <v>1</v>
      </c>
    </row>
    <row r="47690" ht="15.75" customHeight="1" spans="1:2">
      <c r="A47690" s="3" t="str">
        <f>IFERROR(__xludf.DUMMYFUNCTION("GOOGLETRANSLATE(A47690,""en"",""pt"")"),"Características, preço, qualidade de imagem")</f>
        <v>Características, preço, qualidade de imagem</v>
      </c>
      <c r="B47690" s="3">
        <v>1</v>
      </c>
    </row>
    <row r="47691" ht="15.75" customHeight="1" spans="1:2">
      <c r="A47691" s="3" t="str">
        <f>IFERROR(__xludf.DUMMYFUNCTION("GOOGLETRANSLATE(A47691,""en"",""pt"")"),"muito user-friendly")</f>
        <v>muito user-friendly</v>
      </c>
      <c r="B47691" s="3">
        <v>1</v>
      </c>
    </row>
    <row r="47692" ht="15.75" customHeight="1" spans="1:2">
      <c r="A47692" s="3" t="str">
        <f>IFERROR(__xludf.DUMMYFUNCTION("GOOGLETRANSLATE(A47692,""en"",""pt"")"),"Bom, câmera de qualidade, muito fácil de usar")</f>
        <v>Bom, câmera de qualidade, muito fácil de usar</v>
      </c>
      <c r="B47692" s="3">
        <v>1</v>
      </c>
    </row>
    <row r="47693" ht="15.75" customHeight="1" spans="1:2">
      <c r="A47693" s="3" t="str">
        <f>IFERROR(__xludf.DUMMYFUNCTION("GOOGLETRANSLATE(A47693,""en"",""pt"")"),"qualidade de construção, tamanho compacto, a qualidade da imagem")</f>
        <v>qualidade de construção, tamanho compacto, a qualidade da imagem</v>
      </c>
      <c r="B47693" s="3">
        <v>1</v>
      </c>
    </row>
    <row r="47694" ht="15.75" customHeight="1" spans="1:2">
      <c r="A47694" s="3" t="str">
        <f>IFERROR(__xludf.DUMMYFUNCTION("GOOGLETRANSLATE(A47694,""en"",""pt"")"),"Fácil de usar, multifuncional")</f>
        <v>Fácil de usar, multifuncional</v>
      </c>
      <c r="B47694" s="3">
        <v>1</v>
      </c>
    </row>
    <row r="47695" ht="15.75" customHeight="1" spans="1:2">
      <c r="A47695" s="3" t="str">
        <f>IFERROR(__xludf.DUMMYFUNCTION("GOOGLETRANSLATE(A47695,""en"",""pt"")"),"facilidade de uso, características grandes, de baixo custo")</f>
        <v>facilidade de uso, características grandes, de baixo custo</v>
      </c>
      <c r="B47695" s="3">
        <v>1</v>
      </c>
    </row>
    <row r="47696" ht="15.75" customHeight="1" spans="1:2">
      <c r="A47696" s="3" t="str">
        <f>IFERROR(__xludf.DUMMYFUNCTION("GOOGLETRANSLATE(A47696,""en"",""pt"")"),"Moderado preço, ótimo pacote de negócio")</f>
        <v>Moderado preço, ótimo pacote de negócio</v>
      </c>
      <c r="B47696" s="3">
        <v>1</v>
      </c>
    </row>
    <row r="47697" ht="15.75" customHeight="1" spans="1:2">
      <c r="A47697" s="3" t="str">
        <f>IFERROR(__xludf.DUMMYFUNCTION("GOOGLETRANSLATE(A47697,""en"",""pt"")"),"qualidade de imagem, facilidade de uso, qualidade de construção")</f>
        <v>qualidade de imagem, facilidade de uso, qualidade de construção</v>
      </c>
      <c r="B47697" s="3">
        <v>1</v>
      </c>
    </row>
    <row r="47698" ht="15.75" customHeight="1" spans="1:2">
      <c r="A47698" s="3" t="str">
        <f>IFERROR(__xludf.DUMMYFUNCTION("GOOGLETRANSLATE(A47698,""en"",""pt"")"),"Bom atendimento ao cliente")</f>
        <v>Bom atendimento ao cliente</v>
      </c>
      <c r="B47698" s="3">
        <v>1</v>
      </c>
    </row>
    <row r="47699" ht="15.75" customHeight="1" spans="1:2">
      <c r="A47699" s="3" t="str">
        <f>IFERROR(__xludf.DUMMYFUNCTION("GOOGLETRANSLATE(A47699,""en"",""pt"")"),"Ótima câmera para um ótimo preço")</f>
        <v>Ótima câmera para um ótimo preço</v>
      </c>
      <c r="B47699" s="3">
        <v>1</v>
      </c>
    </row>
    <row r="47700" ht="15.75" customHeight="1" spans="1:2">
      <c r="A47700" s="3" t="str">
        <f>IFERROR(__xludf.DUMMYFUNCTION("GOOGLETRANSLATE(A47700,""en"",""pt"")"),"Grande qualidade a um bom preço")</f>
        <v>Grande qualidade a um bom preço</v>
      </c>
      <c r="B47700" s="3">
        <v>1</v>
      </c>
    </row>
    <row r="47701" ht="15.75" customHeight="1" spans="1:2">
      <c r="A47701" s="3" t="str">
        <f>IFERROR(__xludf.DUMMYFUNCTION("GOOGLETRANSLATE(A47701,""en"",""pt"")"),"imagens de boa qualidade e hardware, design ergonómico agradável, zoom óptico de 3X")</f>
        <v>imagens de boa qualidade e hardware, design ergonómico agradável, zoom óptico de 3X</v>
      </c>
      <c r="B47701" s="3">
        <v>1</v>
      </c>
    </row>
    <row r="47702" ht="15.75" customHeight="1" spans="1:2">
      <c r="A47702" s="3" t="str">
        <f>IFERROR(__xludf.DUMMYFUNCTION("GOOGLETRANSLATE(A47702,""en"",""pt"")"),"Fácil de usar; imagens de alta qualidade;")</f>
        <v>Fácil de usar; imagens de alta qualidade;</v>
      </c>
      <c r="B47702" s="3">
        <v>1</v>
      </c>
    </row>
    <row r="47703" ht="15.75" customHeight="1" spans="1:2">
      <c r="A47703" s="3" t="str">
        <f>IFERROR(__xludf.DUMMYFUNCTION("GOOGLETRANSLATE(A47703,""en"",""pt"")"),"Grandes imagens, fácil de usar, fácil de baixar imagens")</f>
        <v>Grandes imagens, fácil de usar, fácil de baixar imagens</v>
      </c>
      <c r="B47703" s="3">
        <v>1</v>
      </c>
    </row>
    <row r="47704" ht="15.75" customHeight="1" spans="1:2">
      <c r="A47704" s="3" t="str">
        <f>IFERROR(__xludf.DUMMYFUNCTION("GOOGLETRANSLATE(A47704,""en"",""pt"")"),"Fácil de usar, fotos de alta qualidade.")</f>
        <v>Fácil de usar, fotos de alta qualidade.</v>
      </c>
      <c r="B47704" s="3">
        <v>1</v>
      </c>
    </row>
    <row r="47705" ht="15.75" customHeight="1" spans="1:2">
      <c r="A47705" s="3" t="str">
        <f>IFERROR(__xludf.DUMMYFUNCTION("GOOGLETRANSLATE(A47705,""en"",""pt"")"),"Tudo!")</f>
        <v>Tudo!</v>
      </c>
      <c r="B47705" s="3">
        <v>1</v>
      </c>
    </row>
    <row r="47706" ht="15.75" customHeight="1" spans="1:2">
      <c r="A47706" s="3" t="str">
        <f>IFERROR(__xludf.DUMMYFUNCTION("GOOGLETRANSLATE(A47706,""en"",""pt"")"),"Características, qualidade de imagem")</f>
        <v>Características, qualidade de imagem</v>
      </c>
      <c r="B47706" s="3">
        <v>1</v>
      </c>
    </row>
    <row r="47707" ht="15.75" customHeight="1" spans="1:2">
      <c r="A47707" s="3" t="str">
        <f>IFERROR(__xludf.DUMMYFUNCTION("GOOGLETRANSLATE(A47707,""en"",""pt"")"),"excelente design, lotes de características")</f>
        <v>excelente design, lotes de características</v>
      </c>
      <c r="B47707" s="3">
        <v>1</v>
      </c>
    </row>
    <row r="47708" ht="15.75" customHeight="1" spans="1:2">
      <c r="A47708" s="3" t="str">
        <f>IFERROR(__xludf.DUMMYFUNCTION("GOOGLETRANSLATE(A47708,""en"",""pt"")"),"Portátil, fácil de usar")</f>
        <v>Portátil, fácil de usar</v>
      </c>
      <c r="B47708" s="3">
        <v>1</v>
      </c>
    </row>
    <row r="47709" ht="15.75" customHeight="1" spans="1:2">
      <c r="A47709" s="3" t="str">
        <f>IFERROR(__xludf.DUMMYFUNCTION("GOOGLETRANSLATE(A47709,""en"",""pt"")"),"Grandes imagens, muito fácil de usar, excelente software, cor brilhante.")</f>
        <v>Grandes imagens, muito fácil de usar, excelente software, cor brilhante.</v>
      </c>
      <c r="B47709" s="3">
        <v>1</v>
      </c>
    </row>
    <row r="47710" ht="15.75" customHeight="1" spans="1:2">
      <c r="A47710" s="3" t="str">
        <f>IFERROR(__xludf.DUMMYFUNCTION("GOOGLETRANSLATE(A47710,""en"",""pt"")"),"Tem características de câmeras dobro do preço, valor excelente!")</f>
        <v>Tem características de câmeras dobro do preço, valor excelente!</v>
      </c>
      <c r="B47710" s="3">
        <v>1</v>
      </c>
    </row>
    <row r="47711" ht="15.75" customHeight="1" spans="1:2">
      <c r="A47711" s="3" t="str">
        <f>IFERROR(__xludf.DUMMYFUNCTION("GOOGLETRANSLATE(A47711,""en"",""pt"")"),"Simples de usar, menus fácil, User friendly")</f>
        <v>Simples de usar, menus fácil, User friendly</v>
      </c>
      <c r="B47711" s="3">
        <v>1</v>
      </c>
    </row>
    <row r="47712" ht="15.75" customHeight="1" spans="1:2">
      <c r="A47712" s="3" t="str">
        <f>IFERROR(__xludf.DUMMYFUNCTION("GOOGLETRANSLATE(A47712,""en"",""pt"")"),"Fácil de usar, imagens nítidas e detalhadas")</f>
        <v>Fácil de usar, imagens nítidas e detalhadas</v>
      </c>
      <c r="B47712" s="3">
        <v>1</v>
      </c>
    </row>
    <row r="47713" ht="15.75" customHeight="1" spans="1:2">
      <c r="A47713" s="3" t="str">
        <f>IFERROR(__xludf.DUMMYFUNCTION("GOOGLETRANSLATE(A47713,""en"",""pt"")"),"Muito fácil de menu e alterar configurações de navegar. drivers de software integrar bem com aplicativos de fotos.")</f>
        <v>Muito fácil de menu e alterar configurações de navegar. drivers de software integrar bem com aplicativos de fotos.</v>
      </c>
      <c r="B47713" s="3">
        <v>1</v>
      </c>
    </row>
    <row r="47714" ht="15.75" customHeight="1" spans="1:2">
      <c r="A47714" s="3" t="str">
        <f>IFERROR(__xludf.DUMMYFUNCTION("GOOGLETRANSLATE(A47714,""en"",""pt"")"),"Imagens de grande qualidade, velocidade de download rápido, velocidade de carregamento rápido, grandes recursos.")</f>
        <v>Imagens de grande qualidade, velocidade de download rápido, velocidade de carregamento rápido, grandes recursos.</v>
      </c>
      <c r="B47714" s="3">
        <v>1</v>
      </c>
    </row>
    <row r="47715" ht="15.75" customHeight="1" spans="1:2">
      <c r="A47715" s="3" t="str">
        <f>IFERROR(__xludf.DUMMYFUNCTION("GOOGLETRANSLATE(A47715,""en"",""pt"")"),"bom preço para uma câmera com zoom")</f>
        <v>bom preço para uma câmera com zoom</v>
      </c>
      <c r="B47715" s="3">
        <v>1</v>
      </c>
    </row>
    <row r="47716" ht="15.75" customHeight="1" spans="1:2">
      <c r="A47716" s="3" t="str">
        <f>IFERROR(__xludf.DUMMYFUNCTION("GOOGLETRANSLATE(A47716,""en"",""pt"")"),"Fotografar em interiores pendentes. Zoom ótico. Boa duração da bateria. USB.")</f>
        <v>Fotografar em interiores pendentes. Zoom ótico. Boa duração da bateria. USB.</v>
      </c>
      <c r="B47716" s="3">
        <v>1</v>
      </c>
    </row>
    <row r="47717" ht="15.75" customHeight="1" spans="1:2">
      <c r="A47717" s="3" t="str">
        <f>IFERROR(__xludf.DUMMYFUNCTION("GOOGLETRANSLATE(A47717,""en"",""pt"")"),"Elegante, durável, Megapixel, fácil de usar fotos de boa qualidade.")</f>
        <v>Elegante, durável, Megapixel, fácil de usar fotos de boa qualidade.</v>
      </c>
      <c r="B47717" s="3">
        <v>1</v>
      </c>
    </row>
    <row r="47718" ht="15.75" customHeight="1" spans="1:2">
      <c r="A47718" s="3" t="str">
        <f>IFERROR(__xludf.DUMMYFUNCTION("GOOGLETRANSLATE(A47718,""en"",""pt"")"),"Fácil de usar, fotos grandes, bom tamanho, a maioria de confiança")</f>
        <v>Fácil de usar, fotos grandes, bom tamanho, a maioria de confiança</v>
      </c>
      <c r="B47718" s="3">
        <v>1</v>
      </c>
    </row>
    <row r="47719" ht="15.75" customHeight="1" spans="1:2">
      <c r="A47719" s="3" t="str">
        <f>IFERROR(__xludf.DUMMYFUNCTION("GOOGLETRANSLATE(A47719,""en"",""pt"")"),"robusto, confiável, confiável, claro")</f>
        <v>robusto, confiável, confiável, claro</v>
      </c>
      <c r="B47719" s="3">
        <v>1</v>
      </c>
    </row>
    <row r="47720" ht="15.75" customHeight="1" spans="1:2">
      <c r="A47720" s="3" t="str">
        <f>IFERROR(__xludf.DUMMYFUNCTION("GOOGLETRANSLATE(A47720,""en"",""pt"")"),"Fácil de usar, ótimo software.")</f>
        <v>Fácil de usar, ótimo software.</v>
      </c>
      <c r="B47720" s="3">
        <v>1</v>
      </c>
    </row>
    <row r="47721" ht="15.75" customHeight="1" spans="1:2">
      <c r="A47721" s="3" t="str">
        <f>IFERROR(__xludf.DUMMYFUNCTION("GOOGLETRANSLATE(A47721,""en"",""pt"")"),"Grande resolução, simples de usar")</f>
        <v>Grande resolução, simples de usar</v>
      </c>
      <c r="B47721" s="3">
        <v>1</v>
      </c>
    </row>
    <row r="47722" ht="15.75" customHeight="1" spans="1:2">
      <c r="A47722" s="3" t="str">
        <f>IFERROR(__xludf.DUMMYFUNCTION("GOOGLETRANSLATE(A47722,""en"",""pt"")"),"qualidade da foto soberbo e facilidade de uso. bastante leve e robusto para tirar ser batido ao redor.")</f>
        <v>qualidade da foto soberbo e facilidade de uso. bastante leve e robusto para tirar ser batido ao redor.</v>
      </c>
      <c r="B47722" s="3">
        <v>1</v>
      </c>
    </row>
    <row r="47723" ht="15.75" customHeight="1" spans="1:2">
      <c r="A47723" s="3" t="str">
        <f>IFERROR(__xludf.DUMMYFUNCTION("GOOGLETRANSLATE(A47723,""en"",""pt"")"),"excelente, qualidade incomparável")</f>
        <v>excelente, qualidade incomparável</v>
      </c>
      <c r="B47723" s="3">
        <v>1</v>
      </c>
    </row>
    <row r="47724" ht="15.75" customHeight="1" spans="1:2">
      <c r="A47724" s="3" t="str">
        <f>IFERROR(__xludf.DUMMYFUNCTION("GOOGLETRANSLATE(A47724,""en"",""pt"")"),"Fácil de usar, tira fotos decentes")</f>
        <v>Fácil de usar, tira fotos decentes</v>
      </c>
      <c r="B47724" s="3">
        <v>1</v>
      </c>
    </row>
    <row r="47725" ht="15.75" customHeight="1" spans="1:2">
      <c r="A47725" s="3" t="str">
        <f>IFERROR(__xludf.DUMMYFUNCTION("GOOGLETRANSLATE(A47725,""en"",""pt"")"),"fotos maravilhosamente detalhados")</f>
        <v>fotos maravilhosamente detalhados</v>
      </c>
      <c r="B47725" s="3">
        <v>1</v>
      </c>
    </row>
    <row r="47726" ht="15.75" customHeight="1" spans="1:2">
      <c r="A47726" s="3" t="str">
        <f>IFERROR(__xludf.DUMMYFUNCTION("GOOGLETRANSLATE(A47726,""en"",""pt"")"),"ótima câmera,")</f>
        <v>ótima câmera,</v>
      </c>
      <c r="B47726" s="3">
        <v>1</v>
      </c>
    </row>
    <row r="47727" ht="15.75" customHeight="1" spans="1:2">
      <c r="A47727" s="3" t="str">
        <f>IFERROR(__xludf.DUMMYFUNCTION("GOOGLETRANSLATE(A47727,""en"",""pt"")"),"Excelente qualidade de imagem")</f>
        <v>Excelente qualidade de imagem</v>
      </c>
      <c r="B47727" s="3">
        <v>1</v>
      </c>
    </row>
    <row r="47728" ht="15.75" customHeight="1" spans="1:2">
      <c r="A47728" s="3" t="str">
        <f>IFERROR(__xludf.DUMMYFUNCTION("GOOGLETRANSLATE(A47728,""en"",""pt"")"),"Boa qualidade de imagem, apontar e clicar, armazenamento ilimitado em cartões compactos, e capacidade de áudio.")</f>
        <v>Boa qualidade de imagem, apontar e clicar, armazenamento ilimitado em cartões compactos, e capacidade de áudio.</v>
      </c>
      <c r="B47728" s="3">
        <v>1</v>
      </c>
    </row>
    <row r="47729" ht="15.75" customHeight="1" spans="1:2">
      <c r="A47729" s="3" t="str">
        <f>IFERROR(__xludf.DUMMYFUNCTION("GOOGLETRANSLATE(A47729,""en"",""pt"")"),"Facilidade de utilização, fotos excelentes")</f>
        <v>Facilidade de utilização, fotos excelentes</v>
      </c>
      <c r="B47729" s="3">
        <v>1</v>
      </c>
    </row>
    <row r="47730" ht="15.75" customHeight="1" spans="1:2">
      <c r="A47730" s="3" t="str">
        <f>IFERROR(__xludf.DUMMYFUNCTION("GOOGLETRANSLATE(A47730,""en"",""pt"")"),"Fácil de usar")</f>
        <v>Fácil de usar</v>
      </c>
      <c r="B47730" s="3">
        <v>1</v>
      </c>
    </row>
    <row r="47731" ht="15.75" customHeight="1" spans="1:2">
      <c r="A47731" s="3" t="str">
        <f>IFERROR(__xludf.DUMMYFUNCTION("GOOGLETRANSLATE(A47731,""en"",""pt"")"),"Muito bom no geral")</f>
        <v>Muito bom no geral</v>
      </c>
      <c r="B47731" s="3">
        <v>1</v>
      </c>
    </row>
    <row r="47732" ht="15.75" customHeight="1" spans="1:2">
      <c r="A47732" s="3" t="str">
        <f>IFERROR(__xludf.DUMMYFUNCTION("GOOGLETRANSLATE(A47732,""en"",""pt"")"),"zoom / número de imagens / qualidade")</f>
        <v>zoom / número de imagens / qualidade</v>
      </c>
      <c r="B47732" s="3">
        <v>1</v>
      </c>
    </row>
    <row r="47733" ht="15.75" customHeight="1" spans="1:2">
      <c r="A47733" s="3" t="str">
        <f>IFERROR(__xludf.DUMMYFUNCTION("GOOGLETRANSLATE(A47733,""en"",""pt"")"),"qualidade de imagem, zoom óptico, o preço")</f>
        <v>qualidade de imagem, zoom óptico, o preço</v>
      </c>
      <c r="B47733" s="3">
        <v>1</v>
      </c>
    </row>
    <row r="47734" ht="15.75" customHeight="1" spans="1:2">
      <c r="A47734" s="3" t="str">
        <f>IFERROR(__xludf.DUMMYFUNCTION("GOOGLETRANSLATE(A47734,""en"",""pt"")"),"Resolução, zoom, LCD")</f>
        <v>Resolução, zoom, LCD</v>
      </c>
      <c r="B47734" s="3">
        <v>1</v>
      </c>
    </row>
    <row r="47735" ht="15.75" customHeight="1" spans="1:2">
      <c r="A47735" s="3" t="str">
        <f>IFERROR(__xludf.DUMMYFUNCTION("GOOGLETRANSLATE(A47735,""en"",""pt"")"),"grande combinação de recursos para preço")</f>
        <v>grande combinação de recursos para preço</v>
      </c>
      <c r="B47735" s="3">
        <v>1</v>
      </c>
    </row>
    <row r="47736" ht="15.75" customHeight="1" spans="1:2">
      <c r="A47736" s="3" t="str">
        <f>IFERROR(__xludf.DUMMYFUNCTION("GOOGLETRANSLATE(A47736,""en"",""pt"")"),"Veja suas fotos AGORA !!")</f>
        <v>Veja suas fotos AGORA !!</v>
      </c>
      <c r="B47736" s="3">
        <v>1</v>
      </c>
    </row>
    <row r="47737" ht="15.75" customHeight="1" spans="1:2">
      <c r="A47737" s="3" t="str">
        <f>IFERROR(__xludf.DUMMYFUNCTION("GOOGLETRANSLATE(A47737,""en"",""pt"")"),"fotos grandes, os lotes de características, preço está caindo!")</f>
        <v>fotos grandes, os lotes de características, preço está caindo!</v>
      </c>
      <c r="B47737" s="3">
        <v>1</v>
      </c>
    </row>
    <row r="47738" ht="15.75" customHeight="1" spans="1:2">
      <c r="A47738" s="3" t="str">
        <f>IFERROR(__xludf.DUMMYFUNCTION("GOOGLETRANSLATE(A47738,""en"",""pt"")"),"Alta qualidade, download velocidade da luz, fácil de usar")</f>
        <v>Alta qualidade, download velocidade da luz, fácil de usar</v>
      </c>
      <c r="B47738" s="3">
        <v>1</v>
      </c>
    </row>
    <row r="47739" ht="15.75" customHeight="1" spans="1:2">
      <c r="A47739" s="3" t="str">
        <f>IFERROR(__xludf.DUMMYFUNCTION("GOOGLETRANSLATE(A47739,""en"",""pt"")"),"Detalhe Boa localização, fácil de usar e ligar")</f>
        <v>Detalhe Boa localização, fácil de usar e ligar</v>
      </c>
      <c r="B47739" s="3">
        <v>1</v>
      </c>
    </row>
    <row r="47740" ht="15.75" customHeight="1" spans="1:2">
      <c r="A47740" s="3" t="str">
        <f>IFERROR(__xludf.DUMMYFUNCTION("GOOGLETRANSLATE(A47740,""en"",""pt"")"),"Ótima câmera, interface USB é maravilhoso")</f>
        <v>Ótima câmera, interface USB é maravilhoso</v>
      </c>
      <c r="B47740" s="3">
        <v>1</v>
      </c>
    </row>
    <row r="47741" ht="15.75" customHeight="1" spans="1:2">
      <c r="A47741" s="3" t="str">
        <f>IFERROR(__xludf.DUMMYFUNCTION("GOOGLETRANSLATE(A47741,""en"",""pt"")"),"compatível com USB, fácil de usar, o recurso de zoom, visor,")</f>
        <v>compatível com USB, fácil de usar, o recurso de zoom, visor,</v>
      </c>
      <c r="B47741" s="3">
        <v>1</v>
      </c>
    </row>
    <row r="47742" ht="15.75" customHeight="1" spans="1:2">
      <c r="A47742" s="3" t="str">
        <f>IFERROR(__xludf.DUMMYFUNCTION("GOOGLETRANSLATE(A47742,""en"",""pt"")"),"Facilidade de uso, cores vibrantes")</f>
        <v>Facilidade de uso, cores vibrantes</v>
      </c>
      <c r="B47742" s="3">
        <v>1</v>
      </c>
    </row>
    <row r="47743" ht="15.75" customHeight="1" spans="1:2">
      <c r="A47743" s="3" t="str">
        <f>IFERROR(__xludf.DUMMYFUNCTION("GOOGLETRANSLATE(A47743,""en"",""pt"")"),"alta resolução, zoom, conexão USB")</f>
        <v>alta resolução, zoom, conexão USB</v>
      </c>
      <c r="B47743" s="3">
        <v>1</v>
      </c>
    </row>
    <row r="47744" ht="15.75" customHeight="1" spans="1:2">
      <c r="A47744" s="3" t="str">
        <f>IFERROR(__xludf.DUMMYFUNCTION("GOOGLETRANSLATE(A47744,""en"",""pt"")"),"facilidade de uso, customizável O / S, imagem da qualidade boa &amp; amp; amp; cor")</f>
        <v>facilidade de uso, customizável O / S, imagem da qualidade boa &amp; amp; amp; cor</v>
      </c>
      <c r="B47744" s="3">
        <v>1</v>
      </c>
    </row>
    <row r="47745" ht="15.75" customHeight="1" spans="1:2">
      <c r="A47745" s="3" t="str">
        <f>IFERROR(__xludf.DUMMYFUNCTION("GOOGLETRANSLATE(A47745,""en"",""pt"")"),"Tem grandes figuras.")</f>
        <v>Tem grandes figuras.</v>
      </c>
      <c r="B47745" s="3">
        <v>1</v>
      </c>
    </row>
    <row r="47746" ht="15.75" customHeight="1" spans="1:2">
      <c r="A47746" s="3" t="str">
        <f>IFERROR(__xludf.DUMMYFUNCTION("GOOGLETRANSLATE(A47746,""en"",""pt"")"),"Excelente qualidade de imagem, fácil de usar interface gráfica do usuário, fácil upgradeability (cartões CompactFlash)")</f>
        <v>Excelente qualidade de imagem, fácil de usar interface gráfica do usuário, fácil upgradeability (cartões CompactFlash)</v>
      </c>
      <c r="B47746" s="3">
        <v>1</v>
      </c>
    </row>
    <row r="47747" ht="15.75" customHeight="1" spans="1:2">
      <c r="A47747" s="3" t="str">
        <f>IFERROR(__xludf.DUMMYFUNCTION("GOOGLETRANSLATE(A47747,""en"",""pt"")"),"qualidade da imagem")</f>
        <v>qualidade da imagem</v>
      </c>
      <c r="B47747" s="3">
        <v>1</v>
      </c>
    </row>
    <row r="47748" ht="15.75" customHeight="1" spans="1:2">
      <c r="A47748" s="3" t="str">
        <f>IFERROR(__xludf.DUMMYFUNCTION("GOOGLETRANSLATE(A47748,""en"",""pt"")"),"grande cor, fácil de usar")</f>
        <v>grande cor, fácil de usar</v>
      </c>
      <c r="B47748" s="3">
        <v>1</v>
      </c>
    </row>
    <row r="47749" ht="15.75" customHeight="1" spans="1:2">
      <c r="A47749" s="3" t="str">
        <f>IFERROR(__xludf.DUMMYFUNCTION("GOOGLETRANSLATE(A47749,""en"",""pt"")"),"qualidade da foto; fácil de usar")</f>
        <v>qualidade da foto; fácil de usar</v>
      </c>
      <c r="B47749" s="3">
        <v>1</v>
      </c>
    </row>
    <row r="47750" ht="15.75" customHeight="1" spans="1:2">
      <c r="A47750" s="3" t="str">
        <f>IFERROR(__xludf.DUMMYFUNCTION("GOOGLETRANSLATE(A47750,""en"",""pt"")"),"Resolução decente, de boa qualidade, facilidade de uso")</f>
        <v>Resolução decente, de boa qualidade, facilidade de uso</v>
      </c>
      <c r="B47750" s="3">
        <v>1</v>
      </c>
    </row>
    <row r="47751" ht="15.75" customHeight="1" spans="1:2">
      <c r="A47751" s="3" t="str">
        <f>IFERROR(__xludf.DUMMYFUNCTION("GOOGLETRANSLATE(A47751,""en"",""pt"")"),"Fácil de usar, boa qualidade da foto, pequeno no tamanho")</f>
        <v>Fácil de usar, boa qualidade da foto, pequeno no tamanho</v>
      </c>
      <c r="B47751" s="3">
        <v>1</v>
      </c>
    </row>
    <row r="47752" ht="15.75" customHeight="1" spans="1:2">
      <c r="A47752" s="3" t="str">
        <f>IFERROR(__xludf.DUMMYFUNCTION("GOOGLETRANSLATE(A47752,""en"",""pt"")"),"Excelente qualidade de imagem, facilidade de uso, suporte de super software")</f>
        <v>Excelente qualidade de imagem, facilidade de uso, suporte de super software</v>
      </c>
      <c r="B47752" s="3">
        <v>1</v>
      </c>
    </row>
    <row r="47753" ht="15.75" customHeight="1" spans="1:2">
      <c r="A47753" s="3" t="str">
        <f>IFERROR(__xludf.DUMMYFUNCTION("GOOGLETRANSLATE(A47753,""en"",""pt"")"),"A grande qualidade, um monte de opções para a qualidade da imagem. Opções de 56-300 + fotos (32MB Card)")</f>
        <v>A grande qualidade, um monte de opções para a qualidade da imagem. Opções de 56-300 + fotos (32MB Card)</v>
      </c>
      <c r="B47753" s="3">
        <v>1</v>
      </c>
    </row>
    <row r="47754" ht="15.75" customHeight="1" spans="1:2">
      <c r="A47754" s="3" t="str">
        <f>IFERROR(__xludf.DUMMYFUNCTION("GOOGLETRANSLATE(A47754,""en"",""pt"")"),"fotos de qualidade, muito fácil de usar software")</f>
        <v>fotos de qualidade, muito fácil de usar software</v>
      </c>
      <c r="B47754" s="3">
        <v>1</v>
      </c>
    </row>
    <row r="47755" ht="15.75" customHeight="1" spans="1:2">
      <c r="A47755" s="3" t="str">
        <f>IFERROR(__xludf.DUMMYFUNCTION("GOOGLETRANSLATE(A47755,""en"",""pt"")"),"Fácil de navegar e usar, mais de memória suficiente, baterias recarregáveis, ótimas fotos mesmo em 8 x 10")</f>
        <v>Fácil de navegar e usar, mais de memória suficiente, baterias recarregáveis, ótimas fotos mesmo em 8 x 10</v>
      </c>
      <c r="B47755" s="3">
        <v>1</v>
      </c>
    </row>
    <row r="47756" ht="15.75" customHeight="1" spans="1:2">
      <c r="A47756" s="3" t="str">
        <f>IFERROR(__xludf.DUMMYFUNCTION("GOOGLETRANSLATE(A47756,""en"",""pt"")"),"Funções")</f>
        <v>Funções</v>
      </c>
      <c r="B47756" s="3">
        <v>1</v>
      </c>
    </row>
    <row r="47757" ht="15.75" customHeight="1" spans="1:2">
      <c r="A47757" s="3" t="str">
        <f>IFERROR(__xludf.DUMMYFUNCTION("GOOGLETRANSLATE(A47757,""en"",""pt"")"),"Qualidade de imagem impressionante, os lotes de armazenagem, Bom pacote de software")</f>
        <v>Qualidade de imagem impressionante, os lotes de armazenagem, Bom pacote de software</v>
      </c>
      <c r="B47757" s="3">
        <v>1</v>
      </c>
    </row>
    <row r="47758" ht="15.75" customHeight="1" spans="1:2">
      <c r="A47758" s="3" t="str">
        <f>IFERROR(__xludf.DUMMYFUNCTION("GOOGLETRANSLATE(A47758,""en"",""pt"")"),"incrível resolução")</f>
        <v>incrível resolução</v>
      </c>
      <c r="B47758" s="3">
        <v>1</v>
      </c>
    </row>
    <row r="47759" ht="15.75" customHeight="1" spans="1:2">
      <c r="A47759" s="3" t="str">
        <f>IFERROR(__xludf.DUMMYFUNCTION("GOOGLETRANSLATE(A47759,""en"",""pt"")"),"Great Value, Lotes das características")</f>
        <v>Great Value, Lotes das características</v>
      </c>
      <c r="B47759" s="3">
        <v>1</v>
      </c>
    </row>
    <row r="47760" ht="15.75" customHeight="1" spans="1:2">
      <c r="A47760" s="3" t="str">
        <f>IFERROR(__xludf.DUMMYFUNCTION("GOOGLETRANSLATE(A47760,""en"",""pt"")"),"fotos de qualidade, conexão USB")</f>
        <v>fotos de qualidade, conexão USB</v>
      </c>
      <c r="B47760" s="3">
        <v>1</v>
      </c>
    </row>
    <row r="47761" ht="15.75" customHeight="1" spans="1:2">
      <c r="A47761" s="3" t="str">
        <f>IFERROR(__xludf.DUMMYFUNCTION("GOOGLETRANSLATE(A47761,""en"",""pt"")"),"Fácil de usar, excelente qualidade de imagem")</f>
        <v>Fácil de usar, excelente qualidade de imagem</v>
      </c>
      <c r="B47761" s="3">
        <v>1</v>
      </c>
    </row>
    <row r="47762" ht="15.75" customHeight="1" spans="1:2">
      <c r="A47762" s="3" t="str">
        <f>IFERROR(__xludf.DUMMYFUNCTION("GOOGLETRANSLATE(A47762,""en"",""pt"")"),"Excelente qualidade de imagem, bom preço, suporte USB")</f>
        <v>Excelente qualidade de imagem, bom preço, suporte USB</v>
      </c>
      <c r="B47762" s="3">
        <v>1</v>
      </c>
    </row>
    <row r="47763" ht="15.75" customHeight="1" spans="1:2">
      <c r="A47763" s="3" t="str">
        <f>IFERROR(__xludf.DUMMYFUNCTION("GOOGLETRANSLATE(A47763,""en"",""pt"")"),"Fácil de usar, boa resolução, memória grande")</f>
        <v>Fácil de usar, boa resolução, memória grande</v>
      </c>
      <c r="B47763" s="3">
        <v>1</v>
      </c>
    </row>
    <row r="47764" ht="15.75" customHeight="1" spans="1:2">
      <c r="A47764" s="3" t="str">
        <f>IFERROR(__xludf.DUMMYFUNCTION("GOOGLETRANSLATE(A47764,""en"",""pt"")"),"excelentes fotos")</f>
        <v>excelentes fotos</v>
      </c>
      <c r="B47764" s="3">
        <v>1</v>
      </c>
    </row>
    <row r="47765" ht="15.75" customHeight="1" spans="1:2">
      <c r="A47765" s="3" t="str">
        <f>IFERROR(__xludf.DUMMYFUNCTION("GOOGLETRANSLATE(A47765,""en"",""pt"")"),"Muito fácil de usar")</f>
        <v>Muito fácil de usar</v>
      </c>
      <c r="B47765" s="3">
        <v>1</v>
      </c>
    </row>
    <row r="47766" ht="15.75" customHeight="1" spans="1:2">
      <c r="A47766" s="3" t="str">
        <f>IFERROR(__xludf.DUMMYFUNCTION("GOOGLETRANSLATE(A47766,""en"",""pt"")"),"Super fácil de usar, excelente qualidade de imagem, pequeno no tamanho")</f>
        <v>Super fácil de usar, excelente qualidade de imagem, pequeno no tamanho</v>
      </c>
      <c r="B47766" s="3">
        <v>1</v>
      </c>
    </row>
    <row r="47767" ht="15.75" customHeight="1" spans="1:2">
      <c r="A47767" s="3" t="str">
        <f>IFERROR(__xludf.DUMMYFUNCTION("GOOGLETRANSLATE(A47767,""en"",""pt"")"),"&amp; Lt; b &amp; gt; excelentes imagens, versáteis, acessível &amp; lt; / b &amp; gt;")</f>
        <v>&amp; Lt; b &amp; gt; excelentes imagens, versáteis, acessível &amp; lt; / b &amp; gt;</v>
      </c>
      <c r="B47767" s="3">
        <v>1</v>
      </c>
    </row>
    <row r="47768" ht="15.75" customHeight="1" spans="1:2">
      <c r="A47768" s="3" t="str">
        <f>IFERROR(__xludf.DUMMYFUNCTION("GOOGLETRANSLATE(A47768,""en"",""pt"")"),"Tamanho, Preço, Resolução, Esquema do menu")</f>
        <v>Tamanho, Preço, Resolução, Esquema do menu</v>
      </c>
      <c r="B47768" s="3">
        <v>1</v>
      </c>
    </row>
    <row r="47769" ht="15.75" customHeight="1" spans="1:2">
      <c r="A47769" s="3" t="str">
        <f>IFERROR(__xludf.DUMMYFUNCTION("GOOGLETRANSLATE(A47769,""en"",""pt"")"),"Grandes fotos para o preço, fácil de usar, resistente")</f>
        <v>Grandes fotos para o preço, fácil de usar, resistente</v>
      </c>
      <c r="B47769" s="3">
        <v>1</v>
      </c>
    </row>
    <row r="47770" ht="15.75" customHeight="1" spans="1:2">
      <c r="A47770" s="3" t="str">
        <f>IFERROR(__xludf.DUMMYFUNCTION("GOOGLETRANSLATE(A47770,""en"",""pt"")"),"Fácil de usar. Bons tiros ainda em dias nublados.")</f>
        <v>Fácil de usar. Bons tiros ainda em dias nublados.</v>
      </c>
      <c r="B47770" s="3">
        <v>1</v>
      </c>
    </row>
    <row r="47771" ht="15.75" customHeight="1" spans="1:2">
      <c r="A47771" s="3" t="str">
        <f>IFERROR(__xludf.DUMMYFUNCTION("GOOGLETRANSLATE(A47771,""en"",""pt"")"),"Fácil de usar, o software instala facilmente, serviço ao cliente é excelente")</f>
        <v>Fácil de usar, o software instala facilmente, serviço ao cliente é excelente</v>
      </c>
      <c r="B47771" s="3">
        <v>1</v>
      </c>
    </row>
    <row r="47772" ht="15.75" customHeight="1" spans="1:2">
      <c r="A47772" s="3" t="str">
        <f>IFERROR(__xludf.DUMMYFUNCTION("GOOGLETRANSLATE(A47772,""en"",""pt"")"),"recursos abrangentes")</f>
        <v>recursos abrangentes</v>
      </c>
      <c r="B47772" s="3">
        <v>1</v>
      </c>
    </row>
    <row r="47773" ht="15.75" customHeight="1" spans="1:2">
      <c r="A47773" s="3" t="str">
        <f>IFERROR(__xludf.DUMMYFUNCTION("GOOGLETRANSLATE(A47773,""en"",""pt"")"),"É muito fácil tirar ótimas fotos com a câmera!")</f>
        <v>É muito fácil tirar ótimas fotos com a câmera!</v>
      </c>
      <c r="B47773" s="3">
        <v>1</v>
      </c>
    </row>
    <row r="47774" ht="15.75" customHeight="1" spans="1:2">
      <c r="A47774" s="3" t="str">
        <f>IFERROR(__xludf.DUMMYFUNCTION("GOOGLETRANSLATE(A47774,""en"",""pt"")"),"Imagens de boa qualidade")</f>
        <v>Imagens de boa qualidade</v>
      </c>
      <c r="B47774" s="3">
        <v>1</v>
      </c>
    </row>
    <row r="47775" ht="15.75" customHeight="1" spans="1:2">
      <c r="A47775" s="3" t="str">
        <f>IFERROR(__xludf.DUMMYFUNCTION("GOOGLETRANSLATE(A47775,""en"",""pt"")"),"Afiadas Fotos em 2.0 Mega Pixels, boa marca, e User Friendly")</f>
        <v>Afiadas Fotos em 2.0 Mega Pixels, boa marca, e User Friendly</v>
      </c>
      <c r="B47775" s="3">
        <v>1</v>
      </c>
    </row>
    <row r="47776" ht="15.75" customHeight="1" spans="1:2">
      <c r="A47776" s="3" t="str">
        <f>IFERROR(__xludf.DUMMYFUNCTION("GOOGLETRANSLATE(A47776,""en"",""pt"")"),"fotos nítidas e claras com grande cor; compactar; mídia CompactFlash")</f>
        <v>fotos nítidas e claras com grande cor; compactar; mídia CompactFlash</v>
      </c>
      <c r="B47776" s="3">
        <v>1</v>
      </c>
    </row>
    <row r="47777" ht="15.75" customHeight="1" spans="1:2">
      <c r="A47777" s="3" t="str">
        <f>IFERROR(__xludf.DUMMYFUNCTION("GOOGLETRANSLATE(A47777,""en"",""pt"")"),"Tudo está na caixa, cartão de memória de 20MB, rápida tempo de inicialização, suporte USB")</f>
        <v>Tudo está na caixa, cartão de memória de 20MB, rápida tempo de inicialização, suporte USB</v>
      </c>
      <c r="B47777" s="3">
        <v>1</v>
      </c>
    </row>
    <row r="47778" ht="15.75" customHeight="1" spans="1:2">
      <c r="A47778" s="3" t="str">
        <f>IFERROR(__xludf.DUMMYFUNCTION("GOOGLETRANSLATE(A47778,""en"",""pt"")"),"Velocidade, res, tamanho, qualidade")</f>
        <v>Velocidade, res, tamanho, qualidade</v>
      </c>
      <c r="B47778" s="3">
        <v>1</v>
      </c>
    </row>
    <row r="47779" ht="15.75" customHeight="1" spans="1:2">
      <c r="A47779" s="3" t="str">
        <f>IFERROR(__xludf.DUMMYFUNCTION("GOOGLETRANSLATE(A47779,""en"",""pt"")"),"mega pixel mega pixel !!!")</f>
        <v>mega pixel mega pixel !!!</v>
      </c>
      <c r="B47779" s="3">
        <v>1</v>
      </c>
    </row>
    <row r="47780" ht="15.75" customHeight="1" spans="1:2">
      <c r="A47780" s="3" t="str">
        <f>IFERROR(__xludf.DUMMYFUNCTION("GOOGLETRANSLATE(A47780,""en"",""pt"")"),"excelente qualidade de pic, facilidade de uso")</f>
        <v>excelente qualidade de pic, facilidade de uso</v>
      </c>
      <c r="B47780" s="3">
        <v>1</v>
      </c>
    </row>
    <row r="47781" ht="15.75" customHeight="1" spans="1:2">
      <c r="A47781" s="3" t="str">
        <f>IFERROR(__xludf.DUMMYFUNCTION("GOOGLETRANSLATE(A47781,""en"",""pt"")"),"acidentada, ótimas fotos, fácil de usar")</f>
        <v>acidentada, ótimas fotos, fácil de usar</v>
      </c>
      <c r="B47781" s="3">
        <v>1</v>
      </c>
    </row>
    <row r="47782" ht="15.75" customHeight="1" spans="1:2">
      <c r="A47782" s="3" t="str">
        <f>IFERROR(__xludf.DUMMYFUNCTION("GOOGLETRANSLATE(A47782,""en"",""pt"")"),"Ótimas fotos!")</f>
        <v>Ótimas fotos!</v>
      </c>
      <c r="B47782" s="3">
        <v>1</v>
      </c>
    </row>
    <row r="47783" ht="15.75" customHeight="1" spans="1:2">
      <c r="A47783" s="3" t="str">
        <f>IFERROR(__xludf.DUMMYFUNCTION("GOOGLETRANSLATE(A47783,""en"",""pt"")"),"Tamanho / USB Capacidade de Interface / Armazenamento / 2Mpixels / Zoom / Menu")</f>
        <v>Tamanho / USB Capacidade de Interface / Armazenamento / 2Mpixels / Zoom / Menu</v>
      </c>
      <c r="B47783" s="3">
        <v>1</v>
      </c>
    </row>
    <row r="47784" ht="15.75" customHeight="1" spans="1:2">
      <c r="A47784" s="3" t="str">
        <f>IFERROR(__xludf.DUMMYFUNCTION("GOOGLETRANSLATE(A47784,""en"",""pt"")"),"USB, res alto, de memória grande")</f>
        <v>USB, res alto, de memória grande</v>
      </c>
      <c r="B47784" s="3">
        <v>1</v>
      </c>
    </row>
    <row r="47785" ht="15.75" customHeight="1" spans="1:2">
      <c r="A47785" s="3" t="str">
        <f>IFERROR(__xludf.DUMMYFUNCTION("GOOGLETRANSLATE(A47785,""en"",""pt"")"),"Grande qualidade de foto")</f>
        <v>Grande qualidade de foto</v>
      </c>
      <c r="B47785" s="3">
        <v>1</v>
      </c>
    </row>
    <row r="47786" ht="15.75" customHeight="1" spans="1:2">
      <c r="A47786" s="3" t="str">
        <f>IFERROR(__xludf.DUMMYFUNCTION("GOOGLETRANSLATE(A47786,""en"",""pt"")"),"Quase tudo")</f>
        <v>Quase tudo</v>
      </c>
      <c r="B47786" s="3">
        <v>1</v>
      </c>
    </row>
    <row r="47787" ht="15.75" customHeight="1" spans="1:2">
      <c r="A47787" s="3" t="str">
        <f>IFERROR(__xludf.DUMMYFUNCTION("GOOGLETRANSLATE(A47787,""en"",""pt"")"),"Recursos interessantes e grande serviço ao cliente")</f>
        <v>Recursos interessantes e grande serviço ao cliente</v>
      </c>
      <c r="B47787" s="3">
        <v>1</v>
      </c>
    </row>
    <row r="47788" ht="15.75" customHeight="1" spans="1:2">
      <c r="A47788" s="3" t="str">
        <f>IFERROR(__xludf.DUMMYFUNCTION("GOOGLETRANSLATE(A47788,""en"",""pt"")"),"fácil de usar, ótimas fotos")</f>
        <v>fácil de usar, ótimas fotos</v>
      </c>
      <c r="B47788" s="3">
        <v>1</v>
      </c>
    </row>
    <row r="47789" ht="15.75" customHeight="1" spans="1:2">
      <c r="A47789" s="3" t="str">
        <f>IFERROR(__xludf.DUMMYFUNCTION("GOOGLETRANSLATE(A47789,""en"",""pt"")"),"Fácil de usar, leva ótimas fotos")</f>
        <v>Fácil de usar, leva ótimas fotos</v>
      </c>
      <c r="B47789" s="3">
        <v>1</v>
      </c>
    </row>
    <row r="47790" ht="15.75" customHeight="1" spans="1:2">
      <c r="A47790" s="3" t="str">
        <f>IFERROR(__xludf.DUMMYFUNCTION("GOOGLETRANSLATE(A47790,""en"",""pt"")"),"gratificação instantânea / excelente qualidade")</f>
        <v>gratificação instantânea / excelente qualidade</v>
      </c>
      <c r="B47790" s="3">
        <v>1</v>
      </c>
    </row>
    <row r="47791" ht="15.75" customHeight="1" spans="1:2">
      <c r="A47791" s="3" t="str">
        <f>IFERROR(__xludf.DUMMYFUNCTION("GOOGLETRANSLATE(A47791,""en"",""pt"")"),"Tudo!!!!!")</f>
        <v>Tudo!!!!!</v>
      </c>
      <c r="B47791" s="3">
        <v>1</v>
      </c>
    </row>
    <row r="47792" ht="15.75" customHeight="1" spans="1:2">
      <c r="A47792" s="3" t="str">
        <f>IFERROR(__xludf.DUMMYFUNCTION("GOOGLETRANSLATE(A47792,""en"",""pt"")"),"ótimas fotos")</f>
        <v>ótimas fotos</v>
      </c>
      <c r="B47792" s="3">
        <v>1</v>
      </c>
    </row>
    <row r="47793" ht="15.75" customHeight="1" spans="1:2">
      <c r="A47793" s="3" t="str">
        <f>IFERROR(__xludf.DUMMYFUNCTION("GOOGLETRANSLATE(A47793,""en"",""pt"")"),"Grandes fotos, fácil de usar")</f>
        <v>Grandes fotos, fácil de usar</v>
      </c>
      <c r="B47793" s="3">
        <v>1</v>
      </c>
    </row>
    <row r="47794" ht="15.75" customHeight="1" spans="1:2">
      <c r="A47794" s="3" t="str">
        <f>IFERROR(__xludf.DUMMYFUNCTION("GOOGLETRANSLATE(A47794,""en"",""pt"")"),"Grande pix; pacote de Qualidade; A criança poderia usá-lo")</f>
        <v>Grande pix; pacote de Qualidade; A criança poderia usá-lo</v>
      </c>
      <c r="B47794" s="3">
        <v>1</v>
      </c>
    </row>
    <row r="47795" ht="15.75" customHeight="1" spans="1:2">
      <c r="A47795" s="3" t="str">
        <f>IFERROR(__xludf.DUMMYFUNCTION("GOOGLETRANSLATE(A47795,""en"",""pt"")"),"Memória")</f>
        <v>Memória</v>
      </c>
      <c r="B47795" s="3">
        <v>1</v>
      </c>
    </row>
    <row r="47796" ht="15.75" customHeight="1" spans="1:2">
      <c r="A47796" s="3" t="str">
        <f>IFERROR(__xludf.DUMMYFUNCTION("GOOGLETRANSLATE(A47796,""en"",""pt"")"),"Grande resolução, fácil de usar (apontar e clicar) !!")</f>
        <v>Grande resolução, fácil de usar (apontar e clicar) !!</v>
      </c>
      <c r="B47796" s="3">
        <v>1</v>
      </c>
    </row>
    <row r="47797" ht="15.75" customHeight="1" spans="1:2">
      <c r="A47797" s="3" t="str">
        <f>IFERROR(__xludf.DUMMYFUNCTION("GOOGLETRANSLATE(A47797,""en"",""pt"")"),"Preço")</f>
        <v>Preço</v>
      </c>
      <c r="B47797" s="3">
        <v>1</v>
      </c>
    </row>
    <row r="47798" ht="15.75" customHeight="1" spans="1:2">
      <c r="A47798" s="3" t="str">
        <f>IFERROR(__xludf.DUMMYFUNCTION("GOOGLETRANSLATE(A47798,""en"",""pt"")"),"Fácil de usar e fotos de qualidade")</f>
        <v>Fácil de usar e fotos de qualidade</v>
      </c>
      <c r="B47798" s="3">
        <v>1</v>
      </c>
    </row>
    <row r="47799" ht="15.75" customHeight="1" spans="1:2">
      <c r="A47799" s="3" t="str">
        <f>IFERROR(__xludf.DUMMYFUNCTION("GOOGLETRANSLATE(A47799,""en"",""pt"")"),"2.3 Megapixels, interface USB")</f>
        <v>2.3 Megapixels, interface USB</v>
      </c>
      <c r="B47799" s="3">
        <v>1</v>
      </c>
    </row>
    <row r="47800" ht="15.75" customHeight="1" spans="1:2">
      <c r="A47800" s="3" t="str">
        <f>IFERROR(__xludf.DUMMYFUNCTION("GOOGLETRANSLATE(A47800,""en"",""pt"")"),"muitos ajustes manuais")</f>
        <v>muitos ajustes manuais</v>
      </c>
      <c r="B47800" s="3">
        <v>1</v>
      </c>
    </row>
    <row r="47801" ht="15.75" customHeight="1" spans="1:2">
      <c r="A47801" s="3" t="str">
        <f>IFERROR(__xludf.DUMMYFUNCTION("GOOGLETRANSLATE(A47801,""en"",""pt"")"),"tamanho, preço, qualidade de imagem, facilidade de uso")</f>
        <v>tamanho, preço, qualidade de imagem, facilidade de uso</v>
      </c>
      <c r="B47801" s="3">
        <v>1</v>
      </c>
    </row>
    <row r="47802" ht="15.75" customHeight="1" spans="1:2">
      <c r="A47802" s="3" t="str">
        <f>IFERROR(__xludf.DUMMYFUNCTION("GOOGLETRANSLATE(A47802,""en"",""pt"")"),"Grandes imagens, Zoom, boas características ópticas")</f>
        <v>Grandes imagens, Zoom, boas características ópticas</v>
      </c>
      <c r="B47802" s="3">
        <v>1</v>
      </c>
    </row>
    <row r="47803" ht="15.75" customHeight="1" spans="1:2">
      <c r="A47803" s="3" t="str">
        <f>IFERROR(__xludf.DUMMYFUNCTION("GOOGLETRANSLATE(A47803,""en"",""pt"")"),"qualidade da imagem, tamanho, sistema de menu")</f>
        <v>qualidade da imagem, tamanho, sistema de menu</v>
      </c>
      <c r="B47803" s="3">
        <v>1</v>
      </c>
    </row>
    <row r="47804" ht="15.75" customHeight="1" spans="1:2">
      <c r="A47804" s="3" t="str">
        <f>IFERROR(__xludf.DUMMYFUNCTION("GOOGLETRANSLATE(A47804,""en"",""pt"")"),"Grandes fotos, rápido virar para enviá-los na internet ...")</f>
        <v>Grandes fotos, rápido virar para enviá-los na internet ...</v>
      </c>
      <c r="B47804" s="3">
        <v>1</v>
      </c>
    </row>
    <row r="47805" ht="15.75" customHeight="1" spans="1:2">
      <c r="A47805" s="3" t="str">
        <f>IFERROR(__xludf.DUMMYFUNCTION("GOOGLETRANSLATE(A47805,""en"",""pt"")"),"preço, resolução, facilidade de uso, características, zoom, a nitidez da imagem, exposição e resolução, durabilidade")</f>
        <v>preço, resolução, facilidade de uso, características, zoom, a nitidez da imagem, exposição e resolução, durabilidade</v>
      </c>
      <c r="B47805" s="3">
        <v>1</v>
      </c>
    </row>
    <row r="47806" ht="15.75" customHeight="1" spans="1:2">
      <c r="A47806" s="3" t="str">
        <f>IFERROR(__xludf.DUMMYFUNCTION("GOOGLETRANSLATE(A47806,""en"",""pt"")"),"Imagens soberbas, fácil de usar, bom preço.")</f>
        <v>Imagens soberbas, fácil de usar, bom preço.</v>
      </c>
      <c r="B47806" s="3">
        <v>1</v>
      </c>
    </row>
    <row r="47807" ht="15.75" customHeight="1" spans="1:2">
      <c r="A47807" s="3" t="str">
        <f>IFERROR(__xludf.DUMMYFUNCTION("GOOGLETRANSLATE(A47807,""en"",""pt"")"),"tudo")</f>
        <v>tudo</v>
      </c>
      <c r="B47807" s="3">
        <v>1</v>
      </c>
    </row>
    <row r="47808" ht="15.75" customHeight="1" spans="1:2">
      <c r="A47808" s="3" t="str">
        <f>IFERROR(__xludf.DUMMYFUNCTION("GOOGLETRANSLATE(A47808,""en"",""pt"")"),"Grandes imagens, padrão imagens JPEG")</f>
        <v>Grandes imagens, padrão imagens JPEG</v>
      </c>
      <c r="B47808" s="3">
        <v>1</v>
      </c>
    </row>
    <row r="47809" ht="15.75" customHeight="1" spans="1:2">
      <c r="A47809" s="3" t="str">
        <f>IFERROR(__xludf.DUMMYFUNCTION("GOOGLETRANSLATE(A47809,""en"",""pt"")"),"Preço, impressionantes ainda pics, usb")</f>
        <v>Preço, impressionantes ainda pics, usb</v>
      </c>
      <c r="B47809" s="3">
        <v>1</v>
      </c>
    </row>
    <row r="47810" ht="15.75" customHeight="1" spans="1:2">
      <c r="A47810" s="3" t="str">
        <f>IFERROR(__xludf.DUMMYFUNCTION("GOOGLETRANSLATE(A47810,""en"",""pt"")"),"uso muito simples")</f>
        <v>uso muito simples</v>
      </c>
      <c r="B47810" s="3">
        <v>1</v>
      </c>
    </row>
    <row r="47811" ht="15.75" customHeight="1" spans="1:2">
      <c r="A47811" s="3" t="str">
        <f>IFERROR(__xludf.DUMMYFUNCTION("GOOGLETRANSLATE(A47811,""en"",""pt"")"),"Grandes imagens, ótimo software e fácil de transportar!")</f>
        <v>Grandes imagens, ótimo software e fácil de transportar!</v>
      </c>
      <c r="B47811" s="3">
        <v>1</v>
      </c>
    </row>
    <row r="47812" ht="15.75" customHeight="1" spans="1:2">
      <c r="A47812" s="3" t="str">
        <f>IFERROR(__xludf.DUMMYFUNCTION("GOOGLETRANSLATE(A47812,""en"",""pt"")"),"Fácil de usar")</f>
        <v>Fácil de usar</v>
      </c>
      <c r="B47812" s="3">
        <v>1</v>
      </c>
    </row>
    <row r="47813" ht="15.75" customHeight="1" spans="1:2">
      <c r="A47813" s="3" t="str">
        <f>IFERROR(__xludf.DUMMYFUNCTION("GOOGLETRANSLATE(A47813,""en"",""pt"")"),"fotos grandes, podem ser encontrados à venda")</f>
        <v>fotos grandes, podem ser encontrados à venda</v>
      </c>
      <c r="B47813" s="3">
        <v>1</v>
      </c>
    </row>
    <row r="47814" ht="15.75" customHeight="1" spans="1:2">
      <c r="A47814" s="3" t="str">
        <f>IFERROR(__xludf.DUMMYFUNCTION("GOOGLETRANSLATE(A47814,""en"",""pt"")"),"acesso imediato às imagens, facilidade de uso, a edição no computador")</f>
        <v>acesso imediato às imagens, facilidade de uso, a edição no computador</v>
      </c>
      <c r="B47814" s="3">
        <v>1</v>
      </c>
    </row>
    <row r="47815" ht="15.75" customHeight="1" spans="1:2">
      <c r="A47815" s="3" t="str">
        <f>IFERROR(__xludf.DUMMYFUNCTION("GOOGLETRANSLATE(A47815,""en"",""pt"")"),"claras pics, operação fácil, recursos de personalização")</f>
        <v>claras pics, operação fácil, recursos de personalização</v>
      </c>
      <c r="B47815" s="3">
        <v>1</v>
      </c>
    </row>
    <row r="47816" ht="15.75" customHeight="1" spans="1:2">
      <c r="A47816" s="3" t="str">
        <f>IFERROR(__xludf.DUMMYFUNCTION("GOOGLETRANSLATE(A47816,""en"",""pt"")"),"Excelente qualidade de imagem, fácil de usar")</f>
        <v>Excelente qualidade de imagem, fácil de usar</v>
      </c>
      <c r="B47816" s="3">
        <v>1</v>
      </c>
    </row>
    <row r="47817" ht="15.75" customHeight="1" spans="1:2">
      <c r="A47817" s="3" t="str">
        <f>IFERROR(__xludf.DUMMYFUNCTION("GOOGLETRANSLATE(A47817,""en"",""pt"")"),"fácil e eficiente / durável")</f>
        <v>fácil e eficiente / durável</v>
      </c>
      <c r="B47817" s="3">
        <v>1</v>
      </c>
    </row>
    <row r="47818" ht="15.75" customHeight="1" spans="1:2">
      <c r="A47818" s="3" t="str">
        <f>IFERROR(__xludf.DUMMYFUNCTION("GOOGLETRANSLATE(A47818,""en"",""pt"")"),"Alta resolução, capacidades de zoom e de fácil utilização Câmera Manual de Instruções e bateria recarregável Ni-MH e carregador")</f>
        <v>Alta resolução, capacidades de zoom e de fácil utilização Câmera Manual de Instruções e bateria recarregável Ni-MH e carregador</v>
      </c>
      <c r="B47818" s="3">
        <v>1</v>
      </c>
    </row>
    <row r="47819" ht="15.75" customHeight="1" spans="1:2">
      <c r="A47819" s="3" t="str">
        <f>IFERROR(__xludf.DUMMYFUNCTION("GOOGLETRANSLATE(A47819,""en"",""pt"")"),"qualidade incrível, interface USB, cartão de memória grande incluído")</f>
        <v>qualidade incrível, interface USB, cartão de memória grande incluído</v>
      </c>
      <c r="B47819" s="3">
        <v>1</v>
      </c>
    </row>
    <row r="47820" ht="15.75" customHeight="1" spans="1:2">
      <c r="A47820" s="3" t="str">
        <f>IFERROR(__xludf.DUMMYFUNCTION("GOOGLETRANSLATE(A47820,""en"",""pt"")"),"Grandes pics, divertido, fácil de usar, bom preço")</f>
        <v>Grandes pics, divertido, fácil de usar, bom preço</v>
      </c>
      <c r="B47820" s="3">
        <v>1</v>
      </c>
    </row>
    <row r="47821" ht="15.75" customHeight="1" spans="1:2">
      <c r="A47821" s="3" t="str">
        <f>IFERROR(__xludf.DUMMYFUNCTION("GOOGLETRANSLATE(A47821,""en"",""pt"")"),"Imagens fantásticas, poupa dinheiro ao longo da, gratificação instantânea longo prazo")</f>
        <v>Imagens fantásticas, poupa dinheiro ao longo da, gratificação instantânea longo prazo</v>
      </c>
      <c r="B47821" s="3">
        <v>1</v>
      </c>
    </row>
    <row r="47822" ht="15.75" customHeight="1" spans="1:2">
      <c r="A47822" s="3" t="str">
        <f>IFERROR(__xludf.DUMMYFUNCTION("GOOGLETRANSLATE(A47822,""en"",""pt"")"),"qualidade de imagem, facilidade de uso")</f>
        <v>qualidade de imagem, facilidade de uso</v>
      </c>
      <c r="B47822" s="3">
        <v>1</v>
      </c>
    </row>
    <row r="47823" ht="15.75" customHeight="1" spans="1:2">
      <c r="A47823" s="3" t="str">
        <f>IFERROR(__xludf.DUMMYFUNCTION("GOOGLETRANSLATE(A47823,""en"",""pt"")"),"USB, cartão Smart Media expande as opções de armazenamento e transferência, as imagens são nítidas e claras")</f>
        <v>USB, cartão Smart Media expande as opções de armazenamento e transferência, as imagens são nítidas e claras</v>
      </c>
      <c r="B47823" s="3">
        <v>1</v>
      </c>
    </row>
    <row r="47824" ht="15.75" customHeight="1" spans="1:2">
      <c r="A47824" s="3" t="str">
        <f>IFERROR(__xludf.DUMMYFUNCTION("GOOGLETRANSLATE(A47824,""en"",""pt"")"),"Grandes fotos, Custo")</f>
        <v>Grandes fotos, Custo</v>
      </c>
      <c r="B47824" s="3">
        <v>1</v>
      </c>
    </row>
    <row r="47825" ht="15.75" customHeight="1" spans="1:2">
      <c r="A47825" s="3" t="str">
        <f>IFERROR(__xludf.DUMMYFUNCTION("GOOGLETRANSLATE(A47825,""en"",""pt"")"),"Imagens simples de qualidade")</f>
        <v>Imagens simples de qualidade</v>
      </c>
      <c r="B47825" s="3">
        <v>1</v>
      </c>
    </row>
    <row r="47826" ht="15.75" customHeight="1" spans="1:2">
      <c r="A47826" s="3" t="str">
        <f>IFERROR(__xludf.DUMMYFUNCTION("GOOGLETRANSLATE(A47826,""en"",""pt"")"),"qualidade de imagem, facilidade de uso, grande software")</f>
        <v>qualidade de imagem, facilidade de uso, grande software</v>
      </c>
      <c r="B47826" s="3">
        <v>1</v>
      </c>
    </row>
    <row r="47827" ht="15.75" customHeight="1" spans="1:2">
      <c r="A47827" s="3" t="str">
        <f>IFERROR(__xludf.DUMMYFUNCTION("GOOGLETRANSLATE(A47827,""en"",""pt"")"),"Grande ao ar livre em Sun Pictures")</f>
        <v>Grande ao ar livre em Sun Pictures</v>
      </c>
      <c r="B47827" s="3">
        <v>1</v>
      </c>
    </row>
    <row r="47828" ht="15.75" customHeight="1" spans="1:2">
      <c r="A47828" s="3" t="str">
        <f>IFERROR(__xludf.DUMMYFUNCTION("GOOGLETRANSLATE(A47828,""en"",""pt"")"),"2x lente de zoom óptico e montes mais")</f>
        <v>2x lente de zoom óptico e montes mais</v>
      </c>
      <c r="B47828" s="3">
        <v>1</v>
      </c>
    </row>
    <row r="47829" ht="15.75" customHeight="1" spans="1:2">
      <c r="A47829" s="3" t="str">
        <f>IFERROR(__xludf.DUMMYFUNCTION("GOOGLETRANSLATE(A47829,""en"",""pt"")"),"qualidade de imagem, facilidade de utilização, durabilidade, conexão USB")</f>
        <v>qualidade de imagem, facilidade de utilização, durabilidade, conexão USB</v>
      </c>
      <c r="B47829" s="3">
        <v>1</v>
      </c>
    </row>
    <row r="47830" ht="15.75" customHeight="1" spans="1:2">
      <c r="A47830" s="3" t="str">
        <f>IFERROR(__xludf.DUMMYFUNCTION("GOOGLETRANSLATE(A47830,""en"",""pt"")"),"nome Kodak")</f>
        <v>nome Kodak</v>
      </c>
      <c r="B47830" s="3">
        <v>1</v>
      </c>
    </row>
    <row r="47831" ht="15.75" customHeight="1" spans="1:2">
      <c r="A47831" s="3" t="str">
        <f>IFERROR(__xludf.DUMMYFUNCTION("GOOGLETRANSLATE(A47831,""en"",""pt"")"),"Fácil de usar")</f>
        <v>Fácil de usar</v>
      </c>
      <c r="B47831" s="3">
        <v>1</v>
      </c>
    </row>
    <row r="47832" ht="15.75" customHeight="1" spans="1:2">
      <c r="A47832" s="3" t="str">
        <f>IFERROR(__xludf.DUMMYFUNCTION("GOOGLETRANSLATE(A47832,""en"",""pt"")"),"Fácil de usar, poupa dinheiro em filme")</f>
        <v>Fácil de usar, poupa dinheiro em filme</v>
      </c>
      <c r="B47832" s="3">
        <v>1</v>
      </c>
    </row>
    <row r="47833" ht="15.75" customHeight="1" spans="1:2">
      <c r="A47833" s="3" t="str">
        <f>IFERROR(__xludf.DUMMYFUNCTION("GOOGLETRANSLATE(A47833,""en"",""pt"")"),"pequeno, excelente qualidade de imagem")</f>
        <v>pequeno, excelente qualidade de imagem</v>
      </c>
      <c r="B47833" s="3">
        <v>1</v>
      </c>
    </row>
    <row r="47834" ht="15.75" customHeight="1" spans="1:2">
      <c r="A47834" s="3" t="str">
        <f>IFERROR(__xludf.DUMMYFUNCTION("GOOGLETRANSLATE(A47834,""en"",""pt"")"),"instantâneos, visualização instantânea / revisão")</f>
        <v>instantâneos, visualização instantânea / revisão</v>
      </c>
      <c r="B47834" s="3">
        <v>1</v>
      </c>
    </row>
    <row r="47835" ht="15.75" customHeight="1" spans="1:2">
      <c r="A47835" s="3" t="str">
        <f>IFERROR(__xludf.DUMMYFUNCTION("GOOGLETRANSLATE(A47835,""en"",""pt"")"),"fotos grandes, fácil de usar")</f>
        <v>fotos grandes, fácil de usar</v>
      </c>
      <c r="B47835" s="3">
        <v>1</v>
      </c>
    </row>
    <row r="47836" ht="15.75" customHeight="1" spans="1:2">
      <c r="A47836" s="3" t="str">
        <f>IFERROR(__xludf.DUMMYFUNCTION("GOOGLETRANSLATE(A47836,""en"",""pt"")"),"Fácil de usar, de grande qualidade")</f>
        <v>Fácil de usar, de grande qualidade</v>
      </c>
      <c r="B47836" s="3">
        <v>1</v>
      </c>
    </row>
    <row r="47837" ht="15.75" customHeight="1" spans="1:2">
      <c r="A47837" s="3" t="str">
        <f>IFERROR(__xludf.DUMMYFUNCTION("GOOGLETRANSLATE(A47837,""en"",""pt"")"),"Grande resolução, zoom decente")</f>
        <v>Grande resolução, zoom decente</v>
      </c>
      <c r="B47837" s="3">
        <v>1</v>
      </c>
    </row>
    <row r="47838" ht="15.75" customHeight="1" spans="1:2">
      <c r="A47838" s="3" t="str">
        <f>IFERROR(__xludf.DUMMYFUNCTION("GOOGLETRANSLATE(A47838,""en"",""pt"")"),"Facilidade de uso, qualidade dos resultados")</f>
        <v>Facilidade de uso, qualidade dos resultados</v>
      </c>
      <c r="B47838" s="3">
        <v>1</v>
      </c>
    </row>
    <row r="47839" ht="15.75" customHeight="1" spans="1:2">
      <c r="A47839" s="3" t="str">
        <f>IFERROR(__xludf.DUMMYFUNCTION("GOOGLETRANSLATE(A47839,""en"",""pt"")"),"Preço, características, boa tela")</f>
        <v>Preço, características, boa tela</v>
      </c>
      <c r="B47839" s="3">
        <v>1</v>
      </c>
    </row>
    <row r="47840" ht="15.75" customHeight="1" spans="1:2">
      <c r="A47840" s="3" t="str">
        <f>IFERROR(__xludf.DUMMYFUNCTION("GOOGLETRANSLATE(A47840,""en"",""pt"")"),"transferência rápida para PC com USB incluído.")</f>
        <v>transferência rápida para PC com USB incluído.</v>
      </c>
      <c r="B47840" s="3">
        <v>1</v>
      </c>
    </row>
    <row r="47841" ht="15.75" customHeight="1" spans="1:2">
      <c r="A47841" s="3" t="str">
        <f>IFERROR(__xludf.DUMMYFUNCTION("GOOGLETRANSLATE(A47841,""en"",""pt"")"),"Fácil de usar, duráveis, fotos de qualidade")</f>
        <v>Fácil de usar, duráveis, fotos de qualidade</v>
      </c>
      <c r="B47841" s="3">
        <v>1</v>
      </c>
    </row>
    <row r="47842" ht="15.75" customHeight="1" spans="1:2">
      <c r="A47842" s="3" t="str">
        <f>IFERROR(__xludf.DUMMYFUNCTION("GOOGLETRANSLATE(A47842,""en"",""pt"")"),"É Camera A Digital")</f>
        <v>É Camera A Digital</v>
      </c>
      <c r="B47842" s="3">
        <v>1</v>
      </c>
    </row>
    <row r="47843" ht="15.75" customHeight="1" spans="1:2">
      <c r="A47843" s="3" t="str">
        <f>IFERROR(__xludf.DUMMYFUNCTION("GOOGLETRANSLATE(A47843,""en"",""pt"")"),"Câmera excelente para o preço")</f>
        <v>Câmera excelente para o preço</v>
      </c>
      <c r="B47843" s="3">
        <v>1</v>
      </c>
    </row>
    <row r="47844" ht="15.75" customHeight="1" spans="1:2">
      <c r="A47844" s="3" t="str">
        <f>IFERROR(__xludf.DUMMYFUNCTION("GOOGLETRANSLATE(A47844,""en"",""pt"")"),"Fácil de usar")</f>
        <v>Fácil de usar</v>
      </c>
      <c r="B47844" s="3">
        <v>1</v>
      </c>
    </row>
    <row r="47845" ht="15.75" customHeight="1" spans="1:2">
      <c r="A47845" s="3" t="str">
        <f>IFERROR(__xludf.DUMMYFUNCTION("GOOGLETRANSLATE(A47845,""en"",""pt"")"),"Agradável Pictures, resistente Case, controles flexíveis")</f>
        <v>Agradável Pictures, resistente Case, controles flexíveis</v>
      </c>
      <c r="B47845" s="3">
        <v>1</v>
      </c>
    </row>
    <row r="47846" ht="15.75" customHeight="1" spans="1:2">
      <c r="A47846" s="3" t="str">
        <f>IFERROR(__xludf.DUMMYFUNCTION("GOOGLETRANSLATE(A47846,""en"",""pt"")"),"Resolução, o uso, estética")</f>
        <v>Resolução, o uso, estética</v>
      </c>
      <c r="B47846" s="3">
        <v>1</v>
      </c>
    </row>
    <row r="47847" ht="15.75" customHeight="1" spans="1:2">
      <c r="A47847" s="3" t="str">
        <f>IFERROR(__xludf.DUMMYFUNCTION("GOOGLETRANSLATE(A47847,""en"",""pt"")"),"qualidade de imagem, valor, facilidade de uso")</f>
        <v>qualidade de imagem, valor, facilidade de uso</v>
      </c>
      <c r="B47847" s="3">
        <v>1</v>
      </c>
    </row>
    <row r="47848" ht="15.75" customHeight="1" spans="1:2">
      <c r="A47848" s="3" t="str">
        <f>IFERROR(__xludf.DUMMYFUNCTION("GOOGLETRANSLATE(A47848,""en"",""pt"")"),"Grande Camera, impressionantes Fotos")</f>
        <v>Grande Camera, impressionantes Fotos</v>
      </c>
      <c r="B47848" s="3">
        <v>1</v>
      </c>
    </row>
    <row r="47849" ht="15.75" customHeight="1" spans="1:2">
      <c r="A47849" s="3" t="str">
        <f>IFERROR(__xludf.DUMMYFUNCTION("GOOGLETRANSLATE(A47849,""en"",""pt"")"),"Grandes cores, detalhe, facilidade de uso &amp; amp; amp; preço")</f>
        <v>Grandes cores, detalhe, facilidade de uso &amp; amp; amp; preço</v>
      </c>
      <c r="B47849" s="3">
        <v>1</v>
      </c>
    </row>
    <row r="47850" ht="15.75" customHeight="1" spans="1:2">
      <c r="A47850" s="3" t="str">
        <f>IFERROR(__xludf.DUMMYFUNCTION("GOOGLETRANSLATE(A47850,""en"",""pt"")"),"ótimas fotos")</f>
        <v>ótimas fotos</v>
      </c>
      <c r="B47850" s="3">
        <v>1</v>
      </c>
    </row>
    <row r="47851" ht="15.75" customHeight="1" spans="1:2">
      <c r="A47851" s="3" t="str">
        <f>IFERROR(__xludf.DUMMYFUNCTION("GOOGLETRANSLATE(A47851,""en"",""pt"")"),"TV-out, excelente qualidade de imagem, bom software")</f>
        <v>TV-out, excelente qualidade de imagem, bom software</v>
      </c>
      <c r="B47851" s="3">
        <v>1</v>
      </c>
    </row>
    <row r="47852" ht="15.75" customHeight="1" spans="1:2">
      <c r="A47852" s="3" t="str">
        <f>IFERROR(__xludf.DUMMYFUNCTION("GOOGLETRANSLATE(A47852,""en"",""pt"")"),"Monitor de LCD, resolução, Preço")</f>
        <v>Monitor de LCD, resolução, Preço</v>
      </c>
      <c r="B47852" s="3">
        <v>1</v>
      </c>
    </row>
    <row r="47853" ht="15.75" customHeight="1" spans="1:2">
      <c r="A47853" s="3" t="str">
        <f>IFERROR(__xludf.DUMMYFUNCTION("GOOGLETRANSLATE(A47853,""en"",""pt"")"),"fotos excelentes, memória CF, ponto-e-clique")</f>
        <v>fotos excelentes, memória CF, ponto-e-clique</v>
      </c>
      <c r="B47853" s="3">
        <v>1</v>
      </c>
    </row>
    <row r="47854" ht="15.75" customHeight="1" spans="1:2">
      <c r="A47854" s="3" t="str">
        <f>IFERROR(__xludf.DUMMYFUNCTION("GOOGLETRANSLATE(A47854,""en"",""pt"")"),"fácil de usar, peso leve.")</f>
        <v>fácil de usar, peso leve.</v>
      </c>
      <c r="B47854" s="3">
        <v>1</v>
      </c>
    </row>
    <row r="47855" ht="15.75" customHeight="1" spans="1:2">
      <c r="A47855" s="3" t="str">
        <f>IFERROR(__xludf.DUMMYFUNCTION("GOOGLETRANSLATE(A47855,""en"",""pt"")"),"Todas as características que eu nunca vai precisar!")</f>
        <v>Todas as características que eu nunca vai precisar!</v>
      </c>
      <c r="B47855" s="3">
        <v>1</v>
      </c>
    </row>
    <row r="47856" ht="15.75" customHeight="1" spans="1:2">
      <c r="A47856" s="3" t="str">
        <f>IFERROR(__xludf.DUMMYFUNCTION("GOOGLETRANSLATE(A47856,""en"",""pt"")"),"Terrific Pictures")</f>
        <v>Terrific Pictures</v>
      </c>
      <c r="B47856" s="3">
        <v>1</v>
      </c>
    </row>
    <row r="47857" ht="15.75" customHeight="1" spans="1:2">
      <c r="A47857" s="3" t="str">
        <f>IFERROR(__xludf.DUMMYFUNCTION("GOOGLETRANSLATE(A47857,""en"",""pt"")"),"Super fácil de usar, um monte de recursos para o preço, grande clarão")</f>
        <v>Super fácil de usar, um monte de recursos para o preço, grande clarão</v>
      </c>
      <c r="B47857" s="3">
        <v>1</v>
      </c>
    </row>
    <row r="47858" ht="15.75" customHeight="1" spans="1:2">
      <c r="A47858" s="3" t="str">
        <f>IFERROR(__xludf.DUMMYFUNCTION("GOOGLETRANSLATE(A47858,""en"",""pt"")"),"2 Megapixel")</f>
        <v>2 Megapixel</v>
      </c>
      <c r="B47858" s="3">
        <v>1</v>
      </c>
    </row>
    <row r="47859" ht="15.75" customHeight="1" spans="1:2">
      <c r="A47859" s="3" t="str">
        <f>IFERROR(__xludf.DUMMYFUNCTION("GOOGLETRANSLATE(A47859,""en"",""pt"")"),"Imagens de grande qualidade &amp; amp; # 13; &amp; amp; # 10; Vem com todos os extras que você precisa")</f>
        <v>Imagens de grande qualidade &amp; amp; # 13; &amp; amp; # 10; Vem com todos os extras que você precisa</v>
      </c>
      <c r="B47859" s="3">
        <v>1</v>
      </c>
    </row>
    <row r="47860" ht="15.75" customHeight="1" spans="1:2">
      <c r="A47860" s="3" t="str">
        <f>IFERROR(__xludf.DUMMYFUNCTION("GOOGLETRANSLATE(A47860,""en"",""pt"")"),"Tamanho, custo, versatilidade, economia de custos, qualidade de imagem, vem com baterias recarregáveis.")</f>
        <v>Tamanho, custo, versatilidade, economia de custos, qualidade de imagem, vem com baterias recarregáveis.</v>
      </c>
      <c r="B47860" s="3">
        <v>1</v>
      </c>
    </row>
    <row r="47861" ht="15.75" customHeight="1" spans="1:2">
      <c r="A47861" s="3" t="str">
        <f>IFERROR(__xludf.DUMMYFUNCTION("GOOGLETRANSLATE(A47861,""en"",""pt"")"),"Fácil de usar; Boa qualidade indoor / outdoor; Boa cor / qualidade de imagem")</f>
        <v>Fácil de usar; Boa qualidade indoor / outdoor; Boa cor / qualidade de imagem</v>
      </c>
      <c r="B47861" s="3">
        <v>1</v>
      </c>
    </row>
    <row r="47862" ht="15.75" customHeight="1" spans="1:2">
      <c r="A47862" s="3" t="str">
        <f>IFERROR(__xludf.DUMMYFUNCTION("GOOGLETRANSLATE(A47862,""en"",""pt"")"),"Fácil de usar e vem com tudo para começar a tirar belas fotos digitais.")</f>
        <v>Fácil de usar e vem com tudo para começar a tirar belas fotos digitais.</v>
      </c>
      <c r="B47862" s="3">
        <v>1</v>
      </c>
    </row>
    <row r="47863" ht="15.75" customHeight="1" spans="1:2">
      <c r="A47863" s="3" t="str">
        <f>IFERROR(__xludf.DUMMYFUNCTION("GOOGLETRANSLATE(A47863,""en"",""pt"")"),"Grande procura de luz do dia pics, Fácil de operar")</f>
        <v>Grande procura de luz do dia pics, Fácil de operar</v>
      </c>
      <c r="B47863" s="3">
        <v>1</v>
      </c>
    </row>
    <row r="47864" ht="15.75" customHeight="1" spans="1:2">
      <c r="A47864" s="3" t="str">
        <f>IFERROR(__xludf.DUMMYFUNCTION("GOOGLETRANSLATE(A47864,""en"",""pt"")"),"qualidade de imagem bonita")</f>
        <v>qualidade de imagem bonita</v>
      </c>
      <c r="B47864" s="3">
        <v>1</v>
      </c>
    </row>
    <row r="47865" ht="15.75" customHeight="1" spans="1:2">
      <c r="A47865" s="3" t="str">
        <f>IFERROR(__xludf.DUMMYFUNCTION("GOOGLETRANSLATE(A47865,""en"",""pt"")"),"Boa qualidade de imagem, compatível, zoom decente CompactFlash, muitas características avançadas.")</f>
        <v>Boa qualidade de imagem, compatível, zoom decente CompactFlash, muitas características avançadas.</v>
      </c>
      <c r="B47865" s="3">
        <v>1</v>
      </c>
    </row>
    <row r="47866" ht="15.75" customHeight="1" spans="1:2">
      <c r="A47866" s="3" t="str">
        <f>IFERROR(__xludf.DUMMYFUNCTION("GOOGLETRANSLATE(A47866,""en"",""pt"")"),"Fantástica qualidade de imagem; Durável câmera bem construída.")</f>
        <v>Fantástica qualidade de imagem; Durável câmera bem construída.</v>
      </c>
      <c r="B47866" s="3">
        <v>1</v>
      </c>
    </row>
    <row r="47867" ht="15.75" customHeight="1" spans="1:2">
      <c r="A47867" s="3" t="str">
        <f>IFERROR(__xludf.DUMMYFUNCTION("GOOGLETRANSLATE(A47867,""en"",""pt"")"),"excelentes imagens, gravação de som, construção robusta, capacidades de baixa luminosidade, conectividade USB")</f>
        <v>excelentes imagens, gravação de som, construção robusta, capacidades de baixa luminosidade, conectividade USB</v>
      </c>
      <c r="B47867" s="3">
        <v>1</v>
      </c>
    </row>
    <row r="47868" ht="15.75" customHeight="1" spans="1:2">
      <c r="A47868" s="3" t="str">
        <f>IFERROR(__xludf.DUMMYFUNCTION("GOOGLETRANSLATE(A47868,""en"",""pt"")"),"imagens nítidas e grande reprodução de cor, características puras, interface intuitiva")</f>
        <v>imagens nítidas e grande reprodução de cor, características puras, interface intuitiva</v>
      </c>
      <c r="B47868" s="3">
        <v>1</v>
      </c>
    </row>
    <row r="47869" ht="15.75" customHeight="1" spans="1:2">
      <c r="A47869" s="3" t="str">
        <f>IFERROR(__xludf.DUMMYFUNCTION("GOOGLETRANSLATE(A47869,""en"",""pt"")"),"Belas HI RES fotos alcançado! preços justos!")</f>
        <v>Belas HI RES fotos alcançado! preços justos!</v>
      </c>
      <c r="B47869" s="3">
        <v>1</v>
      </c>
    </row>
    <row r="47870" ht="15.75" customHeight="1" spans="1:2">
      <c r="A47870" s="3" t="str">
        <f>IFERROR(__xludf.DUMMYFUNCTION("GOOGLETRANSLATE(A47870,""en"",""pt"")"),"Excelente qualidade de imagem, características impressionantes.")</f>
        <v>Excelente qualidade de imagem, características impressionantes.</v>
      </c>
      <c r="B47870" s="3">
        <v>1</v>
      </c>
    </row>
    <row r="47871" ht="15.75" customHeight="1" spans="1:2">
      <c r="A47871" s="3" t="str">
        <f>IFERROR(__xludf.DUMMYFUNCTION("GOOGLETRANSLATE(A47871,""en"",""pt"")"),"Incrível qualidade da foto. A capacidade de tirar fotos sem compressão (TIFF).")</f>
        <v>Incrível qualidade da foto. A capacidade de tirar fotos sem compressão (TIFF).</v>
      </c>
      <c r="B47871" s="3">
        <v>1</v>
      </c>
    </row>
    <row r="47872" ht="15.75" customHeight="1" spans="1:2">
      <c r="A47872" s="3" t="str">
        <f>IFERROR(__xludf.DUMMYFUNCTION("GOOGLETRANSLATE(A47872,""en"",""pt"")"),"Ótimas fotos")</f>
        <v>Ótimas fotos</v>
      </c>
      <c r="B47872" s="3">
        <v>1</v>
      </c>
    </row>
    <row r="47873" ht="15.75" customHeight="1" spans="1:2">
      <c r="A47873" s="3" t="str">
        <f>IFERROR(__xludf.DUMMYFUNCTION("GOOGLETRANSLATE(A47873,""en"",""pt"")"),"Resolução, memória de 20MB incluídos")</f>
        <v>Resolução, memória de 20MB incluídos</v>
      </c>
      <c r="B47873" s="3">
        <v>1</v>
      </c>
    </row>
    <row r="47874" ht="15.75" customHeight="1" spans="1:2">
      <c r="A47874" s="3" t="str">
        <f>IFERROR(__xludf.DUMMYFUNCTION("GOOGLETRANSLATE(A47874,""en"",""pt"")"),"2.3 megapixels, 2240X1500 (resolução max), cor de 24 bits, JPEG ou TIFF formatação, recursos de áudio, 20 cartão de memória MB")</f>
        <v>2.3 megapixels, 2240X1500 (resolução max), cor de 24 bits, JPEG ou TIFF formatação, recursos de áudio, 20 cartão de memória MB</v>
      </c>
      <c r="B47874" s="3">
        <v>1</v>
      </c>
    </row>
    <row r="47875" ht="15.75" customHeight="1" spans="1:2">
      <c r="A47875" s="3" t="str">
        <f>IFERROR(__xludf.DUMMYFUNCTION("GOOGLETRANSLATE(A47875,""en"",""pt"")"),"Fácil de usar, USB capaz")</f>
        <v>Fácil de usar, USB capaz</v>
      </c>
      <c r="B47875" s="3">
        <v>1</v>
      </c>
    </row>
    <row r="47876" ht="15.75" customHeight="1" spans="1:2">
      <c r="A47876" s="3" t="str">
        <f>IFERROR(__xludf.DUMMYFUNCTION("GOOGLETRANSLATE(A47876,""en"",""pt"")"),"Quality &amp; amp; amp; Fácil de usar")</f>
        <v>Quality &amp; amp; amp; Fácil de usar</v>
      </c>
      <c r="B47876" s="3">
        <v>1</v>
      </c>
    </row>
    <row r="47877" ht="15.75" customHeight="1" spans="1:2">
      <c r="A47877" s="3" t="str">
        <f>IFERROR(__xludf.DUMMYFUNCTION("GOOGLETRANSLATE(A47877,""en"",""pt"")"),"Grandes fotos, pode adicionar lentes e filtros, ampla faixa dinâmica em fotos.")</f>
        <v>Grandes fotos, pode adicionar lentes e filtros, ampla faixa dinâmica em fotos.</v>
      </c>
      <c r="B47877" s="3">
        <v>1</v>
      </c>
    </row>
    <row r="47878" ht="15.75" customHeight="1" spans="1:2">
      <c r="A47878" s="3" t="str">
        <f>IFERROR(__xludf.DUMMYFUNCTION("GOOGLETRANSLATE(A47878,""en"",""pt"")"),"Grandes fotos, áudio, 2 megapixel, zoom 3x, USB")</f>
        <v>Grandes fotos, áudio, 2 megapixel, zoom 3x, USB</v>
      </c>
      <c r="B47878" s="3">
        <v>1</v>
      </c>
    </row>
    <row r="47879" ht="15.75" customHeight="1" spans="1:2">
      <c r="A47879" s="3" t="str">
        <f>IFERROR(__xludf.DUMMYFUNCTION("GOOGLETRANSLATE(A47879,""en"",""pt"")"),"Conveniência, nenhum filme para desenvolver, facilidade de uso")</f>
        <v>Conveniência, nenhum filme para desenvolver, facilidade de uso</v>
      </c>
      <c r="B47879" s="3">
        <v>1</v>
      </c>
    </row>
    <row r="47880" ht="15.75" customHeight="1" spans="1:2">
      <c r="A47880" s="3" t="str">
        <f>IFERROR(__xludf.DUMMYFUNCTION("GOOGLETRANSLATE(A47880,""en"",""pt"")"),"qualidade de imagem, auto-sensores precisos")</f>
        <v>qualidade de imagem, auto-sensores precisos</v>
      </c>
      <c r="B47880" s="3">
        <v>1</v>
      </c>
    </row>
    <row r="47881" ht="15.75" customHeight="1" spans="1:2">
      <c r="A47881" s="3" t="str">
        <f>IFERROR(__xludf.DUMMYFUNCTION("GOOGLETRANSLATE(A47881,""en"",""pt"")"),"Assim fácil de usar a partir de apontar e disparar para upload!")</f>
        <v>Assim fácil de usar a partir de apontar e disparar para upload!</v>
      </c>
      <c r="B47881" s="3">
        <v>1</v>
      </c>
    </row>
    <row r="47882" ht="15.75" customHeight="1" spans="1:2">
      <c r="A47882" s="3" t="str">
        <f>IFERROR(__xludf.DUMMYFUNCTION("GOOGLETRANSLATE(A47882,""en"",""pt"")"),"Fácil de usar, Vídeo e função de som, e boa qualidade de imagem")</f>
        <v>Fácil de usar, Vídeo e função de som, e boa qualidade de imagem</v>
      </c>
      <c r="B47882" s="3">
        <v>1</v>
      </c>
    </row>
    <row r="47883" ht="15.75" customHeight="1" spans="1:2">
      <c r="A47883" s="3" t="str">
        <f>IFERROR(__xludf.DUMMYFUNCTION("GOOGLETRANSLATE(A47883,""en"",""pt"")"),"Excelente qualidade de imagem, facilidade de uso com o Windows")</f>
        <v>Excelente qualidade de imagem, facilidade de uso com o Windows</v>
      </c>
      <c r="B47883" s="3">
        <v>1</v>
      </c>
    </row>
    <row r="47884" ht="15.75" customHeight="1" spans="1:2">
      <c r="A47884" s="3" t="str">
        <f>IFERROR(__xludf.DUMMYFUNCTION("GOOGLETRANSLATE(A47884,""en"",""pt"")"),"Bom preço; semi-pro câmera; gama 3MP W / Digita Script e GPS capacidade de interface")</f>
        <v>Bom preço; semi-pro câmera; gama 3MP W / Digita Script e GPS capacidade de interface</v>
      </c>
      <c r="B47884" s="3">
        <v>1</v>
      </c>
    </row>
    <row r="47885" ht="15.75" customHeight="1" spans="1:2">
      <c r="A47885" s="3" t="str">
        <f>IFERROR(__xludf.DUMMYFUNCTION("GOOGLETRANSLATE(A47885,""en"",""pt"")"),"Trabalhou, por cerca de um ano")</f>
        <v>Trabalhou, por cerca de um ano</v>
      </c>
      <c r="B47885" s="3">
        <v>1</v>
      </c>
    </row>
    <row r="47886" ht="15.75" customHeight="1" spans="1:2">
      <c r="A47886" s="3" t="str">
        <f>IFERROR(__xludf.DUMMYFUNCTION("GOOGLETRANSLATE(A47886,""en"",""pt"")"),"excelente uso")</f>
        <v>excelente uso</v>
      </c>
      <c r="B47886" s="3">
        <v>1</v>
      </c>
    </row>
    <row r="47887" ht="15.75" customHeight="1" spans="1:2">
      <c r="A47887" s="3" t="str">
        <f>IFERROR(__xludf.DUMMYFUNCTION("GOOGLETRANSLATE(A47887,""en"",""pt"")"),"Excelente qualidade de imagem e profundidade, produz grandes cópias impressas")</f>
        <v>Excelente qualidade de imagem e profundidade, produz grandes cópias impressas</v>
      </c>
      <c r="B47887" s="3">
        <v>1</v>
      </c>
    </row>
    <row r="47888" ht="15.75" customHeight="1" spans="1:2">
      <c r="A47888" s="3" t="str">
        <f>IFERROR(__xludf.DUMMYFUNCTION("GOOGLETRANSLATE(A47888,""en"",""pt"")"),"Excelentes Pictures, fácil de usar")</f>
        <v>Excelentes Pictures, fácil de usar</v>
      </c>
      <c r="B47888" s="3">
        <v>1</v>
      </c>
    </row>
    <row r="47889" ht="15.75" customHeight="1" spans="1:2">
      <c r="A47889" s="3" t="str">
        <f>IFERROR(__xludf.DUMMYFUNCTION("GOOGLETRANSLATE(A47889,""en"",""pt"")"),"Grandes fotos, fácil de usar, programável")</f>
        <v>Grandes fotos, fácil de usar, programável</v>
      </c>
      <c r="B47889" s="3">
        <v>1</v>
      </c>
    </row>
    <row r="47890" ht="15.75" customHeight="1" spans="1:2">
      <c r="A47890" s="3" t="str">
        <f>IFERROR(__xludf.DUMMYFUNCTION("GOOGLETRANSLATE(A47890,""en"",""pt"")"),"As características mais importantes e fotos")</f>
        <v>As características mais importantes e fotos</v>
      </c>
      <c r="B47890" s="3">
        <v>1</v>
      </c>
    </row>
    <row r="47891" ht="15.75" customHeight="1" spans="1:2">
      <c r="A47891" s="3" t="str">
        <f>IFERROR(__xludf.DUMMYFUNCTION("GOOGLETRANSLATE(A47891,""en"",""pt"")"),"High-tech fácil!")</f>
        <v>High-tech fácil!</v>
      </c>
      <c r="B47891" s="3">
        <v>1</v>
      </c>
    </row>
    <row r="47892" ht="15.75" customHeight="1" spans="1:2">
      <c r="A47892" s="3" t="str">
        <f>IFERROR(__xludf.DUMMYFUNCTION("GOOGLETRANSLATE(A47892,""en"",""pt"")"),"incrível qualidade de imagem, grande (32mb!) cartão CompactFlash")</f>
        <v>incrível qualidade de imagem, grande (32mb!) cartão CompactFlash</v>
      </c>
      <c r="B47892" s="3">
        <v>1</v>
      </c>
    </row>
    <row r="47893" ht="15.75" customHeight="1" spans="1:2">
      <c r="A47893" s="3" t="str">
        <f>IFERROR(__xludf.DUMMYFUNCTION("GOOGLETRANSLATE(A47893,""en"",""pt"")"),"Grandes especificações, grande valor, CompactFlash, USB, extras, software, suporte")</f>
        <v>Grandes especificações, grande valor, CompactFlash, USB, extras, software, suporte</v>
      </c>
      <c r="B47893" s="3">
        <v>1</v>
      </c>
    </row>
    <row r="47894" ht="15.75" customHeight="1" spans="1:2">
      <c r="A47894" s="3" t="str">
        <f>IFERROR(__xludf.DUMMYFUNCTION("GOOGLETRANSLATE(A47894,""en"",""pt"")"),"Grande resolução, recurso de zoom, usb")</f>
        <v>Grande resolução, recurso de zoom, usb</v>
      </c>
      <c r="B47894" s="3">
        <v>1</v>
      </c>
    </row>
    <row r="47895" ht="15.75" customHeight="1" spans="1:2">
      <c r="A47895" s="3" t="str">
        <f>IFERROR(__xludf.DUMMYFUNCTION("GOOGLETRANSLATE(A47895,""en"",""pt"")"),"cada característica no livro, Super fotos claras")</f>
        <v>cada característica no livro, Super fotos claras</v>
      </c>
      <c r="B47895" s="3">
        <v>1</v>
      </c>
    </row>
    <row r="47896" ht="15.75" customHeight="1" spans="1:2">
      <c r="A47896" s="3" t="str">
        <f>IFERROR(__xludf.DUMMYFUNCTION("GOOGLETRANSLATE(A47896,""en"",""pt"")"),"imagens inacreditáveis")</f>
        <v>imagens inacreditáveis</v>
      </c>
      <c r="B47896" s="3">
        <v>1</v>
      </c>
    </row>
    <row r="47897" ht="15.75" customHeight="1" spans="1:2">
      <c r="A47897" s="3" t="str">
        <f>IFERROR(__xludf.DUMMYFUNCTION("GOOGLETRANSLATE(A47897,""en"",""pt"")"),"Tamanho, qualidade, velocidade, qualidade de imagem")</f>
        <v>Tamanho, qualidade, velocidade, qualidade de imagem</v>
      </c>
      <c r="B47897" s="3">
        <v>1</v>
      </c>
    </row>
    <row r="47898" ht="15.75" customHeight="1" spans="1:2">
      <c r="A47898" s="3" t="str">
        <f>IFERROR(__xludf.DUMMYFUNCTION("GOOGLETRANSLATE(A47898,""en"",""pt"")"),"Ótima câmera, fácil de usar")</f>
        <v>Ótima câmera, fácil de usar</v>
      </c>
      <c r="B47898" s="3">
        <v>1</v>
      </c>
    </row>
    <row r="47899" ht="15.75" customHeight="1" spans="1:2">
      <c r="A47899" s="3" t="str">
        <f>IFERROR(__xludf.DUMMYFUNCTION("GOOGLETRANSLATE(A47899,""en"",""pt"")"),"Bom, câmera sólida, apropriada para o usuário cotidiano")</f>
        <v>Bom, câmera sólida, apropriada para o usuário cotidiano</v>
      </c>
      <c r="B47899" s="3">
        <v>1</v>
      </c>
    </row>
    <row r="47900" ht="15.75" customHeight="1" spans="1:2">
      <c r="A47900" s="3" t="str">
        <f>IFERROR(__xludf.DUMMYFUNCTION("GOOGLETRANSLATE(A47900,""en"",""pt"")"),"sua empacotado com um monte de extras!")</f>
        <v>sua empacotado com um monte de extras!</v>
      </c>
      <c r="B47900" s="3">
        <v>1</v>
      </c>
    </row>
    <row r="47901" ht="15.75" customHeight="1" spans="1:2">
      <c r="A47901" s="3" t="str">
        <f>IFERROR(__xludf.DUMMYFUNCTION("GOOGLETRANSLATE(A47901,""en"",""pt"")"),"top de linha, de grande qualidade, de grande quantidade de novas funções")</f>
        <v>top de linha, de grande qualidade, de grande quantidade de novas funções</v>
      </c>
      <c r="B47901" s="3">
        <v>1</v>
      </c>
    </row>
    <row r="47902" ht="15.75" customHeight="1" spans="1:2">
      <c r="A47902" s="3" t="str">
        <f>IFERROR(__xludf.DUMMYFUNCTION("GOOGLETRANSLATE(A47902,""en"",""pt"")"),"Excelente qualidade de foto, muitas características interessantes, fácil de usar")</f>
        <v>Excelente qualidade de foto, muitas características interessantes, fácil de usar</v>
      </c>
      <c r="B47902" s="3">
        <v>1</v>
      </c>
    </row>
    <row r="47903" ht="15.75" customHeight="1" spans="1:2">
      <c r="A47903" s="3" t="str">
        <f>IFERROR(__xludf.DUMMYFUNCTION("GOOGLETRANSLATE(A47903,""en"",""pt"")"),"câmera muito boa")</f>
        <v>câmera muito boa</v>
      </c>
      <c r="B47903" s="3">
        <v>1</v>
      </c>
    </row>
    <row r="47904" ht="15.75" customHeight="1" spans="1:2">
      <c r="A47904" s="3" t="str">
        <f>IFERROR(__xludf.DUMMYFUNCTION("GOOGLETRANSLATE(A47904,""en"",""pt"")"),"muito boa qualidade de imagem")</f>
        <v>muito boa qualidade de imagem</v>
      </c>
      <c r="B47904" s="3">
        <v>1</v>
      </c>
    </row>
    <row r="47905" ht="15.75" customHeight="1" spans="1:2">
      <c r="A47905" s="3" t="str">
        <f>IFERROR(__xludf.DUMMYFUNCTION("GOOGLETRANSLATE(A47905,""en"",""pt"")"),"Grande resolução, bastante fácil de usar, alta capacidade de imagem")</f>
        <v>Grande resolução, bastante fácil de usar, alta capacidade de imagem</v>
      </c>
      <c r="B47905" s="3">
        <v>1</v>
      </c>
    </row>
    <row r="47906" ht="15.75" customHeight="1" spans="1:2">
      <c r="A47906" s="3" t="str">
        <f>IFERROR(__xludf.DUMMYFUNCTION("GOOGLETRANSLATE(A47906,""en"",""pt"")"),"Fora da câmera digital caixa")</f>
        <v>Fora da câmera digital caixa</v>
      </c>
      <c r="B47906" s="3">
        <v>1</v>
      </c>
    </row>
    <row r="47907" ht="15.75" customHeight="1" spans="1:2">
      <c r="A47907" s="3" t="str">
        <f>IFERROR(__xludf.DUMMYFUNCTION("GOOGLETRANSLATE(A47907,""en"",""pt"")"),"excelente qualidade de imagem")</f>
        <v>excelente qualidade de imagem</v>
      </c>
      <c r="B47907" s="3">
        <v>1</v>
      </c>
    </row>
    <row r="47908" ht="15.75" customHeight="1" spans="1:2">
      <c r="A47908" s="3" t="str">
        <f>IFERROR(__xludf.DUMMYFUNCTION("GOOGLETRANSLATE(A47908,""en"",""pt"")"),"tudo mais fotos, facilidade. controles")</f>
        <v>tudo mais fotos, facilidade. controles</v>
      </c>
      <c r="B47908" s="3">
        <v>1</v>
      </c>
    </row>
    <row r="47909" ht="15.75" customHeight="1" spans="1:2">
      <c r="A47909" s="3" t="str">
        <f>IFERROR(__xludf.DUMMYFUNCTION("GOOGLETRANSLATE(A47909,""en"",""pt"")"),"Excelente reprodução de cores e reprodução de detalhes bem, um monte de recursos, permite armazenar imagens sem compressão, interface USB")</f>
        <v>Excelente reprodução de cores e reprodução de detalhes bem, um monte de recursos, permite armazenar imagens sem compressão, interface USB</v>
      </c>
      <c r="B47909" s="3">
        <v>1</v>
      </c>
    </row>
    <row r="47910" ht="15.75" customHeight="1" spans="1:2">
      <c r="A47910" s="3" t="str">
        <f>IFERROR(__xludf.DUMMYFUNCTION("GOOGLETRANSLATE(A47910,""en"",""pt"")"),"Grandes fotos, fácil de usar e ajustar")</f>
        <v>Grandes fotos, fácil de usar e ajustar</v>
      </c>
      <c r="B47910" s="3">
        <v>1</v>
      </c>
    </row>
    <row r="47911" ht="15.75" customHeight="1" spans="1:2">
      <c r="A47911" s="3" t="str">
        <f>IFERROR(__xludf.DUMMYFUNCTION("GOOGLETRANSLATE(A47911,""en"",""pt"")"),"qualidade Pictures")</f>
        <v>qualidade Pictures</v>
      </c>
      <c r="B47911" s="3">
        <v>1</v>
      </c>
    </row>
    <row r="47912" ht="15.75" customHeight="1" spans="1:2">
      <c r="A47912" s="3" t="str">
        <f>IFERROR(__xludf.DUMMYFUNCTION("GOOGLETRANSLATE(A47912,""en"",""pt"")"),"Resolução, facilidade de uso")</f>
        <v>Resolução, facilidade de uso</v>
      </c>
      <c r="B47912" s="3">
        <v>1</v>
      </c>
    </row>
    <row r="47913" ht="15.75" customHeight="1" spans="1:2">
      <c r="A47913" s="3" t="str">
        <f>IFERROR(__xludf.DUMMYFUNCTION("GOOGLETRANSLATE(A47913,""en"",""pt"")"),"Grande Camera por US $ 900- $ 1200 gama")</f>
        <v>Grande Camera por US $ 900- $ 1200 gama</v>
      </c>
      <c r="B47913" s="3">
        <v>1</v>
      </c>
    </row>
    <row r="47914" ht="15.75" customHeight="1" spans="1:2">
      <c r="A47914" s="3" t="str">
        <f>IFERROR(__xludf.DUMMYFUNCTION("GOOGLETRANSLATE(A47914,""en"",""pt"")"),"suporta scripts, qualidade de imagem")</f>
        <v>suporta scripts, qualidade de imagem</v>
      </c>
      <c r="B47914" s="3">
        <v>1</v>
      </c>
    </row>
    <row r="47915" ht="15.75" customHeight="1" spans="1:2">
      <c r="A47915" s="3" t="str">
        <f>IFERROR(__xludf.DUMMYFUNCTION("GOOGLETRANSLATE(A47915,""en"",""pt"")"),"ok no snapshots")</f>
        <v>ok no snapshots</v>
      </c>
      <c r="B47915" s="3">
        <v>1</v>
      </c>
    </row>
    <row r="47916" ht="15.75" customHeight="1" spans="1:2">
      <c r="A47916" s="3" t="str">
        <f>IFERROR(__xludf.DUMMYFUNCTION("GOOGLETRANSLATE(A47916,""en"",""pt"")"),"precisão de cor; modos de programa consistentes")</f>
        <v>precisão de cor; modos de programa consistentes</v>
      </c>
      <c r="B47916" s="3">
        <v>1</v>
      </c>
    </row>
    <row r="47917" ht="15.75" customHeight="1" spans="1:2">
      <c r="A47917" s="3" t="str">
        <f>IFERROR(__xludf.DUMMYFUNCTION("GOOGLETRANSLATE(A47917,""en"",""pt"")"),"qualidade de imagem, durabilidade, design, facilidade de uso.")</f>
        <v>qualidade de imagem, durabilidade, design, facilidade de uso.</v>
      </c>
      <c r="B47917" s="3">
        <v>1</v>
      </c>
    </row>
    <row r="47918" ht="15.75" customHeight="1" spans="1:2">
      <c r="A47918" s="3" t="str">
        <f>IFERROR(__xludf.DUMMYFUNCTION("GOOGLETRANSLATE(A47918,""en"",""pt"")"),"user friendly, tutoriais fáceis")</f>
        <v>user friendly, tutoriais fáceis</v>
      </c>
      <c r="B47918" s="3">
        <v>1</v>
      </c>
    </row>
    <row r="47919" ht="15.75" customHeight="1" spans="1:2">
      <c r="A47919" s="3" t="str">
        <f>IFERROR(__xludf.DUMMYFUNCTION("GOOGLETRANSLATE(A47919,""en"",""pt"")"),"digita scripting, muito fácil de usar interface")</f>
        <v>digita scripting, muito fácil de usar interface</v>
      </c>
      <c r="B47919" s="3">
        <v>1</v>
      </c>
    </row>
    <row r="47920" ht="15.75" customHeight="1" spans="1:2">
      <c r="A47920" s="3" t="str">
        <f>IFERROR(__xludf.DUMMYFUNCTION("GOOGLETRANSLATE(A47920,""en"",""pt"")"),"Facilidade de uso e qualidade das imagens")</f>
        <v>Facilidade de uso e qualidade das imagens</v>
      </c>
      <c r="B47920" s="3">
        <v>1</v>
      </c>
    </row>
    <row r="47921" ht="15.75" customHeight="1" spans="1:2">
      <c r="A47921" s="3" t="str">
        <f>IFERROR(__xludf.DUMMYFUNCTION("GOOGLETRANSLATE(A47921,""en"",""pt"")"),"fácil de usar grandes fotos de qualidade")</f>
        <v>fácil de usar grandes fotos de qualidade</v>
      </c>
      <c r="B47921" s="3">
        <v>1</v>
      </c>
    </row>
    <row r="47922" ht="15.75" customHeight="1" spans="1:2">
      <c r="A47922" s="3" t="str">
        <f>IFERROR(__xludf.DUMMYFUNCTION("GOOGLETRANSLATE(A47922,""en"",""pt"")"),"resolução de 2 megapixels - - imagem livre de compressão - PC ou Mac conexão via porta USB")</f>
        <v>resolução de 2 megapixels - - imagem livre de compressão - PC ou Mac conexão via porta USB</v>
      </c>
      <c r="B47922" s="3">
        <v>1</v>
      </c>
    </row>
    <row r="47923" ht="15.75" customHeight="1" spans="1:2">
      <c r="A47923" s="3" t="str">
        <f>IFERROR(__xludf.DUMMYFUNCTION("GOOGLETRANSLATE(A47923,""en"",""pt"")"),"Imagens de grande qualidade")</f>
        <v>Imagens de grande qualidade</v>
      </c>
      <c r="B47923" s="3">
        <v>1</v>
      </c>
    </row>
    <row r="47924" ht="15.75" customHeight="1" spans="1:2">
      <c r="A47924" s="3" t="str">
        <f>IFERROR(__xludf.DUMMYFUNCTION("GOOGLETRANSLATE(A47924,""en"",""pt"")"),"fácil de usar, fotos maravilhosas de qualidade")</f>
        <v>fácil de usar, fotos maravilhosas de qualidade</v>
      </c>
      <c r="B47924" s="3">
        <v>1</v>
      </c>
    </row>
    <row r="47925" ht="15.75" customHeight="1" spans="1:2">
      <c r="A47925" s="3" t="str">
        <f>IFERROR(__xludf.DUMMYFUNCTION("GOOGLETRANSLATE(A47925,""en"",""pt"")"),"Imagens, características, preço, design")</f>
        <v>Imagens, características, preço, design</v>
      </c>
      <c r="B47925" s="3">
        <v>1</v>
      </c>
    </row>
    <row r="47926" ht="15.75" customHeight="1" spans="1:2">
      <c r="A47926" s="3" t="str">
        <f>IFERROR(__xludf.DUMMYFUNCTION("GOOGLETRANSLATE(A47926,""en"",""pt"")"),"Funciona como uma câmera, cor grande")</f>
        <v>Funciona como uma câmera, cor grande</v>
      </c>
      <c r="B47926" s="3">
        <v>1</v>
      </c>
    </row>
    <row r="47927" ht="15.75" customHeight="1" spans="1:2">
      <c r="A47927" s="3" t="str">
        <f>IFERROR(__xludf.DUMMYFUNCTION("GOOGLETRANSLATE(A47927,""en"",""pt"")"),"Image Capture Superb")</f>
        <v>Image Capture Superb</v>
      </c>
      <c r="B47927" s="3">
        <v>1</v>
      </c>
    </row>
    <row r="47928" ht="15.75" customHeight="1" spans="1:2">
      <c r="A47928" s="3" t="str">
        <f>IFERROR(__xludf.DUMMYFUNCTION("GOOGLETRANSLATE(A47928,""en"",""pt"")"),"Excelentes fotos de qualidade, funcionamento com bateria NiMH, interface USB. Esta é uma câmera obrigação para férias, como você pode tirar centenas de fotos em um 64M CF card.Couldn't imaginar fazendo isso em uma Sony que usa disquetes.")</f>
        <v>Excelentes fotos de qualidade, funcionamento com bateria NiMH, interface USB. Esta é uma câmera obrigação para férias, como você pode tirar centenas de fotos em um 64M CF card.Couldn't imaginar fazendo isso em uma Sony que usa disquetes.</v>
      </c>
      <c r="B47928" s="3">
        <v>1</v>
      </c>
    </row>
    <row r="47929" ht="15.75" customHeight="1" spans="1:2">
      <c r="A47929" s="3" t="str">
        <f>IFERROR(__xludf.DUMMYFUNCTION("GOOGLETRANSLATE(A47929,""en"",""pt"")"),"Zoom Capability, cartão de 20mb, baterias de recarga, grandes reimpressões em impressora Epson.")</f>
        <v>Zoom Capability, cartão de 20mb, baterias de recarga, grandes reimpressões em impressora Epson.</v>
      </c>
      <c r="B47929" s="3">
        <v>1</v>
      </c>
    </row>
    <row r="47930" ht="15.75" customHeight="1" spans="1:2">
      <c r="A47930" s="3" t="str">
        <f>IFERROR(__xludf.DUMMYFUNCTION("GOOGLETRANSLATE(A47930,""en"",""pt"")"),"Fotos excelentes, fácil de usar")</f>
        <v>Fotos excelentes, fácil de usar</v>
      </c>
      <c r="B47930" s="3">
        <v>1</v>
      </c>
    </row>
    <row r="47931" ht="15.75" customHeight="1" spans="1:2">
      <c r="A47931" s="3" t="str">
        <f>IFERROR(__xludf.DUMMYFUNCTION("GOOGLETRANSLATE(A47931,""en"",""pt"")"),"Big CCD, imagens de grande qualidade, muitos recursos.")</f>
        <v>Big CCD, imagens de grande qualidade, muitos recursos.</v>
      </c>
      <c r="B47931" s="3">
        <v>1</v>
      </c>
    </row>
    <row r="47932" ht="15.75" customHeight="1" spans="1:2">
      <c r="A47932" s="3" t="str">
        <f>IFERROR(__xludf.DUMMYFUNCTION("GOOGLETRANSLATE(A47932,""en"",""pt"")"),"Fácil de usar, 2"" tela LCD, uso de scripts digita, qualidade de imagem profissional, zoom 3x")</f>
        <v>Fácil de usar, 2" tela LCD, uso de scripts digita, qualidade de imagem profissional, zoom 3x</v>
      </c>
      <c r="B47932" s="3">
        <v>1</v>
      </c>
    </row>
    <row r="47933" ht="15.75" customHeight="1" spans="1:2">
      <c r="A47933" s="3" t="str">
        <f>IFERROR(__xludf.DUMMYFUNCTION("GOOGLETRANSLATE(A47933,""en"",""pt"")"),"2.1 megapixels com 3,3 capaz. scripts personalizados, apontar e disparar")</f>
        <v>2.1 megapixels com 3,3 capaz. scripts personalizados, apontar e disparar</v>
      </c>
      <c r="B47933" s="3">
        <v>1</v>
      </c>
    </row>
    <row r="47934" ht="15.75" customHeight="1" spans="1:2">
      <c r="A47934" s="3" t="str">
        <f>IFERROR(__xludf.DUMMYFUNCTION("GOOGLETRANSLATE(A47934,""en"",""pt"")"),"Excelente qualidade de imagem, configuráveis, hackable, scripts customizeable")</f>
        <v>Excelente qualidade de imagem, configuráveis, hackable, scripts customizeable</v>
      </c>
      <c r="B47934" s="3">
        <v>1</v>
      </c>
    </row>
    <row r="47935" ht="15.75" customHeight="1" spans="1:2">
      <c r="A47935" s="3" t="str">
        <f>IFERROR(__xludf.DUMMYFUNCTION("GOOGLETRANSLATE(A47935,""en"",""pt"")"),"fotos de alta resolução grandes para impressão.")</f>
        <v>fotos de alta resolução grandes para impressão.</v>
      </c>
      <c r="B47935" s="3">
        <v>1</v>
      </c>
    </row>
    <row r="47936" ht="15.75" customHeight="1" spans="1:2">
      <c r="A47936" s="3" t="str">
        <f>IFERROR(__xludf.DUMMYFUNCTION("GOOGLETRANSLATE(A47936,""en"",""pt"")"),"fotos extremamente nítidas. Fácil de usar depois que você se familiarizar com ele.")</f>
        <v>fotos extremamente nítidas. Fácil de usar depois que você se familiarizar com ele.</v>
      </c>
      <c r="B47936" s="3">
        <v>1</v>
      </c>
    </row>
    <row r="47937" ht="15.75" customHeight="1" spans="1:2">
      <c r="A47937" s="3" t="str">
        <f>IFERROR(__xludf.DUMMYFUNCTION("GOOGLETRANSLATE(A47937,""en"",""pt"")"),"Barato, muito fácil de usar.")</f>
        <v>Barato, muito fácil de usar.</v>
      </c>
      <c r="B47937" s="3">
        <v>1</v>
      </c>
    </row>
    <row r="47938" ht="15.75" customHeight="1" spans="1:2">
      <c r="A47938" s="3" t="str">
        <f>IFERROR(__xludf.DUMMYFUNCTION("GOOGLETRANSLATE(A47938,""en"",""pt"")"),"BAIXO CUSTO, uso fácil, de boa qualidade")</f>
        <v>BAIXO CUSTO, uso fácil, de boa qualidade</v>
      </c>
      <c r="B47938" s="3">
        <v>1</v>
      </c>
    </row>
    <row r="47939" ht="15.75" customHeight="1" spans="1:2">
      <c r="A47939" s="3" t="str">
        <f>IFERROR(__xludf.DUMMYFUNCTION("GOOGLETRANSLATE(A47939,""en"",""pt"")"),"Fácil &amp; amp; # 13; &amp; amp; # 10; qualidade decente")</f>
        <v>Fácil &amp; amp; # 13; &amp; amp; # 10; qualidade decente</v>
      </c>
      <c r="B47939" s="3">
        <v>1</v>
      </c>
    </row>
    <row r="47940" ht="15.75" customHeight="1" spans="1:2">
      <c r="A47940" s="3" t="str">
        <f>IFERROR(__xludf.DUMMYFUNCTION("GOOGLETRANSLATE(A47940,""en"",""pt"")"),"Leve, fácil de usar e leva razoavelmente boas fotos para o baixo preço.")</f>
        <v>Leve, fácil de usar e leva razoavelmente boas fotos para o baixo preço.</v>
      </c>
      <c r="B47940" s="3">
        <v>1</v>
      </c>
    </row>
    <row r="47941" ht="15.75" customHeight="1" spans="1:2">
      <c r="A47941" s="3" t="str">
        <f>IFERROR(__xludf.DUMMYFUNCTION("GOOGLETRANSLATE(A47941,""en"",""pt"")"),"Simples, barato, Fun")</f>
        <v>Simples, barato, Fun</v>
      </c>
      <c r="B47941" s="3">
        <v>1</v>
      </c>
    </row>
    <row r="47942" ht="15.75" customHeight="1" spans="1:2">
      <c r="A47942" s="3" t="str">
        <f>IFERROR(__xludf.DUMMYFUNCTION("GOOGLETRANSLATE(A47942,""en"",""pt"")"),"simples, rápido!")</f>
        <v>simples, rápido!</v>
      </c>
      <c r="B47942" s="3">
        <v>1</v>
      </c>
    </row>
    <row r="47943" ht="15.75" customHeight="1" spans="1:2">
      <c r="A47943" s="3" t="str">
        <f>IFERROR(__xludf.DUMMYFUNCTION("GOOGLETRANSLATE(A47943,""en"",""pt"")"),"Fácil de usar, várias características, bateria AA operado")</f>
        <v>Fácil de usar, várias características, bateria AA operado</v>
      </c>
      <c r="B47943" s="3">
        <v>1</v>
      </c>
    </row>
    <row r="47944" ht="15.75" customHeight="1" spans="1:2">
      <c r="A47944" s="3" t="str">
        <f>IFERROR(__xludf.DUMMYFUNCTION("GOOGLETRANSLATE(A47944,""en"",""pt"")"),"fotos imediatas")</f>
        <v>fotos imediatas</v>
      </c>
      <c r="B47944" s="3">
        <v>1</v>
      </c>
    </row>
    <row r="47945" ht="15.75" customHeight="1" spans="1:2">
      <c r="A47945" s="3" t="str">
        <f>IFERROR(__xludf.DUMMYFUNCTION("GOOGLETRANSLATE(A47945,""en"",""pt"")"),"claras pics, zoom, fácil de usar")</f>
        <v>claras pics, zoom, fácil de usar</v>
      </c>
      <c r="B47945" s="3">
        <v>1</v>
      </c>
    </row>
    <row r="47946" ht="15.75" customHeight="1" spans="1:2">
      <c r="A47946" s="3" t="str">
        <f>IFERROR(__xludf.DUMMYFUNCTION("GOOGLETRANSLATE(A47946,""en"",""pt"")"),"super baixo preço de US $ 60, 2 MB de memória, bateria AA operado, LCD, simples de usar")</f>
        <v>super baixo preço de US $ 60, 2 MB de memória, bateria AA operado, LCD, simples de usar</v>
      </c>
      <c r="B47946" s="3">
        <v>1</v>
      </c>
    </row>
    <row r="47947" ht="15.75" customHeight="1" spans="1:2">
      <c r="A47947" s="3" t="str">
        <f>IFERROR(__xludf.DUMMYFUNCTION("GOOGLETRANSLATE(A47947,""en"",""pt"")"),"fácil de usar, compatível com cartões de memória flash")</f>
        <v>fácil de usar, compatível com cartões de memória flash</v>
      </c>
      <c r="B47947" s="3">
        <v>1</v>
      </c>
    </row>
    <row r="47948" ht="15.75" customHeight="1" spans="1:2">
      <c r="A47948" s="3" t="str">
        <f>IFERROR(__xludf.DUMMYFUNCTION("GOOGLETRANSLATE(A47948,""en"",""pt"")"),"Ótima câmera novato, fácil de usar recursos, preço!")</f>
        <v>Ótima câmera novato, fácil de usar recursos, preço!</v>
      </c>
      <c r="B47948" s="3">
        <v>1</v>
      </c>
    </row>
    <row r="47949" ht="15.75" customHeight="1" spans="1:2">
      <c r="A47949" s="3" t="str">
        <f>IFERROR(__xludf.DUMMYFUNCTION("GOOGLETRANSLATE(A47949,""en"",""pt"")"),"1 MP, int 2 MB, utiliza cartões CF, fácil de usar, usa pilhas AA padrão")</f>
        <v>1 MP, int 2 MB, utiliza cartões CF, fácil de usar, usa pilhas AA padrão</v>
      </c>
      <c r="B47949" s="3">
        <v>1</v>
      </c>
    </row>
    <row r="47950" ht="15.75" customHeight="1" spans="1:2">
      <c r="A47950" s="3" t="str">
        <f>IFERROR(__xludf.DUMMYFUNCTION("GOOGLETRANSLATE(A47950,""en"",""pt"")"),"Grande compra para as características e qualidade de imagem!")</f>
        <v>Grande compra para as características e qualidade de imagem!</v>
      </c>
      <c r="B47950" s="3">
        <v>1</v>
      </c>
    </row>
    <row r="47951" ht="15.75" customHeight="1" spans="1:2">
      <c r="A47951" s="3" t="str">
        <f>IFERROR(__xludf.DUMMYFUNCTION("GOOGLETRANSLATE(A47951,""en"",""pt"")"),"qualidade de imagem, tela de LCD, fácil de usar, flash card compacto")</f>
        <v>qualidade de imagem, tela de LCD, fácil de usar, flash card compacto</v>
      </c>
      <c r="B47951" s="3">
        <v>1</v>
      </c>
    </row>
    <row r="47952" ht="15.75" customHeight="1" spans="1:2">
      <c r="A47952" s="3" t="str">
        <f>IFERROR(__xludf.DUMMYFUNCTION("GOOGLETRANSLATE(A47952,""en"",""pt"")"),"Boa câmera arranque, expansão de memória, as imagens de qualidade, preço, confiável nome.")</f>
        <v>Boa câmera arranque, expansão de memória, as imagens de qualidade, preço, confiável nome.</v>
      </c>
      <c r="B47952" s="3">
        <v>1</v>
      </c>
    </row>
    <row r="47953" ht="15.75" customHeight="1" spans="1:2">
      <c r="A47953" s="3" t="str">
        <f>IFERROR(__xludf.DUMMYFUNCTION("GOOGLETRANSLATE(A47953,""en"",""pt"")"),"Ergonomicamente som. , Ótima câmera ""batedor""., Funcionalidade Ease.of")</f>
        <v>Ergonomicamente som. , Ótima câmera "batedor"., Funcionalidade Ease.of</v>
      </c>
      <c r="B47953" s="3">
        <v>1</v>
      </c>
    </row>
    <row r="47954" ht="15.75" customHeight="1" spans="1:2">
      <c r="A47954" s="3" t="str">
        <f>IFERROR(__xludf.DUMMYFUNCTION("GOOGLETRANSLATE(A47954,""en"",""pt"")"),"Ótima câmera para iniciantes.")</f>
        <v>Ótima câmera para iniciantes.</v>
      </c>
      <c r="B47954" s="3">
        <v>1</v>
      </c>
    </row>
    <row r="47955" ht="15.75" customHeight="1" spans="1:2">
      <c r="A47955" s="3" t="str">
        <f>IFERROR(__xludf.DUMMYFUNCTION("GOOGLETRANSLATE(A47955,""en"",""pt"")"),"muito inexpinsive")</f>
        <v>muito inexpinsive</v>
      </c>
      <c r="B47955" s="3">
        <v>1</v>
      </c>
    </row>
    <row r="47956" ht="15.75" customHeight="1" spans="1:2">
      <c r="A47956" s="3" t="str">
        <f>IFERROR(__xludf.DUMMYFUNCTION("GOOGLETRANSLATE(A47956,""en"",""pt"")"),"rápidas leste imagens, grandes para upload rápido para web site ou e-mail")</f>
        <v>rápidas leste imagens, grandes para upload rápido para web site ou e-mail</v>
      </c>
      <c r="B47956" s="3">
        <v>1</v>
      </c>
    </row>
    <row r="47957" ht="15.75" customHeight="1" spans="1:2">
      <c r="A47957" s="3" t="str">
        <f>IFERROR(__xludf.DUMMYFUNCTION("GOOGLETRANSLATE(A47957,""en"",""pt"")"),"Durável, memória, preço baixo, decente pic quality.2x zoom")</f>
        <v>Durável, memória, preço baixo, decente pic quality.2x zoom</v>
      </c>
      <c r="B47957" s="3">
        <v>1</v>
      </c>
    </row>
    <row r="47958" ht="15.75" customHeight="1" spans="1:2">
      <c r="A47958" s="3" t="str">
        <f>IFERROR(__xludf.DUMMYFUNCTION("GOOGLETRANSLATE(A47958,""en"",""pt"")"),"Camera fácil de usar Primeiro Digital")</f>
        <v>Camera fácil de usar Primeiro Digital</v>
      </c>
      <c r="B47958" s="3">
        <v>1</v>
      </c>
    </row>
    <row r="47959" ht="15.75" customHeight="1" spans="1:2">
      <c r="A47959" s="3" t="str">
        <f>IFERROR(__xludf.DUMMYFUNCTION("GOOGLETRANSLATE(A47959,""en"",""pt"")"),"Fácil de usar, bom preço, cartão de memória flash compacto capaz, usa de AA")</f>
        <v>Fácil de usar, bom preço, cartão de memória flash compacto capaz, usa de AA</v>
      </c>
      <c r="B47959" s="3">
        <v>1</v>
      </c>
    </row>
    <row r="47960" ht="15.75" customHeight="1" spans="1:2">
      <c r="A47960" s="3" t="str">
        <f>IFERROR(__xludf.DUMMYFUNCTION("GOOGLETRANSLATE(A47960,""en"",""pt"")"),"fotos impressionantes")</f>
        <v>fotos impressionantes</v>
      </c>
      <c r="B47960" s="3">
        <v>1</v>
      </c>
    </row>
    <row r="47961" ht="15.75" customHeight="1" spans="1:2">
      <c r="A47961" s="3" t="str">
        <f>IFERROR(__xludf.DUMMYFUNCTION("GOOGLETRANSLATE(A47961,""en"",""pt"")"),"leve")</f>
        <v>leve</v>
      </c>
      <c r="B47961" s="3">
        <v>1</v>
      </c>
    </row>
    <row r="47962" ht="15.75" customHeight="1" spans="1:2">
      <c r="A47962" s="3" t="str">
        <f>IFERROR(__xludf.DUMMYFUNCTION("GOOGLETRANSLATE(A47962,""en"",""pt"")"),"Fácil de usar, bom preço")</f>
        <v>Fácil de usar, bom preço</v>
      </c>
      <c r="B47962" s="3">
        <v>1</v>
      </c>
    </row>
    <row r="47963" ht="15.75" customHeight="1" spans="1:2">
      <c r="A47963" s="3" t="str">
        <f>IFERROR(__xludf.DUMMYFUNCTION("GOOGLETRANSLATE(A47963,""en"",""pt"")"),"Muito vívida Display LCD. Excelente Qualidade Pictures")</f>
        <v>Muito vívida Display LCD. Excelente Qualidade Pictures</v>
      </c>
      <c r="B47963" s="3">
        <v>1</v>
      </c>
    </row>
    <row r="47964" ht="15.75" customHeight="1" spans="1:2">
      <c r="A47964" s="3" t="str">
        <f>IFERROR(__xludf.DUMMYFUNCTION("GOOGLETRANSLATE(A47964,""en"",""pt"")"),"Bastante fácil de começar, baixo preço.")</f>
        <v>Bastante fácil de começar, baixo preço.</v>
      </c>
      <c r="B47964" s="3">
        <v>1</v>
      </c>
    </row>
    <row r="47965" ht="15.75" customHeight="1" spans="1:2">
      <c r="A47965" s="3" t="str">
        <f>IFERROR(__xludf.DUMMYFUNCTION("GOOGLETRANSLATE(A47965,""en"",""pt"")"),"Não pode ser mais fácil de usar. Boa qualidade da foto para faixa de preço.")</f>
        <v>Não pode ser mais fácil de usar. Boa qualidade da foto para faixa de preço.</v>
      </c>
      <c r="B47965" s="3">
        <v>1</v>
      </c>
    </row>
    <row r="47966" ht="15.75" customHeight="1" spans="1:2">
      <c r="A47966" s="3" t="str">
        <f>IFERROR(__xludf.DUMMYFUNCTION("GOOGLETRANSLATE(A47966,""en"",""pt"")"),"PREÇO, Memória, Bundle")</f>
        <v>PREÇO, Memória, Bundle</v>
      </c>
      <c r="B47966" s="3">
        <v>1</v>
      </c>
    </row>
    <row r="47967" ht="15.75" customHeight="1" spans="1:2">
      <c r="A47967" s="3" t="str">
        <f>IFERROR(__xludf.DUMMYFUNCTION("GOOGLETRANSLATE(A47967,""en"",""pt"")"),"preço acessível ,, peso leve ,, boa qualidade das imagens no dia-luz")</f>
        <v>preço acessível ,, peso leve ,, boa qualidade das imagens no dia-luz</v>
      </c>
      <c r="B47967" s="3">
        <v>1</v>
      </c>
    </row>
    <row r="47968" ht="15.75" customHeight="1" spans="1:2">
      <c r="A47968" s="3" t="str">
        <f>IFERROR(__xludf.DUMMYFUNCTION("GOOGLETRANSLATE(A47968,""en"",""pt"")"),"Preço, qualidade, facilidade de uso.")</f>
        <v>Preço, qualidade, facilidade de uso.</v>
      </c>
      <c r="B47968" s="3">
        <v>1</v>
      </c>
    </row>
    <row r="47969" ht="15.75" customHeight="1" spans="1:2">
      <c r="A47969" s="3" t="str">
        <f>IFERROR(__xludf.DUMMYFUNCTION("GOOGLETRANSLATE(A47969,""en"",""pt"")"),"Preço, tamanho, durabilidade")</f>
        <v>Preço, tamanho, durabilidade</v>
      </c>
      <c r="B47969" s="3">
        <v>1</v>
      </c>
    </row>
    <row r="47970" ht="15.75" customHeight="1" spans="1:2">
      <c r="A47970" s="3" t="str">
        <f>IFERROR(__xludf.DUMMYFUNCTION("GOOGLETRANSLATE(A47970,""en"",""pt"")"),"Preço baixo. Fácil de usar. Todos os fundamentos. cabo serial o torna compatível com qualquer PC com Windows de 32 bits")</f>
        <v>Preço baixo. Fácil de usar. Todos os fundamentos. cabo serial o torna compatível com qualquer PC com Windows de 32 bits</v>
      </c>
      <c r="B47970" s="3">
        <v>1</v>
      </c>
    </row>
    <row r="47971" ht="15.75" customHeight="1" spans="1:2">
      <c r="A47971" s="3" t="str">
        <f>IFERROR(__xludf.DUMMYFUNCTION("GOOGLETRANSLATE(A47971,""en"",""pt"")"),"um &amp; amp; quot; tirar &amp; amp; quot; para uso, variedade de funções, leve")</f>
        <v>um &amp; amp; quot; tirar &amp; amp; quot; para uso, variedade de funções, leve</v>
      </c>
      <c r="B47971" s="3">
        <v>1</v>
      </c>
    </row>
    <row r="47972" ht="15.75" customHeight="1" spans="1:2">
      <c r="A47972" s="3" t="str">
        <f>IFERROR(__xludf.DUMMYFUNCTION("GOOGLETRANSLATE(A47972,""en"",""pt"")"),"hardware sólida, um bom software")</f>
        <v>hardware sólida, um bom software</v>
      </c>
      <c r="B47972" s="3">
        <v>1</v>
      </c>
    </row>
    <row r="47973" ht="15.75" customHeight="1" spans="1:2">
      <c r="A47973" s="3" t="str">
        <f>IFERROR(__xludf.DUMMYFUNCTION("GOOGLETRANSLATE(A47973,""en"",""pt"")"),"Barato, 2MB Memória Onboard, LCD")</f>
        <v>Barato, 2MB Memória Onboard, LCD</v>
      </c>
      <c r="B47973" s="3">
        <v>1</v>
      </c>
    </row>
    <row r="47974" ht="15.75" customHeight="1" spans="1:2">
      <c r="A47974" s="3" t="str">
        <f>IFERROR(__xludf.DUMMYFUNCTION("GOOGLETRANSLATE(A47974,""en"",""pt"")"),"Excelente preço, muito fácil de usar com uma grande menu de configuração da câmera")</f>
        <v>Excelente preço, muito fácil de usar com uma grande menu de configuração da câmera</v>
      </c>
      <c r="B47974" s="3">
        <v>1</v>
      </c>
    </row>
    <row r="47975" ht="15.75" customHeight="1" spans="1:2">
      <c r="A47975" s="3" t="str">
        <f>IFERROR(__xludf.DUMMYFUNCTION("GOOGLETRANSLATE(A47975,""en"",""pt"")"),"Preço, facilidade de uso")</f>
        <v>Preço, facilidade de uso</v>
      </c>
      <c r="B47975" s="3">
        <v>1</v>
      </c>
    </row>
    <row r="47976" ht="15.75" customHeight="1" spans="1:2">
      <c r="A47976" s="3" t="str">
        <f>IFERROR(__xludf.DUMMYFUNCTION("GOOGLETRANSLATE(A47976,""en"",""pt"")"),"Fotos de boa qualidade, preço baixo, fácil de usar")</f>
        <v>Fotos de boa qualidade, preço baixo, fácil de usar</v>
      </c>
      <c r="B47976" s="3">
        <v>1</v>
      </c>
    </row>
    <row r="47977" ht="15.75" customHeight="1" spans="1:2">
      <c r="A47977" s="3" t="str">
        <f>IFERROR(__xludf.DUMMYFUNCTION("GOOGLETRANSLATE(A47977,""en"",""pt"")"),"Fácil de usar e barato")</f>
        <v>Fácil de usar e barato</v>
      </c>
      <c r="B47977" s="3">
        <v>1</v>
      </c>
    </row>
    <row r="47978" ht="15.75" customHeight="1" spans="1:2">
      <c r="A47978" s="3" t="str">
        <f>IFERROR(__xludf.DUMMYFUNCTION("GOOGLETRANSLATE(A47978,""en"",""pt"")"),"fotos excelentes, fácil de usar, preço razoável")</f>
        <v>fotos excelentes, fácil de usar, preço razoável</v>
      </c>
      <c r="B47978" s="3">
        <v>1</v>
      </c>
    </row>
    <row r="47979" ht="15.75" customHeight="1" spans="1:2">
      <c r="A47979" s="3" t="str">
        <f>IFERROR(__xludf.DUMMYFUNCTION("GOOGLETRANSLATE(A47979,""en"",""pt"")"),"Navalha imagens nítidas, bateria de longa duração, a abundância de recursos e um preço baixo.")</f>
        <v>Navalha imagens nítidas, bateria de longa duração, a abundância de recursos e um preço baixo.</v>
      </c>
      <c r="B47979" s="3">
        <v>1</v>
      </c>
    </row>
    <row r="47980" ht="15.75" customHeight="1" spans="1:2">
      <c r="A47980" s="3" t="str">
        <f>IFERROR(__xludf.DUMMYFUNCTION("GOOGLETRANSLATE(A47980,""en"",""pt"")"),"Fácil de usar, bom preço")</f>
        <v>Fácil de usar, bom preço</v>
      </c>
      <c r="B47980" s="3">
        <v>1</v>
      </c>
    </row>
    <row r="47981" ht="15.75" customHeight="1" spans="1:2">
      <c r="A47981" s="3" t="str">
        <f>IFERROR(__xludf.DUMMYFUNCTION("GOOGLETRANSLATE(A47981,""en"",""pt"")"),"Pode ver fotos de imediato, muito fácil de usar")</f>
        <v>Pode ver fotos de imediato, muito fácil de usar</v>
      </c>
      <c r="B47981" s="3">
        <v>1</v>
      </c>
    </row>
    <row r="47982" ht="15.75" customHeight="1" spans="1:2">
      <c r="A47982" s="3" t="str">
        <f>IFERROR(__xludf.DUMMYFUNCTION("GOOGLETRANSLATE(A47982,""en"",""pt"")"),"Ótimas fotos.")</f>
        <v>Ótimas fotos.</v>
      </c>
      <c r="B47982" s="3">
        <v>1</v>
      </c>
    </row>
    <row r="47983" ht="15.75" customHeight="1" spans="1:2">
      <c r="A47983" s="3" t="str">
        <f>IFERROR(__xludf.DUMMYFUNCTION("GOOGLETRANSLATE(A47983,""en"",""pt"")"),"nome Kodak, Preço, easey ao uso")</f>
        <v>nome Kodak, Preço, easey ao uso</v>
      </c>
      <c r="B47983" s="3">
        <v>1</v>
      </c>
    </row>
    <row r="47984" ht="15.75" customHeight="1" spans="1:2">
      <c r="A47984" s="3" t="str">
        <f>IFERROR(__xludf.DUMMYFUNCTION("GOOGLETRANSLATE(A47984,""en"",""pt"")"),"Barato. Ótima câmera arranque. Usa pilhas AA")</f>
        <v>Barato. Ótima câmera arranque. Usa pilhas AA</v>
      </c>
      <c r="B47984" s="3">
        <v>1</v>
      </c>
    </row>
    <row r="47985" ht="15.75" customHeight="1" spans="1:2">
      <c r="A47985" s="3" t="str">
        <f>IFERROR(__xludf.DUMMYFUNCTION("GOOGLETRANSLATE(A47985,""en"",""pt"")"),"fácil e rápida barato e muito divertido")</f>
        <v>fácil e rápida barato e muito divertido</v>
      </c>
      <c r="B47985" s="3">
        <v>1</v>
      </c>
    </row>
    <row r="47986" ht="15.75" customHeight="1" spans="1:2">
      <c r="A47986" s="3" t="str">
        <f>IFERROR(__xludf.DUMMYFUNCTION("GOOGLETRANSLATE(A47986,""en"",""pt"")"),"Barato. Fácil de usar, menus claros e configuração rápida, fotos decentes com pouco esforço.")</f>
        <v>Barato. Fácil de usar, menus claros e configuração rápida, fotos decentes com pouco esforço.</v>
      </c>
      <c r="B47986" s="3">
        <v>1</v>
      </c>
    </row>
    <row r="47987" ht="15.75" customHeight="1" spans="1:2">
      <c r="A47987" s="3" t="str">
        <f>IFERROR(__xludf.DUMMYFUNCTION("GOOGLETRANSLATE(A47987,""en"",""pt"")"),"Bom o suficiente Pics para o dinheiro.")</f>
        <v>Bom o suficiente Pics para o dinheiro.</v>
      </c>
      <c r="B47987" s="3">
        <v>1</v>
      </c>
    </row>
    <row r="47988" ht="15.75" customHeight="1" spans="1:2">
      <c r="A47988" s="3" t="str">
        <f>IFERROR(__xludf.DUMMYFUNCTION("GOOGLETRANSLATE(A47988,""en"",""pt"")"),"Preço")</f>
        <v>Preço</v>
      </c>
      <c r="B47988" s="3">
        <v>1</v>
      </c>
    </row>
    <row r="47989" ht="15.75" customHeight="1" spans="1:2">
      <c r="A47989" s="3" t="str">
        <f>IFERROR(__xludf.DUMMYFUNCTION("GOOGLETRANSLATE(A47989,""en"",""pt"")"),"Boa câmera para o dinheiro.")</f>
        <v>Boa câmera para o dinheiro.</v>
      </c>
      <c r="B47989" s="3">
        <v>1</v>
      </c>
    </row>
    <row r="47990" ht="15.75" customHeight="1" spans="1:2">
      <c r="A47990" s="3" t="str">
        <f>IFERROR(__xludf.DUMMYFUNCTION("GOOGLETRANSLATE(A47990,""en"",""pt"")"),"A qualidade da câmera Grande Digital e facilidade de uso.")</f>
        <v>A qualidade da câmera Grande Digital e facilidade de uso.</v>
      </c>
      <c r="B47990" s="3">
        <v>1</v>
      </c>
    </row>
    <row r="47991" ht="15.75" customHeight="1" spans="1:2">
      <c r="A47991" s="3" t="str">
        <f>IFERROR(__xludf.DUMMYFUNCTION("GOOGLETRANSLATE(A47991,""en"",""pt"")"),"qualidade de imagem, facilidade de uso, apresenta.")</f>
        <v>qualidade de imagem, facilidade de uso, apresenta.</v>
      </c>
      <c r="B47991" s="3">
        <v>1</v>
      </c>
    </row>
    <row r="47992" ht="15.75" customHeight="1" spans="1:2">
      <c r="A47992" s="3" t="str">
        <f>IFERROR(__xludf.DUMMYFUNCTION("GOOGLETRANSLATE(A47992,""en"",""pt"")"),"Excelente qualidade de imagem, resistente, simples, boas opções, bom atendimento ao cliente")</f>
        <v>Excelente qualidade de imagem, resistente, simples, boas opções, bom atendimento ao cliente</v>
      </c>
      <c r="B47992" s="3">
        <v>1</v>
      </c>
    </row>
    <row r="47993" ht="15.75" customHeight="1" spans="1:2">
      <c r="A47993" s="3" t="str">
        <f>IFERROR(__xludf.DUMMYFUNCTION("GOOGLETRANSLATE(A47993,""en"",""pt"")"),"Fácil de manusear e de muito boa qualidade fotos, e opções de seleção para selecionar a qualidade.")</f>
        <v>Fácil de manusear e de muito boa qualidade fotos, e opções de seleção para selecionar a qualidade.</v>
      </c>
      <c r="B47993" s="3">
        <v>1</v>
      </c>
    </row>
    <row r="47994" ht="15.75" customHeight="1" spans="1:2">
      <c r="A47994" s="3" t="str">
        <f>IFERROR(__xludf.DUMMYFUNCTION("GOOGLETRANSLATE(A47994,""en"",""pt"")"),"Super fácil de usar, imagens de qualidade maravilhosas, abundância de recursos, ótimo preço.")</f>
        <v>Super fácil de usar, imagens de qualidade maravilhosas, abundância de recursos, ótimo preço.</v>
      </c>
      <c r="B47994" s="3">
        <v>1</v>
      </c>
    </row>
    <row r="47995" ht="15.75" customHeight="1" spans="1:2">
      <c r="A47995" s="3" t="str">
        <f>IFERROR(__xludf.DUMMYFUNCTION("GOOGLETRANSLATE(A47995,""en"",""pt"")"),"Handy, boa qualidade de imagem, quase point-and-shoot")</f>
        <v>Handy, boa qualidade de imagem, quase point-and-shoot</v>
      </c>
      <c r="B47995" s="3">
        <v>1</v>
      </c>
    </row>
    <row r="47996" ht="15.75" customHeight="1" spans="1:2">
      <c r="A47996" s="3" t="str">
        <f>IFERROR(__xludf.DUMMYFUNCTION("GOOGLETRANSLATE(A47996,""en"",""pt"")"),"Excelente qualidade de imagem, confiável, compatível com Mac &amp; amp; janelas")</f>
        <v>Excelente qualidade de imagem, confiável, compatível com Mac &amp; amp; janelas</v>
      </c>
      <c r="B47996" s="3">
        <v>1</v>
      </c>
    </row>
    <row r="47997" ht="15.75" customHeight="1" spans="1:2">
      <c r="A47997" s="3" t="str">
        <f>IFERROR(__xludf.DUMMYFUNCTION("GOOGLETRANSLATE(A47997,""en"",""pt"")"),"Fácil de usar. Fácil de fazer o upload para Mac.")</f>
        <v>Fácil de usar. Fácil de fazer o upload para Mac.</v>
      </c>
      <c r="B47997" s="3">
        <v>1</v>
      </c>
    </row>
    <row r="47998" ht="15.75" customHeight="1" spans="1:2">
      <c r="A47998" s="3" t="str">
        <f>IFERROR(__xludf.DUMMYFUNCTION("GOOGLETRANSLATE(A47998,""en"",""pt"")"),"ok pics, grande o suficiente que é difícil perder")</f>
        <v>ok pics, grande o suficiente que é difícil perder</v>
      </c>
      <c r="B47998" s="3">
        <v>1</v>
      </c>
    </row>
    <row r="47999" ht="15.75" customHeight="1" spans="1:2">
      <c r="A47999" s="3" t="str">
        <f>IFERROR(__xludf.DUMMYFUNCTION("GOOGLETRANSLATE(A47999,""en"",""pt"")"),"Interface fácil de usar, fácil de ligar ao seu computador e upload de fotos,")</f>
        <v>Interface fácil de usar, fácil de ligar ao seu computador e upload de fotos,</v>
      </c>
      <c r="B47999" s="3">
        <v>1</v>
      </c>
    </row>
    <row r="48000" ht="15.75" customHeight="1" spans="1:2">
      <c r="A48000" s="3" t="str">
        <f>IFERROR(__xludf.DUMMYFUNCTION("GOOGLETRANSLATE(A48000,""en"",""pt"")"),"Excelente qualidade de imagem, fácil de usar, os dois visores ópticos e LCD")</f>
        <v>Excelente qualidade de imagem, fácil de usar, os dois visores ópticos e LCD</v>
      </c>
      <c r="B48000" s="3">
        <v>1</v>
      </c>
    </row>
    <row r="48001" ht="15.75" customHeight="1" spans="1:2">
      <c r="A48001" s="3" t="str">
        <f>IFERROR(__xludf.DUMMYFUNCTION("GOOGLETRANSLATE(A48001,""en"",""pt"")"),"Simpático e pequeno, solidamente construída, rápida, clara e conveniente. Grande iniciante!")</f>
        <v>Simpático e pequeno, solidamente construída, rápida, clara e conveniente. Grande iniciante!</v>
      </c>
      <c r="B48001" s="3">
        <v>1</v>
      </c>
    </row>
    <row r="48002" ht="15.75" customHeight="1" spans="1:2">
      <c r="A48002" s="3" t="str">
        <f>IFERROR(__xludf.DUMMYFUNCTION("GOOGLETRANSLATE(A48002,""en"",""pt"")"),"Facilidade de uso, sensação contínua")</f>
        <v>Facilidade de uso, sensação contínua</v>
      </c>
      <c r="B48002" s="3">
        <v>1</v>
      </c>
    </row>
    <row r="48003" ht="15.75" customHeight="1" spans="1:2">
      <c r="A48003" s="3" t="str">
        <f>IFERROR(__xludf.DUMMYFUNCTION("GOOGLETRANSLATE(A48003,""en"",""pt"")"),"Pequeno e compacto")</f>
        <v>Pequeno e compacto</v>
      </c>
      <c r="B48003" s="3">
        <v>1</v>
      </c>
    </row>
    <row r="48004" ht="15.75" customHeight="1" spans="1:2">
      <c r="A48004" s="3" t="str">
        <f>IFERROR(__xludf.DUMMYFUNCTION("GOOGLETRANSLATE(A48004,""en"",""pt"")"),"Eu estava tirando fotos e e-mails em 5 minutos.")</f>
        <v>Eu estava tirando fotos e e-mails em 5 minutos.</v>
      </c>
      <c r="B48004" s="3">
        <v>1</v>
      </c>
    </row>
    <row r="48005" ht="15.75" customHeight="1" spans="1:2">
      <c r="A48005" s="3" t="str">
        <f>IFERROR(__xludf.DUMMYFUNCTION("GOOGLETRANSLATE(A48005,""en"",""pt"")"),"Qualidade de imagem, conectividade, qualidade de construção e estilo, o rock motoristas sólidos")</f>
        <v>Qualidade de imagem, conectividade, qualidade de construção e estilo, o rock motoristas sólidos</v>
      </c>
      <c r="B48005" s="3">
        <v>1</v>
      </c>
    </row>
    <row r="48006" ht="15.75" customHeight="1" spans="1:2">
      <c r="A48006" s="3" t="str">
        <f>IFERROR(__xludf.DUMMYFUNCTION("GOOGLETRANSLATE(A48006,""en"",""pt"")"),"excelente qualidade de imagem, boa lente muito zoom, interface USB, saída de vídeo porta")</f>
        <v>excelente qualidade de imagem, boa lente muito zoom, interface USB, saída de vídeo porta</v>
      </c>
      <c r="B48006" s="3">
        <v>1</v>
      </c>
    </row>
    <row r="48007" ht="15.75" customHeight="1" spans="1:2">
      <c r="A48007" s="3" t="str">
        <f>IFERROR(__xludf.DUMMYFUNCTION("GOOGLETRANSLATE(A48007,""en"",""pt"")"),"Boa câmera para aqueles começando com a fotografia digital.")</f>
        <v>Boa câmera para aqueles começando com a fotografia digital.</v>
      </c>
      <c r="B48007" s="3">
        <v>1</v>
      </c>
    </row>
    <row r="48008" ht="15.75" customHeight="1" spans="1:2">
      <c r="A48008" s="3" t="str">
        <f>IFERROR(__xludf.DUMMYFUNCTION("GOOGLETRANSLATE(A48008,""en"",""pt"")"),"* Fácil de usar &amp; amp; # 13; &amp; amp; # 10; * Durable (não se sente barato) &amp; amp; # 13; &amp; amp; # 10; * Grande Pictures &amp; amp; # 13; &amp; amp; # 10; * Grande Life &amp; amp bateria; # 13; &amp; amp; # 10; * Nice Menus")</f>
        <v>* Fácil de usar &amp; amp; # 13; &amp; amp; # 10; * Durable (não se sente barato) &amp; amp; # 13; &amp; amp; # 10; * Grande Pictures &amp; amp; # 13; &amp; amp; # 10; * Grande Life &amp; amp bateria; # 13; &amp; amp; # 10; * Nice Menus</v>
      </c>
      <c r="B48008" s="3">
        <v>1</v>
      </c>
    </row>
    <row r="48009" ht="15.75" customHeight="1" spans="1:2">
      <c r="A48009" s="3" t="str">
        <f>IFERROR(__xludf.DUMMYFUNCTION("GOOGLETRANSLATE(A48009,""en"",""pt"")"),"Muito fácil de usar, leva maravilhosas Fotos &amp; amp; # 13; &amp; amp; # 10; altamente recomendado.")</f>
        <v>Muito fácil de usar, leva maravilhosas Fotos &amp; amp; # 13; &amp; amp; # 10; altamente recomendado.</v>
      </c>
      <c r="B48009" s="3">
        <v>1</v>
      </c>
    </row>
    <row r="48010" ht="15.75" customHeight="1" spans="1:2">
      <c r="A48010" s="3" t="str">
        <f>IFERROR(__xludf.DUMMYFUNCTION("GOOGLETRANSLATE(A48010,""en"",""pt"")"),"Facilidade de utilização, qualidade de imagem")</f>
        <v>Facilidade de utilização, qualidade de imagem</v>
      </c>
      <c r="B48010" s="3">
        <v>1</v>
      </c>
    </row>
    <row r="48011" ht="15.75" customHeight="1" spans="1:2">
      <c r="A48011" s="3" t="str">
        <f>IFERROR(__xludf.DUMMYFUNCTION("GOOGLETRANSLATE(A48011,""en"",""pt"")"),"Sparking pouco performer; O Super")</f>
        <v>Sparking pouco performer; O Super</v>
      </c>
      <c r="B48011" s="3">
        <v>1</v>
      </c>
    </row>
    <row r="48012" ht="15.75" customHeight="1" spans="1:2">
      <c r="A48012" s="3" t="str">
        <f>IFERROR(__xludf.DUMMYFUNCTION("GOOGLETRANSLATE(A48012,""en"",""pt"")"),"Fácil de usar")</f>
        <v>Fácil de usar</v>
      </c>
      <c r="B48012" s="3">
        <v>1</v>
      </c>
    </row>
    <row r="48013" ht="15.75" customHeight="1" spans="1:2">
      <c r="A48013" s="3" t="str">
        <f>IFERROR(__xludf.DUMMYFUNCTION("GOOGLETRANSLATE(A48013,""en"",""pt"")"),"Grandes fotos, tem características normalmente encontradas em câmeras mais caras")</f>
        <v>Grandes fotos, tem características normalmente encontradas em câmeras mais caras</v>
      </c>
      <c r="B48013" s="3">
        <v>1</v>
      </c>
    </row>
    <row r="48014" ht="15.75" customHeight="1" spans="1:2">
      <c r="A48014" s="3" t="str">
        <f>IFERROR(__xludf.DUMMYFUNCTION("GOOGLETRANSLATE(A48014,""en"",""pt"")"),"Fácil de usar")</f>
        <v>Fácil de usar</v>
      </c>
      <c r="B48014" s="3">
        <v>1</v>
      </c>
    </row>
    <row r="48015" ht="15.75" customHeight="1" spans="1:2">
      <c r="A48015" s="3" t="str">
        <f>IFERROR(__xludf.DUMMYFUNCTION("GOOGLETRANSLATE(A48015,""en"",""pt"")"),"Fácil de usar - excelente qualidade de imagem")</f>
        <v>Fácil de usar - excelente qualidade de imagem</v>
      </c>
      <c r="B48015" s="3">
        <v>1</v>
      </c>
    </row>
    <row r="48016" ht="15.75" customHeight="1" spans="1:2">
      <c r="A48016" s="3" t="str">
        <f>IFERROR(__xludf.DUMMYFUNCTION("GOOGLETRANSLATE(A48016,""en"",""pt"")"),"Fácil de usar a direita fora da caixa no modo automático")</f>
        <v>Fácil de usar a direita fora da caixa no modo automático</v>
      </c>
      <c r="B48016" s="3">
        <v>1</v>
      </c>
    </row>
    <row r="48017" ht="15.75" customHeight="1" spans="1:2">
      <c r="A48017" s="3" t="str">
        <f>IFERROR(__xludf.DUMMYFUNCTION("GOOGLETRANSLATE(A48017,""en"",""pt"")"),"boa qualidade de construção, bom preço, grandes menus")</f>
        <v>boa qualidade de construção, bom preço, grandes menus</v>
      </c>
      <c r="B48017" s="3">
        <v>1</v>
      </c>
    </row>
    <row r="48018" ht="15.75" customHeight="1" spans="1:2">
      <c r="A48018" s="3" t="str">
        <f>IFERROR(__xludf.DUMMYFUNCTION("GOOGLETRANSLATE(A48018,""en"",""pt"")"),"fotos grandes, fácil de usar em tirar fotos")</f>
        <v>fotos grandes, fácil de usar em tirar fotos</v>
      </c>
      <c r="B48018" s="3">
        <v>1</v>
      </c>
    </row>
    <row r="48019" ht="15.75" customHeight="1" spans="1:2">
      <c r="A48019" s="3" t="str">
        <f>IFERROR(__xludf.DUMMYFUNCTION("GOOGLETRANSLATE(A48019,""en"",""pt"")"),"meus 10 anos e avó tanto pode operá-lo!")</f>
        <v>meus 10 anos e avó tanto pode operá-lo!</v>
      </c>
      <c r="B48019" s="3">
        <v>1</v>
      </c>
    </row>
    <row r="48020" ht="15.75" customHeight="1" spans="1:2">
      <c r="A48020" s="3" t="str">
        <f>IFERROR(__xludf.DUMMYFUNCTION("GOOGLETRANSLATE(A48020,""en"",""pt"")"),"Grande qualidade Fotos")</f>
        <v>Grande qualidade Fotos</v>
      </c>
      <c r="B48020" s="3">
        <v>1</v>
      </c>
    </row>
    <row r="48021" ht="15.75" customHeight="1" spans="1:2">
      <c r="A48021" s="3" t="str">
        <f>IFERROR(__xludf.DUMMYFUNCTION("GOOGLETRANSLATE(A48021,""en"",""pt"")"),"Fácil de usar e você vai gostar dos resultados")</f>
        <v>Fácil de usar e você vai gostar dos resultados</v>
      </c>
      <c r="B48021" s="3">
        <v>1</v>
      </c>
    </row>
    <row r="48022" ht="15.75" customHeight="1" spans="1:2">
      <c r="A48022" s="3" t="str">
        <f>IFERROR(__xludf.DUMMYFUNCTION("GOOGLETRANSLATE(A48022,""en"",""pt"")"),"Facilidade de uso, qualidade de imagem, preço")</f>
        <v>Facilidade de uso, qualidade de imagem, preço</v>
      </c>
      <c r="B48022" s="3">
        <v>1</v>
      </c>
    </row>
    <row r="48023" ht="15.75" customHeight="1" spans="1:2">
      <c r="A48023" s="3" t="str">
        <f>IFERROR(__xludf.DUMMYFUNCTION("GOOGLETRANSLATE(A48023,""en"",""pt"")"),"Grandes fotos de qualidade!")</f>
        <v>Grandes fotos de qualidade!</v>
      </c>
      <c r="B48023" s="3">
        <v>1</v>
      </c>
    </row>
    <row r="48024" ht="15.75" customHeight="1" spans="1:2">
      <c r="A48024" s="3" t="str">
        <f>IFERROR(__xludf.DUMMYFUNCTION("GOOGLETRANSLATE(A48024,""en"",""pt"")"),"Fácil de entender ícones da interface e agradáveis. Muitas funções não encontradas em todas as câmaras")</f>
        <v>Fácil de entender ícones da interface e agradáveis. Muitas funções não encontradas em todas as câmaras</v>
      </c>
      <c r="B48024" s="3">
        <v>1</v>
      </c>
    </row>
    <row r="48025" ht="15.75" customHeight="1" spans="1:2">
      <c r="A48025" s="3" t="str">
        <f>IFERROR(__xludf.DUMMYFUNCTION("GOOGLETRANSLATE(A48025,""en"",""pt"")"),"Terrific qualidade de imagem, zoom óptico, o consumo da bateria decente")</f>
        <v>Terrific qualidade de imagem, zoom óptico, o consumo da bateria decente</v>
      </c>
      <c r="B48025" s="3">
        <v>1</v>
      </c>
    </row>
    <row r="48026" ht="15.75" customHeight="1" spans="1:2">
      <c r="A48026" s="3" t="str">
        <f>IFERROR(__xludf.DUMMYFUNCTION("GOOGLETRANSLATE(A48026,""en"",""pt"")"),"Muito amigável, boa qualidade de imagem")</f>
        <v>Muito amigável, boa qualidade de imagem</v>
      </c>
      <c r="B48026" s="3">
        <v>1</v>
      </c>
    </row>
    <row r="48027" ht="15.75" customHeight="1" spans="1:2">
      <c r="A48027" s="3" t="str">
        <f>IFERROR(__xludf.DUMMYFUNCTION("GOOGLETRANSLATE(A48027,""en"",""pt"")"),"Facilidade de conexão, opções de menu torná-lo fácil de apagar imagens indesejadas rapidamente, não complexa.")</f>
        <v>Facilidade de conexão, opções de menu torná-lo fácil de apagar imagens indesejadas rapidamente, não complexa.</v>
      </c>
      <c r="B48027" s="3">
        <v>1</v>
      </c>
    </row>
    <row r="48028" ht="15.75" customHeight="1" spans="1:2">
      <c r="A48028" s="3" t="str">
        <f>IFERROR(__xludf.DUMMYFUNCTION("GOOGLETRANSLATE(A48028,""en"",""pt"")"),"Grande, divertido, rico em recursos, bom preço para o Mpxls.")</f>
        <v>Grande, divertido, rico em recursos, bom preço para o Mpxls.</v>
      </c>
      <c r="B48028" s="3">
        <v>1</v>
      </c>
    </row>
    <row r="48029" ht="15.75" customHeight="1" spans="1:2">
      <c r="A48029" s="3" t="str">
        <f>IFERROR(__xludf.DUMMYFUNCTION("GOOGLETRANSLATE(A48029,""en"",""pt"")"),"fácil de usar, fácil de transferir fotos")</f>
        <v>fácil de usar, fácil de transferir fotos</v>
      </c>
      <c r="B48029" s="3">
        <v>1</v>
      </c>
    </row>
    <row r="48030" ht="15.75" customHeight="1" spans="1:2">
      <c r="A48030" s="3" t="str">
        <f>IFERROR(__xludf.DUMMYFUNCTION("GOOGLETRANSLATE(A48030,""en"",""pt"")"),"Incrivelmente fácil de usar!")</f>
        <v>Incrivelmente fácil de usar!</v>
      </c>
      <c r="B48030" s="3">
        <v>1</v>
      </c>
    </row>
    <row r="48031" ht="15.75" customHeight="1" spans="1:2">
      <c r="A48031" s="3" t="str">
        <f>IFERROR(__xludf.DUMMYFUNCTION("GOOGLETRANSLATE(A48031,""en"",""pt"")"),"Perfeito para usuários SLR 35mm, ótimo preço")</f>
        <v>Perfeito para usuários SLR 35mm, ótimo preço</v>
      </c>
      <c r="B48031" s="3">
        <v>1</v>
      </c>
    </row>
    <row r="48032" ht="15.75" customHeight="1" spans="1:2">
      <c r="A48032" s="3" t="str">
        <f>IFERROR(__xludf.DUMMYFUNCTION("GOOGLETRANSLATE(A48032,""en"",""pt"")"),"A qualidade da foto, cor, easy-to-use, recursos ... e assim por diante.")</f>
        <v>A qualidade da foto, cor, easy-to-use, recursos ... e assim por diante.</v>
      </c>
      <c r="B48032" s="3">
        <v>1</v>
      </c>
    </row>
    <row r="48033" ht="15.75" customHeight="1" spans="1:2">
      <c r="A48033" s="3" t="str">
        <f>IFERROR(__xludf.DUMMYFUNCTION("GOOGLETRANSLATE(A48033,""en"",""pt"")"),"Alta megapixel, boas características a um preço moderado.")</f>
        <v>Alta megapixel, boas características a um preço moderado.</v>
      </c>
      <c r="B48033" s="3">
        <v>1</v>
      </c>
    </row>
    <row r="48034" ht="15.75" customHeight="1" spans="1:2">
      <c r="A48034" s="3" t="str">
        <f>IFERROR(__xludf.DUMMYFUNCTION("GOOGLETRANSLATE(A48034,""en"",""pt"")"),"Boa resolução, lida como uma 35mm, tanto ou tão pouco controle como você gosta.")</f>
        <v>Boa resolução, lida como uma 35mm, tanto ou tão pouco controle como você gosta.</v>
      </c>
      <c r="B48034" s="3">
        <v>1</v>
      </c>
    </row>
    <row r="48035" ht="15.75" customHeight="1" spans="1:2">
      <c r="A48035" s="3" t="str">
        <f>IFERROR(__xludf.DUMMYFUNCTION("GOOGLETRANSLATE(A48035,""en"",""pt"")"),"Boa qualidade de imagem para áreas bem iluminadas, fácil, operação simples")</f>
        <v>Boa qualidade de imagem para áreas bem iluminadas, fácil, operação simples</v>
      </c>
      <c r="B48035" s="3">
        <v>1</v>
      </c>
    </row>
    <row r="48036" ht="15.75" customHeight="1" spans="1:2">
      <c r="A48036" s="3" t="str">
        <f>IFERROR(__xludf.DUMMYFUNCTION("GOOGLETRANSLATE(A48036,""en"",""pt"")"),"3+ Mega-Pixels e Grã desempenho &amp; amp; #! 13; &amp; amp; # 10; Fácil de usar, fácil de manter.")</f>
        <v>3+ Mega-Pixels e Grã desempenho &amp; amp; #! 13; &amp; amp; # 10; Fácil de usar, fácil de manter.</v>
      </c>
      <c r="B48036" s="3">
        <v>1</v>
      </c>
    </row>
    <row r="48037" ht="15.75" customHeight="1" spans="1:2">
      <c r="A48037" s="3" t="str">
        <f>IFERROR(__xludf.DUMMYFUNCTION("GOOGLETRANSLATE(A48037,""en"",""pt"")"),"Ótimas fotos! Fácil de usar, pacote de software útil, USB")</f>
        <v>Ótimas fotos! Fácil de usar, pacote de software útil, USB</v>
      </c>
      <c r="B48037" s="3">
        <v>1</v>
      </c>
    </row>
    <row r="48038" ht="15.75" customHeight="1" spans="1:2">
      <c r="A48038" s="3" t="str">
        <f>IFERROR(__xludf.DUMMYFUNCTION("GOOGLETRANSLATE(A48038,""en"",""pt"")"),"Excelente para bater a bola. Bem construído. Atraente.")</f>
        <v>Excelente para bater a bola. Bem construído. Atraente.</v>
      </c>
      <c r="B48038" s="3">
        <v>1</v>
      </c>
    </row>
    <row r="48039" ht="15.75" customHeight="1" spans="1:2">
      <c r="A48039" s="3" t="str">
        <f>IFERROR(__xludf.DUMMYFUNCTION("GOOGLETRANSLATE(A48039,""en"",""pt"")"),"Bonito, imagens nítidas, realmente fácil de usar mas versátil!")</f>
        <v>Bonito, imagens nítidas, realmente fácil de usar mas versátil!</v>
      </c>
      <c r="B48039" s="3">
        <v>1</v>
      </c>
    </row>
    <row r="48040" ht="15.75" customHeight="1" spans="1:2">
      <c r="A48040" s="3" t="str">
        <f>IFERROR(__xludf.DUMMYFUNCTION("GOOGLETRANSLATE(A48040,""en"",""pt"")"),"Muito boas imagens digitais")</f>
        <v>Muito boas imagens digitais</v>
      </c>
      <c r="B48040" s="3">
        <v>1</v>
      </c>
    </row>
    <row r="48041" ht="15.75" customHeight="1" spans="1:2">
      <c r="A48041" s="3" t="str">
        <f>IFERROR(__xludf.DUMMYFUNCTION("GOOGLETRANSLATE(A48041,""en"",""pt"")"),"ciclagem rápida de fotos, abundância de recursos e controles manuais")</f>
        <v>ciclagem rápida de fotos, abundância de recursos e controles manuais</v>
      </c>
      <c r="B48041" s="3">
        <v>1</v>
      </c>
    </row>
    <row r="48042" ht="15.75" customHeight="1" spans="1:2">
      <c r="A48042" s="3" t="str">
        <f>IFERROR(__xludf.DUMMYFUNCTION("GOOGLETRANSLATE(A48042,""en"",""pt"")"),"Muitos recursos para o preço e fácil de usar.")</f>
        <v>Muitos recursos para o preço e fácil de usar.</v>
      </c>
      <c r="B48042" s="3">
        <v>1</v>
      </c>
    </row>
    <row r="48043" ht="15.75" customHeight="1" spans="1:2">
      <c r="A48043" s="3" t="str">
        <f>IFERROR(__xludf.DUMMYFUNCTION("GOOGLETRANSLATE(A48043,""en"",""pt"")"),"Boa Zoom, acesso Sturdy Portas, tamanho, facilidade de uso")</f>
        <v>Boa Zoom, acesso Sturdy Portas, tamanho, facilidade de uso</v>
      </c>
      <c r="B48043" s="3">
        <v>1</v>
      </c>
    </row>
    <row r="48044" ht="15.75" customHeight="1" spans="1:2">
      <c r="A48044" s="3" t="str">
        <f>IFERROR(__xludf.DUMMYFUNCTION("GOOGLETRANSLATE(A48044,""en"",""pt"")"),", Modo de economia de espaço comprimido durável, WinXP suportado")</f>
        <v>, Modo de economia de espaço comprimido durável, WinXP suportado</v>
      </c>
      <c r="B48044" s="3">
        <v>1</v>
      </c>
    </row>
    <row r="48045" ht="15.75" customHeight="1" spans="1:2">
      <c r="A48045" s="3" t="str">
        <f>IFERROR(__xludf.DUMMYFUNCTION("GOOGLETRANSLATE(A48045,""en"",""pt"")"),"Grande cam, boa cor")</f>
        <v>Grande cam, boa cor</v>
      </c>
      <c r="B48045" s="3">
        <v>1</v>
      </c>
    </row>
    <row r="48046" ht="15.75" customHeight="1" spans="1:2">
      <c r="A48046" s="3" t="str">
        <f>IFERROR(__xludf.DUMMYFUNCTION("GOOGLETRANSLATE(A48046,""en"",""pt"")"),"construído em carregador de pilhas, usa Fuji NP-80 bateria")</f>
        <v>construído em carregador de pilhas, usa Fuji NP-80 bateria</v>
      </c>
      <c r="B48046" s="3">
        <v>1</v>
      </c>
    </row>
    <row r="48047" ht="15.75" customHeight="1" spans="1:2">
      <c r="A48047" s="3" t="str">
        <f>IFERROR(__xludf.DUMMYFUNCTION("GOOGLETRANSLATE(A48047,""en"",""pt"")"),"muitos profissionais")</f>
        <v>muitos profissionais</v>
      </c>
      <c r="B48047" s="3">
        <v>1</v>
      </c>
    </row>
    <row r="48048" ht="15.75" customHeight="1" spans="1:2">
      <c r="A48048" s="3" t="str">
        <f>IFERROR(__xludf.DUMMYFUNCTION("GOOGLETRANSLATE(A48048,""en"",""pt"")"),"A grande qualidade, facilidade de uso")</f>
        <v>A grande qualidade, facilidade de uso</v>
      </c>
      <c r="B48048" s="3">
        <v>1</v>
      </c>
    </row>
    <row r="48049" ht="15.75" customHeight="1" spans="1:2">
      <c r="A48049" s="3" t="str">
        <f>IFERROR(__xludf.DUMMYFUNCTION("GOOGLETRANSLATE(A48049,""en"",""pt"")"),"muitos recursos e fácil de usar")</f>
        <v>muitos recursos e fácil de usar</v>
      </c>
      <c r="B48049" s="3">
        <v>1</v>
      </c>
    </row>
    <row r="48050" ht="15.75" customHeight="1" spans="1:2">
      <c r="A48050" s="3" t="str">
        <f>IFERROR(__xludf.DUMMYFUNCTION("GOOGLETRANSLATE(A48050,""en"",""pt"")"),"Preço, facilidade de utilização, qualidade de construção")</f>
        <v>Preço, facilidade de utilização, qualidade de construção</v>
      </c>
      <c r="B48050" s="3">
        <v>1</v>
      </c>
    </row>
    <row r="48051" ht="15.75" customHeight="1" spans="1:2">
      <c r="A48051" s="3" t="str">
        <f>IFERROR(__xludf.DUMMYFUNCTION("GOOGLETRANSLATE(A48051,""en"",""pt"")"),"Excelente qualidade de imagem, baterias recarregáveis ​​duram muito tempo")</f>
        <v>Excelente qualidade de imagem, baterias recarregáveis ​​duram muito tempo</v>
      </c>
      <c r="B48051" s="3">
        <v>1</v>
      </c>
    </row>
    <row r="48052" ht="15.75" customHeight="1" spans="1:2">
      <c r="A48052" s="3" t="str">
        <f>IFERROR(__xludf.DUMMYFUNCTION("GOOGLETRANSLATE(A48052,""en"",""pt"")"),"Nítida e vibrante 8x10s rotina. Grandes controles manuais, piscar terminal.")</f>
        <v>Nítida e vibrante 8x10s rotina. Grandes controles manuais, piscar terminal.</v>
      </c>
      <c r="B48052" s="3">
        <v>1</v>
      </c>
    </row>
    <row r="48053" ht="15.75" customHeight="1" spans="1:2">
      <c r="A48053" s="3" t="str">
        <f>IFERROR(__xludf.DUMMYFUNCTION("GOOGLETRANSLATE(A48053,""en"",""pt"")"),"Built-in de carregamento da bateria, controles analógicos grandes")</f>
        <v>Built-in de carregamento da bateria, controles analógicos grandes</v>
      </c>
      <c r="B48053" s="3">
        <v>1</v>
      </c>
    </row>
    <row r="48054" ht="15.75" customHeight="1" spans="1:2">
      <c r="A48054" s="3" t="str">
        <f>IFERROR(__xludf.DUMMYFUNCTION("GOOGLETRANSLATE(A48054,""en"",""pt"")"),"Alta Qualidade, velocidade, controlabilidade")</f>
        <v>Alta Qualidade, velocidade, controlabilidade</v>
      </c>
      <c r="B48054" s="3">
        <v>1</v>
      </c>
    </row>
    <row r="48055" ht="15.75" customHeight="1" spans="1:2">
      <c r="A48055" s="3" t="str">
        <f>IFERROR(__xludf.DUMMYFUNCTION("GOOGLETRANSLATE(A48055,""en"",""pt"")"),"Ótimas fotos!")</f>
        <v>Ótimas fotos!</v>
      </c>
      <c r="B48055" s="3">
        <v>1</v>
      </c>
    </row>
    <row r="48056" ht="15.75" customHeight="1" spans="1:2">
      <c r="A48056" s="3" t="str">
        <f>IFERROR(__xludf.DUMMYFUNCTION("GOOGLETRANSLATE(A48056,""en"",""pt"")"),"qualidade de imagem, facilidade de uso")</f>
        <v>qualidade de imagem, facilidade de uso</v>
      </c>
      <c r="B48056" s="3">
        <v>1</v>
      </c>
    </row>
    <row r="48057" ht="15.75" customHeight="1" spans="1:2">
      <c r="A48057" s="3" t="str">
        <f>IFERROR(__xludf.DUMMYFUNCTION("GOOGLETRANSLATE(A48057,""en"",""pt"")"),"A qualidade da foto, facilidade de uso, tamanho e peso")</f>
        <v>A qualidade da foto, facilidade de uso, tamanho e peso</v>
      </c>
      <c r="B48057" s="3">
        <v>1</v>
      </c>
    </row>
    <row r="48058" ht="15.75" customHeight="1" spans="1:2">
      <c r="A48058" s="3" t="str">
        <f>IFERROR(__xludf.DUMMYFUNCTION("GOOGLETRANSLATE(A48058,""en"",""pt"")"),"claridade, resolução, poder de zoom")</f>
        <v>claridade, resolução, poder de zoom</v>
      </c>
      <c r="B48058" s="3">
        <v>1</v>
      </c>
    </row>
    <row r="48059" ht="15.75" customHeight="1" spans="1:2">
      <c r="A48059" s="3" t="str">
        <f>IFERROR(__xludf.DUMMYFUNCTION("GOOGLETRANSLATE(A48059,""en"",""pt"")"),"bonito, cor saturada, zero ou baixo nível de ruído, sincronização do flash standard, a facilidade de controles fotográficas")</f>
        <v>bonito, cor saturada, zero ou baixo nível de ruído, sincronização do flash standard, a facilidade de controles fotográficas</v>
      </c>
      <c r="B48059" s="3">
        <v>1</v>
      </c>
    </row>
    <row r="48060" ht="15.75" customHeight="1" spans="1:2">
      <c r="A48060" s="3" t="str">
        <f>IFERROR(__xludf.DUMMYFUNCTION("GOOGLETRANSLATE(A48060,""en"",""pt"")"),"Qualidade")</f>
        <v>Qualidade</v>
      </c>
      <c r="B48060" s="3">
        <v>1</v>
      </c>
    </row>
    <row r="48061" ht="15.75" customHeight="1" spans="1:2">
      <c r="A48061" s="3" t="str">
        <f>IFERROR(__xludf.DUMMYFUNCTION("GOOGLETRANSLATE(A48061,""en"",""pt"")"),"super fácil de usar, muito fotos de boa qualidade")</f>
        <v>super fácil de usar, muito fotos de boa qualidade</v>
      </c>
      <c r="B48061" s="3">
        <v>1</v>
      </c>
    </row>
    <row r="48062" ht="15.75" customHeight="1" spans="1:2">
      <c r="A48062" s="3" t="str">
        <f>IFERROR(__xludf.DUMMYFUNCTION("GOOGLETRANSLATE(A48062,""en"",""pt"")"),"3.1 megapixel, nunca precisa filme novamente (processar suas próprias imagens), guia do usuário excelente.")</f>
        <v>3.1 megapixel, nunca precisa filme novamente (processar suas próprias imagens), guia do usuário excelente.</v>
      </c>
      <c r="B48062" s="3">
        <v>1</v>
      </c>
    </row>
    <row r="48063" ht="15.75" customHeight="1" spans="1:2">
      <c r="A48063" s="3" t="str">
        <f>IFERROR(__xludf.DUMMYFUNCTION("GOOGLETRANSLATE(A48063,""en"",""pt"")"),"tamanho quase normal. Ótimas fotos. Tão fácil ou tão complicado como você quer.")</f>
        <v>tamanho quase normal. Ótimas fotos. Tão fácil ou tão complicado como você quer.</v>
      </c>
      <c r="B48063" s="3">
        <v>1</v>
      </c>
    </row>
    <row r="48064" ht="15.75" customHeight="1" spans="1:2">
      <c r="A48064" s="3" t="str">
        <f>IFERROR(__xludf.DUMMYFUNCTION("GOOGLETRANSLATE(A48064,""en"",""pt"")"),"Finest High End Digital Serious Amador Camera Disponível")</f>
        <v>Finest High End Digital Serious Amador Camera Disponível</v>
      </c>
      <c r="B48064" s="3">
        <v>1</v>
      </c>
    </row>
    <row r="48065" ht="15.75" customHeight="1" spans="1:2">
      <c r="A48065" s="3" t="str">
        <f>IFERROR(__xludf.DUMMYFUNCTION("GOOGLETRANSLATE(A48065,""en"",""pt"")"),"cores vivas e uma qualidade de imagem surpreendente e detalhes, excelente design e ergonomia, USB")</f>
        <v>cores vivas e uma qualidade de imagem surpreendente e detalhes, excelente design e ergonomia, USB</v>
      </c>
      <c r="B48065" s="3">
        <v>1</v>
      </c>
    </row>
    <row r="48066" ht="15.75" customHeight="1" spans="1:2">
      <c r="A48066" s="3" t="str">
        <f>IFERROR(__xludf.DUMMYFUNCTION("GOOGLETRANSLATE(A48066,""en"",""pt"")"),"Bom para preço --- agora ..... :-( bom desempenho de pouca luz &amp; amp;. # 160; &amp; amp; # 13; &amp; amp; # 10; &amp; amp; # 13; &amp; amp; # 10;")</f>
        <v>Bom para preço --- agora ..... :-( bom desempenho de pouca luz &amp; amp;. # 160; &amp; amp; # 13; &amp; amp; # 10; &amp; amp; # 13; &amp; amp; # 10;</v>
      </c>
      <c r="B48066" s="3">
        <v>1</v>
      </c>
    </row>
    <row r="48067" ht="15.75" customHeight="1" spans="1:2">
      <c r="A48067" s="3" t="str">
        <f>IFERROR(__xludf.DUMMYFUNCTION("GOOGLETRANSLATE(A48067,""en"",""pt"")"),"transferência USB rápido, muitos recursos, corpo robusto &amp; amp; desenhar")</f>
        <v>transferência USB rápido, muitos recursos, corpo robusto &amp; amp; desenhar</v>
      </c>
      <c r="B48067" s="3">
        <v>1</v>
      </c>
    </row>
    <row r="48068" ht="15.75" customHeight="1" spans="1:2">
      <c r="A48068" s="3" t="str">
        <f>IFERROR(__xludf.DUMMYFUNCTION("GOOGLETRANSLATE(A48068,""en"",""pt"")"),"Grandes características &amp; amp; preço. Bom para iniciantes ou usuários avançados. 3.1 megapixels. É uma Kodak.")</f>
        <v>Grandes características &amp; amp; preço. Bom para iniciantes ou usuários avançados. 3.1 megapixels. É uma Kodak.</v>
      </c>
      <c r="B48068" s="3">
        <v>1</v>
      </c>
    </row>
    <row r="48069" ht="15.75" customHeight="1" spans="1:2">
      <c r="A48069" s="3" t="str">
        <f>IFERROR(__xludf.DUMMYFUNCTION("GOOGLETRANSLATE(A48069,""en"",""pt"")"),"Barato! Rápido. Excelente qualidade da foto. Muito fácil de operar. Bom sistema de menu.")</f>
        <v>Barato! Rápido. Excelente qualidade da foto. Muito fácil de operar. Bom sistema de menu.</v>
      </c>
      <c r="B48069" s="3">
        <v>1</v>
      </c>
    </row>
    <row r="48070" ht="15.75" customHeight="1" spans="1:2">
      <c r="A48070" s="3" t="str">
        <f>IFERROR(__xludf.DUMMYFUNCTION("GOOGLETRANSLATE(A48070,""en"",""pt"")"),"Nenhum")</f>
        <v>Nenhum</v>
      </c>
      <c r="B48070" s="3">
        <v>1</v>
      </c>
    </row>
    <row r="48071" ht="15.75" customHeight="1" spans="1:2">
      <c r="A48071" s="3" t="str">
        <f>IFERROR(__xludf.DUMMYFUNCTION("GOOGLETRANSLATE(A48071,""en"",""pt"")"),"bela cor e detalhes vívidos")</f>
        <v>bela cor e detalhes vívidos</v>
      </c>
      <c r="B48071" s="3">
        <v>1</v>
      </c>
    </row>
    <row r="48072" ht="15.75" customHeight="1" spans="1:2">
      <c r="A48072" s="3" t="str">
        <f>IFERROR(__xludf.DUMMYFUNCTION("GOOGLETRANSLATE(A48072,""en"",""pt"")"),"construção robusta, fotos decentes em áreas bem iluminadas.")</f>
        <v>construção robusta, fotos decentes em áreas bem iluminadas.</v>
      </c>
      <c r="B48072" s="3">
        <v>1</v>
      </c>
    </row>
    <row r="48073" ht="15.75" customHeight="1" spans="1:2">
      <c r="A48073" s="3" t="str">
        <f>IFERROR(__xludf.DUMMYFUNCTION("GOOGLETRANSLATE(A48073,""en"",""pt"")"),"Imagens de grande qualidade e simples de usar no modo automático!")</f>
        <v>Imagens de grande qualidade e simples de usar no modo automático!</v>
      </c>
      <c r="B48073" s="3">
        <v>1</v>
      </c>
    </row>
    <row r="48074" ht="15.75" customHeight="1" spans="1:2">
      <c r="A48074" s="3" t="str">
        <f>IFERROR(__xludf.DUMMYFUNCTION("GOOGLETRANSLATE(A48074,""en"",""pt"")"),"construção, controlos, luz ajustar.")</f>
        <v>construção, controlos, luz ajustar.</v>
      </c>
      <c r="B48074" s="3">
        <v>1</v>
      </c>
    </row>
    <row r="48075" ht="15.75" customHeight="1" spans="1:2">
      <c r="A48075" s="3" t="str">
        <f>IFERROR(__xludf.DUMMYFUNCTION("GOOGLETRANSLATE(A48075,""en"",""pt"")"),"Preço / Desempenho - qualidade de imagens - todas as características !!")</f>
        <v>Preço / Desempenho - qualidade de imagens - todas as características !!</v>
      </c>
      <c r="B48075" s="3">
        <v>1</v>
      </c>
    </row>
    <row r="48076" ht="15.75" customHeight="1" spans="1:2">
      <c r="A48076" s="3" t="str">
        <f>IFERROR(__xludf.DUMMYFUNCTION("GOOGLETRANSLATE(A48076,""en"",""pt"")"),"Preço à direita, 3,1 Megapixles, 5 por segundo auto tiros, Auto manuais F-stops.")</f>
        <v>Preço à direita, 3,1 Megapixles, 5 por segundo auto tiros, Auto manuais F-stops.</v>
      </c>
      <c r="B48076" s="3">
        <v>1</v>
      </c>
    </row>
    <row r="48077" ht="15.75" customHeight="1" spans="1:2">
      <c r="A48077" s="3" t="str">
        <f>IFERROR(__xludf.DUMMYFUNCTION("GOOGLETRANSLATE(A48077,""en"",""pt"")"),"ótimo preço para tais grandes características.")</f>
        <v>ótimo preço para tais grandes características.</v>
      </c>
      <c r="B48077" s="3">
        <v>1</v>
      </c>
    </row>
    <row r="48078" ht="15.75" customHeight="1" spans="1:2">
      <c r="A48078" s="3" t="str">
        <f>IFERROR(__xludf.DUMMYFUNCTION("GOOGLETRANSLATE(A48078,""en"",""pt"")"),"A câmera para o estilo de vida ativo.")</f>
        <v>A câmera para o estilo de vida ativo.</v>
      </c>
      <c r="B48078" s="3">
        <v>1</v>
      </c>
    </row>
    <row r="48079" ht="15.75" customHeight="1" spans="1:2">
      <c r="A48079" s="3" t="str">
        <f>IFERROR(__xludf.DUMMYFUNCTION("GOOGLETRANSLATE(A48079,""en"",""pt"")"),"Agradável qualidade de imagem. Preço razoável ($ 260)")</f>
        <v>Agradável qualidade de imagem. Preço razoável ($ 260)</v>
      </c>
      <c r="B48079" s="3">
        <v>1</v>
      </c>
    </row>
    <row r="48080" ht="15.75" customHeight="1" spans="1:2">
      <c r="A48080" s="3" t="str">
        <f>IFERROR(__xludf.DUMMYFUNCTION("GOOGLETRANSLATE(A48080,""en"",""pt"")"),"Lotes de armazenamento, fácil de usar, e muito divertido.")</f>
        <v>Lotes de armazenamento, fácil de usar, e muito divertido.</v>
      </c>
      <c r="B48080" s="3">
        <v>1</v>
      </c>
    </row>
    <row r="48081" ht="15.75" customHeight="1" spans="1:2">
      <c r="A48081" s="3" t="str">
        <f>IFERROR(__xludf.DUMMYFUNCTION("GOOGLETRANSLATE(A48081,""en"",""pt"")"),"Robusto, fácil de usar, boas fotos")</f>
        <v>Robusto, fácil de usar, boas fotos</v>
      </c>
      <c r="B48081" s="3">
        <v>1</v>
      </c>
    </row>
    <row r="48082" ht="15.75" customHeight="1" spans="1:2">
      <c r="A48082" s="3" t="str">
        <f>IFERROR(__xludf.DUMMYFUNCTION("GOOGLETRANSLATE(A48082,""en"",""pt"")"),"Tempo à prova. Durável. Fácil de usar. Big Camera.")</f>
        <v>Tempo à prova. Durável. Fácil de usar. Big Camera.</v>
      </c>
      <c r="B48082" s="3">
        <v>1</v>
      </c>
    </row>
    <row r="48083" ht="15.75" customHeight="1" spans="1:2">
      <c r="A48083" s="3" t="str">
        <f>IFERROR(__xludf.DUMMYFUNCTION("GOOGLETRANSLATE(A48083,""en"",""pt"")"),"Imagens de boa qualidade, câmera resistente e conectividade USB.")</f>
        <v>Imagens de boa qualidade, câmera resistente e conectividade USB.</v>
      </c>
      <c r="B48083" s="3">
        <v>1</v>
      </c>
    </row>
    <row r="48084" ht="15.75" customHeight="1" spans="1:2">
      <c r="A48084" s="3" t="str">
        <f>IFERROR(__xludf.DUMMYFUNCTION("GOOGLETRANSLATE(A48084,""en"",""pt"")"),"Botões grandes, de fácil navegação, ótimas fotos, fácil de usar.")</f>
        <v>Botões grandes, de fácil navegação, ótimas fotos, fácil de usar.</v>
      </c>
      <c r="B48084" s="3">
        <v>1</v>
      </c>
    </row>
    <row r="48085" ht="15.75" customHeight="1" spans="1:2">
      <c r="A48085" s="3" t="str">
        <f>IFERROR(__xludf.DUMMYFUNCTION("GOOGLETRANSLATE(A48085,""en"",""pt"")"),"Durabilidade, qualidade fotográfica, e facilidade de uso.")</f>
        <v>Durabilidade, qualidade fotográfica, e facilidade de uso.</v>
      </c>
      <c r="B48085" s="3">
        <v>1</v>
      </c>
    </row>
    <row r="48086" ht="15.75" customHeight="1" spans="1:2">
      <c r="A48086" s="3" t="str">
        <f>IFERROR(__xludf.DUMMYFUNCTION("GOOGLETRANSLATE(A48086,""en"",""pt"")"),"Intempéries, leva excelentes fotos. A câmera tomar em qualquer lugar")</f>
        <v>Intempéries, leva excelentes fotos. A câmera tomar em qualquer lugar</v>
      </c>
      <c r="B48086" s="3">
        <v>1</v>
      </c>
    </row>
    <row r="48087" ht="15.75" customHeight="1" spans="1:2">
      <c r="A48087" s="3" t="str">
        <f>IFERROR(__xludf.DUMMYFUNCTION("GOOGLETRANSLATE(A48087,""en"",""pt"")"),"Eu possuo esta câmera, e sua a melhor câmera digital que eu já tive !!!")</f>
        <v>Eu possuo esta câmera, e sua a melhor câmera digital que eu já tive !!!</v>
      </c>
      <c r="B48087" s="3">
        <v>1</v>
      </c>
    </row>
    <row r="48088" ht="15.75" customHeight="1" spans="1:2">
      <c r="A48088" s="3" t="str">
        <f>IFERROR(__xludf.DUMMYFUNCTION("GOOGLETRANSLATE(A48088,""en"",""pt"")"),"Zoom, Proof Tempo")</f>
        <v>Zoom, Proof Tempo</v>
      </c>
      <c r="B48088" s="3">
        <v>1</v>
      </c>
    </row>
    <row r="48089" ht="15.75" customHeight="1" spans="1:2">
      <c r="A48089" s="3" t="str">
        <f>IFERROR(__xludf.DUMMYFUNCTION("GOOGLETRANSLATE(A48089,""en"",""pt"")"),"Qualidade Pictures, Boa vida massa, robusto, USB")</f>
        <v>Qualidade Pictures, Boa vida massa, robusto, USB</v>
      </c>
      <c r="B48089" s="3">
        <v>1</v>
      </c>
    </row>
    <row r="48090" ht="15.75" customHeight="1" spans="1:2">
      <c r="A48090" s="3" t="str">
        <f>IFERROR(__xludf.DUMMYFUNCTION("GOOGLETRANSLATE(A48090,""en"",""pt"")"),"- Weather prova casing - 2 megapixels resolução - Windows ou da Apple")</f>
        <v>- Weather prova casing - 2 megapixels resolução - Windows ou da Apple</v>
      </c>
      <c r="B48090" s="3">
        <v>1</v>
      </c>
    </row>
    <row r="48091" ht="15.75" customHeight="1" spans="1:2">
      <c r="A48091" s="3" t="str">
        <f>IFERROR(__xludf.DUMMYFUNCTION("GOOGLETRANSLATE(A48091,""en"",""pt"")"),"O tamanho pequeno, dois milhões de pixels O' divertido, versátil e resistente às intempéries.")</f>
        <v>O tamanho pequeno, dois milhões de pixels O' divertido, versátil e resistente às intempéries.</v>
      </c>
      <c r="B48091" s="3">
        <v>1</v>
      </c>
    </row>
    <row r="48092" ht="15.75" customHeight="1" spans="1:2">
      <c r="A48092" s="3" t="str">
        <f>IFERROR(__xludf.DUMMYFUNCTION("GOOGLETRANSLATE(A48092,""en"",""pt"")"),"Grande resolução, grande sensação, à prova de intempéries e muito muito mais.")</f>
        <v>Grande resolução, grande sensação, à prova de intempéries e muito muito mais.</v>
      </c>
      <c r="B48092" s="3">
        <v>1</v>
      </c>
    </row>
    <row r="48093" ht="15.75" customHeight="1" spans="1:2">
      <c r="A48093" s="3" t="str">
        <f>IFERROR(__xludf.DUMMYFUNCTION("GOOGLETRANSLATE(A48093,""en"",""pt"")"),"Fácil de usar. Intempéries. Tem grandes figuras. botões de tamanho grande para fácil utilização.")</f>
        <v>Fácil de usar. Intempéries. Tem grandes figuras. botões de tamanho grande para fácil utilização.</v>
      </c>
      <c r="B48093" s="3">
        <v>1</v>
      </c>
    </row>
    <row r="48094" ht="15.75" customHeight="1" spans="1:2">
      <c r="A48094" s="3" t="str">
        <f>IFERROR(__xludf.DUMMYFUNCTION("GOOGLETRANSLATE(A48094,""en"",""pt"")"),"grandes fotos, construção resistente sólida")</f>
        <v>grandes fotos, construção resistente sólida</v>
      </c>
      <c r="B48094" s="3">
        <v>1</v>
      </c>
    </row>
    <row r="48095" ht="15.75" customHeight="1" spans="1:2">
      <c r="A48095" s="3" t="str">
        <f>IFERROR(__xludf.DUMMYFUNCTION("GOOGLETRANSLATE(A48095,""en"",""pt"")"),"- Weather prova casing &amp; amp; # 13; &amp; amp; # 10; - 2 megapixels de resolução &amp; amp; # 13; &amp; amp; # 10; - Windows ou Apple")</f>
        <v>- Weather prova casing &amp; amp; # 13; &amp; amp; # 10; - 2 megapixels de resolução &amp; amp; # 13; &amp; amp; # 10; - Windows ou Apple</v>
      </c>
      <c r="B48095" s="3">
        <v>1</v>
      </c>
    </row>
    <row r="48096" ht="15.75" customHeight="1" spans="1:2">
      <c r="A48096" s="3" t="str">
        <f>IFERROR(__xludf.DUMMYFUNCTION("GOOGLETRANSLATE(A48096,""en"",""pt"")"),"Robusto, impermeável, droppable, fácil de usar")</f>
        <v>Robusto, impermeável, droppable, fácil de usar</v>
      </c>
      <c r="B48096" s="3">
        <v>1</v>
      </c>
    </row>
    <row r="48097" ht="15.75" customHeight="1" spans="1:2">
      <c r="A48097" s="3" t="str">
        <f>IFERROR(__xludf.DUMMYFUNCTION("GOOGLETRANSLATE(A48097,""en"",""pt"")"),"Robusto, Kodak Authentication Module, interface de ActiveX.")</f>
        <v>Robusto, Kodak Authentication Module, interface de ActiveX.</v>
      </c>
      <c r="B48097" s="3">
        <v>1</v>
      </c>
    </row>
    <row r="48098" ht="15.75" customHeight="1" spans="1:2">
      <c r="A48098" s="3" t="str">
        <f>IFERROR(__xludf.DUMMYFUNCTION("GOOGLETRANSLATE(A48098,""en"",""pt"")"),"Fácil de usar, tem grandes figuras, vida útil da bateria não é muito ruim")</f>
        <v>Fácil de usar, tem grandes figuras, vida útil da bateria não é muito ruim</v>
      </c>
      <c r="B48098" s="3">
        <v>1</v>
      </c>
    </row>
    <row r="48099" ht="15.75" customHeight="1" spans="1:2">
      <c r="A48099" s="3" t="str">
        <f>IFERROR(__xludf.DUMMYFUNCTION("GOOGLETRANSLATE(A48099,""en"",""pt"")"),"baixo preço para digitais")</f>
        <v>baixo preço para digitais</v>
      </c>
      <c r="B48099" s="3">
        <v>1</v>
      </c>
    </row>
    <row r="48100" ht="15.75" customHeight="1" spans="1:2">
      <c r="A48100" s="3" t="str">
        <f>IFERROR(__xludf.DUMMYFUNCTION("GOOGLETRANSLATE(A48100,""en"",""pt"")"),"Limpar Pictures - fácil de usar")</f>
        <v>Limpar Pictures - fácil de usar</v>
      </c>
      <c r="B48100" s="3">
        <v>1</v>
      </c>
    </row>
    <row r="48101" ht="15.75" customHeight="1" spans="1:2">
      <c r="A48101" s="3" t="str">
        <f>IFERROR(__xludf.DUMMYFUNCTION("GOOGLETRANSLATE(A48101,""en"",""pt"")"),"Fácil de usar")</f>
        <v>Fácil de usar</v>
      </c>
      <c r="B48101" s="3">
        <v>1</v>
      </c>
    </row>
    <row r="48102" ht="15.75" customHeight="1" spans="1:2">
      <c r="A48102" s="3" t="str">
        <f>IFERROR(__xludf.DUMMYFUNCTION("GOOGLETRANSLATE(A48102,""en"",""pt"")"),"Fácil de usar, boa documentação, Flash pode ser desligado, câmera vem com tudo o necessário para uso imediato")</f>
        <v>Fácil de usar, boa documentação, Flash pode ser desligado, câmera vem com tudo o necessário para uso imediato</v>
      </c>
      <c r="B48102" s="3">
        <v>1</v>
      </c>
    </row>
    <row r="48103" ht="15.75" customHeight="1" spans="1:2">
      <c r="A48103" s="3" t="str">
        <f>IFERROR(__xludf.DUMMYFUNCTION("GOOGLETRANSLATE(A48103,""en"",""pt"")"),"Ótimo para pessoas que gostam de tirar muitas fotos.")</f>
        <v>Ótimo para pessoas que gostam de tirar muitas fotos.</v>
      </c>
      <c r="B48103" s="3">
        <v>1</v>
      </c>
    </row>
    <row r="48104" ht="15.75" customHeight="1" spans="1:2">
      <c r="A48104" s="3" t="str">
        <f>IFERROR(__xludf.DUMMYFUNCTION("GOOGLETRANSLATE(A48104,""en"",""pt"")"),"Grandes imagens, grande preços")</f>
        <v>Grandes imagens, grande preços</v>
      </c>
      <c r="B48104" s="3">
        <v>1</v>
      </c>
    </row>
    <row r="48105" ht="15.75" customHeight="1" spans="1:2">
      <c r="A48105" s="3" t="str">
        <f>IFERROR(__xludf.DUMMYFUNCTION("GOOGLETRANSLATE(A48105,""en"",""pt"")"),"Facilidade de uso, qualidade de imagem, preço.")</f>
        <v>Facilidade de uso, qualidade de imagem, preço.</v>
      </c>
      <c r="B48105" s="3">
        <v>1</v>
      </c>
    </row>
    <row r="48106" ht="15.75" customHeight="1" spans="1:2">
      <c r="A48106" s="3" t="str">
        <f>IFERROR(__xludf.DUMMYFUNCTION("GOOGLETRANSLATE(A48106,""en"",""pt"")"),"Económicamente viáveis")</f>
        <v>Económicamente viáveis</v>
      </c>
      <c r="B48106" s="3">
        <v>1</v>
      </c>
    </row>
    <row r="48107" ht="15.75" customHeight="1" spans="1:2">
      <c r="A48107" s="3" t="str">
        <f>IFERROR(__xludf.DUMMYFUNCTION("GOOGLETRANSLATE(A48107,""en"",""pt"")"),"Fácil de usar")</f>
        <v>Fácil de usar</v>
      </c>
      <c r="B48107" s="3">
        <v>1</v>
      </c>
    </row>
    <row r="48108" ht="15.75" customHeight="1" spans="1:2">
      <c r="A48108" s="3" t="str">
        <f>IFERROR(__xludf.DUMMYFUNCTION("GOOGLETRANSLATE(A48108,""en"",""pt"")"),"Fácil de usar!!")</f>
        <v>Fácil de usar!!</v>
      </c>
      <c r="B48108" s="3">
        <v>1</v>
      </c>
    </row>
    <row r="48109" ht="15.75" customHeight="1" spans="1:2">
      <c r="A48109" s="3" t="str">
        <f>IFERROR(__xludf.DUMMYFUNCTION("GOOGLETRANSLATE(A48109,""en"",""pt"")"),"Leve e fácil de usar")</f>
        <v>Leve e fácil de usar</v>
      </c>
      <c r="B48109" s="3">
        <v>1</v>
      </c>
    </row>
    <row r="48110" ht="15.75" customHeight="1" spans="1:2">
      <c r="A48110" s="3" t="str">
        <f>IFERROR(__xludf.DUMMYFUNCTION("GOOGLETRANSLATE(A48110,""en"",""pt"")"),"Boa compra, bom desempenho")</f>
        <v>Boa compra, bom desempenho</v>
      </c>
      <c r="B48110" s="3">
        <v>1</v>
      </c>
    </row>
    <row r="48111" ht="15.75" customHeight="1" spans="1:2">
      <c r="A48111" s="3" t="str">
        <f>IFERROR(__xludf.DUMMYFUNCTION("GOOGLETRANSLATE(A48111,""en"",""pt"")"),"O tempo de carga, tamanho carregador")</f>
        <v>O tempo de carga, tamanho carregador</v>
      </c>
      <c r="B48111" s="3">
        <v>1</v>
      </c>
    </row>
    <row r="48112" ht="15.75" customHeight="1" spans="1:2">
      <c r="A48112" s="3" t="str">
        <f>IFERROR(__xludf.DUMMYFUNCTION("GOOGLETRANSLATE(A48112,""en"",""pt"")"),"Boa qualidade")</f>
        <v>Boa qualidade</v>
      </c>
      <c r="B48112" s="3">
        <v>1</v>
      </c>
    </row>
    <row r="48113" ht="15.75" customHeight="1" spans="1:2">
      <c r="A48113" s="3" t="str">
        <f>IFERROR(__xludf.DUMMYFUNCTION("GOOGLETRANSLATE(A48113,""en"",""pt"")"),"Claro, belas imagens a cores")</f>
        <v>Claro, belas imagens a cores</v>
      </c>
      <c r="B48113" s="3">
        <v>1</v>
      </c>
    </row>
    <row r="48114" ht="15.75" customHeight="1" spans="1:2">
      <c r="A48114" s="3" t="str">
        <f>IFERROR(__xludf.DUMMYFUNCTION("GOOGLETRANSLATE(A48114,""en"",""pt"")"),"Grandes cores, características")</f>
        <v>Grandes cores, características</v>
      </c>
      <c r="B48114" s="3">
        <v>1</v>
      </c>
    </row>
    <row r="48115" ht="15.75" customHeight="1" spans="1:2">
      <c r="A48115" s="3" t="str">
        <f>IFERROR(__xludf.DUMMYFUNCTION("GOOGLETRANSLATE(A48115,""en"",""pt"")"),"fotos maravilhosas leva")</f>
        <v>fotos maravilhosas leva</v>
      </c>
      <c r="B48115" s="3">
        <v>1</v>
      </c>
    </row>
    <row r="48116" ht="15.75" customHeight="1" spans="1:2">
      <c r="A48116" s="3" t="str">
        <f>IFERROR(__xludf.DUMMYFUNCTION("GOOGLETRANSLATE(A48116,""en"",""pt"")"),"Fácil de usar, fotos de qualidade")</f>
        <v>Fácil de usar, fotos de qualidade</v>
      </c>
      <c r="B48116" s="3">
        <v>1</v>
      </c>
    </row>
    <row r="48117" ht="15.75" customHeight="1" spans="1:2">
      <c r="A48117" s="3" t="str">
        <f>IFERROR(__xludf.DUMMYFUNCTION("GOOGLETRANSLATE(A48117,""en"",""pt"")"),"câmera resistente e durável tira fotos de qualidade. Agora, uma verdadeira pechincha em US $ 200 gama.")</f>
        <v>câmera resistente e durável tira fotos de qualidade. Agora, uma verdadeira pechincha em US $ 200 gama.</v>
      </c>
      <c r="B48117" s="3">
        <v>1</v>
      </c>
    </row>
    <row r="48118" ht="15.75" customHeight="1" spans="1:2">
      <c r="A48118" s="3" t="str">
        <f>IFERROR(__xludf.DUMMYFUNCTION("GOOGLETRANSLATE(A48118,""en"",""pt"")"),"Video Out, 1,152x864")</f>
        <v>Video Out, 1,152x864</v>
      </c>
      <c r="B48118" s="3">
        <v>1</v>
      </c>
    </row>
    <row r="48119" ht="15.75" customHeight="1" spans="1:2">
      <c r="A48119" s="3" t="str">
        <f>IFERROR(__xludf.DUMMYFUNCTION("GOOGLETRANSLATE(A48119,""en"",""pt"")"),"Grandes imagens, bom pacote de software, vem com adaptador AC e cartão de memória de 8MB")</f>
        <v>Grandes imagens, bom pacote de software, vem com adaptador AC e cartão de memória de 8MB</v>
      </c>
      <c r="B48119" s="3">
        <v>1</v>
      </c>
    </row>
    <row r="48120" ht="15.75" customHeight="1" spans="1:2">
      <c r="A48120" s="3" t="str">
        <f>IFERROR(__xludf.DUMMYFUNCTION("GOOGLETRANSLATE(A48120,""en"",""pt"")"),"-Olhando fotos de boa e fácil de usar")</f>
        <v>-Olhando fotos de boa e fácil de usar</v>
      </c>
      <c r="B48120" s="3">
        <v>1</v>
      </c>
    </row>
    <row r="48121" ht="15.75" customHeight="1" spans="1:2">
      <c r="A48121" s="3" t="str">
        <f>IFERROR(__xludf.DUMMYFUNCTION("GOOGLETRANSLATE(A48121,""en"",""pt"")"),"Modos de funções fáceis")</f>
        <v>Modos de funções fáceis</v>
      </c>
      <c r="B48121" s="3">
        <v>1</v>
      </c>
    </row>
    <row r="48122" ht="15.75" customHeight="1" spans="1:2">
      <c r="A48122" s="3" t="str">
        <f>IFERROR(__xludf.DUMMYFUNCTION("GOOGLETRANSLATE(A48122,""en"",""pt"")"),"Você pode excluir quaisquer imagens que você não quer, e manter apenas o que você faz. Sem taxas de desenvolvimento")</f>
        <v>Você pode excluir quaisquer imagens que você não quer, e manter apenas o que você faz. Sem taxas de desenvolvimento</v>
      </c>
      <c r="B48122" s="3">
        <v>1</v>
      </c>
    </row>
    <row r="48123" ht="15.75" customHeight="1" spans="1:2">
      <c r="A48123" s="3" t="str">
        <f>IFERROR(__xludf.DUMMYFUNCTION("GOOGLETRANSLATE(A48123,""en"",""pt"")"),"Facilidade de uso, de boa qualidade fotos com flash, bons menus de configuração")</f>
        <v>Facilidade de uso, de boa qualidade fotos com flash, bons menus de configuração</v>
      </c>
      <c r="B48123" s="3">
        <v>1</v>
      </c>
    </row>
    <row r="48124" ht="15.75" customHeight="1" spans="1:2">
      <c r="A48124" s="3" t="str">
        <f>IFERROR(__xludf.DUMMYFUNCTION("GOOGLETRANSLATE(A48124,""en"",""pt"")"),"Pequeno bons tiros ao ar livre digitais")</f>
        <v>Pequeno bons tiros ao ar livre digitais</v>
      </c>
      <c r="B48124" s="3">
        <v>1</v>
      </c>
    </row>
    <row r="48125" ht="15.75" customHeight="1" spans="1:2">
      <c r="A48125" s="3" t="str">
        <f>IFERROR(__xludf.DUMMYFUNCTION("GOOGLETRANSLATE(A48125,""en"",""pt"")"),"melhor câmera digital para o dinheiro, boa qualidade")</f>
        <v>melhor câmera digital para o dinheiro, boa qualidade</v>
      </c>
      <c r="B48125" s="3">
        <v>1</v>
      </c>
    </row>
    <row r="48126" ht="15.75" customHeight="1" spans="1:2">
      <c r="A48126" s="3" t="str">
        <f>IFERROR(__xludf.DUMMYFUNCTION("GOOGLETRANSLATE(A48126,""en"",""pt"")"),"menus agradáveis, excelente tela de visualização")</f>
        <v>menus agradáveis, excelente tela de visualização</v>
      </c>
      <c r="B48126" s="3">
        <v>1</v>
      </c>
    </row>
    <row r="48127" ht="15.75" customHeight="1" spans="1:2">
      <c r="A48127" s="3" t="str">
        <f>IFERROR(__xludf.DUMMYFUNCTION("GOOGLETRANSLATE(A48127,""en"",""pt"")"),"Bom preço e do tamanho e peso para carregar com você.")</f>
        <v>Bom preço e do tamanho e peso para carregar com você.</v>
      </c>
      <c r="B48127" s="3">
        <v>1</v>
      </c>
    </row>
    <row r="48128" ht="15.75" customHeight="1" spans="1:2">
      <c r="A48128" s="3" t="str">
        <f>IFERROR(__xludf.DUMMYFUNCTION("GOOGLETRANSLATE(A48128,""en"",""pt"")"),"afiados, fotografias claras")</f>
        <v>afiados, fotografias claras</v>
      </c>
      <c r="B48128" s="3">
        <v>1</v>
      </c>
    </row>
    <row r="48129" ht="15.75" customHeight="1" spans="1:2">
      <c r="A48129" s="3" t="str">
        <f>IFERROR(__xludf.DUMMYFUNCTION("GOOGLETRANSLATE(A48129,""en"",""pt"")"),"Fácil de usar")</f>
        <v>Fácil de usar</v>
      </c>
      <c r="B48129" s="3">
        <v>1</v>
      </c>
    </row>
    <row r="48130" ht="15.75" customHeight="1" spans="1:2">
      <c r="A48130" s="3" t="str">
        <f>IFERROR(__xludf.DUMMYFUNCTION("GOOGLETRANSLATE(A48130,""en"",""pt"")"),"Fácil, leves e duráveis, boas fotos")</f>
        <v>Fácil, leves e duráveis, boas fotos</v>
      </c>
      <c r="B48130" s="3">
        <v>1</v>
      </c>
    </row>
    <row r="48131" ht="15.75" customHeight="1" spans="1:2">
      <c r="A48131" s="3" t="str">
        <f>IFERROR(__xludf.DUMMYFUNCTION("GOOGLETRANSLATE(A48131,""en"",""pt"")"),"Facilidade de uso, preço")</f>
        <v>Facilidade de uso, preço</v>
      </c>
      <c r="B48131" s="3">
        <v>1</v>
      </c>
    </row>
    <row r="48132" ht="15.75" customHeight="1" spans="1:2">
      <c r="A48132" s="3" t="str">
        <f>IFERROR(__xludf.DUMMYFUNCTION("GOOGLETRANSLATE(A48132,""en"",""pt"")"),"Confiável, boa variedade, fotos excelentes, preço mid-range")</f>
        <v>Confiável, boa variedade, fotos excelentes, preço mid-range</v>
      </c>
      <c r="B48132" s="3">
        <v>1</v>
      </c>
    </row>
    <row r="48133" ht="15.75" customHeight="1" spans="1:2">
      <c r="A48133" s="3" t="str">
        <f>IFERROR(__xludf.DUMMYFUNCTION("GOOGLETRANSLATE(A48133,""en"",""pt"")"),"fácil de usar, boas fotos, preços acessíveis")</f>
        <v>fácil de usar, boas fotos, preços acessíveis</v>
      </c>
      <c r="B48133" s="3">
        <v>1</v>
      </c>
    </row>
    <row r="48134" ht="15.75" customHeight="1" spans="1:2">
      <c r="A48134" s="3" t="str">
        <f>IFERROR(__xludf.DUMMYFUNCTION("GOOGLETRANSLATE(A48134,""en"",""pt"")"),"Zoom óptico, ótimas fotos, ótimo preço")</f>
        <v>Zoom óptico, ótimas fotos, ótimo preço</v>
      </c>
      <c r="B48134" s="3">
        <v>1</v>
      </c>
    </row>
    <row r="48135" ht="15.75" customHeight="1" spans="1:2">
      <c r="A48135" s="3" t="str">
        <f>IFERROR(__xludf.DUMMYFUNCTION("GOOGLETRANSLATE(A48135,""en"",""pt"")"),"grandes pixels, fácil de usar")</f>
        <v>grandes pixels, fácil de usar</v>
      </c>
      <c r="B48135" s="3">
        <v>1</v>
      </c>
    </row>
    <row r="48136" ht="15.75" customHeight="1" spans="1:2">
      <c r="A48136" s="3" t="str">
        <f>IFERROR(__xludf.DUMMYFUNCTION("GOOGLETRANSLATE(A48136,""en"",""pt"")"),"Fácil operação / excelentes resultados")</f>
        <v>Fácil operação / excelentes resultados</v>
      </c>
      <c r="B48136" s="3">
        <v>1</v>
      </c>
    </row>
    <row r="48137" ht="15.75" customHeight="1" spans="1:2">
      <c r="A48137" s="3" t="str">
        <f>IFERROR(__xludf.DUMMYFUNCTION("GOOGLETRANSLATE(A48137,""en"",""pt"")"),"Grande Pictures &amp; amp; amp; Espaço para a criatividade")</f>
        <v>Grande Pictures &amp; amp; amp; Espaço para a criatividade</v>
      </c>
      <c r="B48137" s="3">
        <v>1</v>
      </c>
    </row>
    <row r="48138" ht="15.75" customHeight="1" spans="1:2">
      <c r="A48138" s="3" t="str">
        <f>IFERROR(__xludf.DUMMYFUNCTION("GOOGLETRANSLATE(A48138,""en"",""pt"")"),"Fácil de usar, display de visualização durável, grande")</f>
        <v>Fácil de usar, display de visualização durável, grande</v>
      </c>
      <c r="B48138" s="3">
        <v>1</v>
      </c>
    </row>
    <row r="48139" ht="15.75" customHeight="1" spans="1:2">
      <c r="A48139" s="3" t="str">
        <f>IFERROR(__xludf.DUMMYFUNCTION("GOOGLETRANSLATE(A48139,""en"",""pt"")"),"zoom, cartão de memória removível")</f>
        <v>zoom, cartão de memória removível</v>
      </c>
      <c r="B48139" s="3">
        <v>1</v>
      </c>
    </row>
    <row r="48140" ht="15.75" customHeight="1" spans="1:2">
      <c r="A48140" s="3" t="str">
        <f>IFERROR(__xludf.DUMMYFUNCTION("GOOGLETRANSLATE(A48140,""en"",""pt"")"),"Excelente qualidade de imagem; fácil de usar; fácil de carga para PC; preços razoáveis")</f>
        <v>Excelente qualidade de imagem; fácil de usar; fácil de carga para PC; preços razoáveis</v>
      </c>
      <c r="B48140" s="3">
        <v>1</v>
      </c>
    </row>
    <row r="48141" ht="15.75" customHeight="1" spans="1:2">
      <c r="A48141" s="3" t="str">
        <f>IFERROR(__xludf.DUMMYFUNCTION("GOOGLETRANSLATE(A48141,""en"",""pt"")"),"Ver revisão instantânea tela. apontar e disparar, fotos de alta resolução")</f>
        <v>Ver revisão instantânea tela. apontar e disparar, fotos de alta resolução</v>
      </c>
      <c r="B48141" s="3">
        <v>1</v>
      </c>
    </row>
    <row r="48142" ht="15.75" customHeight="1" spans="1:2">
      <c r="A48142" s="3" t="str">
        <f>IFERROR(__xludf.DUMMYFUNCTION("GOOGLETRANSLATE(A48142,""en"",""pt"")"),"Bom tamanho")</f>
        <v>Bom tamanho</v>
      </c>
      <c r="B48142" s="3">
        <v>1</v>
      </c>
    </row>
    <row r="48143" ht="15.75" customHeight="1" spans="1:2">
      <c r="A48143" s="3" t="str">
        <f>IFERROR(__xludf.DUMMYFUNCTION("GOOGLETRANSLATE(A48143,""en"",""pt"")"),"temporizador, flash, é uma câmera")</f>
        <v>temporizador, flash, é uma câmera</v>
      </c>
      <c r="B48143" s="3">
        <v>1</v>
      </c>
    </row>
    <row r="48144" ht="15.75" customHeight="1" spans="1:2">
      <c r="A48144" s="3" t="str">
        <f>IFERROR(__xludf.DUMMYFUNCTION("GOOGLETRANSLATE(A48144,""en"",""pt"")"),"Nunca tem que comprar filme ou pagar para o desenvolvimento")</f>
        <v>Nunca tem que comprar filme ou pagar para o desenvolvimento</v>
      </c>
      <c r="B48144" s="3">
        <v>1</v>
      </c>
    </row>
    <row r="48145" ht="15.75" customHeight="1" spans="1:2">
      <c r="A48145" s="3" t="str">
        <f>IFERROR(__xludf.DUMMYFUNCTION("GOOGLETRANSLATE(A48145,""en"",""pt"")"),"Fácil de usar, imagens de grande qualidade")</f>
        <v>Fácil de usar, imagens de grande qualidade</v>
      </c>
      <c r="B48145" s="3">
        <v>1</v>
      </c>
    </row>
    <row r="48146" ht="15.75" customHeight="1" spans="1:2">
      <c r="A48146" s="3" t="str">
        <f>IFERROR(__xludf.DUMMYFUNCTION("GOOGLETRANSLATE(A48146,""en"",""pt"")"),"boa qualidade da foto")</f>
        <v>boa qualidade da foto</v>
      </c>
      <c r="B48146" s="3">
        <v>1</v>
      </c>
    </row>
    <row r="48147" ht="15.75" customHeight="1" spans="1:2">
      <c r="A48147" s="3" t="str">
        <f>IFERROR(__xludf.DUMMYFUNCTION("GOOGLETRANSLATE(A48147,""en"",""pt"")"),"Facilidade de instalação, utilização e qualidade Kodak")</f>
        <v>Facilidade de instalação, utilização e qualidade Kodak</v>
      </c>
      <c r="B48147" s="3">
        <v>1</v>
      </c>
    </row>
    <row r="48148" ht="15.75" customHeight="1" spans="1:2">
      <c r="A48148" s="3" t="str">
        <f>IFERROR(__xludf.DUMMYFUNCTION("GOOGLETRANSLATE(A48148,""en"",""pt"")"),"Fácil de usar")</f>
        <v>Fácil de usar</v>
      </c>
      <c r="B48148" s="3">
        <v>1</v>
      </c>
    </row>
    <row r="48149" ht="15.75" customHeight="1" spans="1:2">
      <c r="A48149" s="3" t="str">
        <f>IFERROR(__xludf.DUMMYFUNCTION("GOOGLETRANSLATE(A48149,""en"",""pt"")"),"Fácil, divertido, salvar $$$ em filme e em desenvolvimento!")</f>
        <v>Fácil, divertido, salvar $$$ em filme e em desenvolvimento!</v>
      </c>
      <c r="B48149" s="3">
        <v>1</v>
      </c>
    </row>
    <row r="48150" ht="15.75" customHeight="1" spans="1:2">
      <c r="A48150" s="3" t="str">
        <f>IFERROR(__xludf.DUMMYFUNCTION("GOOGLETRANSLATE(A48150,""en"",""pt"")"),"Facilidade de uso, software adicional, acessórios embalados")</f>
        <v>Facilidade de uso, software adicional, acessórios embalados</v>
      </c>
      <c r="B48150" s="3">
        <v>1</v>
      </c>
    </row>
    <row r="48151" ht="15.75" customHeight="1" spans="1:2">
      <c r="A48151" s="3" t="str">
        <f>IFERROR(__xludf.DUMMYFUNCTION("GOOGLETRANSLATE(A48151,""en"",""pt"")"),"Pode tirar centenas de fotos")</f>
        <v>Pode tirar centenas de fotos</v>
      </c>
      <c r="B48151" s="3">
        <v>1</v>
      </c>
    </row>
    <row r="48152" ht="15.75" customHeight="1" spans="1:2">
      <c r="A48152" s="3" t="str">
        <f>IFERROR(__xludf.DUMMYFUNCTION("GOOGLETRANSLATE(A48152,""en"",""pt"")"),"Imagens de grande qualidade, facilidade de uso, lente zoom, muitas opções")</f>
        <v>Imagens de grande qualidade, facilidade de uso, lente zoom, muitas opções</v>
      </c>
      <c r="B48152" s="3">
        <v>1</v>
      </c>
    </row>
    <row r="48153" ht="15.75" customHeight="1" spans="1:2">
      <c r="A48153" s="3" t="str">
        <f>IFERROR(__xludf.DUMMYFUNCTION("GOOGLETRANSLATE(A48153,""en"",""pt"")"),"Preço, facilidade de uso")</f>
        <v>Preço, facilidade de uso</v>
      </c>
      <c r="B48153" s="3">
        <v>1</v>
      </c>
    </row>
    <row r="48154" ht="15.75" customHeight="1" spans="1:2">
      <c r="A48154" s="3" t="str">
        <f>IFERROR(__xludf.DUMMYFUNCTION("GOOGLETRANSLATE(A48154,""en"",""pt"")"),"Imagens impressionantes, Web pronta e coloc então uma câmera regular, mais barato")</f>
        <v>Imagens impressionantes, Web pronta e coloc então uma câmera regular, mais barato</v>
      </c>
      <c r="B48154" s="3">
        <v>1</v>
      </c>
    </row>
    <row r="48155" ht="15.75" customHeight="1" spans="1:2">
      <c r="A48155" s="3" t="str">
        <f>IFERROR(__xludf.DUMMYFUNCTION("GOOGLETRANSLATE(A48155,""en"",""pt"")"),"Pequeno, eficiente, fácil de usar")</f>
        <v>Pequeno, eficiente, fácil de usar</v>
      </c>
      <c r="B48155" s="3">
        <v>1</v>
      </c>
    </row>
    <row r="48156" ht="15.75" customHeight="1" spans="1:2">
      <c r="A48156" s="3" t="str">
        <f>IFERROR(__xludf.DUMMYFUNCTION("GOOGLETRANSLATE(A48156,""en"",""pt"")"),"Ver parecer")</f>
        <v>Ver parecer</v>
      </c>
      <c r="B48156" s="3">
        <v>1</v>
      </c>
    </row>
    <row r="48157" ht="15.75" customHeight="1" spans="1:2">
      <c r="A48157" s="3" t="str">
        <f>IFERROR(__xludf.DUMMYFUNCTION("GOOGLETRANSLATE(A48157,""en"",""pt"")"),"Grandes imagens, muito fácil de usar.")</f>
        <v>Grandes imagens, muito fácil de usar.</v>
      </c>
      <c r="B48157" s="3">
        <v>1</v>
      </c>
    </row>
    <row r="48158" ht="15.75" customHeight="1" spans="1:2">
      <c r="A48158" s="3" t="str">
        <f>IFERROR(__xludf.DUMMYFUNCTION("GOOGLETRANSLATE(A48158,""en"",""pt"")"),"Sem mais filmes a serem desenvolvidas !!!")</f>
        <v>Sem mais filmes a serem desenvolvidas !!!</v>
      </c>
      <c r="B48158" s="3">
        <v>1</v>
      </c>
    </row>
    <row r="48159" ht="15.75" customHeight="1" spans="1:2">
      <c r="A48159" s="3" t="str">
        <f>IFERROR(__xludf.DUMMYFUNCTION("GOOGLETRANSLATE(A48159,""en"",""pt"")"),"Preço")</f>
        <v>Preço</v>
      </c>
      <c r="B48159" s="3">
        <v>1</v>
      </c>
    </row>
    <row r="48160" ht="15.75" customHeight="1" spans="1:2">
      <c r="A48160" s="3" t="str">
        <f>IFERROR(__xludf.DUMMYFUNCTION("GOOGLETRANSLATE(A48160,""en"",""pt"")"),"Muito fácil de tirar fotos e transferi-los para o PC")</f>
        <v>Muito fácil de tirar fotos e transferi-los para o PC</v>
      </c>
      <c r="B48160" s="3">
        <v>1</v>
      </c>
    </row>
    <row r="48161" ht="15.75" customHeight="1" spans="1:2">
      <c r="A48161" s="3" t="str">
        <f>IFERROR(__xludf.DUMMYFUNCTION("GOOGLETRANSLATE(A48161,""en"",""pt"")"),"Grandes fotos com um ótimo preço")</f>
        <v>Grandes fotos com um ótimo preço</v>
      </c>
      <c r="B48161" s="3">
        <v>1</v>
      </c>
    </row>
    <row r="48162" ht="15.75" customHeight="1" spans="1:2">
      <c r="A48162" s="3" t="str">
        <f>IFERROR(__xludf.DUMMYFUNCTION("GOOGLETRANSLATE(A48162,""en"",""pt"")"),"qualidade, características, preço")</f>
        <v>qualidade, características, preço</v>
      </c>
      <c r="B48162" s="3">
        <v>1</v>
      </c>
    </row>
    <row r="48163" ht="15.75" customHeight="1" spans="1:2">
      <c r="A48163" s="3" t="str">
        <f>IFERROR(__xludf.DUMMYFUNCTION("GOOGLETRANSLATE(A48163,""en"",""pt"")"),"fotos nítidas e baterias de baixo custo")</f>
        <v>fotos nítidas e baterias de baixo custo</v>
      </c>
      <c r="B48163" s="3">
        <v>1</v>
      </c>
    </row>
    <row r="48164" ht="15.75" customHeight="1" spans="1:2">
      <c r="A48164" s="3" t="str">
        <f>IFERROR(__xludf.DUMMYFUNCTION("GOOGLETRANSLATE(A48164,""en"",""pt"")"),"Excelente qualidade de imagem, disco grande, fácil de usar, visor óptico, e da televisão a cabo.")</f>
        <v>Excelente qualidade de imagem, disco grande, fácil de usar, visor óptico, e da televisão a cabo.</v>
      </c>
      <c r="B48164" s="3">
        <v>1</v>
      </c>
    </row>
    <row r="48165" ht="15.75" customHeight="1" spans="1:2">
      <c r="A48165" s="3" t="str">
        <f>IFERROR(__xludf.DUMMYFUNCTION("GOOGLETRANSLATE(A48165,""en"",""pt"")"),"Áspero. Confiável. Perdoar!")</f>
        <v>Áspero. Confiável. Perdoar!</v>
      </c>
      <c r="B48165" s="3">
        <v>1</v>
      </c>
    </row>
    <row r="48166" ht="15.75" customHeight="1" spans="1:2">
      <c r="A48166" s="3" t="str">
        <f>IFERROR(__xludf.DUMMYFUNCTION("GOOGLETRANSLATE(A48166,""en"",""pt"")"),"Muito fácil para iniciantes para usar.")</f>
        <v>Muito fácil para iniciantes para usar.</v>
      </c>
      <c r="B48166" s="3">
        <v>1</v>
      </c>
    </row>
    <row r="48167" ht="15.75" customHeight="1" spans="1:2">
      <c r="A48167" s="3" t="str">
        <f>IFERROR(__xludf.DUMMYFUNCTION("GOOGLETRANSLATE(A48167,""en"",""pt"")"),"Boa qualidade de imagem. Fácil de usar. Bom pacote de software incluído.")</f>
        <v>Boa qualidade de imagem. Fácil de usar. Bom pacote de software incluído.</v>
      </c>
      <c r="B48167" s="3">
        <v>1</v>
      </c>
    </row>
    <row r="48168" ht="15.75" customHeight="1" spans="1:2">
      <c r="A48168" s="3" t="str">
        <f>IFERROR(__xludf.DUMMYFUNCTION("GOOGLETRANSLATE(A48168,""en"",""pt"")"),"resistente, excelente qualidade de imagem")</f>
        <v>resistente, excelente qualidade de imagem</v>
      </c>
      <c r="B48168" s="3">
        <v>1</v>
      </c>
    </row>
    <row r="48169" ht="15.75" customHeight="1" spans="1:2">
      <c r="A48169" s="3" t="str">
        <f>IFERROR(__xludf.DUMMYFUNCTION("GOOGLETRANSLATE(A48169,""en"",""pt"")"),"ótimas fotos bom preço")</f>
        <v>ótimas fotos bom preço</v>
      </c>
      <c r="B48169" s="3">
        <v>1</v>
      </c>
    </row>
    <row r="48170" ht="15.75" customHeight="1" spans="1:2">
      <c r="A48170" s="3" t="str">
        <f>IFERROR(__xludf.DUMMYFUNCTION("GOOGLETRANSLATE(A48170,""en"",""pt"")"),"Bom para apontar e disparar, ok qualidade de imagem.")</f>
        <v>Bom para apontar e disparar, ok qualidade de imagem.</v>
      </c>
      <c r="B48170" s="3">
        <v>1</v>
      </c>
    </row>
    <row r="48171" ht="15.75" customHeight="1" spans="1:2">
      <c r="A48171" s="3" t="str">
        <f>IFERROR(__xludf.DUMMYFUNCTION("GOOGLETRANSLATE(A48171,""en"",""pt"")"),"Excelente, acessível, fácil de usar")</f>
        <v>Excelente, acessível, fácil de usar</v>
      </c>
      <c r="B48171" s="3">
        <v>1</v>
      </c>
    </row>
    <row r="48172" ht="15.75" customHeight="1" spans="1:2">
      <c r="A48172" s="3" t="str">
        <f>IFERROR(__xludf.DUMMYFUNCTION("GOOGLETRANSLATE(A48172,""en"",""pt"")"),"câmera digital razoavelmente barato que leva tolerável, se não terrivelmente bom, fotografias")</f>
        <v>câmera digital razoavelmente barato que leva tolerável, se não terrivelmente bom, fotografias</v>
      </c>
      <c r="B48172" s="3">
        <v>1</v>
      </c>
    </row>
    <row r="48173" ht="15.75" customHeight="1" spans="1:2">
      <c r="A48173" s="3" t="str">
        <f>IFERROR(__xludf.DUMMYFUNCTION("GOOGLETRANSLATE(A48173,""en"",""pt"")"),"design robusto, fácil de usar")</f>
        <v>design robusto, fácil de usar</v>
      </c>
      <c r="B48173" s="3">
        <v>1</v>
      </c>
    </row>
    <row r="48174" ht="15.75" customHeight="1" spans="1:2">
      <c r="A48174" s="3" t="str">
        <f>IFERROR(__xludf.DUMMYFUNCTION("GOOGLETRANSLATE(A48174,""en"",""pt"")"),"Fácil de usar, pacote de software incluído, a preços acessíveis")</f>
        <v>Fácil de usar, pacote de software incluído, a preços acessíveis</v>
      </c>
      <c r="B48174" s="3">
        <v>1</v>
      </c>
    </row>
    <row r="48175" ht="15.75" customHeight="1" spans="1:2">
      <c r="A48175" s="3" t="str">
        <f>IFERROR(__xludf.DUMMYFUNCTION("GOOGLETRANSLATE(A48175,""en"",""pt"")"),"câmera elegante oi qualidade com capacidade de megapixel para um ótimo preço")</f>
        <v>câmera elegante oi qualidade com capacidade de megapixel para um ótimo preço</v>
      </c>
      <c r="B48175" s="3">
        <v>1</v>
      </c>
    </row>
    <row r="48176" ht="15.75" customHeight="1" spans="1:2">
      <c r="A48176" s="3" t="str">
        <f>IFERROR(__xludf.DUMMYFUNCTION("GOOGLETRANSLATE(A48176,""en"",""pt"")"),"Simples de usar")</f>
        <v>Simples de usar</v>
      </c>
      <c r="B48176" s="3">
        <v>1</v>
      </c>
    </row>
    <row r="48177" ht="15.75" customHeight="1" spans="1:2">
      <c r="A48177" s="3" t="str">
        <f>IFERROR(__xludf.DUMMYFUNCTION("GOOGLETRANSLATE(A48177,""en"",""pt"")"),"Toma imagens fantásticas !!!!!")</f>
        <v>Toma imagens fantásticas !!!!!</v>
      </c>
      <c r="B48177" s="3">
        <v>1</v>
      </c>
    </row>
    <row r="48178" ht="15.75" customHeight="1" spans="1:2">
      <c r="A48178" s="3" t="str">
        <f>IFERROR(__xludf.DUMMYFUNCTION("GOOGLETRANSLATE(A48178,""en"",""pt"")"),"Barato / Sturdy / confiável Camera / Qualidade")</f>
        <v>Barato / Sturdy / confiável Camera / Qualidade</v>
      </c>
      <c r="B48178" s="3">
        <v>1</v>
      </c>
    </row>
    <row r="48179" ht="15.75" customHeight="1" spans="1:2">
      <c r="A48179" s="3" t="str">
        <f>IFERROR(__xludf.DUMMYFUNCTION("GOOGLETRANSLATE(A48179,""en"",""pt"")"),"fácil transferência de imagens para cpu, acessibilidade")</f>
        <v>fácil transferência de imagens para cpu, acessibilidade</v>
      </c>
      <c r="B48179" s="3">
        <v>1</v>
      </c>
    </row>
    <row r="48180" ht="15.75" customHeight="1" spans="1:2">
      <c r="A48180" s="3" t="str">
        <f>IFERROR(__xludf.DUMMYFUNCTION("GOOGLETRANSLATE(A48180,""en"",""pt"")"),"leva muito boas fotos")</f>
        <v>leva muito boas fotos</v>
      </c>
      <c r="B48180" s="3">
        <v>1</v>
      </c>
    </row>
    <row r="48181" ht="15.75" customHeight="1" spans="1:2">
      <c r="A48181" s="3" t="str">
        <f>IFERROR(__xludf.DUMMYFUNCTION("GOOGLETRANSLATE(A48181,""en"",""pt"")"),"Boa qualidade de imagem para 1 Megapix, muito fácil de usar")</f>
        <v>Boa qualidade de imagem para 1 Megapix, muito fácil de usar</v>
      </c>
      <c r="B48181" s="3">
        <v>1</v>
      </c>
    </row>
    <row r="48182" ht="15.75" customHeight="1" spans="1:2">
      <c r="A48182" s="3" t="str">
        <f>IFERROR(__xludf.DUMMYFUNCTION("GOOGLETRANSLATE(A48182,""en"",""pt"")"),"Fácil de usar, a qualidade de imagem aceitável.")</f>
        <v>Fácil de usar, a qualidade de imagem aceitável.</v>
      </c>
      <c r="B48182" s="3">
        <v>1</v>
      </c>
    </row>
    <row r="48183" ht="15.75" customHeight="1" spans="1:2">
      <c r="A48183" s="3" t="str">
        <f>IFERROR(__xludf.DUMMYFUNCTION("GOOGLETRANSLATE(A48183,""en"",""pt"")"),"memória CompactFlash, boa qualidade de imagem, fácil de usar.")</f>
        <v>memória CompactFlash, boa qualidade de imagem, fácil de usar.</v>
      </c>
      <c r="B48183" s="3">
        <v>1</v>
      </c>
    </row>
    <row r="48184" ht="15.75" customHeight="1" spans="1:2">
      <c r="A48184" s="3" t="str">
        <f>IFERROR(__xludf.DUMMYFUNCTION("GOOGLETRANSLATE(A48184,""en"",""pt"")"),"Fácil de usar, excelente qualidade de imagem, pacote de software agradável")</f>
        <v>Fácil de usar, excelente qualidade de imagem, pacote de software agradável</v>
      </c>
      <c r="B48184" s="3">
        <v>1</v>
      </c>
    </row>
    <row r="48185" ht="15.75" customHeight="1" spans="1:2">
      <c r="A48185" s="3" t="str">
        <f>IFERROR(__xludf.DUMMYFUNCTION("GOOGLETRANSLATE(A48185,""en"",""pt"")"),"fotos de qualidade, facilidade de uso, durável, leve.")</f>
        <v>fotos de qualidade, facilidade de uso, durável, leve.</v>
      </c>
      <c r="B48185" s="3">
        <v>1</v>
      </c>
    </row>
    <row r="48186" ht="15.75" customHeight="1" spans="1:2">
      <c r="A48186" s="3" t="str">
        <f>IFERROR(__xludf.DUMMYFUNCTION("GOOGLETRANSLATE(A48186,""en"",""pt"")"),"Fácil utilização, peso, qualidade da foto de")</f>
        <v>Fácil utilização, peso, qualidade da foto de</v>
      </c>
      <c r="B48186" s="3">
        <v>1</v>
      </c>
    </row>
    <row r="48187" ht="15.75" customHeight="1" spans="1:2">
      <c r="A48187" s="3" t="str">
        <f>IFERROR(__xludf.DUMMYFUNCTION("GOOGLETRANSLATE(A48187,""en"",""pt"")"),"Excelentes, ricos fotografias a cores; fácil de usar")</f>
        <v>Excelentes, ricos fotografias a cores; fácil de usar</v>
      </c>
      <c r="B48187" s="3">
        <v>1</v>
      </c>
    </row>
    <row r="48188" ht="15.75" customHeight="1" spans="1:2">
      <c r="A48188" s="3" t="str">
        <f>IFERROR(__xludf.DUMMYFUNCTION("GOOGLETRANSLATE(A48188,""en"",""pt"")"),"Qualidade de Imagem &amp; amp; amp; Software Bundle são excelentes.")</f>
        <v>Qualidade de Imagem &amp; amp; amp; Software Bundle são excelentes.</v>
      </c>
      <c r="B48188" s="3">
        <v>1</v>
      </c>
    </row>
    <row r="48189" ht="15.75" customHeight="1" spans="1:2">
      <c r="A48189" s="3" t="str">
        <f>IFERROR(__xludf.DUMMYFUNCTION("GOOGLETRANSLATE(A48189,""en"",""pt"")"),"Preço / Desempenho")</f>
        <v>Preço / Desempenho</v>
      </c>
      <c r="B48189" s="3">
        <v>1</v>
      </c>
    </row>
    <row r="48190" ht="15.75" customHeight="1" spans="1:2">
      <c r="A48190" s="3" t="str">
        <f>IFERROR(__xludf.DUMMYFUNCTION("GOOGLETRANSLATE(A48190,""en"",""pt"")"),"benefícios de baixo custo, e múltiplos")</f>
        <v>benefícios de baixo custo, e múltiplos</v>
      </c>
      <c r="B48190" s="3">
        <v>1</v>
      </c>
    </row>
    <row r="48191" ht="15.75" customHeight="1" spans="1:2">
      <c r="A48191" s="3" t="str">
        <f>IFERROR(__xludf.DUMMYFUNCTION("GOOGLETRANSLATE(A48191,""en"",""pt"")"),"Facilidade de operação, design")</f>
        <v>Facilidade de operação, design</v>
      </c>
      <c r="B48191" s="3">
        <v>1</v>
      </c>
    </row>
    <row r="48192" ht="15.75" customHeight="1" spans="1:2">
      <c r="A48192" s="3" t="str">
        <f>IFERROR(__xludf.DUMMYFUNCTION("GOOGLETRANSLATE(A48192,""en"",""pt"")"),"qualidade")</f>
        <v>qualidade</v>
      </c>
      <c r="B48192" s="3">
        <v>1</v>
      </c>
    </row>
    <row r="48193" ht="15.75" customHeight="1" spans="1:2">
      <c r="A48193" s="3" t="str">
        <f>IFERROR(__xludf.DUMMYFUNCTION("GOOGLETRANSLATE(A48193,""en"",""pt"")"),"pode levar algum abuso, carregado com características")</f>
        <v>pode levar algum abuso, carregado com características</v>
      </c>
      <c r="B48193" s="3">
        <v>1</v>
      </c>
    </row>
    <row r="48194" ht="15.75" customHeight="1" spans="1:2">
      <c r="A48194" s="3" t="str">
        <f>IFERROR(__xludf.DUMMYFUNCTION("GOOGLETRANSLATE(A48194,""en"",""pt"")"),"fotos de qualidade, a preços acessíveis")</f>
        <v>fotos de qualidade, a preços acessíveis</v>
      </c>
      <c r="B48194" s="3">
        <v>1</v>
      </c>
    </row>
    <row r="48195" ht="15.75" customHeight="1" spans="1:2">
      <c r="A48195" s="3" t="str">
        <f>IFERROR(__xludf.DUMMYFUNCTION("GOOGLETRANSLATE(A48195,""en"",""pt"")"),"muito amigável, grande capacidade de close-up")</f>
        <v>muito amigável, grande capacidade de close-up</v>
      </c>
      <c r="B48195" s="3">
        <v>1</v>
      </c>
    </row>
    <row r="48196" ht="15.75" customHeight="1" spans="1:2">
      <c r="A48196" s="3" t="str">
        <f>IFERROR(__xludf.DUMMYFUNCTION("GOOGLETRANSLATE(A48196,""en"",""pt"")"),"Incrível classificação ISO, fácil, barato, painel LCD")</f>
        <v>Incrível classificação ISO, fácil, barato, painel LCD</v>
      </c>
      <c r="B48196" s="3">
        <v>1</v>
      </c>
    </row>
    <row r="48197" ht="15.75" customHeight="1" spans="1:2">
      <c r="A48197" s="3" t="str">
        <f>IFERROR(__xludf.DUMMYFUNCTION("GOOGLETRANSLATE(A48197,""en"",""pt"")"),"Handy, no nível da entrada barato")</f>
        <v>Handy, no nível da entrada barato</v>
      </c>
      <c r="B48197" s="3">
        <v>1</v>
      </c>
    </row>
    <row r="48198" ht="15.75" customHeight="1" spans="1:2">
      <c r="A48198" s="3" t="str">
        <f>IFERROR(__xludf.DUMMYFUNCTION("GOOGLETRANSLATE(A48198,""en"",""pt"")"),"Ecrã LCD")</f>
        <v>Ecrã LCD</v>
      </c>
      <c r="B48198" s="3">
        <v>1</v>
      </c>
    </row>
    <row r="48199" ht="15.75" customHeight="1" spans="1:2">
      <c r="A48199" s="3" t="str">
        <f>IFERROR(__xludf.DUMMYFUNCTION("GOOGLETRANSLATE(A48199,""en"",""pt"")"),"Consideravelmente Modelo Básico - para iniciantes")</f>
        <v>Consideravelmente Modelo Básico - para iniciantes</v>
      </c>
      <c r="B48199" s="3">
        <v>1</v>
      </c>
    </row>
    <row r="48200" ht="15.75" customHeight="1" spans="1:2">
      <c r="A48200" s="3" t="str">
        <f>IFERROR(__xludf.DUMMYFUNCTION("GOOGLETRANSLATE(A48200,""en"",""pt"")"),"Fácil de usar")</f>
        <v>Fácil de usar</v>
      </c>
      <c r="B48200" s="3">
        <v>1</v>
      </c>
    </row>
    <row r="48201" ht="15.75" customHeight="1" spans="1:2">
      <c r="A48201" s="3" t="str">
        <f>IFERROR(__xludf.DUMMYFUNCTION("GOOGLETRANSLATE(A48201,""en"",""pt"")"),"Tem uma tela de display digital")</f>
        <v>Tem uma tela de display digital</v>
      </c>
      <c r="B48201" s="3">
        <v>1</v>
      </c>
    </row>
    <row r="48202" ht="15.75" customHeight="1" spans="1:2">
      <c r="A48202" s="3" t="str">
        <f>IFERROR(__xludf.DUMMYFUNCTION("GOOGLETRANSLATE(A48202,""en"",""pt"")"),"Fácil de usar, tem painel de revisão imagem LCD, leva cartões de memória CompactFlash")</f>
        <v>Fácil de usar, tem painel de revisão imagem LCD, leva cartões de memória CompactFlash</v>
      </c>
      <c r="B48202" s="3">
        <v>1</v>
      </c>
    </row>
    <row r="48203" ht="15.75" customHeight="1" spans="1:2">
      <c r="A48203" s="3" t="str">
        <f>IFERROR(__xludf.DUMMYFUNCTION("GOOGLETRANSLATE(A48203,""en"",""pt"")"),"Fun, barato (por agora), é bom se você estiver disposto a fazer um monte de touch-up")</f>
        <v>Fun, barato (por agora), é bom se você estiver disposto a fazer um monte de touch-up</v>
      </c>
      <c r="B48203" s="3">
        <v>1</v>
      </c>
    </row>
    <row r="48204" ht="15.75" customHeight="1" spans="1:2">
      <c r="A48204" s="3" t="str">
        <f>IFERROR(__xludf.DUMMYFUNCTION("GOOGLETRANSLATE(A48204,""en"",""pt"")"),"fácil de usar. barato. lotes de características de câmeras mais caras")</f>
        <v>fácil de usar. barato. lotes de características de câmeras mais caras</v>
      </c>
      <c r="B48204" s="3">
        <v>1</v>
      </c>
    </row>
    <row r="48205" ht="15.75" customHeight="1" spans="1:2">
      <c r="A48205" s="3" t="str">
        <f>IFERROR(__xludf.DUMMYFUNCTION("GOOGLETRANSLATE(A48205,""en"",""pt"")"),"Facilidade de uso, qualidade fotográfica, Fun")</f>
        <v>Facilidade de uso, qualidade fotográfica, Fun</v>
      </c>
      <c r="B48205" s="3">
        <v>1</v>
      </c>
    </row>
    <row r="48206" ht="15.75" customHeight="1" spans="1:2">
      <c r="A48206" s="3" t="str">
        <f>IFERROR(__xludf.DUMMYFUNCTION("GOOGLETRANSLATE(A48206,""en"",""pt"")"),"Excelente qualidade de imagem")</f>
        <v>Excelente qualidade de imagem</v>
      </c>
      <c r="B48206" s="3">
        <v>1</v>
      </c>
    </row>
    <row r="48207" ht="15.75" customHeight="1" spans="1:2">
      <c r="A48207" s="3" t="str">
        <f>IFERROR(__xludf.DUMMYFUNCTION("GOOGLETRANSLATE(A48207,""en"",""pt"")"),"Resolução, suporta USB, CF, pilhas AA")</f>
        <v>Resolução, suporta USB, CF, pilhas AA</v>
      </c>
      <c r="B48207" s="3">
        <v>1</v>
      </c>
    </row>
    <row r="48208" ht="15.75" customHeight="1" spans="1:2">
      <c r="A48208" s="3" t="str">
        <f>IFERROR(__xludf.DUMMYFUNCTION("GOOGLETRANSLATE(A48208,""en"",""pt"")"),"Boas características, fácil de usar, built-in zoom e grande angular, um bom software.")</f>
        <v>Boas características, fácil de usar, built-in zoom e grande angular, um bom software.</v>
      </c>
      <c r="B48208" s="3">
        <v>1</v>
      </c>
    </row>
    <row r="48209" ht="15.75" customHeight="1" spans="1:2">
      <c r="A48209" s="3" t="str">
        <f>IFERROR(__xludf.DUMMYFUNCTION("GOOGLETRANSLATE(A48209,""en"",""pt"")"),"Muito amigável")</f>
        <v>Muito amigável</v>
      </c>
      <c r="B48209" s="3">
        <v>1</v>
      </c>
    </row>
    <row r="48210" ht="15.75" customHeight="1" spans="1:2">
      <c r="A48210" s="3" t="str">
        <f>IFERROR(__xludf.DUMMYFUNCTION("GOOGLETRANSLATE(A48210,""en"",""pt"")"),"Excelente qualidade de imagem, fácil de usar, Carregado com características")</f>
        <v>Excelente qualidade de imagem, fácil de usar, Carregado com características</v>
      </c>
      <c r="B48210" s="3">
        <v>1</v>
      </c>
    </row>
    <row r="48211" ht="15.75" customHeight="1" spans="1:2">
      <c r="A48211" s="3" t="str">
        <f>IFERROR(__xludf.DUMMYFUNCTION("GOOGLETRANSLATE(A48211,""en"",""pt"")"),"Grande valor")</f>
        <v>Grande valor</v>
      </c>
      <c r="B48211" s="3">
        <v>1</v>
      </c>
    </row>
    <row r="48212" ht="15.75" customHeight="1" spans="1:2">
      <c r="A48212" s="3" t="str">
        <f>IFERROR(__xludf.DUMMYFUNCTION("GOOGLETRANSLATE(A48212,""en"",""pt"")"),"Excelentes fotos de qualidade, fácil de usar, bom controle sobre a exposição")</f>
        <v>Excelentes fotos de qualidade, fácil de usar, bom controle sobre a exposição</v>
      </c>
      <c r="B48212" s="3">
        <v>1</v>
      </c>
    </row>
    <row r="48213" ht="15.75" customHeight="1" spans="1:2">
      <c r="A48213" s="3" t="str">
        <f>IFERROR(__xludf.DUMMYFUNCTION("GOOGLETRANSLATE(A48213,""en"",""pt"")"),"100")</f>
        <v>100</v>
      </c>
      <c r="B48213" s="3">
        <v>1</v>
      </c>
    </row>
    <row r="48214" ht="15.75" customHeight="1" spans="1:2">
      <c r="A48214" s="3" t="str">
        <f>IFERROR(__xludf.DUMMYFUNCTION("GOOGLETRANSLATE(A48214,""en"",""pt"")"),"Muito fácil de usar.")</f>
        <v>Muito fácil de usar.</v>
      </c>
      <c r="B48214" s="3">
        <v>1</v>
      </c>
    </row>
    <row r="48215" ht="15.75" customHeight="1" spans="1:2">
      <c r="A48215" s="3" t="str">
        <f>IFERROR(__xludf.DUMMYFUNCTION("GOOGLETRANSLATE(A48215,""en"",""pt"")"),"fotos excelentes quando funciona adequadamente")</f>
        <v>fotos excelentes quando funciona adequadamente</v>
      </c>
      <c r="B48215" s="3">
        <v>1</v>
      </c>
    </row>
    <row r="48216" ht="15.75" customHeight="1" spans="1:2">
      <c r="A48216" s="3" t="str">
        <f>IFERROR(__xludf.DUMMYFUNCTION("GOOGLETRANSLATE(A48216,""en"",""pt"")"),"Manuseio, facilidade de uso, excelente qualidade")</f>
        <v>Manuseio, facilidade de uso, excelente qualidade</v>
      </c>
      <c r="B48216" s="3">
        <v>1</v>
      </c>
    </row>
    <row r="48217" ht="15.75" customHeight="1" spans="1:2">
      <c r="A48217" s="3" t="str">
        <f>IFERROR(__xludf.DUMMYFUNCTION("GOOGLETRANSLATE(A48217,""en"",""pt"")"),"Grande qualidade fotográfica, utilização fácil e características expansivas")</f>
        <v>Grande qualidade fotográfica, utilização fácil e características expansivas</v>
      </c>
      <c r="B48217" s="3">
        <v>1</v>
      </c>
    </row>
    <row r="48218" ht="15.75" customHeight="1" spans="1:2">
      <c r="A48218" s="3" t="str">
        <f>IFERROR(__xludf.DUMMYFUNCTION("GOOGLETRANSLATE(A48218,""en"",""pt"")"),"Boa qualidade de imagem, liga bem ao PC do")</f>
        <v>Boa qualidade de imagem, liga bem ao PC do</v>
      </c>
      <c r="B48218" s="3">
        <v>1</v>
      </c>
    </row>
    <row r="48219" ht="15.75" customHeight="1" spans="1:2">
      <c r="A48219" s="3" t="str">
        <f>IFERROR(__xludf.DUMMYFUNCTION("GOOGLETRANSLATE(A48219,""en"",""pt"")"),"Você pode personalizar qualquer coisa, grande resolução.")</f>
        <v>Você pode personalizar qualquer coisa, grande resolução.</v>
      </c>
      <c r="B48219" s="3">
        <v>1</v>
      </c>
    </row>
    <row r="48220" ht="15.75" customHeight="1" spans="1:2">
      <c r="A48220" s="3" t="str">
        <f>IFERROR(__xludf.DUMMYFUNCTION("GOOGLETRANSLATE(A48220,""en"",""pt"")"),"Como um 35 milímetros câmera com um grande apoio")</f>
        <v>Como um 35 milímetros câmera com um grande apoio</v>
      </c>
      <c r="B48220" s="3">
        <v>1</v>
      </c>
    </row>
    <row r="48221" ht="15.75" customHeight="1" spans="1:2">
      <c r="A48221" s="3" t="str">
        <f>IFERROR(__xludf.DUMMYFUNCTION("GOOGLETRANSLATE(A48221,""en"",""pt"")"),"Ele faz o que é suposto fazer.")</f>
        <v>Ele faz o que é suposto fazer.</v>
      </c>
      <c r="B48221" s="3">
        <v>1</v>
      </c>
    </row>
    <row r="48222" ht="15.75" customHeight="1" spans="1:2">
      <c r="A48222" s="3" t="str">
        <f>IFERROR(__xludf.DUMMYFUNCTION("GOOGLETRANSLATE(A48222,""en"",""pt"")"),"Ótimas fotos")</f>
        <v>Ótimas fotos</v>
      </c>
      <c r="B48222" s="3">
        <v>1</v>
      </c>
    </row>
    <row r="48223" ht="15.75" customHeight="1" spans="1:2">
      <c r="A48223" s="3" t="str">
        <f>IFERROR(__xludf.DUMMYFUNCTION("GOOGLETRANSLATE(A48223,""en"",""pt"")"),"multiplataforma, telefoto, gravação de áudio")</f>
        <v>multiplataforma, telefoto, gravação de áudio</v>
      </c>
      <c r="B48223" s="3">
        <v>1</v>
      </c>
    </row>
    <row r="48224" ht="15.75" customHeight="1" spans="1:2">
      <c r="A48224" s="3" t="str">
        <f>IFERROR(__xludf.DUMMYFUNCTION("GOOGLETRANSLATE(A48224,""en"",""pt"")"),"tamanho, características, qualidade de imagem")</f>
        <v>tamanho, características, qualidade de imagem</v>
      </c>
      <c r="B48224" s="3">
        <v>1</v>
      </c>
    </row>
    <row r="48225" ht="15.75" customHeight="1" spans="1:2">
      <c r="A48225" s="3" t="str">
        <f>IFERROR(__xludf.DUMMYFUNCTION("GOOGLETRANSLATE(A48225,""en"",""pt"")"),"Fácil de usar, grande tela LCD, Grande na Câmera Menu, Grande resolução, muito adequada Zoom, fácil de mudar cartão Compact Flash.")</f>
        <v>Fácil de usar, grande tela LCD, Grande na Câmera Menu, Grande resolução, muito adequada Zoom, fácil de mudar cartão Compact Flash.</v>
      </c>
      <c r="B48225" s="3">
        <v>1</v>
      </c>
    </row>
    <row r="48226" ht="15.75" customHeight="1" spans="1:2">
      <c r="A48226" s="3" t="str">
        <f>IFERROR(__xludf.DUMMYFUNCTION("GOOGLETRANSLATE(A48226,""en"",""pt"")"),"qualidade de imagem, opções")</f>
        <v>qualidade de imagem, opções</v>
      </c>
      <c r="B48226" s="3">
        <v>1</v>
      </c>
    </row>
    <row r="48227" ht="15.75" customHeight="1" spans="1:2">
      <c r="A48227" s="3" t="str">
        <f>IFERROR(__xludf.DUMMYFUNCTION("GOOGLETRANSLATE(A48227,""en"",""pt"")"),"Grande Câmara: muito confiável e fácil de usar. Funciona com todos os computadores, mesmo Macs.")</f>
        <v>Grande Câmara: muito confiável e fácil de usar. Funciona com todos os computadores, mesmo Macs.</v>
      </c>
      <c r="B48227" s="3">
        <v>1</v>
      </c>
    </row>
    <row r="48228" ht="15.75" customHeight="1" spans="1:2">
      <c r="A48228" s="3" t="str">
        <f>IFERROR(__xludf.DUMMYFUNCTION("GOOGLETRANSLATE(A48228,""en"",""pt"")"),"nenhum desenvolvimento filme, de alta qualidade, câmera geração mais velha = mais barato")</f>
        <v>nenhum desenvolvimento filme, de alta qualidade, câmera geração mais velha = mais barato</v>
      </c>
      <c r="B48228" s="3">
        <v>1</v>
      </c>
    </row>
    <row r="48229" ht="15.75" customHeight="1" spans="1:2">
      <c r="A48229" s="3" t="str">
        <f>IFERROR(__xludf.DUMMYFUNCTION("GOOGLETRANSLATE(A48229,""en"",""pt"")"),"opções profissionais")</f>
        <v>opções profissionais</v>
      </c>
      <c r="B48229" s="3">
        <v>1</v>
      </c>
    </row>
    <row r="48230" ht="15.75" customHeight="1" spans="1:2">
      <c r="A48230" s="3" t="str">
        <f>IFERROR(__xludf.DUMMYFUNCTION("GOOGLETRANSLATE(A48230,""en"",""pt"")"),"Aceitável qualidade de imagem, começa a ver fotos de imediato")</f>
        <v>Aceitável qualidade de imagem, começa a ver fotos de imediato</v>
      </c>
      <c r="B48230" s="3">
        <v>1</v>
      </c>
    </row>
    <row r="48231" ht="15.75" customHeight="1" spans="1:2">
      <c r="A48231" s="3" t="str">
        <f>IFERROR(__xludf.DUMMYFUNCTION("GOOGLETRANSLATE(A48231,""en"",""pt"")"),"Leia abaixo")</f>
        <v>Leia abaixo</v>
      </c>
      <c r="B48231" s="3">
        <v>1</v>
      </c>
    </row>
    <row r="48232" ht="15.75" customHeight="1" spans="1:2">
      <c r="A48232" s="3" t="str">
        <f>IFERROR(__xludf.DUMMYFUNCTION("GOOGLETRANSLATE(A48232,""en"",""pt"")"),"Alta resolução, fácil de usar, ótimo software.")</f>
        <v>Alta resolução, fácil de usar, ótimo software.</v>
      </c>
      <c r="B48232" s="3">
        <v>1</v>
      </c>
    </row>
    <row r="48233" ht="15.75" customHeight="1" spans="1:2">
      <c r="A48233" s="3" t="str">
        <f>IFERROR(__xludf.DUMMYFUNCTION("GOOGLETRANSLATE(A48233,""en"",""pt"")"),"qualidade de imagem, facilidade de uso, com bom aspecto")</f>
        <v>qualidade de imagem, facilidade de uso, com bom aspecto</v>
      </c>
      <c r="B48233" s="3">
        <v>1</v>
      </c>
    </row>
    <row r="48234" ht="15.75" customHeight="1" spans="1:2">
      <c r="A48234" s="3" t="str">
        <f>IFERROR(__xludf.DUMMYFUNCTION("GOOGLETRANSLATE(A48234,""en"",""pt"")"),"Grande reprodução de cores; claro, a qualidade da foto nítido")</f>
        <v>Grande reprodução de cores; claro, a qualidade da foto nítido</v>
      </c>
      <c r="B48234" s="3">
        <v>1</v>
      </c>
    </row>
    <row r="48235" ht="15.75" customHeight="1" spans="1:2">
      <c r="A48235" s="3" t="str">
        <f>IFERROR(__xludf.DUMMYFUNCTION("GOOGLETRANSLATE(A48235,""en"",""pt"")"),"fotos gerais de boa qualidade")</f>
        <v>fotos gerais de boa qualidade</v>
      </c>
      <c r="B48235" s="3">
        <v>1</v>
      </c>
    </row>
    <row r="48236" ht="15.75" customHeight="1" spans="1:2">
      <c r="A48236" s="3" t="str">
        <f>IFERROR(__xludf.DUMMYFUNCTION("GOOGLETRANSLATE(A48236,""en"",""pt"")"),"ergonomia, qualidade de imagem")</f>
        <v>ergonomia, qualidade de imagem</v>
      </c>
      <c r="B48236" s="3">
        <v>1</v>
      </c>
    </row>
    <row r="48237" ht="15.75" customHeight="1" spans="1:2">
      <c r="A48237" s="3" t="str">
        <f>IFERROR(__xludf.DUMMYFUNCTION("GOOGLETRANSLATE(A48237,""en"",""pt"")"),"Ótimas fotos.")</f>
        <v>Ótimas fotos.</v>
      </c>
      <c r="B48237" s="3">
        <v>1</v>
      </c>
    </row>
    <row r="48238" ht="15.75" customHeight="1" spans="1:2">
      <c r="A48238" s="3" t="str">
        <f>IFERROR(__xludf.DUMMYFUNCTION("GOOGLETRANSLATE(A48238,""en"",""pt"")"),"fotos esplêndidas com grande detalhe e cores incríveis.")</f>
        <v>fotos esplêndidas com grande detalhe e cores incríveis.</v>
      </c>
      <c r="B48238" s="3">
        <v>1</v>
      </c>
    </row>
    <row r="48239" ht="15.75" customHeight="1" spans="1:2">
      <c r="A48239" s="3" t="str">
        <f>IFERROR(__xludf.DUMMYFUNCTION("GOOGLETRANSLATE(A48239,""en"",""pt"")"),"muito divertido, resultados ótima resolução e imagem")</f>
        <v>muito divertido, resultados ótima resolução e imagem</v>
      </c>
      <c r="B48239" s="3">
        <v>1</v>
      </c>
    </row>
    <row r="48240" ht="15.75" customHeight="1" spans="1:2">
      <c r="A48240" s="3" t="str">
        <f>IFERROR(__xludf.DUMMYFUNCTION("GOOGLETRANSLATE(A48240,""en"",""pt"")"),"Muitos recursos e grande flexibilidade")</f>
        <v>Muitos recursos e grande flexibilidade</v>
      </c>
      <c r="B48240" s="3">
        <v>1</v>
      </c>
    </row>
    <row r="48241" ht="15.75" customHeight="1" spans="1:2">
      <c r="A48241" s="3" t="str">
        <f>IFERROR(__xludf.DUMMYFUNCTION("GOOGLETRANSLATE(A48241,""en"",""pt"")"),"firmware, autorotate, tiros de contraluz")</f>
        <v>firmware, autorotate, tiros de contraluz</v>
      </c>
      <c r="B48241" s="3">
        <v>1</v>
      </c>
    </row>
    <row r="48242" ht="15.75" customHeight="1" spans="1:2">
      <c r="A48242" s="3" t="str">
        <f>IFERROR(__xludf.DUMMYFUNCTION("GOOGLETRANSLATE(A48242,""en"",""pt"")"),"fotografias agradáveis")</f>
        <v>fotografias agradáveis</v>
      </c>
      <c r="B48242" s="3">
        <v>1</v>
      </c>
    </row>
    <row r="48243" ht="15.75" customHeight="1" spans="1:2">
      <c r="A48243" s="3" t="str">
        <f>IFERROR(__xludf.DUMMYFUNCTION("GOOGLETRANSLATE(A48243,""en"",""pt"")"),"transferência de arquivo fácil e edição de software fácil de usar imagem Kodak. As características da câmera são extremamente agradável.")</f>
        <v>transferência de arquivo fácil e edição de software fácil de usar imagem Kodak. As características da câmera são extremamente agradável.</v>
      </c>
      <c r="B48243" s="3">
        <v>1</v>
      </c>
    </row>
    <row r="48244" ht="15.75" customHeight="1" spans="1:2">
      <c r="A48244" s="3" t="str">
        <f>IFERROR(__xludf.DUMMYFUNCTION("GOOGLETRANSLATE(A48244,""en"",""pt"")"),"Fácil de usar! Prova idiota! Assim como o comercial.")</f>
        <v>Fácil de usar! Prova idiota! Assim como o comercial.</v>
      </c>
      <c r="B48244" s="3">
        <v>1</v>
      </c>
    </row>
    <row r="48245" ht="15.75" customHeight="1" spans="1:2">
      <c r="A48245" s="3" t="str">
        <f>IFERROR(__xludf.DUMMYFUNCTION("GOOGLETRANSLATE(A48245,""en"",""pt"")"),"Muito fácil de usar, barato, resistente.")</f>
        <v>Muito fácil de usar, barato, resistente.</v>
      </c>
      <c r="B48245" s="3">
        <v>1</v>
      </c>
    </row>
    <row r="48246" ht="15.75" customHeight="1" spans="1:2">
      <c r="A48246" s="3" t="str">
        <f>IFERROR(__xludf.DUMMYFUNCTION("GOOGLETRANSLATE(A48246,""en"",""pt"")"),"Fácil de usar, o vídeo, LCD e visores tradicionais")</f>
        <v>Fácil de usar, o vídeo, LCD e visores tradicionais</v>
      </c>
      <c r="B48246" s="3">
        <v>1</v>
      </c>
    </row>
    <row r="48247" ht="15.75" customHeight="1" spans="1:2">
      <c r="A48247" s="3" t="str">
        <f>IFERROR(__xludf.DUMMYFUNCTION("GOOGLETRANSLATE(A48247,""en"",""pt"")"),"incrivelmente fácil de usar, muito leve")</f>
        <v>incrivelmente fácil de usar, muito leve</v>
      </c>
      <c r="B48247" s="3">
        <v>1</v>
      </c>
    </row>
    <row r="48248" ht="15.75" customHeight="1" spans="1:2">
      <c r="A48248" s="3" t="str">
        <f>IFERROR(__xludf.DUMMYFUNCTION("GOOGLETRANSLATE(A48248,""en"",""pt"")"),"Fácil download das imagens, um bom software de arranque, fácil de usar")</f>
        <v>Fácil download das imagens, um bom software de arranque, fácil de usar</v>
      </c>
      <c r="B48248" s="3">
        <v>1</v>
      </c>
    </row>
    <row r="48249" ht="15.75" customHeight="1" spans="1:2">
      <c r="A48249" s="3" t="str">
        <f>IFERROR(__xludf.DUMMYFUNCTION("GOOGLETRANSLATE(A48249,""en"",""pt"")"),"Fácil de usar, pequeno, leve")</f>
        <v>Fácil de usar, pequeno, leve</v>
      </c>
      <c r="B48249" s="3">
        <v>1</v>
      </c>
    </row>
    <row r="48250" ht="15.75" customHeight="1" spans="1:2">
      <c r="A48250" s="3" t="str">
        <f>IFERROR(__xludf.DUMMYFUNCTION("GOOGLETRANSLATE(A48250,""en"",""pt"")"),"Custo, qualidade de fotos")</f>
        <v>Custo, qualidade de fotos</v>
      </c>
      <c r="B48250" s="3">
        <v>1</v>
      </c>
    </row>
    <row r="48251" ht="15.75" customHeight="1" spans="1:2">
      <c r="A48251" s="3" t="str">
        <f>IFERROR(__xludf.DUMMYFUNCTION("GOOGLETRANSLATE(A48251,""en"",""pt"")"),"Muito fácil de usar - você uma figura-lo sem o manual.")</f>
        <v>Muito fácil de usar - você uma figura-lo sem o manual.</v>
      </c>
      <c r="B48251" s="3">
        <v>1</v>
      </c>
    </row>
    <row r="48252" ht="15.75" customHeight="1" spans="1:2">
      <c r="A48252" s="3" t="str">
        <f>IFERROR(__xludf.DUMMYFUNCTION("GOOGLETRANSLATE(A48252,""en"",""pt"")"),"fácil de começar .. baixo custo")</f>
        <v>fácil de começar .. baixo custo</v>
      </c>
      <c r="B48252" s="3">
        <v>1</v>
      </c>
    </row>
    <row r="48253" ht="15.75" customHeight="1" spans="1:2">
      <c r="A48253" s="3" t="str">
        <f>IFERROR(__xludf.DUMMYFUNCTION("GOOGLETRANSLATE(A48253,""en"",""pt"")"),"Fácil começar, rápido de configurar para a tomada de imagem.")</f>
        <v>Fácil começar, rápido de configurar para a tomada de imagem.</v>
      </c>
      <c r="B48253" s="3">
        <v>1</v>
      </c>
    </row>
    <row r="48254" ht="15.75" customHeight="1" spans="1:2">
      <c r="A48254" s="3" t="str">
        <f>IFERROR(__xludf.DUMMYFUNCTION("GOOGLETRANSLATE(A48254,""en"",""pt"")"),"Leve, excelente qualidade de imagem a um preço acessível")</f>
        <v>Leve, excelente qualidade de imagem a um preço acessível</v>
      </c>
      <c r="B48254" s="3">
        <v>1</v>
      </c>
    </row>
    <row r="48255" ht="15.75" customHeight="1" spans="1:2">
      <c r="A48255" s="3" t="str">
        <f>IFERROR(__xludf.DUMMYFUNCTION("GOOGLETRANSLATE(A48255,""en"",""pt"")"),"Barato, fácil de usar. Eu mencionei barato")</f>
        <v>Barato, fácil de usar. Eu mencionei barato</v>
      </c>
      <c r="B48255" s="3">
        <v>1</v>
      </c>
    </row>
    <row r="48256" ht="15.75" customHeight="1" spans="1:2">
      <c r="A48256" s="3" t="str">
        <f>IFERROR(__xludf.DUMMYFUNCTION("GOOGLETRANSLATE(A48256,""en"",""pt"")"),"Bom, barato, fotos decentes, fácil de usar")</f>
        <v>Bom, barato, fotos decentes, fácil de usar</v>
      </c>
      <c r="B48256" s="3">
        <v>1</v>
      </c>
    </row>
    <row r="48257" ht="15.75" customHeight="1" spans="1:2">
      <c r="A48257" s="3" t="str">
        <f>IFERROR(__xludf.DUMMYFUNCTION("GOOGLETRANSLATE(A48257,""en"",""pt"")"),"boas fotos, Boa exposição, de baixo custo, compacto, muito fácil de usar")</f>
        <v>boas fotos, Boa exposição, de baixo custo, compacto, muito fácil de usar</v>
      </c>
      <c r="B48257" s="3">
        <v>1</v>
      </c>
    </row>
    <row r="48258" ht="15.75" customHeight="1" spans="1:2">
      <c r="A48258" s="3" t="str">
        <f>IFERROR(__xludf.DUMMYFUNCTION("GOOGLETRANSLATE(A48258,""en"",""pt"")"),"Fácil de usar, leves e ótimas fotos")</f>
        <v>Fácil de usar, leves e ótimas fotos</v>
      </c>
      <c r="B48258" s="3">
        <v>1</v>
      </c>
    </row>
    <row r="48259" ht="15.75" customHeight="1" spans="1:2">
      <c r="A48259" s="3" t="str">
        <f>IFERROR(__xludf.DUMMYFUNCTION("GOOGLETRANSLATE(A48259,""en"",""pt"")"),"Barato, fácil de usar, usa AA.")</f>
        <v>Barato, fácil de usar, usa AA.</v>
      </c>
      <c r="B48259" s="3">
        <v>1</v>
      </c>
    </row>
    <row r="48260" ht="15.75" customHeight="1" spans="1:2">
      <c r="A48260" s="3" t="str">
        <f>IFERROR(__xludf.DUMMYFUNCTION("GOOGLETRANSLATE(A48260,""en"",""pt"")"),"Fácil de usar, excelente qualidade de imagem, edição fácil, um toque de transferência de imagem, barato")</f>
        <v>Fácil de usar, excelente qualidade de imagem, edição fácil, um toque de transferência de imagem, barato</v>
      </c>
      <c r="B48260" s="3">
        <v>1</v>
      </c>
    </row>
    <row r="48261" ht="15.75" customHeight="1" spans="1:2">
      <c r="A48261" s="3" t="str">
        <f>IFERROR(__xludf.DUMMYFUNCTION("GOOGLETRANSLATE(A48261,""en"",""pt"")"),"Delicadamente equilibrado fotos coloridas, simplificado agarramento imagem, um toque imagem de download, bonito corpo da câmera. ,")</f>
        <v>Delicadamente equilibrado fotos coloridas, simplificado agarramento imagem, um toque imagem de download, bonito corpo da câmera. ,</v>
      </c>
      <c r="B48261" s="3">
        <v>1</v>
      </c>
    </row>
    <row r="48262" ht="15.75" customHeight="1" spans="1:2">
      <c r="A48262" s="3" t="str">
        <f>IFERROR(__xludf.DUMMYFUNCTION("GOOGLETRANSLATE(A48262,""en"",""pt"")"),"Preço, Zoom Óptico, Memory")</f>
        <v>Preço, Zoom Óptico, Memory</v>
      </c>
      <c r="B48262" s="3">
        <v>1</v>
      </c>
    </row>
    <row r="48263" ht="15.75" customHeight="1" spans="1:2">
      <c r="A48263" s="3" t="str">
        <f>IFERROR(__xludf.DUMMYFUNCTION("GOOGLETRANSLATE(A48263,""en"",""pt"")"),"Fácil de usar, versátil, pequeno")</f>
        <v>Fácil de usar, versátil, pequeno</v>
      </c>
      <c r="B48263" s="3">
        <v>1</v>
      </c>
    </row>
    <row r="48264" ht="15.75" customHeight="1" spans="1:2">
      <c r="A48264" s="3" t="str">
        <f>IFERROR(__xludf.DUMMYFUNCTION("GOOGLETRANSLATE(A48264,""en"",""pt"")"),"Tem grandes figuras, fácil de usar.")</f>
        <v>Tem grandes figuras, fácil de usar.</v>
      </c>
      <c r="B48264" s="3">
        <v>1</v>
      </c>
    </row>
    <row r="48265" ht="15.75" customHeight="1" spans="1:2">
      <c r="A48265" s="3" t="str">
        <f>IFERROR(__xludf.DUMMYFUNCTION("GOOGLETRANSLATE(A48265,""en"",""pt"")"),"Leve, atraente, lente protegida, memória interna, grande zoom, slot de expansão.")</f>
        <v>Leve, atraente, lente protegida, memória interna, grande zoom, slot de expansão.</v>
      </c>
      <c r="B48265" s="3">
        <v>1</v>
      </c>
    </row>
    <row r="48266" ht="15.75" customHeight="1" spans="1:2">
      <c r="A48266" s="3" t="str">
        <f>IFERROR(__xludf.DUMMYFUNCTION("GOOGLETRANSLATE(A48266,""en"",""pt"")"),"Fácil de usar, excelentes fotos de qualidade, os lotes de características úteis, parece uma câmera de filme")</f>
        <v>Fácil de usar, excelentes fotos de qualidade, os lotes de características úteis, parece uma câmera de filme</v>
      </c>
      <c r="B48266" s="3">
        <v>1</v>
      </c>
    </row>
    <row r="48267" ht="15.75" customHeight="1" spans="1:2">
      <c r="A48267" s="3" t="str">
        <f>IFERROR(__xludf.DUMMYFUNCTION("GOOGLETRANSLATE(A48267,""en"",""pt"")"),"Compacto, leve")</f>
        <v>Compacto, leve</v>
      </c>
      <c r="B48267" s="3">
        <v>1</v>
      </c>
    </row>
    <row r="48268" ht="15.75" customHeight="1" spans="1:2">
      <c r="A48268" s="3" t="str">
        <f>IFERROR(__xludf.DUMMYFUNCTION("GOOGLETRANSLATE(A48268,""en"",""pt"")"),"fotos de boa qualidade, fácil acesso a fotos, preços acessíveis, com recursos básicos")</f>
        <v>fotos de boa qualidade, fácil acesso a fotos, preços acessíveis, com recursos básicos</v>
      </c>
      <c r="B48268" s="3">
        <v>1</v>
      </c>
    </row>
    <row r="48269" ht="15.75" customHeight="1" spans="1:2">
      <c r="A48269" s="3" t="str">
        <f>IFERROR(__xludf.DUMMYFUNCTION("GOOGLETRANSLATE(A48269,""en"",""pt"")"),"pequeno, leve, velocidade rápida do obturador, internos 16 megas. memória com opção de discos smartmedia.")</f>
        <v>pequeno, leve, velocidade rápida do obturador, internos 16 megas. memória com opção de discos smartmedia.</v>
      </c>
      <c r="B48269" s="3">
        <v>1</v>
      </c>
    </row>
    <row r="48270" ht="15.75" customHeight="1" spans="1:2">
      <c r="A48270" s="3" t="str">
        <f>IFERROR(__xludf.DUMMYFUNCTION("GOOGLETRANSLATE(A48270,""en"",""pt"")"),"Barato, fácil de carregar, fácil de transportar, qualidade boa imagem")</f>
        <v>Barato, fácil de carregar, fácil de transportar, qualidade boa imagem</v>
      </c>
      <c r="B48270" s="3">
        <v>1</v>
      </c>
    </row>
    <row r="48271" ht="15.75" customHeight="1" spans="1:2">
      <c r="A48271" s="3" t="str">
        <f>IFERROR(__xludf.DUMMYFUNCTION("GOOGLETRANSLATE(A48271,""en"",""pt"")"),"zoom óptico de 3x, SD / MMC, fora de vídeo, modo macro, menus fáceis, baterias")</f>
        <v>zoom óptico de 3x, SD / MMC, fora de vídeo, modo macro, menus fáceis, baterias</v>
      </c>
      <c r="B48271" s="3">
        <v>1</v>
      </c>
    </row>
    <row r="48272" ht="15.75" customHeight="1" spans="1:2">
      <c r="A48272" s="3" t="str">
        <f>IFERROR(__xludf.DUMMYFUNCTION("GOOGLETRANSLATE(A48272,""en"",""pt"")"),"Uma câmera de 3.2MP acessível que é fácil de usar na maioria das condições.")</f>
        <v>Uma câmera de 3.2MP acessível que é fácil de usar na maioria das condições.</v>
      </c>
      <c r="B48272" s="3">
        <v>1</v>
      </c>
    </row>
    <row r="48273" ht="15.75" customHeight="1" spans="1:2">
      <c r="A48273" s="3" t="str">
        <f>IFERROR(__xludf.DUMMYFUNCTION("GOOGLETRANSLATE(A48273,""en"",""pt"")"),"ótima câmera para o pixel 3.1")</f>
        <v>ótima câmera para o pixel 3.1</v>
      </c>
      <c r="B48273" s="3">
        <v>1</v>
      </c>
    </row>
    <row r="48274" ht="15.75" customHeight="1" spans="1:2">
      <c r="A48274" s="3" t="str">
        <f>IFERROR(__xludf.DUMMYFUNCTION("GOOGLETRANSLATE(A48274,""en"",""pt"")"),"Grandes imagens, software e acima de tudo ótimo preço para a qualidade.")</f>
        <v>Grandes imagens, software e acima de tudo ótimo preço para a qualidade.</v>
      </c>
      <c r="B48274" s="3">
        <v>1</v>
      </c>
    </row>
    <row r="48275" ht="15.75" customHeight="1" spans="1:2">
      <c r="A48275" s="3" t="str">
        <f>IFERROR(__xludf.DUMMYFUNCTION("GOOGLETRANSLATE(A48275,""en"",""pt"")"),"Facilidade de uso, preço e qualidade das imagens,")</f>
        <v>Facilidade de uso, preço e qualidade das imagens,</v>
      </c>
      <c r="B48275" s="3">
        <v>1</v>
      </c>
    </row>
    <row r="48276" ht="15.75" customHeight="1" spans="1:2">
      <c r="A48276" s="3" t="str">
        <f>IFERROR(__xludf.DUMMYFUNCTION("GOOGLETRANSLATE(A48276,""en"",""pt"")"),"Resolução mais alta que eu poderia encontrar para o preço! lente de vidro real!")</f>
        <v>Resolução mais alta que eu poderia encontrar para o preço! lente de vidro real!</v>
      </c>
      <c r="B48276" s="3">
        <v>1</v>
      </c>
    </row>
    <row r="48277" ht="15.75" customHeight="1" spans="1:2">
      <c r="A48277" s="3" t="str">
        <f>IFERROR(__xludf.DUMMYFUNCTION("GOOGLETRANSLATE(A48277,""en"",""pt"")"),"Muito boa câmera de 3.2MP a um preço maravilhoso qualquer pessoa pode pagar.")</f>
        <v>Muito boa câmera de 3.2MP a um preço maravilhoso qualquer pessoa pode pagar.</v>
      </c>
      <c r="B48277" s="3">
        <v>1</v>
      </c>
    </row>
    <row r="48278" ht="15.75" customHeight="1" spans="1:2">
      <c r="A48278" s="3" t="str">
        <f>IFERROR(__xludf.DUMMYFUNCTION("GOOGLETRANSLATE(A48278,""en"",""pt"")"),"boa qualidade de imagem, fácil de usar, funciona bem com o iPhoto no Mac, usa a mídia SD")</f>
        <v>boa qualidade de imagem, fácil de usar, funciona bem com o iPhoto no Mac, usa a mídia SD</v>
      </c>
      <c r="B48278" s="3">
        <v>1</v>
      </c>
    </row>
    <row r="48279" ht="15.75" customHeight="1" spans="1:2">
      <c r="A48279" s="3" t="str">
        <f>IFERROR(__xludf.DUMMYFUNCTION("GOOGLETRANSLATE(A48279,""en"",""pt"")"),"Muito boa câmera para o preço. Fácil de usar, agradáveis ​​imagens de qualidade")</f>
        <v>Muito boa câmera para o preço. Fácil de usar, agradáveis ​​imagens de qualidade</v>
      </c>
      <c r="B48279" s="3">
        <v>1</v>
      </c>
    </row>
    <row r="48280" ht="15.75" customHeight="1" spans="1:2">
      <c r="A48280" s="3" t="str">
        <f>IFERROR(__xludf.DUMMYFUNCTION("GOOGLETRANSLATE(A48280,""en"",""pt"")"),"Barato, fácil de usar, compacto")</f>
        <v>Barato, fácil de usar, compacto</v>
      </c>
      <c r="B48280" s="3">
        <v>1</v>
      </c>
    </row>
    <row r="48281" ht="15.75" customHeight="1" spans="1:2">
      <c r="A48281" s="3" t="str">
        <f>IFERROR(__xludf.DUMMYFUNCTION("GOOGLETRANSLATE(A48281,""en"",""pt"")"),"Fácil de usar, de alta resolução de 3,2 MP, boa qualidade de imagem, preço acessível")</f>
        <v>Fácil de usar, de alta resolução de 3,2 MP, boa qualidade de imagem, preço acessível</v>
      </c>
      <c r="B48281" s="3">
        <v>1</v>
      </c>
    </row>
    <row r="48282" ht="15.75" customHeight="1" spans="1:2">
      <c r="A48282" s="3" t="str">
        <f>IFERROR(__xludf.DUMMYFUNCTION("GOOGLETRANSLATE(A48282,""en"",""pt"")"),"Bom preço para 3 megapixels, oferece grande modificação imagem software.")</f>
        <v>Bom preço para 3 megapixels, oferece grande modificação imagem software.</v>
      </c>
      <c r="B48282" s="3">
        <v>1</v>
      </c>
    </row>
    <row r="48283" ht="15.75" customHeight="1" spans="1:2">
      <c r="A48283" s="3" t="str">
        <f>IFERROR(__xludf.DUMMYFUNCTION("GOOGLETRANSLATE(A48283,""en"",""pt"")"),"Preço, de qualidade de imagem, facilidade de uso, ótimo para iniciantes")</f>
        <v>Preço, de qualidade de imagem, facilidade de uso, ótimo para iniciantes</v>
      </c>
      <c r="B48283" s="3">
        <v>1</v>
      </c>
    </row>
    <row r="48284" ht="15.75" customHeight="1" spans="1:2">
      <c r="A48284" s="3" t="str">
        <f>IFERROR(__xludf.DUMMYFUNCTION("GOOGLETRANSLATE(A48284,""en"",""pt"")"),"Toma excelentes fotografias e é fácil de usar")</f>
        <v>Toma excelentes fotografias e é fácil de usar</v>
      </c>
      <c r="B48284" s="3">
        <v>1</v>
      </c>
    </row>
    <row r="48285" ht="15.75" customHeight="1" spans="1:2">
      <c r="A48285" s="3" t="s">
        <v>235</v>
      </c>
      <c r="B48285" s="3">
        <v>1</v>
      </c>
    </row>
    <row r="48286" ht="15.75" customHeight="1" spans="1:2">
      <c r="A48286" s="3" t="str">
        <f>IFERROR(__xludf.DUMMYFUNCTION("GOOGLETRANSLATE(A48286,""en"",""pt"")"),"Lightweight. Fácil de usar. Bom serviço ao cliente, até agora.")</f>
        <v>Lightweight. Fácil de usar. Bom serviço ao cliente, até agora.</v>
      </c>
      <c r="B48286" s="3">
        <v>1</v>
      </c>
    </row>
    <row r="48287" ht="15.75" customHeight="1" spans="1:2">
      <c r="A48287" s="3" t="str">
        <f>IFERROR(__xludf.DUMMYFUNCTION("GOOGLETRANSLATE(A48287,""en"",""pt"")"),"sistema EasyShare torna a transferência de imagem rápido; fácil de e-mail e impressão; recarga da bateria")</f>
        <v>sistema EasyShare torna a transferência de imagem rápido; fácil de e-mail e impressão; recarga da bateria</v>
      </c>
      <c r="B48287" s="3">
        <v>1</v>
      </c>
    </row>
    <row r="48288" ht="15.75" customHeight="1" spans="1:2">
      <c r="A48288" s="3" t="str">
        <f>IFERROR(__xludf.DUMMYFUNCTION("GOOGLETRANSLATE(A48288,""en"",""pt"")"),"imagens incríveis, fácil e rápido de transferência de imagem, flash bom.")</f>
        <v>imagens incríveis, fácil e rápido de transferência de imagem, flash bom.</v>
      </c>
      <c r="B48288" s="3">
        <v>1</v>
      </c>
    </row>
    <row r="48289" ht="15.75" customHeight="1" spans="1:2">
      <c r="A48289" s="3" t="str">
        <f>IFERROR(__xludf.DUMMYFUNCTION("GOOGLETRANSLATE(A48289,""en"",""pt"")"),"instalação fácil e rápida, simples conexão USB com o XP. User friendly opções / configurações de menu.")</f>
        <v>instalação fácil e rápida, simples conexão USB com o XP. User friendly opções / configurações de menu.</v>
      </c>
      <c r="B48289" s="3">
        <v>1</v>
      </c>
    </row>
    <row r="48290" ht="15.75" customHeight="1" spans="1:2">
      <c r="A48290" s="3" t="str">
        <f>IFERROR(__xludf.DUMMYFUNCTION("GOOGLETRANSLATE(A48290,""en"",""pt"")"),"Maravilhosamente fácil, durável, não muito caro.")</f>
        <v>Maravilhosamente fácil, durável, não muito caro.</v>
      </c>
      <c r="B48290" s="3">
        <v>1</v>
      </c>
    </row>
    <row r="48291" ht="15.75" customHeight="1" spans="1:2">
      <c r="A48291" s="3" t="str">
        <f>IFERROR(__xludf.DUMMYFUNCTION("GOOGLETRANSLATE(A48291,""en"",""pt"")"),"Durável, software fácil de usar, download de imagens fácil.")</f>
        <v>Durável, software fácil de usar, download de imagens fácil.</v>
      </c>
      <c r="B48291" s="3">
        <v>1</v>
      </c>
    </row>
    <row r="48292" ht="15.75" customHeight="1" spans="1:2">
      <c r="A48292" s="3" t="str">
        <f>IFERROR(__xludf.DUMMYFUNCTION("GOOGLETRANSLATE(A48292,""en"",""pt"")"),"Point &amp; amp; shoot, fácil transferência de fotos")</f>
        <v>Point &amp; amp; shoot, fácil transferência de fotos</v>
      </c>
      <c r="B48292" s="3">
        <v>1</v>
      </c>
    </row>
    <row r="48293" ht="15.75" customHeight="1" spans="1:2">
      <c r="A48293" s="3" t="str">
        <f>IFERROR(__xludf.DUMMYFUNCTION("GOOGLETRANSLATE(A48293,""en"",""pt"")"),"Muito fácil de usar. Boa qualidade para casual tira uma fotografia.")</f>
        <v>Muito fácil de usar. Boa qualidade para casual tira uma fotografia.</v>
      </c>
      <c r="B48293" s="3">
        <v>1</v>
      </c>
    </row>
    <row r="48294" ht="15.75" customHeight="1" spans="1:2">
      <c r="A48294" s="3" t="str">
        <f>IFERROR(__xludf.DUMMYFUNCTION("GOOGLETRANSLATE(A48294,""en"",""pt"")"),"carrega rápido, fácil USB de transferência de imagem, boa bateria, boas fotos")</f>
        <v>carrega rápido, fácil USB de transferência de imagem, boa bateria, boas fotos</v>
      </c>
      <c r="B48294" s="3">
        <v>1</v>
      </c>
    </row>
    <row r="48295" ht="15.75" customHeight="1" spans="1:2">
      <c r="A48295" s="3" t="str">
        <f>IFERROR(__xludf.DUMMYFUNCTION("GOOGLETRANSLATE(A48295,""en"",""pt"")"),"Fácil, poderoso, estação para câmera")</f>
        <v>Fácil, poderoso, estação para câmera</v>
      </c>
      <c r="B48295" s="3">
        <v>1</v>
      </c>
    </row>
    <row r="48296" ht="15.75" customHeight="1" spans="1:2">
      <c r="A48296" s="3" t="str">
        <f>IFERROR(__xludf.DUMMYFUNCTION("GOOGLETRANSLATE(A48296,""en"",""pt"")"),"Compact, peso leve, muito acessível para a qualidade da imagem, 8MB de memória interna")</f>
        <v>Compact, peso leve, muito acessível para a qualidade da imagem, 8MB de memória interna</v>
      </c>
      <c r="B48296" s="3">
        <v>1</v>
      </c>
    </row>
    <row r="48297" ht="15.75" customHeight="1" spans="1:2">
      <c r="A48297" s="3" t="str">
        <f>IFERROR(__xludf.DUMMYFUNCTION("GOOGLETRANSLATE(A48297,""en"",""pt"")"),"Extremamente fácil de usar, preço baixo, fantástico Imagens, peso leve, expansível!")</f>
        <v>Extremamente fácil de usar, preço baixo, fantástico Imagens, peso leve, expansível!</v>
      </c>
      <c r="B48297" s="3">
        <v>1</v>
      </c>
    </row>
    <row r="48298" ht="15.75" customHeight="1" spans="1:2">
      <c r="A48298" s="3" t="str">
        <f>IFERROR(__xludf.DUMMYFUNCTION("GOOGLETRANSLATE(A48298,""en"",""pt"")"),"Preço, facilidade de utilização, grande foto qualidade, fácil Pic Transferência de Software e leve.")</f>
        <v>Preço, facilidade de utilização, grande foto qualidade, fácil Pic Transferência de Software e leve.</v>
      </c>
      <c r="B48298" s="3">
        <v>1</v>
      </c>
    </row>
    <row r="48299" ht="15.75" customHeight="1" spans="1:2">
      <c r="A48299" s="3" t="str">
        <f>IFERROR(__xludf.DUMMYFUNCTION("GOOGLETRANSLATE(A48299,""en"",""pt"")"),"Simples de aprender a usar, imagens claras")</f>
        <v>Simples de aprender a usar, imagens claras</v>
      </c>
      <c r="B48299" s="3">
        <v>1</v>
      </c>
    </row>
    <row r="48300" ht="15.75" customHeight="1" spans="1:2">
      <c r="A48300" s="3" t="str">
        <f>IFERROR(__xludf.DUMMYFUNCTION("GOOGLETRANSLATE(A48300,""en"",""pt"")"),"Fácil de aprender &amp; amp; usar; vida útil da bateria decente; O peso leve")</f>
        <v>Fácil de aprender &amp; amp; usar; vida útil da bateria decente; O peso leve</v>
      </c>
      <c r="B48300" s="3">
        <v>1</v>
      </c>
    </row>
    <row r="48301" ht="15.75" customHeight="1" spans="1:2">
      <c r="A48301" s="3" t="str">
        <f>IFERROR(__xludf.DUMMYFUNCTION("GOOGLETRANSLATE(A48301,""en"",""pt"")"),"Excelente qualidade de foto, facilidade de utilização, funcionalidades")</f>
        <v>Excelente qualidade de foto, facilidade de utilização, funcionalidades</v>
      </c>
      <c r="B48301" s="3">
        <v>1</v>
      </c>
    </row>
    <row r="48302" ht="15.75" customHeight="1" spans="1:2">
      <c r="A48302" s="3" t="str">
        <f>IFERROR(__xludf.DUMMYFUNCTION("GOOGLETRANSLATE(A48302,""en"",""pt"")"),"Fácil de usar e com preços razoáveis.")</f>
        <v>Fácil de usar e com preços razoáveis.</v>
      </c>
      <c r="B48302" s="3">
        <v>1</v>
      </c>
    </row>
    <row r="48303" ht="15.75" customHeight="1" spans="1:2">
      <c r="A48303" s="3" t="str">
        <f>IFERROR(__xludf.DUMMYFUNCTION("GOOGLETRANSLATE(A48303,""en"",""pt"")"),"Preço, facilidade de uso, peso leve, ótimas fotos, tempo de transferência rápida")</f>
        <v>Preço, facilidade de uso, peso leve, ótimas fotos, tempo de transferência rápida</v>
      </c>
      <c r="B48303" s="3">
        <v>1</v>
      </c>
    </row>
    <row r="48304" ht="15.75" customHeight="1" spans="1:2">
      <c r="A48304" s="3" t="str">
        <f>IFERROR(__xludf.DUMMYFUNCTION("GOOGLETRANSLATE(A48304,""en"",""pt"")"),"Fácil de usar. Sinta-se de um ponto e atirar tradicional. Agradáveis ​​fotos de qualidade.")</f>
        <v>Fácil de usar. Sinta-se de um ponto e atirar tradicional. Agradáveis ​​fotos de qualidade.</v>
      </c>
      <c r="B48304" s="3">
        <v>1</v>
      </c>
    </row>
    <row r="48305" ht="15.75" customHeight="1" spans="1:2">
      <c r="A48305" s="3" t="str">
        <f>IFERROR(__xludf.DUMMYFUNCTION("GOOGLETRANSLATE(A48305,""en"",""pt"")"),"Fácil de usar, leva grandes fotos para o usuário médio, Docking Station é grande.")</f>
        <v>Fácil de usar, leva grandes fotos para o usuário médio, Docking Station é grande.</v>
      </c>
      <c r="B48305" s="3">
        <v>1</v>
      </c>
    </row>
    <row r="48306" ht="15.75" customHeight="1" spans="1:2">
      <c r="A48306" s="3" t="str">
        <f>IFERROR(__xludf.DUMMYFUNCTION("GOOGLETRANSLATE(A48306,""en"",""pt"")"),"Até agora as fotos que fiz foi me surpreendeu sobre como limpar eles são")</f>
        <v>Até agora as fotos que fiz foi me surpreendeu sobre como limpar eles são</v>
      </c>
      <c r="B48306" s="3">
        <v>1</v>
      </c>
    </row>
    <row r="48307" ht="15.75" customHeight="1" spans="1:2">
      <c r="A48307" s="3" t="str">
        <f>IFERROR(__xludf.DUMMYFUNCTION("GOOGLETRANSLATE(A48307,""en"",""pt"")"),"Grandes fotos @ 800 tamanho e menores, facilidade de uso, o valor.")</f>
        <v>Grandes fotos @ 800 tamanho e menores, facilidade de uso, o valor.</v>
      </c>
      <c r="B48307" s="3">
        <v>1</v>
      </c>
    </row>
    <row r="48308" ht="15.75" customHeight="1" spans="1:2">
      <c r="A48308" s="3" t="str">
        <f>IFERROR(__xludf.DUMMYFUNCTION("GOOGLETRANSLATE(A48308,""en"",""pt"")"),"Simples, fácil de usar, nenhum equipamento adicional para comprar.")</f>
        <v>Simples, fácil de usar, nenhum equipamento adicional para comprar.</v>
      </c>
      <c r="B48308" s="3">
        <v>1</v>
      </c>
    </row>
    <row r="48309" ht="15.75" customHeight="1" spans="1:2">
      <c r="A48309" s="3" t="str">
        <f>IFERROR(__xludf.DUMMYFUNCTION("GOOGLETRANSLATE(A48309,""en"",""pt"")"),"escolha excelente para câmeras digitais menos de $ 300!")</f>
        <v>escolha excelente para câmeras digitais menos de $ 300!</v>
      </c>
      <c r="B48309" s="3">
        <v>1</v>
      </c>
    </row>
    <row r="48310" ht="15.75" customHeight="1" spans="1:2">
      <c r="A48310" s="3" t="str">
        <f>IFERROR(__xludf.DUMMYFUNCTION("GOOGLETRANSLATE(A48310,""en"",""pt"")"),"Grandes fotos cristalinas, criança pode usá-lo, muito leve, bateria de longa duração")</f>
        <v>Grandes fotos cristalinas, criança pode usá-lo, muito leve, bateria de longa duração</v>
      </c>
      <c r="B48310" s="3">
        <v>1</v>
      </c>
    </row>
    <row r="48311" ht="15.75" customHeight="1" spans="1:2">
      <c r="A48311" s="3" t="str">
        <f>IFERROR(__xludf.DUMMYFUNCTION("GOOGLETRANSLATE(A48311,""en"",""pt"")"),"Pequeno e fácil de manusear")</f>
        <v>Pequeno e fácil de manusear</v>
      </c>
      <c r="B48311" s="3">
        <v>1</v>
      </c>
    </row>
    <row r="48312" ht="15.75" customHeight="1" spans="1:2">
      <c r="A48312" s="3" t="str">
        <f>IFERROR(__xludf.DUMMYFUNCTION("GOOGLETRANSLATE(A48312,""en"",""pt"")"),"custo, resolução de imagem / qualidade, pacote de software")</f>
        <v>custo, resolução de imagem / qualidade, pacote de software</v>
      </c>
      <c r="B48312" s="3">
        <v>1</v>
      </c>
    </row>
    <row r="48313" ht="15.75" customHeight="1" spans="1:2">
      <c r="A48313" s="3" t="str">
        <f>IFERROR(__xludf.DUMMYFUNCTION("GOOGLETRANSLATE(A48313,""en"",""pt"")"),"Funciona muito bem e muito fácil de usar.")</f>
        <v>Funciona muito bem e muito fácil de usar.</v>
      </c>
      <c r="B48313" s="3">
        <v>1</v>
      </c>
    </row>
    <row r="48314" ht="15.75" customHeight="1" spans="1:2">
      <c r="A48314" s="3" t="str">
        <f>IFERROR(__xludf.DUMMYFUNCTION("GOOGLETRANSLATE(A48314,""en"",""pt"")"),"Docking Station, vídeo com som, USB, pode adicionar lentes, fácil de usar botões")</f>
        <v>Docking Station, vídeo com som, USB, pode adicionar lentes, fácil de usar botões</v>
      </c>
      <c r="B48314" s="3">
        <v>1</v>
      </c>
    </row>
    <row r="48315" ht="15.75" customHeight="1" spans="1:2">
      <c r="A48315" s="3" t="str">
        <f>IFERROR(__xludf.DUMMYFUNCTION("GOOGLETRANSLATE(A48315,""en"",""pt"")"),"Amigo do usuário")</f>
        <v>Amigo do usuário</v>
      </c>
      <c r="B48315" s="3">
        <v>1</v>
      </c>
    </row>
    <row r="48316" ht="15.75" customHeight="1" spans="1:2">
      <c r="A48316" s="3" t="str">
        <f>IFERROR(__xludf.DUMMYFUNCTION("GOOGLETRANSLATE(A48316,""en"",""pt"")"),"Ótima câmera a um preço excelente - stills cristalinas e filmes com áudio.")</f>
        <v>Ótima câmera a um preço excelente - stills cristalinas e filmes com áudio.</v>
      </c>
      <c r="B48316" s="3">
        <v>1</v>
      </c>
    </row>
    <row r="48317" ht="15.75" customHeight="1" spans="1:2">
      <c r="A48317" s="3" t="str">
        <f>IFERROR(__xludf.DUMMYFUNCTION("GOOGLETRANSLATE(A48317,""en"",""pt"")"),"Fácil de usar")</f>
        <v>Fácil de usar</v>
      </c>
      <c r="B48317" s="3">
        <v>1</v>
      </c>
    </row>
    <row r="48318" ht="15.75" customHeight="1" spans="1:2">
      <c r="A48318" s="3" t="str">
        <f>IFERROR(__xludf.DUMMYFUNCTION("GOOGLETRANSLATE(A48318,""en"",""pt"")"),"Grandes imagens, leve, fácil de usar")</f>
        <v>Grandes imagens, leve, fácil de usar</v>
      </c>
      <c r="B48318" s="3">
        <v>1</v>
      </c>
    </row>
    <row r="48319" ht="15.75" customHeight="1" spans="1:2">
      <c r="A48319" s="3" t="str">
        <f>IFERROR(__xludf.DUMMYFUNCTION("GOOGLETRANSLATE(A48319,""en"",""pt"")"),"zoom óptico 2x, tampa da lente interna, básico e fácil de entender os controles")</f>
        <v>zoom óptico 2x, tampa da lente interna, básico e fácil de entender os controles</v>
      </c>
      <c r="B48319" s="3">
        <v>1</v>
      </c>
    </row>
    <row r="48320" ht="15.75" customHeight="1" spans="1:2">
      <c r="A48320" s="3" t="str">
        <f>IFERROR(__xludf.DUMMYFUNCTION("GOOGLETRANSLATE(A48320,""en"",""pt"")"),"Fácil de usar, leva boas fotos")</f>
        <v>Fácil de usar, leva boas fotos</v>
      </c>
      <c r="B48320" s="3">
        <v>1</v>
      </c>
    </row>
    <row r="48321" ht="15.75" customHeight="1" spans="1:2">
      <c r="A48321" s="3" t="str">
        <f>IFERROR(__xludf.DUMMYFUNCTION("GOOGLETRANSLATE(A48321,""en"",""pt"")"),"câmera é fácil de usar, base é excelente, grandes tiros ainda qualidade")</f>
        <v>câmera é fácil de usar, base é excelente, grandes tiros ainda qualidade</v>
      </c>
      <c r="B48321" s="3">
        <v>1</v>
      </c>
    </row>
    <row r="48322" ht="15.75" customHeight="1" spans="1:2">
      <c r="A48322" s="3" t="str">
        <f>IFERROR(__xludf.DUMMYFUNCTION("GOOGLETRANSLATE(A48322,""en"",""pt"")"),"Fácil de usar, grande qualidade de foto, tela de bom tamanho, pode fazer vídeos curtos, não muito caro")</f>
        <v>Fácil de usar, grande qualidade de foto, tela de bom tamanho, pode fazer vídeos curtos, não muito caro</v>
      </c>
      <c r="B48322" s="3">
        <v>1</v>
      </c>
    </row>
    <row r="48323" ht="15.75" customHeight="1" spans="1:2">
      <c r="A48323" s="3" t="str">
        <f>IFERROR(__xludf.DUMMYFUNCTION("GOOGLETRANSLATE(A48323,""en"",""pt"")"),"Razoavelmente barato; tampa da lente integrada")</f>
        <v>Razoavelmente barato; tampa da lente integrada</v>
      </c>
      <c r="B48323" s="3">
        <v>1</v>
      </c>
    </row>
    <row r="48324" ht="15.75" customHeight="1" spans="1:2">
      <c r="A48324" s="3" t="str">
        <f>IFERROR(__xludf.DUMMYFUNCTION("GOOGLETRANSLATE(A48324,""en"",""pt"")"),"Muito fácil de configurar e usar, especialmente para um novato. Excelente valor.")</f>
        <v>Muito fácil de configurar e usar, especialmente para um novato. Excelente valor.</v>
      </c>
      <c r="B48324" s="3">
        <v>1</v>
      </c>
    </row>
    <row r="48325" ht="15.75" customHeight="1" spans="1:2">
      <c r="A48325" s="3" t="str">
        <f>IFERROR(__xludf.DUMMYFUNCTION("GOOGLETRANSLATE(A48325,""en"",""pt"")"),"Fun, relativamente fácil de usar, faz videoclipes curtos, boas fotos")</f>
        <v>Fun, relativamente fácil de usar, faz videoclipes curtos, boas fotos</v>
      </c>
      <c r="B48325" s="3">
        <v>1</v>
      </c>
    </row>
    <row r="48326" ht="15.75" customHeight="1" spans="1:2">
      <c r="A48326" s="3" t="str">
        <f>IFERROR(__xludf.DUMMYFUNCTION("GOOGLETRANSLATE(A48326,""en"",""pt"")"),"baixo consumo de bateria, preço, qualidade da foto, facilidade de uso, a estação opcional")</f>
        <v>baixo consumo de bateria, preço, qualidade da foto, facilidade de uso, a estação opcional</v>
      </c>
      <c r="B48326" s="3">
        <v>1</v>
      </c>
    </row>
    <row r="48327" ht="15.75" customHeight="1" spans="1:2">
      <c r="A48327" s="3" t="str">
        <f>IFERROR(__xludf.DUMMYFUNCTION("GOOGLETRANSLATE(A48327,""en"",""pt"")"),"O design simples e fácil de usar, usb, amplamente disponível, o software útil, muitos acessórios opcionais")</f>
        <v>O design simples e fácil de usar, usb, amplamente disponível, o software útil, muitos acessórios opcionais</v>
      </c>
      <c r="B48327" s="3">
        <v>1</v>
      </c>
    </row>
    <row r="48328" ht="15.75" customHeight="1" spans="1:2">
      <c r="A48328" s="3" t="str">
        <f>IFERROR(__xludf.DUMMYFUNCTION("GOOGLETRANSLATE(A48328,""en"",""pt"")"),"É leve. Fácil de transferir fotos.")</f>
        <v>É leve. Fácil de transferir fotos.</v>
      </c>
      <c r="B48328" s="3">
        <v>1</v>
      </c>
    </row>
    <row r="48329" ht="15.75" customHeight="1" spans="1:2">
      <c r="A48329" s="3" t="str">
        <f>IFERROR(__xludf.DUMMYFUNCTION("GOOGLETRANSLATE(A48329,""en"",""pt"")"),"Muito simples de operar, ainda tem um conjunto preços razoáveis ​​de lentes extras disponíveis.")</f>
        <v>Muito simples de operar, ainda tem um conjunto preços razoáveis ​​de lentes extras disponíveis.</v>
      </c>
      <c r="B48329" s="3">
        <v>1</v>
      </c>
    </row>
    <row r="48330" ht="15.75" customHeight="1" spans="1:2">
      <c r="A48330" s="3" t="str">
        <f>IFERROR(__xludf.DUMMYFUNCTION("GOOGLETRANSLATE(A48330,""en"",""pt"")"),"Boa qualidade de imagem, zoom óptico, Grande LCD")</f>
        <v>Boa qualidade de imagem, zoom óptico, Grande LCD</v>
      </c>
      <c r="B48330" s="3">
        <v>1</v>
      </c>
    </row>
    <row r="48331" ht="15.75" customHeight="1" spans="1:2">
      <c r="A48331" s="3" t="str">
        <f>IFERROR(__xludf.DUMMYFUNCTION("GOOGLETRANSLATE(A48331,""en"",""pt"")"),"facilidade de utilização (câmera &amp; amp; software) excelentes fotografias, mesmo em modo de baixa resolução (900X600)")</f>
        <v>facilidade de utilização (câmera &amp; amp; software) excelentes fotografias, mesmo em modo de baixa resolução (900X600)</v>
      </c>
      <c r="B48331" s="3">
        <v>1</v>
      </c>
    </row>
    <row r="48332" ht="15.75" customHeight="1" spans="1:2">
      <c r="A48332" s="3" t="str">
        <f>IFERROR(__xludf.DUMMYFUNCTION("GOOGLETRANSLATE(A48332,""en"",""pt"")"),"Fácil de usar. As funções eram simples de descobrir.")</f>
        <v>Fácil de usar. As funções eram simples de descobrir.</v>
      </c>
      <c r="B48332" s="3">
        <v>1</v>
      </c>
    </row>
    <row r="48333" ht="15.75" customHeight="1" spans="1:2">
      <c r="A48333" s="3" t="str">
        <f>IFERROR(__xludf.DUMMYFUNCTION("GOOGLETRANSLATE(A48333,""en"",""pt"")"),"Grandes fotos de alta resolução com zoom óptico e digital")</f>
        <v>Grandes fotos de alta resolução com zoom óptico e digital</v>
      </c>
      <c r="B48333" s="3">
        <v>1</v>
      </c>
    </row>
    <row r="48334" ht="15.75" customHeight="1" spans="1:2">
      <c r="A48334" s="3" t="str">
        <f>IFERROR(__xludf.DUMMYFUNCTION("GOOGLETRANSLATE(A48334,""en"",""pt"")"),"Excelente qualidade de imagem, zoom óptico e zoom digital, downloads rápidos")</f>
        <v>Excelente qualidade de imagem, zoom óptico e zoom digital, downloads rápidos</v>
      </c>
      <c r="B48334" s="3">
        <v>1</v>
      </c>
    </row>
    <row r="48335" ht="15.75" customHeight="1" spans="1:2">
      <c r="A48335" s="3" t="str">
        <f>IFERROR(__xludf.DUMMYFUNCTION("GOOGLETRANSLATE(A48335,""en"",""pt"")"),"Ficha do bem; completamente automático; imagens detalhadas com excelente cor; uso estupidamente fácil; zoom óptico de 2x")</f>
        <v>Ficha do bem; completamente automático; imagens detalhadas com excelente cor; uso estupidamente fácil; zoom óptico de 2x</v>
      </c>
      <c r="B48335" s="3">
        <v>1</v>
      </c>
    </row>
    <row r="48336" ht="15.75" customHeight="1" spans="1:2">
      <c r="A48336" s="3" t="str">
        <f>IFERROR(__xludf.DUMMYFUNCTION("GOOGLETRANSLATE(A48336,""en"",""pt"")"),"Ser capaz de ver a imagem que você tenha tomado, apenas alguns segundos depois de apertar o botão.")</f>
        <v>Ser capaz de ver a imagem que você tenha tomado, apenas alguns segundos depois de apertar o botão.</v>
      </c>
      <c r="B48336" s="3">
        <v>1</v>
      </c>
    </row>
    <row r="48337" ht="15.75" customHeight="1" spans="1:2">
      <c r="A48337" s="3" t="s">
        <v>236</v>
      </c>
      <c r="B48337" s="3">
        <v>1</v>
      </c>
    </row>
    <row r="48338" ht="15.75" customHeight="1" spans="1:2">
      <c r="A48338" s="3" t="str">
        <f>IFERROR(__xludf.DUMMYFUNCTION("GOOGLETRANSLATE(A48338,""en"",""pt"")"),"Excelente qualidade de imagem, facilidade de uso, capacidade de vídeo")</f>
        <v>Excelente qualidade de imagem, facilidade de uso, capacidade de vídeo</v>
      </c>
      <c r="B48338" s="3">
        <v>1</v>
      </c>
    </row>
    <row r="48339" ht="15.75" customHeight="1" spans="1:2">
      <c r="A48339" s="3" t="str">
        <f>IFERROR(__xludf.DUMMYFUNCTION("GOOGLETRANSLATE(A48339,""en"",""pt"")"),"Simples de usar, fotos de qualidade à luz do dia, clipes de filme com som")</f>
        <v>Simples de usar, fotos de qualidade à luz do dia, clipes de filme com som</v>
      </c>
      <c r="B48339" s="3">
        <v>1</v>
      </c>
    </row>
    <row r="48340" ht="15.75" customHeight="1" spans="1:2">
      <c r="A48340" s="3" t="str">
        <f>IFERROR(__xludf.DUMMYFUNCTION("GOOGLETRANSLATE(A48340,""en"",""pt"")"),"software bom, um monte de opções, as imagens parecem ser bons")</f>
        <v>software bom, um monte de opções, as imagens parecem ser bons</v>
      </c>
      <c r="B48340" s="3">
        <v>1</v>
      </c>
    </row>
    <row r="48341" ht="15.75" customHeight="1" spans="1:2">
      <c r="A48341" s="3" t="str">
        <f>IFERROR(__xludf.DUMMYFUNCTION("GOOGLETRANSLATE(A48341,""en"",""pt"")"),"Muito fácil de usar, fotos pro qualidade, design agradável.")</f>
        <v>Muito fácil de usar, fotos pro qualidade, design agradável.</v>
      </c>
      <c r="B48341" s="3">
        <v>1</v>
      </c>
    </row>
    <row r="48342" ht="15.75" customHeight="1" spans="1:2">
      <c r="A48342" s="3" t="str">
        <f>IFERROR(__xludf.DUMMYFUNCTION("GOOGLETRANSLATE(A48342,""en"",""pt"")"),"Fácil de usar")</f>
        <v>Fácil de usar</v>
      </c>
      <c r="B48342" s="3">
        <v>1</v>
      </c>
    </row>
    <row r="48343" ht="15.75" customHeight="1" spans="1:2">
      <c r="A48343" s="3" t="str">
        <f>IFERROR(__xludf.DUMMYFUNCTION("GOOGLETRANSLATE(A48343,""en"",""pt"")"),"Fácil de usar, imagens de boa qualidade.")</f>
        <v>Fácil de usar, imagens de boa qualidade.</v>
      </c>
      <c r="B48343" s="3">
        <v>1</v>
      </c>
    </row>
    <row r="48344" ht="15.75" customHeight="1" spans="1:2">
      <c r="A48344" s="3" t="str">
        <f>IFERROR(__xludf.DUMMYFUNCTION("GOOGLETRANSLATE(A48344,""en"",""pt"")"),"Fácil de usar, leva boa imagem e vídeos")</f>
        <v>Fácil de usar, leva boa imagem e vídeos</v>
      </c>
      <c r="B48344" s="3">
        <v>1</v>
      </c>
    </row>
    <row r="48345" ht="15.75" customHeight="1" spans="1:2">
      <c r="A48345" s="3" t="str">
        <f>IFERROR(__xludf.DUMMYFUNCTION("GOOGLETRANSLATE(A48345,""en"",""pt"")"),"ok imagens")</f>
        <v>ok imagens</v>
      </c>
      <c r="B48345" s="3">
        <v>1</v>
      </c>
    </row>
    <row r="48346" ht="15.75" customHeight="1" spans="1:2">
      <c r="A48346" s="3" t="str">
        <f>IFERROR(__xludf.DUMMYFUNCTION("GOOGLETRANSLATE(A48346,""en"",""pt"")"),"Assim fácil de usar, controles amigáveis, peso leve, de grande qualidade foto &amp; amp; filmes!")</f>
        <v>Assim fácil de usar, controles amigáveis, peso leve, de grande qualidade foto &amp; amp; filmes!</v>
      </c>
      <c r="B48346" s="3">
        <v>1</v>
      </c>
    </row>
    <row r="48347" ht="15.75" customHeight="1" spans="1:2">
      <c r="A48347" s="3" t="str">
        <f>IFERROR(__xludf.DUMMYFUNCTION("GOOGLETRANSLATE(A48347,""en"",""pt"")"),"câmera média")</f>
        <v>câmera média</v>
      </c>
      <c r="B48347" s="3">
        <v>1</v>
      </c>
    </row>
    <row r="48348" ht="15.75" customHeight="1" spans="1:2">
      <c r="A48348" s="3" t="str">
        <f>IFERROR(__xludf.DUMMYFUNCTION("GOOGLETRANSLATE(A48348,""en"",""pt"")"),"Preço, boas fotografias, fácil de usar")</f>
        <v>Preço, boas fotografias, fácil de usar</v>
      </c>
      <c r="B48348" s="3">
        <v>1</v>
      </c>
    </row>
    <row r="48349" ht="15.75" customHeight="1" spans="1:2">
      <c r="A48349" s="3" t="str">
        <f>IFERROR(__xludf.DUMMYFUNCTION("GOOGLETRANSLATE(A48349,""en"",""pt"")"),"muito boa qualidade de imagem para um camera.Very 2.2 megapixel, muito fácil de usar.")</f>
        <v>muito boa qualidade de imagem para um camera.Very 2.2 megapixel, muito fácil de usar.</v>
      </c>
      <c r="B48349" s="3">
        <v>1</v>
      </c>
    </row>
    <row r="48350" ht="15.75" customHeight="1" spans="1:2">
      <c r="A48350" s="3" t="str">
        <f>IFERROR(__xludf.DUMMYFUNCTION("GOOGLETRANSLATE(A48350,""en"",""pt"")"),"Realmente grande cores e imagens nítidas.")</f>
        <v>Realmente grande cores e imagens nítidas.</v>
      </c>
      <c r="B48350" s="3">
        <v>1</v>
      </c>
    </row>
    <row r="48351" ht="15.75" customHeight="1" spans="1:2">
      <c r="A48351" s="3" t="str">
        <f>IFERROR(__xludf.DUMMYFUNCTION("GOOGLETRANSLATE(A48351,""en"",""pt"")"),"Grande qualidade fotos, fácil de usar")</f>
        <v>Grande qualidade fotos, fácil de usar</v>
      </c>
      <c r="B48351" s="3">
        <v>1</v>
      </c>
    </row>
    <row r="48352" ht="15.75" customHeight="1" spans="1:2">
      <c r="A48352" s="3" t="str">
        <f>IFERROR(__xludf.DUMMYFUNCTION("GOOGLETRANSLATE(A48352,""en"",""pt"")"),"8MG Memória Interna &amp; amp; # 13; &amp; amp; # 10; Zoom Óptico &amp; amp; # 13; &amp; amp; # 10; áudio para vídeos &amp; amp; # 13; &amp; amp; # 10; pode assistir a pré-visualizações na TV")</f>
        <v>8MG Memória Interna &amp; amp; # 13; &amp; amp; # 10; Zoom Óptico &amp; amp; # 13; &amp; amp; # 10; áudio para vídeos &amp; amp; # 13; &amp; amp; # 10; pode assistir a pré-visualizações na TV</v>
      </c>
      <c r="B48352" s="3">
        <v>1</v>
      </c>
    </row>
    <row r="48353" ht="15.75" customHeight="1" spans="1:2">
      <c r="A48353" s="3" t="str">
        <f>IFERROR(__xludf.DUMMYFUNCTION("GOOGLETRANSLATE(A48353,""en"",""pt"")"),"Muito fácil de usar, barato, grandes fotos.")</f>
        <v>Muito fácil de usar, barato, grandes fotos.</v>
      </c>
      <c r="B48353" s="3">
        <v>1</v>
      </c>
    </row>
    <row r="48354" ht="15.75" customHeight="1" spans="1:2">
      <c r="A48354" s="3" t="str">
        <f>IFERROR(__xludf.DUMMYFUNCTION("GOOGLETRANSLATE(A48354,""en"",""pt"")"),"Muito fácil de usar e entender funções. Grande qualidade para o preço. Ótimo para iniciantes.")</f>
        <v>Muito fácil de usar e entender funções. Grande qualidade para o preço. Ótimo para iniciantes.</v>
      </c>
      <c r="B48354" s="3">
        <v>1</v>
      </c>
    </row>
    <row r="48355" ht="15.75" customHeight="1" spans="1:2">
      <c r="A48355" s="3" t="str">
        <f>IFERROR(__xludf.DUMMYFUNCTION("GOOGLETRANSLATE(A48355,""en"",""pt"")"),"A qualidade da imagem, menu de fácil / operação, o foco rápida / hora imagem")</f>
        <v>A qualidade da imagem, menu de fácil / operação, o foco rápida / hora imagem</v>
      </c>
      <c r="B48355" s="3">
        <v>1</v>
      </c>
    </row>
    <row r="48356" ht="15.75" customHeight="1" spans="1:2">
      <c r="A48356" s="3" t="str">
        <f>IFERROR(__xludf.DUMMYFUNCTION("GOOGLETRANSLATE(A48356,""en"",""pt"")"),"Fácil de usar, agradável Pictures, Boa duração da bateria.")</f>
        <v>Fácil de usar, agradável Pictures, Boa duração da bateria.</v>
      </c>
      <c r="B48356" s="3">
        <v>1</v>
      </c>
    </row>
    <row r="48357" ht="15.75" customHeight="1" spans="1:2">
      <c r="A48357" s="3" t="str">
        <f>IFERROR(__xludf.DUMMYFUNCTION("GOOGLETRANSLATE(A48357,""en"",""pt"")"),"Muito fácil de usar, a qualidade Grande imagem")</f>
        <v>Muito fácil de usar, a qualidade Grande imagem</v>
      </c>
      <c r="B48357" s="3">
        <v>1</v>
      </c>
    </row>
    <row r="48358" ht="15.75" customHeight="1" spans="1:2">
      <c r="A48358" s="3" t="str">
        <f>IFERROR(__xludf.DUMMYFUNCTION("GOOGLETRANSLATE(A48358,""en"",""pt"")"),"Ótimas fotos. Fácil de usar. Grande modo de filme. Muito boa câmera por um preço baixo.")</f>
        <v>Ótimas fotos. Fácil de usar. Grande modo de filme. Muito boa câmera por um preço baixo.</v>
      </c>
      <c r="B48358" s="3">
        <v>1</v>
      </c>
    </row>
    <row r="48359" ht="15.75" customHeight="1" spans="1:2">
      <c r="A48359" s="3" t="str">
        <f>IFERROR(__xludf.DUMMYFUNCTION("GOOGLETRANSLATE(A48359,""en"",""pt"")"),"Vídeo, zoom, resolução, preço, uso de memória")</f>
        <v>Vídeo, zoom, resolução, preço, uso de memória</v>
      </c>
      <c r="B48359" s="3">
        <v>1</v>
      </c>
    </row>
    <row r="48360" ht="15.75" customHeight="1" spans="1:2">
      <c r="A48360" s="3" t="str">
        <f>IFERROR(__xludf.DUMMYFUNCTION("GOOGLETRANSLATE(A48360,""en"",""pt"")"),"Grande procura fotos até 8X10")</f>
        <v>Grande procura fotos até 8X10</v>
      </c>
      <c r="B48360" s="3">
        <v>1</v>
      </c>
    </row>
    <row r="48361" ht="15.75" customHeight="1" spans="1:2">
      <c r="A48361" s="3" t="str">
        <f>IFERROR(__xludf.DUMMYFUNCTION("GOOGLETRANSLATE(A48361,""en"",""pt"")"),"software Kodak incluído. conexão USB. Fácil de usar.")</f>
        <v>software Kodak incluído. conexão USB. Fácil de usar.</v>
      </c>
      <c r="B48361" s="3">
        <v>1</v>
      </c>
    </row>
    <row r="48362" ht="15.75" customHeight="1" spans="1:2">
      <c r="A48362" s="3" t="str">
        <f>IFERROR(__xludf.DUMMYFUNCTION("GOOGLETRANSLATE(A48362,""en"",""pt"")"),"Pequeno, leve, 8-shot modo, interface simples, fácil compartilhamento USB estourar.")</f>
        <v>Pequeno, leve, 8-shot modo, interface simples, fácil compartilhamento USB estourar.</v>
      </c>
      <c r="B48362" s="3">
        <v>1</v>
      </c>
    </row>
    <row r="48363" ht="15.75" customHeight="1" spans="1:2">
      <c r="A48363" s="3" t="str">
        <f>IFERROR(__xludf.DUMMYFUNCTION("GOOGLETRANSLATE(A48363,""en"",""pt"")"),"Grande facilidade de utilização, multifuncionais, grandes recursos")</f>
        <v>Grande facilidade de utilização, multifuncionais, grandes recursos</v>
      </c>
      <c r="B48363" s="3">
        <v>1</v>
      </c>
    </row>
    <row r="48364" ht="15.75" customHeight="1" spans="1:2">
      <c r="A48364" s="3" t="str">
        <f>IFERROR(__xludf.DUMMYFUNCTION("GOOGLETRANSLATE(A48364,""en"",""pt"")"),"Preço, peso, durabilidade e desempenho")</f>
        <v>Preço, peso, durabilidade e desempenho</v>
      </c>
      <c r="B48364" s="3">
        <v>1</v>
      </c>
    </row>
    <row r="48365" ht="15.75" customHeight="1" spans="1:2">
      <c r="A48365" s="3" t="str">
        <f>IFERROR(__xludf.DUMMYFUNCTION("GOOGLETRANSLATE(A48365,""en"",""pt"")"),"pequeno, leve, tira boas fotos com pouca luz, boa vida útil da bateria")</f>
        <v>pequeno, leve, tira boas fotos com pouca luz, boa vida útil da bateria</v>
      </c>
      <c r="B48365" s="3">
        <v>1</v>
      </c>
    </row>
    <row r="48366" ht="15.75" customHeight="1" spans="1:2">
      <c r="A48366" s="3" t="str">
        <f>IFERROR(__xludf.DUMMYFUNCTION("GOOGLETRANSLATE(A48366,""en"",""pt"")"),"Fácil, portátil, parece ótimo")</f>
        <v>Fácil, portátil, parece ótimo</v>
      </c>
      <c r="B48366" s="3">
        <v>1</v>
      </c>
    </row>
    <row r="48367" ht="15.75" customHeight="1" spans="1:2">
      <c r="A48367" s="3" t="str">
        <f>IFERROR(__xludf.DUMMYFUNCTION("GOOGLETRANSLATE(A48367,""en"",""pt"")"),"Fácil, apontar e disparar. Grande software para a transferência da câmera para o PC via USB.")</f>
        <v>Fácil, apontar e disparar. Grande software para a transferência da câmera para o PC via USB.</v>
      </c>
      <c r="B48367" s="3">
        <v>1</v>
      </c>
    </row>
    <row r="48368" ht="15.75" customHeight="1" spans="1:2">
      <c r="A48368" s="3" t="str">
        <f>IFERROR(__xludf.DUMMYFUNCTION("GOOGLETRANSLATE(A48368,""en"",""pt"")"),"Muitas opções para manipulação de imagem, slot de expansão para cartão de 64MB, tiro pré-visualização na tela LCD")</f>
        <v>Muitas opções para manipulação de imagem, slot de expansão para cartão de 64MB, tiro pré-visualização na tela LCD</v>
      </c>
      <c r="B48368" s="3">
        <v>1</v>
      </c>
    </row>
    <row r="48369" ht="15.75" customHeight="1" spans="1:2">
      <c r="A48369" s="3" t="str">
        <f>IFERROR(__xludf.DUMMYFUNCTION("GOOGLETRANSLATE(A48369,""en"",""pt"")"),"Pro &amp; amp; # 146; s &amp; amp; # 9; - Simples de configurar e usar &amp; amp; # 13; &amp; amp; # 10; &amp; amp; # 13; &amp; amp; # 10;")</f>
        <v>Pro &amp; amp; # 146; s &amp; amp; # 9; - Simples de configurar e usar &amp; amp; # 13; &amp; amp; # 10; &amp; amp; # 13; &amp; amp; # 10;</v>
      </c>
      <c r="B48369" s="3">
        <v>1</v>
      </c>
    </row>
    <row r="48370" ht="15.75" customHeight="1" spans="1:2">
      <c r="A48370" s="3" t="str">
        <f>IFERROR(__xludf.DUMMYFUNCTION("GOOGLETRANSLATE(A48370,""en"",""pt"")"),"Facilidade de Qualidade uso de saída e Reputação")</f>
        <v>Facilidade de Qualidade uso de saída e Reputação</v>
      </c>
      <c r="B48370" s="3">
        <v>1</v>
      </c>
    </row>
    <row r="48371" ht="15.75" customHeight="1" spans="1:2">
      <c r="A48371" s="3" t="str">
        <f>IFERROR(__xludf.DUMMYFUNCTION("GOOGLETRANSLATE(A48371,""en"",""pt"")"),"Excelente qualidade de imagem, boa bateria, fácil de usar")</f>
        <v>Excelente qualidade de imagem, boa bateria, fácil de usar</v>
      </c>
      <c r="B48371" s="3">
        <v>1</v>
      </c>
    </row>
    <row r="48372" ht="15.75" customHeight="1" spans="1:2">
      <c r="A48372" s="3" t="str">
        <f>IFERROR(__xludf.DUMMYFUNCTION("GOOGLETRANSLATE(A48372,""en"",""pt"")"),"Esta câmera foi o modelo 3.1 megapixel mais acessível que eu encontrei.")</f>
        <v>Esta câmera foi o modelo 3.1 megapixel mais acessível que eu encontrei.</v>
      </c>
      <c r="B48372" s="3">
        <v>1</v>
      </c>
    </row>
    <row r="48373" ht="15.75" customHeight="1" spans="1:2">
      <c r="A48373" s="3" t="str">
        <f>IFERROR(__xludf.DUMMYFUNCTION("GOOGLETRANSLATE(A48373,""en"",""pt"")"),"Uma câmera muito simples de operar, não muitos recursos ou configurações para dominar")</f>
        <v>Uma câmera muito simples de operar, não muitos recursos ou configurações para dominar</v>
      </c>
      <c r="B48373" s="3">
        <v>1</v>
      </c>
    </row>
    <row r="48374" ht="15.75" customHeight="1" spans="1:2">
      <c r="A48374" s="3" t="str">
        <f>IFERROR(__xludf.DUMMYFUNCTION("GOOGLETRANSLATE(A48374,""en"",""pt"")"),"Fácil de usar, Grandes fotos")</f>
        <v>Fácil de usar, Grandes fotos</v>
      </c>
      <c r="B48374" s="3">
        <v>1</v>
      </c>
    </row>
    <row r="48375" ht="15.75" customHeight="1" spans="1:2">
      <c r="A48375" s="3" t="str">
        <f>IFERROR(__xludf.DUMMYFUNCTION("GOOGLETRANSLATE(A48375,""en"",""pt"")"),"Boa qualidade de imagem, facilidade de uso, construção sólida, slot para cartão de memória, 3 configurações de qualidade.")</f>
        <v>Boa qualidade de imagem, facilidade de uso, construção sólida, slot para cartão de memória, 3 configurações de qualidade.</v>
      </c>
      <c r="B48375" s="3">
        <v>1</v>
      </c>
    </row>
    <row r="48376" ht="15.75" customHeight="1" spans="1:2">
      <c r="A48376" s="3" t="str">
        <f>IFERROR(__xludf.DUMMYFUNCTION("GOOGLETRANSLATE(A48376,""en"",""pt"")"),"software e câmera são bastante fácil para qualquer um para operar")</f>
        <v>software e câmera são bastante fácil para qualquer um para operar</v>
      </c>
      <c r="B48376" s="3">
        <v>1</v>
      </c>
    </row>
    <row r="48377" ht="15.75" customHeight="1" spans="1:2">
      <c r="A48377" s="3" t="str">
        <f>IFERROR(__xludf.DUMMYFUNCTION("GOOGLETRANSLATE(A48377,""en"",""pt"")"),"Pequeno, leve, grande qualidade de imagem")</f>
        <v>Pequeno, leve, grande qualidade de imagem</v>
      </c>
      <c r="B48377" s="3">
        <v>1</v>
      </c>
    </row>
    <row r="48378" ht="15.75" customHeight="1" spans="1:2">
      <c r="A48378" s="3" t="str">
        <f>IFERROR(__xludf.DUMMYFUNCTION("GOOGLETRANSLATE(A48378,""en"",""pt"")"),"qualidade compacto, leve e boa")</f>
        <v>qualidade compacto, leve e boa</v>
      </c>
      <c r="B48378" s="3">
        <v>1</v>
      </c>
    </row>
    <row r="48379" ht="15.75" customHeight="1" spans="1:2">
      <c r="A48379" s="3" t="str">
        <f>IFERROR(__xludf.DUMMYFUNCTION("GOOGLETRANSLATE(A48379,""en"",""pt"")"),"Imagens nítidas, fácil de usar")</f>
        <v>Imagens nítidas, fácil de usar</v>
      </c>
      <c r="B48379" s="3">
        <v>1</v>
      </c>
    </row>
    <row r="48380" ht="15.75" customHeight="1" spans="1:2">
      <c r="A48380" s="3" t="str">
        <f>IFERROR(__xludf.DUMMYFUNCTION("GOOGLETRANSLATE(A48380,""en"",""pt"")"),"É fácil de manusear.")</f>
        <v>É fácil de manusear.</v>
      </c>
      <c r="B48380" s="3">
        <v>1</v>
      </c>
    </row>
    <row r="48381" ht="15.75" customHeight="1" spans="1:2">
      <c r="A48381" s="3" t="str">
        <f>IFERROR(__xludf.DUMMYFUNCTION("GOOGLETRANSLATE(A48381,""en"",""pt"")"),"Com a doca, que é bastante fácil de fazer upload de fotos para o computador")</f>
        <v>Com a doca, que é bastante fácil de fazer upload de fotos para o computador</v>
      </c>
      <c r="B48381" s="3">
        <v>1</v>
      </c>
    </row>
    <row r="48382" ht="15.75" customHeight="1" spans="1:2">
      <c r="A48382" s="3" t="str">
        <f>IFERROR(__xludf.DUMMYFUNCTION("GOOGLETRANSLATE(A48382,""en"",""pt"")"),"Fácil de usar com resultados melhores do que fotografias esperados.")</f>
        <v>Fácil de usar com resultados melhores do que fotografias esperados.</v>
      </c>
      <c r="B48382" s="3">
        <v>1</v>
      </c>
    </row>
    <row r="48383" ht="15.75" customHeight="1" spans="1:2">
      <c r="A48383" s="3" t="str">
        <f>IFERROR(__xludf.DUMMYFUNCTION("GOOGLETRANSLATE(A48383,""en"",""pt"")"),"Ela produz uma grande foto de qualidade.")</f>
        <v>Ela produz uma grande foto de qualidade.</v>
      </c>
      <c r="B48383" s="3">
        <v>1</v>
      </c>
    </row>
    <row r="48384" ht="15.75" customHeight="1" spans="1:2">
      <c r="A48384" s="3" t="str">
        <f>IFERROR(__xludf.DUMMYFUNCTION("GOOGLETRANSLATE(A48384,""en"",""pt"")"),"Very Nice qualidade de imagem, bom valor, capacidade Slideshow na TV !!!")</f>
        <v>Very Nice qualidade de imagem, bom valor, capacidade Slideshow na TV !!!</v>
      </c>
      <c r="B48384" s="3">
        <v>1</v>
      </c>
    </row>
    <row r="48385" ht="15.75" customHeight="1" spans="1:2">
      <c r="A48385" s="3" t="str">
        <f>IFERROR(__xludf.DUMMYFUNCTION("GOOGLETRANSLATE(A48385,""en"",""pt"")"),"Muito fácil de usar, boa qualidade de imagem impressa, o preço à direita.")</f>
        <v>Muito fácil de usar, boa qualidade de imagem impressa, o preço à direita.</v>
      </c>
      <c r="B48385" s="3">
        <v>1</v>
      </c>
    </row>
    <row r="48386" ht="15.75" customHeight="1" spans="1:2">
      <c r="A48386" s="3" t="str">
        <f>IFERROR(__xludf.DUMMYFUNCTION("GOOGLETRANSLATE(A48386,""en"",""pt"")"),"Fácil de transferir para o computador; grande para e-mail e compartilhar fotos; Bateria")</f>
        <v>Fácil de transferir para o computador; grande para e-mail e compartilhar fotos; Bateria</v>
      </c>
      <c r="B48386" s="3">
        <v>1</v>
      </c>
    </row>
    <row r="48387" ht="15.75" customHeight="1" spans="1:2">
      <c r="A48387" s="3" t="str">
        <f>IFERROR(__xludf.DUMMYFUNCTION("GOOGLETRANSLATE(A48387,""en"",""pt"")"),"Fácil de usar, ótimas fotos")</f>
        <v>Fácil de usar, ótimas fotos</v>
      </c>
      <c r="B48387" s="3">
        <v>1</v>
      </c>
    </row>
    <row r="48388" ht="15.75" customHeight="1" spans="1:2">
      <c r="A48388" s="3" t="str">
        <f>IFERROR(__xludf.DUMMYFUNCTION("GOOGLETRANSLATE(A48388,""en"",""pt"")"),"Fácil de usar, prova de idiota")</f>
        <v>Fácil de usar, prova de idiota</v>
      </c>
      <c r="B48388" s="3">
        <v>1</v>
      </c>
    </row>
    <row r="48389" ht="15.75" customHeight="1" spans="1:2">
      <c r="A48389" s="3" t="str">
        <f>IFERROR(__xludf.DUMMYFUNCTION("GOOGLETRANSLATE(A48389,""en"",""pt"")"),"Extremamente fácil de usar, ágil, vida útil da bateria (2xAA), características úteis, qualidade de imagem, longos tempos de exposição.")</f>
        <v>Extremamente fácil de usar, ágil, vida útil da bateria (2xAA), características úteis, qualidade de imagem, longos tempos de exposição.</v>
      </c>
      <c r="B48389" s="3">
        <v>1</v>
      </c>
    </row>
    <row r="48390" ht="15.75" customHeight="1" spans="1:2">
      <c r="A48390" s="3" t="str">
        <f>IFERROR(__xludf.DUMMYFUNCTION("GOOGLETRANSLATE(A48390,""en"",""pt"")"),"Baixo preço para a câmera 3MegaPix. Fácil de usar. Usa apenas 2 pilhas AA.")</f>
        <v>Baixo preço para a câmera 3MegaPix. Fácil de usar. Usa apenas 2 pilhas AA.</v>
      </c>
      <c r="B48390" s="3">
        <v>1</v>
      </c>
    </row>
    <row r="48391" ht="15.75" customHeight="1" spans="1:2">
      <c r="A48391" s="3" t="str">
        <f>IFERROR(__xludf.DUMMYFUNCTION("GOOGLETRANSLATE(A48391,""en"",""pt"")"),"Qualidade e tamanho.")</f>
        <v>Qualidade e tamanho.</v>
      </c>
      <c r="B48391" s="3">
        <v>1</v>
      </c>
    </row>
    <row r="48392" ht="15.75" customHeight="1" spans="1:2">
      <c r="A48392" s="3" t="str">
        <f>IFERROR(__xludf.DUMMYFUNCTION("GOOGLETRANSLATE(A48392,""en"",""pt"")"),"Fácil de usar, excelente qualidade de imagem, a unidade de encaixe")</f>
        <v>Fácil de usar, excelente qualidade de imagem, a unidade de encaixe</v>
      </c>
      <c r="B48392" s="3">
        <v>1</v>
      </c>
    </row>
    <row r="48393" ht="15.75" customHeight="1" spans="1:2">
      <c r="A48393" s="3" t="str">
        <f>IFERROR(__xludf.DUMMYFUNCTION("GOOGLETRANSLATE(A48393,""en"",""pt"")"),"Extremamente fácil de usar, imagens de boa qualidade")</f>
        <v>Extremamente fácil de usar, imagens de boa qualidade</v>
      </c>
      <c r="B48393" s="3">
        <v>1</v>
      </c>
    </row>
    <row r="48394" ht="15.75" customHeight="1" spans="1:2">
      <c r="A48394" s="3" t="str">
        <f>IFERROR(__xludf.DUMMYFUNCTION("GOOGLETRANSLATE(A48394,""en"",""pt"")"),"muito fácil de aprender e usar. Ótimas fotos")</f>
        <v>muito fácil de aprender e usar. Ótimas fotos</v>
      </c>
      <c r="B48394" s="3">
        <v>1</v>
      </c>
    </row>
    <row r="48395" ht="15.75" customHeight="1" spans="1:2">
      <c r="A48395" s="3" t="str">
        <f>IFERROR(__xludf.DUMMYFUNCTION("GOOGLETRANSLATE(A48395,""en"",""pt"")"),"Pequeno e fácil de transportar, ótimo software, multi-purpose")</f>
        <v>Pequeno e fácil de transportar, ótimo software, multi-purpose</v>
      </c>
      <c r="B48395" s="3">
        <v>1</v>
      </c>
    </row>
    <row r="48396" ht="15.75" customHeight="1" spans="1:2">
      <c r="A48396" s="3" t="str">
        <f>IFERROR(__xludf.DUMMYFUNCTION("GOOGLETRANSLATE(A48396,""en"",""pt"")"),"Fácil de usar, tem tampa da lente!")</f>
        <v>Fácil de usar, tem tampa da lente!</v>
      </c>
      <c r="B48396" s="3">
        <v>1</v>
      </c>
    </row>
    <row r="48397" ht="15.75" customHeight="1" spans="1:2">
      <c r="A48397" s="3" t="str">
        <f>IFERROR(__xludf.DUMMYFUNCTION("GOOGLETRANSLATE(A48397,""en"",""pt"")"),"Fácil de usar, imagem excelente qualidade de imagem, bom preço. Vale o seu dinheiro!")</f>
        <v>Fácil de usar, imagem excelente qualidade de imagem, bom preço. Vale o seu dinheiro!</v>
      </c>
      <c r="B48397" s="3">
        <v>1</v>
      </c>
    </row>
    <row r="48398" ht="15.75" customHeight="1" spans="1:2">
      <c r="A48398" s="3" t="str">
        <f>IFERROR(__xludf.DUMMYFUNCTION("GOOGLETRANSLATE(A48398,""en"",""pt"")"),"vida útil da bateria Extremamente longa com o CRV")</f>
        <v>vida útil da bateria Extremamente longa com o CRV</v>
      </c>
      <c r="B48398" s="3">
        <v>1</v>
      </c>
    </row>
    <row r="48399" ht="15.75" customHeight="1" spans="1:2">
      <c r="A48399" s="3" t="str">
        <f>IFERROR(__xludf.DUMMYFUNCTION("GOOGLETRANSLATE(A48399,""en"",""pt"")"),"Fácil de usar")</f>
        <v>Fácil de usar</v>
      </c>
      <c r="B48399" s="3">
        <v>1</v>
      </c>
    </row>
    <row r="48400" ht="15.75" customHeight="1" spans="1:2">
      <c r="A48400" s="3" t="str">
        <f>IFERROR(__xludf.DUMMYFUNCTION("GOOGLETRANSLATE(A48400,""en"",""pt"")"),"preço, cartão CF padrão, AA, compacto, rápido e muito mais")</f>
        <v>preço, cartão CF padrão, AA, compacto, rápido e muito mais</v>
      </c>
      <c r="B48400" s="3">
        <v>1</v>
      </c>
    </row>
    <row r="48401" ht="15.75" customHeight="1" spans="1:2">
      <c r="A48401" s="3" t="str">
        <f>IFERROR(__xludf.DUMMYFUNCTION("GOOGLETRANSLATE(A48401,""en"",""pt"")"),"Fácil de usar, pequena qualidade, decente.")</f>
        <v>Fácil de usar, pequena qualidade, decente.</v>
      </c>
      <c r="B48401" s="3">
        <v>1</v>
      </c>
    </row>
    <row r="48402" ht="15.75" customHeight="1" spans="1:2">
      <c r="A48402" s="3" t="str">
        <f>IFERROR(__xludf.DUMMYFUNCTION("GOOGLETRANSLATE(A48402,""en"",""pt"")"),"qualidade Kodak e reputação; Leve e fácil de usar; Boa duração da bateria.")</f>
        <v>qualidade Kodak e reputação; Leve e fácil de usar; Boa duração da bateria.</v>
      </c>
      <c r="B48402" s="3">
        <v>1</v>
      </c>
    </row>
    <row r="48403" ht="15.75" customHeight="1" spans="1:2">
      <c r="A48403" s="3" t="str">
        <f>IFERROR(__xludf.DUMMYFUNCTION("GOOGLETRANSLATE(A48403,""en"",""pt"")"),"berço Handy")</f>
        <v>berço Handy</v>
      </c>
      <c r="B48403" s="3">
        <v>1</v>
      </c>
    </row>
    <row r="48404" ht="15.75" customHeight="1" spans="1:2">
      <c r="A48404" s="3" t="str">
        <f>IFERROR(__xludf.DUMMYFUNCTION("GOOGLETRANSLATE(A48404,""en"",""pt"")"),"conjunto de recursos poderosos, bom valor.")</f>
        <v>conjunto de recursos poderosos, bom valor.</v>
      </c>
      <c r="B48404" s="3">
        <v>1</v>
      </c>
    </row>
    <row r="48405" ht="15.75" customHeight="1" spans="1:2">
      <c r="A48405" s="3" t="str">
        <f>IFERROR(__xludf.DUMMYFUNCTION("GOOGLETRANSLATE(A48405,""en"",""pt"")"),"Pequeno &amp; amp; , Operação simples e direta de luz")</f>
        <v>Pequeno &amp; amp; , Operação simples e direta de luz</v>
      </c>
      <c r="B48405" s="3">
        <v>1</v>
      </c>
    </row>
    <row r="48406" ht="15.75" customHeight="1" spans="1:2">
      <c r="A48406" s="3" t="str">
        <f>IFERROR(__xludf.DUMMYFUNCTION("GOOGLETRANSLATE(A48406,""en"",""pt"")"),"Compact, a vida boa bateria, muito básico de usar")</f>
        <v>Compact, a vida boa bateria, muito básico de usar</v>
      </c>
      <c r="B48406" s="3">
        <v>1</v>
      </c>
    </row>
    <row r="48407" ht="15.75" customHeight="1" spans="1:2">
      <c r="A48407" s="3" t="str">
        <f>IFERROR(__xludf.DUMMYFUNCTION("GOOGLETRANSLATE(A48407,""en"",""pt"")"),"integridade A cor da imagem é grande., A vida da bateria é longa (70 imagens)")</f>
        <v>integridade A cor da imagem é grande., A vida da bateria é longa (70 imagens)</v>
      </c>
      <c r="B48407" s="3">
        <v>1</v>
      </c>
    </row>
    <row r="48408" ht="15.75" customHeight="1" spans="1:2">
      <c r="A48408" s="3" t="str">
        <f>IFERROR(__xludf.DUMMYFUNCTION("GOOGLETRANSLATE(A48408,""en"",""pt"")"),"boa qualidade de imagem, fácil de usar, se encaixa em qualquer lugar")</f>
        <v>boa qualidade de imagem, fácil de usar, se encaixa em qualquer lugar</v>
      </c>
      <c r="B48408" s="3">
        <v>1</v>
      </c>
    </row>
    <row r="48409" ht="15.75" customHeight="1" spans="1:2">
      <c r="A48409" s="3" t="str">
        <f>IFERROR(__xludf.DUMMYFUNCTION("GOOGLETRANSLATE(A48409,""en"",""pt"")"),"Ótima câmera. Grandes fotos tiradas. Grande visor.")</f>
        <v>Ótima câmera. Grandes fotos tiradas. Grande visor.</v>
      </c>
      <c r="B48409" s="3">
        <v>1</v>
      </c>
    </row>
    <row r="48410" ht="15.75" customHeight="1" spans="1:2">
      <c r="A48410" s="3" t="str">
        <f>IFERROR(__xludf.DUMMYFUNCTION("GOOGLETRANSLATE(A48410,""en"",""pt"")"),"Muito fácil de usar, transferência de imagem rápida, fácil de ler menus, display de alta qualidade.")</f>
        <v>Muito fácil de usar, transferência de imagem rápida, fácil de ler menus, display de alta qualidade.</v>
      </c>
      <c r="B48410" s="3">
        <v>1</v>
      </c>
    </row>
    <row r="48411" ht="15.75" customHeight="1" spans="1:2">
      <c r="A48411" s="3" t="str">
        <f>IFERROR(__xludf.DUMMYFUNCTION("GOOGLETRANSLATE(A48411,""en"",""pt"")"),"Fácil de usar, compacto, de grande qualidade à luz do dia, a transferência simples, menus fáceis.")</f>
        <v>Fácil de usar, compacto, de grande qualidade à luz do dia, a transferência simples, menus fáceis.</v>
      </c>
      <c r="B48411" s="3">
        <v>1</v>
      </c>
    </row>
    <row r="48412" ht="15.75" customHeight="1" spans="1:2">
      <c r="A48412" s="3" t="str">
        <f>IFERROR(__xludf.DUMMYFUNCTION("GOOGLETRANSLATE(A48412,""en"",""pt"")"),"fácil de usar")</f>
        <v>fácil de usar</v>
      </c>
      <c r="B48412" s="3">
        <v>1</v>
      </c>
    </row>
    <row r="48413" ht="15.75" customHeight="1" spans="1:2">
      <c r="A48413" s="3" t="str">
        <f>IFERROR(__xludf.DUMMYFUNCTION("GOOGLETRANSLATE(A48413,""en"",""pt"")"),"Fácil fácil de usar. câmera pouco sólida")</f>
        <v>Fácil fácil de usar. câmera pouco sólida</v>
      </c>
      <c r="B48413" s="3">
        <v>1</v>
      </c>
    </row>
    <row r="48414" ht="15.75" customHeight="1" spans="1:2">
      <c r="A48414" s="3" t="str">
        <f>IFERROR(__xludf.DUMMYFUNCTION("GOOGLETRANSLATE(A48414,""en"",""pt"")"),"Fácil de Usar &amp; amp; # 13; &amp; amp; # 10; &amp; amp; # 13; &amp; amp; # 10; Grande Software &amp; amp; # 13; &amp; amp; # 10; &amp; amp; # 13; &amp; amp; # 10;")</f>
        <v>Fácil de Usar &amp; amp; # 13; &amp; amp; # 10; &amp; amp; # 13; &amp; amp; # 10; Grande Software &amp; amp; # 13; &amp; amp; # 10; &amp; amp; # 13; &amp; amp; # 10;</v>
      </c>
      <c r="B48414" s="3">
        <v>1</v>
      </c>
    </row>
    <row r="48415" ht="15.75" customHeight="1" spans="1:2">
      <c r="A48415" s="3" t="str">
        <f>IFERROR(__xludf.DUMMYFUNCTION("GOOGLETRANSLATE(A48415,""en"",""pt"")"),"cor agradável, fácil, compacto, usa CF, bateria AA e USB, exposição longa")</f>
        <v>cor agradável, fácil, compacto, usa CF, bateria AA e USB, exposição longa</v>
      </c>
      <c r="B48415" s="3">
        <v>1</v>
      </c>
    </row>
    <row r="48416" ht="15.75" customHeight="1" spans="1:2">
      <c r="A48416" s="3" t="str">
        <f>IFERROR(__xludf.DUMMYFUNCTION("GOOGLETRANSLATE(A48416,""en"",""pt"")"),"Desperdiçados $ 450 dólares - poderia ter sido pior")</f>
        <v>Desperdiçados $ 450 dólares - poderia ter sido pior</v>
      </c>
      <c r="B48416" s="3">
        <v>1</v>
      </c>
    </row>
    <row r="48417" ht="15.75" customHeight="1" spans="1:2">
      <c r="A48417" s="3" t="s">
        <v>237</v>
      </c>
      <c r="B48417" s="3">
        <v>1</v>
      </c>
    </row>
    <row r="48418" ht="15.75" customHeight="1" spans="1:2">
      <c r="A48418" s="3" t="str">
        <f>IFERROR(__xludf.DUMMYFUNCTION("GOOGLETRANSLATE(A48418,""en"",""pt"")"),"Faz tudo o que você precisa de uma câmera digital para fazer. Stills, modo de filme próximos ups")</f>
        <v>Faz tudo o que você precisa de uma câmera digital para fazer. Stills, modo de filme próximos ups</v>
      </c>
      <c r="B48418" s="3">
        <v>1</v>
      </c>
    </row>
    <row r="48419" ht="15.75" customHeight="1" spans="1:2">
      <c r="A48419" s="3" t="str">
        <f>IFERROR(__xludf.DUMMYFUNCTION("GOOGLETRANSLATE(A48419,""en"",""pt"")"),"Relativamente barato em comparação com outras câmeras digitais 3MP")</f>
        <v>Relativamente barato em comparação com outras câmeras digitais 3MP</v>
      </c>
      <c r="B48419" s="3">
        <v>1</v>
      </c>
    </row>
    <row r="48420" ht="15.75" customHeight="1" spans="1:2">
      <c r="A48420" s="3" t="str">
        <f>IFERROR(__xludf.DUMMYFUNCTION("GOOGLETRANSLATE(A48420,""en"",""pt"")"),"boa resolução, tamanho compacto, fácil de usar")</f>
        <v>boa resolução, tamanho compacto, fácil de usar</v>
      </c>
      <c r="B48420" s="3">
        <v>1</v>
      </c>
    </row>
    <row r="48421" ht="15.75" customHeight="1" spans="1:2">
      <c r="A48421" s="3" t="str">
        <f>IFERROR(__xludf.DUMMYFUNCTION("GOOGLETRANSLATE(A48421,""en"",""pt"")"),"Facilidade de uso, peso leve, baixo custo, boa qualidade de imagem / vídeo")</f>
        <v>Facilidade de uso, peso leve, baixo custo, boa qualidade de imagem / vídeo</v>
      </c>
      <c r="B48421" s="3">
        <v>1</v>
      </c>
    </row>
    <row r="48422" ht="15.75" customHeight="1" spans="1:2">
      <c r="A48422" s="3" t="str">
        <f>IFERROR(__xludf.DUMMYFUNCTION("GOOGLETRANSLATE(A48422,""en"",""pt"")"),"Acessível, imagens de alta qualidade, fácil de usar.")</f>
        <v>Acessível, imagens de alta qualidade, fácil de usar.</v>
      </c>
      <c r="B48422" s="3">
        <v>1</v>
      </c>
    </row>
    <row r="48423" ht="15.75" customHeight="1" spans="1:2">
      <c r="A48423" s="3" t="str">
        <f>IFERROR(__xludf.DUMMYFUNCTION("GOOGLETRANSLATE(A48423,""en"",""pt"")"),"Fácil de usar, excelente qualidade de imagem, excelente interface de computador")</f>
        <v>Fácil de usar, excelente qualidade de imagem, excelente interface de computador</v>
      </c>
      <c r="B48423" s="3">
        <v>1</v>
      </c>
    </row>
    <row r="48424" ht="15.75" customHeight="1" spans="1:2">
      <c r="A48424" s="3" t="str">
        <f>IFERROR(__xludf.DUMMYFUNCTION("GOOGLETRANSLATE(A48424,""en"",""pt"")"),"Excelente qualidade de imagem, fácil de usar")</f>
        <v>Excelente qualidade de imagem, fácil de usar</v>
      </c>
      <c r="B48424" s="3">
        <v>1</v>
      </c>
    </row>
    <row r="48425" ht="15.75" customHeight="1" spans="1:2">
      <c r="A48425" s="3" t="str">
        <f>IFERROR(__xludf.DUMMYFUNCTION("GOOGLETRANSLATE(A48425,""en"",""pt"")"),"Fácil de usar / menus. Aceita pilhas AA., 16MB de memória interna. display LCD grande Nice.")</f>
        <v>Fácil de usar / menus. Aceita pilhas AA., 16MB de memória interna. display LCD grande Nice.</v>
      </c>
      <c r="B48425" s="3">
        <v>1</v>
      </c>
    </row>
    <row r="48426" ht="15.75" customHeight="1" spans="1:2">
      <c r="A48426" s="3" t="str">
        <f>IFERROR(__xludf.DUMMYFUNCTION("GOOGLETRANSLATE(A48426,""en"",""pt"")"),"Facilidade de uso, qualidade fotográfica, filmes com som, zoom, recarga rápida, recursos")</f>
        <v>Facilidade de uso, qualidade fotográfica, filmes com som, zoom, recarga rápida, recursos</v>
      </c>
      <c r="B48426" s="3">
        <v>1</v>
      </c>
    </row>
    <row r="48427" ht="15.75" customHeight="1" spans="1:2">
      <c r="A48427" s="3" t="str">
        <f>IFERROR(__xludf.DUMMYFUNCTION("GOOGLETRANSLATE(A48427,""en"",""pt"")"),"Fácil de usar, imagens de boa qualidade, bom vídeo, também.")</f>
        <v>Fácil de usar, imagens de boa qualidade, bom vídeo, também.</v>
      </c>
      <c r="B48427" s="3">
        <v>1</v>
      </c>
    </row>
    <row r="48428" ht="15.75" customHeight="1" spans="1:2">
      <c r="A48428" s="3" t="str">
        <f>IFERROR(__xludf.DUMMYFUNCTION("GOOGLETRANSLATE(A48428,""en"",""pt"")"),"Resolução agradável, boa sensação na mão, bom preço")</f>
        <v>Resolução agradável, boa sensação na mão, bom preço</v>
      </c>
      <c r="B48428" s="3">
        <v>1</v>
      </c>
    </row>
    <row r="48429" ht="15.75" customHeight="1" spans="1:2">
      <c r="A48429" s="3" t="str">
        <f>IFERROR(__xludf.DUMMYFUNCTION("GOOGLETRANSLATE(A48429,""en"",""pt"")"),"Imagens fantásticas")</f>
        <v>Imagens fantásticas</v>
      </c>
      <c r="B48429" s="3">
        <v>1</v>
      </c>
    </row>
    <row r="48430" ht="15.75" customHeight="1" spans="1:2">
      <c r="A48430" s="3" t="str">
        <f>IFERROR(__xludf.DUMMYFUNCTION("GOOGLETRANSLATE(A48430,""en"",""pt"")"),"Grande Ponto 'N Shoot. Ótimas fotos. O software é fácil de usar e intuitivo.")</f>
        <v>Grande Ponto 'N Shoot. Ótimas fotos. O software é fácil de usar e intuitivo.</v>
      </c>
      <c r="B48430" s="3">
        <v>1</v>
      </c>
    </row>
    <row r="48431" ht="15.75" customHeight="1" spans="1:2">
      <c r="A48431" s="3" t="str">
        <f>IFERROR(__xludf.DUMMYFUNCTION("GOOGLETRANSLATE(A48431,""en"",""pt"")"),"Amigável, grandes fotos de até 14x11 de. Grande zoom.")</f>
        <v>Amigável, grandes fotos de até 14x11 de. Grande zoom.</v>
      </c>
      <c r="B48431" s="3">
        <v>1</v>
      </c>
    </row>
    <row r="48432" ht="15.75" customHeight="1" spans="1:2">
      <c r="A48432" s="3" t="str">
        <f>IFERROR(__xludf.DUMMYFUNCTION("GOOGLETRANSLATE(A48432,""en"",""pt"")"),"muito acessível, mais barato do que usar filme. A opção de exclusão !!")</f>
        <v>muito acessível, mais barato do que usar filme. A opção de exclusão !!</v>
      </c>
      <c r="B48432" s="3">
        <v>1</v>
      </c>
    </row>
    <row r="48433" ht="15.75" customHeight="1" spans="1:2">
      <c r="A48433" s="3" t="str">
        <f>IFERROR(__xludf.DUMMYFUNCTION("GOOGLETRANSLATE(A48433,""en"",""pt"")"),"Excelente câmera do Mid-Nível Digital para amadores profissional ou diversão em família.")</f>
        <v>Excelente câmera do Mid-Nível Digital para amadores profissional ou diversão em família.</v>
      </c>
      <c r="B48433" s="3">
        <v>1</v>
      </c>
    </row>
    <row r="48434" ht="15.75" customHeight="1" spans="1:2">
      <c r="A48434" s="3" t="str">
        <f>IFERROR(__xludf.DUMMYFUNCTION("GOOGLETRANSLATE(A48434,""en"",""pt"")"),"Facilidade de utilização, durabilidade, preço em comparação com outras câmeras 3Mpx")</f>
        <v>Facilidade de utilização, durabilidade, preço em comparação com outras câmeras 3Mpx</v>
      </c>
      <c r="B48434" s="3">
        <v>1</v>
      </c>
    </row>
    <row r="48435" ht="15.75" customHeight="1" spans="1:2">
      <c r="A48435" s="3" t="str">
        <f>IFERROR(__xludf.DUMMYFUNCTION("GOOGLETRANSLATE(A48435,""en"",""pt"")"),"Muito bom preço para os recursos. Especialmente o 3x zoom óptico.")</f>
        <v>Muito bom preço para os recursos. Especialmente o 3x zoom óptico.</v>
      </c>
      <c r="B48435" s="3">
        <v>1</v>
      </c>
    </row>
    <row r="48436" ht="15.75" customHeight="1" spans="1:2">
      <c r="A48436" s="3" t="str">
        <f>IFERROR(__xludf.DUMMYFUNCTION("GOOGLETRANSLATE(A48436,""en"",""pt"")"),"Muito fácil de usar. Eu gostei das várias definições que oferece.")</f>
        <v>Muito fácil de usar. Eu gostei das várias definições que oferece.</v>
      </c>
      <c r="B48436" s="3">
        <v>1</v>
      </c>
    </row>
    <row r="48437" ht="15.75" customHeight="1" spans="1:2">
      <c r="A48437" s="3" t="str">
        <f>IFERROR(__xludf.DUMMYFUNCTION("GOOGLETRANSLATE(A48437,""en"",""pt"")"),"Muito fácil de usar, ótimo qualidade de imagem, vídeo com áudio é um ótimo recurso")</f>
        <v>Muito fácil de usar, ótimo qualidade de imagem, vídeo com áudio é um ótimo recurso</v>
      </c>
      <c r="B48437" s="3">
        <v>1</v>
      </c>
    </row>
    <row r="48438" ht="15.75" customHeight="1" spans="1:2">
      <c r="A48438" s="3" t="str">
        <f>IFERROR(__xludf.DUMMYFUNCTION("GOOGLETRANSLATE(A48438,""en"",""pt"")"),"Fácil e imagens de grande qualidade")</f>
        <v>Fácil e imagens de grande qualidade</v>
      </c>
      <c r="B48438" s="3">
        <v>1</v>
      </c>
    </row>
    <row r="48439" ht="15.75" customHeight="1" spans="1:2">
      <c r="A48439" s="3" t="str">
        <f>IFERROR(__xludf.DUMMYFUNCTION("GOOGLETRANSLATE(A48439,""en"",""pt"")"),"Muito simples de usar. Fotos vir muito clara.")</f>
        <v>Muito simples de usar. Fotos vir muito clara.</v>
      </c>
      <c r="B48439" s="3">
        <v>1</v>
      </c>
    </row>
    <row r="48440" ht="15.75" customHeight="1" spans="1:2">
      <c r="A48440" s="3" t="str">
        <f>IFERROR(__xludf.DUMMYFUNCTION("GOOGLETRANSLATE(A48440,""en"",""pt"")"),"Fácil de usar, boa imagem clara, um bom software.")</f>
        <v>Fácil de usar, boa imagem clara, um bom software.</v>
      </c>
      <c r="B48440" s="3">
        <v>1</v>
      </c>
    </row>
    <row r="48441" ht="15.75" customHeight="1" spans="1:2">
      <c r="A48441" s="3" t="str">
        <f>IFERROR(__xludf.DUMMYFUNCTION("GOOGLETRANSLATE(A48441,""en"",""pt"")"),"A qualidade da imagem é apenas tão bom quanto as câmeras megapixil mais elevados, e é mais barato.")</f>
        <v>A qualidade da imagem é apenas tão bom quanto as câmeras megapixil mais elevados, e é mais barato.</v>
      </c>
      <c r="B48441" s="3">
        <v>1</v>
      </c>
    </row>
    <row r="48442" ht="15.75" customHeight="1" spans="1:2">
      <c r="A48442" s="3" t="str">
        <f>IFERROR(__xludf.DUMMYFUNCTION("GOOGLETRANSLATE(A48442,""en"",""pt"")"),"Boa qualidade de imagem para a compressão JPG")</f>
        <v>Boa qualidade de imagem para a compressão JPG</v>
      </c>
      <c r="B48442" s="3">
        <v>1</v>
      </c>
    </row>
    <row r="48443" ht="15.75" customHeight="1" spans="1:2">
      <c r="A48443" s="3" t="s">
        <v>238</v>
      </c>
      <c r="B48443" s="3">
        <v>1</v>
      </c>
    </row>
    <row r="48444" ht="15.75" customHeight="1" spans="1:2">
      <c r="A48444" s="3" t="str">
        <f>IFERROR(__xludf.DUMMYFUNCTION("GOOGLETRANSLATE(A48444,""en"",""pt"")"),"3.1 MP / Zoom Óptico 3x e Acessível")</f>
        <v>3.1 MP / Zoom Óptico 3x e Acessível</v>
      </c>
      <c r="B48444" s="3">
        <v>1</v>
      </c>
    </row>
    <row r="48445" ht="15.75" customHeight="1" spans="1:2">
      <c r="A48445" s="3" t="str">
        <f>IFERROR(__xludf.DUMMYFUNCTION("GOOGLETRANSLATE(A48445,""en"",""pt"")"),"Grande reprodução de cores, fácil de usar, donwnload rápido para PC, pequeno e leve.")</f>
        <v>Grande reprodução de cores, fácil de usar, donwnload rápido para PC, pequeno e leve.</v>
      </c>
      <c r="B48445" s="3">
        <v>1</v>
      </c>
    </row>
    <row r="48446" ht="15.75" customHeight="1" spans="1:2">
      <c r="A48446" s="3" t="str">
        <f>IFERROR(__xludf.DUMMYFUNCTION("GOOGLETRANSLATE(A48446,""en"",""pt"")"),"Alta resolução, auto-temporizador, entrada de vídeo, grande tamanho e estilo.")</f>
        <v>Alta resolução, auto-temporizador, entrada de vídeo, grande tamanho e estilo.</v>
      </c>
      <c r="B48446" s="3">
        <v>1</v>
      </c>
    </row>
    <row r="48447" ht="15.75" customHeight="1" spans="1:2">
      <c r="A48447" s="3" t="str">
        <f>IFERROR(__xludf.DUMMYFUNCTION("GOOGLETRANSLATE(A48447,""en"",""pt"")"),"User Friendly, ótimo preço, Qualidade de saída")</f>
        <v>User Friendly, ótimo preço, Qualidade de saída</v>
      </c>
      <c r="B48447" s="3">
        <v>1</v>
      </c>
    </row>
    <row r="48448" ht="15.75" customHeight="1" spans="1:2">
      <c r="A48448" s="3" t="str">
        <f>IFERROR(__xludf.DUMMYFUNCTION("GOOGLETRANSLATE(A48448,""en"",""pt"")"),"recursos disponíveis para o preço. Fácil de usar. Incríveis close-up tiros.")</f>
        <v>recursos disponíveis para o preço. Fácil de usar. Incríveis close-up tiros.</v>
      </c>
      <c r="B48448" s="3">
        <v>1</v>
      </c>
    </row>
    <row r="48449" ht="15.75" customHeight="1" spans="1:2">
      <c r="A48449" s="3" t="str">
        <f>IFERROR(__xludf.DUMMYFUNCTION("GOOGLETRANSLATE(A48449,""en"",""pt"")"),"A 4-Megapixel Camera a um preço baixo!")</f>
        <v>A 4-Megapixel Camera a um preço baixo!</v>
      </c>
      <c r="B48449" s="3">
        <v>1</v>
      </c>
    </row>
    <row r="48450" ht="15.75" customHeight="1" spans="1:2">
      <c r="A48450" s="3" t="str">
        <f>IFERROR(__xludf.DUMMYFUNCTION("GOOGLETRANSLATE(A48450,""en"",""pt"")"),"Melhor valor para 4mg lá fora. Fácil de usar! Fácil de fazer o upload para serviços de impressora!")</f>
        <v>Melhor valor para 4mg lá fora. Fácil de usar! Fácil de fazer o upload para serviços de impressora!</v>
      </c>
      <c r="B48450" s="3">
        <v>1</v>
      </c>
    </row>
    <row r="48451" ht="15.75" customHeight="1" spans="1:2">
      <c r="A48451" s="3" t="str">
        <f>IFERROR(__xludf.DUMMYFUNCTION("GOOGLETRANSLATE(A48451,""en"",""pt"")"),"A qualidade da imagem é grande e fácil de usar")</f>
        <v>A qualidade da imagem é grande e fácil de usar</v>
      </c>
      <c r="B48451" s="3">
        <v>1</v>
      </c>
    </row>
    <row r="48452" ht="15.75" customHeight="1" spans="1:2">
      <c r="A48452" s="3" t="str">
        <f>IFERROR(__xludf.DUMMYFUNCTION("GOOGLETRANSLATE(A48452,""en"",""pt"")"),"cores vivas e agradáveis, relativa facilidade de utilização.")</f>
        <v>cores vivas e agradáveis, relativa facilidade de utilização.</v>
      </c>
      <c r="B48452" s="3">
        <v>1</v>
      </c>
    </row>
    <row r="48453" ht="15.75" customHeight="1" spans="1:2">
      <c r="A48453" s="3" t="str">
        <f>IFERROR(__xludf.DUMMYFUNCTION("GOOGLETRANSLATE(A48453,""en"",""pt"")"),"câmera de 1 High Res em um grande preço &amp; amp; # 13; &amp; amp; # 10; o apoio de 2 Grande Kodak na educação e qualidade")</f>
        <v>câmera de 1 High Res em um grande preço &amp; amp; # 13; &amp; amp; # 10; o apoio de 2 Grande Kodak na educação e qualidade</v>
      </c>
      <c r="B48453" s="3">
        <v>1</v>
      </c>
    </row>
    <row r="48454" ht="15.75" customHeight="1" spans="1:2">
      <c r="A48454" s="3" t="str">
        <f>IFERROR(__xludf.DUMMYFUNCTION("GOOGLETRANSLATE(A48454,""en"",""pt"")"),"Barato, doca conveniente, fácil de usar, aceita baterias padrão.")</f>
        <v>Barato, doca conveniente, fácil de usar, aceita baterias padrão.</v>
      </c>
      <c r="B48454" s="3">
        <v>1</v>
      </c>
    </row>
    <row r="48455" ht="15.75" customHeight="1" spans="1:2">
      <c r="A48455" s="3" t="str">
        <f>IFERROR(__xludf.DUMMYFUNCTION("GOOGLETRANSLATE(A48455,""en"",""pt"")"),"Fácil de usar e importar imagens")</f>
        <v>Fácil de usar e importar imagens</v>
      </c>
      <c r="B48455" s="3">
        <v>1</v>
      </c>
    </row>
    <row r="48456" ht="15.75" customHeight="1" spans="1:2">
      <c r="A48456" s="3" t="str">
        <f>IFERROR(__xludf.DUMMYFUNCTION("GOOGLETRANSLATE(A48456,""en"",""pt"")"),"4.0 megapixel, preço, facilidade de uso")</f>
        <v>4.0 megapixel, preço, facilidade de uso</v>
      </c>
      <c r="B48456" s="3">
        <v>1</v>
      </c>
    </row>
    <row r="48457" ht="15.75" customHeight="1" spans="1:2">
      <c r="A48457" s="3" t="str">
        <f>IFERROR(__xludf.DUMMYFUNCTION("GOOGLETRANSLATE(A48457,""en"",""pt"")"),"tamanho compacto, imagens de alta qualidade, excelente vida útil da bateria")</f>
        <v>tamanho compacto, imagens de alta qualidade, excelente vida útil da bateria</v>
      </c>
      <c r="B48457" s="3">
        <v>1</v>
      </c>
    </row>
    <row r="48458" ht="15.75" customHeight="1" spans="1:2">
      <c r="A48458" s="3" t="str">
        <f>IFERROR(__xludf.DUMMYFUNCTION("GOOGLETRANSLATE(A48458,""en"",""pt"")"),"Funciona muito bem fora da caixa, excelente qualidade de imagem, flexibilidade de bateria")</f>
        <v>Funciona muito bem fora da caixa, excelente qualidade de imagem, flexibilidade de bateria</v>
      </c>
      <c r="B48458" s="3">
        <v>1</v>
      </c>
    </row>
    <row r="48459" ht="15.75" customHeight="1" spans="1:2">
      <c r="A48459" s="3" t="str">
        <f>IFERROR(__xludf.DUMMYFUNCTION("GOOGLETRANSLATE(A48459,""en"",""pt"")"),"Facilidade de uso, acessível correia,")</f>
        <v>Facilidade de uso, acessível correia,</v>
      </c>
      <c r="B48459" s="3">
        <v>1</v>
      </c>
    </row>
    <row r="48460" ht="15.75" customHeight="1" spans="1:2">
      <c r="A48460" s="3" t="str">
        <f>IFERROR(__xludf.DUMMYFUNCTION("GOOGLETRANSLATE(A48460,""en"",""pt"")"),"Fácil de usar, ótimo Qualidade de Imagem")</f>
        <v>Fácil de usar, ótimo Qualidade de Imagem</v>
      </c>
      <c r="B48460" s="3">
        <v>1</v>
      </c>
    </row>
    <row r="48461" ht="15.75" customHeight="1" spans="1:2">
      <c r="A48461" s="3" t="str">
        <f>IFERROR(__xludf.DUMMYFUNCTION("GOOGLETRANSLATE(A48461,""en"",""pt"")"),"qualidade de imagem, tela brilhante.")</f>
        <v>qualidade de imagem, tela brilhante.</v>
      </c>
      <c r="B48461" s="3">
        <v>1</v>
      </c>
    </row>
    <row r="48462" ht="15.75" customHeight="1" spans="1:2">
      <c r="A48462" s="3" t="str">
        <f>IFERROR(__xludf.DUMMYFUNCTION("GOOGLETRANSLATE(A48462,""en"",""pt"")"),"preço, grande capacidade de zoom, grande pic. resolução")</f>
        <v>preço, grande capacidade de zoom, grande pic. resolução</v>
      </c>
      <c r="B48462" s="3">
        <v>1</v>
      </c>
    </row>
    <row r="48463" ht="15.75" customHeight="1" spans="1:2">
      <c r="A48463" s="3" t="str">
        <f>IFERROR(__xludf.DUMMYFUNCTION("GOOGLETRANSLATE(A48463,""en"",""pt"")"),"Levou-o para fora da caixa e tinha fotos no meu computador em 15 minutos !!")</f>
        <v>Levou-o para fora da caixa e tinha fotos no meu computador em 15 minutos !!</v>
      </c>
      <c r="B48463" s="3">
        <v>1</v>
      </c>
    </row>
    <row r="48464" ht="15.75" customHeight="1" spans="1:2">
      <c r="A48464" s="3" t="str">
        <f>IFERROR(__xludf.DUMMYFUNCTION("GOOGLETRANSLATE(A48464,""en"",""pt"")"),"Facilidade de operação, excelente qualidade de imagem, valor")</f>
        <v>Facilidade de operação, excelente qualidade de imagem, valor</v>
      </c>
      <c r="B48464" s="3">
        <v>1</v>
      </c>
    </row>
    <row r="48465" ht="15.75" customHeight="1" spans="1:2">
      <c r="A48465" s="3" t="str">
        <f>IFERROR(__xludf.DUMMYFUNCTION("GOOGLETRANSLATE(A48465,""en"",""pt"")"),"Ele funcionou bem durante o período de garantia")</f>
        <v>Ele funcionou bem durante o período de garantia</v>
      </c>
      <c r="B48465" s="3">
        <v>1</v>
      </c>
    </row>
    <row r="48466" ht="15.75" customHeight="1" spans="1:2">
      <c r="A48466" s="3" t="str">
        <f>IFERROR(__xludf.DUMMYFUNCTION("GOOGLETRANSLATE(A48466,""en"",""pt"")"),"excelente valor, simples de usar, tem características encontradas apenas nas câmaras mais caras")</f>
        <v>excelente valor, simples de usar, tem características encontradas apenas nas câmaras mais caras</v>
      </c>
      <c r="B48466" s="3">
        <v>1</v>
      </c>
    </row>
    <row r="48467" ht="15.75" customHeight="1" spans="1:2">
      <c r="A48467" s="3" t="str">
        <f>IFERROR(__xludf.DUMMYFUNCTION("GOOGLETRANSLATE(A48467,""en"",""pt"")"),"Boa qualidade de imagem para itens ainda. É menos de US $ 400.")</f>
        <v>Boa qualidade de imagem para itens ainda. É menos de US $ 400.</v>
      </c>
      <c r="B48467" s="3">
        <v>1</v>
      </c>
    </row>
    <row r="48468" ht="15.75" customHeight="1" spans="1:2">
      <c r="A48468" s="3" t="str">
        <f>IFERROR(__xludf.DUMMYFUNCTION("GOOGLETRANSLATE(A48468,""en"",""pt"")"),"Facilidade de uso, excelente qualidade de imagem, grande valor")</f>
        <v>Facilidade de uso, excelente qualidade de imagem, grande valor</v>
      </c>
      <c r="B48468" s="3">
        <v>1</v>
      </c>
    </row>
    <row r="48469" ht="15.75" customHeight="1" spans="1:2">
      <c r="A48469" s="3" t="str">
        <f>IFERROR(__xludf.DUMMYFUNCTION("GOOGLETRANSLATE(A48469,""en"",""pt"")"),"Fácil de configurar e usar, foco rápido, grande gama de contraste &amp; amp; cores de alta qualidade")</f>
        <v>Fácil de configurar e usar, foco rápido, grande gama de contraste &amp; amp; cores de alta qualidade</v>
      </c>
      <c r="B48469" s="3">
        <v>1</v>
      </c>
    </row>
    <row r="48470" ht="15.75" customHeight="1" spans="1:2">
      <c r="A48470" s="3" t="str">
        <f>IFERROR(__xludf.DUMMYFUNCTION("GOOGLETRANSLATE(A48470,""en"",""pt"")"),"Fácil de usar, carregado com características, pequenas e portáteis, a vida da bateria")</f>
        <v>Fácil de usar, carregado com características, pequenas e portáteis, a vida da bateria</v>
      </c>
      <c r="B48470" s="3">
        <v>1</v>
      </c>
    </row>
    <row r="48471" ht="15.75" customHeight="1" spans="1:2">
      <c r="A48471" s="3" t="str">
        <f>IFERROR(__xludf.DUMMYFUNCTION("GOOGLETRANSLATE(A48471,""en"",""pt"")"),"Fácil de usar, muitos recursos, pequenos e portáteis, e a vida da bateria, bem focado tiros")</f>
        <v>Fácil de usar, muitos recursos, pequenos e portáteis, e a vida da bateria, bem focado tiros</v>
      </c>
      <c r="B48471" s="3">
        <v>1</v>
      </c>
    </row>
    <row r="48472" ht="15.75" customHeight="1" spans="1:2">
      <c r="A48472" s="3" t="s">
        <v>239</v>
      </c>
      <c r="B48472" s="3">
        <v>1</v>
      </c>
    </row>
    <row r="48473" ht="15.75" customHeight="1" spans="1:2">
      <c r="A48473" s="3" t="str">
        <f>IFERROR(__xludf.DUMMYFUNCTION("GOOGLETRANSLATE(A48473,""en"",""pt"")"),"4 Megapixel, produz grandes imagens adequadas para impressão, bateria recarregável")</f>
        <v>4 Megapixel, produz grandes imagens adequadas para impressão, bateria recarregável</v>
      </c>
      <c r="B48473" s="3">
        <v>1</v>
      </c>
    </row>
    <row r="48474" ht="15.75" customHeight="1" spans="1:2">
      <c r="A48474" s="3" t="str">
        <f>IFERROR(__xludf.DUMMYFUNCTION("GOOGLETRANSLATE(A48474,""en"",""pt"")"),"Para aqueles que gostam da simplicidade de uma câmera digital")</f>
        <v>Para aqueles que gostam da simplicidade de uma câmera digital</v>
      </c>
      <c r="B48474" s="3">
        <v>1</v>
      </c>
    </row>
    <row r="48475" ht="15.75" customHeight="1" spans="1:2">
      <c r="A48475" s="3" t="str">
        <f>IFERROR(__xludf.DUMMYFUNCTION("GOOGLETRANSLATE(A48475,""en"",""pt"")"),"Incrível qualidade de imagem, muito fácil de usar")</f>
        <v>Incrível qualidade de imagem, muito fácil de usar</v>
      </c>
      <c r="B48475" s="3">
        <v>1</v>
      </c>
    </row>
    <row r="48476" ht="15.75" customHeight="1" spans="1:2">
      <c r="A48476" s="3" t="str">
        <f>IFERROR(__xludf.DUMMYFUNCTION("GOOGLETRANSLATE(A48476,""en"",""pt"")"),"A qualidade da imagem, preço, menus auto-explicativo")</f>
        <v>A qualidade da imagem, preço, menus auto-explicativo</v>
      </c>
      <c r="B48476" s="3">
        <v>1</v>
      </c>
    </row>
    <row r="48477" ht="15.75" customHeight="1" spans="1:2">
      <c r="A48477" s="3" t="str">
        <f>IFERROR(__xludf.DUMMYFUNCTION("GOOGLETRANSLATE(A48477,""en"",""pt"")"),"Compre! Excelente primeira câmera digital, Vem com docking station, carregador, preço justo, de grande qualidade.")</f>
        <v>Compre! Excelente primeira câmera digital, Vem com docking station, carregador, preço justo, de grande qualidade.</v>
      </c>
      <c r="B48477" s="3">
        <v>1</v>
      </c>
    </row>
    <row r="48478" ht="15.75" customHeight="1" spans="1:2">
      <c r="A48478" s="3" t="str">
        <f>IFERROR(__xludf.DUMMYFUNCTION("GOOGLETRANSLATE(A48478,""en"",""pt"")"),"Fácil de usar.")</f>
        <v>Fácil de usar.</v>
      </c>
      <c r="B48478" s="3">
        <v>1</v>
      </c>
    </row>
    <row r="48479" ht="15.75" customHeight="1" spans="1:2">
      <c r="A48479" s="3" t="str">
        <f>IFERROR(__xludf.DUMMYFUNCTION("GOOGLETRANSLATE(A48479,""en"",""pt"")"),"Fotos excelentes, muito fácil de configurar, fazer upload de imagem simples, muito alta qualidade por toda parte.")</f>
        <v>Fotos excelentes, muito fácil de configurar, fazer upload de imagem simples, muito alta qualidade por toda parte.</v>
      </c>
      <c r="B48479" s="3">
        <v>1</v>
      </c>
    </row>
    <row r="48480" ht="15.75" customHeight="1" spans="1:2">
      <c r="A48480" s="3" t="str">
        <f>IFERROR(__xludf.DUMMYFUNCTION("GOOGLETRANSLATE(A48480,""en"",""pt"")"),"fácil de configurar")</f>
        <v>fácil de configurar</v>
      </c>
      <c r="B48480" s="3">
        <v>1</v>
      </c>
    </row>
    <row r="48481" ht="15.75" customHeight="1" spans="1:2">
      <c r="A48481" s="3" t="str">
        <f>IFERROR(__xludf.DUMMYFUNCTION("GOOGLETRANSLATE(A48481,""en"",""pt"")"),"Marketing")</f>
        <v>Marketing</v>
      </c>
      <c r="B48481" s="3">
        <v>1</v>
      </c>
    </row>
    <row r="48482" ht="15.75" customHeight="1" spans="1:2">
      <c r="A48482" s="3" t="str">
        <f>IFERROR(__xludf.DUMMYFUNCTION("GOOGLETRANSLATE(A48482,""en"",""pt"")"),"Fácil de usar, boa estação de encaixe funcional")</f>
        <v>Fácil de usar, boa estação de encaixe funcional</v>
      </c>
      <c r="B48482" s="3">
        <v>1</v>
      </c>
    </row>
    <row r="48483" ht="15.75" customHeight="1" spans="1:2">
      <c r="A48483" s="3" t="str">
        <f>IFERROR(__xludf.DUMMYFUNCTION("GOOGLETRANSLATE(A48483,""en"",""pt"")"),"Um bom design e tamanho; preço; de iões de lítio bateria recarregável")</f>
        <v>Um bom design e tamanho; preço; de iões de lítio bateria recarregável</v>
      </c>
      <c r="B48483" s="3">
        <v>1</v>
      </c>
    </row>
    <row r="48484" ht="15.75" customHeight="1" spans="1:2">
      <c r="A48484" s="3" t="str">
        <f>IFERROR(__xludf.DUMMYFUNCTION("GOOGLETRANSLATE(A48484,""en"",""pt"")"),"tamanho, estação para câmera, software, muitos recursos, memória interna.")</f>
        <v>tamanho, estação para câmera, software, muitos recursos, memória interna.</v>
      </c>
      <c r="B48484" s="3">
        <v>1</v>
      </c>
    </row>
    <row r="48485" ht="15.75" customHeight="1" spans="1:2">
      <c r="A48485" s="3" t="str">
        <f>IFERROR(__xludf.DUMMYFUNCTION("GOOGLETRANSLATE(A48485,""en"",""pt"")"),"Muito fácil de usar")</f>
        <v>Muito fácil de usar</v>
      </c>
      <c r="B48485" s="3">
        <v>1</v>
      </c>
    </row>
    <row r="48486" ht="15.75" customHeight="1" spans="1:2">
      <c r="A48486" s="3" t="str">
        <f>IFERROR(__xludf.DUMMYFUNCTION("GOOGLETRANSLATE(A48486,""en"",""pt"")"),"A melhor qualidade de imagem que eu vi as câmeras em que faixa de preço!")</f>
        <v>A melhor qualidade de imagem que eu vi as câmeras em que faixa de preço!</v>
      </c>
      <c r="B48486" s="3">
        <v>1</v>
      </c>
    </row>
    <row r="48487" ht="15.75" customHeight="1" spans="1:2">
      <c r="A48487" s="3" t="str">
        <f>IFERROR(__xludf.DUMMYFUNCTION("GOOGLETRANSLATE(A48487,""en"",""pt"")"),"Qualidade de imagem, valor, fácil de usar, tamanho pequeno, bateria recarregável")</f>
        <v>Qualidade de imagem, valor, fácil de usar, tamanho pequeno, bateria recarregável</v>
      </c>
      <c r="B48487" s="3">
        <v>1</v>
      </c>
    </row>
    <row r="48488" ht="15.75" customHeight="1" spans="1:2">
      <c r="A48488" s="3" t="str">
        <f>IFERROR(__xludf.DUMMYFUNCTION("GOOGLETRANSLATE(A48488,""en"",""pt"")"),"Grande para o 1º três meses. Muito fácil de usar.")</f>
        <v>Grande para o 1º três meses. Muito fácil de usar.</v>
      </c>
      <c r="B48488" s="3">
        <v>1</v>
      </c>
    </row>
    <row r="48489" ht="15.75" customHeight="1" spans="1:2">
      <c r="A48489" s="3" t="str">
        <f>IFERROR(__xludf.DUMMYFUNCTION("GOOGLETRANSLATE(A48489,""en"",""pt"")"),"Leve, fácil utilização, versátil, fotografia de grande qualidade")</f>
        <v>Leve, fácil utilização, versátil, fotografia de grande qualidade</v>
      </c>
      <c r="B48489" s="3">
        <v>1</v>
      </c>
    </row>
    <row r="48490" ht="15.75" customHeight="1" spans="1:2">
      <c r="A48490" s="3" t="str">
        <f>IFERROR(__xludf.DUMMYFUNCTION("GOOGLETRANSLATE(A48490,""en"",""pt"")"),"Pequeno, barato, fácil de usar, características OK.")</f>
        <v>Pequeno, barato, fácil de usar, características OK.</v>
      </c>
      <c r="B48490" s="3">
        <v>1</v>
      </c>
    </row>
    <row r="48491" ht="15.75" customHeight="1" spans="1:2">
      <c r="A48491" s="3" t="str">
        <f>IFERROR(__xludf.DUMMYFUNCTION("GOOGLETRANSLATE(A48491,""en"",""pt"")"),"Baixo custo, fácil de usar, interface USB, Aceitável Qualidade de Imagem")</f>
        <v>Baixo custo, fácil de usar, interface USB, Aceitável Qualidade de Imagem</v>
      </c>
      <c r="B48491" s="3">
        <v>1</v>
      </c>
    </row>
    <row r="48492" ht="15.75" customHeight="1" spans="1:2">
      <c r="A48492" s="3" t="str">
        <f>IFERROR(__xludf.DUMMYFUNCTION("GOOGLETRANSLATE(A48492,""en"",""pt"")"),"Muito fácil de usar!")</f>
        <v>Muito fácil de usar!</v>
      </c>
      <c r="B48492" s="3">
        <v>1</v>
      </c>
    </row>
    <row r="48493" ht="15.75" customHeight="1" spans="1:2">
      <c r="A48493" s="3" t="str">
        <f>IFERROR(__xludf.DUMMYFUNCTION("GOOGLETRANSLATE(A48493,""en"",""pt"")"),"bom valor, bom preço, funciona bem,")</f>
        <v>bom valor, bom preço, funciona bem,</v>
      </c>
      <c r="B48493" s="3">
        <v>1</v>
      </c>
    </row>
    <row r="48494" ht="15.75" customHeight="1" spans="1:2">
      <c r="A48494" s="3" t="str">
        <f>IFERROR(__xludf.DUMMYFUNCTION("GOOGLETRANSLATE(A48494,""en"",""pt"")"),"Minúsculo, luz, auto-suficiente, USB, fresco")</f>
        <v>Minúsculo, luz, auto-suficiente, USB, fresco</v>
      </c>
      <c r="B48494" s="3">
        <v>1</v>
      </c>
    </row>
    <row r="48495" ht="15.75" customHeight="1" spans="1:2">
      <c r="A48495" s="3" t="str">
        <f>IFERROR(__xludf.DUMMYFUNCTION("GOOGLETRANSLATE(A48495,""en"",""pt"")"),"Cheap &amp; amp; # 13; &amp; amp; # 10; Gravar curtos vídeos")</f>
        <v>Cheap &amp; amp; # 13; &amp; amp; # 10; Gravar curtos vídeos</v>
      </c>
      <c r="B48495" s="3">
        <v>1</v>
      </c>
    </row>
    <row r="48496" ht="15.75" customHeight="1" spans="1:2">
      <c r="A48496" s="3" t="str">
        <f>IFERROR(__xludf.DUMMYFUNCTION("GOOGLETRANSLATE(A48496,""en"",""pt"")"),"Fácil de usar, compacto, leve, quantidade de fotos")</f>
        <v>Fácil de usar, compacto, leve, quantidade de fotos</v>
      </c>
      <c r="B48496" s="3">
        <v>1</v>
      </c>
    </row>
    <row r="48497" ht="15.75" customHeight="1" spans="1:2">
      <c r="A48497" s="3" t="str">
        <f>IFERROR(__xludf.DUMMYFUNCTION("GOOGLETRANSLATE(A48497,""en"",""pt"")"),"pio")</f>
        <v>pio</v>
      </c>
      <c r="B48497" s="3">
        <v>1</v>
      </c>
    </row>
    <row r="48498" ht="15.75" customHeight="1" spans="1:2">
      <c r="A48498" s="3" t="str">
        <f>IFERROR(__xludf.DUMMYFUNCTION("GOOGLETRANSLATE(A48498,""en"",""pt"")"),"tamanho, facilidade de uso, preço")</f>
        <v>tamanho, facilidade de uso, preço</v>
      </c>
      <c r="B48498" s="3">
        <v>1</v>
      </c>
    </row>
    <row r="48499" ht="15.75" customHeight="1" spans="1:2">
      <c r="A48499" s="3" t="str">
        <f>IFERROR(__xludf.DUMMYFUNCTION("GOOGLETRANSLATE(A48499,""en"",""pt"")"),"conectividade USB, de fácil operação")</f>
        <v>conectividade USB, de fácil operação</v>
      </c>
      <c r="B48499" s="3">
        <v>1</v>
      </c>
    </row>
    <row r="48500" ht="15.75" customHeight="1" spans="1:2">
      <c r="A48500" s="3" t="str">
        <f>IFERROR(__xludf.DUMMYFUNCTION("GOOGLETRANSLATE(A48500,""en"",""pt"")"),"excelente valor, faz clips de vídeo, muito fácil de usar, capacidade de web cam")</f>
        <v>excelente valor, faz clips de vídeo, muito fácil de usar, capacidade de web cam</v>
      </c>
      <c r="B48500" s="3">
        <v>1</v>
      </c>
    </row>
    <row r="48501" ht="15.75" customHeight="1" spans="1:2">
      <c r="A48501" s="3" t="str">
        <f>IFERROR(__xludf.DUMMYFUNCTION("GOOGLETRANSLATE(A48501,""en"",""pt"")"),"Pequeno e fácil de usar")</f>
        <v>Pequeno e fácil de usar</v>
      </c>
      <c r="B48501" s="3">
        <v>1</v>
      </c>
    </row>
    <row r="48502" ht="15.75" customHeight="1" spans="1:2">
      <c r="A48502" s="3" t="str">
        <f>IFERROR(__xludf.DUMMYFUNCTION("GOOGLETRANSLATE(A48502,""en"",""pt"")"),"Barato, Obras como Camera, câmera de vídeo e Web Camera. Muito fácil de usar")</f>
        <v>Barato, Obras como Camera, câmera de vídeo e Web Camera. Muito fácil de usar</v>
      </c>
      <c r="B48502" s="3">
        <v>1</v>
      </c>
    </row>
    <row r="48503" ht="15.75" customHeight="1" spans="1:2">
      <c r="A48503" s="3" t="str">
        <f>IFERROR(__xludf.DUMMYFUNCTION("GOOGLETRANSLATE(A48503,""en"",""pt"")"),"O preço é justo, ele tem um monte de imagens, bem como de vídeo.")</f>
        <v>O preço é justo, ele tem um monte de imagens, bem como de vídeo.</v>
      </c>
      <c r="B48503" s="3">
        <v>1</v>
      </c>
    </row>
    <row r="48504" ht="15.75" customHeight="1" spans="1:2">
      <c r="A48504" s="3" t="str">
        <f>IFERROR(__xludf.DUMMYFUNCTION("GOOGLETRANSLATE(A48504,""en"",""pt"")"),"ótima câmera para iniciantes, fácil de usar, USB, de baixo custo")</f>
        <v>ótima câmera para iniciantes, fácil de usar, USB, de baixo custo</v>
      </c>
      <c r="B48504" s="3">
        <v>1</v>
      </c>
    </row>
    <row r="48505" ht="15.75" customHeight="1" spans="1:2">
      <c r="A48505" s="3" t="str">
        <f>IFERROR(__xludf.DUMMYFUNCTION("GOOGLETRANSLATE(A48505,""en"",""pt"")"),"Leve, bom / excelente qualidade de imagem, capacidade de webcam, interface USB")</f>
        <v>Leve, bom / excelente qualidade de imagem, capacidade de webcam, interface USB</v>
      </c>
      <c r="B48505" s="3">
        <v>1</v>
      </c>
    </row>
    <row r="48506" ht="15.75" customHeight="1" spans="1:2">
      <c r="A48506" s="3" t="str">
        <f>IFERROR(__xludf.DUMMYFUNCTION("GOOGLETRANSLATE(A48506,""en"",""pt"")"),"design compacto puro. Um bom preço para câmera digital / filmadora / mp3 player.")</f>
        <v>design compacto puro. Um bom preço para câmera digital / filmadora / mp3 player.</v>
      </c>
      <c r="B48506" s="3">
        <v>1</v>
      </c>
    </row>
    <row r="48507" ht="15.75" customHeight="1" spans="1:2">
      <c r="A48507" s="3" t="str">
        <f>IFERROR(__xludf.DUMMYFUNCTION("GOOGLETRANSLATE(A48507,""en"",""pt"")"),"Seu pequeno e compacto")</f>
        <v>Seu pequeno e compacto</v>
      </c>
      <c r="B48507" s="3">
        <v>1</v>
      </c>
    </row>
    <row r="48508" ht="15.75" customHeight="1" spans="1:2">
      <c r="A48508" s="3" t="str">
        <f>IFERROR(__xludf.DUMMYFUNCTION("GOOGLETRANSLATE(A48508,""en"",""pt"")"),"* Muitas funções &amp; amp; # 13; &amp; amp; # 10; uso * Boa bateria para as três pilhas AAA.")</f>
        <v>* Muitas funções &amp; amp; # 13; &amp; amp; # 10; uso * Boa bateria para as três pilhas AAA.</v>
      </c>
      <c r="B48508" s="3">
        <v>1</v>
      </c>
    </row>
    <row r="48509" ht="15.75" customHeight="1" spans="1:2">
      <c r="A48509" s="3" t="str">
        <f>IFERROR(__xludf.DUMMYFUNCTION("GOOGLETRANSLATE(A48509,""en"",""pt"")"),"Ergonômico, compacto, fácil de usar, polivalente, bom som, microfone bom pegar")</f>
        <v>Ergonômico, compacto, fácil de usar, polivalente, bom som, microfone bom pegar</v>
      </c>
      <c r="B48509" s="3">
        <v>1</v>
      </c>
    </row>
    <row r="48510" ht="15.75" customHeight="1" spans="1:2">
      <c r="A48510" s="3" t="str">
        <f>IFERROR(__xludf.DUMMYFUNCTION("GOOGLETRANSLATE(A48510,""en"",""pt"")"),"Metade do preço que costumava ser ... Video / mp3 / stills PLAYS MP3PROS !!!")</f>
        <v>Metade do preço que costumava ser ... Video / mp3 / stills PLAYS MP3PROS !!!</v>
      </c>
      <c r="B48510" s="3">
        <v>1</v>
      </c>
    </row>
    <row r="48511" ht="15.75" customHeight="1" spans="1:2">
      <c r="A48511" s="3" t="str">
        <f>IFERROR(__xludf.DUMMYFUNCTION("GOOGLETRANSLATE(A48511,""en"",""pt"")"),"útil, agradável mp3 player, divertido brinquedo")</f>
        <v>útil, agradável mp3 player, divertido brinquedo</v>
      </c>
      <c r="B48511" s="3">
        <v>1</v>
      </c>
    </row>
    <row r="48512" ht="15.75" customHeight="1" spans="1:2">
      <c r="A48512" s="3" t="str">
        <f>IFERROR(__xludf.DUMMYFUNCTION("GOOGLETRANSLATE(A48512,""en"",""pt"")"),"3 coisas em um. Fácil conectividade e transferência de arquivos. Apenas cartão de 16MB.")</f>
        <v>3 coisas em um. Fácil conectividade e transferência de arquivos. Apenas cartão de 16MB.</v>
      </c>
      <c r="B48512" s="3">
        <v>1</v>
      </c>
    </row>
    <row r="48513" ht="15.75" customHeight="1" spans="1:2">
      <c r="A48513" s="3" t="str">
        <f>IFERROR(__xludf.DUMMYFUNCTION("GOOGLETRANSLATE(A48513,""en"",""pt"")"),"a parte de mp3 tem som decente")</f>
        <v>a parte de mp3 tem som decente</v>
      </c>
      <c r="B48513" s="3">
        <v>1</v>
      </c>
    </row>
    <row r="48514" ht="15.75" customHeight="1" spans="1:2">
      <c r="A48514" s="3" t="str">
        <f>IFERROR(__xludf.DUMMYFUNCTION("GOOGLETRANSLATE(A48514,""en"",""pt"")"),"Grande mp3 player, compacto, fácil de usar.")</f>
        <v>Grande mp3 player, compacto, fácil de usar.</v>
      </c>
      <c r="B48514" s="3">
        <v>1</v>
      </c>
    </row>
    <row r="48515" ht="15.75" customHeight="1" spans="1:2">
      <c r="A48515" s="3" t="str">
        <f>IFERROR(__xludf.DUMMYFUNCTION("GOOGLETRANSLATE(A48515,""en"",""pt"")"),"de vídeo decente, capacidade de MP3 decente, foto tamanho perfeito para e-mail.")</f>
        <v>de vídeo decente, capacidade de MP3 decente, foto tamanho perfeito para e-mail.</v>
      </c>
      <c r="B48515" s="3">
        <v>1</v>
      </c>
    </row>
    <row r="48516" ht="15.75" customHeight="1" spans="1:2">
      <c r="A48516" s="3" t="str">
        <f>IFERROR(__xludf.DUMMYFUNCTION("GOOGLETRANSLATE(A48516,""en"",""pt"")"),"mp3 player / câmera em um !!")</f>
        <v>mp3 player / câmera em um !!</v>
      </c>
      <c r="B48516" s="3">
        <v>1</v>
      </c>
    </row>
    <row r="48517" ht="15.75" customHeight="1" spans="1:2">
      <c r="A48517" s="3" t="str">
        <f>IFERROR(__xludf.DUMMYFUNCTION("GOOGLETRANSLATE(A48517,""en"",""pt"")"),"Grande MP3 Player, também faz bom trabalho com filmes Quick Time.")</f>
        <v>Grande MP3 Player, também faz bom trabalho com filmes Quick Time.</v>
      </c>
      <c r="B48517" s="3">
        <v>1</v>
      </c>
    </row>
    <row r="48518" ht="15.75" customHeight="1" spans="1:2">
      <c r="A48518" s="3" t="str">
        <f>IFERROR(__xludf.DUMMYFUNCTION("GOOGLETRANSLATE(A48518,""en"",""pt"")"),"Filmes de alta qualidade, bateria de longa duração, fácil de usar controles de MP3")</f>
        <v>Filmes de alta qualidade, bateria de longa duração, fácil de usar controles de MP3</v>
      </c>
      <c r="B48518" s="3">
        <v>1</v>
      </c>
    </row>
    <row r="48519" ht="15.75" customHeight="1" spans="1:2">
      <c r="A48519" s="3" t="str">
        <f>IFERROR(__xludf.DUMMYFUNCTION("GOOGLETRANSLATE(A48519,""en"",""pt"")"),"Divertido jogar com; excelente mp3 player; vídeo digital bom")</f>
        <v>Divertido jogar com; excelente mp3 player; vídeo digital bom</v>
      </c>
      <c r="B48519" s="3">
        <v>1</v>
      </c>
    </row>
    <row r="48520" ht="15.75" customHeight="1" spans="1:2">
      <c r="A48520" s="3" t="str">
        <f>IFERROR(__xludf.DUMMYFUNCTION("GOOGLETRANSLATE(A48520,""en"",""pt"")"),"Pequeno, compacto e fácil de usar!")</f>
        <v>Pequeno, compacto e fácil de usar!</v>
      </c>
      <c r="B48520" s="3">
        <v>1</v>
      </c>
    </row>
    <row r="48521" ht="15.75" customHeight="1" spans="1:2">
      <c r="A48521" s="3" t="str">
        <f>IFERROR(__xludf.DUMMYFUNCTION("GOOGLETRANSLATE(A48521,""en"",""pt"")"),"Pequeno, design atraente, interface agradável, alto grau de multifuncionalidade")</f>
        <v>Pequeno, design atraente, interface agradável, alto grau de multifuncionalidade</v>
      </c>
      <c r="B48521" s="3">
        <v>1</v>
      </c>
    </row>
    <row r="48522" ht="15.75" customHeight="1" spans="1:2">
      <c r="A48522" s="3" t="s">
        <v>240</v>
      </c>
      <c r="B48522" s="3">
        <v>1</v>
      </c>
    </row>
    <row r="48523" ht="15.75" customHeight="1" spans="1:2">
      <c r="A48523" s="3" t="str">
        <f>IFERROR(__xludf.DUMMYFUNCTION("GOOGLETRANSLATE(A48523,""en"",""pt"")"),"Simples de usar, executa funções básicas facilmente, portátil, perfeito para certos usos")</f>
        <v>Simples de usar, executa funções básicas facilmente, portátil, perfeito para certos usos</v>
      </c>
      <c r="B48523" s="3">
        <v>1</v>
      </c>
    </row>
    <row r="48524" ht="15.75" customHeight="1" spans="1:2">
      <c r="A48524" s="3" t="str">
        <f>IFERROR(__xludf.DUMMYFUNCTION("GOOGLETRANSLATE(A48524,""en"",""pt"")"),"Compact, à mão 3 em um brinquedo. Fácil de gravar e 'dados da porta.")</f>
        <v>Compact, à mão 3 em um brinquedo. Fácil de gravar e 'dados da porta.</v>
      </c>
      <c r="B48524" s="3">
        <v>1</v>
      </c>
    </row>
    <row r="48525" ht="15.75" customHeight="1" spans="1:2">
      <c r="A48525" s="3" t="str">
        <f>IFERROR(__xludf.DUMMYFUNCTION("GOOGLETRANSLATE(A48525,""en"",""pt"")"),"Um grande conceito de convergência de duas muito boas empresas")</f>
        <v>Um grande conceito de convergência de duas muito boas empresas</v>
      </c>
      <c r="B48525" s="3">
        <v>1</v>
      </c>
    </row>
    <row r="48526" ht="15.75" customHeight="1" spans="1:2">
      <c r="A48526" s="3" t="s">
        <v>241</v>
      </c>
      <c r="B48526" s="3">
        <v>1</v>
      </c>
    </row>
    <row r="48527" ht="15.75" customHeight="1" spans="1:2">
      <c r="A48527" s="3" t="str">
        <f>IFERROR(__xludf.DUMMYFUNCTION("GOOGLETRANSLATE(A48527,""en"",""pt"")"),"pode imprimir a partir do cartão de câmera")</f>
        <v>pode imprimir a partir do cartão de câmera</v>
      </c>
      <c r="B48527" s="3">
        <v>1</v>
      </c>
    </row>
    <row r="48528" ht="15.75" customHeight="1" spans="1:2">
      <c r="A48528" s="3" t="str">
        <f>IFERROR(__xludf.DUMMYFUNCTION("GOOGLETRANSLATE(A48528,""en"",""pt"")"),"Capacidade de visualizar e imprimir directamente a partir de cartões de memória")</f>
        <v>Capacidade de visualizar e imprimir directamente a partir de cartões de memória</v>
      </c>
      <c r="B48528" s="3">
        <v>1</v>
      </c>
    </row>
    <row r="48529" ht="15.75" customHeight="1" spans="1:2">
      <c r="A48529" s="3" t="str">
        <f>IFERROR(__xludf.DUMMYFUNCTION("GOOGLETRANSLATE(A48529,""en"",""pt"")"),"Tela de visualização de cores, dimensões reduzidas, Smartmedia &amp; amp; CF cartão entalhes, bordo edição capacidade,")</f>
        <v>Tela de visualização de cores, dimensões reduzidas, Smartmedia &amp; amp; CF cartão entalhes, bordo edição capacidade,</v>
      </c>
      <c r="B48529" s="3">
        <v>1</v>
      </c>
    </row>
    <row r="48530" ht="15.75" customHeight="1" spans="1:2">
      <c r="A48530" s="3" t="str">
        <f>IFERROR(__xludf.DUMMYFUNCTION("GOOGLETRANSLATE(A48530,""en"",""pt"")"),"Bom valor; Boas Prints; pré-visualização LCD torna mais fácil para imprimir sem um PC")</f>
        <v>Bom valor; Boas Prints; pré-visualização LCD torna mais fácil para imprimir sem um PC</v>
      </c>
      <c r="B48530" s="3">
        <v>1</v>
      </c>
    </row>
    <row r="48531" ht="15.75" customHeight="1" spans="1:2">
      <c r="A48531" s="3" t="str">
        <f>IFERROR(__xludf.DUMMYFUNCTION("GOOGLETRANSLATE(A48531,""en"",""pt"")"),"impressão de fotos sem um computador. qualidade de impressão.")</f>
        <v>impressão de fotos sem um computador. qualidade de impressão.</v>
      </c>
      <c r="B48531" s="3">
        <v>1</v>
      </c>
    </row>
    <row r="48532" ht="15.75" customHeight="1" spans="1:2">
      <c r="A48532" s="3" t="str">
        <f>IFERROR(__xludf.DUMMYFUNCTION("GOOGLETRANSLATE(A48532,""en"",""pt"")"),"Grandes fotos de qualidade sem ter que usar o PC, fácil de usar, preço razoável.")</f>
        <v>Grandes fotos de qualidade sem ter que usar o PC, fácil de usar, preço razoável.</v>
      </c>
      <c r="B48532" s="3">
        <v>1</v>
      </c>
    </row>
    <row r="48533" ht="15.75" customHeight="1" spans="1:2">
      <c r="A48533" s="3" t="str">
        <f>IFERROR(__xludf.DUMMYFUNCTION("GOOGLETRANSLATE(A48533,""en"",""pt"")"),"Excelente Qualidade de impressão, Visualizando LCD Screen, sem necessidade de PC.")</f>
        <v>Excelente Qualidade de impressão, Visualizando LCD Screen, sem necessidade de PC.</v>
      </c>
      <c r="B48533" s="3">
        <v>1</v>
      </c>
    </row>
    <row r="48534" ht="15.75" customHeight="1" spans="1:2">
      <c r="A48534" s="3" t="str">
        <f>IFERROR(__xludf.DUMMYFUNCTION("GOOGLETRANSLATE(A48534,""en"",""pt"")"),"Baixo preço, dobra-se como leitor de cartão digicam, pode imprimir sem computador")</f>
        <v>Baixo preço, dobra-se como leitor de cartão digicam, pode imprimir sem computador</v>
      </c>
      <c r="B48534" s="3">
        <v>1</v>
      </c>
    </row>
    <row r="48535" ht="15.75" customHeight="1" spans="1:2">
      <c r="A48535" s="3" t="str">
        <f>IFERROR(__xludf.DUMMYFUNCTION("GOOGLETRANSLATE(A48535,""en"",""pt"")"),"muito fácil montagem, aceita a maioria dos assentos de carro infantis, elegante")</f>
        <v>muito fácil montagem, aceita a maioria dos assentos de carro infantis, elegante</v>
      </c>
      <c r="B48535" s="3">
        <v>1</v>
      </c>
    </row>
    <row r="48536" ht="15.75" customHeight="1" spans="1:2">
      <c r="A48536" s="3" t="str">
        <f>IFERROR(__xludf.DUMMYFUNCTION("GOOGLETRANSLATE(A48536,""en"",""pt"")"),"Espaçoso, amplo espaço de armazenamento, resistente, Recolhe facilmente, grandes recursos, acessível!")</f>
        <v>Espaçoso, amplo espaço de armazenamento, resistente, Recolhe facilmente, grandes recursos, acessível!</v>
      </c>
      <c r="B48536" s="3">
        <v>1</v>
      </c>
    </row>
    <row r="48537" ht="15.75" customHeight="1" spans="1:2">
      <c r="A48537" s="3" t="str">
        <f>IFERROR(__xludf.DUMMYFUNCTION("GOOGLETRANSLATE(A48537,""en"",""pt"")"),"cesta de armazenamento enorme, entreter brinquedos na frente, se encaixa a maioria dos portadores infantis")</f>
        <v>cesta de armazenamento enorme, entreter brinquedos na frente, se encaixa a maioria dos portadores infantis</v>
      </c>
      <c r="B48537" s="3">
        <v>1</v>
      </c>
    </row>
    <row r="48538" ht="15.75" customHeight="1" spans="1:2">
      <c r="A48538" s="3" t="str">
        <f>IFERROR(__xludf.DUMMYFUNCTION("GOOGLETRANSLATE(A48538,""en"",""pt"")"),", rodas grandes espaçosos, olhar puro, fits Perego carseat, cesta GRANDE acesso lateral / fácil")</f>
        <v>, rodas grandes espaçosos, olhar puro, fits Perego carseat, cesta GRANDE acesso lateral / fácil</v>
      </c>
      <c r="B48538" s="3">
        <v>1</v>
      </c>
    </row>
    <row r="48539" ht="15.75" customHeight="1" spans="1:2">
      <c r="A48539" s="3" t="str">
        <f>IFERROR(__xludf.DUMMYFUNCTION("GOOGLETRANSLATE(A48539,""en"",""pt"")"),"Durável. Lotes de armazenamento. Começa o trabalho feito.")</f>
        <v>Durável. Lotes de armazenamento. Começa o trabalho feito.</v>
      </c>
      <c r="B48539" s="3">
        <v>1</v>
      </c>
    </row>
    <row r="48540" ht="15.75" customHeight="1" spans="1:2">
      <c r="A48540" s="3" t="str">
        <f>IFERROR(__xludf.DUMMYFUNCTION("GOOGLETRANSLATE(A48540,""en"",""pt"")"),"boa suspensão, espaço de armazenamento, longo e espaçoso para as crianças")</f>
        <v>boa suspensão, espaço de armazenamento, longo e espaçoso para as crianças</v>
      </c>
      <c r="B48540" s="3">
        <v>1</v>
      </c>
    </row>
    <row r="48541" ht="15.75" customHeight="1" spans="1:2">
      <c r="A48541" s="3" t="str">
        <f>IFERROR(__xludf.DUMMYFUNCTION("GOOGLETRANSLATE(A48541,""en"",""pt"")"),"Brinquedos enorme Cesta de armazenamento, Ligado")</f>
        <v>Brinquedos enorme Cesta de armazenamento, Ligado</v>
      </c>
      <c r="B48541" s="3">
        <v>1</v>
      </c>
    </row>
    <row r="48542" ht="15.75" customHeight="1" spans="1:2">
      <c r="A48542" s="3" t="str">
        <f>IFERROR(__xludf.DUMMYFUNCTION("GOOGLETRANSLATE(A48542,""en"",""pt"")"),"Muito grande, grande assentos, armazenamento grande na parte inferior, com preços razoáveis.")</f>
        <v>Muito grande, grande assentos, armazenamento grande na parte inferior, com preços razoáveis.</v>
      </c>
      <c r="B48542" s="3">
        <v>1</v>
      </c>
    </row>
    <row r="48543" ht="15.75" customHeight="1" spans="1:2">
      <c r="A48543" s="3" t="str">
        <f>IFERROR(__xludf.DUMMYFUNCTION("GOOGLETRANSLATE(A48543,""en"",""pt"")"),"Parece bom, brinquedo divertido para as crianças, detém carseat infantil")</f>
        <v>Parece bom, brinquedo divertido para as crianças, detém carseat infantil</v>
      </c>
      <c r="B48543" s="3">
        <v>1</v>
      </c>
    </row>
    <row r="48544" ht="15.75" customHeight="1" spans="1:2">
      <c r="A48544" s="3" t="str">
        <f>IFERROR(__xludf.DUMMYFUNCTION("GOOGLETRANSLATE(A48544,""en"",""pt"")"),"Muito espaçoso, confortável para as crianças, tem assento infantil")</f>
        <v>Muito espaçoso, confortável para as crianças, tem assento infantil</v>
      </c>
      <c r="B48544" s="3">
        <v>1</v>
      </c>
    </row>
    <row r="48545" ht="15.75" customHeight="1" spans="1:2">
      <c r="A48545" s="3" t="str">
        <f>IFERROR(__xludf.DUMMYFUNCTION("GOOGLETRANSLATE(A48545,""en"",""pt"")"),"Lotes de armazenamento, manipulação fácil, elegante, muito acessível")</f>
        <v>Lotes de armazenamento, manipulação fácil, elegante, muito acessível</v>
      </c>
      <c r="B48545" s="3">
        <v>1</v>
      </c>
    </row>
    <row r="48546" ht="15.75" customHeight="1" spans="1:2">
      <c r="A48546" s="3" t="str">
        <f>IFERROR(__xludf.DUMMYFUNCTION("GOOGLETRANSLATE(A48546,""en"",""pt"")"),"Assento mais suave; reclina; guarda-sol; Alças mais do que outros carrinhos umberella")</f>
        <v>Assento mais suave; reclina; guarda-sol; Alças mais do que outros carrinhos umberella</v>
      </c>
      <c r="B48546" s="3">
        <v>1</v>
      </c>
    </row>
    <row r="48547" ht="15.75" customHeight="1" spans="1:2">
      <c r="A48547" s="3" t="str">
        <f>IFERROR(__xludf.DUMMYFUNCTION("GOOGLETRANSLATE(A48547,""en"",""pt"")"),"Leve a apenas 12 lbs., Fácil de se desdobrar e dobrar com a criança no braço.")</f>
        <v>Leve a apenas 12 lbs., Fácil de se desdobrar e dobrar com a criança no braço.</v>
      </c>
      <c r="B48547" s="3">
        <v>1</v>
      </c>
    </row>
    <row r="48548" ht="15.75" customHeight="1" spans="1:2">
      <c r="A48548" s="3" t="str">
        <f>IFERROR(__xludf.DUMMYFUNCTION("GOOGLETRANSLATE(A48548,""en"",""pt"")"),"alças confortáveis, suporte de copo, agradável dossel, suporte para trás, reclinando opção de assento, rodas substanciais, Porta xícara !!!!")</f>
        <v>alças confortáveis, suporte de copo, agradável dossel, suporte para trás, reclinando opção de assento, rodas substanciais, Porta xícara !!!!</v>
      </c>
      <c r="B48548" s="3">
        <v>1</v>
      </c>
    </row>
    <row r="48549" ht="15.75" customHeight="1" spans="1:2">
      <c r="A48549" s="3" t="str">
        <f>IFERROR(__xludf.DUMMYFUNCTION("GOOGLETRANSLATE(A48549,""en"",""pt"")"),"leve, barato")</f>
        <v>leve, barato</v>
      </c>
      <c r="B48549" s="3">
        <v>1</v>
      </c>
    </row>
    <row r="48550" ht="15.75" customHeight="1" spans="1:2">
      <c r="A48550" s="3" t="str">
        <f>IFERROR(__xludf.DUMMYFUNCTION("GOOGLETRANSLATE(A48550,""en"",""pt"")"),"tampa de assento é removível, cores escuras, cesta por baixo,")</f>
        <v>tampa de assento é removível, cores escuras, cesta por baixo,</v>
      </c>
      <c r="B48550" s="3">
        <v>1</v>
      </c>
    </row>
    <row r="48551" ht="15.75" customHeight="1" spans="1:2">
      <c r="A48551" s="3" t="str">
        <f>IFERROR(__xludf.DUMMYFUNCTION("GOOGLETRANSLATE(A48551,""en"",""pt"")"),"Barato, fácil de utilizar e dobrar")</f>
        <v>Barato, fácil de utilizar e dobrar</v>
      </c>
      <c r="B48551" s="3">
        <v>1</v>
      </c>
    </row>
    <row r="48552" ht="15.75" customHeight="1" spans="1:2">
      <c r="A48552" s="3" t="str">
        <f>IFERROR(__xludf.DUMMYFUNCTION("GOOGLETRANSLATE(A48552,""en"",""pt"")"),"leve, montagem, suporte para as costas")</f>
        <v>leve, montagem, suporte para as costas</v>
      </c>
      <c r="B48552" s="3">
        <v>1</v>
      </c>
    </row>
    <row r="48553" ht="15.75" customHeight="1" spans="1:2">
      <c r="A48553" s="3" t="str">
        <f>IFERROR(__xludf.DUMMYFUNCTION("GOOGLETRANSLATE(A48553,""en"",""pt"")"),"leve, tem um dossel, um bom suporte no assento e encosto, fácil de manobra")</f>
        <v>leve, tem um dossel, um bom suporte no assento e encosto, fácil de manobra</v>
      </c>
      <c r="B48553" s="3">
        <v>1</v>
      </c>
    </row>
    <row r="48554" ht="15.75" customHeight="1" spans="1:2">
      <c r="A48554" s="3" t="str">
        <f>IFERROR(__xludf.DUMMYFUNCTION("GOOGLETRANSLATE(A48554,""en"",""pt"")"),"O peso leve, pano confortável, reclina, capota de sol, muito manobrável e compacto")</f>
        <v>O peso leve, pano confortável, reclina, capota de sol, muito manobrável e compacto</v>
      </c>
      <c r="B48554" s="3">
        <v>1</v>
      </c>
    </row>
    <row r="48555" ht="15.75" customHeight="1" spans="1:2">
      <c r="A48555" s="3" t="str">
        <f>IFERROR(__xludf.DUMMYFUNCTION("GOOGLETRANSLATE(A48555,""en"",""pt"")"),"barato, fácil de dobrar, tem 2 posições, cópia bonito")</f>
        <v>barato, fácil de dobrar, tem 2 posições, cópia bonito</v>
      </c>
      <c r="B48555" s="3">
        <v>1</v>
      </c>
    </row>
    <row r="48556" ht="15.75" customHeight="1" spans="1:2">
      <c r="A48556" s="3" t="str">
        <f>IFERROR(__xludf.DUMMYFUNCTION("GOOGLETRANSLATE(A48556,""en"",""pt"")"),"Resistente, bem construído")</f>
        <v>Resistente, bem construído</v>
      </c>
      <c r="B48556" s="3">
        <v>1</v>
      </c>
    </row>
    <row r="48557" ht="15.75" customHeight="1" spans="1:2">
      <c r="A48557" s="3" t="str">
        <f>IFERROR(__xludf.DUMMYFUNCTION("GOOGLETRANSLATE(A48557,""en"",""pt"")"),"bom carrinho de criança barato")</f>
        <v>bom carrinho de criança barato</v>
      </c>
      <c r="B48557" s="3">
        <v>1</v>
      </c>
    </row>
    <row r="48558" ht="15.75" customHeight="1" spans="1:2">
      <c r="A48558" s="3" t="str">
        <f>IFERROR(__xludf.DUMMYFUNCTION("GOOGLETRANSLATE(A48558,""en"",""pt"")"),"Nenhum")</f>
        <v>Nenhum</v>
      </c>
      <c r="B48558" s="3">
        <v>1</v>
      </c>
    </row>
    <row r="48559" ht="15.75" customHeight="1" spans="1:2">
      <c r="A48559" s="3" t="str">
        <f>IFERROR(__xludf.DUMMYFUNCTION("GOOGLETRANSLATE(A48559,""en"",""pt"")"),"Nenhum")</f>
        <v>Nenhum</v>
      </c>
      <c r="B48559" s="3">
        <v>1</v>
      </c>
    </row>
    <row r="48560" ht="15.75" customHeight="1" spans="1:2">
      <c r="A48560" s="3" t="str">
        <f>IFERROR(__xludf.DUMMYFUNCTION("GOOGLETRANSLATE(A48560,""en"",""pt"")"),"Leve, barato, fácil de usar")</f>
        <v>Leve, barato, fácil de usar</v>
      </c>
      <c r="B48560" s="3">
        <v>1</v>
      </c>
    </row>
    <row r="48561" ht="15.75" customHeight="1" spans="1:2">
      <c r="A48561" s="3" t="str">
        <f>IFERROR(__xludf.DUMMYFUNCTION("GOOGLETRANSLATE(A48561,""en"",""pt"")"),"fácil de dobrar")</f>
        <v>fácil de dobrar</v>
      </c>
      <c r="B48561" s="3">
        <v>1</v>
      </c>
    </row>
    <row r="48562" ht="15.75" customHeight="1" spans="1:2">
      <c r="A48562" s="3" t="str">
        <f>IFERROR(__xludf.DUMMYFUNCTION("GOOGLETRANSLATE(A48562,""en"",""pt"")"),"tamanho, peso, preço")</f>
        <v>tamanho, peso, preço</v>
      </c>
      <c r="B48562" s="3">
        <v>1</v>
      </c>
    </row>
    <row r="48563" ht="15.75" customHeight="1" spans="1:2">
      <c r="A48563" s="3" t="str">
        <f>IFERROR(__xludf.DUMMYFUNCTION("GOOGLETRANSLATE(A48563,""en"",""pt"")"),"leve, fácil de usar,")</f>
        <v>leve, fácil de usar,</v>
      </c>
      <c r="B48563" s="3">
        <v>1</v>
      </c>
    </row>
    <row r="48564" ht="15.75" customHeight="1" spans="1:2">
      <c r="A48564" s="3" t="str">
        <f>IFERROR(__xludf.DUMMYFUNCTION("GOOGLETRANSLATE(A48564,""en"",""pt"")"),"leve e fácil de usar")</f>
        <v>leve e fácil de usar</v>
      </c>
      <c r="B48564" s="3">
        <v>1</v>
      </c>
    </row>
    <row r="48565" ht="15.75" customHeight="1" spans="1:2">
      <c r="A48565" s="3" t="str">
        <f>IFERROR(__xludf.DUMMYFUNCTION("GOOGLETRANSLATE(A48565,""en"",""pt"")"),"Leve, fácil de usar, dobras compactamente")</f>
        <v>Leve, fácil de usar, dobras compactamente</v>
      </c>
      <c r="B48565" s="3">
        <v>1</v>
      </c>
    </row>
    <row r="48566" ht="15.75" customHeight="1" spans="1:2">
      <c r="A48566" s="3" t="str">
        <f>IFERROR(__xludf.DUMMYFUNCTION("GOOGLETRANSLATE(A48566,""en"",""pt"")"),"Mais guloseimas do que outros carrinhos de guarda-chuva")</f>
        <v>Mais guloseimas do que outros carrinhos de guarda-chuva</v>
      </c>
      <c r="B48566" s="3">
        <v>1</v>
      </c>
    </row>
    <row r="48567" ht="15.75" customHeight="1" spans="1:2">
      <c r="A48567" s="3" t="str">
        <f>IFERROR(__xludf.DUMMYFUNCTION("GOOGLETRANSLATE(A48567,""en"",""pt"")"),"Conforto")</f>
        <v>Conforto</v>
      </c>
      <c r="B48567" s="3">
        <v>1</v>
      </c>
    </row>
    <row r="48568" ht="15.75" customHeight="1" spans="1:2">
      <c r="A48568" s="3" t="str">
        <f>IFERROR(__xludf.DUMMYFUNCTION("GOOGLETRANSLATE(A48568,""en"",""pt"")"),"Muito fácil de usar, fácil de perto")</f>
        <v>Muito fácil de usar, fácil de perto</v>
      </c>
      <c r="B48568" s="3">
        <v>1</v>
      </c>
    </row>
    <row r="48569" ht="15.75" customHeight="1" spans="1:2">
      <c r="A48569" s="3" t="str">
        <f>IFERROR(__xludf.DUMMYFUNCTION("GOOGLETRANSLATE(A48569,""en"",""pt"")"),"Leve, apenas 12 lb")</f>
        <v>Leve, apenas 12 lb</v>
      </c>
      <c r="B48569" s="3">
        <v>1</v>
      </c>
    </row>
    <row r="48570" ht="15.75" customHeight="1" spans="1:2">
      <c r="A48570" s="3" t="str">
        <f>IFERROR(__xludf.DUMMYFUNCTION("GOOGLETRANSLATE(A48570,""en"",""pt"")"),"extremamente leve")</f>
        <v>extremamente leve</v>
      </c>
      <c r="B48570" s="3">
        <v>1</v>
      </c>
    </row>
    <row r="48571" ht="15.75" customHeight="1" spans="1:2">
      <c r="A48571" s="3" t="str">
        <f>IFERROR(__xludf.DUMMYFUNCTION("GOOGLETRANSLATE(A48571,""en"",""pt"")"),"Reclina, assento acolchoado")</f>
        <v>Reclina, assento acolchoado</v>
      </c>
      <c r="B48571" s="3">
        <v>1</v>
      </c>
    </row>
    <row r="48572" ht="15.75" customHeight="1" spans="1:2">
      <c r="A48572" s="3" t="str">
        <f>IFERROR(__xludf.DUMMYFUNCTION("GOOGLETRANSLATE(A48572,""en"",""pt"")"),"Leve, reclina, Confortável")</f>
        <v>Leve, reclina, Confortável</v>
      </c>
      <c r="B48572" s="3">
        <v>1</v>
      </c>
    </row>
    <row r="48573" ht="15.75" customHeight="1" spans="1:2">
      <c r="A48573" s="3" t="str">
        <f>IFERROR(__xludf.DUMMYFUNCTION("GOOGLETRANSLATE(A48573,""en"",""pt"")"),"compactar!")</f>
        <v>compactar!</v>
      </c>
      <c r="B48573" s="3">
        <v>1</v>
      </c>
    </row>
    <row r="48574" ht="15.75" customHeight="1" spans="1:2">
      <c r="A48574" s="3" t="str">
        <f>IFERROR(__xludf.DUMMYFUNCTION("GOOGLETRANSLATE(A48574,""en"",""pt"")"),"Barato, resistente e fácil de dobrar, reclináveis ​​(!)")</f>
        <v>Barato, resistente e fácil de dobrar, reclináveis ​​(!)</v>
      </c>
      <c r="B48574" s="3">
        <v>1</v>
      </c>
    </row>
    <row r="48575" ht="15.75" customHeight="1" spans="1:2">
      <c r="A48575" s="3" t="str">
        <f>IFERROR(__xludf.DUMMYFUNCTION("GOOGLETRANSLATE(A48575,""en"",""pt"")"),"peso leve, fácil de usar")</f>
        <v>peso leve, fácil de usar</v>
      </c>
      <c r="B48575" s="3">
        <v>1</v>
      </c>
    </row>
    <row r="48576" ht="15.75" customHeight="1" spans="1:2">
      <c r="A48576" s="3" t="str">
        <f>IFERROR(__xludf.DUMMYFUNCTION("GOOGLETRANSLATE(A48576,""en"",""pt"")"),"peso leve, de baixo custo, fáceis de dobrar, relativamente bem acolchoado")</f>
        <v>peso leve, de baixo custo, fáceis de dobrar, relativamente bem acolchoado</v>
      </c>
      <c r="B48576" s="3">
        <v>1</v>
      </c>
    </row>
    <row r="48577" ht="15.75" customHeight="1" spans="1:2">
      <c r="A48577" s="3" t="str">
        <f>IFERROR(__xludf.DUMMYFUNCTION("GOOGLETRANSLATE(A48577,""en"",""pt"")"),"Luz, reclinação, confortável")</f>
        <v>Luz, reclinação, confortável</v>
      </c>
      <c r="B48577" s="3">
        <v>1</v>
      </c>
    </row>
    <row r="48578" ht="15.75" customHeight="1" spans="1:2">
      <c r="A48578" s="3" t="str">
        <f>IFERROR(__xludf.DUMMYFUNCTION("GOOGLETRANSLATE(A48578,""en"",""pt"")"),"hmmm?")</f>
        <v>hmmm?</v>
      </c>
      <c r="B48578" s="3">
        <v>1</v>
      </c>
    </row>
    <row r="48579" ht="15.75" customHeight="1" spans="1:2">
      <c r="A48579" s="3" t="str">
        <f>IFERROR(__xludf.DUMMYFUNCTION("GOOGLETRANSLATE(A48579,""en"",""pt"")"),"Ela reclina e é fácil de se mover.")</f>
        <v>Ela reclina e é fácil de se mover.</v>
      </c>
      <c r="B48579" s="3">
        <v>1</v>
      </c>
    </row>
    <row r="48580" ht="15.75" customHeight="1" spans="1:2">
      <c r="A48580" s="3" t="str">
        <f>IFERROR(__xludf.DUMMYFUNCTION("GOOGLETRANSLATE(A48580,""en"",""pt"")"),"Compacto, leve, manobrável, econômico")</f>
        <v>Compacto, leve, manobrável, econômico</v>
      </c>
      <c r="B48580" s="3">
        <v>1</v>
      </c>
    </row>
    <row r="48581" ht="15.75" customHeight="1" spans="1:2">
      <c r="A48581" s="3" t="str">
        <f>IFERROR(__xludf.DUMMYFUNCTION("GOOGLETRANSLATE(A48581,""en"",""pt"")"),"leve")</f>
        <v>leve</v>
      </c>
      <c r="B48581" s="3">
        <v>1</v>
      </c>
    </row>
    <row r="48582" ht="15.75" customHeight="1" spans="1:2">
      <c r="A48582" s="3" t="str">
        <f>IFERROR(__xludf.DUMMYFUNCTION("GOOGLETRANSLATE(A48582,""en"",""pt"")"),"Leve, reclinando")</f>
        <v>Leve, reclinando</v>
      </c>
      <c r="B48582" s="3">
        <v>1</v>
      </c>
    </row>
    <row r="48583" ht="15.75" customHeight="1" spans="1:2">
      <c r="A48583" s="3" t="str">
        <f>IFERROR(__xludf.DUMMYFUNCTION("GOOGLETRANSLATE(A48583,""en"",""pt"")"),"recurso de reclinar, excelente suporte para o bebê, preço")</f>
        <v>recurso de reclinar, excelente suporte para o bebê, preço</v>
      </c>
      <c r="B48583" s="3">
        <v>1</v>
      </c>
    </row>
    <row r="48584" ht="15.75" customHeight="1" spans="1:2">
      <c r="A48584" s="3" t="str">
        <f>IFERROR(__xludf.DUMMYFUNCTION("GOOGLETRANSLATE(A48584,""en"",""pt"")"),"Leve, mais recursos do que outras carrinho guarda-chuva, mais compacto do que os modelos de tamanho completo")</f>
        <v>Leve, mais recursos do que outras carrinho guarda-chuva, mais compacto do que os modelos de tamanho completo</v>
      </c>
      <c r="B48584" s="3">
        <v>1</v>
      </c>
    </row>
    <row r="48585" ht="15.75" customHeight="1" spans="1:2">
      <c r="A48585" s="3" t="str">
        <f>IFERROR(__xludf.DUMMYFUNCTION("GOOGLETRANSLATE(A48585,""en"",""pt"")"),"conveniente, resistente, durável")</f>
        <v>conveniente, resistente, durável</v>
      </c>
      <c r="B48585" s="3">
        <v>1</v>
      </c>
    </row>
    <row r="48586" ht="15.75" customHeight="1" spans="1:2">
      <c r="A48586" s="3" t="str">
        <f>IFERROR(__xludf.DUMMYFUNCTION("GOOGLETRANSLATE(A48586,""en"",""pt"")"),"Grande carrinho guarda-chuva leve")</f>
        <v>Grande carrinho guarda-chuva leve</v>
      </c>
      <c r="B48586" s="3">
        <v>1</v>
      </c>
    </row>
    <row r="48587" ht="15.75" customHeight="1" spans="1:2">
      <c r="A48587" s="3" t="str">
        <f>IFERROR(__xludf.DUMMYFUNCTION("GOOGLETRANSLATE(A48587,""en"",""pt"")"),"Compacto e fácil de abrir e fechar.")</f>
        <v>Compacto e fácil de abrir e fechar.</v>
      </c>
      <c r="B48587" s="3">
        <v>1</v>
      </c>
    </row>
    <row r="48588" ht="15.75" customHeight="1" spans="1:2">
      <c r="A48588" s="3" t="str">
        <f>IFERROR(__xludf.DUMMYFUNCTION("GOOGLETRANSLATE(A48588,""en"",""pt"")"),"Leve, portátil")</f>
        <v>Leve, portátil</v>
      </c>
      <c r="B48588" s="3">
        <v>1</v>
      </c>
    </row>
    <row r="48589" ht="15.75" customHeight="1" spans="1:2">
      <c r="A48589" s="3" t="str">
        <f>IFERROR(__xludf.DUMMYFUNCTION("GOOGLETRANSLATE(A48589,""en"",""pt"")"),"lado a bancos laterais, leve e fácil de dobrar e dobras compactamente")</f>
        <v>lado a bancos laterais, leve e fácil de dobrar e dobras compactamente</v>
      </c>
      <c r="B48589" s="3">
        <v>1</v>
      </c>
    </row>
    <row r="48590" ht="15.75" customHeight="1" spans="1:2">
      <c r="A48590" s="3" t="str">
        <f>IFERROR(__xludf.DUMMYFUNCTION("GOOGLETRANSLATE(A48590,""en"",""pt"")"),"Ela se dobra sem nenhum problema !!!!")</f>
        <v>Ela se dobra sem nenhum problema !!!!</v>
      </c>
      <c r="B48590" s="3">
        <v>1</v>
      </c>
    </row>
    <row r="48591" ht="15.75" customHeight="1" spans="1:2">
      <c r="A48591" s="3" t="str">
        <f>IFERROR(__xludf.DUMMYFUNCTION("GOOGLETRANSLATE(A48591,""en"",""pt"")"),"Dobra-se bem e com facilidade, leve.")</f>
        <v>Dobra-se bem e com facilidade, leve.</v>
      </c>
      <c r="B48591" s="3">
        <v>1</v>
      </c>
    </row>
    <row r="48592" ht="15.75" customHeight="1" spans="1:2">
      <c r="A48592" s="3" t="str">
        <f>IFERROR(__xludf.DUMMYFUNCTION("GOOGLETRANSLATE(A48592,""en"",""pt"")"),"Uma delícia para empurrar, fácil de viagem e loja de distância.")</f>
        <v>Uma delícia para empurrar, fácil de viagem e loja de distância.</v>
      </c>
      <c r="B48592" s="3">
        <v>1</v>
      </c>
    </row>
    <row r="48593" ht="15.75" customHeight="1" spans="1:2">
      <c r="A48593" s="3" t="str">
        <f>IFERROR(__xludf.DUMMYFUNCTION("GOOGLETRANSLATE(A48593,""en"",""pt"")"),"Muito compacto para um carrinho duplo, barato, começa o trabalho feito")</f>
        <v>Muito compacto para um carrinho duplo, barato, começa o trabalho feito</v>
      </c>
      <c r="B48593" s="3">
        <v>1</v>
      </c>
    </row>
    <row r="48594" ht="15.75" customHeight="1" spans="1:2">
      <c r="A48594" s="3" t="str">
        <f>IFERROR(__xludf.DUMMYFUNCTION("GOOGLETRANSLATE(A48594,""en"",""pt"")"),"Leve, durável, grande raio de giro.")</f>
        <v>Leve, durável, grande raio de giro.</v>
      </c>
      <c r="B48594" s="3">
        <v>1</v>
      </c>
    </row>
    <row r="48595" ht="15.75" customHeight="1" spans="1:2">
      <c r="A48595" s="3" t="str">
        <f>IFERROR(__xludf.DUMMYFUNCTION("GOOGLETRANSLATE(A48595,""en"",""pt"")"),"Compacto quando dobrado, reclina para crianças mais jovens")</f>
        <v>Compacto quando dobrado, reclina para crianças mais jovens</v>
      </c>
      <c r="B48595" s="3">
        <v>1</v>
      </c>
    </row>
    <row r="48596" ht="15.75" customHeight="1" spans="1:2">
      <c r="A48596" s="3" t="str">
        <f>IFERROR(__xludf.DUMMYFUNCTION("GOOGLETRANSLATE(A48596,""en"",""pt"")"),"As crianças podem sentar-se ao lado do outro, leve")</f>
        <v>As crianças podem sentar-se ao lado do outro, leve</v>
      </c>
      <c r="B48596" s="3">
        <v>1</v>
      </c>
    </row>
    <row r="48597" ht="15.75" customHeight="1" spans="1:2">
      <c r="A48597" s="3" t="str">
        <f>IFERROR(__xludf.DUMMYFUNCTION("GOOGLETRANSLATE(A48597,""en"",""pt"")"),"carrinho leve. Individualmente assentos reclináveis.")</f>
        <v>carrinho leve. Individualmente assentos reclináveis.</v>
      </c>
      <c r="B48597" s="3">
        <v>1</v>
      </c>
    </row>
    <row r="48598" ht="15.75" customHeight="1" spans="1:2">
      <c r="A48598" s="3" t="str">
        <f>IFERROR(__xludf.DUMMYFUNCTION("GOOGLETRANSLATE(A48598,""en"",""pt"")"),"Mais compacto do que a maioria das duplas")</f>
        <v>Mais compacto do que a maioria das duplas</v>
      </c>
      <c r="B48598" s="3">
        <v>1</v>
      </c>
    </row>
    <row r="48599" ht="15.75" customHeight="1" spans="1:2">
      <c r="A48599" s="3" t="str">
        <f>IFERROR(__xludf.DUMMYFUNCTION("GOOGLETRANSLATE(A48599,""en"",""pt"")"),"Bom se você tem filhos em torno da mesma idade")</f>
        <v>Bom se você tem filhos em torno da mesma idade</v>
      </c>
      <c r="B48599" s="3">
        <v>1</v>
      </c>
    </row>
    <row r="48600" ht="15.75" customHeight="1" spans="1:2">
      <c r="A48600" s="3" t="str">
        <f>IFERROR(__xludf.DUMMYFUNCTION("GOOGLETRANSLATE(A48600,""en"",""pt"")"),"Leve, fácil de dobrar, durável, o melhor valor!")</f>
        <v>Leve, fácil de dobrar, durável, o melhor valor!</v>
      </c>
      <c r="B48600" s="3">
        <v>1</v>
      </c>
    </row>
    <row r="48601" ht="15.75" customHeight="1" spans="1:2">
      <c r="A48601" s="3" t="str">
        <f>IFERROR(__xludf.DUMMYFUNCTION("GOOGLETRANSLATE(A48601,""en"",""pt"")"),"econômica, fácil de usar e leve")</f>
        <v>econômica, fácil de usar e leve</v>
      </c>
      <c r="B48601" s="3">
        <v>1</v>
      </c>
    </row>
    <row r="48602" ht="15.75" customHeight="1" spans="1:2">
      <c r="A48602" s="3" t="str">
        <f>IFERROR(__xludf.DUMMYFUNCTION("GOOGLETRANSLATE(A48602,""en"",""pt"")"),"O peso leve, durável, fácil de usar")</f>
        <v>O peso leve, durável, fácil de usar</v>
      </c>
      <c r="B48602" s="3">
        <v>1</v>
      </c>
    </row>
    <row r="48603" ht="15.75" customHeight="1" spans="1:2">
      <c r="A48603" s="3" t="str">
        <f>IFERROR(__xludf.DUMMYFUNCTION("GOOGLETRANSLATE(A48603,""en"",""pt"")"),"assentos duas e novilhos facilmente")</f>
        <v>assentos duas e novilhos facilmente</v>
      </c>
      <c r="B48603" s="3">
        <v>1</v>
      </c>
    </row>
    <row r="48604" ht="15.75" customHeight="1" spans="1:2">
      <c r="A48604" s="3" t="str">
        <f>IFERROR(__xludf.DUMMYFUNCTION("GOOGLETRANSLATE(A48604,""en"",""pt"")"),"Fácil de manobra")</f>
        <v>Fácil de manobra</v>
      </c>
      <c r="B48604" s="3">
        <v>1</v>
      </c>
    </row>
    <row r="48605" ht="15.75" customHeight="1" spans="1:2">
      <c r="A48605" s="3" t="str">
        <f>IFERROR(__xludf.DUMMYFUNCTION("GOOGLETRANSLATE(A48605,""en"",""pt"")"),"leve, compacto, fácil de dobrar / open, parece ser bom.")</f>
        <v>leve, compacto, fácil de dobrar / open, parece ser bom.</v>
      </c>
      <c r="B48605" s="3">
        <v>1</v>
      </c>
    </row>
    <row r="48606" ht="15.75" customHeight="1" spans="1:2">
      <c r="A48606" s="3" t="str">
        <f>IFERROR(__xludf.DUMMYFUNCTION("GOOGLETRANSLATE(A48606,""en"",""pt"")"),"Dobras compactamente, fácil de carregar, muito acessível")</f>
        <v>Dobras compactamente, fácil de carregar, muito acessível</v>
      </c>
      <c r="B48606" s="3">
        <v>1</v>
      </c>
    </row>
    <row r="48607" ht="15.75" customHeight="1" spans="1:2">
      <c r="A48607" s="3" t="str">
        <f>IFERROR(__xludf.DUMMYFUNCTION("GOOGLETRANSLATE(A48607,""en"",""pt"")"),"tamanho minúsculo. vai em qualquer lugar")</f>
        <v>tamanho minúsculo. vai em qualquer lugar</v>
      </c>
      <c r="B48607" s="3">
        <v>1</v>
      </c>
    </row>
    <row r="48608" ht="15.75" customHeight="1" spans="1:2">
      <c r="A48608" s="3" t="str">
        <f>IFERROR(__xludf.DUMMYFUNCTION("GOOGLETRANSLATE(A48608,""en"",""pt"")"),"Pequeno, baixo uso da bateria, flash, modo macro, 60 a 90 foto da capacidade, um bom software.")</f>
        <v>Pequeno, baixo uso da bateria, flash, modo macro, 60 a 90 foto da capacidade, um bom software.</v>
      </c>
      <c r="B48608" s="3">
        <v>1</v>
      </c>
    </row>
    <row r="48609" ht="15.75" customHeight="1" spans="1:2">
      <c r="A48609" s="3" t="str">
        <f>IFERROR(__xludf.DUMMYFUNCTION("GOOGLETRANSLATE(A48609,""en"",""pt"")"),"fácil de usar, ótimo software pequena")</f>
        <v>fácil de usar, ótimo software pequena</v>
      </c>
      <c r="B48609" s="3">
        <v>1</v>
      </c>
    </row>
    <row r="48610" ht="15.75" customHeight="1" spans="1:2">
      <c r="A48610" s="3" t="str">
        <f>IFERROR(__xludf.DUMMYFUNCTION("GOOGLETRANSLATE(A48610,""en"",""pt"")"),"bom para iniciantes")</f>
        <v>bom para iniciantes</v>
      </c>
      <c r="B48610" s="3">
        <v>1</v>
      </c>
    </row>
    <row r="48611" ht="15.75" customHeight="1" spans="1:2">
      <c r="A48611" s="3" t="str">
        <f>IFERROR(__xludf.DUMMYFUNCTION("GOOGLETRANSLATE(A48611,""en"",""pt"")"),"Preço e tamanho.")</f>
        <v>Preço e tamanho.</v>
      </c>
      <c r="B48611" s="3">
        <v>1</v>
      </c>
    </row>
    <row r="48612" ht="15.75" customHeight="1" spans="1:2">
      <c r="A48612" s="3" t="str">
        <f>IFERROR(__xludf.DUMMYFUNCTION("GOOGLETRANSLATE(A48612,""en"",""pt"")"),"3-em-um, câmera digital, câmera de vídeo, câmera e PC!")</f>
        <v>3-em-um, câmera digital, câmera de vídeo, câmera e PC!</v>
      </c>
      <c r="B48612" s="3">
        <v>1</v>
      </c>
    </row>
    <row r="48613" ht="15.75" customHeight="1" spans="1:2">
      <c r="A48613" s="3" t="str">
        <f>IFERROR(__xludf.DUMMYFUNCTION("GOOGLETRANSLATE(A48613,""en"",""pt"")"),"pequeno, leve, bom em baterias")</f>
        <v>pequeno, leve, bom em baterias</v>
      </c>
      <c r="B48613" s="3">
        <v>1</v>
      </c>
    </row>
    <row r="48614" ht="15.75" customHeight="1" spans="1:2">
      <c r="A48614" s="3" t="str">
        <f>IFERROR(__xludf.DUMMYFUNCTION("GOOGLETRANSLATE(A48614,""en"",""pt"")"),"bom para a internet")</f>
        <v>bom para a internet</v>
      </c>
      <c r="B48614" s="3">
        <v>1</v>
      </c>
    </row>
    <row r="48615" ht="15.75" customHeight="1" spans="1:2">
      <c r="A48615" s="3" t="str">
        <f>IFERROR(__xludf.DUMMYFUNCTION("GOOGLETRANSLATE(A48615,""en"",""pt"")"),"fácil de usar, ótimo software pequena")</f>
        <v>fácil de usar, ótimo software pequena</v>
      </c>
      <c r="B48615" s="3">
        <v>1</v>
      </c>
    </row>
    <row r="48616" ht="15.75" customHeight="1" spans="1:2">
      <c r="A48616" s="3" t="str">
        <f>IFERROR(__xludf.DUMMYFUNCTION("GOOGLETRANSLATE(A48616,""en"",""pt"")"),"Tamanho, Software, Conveniência")</f>
        <v>Tamanho, Software, Conveniência</v>
      </c>
      <c r="B48616" s="3">
        <v>1</v>
      </c>
    </row>
    <row r="48617" ht="15.75" customHeight="1" spans="1:2">
      <c r="A48617" s="3" t="str">
        <f>IFERROR(__xludf.DUMMYFUNCTION("GOOGLETRANSLATE(A48617,""en"",""pt"")"),"Ok para fins de utilidade, em que a qualidade não é importante.")</f>
        <v>Ok para fins de utilidade, em que a qualidade não é importante.</v>
      </c>
      <c r="B48617" s="3">
        <v>1</v>
      </c>
    </row>
    <row r="48618" ht="15.75" customHeight="1" spans="1:2">
      <c r="A48618" s="3" t="str">
        <f>IFERROR(__xludf.DUMMYFUNCTION("GOOGLETRANSLATE(A48618,""en"",""pt"")"),"fotos decentes para o preço, leve, compacto.")</f>
        <v>fotos decentes para o preço, leve, compacto.</v>
      </c>
      <c r="B48618" s="3">
        <v>1</v>
      </c>
    </row>
    <row r="48619" ht="15.75" customHeight="1" spans="1:2">
      <c r="A48619" s="3" t="str">
        <f>IFERROR(__xludf.DUMMYFUNCTION("GOOGLETRANSLATE(A48619,""en"",""pt"")"),"barato, bom se você não se preocupam com a qualidade")</f>
        <v>barato, bom se você não se preocupam com a qualidade</v>
      </c>
      <c r="B48619" s="3">
        <v>1</v>
      </c>
    </row>
    <row r="48620" ht="15.75" customHeight="1" spans="1:2">
      <c r="A48620" s="3" t="str">
        <f>IFERROR(__xludf.DUMMYFUNCTION("GOOGLETRANSLATE(A48620,""en"",""pt"")"),"Barato, leve")</f>
        <v>Barato, leve</v>
      </c>
      <c r="B48620" s="3">
        <v>1</v>
      </c>
    </row>
    <row r="48621" ht="15.75" customHeight="1" spans="1:2">
      <c r="A48621" s="3" t="str">
        <f>IFERROR(__xludf.DUMMYFUNCTION("GOOGLETRANSLATE(A48621,""en"",""pt"")"),"Imagens agradáveis, preço baixo")</f>
        <v>Imagens agradáveis, preço baixo</v>
      </c>
      <c r="B48621" s="3">
        <v>1</v>
      </c>
    </row>
    <row r="48622" ht="15.75" customHeight="1" spans="1:2">
      <c r="A48622" s="3" t="str">
        <f>IFERROR(__xludf.DUMMYFUNCTION("GOOGLETRANSLATE(A48622,""en"",""pt"")"),"Barato; fotos decentes; software decente.")</f>
        <v>Barato; fotos decentes; software decente.</v>
      </c>
      <c r="B48622" s="3">
        <v>1</v>
      </c>
    </row>
    <row r="48623" ht="15.75" customHeight="1" spans="1:2">
      <c r="A48623" s="3" t="str">
        <f>IFERROR(__xludf.DUMMYFUNCTION("GOOGLETRANSLATE(A48623,""en"",""pt"")"),"Muito barato, atende as minhas necessidades.")</f>
        <v>Muito barato, atende as minhas necessidades.</v>
      </c>
      <c r="B48623" s="3">
        <v>1</v>
      </c>
    </row>
    <row r="48624" ht="15.75" customHeight="1" spans="1:2">
      <c r="A48624" s="3" t="str">
        <f>IFERROR(__xludf.DUMMYFUNCTION("GOOGLETRANSLATE(A48624,""en"",""pt"")"),"preços pequenos, fácil de usar")</f>
        <v>preços pequenos, fácil de usar</v>
      </c>
      <c r="B48624" s="3">
        <v>1</v>
      </c>
    </row>
    <row r="48625" ht="15.75" customHeight="1" spans="1:2">
      <c r="A48625" s="3" t="str">
        <f>IFERROR(__xludf.DUMMYFUNCTION("GOOGLETRANSLATE(A48625,""en"",""pt"")"),"construção muito leve, flash pop-up é útil, kit completo")</f>
        <v>construção muito leve, flash pop-up é útil, kit completo</v>
      </c>
      <c r="B48625" s="3">
        <v>1</v>
      </c>
    </row>
    <row r="48626" ht="15.75" customHeight="1" spans="1:2">
      <c r="A48626" s="3" t="str">
        <f>IFERROR(__xludf.DUMMYFUNCTION("GOOGLETRANSLATE(A48626,""en"",""pt"")"),"muito leve. Boas claros ao ar livre durante o dia quadros.")</f>
        <v>muito leve. Boas claros ao ar livre durante o dia quadros.</v>
      </c>
      <c r="B48626" s="3">
        <v>1</v>
      </c>
    </row>
    <row r="48627" ht="15.75" customHeight="1" spans="1:2">
      <c r="A48627" s="3" t="str">
        <f>IFERROR(__xludf.DUMMYFUNCTION("GOOGLETRANSLATE(A48627,""en"",""pt"")"),"barato, fácil de usar")</f>
        <v>barato, fácil de usar</v>
      </c>
      <c r="B48627" s="3">
        <v>1</v>
      </c>
    </row>
    <row r="48628" ht="15.75" customHeight="1" spans="1:2">
      <c r="A48628" s="3" t="str">
        <f>IFERROR(__xludf.DUMMYFUNCTION("GOOGLETRANSLATE(A48628,""en"",""pt"")"),"excelente imagem e functionalityq")</f>
        <v>excelente imagem e functionalityq</v>
      </c>
      <c r="B48628" s="3">
        <v>1</v>
      </c>
    </row>
    <row r="48629" ht="15.75" customHeight="1" spans="1:2">
      <c r="A48629" s="3" t="str">
        <f>IFERROR(__xludf.DUMMYFUNCTION("GOOGLETRANSLATE(A48629,""en"",""pt"")"),"Preço, facilidade de utilização, cabo de alimentação ao carregar fotos, Temporizador")</f>
        <v>Preço, facilidade de utilização, cabo de alimentação ao carregar fotos, Temporizador</v>
      </c>
      <c r="B48629" s="3">
        <v>1</v>
      </c>
    </row>
    <row r="48630" ht="15.75" customHeight="1" spans="1:2">
      <c r="A48630" s="3" t="str">
        <f>IFERROR(__xludf.DUMMYFUNCTION("GOOGLETRANSLATE(A48630,""en"",""pt"")"),"custo muito baixo, boa aparência tamanho, pequeno")</f>
        <v>custo muito baixo, boa aparência tamanho, pequeno</v>
      </c>
      <c r="B48630" s="3">
        <v>1</v>
      </c>
    </row>
    <row r="48631" ht="15.75" customHeight="1" spans="1:2">
      <c r="A48631" s="3" t="s">
        <v>242</v>
      </c>
      <c r="B48631" s="3">
        <v>1</v>
      </c>
    </row>
    <row r="48632" ht="15.75" customHeight="1" spans="1:2">
      <c r="A48632" s="3" t="str">
        <f>IFERROR(__xludf.DUMMYFUNCTION("GOOGLETRANSLATE(A48632,""en"",""pt"")"),"Barato ~~ fácil de usar")</f>
        <v>Barato ~~ fácil de usar</v>
      </c>
      <c r="B48632" s="3">
        <v>1</v>
      </c>
    </row>
    <row r="48633" ht="15.75" customHeight="1" spans="1:2">
      <c r="A48633" s="3" t="str">
        <f>IFERROR(__xludf.DUMMYFUNCTION("GOOGLETRANSLATE(A48633,""en"",""pt"")"),"Muito barato, boas imagens, bastante fácil de usar")</f>
        <v>Muito barato, boas imagens, bastante fácil de usar</v>
      </c>
      <c r="B48633" s="3">
        <v>1</v>
      </c>
    </row>
    <row r="48634" ht="15.75" customHeight="1" spans="1:2">
      <c r="A48634" s="3" t="str">
        <f>IFERROR(__xludf.DUMMYFUNCTION("GOOGLETRANSLATE(A48634,""en"",""pt"")"),"O tamanho pequeno, fotos decentes de qualidade, adaptador AC incluído")</f>
        <v>O tamanho pequeno, fotos decentes de qualidade, adaptador AC incluído</v>
      </c>
      <c r="B48634" s="3">
        <v>1</v>
      </c>
    </row>
    <row r="48635" ht="15.75" customHeight="1" spans="1:2">
      <c r="A48635" s="3" t="str">
        <f>IFERROR(__xludf.DUMMYFUNCTION("GOOGLETRANSLATE(A48635,""en"",""pt"")"),"Preço e valor, tamanho compacto, adaptador AC")</f>
        <v>Preço e valor, tamanho compacto, adaptador AC</v>
      </c>
      <c r="B48635" s="3">
        <v>1</v>
      </c>
    </row>
    <row r="48636" ht="15.75" customHeight="1" spans="1:2">
      <c r="A48636" s="3" t="str">
        <f>IFERROR(__xludf.DUMMYFUNCTION("GOOGLETRANSLATE(A48636,""en"",""pt"")"),"bom preço, boas fotos, vem com a / c &amp; amp; # 13; &amp; amp; # 10; anexo, flash, bateria")</f>
        <v>bom preço, boas fotos, vem com a / c &amp; amp; # 13; &amp; amp; # 10; anexo, flash, bateria</v>
      </c>
      <c r="B48636" s="3">
        <v>1</v>
      </c>
    </row>
    <row r="48637" ht="15.75" customHeight="1" spans="1:2">
      <c r="A48637" s="3" t="str">
        <f>IFERROR(__xludf.DUMMYFUNCTION("GOOGLETRANSLATE(A48637,""en"",""pt"")"),"fotografia digital a um preço câmera descartável.")</f>
        <v>fotografia digital a um preço câmera descartável.</v>
      </c>
      <c r="B48637" s="3">
        <v>1</v>
      </c>
    </row>
    <row r="48638" ht="15.75" customHeight="1" spans="1:2">
      <c r="A48638" s="3" t="str">
        <f>IFERROR(__xludf.DUMMYFUNCTION("GOOGLETRANSLATE(A48638,""en"",""pt"")"),"Uma entrada de baixo preço em fotografia digital.")</f>
        <v>Uma entrada de baixo preço em fotografia digital.</v>
      </c>
      <c r="B48638" s="3">
        <v>1</v>
      </c>
    </row>
    <row r="48639" ht="15.75" customHeight="1" spans="1:2">
      <c r="A48639" s="3" t="str">
        <f>IFERROR(__xludf.DUMMYFUNCTION("GOOGLETRANSLATE(A48639,""en"",""pt"")"),"Absolutamente nenhuma resgatando qualidades sobre esta câmera.")</f>
        <v>Absolutamente nenhuma resgatando qualidades sobre esta câmera.</v>
      </c>
      <c r="B48639" s="3">
        <v>1</v>
      </c>
    </row>
    <row r="48640" ht="15.75" customHeight="1" spans="1:2">
      <c r="A48640" s="3" t="str">
        <f>IFERROR(__xludf.DUMMYFUNCTION("GOOGLETRANSLATE(A48640,""en"",""pt"")"),"Bem, parece que uma câmera real")</f>
        <v>Bem, parece que uma câmera real</v>
      </c>
      <c r="B48640" s="3">
        <v>1</v>
      </c>
    </row>
    <row r="48641" ht="15.75" customHeight="1" spans="1:2">
      <c r="A48641" s="3" t="str">
        <f>IFERROR(__xludf.DUMMYFUNCTION("GOOGLETRANSLATE(A48641,""en"",""pt"")"),"Leve, fácil de usar, barato e feito apenas para iniciantes.")</f>
        <v>Leve, fácil de usar, barato e feito apenas para iniciantes.</v>
      </c>
      <c r="B48641" s="3">
        <v>1</v>
      </c>
    </row>
    <row r="48642" ht="15.75" customHeight="1" spans="1:2">
      <c r="A48642" s="3" t="str">
        <f>IFERROR(__xludf.DUMMYFUNCTION("GOOGLETRANSLATE(A48642,""en"",""pt"")"),"Bom atendimento ao cliente; mais barato do que um terno de poliéster")</f>
        <v>Bom atendimento ao cliente; mais barato do que um terno de poliéster</v>
      </c>
      <c r="B48642" s="3">
        <v>1</v>
      </c>
    </row>
    <row r="48643" ht="15.75" customHeight="1" spans="1:2">
      <c r="A48643" s="3" t="str">
        <f>IFERROR(__xludf.DUMMYFUNCTION("GOOGLETRANSLATE(A48643,""en"",""pt"")"),"Barato!")</f>
        <v>Barato!</v>
      </c>
      <c r="B48643" s="3">
        <v>1</v>
      </c>
    </row>
    <row r="48644" ht="15.75" customHeight="1" spans="1:2">
      <c r="A48644" s="3" t="str">
        <f>IFERROR(__xludf.DUMMYFUNCTION("GOOGLETRANSLATE(A48644,""en"",""pt"")"),"impressora a cores barato")</f>
        <v>impressora a cores barato</v>
      </c>
      <c r="B48644" s="3">
        <v>1</v>
      </c>
    </row>
    <row r="48645" ht="15.75" customHeight="1" spans="1:2">
      <c r="A48645" s="3" t="str">
        <f>IFERROR(__xludf.DUMMYFUNCTION("GOOGLETRANSLATE(A48645,""en"",""pt"")"),"Barato")</f>
        <v>Barato</v>
      </c>
      <c r="B48645" s="3">
        <v>1</v>
      </c>
    </row>
    <row r="48646" ht="15.75" customHeight="1" spans="1:2">
      <c r="A48646" s="3" t="str">
        <f>IFERROR(__xludf.DUMMYFUNCTION("GOOGLETRANSLATE(A48646,""en"",""pt"")"),"impressora grande para o dinheiro")</f>
        <v>impressora grande para o dinheiro</v>
      </c>
      <c r="B48646" s="3">
        <v>1</v>
      </c>
    </row>
    <row r="48647" ht="15.75" customHeight="1" spans="1:2">
      <c r="A48647" s="3" t="str">
        <f>IFERROR(__xludf.DUMMYFUNCTION("GOOGLETRANSLATE(A48647,""en"",""pt"")"),"Económicamente viáveis")</f>
        <v>Económicamente viáveis</v>
      </c>
      <c r="B48647" s="3">
        <v>1</v>
      </c>
    </row>
    <row r="48648" ht="15.75" customHeight="1" spans="1:2">
      <c r="A48648" s="3" t="str">
        <f>IFERROR(__xludf.DUMMYFUNCTION("GOOGLETRANSLATE(A48648,""en"",""pt"")"),"Leve, fácil de usar, ótimo preço &amp; amp; amp; MUITO BOM CÓPIAS")</f>
        <v>Leve, fácil de usar, ótimo preço &amp; amp; amp; MUITO BOM CÓPIAS</v>
      </c>
      <c r="B48648" s="3">
        <v>1</v>
      </c>
    </row>
    <row r="48649" ht="15.75" customHeight="1" spans="1:2">
      <c r="A48649" s="3" t="str">
        <f>IFERROR(__xludf.DUMMYFUNCTION("GOOGLETRANSLATE(A48649,""en"",""pt"")"),"BAIXA PREÇO ONLINE !!!")</f>
        <v>BAIXA PREÇO ONLINE !!!</v>
      </c>
      <c r="B48649" s="3">
        <v>1</v>
      </c>
    </row>
    <row r="48650" ht="15.75" customHeight="1" spans="1:2">
      <c r="A48650" s="3" t="str">
        <f>IFERROR(__xludf.DUMMYFUNCTION("GOOGLETRANSLATE(A48650,""en"",""pt"")"),"serviço ao cliente")</f>
        <v>serviço ao cliente</v>
      </c>
      <c r="B48650" s="3">
        <v>1</v>
      </c>
    </row>
    <row r="48651" ht="15.75" customHeight="1" spans="1:2">
      <c r="A48651" s="3" t="str">
        <f>IFERROR(__xludf.DUMMYFUNCTION("GOOGLETRANSLATE(A48651,""en"",""pt"")"),"custo")</f>
        <v>custo</v>
      </c>
      <c r="B48651" s="3">
        <v>1</v>
      </c>
    </row>
    <row r="48652" ht="15.75" customHeight="1" spans="1:2">
      <c r="A48652" s="3" t="str">
        <f>IFERROR(__xludf.DUMMYFUNCTION("GOOGLETRANSLATE(A48652,""en"",""pt"")"),"barato")</f>
        <v>barato</v>
      </c>
      <c r="B48652" s="3">
        <v>1</v>
      </c>
    </row>
    <row r="48653" ht="15.75" customHeight="1" spans="1:2">
      <c r="A48653" s="3" t="str">
        <f>IFERROR(__xludf.DUMMYFUNCTION("GOOGLETRANSLATE(A48653,""en"",""pt"")"),"Fácil de usar")</f>
        <v>Fácil de usar</v>
      </c>
      <c r="B48653" s="3">
        <v>1</v>
      </c>
    </row>
    <row r="48654" ht="15.75" customHeight="1" spans="1:2">
      <c r="A48654" s="3" t="str">
        <f>IFERROR(__xludf.DUMMYFUNCTION("GOOGLETRANSLATE(A48654,""en"",""pt"")"),"Seu barato, display de tinta na tela")</f>
        <v>Seu barato, display de tinta na tela</v>
      </c>
      <c r="B48654" s="3">
        <v>1</v>
      </c>
    </row>
    <row r="48655" ht="15.75" customHeight="1" spans="1:2">
      <c r="A48655" s="3" t="str">
        <f>IFERROR(__xludf.DUMMYFUNCTION("GOOGLETRANSLATE(A48655,""en"",""pt"")"),"impressora de reposição para trabalhos rápidos, muito rápido")</f>
        <v>impressora de reposição para trabalhos rápidos, muito rápido</v>
      </c>
      <c r="B48655" s="3">
        <v>1</v>
      </c>
    </row>
    <row r="48656" ht="15.75" customHeight="1" spans="1:2">
      <c r="A48656" s="3" t="str">
        <f>IFERROR(__xludf.DUMMYFUNCTION("GOOGLETRANSLATE(A48656,""en"",""pt"")"),"Entendi gratuitamente")</f>
        <v>Entendi gratuitamente</v>
      </c>
      <c r="B48656" s="3">
        <v>1</v>
      </c>
    </row>
    <row r="48657" ht="15.75" customHeight="1" spans="1:2">
      <c r="A48657" s="3" t="str">
        <f>IFERROR(__xludf.DUMMYFUNCTION("GOOGLETRANSLATE(A48657,""en"",""pt"")"),"Barato!")</f>
        <v>Barato!</v>
      </c>
      <c r="B48657" s="3">
        <v>1</v>
      </c>
    </row>
    <row r="48658" ht="15.75" customHeight="1" spans="1:2">
      <c r="A48658" s="3" t="str">
        <f>IFERROR(__xludf.DUMMYFUNCTION("GOOGLETRANSLATE(A48658,""en"",""pt"")"),"Leve e básico, set-up, software de impressão simples")</f>
        <v>Leve e básico, set-up, software de impressão simples</v>
      </c>
      <c r="B48658" s="3">
        <v>1</v>
      </c>
    </row>
    <row r="48659" ht="15.75" customHeight="1" spans="1:2">
      <c r="A48659" s="3" t="str">
        <f>IFERROR(__xludf.DUMMYFUNCTION("GOOGLETRANSLATE(A48659,""en"",""pt"")"),"fácil de instalar cartuchos, muito barato, muito boa qualidade de impressão")</f>
        <v>fácil de instalar cartuchos, muito barato, muito boa qualidade de impressão</v>
      </c>
      <c r="B48659" s="3">
        <v>1</v>
      </c>
    </row>
    <row r="48660" ht="15.75" customHeight="1" spans="1:2">
      <c r="A48660" s="3" t="str">
        <f>IFERROR(__xludf.DUMMYFUNCTION("GOOGLETRANSLATE(A48660,""en"",""pt"")"),"acessível")</f>
        <v>acessível</v>
      </c>
      <c r="B48660" s="3">
        <v>1</v>
      </c>
    </row>
    <row r="48661" ht="15.75" customHeight="1" spans="1:2">
      <c r="A48661" s="3" t="str">
        <f>IFERROR(__xludf.DUMMYFUNCTION("GOOGLETRANSLATE(A48661,""en"",""pt"")"),"Preço, velocidade, DPS, Qualidade")</f>
        <v>Preço, velocidade, DPS, Qualidade</v>
      </c>
      <c r="B48661" s="3">
        <v>1</v>
      </c>
    </row>
    <row r="48662" ht="15.75" customHeight="1" spans="1:2">
      <c r="A48662" s="3" t="str">
        <f>IFERROR(__xludf.DUMMYFUNCTION("GOOGLETRANSLATE(A48662,""en"",""pt"")"),"Preço baixo.")</f>
        <v>Preço baixo.</v>
      </c>
      <c r="B48662" s="3">
        <v>1</v>
      </c>
    </row>
    <row r="48663" ht="15.75" customHeight="1" spans="1:2">
      <c r="A48663" s="3" t="str">
        <f>IFERROR(__xludf.DUMMYFUNCTION("GOOGLETRANSLATE(A48663,""en"",""pt"")"),"Barato, bom para uso infrequente")</f>
        <v>Barato, bom para uso infrequente</v>
      </c>
      <c r="B48663" s="3">
        <v>1</v>
      </c>
    </row>
    <row r="48664" ht="15.75" customHeight="1" spans="1:2">
      <c r="A48664" s="3" t="str">
        <f>IFERROR(__xludf.DUMMYFUNCTION("GOOGLETRANSLATE(A48664,""en"",""pt"")"),"software bom que veio com ele. A qualidade da imagem não era ruim quando ele iria trabalhar.")</f>
        <v>software bom que veio com ele. A qualidade da imagem não era ruim quando ele iria trabalhar.</v>
      </c>
      <c r="B48664" s="3">
        <v>1</v>
      </c>
    </row>
    <row r="48665" ht="15.75" customHeight="1" spans="1:2">
      <c r="A48665" s="3" t="str">
        <f>IFERROR(__xludf.DUMMYFUNCTION("GOOGLETRANSLATE(A48665,""en"",""pt"")"),"Boa impressora de uso geral, velocidade razoável para esta classe de impressoras")</f>
        <v>Boa impressora de uso geral, velocidade razoável para esta classe de impressoras</v>
      </c>
      <c r="B48665" s="3">
        <v>1</v>
      </c>
    </row>
    <row r="48666" ht="15.75" customHeight="1" spans="1:2">
      <c r="A48666" s="3" t="str">
        <f>IFERROR(__xludf.DUMMYFUNCTION("GOOGLETRANSLATE(A48666,""en"",""pt"")"),"trabalho")</f>
        <v>trabalho</v>
      </c>
      <c r="B48666" s="3">
        <v>1</v>
      </c>
    </row>
    <row r="48667" ht="15.75" customHeight="1" spans="1:2">
      <c r="A48667" s="3" t="str">
        <f>IFERROR(__xludf.DUMMYFUNCTION("GOOGLETRANSLATE(A48667,""en"",""pt"")"),"barato")</f>
        <v>barato</v>
      </c>
      <c r="B48667" s="3">
        <v>1</v>
      </c>
    </row>
    <row r="48668" ht="15.75" customHeight="1" spans="1:2">
      <c r="A48668" s="3" t="str">
        <f>IFERROR(__xludf.DUMMYFUNCTION("GOOGLETRANSLATE(A48668,""en"",""pt"")"),"Barato")</f>
        <v>Barato</v>
      </c>
      <c r="B48668" s="3">
        <v>1</v>
      </c>
    </row>
    <row r="48669" ht="15.75" customHeight="1" spans="1:2">
      <c r="A48669" s="3" t="str">
        <f>IFERROR(__xludf.DUMMYFUNCTION("GOOGLETRANSLATE(A48669,""en"",""pt"")"),"qualidade")</f>
        <v>qualidade</v>
      </c>
      <c r="B48669" s="3">
        <v>1</v>
      </c>
    </row>
    <row r="48670" ht="15.75" customHeight="1" spans="1:2">
      <c r="A48670" s="3" t="str">
        <f>IFERROR(__xludf.DUMMYFUNCTION("GOOGLETRANSLATE(A48670,""en"",""pt"")"),"Qualidade, Programa de Impressão")</f>
        <v>Qualidade, Programa de Impressão</v>
      </c>
      <c r="B48670" s="3">
        <v>1</v>
      </c>
    </row>
    <row r="48671" ht="15.75" customHeight="1" spans="1:2">
      <c r="A48671" s="3" t="str">
        <f>IFERROR(__xludf.DUMMYFUNCTION("GOOGLETRANSLATE(A48671,""en"",""pt"")"),"barato")</f>
        <v>barato</v>
      </c>
      <c r="B48671" s="3">
        <v>1</v>
      </c>
    </row>
    <row r="48672" ht="15.75" customHeight="1" spans="1:2">
      <c r="A48672" s="3" t="str">
        <f>IFERROR(__xludf.DUMMYFUNCTION("GOOGLETRANSLATE(A48672,""en"",""pt"")"),"qualidade de impressão agradável")</f>
        <v>qualidade de impressão agradável</v>
      </c>
      <c r="B48672" s="3">
        <v>1</v>
      </c>
    </row>
    <row r="48673" ht="15.75" customHeight="1" spans="1:2">
      <c r="A48673" s="3" t="str">
        <f>IFERROR(__xludf.DUMMYFUNCTION("GOOGLETRANSLATE(A48673,""en"",""pt"")"),"Fácil de configurar")</f>
        <v>Fácil de configurar</v>
      </c>
      <c r="B48673" s="3">
        <v>1</v>
      </c>
    </row>
    <row r="48674" ht="15.75" customHeight="1" spans="1:2">
      <c r="A48674" s="3" t="str">
        <f>IFERROR(__xludf.DUMMYFUNCTION("GOOGLETRANSLATE(A48674,""en"",""pt"")"),"Barato, boa velocidade de impressão e qualidade, fácil de usar")</f>
        <v>Barato, boa velocidade de impressão e qualidade, fácil de usar</v>
      </c>
      <c r="B48674" s="3">
        <v>1</v>
      </c>
    </row>
    <row r="48675" ht="15.75" customHeight="1" spans="1:2">
      <c r="A48675" s="3" t="str">
        <f>IFERROR(__xludf.DUMMYFUNCTION("GOOGLETRANSLATE(A48675,""en"",""pt"")"),"muito barato")</f>
        <v>muito barato</v>
      </c>
      <c r="B48675" s="3">
        <v>1</v>
      </c>
    </row>
    <row r="48676" ht="15.75" customHeight="1" spans="1:2">
      <c r="A48676" s="3" t="str">
        <f>IFERROR(__xludf.DUMMYFUNCTION("GOOGLETRANSLATE(A48676,""en"",""pt"")"),"Preço baixo")</f>
        <v>Preço baixo</v>
      </c>
      <c r="B48676" s="3">
        <v>1</v>
      </c>
    </row>
    <row r="48677" ht="15.75" customHeight="1" spans="1:2">
      <c r="A48677" s="3" t="str">
        <f>IFERROR(__xludf.DUMMYFUNCTION("GOOGLETRANSLATE(A48677,""en"",""pt"")"),"Muito devagar")</f>
        <v>Muito devagar</v>
      </c>
      <c r="B48677" s="3">
        <v>1</v>
      </c>
    </row>
    <row r="48678" ht="15.75" customHeight="1" spans="1:2">
      <c r="A48678" s="3" t="str">
        <f>IFERROR(__xludf.DUMMYFUNCTION("GOOGLETRANSLATE(A48678,""en"",""pt"")"),"boa qualidade de imagem")</f>
        <v>boa qualidade de imagem</v>
      </c>
      <c r="B48678" s="3">
        <v>1</v>
      </c>
    </row>
    <row r="48679" ht="15.75" customHeight="1" spans="1:2">
      <c r="A48679" s="3" t="str">
        <f>IFERROR(__xludf.DUMMYFUNCTION("GOOGLETRANSLATE(A48679,""en"",""pt"")"),"confiável")</f>
        <v>confiável</v>
      </c>
      <c r="B48679" s="3">
        <v>1</v>
      </c>
    </row>
    <row r="48680" ht="15.75" customHeight="1" spans="1:2">
      <c r="A48680" s="3" t="str">
        <f>IFERROR(__xludf.DUMMYFUNCTION("GOOGLETRANSLATE(A48680,""en"",""pt"")"),"Fácil de usar")</f>
        <v>Fácil de usar</v>
      </c>
      <c r="B48680" s="3">
        <v>1</v>
      </c>
    </row>
    <row r="48681" ht="15.75" customHeight="1" spans="1:2">
      <c r="A48681" s="3" t="str">
        <f>IFERROR(__xludf.DUMMYFUNCTION("GOOGLETRANSLATE(A48681,""en"",""pt"")"),"Acessível")</f>
        <v>Acessível</v>
      </c>
      <c r="B48681" s="3">
        <v>1</v>
      </c>
    </row>
    <row r="48682" ht="15.75" customHeight="1" spans="1:2">
      <c r="A48682" s="3" t="str">
        <f>IFERROR(__xludf.DUMMYFUNCTION("GOOGLETRANSLATE(A48682,""en"",""pt"")"),"Boa cor e clareza gráfica.")</f>
        <v>Boa cor e clareza gráfica.</v>
      </c>
      <c r="B48682" s="3">
        <v>1</v>
      </c>
    </row>
    <row r="48683" ht="15.75" customHeight="1" spans="1:2">
      <c r="A48683" s="3" t="str">
        <f>IFERROR(__xludf.DUMMYFUNCTION("GOOGLETRANSLATE(A48683,""en"",""pt"")"),"Tamanho, portabilidade quando necessário.")</f>
        <v>Tamanho, portabilidade quando necessário.</v>
      </c>
      <c r="B48683" s="3">
        <v>1</v>
      </c>
    </row>
    <row r="48684" ht="15.75" customHeight="1" spans="1:2">
      <c r="A48684" s="3" t="str">
        <f>IFERROR(__xludf.DUMMYFUNCTION("GOOGLETRANSLATE(A48684,""en"",""pt"")"),"custo")</f>
        <v>custo</v>
      </c>
      <c r="B48684" s="3">
        <v>1</v>
      </c>
    </row>
    <row r="48685" ht="15.75" customHeight="1" spans="1:2">
      <c r="A48685" s="3" t="str">
        <f>IFERROR(__xludf.DUMMYFUNCTION("GOOGLETRANSLATE(A48685,""en"",""pt"")"),"funciona de forma rápida e silenciosamente")</f>
        <v>funciona de forma rápida e silenciosamente</v>
      </c>
      <c r="B48685" s="3">
        <v>1</v>
      </c>
    </row>
    <row r="48686" ht="15.75" customHeight="1" spans="1:2">
      <c r="A48686" s="3" t="str">
        <f>IFERROR(__xludf.DUMMYFUNCTION("GOOGLETRANSLATE(A48686,""en"",""pt"")"),"Color Printer barato")</f>
        <v>Color Printer barato</v>
      </c>
      <c r="B48686" s="3">
        <v>1</v>
      </c>
    </row>
    <row r="48687" ht="15.75" customHeight="1" spans="1:2">
      <c r="A48687" s="3" t="str">
        <f>IFERROR(__xludf.DUMMYFUNCTION("GOOGLETRANSLATE(A48687,""en"",""pt"")"),"qualidade de cor agradável")</f>
        <v>qualidade de cor agradável</v>
      </c>
      <c r="B48687" s="3">
        <v>1</v>
      </c>
    </row>
    <row r="48688" ht="15.75" customHeight="1" spans="1:2">
      <c r="A48688" s="3" t="str">
        <f>IFERROR(__xludf.DUMMYFUNCTION("GOOGLETRANSLATE(A48688,""en"",""pt"")"),"compactar; fácil de instalar; qualidade decente bastante")</f>
        <v>compactar; fácil de instalar; qualidade decente bastante</v>
      </c>
      <c r="B48688" s="3">
        <v>1</v>
      </c>
    </row>
    <row r="48689" ht="15.75" customHeight="1" spans="1:2">
      <c r="A48689" s="3" t="str">
        <f>IFERROR(__xludf.DUMMYFUNCTION("GOOGLETRANSLATE(A48689,""en"",""pt"")"),"bom preço, grandes programas, impressões muito boas")</f>
        <v>bom preço, grandes programas, impressões muito boas</v>
      </c>
      <c r="B48689" s="3">
        <v>1</v>
      </c>
    </row>
    <row r="48690" ht="15.75" customHeight="1" spans="1:2">
      <c r="A48690" s="3" t="str">
        <f>IFERROR(__xludf.DUMMYFUNCTION("GOOGLETRANSLATE(A48690,""en"",""pt"")"),"Nenhum")</f>
        <v>Nenhum</v>
      </c>
      <c r="B48690" s="3">
        <v>1</v>
      </c>
    </row>
    <row r="48691" ht="15.75" customHeight="1" spans="1:2">
      <c r="A48691" s="3" t="str">
        <f>IFERROR(__xludf.DUMMYFUNCTION("GOOGLETRANSLATE(A48691,""en"",""pt"")"),"barato")</f>
        <v>barato</v>
      </c>
      <c r="B48691" s="3">
        <v>1</v>
      </c>
    </row>
    <row r="48692" ht="15.75" customHeight="1" spans="1:2">
      <c r="A48692" s="3" t="str">
        <f>IFERROR(__xludf.DUMMYFUNCTION("GOOGLETRANSLATE(A48692,""en"",""pt"")"),"Parte de um pacote de computador")</f>
        <v>Parte de um pacote de computador</v>
      </c>
      <c r="B48692" s="3">
        <v>1</v>
      </c>
    </row>
    <row r="48693" ht="15.75" customHeight="1" spans="1:2">
      <c r="A48693" s="3" t="str">
        <f>IFERROR(__xludf.DUMMYFUNCTION("GOOGLETRANSLATE(A48693,""en"",""pt"")"),"Bom preço")</f>
        <v>Bom preço</v>
      </c>
      <c r="B48693" s="3">
        <v>1</v>
      </c>
    </row>
    <row r="48694" ht="15.75" customHeight="1" spans="1:2">
      <c r="A48694" s="3" t="s">
        <v>243</v>
      </c>
      <c r="B48694" s="3">
        <v>1</v>
      </c>
    </row>
    <row r="48695" ht="15.75" customHeight="1" spans="1:2">
      <c r="A48695" s="3" t="str">
        <f>IFERROR(__xludf.DUMMYFUNCTION("GOOGLETRANSLATE(A48695,""en"",""pt"")"),"Não toma muito espaço, fácil de instalar e usar")</f>
        <v>Não toma muito espaço, fácil de instalar e usar</v>
      </c>
      <c r="B48695" s="3">
        <v>1</v>
      </c>
    </row>
    <row r="48696" ht="15.75" customHeight="1" spans="1:2">
      <c r="A48696" s="3" t="str">
        <f>IFERROR(__xludf.DUMMYFUNCTION("GOOGLETRANSLATE(A48696,""en"",""pt"")"),"impressão agradável, um pouco rápido")</f>
        <v>impressão agradável, um pouco rápido</v>
      </c>
      <c r="B48696" s="3">
        <v>1</v>
      </c>
    </row>
    <row r="48697" ht="15.75" customHeight="1" spans="1:2">
      <c r="A48697" s="3" t="str">
        <f>IFERROR(__xludf.DUMMYFUNCTION("GOOGLETRANSLATE(A48697,""en"",""pt"")"),"Baixo preço, alta qualidade, Long Cartridge Vida")</f>
        <v>Baixo preço, alta qualidade, Long Cartridge Vida</v>
      </c>
      <c r="B48697" s="3">
        <v>1</v>
      </c>
    </row>
    <row r="48698" ht="15.75" customHeight="1" spans="1:2">
      <c r="A48698" s="3" t="str">
        <f>IFERROR(__xludf.DUMMYFUNCTION("GOOGLETRANSLATE(A48698,""en"",""pt"")"),"barato, não ocupam muito espaço")</f>
        <v>barato, não ocupam muito espaço</v>
      </c>
      <c r="B48698" s="3">
        <v>1</v>
      </c>
    </row>
    <row r="48699" ht="15.75" customHeight="1" spans="1:2">
      <c r="A48699" s="3" t="str">
        <f>IFERROR(__xludf.DUMMYFUNCTION("GOOGLETRANSLATE(A48699,""en"",""pt"")"),"Preço e talvez tamanho")</f>
        <v>Preço e talvez tamanho</v>
      </c>
      <c r="B48699" s="3">
        <v>1</v>
      </c>
    </row>
    <row r="48700" ht="15.75" customHeight="1" spans="1:2">
      <c r="A48700" s="3" t="str">
        <f>IFERROR(__xludf.DUMMYFUNCTION("GOOGLETRANSLATE(A48700,""en"",""pt"")"),"Barato, barato, barato")</f>
        <v>Barato, barato, barato</v>
      </c>
      <c r="B48700" s="3">
        <v>1</v>
      </c>
    </row>
    <row r="48701" ht="15.75" customHeight="1" spans="1:2">
      <c r="A48701" s="3" t="str">
        <f>IFERROR(__xludf.DUMMYFUNCTION("GOOGLETRANSLATE(A48701,""en"",""pt"")"),"Boa performance")</f>
        <v>Boa performance</v>
      </c>
      <c r="B48701" s="3">
        <v>1</v>
      </c>
    </row>
    <row r="48702" ht="15.75" customHeight="1" spans="1:2">
      <c r="A48702" s="3" t="str">
        <f>IFERROR(__xludf.DUMMYFUNCTION("GOOGLETRANSLATE(A48702,""en"",""pt"")"),"Colorido e acessível")</f>
        <v>Colorido e acessível</v>
      </c>
      <c r="B48702" s="3">
        <v>1</v>
      </c>
    </row>
    <row r="48703" ht="15.75" customHeight="1" spans="1:2">
      <c r="A48703" s="3" t="str">
        <f>IFERROR(__xludf.DUMMYFUNCTION("GOOGLETRANSLATE(A48703,""en"",""pt"")"),"Alta qualidade")</f>
        <v>Alta qualidade</v>
      </c>
      <c r="B48703" s="3">
        <v>1</v>
      </c>
    </row>
    <row r="48704" ht="15.75" customHeight="1" spans="1:2">
      <c r="A48704" s="3" t="str">
        <f>IFERROR(__xludf.DUMMYFUNCTION("GOOGLETRANSLATE(A48704,""en"",""pt"")"),"Nenhum")</f>
        <v>Nenhum</v>
      </c>
      <c r="B48704" s="3">
        <v>1</v>
      </c>
    </row>
    <row r="48705" ht="15.75" customHeight="1" spans="1:2">
      <c r="A48705" s="3" t="str">
        <f>IFERROR(__xludf.DUMMYFUNCTION("GOOGLETRANSLATE(A48705,""en"",""pt"")"),"Nenhum")</f>
        <v>Nenhum</v>
      </c>
      <c r="B48705" s="3">
        <v>1</v>
      </c>
    </row>
    <row r="48706" ht="15.75" customHeight="1" spans="1:2">
      <c r="A48706" s="3" t="str">
        <f>IFERROR(__xludf.DUMMYFUNCTION("GOOGLETRANSLATE(A48706,""en"",""pt"")"),"pequeno, um pouco quieto")</f>
        <v>pequeno, um pouco quieto</v>
      </c>
      <c r="B48706" s="3">
        <v>1</v>
      </c>
    </row>
    <row r="48707" ht="15.75" customHeight="1" spans="1:2">
      <c r="A48707" s="3" t="str">
        <f>IFERROR(__xludf.DUMMYFUNCTION("GOOGLETRANSLATE(A48707,""en"",""pt"")"),"Barato")</f>
        <v>Barato</v>
      </c>
      <c r="B48707" s="3">
        <v>1</v>
      </c>
    </row>
    <row r="48708" ht="15.75" customHeight="1" spans="1:2">
      <c r="A48708" s="3" t="str">
        <f>IFERROR(__xludf.DUMMYFUNCTION("GOOGLETRANSLATE(A48708,""en"",""pt"")"),"qualidade decente e durabilidade")</f>
        <v>qualidade decente e durabilidade</v>
      </c>
      <c r="B48708" s="3">
        <v>1</v>
      </c>
    </row>
    <row r="48709" ht="15.75" customHeight="1" spans="1:2">
      <c r="A48709" s="3" t="str">
        <f>IFERROR(__xludf.DUMMYFUNCTION("GOOGLETRANSLATE(A48709,""en"",""pt"")"),"Pequeno, barato")</f>
        <v>Pequeno, barato</v>
      </c>
      <c r="B48709" s="3">
        <v>1</v>
      </c>
    </row>
    <row r="48710" ht="15.75" customHeight="1" spans="1:2">
      <c r="A48710" s="3" t="str">
        <f>IFERROR(__xludf.DUMMYFUNCTION("GOOGLETRANSLATE(A48710,""en"",""pt"")"),"Preço")</f>
        <v>Preço</v>
      </c>
      <c r="B48710" s="3">
        <v>1</v>
      </c>
    </row>
    <row r="48711" ht="15.75" customHeight="1" spans="1:2">
      <c r="A48711" s="3" t="str">
        <f>IFERROR(__xludf.DUMMYFUNCTION("GOOGLETRANSLATE(A48711,""en"",""pt"")"),"preço razoável")</f>
        <v>preço razoável</v>
      </c>
      <c r="B48711" s="3">
        <v>1</v>
      </c>
    </row>
    <row r="48712" ht="15.75" customHeight="1" spans="1:2">
      <c r="A48712" s="3" t="str">
        <f>IFERROR(__xludf.DUMMYFUNCTION("GOOGLETRANSLATE(A48712,""en"",""pt"")"),"qualidade dos documentos são muito impressionantes")</f>
        <v>qualidade dos documentos são muito impressionantes</v>
      </c>
      <c r="B48712" s="3">
        <v>1</v>
      </c>
    </row>
    <row r="48713" ht="15.75" customHeight="1" spans="1:2">
      <c r="A48713" s="3" t="str">
        <f>IFERROR(__xludf.DUMMYFUNCTION("GOOGLETRANSLATE(A48713,""en"",""pt"")"),"Preço")</f>
        <v>Preço</v>
      </c>
      <c r="B48713" s="3">
        <v>1</v>
      </c>
    </row>
    <row r="48714" ht="15.75" customHeight="1" spans="1:2">
      <c r="A48714" s="3" t="str">
        <f>IFERROR(__xludf.DUMMYFUNCTION("GOOGLETRANSLATE(A48714,""en"",""pt"")"),"preço e qualidade de impressão")</f>
        <v>preço e qualidade de impressão</v>
      </c>
      <c r="B48714" s="3">
        <v>1</v>
      </c>
    </row>
    <row r="48715" ht="15.75" customHeight="1" spans="1:2">
      <c r="A48715" s="3" t="str">
        <f>IFERROR(__xludf.DUMMYFUNCTION("GOOGLETRANSLATE(A48715,""en"",""pt"")"),"Custo, monitor de tinta, boa qualidade de impressão, o melhor para o texto")</f>
        <v>Custo, monitor de tinta, boa qualidade de impressão, o melhor para o texto</v>
      </c>
      <c r="B48715" s="3">
        <v>1</v>
      </c>
    </row>
    <row r="48716" ht="15.75" customHeight="1" spans="1:2">
      <c r="A48716" s="3" t="str">
        <f>IFERROR(__xludf.DUMMYFUNCTION("GOOGLETRANSLATE(A48716,""en"",""pt"")"),"otima qualidade")</f>
        <v>otima qualidade</v>
      </c>
      <c r="B48716" s="3">
        <v>1</v>
      </c>
    </row>
    <row r="48717" ht="15.75" customHeight="1" spans="1:2">
      <c r="A48717" s="3" t="str">
        <f>IFERROR(__xludf.DUMMYFUNCTION("GOOGLETRANSLATE(A48717,""en"",""pt"")"),"Barato, bom para usuários domésticos.")</f>
        <v>Barato, bom para usuários domésticos.</v>
      </c>
      <c r="B48717" s="3">
        <v>1</v>
      </c>
    </row>
    <row r="48718" ht="15.75" customHeight="1" spans="1:2">
      <c r="A48718" s="3" t="str">
        <f>IFERROR(__xludf.DUMMYFUNCTION("GOOGLETRANSLATE(A48718,""en"",""pt"")"),"Não é mau de qualidade para uma impressora mais antiga.")</f>
        <v>Não é mau de qualidade para uma impressora mais antiga.</v>
      </c>
      <c r="B48718" s="3">
        <v>1</v>
      </c>
    </row>
    <row r="48719" ht="15.75" customHeight="1" spans="1:2">
      <c r="A48719" s="3" t="str">
        <f>IFERROR(__xludf.DUMMYFUNCTION("GOOGLETRANSLATE(A48719,""en"",""pt"")"),"Boa Foto Output")</f>
        <v>Boa Foto Output</v>
      </c>
      <c r="B48719" s="3">
        <v>1</v>
      </c>
    </row>
    <row r="48720" ht="15.75" customHeight="1" spans="1:2">
      <c r="A48720" s="3" t="str">
        <f>IFERROR(__xludf.DUMMYFUNCTION("GOOGLETRANSLATE(A48720,""en"",""pt"")"),"Preço, preço, preço")</f>
        <v>Preço, preço, preço</v>
      </c>
      <c r="B48720" s="3">
        <v>1</v>
      </c>
    </row>
    <row r="48721" ht="15.75" customHeight="1" spans="1:2">
      <c r="A48721" s="3" t="str">
        <f>IFERROR(__xludf.DUMMYFUNCTION("GOOGLETRANSLATE(A48721,""en"",""pt"")"),"Preço Baixo, documentos profissionais-Looking")</f>
        <v>Preço Baixo, documentos profissionais-Looking</v>
      </c>
      <c r="B48721" s="3">
        <v>1</v>
      </c>
    </row>
    <row r="48722" ht="15.75" customHeight="1" spans="1:2">
      <c r="A48722" s="3" t="str">
        <f>IFERROR(__xludf.DUMMYFUNCTION("GOOGLETRANSLATE(A48722,""en"",""pt"")"),"Custo")</f>
        <v>Custo</v>
      </c>
      <c r="B48722" s="3">
        <v>1</v>
      </c>
    </row>
    <row r="48723" ht="15.75" customHeight="1" spans="1:2">
      <c r="A48723" s="3" t="str">
        <f>IFERROR(__xludf.DUMMYFUNCTION("GOOGLETRANSLATE(A48723,""en"",""pt"")"),"A qualidade da impressão não é ruim.")</f>
        <v>A qualidade da impressão não é ruim.</v>
      </c>
      <c r="B48723" s="3">
        <v>1</v>
      </c>
    </row>
    <row r="48724" ht="15.75" customHeight="1" spans="1:2">
      <c r="A48724" s="3" t="str">
        <f>IFERROR(__xludf.DUMMYFUNCTION("GOOGLETRANSLATE(A48724,""en"",""pt"")"),"Fácil de usar &amp; amp; amp; Setup, não é caro para jato de tinta Cartuchos Recarga")</f>
        <v>Fácil de usar &amp; amp; amp; Setup, não é caro para jato de tinta Cartuchos Recarga</v>
      </c>
      <c r="B48724" s="3">
        <v>1</v>
      </c>
    </row>
    <row r="48725" ht="15.75" customHeight="1" spans="1:2">
      <c r="A48725" s="3" t="str">
        <f>IFERROR(__xludf.DUMMYFUNCTION("GOOGLETRANSLATE(A48725,""en"",""pt"")"),"pequeno, barato")</f>
        <v>pequeno, barato</v>
      </c>
      <c r="B48725" s="3">
        <v>1</v>
      </c>
    </row>
    <row r="48726" ht="15.75" customHeight="1" spans="1:2">
      <c r="A48726" s="3" t="str">
        <f>IFERROR(__xludf.DUMMYFUNCTION("GOOGLETRANSLATE(A48726,""en"",""pt"")"),".....")</f>
        <v>.....</v>
      </c>
      <c r="B48726" s="3">
        <v>1</v>
      </c>
    </row>
    <row r="48727" ht="15.75" customHeight="1" spans="1:2">
      <c r="A48727" s="3" t="str">
        <f>IFERROR(__xludf.DUMMYFUNCTION("GOOGLETRANSLATE(A48727,""en"",""pt"")"),"Muito barato agora que eles estão um pouco velho. Relativamente boa qualidade de impressão, com uma velocidade de impressão razoável.")</f>
        <v>Muito barato agora que eles estão um pouco velho. Relativamente boa qualidade de impressão, com uma velocidade de impressão razoável.</v>
      </c>
      <c r="B48727" s="3">
        <v>1</v>
      </c>
    </row>
    <row r="48728" ht="15.75" customHeight="1" spans="1:2">
      <c r="A48728" s="3" t="str">
        <f>IFERROR(__xludf.DUMMYFUNCTION("GOOGLETRANSLATE(A48728,""en"",""pt"")"),"é uma impressora")</f>
        <v>é uma impressora</v>
      </c>
      <c r="B48728" s="3">
        <v>1</v>
      </c>
    </row>
    <row r="48729" ht="15.75" customHeight="1" spans="1:2">
      <c r="A48729" s="3" t="str">
        <f>IFERROR(__xludf.DUMMYFUNCTION("GOOGLETRANSLATE(A48729,""en"",""pt"")"),"Barato")</f>
        <v>Barato</v>
      </c>
      <c r="B48729" s="3">
        <v>1</v>
      </c>
    </row>
    <row r="48730" ht="15.75" customHeight="1" spans="1:2">
      <c r="A48730" s="3" t="str">
        <f>IFERROR(__xludf.DUMMYFUNCTION("GOOGLETRANSLATE(A48730,""en"",""pt"")"),"de impressora decente para o preço")</f>
        <v>de impressora decente para o preço</v>
      </c>
      <c r="B48730" s="3">
        <v>1</v>
      </c>
    </row>
    <row r="48731" ht="15.75" customHeight="1" spans="1:2">
      <c r="A48731" s="3" t="str">
        <f>IFERROR(__xludf.DUMMYFUNCTION("GOOGLETRANSLATE(A48731,""en"",""pt"")"),"impressora barata com cartuchos baratos")</f>
        <v>impressora barata com cartuchos baratos</v>
      </c>
      <c r="B48731" s="3">
        <v>1</v>
      </c>
    </row>
    <row r="48732" ht="15.75" customHeight="1" spans="1:2">
      <c r="A48732" s="3" t="str">
        <f>IFERROR(__xludf.DUMMYFUNCTION("GOOGLETRANSLATE(A48732,""en"",""pt"")"),"O preço é o engano ...")</f>
        <v>O preço é o engano ...</v>
      </c>
      <c r="B48732" s="3">
        <v>1</v>
      </c>
    </row>
    <row r="48733" ht="15.75" customHeight="1" spans="1:2">
      <c r="A48733" s="3" t="str">
        <f>IFERROR(__xludf.DUMMYFUNCTION("GOOGLETRANSLATE(A48733,""en"",""pt"")"),"Barato, pequeno, fácil de usar programa de impressora")</f>
        <v>Barato, pequeno, fácil de usar programa de impressora</v>
      </c>
      <c r="B48733" s="3">
        <v>1</v>
      </c>
    </row>
    <row r="48734" ht="15.75" customHeight="1" spans="1:2">
      <c r="A48734" s="3" t="str">
        <f>IFERROR(__xludf.DUMMYFUNCTION("GOOGLETRANSLATE(A48734,""en"",""pt"")"),"faria uma bela casa para uma família de ratos")</f>
        <v>faria uma bela casa para uma família de ratos</v>
      </c>
      <c r="B48734" s="3">
        <v>1</v>
      </c>
    </row>
    <row r="48735" ht="15.75" customHeight="1" spans="1:2">
      <c r="A48735" s="3" t="str">
        <f>IFERROR(__xludf.DUMMYFUNCTION("GOOGLETRANSLATE(A48735,""en"",""pt"")"),"Muito barato.")</f>
        <v>Muito barato.</v>
      </c>
      <c r="B48735" s="3">
        <v>1</v>
      </c>
    </row>
    <row r="48736" ht="15.75" customHeight="1" spans="1:2">
      <c r="A48736" s="3" t="str">
        <f>IFERROR(__xludf.DUMMYFUNCTION("GOOGLETRANSLATE(A48736,""en"",""pt"")"),"Preço baixo")</f>
        <v>Preço baixo</v>
      </c>
      <c r="B48736" s="3">
        <v>1</v>
      </c>
    </row>
    <row r="48737" ht="15.75" customHeight="1" spans="1:2">
      <c r="A48737" s="3" t="str">
        <f>IFERROR(__xludf.DUMMYFUNCTION("GOOGLETRANSLATE(A48737,""en"",""pt"")"),"fácil de configurar")</f>
        <v>fácil de configurar</v>
      </c>
      <c r="B48737" s="3">
        <v>1</v>
      </c>
    </row>
    <row r="48738" ht="15.75" customHeight="1" spans="1:2">
      <c r="A48738" s="3" t="str">
        <f>IFERROR(__xludf.DUMMYFUNCTION("GOOGLETRANSLATE(A48738,""en"",""pt"")"),"Facilidade de uso, preço barato, a disponibilidade")</f>
        <v>Facilidade de uso, preço barato, a disponibilidade</v>
      </c>
      <c r="B48738" s="3">
        <v>1</v>
      </c>
    </row>
    <row r="48739" ht="15.75" customHeight="1" spans="1:2">
      <c r="A48739" s="3" t="str">
        <f>IFERROR(__xludf.DUMMYFUNCTION("GOOGLETRANSLATE(A48739,""en"",""pt"")"),"Às vezes, ele funciona")</f>
        <v>Às vezes, ele funciona</v>
      </c>
      <c r="B48739" s="3">
        <v>1</v>
      </c>
    </row>
    <row r="48740" ht="15.75" customHeight="1" spans="1:2">
      <c r="A48740" s="3" t="str">
        <f>IFERROR(__xludf.DUMMYFUNCTION("GOOGLETRANSLATE(A48740,""en"",""pt"")"),"Barato, qualidade decente")</f>
        <v>Barato, qualidade decente</v>
      </c>
      <c r="B48740" s="3">
        <v>1</v>
      </c>
    </row>
    <row r="48741" ht="15.75" customHeight="1" spans="1:2">
      <c r="A48741" s="3" t="str">
        <f>IFERROR(__xludf.DUMMYFUNCTION("GOOGLETRANSLATE(A48741,""en"",""pt"")"),"barato")</f>
        <v>barato</v>
      </c>
      <c r="B48741" s="3">
        <v>1</v>
      </c>
    </row>
    <row r="48742" ht="15.75" customHeight="1" spans="1:2">
      <c r="A48742" s="3" t="str">
        <f>IFERROR(__xludf.DUMMYFUNCTION("GOOGLETRANSLATE(A48742,""en"",""pt"")"),"Para uma impressora barata, ele vai fazer um O.K. trabalho, mas isso é tudo.")</f>
        <v>Para uma impressora barata, ele vai fazer um O.K. trabalho, mas isso é tudo.</v>
      </c>
      <c r="B48742" s="3">
        <v>1</v>
      </c>
    </row>
    <row r="48743" ht="15.75" customHeight="1" spans="1:2">
      <c r="A48743" s="3" t="str">
        <f>IFERROR(__xludf.DUMMYFUNCTION("GOOGLETRANSLATE(A48743,""en"",""pt"")"),"qualidade de imagem agradável")</f>
        <v>qualidade de imagem agradável</v>
      </c>
      <c r="B48743" s="3">
        <v>1</v>
      </c>
    </row>
    <row r="48744" ht="15.75" customHeight="1" spans="1:2">
      <c r="A48744" s="3" t="str">
        <f>IFERROR(__xludf.DUMMYFUNCTION("GOOGLETRANSLATE(A48744,""en"",""pt"")"),"preço razoável para um jato de tinta colorida")</f>
        <v>preço razoável para um jato de tinta colorida</v>
      </c>
      <c r="B48744" s="3">
        <v>1</v>
      </c>
    </row>
    <row r="48745" ht="15.75" customHeight="1" spans="1:2">
      <c r="A48745" s="3" t="str">
        <f>IFERROR(__xludf.DUMMYFUNCTION("GOOGLETRANSLATE(A48745,""en"",""pt"")"),"inexspensive")</f>
        <v>inexspensive</v>
      </c>
      <c r="B48745" s="3">
        <v>1</v>
      </c>
    </row>
    <row r="48746" ht="15.75" customHeight="1" spans="1:2">
      <c r="A48746" s="3" t="str">
        <f>IFERROR(__xludf.DUMMYFUNCTION("GOOGLETRANSLATE(A48746,""en"",""pt"")"),"para a impressão básica, esta máquina é muito bem")</f>
        <v>para a impressão básica, esta máquina é muito bem</v>
      </c>
      <c r="B48746" s="3">
        <v>1</v>
      </c>
    </row>
    <row r="48747" ht="15.75" customHeight="1" spans="1:2">
      <c r="A48747" s="3" t="str">
        <f>IFERROR(__xludf.DUMMYFUNCTION("GOOGLETRANSLATE(A48747,""en"",""pt"")"),"Confiável, sólida")</f>
        <v>Confiável, sólida</v>
      </c>
      <c r="B48747" s="3">
        <v>1</v>
      </c>
    </row>
    <row r="48748" ht="15.75" customHeight="1" spans="1:2">
      <c r="A48748" s="3" t="str">
        <f>IFERROR(__xludf.DUMMYFUNCTION("GOOGLETRANSLATE(A48748,""en"",""pt"")"),"Fácil de usar, fácil de tinta")</f>
        <v>Fácil de usar, fácil de tinta</v>
      </c>
      <c r="B48748" s="3">
        <v>1</v>
      </c>
    </row>
    <row r="48749" ht="15.75" customHeight="1" spans="1:2">
      <c r="A48749" s="3" t="str">
        <f>IFERROR(__xludf.DUMMYFUNCTION("GOOGLETRANSLATE(A48749,""en"",""pt"")"),"Muito barato.")</f>
        <v>Muito barato.</v>
      </c>
      <c r="B48749" s="3">
        <v>1</v>
      </c>
    </row>
    <row r="48750" ht="15.75" customHeight="1" spans="1:2">
      <c r="A48750" s="3" t="str">
        <f>IFERROR(__xludf.DUMMYFUNCTION("GOOGLETRANSLATE(A48750,""en"",""pt"")"),"Custo, sistema eficiente, 2-cartucho")</f>
        <v>Custo, sistema eficiente, 2-cartucho</v>
      </c>
      <c r="B48750" s="3">
        <v>1</v>
      </c>
    </row>
    <row r="48751" ht="15.75" customHeight="1" spans="1:2">
      <c r="A48751" s="3" t="str">
        <f>IFERROR(__xludf.DUMMYFUNCTION("GOOGLETRANSLATE(A48751,""en"",""pt"")"),"Imprime fotos lindamente!")</f>
        <v>Imprime fotos lindamente!</v>
      </c>
      <c r="B48751" s="3">
        <v>1</v>
      </c>
    </row>
    <row r="48752" ht="15.75" customHeight="1" spans="1:2">
      <c r="A48752" s="3" t="str">
        <f>IFERROR(__xludf.DUMMYFUNCTION("GOOGLETRANSLATE(A48752,""en"",""pt"")"),"sistema de duas cartucho barato")</f>
        <v>sistema de duas cartucho barato</v>
      </c>
      <c r="B48752" s="3">
        <v>1</v>
      </c>
    </row>
    <row r="48753" ht="15.75" customHeight="1" spans="1:2">
      <c r="A48753" s="3" t="str">
        <f>IFERROR(__xludf.DUMMYFUNCTION("GOOGLETRANSLATE(A48753,""en"",""pt"")"),"Barato no momento")</f>
        <v>Barato no momento</v>
      </c>
      <c r="B48753" s="3">
        <v>1</v>
      </c>
    </row>
    <row r="48754" ht="15.75" customHeight="1" spans="1:2">
      <c r="A48754" s="3" t="str">
        <f>IFERROR(__xludf.DUMMYFUNCTION("GOOGLETRANSLATE(A48754,""en"",""pt"")"),"Preço, configuração, software")</f>
        <v>Preço, configuração, software</v>
      </c>
      <c r="B48754" s="3">
        <v>1</v>
      </c>
    </row>
    <row r="48755" ht="15.75" customHeight="1" spans="1:2">
      <c r="A48755" s="3" t="str">
        <f>IFERROR(__xludf.DUMMYFUNCTION("GOOGLETRANSLATE(A48755,""en"",""pt"")"),"Simplesmente o melhor jato de tinta em casa há")</f>
        <v>Simplesmente o melhor jato de tinta em casa há</v>
      </c>
      <c r="B48755" s="3">
        <v>1</v>
      </c>
    </row>
    <row r="48756" ht="15.75" customHeight="1" spans="1:2">
      <c r="A48756" s="3" t="str">
        <f>IFERROR(__xludf.DUMMYFUNCTION("GOOGLETRANSLATE(A48756,""en"",""pt"")"),"Grande qualidade de impressão - texto e imagens, incluindo fotos, set-up rápido e 1200 x 1200 resulotion")</f>
        <v>Grande qualidade de impressão - texto e imagens, incluindo fotos, set-up rápido e 1200 x 1200 resulotion</v>
      </c>
      <c r="B48756" s="3">
        <v>1</v>
      </c>
    </row>
    <row r="48757" ht="15.75" customHeight="1" spans="1:2">
      <c r="A48757" s="3" t="str">
        <f>IFERROR(__xludf.DUMMYFUNCTION("GOOGLETRANSLATE(A48757,""en"",""pt"")"),"Velocidade e Qualidade")</f>
        <v>Velocidade e Qualidade</v>
      </c>
      <c r="B48757" s="3">
        <v>1</v>
      </c>
    </row>
    <row r="48758" ht="15.75" customHeight="1" spans="1:2">
      <c r="A48758" s="3" t="str">
        <f>IFERROR(__xludf.DUMMYFUNCTION("GOOGLETRANSLATE(A48758,""en"",""pt"")"),"especificações são boas")</f>
        <v>especificações são boas</v>
      </c>
      <c r="B48758" s="3">
        <v>1</v>
      </c>
    </row>
    <row r="48759" ht="15.75" customHeight="1" spans="1:2">
      <c r="A48759" s="3" t="str">
        <f>IFERROR(__xludf.DUMMYFUNCTION("GOOGLETRANSLATE(A48759,""en"",""pt"")"),"Durou bem durante quatro anos sem serviço")</f>
        <v>Durou bem durante quatro anos sem serviço</v>
      </c>
      <c r="B48759" s="3">
        <v>1</v>
      </c>
    </row>
    <row r="48760" ht="15.75" customHeight="1" spans="1:2">
      <c r="A48760" s="3" t="str">
        <f>IFERROR(__xludf.DUMMYFUNCTION("GOOGLETRANSLATE(A48760,""en"",""pt"")"),"Confiabilidade, cor, dpi")</f>
        <v>Confiabilidade, cor, dpi</v>
      </c>
      <c r="B48760" s="3">
        <v>1</v>
      </c>
    </row>
    <row r="48761" ht="15.75" customHeight="1" spans="1:2">
      <c r="A48761" s="3" t="str">
        <f>IFERROR(__xludf.DUMMYFUNCTION("GOOGLETRANSLATE(A48761,""en"",""pt"")"),"Boa impressão qualidade, bom preço, surpreendente serviço")</f>
        <v>Boa impressão qualidade, bom preço, surpreendente serviço</v>
      </c>
      <c r="B48761" s="3">
        <v>1</v>
      </c>
    </row>
    <row r="48762" ht="15.75" customHeight="1" spans="1:2">
      <c r="A48762" s="3" t="str">
        <f>IFERROR(__xludf.DUMMYFUNCTION("GOOGLETRANSLATE(A48762,""en"",""pt"")"),"Facilidade de uso, baixo maintenance, altamente confiável")</f>
        <v>Facilidade de uso, baixo maintenance, altamente confiável</v>
      </c>
      <c r="B48762" s="3">
        <v>1</v>
      </c>
    </row>
    <row r="48763" ht="15.75" customHeight="1" spans="1:2">
      <c r="A48763" s="3" t="str">
        <f>IFERROR(__xludf.DUMMYFUNCTION("GOOGLETRANSLATE(A48763,""en"",""pt"")"),"Confiável, saída de grande qualidade")</f>
        <v>Confiável, saída de grande qualidade</v>
      </c>
      <c r="B48763" s="3">
        <v>1</v>
      </c>
    </row>
    <row r="48764" ht="15.75" customHeight="1" spans="1:2">
      <c r="A48764" s="3" t="str">
        <f>IFERROR(__xludf.DUMMYFUNCTION("GOOGLETRANSLATE(A48764,""en"",""pt"")"),"barato, bom suporte")</f>
        <v>barato, bom suporte</v>
      </c>
      <c r="B48764" s="3">
        <v>1</v>
      </c>
    </row>
    <row r="48765" ht="15.75" customHeight="1" spans="1:2">
      <c r="A48765" s="3" t="str">
        <f>IFERROR(__xludf.DUMMYFUNCTION("GOOGLETRANSLATE(A48765,""en"",""pt"")"),"boa impressão")</f>
        <v>boa impressão</v>
      </c>
      <c r="B48765" s="3">
        <v>1</v>
      </c>
    </row>
    <row r="48766" ht="15.75" customHeight="1" spans="1:2">
      <c r="A48766" s="3" t="str">
        <f>IFERROR(__xludf.DUMMYFUNCTION("GOOGLETRANSLATE(A48766,""en"",""pt"")"),"Cor e do texto do excelente qualidade, software intuitivo, tecnologia útil site de suporte, pegada pequena")</f>
        <v>Cor e do texto do excelente qualidade, software intuitivo, tecnologia útil site de suporte, pegada pequena</v>
      </c>
      <c r="B48766" s="3">
        <v>1</v>
      </c>
    </row>
    <row r="48767" ht="15.75" customHeight="1" spans="1:2">
      <c r="A48767" s="3" t="str">
        <f>IFERROR(__xludf.DUMMYFUNCTION("GOOGLETRANSLATE(A48767,""en"",""pt"")"),"Boa saída, agradável DPI")</f>
        <v>Boa saída, agradável DPI</v>
      </c>
      <c r="B48767" s="3">
        <v>1</v>
      </c>
    </row>
    <row r="48768" ht="15.75" customHeight="1" spans="1:2">
      <c r="A48768" s="3" t="str">
        <f>IFERROR(__xludf.DUMMYFUNCTION("GOOGLETRANSLATE(A48768,""en"",""pt"")"),"seguro")</f>
        <v>seguro</v>
      </c>
      <c r="B48768" s="3">
        <v>1</v>
      </c>
    </row>
    <row r="48769" ht="15.75" customHeight="1" spans="1:2">
      <c r="A48769" s="3" t="str">
        <f>IFERROR(__xludf.DUMMYFUNCTION("GOOGLETRANSLATE(A48769,""en"",""pt"")"),"Grande qualidade de impressão")</f>
        <v>Grande qualidade de impressão</v>
      </c>
      <c r="B48769" s="3">
        <v>1</v>
      </c>
    </row>
    <row r="48770" ht="15.75" customHeight="1" spans="1:2">
      <c r="A48770" s="3" t="str">
        <f>IFERROR(__xludf.DUMMYFUNCTION("GOOGLETRANSLATE(A48770,""en"",""pt"")"),"cópia perfeita perto")</f>
        <v>cópia perfeita perto</v>
      </c>
      <c r="B48770" s="3">
        <v>1</v>
      </c>
    </row>
    <row r="48771" ht="15.75" customHeight="1" spans="1:2">
      <c r="A48771" s="3" t="str">
        <f>IFERROR(__xludf.DUMMYFUNCTION("GOOGLETRANSLATE(A48771,""en"",""pt"")"),"alertando a tinta está acabando")</f>
        <v>alertando a tinta está acabando</v>
      </c>
      <c r="B48771" s="3">
        <v>1</v>
      </c>
    </row>
    <row r="48772" ht="15.75" customHeight="1" spans="1:2">
      <c r="A48772" s="3" t="str">
        <f>IFERROR(__xludf.DUMMYFUNCTION("GOOGLETRANSLATE(A48772,""en"",""pt"")"),"O preço tem caiu, o reliablity está definitivamente incorporada.")</f>
        <v>O preço tem caiu, o reliablity está definitivamente incorporada.</v>
      </c>
      <c r="B48772" s="3">
        <v>1</v>
      </c>
    </row>
    <row r="48773" ht="15.75" customHeight="1" spans="1:2">
      <c r="A48773" s="3" t="str">
        <f>IFERROR(__xludf.DUMMYFUNCTION("GOOGLETRANSLATE(A48773,""en"",""pt"")"),"Excelentes impressões de qualidade. Operação fácil. Preço é justo.")</f>
        <v>Excelentes impressões de qualidade. Operação fácil. Preço é justo.</v>
      </c>
      <c r="B48773" s="3">
        <v>1</v>
      </c>
    </row>
    <row r="48774" ht="15.75" customHeight="1" spans="1:2">
      <c r="A48774" s="3" t="str">
        <f>IFERROR(__xludf.DUMMYFUNCTION("GOOGLETRANSLATE(A48774,""en"",""pt"")"),"Grande qualidade de impressão")</f>
        <v>Grande qualidade de impressão</v>
      </c>
      <c r="B48774" s="3">
        <v>1</v>
      </c>
    </row>
    <row r="48775" ht="15.75" customHeight="1" spans="1:2">
      <c r="A48775" s="3" t="str">
        <f>IFERROR(__xludf.DUMMYFUNCTION("GOOGLETRANSLATE(A48775,""en"",""pt"")"),"impressão de boa qualidade")</f>
        <v>impressão de boa qualidade</v>
      </c>
      <c r="B48775" s="3">
        <v>1</v>
      </c>
    </row>
    <row r="48776" ht="15.75" customHeight="1" spans="1:2">
      <c r="A48776" s="3" t="str">
        <f>IFERROR(__xludf.DUMMYFUNCTION("GOOGLETRANSLATE(A48776,""en"",""pt"")"),"Bom, feito por Lexmark ....")</f>
        <v>Bom, feito por Lexmark ....</v>
      </c>
      <c r="B48776" s="3">
        <v>1</v>
      </c>
    </row>
    <row r="48777" ht="15.75" customHeight="1" spans="1:2">
      <c r="A48777" s="3" t="str">
        <f>IFERROR(__xludf.DUMMYFUNCTION("GOOGLETRANSLATE(A48777,""en"",""pt"")"),"quieto")</f>
        <v>quieto</v>
      </c>
      <c r="B48777" s="3">
        <v>1</v>
      </c>
    </row>
    <row r="48778" ht="15.75" customHeight="1" spans="1:2">
      <c r="A48778" s="3" t="str">
        <f>IFERROR(__xludf.DUMMYFUNCTION("GOOGLETRANSLATE(A48778,""en"",""pt"")"),"Impressões rápidas, a resolução é agradável")</f>
        <v>Impressões rápidas, a resolução é agradável</v>
      </c>
      <c r="B48778" s="3">
        <v>1</v>
      </c>
    </row>
    <row r="48779" ht="15.75" customHeight="1" spans="1:2">
      <c r="A48779" s="3" t="str">
        <f>IFERROR(__xludf.DUMMYFUNCTION("GOOGLETRANSLATE(A48779,""en"",""pt"")"),"Fácil mudar os cartuchos de tinta, arrefecer software com impressora. Grande para manter como uma impressora de backup.")</f>
        <v>Fácil mudar os cartuchos de tinta, arrefecer software com impressora. Grande para manter como uma impressora de backup.</v>
      </c>
      <c r="B48779" s="3">
        <v>1</v>
      </c>
    </row>
    <row r="48780" ht="15.75" customHeight="1" spans="1:2">
      <c r="A48780" s="3" t="str">
        <f>IFERROR(__xludf.DUMMYFUNCTION("GOOGLETRANSLATE(A48780,""en"",""pt"")"),"Barato. Pode imprimir envelopes sem remover papel.")</f>
        <v>Barato. Pode imprimir envelopes sem remover papel.</v>
      </c>
      <c r="B48780" s="3">
        <v>1</v>
      </c>
    </row>
    <row r="48781" ht="15.75" customHeight="1" spans="1:2">
      <c r="A48781" s="3" t="str">
        <f>IFERROR(__xludf.DUMMYFUNCTION("GOOGLETRANSLATE(A48781,""en"",""pt"")"),"Velocidade, silencioso, em detalhes")</f>
        <v>Velocidade, silencioso, em detalhes</v>
      </c>
      <c r="B48781" s="3">
        <v>1</v>
      </c>
    </row>
    <row r="48782" ht="15.75" customHeight="1" spans="1:2">
      <c r="A48782" s="3" t="str">
        <f>IFERROR(__xludf.DUMMYFUNCTION("GOOGLETRANSLATE(A48782,""en"",""pt"")"),"preço, tamanho, qualidade de impressão")</f>
        <v>preço, tamanho, qualidade de impressão</v>
      </c>
      <c r="B48782" s="3">
        <v>1</v>
      </c>
    </row>
    <row r="48783" ht="15.75" customHeight="1" spans="1:2">
      <c r="A48783" s="3" t="str">
        <f>IFERROR(__xludf.DUMMYFUNCTION("GOOGLETRANSLATE(A48783,""en"",""pt"")"),"Operação fácil")</f>
        <v>Operação fácil</v>
      </c>
      <c r="B48783" s="3">
        <v>1</v>
      </c>
    </row>
    <row r="48784" ht="15.75" customHeight="1" spans="1:2">
      <c r="A48784" s="3" t="str">
        <f>IFERROR(__xludf.DUMMYFUNCTION("GOOGLETRANSLATE(A48784,""en"",""pt"")"),"boa cor, tamanho compacto pequeno, simples de usar")</f>
        <v>boa cor, tamanho compacto pequeno, simples de usar</v>
      </c>
      <c r="B48784" s="3">
        <v>1</v>
      </c>
    </row>
    <row r="48785" ht="15.75" customHeight="1" spans="1:2">
      <c r="A48785" s="3" t="str">
        <f>IFERROR(__xludf.DUMMYFUNCTION("GOOGLETRANSLATE(A48785,""en"",""pt"")"),"otima qualidade")</f>
        <v>otima qualidade</v>
      </c>
      <c r="B48785" s="3">
        <v>1</v>
      </c>
    </row>
    <row r="48786" ht="15.75" customHeight="1" spans="1:2">
      <c r="A48786" s="3" t="str">
        <f>IFERROR(__xludf.DUMMYFUNCTION("GOOGLETRANSLATE(A48786,""en"",""pt"")"),"impressões de texto de qualidade laser, de alta resolução, impressões rápidas")</f>
        <v>impressões de texto de qualidade laser, de alta resolução, impressões rápidas</v>
      </c>
      <c r="B48786" s="3">
        <v>1</v>
      </c>
    </row>
    <row r="48787" ht="15.75" customHeight="1" spans="1:2">
      <c r="A48787" s="3" t="str">
        <f>IFERROR(__xludf.DUMMYFUNCTION("GOOGLETRANSLATE(A48787,""en"",""pt"")"),"prestação soberba de texto, gráficos muito bons")</f>
        <v>prestação soberba de texto, gráficos muito bons</v>
      </c>
      <c r="B48787" s="3">
        <v>1</v>
      </c>
    </row>
    <row r="48788" ht="15.75" customHeight="1" spans="1:2">
      <c r="A48788" s="3" t="str">
        <f>IFERROR(__xludf.DUMMYFUNCTION("GOOGLETRANSLATE(A48788,""en"",""pt"")"),"otima qualidade")</f>
        <v>otima qualidade</v>
      </c>
      <c r="B48788" s="3">
        <v>1</v>
      </c>
    </row>
    <row r="48789" ht="15.75" customHeight="1" spans="1:2">
      <c r="A48789" s="3" t="str">
        <f>IFERROR(__xludf.DUMMYFUNCTION("GOOGLETRANSLATE(A48789,""en"",""pt"")"),"precisão de cor deslumbrante, inigualável por qualquer outro fabricante de jato de tinta; software fácil de usar.")</f>
        <v>precisão de cor deslumbrante, inigualável por qualquer outro fabricante de jato de tinta; software fácil de usar.</v>
      </c>
      <c r="B48789" s="3">
        <v>1</v>
      </c>
    </row>
    <row r="48790" ht="15.75" customHeight="1" spans="1:2">
      <c r="A48790" s="3" t="str">
        <f>IFERROR(__xludf.DUMMYFUNCTION("GOOGLETRANSLATE(A48790,""en"",""pt"")"),"parece funcionar bem, você economiza $$")</f>
        <v>parece funcionar bem, você economiza $$</v>
      </c>
      <c r="B48790" s="3">
        <v>1</v>
      </c>
    </row>
    <row r="48791" ht="15.75" customHeight="1" spans="1:2">
      <c r="A48791" s="3" t="str">
        <f>IFERROR(__xludf.DUMMYFUNCTION("GOOGLETRANSLATE(A48791,""en"",""pt"")"),"Boa qualidade, características, velocidade - para um jato de tinta")</f>
        <v>Boa qualidade, características, velocidade - para um jato de tinta</v>
      </c>
      <c r="B48791" s="3">
        <v>1</v>
      </c>
    </row>
    <row r="48792" ht="15.75" customHeight="1" spans="1:2">
      <c r="A48792" s="3" t="str">
        <f>IFERROR(__xludf.DUMMYFUNCTION("GOOGLETRANSLATE(A48792,""en"",""pt"")"),"barato inicialmente")</f>
        <v>barato inicialmente</v>
      </c>
      <c r="B48792" s="3">
        <v>1</v>
      </c>
    </row>
    <row r="48793" ht="15.75" customHeight="1" spans="1:2">
      <c r="A48793" s="3" t="str">
        <f>IFERROR(__xludf.DUMMYFUNCTION("GOOGLETRANSLATE(A48793,""en"",""pt"")"),"Ele vem em preto!")</f>
        <v>Ele vem em preto!</v>
      </c>
      <c r="B48793" s="3">
        <v>1</v>
      </c>
    </row>
    <row r="48794" ht="15.75" customHeight="1" spans="1:2">
      <c r="A48794" s="3" t="str">
        <f>IFERROR(__xludf.DUMMYFUNCTION("GOOGLETRANSLATE(A48794,""en"",""pt"")"),"Uma impressora barata, vem com 2 cartuchos. programa de Nice.")</f>
        <v>Uma impressora barata, vem com 2 cartuchos. programa de Nice.</v>
      </c>
      <c r="B48794" s="3">
        <v>1</v>
      </c>
    </row>
    <row r="48795" ht="15.75" customHeight="1" spans="1:2">
      <c r="A48795" s="3" t="str">
        <f>IFERROR(__xludf.DUMMYFUNCTION("GOOGLETRANSLATE(A48795,""en"",""pt"")"),"Barato, confiável, relativamente pequeno")</f>
        <v>Barato, confiável, relativamente pequeno</v>
      </c>
      <c r="B48795" s="3">
        <v>1</v>
      </c>
    </row>
    <row r="48796" ht="15.75" customHeight="1" spans="1:2">
      <c r="A48796" s="3" t="str">
        <f>IFERROR(__xludf.DUMMYFUNCTION("GOOGLETRANSLATE(A48796,""en"",""pt"")"),"Um bom software, preço.")</f>
        <v>Um bom software, preço.</v>
      </c>
      <c r="B48796" s="3">
        <v>1</v>
      </c>
    </row>
    <row r="48797" ht="15.75" customHeight="1" spans="1:2">
      <c r="A48797" s="3" t="str">
        <f>IFERROR(__xludf.DUMMYFUNCTION("GOOGLETRANSLATE(A48797,""en"",""pt"")"),"Baixo custo")</f>
        <v>Baixo custo</v>
      </c>
      <c r="B48797" s="3">
        <v>1</v>
      </c>
    </row>
    <row r="48798" ht="15.75" customHeight="1" spans="1:2">
      <c r="A48798" s="3" t="str">
        <f>IFERROR(__xludf.DUMMYFUNCTION("GOOGLETRANSLATE(A48798,""en"",""pt"")"),"fácil configuração, controles de voz")</f>
        <v>fácil configuração, controles de voz</v>
      </c>
      <c r="B48798" s="3">
        <v>1</v>
      </c>
    </row>
    <row r="48799" ht="15.75" customHeight="1" spans="1:2">
      <c r="A48799" s="3" t="str">
        <f>IFERROR(__xludf.DUMMYFUNCTION("GOOGLETRANSLATE(A48799,""en"",""pt"")"),"Barato, impressão em preto e branco é bastante bom")</f>
        <v>Barato, impressão em preto e branco é bastante bom</v>
      </c>
      <c r="B48799" s="3">
        <v>1</v>
      </c>
    </row>
    <row r="48800" ht="15.75" customHeight="1" spans="1:2">
      <c r="A48800" s="3" t="str">
        <f>IFERROR(__xludf.DUMMYFUNCTION("GOOGLETRANSLATE(A48800,""en"",""pt"")"),"Economia de espaço, ocupa pouco espaço, fácil de instalar e configurar")</f>
        <v>Economia de espaço, ocupa pouco espaço, fácil de instalar e configurar</v>
      </c>
      <c r="B48800" s="3">
        <v>1</v>
      </c>
    </row>
    <row r="48801" ht="15.75" customHeight="1" spans="1:2">
      <c r="A48801" s="3" t="str">
        <f>IFERROR(__xludf.DUMMYFUNCTION("GOOGLETRANSLATE(A48801,""en"",""pt"")"),"preço razoável e de tamanho compacto")</f>
        <v>preço razoável e de tamanho compacto</v>
      </c>
      <c r="B48801" s="3">
        <v>1</v>
      </c>
    </row>
    <row r="48802" ht="15.75" customHeight="1" spans="1:2">
      <c r="A48802" s="3" t="str">
        <f>IFERROR(__xludf.DUMMYFUNCTION("GOOGLETRANSLATE(A48802,""en"",""pt"")"),"bom preço")</f>
        <v>bom preço</v>
      </c>
      <c r="B48802" s="3">
        <v>1</v>
      </c>
    </row>
    <row r="48803" ht="15.75" customHeight="1" spans="1:2">
      <c r="A48803" s="3" t="str">
        <f>IFERROR(__xludf.DUMMYFUNCTION("GOOGLETRANSLATE(A48803,""en"",""pt"")"),"Barato")</f>
        <v>Barato</v>
      </c>
      <c r="B48803" s="3">
        <v>1</v>
      </c>
    </row>
    <row r="48804" ht="15.75" customHeight="1" spans="1:2">
      <c r="A48804" s="3" t="str">
        <f>IFERROR(__xludf.DUMMYFUNCTION("GOOGLETRANSLATE(A48804,""en"",""pt"")"),"Boas impressões, barato, leve como uma pluma")</f>
        <v>Boas impressões, barato, leve como uma pluma</v>
      </c>
      <c r="B48804" s="3">
        <v>1</v>
      </c>
    </row>
    <row r="48805" ht="15.75" customHeight="1" spans="1:2">
      <c r="A48805" s="3" t="str">
        <f>IFERROR(__xludf.DUMMYFUNCTION("GOOGLETRANSLATE(A48805,""en"",""pt"")"),"Ótimo preço, ótimo DPI, RÁPIDO, ótimo serviço ao cliente")</f>
        <v>Ótimo preço, ótimo DPI, RÁPIDO, ótimo serviço ao cliente</v>
      </c>
      <c r="B48805" s="3">
        <v>1</v>
      </c>
    </row>
    <row r="48806" ht="15.75" customHeight="1" spans="1:2">
      <c r="A48806" s="3" t="str">
        <f>IFERROR(__xludf.DUMMYFUNCTION("GOOGLETRANSLATE(A48806,""en"",""pt"")"),"Fácil de usar e instalar, excelente preço")</f>
        <v>Fácil de usar e instalar, excelente preço</v>
      </c>
      <c r="B48806" s="3">
        <v>1</v>
      </c>
    </row>
    <row r="48807" ht="15.75" customHeight="1" spans="1:2">
      <c r="A48807" s="3" t="str">
        <f>IFERROR(__xludf.DUMMYFUNCTION("GOOGLETRANSLATE(A48807,""en"",""pt"")"),"qualidade profissional para pennys")</f>
        <v>qualidade profissional para pennys</v>
      </c>
      <c r="B48807" s="3">
        <v>1</v>
      </c>
    </row>
    <row r="48808" ht="15.75" customHeight="1" spans="1:2">
      <c r="A48808" s="3" t="str">
        <f>IFERROR(__xludf.DUMMYFUNCTION("GOOGLETRANSLATE(A48808,""en"",""pt"")"),"boa qualidade de impressão")</f>
        <v>boa qualidade de impressão</v>
      </c>
      <c r="B48808" s="3">
        <v>1</v>
      </c>
    </row>
    <row r="48809" ht="15.75" customHeight="1" spans="1:2">
      <c r="A48809" s="3" t="str">
        <f>IFERROR(__xludf.DUMMYFUNCTION("GOOGLETRANSLATE(A48809,""en"",""pt"")"),"peso de papel")</f>
        <v>peso de papel</v>
      </c>
      <c r="B48809" s="3">
        <v>1</v>
      </c>
    </row>
    <row r="48810" ht="15.75" customHeight="1" spans="1:2">
      <c r="A48810" s="3" t="str">
        <f>IFERROR(__xludf.DUMMYFUNCTION("GOOGLETRANSLATE(A48810,""en"",""pt"")"),"Se você está procurando qualidade e afforability, não procure mais")</f>
        <v>Se você está procurando qualidade e afforability, não procure mais</v>
      </c>
      <c r="B48810" s="3">
        <v>1</v>
      </c>
    </row>
    <row r="48811" ht="15.75" customHeight="1" spans="1:2">
      <c r="A48811" s="3" t="str">
        <f>IFERROR(__xludf.DUMMYFUNCTION("GOOGLETRANSLATE(A48811,""en"",""pt"")"),"Alta dpi (1200x1200)")</f>
        <v>Alta dpi (1200x1200)</v>
      </c>
      <c r="B48811" s="3">
        <v>1</v>
      </c>
    </row>
    <row r="48812" ht="15.75" customHeight="1" spans="1:2">
      <c r="A48812" s="3" t="str">
        <f>IFERROR(__xludf.DUMMYFUNCTION("GOOGLETRANSLATE(A48812,""en"",""pt"")"),"bom preço, confiável, facilidade de instalação")</f>
        <v>bom preço, confiável, facilidade de instalação</v>
      </c>
      <c r="B48812" s="3">
        <v>1</v>
      </c>
    </row>
    <row r="48813" ht="15.75" customHeight="1" spans="1:2">
      <c r="A48813" s="3" t="str">
        <f>IFERROR(__xludf.DUMMYFUNCTION("GOOGLETRANSLATE(A48813,""en"",""pt"")"),"barato. Obras autônoma. Zip conexão é bom.")</f>
        <v>barato. Obras autônoma. Zip conexão é bom.</v>
      </c>
      <c r="B48813" s="3">
        <v>1</v>
      </c>
    </row>
    <row r="48814" ht="15.75" customHeight="1" spans="1:2">
      <c r="A48814" s="3" t="str">
        <f>IFERROR(__xludf.DUMMYFUNCTION("GOOGLETRANSLATE(A48814,""en"",""pt"")"),"Acessível, tranquila, durável")</f>
        <v>Acessível, tranquila, durável</v>
      </c>
      <c r="B48814" s="3">
        <v>1</v>
      </c>
    </row>
    <row r="48815" ht="15.75" customHeight="1" spans="1:2">
      <c r="A48815" s="3" t="str">
        <f>IFERROR(__xludf.DUMMYFUNCTION("GOOGLETRANSLATE(A48815,""en"",""pt"")"),"Pode imprimir muito boas fotos")</f>
        <v>Pode imprimir muito boas fotos</v>
      </c>
      <c r="B48815" s="3">
        <v>1</v>
      </c>
    </row>
    <row r="48816" ht="15.75" customHeight="1" spans="1:2">
      <c r="A48816" s="3" t="str">
        <f>IFERROR(__xludf.DUMMYFUNCTION("GOOGLETRANSLATE(A48816,""en"",""pt"")"),"Criação de impressora e software fácil")</f>
        <v>Criação de impressora e software fácil</v>
      </c>
      <c r="B48816" s="3">
        <v>1</v>
      </c>
    </row>
    <row r="48817" ht="15.75" customHeight="1" spans="1:2">
      <c r="A48817" s="3" t="str">
        <f>IFERROR(__xludf.DUMMYFUNCTION("GOOGLETRANSLATE(A48817,""en"",""pt"")"),"impressão decente")</f>
        <v>impressão decente</v>
      </c>
      <c r="B48817" s="3">
        <v>1</v>
      </c>
    </row>
    <row r="48818" ht="15.75" customHeight="1" spans="1:2">
      <c r="A48818" s="3" t="str">
        <f>IFERROR(__xludf.DUMMYFUNCTION("GOOGLETRANSLATE(A48818,""en"",""pt"")"),"preço")</f>
        <v>preço</v>
      </c>
      <c r="B48818" s="3">
        <v>1</v>
      </c>
    </row>
    <row r="48819" ht="15.75" customHeight="1" spans="1:2">
      <c r="A48819" s="3" t="str">
        <f>IFERROR(__xludf.DUMMYFUNCTION("GOOGLETRANSLATE(A48819,""en"",""pt"")"),"Todo bom Printer")</f>
        <v>Todo bom Printer</v>
      </c>
      <c r="B48819" s="3">
        <v>1</v>
      </c>
    </row>
    <row r="48820" ht="15.75" customHeight="1" spans="1:2">
      <c r="A48820" s="3" t="str">
        <f>IFERROR(__xludf.DUMMYFUNCTION("GOOGLETRANSLATE(A48820,""en"",""pt"")"),"Limpar, impressões nítidas a um preço acessível")</f>
        <v>Limpar, impressões nítidas a um preço acessível</v>
      </c>
      <c r="B48820" s="3">
        <v>1</v>
      </c>
    </row>
    <row r="48821" ht="15.75" customHeight="1" spans="1:2">
      <c r="A48821" s="3" t="str">
        <f>IFERROR(__xludf.DUMMYFUNCTION("GOOGLETRANSLATE(A48821,""en"",""pt"")"),"Muito calmo, Resolução, Qualidade de Impressão, Preço")</f>
        <v>Muito calmo, Resolução, Qualidade de Impressão, Preço</v>
      </c>
      <c r="B48821" s="3">
        <v>1</v>
      </c>
    </row>
    <row r="48822" ht="15.75" customHeight="1" spans="1:2">
      <c r="A48822" s="3" t="str">
        <f>IFERROR(__xludf.DUMMYFUNCTION("GOOGLETRANSLATE(A48822,""en"",""pt"")"),"Qualidade, preço")</f>
        <v>Qualidade, preço</v>
      </c>
      <c r="B48822" s="3">
        <v>1</v>
      </c>
    </row>
    <row r="48823" ht="15.75" customHeight="1" spans="1:2">
      <c r="A48823" s="3" t="str">
        <f>IFERROR(__xludf.DUMMYFUNCTION("GOOGLETRANSLATE(A48823,""en"",""pt"")"),"Impressora grande, preço baixo")</f>
        <v>Impressora grande, preço baixo</v>
      </c>
      <c r="B48823" s="3">
        <v>1</v>
      </c>
    </row>
    <row r="48824" ht="15.75" customHeight="1" spans="1:2">
      <c r="A48824" s="3" t="str">
        <f>IFERROR(__xludf.DUMMYFUNCTION("GOOGLETRANSLATE(A48824,""en"",""pt"")"),"Boa aparência, fácil carregamento de papel &amp; amp; amp; mudança cartucho")</f>
        <v>Boa aparência, fácil carregamento de papel &amp; amp; amp; mudança cartucho</v>
      </c>
      <c r="B48824" s="3">
        <v>1</v>
      </c>
    </row>
    <row r="48825" ht="15.75" customHeight="1" spans="1:2">
      <c r="A48825" s="3" t="str">
        <f>IFERROR(__xludf.DUMMYFUNCTION("GOOGLETRANSLATE(A48825,""en"",""pt"")"),"Ele fala; A qualidade de impressão é boa; muito barato")</f>
        <v>Ele fala; A qualidade de impressão é boa; muito barato</v>
      </c>
      <c r="B48825" s="3">
        <v>1</v>
      </c>
    </row>
    <row r="48826" ht="15.75" customHeight="1" spans="1:2">
      <c r="A48826" s="3" t="str">
        <f>IFERROR(__xludf.DUMMYFUNCTION("GOOGLETRANSLATE(A48826,""en"",""pt"")"),"Por favor dê comentário")</f>
        <v>Por favor dê comentário</v>
      </c>
      <c r="B48826" s="3">
        <v>1</v>
      </c>
    </row>
    <row r="48827" ht="15.75" customHeight="1" spans="1:2">
      <c r="A48827" s="3" t="str">
        <f>IFERROR(__xludf.DUMMYFUNCTION("GOOGLETRANSLATE(A48827,""en"",""pt"")"),"Fácil de usar, preço barato")</f>
        <v>Fácil de usar, preço barato</v>
      </c>
      <c r="B48827" s="3">
        <v>1</v>
      </c>
    </row>
    <row r="48828" ht="15.75" customHeight="1" spans="1:2">
      <c r="A48828" s="3" t="str">
        <f>IFERROR(__xludf.DUMMYFUNCTION("GOOGLETRANSLATE(A48828,""en"",""pt"")"),"1200x1200 res")</f>
        <v>1200x1200 res</v>
      </c>
      <c r="B48828" s="3">
        <v>1</v>
      </c>
    </row>
    <row r="48829" ht="15.75" customHeight="1" spans="1:2">
      <c r="A48829" s="3" t="str">
        <f>IFERROR(__xludf.DUMMYFUNCTION("GOOGLETRANSLATE(A48829,""en"",""pt"")"),"O tamanho faz um bom ajuste em um monte de lugares, funciona bem com outros acessórios, substituição de tinta é fácil, bom preço.")</f>
        <v>O tamanho faz um bom ajuste em um monte de lugares, funciona bem com outros acessórios, substituição de tinta é fácil, bom preço.</v>
      </c>
      <c r="B48829" s="3">
        <v>1</v>
      </c>
    </row>
    <row r="48830" ht="15.75" customHeight="1" spans="1:2">
      <c r="A48830" s="3" t="str">
        <f>IFERROR(__xludf.DUMMYFUNCTION("GOOGLETRANSLATE(A48830,""en"",""pt"")"),"pequeno, de boa qualidade cor &amp; amp; amp; b &amp; amp; amp; w impressões")</f>
        <v>pequeno, de boa qualidade cor &amp; amp; amp; b &amp; amp; amp; w impressões</v>
      </c>
      <c r="B48830" s="3">
        <v>1</v>
      </c>
    </row>
    <row r="48831" ht="15.75" customHeight="1" spans="1:2">
      <c r="A48831" s="3" t="str">
        <f>IFERROR(__xludf.DUMMYFUNCTION("GOOGLETRANSLATE(A48831,""en"",""pt"")"),"Barato e de alta qualidade")</f>
        <v>Barato e de alta qualidade</v>
      </c>
      <c r="B48831" s="3">
        <v>1</v>
      </c>
    </row>
    <row r="48832" ht="15.75" customHeight="1" spans="1:2">
      <c r="A48832" s="3" t="str">
        <f>IFERROR(__xludf.DUMMYFUNCTION("GOOGLETRANSLATE(A48832,""en"",""pt"")"),"Valor, funcional, excelente qualidade de cor.")</f>
        <v>Valor, funcional, excelente qualidade de cor.</v>
      </c>
      <c r="B48832" s="3">
        <v>1</v>
      </c>
    </row>
    <row r="48833" ht="15.75" customHeight="1" spans="1:2">
      <c r="A48833" s="3" t="str">
        <f>IFERROR(__xludf.DUMMYFUNCTION("GOOGLETRANSLATE(A48833,""en"",""pt"")"),"As cores ricas e vibrantes. Barato.")</f>
        <v>As cores ricas e vibrantes. Barato.</v>
      </c>
      <c r="B48833" s="3">
        <v>1</v>
      </c>
    </row>
    <row r="48834" ht="15.75" customHeight="1" spans="1:2">
      <c r="A48834" s="3" t="str">
        <f>IFERROR(__xludf.DUMMYFUNCTION("GOOGLETRANSLATE(A48834,""en"",""pt"")"),"impressora barata")</f>
        <v>impressora barata</v>
      </c>
      <c r="B48834" s="3">
        <v>1</v>
      </c>
    </row>
    <row r="48835" ht="15.75" customHeight="1" spans="1:2">
      <c r="A48835" s="3" t="str">
        <f>IFERROR(__xludf.DUMMYFUNCTION("GOOGLETRANSLATE(A48835,""en"",""pt"")"),"É uma impressora ...")</f>
        <v>É uma impressora ...</v>
      </c>
      <c r="B48835" s="3">
        <v>1</v>
      </c>
    </row>
    <row r="48836" ht="15.75" customHeight="1" spans="1:2">
      <c r="A48836" s="3" t="str">
        <f>IFERROR(__xludf.DUMMYFUNCTION("GOOGLETRANSLATE(A48836,""en"",""pt"")"),"É uma alternativa barata para uma impressora de qualidade")</f>
        <v>É uma alternativa barata para uma impressora de qualidade</v>
      </c>
      <c r="B48836" s="3">
        <v>1</v>
      </c>
    </row>
    <row r="48837" ht="15.75" customHeight="1" spans="1:2">
      <c r="A48837" s="3" t="str">
        <f>IFERROR(__xludf.DUMMYFUNCTION("GOOGLETRANSLATE(A48837,""en"",""pt"")"),"Relativamente rápido para uma impressora jato de tinta &amp; amp; #! 13; &amp; amp; # 10; Grande Valor, recarregáveis ​​cartucho disponível &amp; amp;. # 13; &amp; amp; # 10;")</f>
        <v>Relativamente rápido para uma impressora jato de tinta &amp; amp; #! 13; &amp; amp; # 10; Grande Valor, recarregáveis ​​cartucho disponível &amp; amp;. # 13; &amp; amp; # 10;</v>
      </c>
      <c r="B48837" s="3">
        <v>1</v>
      </c>
    </row>
    <row r="48838" ht="15.75" customHeight="1" spans="1:2">
      <c r="A48838" s="3" t="str">
        <f>IFERROR(__xludf.DUMMYFUNCTION("GOOGLETRANSLATE(A48838,""en"",""pt"")"),"De baixo custo, alta qualidade impressões")</f>
        <v>De baixo custo, alta qualidade impressões</v>
      </c>
      <c r="B48838" s="3">
        <v>1</v>
      </c>
    </row>
    <row r="48839" ht="15.75" customHeight="1" spans="1:2">
      <c r="A48839" s="3" t="str">
        <f>IFERROR(__xludf.DUMMYFUNCTION("GOOGLETRANSLATE(A48839,""en"",""pt"")"),"Pequeno, fácil de usar")</f>
        <v>Pequeno, fácil de usar</v>
      </c>
      <c r="B48839" s="3">
        <v>1</v>
      </c>
    </row>
    <row r="48840" ht="15.75" customHeight="1" spans="1:2">
      <c r="A48840" s="3" t="str">
        <f>IFERROR(__xludf.DUMMYFUNCTION("GOOGLETRANSLATE(A48840,""en"",""pt"")"),"excelente qualidade e preço decente")</f>
        <v>excelente qualidade e preço decente</v>
      </c>
      <c r="B48840" s="3">
        <v>1</v>
      </c>
    </row>
    <row r="48841" ht="15.75" customHeight="1" spans="1:2">
      <c r="A48841" s="3" t="str">
        <f>IFERROR(__xludf.DUMMYFUNCTION("GOOGLETRANSLATE(A48841,""en"",""pt"")"),"Prós: Custo de impressão é baixa")</f>
        <v>Prós: Custo de impressão é baixa</v>
      </c>
      <c r="B48841" s="3">
        <v>1</v>
      </c>
    </row>
    <row r="48842" ht="15.75" customHeight="1" spans="1:2">
      <c r="A48842" s="3" t="str">
        <f>IFERROR(__xludf.DUMMYFUNCTION("GOOGLETRANSLATE(A48842,""en"",""pt"")"),"Boa cor, barato, fácil de usar, com uma interface agradável.")</f>
        <v>Boa cor, barato, fácil de usar, com uma interface agradável.</v>
      </c>
      <c r="B48842" s="3">
        <v>1</v>
      </c>
    </row>
    <row r="48843" ht="15.75" customHeight="1" spans="1:2">
      <c r="A48843" s="3" t="str">
        <f>IFERROR(__xludf.DUMMYFUNCTION("GOOGLETRANSLATE(A48843,""en"",""pt"")"),"Grande design, fácil de usar, fácil de instalar, impressões de grande qualidade, grande velocidade, manuseamento de papel agradável, bom software companheiro")</f>
        <v>Grande design, fácil de usar, fácil de instalar, impressões de grande qualidade, grande velocidade, manuseamento de papel agradável, bom software companheiro</v>
      </c>
      <c r="B48843" s="3">
        <v>1</v>
      </c>
    </row>
    <row r="48844" ht="15.75" customHeight="1" spans="1:2">
      <c r="A48844" s="3" t="str">
        <f>IFERROR(__xludf.DUMMYFUNCTION("GOOGLETRANSLATE(A48844,""en"",""pt"")"),"Setup, cor e custo")</f>
        <v>Setup, cor e custo</v>
      </c>
      <c r="B48844" s="3">
        <v>1</v>
      </c>
    </row>
    <row r="48845" ht="15.75" customHeight="1" spans="1:2">
      <c r="A48845" s="3" t="str">
        <f>IFERROR(__xludf.DUMMYFUNCTION("GOOGLETRANSLATE(A48845,""en"",""pt"")"),"Barata e eficaz")</f>
        <v>Barata e eficaz</v>
      </c>
      <c r="B48845" s="3">
        <v>1</v>
      </c>
    </row>
    <row r="48846" ht="15.75" customHeight="1" spans="1:2">
      <c r="A48846" s="3" t="str">
        <f>IFERROR(__xludf.DUMMYFUNCTION("GOOGLETRANSLATE(A48846,""en"",""pt"")"),"preço e qualidade")</f>
        <v>preço e qualidade</v>
      </c>
      <c r="B48846" s="3">
        <v>1</v>
      </c>
    </row>
    <row r="48847" ht="15.75" customHeight="1" spans="1:2">
      <c r="A48847" s="3" t="str">
        <f>IFERROR(__xludf.DUMMYFUNCTION("GOOGLETRANSLATE(A48847,""en"",""pt"")"),"Boa preço- extremamente acessível, de grande qualidade, muito fácil de configurar e instalar")</f>
        <v>Boa preço- extremamente acessível, de grande qualidade, muito fácil de configurar e instalar</v>
      </c>
      <c r="B48847" s="3">
        <v>1</v>
      </c>
    </row>
    <row r="48848" ht="15.75" customHeight="1" spans="1:2">
      <c r="A48848" s="3" t="str">
        <f>IFERROR(__xludf.DUMMYFUNCTION("GOOGLETRANSLATE(A48848,""en"",""pt"")"),"Barato, qualidade decente")</f>
        <v>Barato, qualidade decente</v>
      </c>
      <c r="B48848" s="3">
        <v>1</v>
      </c>
    </row>
    <row r="48849" ht="15.75" customHeight="1" spans="1:2">
      <c r="A48849" s="3" t="str">
        <f>IFERROR(__xludf.DUMMYFUNCTION("GOOGLETRANSLATE(A48849,""en"",""pt"")"),"Rápido, eficiente e Printer surpreendente")</f>
        <v>Rápido, eficiente e Printer surpreendente</v>
      </c>
      <c r="B48849" s="3">
        <v>1</v>
      </c>
    </row>
    <row r="48850" ht="15.75" customHeight="1" spans="1:2">
      <c r="A48850" s="3" t="str">
        <f>IFERROR(__xludf.DUMMYFUNCTION("GOOGLETRANSLATE(A48850,""en"",""pt"")"),"1200x1200 resolução")</f>
        <v>1200x1200 resolução</v>
      </c>
      <c r="B48850" s="3">
        <v>1</v>
      </c>
    </row>
    <row r="48851" ht="15.75" customHeight="1" spans="1:2">
      <c r="A48851" s="3" t="str">
        <f>IFERROR(__xludf.DUMMYFUNCTION("GOOGLETRANSLATE(A48851,""en"",""pt"")"),"A solidamente construída impressora grande pouco.")</f>
        <v>A solidamente construída impressora grande pouco.</v>
      </c>
      <c r="B48851" s="3">
        <v>1</v>
      </c>
    </row>
    <row r="48852" ht="15.75" customHeight="1" spans="1:2">
      <c r="A48852" s="3" t="str">
        <f>IFERROR(__xludf.DUMMYFUNCTION("GOOGLETRANSLATE(A48852,""en"",""pt"")"),"Imagens nítidas, barato")</f>
        <v>Imagens nítidas, barato</v>
      </c>
      <c r="B48852" s="3">
        <v>1</v>
      </c>
    </row>
    <row r="48853" ht="15.75" customHeight="1" spans="1:2">
      <c r="A48853" s="3" t="str">
        <f>IFERROR(__xludf.DUMMYFUNCTION("GOOGLETRANSLATE(A48853,""en"",""pt"")"),"impressões grandes")</f>
        <v>impressões grandes</v>
      </c>
      <c r="B48853" s="3">
        <v>1</v>
      </c>
    </row>
    <row r="48854" ht="15.75" customHeight="1" spans="1:2">
      <c r="A48854" s="3" t="str">
        <f>IFERROR(__xludf.DUMMYFUNCTION("GOOGLETRANSLATE(A48854,""en"",""pt"")"),"Muito barato")</f>
        <v>Muito barato</v>
      </c>
      <c r="B48854" s="3">
        <v>1</v>
      </c>
    </row>
    <row r="48855" ht="15.75" customHeight="1" spans="1:2">
      <c r="A48855" s="3" t="str">
        <f>IFERROR(__xludf.DUMMYFUNCTION("GOOGLETRANSLATE(A48855,""en"",""pt"")"),"impressões de boa qualidade")</f>
        <v>impressões de boa qualidade</v>
      </c>
      <c r="B48855" s="3">
        <v>1</v>
      </c>
    </row>
    <row r="48856" ht="15.75" customHeight="1" spans="1:2">
      <c r="A48856" s="3" t="str">
        <f>IFERROR(__xludf.DUMMYFUNCTION("GOOGLETRANSLATE(A48856,""en"",""pt"")"),"preço baixo, boa qualidade de impressão")</f>
        <v>preço baixo, boa qualidade de impressão</v>
      </c>
      <c r="B48856" s="3">
        <v>1</v>
      </c>
    </row>
    <row r="48857" ht="15.75" customHeight="1" spans="1:2">
      <c r="A48857" s="3" t="str">
        <f>IFERROR(__xludf.DUMMYFUNCTION("GOOGLETRANSLATE(A48857,""en"",""pt"")"),"Custo, compacto")</f>
        <v>Custo, compacto</v>
      </c>
      <c r="B48857" s="3">
        <v>1</v>
      </c>
    </row>
    <row r="48858" ht="15.75" customHeight="1" spans="1:2">
      <c r="A48858" s="3" t="str">
        <f>IFERROR(__xludf.DUMMYFUNCTION("GOOGLETRANSLATE(A48858,""en"",""pt"")"),"Qualidade excelente")</f>
        <v>Qualidade excelente</v>
      </c>
      <c r="B48858" s="3">
        <v>1</v>
      </c>
    </row>
    <row r="48859" ht="15.75" customHeight="1" spans="1:2">
      <c r="A48859" s="3" t="str">
        <f>IFERROR(__xludf.DUMMYFUNCTION("GOOGLETRANSLATE(A48859,""en"",""pt"")"),"Fácil de instalar, a impressão clara, cor verdadeira.")</f>
        <v>Fácil de instalar, a impressão clara, cor verdadeira.</v>
      </c>
      <c r="B48859" s="3">
        <v>1</v>
      </c>
    </row>
    <row r="48860" ht="15.75" customHeight="1" spans="1:2">
      <c r="A48860" s="3" t="str">
        <f>IFERROR(__xludf.DUMMYFUNCTION("GOOGLETRANSLATE(A48860,""en"",""pt"")"),"custo, confiabilidade, qualidade de impressão")</f>
        <v>custo, confiabilidade, qualidade de impressão</v>
      </c>
      <c r="B48860" s="3">
        <v>1</v>
      </c>
    </row>
    <row r="48861" ht="15.75" customHeight="1" spans="1:2">
      <c r="A48861" s="3" t="str">
        <f>IFERROR(__xludf.DUMMYFUNCTION("GOOGLETRANSLATE(A48861,""en"",""pt"")"),"Baixo custo, alta resolução, User Friendly")</f>
        <v>Baixo custo, alta resolução, User Friendly</v>
      </c>
      <c r="B48861" s="3">
        <v>1</v>
      </c>
    </row>
    <row r="48862" ht="15.75" customHeight="1" spans="1:2">
      <c r="A48862" s="3" t="str">
        <f>IFERROR(__xludf.DUMMYFUNCTION("GOOGLETRANSLATE(A48862,""en"",""pt"")"),"Obter valor, eo que você espera (demanda) para o seu dinheiro")</f>
        <v>Obter valor, eo que você espera (demanda) para o seu dinheiro</v>
      </c>
      <c r="B48862" s="3">
        <v>1</v>
      </c>
    </row>
    <row r="48863" ht="15.75" customHeight="1" spans="1:2">
      <c r="A48863" s="3" t="str">
        <f>IFERROR(__xludf.DUMMYFUNCTION("GOOGLETRANSLATE(A48863,""en"",""pt"")"),"detalhe; preço")</f>
        <v>detalhe; preço</v>
      </c>
      <c r="B48863" s="3">
        <v>1</v>
      </c>
    </row>
    <row r="48864" ht="15.75" customHeight="1" spans="1:2">
      <c r="A48864" s="3" t="str">
        <f>IFERROR(__xludf.DUMMYFUNCTION("GOOGLETRANSLATE(A48864,""en"",""pt"")"),"Barato e confiável")</f>
        <v>Barato e confiável</v>
      </c>
      <c r="B48864" s="3">
        <v>1</v>
      </c>
    </row>
    <row r="48865" ht="15.75" customHeight="1" spans="1:2">
      <c r="A48865" s="3" t="str">
        <f>IFERROR(__xludf.DUMMYFUNCTION("GOOGLETRANSLATE(A48865,""en"",""pt"")"),"custo, resolução")</f>
        <v>custo, resolução</v>
      </c>
      <c r="B48865" s="3">
        <v>1</v>
      </c>
    </row>
    <row r="48866" ht="15.75" customHeight="1" spans="1:2">
      <c r="A48866" s="3" t="str">
        <f>IFERROR(__xludf.DUMMYFUNCTION("GOOGLETRANSLATE(A48866,""en"",""pt"")"),"preço barato, de qualidade boa cor")</f>
        <v>preço barato, de qualidade boa cor</v>
      </c>
      <c r="B48866" s="3">
        <v>1</v>
      </c>
    </row>
    <row r="48867" ht="15.75" customHeight="1" spans="1:2">
      <c r="A48867" s="3" t="str">
        <f>IFERROR(__xludf.DUMMYFUNCTION("GOOGLETRANSLATE(A48867,""en"",""pt"")"),"Barato com grande qualidade")</f>
        <v>Barato com grande qualidade</v>
      </c>
      <c r="B48867" s="3">
        <v>1</v>
      </c>
    </row>
    <row r="48868" ht="15.75" customHeight="1" spans="1:2">
      <c r="A48868" s="3" t="str">
        <f>IFERROR(__xludf.DUMMYFUNCTION("GOOGLETRANSLATE(A48868,""en"",""pt"")"),"preço")</f>
        <v>preço</v>
      </c>
      <c r="B48868" s="3">
        <v>1</v>
      </c>
    </row>
    <row r="48869" ht="15.75" customHeight="1" spans="1:2">
      <c r="A48869" s="3" t="str">
        <f>IFERROR(__xludf.DUMMYFUNCTION("GOOGLETRANSLATE(A48869,""en"",""pt"")"),"preço, de fácil instalação")</f>
        <v>preço, de fácil instalação</v>
      </c>
      <c r="B48869" s="3">
        <v>1</v>
      </c>
    </row>
    <row r="48870" ht="15.75" customHeight="1" spans="1:2">
      <c r="A48870" s="3" t="str">
        <f>IFERROR(__xludf.DUMMYFUNCTION("GOOGLETRANSLATE(A48870,""en"",""pt"")"),"preço original barato")</f>
        <v>preço original barato</v>
      </c>
      <c r="B48870" s="3">
        <v>1</v>
      </c>
    </row>
    <row r="48871" ht="15.75" customHeight="1" spans="1:2">
      <c r="A48871" s="3" t="str">
        <f>IFERROR(__xludf.DUMMYFUNCTION("GOOGLETRANSLATE(A48871,""en"",""pt"")"),"Impressão de cor bonita, de boa qualidade")</f>
        <v>Impressão de cor bonita, de boa qualidade</v>
      </c>
      <c r="B48871" s="3">
        <v>1</v>
      </c>
    </row>
    <row r="48872" ht="15.75" customHeight="1" spans="1:2">
      <c r="A48872" s="3" t="str">
        <f>IFERROR(__xludf.DUMMYFUNCTION("GOOGLETRANSLATE(A48872,""en"",""pt"")"),"Imprimir documentos &amp; amp; amp; As fotos")</f>
        <v>Imprimir documentos &amp; amp; amp; As fotos</v>
      </c>
      <c r="B48872" s="3">
        <v>1</v>
      </c>
    </row>
    <row r="48873" ht="15.75" customHeight="1" spans="1:2">
      <c r="A48873" s="3" t="str">
        <f>IFERROR(__xludf.DUMMYFUNCTION("GOOGLETRANSLATE(A48873,""en"",""pt"")"),"Muito barato e muito tranquila")</f>
        <v>Muito barato e muito tranquila</v>
      </c>
      <c r="B48873" s="3">
        <v>1</v>
      </c>
    </row>
    <row r="48874" ht="15.75" customHeight="1" spans="1:2">
      <c r="A48874" s="3" t="str">
        <f>IFERROR(__xludf.DUMMYFUNCTION("GOOGLETRANSLATE(A48874,""en"",""pt"")"),"impressão de fotos")</f>
        <v>impressão de fotos</v>
      </c>
      <c r="B48874" s="3">
        <v>1</v>
      </c>
    </row>
    <row r="48875" ht="15.75" customHeight="1" spans="1:2">
      <c r="A48875" s="3" t="str">
        <f>IFERROR(__xludf.DUMMYFUNCTION("GOOGLETRANSLATE(A48875,""en"",""pt"")"),"Super tranquilo, imprime fotos nítidas.")</f>
        <v>Super tranquilo, imprime fotos nítidas.</v>
      </c>
      <c r="B48875" s="3">
        <v>1</v>
      </c>
    </row>
    <row r="48876" ht="15.75" customHeight="1" spans="1:2">
      <c r="A48876" s="3" t="str">
        <f>IFERROR(__xludf.DUMMYFUNCTION("GOOGLETRANSLATE(A48876,""en"",""pt"")"),"Fácil, funcional, grande qualidade de impressão")</f>
        <v>Fácil, funcional, grande qualidade de impressão</v>
      </c>
      <c r="B48876" s="3">
        <v>1</v>
      </c>
    </row>
    <row r="48877" ht="15.75" customHeight="1" spans="1:2">
      <c r="A48877" s="3" t="str">
        <f>IFERROR(__xludf.DUMMYFUNCTION("GOOGLETRANSLATE(A48877,""en"",""pt"")"),"ajudante de voz, excelente qualidade")</f>
        <v>ajudante de voz, excelente qualidade</v>
      </c>
      <c r="B48877" s="3">
        <v>1</v>
      </c>
    </row>
    <row r="48878" ht="15.75" customHeight="1" spans="1:2">
      <c r="A48878" s="3" t="str">
        <f>IFERROR(__xludf.DUMMYFUNCTION("GOOGLETRANSLATE(A48878,""en"",""pt"")"),"preço, facilidade de usar a qualidade de impressão")</f>
        <v>preço, facilidade de usar a qualidade de impressão</v>
      </c>
      <c r="B48878" s="3">
        <v>1</v>
      </c>
    </row>
    <row r="48879" ht="15.75" customHeight="1" spans="1:2">
      <c r="A48879" s="3" t="str">
        <f>IFERROR(__xludf.DUMMYFUNCTION("GOOGLETRANSLATE(A48879,""en"",""pt"")"),"barato, alguns compotas")</f>
        <v>barato, alguns compotas</v>
      </c>
      <c r="B48879" s="3">
        <v>1</v>
      </c>
    </row>
    <row r="48880" ht="15.75" customHeight="1" spans="1:2">
      <c r="A48880" s="3" t="str">
        <f>IFERROR(__xludf.DUMMYFUNCTION("GOOGLETRANSLATE(A48880,""en"",""pt"")"),"Faz grande black &amp; amp; amp; impressões brancos")</f>
        <v>Faz grande black &amp; amp; amp; impressões brancos</v>
      </c>
      <c r="B48880" s="3">
        <v>1</v>
      </c>
    </row>
    <row r="48881" ht="15.75" customHeight="1" spans="1:2">
      <c r="A48881" s="3" t="str">
        <f>IFERROR(__xludf.DUMMYFUNCTION("GOOGLETRANSLATE(A48881,""en"",""pt"")"),"Preço baixo")</f>
        <v>Preço baixo</v>
      </c>
      <c r="B48881" s="3">
        <v>1</v>
      </c>
    </row>
    <row r="48882" ht="15.75" customHeight="1" spans="1:2">
      <c r="A48882" s="3" t="str">
        <f>IFERROR(__xludf.DUMMYFUNCTION("GOOGLETRANSLATE(A48882,""en"",""pt"")"),"É pequeno")</f>
        <v>É pequeno</v>
      </c>
      <c r="B48882" s="3">
        <v>1</v>
      </c>
    </row>
    <row r="48883" ht="15.75" customHeight="1" spans="1:2">
      <c r="A48883" s="3" t="str">
        <f>IFERROR(__xludf.DUMMYFUNCTION("GOOGLETRANSLATE(A48883,""en"",""pt"")"),"Ótimo preço printer..little")</f>
        <v>Ótimo preço printer..little</v>
      </c>
      <c r="B48883" s="3">
        <v>1</v>
      </c>
    </row>
    <row r="48884" ht="15.75" customHeight="1" spans="1:2">
      <c r="A48884" s="3" t="str">
        <f>IFERROR(__xludf.DUMMYFUNCTION("GOOGLETRANSLATE(A48884,""en"",""pt"")"),"impressora a cores de baixo custo")</f>
        <v>impressora a cores de baixo custo</v>
      </c>
      <c r="B48884" s="3">
        <v>1</v>
      </c>
    </row>
    <row r="48885" ht="15.75" customHeight="1" spans="1:2">
      <c r="A48885" s="3" t="str">
        <f>IFERROR(__xludf.DUMMYFUNCTION("GOOGLETRANSLATE(A48885,""en"",""pt"")"),"Valor fixado o preço, ótima qualidade de impressão, silencioso, fácil de instalar e usar.")</f>
        <v>Valor fixado o preço, ótima qualidade de impressão, silencioso, fácil de instalar e usar.</v>
      </c>
      <c r="B48885" s="3">
        <v>1</v>
      </c>
    </row>
    <row r="48886" ht="15.75" customHeight="1" spans="1:2">
      <c r="A48886" s="3" t="str">
        <f>IFERROR(__xludf.DUMMYFUNCTION("GOOGLETRANSLATE(A48886,""en"",""pt"")"),"compacto, barato grande qualidade de impressão")</f>
        <v>compacto, barato grande qualidade de impressão</v>
      </c>
      <c r="B48886" s="3">
        <v>1</v>
      </c>
    </row>
    <row r="48887" ht="15.75" customHeight="1" spans="1:2">
      <c r="A48887" s="3" t="str">
        <f>IFERROR(__xludf.DUMMYFUNCTION("GOOGLETRANSLATE(A48887,""en"",""pt"")"),"Acessível, confiável")</f>
        <v>Acessível, confiável</v>
      </c>
      <c r="B48887" s="3">
        <v>1</v>
      </c>
    </row>
    <row r="48888" ht="15.75" customHeight="1" spans="1:2">
      <c r="A48888" s="3" t="str">
        <f>IFERROR(__xludf.DUMMYFUNCTION("GOOGLETRANSLATE(A48888,""en"",""pt"")"),"muito bom")</f>
        <v>muito bom</v>
      </c>
      <c r="B48888" s="3">
        <v>1</v>
      </c>
    </row>
    <row r="48889" ht="15.75" customHeight="1" spans="1:2">
      <c r="A48889" s="3" t="str">
        <f>IFERROR(__xludf.DUMMYFUNCTION("GOOGLETRANSLATE(A48889,""en"",""pt"")"),"Muito barato, excelente qualidade, torna mais fácil para qualquer um para entrar em imagem digital")</f>
        <v>Muito barato, excelente qualidade, torna mais fácil para qualquer um para entrar em imagem digital</v>
      </c>
      <c r="B48889" s="3">
        <v>1</v>
      </c>
    </row>
    <row r="48890" ht="15.75" customHeight="1" spans="1:2">
      <c r="A48890" s="3" t="str">
        <f>IFERROR(__xludf.DUMMYFUNCTION("GOOGLETRANSLATE(A48890,""en"",""pt"")"),"boa cor")</f>
        <v>boa cor</v>
      </c>
      <c r="B48890" s="3">
        <v>1</v>
      </c>
    </row>
    <row r="48891" ht="15.75" customHeight="1" spans="1:2">
      <c r="A48891" s="3" t="str">
        <f>IFERROR(__xludf.DUMMYFUNCTION("GOOGLETRANSLATE(A48891,""en"",""pt"")"),"econômica e fácil de usar")</f>
        <v>econômica e fácil de usar</v>
      </c>
      <c r="B48891" s="3">
        <v>1</v>
      </c>
    </row>
    <row r="48892" ht="15.75" customHeight="1" spans="1:2">
      <c r="A48892" s="3" t="str">
        <f>IFERROR(__xludf.DUMMYFUNCTION("GOOGLETRANSLATE(A48892,""en"",""pt"")"),"Preço, qualidade de impressão")</f>
        <v>Preço, qualidade de impressão</v>
      </c>
      <c r="B48892" s="3">
        <v>1</v>
      </c>
    </row>
    <row r="48893" ht="15.75" customHeight="1" spans="1:2">
      <c r="A48893" s="3" t="str">
        <f>IFERROR(__xludf.DUMMYFUNCTION("GOOGLETRANSLATE(A48893,""en"",""pt"")"),"acessível, fácil de usar, rápido, confiável")</f>
        <v>acessível, fácil de usar, rápido, confiável</v>
      </c>
      <c r="B48893" s="3">
        <v>1</v>
      </c>
    </row>
    <row r="48894" ht="15.75" customHeight="1" spans="1:2">
      <c r="A48894" s="3" t="str">
        <f>IFERROR(__xludf.DUMMYFUNCTION("GOOGLETRANSLATE(A48894,""en"",""pt"")"),"LOW baixo preço. Fácil de usar.")</f>
        <v>LOW baixo preço. Fácil de usar.</v>
      </c>
      <c r="B48894" s="3">
        <v>1</v>
      </c>
    </row>
    <row r="48895" ht="15.75" customHeight="1" spans="1:2">
      <c r="A48895" s="3" t="str">
        <f>IFERROR(__xludf.DUMMYFUNCTION("GOOGLETRANSLATE(A48895,""en"",""pt"")"),"Barato, rápido")</f>
        <v>Barato, rápido</v>
      </c>
      <c r="B48895" s="3">
        <v>1</v>
      </c>
    </row>
    <row r="48896" ht="15.75" customHeight="1" spans="1:2">
      <c r="A48896" s="3" t="str">
        <f>IFERROR(__xludf.DUMMYFUNCTION("GOOGLETRANSLATE(A48896,""en"",""pt"")"),"qualidade de imagem de primeira qualidade")</f>
        <v>qualidade de imagem de primeira qualidade</v>
      </c>
      <c r="B48896" s="3">
        <v>1</v>
      </c>
    </row>
    <row r="48897" ht="15.75" customHeight="1" spans="1:2">
      <c r="A48897" s="3" t="str">
        <f>IFERROR(__xludf.DUMMYFUNCTION("GOOGLETRANSLATE(A48897,""en"",""pt"")"),"fácil configuração; fácil de usar; rebate significativa")</f>
        <v>fácil configuração; fácil de usar; rebate significativa</v>
      </c>
      <c r="B48897" s="3">
        <v>1</v>
      </c>
    </row>
    <row r="48898" ht="15.75" customHeight="1" spans="1:2">
      <c r="A48898" s="3" t="str">
        <f>IFERROR(__xludf.DUMMYFUNCTION("GOOGLETRANSLATE(A48898,""en"",""pt"")"),"Baixo custo, grandes impressões a cores, bom serviço")</f>
        <v>Baixo custo, grandes impressões a cores, bom serviço</v>
      </c>
      <c r="B48898" s="3">
        <v>1</v>
      </c>
    </row>
    <row r="48899" ht="15.75" customHeight="1" spans="1:2">
      <c r="A48899" s="3" t="str">
        <f>IFERROR(__xludf.DUMMYFUNCTION("GOOGLETRANSLATE(A48899,""en"",""pt"")"),"Grande trabalho em texto, Pagou US $ 59 por isso, fácil de usar.")</f>
        <v>Grande trabalho em texto, Pagou US $ 59 por isso, fácil de usar.</v>
      </c>
      <c r="B48899" s="3">
        <v>1</v>
      </c>
    </row>
    <row r="48900" ht="15.75" customHeight="1" spans="1:2">
      <c r="A48900" s="3" t="str">
        <f>IFERROR(__xludf.DUMMYFUNCTION("GOOGLETRANSLATE(A48900,""en"",""pt"")"),"boas claras imagens, texto e preço")</f>
        <v>boas claras imagens, texto e preço</v>
      </c>
      <c r="B48900" s="3">
        <v>1</v>
      </c>
    </row>
    <row r="48901" ht="15.75" customHeight="1" spans="1:2">
      <c r="A48901" s="3" t="str">
        <f>IFERROR(__xludf.DUMMYFUNCTION("GOOGLETRANSLATE(A48901,""en"",""pt"")"),"preço, qualidade de saída")</f>
        <v>preço, qualidade de saída</v>
      </c>
      <c r="B48901" s="3">
        <v>1</v>
      </c>
    </row>
    <row r="48902" ht="15.75" customHeight="1" spans="1:2">
      <c r="A48902" s="3" t="str">
        <f>IFERROR(__xludf.DUMMYFUNCTION("GOOGLETRANSLATE(A48902,""en"",""pt"")"),"grande negócio, grande impressão!")</f>
        <v>grande negócio, grande impressão!</v>
      </c>
      <c r="B48902" s="3">
        <v>1</v>
      </c>
    </row>
    <row r="48903" ht="15.75" customHeight="1" spans="1:2">
      <c r="A48903" s="3" t="str">
        <f>IFERROR(__xludf.DUMMYFUNCTION("GOOGLETRANSLATE(A48903,""en"",""pt"")"),"não custa muito e começa o trabalho feito novo e de novo")</f>
        <v>não custa muito e começa o trabalho feito novo e de novo</v>
      </c>
      <c r="B48903" s="3">
        <v>1</v>
      </c>
    </row>
    <row r="48904" ht="15.75" customHeight="1" spans="1:2">
      <c r="A48904" s="3" t="str">
        <f>IFERROR(__xludf.DUMMYFUNCTION("GOOGLETRANSLATE(A48904,""en"",""pt"")"),"UM GRANDE VALOR")</f>
        <v>UM GRANDE VALOR</v>
      </c>
      <c r="B48904" s="3">
        <v>1</v>
      </c>
    </row>
    <row r="48905" ht="15.75" customHeight="1" spans="1:2">
      <c r="A48905" s="3" t="str">
        <f>IFERROR(__xludf.DUMMYFUNCTION("GOOGLETRANSLATE(A48905,""en"",""pt"")"),"barato")</f>
        <v>barato</v>
      </c>
      <c r="B48905" s="3">
        <v>1</v>
      </c>
    </row>
    <row r="48906" ht="15.75" customHeight="1" spans="1:2">
      <c r="A48906" s="3" t="str">
        <f>IFERROR(__xludf.DUMMYFUNCTION("GOOGLETRANSLATE(A48906,""en"",""pt"")"),"Qualidade, velocidade, facilidade de uso, preço")</f>
        <v>Qualidade, velocidade, facilidade de uso, preço</v>
      </c>
      <c r="B48906" s="3">
        <v>1</v>
      </c>
    </row>
    <row r="48907" ht="15.75" customHeight="1" spans="1:2">
      <c r="A48907" s="3" t="str">
        <f>IFERROR(__xludf.DUMMYFUNCTION("GOOGLETRANSLATE(A48907,""en"",""pt"")"),"uma impressora grande acessível, que imprime excelente com papel de peso pesado")</f>
        <v>uma impressora grande acessível, que imprime excelente com papel de peso pesado</v>
      </c>
      <c r="B48907" s="3">
        <v>1</v>
      </c>
    </row>
    <row r="48908" ht="15.75" customHeight="1" spans="1:2">
      <c r="A48908" s="3" t="str">
        <f>IFERROR(__xludf.DUMMYFUNCTION("GOOGLETRANSLATE(A48908,""en"",""pt"")"),"Esta é uma excelente impressora com capacidades de impressão de alta qualidade")</f>
        <v>Esta é uma excelente impressora com capacidades de impressão de alta qualidade</v>
      </c>
      <c r="B48908" s="3">
        <v>1</v>
      </c>
    </row>
    <row r="48909" ht="15.75" customHeight="1" spans="1:2">
      <c r="A48909" s="3" t="str">
        <f>IFERROR(__xludf.DUMMYFUNCTION("GOOGLETRANSLATE(A48909,""en"",""pt"")"),"texto nítido clara e gráficos, bandeja de papel agradável, bom software")</f>
        <v>texto nítido clara e gráficos, bandeja de papel agradável, bom software</v>
      </c>
      <c r="B48909" s="3">
        <v>1</v>
      </c>
    </row>
    <row r="48910" ht="15.75" customHeight="1" spans="1:2">
      <c r="A48910" s="3" t="str">
        <f>IFERROR(__xludf.DUMMYFUNCTION("GOOGLETRANSLATE(A48910,""en"",""pt"")"),"1200 dpi, barato e confiável")</f>
        <v>1200 dpi, barato e confiável</v>
      </c>
      <c r="B48910" s="3">
        <v>1</v>
      </c>
    </row>
    <row r="48911" ht="15.75" customHeight="1" spans="1:2">
      <c r="A48911" s="3" t="str">
        <f>IFERROR(__xludf.DUMMYFUNCTION("GOOGLETRANSLATE(A48911,""en"",""pt"")"),"Alta resolução para um ótimo preço")</f>
        <v>Alta resolução para um ótimo preço</v>
      </c>
      <c r="B48911" s="3">
        <v>1</v>
      </c>
    </row>
    <row r="48912" ht="15.75" customHeight="1" spans="1:2">
      <c r="A48912" s="3" t="str">
        <f>IFERROR(__xludf.DUMMYFUNCTION("GOOGLETRANSLATE(A48912,""en"",""pt"")"),"Facilidade de uso, boa cor básica da impressora")</f>
        <v>Facilidade de uso, boa cor básica da impressora</v>
      </c>
      <c r="B48912" s="3">
        <v>1</v>
      </c>
    </row>
    <row r="48913" ht="15.75" customHeight="1" spans="1:2">
      <c r="A48913" s="3" t="str">
        <f>IFERROR(__xludf.DUMMYFUNCTION("GOOGLETRANSLATE(A48913,""en"",""pt"")"),"Suporte ao cliente")</f>
        <v>Suporte ao cliente</v>
      </c>
      <c r="B48913" s="3">
        <v>1</v>
      </c>
    </row>
    <row r="48914" ht="15.75" customHeight="1" spans="1:2">
      <c r="A48914" s="3" t="str">
        <f>IFERROR(__xludf.DUMMYFUNCTION("GOOGLETRANSLATE(A48914,""en"",""pt"")"),"PREÇO, 1200X1200 DPI, impressões são decente")</f>
        <v>PREÇO, 1200X1200 DPI, impressões são decente</v>
      </c>
      <c r="B48914" s="3">
        <v>1</v>
      </c>
    </row>
    <row r="48915" ht="15.75" customHeight="1" spans="1:2">
      <c r="A48915" s="3" t="str">
        <f>IFERROR(__xludf.DUMMYFUNCTION("GOOGLETRANSLATE(A48915,""en"",""pt"")"),"Barato")</f>
        <v>Barato</v>
      </c>
      <c r="B48915" s="3">
        <v>1</v>
      </c>
    </row>
    <row r="48916" ht="15.75" customHeight="1" spans="1:2">
      <c r="A48916" s="3" t="str">
        <f>IFERROR(__xludf.DUMMYFUNCTION("GOOGLETRANSLATE(A48916,""en"",""pt"")"),"grandes cores")</f>
        <v>grandes cores</v>
      </c>
      <c r="B48916" s="3">
        <v>1</v>
      </c>
    </row>
    <row r="48917" ht="15.75" customHeight="1" spans="1:2">
      <c r="A48917" s="3" t="str">
        <f>IFERROR(__xludf.DUMMYFUNCTION("GOOGLETRANSLATE(A48917,""en"",""pt"")"),"barato, impressora de boa qualidade")</f>
        <v>barato, impressora de boa qualidade</v>
      </c>
      <c r="B48917" s="3">
        <v>1</v>
      </c>
    </row>
    <row r="48918" ht="15.75" customHeight="1" spans="1:2">
      <c r="A48918" s="3" t="str">
        <f>IFERROR(__xludf.DUMMYFUNCTION("GOOGLETRANSLATE(A48918,""en"",""pt"")"),"Excelente para bater a bola.")</f>
        <v>Excelente para bater a bola.</v>
      </c>
      <c r="B48918" s="3">
        <v>1</v>
      </c>
    </row>
    <row r="48919" ht="15.75" customHeight="1" spans="1:2">
      <c r="A48919" s="3" t="s">
        <v>244</v>
      </c>
      <c r="B48919" s="3">
        <v>1</v>
      </c>
    </row>
    <row r="48920" ht="15.75" customHeight="1" spans="1:2">
      <c r="A48920" s="3" t="str">
        <f>IFERROR(__xludf.DUMMYFUNCTION("GOOGLETRANSLATE(A48920,""en"",""pt"")"),"O custo inicial é grande")</f>
        <v>O custo inicial é grande</v>
      </c>
      <c r="B48920" s="3">
        <v>1</v>
      </c>
    </row>
    <row r="48921" ht="15.75" customHeight="1" spans="1:2">
      <c r="A48921" s="3" t="str">
        <f>IFERROR(__xludf.DUMMYFUNCTION("GOOGLETRANSLATE(A48921,""en"",""pt"")"),"Preço, aparência, boa qualidade")</f>
        <v>Preço, aparência, boa qualidade</v>
      </c>
      <c r="B48921" s="3">
        <v>1</v>
      </c>
    </row>
    <row r="48922" ht="15.75" customHeight="1" spans="1:2">
      <c r="A48922" s="3" t="str">
        <f>IFERROR(__xludf.DUMMYFUNCTION("GOOGLETRANSLATE(A48922,""en"",""pt"")"),"bom preço, tranquila e eficaz")</f>
        <v>bom preço, tranquila e eficaz</v>
      </c>
      <c r="B48922" s="3">
        <v>1</v>
      </c>
    </row>
    <row r="48923" ht="15.75" customHeight="1" spans="1:2">
      <c r="A48923" s="3" t="s">
        <v>245</v>
      </c>
      <c r="B48923" s="3">
        <v>1</v>
      </c>
    </row>
    <row r="48924" ht="15.75" customHeight="1" spans="1:2">
      <c r="A48924" s="3" t="str">
        <f>IFERROR(__xludf.DUMMYFUNCTION("GOOGLETRANSLATE(A48924,""en"",""pt"")"),"Acessível")</f>
        <v>Acessível</v>
      </c>
      <c r="B48924" s="3">
        <v>1</v>
      </c>
    </row>
    <row r="48925" ht="15.75" customHeight="1" spans="1:2">
      <c r="A48925" s="3" t="str">
        <f>IFERROR(__xludf.DUMMYFUNCTION("GOOGLETRANSLATE(A48925,""en"",""pt"")"),"Qualidade excelente")</f>
        <v>Qualidade excelente</v>
      </c>
      <c r="B48925" s="3">
        <v>1</v>
      </c>
    </row>
    <row r="48926" ht="15.75" customHeight="1" spans="1:2">
      <c r="A48926" s="3" t="str">
        <f>IFERROR(__xludf.DUMMYFUNCTION("GOOGLETRANSLATE(A48926,""en"",""pt"")"),"Boa qualidade e manuseio de papel")</f>
        <v>Boa qualidade e manuseio de papel</v>
      </c>
      <c r="B48926" s="3">
        <v>1</v>
      </c>
    </row>
    <row r="48927" ht="15.75" customHeight="1" spans="1:2">
      <c r="A48927" s="3" t="str">
        <f>IFERROR(__xludf.DUMMYFUNCTION("GOOGLETRANSLATE(A48927,""en"",""pt"")"),"barato, compacto, fácil de usar")</f>
        <v>barato, compacto, fácil de usar</v>
      </c>
      <c r="B48927" s="3">
        <v>1</v>
      </c>
    </row>
    <row r="48928" ht="15.75" customHeight="1" spans="1:2">
      <c r="A48928" s="3" t="str">
        <f>IFERROR(__xludf.DUMMYFUNCTION("GOOGLETRANSLATE(A48928,""en"",""pt"")"),"Grande valor! Boa qualidade de impressão")</f>
        <v>Grande valor! Boa qualidade de impressão</v>
      </c>
      <c r="B48928" s="3">
        <v>1</v>
      </c>
    </row>
    <row r="48929" ht="15.75" customHeight="1" spans="1:2">
      <c r="A48929" s="3" t="str">
        <f>IFERROR(__xludf.DUMMYFUNCTION("GOOGLETRANSLATE(A48929,""en"",""pt"")"),"Bom, impressora jato de tinta de base sólida")</f>
        <v>Bom, impressora jato de tinta de base sólida</v>
      </c>
      <c r="B48929" s="3">
        <v>1</v>
      </c>
    </row>
    <row r="48930" ht="15.75" customHeight="1" spans="1:2">
      <c r="A48930" s="3" t="s">
        <v>246</v>
      </c>
      <c r="B48930" s="3">
        <v>1</v>
      </c>
    </row>
    <row r="48931" ht="15.75" customHeight="1" spans="1:2">
      <c r="A48931" s="3" t="str">
        <f>IFERROR(__xludf.DUMMYFUNCTION("GOOGLETRANSLATE(A48931,""en"",""pt"")"),"preço, características")</f>
        <v>preço, características</v>
      </c>
      <c r="B48931" s="3">
        <v>1</v>
      </c>
    </row>
    <row r="48932" ht="15.75" customHeight="1" spans="1:2">
      <c r="A48932" s="3" t="str">
        <f>IFERROR(__xludf.DUMMYFUNCTION("GOOGLETRANSLATE(A48932,""en"",""pt"")"),"cavalo de trabalho")</f>
        <v>cavalo de trabalho</v>
      </c>
      <c r="B48932" s="3">
        <v>1</v>
      </c>
    </row>
    <row r="48933" ht="15.75" customHeight="1" spans="1:2">
      <c r="A48933" s="3" t="str">
        <f>IFERROR(__xludf.DUMMYFUNCTION("GOOGLETRANSLATE(A48933,""en"",""pt"")"),"sem problemas rebate - bom site - impressora de qualidade")</f>
        <v>sem problemas rebate - bom site - impressora de qualidade</v>
      </c>
      <c r="B48933" s="3">
        <v>1</v>
      </c>
    </row>
    <row r="48934" ht="15.75" customHeight="1" spans="1:2">
      <c r="A48934" s="3" t="str">
        <f>IFERROR(__xludf.DUMMYFUNCTION("GOOGLETRANSLATE(A48934,""en"",""pt"")"),"Great Little Printer ..... Melhor Preço")</f>
        <v>Great Little Printer ..... Melhor Preço</v>
      </c>
      <c r="B48934" s="3">
        <v>1</v>
      </c>
    </row>
    <row r="48935" ht="15.75" customHeight="1" spans="1:2">
      <c r="A48935" s="3" t="str">
        <f>IFERROR(__xludf.DUMMYFUNCTION("GOOGLETRANSLATE(A48935,""en"",""pt"")"),"Barato, muito fácil de configurar")</f>
        <v>Barato, muito fácil de configurar</v>
      </c>
      <c r="B48935" s="3">
        <v>1</v>
      </c>
    </row>
    <row r="48936" ht="15.75" customHeight="1" spans="1:2">
      <c r="A48936" s="3" t="str">
        <f>IFERROR(__xludf.DUMMYFUNCTION("GOOGLETRANSLATE(A48936,""en"",""pt"")"),"grande qualidade de impressão")</f>
        <v>grande qualidade de impressão</v>
      </c>
      <c r="B48936" s="3">
        <v>1</v>
      </c>
    </row>
    <row r="48937" ht="15.75" customHeight="1" spans="1:2">
      <c r="A48937" s="3" t="str">
        <f>IFERROR(__xludf.DUMMYFUNCTION("GOOGLETRANSLATE(A48937,""en"",""pt"")"),"barato")</f>
        <v>barato</v>
      </c>
      <c r="B48937" s="3">
        <v>1</v>
      </c>
    </row>
    <row r="48938" ht="15.75" customHeight="1" spans="1:2">
      <c r="A48938" s="3" t="str">
        <f>IFERROR(__xludf.DUMMYFUNCTION("GOOGLETRANSLATE(A48938,""en"",""pt"")"),"preço, velocidade")</f>
        <v>preço, velocidade</v>
      </c>
      <c r="B48938" s="3">
        <v>1</v>
      </c>
    </row>
    <row r="48939" ht="15.75" customHeight="1" spans="1:2">
      <c r="A48939" s="3" t="str">
        <f>IFERROR(__xludf.DUMMYFUNCTION("GOOGLETRANSLATE(A48939,""en"",""pt"")"),"Preço")</f>
        <v>Preço</v>
      </c>
      <c r="B48939" s="3">
        <v>1</v>
      </c>
    </row>
    <row r="48940" ht="15.75" customHeight="1" spans="1:2">
      <c r="A48940" s="3" t="str">
        <f>IFERROR(__xludf.DUMMYFUNCTION("GOOGLETRANSLATE(A48940,""en"",""pt"")"),"Barato, boa qualidade de impressão")</f>
        <v>Barato, boa qualidade de impressão</v>
      </c>
      <c r="B48940" s="3">
        <v>1</v>
      </c>
    </row>
    <row r="48941" ht="15.75" customHeight="1" spans="1:2">
      <c r="A48941" s="3" t="str">
        <f>IFERROR(__xludf.DUMMYFUNCTION("GOOGLETRANSLATE(A48941,""en"",""pt"")"),"Custo &amp; amp; amp; Qualidade")</f>
        <v>Custo &amp; amp; amp; Qualidade</v>
      </c>
      <c r="B48941" s="3">
        <v>1</v>
      </c>
    </row>
    <row r="48942" ht="15.75" customHeight="1" spans="1:2">
      <c r="A48942" s="3" t="str">
        <f>IFERROR(__xludf.DUMMYFUNCTION("GOOGLETRANSLATE(A48942,""en"",""pt"")"),"O preço")</f>
        <v>O preço</v>
      </c>
      <c r="B48942" s="3">
        <v>1</v>
      </c>
    </row>
    <row r="48943" ht="15.75" customHeight="1" spans="1:2">
      <c r="A48943" s="3" t="str">
        <f>IFERROR(__xludf.DUMMYFUNCTION("GOOGLETRANSLATE(A48943,""en"",""pt"")"),"Boa qualidade, preço razoável")</f>
        <v>Boa qualidade, preço razoável</v>
      </c>
      <c r="B48943" s="3">
        <v>1</v>
      </c>
    </row>
    <row r="48944" ht="15.75" customHeight="1" spans="1:2">
      <c r="A48944" s="3" t="str">
        <f>IFERROR(__xludf.DUMMYFUNCTION("GOOGLETRANSLATE(A48944,""en"",""pt"")"),"robusto e razoável")</f>
        <v>robusto e razoável</v>
      </c>
      <c r="B48944" s="3">
        <v>1</v>
      </c>
    </row>
    <row r="48945" ht="15.75" customHeight="1" spans="1:2">
      <c r="A48945" s="3" t="str">
        <f>IFERROR(__xludf.DUMMYFUNCTION("GOOGLETRANSLATE(A48945,""en"",""pt"")"),"Pequeno")</f>
        <v>Pequeno</v>
      </c>
      <c r="B48945" s="3">
        <v>1</v>
      </c>
    </row>
    <row r="48946" ht="15.75" customHeight="1" spans="1:2">
      <c r="A48946" s="3" t="str">
        <f>IFERROR(__xludf.DUMMYFUNCTION("GOOGLETRANSLATE(A48946,""en"",""pt"")"),"faixa de preço - acabamento de alta qualidade")</f>
        <v>faixa de preço - acabamento de alta qualidade</v>
      </c>
      <c r="B48946" s="3">
        <v>1</v>
      </c>
    </row>
    <row r="48947" ht="15.75" customHeight="1" spans="1:2">
      <c r="A48947" s="3" t="str">
        <f>IFERROR(__xludf.DUMMYFUNCTION("GOOGLETRANSLATE(A48947,""en"",""pt"")"),"impressão de qualidade decente, fácil de usar")</f>
        <v>impressão de qualidade decente, fácil de usar</v>
      </c>
      <c r="B48947" s="3">
        <v>1</v>
      </c>
    </row>
    <row r="48948" ht="15.75" customHeight="1" spans="1:2">
      <c r="A48948" s="3" t="str">
        <f>IFERROR(__xludf.DUMMYFUNCTION("GOOGLETRANSLATE(A48948,""en"",""pt"")"),"desempenho OK barato")</f>
        <v>desempenho OK barato</v>
      </c>
      <c r="B48948" s="3">
        <v>1</v>
      </c>
    </row>
    <row r="48949" ht="15.75" customHeight="1" spans="1:2">
      <c r="A48949" s="3" t="str">
        <f>IFERROR(__xludf.DUMMYFUNCTION("GOOGLETRANSLATE(A48949,""en"",""pt"")"),"Wonderful resolução")</f>
        <v>Wonderful resolução</v>
      </c>
      <c r="B48949" s="3">
        <v>1</v>
      </c>
    </row>
    <row r="48950" ht="15.75" customHeight="1" spans="1:2">
      <c r="A48950" s="3" t="str">
        <f>IFERROR(__xludf.DUMMYFUNCTION("GOOGLETRANSLATE(A48950,""en"",""pt"")"),"barato, fácil, divertido")</f>
        <v>barato, fácil, divertido</v>
      </c>
      <c r="B48950" s="3">
        <v>1</v>
      </c>
    </row>
    <row r="48951" ht="15.75" customHeight="1" spans="1:2">
      <c r="A48951" s="3" t="str">
        <f>IFERROR(__xludf.DUMMYFUNCTION("GOOGLETRANSLATE(A48951,""en"",""pt"")"),"instalação simples, compatibilidade.")</f>
        <v>instalação simples, compatibilidade.</v>
      </c>
      <c r="B48951" s="3">
        <v>1</v>
      </c>
    </row>
    <row r="48952" ht="15.75" customHeight="1" spans="1:2">
      <c r="A48952" s="3" t="str">
        <f>IFERROR(__xludf.DUMMYFUNCTION("GOOGLETRANSLATE(A48952,""en"",""pt"")"),"Preço")</f>
        <v>Preço</v>
      </c>
      <c r="B48952" s="3">
        <v>1</v>
      </c>
    </row>
    <row r="48953" ht="15.75" customHeight="1" spans="1:2">
      <c r="A48953" s="3" t="str">
        <f>IFERROR(__xludf.DUMMYFUNCTION("GOOGLETRANSLATE(A48953,""en"",""pt"")"),"Baixa-se o custo da frente")</f>
        <v>Baixa-se o custo da frente</v>
      </c>
      <c r="B48953" s="3">
        <v>1</v>
      </c>
    </row>
    <row r="48954" ht="15.75" customHeight="1" spans="1:2">
      <c r="A48954" s="3" t="str">
        <f>IFERROR(__xludf.DUMMYFUNCTION("GOOGLETRANSLATE(A48954,""en"",""pt"")"),"Alta qualidade de impressão, bastante rápido, pequeno.")</f>
        <v>Alta qualidade de impressão, bastante rápido, pequeno.</v>
      </c>
      <c r="B48954" s="3">
        <v>1</v>
      </c>
    </row>
    <row r="48955" ht="15.75" customHeight="1" spans="1:2">
      <c r="A48955" s="3" t="s">
        <v>247</v>
      </c>
      <c r="B48955" s="3">
        <v>1</v>
      </c>
    </row>
    <row r="48956" ht="15.75" customHeight="1" spans="1:2">
      <c r="A48956" s="3" t="str">
        <f>IFERROR(__xludf.DUMMYFUNCTION("GOOGLETRANSLATE(A48956,""en"",""pt"")"),"fácil de configurar")</f>
        <v>fácil de configurar</v>
      </c>
      <c r="B48956" s="3">
        <v>1</v>
      </c>
    </row>
    <row r="48957" ht="15.75" customHeight="1" spans="1:2">
      <c r="A48957" s="3" t="str">
        <f>IFERROR(__xludf.DUMMYFUNCTION("GOOGLETRANSLATE(A48957,""en"",""pt"")"),"Grande qualidade de impressão")</f>
        <v>Grande qualidade de impressão</v>
      </c>
      <c r="B48957" s="3">
        <v>1</v>
      </c>
    </row>
    <row r="48958" ht="15.75" customHeight="1" spans="1:2">
      <c r="A48958" s="3" t="str">
        <f>IFERROR(__xludf.DUMMYFUNCTION("GOOGLETRANSLATE(A48958,""en"",""pt"")"),"Bem, é barato.")</f>
        <v>Bem, é barato.</v>
      </c>
      <c r="B48958" s="3">
        <v>1</v>
      </c>
    </row>
    <row r="48959" ht="15.75" customHeight="1" spans="1:2">
      <c r="A48959" s="3" t="str">
        <f>IFERROR(__xludf.DUMMYFUNCTION("GOOGLETRANSLATE(A48959,""en"",""pt"")"),"É mais rápido do que o que eu substituído.")</f>
        <v>É mais rápido do que o que eu substituído.</v>
      </c>
      <c r="B48959" s="3">
        <v>1</v>
      </c>
    </row>
    <row r="48960" ht="15.75" customHeight="1" spans="1:2">
      <c r="A48960" s="3" t="str">
        <f>IFERROR(__xludf.DUMMYFUNCTION("GOOGLETRANSLATE(A48960,""en"",""pt"")"),"Preço, papel fácil carregamento")</f>
        <v>Preço, papel fácil carregamento</v>
      </c>
      <c r="B48960" s="3">
        <v>1</v>
      </c>
    </row>
    <row r="48961" ht="15.75" customHeight="1" spans="1:2">
      <c r="A48961" s="3" t="str">
        <f>IFERROR(__xludf.DUMMYFUNCTION("GOOGLETRANSLATE(A48961,""en"",""pt"")"),"Barato, silencioso impressão muito limpo")</f>
        <v>Barato, silencioso impressão muito limpo</v>
      </c>
      <c r="B48961" s="3">
        <v>1</v>
      </c>
    </row>
    <row r="48962" ht="15.75" customHeight="1" spans="1:2">
      <c r="A48962" s="3" t="str">
        <f>IFERROR(__xludf.DUMMYFUNCTION("GOOGLETRANSLATE(A48962,""en"",""pt"")"),"Barato, muito boa qualidade de impressão para o preço")</f>
        <v>Barato, muito boa qualidade de impressão para o preço</v>
      </c>
      <c r="B48962" s="3">
        <v>1</v>
      </c>
    </row>
    <row r="48963" ht="15.75" customHeight="1" spans="1:2">
      <c r="A48963" s="3" t="str">
        <f>IFERROR(__xludf.DUMMYFUNCTION("GOOGLETRANSLATE(A48963,""en"",""pt"")"),"Grande baixo preço. Boa qualidade de impressão")</f>
        <v>Grande baixo preço. Boa qualidade de impressão</v>
      </c>
      <c r="B48963" s="3">
        <v>1</v>
      </c>
    </row>
    <row r="48964" ht="15.75" customHeight="1" spans="1:2">
      <c r="A48964" s="3" t="str">
        <f>IFERROR(__xludf.DUMMYFUNCTION("GOOGLETRANSLATE(A48964,""en"",""pt"")"),"Barato, Mac-friendly")</f>
        <v>Barato, Mac-friendly</v>
      </c>
      <c r="B48964" s="3">
        <v>1</v>
      </c>
    </row>
    <row r="48965" ht="15.75" customHeight="1" spans="1:2">
      <c r="A48965" s="3" t="str">
        <f>IFERROR(__xludf.DUMMYFUNCTION("GOOGLETRANSLATE(A48965,""en"",""pt"")"),"Grande qualidade de impressão a um preço barato.")</f>
        <v>Grande qualidade de impressão a um preço barato.</v>
      </c>
      <c r="B48965" s="3">
        <v>1</v>
      </c>
    </row>
    <row r="48966" ht="15.75" customHeight="1" spans="1:2">
      <c r="A48966" s="3" t="str">
        <f>IFERROR(__xludf.DUMMYFUNCTION("GOOGLETRANSLATE(A48966,""en"",""pt"")"),"feito, preço, serviço ao cliente do americano")</f>
        <v>feito, preço, serviço ao cliente do americano</v>
      </c>
      <c r="B48966" s="3">
        <v>1</v>
      </c>
    </row>
    <row r="48967" ht="15.75" customHeight="1" spans="1:2">
      <c r="A48967" s="3" t="str">
        <f>IFERROR(__xludf.DUMMYFUNCTION("GOOGLETRANSLATE(A48967,""en"",""pt"")"),"impressão rápida, boa qualidade")</f>
        <v>impressão rápida, boa qualidade</v>
      </c>
      <c r="B48967" s="3">
        <v>1</v>
      </c>
    </row>
    <row r="48968" ht="15.75" customHeight="1" spans="1:2">
      <c r="A48968" s="3" t="str">
        <f>IFERROR(__xludf.DUMMYFUNCTION("GOOGLETRANSLATE(A48968,""en"",""pt"")"),"Muito confiável. Preço barato. Big cartucho significa vida longa.")</f>
        <v>Muito confiável. Preço barato. Big cartucho significa vida longa.</v>
      </c>
      <c r="B48968" s="3">
        <v>1</v>
      </c>
    </row>
    <row r="48969" ht="15.75" customHeight="1" spans="1:2">
      <c r="A48969" s="3" t="str">
        <f>IFERROR(__xludf.DUMMYFUNCTION("GOOGLETRANSLATE(A48969,""en"",""pt"")"),"Barato, boa qualidade de impressão, leve, fácil de instalar, tranquila")</f>
        <v>Barato, boa qualidade de impressão, leve, fácil de instalar, tranquila</v>
      </c>
      <c r="B48969" s="3">
        <v>1</v>
      </c>
    </row>
    <row r="48970" ht="15.75" customHeight="1" spans="1:2">
      <c r="A48970" s="3" t="str">
        <f>IFERROR(__xludf.DUMMYFUNCTION("GOOGLETRANSLATE(A48970,""en"",""pt"")"),"Barato")</f>
        <v>Barato</v>
      </c>
      <c r="B48970" s="3">
        <v>1</v>
      </c>
    </row>
    <row r="48971" ht="15.75" customHeight="1" spans="1:2">
      <c r="A48971" s="3" t="str">
        <f>IFERROR(__xludf.DUMMYFUNCTION("GOOGLETRANSLATE(A48971,""en"",""pt"")"),"Acessível. Boa qualidade de impressão.")</f>
        <v>Acessível. Boa qualidade de impressão.</v>
      </c>
      <c r="B48971" s="3">
        <v>1</v>
      </c>
    </row>
    <row r="48972" ht="15.75" customHeight="1" spans="1:2">
      <c r="A48972" s="3" t="str">
        <f>IFERROR(__xludf.DUMMYFUNCTION("GOOGLETRANSLATE(A48972,""en"",""pt"")"),"Muito bom preço")</f>
        <v>Muito bom preço</v>
      </c>
      <c r="B48972" s="3">
        <v>1</v>
      </c>
    </row>
    <row r="48973" ht="15.75" customHeight="1" spans="1:2">
      <c r="A48973" s="3" t="str">
        <f>IFERROR(__xludf.DUMMYFUNCTION("GOOGLETRANSLATE(A48973,""en"",""pt"")"),"acessível, confiável")</f>
        <v>acessível, confiável</v>
      </c>
      <c r="B48973" s="3">
        <v>1</v>
      </c>
    </row>
    <row r="48974" ht="15.75" customHeight="1" spans="1:2">
      <c r="A48974" s="3" t="str">
        <f>IFERROR(__xludf.DUMMYFUNCTION("GOOGLETRANSLATE(A48974,""en"",""pt"")"),"Fácil configuração para utilizadores de impressão Luz")</f>
        <v>Fácil configuração para utilizadores de impressão Luz</v>
      </c>
      <c r="B48974" s="3">
        <v>1</v>
      </c>
    </row>
    <row r="48975" ht="15.75" customHeight="1" spans="1:2">
      <c r="A48975" s="3" t="str">
        <f>IFERROR(__xludf.DUMMYFUNCTION("GOOGLETRANSLATE(A48975,""en"",""pt"")"),"impressão de grande qualidade, Pictures imprimir muito bom")</f>
        <v>impressão de grande qualidade, Pictures imprimir muito bom</v>
      </c>
      <c r="B48975" s="3">
        <v>1</v>
      </c>
    </row>
    <row r="48976" ht="15.75" customHeight="1" spans="1:2">
      <c r="A48976" s="3" t="str">
        <f>IFERROR(__xludf.DUMMYFUNCTION("GOOGLETRANSLATE(A48976,""en"",""pt"")"),"Rápido, muito boa qualidade, barato, ótimo software, fácil de configurar.")</f>
        <v>Rápido, muito boa qualidade, barato, ótimo software, fácil de configurar.</v>
      </c>
      <c r="B48976" s="3">
        <v>1</v>
      </c>
    </row>
    <row r="48977" ht="15.75" customHeight="1" spans="1:2">
      <c r="A48977" s="3" t="str">
        <f>IFERROR(__xludf.DUMMYFUNCTION("GOOGLETRANSLATE(A48977,""en"",""pt"")"),"Bom valor para o dinheiro.")</f>
        <v>Bom valor para o dinheiro.</v>
      </c>
      <c r="B48977" s="3">
        <v>1</v>
      </c>
    </row>
    <row r="48978" ht="15.75" customHeight="1" spans="1:2">
      <c r="A48978" s="3" t="str">
        <f>IFERROR(__xludf.DUMMYFUNCTION("GOOGLETRANSLATE(A48978,""en"",""pt"")"),"barato, boa qualidade de impressão")</f>
        <v>barato, boa qualidade de impressão</v>
      </c>
      <c r="B48978" s="3">
        <v>1</v>
      </c>
    </row>
    <row r="48979" ht="15.75" customHeight="1" spans="1:2">
      <c r="A48979" s="3" t="str">
        <f>IFERROR(__xludf.DUMMYFUNCTION("GOOGLETRANSLATE(A48979,""en"",""pt"")"),"Mais barato do que cartuchos de tinta !! 1200 x 1200 dpi de impressão, agradável Photo Printing")</f>
        <v>Mais barato do que cartuchos de tinta !! 1200 x 1200 dpi de impressão, agradável Photo Printing</v>
      </c>
      <c r="B48979" s="3">
        <v>1</v>
      </c>
    </row>
    <row r="48980" ht="15.75" customHeight="1" spans="1:2">
      <c r="A48980" s="3" t="str">
        <f>IFERROR(__xludf.DUMMYFUNCTION("GOOGLETRANSLATE(A48980,""en"",""pt"")"),"boa qualidade de impressão, não muito alto, e pequena o suficiente para manter fora do caminho")</f>
        <v>boa qualidade de impressão, não muito alto, e pequena o suficiente para manter fora do caminho</v>
      </c>
      <c r="B48980" s="3">
        <v>1</v>
      </c>
    </row>
    <row r="48981" ht="15.75" customHeight="1" spans="1:2">
      <c r="A48981" s="3" t="str">
        <f>IFERROR(__xludf.DUMMYFUNCTION("GOOGLETRANSLATE(A48981,""en"",""pt"")"),"barato, fácil de instalar em janelas")</f>
        <v>barato, fácil de instalar em janelas</v>
      </c>
      <c r="B48981" s="3">
        <v>1</v>
      </c>
    </row>
    <row r="48982" ht="15.75" customHeight="1" spans="1:2">
      <c r="A48982" s="3" t="str">
        <f>IFERROR(__xludf.DUMMYFUNCTION("GOOGLETRANSLATE(A48982,""en"",""pt"")"),"Barato, texto fantástico e qualidade gráfica cor")</f>
        <v>Barato, texto fantástico e qualidade gráfica cor</v>
      </c>
      <c r="B48982" s="3">
        <v>1</v>
      </c>
    </row>
    <row r="48983" ht="15.75" customHeight="1" spans="1:2">
      <c r="A48983" s="3" t="str">
        <f>IFERROR(__xludf.DUMMYFUNCTION("GOOGLETRANSLATE(A48983,""en"",""pt"")"),"Preço, qualidade de impressão &amp; amp; amp; Rapidez")</f>
        <v>Preço, qualidade de impressão &amp; amp; amp; Rapidez</v>
      </c>
      <c r="B48983" s="3">
        <v>1</v>
      </c>
    </row>
    <row r="48984" ht="15.75" customHeight="1" spans="1:2">
      <c r="A48984" s="3" t="str">
        <f>IFERROR(__xludf.DUMMYFUNCTION("GOOGLETRANSLATE(A48984,""en"",""pt"")"),"Ótimo preço, funciona muito bem com WebTV")</f>
        <v>Ótimo preço, funciona muito bem com WebTV</v>
      </c>
      <c r="B48984" s="3">
        <v>1</v>
      </c>
    </row>
    <row r="48985" ht="15.75" customHeight="1" spans="1:2">
      <c r="A48985" s="3" t="str">
        <f>IFERROR(__xludf.DUMMYFUNCTION("GOOGLETRANSLATE(A48985,""en"",""pt"")"),"nice guy voz")</f>
        <v>nice guy voz</v>
      </c>
      <c r="B48985" s="3">
        <v>1</v>
      </c>
    </row>
    <row r="48986" ht="15.75" customHeight="1" spans="1:2">
      <c r="A48986" s="3" t="str">
        <f>IFERROR(__xludf.DUMMYFUNCTION("GOOGLETRANSLATE(A48986,""en"",""pt"")"),"Preço, qualidade do trabalho")</f>
        <v>Preço, qualidade do trabalho</v>
      </c>
      <c r="B48986" s="3">
        <v>1</v>
      </c>
    </row>
    <row r="48987" ht="15.75" customHeight="1" spans="1:2">
      <c r="A48987" s="3" t="str">
        <f>IFERROR(__xludf.DUMMYFUNCTION("GOOGLETRANSLATE(A48987,""en"",""pt"")"),"Era parte de um pacote")</f>
        <v>Era parte de um pacote</v>
      </c>
      <c r="B48987" s="3">
        <v>1</v>
      </c>
    </row>
    <row r="48988" ht="15.75" customHeight="1" spans="1:2">
      <c r="A48988" s="3" t="str">
        <f>IFERROR(__xludf.DUMMYFUNCTION("GOOGLETRANSLATE(A48988,""en"",""pt"")"),"Baixo custo.")</f>
        <v>Baixo custo.</v>
      </c>
      <c r="B48988" s="3">
        <v>1</v>
      </c>
    </row>
    <row r="48989" ht="15.75" customHeight="1" spans="1:2">
      <c r="A48989" s="3" t="str">
        <f>IFERROR(__xludf.DUMMYFUNCTION("GOOGLETRANSLATE(A48989,""en"",""pt"")"),"Barato, fácil de usar, imprime rápido limpo ...")</f>
        <v>Barato, fácil de usar, imprime rápido limpo ...</v>
      </c>
      <c r="B48989" s="3">
        <v>1</v>
      </c>
    </row>
    <row r="48990" ht="15.75" customHeight="1" spans="1:2">
      <c r="A48990" s="3" t="str">
        <f>IFERROR(__xludf.DUMMYFUNCTION("GOOGLETRANSLATE(A48990,""en"",""pt"")"),"Preço barato - Impressora Grande Família")</f>
        <v>Preço barato - Impressora Grande Família</v>
      </c>
      <c r="B48990" s="3">
        <v>1</v>
      </c>
    </row>
    <row r="48991" ht="15.75" customHeight="1" spans="1:2">
      <c r="A48991" s="3" t="str">
        <f>IFERROR(__xludf.DUMMYFUNCTION("GOOGLETRANSLATE(A48991,""en"",""pt"")"),"Fácil de instalar, de baixo custo, de grande qualidade veio com um cartucho, você não pode dar errado.")</f>
        <v>Fácil de instalar, de baixo custo, de grande qualidade veio com um cartucho, você não pode dar errado.</v>
      </c>
      <c r="B48991" s="3">
        <v>1</v>
      </c>
    </row>
    <row r="48992" ht="15.75" customHeight="1" spans="1:2">
      <c r="A48992" s="3" t="str">
        <f>IFERROR(__xludf.DUMMYFUNCTION("GOOGLETRANSLATE(A48992,""en"",""pt"")"),"impressora barata, de boa qualidade")</f>
        <v>impressora barata, de boa qualidade</v>
      </c>
      <c r="B48992" s="3">
        <v>1</v>
      </c>
    </row>
    <row r="48993" ht="15.75" customHeight="1" spans="1:2">
      <c r="A48993" s="3" t="str">
        <f>IFERROR(__xludf.DUMMYFUNCTION("GOOGLETRANSLATE(A48993,""en"",""pt"")"),"Barato")</f>
        <v>Barato</v>
      </c>
      <c r="B48993" s="3">
        <v>1</v>
      </c>
    </row>
    <row r="48994" ht="15.75" customHeight="1" spans="1:2">
      <c r="A48994" s="3" t="str">
        <f>IFERROR(__xludf.DUMMYFUNCTION("GOOGLETRANSLATE(A48994,""en"",""pt"")"),"Preço, preço, preço (oh, e qualidade, facilidade de uso e tudo o que ...)")</f>
        <v>Preço, preço, preço (oh, e qualidade, facilidade de uso e tudo o que ...)</v>
      </c>
      <c r="B48994" s="3">
        <v>1</v>
      </c>
    </row>
    <row r="48995" ht="15.75" customHeight="1" spans="1:2">
      <c r="A48995" s="3" t="str">
        <f>IFERROR(__xludf.DUMMYFUNCTION("GOOGLETRANSLATE(A48995,""en"",""pt"")"),"É barato, fácil de usar, e eu mencionei barato!")</f>
        <v>É barato, fácil de usar, e eu mencionei barato!</v>
      </c>
      <c r="B48995" s="3">
        <v>1</v>
      </c>
    </row>
    <row r="48996" ht="15.75" customHeight="1" spans="1:2">
      <c r="A48996" s="3" t="str">
        <f>IFERROR(__xludf.DUMMYFUNCTION("GOOGLETRANSLATE(A48996,""en"",""pt"")"),"Baixo preço, impressões decentes, software agradável.")</f>
        <v>Baixo preço, impressões decentes, software agradável.</v>
      </c>
      <c r="B48996" s="3">
        <v>1</v>
      </c>
    </row>
    <row r="48997" ht="15.75" customHeight="1" spans="1:2">
      <c r="A48997" s="3" t="str">
        <f>IFERROR(__xludf.DUMMYFUNCTION("GOOGLETRANSLATE(A48997,""en"",""pt"")"),"Fácil de usar e barato")</f>
        <v>Fácil de usar e barato</v>
      </c>
      <c r="B48997" s="3">
        <v>1</v>
      </c>
    </row>
    <row r="48998" ht="15.75" customHeight="1" spans="1:2">
      <c r="A48998" s="3" t="str">
        <f>IFERROR(__xludf.DUMMYFUNCTION("GOOGLETRANSLATE(A48998,""en"",""pt"")"),"impressora de muito boa qualidade por um baixo custo")</f>
        <v>impressora de muito boa qualidade por um baixo custo</v>
      </c>
      <c r="B48998" s="3">
        <v>1</v>
      </c>
    </row>
    <row r="48999" ht="15.75" customHeight="1" spans="1:2">
      <c r="A48999" s="3" t="str">
        <f>IFERROR(__xludf.DUMMYFUNCTION("GOOGLETRANSLATE(A48999,""en"",""pt"")"),"Barato, bom Médio Qualidade para o uso diário.")</f>
        <v>Barato, bom Médio Qualidade para o uso diário.</v>
      </c>
      <c r="B48999" s="3">
        <v>1</v>
      </c>
    </row>
    <row r="49000" ht="15.75" customHeight="1" spans="1:2">
      <c r="A49000" s="3" t="str">
        <f>IFERROR(__xludf.DUMMYFUNCTION("GOOGLETRANSLATE(A49000,""en"",""pt"")"),"Barato, boa localização para o dinheiro, fácil de configurar e usar")</f>
        <v>Barato, boa localização para o dinheiro, fácil de configurar e usar</v>
      </c>
      <c r="B49000" s="3">
        <v>1</v>
      </c>
    </row>
    <row r="49001" ht="15.75" customHeight="1" spans="1:2">
      <c r="A49001" s="3" t="str">
        <f>IFERROR(__xludf.DUMMYFUNCTION("GOOGLETRANSLATE(A49001,""en"",""pt"")"),"Grande impressora para preço baixo, grandes impressões de qualidade")</f>
        <v>Grande impressora para preço baixo, grandes impressões de qualidade</v>
      </c>
      <c r="B49001" s="3">
        <v>1</v>
      </c>
    </row>
    <row r="49002" ht="15.75" customHeight="1" spans="1:2">
      <c r="A49002" s="3" t="str">
        <f>IFERROR(__xludf.DUMMYFUNCTION("GOOGLETRANSLATE(A49002,""en"",""pt"")"),"Barato &amp; amp; Silencioso; compacto &amp; amp; # 13; &amp; amp; # 10; Boa qualidade de cor &amp; amp; # 13; &amp; amp; # 10")</f>
        <v>Barato &amp; amp; Silencioso; compacto &amp; amp; # 13; &amp; amp; # 10; Boa qualidade de cor &amp; amp; # 13; &amp; amp; # 10</v>
      </c>
      <c r="B49002" s="3">
        <v>1</v>
      </c>
    </row>
    <row r="49003" ht="15.75" customHeight="1" spans="1:2">
      <c r="A49003" s="3" t="str">
        <f>IFERROR(__xludf.DUMMYFUNCTION("GOOGLETRANSLATE(A49003,""en"",""pt"")"),"pequeno, silencioso, ambas as portas disponíveis, monitor de tinta")</f>
        <v>pequeno, silencioso, ambas as portas disponíveis, monitor de tinta</v>
      </c>
      <c r="B49003" s="3">
        <v>1</v>
      </c>
    </row>
    <row r="49004" ht="15.75" customHeight="1" spans="1:2">
      <c r="A49004" s="3" t="str">
        <f>IFERROR(__xludf.DUMMYFUNCTION("GOOGLETRANSLATE(A49004,""en"",""pt"")"),"Qualidade de impressão, imprimir Manager, Opções de impressão")</f>
        <v>Qualidade de impressão, imprimir Manager, Opções de impressão</v>
      </c>
      <c r="B49004" s="3">
        <v>1</v>
      </c>
    </row>
    <row r="49005" ht="15.75" customHeight="1" spans="1:2">
      <c r="A49005" s="3" t="str">
        <f>IFERROR(__xludf.DUMMYFUNCTION("GOOGLETRANSLATE(A49005,""en"",""pt"")"),"Preço razoável. Impressora boa qualidade")</f>
        <v>Preço razoável. Impressora boa qualidade</v>
      </c>
      <c r="B49005" s="3">
        <v>1</v>
      </c>
    </row>
    <row r="49006" ht="15.75" customHeight="1" spans="1:2">
      <c r="A49006" s="3" t="str">
        <f>IFERROR(__xludf.DUMMYFUNCTION("GOOGLETRANSLATE(A49006,""en"",""pt"")"),"Excelente qualidade por um preço muito baixo. Muito fácil de configurar.")</f>
        <v>Excelente qualidade por um preço muito baixo. Muito fácil de configurar.</v>
      </c>
      <c r="B49006" s="3">
        <v>1</v>
      </c>
    </row>
    <row r="49007" ht="15.75" customHeight="1" spans="1:2">
      <c r="A49007" s="3" t="str">
        <f>IFERROR(__xludf.DUMMYFUNCTION("GOOGLETRANSLATE(A49007,""en"",""pt"")"),"Barato.")</f>
        <v>Barato.</v>
      </c>
      <c r="B49007" s="3">
        <v>1</v>
      </c>
    </row>
    <row r="49008" ht="15.75" customHeight="1" spans="1:2">
      <c r="A49008" s="3" t="str">
        <f>IFERROR(__xludf.DUMMYFUNCTION("GOOGLETRANSLATE(A49008,""en"",""pt"")"),"Barato")</f>
        <v>Barato</v>
      </c>
      <c r="B49008" s="3">
        <v>1</v>
      </c>
    </row>
    <row r="49009" ht="15.75" customHeight="1" spans="1:2">
      <c r="A49009" s="3" t="str">
        <f>IFERROR(__xludf.DUMMYFUNCTION("GOOGLETRANSLATE(A49009,""en"",""pt"")"),"Esta impressora é muito acessível e os cartuchos de tinta são fáceis de instalar.")</f>
        <v>Esta impressora é muito acessível e os cartuchos de tinta são fáceis de instalar.</v>
      </c>
      <c r="B49009" s="3">
        <v>1</v>
      </c>
    </row>
    <row r="49010" ht="15.75" customHeight="1" spans="1:2">
      <c r="A49010" s="3" t="str">
        <f>IFERROR(__xludf.DUMMYFUNCTION("GOOGLETRANSLATE(A49010,""en"",""pt"")"),"Grande qualidade para o dinheiro")</f>
        <v>Grande qualidade para o dinheiro</v>
      </c>
      <c r="B49010" s="3">
        <v>1</v>
      </c>
    </row>
    <row r="49011" ht="15.75" customHeight="1" spans="1:2">
      <c r="A49011" s="3" t="str">
        <f>IFERROR(__xludf.DUMMYFUNCTION("GOOGLETRANSLATE(A49011,""en"",""pt"")"),"Realmente barato, fácil de instalar, impressão rápida, grande foto é!")</f>
        <v>Realmente barato, fácil de instalar, impressão rápida, grande foto é!</v>
      </c>
      <c r="B49011" s="3">
        <v>1</v>
      </c>
    </row>
    <row r="49012" ht="15.75" customHeight="1" spans="1:2">
      <c r="A49012" s="3" t="str">
        <f>IFERROR(__xludf.DUMMYFUNCTION("GOOGLETRANSLATE(A49012,""en"",""pt"")"),"impressora de baixo preço com acessórios prontamente disponíveis")</f>
        <v>impressora de baixo preço com acessórios prontamente disponíveis</v>
      </c>
      <c r="B49012" s="3">
        <v>1</v>
      </c>
    </row>
    <row r="49013" ht="15.75" customHeight="1" spans="1:2">
      <c r="A49013" s="3" t="str">
        <f>IFERROR(__xludf.DUMMYFUNCTION("GOOGLETRANSLATE(A49013,""en"",""pt"")"),"Barato. Fácil de instalar. pequeno espaço necessário. Boa qualidade.")</f>
        <v>Barato. Fácil de instalar. pequeno espaço necessário. Boa qualidade.</v>
      </c>
      <c r="B49013" s="3">
        <v>1</v>
      </c>
    </row>
    <row r="49014" ht="15.75" customHeight="1" spans="1:2">
      <c r="A49014" s="3" t="str">
        <f>IFERROR(__xludf.DUMMYFUNCTION("GOOGLETRANSLATE(A49014,""en"",""pt"")"),"Photo Quality Prints")</f>
        <v>Photo Quality Prints</v>
      </c>
      <c r="B49014" s="3">
        <v>1</v>
      </c>
    </row>
    <row r="49015" ht="15.75" customHeight="1" spans="1:2">
      <c r="A49015" s="3" t="str">
        <f>IFERROR(__xludf.DUMMYFUNCTION("GOOGLETRANSLATE(A49015,""en"",""pt"")"),"Printer é barato, e muito confiável")</f>
        <v>Printer é barato, e muito confiável</v>
      </c>
      <c r="B49015" s="3">
        <v>1</v>
      </c>
    </row>
    <row r="49016" ht="15.75" customHeight="1" spans="1:2">
      <c r="A49016" s="3" t="str">
        <f>IFERROR(__xludf.DUMMYFUNCTION("GOOGLETRANSLATE(A49016,""en"",""pt"")"),"Barato, confiável bonita")</f>
        <v>Barato, confiável bonita</v>
      </c>
      <c r="B49016" s="3">
        <v>1</v>
      </c>
    </row>
    <row r="49017" ht="15.75" customHeight="1" spans="1:2">
      <c r="A49017" s="3" t="str">
        <f>IFERROR(__xludf.DUMMYFUNCTION("GOOGLETRANSLATE(A49017,""en"",""pt"")"),"Barato, boa qualidade de impressão")</f>
        <v>Barato, boa qualidade de impressão</v>
      </c>
      <c r="B49017" s="3">
        <v>1</v>
      </c>
    </row>
    <row r="49018" ht="15.75" customHeight="1" spans="1:2">
      <c r="A49018" s="3" t="str">
        <f>IFERROR(__xludf.DUMMYFUNCTION("GOOGLETRANSLATE(A49018,""en"",""pt"")"),"qualidade decente")</f>
        <v>qualidade decente</v>
      </c>
      <c r="B49018" s="3">
        <v>1</v>
      </c>
    </row>
    <row r="49019" ht="15.75" customHeight="1" spans="1:2">
      <c r="A49019" s="3" t="str">
        <f>IFERROR(__xludf.DUMMYFUNCTION("GOOGLETRANSLATE(A49019,""en"",""pt"")"),"Bom preço, bem construído, grande resolução!")</f>
        <v>Bom preço, bem construído, grande resolução!</v>
      </c>
      <c r="B49019" s="3">
        <v>1</v>
      </c>
    </row>
    <row r="49020" ht="15.75" customHeight="1" spans="1:2">
      <c r="A49020" s="3" t="str">
        <f>IFERROR(__xludf.DUMMYFUNCTION("GOOGLETRANSLATE(A49020,""en"",""pt"")"),"Fácil de configurar no Windows. Excelente qualidade de imagem para o preço.")</f>
        <v>Fácil de configurar no Windows. Excelente qualidade de imagem para o preço.</v>
      </c>
      <c r="B49020" s="3">
        <v>1</v>
      </c>
    </row>
    <row r="49021" ht="15.75" customHeight="1" spans="1:2">
      <c r="A49021" s="3" t="str">
        <f>IFERROR(__xludf.DUMMYFUNCTION("GOOGLETRANSLATE(A49021,""en"",""pt"")"),"má qualidade")</f>
        <v>má qualidade</v>
      </c>
      <c r="B49021" s="3">
        <v>1</v>
      </c>
    </row>
    <row r="49022" ht="15.75" customHeight="1" spans="1:2">
      <c r="A49022" s="3" t="str">
        <f>IFERROR(__xludf.DUMMYFUNCTION("GOOGLETRANSLATE(A49022,""en"",""pt"")"),"Às vezes é confiável")</f>
        <v>Às vezes é confiável</v>
      </c>
      <c r="B49022" s="3">
        <v>1</v>
      </c>
    </row>
    <row r="49023" ht="15.75" customHeight="1" spans="1:2">
      <c r="A49023" s="3" t="str">
        <f>IFERROR(__xludf.DUMMYFUNCTION("GOOGLETRANSLATE(A49023,""en"",""pt"")"),"Imbatível para o custo. Tem ligações paralelas e USB.")</f>
        <v>Imbatível para o custo. Tem ligações paralelas e USB.</v>
      </c>
      <c r="B49023" s="3">
        <v>1</v>
      </c>
    </row>
    <row r="49024" ht="15.75" customHeight="1" spans="1:2">
      <c r="A49024" s="3" t="str">
        <f>IFERROR(__xludf.DUMMYFUNCTION("GOOGLETRANSLATE(A49024,""en"",""pt"")"),"Fácil de instalar, Decent Qualidade de impressão, barato para comprar")</f>
        <v>Fácil de instalar, Decent Qualidade de impressão, barato para comprar</v>
      </c>
      <c r="B49024" s="3">
        <v>1</v>
      </c>
    </row>
    <row r="49025" ht="15.75" customHeight="1" spans="1:2">
      <c r="A49025" s="3" t="str">
        <f>IFERROR(__xludf.DUMMYFUNCTION("GOOGLETRANSLATE(A49025,""en"",""pt"")"),"Preço, tamanho, peso")</f>
        <v>Preço, tamanho, peso</v>
      </c>
      <c r="B49025" s="3">
        <v>1</v>
      </c>
    </row>
    <row r="49026" ht="15.75" customHeight="1" spans="1:2">
      <c r="A49026" s="3" t="str">
        <f>IFERROR(__xludf.DUMMYFUNCTION("GOOGLETRANSLATE(A49026,""en"",""pt"")"),"qualidade fotográfica impressionante. Boa velocidade para a impressão básica. Duas ranhuras cartucho.")</f>
        <v>qualidade fotográfica impressionante. Boa velocidade para a impressão básica. Duas ranhuras cartucho.</v>
      </c>
      <c r="B49026" s="3">
        <v>1</v>
      </c>
    </row>
    <row r="49027" ht="15.75" customHeight="1" spans="1:2">
      <c r="A49027" s="3" t="str">
        <f>IFERROR(__xludf.DUMMYFUNCTION("GOOGLETRANSLATE(A49027,""en"",""pt"")"),"perfeita da saída de qualidade fotográfica tão bom quanto um laboratório de fotografia. Muito baixo custo inicial.")</f>
        <v>perfeita da saída de qualidade fotográfica tão bom quanto um laboratório de fotografia. Muito baixo custo inicial.</v>
      </c>
      <c r="B49027" s="3">
        <v>1</v>
      </c>
    </row>
    <row r="49028" ht="15.75" customHeight="1" spans="1:2">
      <c r="A49028" s="3" t="str">
        <f>IFERROR(__xludf.DUMMYFUNCTION("GOOGLETRANSLATE(A49028,""en"",""pt"")"),"Foi livre após o desconto")</f>
        <v>Foi livre após o desconto</v>
      </c>
      <c r="B49028" s="3">
        <v>1</v>
      </c>
    </row>
    <row r="49029" ht="15.75" customHeight="1" spans="1:2">
      <c r="A49029" s="3" t="str">
        <f>IFERROR(__xludf.DUMMYFUNCTION("GOOGLETRANSLATE(A49029,""en"",""pt"")"),"Grande preço e boa qualidade de impressão")</f>
        <v>Grande preço e boa qualidade de impressão</v>
      </c>
      <c r="B49029" s="3">
        <v>1</v>
      </c>
    </row>
    <row r="49030" ht="15.75" customHeight="1" spans="1:2">
      <c r="A49030" s="3" t="str">
        <f>IFERROR(__xludf.DUMMYFUNCTION("GOOGLETRANSLATE(A49030,""en"",""pt"")"),"fácil de instalar, grande qualidade de impressão")</f>
        <v>fácil de instalar, grande qualidade de impressão</v>
      </c>
      <c r="B49030" s="3">
        <v>1</v>
      </c>
    </row>
    <row r="49031" ht="15.75" customHeight="1" spans="1:2">
      <c r="A49031" s="3" t="str">
        <f>IFERROR(__xludf.DUMMYFUNCTION("GOOGLETRANSLATE(A49031,""en"",""pt"")"),"Excelente, foto impressão realista com o cartucho fotográfico opcional &amp; amp;. # 13; &amp; amp; # 10; Price &amp; amp;. # 13; &amp; amp; # 10; valor global para o dinheiro.")</f>
        <v>Excelente, foto impressão realista com o cartucho fotográfico opcional &amp; amp;. # 13; &amp; amp; # 10; Price &amp; amp;. # 13; &amp; amp; # 10; valor global para o dinheiro.</v>
      </c>
      <c r="B49031" s="3">
        <v>1</v>
      </c>
    </row>
    <row r="49032" ht="15.75" customHeight="1" spans="1:2">
      <c r="A49032" s="3" t="str">
        <f>IFERROR(__xludf.DUMMYFUNCTION("GOOGLETRANSLATE(A49032,""en"",""pt"")"),"Boa qualidade, ótimo preço, Impressão rápida!")</f>
        <v>Boa qualidade, ótimo preço, Impressão rápida!</v>
      </c>
      <c r="B49032" s="3">
        <v>1</v>
      </c>
    </row>
    <row r="49033" ht="15.75" customHeight="1" spans="1:2">
      <c r="A49033" s="3" t="str">
        <f>IFERROR(__xludf.DUMMYFUNCTION("GOOGLETRANSLATE(A49033,""en"",""pt"")"),"Ideal para os nossos baixa intensidade necessidades de impressão em casa.")</f>
        <v>Ideal para os nossos baixa intensidade necessidades de impressão em casa.</v>
      </c>
      <c r="B49033" s="3">
        <v>1</v>
      </c>
    </row>
    <row r="49034" ht="15.75" customHeight="1" spans="1:2">
      <c r="A49034" s="3" t="str">
        <f>IFERROR(__xludf.DUMMYFUNCTION("GOOGLETRANSLATE(A49034,""en"",""pt"")"),"Com preços razoáveis ​​com boa qualidade de impressão na maioria das coisas.")</f>
        <v>Com preços razoáveis ​​com boa qualidade de impressão na maioria das coisas.</v>
      </c>
      <c r="B49034" s="3">
        <v>1</v>
      </c>
    </row>
    <row r="49035" ht="15.75" customHeight="1" spans="1:2">
      <c r="A49035" s="3" t="str">
        <f>IFERROR(__xludf.DUMMYFUNCTION("GOOGLETRANSLATE(A49035,""en"",""pt"")"),"preço barato e de boa qualidade.")</f>
        <v>preço barato e de boa qualidade.</v>
      </c>
      <c r="B49035" s="3">
        <v>1</v>
      </c>
    </row>
    <row r="49036" ht="15.75" customHeight="1" spans="1:2">
      <c r="A49036" s="3" t="str">
        <f>IFERROR(__xludf.DUMMYFUNCTION("GOOGLETRANSLATE(A49036,""en"",""pt"")"),"Extremamente fácil de usar e um preço muito bom")</f>
        <v>Extremamente fácil de usar e um preço muito bom</v>
      </c>
      <c r="B49036" s="3">
        <v>1</v>
      </c>
    </row>
    <row r="49037" ht="15.75" customHeight="1" spans="1:2">
      <c r="A49037" s="3" t="str">
        <f>IFERROR(__xludf.DUMMYFUNCTION("GOOGLETRANSLATE(A49037,""en"",""pt"")"),"De alta qualidade a um preço muito acessível. Fácil de configurar")</f>
        <v>De alta qualidade a um preço muito acessível. Fácil de configurar</v>
      </c>
      <c r="B49037" s="3">
        <v>1</v>
      </c>
    </row>
    <row r="49038" ht="15.75" customHeight="1" spans="1:2">
      <c r="A49038" s="3" t="str">
        <f>IFERROR(__xludf.DUMMYFUNCTION("GOOGLETRANSLATE(A49038,""en"",""pt"")"),"fácil de impressão de qualidade use.picture")</f>
        <v>fácil de impressão de qualidade use.picture</v>
      </c>
      <c r="B49038" s="3">
        <v>1</v>
      </c>
    </row>
    <row r="49039" ht="15.75" customHeight="1" spans="1:2">
      <c r="A49039" s="3" t="str">
        <f>IFERROR(__xludf.DUMMYFUNCTION("GOOGLETRANSLATE(A49039,""en"",""pt"")"),"Preço")</f>
        <v>Preço</v>
      </c>
      <c r="B49039" s="3">
        <v>1</v>
      </c>
    </row>
    <row r="49040" ht="15.75" customHeight="1" spans="1:2">
      <c r="A49040" s="3" t="str">
        <f>IFERROR(__xludf.DUMMYFUNCTION("GOOGLETRANSLATE(A49040,""en"",""pt"")"),"A grande máquina de ter e faz um ótimo trabalho por um preço baixo.")</f>
        <v>A grande máquina de ter e faz um ótimo trabalho por um preço baixo.</v>
      </c>
      <c r="B49040" s="3">
        <v>1</v>
      </c>
    </row>
    <row r="49041" ht="15.75" customHeight="1" spans="1:2">
      <c r="A49041" s="3" t="str">
        <f>IFERROR(__xludf.DUMMYFUNCTION("GOOGLETRANSLATE(A49041,""en"",""pt"")"),"preço, características")</f>
        <v>preço, características</v>
      </c>
      <c r="B49041" s="3">
        <v>1</v>
      </c>
    </row>
    <row r="49042" ht="15.75" customHeight="1" spans="1:2">
      <c r="A49042" s="3" t="str">
        <f>IFERROR(__xludf.DUMMYFUNCTION("GOOGLETRANSLATE(A49042,""en"",""pt"")"),"barato barato barato ... e impressões de boa qualidade!")</f>
        <v>barato barato barato ... e impressões de boa qualidade!</v>
      </c>
      <c r="B49042" s="3">
        <v>1</v>
      </c>
    </row>
    <row r="49043" ht="15.75" customHeight="1" spans="1:2">
      <c r="A49043" s="3" t="str">
        <f>IFERROR(__xludf.DUMMYFUNCTION("GOOGLETRANSLATE(A49043,""en"",""pt"")"),"Barato (no preço) qualidade decente")</f>
        <v>Barato (no preço) qualidade decente</v>
      </c>
      <c r="B49043" s="3">
        <v>1</v>
      </c>
    </row>
    <row r="49044" ht="15.75" customHeight="1" spans="1:2">
      <c r="A49044" s="3" t="str">
        <f>IFERROR(__xludf.DUMMYFUNCTION("GOOGLETRANSLATE(A49044,""en"",""pt"")"),"jato de tinta colorida, 1200x1200 dpi, única 40,00!")</f>
        <v>jato de tinta colorida, 1200x1200 dpi, única 40,00!</v>
      </c>
      <c r="B49044" s="3">
        <v>1</v>
      </c>
    </row>
    <row r="49045" ht="15.75" customHeight="1" spans="1:2">
      <c r="A49045" s="3" t="str">
        <f>IFERROR(__xludf.DUMMYFUNCTION("GOOGLETRANSLATE(A49045,""en"",""pt"")"),"A grande qualidade, barato, fácil de instalar, monitorar legal impressora trabalha com paralelo e USB")</f>
        <v>A grande qualidade, barato, fácil de instalar, monitorar legal impressora trabalha com paralelo e USB</v>
      </c>
      <c r="B49045" s="3">
        <v>1</v>
      </c>
    </row>
    <row r="49046" ht="15.75" customHeight="1" spans="1:2">
      <c r="A49046" s="3" t="str">
        <f>IFERROR(__xludf.DUMMYFUNCTION("GOOGLETRANSLATE(A49046,""en"",""pt"")"),"Alta resolução, barato.")</f>
        <v>Alta resolução, barato.</v>
      </c>
      <c r="B49046" s="3">
        <v>1</v>
      </c>
    </row>
    <row r="49047" ht="15.75" customHeight="1" spans="1:2">
      <c r="A49047" s="3" t="str">
        <f>IFERROR(__xludf.DUMMYFUNCTION("GOOGLETRANSLATE(A49047,""en"",""pt"")"),"PREÇO !, qualidade de impressão, detém dois cartuchos de tinta")</f>
        <v>PREÇO !, qualidade de impressão, detém dois cartuchos de tinta</v>
      </c>
      <c r="B49047" s="3">
        <v>1</v>
      </c>
    </row>
    <row r="49048" ht="15.75" customHeight="1" spans="1:2">
      <c r="A49048" s="3" t="str">
        <f>IFERROR(__xludf.DUMMYFUNCTION("GOOGLETRANSLATE(A49048,""en"",""pt"")"),"Barato (em primeiro lugar)")</f>
        <v>Barato (em primeiro lugar)</v>
      </c>
      <c r="B49048" s="3">
        <v>1</v>
      </c>
    </row>
    <row r="49049" ht="15.75" customHeight="1" spans="1:2">
      <c r="A49049" s="3" t="str">
        <f>IFERROR(__xludf.DUMMYFUNCTION("GOOGLETRANSLATE(A49049,""en"",""pt"")"),"bela foto")</f>
        <v>bela foto</v>
      </c>
      <c r="B49049" s="3">
        <v>1</v>
      </c>
    </row>
    <row r="49050" ht="15.75" customHeight="1" spans="1:2">
      <c r="A49050" s="3" t="str">
        <f>IFERROR(__xludf.DUMMYFUNCTION("GOOGLETRANSLATE(A49050,""en"",""pt"")"),"cores agradáveis, fácil de usar software")</f>
        <v>cores agradáveis, fácil de usar software</v>
      </c>
      <c r="B49050" s="3">
        <v>1</v>
      </c>
    </row>
    <row r="49051" ht="15.75" customHeight="1" spans="1:2">
      <c r="A49051" s="3" t="str">
        <f>IFERROR(__xludf.DUMMYFUNCTION("GOOGLETRANSLATE(A49051,""en"",""pt"")"),"Grande preço e boa qualidade de impressão")</f>
        <v>Grande preço e boa qualidade de impressão</v>
      </c>
      <c r="B49051" s="3">
        <v>1</v>
      </c>
    </row>
    <row r="49052" ht="15.75" customHeight="1" spans="1:2">
      <c r="A49052" s="3" t="str">
        <f>IFERROR(__xludf.DUMMYFUNCTION("GOOGLETRANSLATE(A49052,""en"",""pt"")"),"Mais rápido do que meu último Lexmark com boa qualidade!")</f>
        <v>Mais rápido do que meu último Lexmark com boa qualidade!</v>
      </c>
      <c r="B49052" s="3">
        <v>1</v>
      </c>
    </row>
    <row r="49053" ht="15.75" customHeight="1" spans="1:2">
      <c r="A49053" s="3" t="str">
        <f>IFERROR(__xludf.DUMMYFUNCTION("GOOGLETRANSLATE(A49053,""en"",""pt"")"),"tamanho de impressora")</f>
        <v>tamanho de impressora</v>
      </c>
      <c r="B49053" s="3">
        <v>1</v>
      </c>
    </row>
    <row r="49054" ht="15.75" customHeight="1" spans="1:2">
      <c r="A49054" s="3" t="str">
        <f>IFERROR(__xludf.DUMMYFUNCTION("GOOGLETRANSLATE(A49054,""en"",""pt"")"),"Baixo ou nenhum custo !! (Após Rebate)")</f>
        <v>Baixo ou nenhum custo !! (Após Rebate)</v>
      </c>
      <c r="B49054" s="3">
        <v>1</v>
      </c>
    </row>
    <row r="49055" ht="15.75" customHeight="1" spans="1:2">
      <c r="A49055" s="3" t="str">
        <f>IFERROR(__xludf.DUMMYFUNCTION("GOOGLETRANSLATE(A49055,""en"",""pt"")"),"Tem boa qualidade de impressão e velocidade")</f>
        <v>Tem boa qualidade de impressão e velocidade</v>
      </c>
      <c r="B49055" s="3">
        <v>1</v>
      </c>
    </row>
    <row r="49056" ht="15.75" customHeight="1" spans="1:2">
      <c r="A49056" s="3" t="str">
        <f>IFERROR(__xludf.DUMMYFUNCTION("GOOGLETRANSLATE(A49056,""en"",""pt"")"),"Foi livre. preço de rua ainda é barato")</f>
        <v>Foi livre. preço de rua ainda é barato</v>
      </c>
      <c r="B49056" s="3">
        <v>1</v>
      </c>
    </row>
    <row r="49057" ht="15.75" customHeight="1" spans="1:2">
      <c r="A49057" s="3" t="str">
        <f>IFERROR(__xludf.DUMMYFUNCTION("GOOGLETRANSLATE(A49057,""en"",""pt"")"),"Barato, bônus, muitas vezes rebate, excelente resolução de impressão")</f>
        <v>Barato, bônus, muitas vezes rebate, excelente resolução de impressão</v>
      </c>
      <c r="B49057" s="3">
        <v>1</v>
      </c>
    </row>
    <row r="49058" ht="15.75" customHeight="1" spans="1:2">
      <c r="A49058" s="3" t="str">
        <f>IFERROR(__xludf.DUMMYFUNCTION("GOOGLETRANSLATE(A49058,""en"",""pt"")"),"Não há congestionamentos de papel")</f>
        <v>Não há congestionamentos de papel</v>
      </c>
      <c r="B49058" s="3">
        <v>1</v>
      </c>
    </row>
    <row r="49059" ht="15.75" customHeight="1" spans="1:2">
      <c r="A49059" s="3" t="str">
        <f>IFERROR(__xludf.DUMMYFUNCTION("GOOGLETRANSLATE(A49059,""en"",""pt"")"),"custo inicial barato; fácil configuração; bom motorista; funciona bem; estrondo para o fator fanfarrão.")</f>
        <v>custo inicial barato; fácil configuração; bom motorista; funciona bem; estrondo para o fator fanfarrão.</v>
      </c>
      <c r="B49059" s="3">
        <v>1</v>
      </c>
    </row>
    <row r="49060" ht="15.75" customHeight="1" spans="1:2">
      <c r="A49060" s="3" t="str">
        <f>IFERROR(__xludf.DUMMYFUNCTION("GOOGLETRANSLATE(A49060,""en"",""pt"")"),"Boa Quality Prints")</f>
        <v>Boa Quality Prints</v>
      </c>
      <c r="B49060" s="3">
        <v>1</v>
      </c>
    </row>
    <row r="49061" ht="15.75" customHeight="1" spans="1:2">
      <c r="A49061" s="3" t="str">
        <f>IFERROR(__xludf.DUMMYFUNCTION("GOOGLETRANSLATE(A49061,""en"",""pt"")"),"Barato; não jam")</f>
        <v>Barato; não jam</v>
      </c>
      <c r="B49061" s="3">
        <v>1</v>
      </c>
    </row>
    <row r="49062" ht="15.75" customHeight="1" spans="1:2">
      <c r="A49062" s="3" t="str">
        <f>IFERROR(__xludf.DUMMYFUNCTION("GOOGLETRANSLATE(A49062,""en"",""pt"")"),"-")</f>
        <v>-</v>
      </c>
      <c r="B49062" s="3">
        <v>1</v>
      </c>
    </row>
    <row r="49063" ht="15.75" customHeight="1" spans="1:2">
      <c r="A49063" s="3" t="str">
        <f>IFERROR(__xludf.DUMMYFUNCTION("GOOGLETRANSLATE(A49063,""en"",""pt"")"),"Simples, fácil de usar, é impressa com boa cor e barato ou no meu caso livre.")</f>
        <v>Simples, fácil de usar, é impressa com boa cor e barato ou no meu caso livre.</v>
      </c>
      <c r="B49063" s="3">
        <v>1</v>
      </c>
    </row>
    <row r="49064" ht="15.75" customHeight="1" spans="1:2">
      <c r="A49064" s="3" t="str">
        <f>IFERROR(__xludf.DUMMYFUNCTION("GOOGLETRANSLATE(A49064,""en"",""pt"")"),"Limpar e texto nítido &amp; amp; fotos para o dinheiro")</f>
        <v>Limpar e texto nítido &amp; amp; fotos para o dinheiro</v>
      </c>
      <c r="B49064" s="3">
        <v>1</v>
      </c>
    </row>
    <row r="49065" ht="15.75" customHeight="1" spans="1:2">
      <c r="A49065" s="3" t="str">
        <f>IFERROR(__xludf.DUMMYFUNCTION("GOOGLETRANSLATE(A49065,""en"",""pt"")"),"Hahaha! Rápido! Colorida!")</f>
        <v>Hahaha! Rápido! Colorida!</v>
      </c>
      <c r="B49065" s="3">
        <v>1</v>
      </c>
    </row>
    <row r="49066" ht="15.75" customHeight="1" spans="1:2">
      <c r="A49066" s="3" t="str">
        <f>IFERROR(__xludf.DUMMYFUNCTION("GOOGLETRANSLATE(A49066,""en"",""pt"")"),"Preço é justo.")</f>
        <v>Preço é justo.</v>
      </c>
      <c r="B49066" s="3">
        <v>1</v>
      </c>
    </row>
    <row r="49067" ht="15.75" customHeight="1" spans="1:2">
      <c r="A49067" s="3" t="str">
        <f>IFERROR(__xludf.DUMMYFUNCTION("GOOGLETRANSLATE(A49067,""en"",""pt"")"),"Barato, confiável")</f>
        <v>Barato, confiável</v>
      </c>
      <c r="B49067" s="3">
        <v>1</v>
      </c>
    </row>
    <row r="49068" ht="15.75" customHeight="1" spans="1:2">
      <c r="A49068" s="3" t="str">
        <f>IFERROR(__xludf.DUMMYFUNCTION("GOOGLETRANSLATE(A49068,""en"",""pt"")"),"leve, impressões rápido, fácil configurar.")</f>
        <v>leve, impressões rápido, fácil configurar.</v>
      </c>
      <c r="B49068" s="3">
        <v>1</v>
      </c>
    </row>
    <row r="49069" ht="15.75" customHeight="1" spans="1:2">
      <c r="A49069" s="3" t="str">
        <f>IFERROR(__xludf.DUMMYFUNCTION("GOOGLETRANSLATE(A49069,""en"",""pt"")"),"muito barato para comprar, fácil de configurar")</f>
        <v>muito barato para comprar, fácil de configurar</v>
      </c>
      <c r="B49069" s="3">
        <v>1</v>
      </c>
    </row>
    <row r="49070" ht="15.75" customHeight="1" spans="1:2">
      <c r="A49070" s="3" t="str">
        <f>IFERROR(__xludf.DUMMYFUNCTION("GOOGLETRANSLATE(A49070,""en"",""pt"")"),"fidelidade de cores (usando drivers Lexmark)")</f>
        <v>fidelidade de cores (usando drivers Lexmark)</v>
      </c>
      <c r="B49070" s="3">
        <v>1</v>
      </c>
    </row>
    <row r="49071" ht="15.75" customHeight="1" spans="1:2">
      <c r="A49071" s="3" t="str">
        <f>IFERROR(__xludf.DUMMYFUNCTION("GOOGLETRANSLATE(A49071,""en"",""pt"")"),"impressão rápida, preço")</f>
        <v>impressão rápida, preço</v>
      </c>
      <c r="B49071" s="3">
        <v>1</v>
      </c>
    </row>
    <row r="49072" ht="15.75" customHeight="1" spans="1:2">
      <c r="A49072" s="3" t="str">
        <f>IFERROR(__xludf.DUMMYFUNCTION("GOOGLETRANSLATE(A49072,""en"",""pt"")"),"Preço, impressão de texto super rápido (não que é tão grande)")</f>
        <v>Preço, impressão de texto super rápido (não que é tão grande)</v>
      </c>
      <c r="B49072" s="3">
        <v>1</v>
      </c>
    </row>
    <row r="49073" ht="15.75" customHeight="1" spans="1:2">
      <c r="A49073" s="3" t="str">
        <f>IFERROR(__xludf.DUMMYFUNCTION("GOOGLETRANSLATE(A49073,""en"",""pt"")"),"Preço, leve &amp; amp; compacta, reprodução de cor precisa, fácil de configurar, imprime estampagens")</f>
        <v>Preço, leve &amp; amp; compacta, reprodução de cor precisa, fácil de configurar, imprime estampagens</v>
      </c>
      <c r="B49073" s="3">
        <v>1</v>
      </c>
    </row>
    <row r="49074" ht="15.75" customHeight="1" spans="1:2">
      <c r="A49074" s="3" t="str">
        <f>IFERROR(__xludf.DUMMYFUNCTION("GOOGLETRANSLATE(A49074,""en"",""pt"")"),"Barato.")</f>
        <v>Barato.</v>
      </c>
      <c r="B49074" s="3">
        <v>1</v>
      </c>
    </row>
    <row r="49075" ht="15.75" customHeight="1" spans="1:2">
      <c r="A49075" s="3" t="str">
        <f>IFERROR(__xludf.DUMMYFUNCTION("GOOGLETRANSLATE(A49075,""en"",""pt"")"),"Apenas a impressora fotográfica para me dado o preço")</f>
        <v>Apenas a impressora fotográfica para me dado o preço</v>
      </c>
      <c r="B49075" s="3">
        <v>1</v>
      </c>
    </row>
    <row r="49076" ht="15.75" customHeight="1" spans="1:2">
      <c r="A49076" s="3" t="str">
        <f>IFERROR(__xludf.DUMMYFUNCTION("GOOGLETRANSLATE(A49076,""en"",""pt"")"),"impressão rápida com boa qualidade e fácil de usar")</f>
        <v>impressão rápida com boa qualidade e fácil de usar</v>
      </c>
      <c r="B49076" s="3">
        <v>1</v>
      </c>
    </row>
    <row r="49077" ht="15.75" customHeight="1" spans="1:2">
      <c r="A49077" s="3" t="str">
        <f>IFERROR(__xludf.DUMMYFUNCTION("GOOGLETRANSLATE(A49077,""en"",""pt"")"),"Fácil de usar, pequena máquina eficiente que faz o trabalho bem.")</f>
        <v>Fácil de usar, pequena máquina eficiente que faz o trabalho bem.</v>
      </c>
      <c r="B49077" s="3">
        <v>1</v>
      </c>
    </row>
    <row r="49078" ht="15.75" customHeight="1" spans="1:2">
      <c r="A49078" s="3" t="str">
        <f>IFERROR(__xludf.DUMMYFUNCTION("GOOGLETRANSLATE(A49078,""en"",""pt"")"),"impressão rápida, e de grande qualidade.")</f>
        <v>impressão rápida, e de grande qualidade.</v>
      </c>
      <c r="B49078" s="3">
        <v>1</v>
      </c>
    </row>
    <row r="49079" ht="15.75" customHeight="1" spans="1:2">
      <c r="A49079" s="3" t="str">
        <f>IFERROR(__xludf.DUMMYFUNCTION("GOOGLETRANSLATE(A49079,""en"",""pt"")"),"Rápido B / W, Cheap")</f>
        <v>Rápido B / W, Cheap</v>
      </c>
      <c r="B49079" s="3">
        <v>1</v>
      </c>
    </row>
    <row r="49080" ht="15.75" customHeight="1" spans="1:2">
      <c r="A49080" s="3" t="str">
        <f>IFERROR(__xludf.DUMMYFUNCTION("GOOGLETRANSLATE(A49080,""en"",""pt"")"),"Cheap., Qualidade de impressão ok-quando se trabalha.,")</f>
        <v>Cheap., Qualidade de impressão ok-quando se trabalha.,</v>
      </c>
      <c r="B49080" s="3">
        <v>1</v>
      </c>
    </row>
    <row r="49081" ht="15.75" customHeight="1" spans="1:2">
      <c r="A49081" s="3" t="str">
        <f>IFERROR(__xludf.DUMMYFUNCTION("GOOGLETRANSLATE(A49081,""en"",""pt"")"),"Fácil instalação, cartuchos de tinta barata, imprime fotos grandes, e muito barato.")</f>
        <v>Fácil instalação, cartuchos de tinta barata, imprime fotos grandes, e muito barato.</v>
      </c>
      <c r="B49081" s="3">
        <v>1</v>
      </c>
    </row>
    <row r="49082" ht="15.75" customHeight="1" spans="1:2">
      <c r="A49082" s="3" t="str">
        <f>IFERROR(__xludf.DUMMYFUNCTION("GOOGLETRANSLATE(A49082,""en"",""pt"")"),"Rápido; qualidade de impressão inicial foi excelente.")</f>
        <v>Rápido; qualidade de impressão inicial foi excelente.</v>
      </c>
      <c r="B49082" s="3">
        <v>1</v>
      </c>
    </row>
    <row r="49083" ht="15.75" customHeight="1" spans="1:2">
      <c r="A49083" s="3" t="str">
        <f>IFERROR(__xludf.DUMMYFUNCTION("GOOGLETRANSLATE(A49083,""en"",""pt"")"),"Barato")</f>
        <v>Barato</v>
      </c>
      <c r="B49083" s="3">
        <v>1</v>
      </c>
    </row>
    <row r="49084" ht="15.75" customHeight="1" spans="1:2">
      <c r="A49084" s="3" t="str">
        <f>IFERROR(__xludf.DUMMYFUNCTION("GOOGLETRANSLATE(A49084,""en"",""pt"")"),"Ótimo para o preço de um bom negócio.")</f>
        <v>Ótimo para o preço de um bom negócio.</v>
      </c>
      <c r="B49084" s="3">
        <v>1</v>
      </c>
    </row>
    <row r="49085" ht="15.75" customHeight="1" spans="1:2">
      <c r="A49085" s="3" t="str">
        <f>IFERROR(__xludf.DUMMYFUNCTION("GOOGLETRANSLATE(A49085,""en"",""pt"")"),"barato, fácil de usar em primeiro")</f>
        <v>barato, fácil de usar em primeiro</v>
      </c>
      <c r="B49085" s="3">
        <v>1</v>
      </c>
    </row>
    <row r="49086" ht="15.75" customHeight="1" spans="1:2">
      <c r="A49086" s="3" t="str">
        <f>IFERROR(__xludf.DUMMYFUNCTION("GOOGLETRANSLATE(A49086,""en"",""pt"")"),"Barato, durável, rápido o suficiente para uso doméstico")</f>
        <v>Barato, durável, rápido o suficiente para uso doméstico</v>
      </c>
      <c r="B49086" s="3">
        <v>1</v>
      </c>
    </row>
    <row r="49087" ht="15.75" customHeight="1" spans="1:2">
      <c r="A49087" s="3" t="str">
        <f>IFERROR(__xludf.DUMMYFUNCTION("GOOGLETRANSLATE(A49087,""en"",""pt"")"),"Fácil, barato (em primeiro lugar), fiável")</f>
        <v>Fácil, barato (em primeiro lugar), fiável</v>
      </c>
      <c r="B49087" s="3">
        <v>1</v>
      </c>
    </row>
    <row r="49088" ht="15.75" customHeight="1" spans="1:2">
      <c r="A49088" s="3" t="str">
        <f>IFERROR(__xludf.DUMMYFUNCTION("GOOGLETRANSLATE(A49088,""en"",""pt"")"),"rápida, preço, amigável, dobra-se bem")</f>
        <v>rápida, preço, amigável, dobra-se bem</v>
      </c>
      <c r="B49088" s="3">
        <v>1</v>
      </c>
    </row>
    <row r="49089" ht="15.75" customHeight="1" spans="1:2">
      <c r="A49089" s="3" t="str">
        <f>IFERROR(__xludf.DUMMYFUNCTION("GOOGLETRANSLATE(A49089,""en"",""pt"")"),"A grande qualidade, extremamente rápido. Parece bom.")</f>
        <v>A grande qualidade, extremamente rápido. Parece bom.</v>
      </c>
      <c r="B49089" s="3">
        <v>1</v>
      </c>
    </row>
    <row r="49090" ht="15.75" customHeight="1" spans="1:2">
      <c r="A49090" s="3" t="str">
        <f>IFERROR(__xludf.DUMMYFUNCTION("GOOGLETRANSLATE(A49090,""en"",""pt"")"),"Vêm com cartuchos de tinta cheio, ótimo preço, excelente qualidade de impressão")</f>
        <v>Vêm com cartuchos de tinta cheio, ótimo preço, excelente qualidade de impressão</v>
      </c>
      <c r="B49090" s="3">
        <v>1</v>
      </c>
    </row>
    <row r="49091" ht="15.75" customHeight="1" spans="1:2">
      <c r="A49091" s="3" t="str">
        <f>IFERROR(__xludf.DUMMYFUNCTION("GOOGLETRANSLATE(A49091,""en"",""pt"")"),"compacto e leve")</f>
        <v>compacto e leve</v>
      </c>
      <c r="B49091" s="3">
        <v>1</v>
      </c>
    </row>
    <row r="49092" ht="15.75" customHeight="1" spans="1:2">
      <c r="A49092" s="3" t="str">
        <f>IFERROR(__xludf.DUMMYFUNCTION("GOOGLETRANSLATE(A49092,""en"",""pt"")"),"Rápido, bonito qualidade de impressão. Pode usar paralela ou USB.")</f>
        <v>Rápido, bonito qualidade de impressão. Pode usar paralela ou USB.</v>
      </c>
      <c r="B49092" s="3">
        <v>1</v>
      </c>
    </row>
    <row r="49093" ht="15.75" customHeight="1" spans="1:2">
      <c r="A49093" s="3" t="str">
        <f>IFERROR(__xludf.DUMMYFUNCTION("GOOGLETRANSLATE(A49093,""en"",""pt"")"),"Grande qualidade de impressão")</f>
        <v>Grande qualidade de impressão</v>
      </c>
      <c r="B49093" s="3">
        <v>1</v>
      </c>
    </row>
    <row r="49094" ht="15.75" customHeight="1" spans="1:2">
      <c r="A49094" s="3" t="str">
        <f>IFERROR(__xludf.DUMMYFUNCTION("GOOGLETRANSLATE(A49094,""en"",""pt"")"),"A cor é muito bom e bastante precisa. Não tocar muito frequentemente")</f>
        <v>A cor é muito bom e bastante precisa. Não tocar muito frequentemente</v>
      </c>
      <c r="B49094" s="3">
        <v>1</v>
      </c>
    </row>
    <row r="49095" ht="15.75" customHeight="1" spans="1:2">
      <c r="A49095" s="3" t="str">
        <f>IFERROR(__xludf.DUMMYFUNCTION("GOOGLETRANSLATE(A49095,""en"",""pt"")"),"muito amigável com muitos recursos úteis; excelente resolução para o dinheiro.")</f>
        <v>muito amigável com muitos recursos úteis; excelente resolução para o dinheiro.</v>
      </c>
      <c r="B49095" s="3">
        <v>1</v>
      </c>
    </row>
    <row r="49096" ht="15.75" customHeight="1" spans="1:2">
      <c r="A49096" s="3" t="str">
        <f>IFERROR(__xludf.DUMMYFUNCTION("GOOGLETRANSLATE(A49096,""en"",""pt"")"),"Muito boa qualidade de imagem")</f>
        <v>Muito boa qualidade de imagem</v>
      </c>
      <c r="B49096" s="3">
        <v>1</v>
      </c>
    </row>
    <row r="49097" ht="15.75" customHeight="1" spans="1:2">
      <c r="A49097" s="3" t="str">
        <f>IFERROR(__xludf.DUMMYFUNCTION("GOOGLETRANSLATE(A49097,""en"",""pt"")"),"Grande investimento para o dinheiro")</f>
        <v>Grande investimento para o dinheiro</v>
      </c>
      <c r="B49097" s="3">
        <v>1</v>
      </c>
    </row>
    <row r="49098" ht="15.75" customHeight="1" spans="1:2">
      <c r="A49098" s="3" t="str">
        <f>IFERROR(__xludf.DUMMYFUNCTION("GOOGLETRANSLATE(A49098,""en"",""pt"")"),"impressão muito produtivo. QUIETO!")</f>
        <v>impressão muito produtivo. QUIETO!</v>
      </c>
      <c r="B49098" s="3">
        <v>1</v>
      </c>
    </row>
    <row r="49099" ht="15.75" customHeight="1" spans="1:2">
      <c r="A49099" s="3" t="str">
        <f>IFERROR(__xludf.DUMMYFUNCTION("GOOGLETRANSLATE(A49099,""en"",""pt"")"),"PREÇO; LEVE; Simples de operar; BONITO SILENT ...")</f>
        <v>PREÇO; LEVE; Simples de operar; BONITO SILENT ...</v>
      </c>
      <c r="B49099" s="3">
        <v>1</v>
      </c>
    </row>
    <row r="49100" ht="15.75" customHeight="1" spans="1:2">
      <c r="A49100" s="3" t="str">
        <f>IFERROR(__xludf.DUMMYFUNCTION("GOOGLETRANSLATE(A49100,""en"",""pt"")"),"Barato.")</f>
        <v>Barato.</v>
      </c>
      <c r="B49100" s="3">
        <v>1</v>
      </c>
    </row>
    <row r="49101" ht="15.75" customHeight="1" spans="1:2">
      <c r="A49101" s="3" t="str">
        <f>IFERROR(__xludf.DUMMYFUNCTION("GOOGLETRANSLATE(A49101,""en"",""pt"")"),"Barato")</f>
        <v>Barato</v>
      </c>
      <c r="B49101" s="3">
        <v>1</v>
      </c>
    </row>
    <row r="49102" ht="15.75" customHeight="1" spans="1:2">
      <c r="A49102" s="3" t="str">
        <f>IFERROR(__xludf.DUMMYFUNCTION("GOOGLETRANSLATE(A49102,""en"",""pt"")"),"Muito fácil de instalar, com uma grande guia de instalação. Impressora grande para o preço.")</f>
        <v>Muito fácil de instalar, com uma grande guia de instalação. Impressora grande para o preço.</v>
      </c>
      <c r="B49102" s="3">
        <v>1</v>
      </c>
    </row>
    <row r="49103" ht="15.75" customHeight="1" spans="1:2">
      <c r="A49103" s="3" t="str">
        <f>IFERROR(__xludf.DUMMYFUNCTION("GOOGLETRANSLATE(A49103,""en"",""pt"")"),"relativamente rápido, relativamente calma, fácil de toner mudança, preto separado e cartuchos coloridos")</f>
        <v>relativamente rápido, relativamente calma, fácil de toner mudança, preto separado e cartuchos coloridos</v>
      </c>
      <c r="B49103" s="3">
        <v>1</v>
      </c>
    </row>
    <row r="49104" ht="15.75" customHeight="1" spans="1:2">
      <c r="A49104" s="3" t="str">
        <f>IFERROR(__xludf.DUMMYFUNCTION("GOOGLETRANSLATE(A49104,""en"",""pt"")"),"Preço, recarregáveis?")</f>
        <v>Preço, recarregáveis?</v>
      </c>
      <c r="B49104" s="3">
        <v>1</v>
      </c>
    </row>
    <row r="49105" ht="15.75" customHeight="1" spans="1:2">
      <c r="A49105" s="3" t="str">
        <f>IFERROR(__xludf.DUMMYFUNCTION("GOOGLETRANSLATE(A49105,""en"",""pt"")"),"O preço é definitivamente certo!")</f>
        <v>O preço é definitivamente certo!</v>
      </c>
      <c r="B49105" s="3">
        <v>1</v>
      </c>
    </row>
    <row r="49106" ht="15.75" customHeight="1" spans="1:2">
      <c r="A49106" s="3" t="str">
        <f>IFERROR(__xludf.DUMMYFUNCTION("GOOGLETRANSLATE(A49106,""en"",""pt"")"),"Livre (com descontos), rápido *, cartuchos separados, pode trabalhar com cor única")</f>
        <v>Livre (com descontos), rápido *, cartuchos separados, pode trabalhar com cor única</v>
      </c>
      <c r="B49106" s="3">
        <v>1</v>
      </c>
    </row>
    <row r="49107" ht="15.75" customHeight="1" spans="1:2">
      <c r="A49107" s="3" t="str">
        <f>IFERROR(__xludf.DUMMYFUNCTION("GOOGLETRANSLATE(A49107,""en"",""pt"")"),"Fácil de usar, fácil de configurar")</f>
        <v>Fácil de usar, fácil de configurar</v>
      </c>
      <c r="B49107" s="3">
        <v>1</v>
      </c>
    </row>
    <row r="49108" ht="15.75" customHeight="1" spans="1:2">
      <c r="A49108" s="3" t="str">
        <f>IFERROR(__xludf.DUMMYFUNCTION("GOOGLETRANSLATE(A49108,""en"",""pt"")"),"saída muito boa qualidade para o preço")</f>
        <v>saída muito boa qualidade para o preço</v>
      </c>
      <c r="B49108" s="3">
        <v>1</v>
      </c>
    </row>
    <row r="49109" ht="15.75" customHeight="1" spans="1:2">
      <c r="A49109" s="3" t="str">
        <f>IFERROR(__xludf.DUMMYFUNCTION("GOOGLETRANSLATE(A49109,""en"",""pt"")"),"barato, cores de alta qualidade e b &amp; amp; w print-out; agradáveis ​​características pouco")</f>
        <v>barato, cores de alta qualidade e b &amp; amp; w print-out; agradáveis ​​características pouco</v>
      </c>
      <c r="B49109" s="3">
        <v>1</v>
      </c>
    </row>
    <row r="49110" ht="15.75" customHeight="1" spans="1:2">
      <c r="A49110" s="3" t="str">
        <f>IFERROR(__xludf.DUMMYFUNCTION("GOOGLETRANSLATE(A49110,""en"",""pt"")"),"Resolução e velocidade.")</f>
        <v>Resolução e velocidade.</v>
      </c>
      <c r="B49110" s="3">
        <v>1</v>
      </c>
    </row>
    <row r="49111" ht="15.75" customHeight="1" spans="1:2">
      <c r="A49111" s="3" t="str">
        <f>IFERROR(__xludf.DUMMYFUNCTION("GOOGLETRANSLATE(A49111,""en"",""pt"")"),"Velocidade, qualidade de impressão, parcelamento fácil")</f>
        <v>Velocidade, qualidade de impressão, parcelamento fácil</v>
      </c>
      <c r="B49111" s="3">
        <v>1</v>
      </c>
    </row>
    <row r="49112" ht="15.75" customHeight="1" spans="1:2">
      <c r="A49112" s="3" t="str">
        <f>IFERROR(__xludf.DUMMYFUNCTION("GOOGLETRANSLATE(A49112,""en"",""pt"")"),"Preço, facilidade de instalação, a clareza da impressão a cores ea preto e branco")</f>
        <v>Preço, facilidade de instalação, a clareza da impressão a cores ea preto e branco</v>
      </c>
      <c r="B49112" s="3">
        <v>1</v>
      </c>
    </row>
    <row r="49113" ht="15.75" customHeight="1" spans="1:2">
      <c r="A49113" s="3" t="str">
        <f>IFERROR(__xludf.DUMMYFUNCTION("GOOGLETRANSLATE(A49113,""en"",""pt"")"),"Grande saída, muito estrondo para o dinheiro!")</f>
        <v>Grande saída, muito estrondo para o dinheiro!</v>
      </c>
      <c r="B49113" s="3">
        <v>1</v>
      </c>
    </row>
    <row r="49114" ht="15.75" customHeight="1" spans="1:2">
      <c r="A49114" s="3" t="str">
        <f>IFERROR(__xludf.DUMMYFUNCTION("GOOGLETRANSLATE(A49114,""en"",""pt"")"),"Custo, facilidade de uso, qualidade, excelente serviço ao cliente")</f>
        <v>Custo, facilidade de uso, qualidade, excelente serviço ao cliente</v>
      </c>
      <c r="B49114" s="3">
        <v>1</v>
      </c>
    </row>
    <row r="49115" ht="15.75" customHeight="1" spans="1:2">
      <c r="A49115" s="3" t="str">
        <f>IFERROR(__xludf.DUMMYFUNCTION("GOOGLETRANSLATE(A49115,""en"",""pt"")"),"Barato, qualidade decente")</f>
        <v>Barato, qualidade decente</v>
      </c>
      <c r="B49115" s="3">
        <v>1</v>
      </c>
    </row>
    <row r="49116" ht="15.75" customHeight="1" spans="1:2">
      <c r="A49116" s="3" t="str">
        <f>IFERROR(__xludf.DUMMYFUNCTION("GOOGLETRANSLATE(A49116,""en"",""pt"")"),"Por US $ 20, é um excelente preço.")</f>
        <v>Por US $ 20, é um excelente preço.</v>
      </c>
      <c r="B49116" s="3">
        <v>1</v>
      </c>
    </row>
    <row r="49117" ht="15.75" customHeight="1" spans="1:2">
      <c r="A49117" s="3" t="str">
        <f>IFERROR(__xludf.DUMMYFUNCTION("GOOGLETRANSLATE(A49117,""en"",""pt"")"),"Preço, cartuchos dupla, a qualidade")</f>
        <v>Preço, cartuchos dupla, a qualidade</v>
      </c>
      <c r="B49117" s="3">
        <v>1</v>
      </c>
    </row>
    <row r="49118" ht="15.75" customHeight="1" spans="1:2">
      <c r="A49118" s="3" t="str">
        <f>IFERROR(__xludf.DUMMYFUNCTION("GOOGLETRANSLATE(A49118,""en"",""pt"")"),"Muito melhor resolução do que HP Deskjets")</f>
        <v>Muito melhor resolução do que HP Deskjets</v>
      </c>
      <c r="B49118" s="3">
        <v>1</v>
      </c>
    </row>
    <row r="49119" ht="15.75" customHeight="1" spans="1:2">
      <c r="A49119" s="3" t="str">
        <f>IFERROR(__xludf.DUMMYFUNCTION("GOOGLETRANSLATE(A49119,""en"",""pt"")"),"Resolução, velocidade, facilidade de uso, preço")</f>
        <v>Resolução, velocidade, facilidade de uso, preço</v>
      </c>
      <c r="B49119" s="3">
        <v>1</v>
      </c>
    </row>
    <row r="49120" ht="15.75" customHeight="1" spans="1:2">
      <c r="A49120" s="3" t="s">
        <v>248</v>
      </c>
      <c r="B49120" s="3">
        <v>1</v>
      </c>
    </row>
    <row r="49121" ht="15.75" customHeight="1" spans="1:2">
      <c r="A49121" s="3" t="str">
        <f>IFERROR(__xludf.DUMMYFUNCTION("GOOGLETRANSLATE(A49121,""en"",""pt"")"),"bom valor para o dinheiro, de boa qualidade, software motorista tem algumas características muito úteis.")</f>
        <v>bom valor para o dinheiro, de boa qualidade, software motorista tem algumas características muito úteis.</v>
      </c>
      <c r="B49121" s="3">
        <v>1</v>
      </c>
    </row>
    <row r="49122" ht="15.75" customHeight="1" spans="1:2">
      <c r="A49122" s="3" t="str">
        <f>IFERROR(__xludf.DUMMYFUNCTION("GOOGLETRANSLATE(A49122,""en"",""pt"")"),"Muito barato, excelente impressão &amp; amp; amp; cor")</f>
        <v>Muito barato, excelente impressão &amp; amp; amp; cor</v>
      </c>
      <c r="B49122" s="3">
        <v>1</v>
      </c>
    </row>
    <row r="49123" ht="15.75" customHeight="1" spans="1:2">
      <c r="A49123" s="3" t="str">
        <f>IFERROR(__xludf.DUMMYFUNCTION("GOOGLETRANSLATE(A49123,""en"",""pt"")"),"Barato, 2 cartuchos de tinta, fácil de usar ...")</f>
        <v>Barato, 2 cartuchos de tinta, fácil de usar ...</v>
      </c>
      <c r="B49123" s="3">
        <v>1</v>
      </c>
    </row>
    <row r="49124" ht="15.75" customHeight="1" spans="1:2">
      <c r="A49124" s="3" t="str">
        <f>IFERROR(__xludf.DUMMYFUNCTION("GOOGLETRANSLATE(A49124,""en"",""pt"")"),"Nenhum")</f>
        <v>Nenhum</v>
      </c>
      <c r="B49124" s="3">
        <v>1</v>
      </c>
    </row>
    <row r="49125" ht="15.75" customHeight="1" spans="1:2">
      <c r="A49125" s="3" t="str">
        <f>IFERROR(__xludf.DUMMYFUNCTION("GOOGLETRANSLATE(A49125,""en"",""pt"")"),"Barato e fácil de operar")</f>
        <v>Barato e fácil de operar</v>
      </c>
      <c r="B49125" s="3">
        <v>1</v>
      </c>
    </row>
    <row r="49126" ht="15.75" customHeight="1" spans="1:2">
      <c r="A49126" s="3" t="str">
        <f>IFERROR(__xludf.DUMMYFUNCTION("GOOGLETRANSLATE(A49126,""en"",""pt"")"),"vozes pequenas, caixa, facilidade")</f>
        <v>vozes pequenas, caixa, facilidade</v>
      </c>
      <c r="B49126" s="3">
        <v>1</v>
      </c>
    </row>
    <row r="49127" ht="15.75" customHeight="1" spans="1:2">
      <c r="A49127" s="3" t="str">
        <f>IFERROR(__xludf.DUMMYFUNCTION("GOOGLETRANSLATE(A49127,""en"",""pt"")"),"Baixo, baixo preço, fácil configuração")</f>
        <v>Baixo, baixo preço, fácil configuração</v>
      </c>
      <c r="B49127" s="3">
        <v>1</v>
      </c>
    </row>
    <row r="49128" ht="15.75" customHeight="1" spans="1:2">
      <c r="A49128" s="3" t="str">
        <f>IFERROR(__xludf.DUMMYFUNCTION("GOOGLETRANSLATE(A49128,""en"",""pt"")"),"Muito fácil de usar")</f>
        <v>Muito fácil de usar</v>
      </c>
      <c r="B49128" s="3">
        <v>1</v>
      </c>
    </row>
    <row r="49129" ht="15.75" customHeight="1" spans="1:2">
      <c r="A49129" s="3" t="str">
        <f>IFERROR(__xludf.DUMMYFUNCTION("GOOGLETRANSLATE(A49129,""en"",""pt"")"),"Fácil e livre de problemas")</f>
        <v>Fácil e livre de problemas</v>
      </c>
      <c r="B49129" s="3">
        <v>1</v>
      </c>
    </row>
    <row r="49130" ht="15.75" customHeight="1" spans="1:2">
      <c r="A49130" s="3" t="str">
        <f>IFERROR(__xludf.DUMMYFUNCTION("GOOGLETRANSLATE(A49130,""en"",""pt"")"),"Rápido, afiado.")</f>
        <v>Rápido, afiado.</v>
      </c>
      <c r="B49130" s="3">
        <v>1</v>
      </c>
    </row>
    <row r="49131" ht="15.75" customHeight="1" spans="1:2">
      <c r="A49131" s="3" t="str">
        <f>IFERROR(__xludf.DUMMYFUNCTION("GOOGLETRANSLATE(A49131,""en"",""pt"")"),"Barato, fácil de configurar e usar, boa cor e resolução, e feedback de voz.")</f>
        <v>Barato, fácil de configurar e usar, boa cor e resolução, e feedback de voz.</v>
      </c>
      <c r="B49131" s="3">
        <v>1</v>
      </c>
    </row>
    <row r="49132" ht="15.75" customHeight="1" spans="1:2">
      <c r="A49132" s="3" t="str">
        <f>IFERROR(__xludf.DUMMYFUNCTION("GOOGLETRANSLATE(A49132,""en"",""pt"")"),"ponto de preço")</f>
        <v>ponto de preço</v>
      </c>
      <c r="B49132" s="3">
        <v>1</v>
      </c>
    </row>
    <row r="49133" ht="15.75" customHeight="1" spans="1:2">
      <c r="A49133" s="3" t="str">
        <f>IFERROR(__xludf.DUMMYFUNCTION("GOOGLETRANSLATE(A49133,""en"",""pt"")"),"impressão rápida, boa cor, níveis mostras de tinta")</f>
        <v>impressão rápida, boa cor, níveis mostras de tinta</v>
      </c>
      <c r="B49133" s="3">
        <v>1</v>
      </c>
    </row>
    <row r="49134" ht="15.75" customHeight="1" spans="1:2">
      <c r="A49134" s="3" t="str">
        <f>IFERROR(__xludf.DUMMYFUNCTION("GOOGLETRANSLATE(A49134,""en"",""pt"")"),"Barato, de qualidade decente.")</f>
        <v>Barato, de qualidade decente.</v>
      </c>
      <c r="B49134" s="3">
        <v>1</v>
      </c>
    </row>
    <row r="49135" ht="15.75" customHeight="1" spans="1:2">
      <c r="A49135" s="3" t="str">
        <f>IFERROR(__xludf.DUMMYFUNCTION("GOOGLETRANSLATE(A49135,""en"",""pt"")"),"Barato, cor razoável, documentação intuitiva")</f>
        <v>Barato, cor razoável, documentação intuitiva</v>
      </c>
      <c r="B49135" s="3">
        <v>1</v>
      </c>
    </row>
    <row r="49136" ht="15.75" customHeight="1" spans="1:2">
      <c r="A49136" s="3" t="str">
        <f>IFERROR(__xludf.DUMMYFUNCTION("GOOGLETRANSLATE(A49136,""en"",""pt"")"),"Sua impressão a.")</f>
        <v>Sua impressão a.</v>
      </c>
      <c r="B49136" s="3">
        <v>1</v>
      </c>
    </row>
    <row r="49137" ht="15.75" customHeight="1" spans="1:2">
      <c r="A49137" s="3" t="str">
        <f>IFERROR(__xludf.DUMMYFUNCTION("GOOGLETRANSLATE(A49137,""en"",""pt"")"),"Barato, versátil e durável, Fast, alta qualidade de impressão")</f>
        <v>Barato, versátil e durável, Fast, alta qualidade de impressão</v>
      </c>
      <c r="B49137" s="3">
        <v>1</v>
      </c>
    </row>
    <row r="49138" ht="15.75" customHeight="1" spans="1:2">
      <c r="A49138" s="3" t="str">
        <f>IFERROR(__xludf.DUMMYFUNCTION("GOOGLETRANSLATE(A49138,""en"",""pt"")"),"Grande qualidade de impressão, a resolução é Ok, incluído Software!")</f>
        <v>Grande qualidade de impressão, a resolução é Ok, incluído Software!</v>
      </c>
      <c r="B49138" s="3">
        <v>1</v>
      </c>
    </row>
    <row r="49139" ht="15.75" customHeight="1" spans="1:2">
      <c r="A49139" s="3" t="str">
        <f>IFERROR(__xludf.DUMMYFUNCTION("GOOGLETRANSLATE(A49139,""en"",""pt"")"),"Grande impressora, a qualidade de impressão grande")</f>
        <v>Grande impressora, a qualidade de impressão grande</v>
      </c>
      <c r="B49139" s="3">
        <v>1</v>
      </c>
    </row>
    <row r="49140" ht="15.75" customHeight="1" spans="1:2">
      <c r="A49140" s="3" t="str">
        <f>IFERROR(__xludf.DUMMYFUNCTION("GOOGLETRANSLATE(A49140,""en"",""pt"")"),"Facilidade de instalação, nitidez de impressão, falando software")</f>
        <v>Facilidade de instalação, nitidez de impressão, falando software</v>
      </c>
      <c r="B49140" s="3">
        <v>1</v>
      </c>
    </row>
    <row r="49141" ht="15.75" customHeight="1" spans="1:2">
      <c r="A49141" s="3" t="str">
        <f>IFERROR(__xludf.DUMMYFUNCTION("GOOGLETRANSLATE(A49141,""en"",""pt"")"),"papel Accu-alimentação de manuseamento para eliminar compotas")</f>
        <v>papel Accu-alimentação de manuseamento para eliminar compotas</v>
      </c>
      <c r="B49141" s="3">
        <v>1</v>
      </c>
    </row>
    <row r="49142" ht="15.75" customHeight="1" spans="1:2">
      <c r="A49142" s="3" t="str">
        <f>IFERROR(__xludf.DUMMYFUNCTION("GOOGLETRANSLATE(A49142,""en"",""pt"")"),"É barato.")</f>
        <v>É barato.</v>
      </c>
      <c r="B49142" s="3">
        <v>1</v>
      </c>
    </row>
    <row r="49143" ht="15.75" customHeight="1" spans="1:2">
      <c r="A49143" s="3" t="str">
        <f>IFERROR(__xludf.DUMMYFUNCTION("GOOGLETRANSLATE(A49143,""en"",""pt"")"),"Barato, fácil de instalar e usar, impressão de qualidade")</f>
        <v>Barato, fácil de instalar e usar, impressão de qualidade</v>
      </c>
      <c r="B49143" s="3">
        <v>1</v>
      </c>
    </row>
    <row r="49144" ht="15.75" customHeight="1" spans="1:2">
      <c r="A49144" s="3" t="str">
        <f>IFERROR(__xludf.DUMMYFUNCTION("GOOGLETRANSLATE(A49144,""en"",""pt"")"),"muito bom texto e gráficos bons para o dinheiro")</f>
        <v>muito bom texto e gráficos bons para o dinheiro</v>
      </c>
      <c r="B49144" s="3">
        <v>1</v>
      </c>
    </row>
    <row r="49145" ht="15.75" customHeight="1" spans="1:2">
      <c r="A49145" s="3" t="str">
        <f>IFERROR(__xludf.DUMMYFUNCTION("GOOGLETRANSLATE(A49145,""en"",""pt"")"),"Barato, rápido, excelentes impressões")</f>
        <v>Barato, rápido, excelentes impressões</v>
      </c>
      <c r="B49145" s="3">
        <v>1</v>
      </c>
    </row>
    <row r="49146" ht="15.75" customHeight="1" spans="1:2">
      <c r="A49146" s="3" t="str">
        <f>IFERROR(__xludf.DUMMYFUNCTION("GOOGLETRANSLATE(A49146,""en"",""pt"")"),"Barato para comprar")</f>
        <v>Barato para comprar</v>
      </c>
      <c r="B49146" s="3">
        <v>1</v>
      </c>
    </row>
    <row r="49147" ht="15.75" customHeight="1" spans="1:2">
      <c r="A49147" s="3" t="str">
        <f>IFERROR(__xludf.DUMMYFUNCTION("GOOGLETRANSLATE(A49147,""en"",""pt"")"),"Barato, rápido, leve e compacto")</f>
        <v>Barato, rápido, leve e compacto</v>
      </c>
      <c r="B49147" s="3">
        <v>1</v>
      </c>
    </row>
    <row r="49148" ht="15.75" customHeight="1" spans="1:2">
      <c r="A49148" s="3" t="str">
        <f>IFERROR(__xludf.DUMMYFUNCTION("GOOGLETRANSLATE(A49148,""en"",""pt"")"),"Livre")</f>
        <v>Livre</v>
      </c>
      <c r="B49148" s="3">
        <v>1</v>
      </c>
    </row>
    <row r="49149" ht="15.75" customHeight="1" spans="1:2">
      <c r="A49149" s="3" t="str">
        <f>IFERROR(__xludf.DUMMYFUNCTION("GOOGLETRANSLATE(A49149,""en"",""pt"")"),"Barato; fácil configuração; desempenho global decente. Opcional impressão em 6 cores!")</f>
        <v>Barato; fácil configuração; desempenho global decente. Opcional impressão em 6 cores!</v>
      </c>
      <c r="B49149" s="3">
        <v>1</v>
      </c>
    </row>
    <row r="49150" ht="15.75" customHeight="1" spans="1:2">
      <c r="A49150" s="3" t="str">
        <f>IFERROR(__xludf.DUMMYFUNCTION("GOOGLETRANSLATE(A49150,""en"",""pt"")"),"texto claro, nunca compotas")</f>
        <v>texto claro, nunca compotas</v>
      </c>
      <c r="B49150" s="3">
        <v>1</v>
      </c>
    </row>
    <row r="49151" ht="15.75" customHeight="1" spans="1:2">
      <c r="A49151" s="3" t="str">
        <f>IFERROR(__xludf.DUMMYFUNCTION("GOOGLETRANSLATE(A49151,""en"",""pt"")"),"Barato, pequeno, bastante rápido, simples, de fácil utilização,")</f>
        <v>Barato, pequeno, bastante rápido, simples, de fácil utilização,</v>
      </c>
      <c r="B49151" s="3">
        <v>1</v>
      </c>
    </row>
    <row r="49152" ht="15.75" customHeight="1" spans="1:2">
      <c r="A49152" s="3" t="str">
        <f>IFERROR(__xludf.DUMMYFUNCTION("GOOGLETRANSLATE(A49152,""en"",""pt"")"),"Imprime a uma velocidade decente, grande qualidade de impressão, porta USB compatível")</f>
        <v>Imprime a uma velocidade decente, grande qualidade de impressão, porta USB compatível</v>
      </c>
      <c r="B49152" s="3">
        <v>1</v>
      </c>
    </row>
    <row r="49153" ht="15.75" customHeight="1" spans="1:2">
      <c r="A49153" s="3" t="str">
        <f>IFERROR(__xludf.DUMMYFUNCTION("GOOGLETRANSLATE(A49153,""en"",""pt"")"),"Esta impressora é fácil de instalar e imprime script ou imagens claras!")</f>
        <v>Esta impressora é fácil de instalar e imprime script ou imagens claras!</v>
      </c>
      <c r="B49153" s="3">
        <v>1</v>
      </c>
    </row>
    <row r="49154" ht="15.75" customHeight="1" spans="1:2">
      <c r="A49154" s="3" t="str">
        <f>IFERROR(__xludf.DUMMYFUNCTION("GOOGLETRANSLATE(A49154,""en"",""pt"")"),"silencioso, mostra quantidade de tinta, fácil de configurar &amp; amp; amp; usar")</f>
        <v>silencioso, mostra quantidade de tinta, fácil de configurar &amp; amp; amp; usar</v>
      </c>
      <c r="B49154" s="3">
        <v>1</v>
      </c>
    </row>
    <row r="49155" ht="15.75" customHeight="1" spans="1:2">
      <c r="A49155" s="3" t="str">
        <f>IFERROR(__xludf.DUMMYFUNCTION("GOOGLETRANSLATE(A49155,""en"",""pt"")"),"Barato")</f>
        <v>Barato</v>
      </c>
      <c r="B49155" s="3">
        <v>1</v>
      </c>
    </row>
    <row r="49156" ht="15.75" customHeight="1" spans="1:2">
      <c r="A49156" s="3" t="str">
        <f>IFERROR(__xludf.DUMMYFUNCTION("GOOGLETRANSLATE(A49156,""en"",""pt"")"),"impressão afiada e belas imagens coloridas")</f>
        <v>impressão afiada e belas imagens coloridas</v>
      </c>
      <c r="B49156" s="3">
        <v>1</v>
      </c>
    </row>
    <row r="49157" ht="15.75" customHeight="1" spans="1:2">
      <c r="A49157" s="3" t="str">
        <f>IFERROR(__xludf.DUMMYFUNCTION("GOOGLETRANSLATE(A49157,""en"",""pt"")"),"texto nítido, tranquila, fácil de instalar")</f>
        <v>texto nítido, tranquila, fácil de instalar</v>
      </c>
      <c r="B49157" s="3">
        <v>1</v>
      </c>
    </row>
    <row r="49158" ht="15.75" customHeight="1" spans="1:2">
      <c r="A49158" s="3" t="str">
        <f>IFERROR(__xludf.DUMMYFUNCTION("GOOGLETRANSLATE(A49158,""en"",""pt"")"),"Dirt Cheap Custo inicial, 1 ano de garantia, configuração fácil, Bom Qualidade da impressão")</f>
        <v>Dirt Cheap Custo inicial, 1 ano de garantia, configuração fácil, Bom Qualidade da impressão</v>
      </c>
      <c r="B49158" s="3">
        <v>1</v>
      </c>
    </row>
    <row r="49159" ht="15.75" customHeight="1" spans="1:2">
      <c r="A49159" s="3" t="str">
        <f>IFERROR(__xludf.DUMMYFUNCTION("GOOGLETRANSLATE(A49159,""en"",""pt"")"),"Facilidade de hook up! Dois botões de lidar. Vem com software grande, preço barato.")</f>
        <v>Facilidade de hook up! Dois botões de lidar. Vem com software grande, preço barato.</v>
      </c>
      <c r="B49159" s="3">
        <v>1</v>
      </c>
    </row>
    <row r="49160" ht="15.75" customHeight="1" spans="1:2">
      <c r="A49160" s="3" t="str">
        <f>IFERROR(__xludf.DUMMYFUNCTION("GOOGLETRANSLATE(A49160,""en"",""pt"")"),"Barato, nenhum papel-Jams, compacto, fácil de usar")</f>
        <v>Barato, nenhum papel-Jams, compacto, fácil de usar</v>
      </c>
      <c r="B49160" s="3">
        <v>1</v>
      </c>
    </row>
    <row r="49161" ht="15.75" customHeight="1" spans="1:2">
      <c r="A49161" s="3" t="str">
        <f>IFERROR(__xludf.DUMMYFUNCTION("GOOGLETRANSLATE(A49161,""en"",""pt"")"),"Pequenas e impressora de leve, que produz a saída de texto incrivelmente nítido")</f>
        <v>Pequenas e impressora de leve, que produz a saída de texto incrivelmente nítido</v>
      </c>
      <c r="B49161" s="3">
        <v>1</v>
      </c>
    </row>
    <row r="49162" ht="15.75" customHeight="1" spans="1:2">
      <c r="A49162" s="3" t="str">
        <f>IFERROR(__xludf.DUMMYFUNCTION("GOOGLETRANSLATE(A49162,""en"",""pt"")"),"Bom pacote de software e descontos. Fácil de configurar. Muito, muito barato.")</f>
        <v>Bom pacote de software e descontos. Fácil de configurar. Muito, muito barato.</v>
      </c>
      <c r="B49162" s="3">
        <v>1</v>
      </c>
    </row>
    <row r="49163" ht="15.75" customHeight="1" spans="1:2">
      <c r="A49163" s="3" t="str">
        <f>IFERROR(__xludf.DUMMYFUNCTION("GOOGLETRANSLATE(A49163,""en"",""pt"")"),"Bastante rápido, de boa qualidade, não fique preso")</f>
        <v>Bastante rápido, de boa qualidade, não fique preso</v>
      </c>
      <c r="B49163" s="3">
        <v>1</v>
      </c>
    </row>
    <row r="49164" ht="15.75" customHeight="1" spans="1:2">
      <c r="A49164" s="3" t="str">
        <f>IFERROR(__xludf.DUMMYFUNCTION("GOOGLETRANSLATE(A49164,""en"",""pt"")"),"barato, fácil de usar e instalar")</f>
        <v>barato, fácil de usar e instalar</v>
      </c>
      <c r="B49164" s="3">
        <v>1</v>
      </c>
    </row>
    <row r="49165" ht="15.75" customHeight="1" spans="1:2">
      <c r="A49165" s="3" t="str">
        <f>IFERROR(__xludf.DUMMYFUNCTION("GOOGLETRANSLATE(A49165,""en"",""pt"")"),"unidade barato, boa resolução")</f>
        <v>unidade barato, boa resolução</v>
      </c>
      <c r="B49165" s="3">
        <v>1</v>
      </c>
    </row>
    <row r="49166" ht="15.75" customHeight="1" spans="1:2">
      <c r="A49166" s="3" t="str">
        <f>IFERROR(__xludf.DUMMYFUNCTION("GOOGLETRANSLATE(A49166,""en"",""pt"")"),"compacto, fácil de instalar, boa qualidade de impressão, imprime fotos")</f>
        <v>compacto, fácil de instalar, boa qualidade de impressão, imprime fotos</v>
      </c>
      <c r="B49166" s="3">
        <v>1</v>
      </c>
    </row>
    <row r="49167" ht="15.75" customHeight="1" spans="1:2">
      <c r="A49167" s="3" t="str">
        <f>IFERROR(__xludf.DUMMYFUNCTION("GOOGLETRANSLATE(A49167,""en"",""pt"")"),"Vem com 2 cartuchos, usa a cor e preto simultaneamente, porta USB para Macs e PC")</f>
        <v>Vem com 2 cartuchos, usa a cor e preto simultaneamente, porta USB para Macs e PC</v>
      </c>
      <c r="B49167" s="3">
        <v>1</v>
      </c>
    </row>
    <row r="49168" ht="15.75" customHeight="1" spans="1:2">
      <c r="A49168" s="3" t="str">
        <f>IFERROR(__xludf.DUMMYFUNCTION("GOOGLETRANSLATE(A49168,""en"",""pt"")"),"barato, compacto, fácil de operar")</f>
        <v>barato, compacto, fácil de operar</v>
      </c>
      <c r="B49168" s="3">
        <v>1</v>
      </c>
    </row>
    <row r="49169" ht="15.75" customHeight="1" spans="1:2">
      <c r="A49169" s="3" t="str">
        <f>IFERROR(__xludf.DUMMYFUNCTION("GOOGLETRANSLATE(A49169,""en"",""pt"")"),"Forte, confiável e barato")</f>
        <v>Forte, confiável e barato</v>
      </c>
      <c r="B49169" s="3">
        <v>1</v>
      </c>
    </row>
    <row r="49170" ht="15.75" customHeight="1" spans="1:2">
      <c r="A49170" s="3" t="str">
        <f>IFERROR(__xludf.DUMMYFUNCTION("GOOGLETRANSLATE(A49170,""en"",""pt"")"),"barato barato barato")</f>
        <v>barato barato barato</v>
      </c>
      <c r="B49170" s="3">
        <v>1</v>
      </c>
    </row>
    <row r="49171" ht="15.75" customHeight="1" spans="1:2">
      <c r="A49171" s="3" t="str">
        <f>IFERROR(__xludf.DUMMYFUNCTION("GOOGLETRANSLATE(A49171,""en"",""pt"")"),"produto de qualidade - preço acessível")</f>
        <v>produto de qualidade - preço acessível</v>
      </c>
      <c r="B49171" s="3">
        <v>1</v>
      </c>
    </row>
    <row r="49172" ht="15.75" customHeight="1" spans="1:2">
      <c r="A49172" s="3" t="str">
        <f>IFERROR(__xludf.DUMMYFUNCTION("GOOGLETRANSLATE(A49172,""en"",""pt"")"),"Barato")</f>
        <v>Barato</v>
      </c>
      <c r="B49172" s="3">
        <v>1</v>
      </c>
    </row>
    <row r="49173" ht="15.75" customHeight="1" spans="1:2">
      <c r="A49173" s="3" t="str">
        <f>IFERROR(__xludf.DUMMYFUNCTION("GOOGLETRANSLATE(A49173,""en"",""pt"")"),"fácil de instalar e imprime agradável e clara")</f>
        <v>fácil de instalar e imprime agradável e clara</v>
      </c>
      <c r="B49173" s="3">
        <v>1</v>
      </c>
    </row>
    <row r="49174" ht="15.75" customHeight="1" spans="1:2">
      <c r="A49174" s="3" t="str">
        <f>IFERROR(__xludf.DUMMYFUNCTION("GOOGLETRANSLATE(A49174,""en"",""pt"")"),"Qualidade VS Preço = impressionante")</f>
        <v>Qualidade VS Preço = impressionante</v>
      </c>
      <c r="B49174" s="3">
        <v>1</v>
      </c>
    </row>
    <row r="49175" ht="15.75" customHeight="1" spans="1:2">
      <c r="A49175" s="3" t="str">
        <f>IFERROR(__xludf.DUMMYFUNCTION("GOOGLETRANSLATE(A49175,""en"",""pt"")"),"Excelente qualidade Lexmark, agora USB compatível.")</f>
        <v>Excelente qualidade Lexmark, agora USB compatível.</v>
      </c>
      <c r="B49175" s="3">
        <v>1</v>
      </c>
    </row>
    <row r="49176" ht="15.75" customHeight="1" spans="1:2">
      <c r="A49176" s="3" t="str">
        <f>IFERROR(__xludf.DUMMYFUNCTION("GOOGLETRANSLATE(A49176,""en"",""pt"")"),"baixo preço, impressão rápida, grande qualidade de foto")</f>
        <v>baixo preço, impressão rápida, grande qualidade de foto</v>
      </c>
      <c r="B49176" s="3">
        <v>1</v>
      </c>
    </row>
    <row r="49177" ht="15.75" customHeight="1" spans="1:2">
      <c r="A49177" s="3" t="str">
        <f>IFERROR(__xludf.DUMMYFUNCTION("GOOGLETRANSLATE(A49177,""en"",""pt"")"),"Luz, Pequeno, barato")</f>
        <v>Luz, Pequeno, barato</v>
      </c>
      <c r="B49177" s="3">
        <v>1</v>
      </c>
    </row>
    <row r="49178" ht="15.75" customHeight="1" spans="1:2">
      <c r="A49178" s="3" t="str">
        <f>IFERROR(__xludf.DUMMYFUNCTION("GOOGLETRANSLATE(A49178,""en"",""pt"")"),"ótimo")</f>
        <v>ótimo</v>
      </c>
      <c r="B49178" s="3">
        <v>1</v>
      </c>
    </row>
    <row r="49179" ht="15.75" customHeight="1" spans="1:2">
      <c r="A49179" s="3" t="str">
        <f>IFERROR(__xludf.DUMMYFUNCTION("GOOGLETRANSLATE(A49179,""en"",""pt"")"),"Barato")</f>
        <v>Barato</v>
      </c>
      <c r="B49179" s="3">
        <v>1</v>
      </c>
    </row>
    <row r="49180" ht="15.75" customHeight="1" spans="1:2">
      <c r="A49180" s="3" t="str">
        <f>IFERROR(__xludf.DUMMYFUNCTION("GOOGLETRANSLATE(A49180,""en"",""pt"")"),"Ótimo preço, parece lidar com papel bem, saída de boa qualidade.")</f>
        <v>Ótimo preço, parece lidar com papel bem, saída de boa qualidade.</v>
      </c>
      <c r="B49180" s="3">
        <v>1</v>
      </c>
    </row>
    <row r="49181" ht="15.75" customHeight="1" spans="1:2">
      <c r="A49181" s="3" t="str">
        <f>IFERROR(__xludf.DUMMYFUNCTION("GOOGLETRANSLATE(A49181,""en"",""pt"")"),"Grande qualidade e desempenho")</f>
        <v>Grande qualidade e desempenho</v>
      </c>
      <c r="B49181" s="3">
        <v>1</v>
      </c>
    </row>
    <row r="49182" ht="15.75" customHeight="1" spans="1:2">
      <c r="A49182" s="3" t="str">
        <f>IFERROR(__xludf.DUMMYFUNCTION("GOOGLETRANSLATE(A49182,""en"",""pt"")"),"&amp; Lt; b &amp; gt; barato, impressões de boa FOTOGRAFIAS &amp; lt; / b &amp; gt;")</f>
        <v>&amp; Lt; b &amp; gt; barato, impressões de boa FOTOGRAFIAS &amp; lt; / b &amp; gt;</v>
      </c>
      <c r="B49182" s="3">
        <v>1</v>
      </c>
    </row>
    <row r="49183" ht="15.75" customHeight="1" spans="1:2">
      <c r="A49183" s="3" t="str">
        <f>IFERROR(__xludf.DUMMYFUNCTION("GOOGLETRANSLATE(A49183,""en"",""pt"")"),"Excelentes gráficos, incluindo preto e branco e cor.")</f>
        <v>Excelentes gráficos, incluindo preto e branco e cor.</v>
      </c>
      <c r="B49183" s="3">
        <v>1</v>
      </c>
    </row>
    <row r="49184" ht="15.75" customHeight="1" spans="1:2">
      <c r="A49184" s="3" t="str">
        <f>IFERROR(__xludf.DUMMYFUNCTION("GOOGLETRANSLATE(A49184,""en"",""pt"")"),"Pequena e tranquila, a qualidade da foto, fornece excelentes impressões em papel brilhante")</f>
        <v>Pequena e tranquila, a qualidade da foto, fornece excelentes impressões em papel brilhante</v>
      </c>
      <c r="B49184" s="3">
        <v>1</v>
      </c>
    </row>
    <row r="49185" ht="15.75" customHeight="1" spans="1:2">
      <c r="A49185" s="3" t="str">
        <f>IFERROR(__xludf.DUMMYFUNCTION("GOOGLETRANSLATE(A49185,""en"",""pt"")"),"Excelente qualidade de impressão, extremamente barato.")</f>
        <v>Excelente qualidade de impressão, extremamente barato.</v>
      </c>
      <c r="B49185" s="3">
        <v>1</v>
      </c>
    </row>
    <row r="49186" ht="15.75" customHeight="1" spans="1:2">
      <c r="A49186" s="3" t="str">
        <f>IFERROR(__xludf.DUMMYFUNCTION("GOOGLETRANSLATE(A49186,""en"",""pt"")"),"Acessíveis, grandes resultados, as imagens acabam por quase perfeito.")</f>
        <v>Acessíveis, grandes resultados, as imagens acabam por quase perfeito.</v>
      </c>
      <c r="B49186" s="3">
        <v>1</v>
      </c>
    </row>
    <row r="49187" ht="15.75" customHeight="1" spans="1:2">
      <c r="A49187" s="3" t="str">
        <f>IFERROR(__xludf.DUMMYFUNCTION("GOOGLETRANSLATE(A49187,""en"",""pt"")"),"Boa qualidade de impressão para texto, imprimir imagem decente para uma sub-impressão $ 100")</f>
        <v>Boa qualidade de impressão para texto, imprimir imagem decente para uma sub-impressão $ 100</v>
      </c>
      <c r="B49187" s="3">
        <v>1</v>
      </c>
    </row>
    <row r="49188" ht="15.75" customHeight="1" spans="1:2">
      <c r="A49188" s="3" t="str">
        <f>IFERROR(__xludf.DUMMYFUNCTION("GOOGLETRANSLATE(A49188,""en"",""pt"")"),"Sob uma centena de dólares, 1200 dpi")</f>
        <v>Sob uma centena de dólares, 1200 dpi</v>
      </c>
      <c r="B49188" s="3">
        <v>1</v>
      </c>
    </row>
    <row r="49189" ht="15.75" customHeight="1" spans="1:2">
      <c r="A49189" s="3" t="str">
        <f>IFERROR(__xludf.DUMMYFUNCTION("GOOGLETRANSLATE(A49189,""en"",""pt"")"),"impressão de boa qualidade")</f>
        <v>impressão de boa qualidade</v>
      </c>
      <c r="B49189" s="3">
        <v>1</v>
      </c>
    </row>
    <row r="49190" ht="15.75" customHeight="1" spans="1:2">
      <c r="A49190" s="3" t="str">
        <f>IFERROR(__xludf.DUMMYFUNCTION("GOOGLETRANSLATE(A49190,""en"",""pt"")"),"Fácil instalação (para PC e com cartuchos de impressão); impressão rápida (3,5 ppm cor)")</f>
        <v>Fácil instalação (para PC e com cartuchos de impressão); impressão rápida (3,5 ppm cor)</v>
      </c>
      <c r="B49190" s="3">
        <v>1</v>
      </c>
    </row>
    <row r="49191" ht="15.75" customHeight="1" spans="1:2">
      <c r="A49191" s="3" t="str">
        <f>IFERROR(__xludf.DUMMYFUNCTION("GOOGLETRANSLATE(A49191,""en"",""pt"")"),"Decente preço, Ink medidor exibir ao imprimir. Boa qualidade de impressão preto")</f>
        <v>Decente preço, Ink medidor exibir ao imprimir. Boa qualidade de impressão preto</v>
      </c>
      <c r="B49191" s="3">
        <v>1</v>
      </c>
    </row>
    <row r="49192" ht="15.75" customHeight="1" spans="1:2">
      <c r="A49192" s="3" t="str">
        <f>IFERROR(__xludf.DUMMYFUNCTION("GOOGLETRANSLATE(A49192,""en"",""pt"")"),"Alta qualidade")</f>
        <v>Alta qualidade</v>
      </c>
      <c r="B49192" s="3">
        <v>1</v>
      </c>
    </row>
    <row r="49193" ht="15.75" customHeight="1" spans="1:2">
      <c r="A49193" s="3" t="str">
        <f>IFERROR(__xludf.DUMMYFUNCTION("GOOGLETRANSLATE(A49193,""en"",""pt"")"),"Nenhum.")</f>
        <v>Nenhum.</v>
      </c>
      <c r="B49193" s="3">
        <v>1</v>
      </c>
    </row>
    <row r="49194" ht="15.75" customHeight="1" spans="1:2">
      <c r="A49194" s="3" t="str">
        <f>IFERROR(__xludf.DUMMYFUNCTION("GOOGLETRANSLATE(A49194,""en"",""pt"")"),"saída de alta qualidade. Relativamente rápido.")</f>
        <v>saída de alta qualidade. Relativamente rápido.</v>
      </c>
      <c r="B49194" s="3">
        <v>1</v>
      </c>
    </row>
    <row r="49195" ht="15.75" customHeight="1" spans="1:2">
      <c r="A49195" s="3" t="str">
        <f>IFERROR(__xludf.DUMMYFUNCTION("GOOGLETRANSLATE(A49195,""en"",""pt"")"),"Ainda trabalhando maravilhosamente depois de 4 anos. Tem boa qualidade de impressão e é simples de operar.")</f>
        <v>Ainda trabalhando maravilhosamente depois de 4 anos. Tem boa qualidade de impressão e é simples de operar.</v>
      </c>
      <c r="B49195" s="3">
        <v>1</v>
      </c>
    </row>
    <row r="49196" ht="15.75" customHeight="1" spans="1:2">
      <c r="A49196" s="3" t="str">
        <f>IFERROR(__xludf.DUMMYFUNCTION("GOOGLETRANSLATE(A49196,""en"",""pt"")"),"grande valor")</f>
        <v>grande valor</v>
      </c>
      <c r="B49196" s="3">
        <v>1</v>
      </c>
    </row>
    <row r="49197" ht="15.75" customHeight="1" spans="1:2">
      <c r="A49197" s="3" t="str">
        <f>IFERROR(__xludf.DUMMYFUNCTION("GOOGLETRANSLATE(A49197,""en"",""pt"")"),"Silencioso e rápido, de qualidade incrível, User friendly")</f>
        <v>Silencioso e rápido, de qualidade incrível, User friendly</v>
      </c>
      <c r="B49197" s="3">
        <v>1</v>
      </c>
    </row>
    <row r="49198" ht="15.75" customHeight="1" spans="1:2">
      <c r="A49198" s="3" t="str">
        <f>IFERROR(__xludf.DUMMYFUNCTION("GOOGLETRANSLATE(A49198,""en"",""pt"")"),"Nenhum")</f>
        <v>Nenhum</v>
      </c>
      <c r="B49198" s="3">
        <v>1</v>
      </c>
    </row>
    <row r="49199" ht="15.75" customHeight="1" spans="1:2">
      <c r="A49199" s="3" t="str">
        <f>IFERROR(__xludf.DUMMYFUNCTION("GOOGLETRANSLATE(A49199,""en"",""pt"")"),"rápido, qualidade, preço")</f>
        <v>rápido, qualidade, preço</v>
      </c>
      <c r="B49199" s="3">
        <v>1</v>
      </c>
    </row>
    <row r="49200" ht="15.75" customHeight="1" spans="1:2">
      <c r="A49200" s="3" t="str">
        <f>IFERROR(__xludf.DUMMYFUNCTION("GOOGLETRANSLATE(A49200,""en"",""pt"")"),"Great Value, excelente qualidade de impressão")</f>
        <v>Great Value, excelente qualidade de impressão</v>
      </c>
      <c r="B49200" s="3">
        <v>1</v>
      </c>
    </row>
    <row r="49201" ht="15.75" customHeight="1" spans="1:2">
      <c r="A49201" s="3" t="str">
        <f>IFERROR(__xludf.DUMMYFUNCTION("GOOGLETRANSLATE(A49201,""en"",""pt"")"),"Melhor saída qualidade, rápido, suave operação.")</f>
        <v>Melhor saída qualidade, rápido, suave operação.</v>
      </c>
      <c r="B49201" s="3">
        <v>1</v>
      </c>
    </row>
    <row r="49202" ht="15.75" customHeight="1" spans="1:2">
      <c r="A49202" s="3" t="str">
        <f>IFERROR(__xludf.DUMMYFUNCTION("GOOGLETRANSLATE(A49202,""en"",""pt"")"),"Impressionante qualidade de impressão, bom conjunto de recursos de software")</f>
        <v>Impressionante qualidade de impressão, bom conjunto de recursos de software</v>
      </c>
      <c r="B49202" s="3">
        <v>1</v>
      </c>
    </row>
    <row r="49203" ht="15.75" customHeight="1" spans="1:2">
      <c r="A49203" s="3" t="str">
        <f>IFERROR(__xludf.DUMMYFUNCTION("GOOGLETRANSLATE(A49203,""en"",""pt"")"),"Grande software, fácil de usar, a melhor impressão que eu vi em um jato de tinta")</f>
        <v>Grande software, fácil de usar, a melhor impressão que eu vi em um jato de tinta</v>
      </c>
      <c r="B49203" s="3">
        <v>1</v>
      </c>
    </row>
    <row r="49204" ht="15.75" customHeight="1" spans="1:2">
      <c r="A49204" s="3" t="str">
        <f>IFERROR(__xludf.DUMMYFUNCTION("GOOGLETRANSLATE(A49204,""en"",""pt"")"),"Qualidade e preço inicial. Fácil de imprimir banners.")</f>
        <v>Qualidade e preço inicial. Fácil de imprimir banners.</v>
      </c>
      <c r="B49204" s="3">
        <v>1</v>
      </c>
    </row>
    <row r="49205" ht="15.75" customHeight="1" spans="1:2">
      <c r="A49205" s="3" t="str">
        <f>IFERROR(__xludf.DUMMYFUNCTION("GOOGLETRANSLATE(A49205,""en"",""pt"")"),"Impressão surpreendente qualidade, baixo preço, design que economiza espaço")</f>
        <v>Impressão surpreendente qualidade, baixo preço, design que economiza espaço</v>
      </c>
      <c r="B49205" s="3">
        <v>1</v>
      </c>
    </row>
    <row r="49206" ht="15.75" customHeight="1" spans="1:2">
      <c r="A49206" s="3" t="str">
        <f>IFERROR(__xludf.DUMMYFUNCTION("GOOGLETRANSLATE(A49206,""en"",""pt"")"),"Dos preços razoáveis, de grande qualidade, velocidade decente ...")</f>
        <v>Dos preços razoáveis, de grande qualidade, velocidade decente ...</v>
      </c>
      <c r="B49206" s="3">
        <v>1</v>
      </c>
    </row>
    <row r="49207" ht="15.75" customHeight="1" spans="1:2">
      <c r="A49207" s="3" t="str">
        <f>IFERROR(__xludf.DUMMYFUNCTION("GOOGLETRANSLATE(A49207,""en"",""pt"")"),"9ppm, 1200x1200dpi, USB, Accu-Feed")</f>
        <v>9ppm, 1200x1200dpi, USB, Accu-Feed</v>
      </c>
      <c r="B49207" s="3">
        <v>1</v>
      </c>
    </row>
    <row r="49208" ht="15.75" customHeight="1" spans="1:2">
      <c r="A49208" s="3" t="str">
        <f>IFERROR(__xludf.DUMMYFUNCTION("GOOGLETRANSLATE(A49208,""en"",""pt"")"),"Opções, Capacidades, Valor")</f>
        <v>Opções, Capacidades, Valor</v>
      </c>
      <c r="B49208" s="3">
        <v>1</v>
      </c>
    </row>
    <row r="49209" ht="15.75" customHeight="1" spans="1:2">
      <c r="A49209" s="3" t="str">
        <f>IFERROR(__xludf.DUMMYFUNCTION("GOOGLETRANSLATE(A49209,""en"",""pt"")"),"Qualidade de impressão é boa")</f>
        <v>Qualidade de impressão é boa</v>
      </c>
      <c r="B49209" s="3">
        <v>1</v>
      </c>
    </row>
    <row r="49210" ht="15.75" customHeight="1" spans="1:2">
      <c r="A49210" s="3" t="str">
        <f>IFERROR(__xludf.DUMMYFUNCTION("GOOGLETRANSLATE(A49210,""en"",""pt"")"),"Excelente impressão a cores, versátil")</f>
        <v>Excelente impressão a cores, versátil</v>
      </c>
      <c r="B49210" s="3">
        <v>1</v>
      </c>
    </row>
    <row r="49211" ht="15.75" customHeight="1" spans="1:2">
      <c r="A49211" s="3" t="str">
        <f>IFERROR(__xludf.DUMMYFUNCTION("GOOGLETRANSLATE(A49211,""en"",""pt"")"),"Preço, qualidade de impressão, velocidade")</f>
        <v>Preço, qualidade de impressão, velocidade</v>
      </c>
      <c r="B49211" s="3">
        <v>1</v>
      </c>
    </row>
    <row r="49212" ht="15.75" customHeight="1" spans="1:2">
      <c r="A49212" s="3" t="str">
        <f>IFERROR(__xludf.DUMMYFUNCTION("GOOGLETRANSLATE(A49212,""en"",""pt"")"),"conexões USB ou paralelas, boa qualidade de impressão")</f>
        <v>conexões USB ou paralelas, boa qualidade de impressão</v>
      </c>
      <c r="B49212" s="3">
        <v>1</v>
      </c>
    </row>
    <row r="49213" ht="15.75" customHeight="1" spans="1:2">
      <c r="A49213" s="3" t="str">
        <f>IFERROR(__xludf.DUMMYFUNCTION("GOOGLETRANSLATE(A49213,""en"",""pt"")"),"Qualidade de impressão, velocidade, facilidade de uso, grande piloto Software")</f>
        <v>Qualidade de impressão, velocidade, facilidade de uso, grande piloto Software</v>
      </c>
      <c r="B49213" s="3">
        <v>1</v>
      </c>
    </row>
    <row r="49214" ht="15.75" customHeight="1" spans="1:2">
      <c r="A49214" s="3" t="str">
        <f>IFERROR(__xludf.DUMMYFUNCTION("GOOGLETRANSLATE(A49214,""en"",""pt"")"),"Quality &amp; amp; amp; valor")</f>
        <v>Quality &amp; amp; amp; valor</v>
      </c>
      <c r="B49214" s="3">
        <v>1</v>
      </c>
    </row>
    <row r="49215" ht="15.75" customHeight="1" spans="1:2">
      <c r="A49215" s="3" t="str">
        <f>IFERROR(__xludf.DUMMYFUNCTION("GOOGLETRANSLATE(A49215,""en"",""pt"")"),"Bom preço")</f>
        <v>Bom preço</v>
      </c>
      <c r="B49215" s="3">
        <v>1</v>
      </c>
    </row>
    <row r="49216" ht="15.75" customHeight="1" spans="1:2">
      <c r="A49216" s="3" t="str">
        <f>IFERROR(__xludf.DUMMYFUNCTION("GOOGLETRANSLATE(A49216,""en"",""pt"")"),"Grande valor. Excelente qualidade de saída.")</f>
        <v>Grande valor. Excelente qualidade de saída.</v>
      </c>
      <c r="B49216" s="3">
        <v>1</v>
      </c>
    </row>
    <row r="49217" ht="15.75" customHeight="1" spans="1:2">
      <c r="A49217" s="3" t="str">
        <f>IFERROR(__xludf.DUMMYFUNCTION("GOOGLETRANSLATE(A49217,""en"",""pt"")"),"Cor bonita")</f>
        <v>Cor bonita</v>
      </c>
      <c r="B49217" s="3">
        <v>1</v>
      </c>
    </row>
    <row r="49218" ht="15.75" customHeight="1" spans="1:2">
      <c r="A49218" s="3" t="str">
        <f>IFERROR(__xludf.DUMMYFUNCTION("GOOGLETRANSLATE(A49218,""en"",""pt"")"),"A qualidade de impressão, silencioso, rápido")</f>
        <v>A qualidade de impressão, silencioso, rápido</v>
      </c>
      <c r="B49218" s="3">
        <v>1</v>
      </c>
    </row>
    <row r="49219" ht="15.75" customHeight="1" spans="1:2">
      <c r="A49219" s="3" t="str">
        <f>IFERROR(__xludf.DUMMYFUNCTION("GOOGLETRANSLATE(A49219,""en"",""pt"")"),"1200 dpi. entrega de papel tão rápido que você provavelmente poderia usá-lo para salami em 20 passos")</f>
        <v>1200 dpi. entrega de papel tão rápido que você provavelmente poderia usá-lo para salami em 20 passos</v>
      </c>
      <c r="B49219" s="3">
        <v>1</v>
      </c>
    </row>
    <row r="49220" ht="15.75" customHeight="1" spans="1:2">
      <c r="A49220" s="3" t="str">
        <f>IFERROR(__xludf.DUMMYFUNCTION("GOOGLETRANSLATE(A49220,""en"",""pt"")"),"fácil de instalar, simples de configurar, alegria para uso")</f>
        <v>fácil de instalar, simples de configurar, alegria para uso</v>
      </c>
      <c r="B49220" s="3">
        <v>1</v>
      </c>
    </row>
    <row r="49221" ht="15.75" customHeight="1" spans="1:2">
      <c r="A49221" s="3" t="str">
        <f>IFERROR(__xludf.DUMMYFUNCTION("GOOGLETRANSLATE(A49221,""en"",""pt"")"),"A impressora de qualidade com grande impressão de texto e boas saídas de fotos.")</f>
        <v>A impressora de qualidade com grande impressão de texto e boas saídas de fotos.</v>
      </c>
      <c r="B49221" s="3">
        <v>1</v>
      </c>
    </row>
    <row r="49222" ht="15.75" customHeight="1" spans="1:2">
      <c r="A49222" s="3" t="str">
        <f>IFERROR(__xludf.DUMMYFUNCTION("GOOGLETRANSLATE(A49222,""en"",""pt"")"),"impermeável tinta, Quieto, qualidade, rápido")</f>
        <v>impermeável tinta, Quieto, qualidade, rápido</v>
      </c>
      <c r="B49222" s="3">
        <v>1</v>
      </c>
    </row>
    <row r="49223" ht="15.75" customHeight="1" spans="1:2">
      <c r="A49223" s="3" t="str">
        <f>IFERROR(__xludf.DUMMYFUNCTION("GOOGLETRANSLATE(A49223,""en"",""pt"")"),"cores de alta qualidade e de laser texto nítido, facilidade de uso.")</f>
        <v>cores de alta qualidade e de laser texto nítido, facilidade de uso.</v>
      </c>
      <c r="B49223" s="3">
        <v>1</v>
      </c>
    </row>
    <row r="49224" ht="15.75" customHeight="1" spans="1:2">
      <c r="A49224" s="3" t="str">
        <f>IFERROR(__xludf.DUMMYFUNCTION("GOOGLETRANSLATE(A49224,""en"",""pt"")"),"impressão e texto de qualidade, velocidade, preço")</f>
        <v>impressão e texto de qualidade, velocidade, preço</v>
      </c>
      <c r="B49224" s="3">
        <v>1</v>
      </c>
    </row>
    <row r="49225" ht="15.75" customHeight="1" spans="1:2">
      <c r="A49225" s="3" t="str">
        <f>IFERROR(__xludf.DUMMYFUNCTION("GOOGLETRANSLATE(A49225,""en"",""pt"")"),"assim, é impresso, e o B / W é bom")</f>
        <v>assim, é impresso, e o B / W é bom</v>
      </c>
      <c r="B49225" s="3">
        <v>1</v>
      </c>
    </row>
    <row r="49226" ht="15.75" customHeight="1" spans="1:2">
      <c r="A49226" s="3" t="str">
        <f>IFERROR(__xludf.DUMMYFUNCTION("GOOGLETRANSLATE(A49226,""en"",""pt"")"),"Imprimir qualidade, facilidade de instalação, confiável")</f>
        <v>Imprimir qualidade, facilidade de instalação, confiável</v>
      </c>
      <c r="B49226" s="3">
        <v>1</v>
      </c>
    </row>
    <row r="49227" ht="15.75" customHeight="1" spans="1:2">
      <c r="A49227" s="3" t="str">
        <f>IFERROR(__xludf.DUMMYFUNCTION("GOOGLETRANSLATE(A49227,""en"",""pt"")"),"Imprimir qualidade, velocidade")</f>
        <v>Imprimir qualidade, velocidade</v>
      </c>
      <c r="B49227" s="3">
        <v>1</v>
      </c>
    </row>
    <row r="49228" ht="15.75" customHeight="1" spans="1:2">
      <c r="A49228" s="3" t="str">
        <f>IFERROR(__xludf.DUMMYFUNCTION("GOOGLETRANSLATE(A49228,""en"",""pt"")"),"Baixo preço, excelente suporte ao cliente, impressões boas")</f>
        <v>Baixo preço, excelente suporte ao cliente, impressões boas</v>
      </c>
      <c r="B49228" s="3">
        <v>1</v>
      </c>
    </row>
    <row r="49229" ht="15.75" customHeight="1" spans="1:2">
      <c r="A49229" s="3" t="str">
        <f>IFERROR(__xludf.DUMMYFUNCTION("GOOGLETRANSLATE(A49229,""en"",""pt"")"),"impressora grande")</f>
        <v>impressora grande</v>
      </c>
      <c r="B49229" s="3">
        <v>1</v>
      </c>
    </row>
    <row r="49230" ht="15.75" customHeight="1" spans="1:2">
      <c r="A49230" s="3" t="str">
        <f>IFERROR(__xludf.DUMMYFUNCTION("GOOGLETRANSLATE(A49230,""en"",""pt"")"),"Grande qualidade para o preço, impressão de documentos rápida, confiável em sua maior parte")</f>
        <v>Grande qualidade para o preço, impressão de documentos rápida, confiável em sua maior parte</v>
      </c>
      <c r="B49230" s="3">
        <v>1</v>
      </c>
    </row>
    <row r="49231" ht="15.75" customHeight="1" spans="1:2">
      <c r="A49231" s="3" t="str">
        <f>IFERROR(__xludf.DUMMYFUNCTION("GOOGLETRANSLATE(A49231,""en"",""pt"")"),"Grande cor, 1200x1200dpi, menos de US $ 179 !!! Comandos de voz!")</f>
        <v>Grande cor, 1200x1200dpi, menos de US $ 179 !!! Comandos de voz!</v>
      </c>
      <c r="B49231" s="3">
        <v>1</v>
      </c>
    </row>
    <row r="49232" ht="15.75" customHeight="1" spans="1:2">
      <c r="A49232" s="3" t="str">
        <f>IFERROR(__xludf.DUMMYFUNCTION("GOOGLETRANSLATE(A49232,""en"",""pt"")"),"Grandes impressões de fotografias")</f>
        <v>Grandes impressões de fotografias</v>
      </c>
      <c r="B49232" s="3">
        <v>1</v>
      </c>
    </row>
    <row r="49233" ht="15.75" customHeight="1" spans="1:2">
      <c r="A49233" s="3" t="str">
        <f>IFERROR(__xludf.DUMMYFUNCTION("GOOGLETRANSLATE(A49233,""en"",""pt"")"),"Qualidade de impressão.")</f>
        <v>Qualidade de impressão.</v>
      </c>
      <c r="B49233" s="3">
        <v>1</v>
      </c>
    </row>
    <row r="49234" ht="15.75" customHeight="1" spans="1:2">
      <c r="A49234" s="3" t="str">
        <f>IFERROR(__xludf.DUMMYFUNCTION("GOOGLETRANSLATE(A49234,""en"",""pt"")"),"Grande saída, os custos operacionais razoáveis")</f>
        <v>Grande saída, os custos operacionais razoáveis</v>
      </c>
      <c r="B49234" s="3">
        <v>1</v>
      </c>
    </row>
    <row r="49235" ht="15.75" customHeight="1" spans="1:2">
      <c r="A49235" s="3" t="str">
        <f>IFERROR(__xludf.DUMMYFUNCTION("GOOGLETRANSLATE(A49235,""en"",""pt"")"),"Voz capaz, boa qualidade")</f>
        <v>Voz capaz, boa qualidade</v>
      </c>
      <c r="B49235" s="3">
        <v>1</v>
      </c>
    </row>
    <row r="49236" ht="15.75" customHeight="1" spans="1:2">
      <c r="A49236" s="3" t="str">
        <f>IFERROR(__xludf.DUMMYFUNCTION("GOOGLETRANSLATE(A49236,""en"",""pt"")"),"Preço, qualidade de texto")</f>
        <v>Preço, qualidade de texto</v>
      </c>
      <c r="B49236" s="3">
        <v>1</v>
      </c>
    </row>
    <row r="49237" ht="15.75" customHeight="1" spans="1:2">
      <c r="A49237" s="3" t="str">
        <f>IFERROR(__xludf.DUMMYFUNCTION("GOOGLETRANSLATE(A49237,""en"",""pt"")"),"Grande qualidade de impressão, confiável")</f>
        <v>Grande qualidade de impressão, confiável</v>
      </c>
      <c r="B49237" s="3">
        <v>1</v>
      </c>
    </row>
    <row r="49238" ht="15.75" customHeight="1" spans="1:2">
      <c r="A49238" s="3" t="str">
        <f>IFERROR(__xludf.DUMMYFUNCTION("GOOGLETRANSLATE(A49238,""en"",""pt"")"),"Velocidade, qualidade de impressão, preço")</f>
        <v>Velocidade, qualidade de impressão, preço</v>
      </c>
      <c r="B49238" s="3">
        <v>1</v>
      </c>
    </row>
    <row r="49239" ht="15.75" customHeight="1" spans="1:2">
      <c r="A49239" s="3" t="str">
        <f>IFERROR(__xludf.DUMMYFUNCTION("GOOGLETRANSLATE(A49239,""en"",""pt"")"),"grande Cor")</f>
        <v>grande Cor</v>
      </c>
      <c r="B49239" s="3">
        <v>1</v>
      </c>
    </row>
    <row r="49240" ht="15.75" customHeight="1" spans="1:2">
      <c r="A49240" s="3" t="str">
        <f>IFERROR(__xludf.DUMMYFUNCTION("GOOGLETRANSLATE(A49240,""en"",""pt"")"),"Belas resolução de impressão, boa velocidade, USB e conexões de porta paralela")</f>
        <v>Belas resolução de impressão, boa velocidade, USB e conexões de porta paralela</v>
      </c>
      <c r="B49240" s="3">
        <v>1</v>
      </c>
    </row>
    <row r="49241" ht="15.75" customHeight="1" spans="1:2">
      <c r="A49241" s="3" t="str">
        <f>IFERROR(__xludf.DUMMYFUNCTION("GOOGLETRANSLATE(A49241,""en"",""pt"")"),"Boa velocidade, boa qualidade, e um bom preço!")</f>
        <v>Boa velocidade, boa qualidade, e um bom preço!</v>
      </c>
      <c r="B49241" s="3">
        <v>1</v>
      </c>
    </row>
    <row r="49242" ht="15.75" customHeight="1" spans="1:2">
      <c r="A49242" s="3" t="str">
        <f>IFERROR(__xludf.DUMMYFUNCTION("GOOGLETRANSLATE(A49242,""en"",""pt"")"),"Grande qualidade de impressão e velocidade, fácil de configurar e usar")</f>
        <v>Grande qualidade de impressão e velocidade, fácil de configurar e usar</v>
      </c>
      <c r="B49242" s="3">
        <v>1</v>
      </c>
    </row>
    <row r="49243" ht="15.75" customHeight="1" spans="1:2">
      <c r="A49243" s="3" t="str">
        <f>IFERROR(__xludf.DUMMYFUNCTION("GOOGLETRANSLATE(A49243,""en"",""pt"")"),"A grande qualidade, preço mais ele é fácil de usar e conexão.")</f>
        <v>A grande qualidade, preço mais ele é fácil de usar e conexão.</v>
      </c>
      <c r="B49243" s="3">
        <v>1</v>
      </c>
    </row>
    <row r="49244" ht="15.75" customHeight="1" spans="1:2">
      <c r="A49244" s="3" t="str">
        <f>IFERROR(__xludf.DUMMYFUNCTION("GOOGLETRANSLATE(A49244,""en"",""pt"")"),"mais rápido, manuseio de papel accufeed, suporte USB")</f>
        <v>mais rápido, manuseio de papel accufeed, suporte USB</v>
      </c>
      <c r="B49244" s="3">
        <v>1</v>
      </c>
    </row>
    <row r="49245" ht="15.75" customHeight="1" spans="1:2">
      <c r="A49245" s="3" t="str">
        <f>IFERROR(__xludf.DUMMYFUNCTION("GOOGLETRANSLATE(A49245,""en"",""pt"")"),"Rápida, impressora de alta qualidade - excelente qualidade e muito tolerante papel.")</f>
        <v>Rápida, impressora de alta qualidade - excelente qualidade e muito tolerante papel.</v>
      </c>
      <c r="B49245" s="3">
        <v>1</v>
      </c>
    </row>
    <row r="49246" ht="15.75" customHeight="1" spans="1:2">
      <c r="A49246" s="3" t="str">
        <f>IFERROR(__xludf.DUMMYFUNCTION("GOOGLETRANSLATE(A49246,""en"",""pt"")"),"$ Tag 99 preço para uma impressora que tem é altamente recomendado.")</f>
        <v>$ Tag 99 preço para uma impressora que tem é altamente recomendado.</v>
      </c>
      <c r="B49246" s="3">
        <v>1</v>
      </c>
    </row>
    <row r="49247" ht="15.75" customHeight="1" spans="1:2">
      <c r="A49247" s="3" t="str">
        <f>IFERROR(__xludf.DUMMYFUNCTION("GOOGLETRANSLATE(A49247,""en"",""pt"")"),"Melhor impressora para o preço")</f>
        <v>Melhor impressora para o preço</v>
      </c>
      <c r="B49247" s="3">
        <v>1</v>
      </c>
    </row>
    <row r="49248" ht="15.75" customHeight="1" spans="1:2">
      <c r="A49248" s="3" t="str">
        <f>IFERROR(__xludf.DUMMYFUNCTION("GOOGLETRANSLATE(A49248,""en"",""pt"")"),"Velocidade, Preço, USB e paralela Compatibilidade, Qualidade de Impressão")</f>
        <v>Velocidade, Preço, USB e paralela Compatibilidade, Qualidade de Impressão</v>
      </c>
      <c r="B49248" s="3">
        <v>1</v>
      </c>
    </row>
    <row r="49249" ht="15.75" customHeight="1" spans="1:2">
      <c r="A49249" s="3" t="str">
        <f>IFERROR(__xludf.DUMMYFUNCTION("GOOGLETRANSLATE(A49249,""en"",""pt"")"),"Grande Qualidade de Impressão &amp; amp; # 9;")</f>
        <v>Grande Qualidade de Impressão &amp; amp; # 9;</v>
      </c>
      <c r="B49249" s="3">
        <v>1</v>
      </c>
    </row>
    <row r="49250" ht="15.75" customHeight="1" spans="1:2">
      <c r="A49250" s="3" t="str">
        <f>IFERROR(__xludf.DUMMYFUNCTION("GOOGLETRANSLATE(A49250,""en"",""pt"")"),"Custo vs desempenho")</f>
        <v>Custo vs desempenho</v>
      </c>
      <c r="B49250" s="3">
        <v>1</v>
      </c>
    </row>
    <row r="49251" ht="15.75" customHeight="1" spans="1:2">
      <c r="A49251" s="3" t="str">
        <f>IFERROR(__xludf.DUMMYFUNCTION("GOOGLETRANSLATE(A49251,""en"",""pt"")"),"Excelente Qualidade de impressão, mais rápido, então a maioria das impressoras nesta faixa de preço")</f>
        <v>Excelente Qualidade de impressão, mais rápido, então a maioria das impressoras nesta faixa de preço</v>
      </c>
      <c r="B49251" s="3">
        <v>1</v>
      </c>
    </row>
    <row r="49252" ht="15.75" customHeight="1" spans="1:2">
      <c r="A49252" s="3" t="str">
        <f>IFERROR(__xludf.DUMMYFUNCTION("GOOGLETRANSLATE(A49252,""en"",""pt"")"),"atendimento ao cliente acessível e útil")</f>
        <v>atendimento ao cliente acessível e útil</v>
      </c>
      <c r="B49252" s="3">
        <v>1</v>
      </c>
    </row>
    <row r="49253" ht="15.75" customHeight="1" spans="1:2">
      <c r="A49253" s="3" t="str">
        <f>IFERROR(__xludf.DUMMYFUNCTION("GOOGLETRANSLATE(A49253,""en"",""pt"")"),"RÁPIDO, texto nítido, Grande cor")</f>
        <v>RÁPIDO, texto nítido, Grande cor</v>
      </c>
      <c r="B49253" s="3">
        <v>1</v>
      </c>
    </row>
    <row r="49254" ht="15.75" customHeight="1" spans="1:2">
      <c r="A49254" s="3" t="str">
        <f>IFERROR(__xludf.DUMMYFUNCTION("GOOGLETRANSLATE(A49254,""en"",""pt"")"),"Qualidade, preço, facilidade de operação.")</f>
        <v>Qualidade, preço, facilidade de operação.</v>
      </c>
      <c r="B49254" s="3">
        <v>1</v>
      </c>
    </row>
    <row r="49255" ht="15.75" customHeight="1" spans="1:2">
      <c r="A49255" s="3" t="str">
        <f>IFERROR(__xludf.DUMMYFUNCTION("GOOGLETRANSLATE(A49255,""en"",""pt"")"),"Preço para a impressora inicial, qualidade de impressão.")</f>
        <v>Preço para a impressora inicial, qualidade de impressão.</v>
      </c>
      <c r="B49255" s="3">
        <v>1</v>
      </c>
    </row>
    <row r="49256" ht="15.75" customHeight="1" spans="1:2">
      <c r="A49256" s="3" t="str">
        <f>IFERROR(__xludf.DUMMYFUNCTION("GOOGLETRANSLATE(A49256,""en"",""pt"")"),"dinheiro barato")</f>
        <v>dinheiro barato</v>
      </c>
      <c r="B49256" s="3">
        <v>1</v>
      </c>
    </row>
    <row r="49257" ht="15.75" customHeight="1" spans="1:2">
      <c r="A49257" s="3" t="str">
        <f>IFERROR(__xludf.DUMMYFUNCTION("GOOGLETRANSLATE(A49257,""en"",""pt"")"),"Realmente boa qualidade de impressão no orçamento de um escritor faminto")</f>
        <v>Realmente boa qualidade de impressão no orçamento de um escritor faminto</v>
      </c>
      <c r="B49257" s="3">
        <v>1</v>
      </c>
    </row>
    <row r="49258" ht="15.75" customHeight="1" spans="1:2">
      <c r="A49258" s="3" t="str">
        <f>IFERROR(__xludf.DUMMYFUNCTION("GOOGLETRANSLATE(A49258,""en"",""pt"")"),"Velocidade, resolução")</f>
        <v>Velocidade, resolução</v>
      </c>
      <c r="B49258" s="3">
        <v>1</v>
      </c>
    </row>
    <row r="49259" ht="15.75" customHeight="1" spans="1:2">
      <c r="A49259" s="3" t="str">
        <f>IFERROR(__xludf.DUMMYFUNCTION("GOOGLETRANSLATE(A49259,""en"",""pt"")"),"Fácil de operado. Vem pronto com cartuchos AC, preto e colorido. Hidh de impressora res.")</f>
        <v>Fácil de operado. Vem pronto com cartuchos AC, preto e colorido. Hidh de impressora res.</v>
      </c>
      <c r="B49259" s="3">
        <v>1</v>
      </c>
    </row>
    <row r="49260" ht="15.75" customHeight="1" spans="1:2">
      <c r="A49260" s="3" t="str">
        <f>IFERROR(__xludf.DUMMYFUNCTION("GOOGLETRANSLATE(A49260,""en"",""pt"")"),"correspondência de cor agradável, baixo custo, compacto (em comparação com a maioria), tipo apertado.")</f>
        <v>correspondência de cor agradável, baixo custo, compacto (em comparação com a maioria), tipo apertado.</v>
      </c>
      <c r="B49260" s="3">
        <v>1</v>
      </c>
    </row>
    <row r="49261" ht="15.75" customHeight="1" spans="1:2">
      <c r="A49261" s="3" t="str">
        <f>IFERROR(__xludf.DUMMYFUNCTION("GOOGLETRANSLATE(A49261,""en"",""pt"")"),"Cor em média DPI é muito bom, incrível no mais alto.")</f>
        <v>Cor em média DPI é muito bom, incrível no mais alto.</v>
      </c>
      <c r="B49261" s="3">
        <v>1</v>
      </c>
    </row>
    <row r="49262" ht="15.75" customHeight="1" spans="1:2">
      <c r="A49262" s="3" t="str">
        <f>IFERROR(__xludf.DUMMYFUNCTION("GOOGLETRANSLATE(A49262,""en"",""pt"")"),"Velocidade de impressão, alta qualidade gráfica e de texto, preço")</f>
        <v>Velocidade de impressão, alta qualidade gráfica e de texto, preço</v>
      </c>
      <c r="B49262" s="3">
        <v>1</v>
      </c>
    </row>
    <row r="49263" ht="15.75" customHeight="1" spans="1:2">
      <c r="A49263" s="3" t="str">
        <f>IFERROR(__xludf.DUMMYFUNCTION("GOOGLETRANSLATE(A49263,""en"",""pt"")"),"Compatível com compartilhamento de impressora USB da Apple, barato")</f>
        <v>Compatível com compartilhamento de impressora USB da Apple, barato</v>
      </c>
      <c r="B49263" s="3">
        <v>1</v>
      </c>
    </row>
    <row r="49264" ht="15.75" customHeight="1" spans="1:2">
      <c r="A49264" s="3" t="str">
        <f>IFERROR(__xludf.DUMMYFUNCTION("GOOGLETRANSLATE(A49264,""en"",""pt"")"),"Rascunho rápido, cor muito alta resolução")</f>
        <v>Rascunho rápido, cor muito alta resolução</v>
      </c>
      <c r="B49264" s="3">
        <v>1</v>
      </c>
    </row>
    <row r="49265" ht="15.75" customHeight="1" spans="1:2">
      <c r="A49265" s="3" t="str">
        <f>IFERROR(__xludf.DUMMYFUNCTION("GOOGLETRANSLATE(A49265,""en"",""pt"")"),"Rápida impressora de cor desktop. conectividade paralela e USB")</f>
        <v>Rápida impressora de cor desktop. conectividade paralela e USB</v>
      </c>
      <c r="B49265" s="3">
        <v>1</v>
      </c>
    </row>
    <row r="49266" ht="15.75" customHeight="1" spans="1:2">
      <c r="A49266" s="3" t="str">
        <f>IFERROR(__xludf.DUMMYFUNCTION("GOOGLETRANSLATE(A49266,""en"",""pt"")"),"Muito valor para o $, fácil de usar e instalar, impressões de qualidade")</f>
        <v>Muito valor para o $, fácil de usar e instalar, impressões de qualidade</v>
      </c>
      <c r="B49266" s="3">
        <v>1</v>
      </c>
    </row>
    <row r="49267" ht="15.75" customHeight="1" spans="1:2">
      <c r="A49267" s="3" t="str">
        <f>IFERROR(__xludf.DUMMYFUNCTION("GOOGLETRANSLATE(A49267,""en"",""pt"")"),"Rápido, de boa qualidade")</f>
        <v>Rápido, de boa qualidade</v>
      </c>
      <c r="B49267" s="3">
        <v>1</v>
      </c>
    </row>
    <row r="49268" ht="15.75" customHeight="1" spans="1:2">
      <c r="A49268" s="3" t="str">
        <f>IFERROR(__xludf.DUMMYFUNCTION("GOOGLETRANSLATE(A49268,""en"",""pt"")"),"2400 x 1200, mesmo em papel comum")</f>
        <v>2400 x 1200, mesmo em papel comum</v>
      </c>
      <c r="B49268" s="3">
        <v>1</v>
      </c>
    </row>
    <row r="49269" ht="15.75" customHeight="1" spans="1:2">
      <c r="A49269" s="3" t="str">
        <f>IFERROR(__xludf.DUMMYFUNCTION("GOOGLETRANSLATE(A49269,""en"",""pt"")"),"Custo, velocidade, facilidade de uso.")</f>
        <v>Custo, velocidade, facilidade de uso.</v>
      </c>
      <c r="B49269" s="3">
        <v>1</v>
      </c>
    </row>
    <row r="49270" ht="15.75" customHeight="1" spans="1:2">
      <c r="A49270" s="3" t="str">
        <f>IFERROR(__xludf.DUMMYFUNCTION("GOOGLETRANSLATE(A49270,""en"",""pt"")"),"Grande qualidade, ótimo preço")</f>
        <v>Grande qualidade, ótimo preço</v>
      </c>
      <c r="B49270" s="3">
        <v>1</v>
      </c>
    </row>
    <row r="49271" ht="15.75" customHeight="1" spans="1:2">
      <c r="A49271" s="3" t="str">
        <f>IFERROR(__xludf.DUMMYFUNCTION("GOOGLETRANSLATE(A49271,""en"",""pt"")"),"rápida, impressora maior resolução disponível, apenas 180 dólares, suporta papel mais grosso do que o normal")</f>
        <v>rápida, impressora maior resolução disponível, apenas 180 dólares, suporta papel mais grosso do que o normal</v>
      </c>
      <c r="B49271" s="3">
        <v>1</v>
      </c>
    </row>
    <row r="49272" ht="15.75" customHeight="1" spans="1:2">
      <c r="A49272" s="3" t="str">
        <f>IFERROR(__xludf.DUMMYFUNCTION("GOOGLETRANSLATE(A49272,""en"",""pt"")"),"preço, sistema de alimentação superior")</f>
        <v>preço, sistema de alimentação superior</v>
      </c>
      <c r="B49272" s="3">
        <v>1</v>
      </c>
    </row>
    <row r="49273" ht="15.75" customHeight="1" spans="1:2">
      <c r="A49273" s="3" t="str">
        <f>IFERROR(__xludf.DUMMYFUNCTION("GOOGLETRANSLATE(A49273,""en"",""pt"")"),"A impressora a cores barato w / 2400x1200 dpi")</f>
        <v>A impressora a cores barato w / 2400x1200 dpi</v>
      </c>
      <c r="B49273" s="3">
        <v>1</v>
      </c>
    </row>
    <row r="49274" ht="15.75" customHeight="1" spans="1:2">
      <c r="A49274" s="3" t="str">
        <f>IFERROR(__xludf.DUMMYFUNCTION("GOOGLETRANSLATE(A49274,""en"",""pt"")"),"Alta resolução e rápida impressora para um grande preço.")</f>
        <v>Alta resolução e rápida impressora para um grande preço.</v>
      </c>
      <c r="B49274" s="3">
        <v>1</v>
      </c>
    </row>
    <row r="49275" ht="15.75" customHeight="1" spans="1:2">
      <c r="A49275" s="3" t="str">
        <f>IFERROR(__xludf.DUMMYFUNCTION("GOOGLETRANSLATE(A49275,""en"",""pt"")"),"Grande qualidade não muito caro")</f>
        <v>Grande qualidade não muito caro</v>
      </c>
      <c r="B49275" s="3">
        <v>1</v>
      </c>
    </row>
    <row r="49276" ht="15.75" customHeight="1" spans="1:2">
      <c r="A49276" s="3" t="str">
        <f>IFERROR(__xludf.DUMMYFUNCTION("GOOGLETRANSLATE(A49276,""en"",""pt"")"),"Velocidade, resolução, tamanho de impressão")</f>
        <v>Velocidade, resolução, tamanho de impressão</v>
      </c>
      <c r="B49276" s="3">
        <v>1</v>
      </c>
    </row>
    <row r="49277" ht="15.75" customHeight="1" spans="1:2">
      <c r="A49277" s="3" t="str">
        <f>IFERROR(__xludf.DUMMYFUNCTION("GOOGLETRANSLATE(A49277,""en"",""pt"")"),"A grande qualidade, barato, fácil instalação, Speedy, Top Loading, boa interface")</f>
        <v>A grande qualidade, barato, fácil instalação, Speedy, Top Loading, boa interface</v>
      </c>
      <c r="B49277" s="3">
        <v>1</v>
      </c>
    </row>
    <row r="49278" ht="15.75" customHeight="1" spans="1:2">
      <c r="A49278" s="3" t="str">
        <f>IFERROR(__xludf.DUMMYFUNCTION("GOOGLETRANSLATE(A49278,""en"",""pt"")"),"qualidade, velocidade, preço")</f>
        <v>qualidade, velocidade, preço</v>
      </c>
      <c r="B49278" s="3">
        <v>1</v>
      </c>
    </row>
    <row r="49279" ht="15.75" customHeight="1" spans="1:2">
      <c r="A49279" s="3" t="str">
        <f>IFERROR(__xludf.DUMMYFUNCTION("GOOGLETRANSLATE(A49279,""en"",""pt"")"),"A qualidade de impressão, velocidade de impressão")</f>
        <v>A qualidade de impressão, velocidade de impressão</v>
      </c>
      <c r="B49279" s="3">
        <v>1</v>
      </c>
    </row>
    <row r="49280" ht="15.75" customHeight="1" spans="1:2">
      <c r="A49280" s="3" t="str">
        <f>IFERROR(__xludf.DUMMYFUNCTION("GOOGLETRANSLATE(A49280,""en"",""pt"")"),"preço, velocidade, qualidade")</f>
        <v>preço, velocidade, qualidade</v>
      </c>
      <c r="B49280" s="3">
        <v>1</v>
      </c>
    </row>
    <row r="49281" ht="15.75" customHeight="1" spans="1:2">
      <c r="A49281" s="3" t="str">
        <f>IFERROR(__xludf.DUMMYFUNCTION("GOOGLETRANSLATE(A49281,""en"",""pt"")"),"A grande qualidade, fácil de usar, bom preço")</f>
        <v>A grande qualidade, fácil de usar, bom preço</v>
      </c>
      <c r="B49281" s="3">
        <v>1</v>
      </c>
    </row>
    <row r="49282" ht="15.75" customHeight="1" spans="1:2">
      <c r="A49282" s="3" t="str">
        <f>IFERROR(__xludf.DUMMYFUNCTION("GOOGLETRANSLATE(A49282,""en"",""pt"")"),"Fácil de instalar, de confiança, qualidade aceitável")</f>
        <v>Fácil de instalar, de confiança, qualidade aceitável</v>
      </c>
      <c r="B49282" s="3">
        <v>1</v>
      </c>
    </row>
    <row r="49283" ht="15.75" customHeight="1" spans="1:2">
      <c r="A49283" s="3" t="str">
        <f>IFERROR(__xludf.DUMMYFUNCTION("GOOGLETRANSLATE(A49283,""en"",""pt"")"),"Fácil instalação, fácil de usar, fácil de apreciar.")</f>
        <v>Fácil instalação, fácil de usar, fácil de apreciar.</v>
      </c>
      <c r="B49283" s="3">
        <v>1</v>
      </c>
    </row>
    <row r="49284" ht="15.75" customHeight="1" spans="1:2">
      <c r="A49284" s="3" t="str">
        <f>IFERROR(__xludf.DUMMYFUNCTION("GOOGLETRANSLATE(A49284,""en"",""pt"")"),"tamanho, qualidade")</f>
        <v>tamanho, qualidade</v>
      </c>
      <c r="B49284" s="3">
        <v>1</v>
      </c>
    </row>
    <row r="49285" ht="15.75" customHeight="1" spans="1:2">
      <c r="A49285" s="3" t="str">
        <f>IFERROR(__xludf.DUMMYFUNCTION("GOOGLETRANSLATE(A49285,""en"",""pt"")"),"Profundo, rico em cores ao imprimir fotos")</f>
        <v>Profundo, rico em cores ao imprimir fotos</v>
      </c>
      <c r="B49285" s="3">
        <v>1</v>
      </c>
    </row>
    <row r="49286" ht="15.75" customHeight="1" spans="1:2">
      <c r="A49286" s="3" t="str">
        <f>IFERROR(__xludf.DUMMYFUNCTION("GOOGLETRANSLATE(A49286,""en"",""pt"")"),"fácil configuração, texto nítido, bons gráficos, boa velocidade")</f>
        <v>fácil configuração, texto nítido, bons gráficos, boa velocidade</v>
      </c>
      <c r="B49286" s="3">
        <v>1</v>
      </c>
    </row>
    <row r="49287" ht="15.75" customHeight="1" spans="1:2">
      <c r="A49287" s="3" t="str">
        <f>IFERROR(__xludf.DUMMYFUNCTION("GOOGLETRANSLATE(A49287,""en"",""pt"")"),"preço")</f>
        <v>preço</v>
      </c>
      <c r="B49287" s="3">
        <v>1</v>
      </c>
    </row>
    <row r="49288" ht="15.75" customHeight="1" spans="1:2">
      <c r="A49288" s="3" t="str">
        <f>IFERROR(__xludf.DUMMYFUNCTION("GOOGLETRANSLATE(A49288,""en"",""pt"")"),"Texto e imagem de qualidade, simplicidade de uso, fáceis cartuchos recarregáveis.")</f>
        <v>Texto e imagem de qualidade, simplicidade de uso, fáceis cartuchos recarregáveis.</v>
      </c>
      <c r="B49288" s="3">
        <v>1</v>
      </c>
    </row>
    <row r="49289" ht="15.75" customHeight="1" spans="1:2">
      <c r="A49289" s="3" t="str">
        <f>IFERROR(__xludf.DUMMYFUNCTION("GOOGLETRANSLATE(A49289,""en"",""pt"")"),"conexão USB verdade")</f>
        <v>conexão USB verdade</v>
      </c>
      <c r="B49289" s="3">
        <v>1</v>
      </c>
    </row>
    <row r="49290" ht="15.75" customHeight="1" spans="1:2">
      <c r="A49290" s="3" t="str">
        <f>IFERROR(__xludf.DUMMYFUNCTION("GOOGLETRANSLATE(A49290,""en"",""pt"")"),"impressão rápida e de alta qualidade, barato, USB, excelente alimentação de papel")</f>
        <v>impressão rápida e de alta qualidade, barato, USB, excelente alimentação de papel</v>
      </c>
      <c r="B49290" s="3">
        <v>1</v>
      </c>
    </row>
    <row r="49291" ht="15.75" customHeight="1" spans="1:2">
      <c r="A49291" s="3" t="str">
        <f>IFERROR(__xludf.DUMMYFUNCTION("GOOGLETRANSLATE(A49291,""en"",""pt"")"),"impressão a preto e branco muito rápido")</f>
        <v>impressão a preto e branco muito rápido</v>
      </c>
      <c r="B49291" s="3">
        <v>1</v>
      </c>
    </row>
    <row r="49292" ht="15.75" customHeight="1" spans="1:2">
      <c r="A49292" s="3" t="str">
        <f>IFERROR(__xludf.DUMMYFUNCTION("GOOGLETRANSLATE(A49292,""en"",""pt"")"),"Extremamente elevado detalhe, muito rápido.")</f>
        <v>Extremamente elevado detalhe, muito rápido.</v>
      </c>
      <c r="B49292" s="3">
        <v>1</v>
      </c>
    </row>
    <row r="49293" ht="15.75" customHeight="1" spans="1:2">
      <c r="A49293" s="3" t="str">
        <f>IFERROR(__xludf.DUMMYFUNCTION("GOOGLETRANSLATE(A49293,""en"",""pt"")"),"Silencioso, rápido, de alta qualidade")</f>
        <v>Silencioso, rápido, de alta qualidade</v>
      </c>
      <c r="B49293" s="3">
        <v>1</v>
      </c>
    </row>
    <row r="49294" ht="15.75" customHeight="1" spans="1:2">
      <c r="A49294" s="3" t="str">
        <f>IFERROR(__xludf.DUMMYFUNCTION("GOOGLETRANSLATE(A49294,""en"",""pt"")"),"Preço inicial")</f>
        <v>Preço inicial</v>
      </c>
      <c r="B49294" s="3">
        <v>1</v>
      </c>
    </row>
    <row r="49295" ht="15.75" customHeight="1" spans="1:2">
      <c r="A49295" s="3" t="str">
        <f>IFERROR(__xludf.DUMMYFUNCTION("GOOGLETRANSLATE(A49295,""en"",""pt"")"),"Rápida e clara impressão")</f>
        <v>Rápida e clara impressão</v>
      </c>
      <c r="B49295" s="3">
        <v>1</v>
      </c>
    </row>
    <row r="49296" ht="15.75" customHeight="1" spans="1:2">
      <c r="A49296" s="3" t="str">
        <f>IFERROR(__xludf.DUMMYFUNCTION("GOOGLETRANSLATE(A49296,""en"",""pt"")"),"Alta qualidade, fácil de carga, leva todos os tipos de papel, o valor incrível, programa de controle de bom.")</f>
        <v>Alta qualidade, fácil de carga, leva todos os tipos de papel, o valor incrível, programa de controle de bom.</v>
      </c>
      <c r="B49296" s="3">
        <v>1</v>
      </c>
    </row>
    <row r="49297" ht="15.75" customHeight="1" spans="1:2">
      <c r="A49297" s="3" t="str">
        <f>IFERROR(__xludf.DUMMYFUNCTION("GOOGLETRANSLATE(A49297,""en"",""pt"")"),"Superior Qualidade de impressão; &amp; amp; # 13; &amp; amp; # 10; Low Printer Preço de Compra; &amp; amp; # 13; &amp; amp; # 10; Facilidade de Instalação &amp; amp; # 13; &amp; amp; # 10;")</f>
        <v>Superior Qualidade de impressão; &amp; amp; # 13; &amp; amp; # 10; Low Printer Preço de Compra; &amp; amp; # 13; &amp; amp; # 10; Facilidade de Instalação &amp; amp; # 13; &amp; amp; # 10;</v>
      </c>
      <c r="B49297" s="3">
        <v>1</v>
      </c>
    </row>
    <row r="49298" ht="15.75" customHeight="1" spans="1:2">
      <c r="A49298" s="3" t="str">
        <f>IFERROR(__xludf.DUMMYFUNCTION("GOOGLETRANSLATE(A49298,""en"",""pt"")"),"Rápido, barato, fácil de usar!")</f>
        <v>Rápido, barato, fácil de usar!</v>
      </c>
      <c r="B49298" s="3">
        <v>1</v>
      </c>
    </row>
    <row r="49299" ht="15.75" customHeight="1" spans="1:2">
      <c r="A49299" s="3" t="str">
        <f>IFERROR(__xludf.DUMMYFUNCTION("GOOGLETRANSLATE(A49299,""en"",""pt"")"),"Maior velocidade e qualidade, Phenominal Prints, custo excepcionalmente baixo")</f>
        <v>Maior velocidade e qualidade, Phenominal Prints, custo excepcionalmente baixo</v>
      </c>
      <c r="B49299" s="3">
        <v>1</v>
      </c>
    </row>
    <row r="49300" ht="15.75" customHeight="1" spans="1:2">
      <c r="A49300" s="3" t="str">
        <f>IFERROR(__xludf.DUMMYFUNCTION("GOOGLETRANSLATE(A49300,""en"",""pt"")"),"uma impressora grande escritório em casa que faz um trabalho fabuloso em fotos")</f>
        <v>uma impressora grande escritório em casa que faz um trabalho fabuloso em fotos</v>
      </c>
      <c r="B49300" s="3">
        <v>1</v>
      </c>
    </row>
    <row r="49301" ht="15.75" customHeight="1" spans="1:2">
      <c r="A49301" s="3" t="str">
        <f>IFERROR(__xludf.DUMMYFUNCTION("GOOGLETRANSLATE(A49301,""en"",""pt"")"),"VELOZES!")</f>
        <v>VELOZES!</v>
      </c>
      <c r="B49301" s="3">
        <v>1</v>
      </c>
    </row>
    <row r="49302" ht="15.75" customHeight="1" spans="1:2">
      <c r="A49302" s="3" t="str">
        <f>IFERROR(__xludf.DUMMYFUNCTION("GOOGLETRANSLATE(A49302,""en"",""pt"")"),"Rápido, a qualidade de impressão, USB e porta de impressora")</f>
        <v>Rápido, a qualidade de impressão, USB e porta de impressora</v>
      </c>
      <c r="B49302" s="3">
        <v>1</v>
      </c>
    </row>
    <row r="49303" ht="15.75" customHeight="1" spans="1:2">
      <c r="A49303" s="3" t="str">
        <f>IFERROR(__xludf.DUMMYFUNCTION("GOOGLETRANSLATE(A49303,""en"",""pt"")"),"Boa. Rápido. Fácil de usar.")</f>
        <v>Boa. Rápido. Fácil de usar.</v>
      </c>
      <c r="B49303" s="3">
        <v>1</v>
      </c>
    </row>
    <row r="49304" ht="15.75" customHeight="1" spans="1:2">
      <c r="A49304" s="3" t="str">
        <f>IFERROR(__xludf.DUMMYFUNCTION("GOOGLETRANSLATE(A49304,""en"",""pt"")"),"mais rápido, manuseio de papel accufeed, suporte USB")</f>
        <v>mais rápido, manuseio de papel accufeed, suporte USB</v>
      </c>
      <c r="B49304" s="3">
        <v>1</v>
      </c>
    </row>
    <row r="49305" ht="15.75" customHeight="1" spans="1:2">
      <c r="A49305" s="3" t="str">
        <f>IFERROR(__xludf.DUMMYFUNCTION("GOOGLETRANSLATE(A49305,""en"",""pt"")"),"Printer Foto de alta qualidade.")</f>
        <v>Printer Foto de alta qualidade.</v>
      </c>
      <c r="B49305" s="3">
        <v>1</v>
      </c>
    </row>
    <row r="49306" ht="15.75" customHeight="1" spans="1:2">
      <c r="A49306" s="3" t="str">
        <f>IFERROR(__xludf.DUMMYFUNCTION("GOOGLETRANSLATE(A49306,""en"",""pt"")"),"Fresco e limpo, oi-res de saída. Rápido. Simples de usar e configurar. Preço baixo!")</f>
        <v>Fresco e limpo, oi-res de saída. Rápido. Simples de usar e configurar. Preço baixo!</v>
      </c>
      <c r="B49306" s="3">
        <v>1</v>
      </c>
    </row>
    <row r="49307" ht="15.75" customHeight="1" spans="1:2">
      <c r="A49307" s="3" t="str">
        <f>IFERROR(__xludf.DUMMYFUNCTION("GOOGLETRANSLATE(A49307,""en"",""pt"")"),"USB e paralela, excelente resolução, bw rápido e de impressão a cores, preço")</f>
        <v>USB e paralela, excelente resolução, bw rápido e de impressão a cores, preço</v>
      </c>
      <c r="B49307" s="3">
        <v>1</v>
      </c>
    </row>
    <row r="49308" ht="15.75" customHeight="1" spans="1:2">
      <c r="A49308" s="3" t="str">
        <f>IFERROR(__xludf.DUMMYFUNCTION("GOOGLETRANSLATE(A49308,""en"",""pt"")"),"Preço")</f>
        <v>Preço</v>
      </c>
      <c r="B49308" s="3">
        <v>1</v>
      </c>
    </row>
    <row r="49309" ht="15.75" customHeight="1" spans="1:2">
      <c r="A49309" s="3" t="str">
        <f>IFERROR(__xludf.DUMMYFUNCTION("GOOGLETRANSLATE(A49309,""en"",""pt"")"),"Imprime fotos de boa qualidade, cartões e tal. Fácil de usar e ligar!")</f>
        <v>Imprime fotos de boa qualidade, cartões e tal. Fácil de usar e ligar!</v>
      </c>
      <c r="B49309" s="3">
        <v>1</v>
      </c>
    </row>
    <row r="49310" ht="15.75" customHeight="1" spans="1:2">
      <c r="A49310" s="3" t="str">
        <f>IFERROR(__xludf.DUMMYFUNCTION("GOOGLETRANSLATE(A49310,""en"",""pt"")"),"Rápido, suporte USB, fácil de usar.")</f>
        <v>Rápido, suporte USB, fácil de usar.</v>
      </c>
      <c r="B49310" s="3">
        <v>1</v>
      </c>
    </row>
    <row r="49311" ht="15.75" customHeight="1" spans="1:2">
      <c r="A49311" s="3" t="str">
        <f>IFERROR(__xludf.DUMMYFUNCTION("GOOGLETRANSLATE(A49311,""en"",""pt"")"),"Fácil configuração, um dos a instalação do driver simplista mais eu fiz. Fast &amp; amp; Claro.")</f>
        <v>Fácil configuração, um dos a instalação do driver simplista mais eu fiz. Fast &amp; amp; Claro.</v>
      </c>
      <c r="B49311" s="3">
        <v>1</v>
      </c>
    </row>
    <row r="49312" ht="15.75" customHeight="1" spans="1:2">
      <c r="A49312" s="3" t="str">
        <f>IFERROR(__xludf.DUMMYFUNCTION("GOOGLETRANSLATE(A49312,""en"",""pt"")"),"Baixo preço, muito fácil de configurar, excelente qualidade de impressão")</f>
        <v>Baixo preço, muito fácil de configurar, excelente qualidade de impressão</v>
      </c>
      <c r="B49312" s="3">
        <v>1</v>
      </c>
    </row>
    <row r="49313" ht="15.75" customHeight="1" spans="1:2">
      <c r="A49313" s="3" t="str">
        <f>IFERROR(__xludf.DUMMYFUNCTION("GOOGLETRANSLATE(A49313,""en"",""pt"")"),"Mais rápida, clara e nítida Pictures e cartucho de calibre")</f>
        <v>Mais rápida, clara e nítida Pictures e cartucho de calibre</v>
      </c>
      <c r="B49313" s="3">
        <v>1</v>
      </c>
    </row>
    <row r="49314" ht="15.75" customHeight="1" spans="1:2">
      <c r="A49314" s="3" t="str">
        <f>IFERROR(__xludf.DUMMYFUNCTION("GOOGLETRANSLATE(A49314,""en"",""pt"")"),"Extremamente rápido, excelente 2400 x 1200 impressão de fotografias, cartucho durar muito tempo.")</f>
        <v>Extremamente rápido, excelente 2400 x 1200 impressão de fotografias, cartucho durar muito tempo.</v>
      </c>
      <c r="B49314" s="3">
        <v>1</v>
      </c>
    </row>
    <row r="49315" ht="15.75" customHeight="1" spans="1:2">
      <c r="A49315" s="3" t="str">
        <f>IFERROR(__xludf.DUMMYFUNCTION("GOOGLETRANSLATE(A49315,""en"",""pt"")"),"Fácil de configurar")</f>
        <v>Fácil de configurar</v>
      </c>
      <c r="B49315" s="3">
        <v>1</v>
      </c>
    </row>
    <row r="49316" ht="15.75" customHeight="1" spans="1:2">
      <c r="A49316" s="3" t="str">
        <f>IFERROR(__xludf.DUMMYFUNCTION("GOOGLETRANSLATE(A49316,""en"",""pt"")"),"baixo consumo de tinta no modo de rascunho ... não come-se tinta a limpeza em si")</f>
        <v>baixo consumo de tinta no modo de rascunho ... não come-se tinta a limpeza em si</v>
      </c>
      <c r="B49316" s="3">
        <v>1</v>
      </c>
    </row>
    <row r="49317" ht="15.75" customHeight="1" spans="1:2">
      <c r="A49317" s="3" t="str">
        <f>IFERROR(__xludf.DUMMYFUNCTION("GOOGLETRANSLATE(A49317,""en"",""pt"")"),"Rápido, fácil de usar quando se trabalha, conexão USB, o investimento inicial barato, fácil cartucho, cor excelente.")</f>
        <v>Rápido, fácil de usar quando se trabalha, conexão USB, o investimento inicial barato, fácil cartucho, cor excelente.</v>
      </c>
      <c r="B49317" s="3">
        <v>1</v>
      </c>
    </row>
    <row r="49318" ht="15.75" customHeight="1" spans="1:2">
      <c r="A49318" s="3" t="str">
        <f>IFERROR(__xludf.DUMMYFUNCTION("GOOGLETRANSLATE(A49318,""en"",""pt"")"),"hum, ele imprime material")</f>
        <v>hum, ele imprime material</v>
      </c>
      <c r="B49318" s="3">
        <v>1</v>
      </c>
    </row>
    <row r="49319" ht="15.75" customHeight="1" spans="1:2">
      <c r="A49319" s="3" t="str">
        <f>IFERROR(__xludf.DUMMYFUNCTION("GOOGLETRANSLATE(A49319,""en"",""pt"")"),"Tamanho, Looks")</f>
        <v>Tamanho, Looks</v>
      </c>
      <c r="B49319" s="3">
        <v>1</v>
      </c>
    </row>
    <row r="49320" ht="15.75" customHeight="1" spans="1:2">
      <c r="A49320" s="3" t="str">
        <f>IFERROR(__xludf.DUMMYFUNCTION("GOOGLETRANSLATE(A49320,""en"",""pt"")"),"qualidade de impressão impressionante, preço e velocidade")</f>
        <v>qualidade de impressão impressionante, preço e velocidade</v>
      </c>
      <c r="B49320" s="3">
        <v>1</v>
      </c>
    </row>
    <row r="49321" ht="15.75" customHeight="1" spans="1:2">
      <c r="A49321" s="3" t="str">
        <f>IFERROR(__xludf.DUMMYFUNCTION("GOOGLETRANSLATE(A49321,""en"",""pt"")"),"economizando impressora com crisp espaço, qualidade clara")</f>
        <v>economizando impressora com crisp espaço, qualidade clara</v>
      </c>
      <c r="B49321" s="3">
        <v>1</v>
      </c>
    </row>
    <row r="49322" ht="15.75" customHeight="1" spans="1:2">
      <c r="A49322" s="3" t="str">
        <f>IFERROR(__xludf.DUMMYFUNCTION("GOOGLETRANSLATE(A49322,""en"",""pt"")"),"Grande impressão para fotos e texto de cor; design estético")</f>
        <v>Grande impressão para fotos e texto de cor; design estético</v>
      </c>
      <c r="B49322" s="3">
        <v>1</v>
      </c>
    </row>
    <row r="49323" ht="15.75" customHeight="1" spans="1:2">
      <c r="A49323" s="3" t="str">
        <f>IFERROR(__xludf.DUMMYFUNCTION("GOOGLETRANSLATE(A49323,""en"",""pt"")"),"Excelente qualidade, calma, sem congestionamentos, grandes pilotos, USB ou Paralela")</f>
        <v>Excelente qualidade, calma, sem congestionamentos, grandes pilotos, USB ou Paralela</v>
      </c>
      <c r="B49323" s="3">
        <v>1</v>
      </c>
    </row>
    <row r="49324" ht="15.75" customHeight="1" spans="1:2">
      <c r="A49324" s="3" t="str">
        <f>IFERROR(__xludf.DUMMYFUNCTION("GOOGLETRANSLATE(A49324,""en"",""pt"")"),"bons gráficos")</f>
        <v>bons gráficos</v>
      </c>
      <c r="B49324" s="3">
        <v>1</v>
      </c>
    </row>
    <row r="49325" ht="15.75" customHeight="1" spans="1:2">
      <c r="A49325" s="3" t="str">
        <f>IFERROR(__xludf.DUMMYFUNCTION("GOOGLETRANSLATE(A49325,""en"",""pt"")"),"Preço &amp; amp; Qualidade!")</f>
        <v>Preço &amp; amp; Qualidade!</v>
      </c>
      <c r="B49325" s="3">
        <v>1</v>
      </c>
    </row>
    <row r="49326" ht="15.75" customHeight="1" spans="1:2">
      <c r="A49326" s="3" t="str">
        <f>IFERROR(__xludf.DUMMYFUNCTION("GOOGLETRANSLATE(A49326,""en"",""pt"")"),"Qualidade de imagem impressionante, excelente impressão a preto rápido, e nunca compotas ...")</f>
        <v>Qualidade de imagem impressionante, excelente impressão a preto rápido, e nunca compotas ...</v>
      </c>
      <c r="B49326" s="3">
        <v>1</v>
      </c>
    </row>
    <row r="49327" ht="15.75" customHeight="1" spans="1:2">
      <c r="A49327" s="3" t="str">
        <f>IFERROR(__xludf.DUMMYFUNCTION("GOOGLETRANSLATE(A49327,""en"",""pt"")"),"Muito rápido, excelente texto e qualidade de imagem; Ambos os cartuchos cheios incluído")</f>
        <v>Muito rápido, excelente texto e qualidade de imagem; Ambos os cartuchos cheios incluído</v>
      </c>
      <c r="B49327" s="3">
        <v>1</v>
      </c>
    </row>
    <row r="49328" ht="15.75" customHeight="1" spans="1:2">
      <c r="A49328" s="3" t="str">
        <f>IFERROR(__xludf.DUMMYFUNCTION("GOOGLETRANSLATE(A49328,""en"",""pt"")"),"rápido, barato fácil de encher tinta,")</f>
        <v>rápido, barato fácil de encher tinta,</v>
      </c>
      <c r="B49328" s="3">
        <v>1</v>
      </c>
    </row>
    <row r="49329" ht="15.75" customHeight="1" spans="1:2">
      <c r="A49329" s="3" t="str">
        <f>IFERROR(__xludf.DUMMYFUNCTION("GOOGLETRANSLATE(A49329,""en"",""pt"")"),"carrinhos de tinta para reposição preço decente")</f>
        <v>carrinhos de tinta para reposição preço decente</v>
      </c>
      <c r="B49329" s="3">
        <v>1</v>
      </c>
    </row>
    <row r="49330" ht="15.75" customHeight="1" spans="1:2">
      <c r="A49330" s="3" t="str">
        <f>IFERROR(__xludf.DUMMYFUNCTION("GOOGLETRANSLATE(A49330,""en"",""pt"")"),"2 bandejas de papel, rápido, mais silencioso do que Lexmarks anteriores.")</f>
        <v>2 bandejas de papel, rápido, mais silencioso do que Lexmarks anteriores.</v>
      </c>
      <c r="B49330" s="3">
        <v>1</v>
      </c>
    </row>
    <row r="49331" ht="15.75" customHeight="1" spans="1:2">
      <c r="A49331" s="3" t="str">
        <f>IFERROR(__xludf.DUMMYFUNCTION("GOOGLETRANSLATE(A49331,""en"",""pt"")"),"Velocidade, resolução, preço, sem alinhamento, e software (esfola batata bake)")</f>
        <v>Velocidade, resolução, preço, sem alinhamento, e software (esfola batata bake)</v>
      </c>
      <c r="B49331" s="3">
        <v>1</v>
      </c>
    </row>
    <row r="49332" ht="15.75" customHeight="1" spans="1:2">
      <c r="A49332" s="3" t="str">
        <f>IFERROR(__xludf.DUMMYFUNCTION("GOOGLETRANSLATE(A49332,""en"",""pt"")"),"rápido, de alta resolução, tabuleiros de papel duplos e grandes fotos")</f>
        <v>rápido, de alta resolução, tabuleiros de papel duplos e grandes fotos</v>
      </c>
      <c r="B49332" s="3">
        <v>1</v>
      </c>
    </row>
    <row r="49333" ht="15.75" customHeight="1" spans="1:2">
      <c r="A49333" s="3" t="str">
        <f>IFERROR(__xludf.DUMMYFUNCTION("GOOGLETRANSLATE(A49333,""en"",""pt"")"),"Resolução de impressão, Style.")</f>
        <v>Resolução de impressão, Style.</v>
      </c>
      <c r="B49333" s="3">
        <v>1</v>
      </c>
    </row>
    <row r="49334" ht="15.75" customHeight="1" spans="1:2">
      <c r="A49334" s="3" t="str">
        <f>IFERROR(__xludf.DUMMYFUNCTION("GOOGLETRANSLATE(A49334,""en"",""pt"")"),"qualidade geral de impressão, facilidade de uso, bandejas de papel duplo, detecção automática de papel")</f>
        <v>qualidade geral de impressão, facilidade de uso, bandejas de papel duplo, detecção automática de papel</v>
      </c>
      <c r="B49334" s="3">
        <v>1</v>
      </c>
    </row>
    <row r="49335" ht="15.75" customHeight="1" spans="1:2">
      <c r="A49335" s="3" t="str">
        <f>IFERROR(__xludf.DUMMYFUNCTION("GOOGLETRANSLATE(A49335,""en"",""pt"")"),"Bom apoio da Lexmark")</f>
        <v>Bom apoio da Lexmark</v>
      </c>
      <c r="B49335" s="3">
        <v>1</v>
      </c>
    </row>
    <row r="49336" ht="15.75" customHeight="1" spans="1:2">
      <c r="A49336" s="3" t="s">
        <v>249</v>
      </c>
      <c r="B49336" s="3">
        <v>1</v>
      </c>
    </row>
    <row r="49337" ht="15.75" customHeight="1" spans="1:2">
      <c r="A49337" s="3" t="str">
        <f>IFERROR(__xludf.DUMMYFUNCTION("GOOGLETRANSLATE(A49337,""en"",""pt"")"),"Grande para o uso do volume home / médio. Boa qualidade de impressão. Fotos impressionantes.")</f>
        <v>Grande para o uso do volume home / médio. Boa qualidade de impressão. Fotos impressionantes.</v>
      </c>
      <c r="B49337" s="3">
        <v>1</v>
      </c>
    </row>
    <row r="49338" ht="15.75" customHeight="1" spans="1:2">
      <c r="A49338" s="3" t="str">
        <f>IFERROR(__xludf.DUMMYFUNCTION("GOOGLETRANSLATE(A49338,""en"",""pt"")"),"Custo razoável")</f>
        <v>Custo razoável</v>
      </c>
      <c r="B49338" s="3">
        <v>1</v>
      </c>
    </row>
    <row r="49339" ht="15.75" customHeight="1" spans="1:2">
      <c r="A49339" s="3" t="str">
        <f>IFERROR(__xludf.DUMMYFUNCTION("GOOGLETRANSLATE(A49339,""en"",""pt"")"),"cor rápido e B / impressão W e duas bandejas de papel")</f>
        <v>cor rápido e B / impressão W e duas bandejas de papel</v>
      </c>
      <c r="B49339" s="3">
        <v>1</v>
      </c>
    </row>
    <row r="49340" ht="15.75" customHeight="1" spans="1:2">
      <c r="A49340" s="3" t="str">
        <f>IFERROR(__xludf.DUMMYFUNCTION("GOOGLETRANSLATE(A49340,""en"",""pt"")"),"Impressionante ... e eu quero dizer fotos IMPRESSIONANTE !!!! No 199,00 + impostos (Office Depot) é uma pechincha.")</f>
        <v>Impressionante ... e eu quero dizer fotos IMPRESSIONANTE !!!! No 199,00 + impostos (Office Depot) é uma pechincha.</v>
      </c>
      <c r="B49340" s="3">
        <v>1</v>
      </c>
    </row>
    <row r="49341" ht="15.75" customHeight="1" spans="1:2">
      <c r="A49341" s="3" t="str">
        <f>IFERROR(__xludf.DUMMYFUNCTION("GOOGLETRANSLATE(A49341,""en"",""pt"")"),"Barato, Pegada pequeno, silencioso, rápido e impressão Crisp.")</f>
        <v>Barato, Pegada pequeno, silencioso, rápido e impressão Crisp.</v>
      </c>
      <c r="B49341" s="3">
        <v>1</v>
      </c>
    </row>
    <row r="49342" ht="15.75" customHeight="1" spans="1:2">
      <c r="A49342" s="3" t="str">
        <f>IFERROR(__xludf.DUMMYFUNCTION("GOOGLETRANSLATE(A49342,""en"",""pt"")"),"Barato, boa qualidade de texto, relativamente pequena pegada de um laser")</f>
        <v>Barato, boa qualidade de texto, relativamente pequena pegada de um laser</v>
      </c>
      <c r="B49342" s="3">
        <v>1</v>
      </c>
    </row>
    <row r="49343" ht="15.75" customHeight="1" spans="1:2">
      <c r="A49343" s="3" t="str">
        <f>IFERROR(__xludf.DUMMYFUNCTION("GOOGLETRANSLATE(A49343,""en"",""pt"")"),"Acessível, 12ppm, boa impressão, recursos legais, a configuração pequena, fácil, rápida inicialização")</f>
        <v>Acessível, 12ppm, boa impressão, recursos legais, a configuração pequena, fácil, rápida inicialização</v>
      </c>
      <c r="B49343" s="3">
        <v>1</v>
      </c>
    </row>
    <row r="49344" ht="15.75" customHeight="1" spans="1:2">
      <c r="A49344" s="3" t="str">
        <f>IFERROR(__xludf.DUMMYFUNCTION("GOOGLETRANSLATE(A49344,""en"",""pt"")"),"Rápido, grande qualidade de impressão, atraente, ótimo preço")</f>
        <v>Rápido, grande qualidade de impressão, atraente, ótimo preço</v>
      </c>
      <c r="B49344" s="3">
        <v>1</v>
      </c>
    </row>
    <row r="49345" ht="15.75" customHeight="1" spans="1:2">
      <c r="A49345" s="3" t="str">
        <f>IFERROR(__xludf.DUMMYFUNCTION("GOOGLETRANSLATE(A49345,""en"",""pt"")"),"Qualidade de impressão, USB, velocidade, preço")</f>
        <v>Qualidade de impressão, USB, velocidade, preço</v>
      </c>
      <c r="B49345" s="3">
        <v>1</v>
      </c>
    </row>
    <row r="49346" ht="15.75" customHeight="1" spans="1:2">
      <c r="A49346" s="3" t="str">
        <f>IFERROR(__xludf.DUMMYFUNCTION("GOOGLETRANSLATE(A49346,""en"",""pt"")"),"Preço, qualidade, velocidade, tamanho")</f>
        <v>Preço, qualidade, velocidade, tamanho</v>
      </c>
      <c r="B49346" s="3">
        <v>1</v>
      </c>
    </row>
    <row r="49347" ht="15.75" customHeight="1" spans="1:2">
      <c r="A49347" s="3" t="str">
        <f>IFERROR(__xludf.DUMMYFUNCTION("GOOGLETRANSLATE(A49347,""en"",""pt"")"),"Grande valor; capacidade de impressão confiável; Amigo do usuário; instalação simples")</f>
        <v>Grande valor; capacidade de impressão confiável; Amigo do usuário; instalação simples</v>
      </c>
      <c r="B49347" s="3">
        <v>1</v>
      </c>
    </row>
    <row r="49348" ht="15.75" customHeight="1" spans="1:2">
      <c r="A49348" s="3" t="str">
        <f>IFERROR(__xludf.DUMMYFUNCTION("GOOGLETRANSLATE(A49348,""en"",""pt"")"),"Bons resultados, razoavelmente rápido, ""demonstração"" toner dura para sempre, bom preço.")</f>
        <v>Bons resultados, razoavelmente rápido, "demonstração" toner dura para sempre, bom preço.</v>
      </c>
      <c r="B49348" s="3">
        <v>1</v>
      </c>
    </row>
    <row r="49349" ht="15.75" customHeight="1" spans="1:2">
      <c r="A49349" s="3" t="str">
        <f>IFERROR(__xludf.DUMMYFUNCTION("GOOGLETRANSLATE(A49349,""en"",""pt"")"),"Qualidade de impressão, impressão rápida, rápida warm-up, software agradável, USB, leve, compacto, barato, alimentador de envelopes")</f>
        <v>Qualidade de impressão, impressão rápida, rápida warm-up, software agradável, USB, leve, compacto, barato, alimentador de envelopes</v>
      </c>
      <c r="B49349" s="3">
        <v>1</v>
      </c>
    </row>
    <row r="49350" ht="15.75" customHeight="1" spans="1:2">
      <c r="A49350" s="3" t="str">
        <f>IFERROR(__xludf.DUMMYFUNCTION("GOOGLETRANSLATE(A49350,""en"",""pt"")"),"Qualidade de impressão, impressão rápida, rápida warm-up, software agradável, USB, leve, compacto, barato, alimentador de envelopes")</f>
        <v>Qualidade de impressão, impressão rápida, rápida warm-up, software agradável, USB, leve, compacto, barato, alimentador de envelopes</v>
      </c>
      <c r="B49350" s="3">
        <v>1</v>
      </c>
    </row>
    <row r="49351" ht="15.75" customHeight="1" spans="1:2">
      <c r="A49351" s="3" t="str">
        <f>IFERROR(__xludf.DUMMYFUNCTION("GOOGLETRANSLATE(A49351,""en"",""pt"")"),"Bom preço e qualidade de impressão")</f>
        <v>Bom preço e qualidade de impressão</v>
      </c>
      <c r="B49351" s="3">
        <v>1</v>
      </c>
    </row>
    <row r="49352" ht="15.75" customHeight="1" spans="1:2">
      <c r="A49352" s="3" t="str">
        <f>IFERROR(__xludf.DUMMYFUNCTION("GOOGLETRANSLATE(A49352,""en"",""pt"")"),"Barato.")</f>
        <v>Barato.</v>
      </c>
      <c r="B49352" s="3">
        <v>1</v>
      </c>
    </row>
    <row r="49353" ht="15.75" customHeight="1" spans="1:2">
      <c r="A49353" s="3" t="str">
        <f>IFERROR(__xludf.DUMMYFUNCTION("GOOGLETRANSLATE(A49353,""en"",""pt"")"),"boa qualidade de impressão")</f>
        <v>boa qualidade de impressão</v>
      </c>
      <c r="B49353" s="3">
        <v>1</v>
      </c>
    </row>
    <row r="49354" ht="15.75" customHeight="1" spans="1:2">
      <c r="A49354" s="3" t="str">
        <f>IFERROR(__xludf.DUMMYFUNCTION("GOOGLETRANSLATE(A49354,""en"",""pt"")"),"Rápido, fácil de instalar, e leve o suficiente peso para carregar.")</f>
        <v>Rápido, fácil de instalar, e leve o suficiente peso para carregar.</v>
      </c>
      <c r="B49354" s="3">
        <v>1</v>
      </c>
    </row>
    <row r="49355" ht="15.75" customHeight="1" spans="1:2">
      <c r="A49355" s="3" t="str">
        <f>IFERROR(__xludf.DUMMYFUNCTION("GOOGLETRANSLATE(A49355,""en"",""pt"")"),"Facilidade de configurar, velocidade, qualidade")</f>
        <v>Facilidade de configurar, velocidade, qualidade</v>
      </c>
      <c r="B49355" s="3">
        <v>1</v>
      </c>
    </row>
    <row r="49356" ht="15.75" customHeight="1" spans="1:2">
      <c r="A49356" s="3" t="str">
        <f>IFERROR(__xludf.DUMMYFUNCTION("GOOGLETRANSLATE(A49356,""en"",""pt"")"),"Excelente afiada, torrada, impressão escuro. Rápido.")</f>
        <v>Excelente afiada, torrada, impressão escuro. Rápido.</v>
      </c>
      <c r="B49356" s="3">
        <v>1</v>
      </c>
    </row>
    <row r="49357" ht="15.75" customHeight="1" spans="1:2">
      <c r="A49357" s="3" t="str">
        <f>IFERROR(__xludf.DUMMYFUNCTION("GOOGLETRANSLATE(A49357,""en"",""pt"")"),"impressão rápida, perfeito para o escritório em casa")</f>
        <v>impressão rápida, perfeito para o escritório em casa</v>
      </c>
      <c r="B49357" s="3">
        <v>1</v>
      </c>
    </row>
    <row r="49358" ht="15.75" customHeight="1" spans="1:2">
      <c r="A49358" s="3" t="str">
        <f>IFERROR(__xludf.DUMMYFUNCTION("GOOGLETRANSLATE(A49358,""en"",""pt"")"),"Facilidade de instalação, preço, manuseio de papel")</f>
        <v>Facilidade de instalação, preço, manuseio de papel</v>
      </c>
      <c r="B49358" s="3">
        <v>1</v>
      </c>
    </row>
    <row r="49359" ht="15.75" customHeight="1" spans="1:2">
      <c r="A49359" s="3" t="str">
        <f>IFERROR(__xludf.DUMMYFUNCTION("GOOGLETRANSLATE(A49359,""en"",""pt"")"),"impressão rápida, facilidade de instalação e uso")</f>
        <v>impressão rápida, facilidade de instalação e uso</v>
      </c>
      <c r="B49359" s="3">
        <v>1</v>
      </c>
    </row>
    <row r="49360" ht="15.75" customHeight="1" spans="1:2">
      <c r="A49360" s="3" t="str">
        <f>IFERROR(__xludf.DUMMYFUNCTION("GOOGLETRANSLATE(A49360,""en"",""pt"")"),"velocidade, pegada, qualidade de impressão")</f>
        <v>velocidade, pegada, qualidade de impressão</v>
      </c>
      <c r="B49360" s="3">
        <v>1</v>
      </c>
    </row>
    <row r="49361" ht="15.75" customHeight="1" spans="1:2">
      <c r="A49361" s="3" t="str">
        <f>IFERROR(__xludf.DUMMYFUNCTION("GOOGLETRANSLATE(A49361,""en"",""pt"")"),"Compact, velocidade, bem drivers, bom detalhamento da imagem, até 68 Mb, flash, preço razoável")</f>
        <v>Compact, velocidade, bem drivers, bom detalhamento da imagem, até 68 Mb, flash, preço razoável</v>
      </c>
      <c r="B49361" s="3">
        <v>1</v>
      </c>
    </row>
    <row r="49362" ht="15.75" customHeight="1" spans="1:2">
      <c r="A49362" s="3" t="str">
        <f>IFERROR(__xludf.DUMMYFUNCTION("GOOGLETRANSLATE(A49362,""en"",""pt"")"),"Baixo preço, conectividade flexível, boas opções de manuseio de papel, alta DPI")</f>
        <v>Baixo preço, conectividade flexível, boas opções de manuseio de papel, alta DPI</v>
      </c>
      <c r="B49362" s="3">
        <v>1</v>
      </c>
    </row>
    <row r="49363" ht="15.75" customHeight="1" spans="1:2">
      <c r="A49363" s="3" t="str">
        <f>IFERROR(__xludf.DUMMYFUNCTION("GOOGLETRANSLATE(A49363,""en"",""pt"")"),"Rápido, fácil de usar, não suga tinta")</f>
        <v>Rápido, fácil de usar, não suga tinta</v>
      </c>
      <c r="B49363" s="3">
        <v>1</v>
      </c>
    </row>
    <row r="49364" ht="15.75" customHeight="1" spans="1:2">
      <c r="A49364" s="3" t="s">
        <v>122</v>
      </c>
      <c r="B49364" s="3">
        <v>1</v>
      </c>
    </row>
    <row r="49365" ht="15.75" customHeight="1" spans="1:2">
      <c r="A49365" s="3" t="str">
        <f>IFERROR(__xludf.DUMMYFUNCTION("GOOGLETRANSLATE(A49365,""en"",""pt"")"),"bom tamanho, aparência agradável")</f>
        <v>bom tamanho, aparência agradável</v>
      </c>
      <c r="B49365" s="3">
        <v>1</v>
      </c>
    </row>
    <row r="49366" ht="15.75" customHeight="1" spans="1:2">
      <c r="A49366" s="3" t="str">
        <f>IFERROR(__xludf.DUMMYFUNCTION("GOOGLETRANSLATE(A49366,""en"",""pt"")"),"All in One, Fácil de usar, ele não é um scanner de mesa,")</f>
        <v>All in One, Fácil de usar, ele não é um scanner de mesa,</v>
      </c>
      <c r="B49366" s="3">
        <v>1</v>
      </c>
    </row>
    <row r="49367" ht="15.75" customHeight="1" spans="1:2">
      <c r="A49367" s="3" t="str">
        <f>IFERROR(__xludf.DUMMYFUNCTION("GOOGLETRANSLATE(A49367,""en"",""pt"")"),"Mais multi-capacidade que a maioria na faixa de preço, standalones, fácil configuração, boa resolução. XP compatível.")</f>
        <v>Mais multi-capacidade que a maioria na faixa de preço, standalones, fácil configuração, boa resolução. XP compatível.</v>
      </c>
      <c r="B49367" s="3">
        <v>1</v>
      </c>
    </row>
    <row r="49368" ht="15.75" customHeight="1" spans="1:2">
      <c r="A49368" s="3" t="str">
        <f>IFERROR(__xludf.DUMMYFUNCTION("GOOGLETRANSLATE(A49368,""en"",""pt"")"),"Barato, confiável, fácil de instalar, bom mecanismo de varredura")</f>
        <v>Barato, confiável, fácil de instalar, bom mecanismo de varredura</v>
      </c>
      <c r="B49368" s="3">
        <v>1</v>
      </c>
    </row>
    <row r="49369" ht="15.75" customHeight="1" spans="1:2">
      <c r="A49369" s="3" t="str">
        <f>IFERROR(__xludf.DUMMYFUNCTION("GOOGLETRANSLATE(A49369,""en"",""pt"")"),"bom preço, boa aparência, impressões com grande cor, funciona bem")</f>
        <v>bom preço, boa aparência, impressões com grande cor, funciona bem</v>
      </c>
      <c r="B49369" s="3">
        <v>1</v>
      </c>
    </row>
    <row r="49370" ht="15.75" customHeight="1" spans="1:2">
      <c r="A49370" s="3" t="str">
        <f>IFERROR(__xludf.DUMMYFUNCTION("GOOGLETRANSLATE(A49370,""en"",""pt"")"),"Vem com scanner, copiadora, fax e impressora")</f>
        <v>Vem com scanner, copiadora, fax e impressora</v>
      </c>
      <c r="B49370" s="3">
        <v>1</v>
      </c>
    </row>
    <row r="49371" ht="15.75" customHeight="1" spans="1:2">
      <c r="A49371" s="3" t="str">
        <f>IFERROR(__xludf.DUMMYFUNCTION("GOOGLETRANSLATE(A49371,""en"",""pt"")"),"Barato, bom fator de forma, parece bom.")</f>
        <v>Barato, bom fator de forma, parece bom.</v>
      </c>
      <c r="B49371" s="3">
        <v>1</v>
      </c>
    </row>
    <row r="49372" ht="15.75" customHeight="1" spans="1:2">
      <c r="A49372" s="3" t="str">
        <f>IFERROR(__xludf.DUMMYFUNCTION("GOOGLETRANSLATE(A49372,""en"",""pt"")"),"Não encontrei nenhum.")</f>
        <v>Não encontrei nenhum.</v>
      </c>
      <c r="B49372" s="3">
        <v>1</v>
      </c>
    </row>
    <row r="49373" ht="15.75" customHeight="1" spans="1:2">
      <c r="A49373" s="3" t="str">
        <f>IFERROR(__xludf.DUMMYFUNCTION("GOOGLETRANSLATE(A49373,""en"",""pt"")"),"Rápida, impressão a cores brilhantes, preço, prático, simples de operar")</f>
        <v>Rápida, impressão a cores brilhantes, preço, prático, simples de operar</v>
      </c>
      <c r="B49373" s="3">
        <v>1</v>
      </c>
    </row>
    <row r="49374" ht="15.75" customHeight="1" spans="1:2">
      <c r="A49374" s="3" t="str">
        <f>IFERROR(__xludf.DUMMYFUNCTION("GOOGLETRANSLATE(A49374,""en"",""pt"")"),"Versatilidade, preço e conveniência")</f>
        <v>Versatilidade, preço e conveniência</v>
      </c>
      <c r="B49374" s="3">
        <v>1</v>
      </c>
    </row>
    <row r="49375" ht="15.75" customHeight="1" spans="1:2">
      <c r="A49375" s="3" t="str">
        <f>IFERROR(__xludf.DUMMYFUNCTION("GOOGLETRANSLATE(A49375,""en"",""pt"")"),"Fácil de configurar")</f>
        <v>Fácil de configurar</v>
      </c>
      <c r="B49375" s="3">
        <v>1</v>
      </c>
    </row>
    <row r="49376" ht="15.75" customHeight="1" spans="1:2">
      <c r="A49376" s="3" t="str">
        <f>IFERROR(__xludf.DUMMYFUNCTION("GOOGLETRANSLATE(A49376,""en"",""pt"")"),"Um preço razoável para todas as funções que podem ser executadas. Bastante simples de operar.")</f>
        <v>Um preço razoável para todas as funções que podem ser executadas. Bastante simples de operar.</v>
      </c>
      <c r="B49376" s="3">
        <v>1</v>
      </c>
    </row>
    <row r="49377" ht="15.75" customHeight="1" spans="1:2">
      <c r="A49377" s="3" t="str">
        <f>IFERROR(__xludf.DUMMYFUNCTION("GOOGLETRANSLATE(A49377,""en"",""pt"")"),"Fácil de instalar e configurar.")</f>
        <v>Fácil de instalar e configurar.</v>
      </c>
      <c r="B49377" s="3">
        <v>1</v>
      </c>
    </row>
    <row r="49378" ht="15.75" customHeight="1" spans="1:2">
      <c r="A49378" s="3" t="str">
        <f>IFERROR(__xludf.DUMMYFUNCTION("GOOGLETRANSLATE(A49378,""en"",""pt"")"),"Barato.")</f>
        <v>Barato.</v>
      </c>
      <c r="B49378" s="3">
        <v>1</v>
      </c>
    </row>
    <row r="49379" ht="15.75" customHeight="1" spans="1:2">
      <c r="A49379" s="3" t="str">
        <f>IFERROR(__xludf.DUMMYFUNCTION("GOOGLETRANSLATE(A49379,""en"",""pt"")"),"Fácil instalação e operação")</f>
        <v>Fácil instalação e operação</v>
      </c>
      <c r="B49379" s="3">
        <v>1</v>
      </c>
    </row>
    <row r="49380" ht="15.75" customHeight="1" spans="1:2">
      <c r="A49380" s="3" t="str">
        <f>IFERROR(__xludf.DUMMYFUNCTION("GOOGLETRANSLATE(A49380,""en"",""pt"")"),"começa o trabalho básico feito, executa muitas funtions")</f>
        <v>começa o trabalho básico feito, executa muitas funtions</v>
      </c>
      <c r="B49380" s="3">
        <v>1</v>
      </c>
    </row>
    <row r="49381" ht="15.75" customHeight="1" spans="1:2">
      <c r="A49381" s="3" t="str">
        <f>IFERROR(__xludf.DUMMYFUNCTION("GOOGLETRANSLATE(A49381,""en"",""pt"")"),"Facilidade de uso, Grande foto a cores")</f>
        <v>Facilidade de uso, Grande foto a cores</v>
      </c>
      <c r="B49381" s="3">
        <v>1</v>
      </c>
    </row>
    <row r="49382" ht="15.75" customHeight="1" spans="1:2">
      <c r="A49382" s="3" t="str">
        <f>IFERROR(__xludf.DUMMYFUNCTION("GOOGLETRANSLATE(A49382,""en"",""pt"")"),"Preço, qualidade de impressão, facilidade de uso, e multi função em um pequeno excelente máquina.")</f>
        <v>Preço, qualidade de impressão, facilidade de uso, e multi função em um pequeno excelente máquina.</v>
      </c>
      <c r="B49382" s="3">
        <v>1</v>
      </c>
    </row>
    <row r="49383" ht="15.75" customHeight="1" spans="1:2">
      <c r="A49383" s="3" t="str">
        <f>IFERROR(__xludf.DUMMYFUNCTION("GOOGLETRANSLATE(A49383,""en"",""pt"")"),"Acessível")</f>
        <v>Acessível</v>
      </c>
      <c r="B49383" s="3">
        <v>1</v>
      </c>
    </row>
    <row r="49384" ht="15.75" customHeight="1" spans="1:2">
      <c r="A49384" s="3" t="str">
        <f>IFERROR(__xludf.DUMMYFUNCTION("GOOGLETRANSLATE(A49384,""en"",""pt"")"),"Barato, a instalação é fácil, funciona corretamente no Windows 98, fácil de usar")</f>
        <v>Barato, a instalação é fácil, funciona corretamente no Windows 98, fácil de usar</v>
      </c>
      <c r="B49384" s="3">
        <v>1</v>
      </c>
    </row>
    <row r="49385" ht="15.75" customHeight="1" spans="1:2">
      <c r="A49385" s="3" t="str">
        <f>IFERROR(__xludf.DUMMYFUNCTION("GOOGLETRANSLATE(A49385,""en"",""pt"")"),"É uma impressora boa e fax, quando funciona")</f>
        <v>É uma impressora boa e fax, quando funciona</v>
      </c>
      <c r="B49385" s="3">
        <v>1</v>
      </c>
    </row>
    <row r="49386" ht="15.75" customHeight="1" spans="1:2">
      <c r="A49386" s="3" t="str">
        <f>IFERROR(__xludf.DUMMYFUNCTION("GOOGLETRANSLATE(A49386,""en"",""pt"")"),"Múltiplas funções: scanner, fax, copiadora, impressora")</f>
        <v>Múltiplas funções: scanner, fax, copiadora, impressora</v>
      </c>
      <c r="B49386" s="3">
        <v>1</v>
      </c>
    </row>
    <row r="49387" ht="15.75" customHeight="1" spans="1:2">
      <c r="A49387" s="3" t="str">
        <f>IFERROR(__xludf.DUMMYFUNCTION("GOOGLETRANSLATE(A49387,""en"",""pt"")"),"Grande qualidade de impressão")</f>
        <v>Grande qualidade de impressão</v>
      </c>
      <c r="B49387" s="3">
        <v>1</v>
      </c>
    </row>
    <row r="49388" ht="15.75" customHeight="1" spans="1:2">
      <c r="A49388" s="3" t="str">
        <f>IFERROR(__xludf.DUMMYFUNCTION("GOOGLETRANSLATE(A49388,""en"",""pt"")"),"Fácil de usar software e menus.")</f>
        <v>Fácil de usar software e menus.</v>
      </c>
      <c r="B49388" s="3">
        <v>1</v>
      </c>
    </row>
    <row r="49389" ht="15.75" customHeight="1" spans="1:2">
      <c r="A49389" s="3" t="str">
        <f>IFERROR(__xludf.DUMMYFUNCTION("GOOGLETRANSLATE(A49389,""en"",""pt"")"),"A qualidade de impressão é maravilhoso, especialmente ao imprimir fotos em papel fotográfico.")</f>
        <v>A qualidade de impressão é maravilhoso, especialmente ao imprimir fotos em papel fotográfico.</v>
      </c>
      <c r="B49389" s="3">
        <v>1</v>
      </c>
    </row>
    <row r="49390" ht="15.75" customHeight="1" spans="1:2">
      <c r="A49390" s="3" t="str">
        <f>IFERROR(__xludf.DUMMYFUNCTION("GOOGLETRANSLATE(A49390,""en"",""pt"")"),"impressão rápida. Extremamente útil. Sem mais viagens para Kinkos! Mac-friendly.")</f>
        <v>impressão rápida. Extremamente útil. Sem mais viagens para Kinkos! Mac-friendly.</v>
      </c>
      <c r="B49390" s="3">
        <v>1</v>
      </c>
    </row>
    <row r="49391" ht="15.75" customHeight="1" spans="1:2">
      <c r="A49391" s="3" t="str">
        <f>IFERROR(__xludf.DUMMYFUNCTION("GOOGLETRANSLATE(A49391,""en"",""pt"")"),"Lexmark X73 é uma impressora multifuncional / scanner / copiadora cor / fax")</f>
        <v>Lexmark X73 é uma impressora multifuncional / scanner / copiadora cor / fax</v>
      </c>
      <c r="B49391" s="3">
        <v>1</v>
      </c>
    </row>
    <row r="49392" ht="15.75" customHeight="1" spans="1:2">
      <c r="A49392" s="3" t="str">
        <f>IFERROR(__xludf.DUMMYFUNCTION("GOOGLETRANSLATE(A49392,""en"",""pt"")"),"Grandes recursos, boa qualidade de impressão, fácil de usar")</f>
        <v>Grandes recursos, boa qualidade de impressão, fácil de usar</v>
      </c>
      <c r="B49392" s="3">
        <v>1</v>
      </c>
    </row>
    <row r="49393" ht="15.75" customHeight="1" spans="1:2">
      <c r="A49393" s="3" t="str">
        <f>IFERROR(__xludf.DUMMYFUNCTION("GOOGLETRANSLATE(A49393,""en"",""pt"")"),"Boa qualidade de impressão. Digitalização software.")</f>
        <v>Boa qualidade de impressão. Digitalização software.</v>
      </c>
      <c r="B49393" s="3">
        <v>1</v>
      </c>
    </row>
    <row r="49394" ht="15.75" customHeight="1" spans="1:2">
      <c r="A49394" s="3" t="str">
        <f>IFERROR(__xludf.DUMMYFUNCTION("GOOGLETRANSLATE(A49394,""en"",""pt"")"),"Multifuncional, Fast e fácil de usar")</f>
        <v>Multifuncional, Fast e fácil de usar</v>
      </c>
      <c r="B49394" s="3">
        <v>1</v>
      </c>
    </row>
    <row r="49395" ht="15.75" customHeight="1" spans="1:2">
      <c r="A49395" s="3" t="str">
        <f>IFERROR(__xludf.DUMMYFUNCTION("GOOGLETRANSLATE(A49395,""en"",""pt"")"),"Fácil de instalar. Muitas características agradáveis")</f>
        <v>Fácil de instalar. Muitas características agradáveis</v>
      </c>
      <c r="B49395" s="3">
        <v>1</v>
      </c>
    </row>
    <row r="49396" ht="15.75" customHeight="1" spans="1:2">
      <c r="A49396" s="3" t="str">
        <f>IFERROR(__xludf.DUMMYFUNCTION("GOOGLETRANSLATE(A49396,""en"",""pt"")"),"Baixo custo. Fácil de configurar. Plug and play. Muito boa qualidade de impressão de fotos.")</f>
        <v>Baixo custo. Fácil de configurar. Plug and play. Muito boa qualidade de impressão de fotos.</v>
      </c>
      <c r="B49396" s="3">
        <v>1</v>
      </c>
    </row>
    <row r="49397" ht="15.75" customHeight="1" spans="1:2">
      <c r="A49397" s="3" t="str">
        <f>IFERROR(__xludf.DUMMYFUNCTION("GOOGLETRANSLATE(A49397,""en"",""pt"")"),"barato, de boa qualidade")</f>
        <v>barato, de boa qualidade</v>
      </c>
      <c r="B49397" s="3">
        <v>1</v>
      </c>
    </row>
    <row r="49398" ht="15.75" customHeight="1" spans="1:2">
      <c r="A49398" s="3" t="str">
        <f>IFERROR(__xludf.DUMMYFUNCTION("GOOGLETRANSLATE(A49398,""en"",""pt"")"),"Custo. Multifunções. Luz. Fácil de usar.")</f>
        <v>Custo. Multifunções. Luz. Fácil de usar.</v>
      </c>
      <c r="B49398" s="3">
        <v>1</v>
      </c>
    </row>
    <row r="49399" ht="15.75" customHeight="1" spans="1:2">
      <c r="A49399" s="3" t="str">
        <f>IFERROR(__xludf.DUMMYFUNCTION("GOOGLETRANSLATE(A49399,""en"",""pt"")"),"um tudo-em-um, perfeito para pequeno volume, software fácil de baixo custo")</f>
        <v>um tudo-em-um, perfeito para pequeno volume, software fácil de baixo custo</v>
      </c>
      <c r="B49399" s="3">
        <v>1</v>
      </c>
    </row>
    <row r="49400" ht="15.75" customHeight="1" spans="1:2">
      <c r="A49400" s="3" t="str">
        <f>IFERROR(__xludf.DUMMYFUNCTION("GOOGLETRANSLATE(A49400,""en"",""pt"")"),"Grande impressora. Boa qualidade da foto, grande scanner, copiadora e impressora.")</f>
        <v>Grande impressora. Boa qualidade da foto, grande scanner, copiadora e impressora.</v>
      </c>
      <c r="B49400" s="3">
        <v>1</v>
      </c>
    </row>
    <row r="49401" ht="15.75" customHeight="1" spans="1:2">
      <c r="A49401" s="3" t="str">
        <f>IFERROR(__xludf.DUMMYFUNCTION("GOOGLETRANSLATE(A49401,""en"",""pt"")"),"Que você pode devolvê-lo !!")</f>
        <v>Que você pode devolvê-lo !!</v>
      </c>
      <c r="B49401" s="3">
        <v>1</v>
      </c>
    </row>
    <row r="49402" ht="15.75" customHeight="1" spans="1:2">
      <c r="A49402" s="3" t="str">
        <f>IFERROR(__xludf.DUMMYFUNCTION("GOOGLETRANSLATE(A49402,""en"",""pt"")"),"Tudo em um dispositivo, simples e fácil de usar.")</f>
        <v>Tudo em um dispositivo, simples e fácil de usar.</v>
      </c>
      <c r="B49402" s="3">
        <v>1</v>
      </c>
    </row>
    <row r="49403" ht="15.75" customHeight="1" spans="1:2">
      <c r="A49403" s="3" t="str">
        <f>IFERROR(__xludf.DUMMYFUNCTION("GOOGLETRANSLATE(A49403,""en"",""pt"")"),"compacta, all-in-one, fácil de usar")</f>
        <v>compacta, all-in-one, fácil de usar</v>
      </c>
      <c r="B49403" s="3">
        <v>1</v>
      </c>
    </row>
    <row r="49404" ht="15.75" customHeight="1" spans="1:2">
      <c r="A49404" s="3" t="str">
        <f>IFERROR(__xludf.DUMMYFUNCTION("GOOGLETRANSLATE(A49404,""en"",""pt"")"),"fácil item de multi tarefa rápida e")</f>
        <v>fácil item de multi tarefa rápida e</v>
      </c>
      <c r="B49404" s="3">
        <v>1</v>
      </c>
    </row>
    <row r="49405" ht="15.75" customHeight="1" spans="1:2">
      <c r="A49405" s="3" t="str">
        <f>IFERROR(__xludf.DUMMYFUNCTION("GOOGLETRANSLATE(A49405,""en"",""pt"")"),"Muito a preços razoáveis. Facilidade de instalação e uso.")</f>
        <v>Muito a preços razoáveis. Facilidade de instalação e uso.</v>
      </c>
      <c r="B49405" s="3">
        <v>1</v>
      </c>
    </row>
    <row r="49406" ht="15.75" customHeight="1" spans="1:2">
      <c r="A49406" s="3" t="str">
        <f>IFERROR(__xludf.DUMMYFUNCTION("GOOGLETRANSLATE(A49406,""en"",""pt"")"),"Nenhum")</f>
        <v>Nenhum</v>
      </c>
      <c r="B49406" s="3">
        <v>1</v>
      </c>
    </row>
    <row r="49407" ht="15.75" customHeight="1" spans="1:2">
      <c r="A49407" s="3" t="str">
        <f>IFERROR(__xludf.DUMMYFUNCTION("GOOGLETRANSLATE(A49407,""en"",""pt"")"),"multifuctional, protetor de espaço")</f>
        <v>multifuctional, protetor de espaço</v>
      </c>
      <c r="B49407" s="3">
        <v>1</v>
      </c>
    </row>
    <row r="49408" ht="15.75" customHeight="1" spans="1:2">
      <c r="A49408" s="3" t="str">
        <f>IFERROR(__xludf.DUMMYFUNCTION("GOOGLETRANSLATE(A49408,""en"",""pt"")"),"Copact, preço, facilidade de uso")</f>
        <v>Copact, preço, facilidade de uso</v>
      </c>
      <c r="B49408" s="3">
        <v>1</v>
      </c>
    </row>
    <row r="49409" ht="15.75" customHeight="1" spans="1:2">
      <c r="A49409" s="3" t="str">
        <f>IFERROR(__xludf.DUMMYFUNCTION("GOOGLETRANSLATE(A49409,""en"",""pt"")"),"Atraente design que economiza espaço")</f>
        <v>Atraente design que economiza espaço</v>
      </c>
      <c r="B49409" s="3">
        <v>1</v>
      </c>
    </row>
    <row r="49410" ht="15.75" customHeight="1" spans="1:2">
      <c r="A49410" s="3" t="str">
        <f>IFERROR(__xludf.DUMMYFUNCTION("GOOGLETRANSLATE(A49410,""en"",""pt"")"),"All in one conveniência, scanner de mesa")</f>
        <v>All in one conveniência, scanner de mesa</v>
      </c>
      <c r="B49410" s="3">
        <v>1</v>
      </c>
    </row>
    <row r="49411" ht="15.75" customHeight="1" spans="1:2">
      <c r="A49411" s="3" t="str">
        <f>IFERROR(__xludf.DUMMYFUNCTION("GOOGLETRANSLATE(A49411,""en"",""pt"")"),"A Great todo Produtos")</f>
        <v>A Great todo Produtos</v>
      </c>
      <c r="B49411" s="3">
        <v>1</v>
      </c>
    </row>
    <row r="49412" ht="15.75" customHeight="1" spans="1:2">
      <c r="A49412" s="3" t="str">
        <f>IFERROR(__xludf.DUMMYFUNCTION("GOOGLETRANSLATE(A49412,""en"",""pt"")"),"Menos espaço, em seguida, impressora e scanner separado.")</f>
        <v>Menos espaço, em seguida, impressora e scanner separado.</v>
      </c>
      <c r="B49412" s="3">
        <v>1</v>
      </c>
    </row>
    <row r="49413" ht="15.75" customHeight="1" spans="1:2">
      <c r="A49413" s="3" t="str">
        <f>IFERROR(__xludf.DUMMYFUNCTION("GOOGLETRANSLATE(A49413,""en"",""pt"")"),"Bastante barato, pode ser econômica se você sabe o cartuchos para comprar, tem muitas características")</f>
        <v>Bastante barato, pode ser econômica se você sabe o cartuchos para comprar, tem muitas características</v>
      </c>
      <c r="B49413" s="3">
        <v>1</v>
      </c>
    </row>
    <row r="49414" ht="15.75" customHeight="1" spans="1:2">
      <c r="A49414" s="3" t="str">
        <f>IFERROR(__xludf.DUMMYFUNCTION("GOOGLETRANSLATE(A49414,""en"",""pt"")"),"Prometendo recursos (se ele trabalhou)")</f>
        <v>Prometendo recursos (se ele trabalhou)</v>
      </c>
      <c r="B49414" s="3">
        <v>1</v>
      </c>
    </row>
    <row r="49415" ht="15.75" customHeight="1" spans="1:2">
      <c r="A49415" s="3" t="str">
        <f>IFERROR(__xludf.DUMMYFUNCTION("GOOGLETRANSLATE(A49415,""en"",""pt"")"),"Grande saída e digitalização, de fácil utilização e configuração, limpa a sua mesa do computador!")</f>
        <v>Grande saída e digitalização, de fácil utilização e configuração, limpa a sua mesa do computador!</v>
      </c>
      <c r="B49415" s="3">
        <v>1</v>
      </c>
    </row>
    <row r="49416" ht="15.75" customHeight="1" spans="1:2">
      <c r="A49416" s="3" t="str">
        <f>IFERROR(__xludf.DUMMYFUNCTION("GOOGLETRANSLATE(A49416,""en"",""pt"")"),"Fácil de usar")</f>
        <v>Fácil de usar</v>
      </c>
      <c r="B49416" s="3">
        <v>1</v>
      </c>
    </row>
    <row r="49417" ht="15.75" customHeight="1" spans="1:2">
      <c r="A49417" s="3" t="str">
        <f>IFERROR(__xludf.DUMMYFUNCTION("GOOGLETRANSLATE(A49417,""en"",""pt"")"),"impressões a cores aceitáveis, tudo em um, não alimenta problemas")</f>
        <v>impressões a cores aceitáveis, tudo em um, não alimenta problemas</v>
      </c>
      <c r="B49417" s="3">
        <v>1</v>
      </c>
    </row>
    <row r="49418" ht="15.75" customHeight="1" spans="1:2">
      <c r="A49418" s="3" t="str">
        <f>IFERROR(__xludf.DUMMYFUNCTION("GOOGLETRANSLATE(A49418,""en"",""pt"")"),", Design elegante Compact; fácil de configurar e operar; boa qualidade de impressão")</f>
        <v>, Design elegante Compact; fácil de configurar e operar; boa qualidade de impressão</v>
      </c>
      <c r="B49418" s="3">
        <v>1</v>
      </c>
    </row>
    <row r="49419" ht="15.75" customHeight="1" spans="1:2">
      <c r="A49419" s="3" t="str">
        <f>IFERROR(__xludf.DUMMYFUNCTION("GOOGLETRANSLATE(A49419,""en"",""pt"")"),"tudo-em-uma impressora, cópias coloridas, rápidas velocidades de impressão")</f>
        <v>tudo-em-uma impressora, cópias coloridas, rápidas velocidades de impressão</v>
      </c>
      <c r="B49419" s="3">
        <v>1</v>
      </c>
    </row>
    <row r="49420" ht="15.75" customHeight="1" spans="1:2">
      <c r="A49420" s="3" t="str">
        <f>IFERROR(__xludf.DUMMYFUNCTION("GOOGLETRANSLATE(A49420,""en"",""pt"")"),"olhando, impressões de boa qualidade limpo e muito fácil de usar.")</f>
        <v>olhando, impressões de boa qualidade limpo e muito fácil de usar.</v>
      </c>
      <c r="B49420" s="3">
        <v>1</v>
      </c>
    </row>
    <row r="49421" ht="15.75" customHeight="1" spans="1:2">
      <c r="A49421" s="3" t="str">
        <f>IFERROR(__xludf.DUMMYFUNCTION("GOOGLETRANSLATE(A49421,""en"",""pt"")"),"Barato")</f>
        <v>Barato</v>
      </c>
      <c r="B49421" s="3">
        <v>1</v>
      </c>
    </row>
    <row r="49422" ht="15.75" customHeight="1" spans="1:2">
      <c r="A49422" s="3" t="str">
        <f>IFERROR(__xludf.DUMMYFUNCTION("GOOGLETRANSLATE(A49422,""en"",""pt"")"),"Muito a leste de usar, ótimo preço, decente varredura velocidade / qualidade.")</f>
        <v>Muito a leste de usar, ótimo preço, decente varredura velocidade / qualidade.</v>
      </c>
      <c r="B49422" s="3">
        <v>1</v>
      </c>
    </row>
    <row r="49423" ht="15.75" customHeight="1" spans="1:2">
      <c r="A49423" s="3" t="str">
        <f>IFERROR(__xludf.DUMMYFUNCTION("GOOGLETRANSLATE(A49423,""en"",""pt"")"),"Muito barato e fácil de encontrar em lojas. Faz tudo.")</f>
        <v>Muito barato e fácil de encontrar em lojas. Faz tudo.</v>
      </c>
      <c r="B49423" s="3">
        <v>1</v>
      </c>
    </row>
    <row r="49424" ht="15.75" customHeight="1" spans="1:2">
      <c r="A49424" s="3" t="str">
        <f>IFERROR(__xludf.DUMMYFUNCTION("GOOGLETRANSLATE(A49424,""en"",""pt"")"),"Fácil de encontrar, fácil de obter tinta de substituição.")</f>
        <v>Fácil de encontrar, fácil de obter tinta de substituição.</v>
      </c>
      <c r="B49424" s="3">
        <v>1</v>
      </c>
    </row>
    <row r="49425" ht="15.75" customHeight="1" spans="1:2">
      <c r="A49425" s="3" t="str">
        <f>IFERROR(__xludf.DUMMYFUNCTION("GOOGLETRANSLATE(A49425,""en"",""pt"")"),"scanner de mesa, cópia, fax, impressão rápida, Combina meu computador Dell")</f>
        <v>scanner de mesa, cópia, fax, impressão rápida, Combina meu computador Dell</v>
      </c>
      <c r="B49425" s="3">
        <v>1</v>
      </c>
    </row>
    <row r="49426" ht="15.75" customHeight="1" spans="1:2">
      <c r="A49426" s="3" t="str">
        <f>IFERROR(__xludf.DUMMYFUNCTION("GOOGLETRANSLATE(A49426,""en"",""pt"")"),"Muito barato e fácil de usar.")</f>
        <v>Muito barato e fácil de usar.</v>
      </c>
      <c r="B49426" s="3">
        <v>1</v>
      </c>
    </row>
    <row r="49427" ht="15.75" customHeight="1" spans="1:2">
      <c r="A49427" s="3" t="str">
        <f>IFERROR(__xludf.DUMMYFUNCTION("GOOGLETRANSLATE(A49427,""en"",""pt"")"),"barato, bom scanner, fácil de usar")</f>
        <v>barato, bom scanner, fácil de usar</v>
      </c>
      <c r="B49427" s="3">
        <v>1</v>
      </c>
    </row>
    <row r="49428" ht="15.75" customHeight="1" spans="1:2">
      <c r="A49428" s="3" t="str">
        <f>IFERROR(__xludf.DUMMYFUNCTION("GOOGLETRANSLATE(A49428,""en"",""pt"")"),"Barato e elegante. Requer montagem mínima. Boa qualidade de imagem em impressões, digitalizações e cópias.")</f>
        <v>Barato e elegante. Requer montagem mínima. Boa qualidade de imagem em impressões, digitalizações e cópias.</v>
      </c>
      <c r="B49428" s="3">
        <v>1</v>
      </c>
    </row>
    <row r="49429" ht="15.75" customHeight="1" spans="1:2">
      <c r="A49429" s="3" t="str">
        <f>IFERROR(__xludf.DUMMYFUNCTION("GOOGLETRANSLATE(A49429,""en"",""pt"")"),"Grande Printer!")</f>
        <v>Grande Printer!</v>
      </c>
      <c r="B49429" s="3">
        <v>1</v>
      </c>
    </row>
    <row r="49430" ht="15.75" customHeight="1" spans="1:2">
      <c r="A49430" s="3" t="str">
        <f>IFERROR(__xludf.DUMMYFUNCTION("GOOGLETRANSLATE(A49430,""en"",""pt"")"),"Fácil de usar, imprime bem real, verifica grande.")</f>
        <v>Fácil de usar, imprime bem real, verifica grande.</v>
      </c>
      <c r="B49430" s="3">
        <v>1</v>
      </c>
    </row>
    <row r="49431" ht="15.75" customHeight="1" spans="1:2">
      <c r="A49431" s="3" t="str">
        <f>IFERROR(__xludf.DUMMYFUNCTION("GOOGLETRANSLATE(A49431,""en"",""pt"")"),"É barato, e imprime envelopes., Raramente atola-se.,")</f>
        <v>É barato, e imprime envelopes., Raramente atola-se.,</v>
      </c>
      <c r="B49431" s="3">
        <v>1</v>
      </c>
    </row>
    <row r="49432" ht="15.75" customHeight="1" spans="1:2">
      <c r="A49432" s="3" t="str">
        <f>IFERROR(__xludf.DUMMYFUNCTION("GOOGLETRANSLATE(A49432,""en"",""pt"")"),"Impressora grande procura")</f>
        <v>Impressora grande procura</v>
      </c>
      <c r="B49432" s="3">
        <v>1</v>
      </c>
    </row>
    <row r="49433" ht="15.75" customHeight="1" spans="1:2">
      <c r="A49433" s="3" t="str">
        <f>IFERROR(__xludf.DUMMYFUNCTION("GOOGLETRANSLATE(A49433,""en"",""pt"")"),"Muito barato! Multifuncional e Esy para configurar!")</f>
        <v>Muito barato! Multifuncional e Esy para configurar!</v>
      </c>
      <c r="B49433" s="3">
        <v>1</v>
      </c>
    </row>
    <row r="49434" ht="15.75" customHeight="1" spans="1:2">
      <c r="A49434" s="3" t="str">
        <f>IFERROR(__xludf.DUMMYFUNCTION("GOOGLETRANSLATE(A49434,""en"",""pt"")"),"tranquilos, sinais de voz masculina durante a impressão, digitaliza, copia, faxes,")</f>
        <v>tranquilos, sinais de voz masculina durante a impressão, digitaliza, copia, faxes,</v>
      </c>
      <c r="B49434" s="3">
        <v>1</v>
      </c>
    </row>
    <row r="49435" ht="15.75" customHeight="1" spans="1:2">
      <c r="A49435" s="3" t="str">
        <f>IFERROR(__xludf.DUMMYFUNCTION("GOOGLETRANSLATE(A49435,""en"",""pt"")"),"Pequeno para a impressora multifunções. Fora isso é horrível!")</f>
        <v>Pequeno para a impressora multifunções. Fora isso é horrível!</v>
      </c>
      <c r="B49435" s="3">
        <v>1</v>
      </c>
    </row>
    <row r="49436" ht="15.75" customHeight="1" spans="1:2">
      <c r="A49436" s="3" t="str">
        <f>IFERROR(__xludf.DUMMYFUNCTION("GOOGLETRANSLATE(A49436,""en"",""pt"")"),"Impressora colorida, scanner e fotocopiadora tudo em um, USB Connector.")</f>
        <v>Impressora colorida, scanner e fotocopiadora tudo em um, USB Connector.</v>
      </c>
      <c r="B49436" s="3">
        <v>1</v>
      </c>
    </row>
    <row r="49437" ht="15.75" customHeight="1" spans="1:2">
      <c r="A49437" s="3" t="s">
        <v>250</v>
      </c>
      <c r="B49437" s="3">
        <v>1</v>
      </c>
    </row>
    <row r="49438" ht="15.75" customHeight="1" spans="1:2">
      <c r="A49438" s="3" t="str">
        <f>IFERROR(__xludf.DUMMYFUNCTION("GOOGLETRANSLATE(A49438,""en"",""pt"")"),"Para o dinheiro, bem como uma única pegada, que não pode ser batida.")</f>
        <v>Para o dinheiro, bem como uma única pegada, que não pode ser batida.</v>
      </c>
      <c r="B49438" s="3">
        <v>1</v>
      </c>
    </row>
    <row r="49439" ht="15.75" customHeight="1" spans="1:2">
      <c r="A49439" s="3" t="str">
        <f>IFERROR(__xludf.DUMMYFUNCTION("GOOGLETRANSLATE(A49439,""en"",""pt"")"),"Barato, compacto, decente qualidade de impressão quando funciona, eu disse barato?")</f>
        <v>Barato, compacto, decente qualidade de impressão quando funciona, eu disse barato?</v>
      </c>
      <c r="B49439" s="3">
        <v>1</v>
      </c>
    </row>
    <row r="49440" ht="15.75" customHeight="1" spans="1:2">
      <c r="A49440" s="3" t="str">
        <f>IFERROR(__xludf.DUMMYFUNCTION("GOOGLETRANSLATE(A49440,""en"",""pt"")"),"MELHORES representantes de serviço ao cliente que já tratou! Por favor, continuem a ver por que!")</f>
        <v>MELHORES representantes de serviço ao cliente que já tratou! Por favor, continuem a ver por que!</v>
      </c>
      <c r="B49440" s="3">
        <v>1</v>
      </c>
    </row>
    <row r="49441" ht="15.75" customHeight="1" spans="1:2">
      <c r="A49441" s="3" t="str">
        <f>IFERROR(__xludf.DUMMYFUNCTION("GOOGLETRANSLATE(A49441,""en"",""pt"")"),"Muitas funções, preço barato")</f>
        <v>Muitas funções, preço barato</v>
      </c>
      <c r="B49441" s="3">
        <v>1</v>
      </c>
    </row>
    <row r="49442" ht="15.75" customHeight="1" spans="1:2">
      <c r="A49442" s="3" t="str">
        <f>IFERROR(__xludf.DUMMYFUNCTION("GOOGLETRANSLATE(A49442,""en"",""pt"")"),"Um sistema completo em um todo. Não há necessidade de comprar múltiplas peças de equipamento.")</f>
        <v>Um sistema completo em um todo. Não há necessidade de comprar múltiplas peças de equipamento.</v>
      </c>
      <c r="B49442" s="3">
        <v>1</v>
      </c>
    </row>
    <row r="49443" ht="15.75" customHeight="1" spans="1:2">
      <c r="A49443" s="3" t="str">
        <f>IFERROR(__xludf.DUMMYFUNCTION("GOOGLETRANSLATE(A49443,""en"",""pt"")"),"Preço só é pro que eu posso pensar")</f>
        <v>Preço só é pro que eu posso pensar</v>
      </c>
      <c r="B49443" s="3">
        <v>1</v>
      </c>
    </row>
    <row r="49444" ht="15.75" customHeight="1" spans="1:2">
      <c r="A49444" s="3" t="str">
        <f>IFERROR(__xludf.DUMMYFUNCTION("GOOGLETRANSLATE(A49444,""en"",""pt"")"),"botão Copiar simples (em teoria). Que é sobre ele")</f>
        <v>botão Copiar simples (em teoria). Que é sobre ele</v>
      </c>
      <c r="B49444" s="3">
        <v>1</v>
      </c>
    </row>
    <row r="49445" ht="15.75" customHeight="1" spans="1:2">
      <c r="A49445" s="3" t="str">
        <f>IFERROR(__xludf.DUMMYFUNCTION("GOOGLETRANSLATE(A49445,""en"",""pt"")"),"Uma excelente impressora para o dinheiro")</f>
        <v>Uma excelente impressora para o dinheiro</v>
      </c>
      <c r="B49445" s="3">
        <v>1</v>
      </c>
    </row>
    <row r="49446" ht="15.75" customHeight="1" spans="1:2">
      <c r="A49446" s="3" t="str">
        <f>IFERROR(__xludf.DUMMYFUNCTION("GOOGLETRANSLATE(A49446,""en"",""pt"")"),"Funciona muito bem como uma copiadora autônoma. Mas as funcionalidades são grandes.")</f>
        <v>Funciona muito bem como uma copiadora autônoma. Mas as funcionalidades são grandes.</v>
      </c>
      <c r="B49446" s="3">
        <v>1</v>
      </c>
    </row>
    <row r="49447" ht="15.75" customHeight="1" spans="1:2">
      <c r="A49447" s="3" t="str">
        <f>IFERROR(__xludf.DUMMYFUNCTION("GOOGLETRANSLATE(A49447,""en"",""pt"")"),"Preço; Funções; Qualidade de impressão; Velocidade da máquina;")</f>
        <v>Preço; Funções; Qualidade de impressão; Velocidade da máquina;</v>
      </c>
      <c r="B49447" s="3">
        <v>1</v>
      </c>
    </row>
    <row r="49448" ht="15.75" customHeight="1" spans="1:2">
      <c r="A49448" s="3" t="str">
        <f>IFERROR(__xludf.DUMMYFUNCTION("GOOGLETRANSLATE(A49448,""en"",""pt"")"),"Funcional, qualidade das impressões, Preço")</f>
        <v>Funcional, qualidade das impressões, Preço</v>
      </c>
      <c r="B49448" s="3">
        <v>1</v>
      </c>
    </row>
    <row r="49449" ht="15.75" customHeight="1" spans="1:2">
      <c r="A49449" s="3" t="str">
        <f>IFERROR(__xludf.DUMMYFUNCTION("GOOGLETRANSLATE(A49449,""en"",""pt"")"),"Clara, concisa imprimir. Fácil de compreender instruções. Tudo em um tamanho compacto.")</f>
        <v>Clara, concisa imprimir. Fácil de compreender instruções. Tudo em um tamanho compacto.</v>
      </c>
      <c r="B49449" s="3">
        <v>1</v>
      </c>
    </row>
    <row r="49450" ht="15.75" customHeight="1" spans="1:2">
      <c r="A49450" s="3" t="str">
        <f>IFERROR(__xludf.DUMMYFUNCTION("GOOGLETRANSLATE(A49450,""en"",""pt"")"),"Lotes das características ""menino grande"" copiadora, cartazes, carteira fotos. não precisa de PC.")</f>
        <v>Lotes das características "menino grande" copiadora, cartazes, carteira fotos. não precisa de PC.</v>
      </c>
      <c r="B49450" s="3">
        <v>1</v>
      </c>
    </row>
    <row r="49451" ht="15.75" customHeight="1" spans="1:2">
      <c r="A49451" s="3" t="str">
        <f>IFERROR(__xludf.DUMMYFUNCTION("GOOGLETRANSLATE(A49451,""en"",""pt"")"),"não necessidade de ligar o PC para tarefas comuns. saída excelente qualidade de foto")</f>
        <v>não necessidade de ligar o PC para tarefas comuns. saída excelente qualidade de foto</v>
      </c>
      <c r="B49451" s="3">
        <v>1</v>
      </c>
    </row>
    <row r="49452" ht="15.75" customHeight="1" spans="1:2">
      <c r="A49452" s="3" t="str">
        <f>IFERROR(__xludf.DUMMYFUNCTION("GOOGLETRANSLATE(A49452,""en"",""pt"")"),"Não precisa para arrancar o computador para fazer a cor ou B &amp; amp; W cópias.")</f>
        <v>Não precisa para arrancar o computador para fazer a cor ou B &amp; amp; W cópias.</v>
      </c>
      <c r="B49452" s="3">
        <v>1</v>
      </c>
    </row>
    <row r="49453" ht="15.75" customHeight="1" spans="1:2">
      <c r="A49453" s="3" t="str">
        <f>IFERROR(__xludf.DUMMYFUNCTION("GOOGLETRANSLATE(A49453,""en"",""pt"")"),"Copiadora pode ser usado sem PC, impressão a cores de qualidade decente para o dinheiro.")</f>
        <v>Copiadora pode ser usado sem PC, impressão a cores de qualidade decente para o dinheiro.</v>
      </c>
      <c r="B49453" s="3">
        <v>1</v>
      </c>
    </row>
    <row r="49454" ht="15.75" customHeight="1" spans="1:2">
      <c r="A49454" s="3" t="str">
        <f>IFERROR(__xludf.DUMMYFUNCTION("GOOGLETRANSLATE(A49454,""en"",""pt"")"),"Excelente qualidade de impressão &amp; amp; # 13; &amp; amp; # 10; Facilidade de uso")</f>
        <v>Excelente qualidade de impressão &amp; amp; # 13; &amp; amp; # 10; Facilidade de uso</v>
      </c>
      <c r="B49454" s="3">
        <v>1</v>
      </c>
    </row>
    <row r="49455" ht="15.75" customHeight="1" spans="1:2">
      <c r="A49455" s="3" t="str">
        <f>IFERROR(__xludf.DUMMYFUNCTION("GOOGLETRANSLATE(A49455,""en"",""pt"")"),"Impressão e cópia a cores e um scanner para inicialização")</f>
        <v>Impressão e cópia a cores e um scanner para inicialização</v>
      </c>
      <c r="B49455" s="3">
        <v>1</v>
      </c>
    </row>
    <row r="49456" ht="15.75" customHeight="1" spans="1:2">
      <c r="A49456" s="3" t="str">
        <f>IFERROR(__xludf.DUMMYFUNCTION("GOOGLETRANSLATE(A49456,""en"",""pt"")"),"barato, rápido, confiável")</f>
        <v>barato, rápido, confiável</v>
      </c>
      <c r="B49456" s="3">
        <v>1</v>
      </c>
    </row>
    <row r="49457" ht="15.75" customHeight="1" spans="1:2">
      <c r="A49457" s="3" t="str">
        <f>IFERROR(__xludf.DUMMYFUNCTION("GOOGLETRANSLATE(A49457,""en"",""pt"")"),"É um rápido, tudo em uma impressora. Boa qualidade")</f>
        <v>É um rápido, tudo em uma impressora. Boa qualidade</v>
      </c>
      <c r="B49457" s="3">
        <v>1</v>
      </c>
    </row>
    <row r="49458" ht="15.75" customHeight="1" spans="1:2">
      <c r="A49458" s="3" t="str">
        <f>IFERROR(__xludf.DUMMYFUNCTION("GOOGLETRANSLATE(A49458,""en"",""pt"")"),"qualidade de impressão agradável, tranquila e rápida")</f>
        <v>qualidade de impressão agradável, tranquila e rápida</v>
      </c>
      <c r="B49458" s="3">
        <v>1</v>
      </c>
    </row>
    <row r="49459" ht="15.75" customHeight="1" spans="1:2">
      <c r="A49459" s="3" t="str">
        <f>IFERROR(__xludf.DUMMYFUNCTION("GOOGLETRANSLATE(A49459,""en"",""pt"")"),"O computador não tem que ser para fazer cópias, cor excepcional qualidade de cópia")</f>
        <v>O computador não tem que ser para fazer cópias, cor excepcional qualidade de cópia</v>
      </c>
      <c r="B49459" s="3">
        <v>1</v>
      </c>
    </row>
    <row r="49460" ht="15.75" customHeight="1" spans="1:2">
      <c r="A49460" s="3" t="str">
        <f>IFERROR(__xludf.DUMMYFUNCTION("GOOGLETRANSLATE(A49460,""en"",""pt"")"),"ficar copiadora colorida sozinho, muito boa qualidade de impressão, bom preço para um All-in-")</f>
        <v>ficar copiadora colorida sozinho, muito boa qualidade de impressão, bom preço para um All-in-</v>
      </c>
      <c r="B49460" s="3">
        <v>1</v>
      </c>
    </row>
    <row r="49461" ht="15.75" customHeight="1" spans="1:2">
      <c r="A49461" s="3" t="str">
        <f>IFERROR(__xludf.DUMMYFUNCTION("GOOGLETRANSLATE(A49461,""en"",""pt"")"),"&amp; Amp; # 149; Grandes características &amp; amp; # 13; &amp; amp; # 10; &amp; amp; # 13; &amp; amp; # 10; &amp; amp; # 13; &amp; amp; # 10; &amp; amp; # 13; &amp; amp; # 10; &amp; amp; # 13; &amp; amp; # 10 ; &amp; amp; # 13; &amp; amp; # 10; &amp; amp; # 13; &amp; amp; # 10; &amp; amp; # 13; &amp; amp; # 10; &amp; amp; #"&amp;" 13; &amp; amp; # 10; &amp; amp; # 13; &amp; amp; # 10 ; &amp; amp; # 13; &amp; amp; # 10; &amp; amp; # 13; &amp; amp; # 10; &amp; amp; # 13; &amp; amp; # 10; &amp; amp; # 13; &amp; amp; # 10; &amp; amp; # 13; &amp; amp; # 10 ; &amp; amp; # 13; &amp; amp; # 10; &amp; amp; # 149; botões emborrachados e plástico de qual"&amp;"idade.")</f>
        <v>&amp; Amp; # 149; Grandes características &amp; amp; # 13; &amp; amp; # 10; &amp; amp; # 13; &amp; amp; # 10; &amp; amp; # 13; &amp; amp; # 10; &amp; amp; # 13; &amp; amp; # 10; &amp; amp; # 13; &amp; amp; # 10 ; &amp; amp; # 13; &amp; amp; # 10; &amp; amp; # 13; &amp; amp; # 10; &amp; amp; # 13; &amp; amp; # 10; &amp; amp; # 13; &amp; amp; # 10; &amp; amp; # 13; &amp; amp; # 10 ; &amp; amp; # 13; &amp; amp; # 10; &amp; amp; # 13; &amp; amp; # 10; &amp; amp; # 13; &amp; amp; # 10; &amp; amp; # 13; &amp; amp; # 10; &amp; amp; # 13; &amp; amp; # 10 ; &amp; amp; # 13; &amp; amp; # 10; &amp; amp; # 149; botões emborrachados e plástico de qualidade.</v>
      </c>
      <c r="B49461" s="3">
        <v>1</v>
      </c>
    </row>
    <row r="49462" ht="15.75" customHeight="1" spans="1:2">
      <c r="A49462" s="3" t="str">
        <f>IFERROR(__xludf.DUMMYFUNCTION("GOOGLETRANSLATE(A49462,""en"",""pt"")"),"Grande copiadora e scanner")</f>
        <v>Grande copiadora e scanner</v>
      </c>
      <c r="B49462" s="3">
        <v>1</v>
      </c>
    </row>
    <row r="49463" ht="15.75" customHeight="1" spans="1:2">
      <c r="A49463" s="3" t="str">
        <f>IFERROR(__xludf.DUMMYFUNCTION("GOOGLETRANSLATE(A49463,""en"",""pt"")"),"Fácil de usar, os níveis de volume monitores de tinta, boas scans")</f>
        <v>Fácil de usar, os níveis de volume monitores de tinta, boas scans</v>
      </c>
      <c r="B49463" s="3">
        <v>1</v>
      </c>
    </row>
    <row r="49464" ht="15.75" customHeight="1" spans="1:2">
      <c r="A49464" s="3" t="str">
        <f>IFERROR(__xludf.DUMMYFUNCTION("GOOGLETRANSLATE(A49464,""en"",""pt"")"),"Boa saída para imprimir e digitalizar.")</f>
        <v>Boa saída para imprimir e digitalizar.</v>
      </c>
      <c r="B49464" s="3">
        <v>1</v>
      </c>
    </row>
    <row r="49465" ht="15.75" customHeight="1" spans="1:2">
      <c r="A49465" s="3" t="str">
        <f>IFERROR(__xludf.DUMMYFUNCTION("GOOGLETRANSLATE(A49465,""en"",""pt"")"),"Reputação funcionalidade Qualidade e preço")</f>
        <v>Reputação funcionalidade Qualidade e preço</v>
      </c>
      <c r="B49465" s="3">
        <v>1</v>
      </c>
    </row>
    <row r="49466" ht="15.75" customHeight="1" spans="1:2">
      <c r="A49466" s="3" t="str">
        <f>IFERROR(__xludf.DUMMYFUNCTION("GOOGLETRANSLATE(A49466,""en"",""pt"")"),"da impressora, copiadora e scanner tudo em um &amp; amp; # 13; &amp; amp; # 10;")</f>
        <v>da impressora, copiadora e scanner tudo em um &amp; amp; # 13; &amp; amp; # 10;</v>
      </c>
      <c r="B49466" s="3">
        <v>1</v>
      </c>
    </row>
    <row r="49467" ht="15.75" customHeight="1" spans="1:2">
      <c r="A49467" s="3" t="str">
        <f>IFERROR(__xludf.DUMMYFUNCTION("GOOGLETRANSLATE(A49467,""en"",""pt"")"),"On-Board recurso Fotocópia fácil de usar; &amp; amp; # 13; &amp; amp; # 10; Prints bem &amp; amp; # 13; &amp; amp; # 10; Rápido e fácil de set-up")</f>
        <v>On-Board recurso Fotocópia fácil de usar; &amp; amp; # 13; &amp; amp; # 10; Prints bem &amp; amp; # 13; &amp; amp; # 10; Rápido e fácil de set-up</v>
      </c>
      <c r="B49467" s="3">
        <v>1</v>
      </c>
    </row>
    <row r="49468" ht="15.75" customHeight="1" spans="1:2">
      <c r="A49468" s="3" t="str">
        <f>IFERROR(__xludf.DUMMYFUNCTION("GOOGLETRANSLATE(A49468,""en"",""pt"")"),"Baixo preço, facilidade de operação")</f>
        <v>Baixo preço, facilidade de operação</v>
      </c>
      <c r="B49468" s="3">
        <v>1</v>
      </c>
    </row>
    <row r="49469" ht="15.75" customHeight="1" spans="1:2">
      <c r="A49469" s="3" t="str">
        <f>IFERROR(__xludf.DUMMYFUNCTION("GOOGLETRANSLATE(A49469,""en"",""pt"")"),"Ótimo preço, grandes fotos a cores de qualidade cópias / varreduras, grande valor !!")</f>
        <v>Ótimo preço, grandes fotos a cores de qualidade cópias / varreduras, grande valor !!</v>
      </c>
      <c r="B49469" s="3">
        <v>1</v>
      </c>
    </row>
    <row r="49470" ht="15.75" customHeight="1" spans="1:2">
      <c r="A49470" s="3" t="str">
        <f>IFERROR(__xludf.DUMMYFUNCTION("GOOGLETRANSLATE(A49470,""en"",""pt"")"),"Ótimo preço, scanner de mesa, facilidade de instalação e uso.")</f>
        <v>Ótimo preço, scanner de mesa, facilidade de instalação e uso.</v>
      </c>
      <c r="B49470" s="3">
        <v>1</v>
      </c>
    </row>
    <row r="49471" ht="15.75" customHeight="1" spans="1:2">
      <c r="A49471" s="3" t="str">
        <f>IFERROR(__xludf.DUMMYFUNCTION("GOOGLETRANSLATE(A49471,""en"",""pt"")"),"Limpar Imagem, Scans, Copys, e estampas. Preço justo.")</f>
        <v>Limpar Imagem, Scans, Copys, e estampas. Preço justo.</v>
      </c>
      <c r="B49471" s="3">
        <v>1</v>
      </c>
    </row>
    <row r="49472" ht="15.75" customHeight="1" spans="1:2">
      <c r="A49472" s="3" t="str">
        <f>IFERROR(__xludf.DUMMYFUNCTION("GOOGLETRANSLATE(A49472,""en"",""pt"")"),"Tantos recursos, fácil de usar, grande capacidade de impressão")</f>
        <v>Tantos recursos, fácil de usar, grande capacidade de impressão</v>
      </c>
      <c r="B49472" s="3">
        <v>1</v>
      </c>
    </row>
    <row r="49473" ht="15.75" customHeight="1" spans="1:2">
      <c r="A49473" s="3" t="s">
        <v>251</v>
      </c>
      <c r="B49473" s="3">
        <v>1</v>
      </c>
    </row>
    <row r="49474" ht="15.75" customHeight="1" spans="1:2">
      <c r="A49474" s="3" t="str">
        <f>IFERROR(__xludf.DUMMYFUNCTION("GOOGLETRANSLATE(A49474,""en"",""pt"")"),"barato")</f>
        <v>barato</v>
      </c>
      <c r="B49474" s="3">
        <v>1</v>
      </c>
    </row>
    <row r="49475" ht="15.75" customHeight="1" spans="1:2">
      <c r="A49475" s="3" t="str">
        <f>IFERROR(__xludf.DUMMYFUNCTION("GOOGLETRANSLATE(A49475,""en"",""pt"")"),"Um valor incrível!")</f>
        <v>Um valor incrível!</v>
      </c>
      <c r="B49475" s="3">
        <v>1</v>
      </c>
    </row>
    <row r="49476" ht="15.75" customHeight="1" spans="1:2">
      <c r="A49476" s="3" t="str">
        <f>IFERROR(__xludf.DUMMYFUNCTION("GOOGLETRANSLATE(A49476,""en"",""pt"")"),"ÀS VEZES, ele será executado sem problemas!")</f>
        <v>ÀS VEZES, ele será executado sem problemas!</v>
      </c>
      <c r="B49476" s="3">
        <v>1</v>
      </c>
    </row>
    <row r="49477" ht="15.75" customHeight="1" spans="1:2">
      <c r="A49477" s="3" t="str">
        <f>IFERROR(__xludf.DUMMYFUNCTION("GOOGLETRANSLATE(A49477,""en"",""pt"")"),"Preço, Funções; fácil de usar")</f>
        <v>Preço, Funções; fácil de usar</v>
      </c>
      <c r="B49477" s="3">
        <v>1</v>
      </c>
    </row>
    <row r="49478" ht="15.75" customHeight="1" spans="1:2">
      <c r="A49478" s="3" t="str">
        <f>IFERROR(__xludf.DUMMYFUNCTION("GOOGLETRANSLATE(A49478,""en"",""pt"")"),"Três-em-um aparelho barato")</f>
        <v>Três-em-um aparelho barato</v>
      </c>
      <c r="B49478" s="3">
        <v>1</v>
      </c>
    </row>
    <row r="49479" ht="15.75" customHeight="1" spans="1:2">
      <c r="A49479" s="3" t="str">
        <f>IFERROR(__xludf.DUMMYFUNCTION("GOOGLETRANSLATE(A49479,""en"",""pt"")"),"3 em um")</f>
        <v>3 em um</v>
      </c>
      <c r="B49479" s="3">
        <v>1</v>
      </c>
    </row>
    <row r="49480" ht="15.75" customHeight="1" spans="1:2">
      <c r="A49480" s="3" t="str">
        <f>IFERROR(__xludf.DUMMYFUNCTION("GOOGLETRANSLATE(A49480,""en"",""pt"")"),"O x83 era muito fácil de configurar e instalar em meu computador de programação.")</f>
        <v>O x83 era muito fácil de configurar e instalar em meu computador de programação.</v>
      </c>
      <c r="B49480" s="3">
        <v>1</v>
      </c>
    </row>
    <row r="49481" ht="15.75" customHeight="1" spans="1:2">
      <c r="A49481" s="3" t="str">
        <f>IFERROR(__xludf.DUMMYFUNCTION("GOOGLETRANSLATE(A49481,""en"",""pt"")"),"Flexibilidade, Preço")</f>
        <v>Flexibilidade, Preço</v>
      </c>
      <c r="B49481" s="3">
        <v>1</v>
      </c>
    </row>
    <row r="49482" ht="15.75" customHeight="1" spans="1:2">
      <c r="A49482" s="3" t="str">
        <f>IFERROR(__xludf.DUMMYFUNCTION("GOOGLETRANSLATE(A49482,""en"",""pt"")"),"Boa PrintQuality, configuração fácil, velocidade")</f>
        <v>Boa PrintQuality, configuração fácil, velocidade</v>
      </c>
      <c r="B49482" s="3">
        <v>1</v>
      </c>
    </row>
    <row r="49483" ht="15.75" customHeight="1" spans="1:2">
      <c r="A49483" s="3" t="str">
        <f>IFERROR(__xludf.DUMMYFUNCTION("GOOGLETRANSLATE(A49483,""en"",""pt"")"),"Preço, opções oferecidas")</f>
        <v>Preço, opções oferecidas</v>
      </c>
      <c r="B49483" s="3">
        <v>1</v>
      </c>
    </row>
    <row r="49484" ht="15.75" customHeight="1" spans="1:2">
      <c r="A49484" s="3" t="str">
        <f>IFERROR(__xludf.DUMMYFUNCTION("GOOGLETRANSLATE(A49484,""en"",""pt"")"),"grandes impressões")</f>
        <v>grandes impressões</v>
      </c>
      <c r="B49484" s="3">
        <v>1</v>
      </c>
    </row>
    <row r="49485" ht="15.75" customHeight="1" spans="1:2">
      <c r="A49485" s="3" t="str">
        <f>IFERROR(__xludf.DUMMYFUNCTION("GOOGLETRANSLATE(A49485,""en"",""pt"")"),"preço. fácil de usar")</f>
        <v>preço. fácil de usar</v>
      </c>
      <c r="B49485" s="3">
        <v>1</v>
      </c>
    </row>
    <row r="49486" ht="15.75" customHeight="1" spans="1:2">
      <c r="A49486" s="3" t="str">
        <f>IFERROR(__xludf.DUMMYFUNCTION("GOOGLETRANSLATE(A49486,""en"",""pt"")"),"impressionante qualidade a um preço econômico.")</f>
        <v>impressionante qualidade a um preço econômico.</v>
      </c>
      <c r="B49486" s="3">
        <v>1</v>
      </c>
    </row>
    <row r="49487" ht="15.75" customHeight="1" spans="1:2">
      <c r="A49487" s="3" t="str">
        <f>IFERROR(__xludf.DUMMYFUNCTION("GOOGLETRANSLATE(A49487,""en"",""pt"")"),"Um dos melhores em qualidade de impressão para um multi-função. Scan &amp; amp Nice; qualidade da foto.")</f>
        <v>Um dos melhores em qualidade de impressão para um multi-função. Scan &amp; amp Nice; qualidade da foto.</v>
      </c>
      <c r="B49487" s="3">
        <v>1</v>
      </c>
    </row>
    <row r="49488" ht="15.75" customHeight="1" spans="1:2">
      <c r="A49488" s="3" t="str">
        <f>IFERROR(__xludf.DUMMYFUNCTION("GOOGLETRANSLATE(A49488,""en"",""pt"")"),"A qualidade de impressão e digitalização")</f>
        <v>A qualidade de impressão e digitalização</v>
      </c>
      <c r="B49488" s="3">
        <v>1</v>
      </c>
    </row>
    <row r="49489" ht="15.75" customHeight="1" spans="1:2">
      <c r="A49489" s="3" t="str">
        <f>IFERROR(__xludf.DUMMYFUNCTION("GOOGLETRANSLATE(A49489,""en"",""pt"")"),"Usos Múltiplos (scanner, impressora &amp; amp; copiadora)")</f>
        <v>Usos Múltiplos (scanner, impressora &amp; amp; copiadora)</v>
      </c>
      <c r="B49489" s="3">
        <v>1</v>
      </c>
    </row>
    <row r="49490" ht="15.75" customHeight="1" spans="1:2">
      <c r="A49490" s="3" t="str">
        <f>IFERROR(__xludf.DUMMYFUNCTION("GOOGLETRANSLATE(A49490,""en"",""pt"")"),"Stand-alone, velocidade de impressão rápida, qualidade decente")</f>
        <v>Stand-alone, velocidade de impressão rápida, qualidade decente</v>
      </c>
      <c r="B49490" s="3">
        <v>1</v>
      </c>
    </row>
    <row r="49491" ht="15.75" customHeight="1" spans="1:2">
      <c r="A49491" s="3" t="str">
        <f>IFERROR(__xludf.DUMMYFUNCTION("GOOGLETRANSLATE(A49491,""en"",""pt"")"),"grandes características quatro, grande qualidade de impressão,")</f>
        <v>grandes características quatro, grande qualidade de impressão,</v>
      </c>
      <c r="B49491" s="3">
        <v>1</v>
      </c>
    </row>
    <row r="49492" ht="15.75" customHeight="1" spans="1:2">
      <c r="A49492" s="3" t="str">
        <f>IFERROR(__xludf.DUMMYFUNCTION("GOOGLETRANSLATE(A49492,""en"",""pt"")"),"Simples de usar.")</f>
        <v>Simples de usar.</v>
      </c>
      <c r="B49492" s="3">
        <v>1</v>
      </c>
    </row>
    <row r="49493" ht="15.75" customHeight="1" spans="1:2">
      <c r="A49493" s="3" t="str">
        <f>IFERROR(__xludf.DUMMYFUNCTION("GOOGLETRANSLATE(A49493,""en"",""pt"")"),"Lotes de características, preço")</f>
        <v>Lotes de características, preço</v>
      </c>
      <c r="B49493" s="3">
        <v>1</v>
      </c>
    </row>
    <row r="49494" ht="15.75" customHeight="1" spans="1:2">
      <c r="A49494" s="3" t="str">
        <f>IFERROR(__xludf.DUMMYFUNCTION("GOOGLETRANSLATE(A49494,""en"",""pt"")"),"Boa impressão quando funciona mau serviço")</f>
        <v>Boa impressão quando funciona mau serviço</v>
      </c>
      <c r="B49494" s="3">
        <v>1</v>
      </c>
    </row>
    <row r="49495" ht="15.75" customHeight="1" spans="1:2">
      <c r="A49495" s="3" t="str">
        <f>IFERROR(__xludf.DUMMYFUNCTION("GOOGLETRANSLATE(A49495,""en"",""pt"")"),"Muito boa qualidade de impressão - quando funciona!")</f>
        <v>Muito boa qualidade de impressão - quando funciona!</v>
      </c>
      <c r="B49495" s="3">
        <v>1</v>
      </c>
    </row>
    <row r="49496" ht="15.75" customHeight="1" spans="1:2">
      <c r="A49496" s="3" t="str">
        <f>IFERROR(__xludf.DUMMYFUNCTION("GOOGLETRANSLATE(A49496,""en"",""pt"")"),"Executa como anunciado")</f>
        <v>Executa como anunciado</v>
      </c>
      <c r="B49496" s="3">
        <v>1</v>
      </c>
    </row>
    <row r="49497" ht="15.75" customHeight="1" spans="1:2">
      <c r="A49497" s="3" t="str">
        <f>IFERROR(__xludf.DUMMYFUNCTION("GOOGLETRANSLATE(A49497,""en"",""pt"")"),"Excelente, impressão econômica confiável")</f>
        <v>Excelente, impressão econômica confiável</v>
      </c>
      <c r="B49497" s="3">
        <v>1</v>
      </c>
    </row>
    <row r="49498" ht="15.75" customHeight="1" spans="1:2">
      <c r="A49498" s="3" t="str">
        <f>IFERROR(__xludf.DUMMYFUNCTION("GOOGLETRANSLATE(A49498,""en"",""pt"")"),"Boa qualidade de impressão e cor. Fácil configuração.")</f>
        <v>Boa qualidade de impressão e cor. Fácil configuração.</v>
      </c>
      <c r="B49498" s="3">
        <v>1</v>
      </c>
    </row>
    <row r="49499" ht="15.75" customHeight="1" spans="1:2">
      <c r="A49499" s="3" t="str">
        <f>IFERROR(__xludf.DUMMYFUNCTION("GOOGLETRANSLATE(A49499,""en"",""pt"")"),"preço justo")</f>
        <v>preço justo</v>
      </c>
      <c r="B49499" s="3">
        <v>1</v>
      </c>
    </row>
    <row r="49500" ht="15.75" customHeight="1" spans="1:2">
      <c r="A49500" s="3" t="str">
        <f>IFERROR(__xludf.DUMMYFUNCTION("GOOGLETRANSLATE(A49500,""en"",""pt"")"),"Excelente impressão para este preço.")</f>
        <v>Excelente impressão para este preço.</v>
      </c>
      <c r="B49500" s="3">
        <v>1</v>
      </c>
    </row>
    <row r="49501" ht="15.75" customHeight="1" spans="1:2">
      <c r="A49501" s="3" t="str">
        <f>IFERROR(__xludf.DUMMYFUNCTION("GOOGLETRANSLATE(A49501,""en"",""pt"")"),"impressões de boa qualidade e fácil configuração.")</f>
        <v>impressões de boa qualidade e fácil configuração.</v>
      </c>
      <c r="B49501" s="3">
        <v>1</v>
      </c>
    </row>
    <row r="49502" ht="15.75" customHeight="1" spans="1:2">
      <c r="A49502" s="3" t="str">
        <f>IFERROR(__xludf.DUMMYFUNCTION("GOOGLETRANSLATE(A49502,""en"",""pt"")"),"Boa qualidade, enquanto ele funciona. Top Load (Sem atolamentos de papel)")</f>
        <v>Boa qualidade, enquanto ele funciona. Top Load (Sem atolamentos de papel)</v>
      </c>
      <c r="B49502" s="3">
        <v>1</v>
      </c>
    </row>
    <row r="49503" ht="15.75" customHeight="1" spans="1:2">
      <c r="A49503" s="3" t="str">
        <f>IFERROR(__xludf.DUMMYFUNCTION("GOOGLETRANSLATE(A49503,""en"",""pt"")"),"Barato, fácil de instalar.")</f>
        <v>Barato, fácil de instalar.</v>
      </c>
      <c r="B49503" s="3">
        <v>1</v>
      </c>
    </row>
    <row r="49504" ht="15.75" customHeight="1" spans="1:2">
      <c r="A49504" s="3" t="str">
        <f>IFERROR(__xludf.DUMMYFUNCTION("GOOGLETRANSLATE(A49504,""en"",""pt"")"),"Supostamente impressões rápidas *, foto-qualidade nominal, software agradável ** ***")</f>
        <v>Supostamente impressões rápidas *, foto-qualidade nominal, software agradável ** ***</v>
      </c>
      <c r="B49504" s="3">
        <v>1</v>
      </c>
    </row>
    <row r="49505" ht="15.75" customHeight="1" spans="1:2">
      <c r="A49505" s="3" t="str">
        <f>IFERROR(__xludf.DUMMYFUNCTION("GOOGLETRANSLATE(A49505,""en"",""pt"")"),"ok preço. boa parecia na loja.")</f>
        <v>ok preço. boa parecia na loja.</v>
      </c>
      <c r="B49505" s="3">
        <v>1</v>
      </c>
    </row>
    <row r="49506" ht="15.75" customHeight="1" spans="1:2">
      <c r="A49506" s="3" t="str">
        <f>IFERROR(__xludf.DUMMYFUNCTION("GOOGLETRANSLATE(A49506,""en"",""pt"")"),"Barato, Grande Printer que põe para fora imagens de alta qualidade")</f>
        <v>Barato, Grande Printer que põe para fora imagens de alta qualidade</v>
      </c>
      <c r="B49506" s="3">
        <v>1</v>
      </c>
    </row>
    <row r="49507" ht="15.75" customHeight="1" spans="1:2">
      <c r="A49507" s="3" t="str">
        <f>IFERROR(__xludf.DUMMYFUNCTION("GOOGLETRANSLATE(A49507,""en"",""pt"")"),"pacote muito sexy, grande texto nítido")</f>
        <v>pacote muito sexy, grande texto nítido</v>
      </c>
      <c r="B49507" s="3">
        <v>1</v>
      </c>
    </row>
    <row r="49508" ht="15.75" customHeight="1" spans="1:2">
      <c r="A49508" s="3" t="str">
        <f>IFERROR(__xludf.DUMMYFUNCTION("GOOGLETRANSLATE(A49508,""en"",""pt"")"),"Alta velocidade, impressão de qualidade, Drivers")</f>
        <v>Alta velocidade, impressão de qualidade, Drivers</v>
      </c>
      <c r="B49508" s="3">
        <v>1</v>
      </c>
    </row>
    <row r="49509" ht="15.75" customHeight="1" spans="1:2">
      <c r="A49509" s="3" t="str">
        <f>IFERROR(__xludf.DUMMYFUNCTION("GOOGLETRANSLATE(A49509,""en"",""pt"")"),"Fácil de instalar, excelentes fotos de qualidade.")</f>
        <v>Fácil de instalar, excelentes fotos de qualidade.</v>
      </c>
      <c r="B49509" s="3">
        <v>1</v>
      </c>
    </row>
    <row r="49510" ht="15.75" customHeight="1" spans="1:2">
      <c r="A49510" s="3" t="str">
        <f>IFERROR(__xludf.DUMMYFUNCTION("GOOGLETRANSLATE(A49510,""en"",""pt"")"),"Barato, impressão de alta qualidade, muito fácil de usar.")</f>
        <v>Barato, impressão de alta qualidade, muito fácil de usar.</v>
      </c>
      <c r="B49510" s="3">
        <v>1</v>
      </c>
    </row>
    <row r="49511" ht="15.75" customHeight="1" spans="1:2">
      <c r="A49511" s="3" t="str">
        <f>IFERROR(__xludf.DUMMYFUNCTION("GOOGLETRANSLATE(A49511,""en"",""pt"")"),"fácil de instalar")</f>
        <v>fácil de instalar</v>
      </c>
      <c r="B49511" s="3">
        <v>1</v>
      </c>
    </row>
    <row r="49512" ht="15.75" customHeight="1" spans="1:2">
      <c r="A49512" s="3" t="str">
        <f>IFERROR(__xludf.DUMMYFUNCTION("GOOGLETRANSLATE(A49512,""en"",""pt"")"),"qualidade de impressão")</f>
        <v>qualidade de impressão</v>
      </c>
      <c r="B49512" s="3">
        <v>1</v>
      </c>
    </row>
    <row r="49513" ht="15.75" customHeight="1" spans="1:2">
      <c r="A49513" s="3" t="str">
        <f>IFERROR(__xludf.DUMMYFUNCTION("GOOGLETRANSLATE(A49513,""en"",""pt"")"),"Velocidade e qualidade de impressão são grandes")</f>
        <v>Velocidade e qualidade de impressão são grandes</v>
      </c>
      <c r="B49513" s="3">
        <v>1</v>
      </c>
    </row>
    <row r="49514" ht="15.75" customHeight="1" spans="1:2">
      <c r="A49514" s="3" t="str">
        <f>IFERROR(__xludf.DUMMYFUNCTION("GOOGLETRANSLATE(A49514,""en"",""pt"")"),"Rápido, qualidade, preço")</f>
        <v>Rápido, qualidade, preço</v>
      </c>
      <c r="B49514" s="3">
        <v>1</v>
      </c>
    </row>
    <row r="49515" ht="15.75" customHeight="1" spans="1:2">
      <c r="A49515" s="3" t="str">
        <f>IFERROR(__xludf.DUMMYFUNCTION("GOOGLETRANSLATE(A49515,""en"",""pt"")"),"Grande valor, qualidade de impressão, facilidade de instalação, maravilhosa qualidade de cor, fáceis opções de impressão na tela, e excelente saída.")</f>
        <v>Grande valor, qualidade de impressão, facilidade de instalação, maravilhosa qualidade de cor, fáceis opções de impressão na tela, e excelente saída.</v>
      </c>
      <c r="B49515" s="3">
        <v>1</v>
      </c>
    </row>
    <row r="49516" ht="15.75" customHeight="1" spans="1:2">
      <c r="A49516" s="3" t="str">
        <f>IFERROR(__xludf.DUMMYFUNCTION("GOOGLETRANSLATE(A49516,""en"",""pt"")"),"Muito amigável")</f>
        <v>Muito amigável</v>
      </c>
      <c r="B49516" s="3">
        <v>1</v>
      </c>
    </row>
    <row r="49517" ht="15.75" customHeight="1" spans="1:2">
      <c r="A49517" s="3" t="str">
        <f>IFERROR(__xludf.DUMMYFUNCTION("GOOGLETRANSLATE(A49517,""en"",""pt"")"),"Rápido, eficiente, excelente qualidade de impressão")</f>
        <v>Rápido, eficiente, excelente qualidade de impressão</v>
      </c>
      <c r="B49517" s="3">
        <v>1</v>
      </c>
    </row>
    <row r="49518" ht="15.75" customHeight="1" spans="1:2">
      <c r="A49518" s="3" t="str">
        <f>IFERROR(__xludf.DUMMYFUNCTION("GOOGLETRANSLATE(A49518,""en"",""pt"")"),"Valor excepcional")</f>
        <v>Valor excepcional</v>
      </c>
      <c r="B49518" s="3">
        <v>1</v>
      </c>
    </row>
    <row r="49519" ht="15.75" customHeight="1" spans="1:2">
      <c r="A49519" s="3" t="str">
        <f>IFERROR(__xludf.DUMMYFUNCTION("GOOGLETRANSLATE(A49519,""en"",""pt"")"),"Rápido, excelente qualidade de imagem, o software livre.")</f>
        <v>Rápido, excelente qualidade de imagem, o software livre.</v>
      </c>
      <c r="B49519" s="3">
        <v>1</v>
      </c>
    </row>
    <row r="49520" ht="15.75" customHeight="1" spans="1:2">
      <c r="A49520" s="3" t="str">
        <f>IFERROR(__xludf.DUMMYFUNCTION("GOOGLETRANSLATE(A49520,""en"",""pt"")"),"barato, batata frita, apresentações de texto e de cores vivas")</f>
        <v>barato, batata frita, apresentações de texto e de cores vivas</v>
      </c>
      <c r="B49520" s="3">
        <v>1</v>
      </c>
    </row>
    <row r="49521" ht="15.75" customHeight="1" spans="1:2">
      <c r="A49521" s="3" t="str">
        <f>IFERROR(__xludf.DUMMYFUNCTION("GOOGLETRANSLATE(A49521,""en"",""pt"")"),"Nenhum")</f>
        <v>Nenhum</v>
      </c>
      <c r="B49521" s="3">
        <v>1</v>
      </c>
    </row>
    <row r="49522" ht="15.75" customHeight="1" spans="1:2">
      <c r="A49522" s="3" t="str">
        <f>IFERROR(__xludf.DUMMYFUNCTION("GOOGLETRANSLATE(A49522,""en"",""pt"")"),"Grande impressão de qualidade, de preço baixo")</f>
        <v>Grande impressão de qualidade, de preço baixo</v>
      </c>
      <c r="B49522" s="3">
        <v>1</v>
      </c>
    </row>
    <row r="49523" ht="15.75" customHeight="1" spans="1:2">
      <c r="A49523" s="3" t="str">
        <f>IFERROR(__xludf.DUMMYFUNCTION("GOOGLETRANSLATE(A49523,""en"",""pt"")"),"Barato; eficiente; lida com todos os tipos de papel; user-friendly software; oferece alta resolução.")</f>
        <v>Barato; eficiente; lida com todos os tipos de papel; user-friendly software; oferece alta resolução.</v>
      </c>
      <c r="B49523" s="3">
        <v>1</v>
      </c>
    </row>
    <row r="49524" ht="15.75" customHeight="1" spans="1:2">
      <c r="A49524" s="3" t="str">
        <f>IFERROR(__xludf.DUMMYFUNCTION("GOOGLETRANSLATE(A49524,""en"",""pt"")"),"faz um bom peso de papel")</f>
        <v>faz um bom peso de papel</v>
      </c>
      <c r="B49524" s="3">
        <v>1</v>
      </c>
    </row>
    <row r="49525" ht="15.75" customHeight="1" spans="1:2">
      <c r="A49525" s="3" t="str">
        <f>IFERROR(__xludf.DUMMYFUNCTION("GOOGLETRANSLATE(A49525,""en"",""pt"")"),"Preço, velocidade, facilidade de uso, a clareza, a lista é longa!")</f>
        <v>Preço, velocidade, facilidade de uso, a clareza, a lista é longa!</v>
      </c>
      <c r="B49525" s="3">
        <v>1</v>
      </c>
    </row>
    <row r="49526" ht="15.75" customHeight="1" spans="1:2">
      <c r="A49526" s="3" t="str">
        <f>IFERROR(__xludf.DUMMYFUNCTION("GOOGLETRANSLATE(A49526,""en"",""pt"")"),"Excelente qualidade de impressão")</f>
        <v>Excelente qualidade de impressão</v>
      </c>
      <c r="B49526" s="3">
        <v>1</v>
      </c>
    </row>
    <row r="49527" ht="15.75" customHeight="1" spans="1:2">
      <c r="A49527" s="3" t="str">
        <f>IFERROR(__xludf.DUMMYFUNCTION("GOOGLETRANSLATE(A49527,""en"",""pt"")"),"exibe muito coloridas")</f>
        <v>exibe muito coloridas</v>
      </c>
      <c r="B49527" s="3">
        <v>1</v>
      </c>
    </row>
    <row r="49528" ht="15.75" customHeight="1" spans="1:2">
      <c r="A49528" s="3" t="str">
        <f>IFERROR(__xludf.DUMMYFUNCTION("GOOGLETRANSLATE(A49528,""en"",""pt"")"),"fácil instalação, boa impressão, ótimo preço")</f>
        <v>fácil instalação, boa impressão, ótimo preço</v>
      </c>
      <c r="B49528" s="3">
        <v>1</v>
      </c>
    </row>
    <row r="49529" ht="15.75" customHeight="1" spans="1:2">
      <c r="A49529" s="3" t="str">
        <f>IFERROR(__xludf.DUMMYFUNCTION("GOOGLETRANSLATE(A49529,""en"",""pt"")"),"custo inicial, boa saída de imagem, instale fácil")</f>
        <v>custo inicial, boa saída de imagem, instale fácil</v>
      </c>
      <c r="B49529" s="3">
        <v>1</v>
      </c>
    </row>
    <row r="49530" ht="15.75" customHeight="1" spans="1:2">
      <c r="A49530" s="3" t="str">
        <f>IFERROR(__xludf.DUMMYFUNCTION("GOOGLETRANSLATE(A49530,""en"",""pt"")"),"Tudo")</f>
        <v>Tudo</v>
      </c>
      <c r="B49530" s="3">
        <v>1</v>
      </c>
    </row>
    <row r="49531" ht="15.75" customHeight="1" spans="1:2">
      <c r="A49531" s="3" t="str">
        <f>IFERROR(__xludf.DUMMYFUNCTION("GOOGLETRANSLATE(A49531,""en"",""pt"")"),"Impressora boa, velocidade rápida")</f>
        <v>Impressora boa, velocidade rápida</v>
      </c>
      <c r="B49531" s="3">
        <v>1</v>
      </c>
    </row>
    <row r="49532" ht="15.75" customHeight="1" spans="1:2">
      <c r="A49532" s="3" t="str">
        <f>IFERROR(__xludf.DUMMYFUNCTION("GOOGLETRANSLATE(A49532,""en"",""pt"")"),"Excelente cor, barato, trabalha com Macintosh")</f>
        <v>Excelente cor, barato, trabalha com Macintosh</v>
      </c>
      <c r="B49532" s="3">
        <v>1</v>
      </c>
    </row>
    <row r="49533" ht="15.75" customHeight="1" spans="1:2">
      <c r="A49533" s="3" t="str">
        <f>IFERROR(__xludf.DUMMYFUNCTION("GOOGLETRANSLATE(A49533,""en"",""pt"")"),"Quadro menor, então o Z52. impressão de alta qualidade mesmo e reliablity.")</f>
        <v>Quadro menor, então o Z52. impressão de alta qualidade mesmo e reliablity.</v>
      </c>
      <c r="B49533" s="3">
        <v>1</v>
      </c>
    </row>
    <row r="49534" ht="15.75" customHeight="1" spans="1:2">
      <c r="A49534" s="3" t="str">
        <f>IFERROR(__xludf.DUMMYFUNCTION("GOOGLETRANSLATE(A49534,""en"",""pt"")"),"Preço baixo; rápidas velocidades de impressão; excelente qualidade de impressão de texto.")</f>
        <v>Preço baixo; rápidas velocidades de impressão; excelente qualidade de impressão de texto.</v>
      </c>
      <c r="B49534" s="3">
        <v>1</v>
      </c>
    </row>
    <row r="49535" ht="15.75" customHeight="1" spans="1:2">
      <c r="A49535" s="3" t="str">
        <f>IFERROR(__xludf.DUMMYFUNCTION("GOOGLETRANSLATE(A49535,""en"",""pt"")"),"Muito rápido...")</f>
        <v>Muito rápido...</v>
      </c>
      <c r="B49535" s="3">
        <v>1</v>
      </c>
    </row>
    <row r="49536" ht="15.75" customHeight="1" spans="1:2">
      <c r="A49536" s="3" t="str">
        <f>IFERROR(__xludf.DUMMYFUNCTION("GOOGLETRANSLATE(A49536,""en"",""pt"")"),"Impressão rápida Crisp")</f>
        <v>Impressão rápida Crisp</v>
      </c>
      <c r="B49536" s="3">
        <v>1</v>
      </c>
    </row>
    <row r="49537" ht="15.75" customHeight="1" spans="1:2">
      <c r="A49537" s="3" t="str">
        <f>IFERROR(__xludf.DUMMYFUNCTION("GOOGLETRANSLATE(A49537,""en"",""pt"")"),"Extremamente pequeno, rápido, super fácil de usar")</f>
        <v>Extremamente pequeno, rápido, super fácil de usar</v>
      </c>
      <c r="B49537" s="3">
        <v>1</v>
      </c>
    </row>
    <row r="49538" ht="15.75" customHeight="1" spans="1:2">
      <c r="A49538" s="3" t="str">
        <f>IFERROR(__xludf.DUMMYFUNCTION("GOOGLETRANSLATE(A49538,""en"",""pt"")"),"É pequeno e barato, e uma grande ferramenta para a tomada de terríveis fotos.")</f>
        <v>É pequeno e barato, e uma grande ferramenta para a tomada de terríveis fotos.</v>
      </c>
      <c r="B49538" s="3">
        <v>1</v>
      </c>
    </row>
    <row r="49539" ht="15.75" customHeight="1" spans="1:2">
      <c r="A49539" s="3" t="str">
        <f>IFERROR(__xludf.DUMMYFUNCTION("GOOGLETRANSLATE(A49539,""en"",""pt"")"),"Grande design, fácil de usar")</f>
        <v>Grande design, fácil de usar</v>
      </c>
      <c r="B49539" s="3">
        <v>1</v>
      </c>
    </row>
    <row r="49540" ht="15.75" customHeight="1" spans="1:2">
      <c r="A49540" s="3" t="str">
        <f>IFERROR(__xludf.DUMMYFUNCTION("GOOGLETRANSLATE(A49540,""en"",""pt"")"),"Pequeno")</f>
        <v>Pequeno</v>
      </c>
      <c r="B49540" s="3">
        <v>1</v>
      </c>
    </row>
    <row r="49541" ht="15.75" customHeight="1" spans="1:2">
      <c r="A49541" s="3" t="str">
        <f>IFERROR(__xludf.DUMMYFUNCTION("GOOGLETRANSLATE(A49541,""en"",""pt"")"),"Cabe no bolso das calças de brim moeda, conversa inicial em todos os lugares")</f>
        <v>Cabe no bolso das calças de brim moeda, conversa inicial em todos os lugares</v>
      </c>
      <c r="B49541" s="3">
        <v>1</v>
      </c>
    </row>
    <row r="49542" ht="15.75" customHeight="1" spans="1:2">
      <c r="A49542" s="3" t="str">
        <f>IFERROR(__xludf.DUMMYFUNCTION("GOOGLETRANSLATE(A49542,""en"",""pt"")"),"Pequeno")</f>
        <v>Pequeno</v>
      </c>
      <c r="B49542" s="3">
        <v>1</v>
      </c>
    </row>
    <row r="49543" ht="15.75" customHeight="1" spans="1:2">
      <c r="A49543" s="3" t="str">
        <f>IFERROR(__xludf.DUMMYFUNCTION("GOOGLETRANSLATE(A49543,""en"",""pt"")"),"Pequeno e facilmente transportável., Bom para e-mail fotos., Pode tirar 53 fotos de uma sessão.")</f>
        <v>Pequeno e facilmente transportável., Bom para e-mail fotos., Pode tirar 53 fotos de uma sessão.</v>
      </c>
      <c r="B49543" s="3">
        <v>1</v>
      </c>
    </row>
    <row r="49544" ht="15.75" customHeight="1" spans="1:2">
      <c r="A49544" s="3" t="str">
        <f>IFERROR(__xludf.DUMMYFUNCTION("GOOGLETRANSLATE(A49544,""en"",""pt"")"),"pequeno, elegante e fácil de usar, acessível")</f>
        <v>pequeno, elegante e fácil de usar, acessível</v>
      </c>
      <c r="B49544" s="3">
        <v>1</v>
      </c>
    </row>
    <row r="49545" ht="15.75" customHeight="1" spans="1:2">
      <c r="A49545" s="3" t="str">
        <f>IFERROR(__xludf.DUMMYFUNCTION("GOOGLETRANSLATE(A49545,""en"",""pt"")"),"projeto do escudo muito compacto e incrível")</f>
        <v>projeto do escudo muito compacto e incrível</v>
      </c>
      <c r="B49545" s="3">
        <v>1</v>
      </c>
    </row>
    <row r="49546" ht="15.75" customHeight="1" spans="1:2">
      <c r="A49546" s="3" t="str">
        <f>IFERROR(__xludf.DUMMYFUNCTION("GOOGLETRANSLATE(A49546,""en"",""pt"")"),"Pequeno, compacto tamanho, se encaixa em quase qualquer lugar. preço baixo,")</f>
        <v>Pequeno, compacto tamanho, se encaixa em quase qualquer lugar. preço baixo,</v>
      </c>
      <c r="B49546" s="3">
        <v>1</v>
      </c>
    </row>
    <row r="49547" ht="15.75" customHeight="1" spans="1:2">
      <c r="A49547" s="3" t="str">
        <f>IFERROR(__xludf.DUMMYFUNCTION("GOOGLETRANSLATE(A49547,""en"",""pt"")"),"Grande Stroller, peso leve, fácil de dobrar")</f>
        <v>Grande Stroller, peso leve, fácil de dobrar</v>
      </c>
      <c r="B49547" s="3">
        <v>1</v>
      </c>
    </row>
    <row r="49548" ht="15.75" customHeight="1" spans="1:2">
      <c r="A49548" s="3" t="str">
        <f>IFERROR(__xludf.DUMMYFUNCTION("GOOGLETRANSLATE(A49548,""en"",""pt"")"),"leve, fácil de dobrar, rodas convenientemente espaçadas para subir escadas")</f>
        <v>leve, fácil de dobrar, rodas convenientemente espaçadas para subir escadas</v>
      </c>
      <c r="B49548" s="3">
        <v>1</v>
      </c>
    </row>
    <row r="49549" ht="15.75" customHeight="1" spans="1:2">
      <c r="A49549" s="3" t="str">
        <f>IFERROR(__xludf.DUMMYFUNCTION("GOOGLETRANSLATE(A49549,""en"",""pt"")"),"Não é tão pesado. manobrável. Fácil de limpar. Se encaixa através de portas.")</f>
        <v>Não é tão pesado. manobrável. Fácil de limpar. Se encaixa através de portas.</v>
      </c>
      <c r="B49549" s="3">
        <v>1</v>
      </c>
    </row>
    <row r="49550" ht="15.75" customHeight="1" spans="1:2">
      <c r="A49550" s="3" t="str">
        <f>IFERROR(__xludf.DUMMYFUNCTION("GOOGLETRANSLATE(A49550,""en"",""pt"")"),"leve e compacto, resistente, grande na chuva")</f>
        <v>leve e compacto, resistente, grande na chuva</v>
      </c>
      <c r="B49550" s="3">
        <v>1</v>
      </c>
    </row>
    <row r="49551" ht="15.75" customHeight="1" spans="1:2">
      <c r="A49551" s="3" t="str">
        <f>IFERROR(__xludf.DUMMYFUNCTION("GOOGLETRANSLATE(A49551,""en"",""pt"")"),"Cesta grande, alças duplas, copa, assento reclinável, grande qualidade e valor")</f>
        <v>Cesta grande, alças duplas, copa, assento reclinável, grande qualidade e valor</v>
      </c>
      <c r="B49551" s="3">
        <v>1</v>
      </c>
    </row>
    <row r="49552" ht="15.75" customHeight="1" spans="1:2">
      <c r="A49552" s="3" t="str">
        <f>IFERROR(__xludf.DUMMYFUNCTION("GOOGLETRANSLATE(A49552,""en"",""pt"")"),"Parece que você deseja obter mais de seu dinheiro com este carrinho.")</f>
        <v>Parece que você deseja obter mais de seu dinheiro com este carrinho.</v>
      </c>
      <c r="B49552" s="3">
        <v>1</v>
      </c>
    </row>
    <row r="49553" ht="15.75" customHeight="1" spans="1:2">
      <c r="A49553" s="3" t="str">
        <f>IFERROR(__xludf.DUMMYFUNCTION("GOOGLETRANSLATE(A49553,""en"",""pt"")"),"Fits através da loja portas, pode lidar com crianças maiores")</f>
        <v>Fits através da loja portas, pode lidar com crianças maiores</v>
      </c>
      <c r="B49553" s="3">
        <v>1</v>
      </c>
    </row>
    <row r="49554" ht="15.75" customHeight="1" spans="1:2">
      <c r="A49554" s="3" t="str">
        <f>IFERROR(__xludf.DUMMYFUNCTION("GOOGLETRANSLATE(A49554,""en"",""pt"")"),"luz; dobra-se facilmente; resistente; boa altura, também para os homens; rolo liso")</f>
        <v>luz; dobra-se facilmente; resistente; boa altura, também para os homens; rolo liso</v>
      </c>
      <c r="B49554" s="3">
        <v>1</v>
      </c>
    </row>
    <row r="49555" ht="15.75" customHeight="1" spans="1:2">
      <c r="A49555" s="3" t="str">
        <f>IFERROR(__xludf.DUMMYFUNCTION("GOOGLETRANSLATE(A49555,""en"",""pt"")"),"Se encaixa através de portas, leve, fácil de dobrar")</f>
        <v>Se encaixa através de portas, leve, fácil de dobrar</v>
      </c>
      <c r="B49555" s="3">
        <v>1</v>
      </c>
    </row>
    <row r="49556" ht="15.75" customHeight="1" spans="1:2">
      <c r="A49556" s="3" t="str">
        <f>IFERROR(__xludf.DUMMYFUNCTION("GOOGLETRANSLATE(A49556,""en"",""pt"")"),"fácil de colapso, capa de chuva removível, elegante, leve")</f>
        <v>fácil de colapso, capa de chuva removível, elegante, leve</v>
      </c>
      <c r="B49556" s="3">
        <v>1</v>
      </c>
    </row>
    <row r="49557" ht="15.75" customHeight="1" spans="1:2">
      <c r="A49557" s="3" t="str">
        <f>IFERROR(__xludf.DUMMYFUNCTION("GOOGLETRANSLATE(A49557,""en"",""pt"")"),"Leve, muito manobrável, resistente, sem ferrugem depois de dois anos!")</f>
        <v>Leve, muito manobrável, resistente, sem ferrugem depois de dois anos!</v>
      </c>
      <c r="B49557" s="3">
        <v>1</v>
      </c>
    </row>
    <row r="49558" ht="15.75" customHeight="1" spans="1:2">
      <c r="A49558" s="3" t="str">
        <f>IFERROR(__xludf.DUMMYFUNCTION("GOOGLETRANSLATE(A49558,""en"",""pt"")"),"Facilidade de uso, qualidade de construção, styling.")</f>
        <v>Facilidade de uso, qualidade de construção, styling.</v>
      </c>
      <c r="B49558" s="3">
        <v>1</v>
      </c>
    </row>
    <row r="49559" ht="15.75" customHeight="1" spans="1:2">
      <c r="A49559" s="3" t="str">
        <f>IFERROR(__xludf.DUMMYFUNCTION("GOOGLETRANSLATE(A49559,""en"",""pt"")"),"Grande movimentação. Fácil dobragem. Muito bem construído.")</f>
        <v>Grande movimentação. Fácil dobragem. Muito bem construído.</v>
      </c>
      <c r="B49559" s="3">
        <v>1</v>
      </c>
    </row>
    <row r="49560" ht="15.75" customHeight="1" spans="1:2">
      <c r="A49560" s="3" t="str">
        <f>IFERROR(__xludf.DUMMYFUNCTION("GOOGLETRANSLATE(A49560,""en"",""pt"")"),"fácil de dobrar, limitar")</f>
        <v>fácil de dobrar, limitar</v>
      </c>
      <c r="B49560" s="3">
        <v>1</v>
      </c>
    </row>
    <row r="49561" ht="15.75" customHeight="1" spans="1:2">
      <c r="A49561" s="3" t="str">
        <f>IFERROR(__xludf.DUMMYFUNCTION("GOOGLETRANSLATE(A49561,""en"",""pt"")"),"pequeno, leve, fácil de passear e embalar em tronco")</f>
        <v>pequeno, leve, fácil de passear e embalar em tronco</v>
      </c>
      <c r="B49561" s="3">
        <v>1</v>
      </c>
    </row>
    <row r="49562" ht="15.75" customHeight="1" spans="1:2">
      <c r="A49562" s="3" t="str">
        <f>IFERROR(__xludf.DUMMYFUNCTION("GOOGLETRANSLATE(A49562,""en"",""pt"")"),"Basket, durabilidade, resistência, manobrabilidade")</f>
        <v>Basket, durabilidade, resistência, manobrabilidade</v>
      </c>
      <c r="B49562" s="3">
        <v>1</v>
      </c>
    </row>
    <row r="49563" ht="15.75" customHeight="1" spans="1:2">
      <c r="A49563" s="3" t="str">
        <f>IFERROR(__xludf.DUMMYFUNCTION("GOOGLETRANSLATE(A49563,""en"",""pt"")"),"pano de Nice, cantos como um encanto, compactos bem, agradáveis ​​cestas GRANDE !!")</f>
        <v>pano de Nice, cantos como um encanto, compactos bem, agradáveis ​​cestas GRANDE !!</v>
      </c>
      <c r="B49563" s="3">
        <v>1</v>
      </c>
    </row>
    <row r="49564" ht="15.75" customHeight="1" spans="1:2">
      <c r="A49564" s="3" t="str">
        <f>IFERROR(__xludf.DUMMYFUNCTION("GOOGLETRANSLATE(A49564,""en"",""pt"")"),"fácil de dobrar, as rodas de borracha, assentos lado-a-lado, reclinar completo")</f>
        <v>fácil de dobrar, as rodas de borracha, assentos lado-a-lado, reclinar completo</v>
      </c>
      <c r="B49564" s="3">
        <v>1</v>
      </c>
    </row>
    <row r="49565" ht="15.75" customHeight="1" spans="1:2">
      <c r="A49565" s="3" t="str">
        <f>IFERROR(__xludf.DUMMYFUNCTION("GOOGLETRANSLATE(A49565,""en"",""pt"")"),"leve, a manobrabilidade")</f>
        <v>leve, a manobrabilidade</v>
      </c>
      <c r="B49565" s="3">
        <v>1</v>
      </c>
    </row>
    <row r="49566" ht="15.75" customHeight="1" spans="1:2">
      <c r="A49566" s="3" t="str">
        <f>IFERROR(__xludf.DUMMYFUNCTION("GOOGLETRANSLATE(A49566,""en"",""pt"")"),"fácil")</f>
        <v>fácil</v>
      </c>
      <c r="B49566" s="3">
        <v>1</v>
      </c>
    </row>
    <row r="49567" ht="15.75" customHeight="1" spans="1:2">
      <c r="A49567" s="3" t="str">
        <f>IFERROR(__xludf.DUMMYFUNCTION("GOOGLETRANSLATE(A49567,""en"",""pt"")"),"Resistente, facilidade de uso, Manuverable, Snazzy Confortável")</f>
        <v>Resistente, facilidade de uso, Manuverable, Snazzy Confortável</v>
      </c>
      <c r="B49567" s="3">
        <v>1</v>
      </c>
    </row>
    <row r="49568" ht="15.75" customHeight="1" spans="1:2">
      <c r="A49568" s="3" t="str">
        <f>IFERROR(__xludf.DUMMYFUNCTION("GOOGLETRANSLATE(A49568,""en"",""pt"")"),"Leve, fácil de entrar e sair do tronco, estreitar")</f>
        <v>Leve, fácil de entrar e sair do tronco, estreitar</v>
      </c>
      <c r="B49568" s="3">
        <v>1</v>
      </c>
    </row>
    <row r="49569" ht="15.75" customHeight="1" spans="1:2">
      <c r="A49569" s="3" t="str">
        <f>IFERROR(__xludf.DUMMYFUNCTION("GOOGLETRANSLATE(A49569,""en"",""pt"")"),"Leve, durável, fácil de manobrar, funcional e versátil")</f>
        <v>Leve, durável, fácil de manobrar, funcional e versátil</v>
      </c>
      <c r="B49569" s="3">
        <v>1</v>
      </c>
    </row>
    <row r="49570" ht="15.75" customHeight="1" spans="1:2">
      <c r="A49570" s="3" t="str">
        <f>IFERROR(__xludf.DUMMYFUNCTION("GOOGLETRANSLATE(A49570,""en"",""pt"")"),"leve, se encaixa através de porta padrão")</f>
        <v>leve, se encaixa através de porta padrão</v>
      </c>
      <c r="B49570" s="3">
        <v>1</v>
      </c>
    </row>
    <row r="49571" ht="15.75" customHeight="1" spans="1:2">
      <c r="A49571" s="3" t="str">
        <f>IFERROR(__xludf.DUMMYFUNCTION("GOOGLETRANSLATE(A49571,""en"",""pt"")"),"Fácil de configurar e dobrar para baixo, altura de alças, fácil de empurrar")</f>
        <v>Fácil de configurar e dobrar para baixo, altura de alças, fácil de empurrar</v>
      </c>
      <c r="B49571" s="3">
        <v>1</v>
      </c>
    </row>
    <row r="49572" ht="15.75" customHeight="1" spans="1:2">
      <c r="A49572" s="3" t="str">
        <f>IFERROR(__xludf.DUMMYFUNCTION("GOOGLETRANSLATE(A49572,""en"",""pt"")"),"Grande curvas, não muito grande, bom sistema de flambagem")</f>
        <v>Grande curvas, não muito grande, bom sistema de flambagem</v>
      </c>
      <c r="B49572" s="3">
        <v>1</v>
      </c>
    </row>
    <row r="49573" ht="15.75" customHeight="1" spans="1:2">
      <c r="A49573" s="3" t="str">
        <f>IFERROR(__xludf.DUMMYFUNCTION("GOOGLETRANSLATE(A49573,""en"",""pt"")"),"Fácil de dobrar e transporte, atraentes, muitas opções reclináveis, design aberto permite que as crianças interagem.")</f>
        <v>Fácil de dobrar e transporte, atraentes, muitas opções reclináveis, design aberto permite que as crianças interagem.</v>
      </c>
      <c r="B49573" s="3">
        <v>1</v>
      </c>
    </row>
    <row r="49574" ht="15.75" customHeight="1" spans="1:2">
      <c r="A49574" s="3" t="str">
        <f>IFERROR(__xludf.DUMMYFUNCTION("GOOGLETRANSLATE(A49574,""en"",""pt"")"),"Elegante, boa para pessoas altas (eu sou 6'5"" )")</f>
        <v>Elegante, boa para pessoas altas (eu sou 6'5" )</v>
      </c>
      <c r="B49574" s="3">
        <v>1</v>
      </c>
    </row>
    <row r="49575" ht="15.75" customHeight="1" spans="1:2">
      <c r="A49575" s="3" t="str">
        <f>IFERROR(__xludf.DUMMYFUNCTION("GOOGLETRANSLATE(A49575,""en"",""pt"")"),"Resistente, navegação, design compacto e função")</f>
        <v>Resistente, navegação, design compacto e função</v>
      </c>
      <c r="B49575" s="3">
        <v>1</v>
      </c>
    </row>
    <row r="49576" ht="15.75" customHeight="1" spans="1:2">
      <c r="A49576" s="3" t="str">
        <f>IFERROR(__xludf.DUMMYFUNCTION("GOOGLETRANSLATE(A49576,""en"",""pt"")"),"Leve, fácil de dobrar, Stylish")</f>
        <v>Leve, fácil de dobrar, Stylish</v>
      </c>
      <c r="B49576" s="3">
        <v>1</v>
      </c>
    </row>
    <row r="49577" ht="15.75" customHeight="1" spans="1:2">
      <c r="A49577" s="3" t="str">
        <f>IFERROR(__xludf.DUMMYFUNCTION("GOOGLETRANSLATE(A49577,""en"",""pt"")"),"Uma das mais resistentes carrinhos, mais leves e mais atraentes no mercado.")</f>
        <v>Uma das mais resistentes carrinhos, mais leves e mais atraentes no mercado.</v>
      </c>
      <c r="B49577" s="3">
        <v>1</v>
      </c>
    </row>
    <row r="49578" ht="15.75" customHeight="1" spans="1:2">
      <c r="A49578" s="3" t="str">
        <f>IFERROR(__xludf.DUMMYFUNCTION("GOOGLETRANSLATE(A49578,""en"",""pt"")"),"Totalmente reclina, fácil de manobrar, compacto, fácil de / colapso aberta, vai durar por muitas crianças.")</f>
        <v>Totalmente reclina, fácil de manobrar, compacto, fácil de / colapso aberta, vai durar por muitas crianças.</v>
      </c>
      <c r="B49578" s="3">
        <v>1</v>
      </c>
    </row>
    <row r="49579" ht="15.75" customHeight="1" spans="1:2">
      <c r="A49579" s="3" t="str">
        <f>IFERROR(__xludf.DUMMYFUNCTION("GOOGLETRANSLATE(A49579,""en"",""pt"")"),"Fácil e leve para elevador")</f>
        <v>Fácil e leve para elevador</v>
      </c>
      <c r="B49579" s="3">
        <v>1</v>
      </c>
    </row>
    <row r="49580" ht="15.75" customHeight="1" spans="1:2">
      <c r="A49580" s="3" t="str">
        <f>IFERROR(__xludf.DUMMYFUNCTION("GOOGLETRANSLATE(A49580,""en"",""pt"")"),"Compacto, fácil de manobrar com uma mão enquanto a abertura de uma porta com a outra.,")</f>
        <v>Compacto, fácil de manobrar com uma mão enquanto a abertura de uma porta com a outra.,</v>
      </c>
      <c r="B49580" s="3">
        <v>1</v>
      </c>
    </row>
    <row r="49581" ht="15.75" customHeight="1" spans="1:2">
      <c r="A49581" s="3" t="str">
        <f>IFERROR(__xludf.DUMMYFUNCTION("GOOGLETRANSLATE(A49581,""en"",""pt"")"),"leve, fácil de manobra, dobra-se facilmente")</f>
        <v>leve, fácil de manobra, dobra-se facilmente</v>
      </c>
      <c r="B49581" s="3">
        <v>1</v>
      </c>
    </row>
    <row r="49582" ht="15.75" customHeight="1" spans="1:2">
      <c r="A49582" s="3" t="str">
        <f>IFERROR(__xludf.DUMMYFUNCTION("GOOGLETRANSLATE(A49582,""en"",""pt"")"),"peso leve, manobrável, alças extensíveis")</f>
        <v>peso leve, manobrável, alças extensíveis</v>
      </c>
      <c r="B49582" s="3">
        <v>1</v>
      </c>
    </row>
    <row r="49583" ht="15.75" customHeight="1" spans="1:2">
      <c r="A49583" s="3" t="str">
        <f>IFERROR(__xludf.DUMMYFUNCTION("GOOGLETRANSLATE(A49583,""en"",""pt"")"),"Durável, leve, estojo de transporte opcional, muito fácil de manobra")</f>
        <v>Durável, leve, estojo de transporte opcional, muito fácil de manobra</v>
      </c>
      <c r="B49583" s="3">
        <v>1</v>
      </c>
    </row>
    <row r="49584" ht="15.75" customHeight="1" spans="1:2">
      <c r="A49584" s="3" t="str">
        <f>IFERROR(__xludf.DUMMYFUNCTION("GOOGLETRANSLATE(A49584,""en"",""pt"")"),"Leve, compacto guarda-chuva dobrável, fácil de manobrar,")</f>
        <v>Leve, compacto guarda-chuva dobrável, fácil de manobrar,</v>
      </c>
      <c r="B49584" s="3">
        <v>1</v>
      </c>
    </row>
    <row r="49585" ht="15.75" customHeight="1" spans="1:2">
      <c r="A49585" s="3" t="str">
        <f>IFERROR(__xludf.DUMMYFUNCTION("GOOGLETRANSLATE(A49585,""en"",""pt"")"),"Leve, fácil de dobrar, resistente, parece ótimo")</f>
        <v>Leve, fácil de dobrar, resistente, parece ótimo</v>
      </c>
      <c r="B49585" s="3">
        <v>1</v>
      </c>
    </row>
    <row r="49586" ht="15.75" customHeight="1" spans="1:2">
      <c r="A49586" s="3" t="str">
        <f>IFERROR(__xludf.DUMMYFUNCTION("GOOGLETRANSLATE(A49586,""en"",""pt"")"),"Leve, compacto, reclina, dossel alto, bom passeio, cinco pontos arnês")</f>
        <v>Leve, compacto, reclina, dossel alto, bom passeio, cinco pontos arnês</v>
      </c>
      <c r="B49586" s="3">
        <v>1</v>
      </c>
    </row>
    <row r="49587" ht="15.75" customHeight="1" spans="1:2">
      <c r="A49587" s="3" t="str">
        <f>IFERROR(__xludf.DUMMYFUNCTION("GOOGLETRANSLATE(A49587,""en"",""pt"")"),"Leve, resistente, fácil de dirigir, fácil de abrir e fechar, compacto.")</f>
        <v>Leve, resistente, fácil de dirigir, fácil de abrir e fechar, compacto.</v>
      </c>
      <c r="B49587" s="3">
        <v>1</v>
      </c>
    </row>
    <row r="49588" ht="15.75" customHeight="1" spans="1:2">
      <c r="A49588" s="3" t="str">
        <f>IFERROR(__xludf.DUMMYFUNCTION("GOOGLETRANSLATE(A49588,""en"",""pt"")"),"Guidão alto, apertos de espuma, estilo urbano")</f>
        <v>Guidão alto, apertos de espuma, estilo urbano</v>
      </c>
      <c r="B49588" s="3">
        <v>1</v>
      </c>
    </row>
    <row r="49589" ht="15.75" customHeight="1" spans="1:2">
      <c r="A49589" s="3" t="str">
        <f>IFERROR(__xludf.DUMMYFUNCTION("GOOGLETRANSLATE(A49589,""en"",""pt"")"),"Leve, muito resistente, elegante e fácil de dirigir, serviço maravilhoso por distribuidor.")</f>
        <v>Leve, muito resistente, elegante e fácil de dirigir, serviço maravilhoso por distribuidor.</v>
      </c>
      <c r="B49589" s="3">
        <v>1</v>
      </c>
    </row>
    <row r="49590" ht="15.75" customHeight="1" spans="1:2">
      <c r="A49590" s="3" t="str">
        <f>IFERROR(__xludf.DUMMYFUNCTION("GOOGLETRANSLATE(A49590,""en"",""pt"")"),"muito elegante e fácil de dobrar, não ocupa muito espaço, drives / novilhos bem")</f>
        <v>muito elegante e fácil de dobrar, não ocupa muito espaço, drives / novilhos bem</v>
      </c>
      <c r="B49590" s="3">
        <v>1</v>
      </c>
    </row>
    <row r="49591" ht="15.75" customHeight="1" spans="1:2">
      <c r="A49591" s="3" t="str">
        <f>IFERROR(__xludf.DUMMYFUNCTION("GOOGLETRANSLATE(A49591,""en"",""pt"")"),"Luz e dobras pequeno")</f>
        <v>Luz e dobras pequeno</v>
      </c>
      <c r="B49591" s="3">
        <v>1</v>
      </c>
    </row>
    <row r="49592" ht="15.75" customHeight="1" spans="1:2">
      <c r="A49592" s="3" t="str">
        <f>IFERROR(__xludf.DUMMYFUNCTION("GOOGLETRANSLATE(A49592,""en"",""pt"")"),"Leve, compacto e elegante")</f>
        <v>Leve, compacto e elegante</v>
      </c>
      <c r="B49592" s="3">
        <v>1</v>
      </c>
    </row>
    <row r="49593" ht="15.75" customHeight="1" spans="1:2">
      <c r="A49593" s="3" t="str">
        <f>IFERROR(__xludf.DUMMYFUNCTION("GOOGLETRANSLATE(A49593,""en"",""pt"")"),"Leve, fácil de usar, elegante")</f>
        <v>Leve, fácil de usar, elegante</v>
      </c>
      <c r="B49593" s="3">
        <v>1</v>
      </c>
    </row>
    <row r="49594" ht="15.75" customHeight="1" spans="1:2">
      <c r="A49594" s="3" t="str">
        <f>IFERROR(__xludf.DUMMYFUNCTION("GOOGLETRANSLATE(A49594,""en"",""pt"")"),"Luz, resistente, compacto, grande sunhood, dobrar onehanded, brilhante para pessoas altas &amp; amp; barato no Reino Unido.")</f>
        <v>Luz, resistente, compacto, grande sunhood, dobrar onehanded, brilhante para pessoas altas &amp; amp; barato no Reino Unido.</v>
      </c>
      <c r="B49594" s="3">
        <v>1</v>
      </c>
    </row>
    <row r="49595" ht="15.75" customHeight="1" spans="1:2">
      <c r="A49595" s="3" t="str">
        <f>IFERROR(__xludf.DUMMYFUNCTION("GOOGLETRANSLATE(A49595,""en"",""pt"")"),"Grandes recursos - leve, dobrável fácil, cesta, Encostado, Tampa, alta alças")</f>
        <v>Grandes recursos - leve, dobrável fácil, cesta, Encostado, Tampa, alta alças</v>
      </c>
      <c r="B49595" s="3">
        <v>1</v>
      </c>
    </row>
    <row r="49596" ht="15.75" customHeight="1" spans="1:2">
      <c r="A49596" s="3" t="str">
        <f>IFERROR(__xludf.DUMMYFUNCTION("GOOGLETRANSLATE(A49596,""en"",""pt"")"),"design agradável, manobras bem")</f>
        <v>design agradável, manobras bem</v>
      </c>
      <c r="B49596" s="3">
        <v>1</v>
      </c>
    </row>
    <row r="49597" ht="15.75" customHeight="1" spans="1:2">
      <c r="A49597" s="3" t="str">
        <f>IFERROR(__xludf.DUMMYFUNCTION("GOOGLETRANSLATE(A49597,""en"",""pt"")"),"Resistente, fácil de boi &amp; amp; limpo, moderno, luz")</f>
        <v>Resistente, fácil de boi &amp; amp; limpo, moderno, luz</v>
      </c>
      <c r="B49597" s="3">
        <v>1</v>
      </c>
    </row>
    <row r="49598" ht="15.75" customHeight="1" spans="1:2">
      <c r="A49598" s="3" t="str">
        <f>IFERROR(__xludf.DUMMYFUNCTION("GOOGLETRANSLATE(A49598,""en"",""pt"")"),"luz, manobrável, durável")</f>
        <v>luz, manobrável, durável</v>
      </c>
      <c r="B49598" s="3">
        <v>1</v>
      </c>
    </row>
    <row r="49599" ht="15.75" customHeight="1" spans="1:2">
      <c r="A49599" s="3" t="str">
        <f>IFERROR(__xludf.DUMMYFUNCTION("GOOGLETRANSLATE(A49599,""en"",""pt"")"),"Fácil de manobrar, na moda, leve, dobra-se rapidamente, facilmente e de forma compacta (que é uma palavra)")</f>
        <v>Fácil de manobrar, na moda, leve, dobra-se rapidamente, facilmente e de forma compacta (que é uma palavra)</v>
      </c>
      <c r="B49599" s="3">
        <v>1</v>
      </c>
    </row>
    <row r="49600" ht="15.75" customHeight="1" spans="1:2">
      <c r="A49600" s="3" t="str">
        <f>IFERROR(__xludf.DUMMYFUNCTION("GOOGLETRANSLATE(A49600,""en"",""pt"")"),"reputação da empresa, material reflexivo, peso, facilidade de uso, alças")</f>
        <v>reputação da empresa, material reflexivo, peso, facilidade de uso, alças</v>
      </c>
      <c r="B49600" s="3">
        <v>1</v>
      </c>
    </row>
    <row r="49601" ht="15.75" customHeight="1" spans="1:2">
      <c r="A49601" s="3" t="str">
        <f>IFERROR(__xludf.DUMMYFUNCTION("GOOGLETRANSLATE(A49601,""en"",""pt"")"),"Muito, muito leve")</f>
        <v>Muito, muito leve</v>
      </c>
      <c r="B49601" s="3">
        <v>1</v>
      </c>
    </row>
    <row r="49602" ht="15.75" customHeight="1" spans="1:2">
      <c r="A49602" s="3" t="str">
        <f>IFERROR(__xludf.DUMMYFUNCTION("GOOGLETRANSLATE(A49602,""en"",""pt"")"),"manobras grande, durável, leve, bom valor de revenda")</f>
        <v>manobras grande, durável, leve, bom valor de revenda</v>
      </c>
      <c r="B49602" s="3">
        <v>1</v>
      </c>
    </row>
    <row r="49603" ht="15.75" customHeight="1" spans="1:2">
      <c r="A49603" s="3" t="str">
        <f>IFERROR(__xludf.DUMMYFUNCTION("GOOGLETRANSLATE(A49603,""en"",""pt"")"),"carrinho de criança realmente resistente")</f>
        <v>carrinho de criança realmente resistente</v>
      </c>
      <c r="B49603" s="3">
        <v>1</v>
      </c>
    </row>
    <row r="49604" ht="15.75" customHeight="1" spans="1:2">
      <c r="A49604" s="3" t="str">
        <f>IFERROR(__xludf.DUMMYFUNCTION("GOOGLETRANSLATE(A49604,""en"",""pt"")"),"O grande projeto e muito resistente por ser tão leve &amp; amp;. # 13; &amp; amp; # 10; &amp; amp; # 13; &amp; amp; # 10;")</f>
        <v>O grande projeto e muito resistente por ser tão leve &amp; amp;. # 13; &amp; amp; # 10; &amp; amp; # 13; &amp; amp; # 10;</v>
      </c>
      <c r="B49604" s="3">
        <v>1</v>
      </c>
    </row>
    <row r="49605" ht="15.75" customHeight="1" spans="1:2">
      <c r="A49605" s="3" t="str">
        <f>IFERROR(__xludf.DUMMYFUNCTION("GOOGLETRANSLATE(A49605,""en"",""pt"")"),"Muito confortável, leve e fácil de dirigir!")</f>
        <v>Muito confortável, leve e fácil de dirigir!</v>
      </c>
      <c r="B49605" s="3">
        <v>1</v>
      </c>
    </row>
    <row r="49606" ht="15.75" customHeight="1" spans="1:2">
      <c r="A49606" s="3" t="str">
        <f>IFERROR(__xludf.DUMMYFUNCTION("GOOGLETRANSLATE(A49606,""en"",""pt"")"),"Excelente controle de direção - o melhor! Um pequeno carrinho leve difícil.")</f>
        <v>Excelente controle de direção - o melhor! Um pequeno carrinho leve difícil.</v>
      </c>
      <c r="B49606" s="3">
        <v>1</v>
      </c>
    </row>
    <row r="49607" ht="15.75" customHeight="1" spans="1:2">
      <c r="A49607" s="3" t="str">
        <f>IFERROR(__xludf.DUMMYFUNCTION("GOOGLETRANSLATE(A49607,""en"",""pt"")"),"Boa qualidade de imagem, pequeno e leve")</f>
        <v>Boa qualidade de imagem, pequeno e leve</v>
      </c>
      <c r="B49607" s="3">
        <v>1</v>
      </c>
    </row>
    <row r="49608" ht="15.75" customHeight="1" spans="1:2">
      <c r="A49608" s="3" t="str">
        <f>IFERROR(__xludf.DUMMYFUNCTION("GOOGLETRANSLATE(A49608,""en"",""pt"")"),"Ótimo para fazer o download para o nosso computador.")</f>
        <v>Ótimo para fazer o download para o nosso computador.</v>
      </c>
      <c r="B49608" s="3">
        <v>1</v>
      </c>
    </row>
    <row r="49609" ht="15.75" customHeight="1" spans="1:2">
      <c r="A49609" s="3" t="str">
        <f>IFERROR(__xludf.DUMMYFUNCTION("GOOGLETRANSLATE(A49609,""en"",""pt"")"),"Não é qualquer que eu posso pensar.")</f>
        <v>Não é qualquer que eu posso pensar.</v>
      </c>
      <c r="B49609" s="3">
        <v>1</v>
      </c>
    </row>
    <row r="49610" ht="15.75" customHeight="1" spans="1:2">
      <c r="A49610" s="3" t="str">
        <f>IFERROR(__xludf.DUMMYFUNCTION("GOOGLETRANSLATE(A49610,""en"",""pt"")"),"de pouco peso, tamanho, de boa qualidade")</f>
        <v>de pouco peso, tamanho, de boa qualidade</v>
      </c>
      <c r="B49610" s="3">
        <v>1</v>
      </c>
    </row>
    <row r="49611" ht="15.75" customHeight="1" spans="1:2">
      <c r="A49611" s="3" t="str">
        <f>IFERROR(__xludf.DUMMYFUNCTION("GOOGLETRANSLATE(A49611,""en"",""pt"")"),"Ótimas fotos! pequeno, conveniente câmera conveniente!")</f>
        <v>Ótimas fotos! pequeno, conveniente câmera conveniente!</v>
      </c>
      <c r="B49611" s="3">
        <v>1</v>
      </c>
    </row>
    <row r="49612" ht="15.75" customHeight="1" spans="1:2">
      <c r="A49612" s="3" t="str">
        <f>IFERROR(__xludf.DUMMYFUNCTION("GOOGLETRANSLATE(A49612,""en"",""pt"")"),"Barato, 2.1mega pixels, simples, ágil, boa qualidade de imagem")</f>
        <v>Barato, 2.1mega pixels, simples, ágil, boa qualidade de imagem</v>
      </c>
      <c r="B49612" s="3">
        <v>1</v>
      </c>
    </row>
    <row r="49613" ht="15.75" customHeight="1" spans="1:2">
      <c r="A49613" s="3" t="str">
        <f>IFERROR(__xludf.DUMMYFUNCTION("GOOGLETRANSLATE(A49613,""en"",""pt"")"),"Grandes fotos, pequenos e compactos, um monte de recursos, atende a todos os critérios que eu procuro")</f>
        <v>Grandes fotos, pequenos e compactos, um monte de recursos, atende a todos os critérios que eu procuro</v>
      </c>
      <c r="B49613" s="3">
        <v>1</v>
      </c>
    </row>
    <row r="49614" ht="15.75" customHeight="1" spans="1:2">
      <c r="A49614" s="3" t="str">
        <f>IFERROR(__xludf.DUMMYFUNCTION("GOOGLETRANSLATE(A49614,""en"",""pt"")"),"qualidade de imagem, fácil de usar, preço")</f>
        <v>qualidade de imagem, fácil de usar, preço</v>
      </c>
      <c r="B49614" s="3">
        <v>1</v>
      </c>
    </row>
    <row r="49615" ht="15.75" customHeight="1" spans="1:2">
      <c r="A49615" s="3" t="str">
        <f>IFERROR(__xludf.DUMMYFUNCTION("GOOGLETRANSLATE(A49615,""en"",""pt"")"),"Fácil de transportar, versátil, revisão shot / apagar, 2.3 Megapixels")</f>
        <v>Fácil de transportar, versátil, revisão shot / apagar, 2.3 Megapixels</v>
      </c>
      <c r="B49615" s="3">
        <v>1</v>
      </c>
    </row>
    <row r="49616" ht="15.75" customHeight="1" spans="1:2">
      <c r="A49616" s="3" t="str">
        <f>IFERROR(__xludf.DUMMYFUNCTION("GOOGLETRANSLATE(A49616,""en"",""pt"")"),"Leve, de boa qualidade, bom valor para o dinheiro")</f>
        <v>Leve, de boa qualidade, bom valor para o dinheiro</v>
      </c>
      <c r="B49616" s="3">
        <v>1</v>
      </c>
    </row>
    <row r="49617" ht="15.75" customHeight="1" spans="1:2">
      <c r="A49617" s="3" t="str">
        <f>IFERROR(__xludf.DUMMYFUNCTION("GOOGLETRANSLATE(A49617,""en"",""pt"")"),"preço é mais barato do que muitos, pequeno e fácil de guardar")</f>
        <v>preço é mais barato do que muitos, pequeno e fácil de guardar</v>
      </c>
      <c r="B49617" s="3">
        <v>1</v>
      </c>
    </row>
    <row r="49618" ht="15.75" customHeight="1" spans="1:2">
      <c r="A49618" s="3" t="str">
        <f>IFERROR(__xludf.DUMMYFUNCTION("GOOGLETRANSLATE(A49618,""en"",""pt"")"),"Lotes de grandes recursos, de tamanho compacto, confiabilidade Minolta")</f>
        <v>Lotes de grandes recursos, de tamanho compacto, confiabilidade Minolta</v>
      </c>
      <c r="B49618" s="3">
        <v>1</v>
      </c>
    </row>
    <row r="49619" ht="15.75" customHeight="1" spans="1:2">
      <c r="A49619" s="3" t="str">
        <f>IFERROR(__xludf.DUMMYFUNCTION("GOOGLETRANSLATE(A49619,""en"",""pt"")"),"compactos, grandes fotos")</f>
        <v>compactos, grandes fotos</v>
      </c>
      <c r="B49619" s="3">
        <v>1</v>
      </c>
    </row>
    <row r="49620" ht="15.75" customHeight="1" spans="1:2">
      <c r="A49620" s="3" t="str">
        <f>IFERROR(__xludf.DUMMYFUNCTION("GOOGLETRANSLATE(A49620,""en"",""pt"")"),"Sem comentários")</f>
        <v>Sem comentários</v>
      </c>
      <c r="B49620" s="3">
        <v>1</v>
      </c>
    </row>
    <row r="49621" ht="15.75" customHeight="1" spans="1:2">
      <c r="A49621" s="3" t="str">
        <f>IFERROR(__xludf.DUMMYFUNCTION("GOOGLETRANSLATE(A49621,""en"",""pt"")"),"7X ""brilhante"" zoom da lente; ópticas excelentes; manipulação apenas como uma SLR tradicional / ZLR; considerável leve; pouco tempo-lag")</f>
        <v>7X "brilhante" zoom da lente; ópticas excelentes; manipulação apenas como uma SLR tradicional / ZLR; considerável leve; pouco tempo-lag</v>
      </c>
      <c r="B49621" s="3">
        <v>1</v>
      </c>
    </row>
    <row r="49622" ht="15.75" customHeight="1" spans="1:2">
      <c r="A49622" s="3" t="str">
        <f>IFERROR(__xludf.DUMMYFUNCTION("GOOGLETRANSLATE(A49622,""en"",""pt"")"),"Fácil de usar, mudança de modo rápido, de alta resolução, não muito pesado")</f>
        <v>Fácil de usar, mudança de modo rápido, de alta resolução, não muito pesado</v>
      </c>
      <c r="B49622" s="3">
        <v>1</v>
      </c>
    </row>
    <row r="49623" ht="15.75" customHeight="1" spans="1:2">
      <c r="A49623" s="3" t="str">
        <f>IFERROR(__xludf.DUMMYFUNCTION("GOOGLETRANSLATE(A49623,""en"",""pt"")"),"alta resolução, zoom elevado")</f>
        <v>alta resolução, zoom elevado</v>
      </c>
      <c r="B49623" s="3">
        <v>1</v>
      </c>
    </row>
    <row r="49624" ht="15.75" customHeight="1" spans="1:2">
      <c r="A49624" s="3" t="str">
        <f>IFERROR(__xludf.DUMMYFUNCTION("GOOGLETRANSLATE(A49624,""en"",""pt"")"),"Excelente lente de zoom e SLR tipo controles &amp; amp; # 13; &amp; amp; # 10; Grandes fotos")</f>
        <v>Excelente lente de zoom e SLR tipo controles &amp; amp; # 13; &amp; amp; # 10; Grandes fotos</v>
      </c>
      <c r="B49624" s="3">
        <v>1</v>
      </c>
    </row>
    <row r="49625" ht="15.75" customHeight="1" spans="1:2">
      <c r="A49625" s="3" t="str">
        <f>IFERROR(__xludf.DUMMYFUNCTION("GOOGLETRANSLATE(A49625,""en"",""pt"")"),"Excelente pormenor macro, flexibilidade incrível, até 1GB de memória disponível")</f>
        <v>Excelente pormenor macro, flexibilidade incrível, até 1GB de memória disponível</v>
      </c>
      <c r="B49625" s="3">
        <v>1</v>
      </c>
    </row>
    <row r="49626" ht="15.75" customHeight="1" spans="1:2">
      <c r="A49626" s="3" t="str">
        <f>IFERROR(__xludf.DUMMYFUNCTION("GOOGLETRANSLATE(A49626,""en"",""pt"")"),"Lotes de pixels, fácil de usar controles, 35mm, como configurações, imagens impressionantes")</f>
        <v>Lotes de pixels, fácil de usar controles, 35mm, como configurações, imagens impressionantes</v>
      </c>
      <c r="B49626" s="3">
        <v>1</v>
      </c>
    </row>
    <row r="49627" ht="15.75" customHeight="1" spans="1:2">
      <c r="A49627" s="3" t="str">
        <f>IFERROR(__xludf.DUMMYFUNCTION("GOOGLETRANSLATE(A49627,""en"",""pt"")"),"Excelente qualidade de imagem, fácil de usar, fácil forma de aperto. Lente profissional e surpreendentes 5,24 megapixels.")</f>
        <v>Excelente qualidade de imagem, fácil de usar, fácil forma de aperto. Lente profissional e surpreendentes 5,24 megapixels.</v>
      </c>
      <c r="B49627" s="3">
        <v>1</v>
      </c>
    </row>
    <row r="49628" ht="15.75" customHeight="1" spans="1:2">
      <c r="A49628" s="3" t="str">
        <f>IFERROR(__xludf.DUMMYFUNCTION("GOOGLETRANSLATE(A49628,""en"",""pt"")"),"Excelente qualidade de imagem, Professional recursos, opções de lentes")</f>
        <v>Excelente qualidade de imagem, Professional recursos, opções de lentes</v>
      </c>
      <c r="B49628" s="3">
        <v>1</v>
      </c>
    </row>
    <row r="49629" ht="15.75" customHeight="1" spans="1:2">
      <c r="A49629" s="3" t="str">
        <f>IFERROR(__xludf.DUMMYFUNCTION("GOOGLETRANSLATE(A49629,""en"",""pt"")"),"7x Zoom, 5meg Pixel, controle totalmente manual sobre tudo")</f>
        <v>7x Zoom, 5meg Pixel, controle totalmente manual sobre tudo</v>
      </c>
      <c r="B49629" s="3">
        <v>1</v>
      </c>
    </row>
    <row r="49630" ht="15.75" customHeight="1" spans="1:2">
      <c r="A49630" s="3" t="str">
        <f>IFERROR(__xludf.DUMMYFUNCTION("GOOGLETRANSLATE(A49630,""en"",""pt"")"),"Uma câmera digital que se sente como uma câmera de boa 35mm")</f>
        <v>Uma câmera digital que se sente como uma câmera de boa 35mm</v>
      </c>
      <c r="B49630" s="3">
        <v>1</v>
      </c>
    </row>
    <row r="49631" ht="15.75" customHeight="1" spans="1:2">
      <c r="A49631" s="3" t="str">
        <f>IFERROR(__xludf.DUMMYFUNCTION("GOOGLETRANSLATE(A49631,""en"",""pt"")"),"Excelente qualidade de imagem; incrível lente 28-200 zoom; muitas características de nível profissional")</f>
        <v>Excelente qualidade de imagem; incrível lente 28-200 zoom; muitas características de nível profissional</v>
      </c>
      <c r="B49631" s="3">
        <v>1</v>
      </c>
    </row>
    <row r="49632" ht="15.75" customHeight="1" spans="1:2">
      <c r="A49632" s="3" t="str">
        <f>IFERROR(__xludf.DUMMYFUNCTION("GOOGLETRANSLATE(A49632,""en"",""pt"")"),"A lente (zoom óptico de 7x), 5,24 Megapixels, lindo fotos, SLR-like")</f>
        <v>A lente (zoom óptico de 7x), 5,24 Megapixels, lindo fotos, SLR-like</v>
      </c>
      <c r="B49632" s="3">
        <v>1</v>
      </c>
    </row>
    <row r="49633" ht="15.75" customHeight="1" spans="1:2">
      <c r="A49633" s="3" t="str">
        <f>IFERROR(__xludf.DUMMYFUNCTION("GOOGLETRANSLATE(A49633,""en"",""pt"")"),"A qualidade da foto &amp; amp; # 13; &amp; amp; # 10; grau de controle &amp; amp; # 13; &amp; amp; # 10; a vida da bateria &amp; amp; # 13; &amp; amp; # 10; versatilidade &amp; amp; # 13; &amp; amp; # 10; Faixa de ampliação")</f>
        <v>A qualidade da foto &amp; amp; # 13; &amp; amp; # 10; grau de controle &amp; amp; # 13; &amp; amp; # 10; a vida da bateria &amp; amp; # 13; &amp; amp; # 10; versatilidade &amp; amp; # 13; &amp; amp; # 10; Faixa de ampliação</v>
      </c>
      <c r="B49633" s="3">
        <v>1</v>
      </c>
    </row>
    <row r="49634" ht="15.75" customHeight="1" spans="1:2">
      <c r="A49634" s="3" t="str">
        <f>IFERROR(__xludf.DUMMYFUNCTION("GOOGLETRANSLATE(A49634,""en"",""pt"")"),"Belas fotos")</f>
        <v>Belas fotos</v>
      </c>
      <c r="B49634" s="3">
        <v>1</v>
      </c>
    </row>
    <row r="49635" ht="15.75" customHeight="1" spans="1:2">
      <c r="A49635" s="3" t="str">
        <f>IFERROR(__xludf.DUMMYFUNCTION("GOOGLETRANSLATE(A49635,""en"",""pt"")"),"belas imagens!")</f>
        <v>belas imagens!</v>
      </c>
      <c r="B49635" s="3">
        <v>1</v>
      </c>
    </row>
    <row r="49636" ht="15.75" customHeight="1" spans="1:2">
      <c r="A49636" s="3" t="str">
        <f>IFERROR(__xludf.DUMMYFUNCTION("GOOGLETRANSLATE(A49636,""en"",""pt"")"),"Grande lente e opções., Boa ergonomia.")</f>
        <v>Grande lente e opções., Boa ergonomia.</v>
      </c>
      <c r="B49636" s="3">
        <v>1</v>
      </c>
    </row>
    <row r="49637" ht="15.75" customHeight="1" spans="1:2">
      <c r="A49637" s="3" t="str">
        <f>IFERROR(__xludf.DUMMYFUNCTION("GOOGLETRANSLATE(A49637,""en"",""pt"")"),"GREAT lente, AF rápido, bom controle manual, toneladas de recursos")</f>
        <v>GREAT lente, AF rápido, bom controle manual, toneladas de recursos</v>
      </c>
      <c r="B49637" s="3">
        <v>1</v>
      </c>
    </row>
    <row r="49638" ht="15.75" customHeight="1" spans="1:2">
      <c r="A49638" s="3" t="str">
        <f>IFERROR(__xludf.DUMMYFUNCTION("GOOGLETRANSLATE(A49638,""en"",""pt"")"),"Grande 7x lente óptica, muitos recursos.")</f>
        <v>Grande 7x lente óptica, muitos recursos.</v>
      </c>
      <c r="B49638" s="3">
        <v>1</v>
      </c>
    </row>
    <row r="49639" ht="15.75" customHeight="1" spans="1:2">
      <c r="A49639" s="3" t="str">
        <f>IFERROR(__xludf.DUMMYFUNCTION("GOOGLETRANSLATE(A49639,""en"",""pt"")"),"lentes brilhantes, características surpreendentes, design SLR-like, AA-battaries, enorme zoom.")</f>
        <v>lentes brilhantes, características surpreendentes, design SLR-like, AA-battaries, enorme zoom.</v>
      </c>
      <c r="B49639" s="3">
        <v>1</v>
      </c>
    </row>
    <row r="49640" ht="15.75" customHeight="1" spans="1:2">
      <c r="A49640" s="3" t="str">
        <f>IFERROR(__xludf.DUMMYFUNCTION("GOOGLETRANSLATE(A49640,""en"",""pt"")"),"Lotes de características.")</f>
        <v>Lotes de características.</v>
      </c>
      <c r="B49640" s="3">
        <v>1</v>
      </c>
    </row>
    <row r="49641" ht="15.75" customHeight="1" spans="1:2">
      <c r="A49641" s="3" t="str">
        <f>IFERROR(__xludf.DUMMYFUNCTION("GOOGLETRANSLATE(A49641,""en"",""pt"")"),"lente fabuloso, ótimas fotos, muitos ""35 milímetros pro"" recursos")</f>
        <v>lente fabuloso, ótimas fotos, muitos "35 milímetros pro" recursos</v>
      </c>
      <c r="B49641" s="3">
        <v>1</v>
      </c>
    </row>
    <row r="49642" ht="15.75" customHeight="1" spans="1:2">
      <c r="A49642" s="3" t="str">
        <f>IFERROR(__xludf.DUMMYFUNCTION("GOOGLETRANSLATE(A49642,""en"",""pt"")"),"leve, 5 megapixels, tem modo de filme")</f>
        <v>leve, 5 megapixels, tem modo de filme</v>
      </c>
      <c r="B49642" s="3">
        <v>1</v>
      </c>
    </row>
    <row r="49643" ht="15.75" customHeight="1" spans="1:2">
      <c r="A49643" s="3" t="str">
        <f>IFERROR(__xludf.DUMMYFUNCTION("GOOGLETRANSLATE(A49643,""en"",""pt"")"),"Montes de Recursos :)")</f>
        <v>Montes de Recursos :)</v>
      </c>
      <c r="B49643" s="3">
        <v>1</v>
      </c>
    </row>
    <row r="49644" ht="15.75" customHeight="1" spans="1:2">
      <c r="A49644" s="3" t="str">
        <f>IFERROR(__xludf.DUMMYFUNCTION("GOOGLETRANSLATE(A49644,""en"",""pt"")"),"zoom da lente, b / w e cor filtros, foco automático e manual, rico em recursos")</f>
        <v>zoom da lente, b / w e cor filtros, foco automático e manual, rico em recursos</v>
      </c>
      <c r="B49644" s="3">
        <v>1</v>
      </c>
    </row>
    <row r="49645" ht="15.75" customHeight="1" spans="1:2">
      <c r="A49645" s="3" t="str">
        <f>IFERROR(__xludf.DUMMYFUNCTION("GOOGLETRANSLATE(A49645,""en"",""pt"")"),"qualidade de imagem, facilidade de uso. Muito bem concebido, lente grande.")</f>
        <v>qualidade de imagem, facilidade de uso. Muito bem concebido, lente grande.</v>
      </c>
      <c r="B49645" s="3">
        <v>1</v>
      </c>
    </row>
    <row r="49646" ht="15.75" customHeight="1" spans="1:2">
      <c r="A49646" s="3" t="str">
        <f>IFERROR(__xludf.DUMMYFUNCTION("GOOGLETRANSLATE(A49646,""en"",""pt"")"),"zoom 28 milímetros-200mm, baterias 4xAA, zoom manual, rosca de filtro de 49 milímetros, elec.viewfinder")</f>
        <v>zoom 28 milímetros-200mm, baterias 4xAA, zoom manual, rosca de filtro de 49 milímetros, elec.viewfinder</v>
      </c>
      <c r="B49646" s="3">
        <v>1</v>
      </c>
    </row>
    <row r="49647" ht="15.75" customHeight="1" spans="1:2">
      <c r="A49647" s="3" t="str">
        <f>IFERROR(__xludf.DUMMYFUNCTION("GOOGLETRANSLATE(A49647,""en"",""pt"")"),"anel de zoom manual! Muitos SLR-like controles. Boa lente. SLR-like sensação")</f>
        <v>anel de zoom manual! Muitos SLR-like controles. Boa lente. SLR-like sensação</v>
      </c>
      <c r="B49647" s="3">
        <v>1</v>
      </c>
    </row>
    <row r="49648" ht="15.75" customHeight="1" spans="1:2">
      <c r="A49648" s="3" t="str">
        <f>IFERROR(__xludf.DUMMYFUNCTION("GOOGLETRANSLATE(A49648,""en"",""pt"")"),"Escolha entre a operação totalmente manual ou automático. Agradável baixo visor luz. Faster reciclagem entre os disparos.")</f>
        <v>Escolha entre a operação totalmente manual ou automático. Agradável baixo visor luz. Faster reciclagem entre os disparos.</v>
      </c>
      <c r="B49648" s="3">
        <v>1</v>
      </c>
    </row>
    <row r="49649" ht="15.75" customHeight="1" spans="1:2">
      <c r="A49649" s="3" t="str">
        <f>IFERROR(__xludf.DUMMYFUNCTION("GOOGLETRANSLATE(A49649,""en"",""pt"")"),"Grande controle sobre a cor, contraste e exposição; sapata, Modo contínuo-drive")</f>
        <v>Grande controle sobre a cor, contraste e exposição; sapata, Modo contínuo-drive</v>
      </c>
      <c r="B49649" s="3">
        <v>1</v>
      </c>
    </row>
    <row r="49650" ht="15.75" customHeight="1" spans="1:2">
      <c r="A49650" s="3" t="str">
        <f>IFERROR(__xludf.DUMMYFUNCTION("GOOGLETRANSLATE(A49650,""en"",""pt"")"),"facilidade de uso, sistema de menus, opções, documentação, compatível")</f>
        <v>facilidade de uso, sistema de menus, opções, documentação, compatível</v>
      </c>
      <c r="B49650" s="3">
        <v>1</v>
      </c>
    </row>
    <row r="49651" ht="15.75" customHeight="1" spans="1:2">
      <c r="A49651" s="3" t="str">
        <f>IFERROR(__xludf.DUMMYFUNCTION("GOOGLETRANSLATE(A49651,""en"",""pt"")"),"tamanho, peso-leve, qualidade de imagem, recursos")</f>
        <v>tamanho, peso-leve, qualidade de imagem, recursos</v>
      </c>
      <c r="B49651" s="3">
        <v>1</v>
      </c>
    </row>
    <row r="49652" ht="15.75" customHeight="1" spans="1:2">
      <c r="A49652" s="3" t="str">
        <f>IFERROR(__xludf.DUMMYFUNCTION("GOOGLETRANSLATE(A49652,""en"",""pt"")"),"Super-pequenas, fabulosas imagens,, portátil de armazenamento eficiente, pró-recursos")</f>
        <v>Super-pequenas, fabulosas imagens,, portátil de armazenamento eficiente, pró-recursos</v>
      </c>
      <c r="B49652" s="3">
        <v>1</v>
      </c>
    </row>
    <row r="49653" ht="15.75" customHeight="1" spans="1:2">
      <c r="A49653" s="3" t="str">
        <f>IFERROR(__xludf.DUMMYFUNCTION("GOOGLETRANSLATE(A49653,""en"",""pt"")"),"Modo Auto Soberbo, recursos manuais, quatro megapixels")</f>
        <v>Modo Auto Soberbo, recursos manuais, quatro megapixels</v>
      </c>
      <c r="B49653" s="3">
        <v>1</v>
      </c>
    </row>
    <row r="49654" ht="15.75" customHeight="1" spans="1:2">
      <c r="A49654" s="3" t="str">
        <f>IFERROR(__xludf.DUMMYFUNCTION("GOOGLETRANSLATE(A49654,""en"",""pt"")"),"Small Size, configurações LCD exibem w / o usando a tela de cor")</f>
        <v>Small Size, configurações LCD exibem w / o usando a tela de cor</v>
      </c>
      <c r="B49654" s="3">
        <v>1</v>
      </c>
    </row>
    <row r="49655" ht="15.75" customHeight="1" spans="1:2">
      <c r="A49655" s="3" t="str">
        <f>IFERROR(__xludf.DUMMYFUNCTION("GOOGLETRANSLATE(A49655,""en"",""pt"")"),"4 Megapixels, tecnologia de focagem automática, gravação de filme")</f>
        <v>4 Megapixels, tecnologia de focagem automática, gravação de filme</v>
      </c>
      <c r="B49655" s="3">
        <v>1</v>
      </c>
    </row>
    <row r="49656" ht="15.75" customHeight="1" spans="1:2">
      <c r="A49656" s="3" t="str">
        <f>IFERROR(__xludf.DUMMYFUNCTION("GOOGLETRANSLATE(A49656,""en"",""pt"")"),"Compacto, qualidade de imagem superior, muito amigável.")</f>
        <v>Compacto, qualidade de imagem superior, muito amigável.</v>
      </c>
      <c r="B49656" s="3">
        <v>1</v>
      </c>
    </row>
    <row r="49657" ht="15.75" customHeight="1" spans="1:2">
      <c r="A49657" s="3" t="str">
        <f>IFERROR(__xludf.DUMMYFUNCTION("GOOGLETRANSLATE(A49657,""en"",""pt"")"),"O tamanho pequeno, imagens de qualidade, facilidade de uso")</f>
        <v>O tamanho pequeno, imagens de qualidade, facilidade de uso</v>
      </c>
      <c r="B49657" s="3">
        <v>1</v>
      </c>
    </row>
    <row r="49658" ht="15.75" customHeight="1" spans="1:2">
      <c r="A49658" s="3" t="str">
        <f>IFERROR(__xludf.DUMMYFUNCTION("GOOGLETRANSLATE(A49658,""en"",""pt"")"),"tamanho pequeno")</f>
        <v>tamanho pequeno</v>
      </c>
      <c r="B49658" s="3">
        <v>1</v>
      </c>
    </row>
    <row r="49659" ht="15.75" customHeight="1" spans="1:2">
      <c r="A49659" s="3" t="str">
        <f>IFERROR(__xludf.DUMMYFUNCTION("GOOGLETRANSLATE(A49659,""en"",""pt"")"),"Cheia de recursos, supera Sony &amp; amp; Cânone!")</f>
        <v>Cheia de recursos, supera Sony &amp; amp; Cânone!</v>
      </c>
      <c r="B49659" s="3">
        <v>1</v>
      </c>
    </row>
    <row r="49660" ht="15.75" customHeight="1" spans="1:2">
      <c r="A49660" s="3" t="str">
        <f>IFERROR(__xludf.DUMMYFUNCTION("GOOGLETRANSLATE(A49660,""en"",""pt"")"),"poderoso. muitos recursos. qualidade fotos")</f>
        <v>poderoso. muitos recursos. qualidade fotos</v>
      </c>
      <c r="B49660" s="3">
        <v>1</v>
      </c>
    </row>
    <row r="49661" ht="15.75" customHeight="1" spans="1:2">
      <c r="A49661" s="3" t="str">
        <f>IFERROR(__xludf.DUMMYFUNCTION("GOOGLETRANSLATE(A49661,""en"",""pt"")"),"Extremamente leve e compacto, fácil de usar, belas fotografias")</f>
        <v>Extremamente leve e compacto, fácil de usar, belas fotografias</v>
      </c>
      <c r="B49661" s="3">
        <v>1</v>
      </c>
    </row>
    <row r="49662" ht="15.75" customHeight="1" spans="1:2">
      <c r="A49662" s="3" t="str">
        <f>IFERROR(__xludf.DUMMYFUNCTION("GOOGLETRANSLATE(A49662,""en"",""pt"")"),"Apert.Priority e Shut.Priority, 4MP, batts tamanho AA")</f>
        <v>Apert.Priority e Shut.Priority, 4MP, batts tamanho AA</v>
      </c>
      <c r="B49662" s="3">
        <v>1</v>
      </c>
    </row>
    <row r="49663" ht="15.75" customHeight="1" spans="1:2">
      <c r="A49663" s="3" t="str">
        <f>IFERROR(__xludf.DUMMYFUNCTION("GOOGLETRANSLATE(A49663,""en"",""pt"")"),"recursos manuais em abundância, o uso de pilhas AA, exposição longa noite (lâmpada), ultra-compacto.")</f>
        <v>recursos manuais em abundância, o uso de pilhas AA, exposição longa noite (lâmpada), ultra-compacto.</v>
      </c>
      <c r="B49663" s="3">
        <v>1</v>
      </c>
    </row>
    <row r="49664" ht="15.75" customHeight="1" spans="1:2">
      <c r="A49664" s="3" t="str">
        <f>IFERROR(__xludf.DUMMYFUNCTION("GOOGLETRANSLATE(A49664,""en"",""pt"")"),"Tamanho, baterias flexíveis")</f>
        <v>Tamanho, baterias flexíveis</v>
      </c>
      <c r="B49664" s="3">
        <v>1</v>
      </c>
    </row>
    <row r="49665" ht="15.75" customHeight="1" spans="1:2">
      <c r="A49665" s="3" t="str">
        <f>IFERROR(__xludf.DUMMYFUNCTION("GOOGLETRANSLATE(A49665,""en"",""pt"")"),"Ultra compacto, alta resolução,, funciona com pilhas AA, manual de Set-up &amp; amp; Auto")</f>
        <v>Ultra compacto, alta resolução,, funciona com pilhas AA, manual de Set-up &amp; amp; Auto</v>
      </c>
      <c r="B49665" s="3">
        <v>1</v>
      </c>
    </row>
    <row r="49666" ht="15.75" customHeight="1" spans="1:2">
      <c r="A49666" s="3" t="str">
        <f>IFERROR(__xludf.DUMMYFUNCTION("GOOGLETRANSLATE(A49666,""en"",""pt"")"),"styling")</f>
        <v>styling</v>
      </c>
      <c r="B49666" s="3">
        <v>1</v>
      </c>
    </row>
    <row r="49667" ht="15.75" customHeight="1" spans="1:2">
      <c r="A49667" s="3" t="str">
        <f>IFERROR(__xludf.DUMMYFUNCTION("GOOGLETRANSLATE(A49667,""en"",""pt"")"),"Fácil de usar. Pequeno o suficiente para caber no bolso. Fotos excelentes.")</f>
        <v>Fácil de usar. Pequeno o suficiente para caber no bolso. Fotos excelentes.</v>
      </c>
      <c r="B49667" s="3">
        <v>1</v>
      </c>
    </row>
    <row r="49668" ht="15.75" customHeight="1" spans="1:2">
      <c r="A49668" s="3" t="str">
        <f>IFERROR(__xludf.DUMMYFUNCTION("GOOGLETRANSLATE(A49668,""en"",""pt"")"),"fotos nítidas (quando em foco), características agradáveis, bastante fácil de usar no modo básico")</f>
        <v>fotos nítidas (quando em foco), características agradáveis, bastante fácil de usar no modo básico</v>
      </c>
      <c r="B49668" s="3">
        <v>1</v>
      </c>
    </row>
    <row r="49669" ht="15.75" customHeight="1" spans="1:2">
      <c r="A49669" s="3" t="str">
        <f>IFERROR(__xludf.DUMMYFUNCTION("GOOGLETRANSLATE(A49669,""en"",""pt"")"),"qualidade de imagem, características e preço")</f>
        <v>qualidade de imagem, características e preço</v>
      </c>
      <c r="B49669" s="3">
        <v>1</v>
      </c>
    </row>
    <row r="49670" ht="15.75" customHeight="1" spans="1:2">
      <c r="A49670" s="3" t="str">
        <f>IFERROR(__xludf.DUMMYFUNCTION("GOOGLETRANSLATE(A49670,""en"",""pt"")"),"preço de banana para uma característica-rico e bem construído câmera")</f>
        <v>preço de banana para uma característica-rico e bem construído câmera</v>
      </c>
      <c r="B49670" s="3">
        <v>1</v>
      </c>
    </row>
    <row r="49671" ht="15.75" customHeight="1" spans="1:2">
      <c r="A49671" s="3" t="str">
        <f>IFERROR(__xludf.DUMMYFUNCTION("GOOGLETRANSLATE(A49671,""en"",""pt"")"),"Grandes imagens, grande faixa de zoom óptico, pacote de software Outstanding")</f>
        <v>Grandes imagens, grande faixa de zoom óptico, pacote de software Outstanding</v>
      </c>
      <c r="B49671" s="3">
        <v>1</v>
      </c>
    </row>
    <row r="49672" ht="15.75" customHeight="1" spans="1:2">
      <c r="A49672" s="3" t="str">
        <f>IFERROR(__xludf.DUMMYFUNCTION("GOOGLETRANSLATE(A49672,""en"",""pt"")"),"Bom preço, 4X zoom, pode começar a imagem ""básica"" tomar rapidamente")</f>
        <v>Bom preço, 4X zoom, pode começar a imagem "básica" tomar rapidamente</v>
      </c>
      <c r="B49672" s="3">
        <v>1</v>
      </c>
    </row>
    <row r="49673" ht="15.75" customHeight="1" spans="1:2">
      <c r="A49673" s="3" t="str">
        <f>IFERROR(__xludf.DUMMYFUNCTION("GOOGLETRANSLATE(A49673,""en"",""pt"")"),"afiadas cor natural fotos. realmente gosto do zoom óptico de 4 níveis.")</f>
        <v>afiadas cor natural fotos. realmente gosto do zoom óptico de 4 níveis.</v>
      </c>
      <c r="B49673" s="3">
        <v>1</v>
      </c>
    </row>
    <row r="49674" ht="15.75" customHeight="1" spans="1:2">
      <c r="A49674" s="3" t="str">
        <f>IFERROR(__xludf.DUMMYFUNCTION("GOOGLETRANSLATE(A49674,""en"",""pt"")"),"Excelente -. Boa compra, parecia um longo tempo para uma câmera de qualidade e encontrou um,")</f>
        <v>Excelente -. Boa compra, parecia um longo tempo para uma câmera de qualidade e encontrou um,</v>
      </c>
      <c r="B49674" s="3">
        <v>1</v>
      </c>
    </row>
    <row r="49675" ht="15.75" customHeight="1" spans="1:2">
      <c r="A49675" s="3" t="str">
        <f>IFERROR(__xludf.DUMMYFUNCTION("GOOGLETRANSLATE(A49675,""en"",""pt"")"),"Fácil de usar fora da caixa, Toneladas de recursos e configurações")</f>
        <v>Fácil de usar fora da caixa, Toneladas de recursos e configurações</v>
      </c>
      <c r="B49675" s="3">
        <v>1</v>
      </c>
    </row>
    <row r="49676" ht="15.75" customHeight="1" spans="1:2">
      <c r="A49676" s="3" t="str">
        <f>IFERROR(__xludf.DUMMYFUNCTION("GOOGLETRANSLATE(A49676,""en"",""pt"")"),"Facilidade de uso, 4 MegaPixs, Grande Pics")</f>
        <v>Facilidade de uso, 4 MegaPixs, Grande Pics</v>
      </c>
      <c r="B49676" s="3">
        <v>1</v>
      </c>
    </row>
    <row r="49677" ht="15.75" customHeight="1" spans="1:2">
      <c r="A49677" s="3" t="str">
        <f>IFERROR(__xludf.DUMMYFUNCTION("GOOGLETRANSLATE(A49677,""en"",""pt"")"),"Excelente qualidade de imagem, múltiplas funcionalidades fotográficas estilo / tamanho / qualidade. recursos manuais a leste de usar.")</f>
        <v>Excelente qualidade de imagem, múltiplas funcionalidades fotográficas estilo / tamanho / qualidade. recursos manuais a leste de usar.</v>
      </c>
      <c r="B49677" s="3">
        <v>1</v>
      </c>
    </row>
    <row r="49678" ht="15.75" customHeight="1" spans="1:2">
      <c r="A49678" s="3" t="str">
        <f>IFERROR(__xludf.DUMMYFUNCTION("GOOGLETRANSLATE(A49678,""en"",""pt"")"),"Leva surpreendentemente bom Pictures - Obras de exposição automática - Precise Foco")</f>
        <v>Leva surpreendentemente bom Pictures - Obras de exposição automática - Precise Foco</v>
      </c>
      <c r="B49678" s="3">
        <v>1</v>
      </c>
    </row>
    <row r="49679" ht="15.75" customHeight="1" spans="1:2">
      <c r="A49679" s="3" t="str">
        <f>IFERROR(__xludf.DUMMYFUNCTION("GOOGLETRANSLATE(A49679,""en"",""pt"")"),"4 Mega Pixels, excelente valor, resposta rápida")</f>
        <v>4 Mega Pixels, excelente valor, resposta rápida</v>
      </c>
      <c r="B49679" s="3">
        <v>1</v>
      </c>
    </row>
    <row r="49680" ht="15.75" customHeight="1" spans="1:2">
      <c r="A49680" s="3" t="str">
        <f>IFERROR(__xludf.DUMMYFUNCTION("GOOGLETRANSLATE(A49680,""en"",""pt"")"),"Qualidade de imagem impressionante. Fácil de usar. Preço.")</f>
        <v>Qualidade de imagem impressionante. Fácil de usar. Preço.</v>
      </c>
      <c r="B49680" s="3">
        <v>1</v>
      </c>
    </row>
    <row r="49681" ht="15.75" customHeight="1" spans="1:2">
      <c r="A49681" s="3" t="str">
        <f>IFERROR(__xludf.DUMMYFUNCTION("GOOGLETRANSLATE(A49681,""en"",""pt"")"),"Salva imagens não comprimidas, ótima resolução, grandes recursos manuais.")</f>
        <v>Salva imagens não comprimidas, ótima resolução, grandes recursos manuais.</v>
      </c>
      <c r="B49681" s="3">
        <v>1</v>
      </c>
    </row>
    <row r="49682" ht="15.75" customHeight="1" spans="1:2">
      <c r="A49682" s="3" t="str">
        <f>IFERROR(__xludf.DUMMYFUNCTION("GOOGLETRANSLATE(A49682,""en"",""pt"")"),"A maioria Compact &amp; amp; Leve 3X I óptico já vimos, bateria de longa duração, anotação de áudio, navegação fácil")</f>
        <v>A maioria Compact &amp; amp; Leve 3X I óptico já vimos, bateria de longa duração, anotação de áudio, navegação fácil</v>
      </c>
      <c r="B49682" s="3">
        <v>1</v>
      </c>
    </row>
    <row r="49683" ht="15.75" customHeight="1" spans="1:2">
      <c r="A49683" s="3" t="str">
        <f>IFERROR(__xludf.DUMMYFUNCTION("GOOGLETRANSLATE(A49683,""en"",""pt"")"),"Incrivelmente pequeno, pele de metal, fácil de usar, vida útil da bateria decente, não drivers do Windows necessária")</f>
        <v>Incrivelmente pequeno, pele de metal, fácil de usar, vida útil da bateria decente, não drivers do Windows necessária</v>
      </c>
      <c r="B49683" s="3">
        <v>1</v>
      </c>
    </row>
    <row r="49684" ht="15.75" customHeight="1" spans="1:2">
      <c r="A49684" s="3" t="str">
        <f>IFERROR(__xludf.DUMMYFUNCTION("GOOGLETRANSLATE(A49684,""en"",""pt"")"),"câmera minúscula, Óptico 3x, de 2 megapixels, maravilha em engenharia fotográfica")</f>
        <v>câmera minúscula, Óptico 3x, de 2 megapixels, maravilha em engenharia fotográfica</v>
      </c>
      <c r="B49684" s="3">
        <v>1</v>
      </c>
    </row>
    <row r="49685" ht="15.75" customHeight="1" spans="1:2">
      <c r="A49685" s="3" t="str">
        <f>IFERROR(__xludf.DUMMYFUNCTION("GOOGLETRANSLATE(A49685,""en"",""pt"")"),"Tão pequena e portátil. Fácil. Durável. Faz filmes curtos. Qualidade parece melhor do que 2 Megapixel.")</f>
        <v>Tão pequena e portátil. Fácil. Durável. Faz filmes curtos. Qualidade parece melhor do que 2 Megapixel.</v>
      </c>
      <c r="B49685" s="3">
        <v>1</v>
      </c>
    </row>
    <row r="49686" ht="15.75" customHeight="1" spans="1:2">
      <c r="A49686" s="3" t="str">
        <f>IFERROR(__xludf.DUMMYFUNCTION("GOOGLETRANSLATE(A49686,""en"",""pt"")"),"Desenhar; Vem com carregador e bateria recarregável; modo de filme com som; fácil tranfer arquivo.")</f>
        <v>Desenhar; Vem com carregador e bateria recarregável; modo de filme com som; fácil tranfer arquivo.</v>
      </c>
      <c r="B49686" s="3">
        <v>1</v>
      </c>
    </row>
    <row r="49687" ht="15.75" customHeight="1" spans="1:2">
      <c r="A49687" s="3" t="str">
        <f>IFERROR(__xludf.DUMMYFUNCTION("GOOGLETRANSLATE(A49687,""en"",""pt"")"),"Minúsculo, cabe no bolso maravilhosamente. Fotos muito boas, a vida da bateria")</f>
        <v>Minúsculo, cabe no bolso maravilhosamente. Fotos muito boas, a vida da bateria</v>
      </c>
      <c r="B49687" s="3">
        <v>1</v>
      </c>
    </row>
    <row r="49688" ht="15.75" customHeight="1" spans="1:2">
      <c r="A49688" s="3" t="str">
        <f>IFERROR(__xludf.DUMMYFUNCTION("GOOGLETRANSLATE(A49688,""en"",""pt"")"),"tamanho pequeno, começar-se rápida, revestimento de metal")</f>
        <v>tamanho pequeno, começar-se rápida, revestimento de metal</v>
      </c>
      <c r="B49688" s="3">
        <v>1</v>
      </c>
    </row>
    <row r="49689" ht="15.75" customHeight="1" spans="1:2">
      <c r="A49689" s="3" t="str">
        <f>IFERROR(__xludf.DUMMYFUNCTION("GOOGLETRANSLATE(A49689,""en"",""pt"")"),"AMAZINGLY compacto com 2 MP, zoom óptico de 3X, muito rápido")</f>
        <v>AMAZINGLY compacto com 2 MP, zoom óptico de 3X, muito rápido</v>
      </c>
      <c r="B49689" s="3">
        <v>1</v>
      </c>
    </row>
    <row r="49690" ht="15.75" customHeight="1" spans="1:2">
      <c r="A49690" s="3" t="str">
        <f>IFERROR(__xludf.DUMMYFUNCTION("GOOGLETRANSLATE(A49690,""en"",""pt"")"),"Tamanho importa")</f>
        <v>Tamanho importa</v>
      </c>
      <c r="B49690" s="3">
        <v>1</v>
      </c>
    </row>
    <row r="49691" ht="15.75" customHeight="1" spans="1:2">
      <c r="A49691" s="3" t="str">
        <f>IFERROR(__xludf.DUMMYFUNCTION("GOOGLETRANSLATE(A49691,""en"",""pt"")"),"Pequeno, elegante, rápido.")</f>
        <v>Pequeno, elegante, rápido.</v>
      </c>
      <c r="B49691" s="3">
        <v>1</v>
      </c>
    </row>
    <row r="49692" ht="15.75" customHeight="1" spans="1:2">
      <c r="A49692" s="3" t="str">
        <f>IFERROR(__xludf.DUMMYFUNCTION("GOOGLETRANSLATE(A49692,""en"",""pt"")"),"Tamanho. Tamanho. Tamanho.")</f>
        <v>Tamanho. Tamanho. Tamanho.</v>
      </c>
      <c r="B49692" s="3">
        <v>1</v>
      </c>
    </row>
    <row r="49693" ht="15.75" customHeight="1" spans="1:2">
      <c r="A49693" s="3" t="str">
        <f>IFERROR(__xludf.DUMMYFUNCTION("GOOGLETRANSLATE(A49693,""en"",""pt"")"),"Compacto, leve")</f>
        <v>Compacto, leve</v>
      </c>
      <c r="B49693" s="3">
        <v>1</v>
      </c>
    </row>
    <row r="49694" ht="15.75" customHeight="1" spans="1:2">
      <c r="A49694" s="3" t="str">
        <f>IFERROR(__xludf.DUMMYFUNCTION("GOOGLETRANSLATE(A49694,""en"",""pt"")"),"Pequeno, fácil de usar, a qualidade construído.")</f>
        <v>Pequeno, fácil de usar, a qualidade construído.</v>
      </c>
      <c r="B49694" s="3">
        <v>1</v>
      </c>
    </row>
    <row r="49695" ht="15.75" customHeight="1" spans="1:2">
      <c r="A49695" s="3" t="str">
        <f>IFERROR(__xludf.DUMMYFUNCTION("GOOGLETRANSLATE(A49695,""en"",""pt"")"),"parece incrível / construir, fácil de usar, excelente qualidade de imagem, conteúdo de característica, características e tamanho revolucionários, valor")</f>
        <v>parece incrível / construir, fácil de usar, excelente qualidade de imagem, conteúdo de característica, características e tamanho revolucionários, valor</v>
      </c>
      <c r="B49695" s="3">
        <v>1</v>
      </c>
    </row>
    <row r="49696" ht="15.75" customHeight="1" spans="1:2">
      <c r="A49696" s="3" t="str">
        <f>IFERROR(__xludf.DUMMYFUNCTION("GOOGLETRANSLATE(A49696,""en"",""pt"")"),"Pequeno")</f>
        <v>Pequeno</v>
      </c>
      <c r="B49696" s="3">
        <v>1</v>
      </c>
    </row>
    <row r="49697" ht="15.75" customHeight="1" spans="1:2">
      <c r="A49697" s="3" t="str">
        <f>IFERROR(__xludf.DUMMYFUNCTION("GOOGLETRANSLATE(A49697,""en"",""pt"")"),"Pequeno, leve, expansível, Features")</f>
        <v>Pequeno, leve, expansível, Features</v>
      </c>
      <c r="B49697" s="3">
        <v>1</v>
      </c>
    </row>
    <row r="49698" ht="15.75" customHeight="1" spans="1:2">
      <c r="A49698" s="3" t="str">
        <f>IFERROR(__xludf.DUMMYFUNCTION("GOOGLETRANSLATE(A49698,""en"",""pt"")"),"Tamanho, facilidade de uso, qualidade")</f>
        <v>Tamanho, facilidade de uso, qualidade</v>
      </c>
      <c r="B49698" s="3">
        <v>1</v>
      </c>
    </row>
    <row r="49699" ht="15.75" customHeight="1" spans="1:2">
      <c r="A49699" s="3" t="str">
        <f>IFERROR(__xludf.DUMMYFUNCTION("GOOGLETRANSLATE(A49699,""en"",""pt"")"),"Tamanho, durabilidade, bateria recarregável, de longa vida útil da bateria")</f>
        <v>Tamanho, durabilidade, bateria recarregável, de longa vida útil da bateria</v>
      </c>
      <c r="B49699" s="3">
        <v>1</v>
      </c>
    </row>
    <row r="49700" ht="15.75" customHeight="1" spans="1:2">
      <c r="A49700" s="3" t="str">
        <f>IFERROR(__xludf.DUMMYFUNCTION("GOOGLETRANSLATE(A49700,""en"",""pt"")"),"Super tamanho minúsculo, fácil de usar, ótimas fotos.")</f>
        <v>Super tamanho minúsculo, fácil de usar, ótimas fotos.</v>
      </c>
      <c r="B49700" s="3">
        <v>1</v>
      </c>
    </row>
    <row r="49701" ht="15.75" customHeight="1" spans="1:2">
      <c r="A49701" s="3" t="str">
        <f>IFERROR(__xludf.DUMMYFUNCTION("GOOGLETRANSLATE(A49701,""en"",""pt"")"),"Muito portátil. Elegante, também!")</f>
        <v>Muito portátil. Elegante, também!</v>
      </c>
      <c r="B49701" s="3">
        <v>1</v>
      </c>
    </row>
    <row r="49702" ht="15.75" customHeight="1" spans="1:2">
      <c r="A49702" s="3" t="str">
        <f>IFERROR(__xludf.DUMMYFUNCTION("GOOGLETRANSLATE(A49702,""en"",""pt"")"),"Fácil de usar, Analog Zoom, pequeno o suficiente para caber no bolso de cima")</f>
        <v>Fácil de usar, Analog Zoom, pequeno o suficiente para caber no bolso de cima</v>
      </c>
      <c r="B49702" s="3">
        <v>1</v>
      </c>
    </row>
    <row r="49703" ht="15.75" customHeight="1" spans="1:2">
      <c r="A49703" s="3" t="str">
        <f>IFERROR(__xludf.DUMMYFUNCTION("GOOGLETRANSLATE(A49703,""en"",""pt"")"),"SMALL, vida decente bateria, inicialização rápida, zoom óptico, extremamente robusto")</f>
        <v>SMALL, vida decente bateria, inicialização rápida, zoom óptico, extremamente robusto</v>
      </c>
      <c r="B49703" s="3">
        <v>1</v>
      </c>
    </row>
    <row r="49704" ht="15.75" customHeight="1" spans="1:2">
      <c r="A49704" s="3" t="str">
        <f>IFERROR(__xludf.DUMMYFUNCTION("GOOGLETRANSLATE(A49704,""en"",""pt"")"),"tamanho, inicialização rápida, 3MP")</f>
        <v>tamanho, inicialização rápida, 3MP</v>
      </c>
      <c r="B49704" s="3">
        <v>1</v>
      </c>
    </row>
    <row r="49705" ht="15.75" customHeight="1" spans="1:2">
      <c r="A49705" s="3" t="str">
        <f>IFERROR(__xludf.DUMMYFUNCTION("GOOGLETRANSLATE(A49705,""en"",""pt"")"),"pequeno e compacto, olhando agradável, fotos de boa qualidade")</f>
        <v>pequeno e compacto, olhando agradável, fotos de boa qualidade</v>
      </c>
      <c r="B49705" s="3">
        <v>1</v>
      </c>
    </row>
    <row r="49706" ht="15.75" customHeight="1" spans="1:2">
      <c r="A49706" s="3" t="str">
        <f>IFERROR(__xludf.DUMMYFUNCTION("GOOGLETRANSLATE(A49706,""en"",""pt"")"),"Um grande ""têm-it-com-você-todo-o-time"" câmera!")</f>
        <v>Um grande "têm-it-com-você-todo-o-time" câmera!</v>
      </c>
      <c r="B49706" s="3">
        <v>1</v>
      </c>
    </row>
    <row r="49707" ht="15.75" customHeight="1" spans="1:2">
      <c r="A49707" s="3" t="str">
        <f>IFERROR(__xludf.DUMMYFUNCTION("GOOGLETRANSLATE(A49707,""en"",""pt"")"),"Elegante, ultra compacto, zoom de 3X, 3 Megapixels,")</f>
        <v>Elegante, ultra compacto, zoom de 3X, 3 Megapixels,</v>
      </c>
      <c r="B49707" s="3">
        <v>1</v>
      </c>
    </row>
    <row r="49708" ht="15.75" customHeight="1" spans="1:2">
      <c r="A49708" s="3" t="str">
        <f>IFERROR(__xludf.DUMMYFUNCTION("GOOGLETRANSLATE(A49708,""en"",""pt"")"),"pequeno, leve, boa qualidade de imagem, fácil de usar")</f>
        <v>pequeno, leve, boa qualidade de imagem, fácil de usar</v>
      </c>
      <c r="B49708" s="3">
        <v>1</v>
      </c>
    </row>
    <row r="49709" ht="15.75" customHeight="1" spans="1:2">
      <c r="A49709" s="3" t="str">
        <f>IFERROR(__xludf.DUMMYFUNCTION("GOOGLETRANSLATE(A49709,""en"",""pt"")"),"Tamanho, tamanho e tamanho!")</f>
        <v>Tamanho, tamanho e tamanho!</v>
      </c>
      <c r="B49709" s="3">
        <v>1</v>
      </c>
    </row>
    <row r="49710" ht="15.75" customHeight="1" spans="1:2">
      <c r="A49710" s="3" t="str">
        <f>IFERROR(__xludf.DUMMYFUNCTION("GOOGLETRANSLATE(A49710,""en"",""pt"")"),"tamanho, capacidade de áudio, facilidade de uso, design")</f>
        <v>tamanho, capacidade de áudio, facilidade de uso, design</v>
      </c>
      <c r="B49710" s="3">
        <v>1</v>
      </c>
    </row>
    <row r="49711" ht="15.75" customHeight="1" spans="1:2">
      <c r="A49711" s="3" t="str">
        <f>IFERROR(__xludf.DUMMYFUNCTION("GOOGLETRANSLATE(A49711,""en"",""pt"")"),"pequeno tamanho, facilidade de uso, instantâneos de muito boa qualidade.")</f>
        <v>pequeno tamanho, facilidade de uso, instantâneos de muito boa qualidade.</v>
      </c>
      <c r="B49711" s="3">
        <v>1</v>
      </c>
    </row>
    <row r="49712" ht="15.75" customHeight="1" spans="1:2">
      <c r="A49712" s="3" t="str">
        <f>IFERROR(__xludf.DUMMYFUNCTION("GOOGLETRANSLATE(A49712,""en"",""pt"")"),"Super fast start up quase nenhum lag entre o disparo em todas as resoluções")</f>
        <v>Super fast start up quase nenhum lag entre o disparo em todas as resoluções</v>
      </c>
      <c r="B49712" s="3">
        <v>1</v>
      </c>
    </row>
    <row r="49713" ht="15.75" customHeight="1" spans="1:2">
      <c r="A49713" s="3" t="str">
        <f>IFERROR(__xludf.DUMMYFUNCTION("GOOGLETRANSLATE(A49713,""en"",""pt"")"),"Excelente Pro Color Qualidade Laser no preço excelente")</f>
        <v>Excelente Pro Color Qualidade Laser no preço excelente</v>
      </c>
      <c r="B49713" s="3">
        <v>1</v>
      </c>
    </row>
    <row r="49714" ht="15.75" customHeight="1" spans="1:2">
      <c r="A49714" s="3" t="str">
        <f>IFERROR(__xludf.DUMMYFUNCTION("GOOGLETRANSLATE(A49714,""en"",""pt"")"),"Ótimo preço, boa impressão a cores de qualidade, mais rápido do que a jato de tinta.")</f>
        <v>Ótimo preço, boa impressão a cores de qualidade, mais rápido do que a jato de tinta.</v>
      </c>
      <c r="B49714" s="3">
        <v>1</v>
      </c>
    </row>
    <row r="49715" ht="15.75" customHeight="1" spans="1:2">
      <c r="A49715" s="3" t="str">
        <f>IFERROR(__xludf.DUMMYFUNCTION("GOOGLETRANSLATE(A49715,""en"",""pt"")"),"Rápido, de alta qualidade, baixo preço, ethernet capaz")</f>
        <v>Rápido, de alta qualidade, baixo preço, ethernet capaz</v>
      </c>
      <c r="B49715" s="3">
        <v>1</v>
      </c>
    </row>
    <row r="49716" ht="15.75" customHeight="1" spans="1:2">
      <c r="A49716" s="3" t="str">
        <f>IFERROR(__xludf.DUMMYFUNCTION("GOOGLETRANSLATE(A49716,""en"",""pt"")"),"Minolta possui o seu próprio contra um novo produto HP - oferece impressão a cores acessível.")</f>
        <v>Minolta possui o seu próprio contra um novo produto HP - oferece impressão a cores acessível.</v>
      </c>
      <c r="B49716" s="3">
        <v>1</v>
      </c>
    </row>
    <row r="49717" ht="15.75" customHeight="1" spans="1:2">
      <c r="A49717" s="3" t="str">
        <f>IFERROR(__xludf.DUMMYFUNCTION("GOOGLETRANSLATE(A49717,""en"",""pt"")"),"A qualidade de impressão é excelente.")</f>
        <v>A qualidade de impressão é excelente.</v>
      </c>
      <c r="B49717" s="3">
        <v>1</v>
      </c>
    </row>
    <row r="49718" ht="15.75" customHeight="1" spans="1:2">
      <c r="A49718" s="3" t="str">
        <f>IFERROR(__xludf.DUMMYFUNCTION("GOOGLETRANSLATE(A49718,""en"",""pt"")"),"Muito afiada de impressão, fácil sobre os consumíveis!")</f>
        <v>Muito afiada de impressão, fácil sobre os consumíveis!</v>
      </c>
      <c r="B49718" s="3">
        <v>1</v>
      </c>
    </row>
    <row r="49719" ht="15.75" customHeight="1" spans="1:2">
      <c r="A49719" s="3" t="str">
        <f>IFERROR(__xludf.DUMMYFUNCTION("GOOGLETRANSLATE(A49719,""en"",""pt"")"),"Rápido, puro, qualidade de impressão superior em papel normal")</f>
        <v>Rápido, puro, qualidade de impressão superior em papel normal</v>
      </c>
      <c r="B49719" s="3">
        <v>1</v>
      </c>
    </row>
    <row r="49720" ht="15.75" customHeight="1" spans="1:2">
      <c r="A49720" s="3" t="str">
        <f>IFERROR(__xludf.DUMMYFUNCTION("GOOGLETRANSLATE(A49720,""en"",""pt"")"),"Excelente preço, qualidade de saída sólida. interfaces flexíveis e muitas opções.")</f>
        <v>Excelente preço, qualidade de saída sólida. interfaces flexíveis e muitas opções.</v>
      </c>
      <c r="B49720" s="3">
        <v>1</v>
      </c>
    </row>
    <row r="49721" ht="15.75" customHeight="1" spans="1:2">
      <c r="A49721" s="3" t="str">
        <f>IFERROR(__xludf.DUMMYFUNCTION("GOOGLETRANSLATE(A49721,""en"",""pt"")"),"Cópias de qualidade instantâneas, opções de menu úteis, aceita multi media")</f>
        <v>Cópias de qualidade instantâneas, opções de menu úteis, aceita multi media</v>
      </c>
      <c r="B49721" s="3">
        <v>1</v>
      </c>
    </row>
    <row r="49722" ht="15.75" customHeight="1" spans="1:2">
      <c r="A49722" s="3" t="str">
        <f>IFERROR(__xludf.DUMMYFUNCTION("GOOGLETRANSLATE(A49722,""en"",""pt"")"),"rápido para o preço, 1200 x 1200, barato, design agradável, não jam, fácil de configurar.")</f>
        <v>rápido para o preço, 1200 x 1200, barato, design agradável, não jam, fácil de configurar.</v>
      </c>
      <c r="B49722" s="3">
        <v>1</v>
      </c>
    </row>
    <row r="49723" ht="15.75" customHeight="1" spans="1:2">
      <c r="A49723" s="3" t="str">
        <f>IFERROR(__xludf.DUMMYFUNCTION("GOOGLETRANSLATE(A49723,""en"",""pt"")"),". Pequeno, rápido, excelente texto, Muito bom B &amp; amp;. Fotografias W, melhor impressora laser com preços no mercado.")</f>
        <v>. Pequeno, rápido, excelente texto, Muito bom B &amp; amp;. Fotografias W, melhor impressora laser com preços no mercado.</v>
      </c>
      <c r="B49723" s="3">
        <v>1</v>
      </c>
    </row>
    <row r="49724" ht="15.75" customHeight="1" spans="1:2">
      <c r="A49724" s="3" t="str">
        <f>IFERROR(__xludf.DUMMYFUNCTION("GOOGLETRANSLATE(A49724,""en"",""pt"")"),"Excelente qualidade de impressão; 17 páginas por minuto velocidade; máquina de peso leve")</f>
        <v>Excelente qualidade de impressão; 17 páginas por minuto velocidade; máquina de peso leve</v>
      </c>
      <c r="B49724" s="3">
        <v>1</v>
      </c>
    </row>
    <row r="49725" ht="15.75" customHeight="1" spans="1:2">
      <c r="A49725" s="3" t="str">
        <f>IFERROR(__xludf.DUMMYFUNCTION("GOOGLETRANSLATE(A49725,""en"",""pt"")"),"atende às especificações")</f>
        <v>atende às especificações</v>
      </c>
      <c r="B49725" s="3">
        <v>1</v>
      </c>
    </row>
    <row r="49726" ht="15.75" customHeight="1" spans="1:2">
      <c r="A49726" s="3" t="str">
        <f>IFERROR(__xludf.DUMMYFUNCTION("GOOGLETRANSLATE(A49726,""en"",""pt"")"),"Rápido, documentos claros / nítidas")</f>
        <v>Rápido, documentos claros / nítidas</v>
      </c>
      <c r="B49726" s="3">
        <v>1</v>
      </c>
    </row>
    <row r="49727" ht="15.75" customHeight="1" spans="1:2">
      <c r="A49727" s="3" t="str">
        <f>IFERROR(__xludf.DUMMYFUNCTION("GOOGLETRANSLATE(A49727,""en"",""pt"")"),"Preço, qualidade de imagem, velocidade e tamanho")</f>
        <v>Preço, qualidade de imagem, velocidade e tamanho</v>
      </c>
      <c r="B49727" s="3">
        <v>1</v>
      </c>
    </row>
    <row r="49728" ht="15.75" customHeight="1" spans="1:2">
      <c r="A49728" s="3" t="str">
        <f>IFERROR(__xludf.DUMMYFUNCTION("GOOGLETRANSLATE(A49728,""en"",""pt"")"),"configuração rápida e de baixo custo, excelente qualidade de impressão.")</f>
        <v>configuração rápida e de baixo custo, excelente qualidade de impressão.</v>
      </c>
      <c r="B49728" s="3">
        <v>1</v>
      </c>
    </row>
    <row r="49729" ht="15.75" customHeight="1" spans="1:2">
      <c r="A49729" s="3" t="str">
        <f>IFERROR(__xludf.DUMMYFUNCTION("GOOGLETRANSLATE(A49729,""en"",""pt"")"),"Barato, compacto, impressão rápido, de boa qualidade, fácil de configurar, relativamente calma")</f>
        <v>Barato, compacto, impressão rápido, de boa qualidade, fácil de configurar, relativamente calma</v>
      </c>
      <c r="B49729" s="3">
        <v>1</v>
      </c>
    </row>
    <row r="49730" ht="15.75" customHeight="1" spans="1:2">
      <c r="A49730" s="3" t="str">
        <f>IFERROR(__xludf.DUMMYFUNCTION("GOOGLETRANSLATE(A49730,""en"",""pt"")"),"Boa Pictures, visualização Opção, opção CF, Conexão USB, ótimo preço / desempenho")</f>
        <v>Boa Pictures, visualização Opção, opção CF, Conexão USB, ótimo preço / desempenho</v>
      </c>
      <c r="B49730" s="3">
        <v>1</v>
      </c>
    </row>
    <row r="49731" ht="15.75" customHeight="1" spans="1:2">
      <c r="A49731" s="3" t="str">
        <f>IFERROR(__xludf.DUMMYFUNCTION("GOOGLETRANSLATE(A49731,""en"",""pt"")"),"Preço")</f>
        <v>Preço</v>
      </c>
      <c r="B49731" s="3">
        <v>1</v>
      </c>
    </row>
    <row r="49732" ht="15.75" customHeight="1" spans="1:2">
      <c r="A49732" s="3" t="str">
        <f>IFERROR(__xludf.DUMMYFUNCTION("GOOGLETRANSLATE(A49732,""en"",""pt"")"),"Fácil de usar, boas fotos, bateria de longa duração")</f>
        <v>Fácil de usar, boas fotos, bateria de longa duração</v>
      </c>
      <c r="B49732" s="3">
        <v>1</v>
      </c>
    </row>
    <row r="49733" ht="15.75" customHeight="1" spans="1:2">
      <c r="A49733" s="3" t="str">
        <f>IFERROR(__xludf.DUMMYFUNCTION("GOOGLETRANSLATE(A49733,""en"",""pt"")"),"fácil de usar, ótimo pics, baixo preço")</f>
        <v>fácil de usar, ótimo pics, baixo preço</v>
      </c>
      <c r="B49733" s="3">
        <v>1</v>
      </c>
    </row>
    <row r="49734" ht="15.75" customHeight="1" spans="1:2">
      <c r="A49734" s="3" t="str">
        <f>IFERROR(__xludf.DUMMYFUNCTION("GOOGLETRANSLATE(A49734,""en"",""pt"")"),"barato")</f>
        <v>barato</v>
      </c>
      <c r="B49734" s="3">
        <v>1</v>
      </c>
    </row>
    <row r="49735" ht="15.75" customHeight="1" spans="1:2">
      <c r="A49735" s="3" t="str">
        <f>IFERROR(__xludf.DUMMYFUNCTION("GOOGLETRANSLATE(A49735,""en"",""pt"")"),"Ele trabalhou por 5 minutos")</f>
        <v>Ele trabalhou por 5 minutos</v>
      </c>
      <c r="B49735" s="3">
        <v>1</v>
      </c>
    </row>
    <row r="49736" ht="15.75" customHeight="1" spans="1:2">
      <c r="A49736" s="3" t="str">
        <f>IFERROR(__xludf.DUMMYFUNCTION("GOOGLETRANSLATE(A49736,""en"",""pt"")"),"bateria de longa duração, um bom design, USB, memória expansível")</f>
        <v>bateria de longa duração, um bom design, USB, memória expansível</v>
      </c>
      <c r="B49736" s="3">
        <v>1</v>
      </c>
    </row>
    <row r="49737" ht="15.75" customHeight="1" spans="1:2">
      <c r="A49737" s="3" t="str">
        <f>IFERROR(__xludf.DUMMYFUNCTION("GOOGLETRANSLATE(A49737,""en"",""pt"")"),"baixo preço, conexão USB, visor Cybershot")</f>
        <v>baixo preço, conexão USB, visor Cybershot</v>
      </c>
      <c r="B49737" s="3">
        <v>1</v>
      </c>
    </row>
    <row r="49738" ht="15.75" customHeight="1" spans="1:2">
      <c r="A49738" s="3" t="str">
        <f>IFERROR(__xludf.DUMMYFUNCTION("GOOGLETRANSLATE(A49738,""en"",""pt"")"),"conexão USB, grande autonomia da bateria, o preço é bastante baixo")</f>
        <v>conexão USB, grande autonomia da bateria, o preço é bastante baixo</v>
      </c>
      <c r="B49738" s="3">
        <v>1</v>
      </c>
    </row>
    <row r="49739" ht="15.75" customHeight="1" spans="1:2">
      <c r="A49739" s="3" t="str">
        <f>IFERROR(__xludf.DUMMYFUNCTION("GOOGLETRANSLATE(A49739,""en"",""pt"")"),"barato, simples de usar, imagem Fast Download")</f>
        <v>barato, simples de usar, imagem Fast Download</v>
      </c>
      <c r="B49739" s="3">
        <v>1</v>
      </c>
    </row>
    <row r="49740" ht="15.75" customHeight="1" spans="1:2">
      <c r="A49740" s="3" t="str">
        <f>IFERROR(__xludf.DUMMYFUNCTION("GOOGLETRANSLATE(A49740,""en"",""pt"")"),"Barato, elegante aparência, fácil de usar")</f>
        <v>Barato, elegante aparência, fácil de usar</v>
      </c>
      <c r="B49740" s="3">
        <v>1</v>
      </c>
    </row>
    <row r="49741" ht="15.75" customHeight="1" spans="1:2">
      <c r="A49741" s="3" t="str">
        <f>IFERROR(__xludf.DUMMYFUNCTION("GOOGLETRANSLATE(A49741,""en"",""pt"")"),"barato, fácil de usar")</f>
        <v>barato, fácil de usar</v>
      </c>
      <c r="B49741" s="3">
        <v>1</v>
      </c>
    </row>
    <row r="49742" ht="15.75" customHeight="1" spans="1:2">
      <c r="A49742" s="3" t="str">
        <f>IFERROR(__xludf.DUMMYFUNCTION("GOOGLETRANSLATE(A49742,""en"",""pt"")"),"Muito barato, útil, cartões flash removíveis, PC Link.")</f>
        <v>Muito barato, útil, cartões flash removíveis, PC Link.</v>
      </c>
      <c r="B49742" s="3">
        <v>1</v>
      </c>
    </row>
    <row r="49743" ht="15.75" customHeight="1" spans="1:2">
      <c r="A49743" s="3" t="str">
        <f>IFERROR(__xludf.DUMMYFUNCTION("GOOGLETRANSLATE(A49743,""en"",""pt"")"),"Baixo custo, fácil de usar, bom software")</f>
        <v>Baixo custo, fácil de usar, bom software</v>
      </c>
      <c r="B49743" s="3">
        <v>1</v>
      </c>
    </row>
    <row r="49744" ht="15.75" customHeight="1" spans="1:2">
      <c r="A49744" s="3" t="str">
        <f>IFERROR(__xludf.DUMMYFUNCTION("GOOGLETRANSLATE(A49744,""en"",""pt"")"),"Arrefecer LCD, a qualidade da imagem feira, interface TWAIN")</f>
        <v>Arrefecer LCD, a qualidade da imagem feira, interface TWAIN</v>
      </c>
      <c r="B49744" s="3">
        <v>1</v>
      </c>
    </row>
    <row r="49745" ht="15.75" customHeight="1" spans="1:2">
      <c r="A49745" s="3" t="str">
        <f>IFERROR(__xludf.DUMMYFUNCTION("GOOGLETRANSLATE(A49745,""en"",""pt"")"),"barato")</f>
        <v>barato</v>
      </c>
      <c r="B49745" s="3">
        <v>1</v>
      </c>
    </row>
    <row r="49746" ht="15.75" customHeight="1" spans="1:2">
      <c r="A49746" s="3" t="str">
        <f>IFERROR(__xludf.DUMMYFUNCTION("GOOGLETRANSLATE(A49746,""en"",""pt"")"),"boa relação do desempenho preço, pequeno e leve")</f>
        <v>boa relação do desempenho preço, pequeno e leve</v>
      </c>
      <c r="B49746" s="3">
        <v>1</v>
      </c>
    </row>
    <row r="49747" ht="15.75" customHeight="1" spans="1:2">
      <c r="A49747" s="3" t="str">
        <f>IFERROR(__xludf.DUMMYFUNCTION("GOOGLETRANSLATE(A49747,""en"",""pt"")"),"Barato, construído em flash, fácil de configurar")</f>
        <v>Barato, construído em flash, fácil de configurar</v>
      </c>
      <c r="B49747" s="3">
        <v>1</v>
      </c>
    </row>
    <row r="49748" ht="15.75" customHeight="1" spans="1:2">
      <c r="A49748" s="3" t="str">
        <f>IFERROR(__xludf.DUMMYFUNCTION("GOOGLETRANSLATE(A49748,""en"",""pt"")"),"Boa câmera rápida pressão para Sob $ 100")</f>
        <v>Boa câmera rápida pressão para Sob $ 100</v>
      </c>
      <c r="B49748" s="3">
        <v>1</v>
      </c>
    </row>
    <row r="49749" ht="15.75" customHeight="1" spans="1:2">
      <c r="A49749" s="3" t="str">
        <f>IFERROR(__xludf.DUMMYFUNCTION("GOOGLETRANSLATE(A49749,""en"",""pt"")"),"Grande qualidade de impressão, os trabalhos de impressão começar rapidamente")</f>
        <v>Grande qualidade de impressão, os trabalhos de impressão começar rapidamente</v>
      </c>
      <c r="B49749" s="3">
        <v>1</v>
      </c>
    </row>
    <row r="49750" ht="15.75" customHeight="1" spans="1:2">
      <c r="A49750" s="3" t="str">
        <f>IFERROR(__xludf.DUMMYFUNCTION("GOOGLETRANSLATE(A49750,""en"",""pt"")"),"Atraente, rápido, excelente qualidade de impressão, fácil de imprimir dois lados")</f>
        <v>Atraente, rápido, excelente qualidade de impressão, fácil de imprimir dois lados</v>
      </c>
      <c r="B49750" s="3">
        <v>1</v>
      </c>
    </row>
    <row r="49751" ht="15.75" customHeight="1" spans="1:2">
      <c r="A49751" s="3" t="str">
        <f>IFERROR(__xludf.DUMMYFUNCTION("GOOGLETRANSLATE(A49751,""en"",""pt"")"),"Grandes cópias, Quieto,, confiável, bom suporte técnico sólido.")</f>
        <v>Grandes cópias, Quieto,, confiável, bom suporte técnico sólido.</v>
      </c>
      <c r="B49751" s="3">
        <v>1</v>
      </c>
    </row>
    <row r="49752" ht="15.75" customHeight="1" spans="1:2">
      <c r="A49752" s="3" t="str">
        <f>IFERROR(__xludf.DUMMYFUNCTION("GOOGLETRANSLATE(A49752,""en"",""pt"")"),"Preço, Low Warm Up Time, Suporte")</f>
        <v>Preço, Low Warm Up Time, Suporte</v>
      </c>
      <c r="B49752" s="3">
        <v>1</v>
      </c>
    </row>
    <row r="49753" ht="15.75" customHeight="1" spans="1:2">
      <c r="A49753" s="3" t="str">
        <f>IFERROR(__xludf.DUMMYFUNCTION("GOOGLETRANSLATE(A49753,""en"",""pt"")"),"impressão rápida, tranquila quando dorme, e fácil de usar, a impressão baratas Muito boa qualidade")</f>
        <v>impressão rápida, tranquila quando dorme, e fácil de usar, a impressão baratas Muito boa qualidade</v>
      </c>
      <c r="B49753" s="3">
        <v>1</v>
      </c>
    </row>
    <row r="49754" ht="15.75" customHeight="1" spans="1:2">
      <c r="A49754" s="3" t="str">
        <f>IFERROR(__xludf.DUMMYFUNCTION("GOOGLETRANSLATE(A49754,""en"",""pt"")"),"Relativamente rápido, a qualidade do texto soberba")</f>
        <v>Relativamente rápido, a qualidade do texto soberba</v>
      </c>
      <c r="B49754" s="3">
        <v>1</v>
      </c>
    </row>
    <row r="49755" ht="15.75" customHeight="1" spans="1:2">
      <c r="A49755" s="3" t="str">
        <f>IFERROR(__xludf.DUMMYFUNCTION("GOOGLETRANSLATE(A49755,""en"",""pt"")"),"Confiável, de boa qualidade de saída, velocidade aceitável")</f>
        <v>Confiável, de boa qualidade de saída, velocidade aceitável</v>
      </c>
      <c r="B49755" s="3">
        <v>1</v>
      </c>
    </row>
    <row r="49756" ht="15.75" customHeight="1" spans="1:2">
      <c r="A49756" s="3" t="str">
        <f>IFERROR(__xludf.DUMMYFUNCTION("GOOGLETRANSLATE(A49756,""en"",""pt"")"),"Printer barato, apoiar a boa Win98")</f>
        <v>Printer barato, apoiar a boa Win98</v>
      </c>
      <c r="B49756" s="3">
        <v>1</v>
      </c>
    </row>
    <row r="49757" ht="15.75" customHeight="1" spans="1:2">
      <c r="A49757" s="3" t="str">
        <f>IFERROR(__xludf.DUMMYFUNCTION("GOOGLETRANSLATE(A49757,""en"",""pt"")"),"A grande qualidade, velocidade e tamanho razoável. US $ 50 de desconto a partir NEC.")</f>
        <v>A grande qualidade, velocidade e tamanho razoável. US $ 50 de desconto a partir NEC.</v>
      </c>
      <c r="B49757" s="3">
        <v>1</v>
      </c>
    </row>
    <row r="49758" ht="15.75" customHeight="1" spans="1:2">
      <c r="A49758" s="3" t="str">
        <f>IFERROR(__xludf.DUMMYFUNCTION("GOOGLETRANSLATE(A49758,""en"",""pt"")"),"Velocidade, preço, qualidade de resolução.")</f>
        <v>Velocidade, preço, qualidade de resolução.</v>
      </c>
      <c r="B49758" s="3">
        <v>1</v>
      </c>
    </row>
    <row r="49759" ht="15.75" customHeight="1" spans="1:2">
      <c r="A49759" s="3" t="str">
        <f>IFERROR(__xludf.DUMMYFUNCTION("GOOGLETRANSLATE(A49759,""en"",""pt"")"),"impressões de elevada qualidade (texto &amp; amp; amp; gráficos), rápido")</f>
        <v>impressões de elevada qualidade (texto &amp; amp; amp; gráficos), rápido</v>
      </c>
      <c r="B49759" s="3">
        <v>1</v>
      </c>
    </row>
    <row r="49760" ht="15.75" customHeight="1" spans="1:2">
      <c r="A49760" s="3" t="str">
        <f>IFERROR(__xludf.DUMMYFUNCTION("GOOGLETRANSLATE(A49760,""en"",""pt"")"),"Rápido e confiável, com excelente qualidade de impressão")</f>
        <v>Rápido e confiável, com excelente qualidade de impressão</v>
      </c>
      <c r="B49760" s="3">
        <v>1</v>
      </c>
    </row>
    <row r="49761" ht="15.75" customHeight="1" spans="1:2">
      <c r="A49761" s="3" t="str">
        <f>IFERROR(__xludf.DUMMYFUNCTION("GOOGLETRANSLATE(A49761,""en"",""pt"")"),"&amp; Lt; b &amp; gt; extremo &amp; lt; / b &amp; gt; valor, de baixo custo, fiável")</f>
        <v>&amp; Lt; b &amp; gt; extremo &amp; lt; / b &amp; gt; valor, de baixo custo, fiável</v>
      </c>
      <c r="B49761" s="3">
        <v>1</v>
      </c>
    </row>
    <row r="49762" ht="15.75" customHeight="1" spans="1:2">
      <c r="A49762" s="3" t="str">
        <f>IFERROR(__xludf.DUMMYFUNCTION("GOOGLETRANSLATE(A49762,""en"",""pt"")"),"impressões de alta qualidade (texto &amp; amp; amp; gráficos), preço, qualidade de resolução, Grandes cópias, sólida, confiável, bom suporte técnico texto claro rápido e confiável, velocidade e tamanho razoável.")</f>
        <v>impressões de alta qualidade (texto &amp; amp; amp; gráficos), preço, qualidade de resolução, Grandes cópias, sólida, confiável, bom suporte técnico texto claro rápido e confiável, velocidade e tamanho razoável.</v>
      </c>
      <c r="B49762" s="3">
        <v>1</v>
      </c>
    </row>
    <row r="49763" ht="15.75" customHeight="1" spans="1:2">
      <c r="A49763" s="3" t="str">
        <f>IFERROR(__xludf.DUMMYFUNCTION("GOOGLETRANSLATE(A49763,""en"",""pt"")"),"barato, rápido, saída clara")</f>
        <v>barato, rápido, saída clara</v>
      </c>
      <c r="B49763" s="3">
        <v>1</v>
      </c>
    </row>
    <row r="49764" ht="15.75" customHeight="1" spans="1:2">
      <c r="A49764" s="3" t="str">
        <f>IFERROR(__xludf.DUMMYFUNCTION("GOOGLETRANSLATE(A49764,""en"",""pt"")"),"boa Printer")</f>
        <v>boa Printer</v>
      </c>
      <c r="B49764" s="3">
        <v>1</v>
      </c>
    </row>
    <row r="49765" ht="15.75" customHeight="1" spans="1:2">
      <c r="A49765" s="3" t="str">
        <f>IFERROR(__xludf.DUMMYFUNCTION("GOOGLETRANSLATE(A49765,""en"",""pt"")"),"Bom valor, expansível, Fast")</f>
        <v>Bom valor, expansível, Fast</v>
      </c>
      <c r="B49765" s="3">
        <v>1</v>
      </c>
    </row>
    <row r="49766" ht="15.75" customHeight="1" spans="1:2">
      <c r="A49766" s="3" t="str">
        <f>IFERROR(__xludf.DUMMYFUNCTION("GOOGLETRANSLATE(A49766,""en"",""pt"")"),"Texto de qualidade &amp; amp; amp; Preço")</f>
        <v>Texto de qualidade &amp; amp; amp; Preço</v>
      </c>
      <c r="B49766" s="3">
        <v>1</v>
      </c>
    </row>
    <row r="49767" ht="15.75" customHeight="1" spans="1:2">
      <c r="A49767" s="3" t="str">
        <f>IFERROR(__xludf.DUMMYFUNCTION("GOOGLETRANSLATE(A49767,""en"",""pt"")"),"Bom preço, a qualidade está bem.")</f>
        <v>Bom preço, a qualidade está bem.</v>
      </c>
      <c r="B49767" s="3">
        <v>1</v>
      </c>
    </row>
    <row r="49768" ht="15.75" customHeight="1" spans="1:2">
      <c r="A49768" s="3" t="str">
        <f>IFERROR(__xludf.DUMMYFUNCTION("GOOGLETRANSLATE(A49768,""en"",""pt"")"),"Barato")</f>
        <v>Barato</v>
      </c>
      <c r="B49768" s="3">
        <v>1</v>
      </c>
    </row>
    <row r="49769" ht="15.75" customHeight="1" spans="1:2">
      <c r="A49769" s="3" t="str">
        <f>IFERROR(__xludf.DUMMYFUNCTION("GOOGLETRANSLATE(A49769,""en"",""pt"")"),"Barato ... fácil de configurar e usar")</f>
        <v>Barato ... fácil de configurar e usar</v>
      </c>
      <c r="B49769" s="3">
        <v>1</v>
      </c>
    </row>
    <row r="49770" ht="15.75" customHeight="1" spans="1:2">
      <c r="A49770" s="3" t="str">
        <f>IFERROR(__xludf.DUMMYFUNCTION("GOOGLETRANSLATE(A49770,""en"",""pt"")"),"Barato, rápido e confiável")</f>
        <v>Barato, rápido e confiável</v>
      </c>
      <c r="B49770" s="3">
        <v>1</v>
      </c>
    </row>
    <row r="49771" ht="15.75" customHeight="1" spans="1:2">
      <c r="A49771" s="3" t="str">
        <f>IFERROR(__xludf.DUMMYFUNCTION("GOOGLETRANSLATE(A49771,""en"",""pt"")"),", Silencioso, confiável configuração sólida, fácil")</f>
        <v>, Silencioso, confiável configuração sólida, fácil</v>
      </c>
      <c r="B49771" s="3">
        <v>1</v>
      </c>
    </row>
    <row r="49772" ht="15.75" customHeight="1" spans="1:2">
      <c r="A49772" s="3" t="str">
        <f>IFERROR(__xludf.DUMMYFUNCTION("GOOGLETRANSLATE(A49772,""en"",""pt"")"),"ótimo preço para usuários domésticos. Qualidade excelente")</f>
        <v>ótimo preço para usuários domésticos. Qualidade excelente</v>
      </c>
      <c r="B49772" s="3">
        <v>1</v>
      </c>
    </row>
    <row r="49773" ht="15.75" customHeight="1" spans="1:2">
      <c r="A49773" s="3" t="str">
        <f>IFERROR(__xludf.DUMMYFUNCTION("GOOGLETRANSLATE(A49773,""en"",""pt"")"),"NENHUM!!!")</f>
        <v>NENHUM!!!</v>
      </c>
      <c r="B49773" s="3">
        <v>1</v>
      </c>
    </row>
    <row r="49774" ht="15.75" customHeight="1" spans="1:2">
      <c r="A49774" s="3" t="str">
        <f>IFERROR(__xludf.DUMMYFUNCTION("GOOGLETRANSLATE(A49774,""en"",""pt"")"),"Rápido. alta qualidade")</f>
        <v>Rápido. alta qualidade</v>
      </c>
      <c r="B49774" s="3">
        <v>1</v>
      </c>
    </row>
    <row r="49775" ht="15.75" customHeight="1" spans="1:2">
      <c r="A49775" s="3" t="str">
        <f>IFERROR(__xludf.DUMMYFUNCTION("GOOGLETRANSLATE(A49775,""en"",""pt"")"),"Um bom software de alta qualidade, preço imbatível")</f>
        <v>Um bom software de alta qualidade, preço imbatível</v>
      </c>
      <c r="B49775" s="3">
        <v>1</v>
      </c>
    </row>
    <row r="49776" ht="15.75" customHeight="1" spans="1:2">
      <c r="A49776" s="3" t="str">
        <f>IFERROR(__xludf.DUMMYFUNCTION("GOOGLETRANSLATE(A49776,""en"",""pt"")"),"baixos custos de operação; baixo custo de equipamento")</f>
        <v>baixos custos de operação; baixo custo de equipamento</v>
      </c>
      <c r="B49776" s="3">
        <v>1</v>
      </c>
    </row>
    <row r="49777" ht="15.75" customHeight="1" spans="1:2">
      <c r="A49777" s="3" t="str">
        <f>IFERROR(__xludf.DUMMYFUNCTION("GOOGLETRANSLATE(A49777,""en"",""pt"")"),"produto de qualidade, nunca um problema com ele")</f>
        <v>produto de qualidade, nunca um problema com ele</v>
      </c>
      <c r="B49777" s="3">
        <v>1</v>
      </c>
    </row>
    <row r="49778" ht="15.75" customHeight="1" spans="1:2">
      <c r="A49778" s="3" t="str">
        <f>IFERROR(__xludf.DUMMYFUNCTION("GOOGLETRANSLATE(A49778,""en"",""pt"")"),"Rápido, nítidas e claras gráficos")</f>
        <v>Rápido, nítidas e claras gráficos</v>
      </c>
      <c r="B49778" s="3">
        <v>1</v>
      </c>
    </row>
    <row r="49779" ht="15.75" customHeight="1" spans="1:2">
      <c r="A49779" s="3" t="str">
        <f>IFERROR(__xludf.DUMMYFUNCTION("GOOGLETRANSLATE(A49779,""en"",""pt"")"),"Ótimo preço para a qualidade, a impressão clara, muitos tons, user-friendly.")</f>
        <v>Ótimo preço para a qualidade, a impressão clara, muitos tons, user-friendly.</v>
      </c>
      <c r="B49779" s="3">
        <v>1</v>
      </c>
    </row>
    <row r="49780" ht="15.75" customHeight="1" spans="1:2">
      <c r="A49780" s="3" t="str">
        <f>IFERROR(__xludf.DUMMYFUNCTION("GOOGLETRANSLATE(A49780,""en"",""pt"")"),"custos e qualidade de impressão")</f>
        <v>custos e qualidade de impressão</v>
      </c>
      <c r="B49780" s="3">
        <v>1</v>
      </c>
    </row>
    <row r="49781" ht="15.75" customHeight="1" spans="1:2">
      <c r="A49781" s="3" t="str">
        <f>IFERROR(__xludf.DUMMYFUNCTION("GOOGLETRANSLATE(A49781,""en"",""pt"")"),"Preço, toner")</f>
        <v>Preço, toner</v>
      </c>
      <c r="B49781" s="3">
        <v>1</v>
      </c>
    </row>
    <row r="49782" ht="15.75" customHeight="1" spans="1:2">
      <c r="A49782" s="3" t="str">
        <f>IFERROR(__xludf.DUMMYFUNCTION("GOOGLETRANSLATE(A49782,""en"",""pt"")"),"excelente qualidade de impressão")</f>
        <v>excelente qualidade de impressão</v>
      </c>
      <c r="B49782" s="3">
        <v>1</v>
      </c>
    </row>
    <row r="49783" ht="15.75" customHeight="1" spans="1:2">
      <c r="A49783" s="3" t="str">
        <f>IFERROR(__xludf.DUMMYFUNCTION("GOOGLETRANSLATE(A49783,""en"",""pt"")"),"Texto nítido e gráfico")</f>
        <v>Texto nítido e gráfico</v>
      </c>
      <c r="B49783" s="3">
        <v>1</v>
      </c>
    </row>
    <row r="49784" ht="15.75" customHeight="1" spans="1:2">
      <c r="A49784" s="3" t="str">
        <f>IFERROR(__xludf.DUMMYFUNCTION("GOOGLETRANSLATE(A49784,""en"",""pt"")"),"Preço.")</f>
        <v>Preço.</v>
      </c>
      <c r="B49784" s="3">
        <v>1</v>
      </c>
    </row>
    <row r="49785" ht="15.75" customHeight="1" spans="1:2">
      <c r="A49785" s="3" t="str">
        <f>IFERROR(__xludf.DUMMYFUNCTION("GOOGLETRANSLATE(A49785,""en"",""pt"")"),"preço, desempenho")</f>
        <v>preço, desempenho</v>
      </c>
      <c r="B49785" s="3">
        <v>1</v>
      </c>
    </row>
    <row r="49786" ht="15.75" customHeight="1" spans="1:2">
      <c r="A49786" s="3" t="str">
        <f>IFERROR(__xludf.DUMMYFUNCTION("GOOGLETRANSLATE(A49786,""en"",""pt"")"),"Grande Printer ... confiável e de impressão fantástica")</f>
        <v>Grande Printer ... confiável e de impressão fantástica</v>
      </c>
      <c r="B49786" s="3">
        <v>1</v>
      </c>
    </row>
    <row r="49787" ht="15.75" customHeight="1" spans="1:2">
      <c r="A49787" s="3" t="str">
        <f>IFERROR(__xludf.DUMMYFUNCTION("GOOGLETRANSLATE(A49787,""en"",""pt"")"),"NENHUM")</f>
        <v>NENHUM</v>
      </c>
      <c r="B49787" s="3">
        <v>1</v>
      </c>
    </row>
    <row r="49788" ht="15.75" customHeight="1" spans="1:2">
      <c r="A49788" s="3" t="str">
        <f>IFERROR(__xludf.DUMMYFUNCTION("GOOGLETRANSLATE(A49788,""en"",""pt"")"),"Grande qualidade de impressão, barato, fácil de usar, mais do que suficiente rápido para ambientes SOHO")</f>
        <v>Grande qualidade de impressão, barato, fácil de usar, mais do que suficiente rápido para ambientes SOHO</v>
      </c>
      <c r="B49788" s="3">
        <v>1</v>
      </c>
    </row>
    <row r="49789" ht="15.75" customHeight="1" spans="1:2">
      <c r="A49789" s="3" t="str">
        <f>IFERROR(__xludf.DUMMYFUNCTION("GOOGLETRANSLATE(A49789,""en"",""pt"")"),"Rápido, de boa qualidade, fácil de configurar e usar, e a &amp; lt; i &amp; gt; fantástica &amp; lt; / i &amp; gt; Print Driver para Win98")</f>
        <v>Rápido, de boa qualidade, fácil de configurar e usar, e a &amp; lt; i &amp; gt; fantástica &amp; lt; / i &amp; gt; Print Driver para Win98</v>
      </c>
      <c r="B49789" s="3">
        <v>1</v>
      </c>
    </row>
    <row r="49790" ht="15.75" customHeight="1" spans="1:2">
      <c r="A49790" s="3" t="str">
        <f>IFERROR(__xludf.DUMMYFUNCTION("GOOGLETRANSLATE(A49790,""en"",""pt"")"),"ótimo para o usuário doméstico")</f>
        <v>ótimo para o usuário doméstico</v>
      </c>
      <c r="B49790" s="3">
        <v>1</v>
      </c>
    </row>
    <row r="49791" ht="15.75" customHeight="1" spans="1:2">
      <c r="A49791" s="3" t="str">
        <f>IFERROR(__xludf.DUMMYFUNCTION("GOOGLETRANSLATE(A49791,""en"",""pt"")"),"Confiável, de boa qualidade de saída, velocidade aceitável")</f>
        <v>Confiável, de boa qualidade de saída, velocidade aceitável</v>
      </c>
      <c r="B49791" s="3">
        <v>1</v>
      </c>
    </row>
    <row r="49792" ht="15.75" customHeight="1" spans="1:2">
      <c r="A49792" s="3" t="str">
        <f>IFERROR(__xludf.DUMMYFUNCTION("GOOGLETRANSLATE(A49792,""en"",""pt"")"),"Rápido e nítidas para o dinheiro. raramente compotas")</f>
        <v>Rápido e nítidas para o dinheiro. raramente compotas</v>
      </c>
      <c r="B49792" s="3">
        <v>1</v>
      </c>
    </row>
    <row r="49793" ht="15.75" customHeight="1" spans="1:2">
      <c r="A49793" s="3" t="str">
        <f>IFERROR(__xludf.DUMMYFUNCTION("GOOGLETRANSLATE(A49793,""en"",""pt"")"),"Boa qualidade de impressão. Muitos impressão apresenta.")</f>
        <v>Boa qualidade de impressão. Muitos impressão apresenta.</v>
      </c>
      <c r="B49793" s="3">
        <v>1</v>
      </c>
    </row>
    <row r="49794" ht="15.75" customHeight="1" spans="1:2">
      <c r="A49794" s="3" t="str">
        <f>IFERROR(__xludf.DUMMYFUNCTION("GOOGLETRANSLATE(A49794,""en"",""pt"")"),"Boas características, mais barato que a maioria das câmeras.")</f>
        <v>Boas características, mais barato que a maioria das câmeras.</v>
      </c>
      <c r="B49794" s="3">
        <v>1</v>
      </c>
    </row>
    <row r="49795" ht="15.75" customHeight="1" spans="1:2">
      <c r="A49795" s="3" t="str">
        <f>IFERROR(__xludf.DUMMYFUNCTION("GOOGLETRANSLATE(A49795,""en"",""pt"")"),"Boa qualidade de imagem, preço, grande macro, cores maravilhosas")</f>
        <v>Boa qualidade de imagem, preço, grande macro, cores maravilhosas</v>
      </c>
      <c r="B49795" s="3">
        <v>1</v>
      </c>
    </row>
    <row r="49796" ht="15.75" customHeight="1" spans="1:2">
      <c r="A49796" s="3" t="str">
        <f>IFERROR(__xludf.DUMMYFUNCTION("GOOGLETRANSLATE(A49796,""en"",""pt"")"),"Imagem de qualidade, preço, Zoom, tamanho compacto")</f>
        <v>Imagem de qualidade, preço, Zoom, tamanho compacto</v>
      </c>
      <c r="B49796" s="3">
        <v>1</v>
      </c>
    </row>
    <row r="49797" ht="15.75" customHeight="1" spans="1:2">
      <c r="A49797" s="3" t="str">
        <f>IFERROR(__xludf.DUMMYFUNCTION("GOOGLETRANSLATE(A49797,""en"",""pt"")"),"Fácil de usar")</f>
        <v>Fácil de usar</v>
      </c>
      <c r="B49797" s="3">
        <v>1</v>
      </c>
    </row>
    <row r="49798" ht="15.75" customHeight="1" spans="1:2">
      <c r="A49798" s="3" t="str">
        <f>IFERROR(__xludf.DUMMYFUNCTION("GOOGLETRANSLATE(A49798,""en"",""pt"")"),"Conjunto de recursos,, Zoom, pilhas AA Macro")</f>
        <v>Conjunto de recursos,, Zoom, pilhas AA Macro</v>
      </c>
      <c r="B49798" s="3">
        <v>1</v>
      </c>
    </row>
    <row r="49799" ht="15.75" customHeight="1" spans="1:2">
      <c r="A49799" s="3" t="str">
        <f>IFERROR(__xludf.DUMMYFUNCTION("GOOGLETRANSLATE(A49799,""en"",""pt"")"),"Pequeno, tela de boa")</f>
        <v>Pequeno, tela de boa</v>
      </c>
      <c r="B49799" s="3">
        <v>1</v>
      </c>
    </row>
    <row r="49800" ht="15.75" customHeight="1" spans="1:2">
      <c r="A49800" s="3" t="str">
        <f>IFERROR(__xludf.DUMMYFUNCTION("GOOGLETRANSLATE(A49800,""en"",""pt"")"),"Muito fácil de usar, boa faixa de zoom, fácil de se conectar ao computador")</f>
        <v>Muito fácil de usar, boa faixa de zoom, fácil de se conectar ao computador</v>
      </c>
      <c r="B49800" s="3">
        <v>1</v>
      </c>
    </row>
    <row r="49801" ht="15.75" customHeight="1" spans="1:2">
      <c r="A49801" s="3" t="str">
        <f>IFERROR(__xludf.DUMMYFUNCTION("GOOGLETRANSLATE(A49801,""en"",""pt"")"),"Pequeno, boas fotos, as opções padrão funcionam bem")</f>
        <v>Pequeno, boas fotos, as opções padrão funcionam bem</v>
      </c>
      <c r="B49801" s="3">
        <v>1</v>
      </c>
    </row>
    <row r="49802" ht="15.75" customHeight="1" spans="1:2">
      <c r="A49802" s="3" t="str">
        <f>IFERROR(__xludf.DUMMYFUNCTION("GOOGLETRANSLATE(A49802,""en"",""pt"")"),"Fácil transferência de fotos.")</f>
        <v>Fácil transferência de fotos.</v>
      </c>
      <c r="B49802" s="3">
        <v>1</v>
      </c>
    </row>
    <row r="49803" ht="15.75" customHeight="1" spans="1:2">
      <c r="A49803" s="3" t="str">
        <f>IFERROR(__xludf.DUMMYFUNCTION("GOOGLETRANSLATE(A49803,""en"",""pt"")"),"grande zoom, ótimo preço, fácil de usar, zoom óptico 3x, bons marco fotos")</f>
        <v>grande zoom, ótimo preço, fácil de usar, zoom óptico 3x, bons marco fotos</v>
      </c>
      <c r="B49803" s="3">
        <v>1</v>
      </c>
    </row>
    <row r="49804" ht="15.75" customHeight="1" spans="1:2">
      <c r="A49804" s="3" t="str">
        <f>IFERROR(__xludf.DUMMYFUNCTION("GOOGLETRANSLATE(A49804,""en"",""pt"")"),"Barato, boa qualidade de imagem, zoom")</f>
        <v>Barato, boa qualidade de imagem, zoom</v>
      </c>
      <c r="B49804" s="3">
        <v>1</v>
      </c>
    </row>
    <row r="49805" ht="15.75" customHeight="1" spans="1:2">
      <c r="A49805" s="3" t="str">
        <f>IFERROR(__xludf.DUMMYFUNCTION("GOOGLETRANSLATE(A49805,""en"",""pt"")"),"design muito compacto, excelente qualidade de imagem.")</f>
        <v>design muito compacto, excelente qualidade de imagem.</v>
      </c>
      <c r="B49805" s="3">
        <v>1</v>
      </c>
    </row>
    <row r="49806" ht="15.75" customHeight="1" spans="1:2">
      <c r="A49806" s="3" t="str">
        <f>IFERROR(__xludf.DUMMYFUNCTION("GOOGLETRANSLATE(A49806,""en"",""pt"")"),"Muito pequeno design compacto, o tempo de resposta rápida do obturador, grandes fotos de qualidade.")</f>
        <v>Muito pequeno design compacto, o tempo de resposta rápida do obturador, grandes fotos de qualidade.</v>
      </c>
      <c r="B49806" s="3">
        <v>1</v>
      </c>
    </row>
    <row r="49807" ht="15.75" customHeight="1" spans="1:2">
      <c r="A49807" s="3" t="str">
        <f>IFERROR(__xludf.DUMMYFUNCTION("GOOGLETRANSLATE(A49807,""en"",""pt"")"),"pequenos / compacto, os lotes de retorno para os investimentos, muitas características interessantes")</f>
        <v>pequenos / compacto, os lotes de retorno para os investimentos, muitas características interessantes</v>
      </c>
      <c r="B49807" s="3">
        <v>1</v>
      </c>
    </row>
    <row r="49808" ht="15.75" customHeight="1" spans="1:2">
      <c r="A49808" s="3" t="str">
        <f>IFERROR(__xludf.DUMMYFUNCTION("GOOGLETRANSLATE(A49808,""en"",""pt"")"),"Tamanho compacto, boa qualidade de imagem, grande valor.")</f>
        <v>Tamanho compacto, boa qualidade de imagem, grande valor.</v>
      </c>
      <c r="B49808" s="3">
        <v>1</v>
      </c>
    </row>
    <row r="49809" ht="15.75" customHeight="1" spans="1:2">
      <c r="A49809" s="3" t="str">
        <f>IFERROR(__xludf.DUMMYFUNCTION("GOOGLETRANSLATE(A49809,""en"",""pt"")"),"Leva incrível pictures..Clear, muito handy..Small e compact..Affordable price..Awesome zoom")</f>
        <v>Leva incrível pictures..Clear, muito handy..Small e compact..Affordable price..Awesome zoom</v>
      </c>
      <c r="B49809" s="3">
        <v>1</v>
      </c>
    </row>
    <row r="49810" ht="15.75" customHeight="1" spans="1:2">
      <c r="A49810" s="3" t="str">
        <f>IFERROR(__xludf.DUMMYFUNCTION("GOOGLETRANSLATE(A49810,""en"",""pt"")"),"Tamanho, peso leve, fotos de qualidade, modos de imagem")</f>
        <v>Tamanho, peso leve, fotos de qualidade, modos de imagem</v>
      </c>
      <c r="B49810" s="3">
        <v>1</v>
      </c>
    </row>
    <row r="49811" ht="15.75" customHeight="1" spans="1:2">
      <c r="A49811" s="3" t="str">
        <f>IFERROR(__xludf.DUMMYFUNCTION("GOOGLETRANSLATE(A49811,""en"",""pt"")"),"Barato / fotos Qualidade / características úteis não encontrado na maioria das câmeras na faixa $$ / simples de usar.")</f>
        <v>Barato / fotos Qualidade / características úteis não encontrado na maioria das câmeras na faixa $$ / simples de usar.</v>
      </c>
      <c r="B49811" s="3">
        <v>1</v>
      </c>
    </row>
    <row r="49812" ht="15.75" customHeight="1" spans="1:2">
      <c r="A49812" s="3" t="str">
        <f>IFERROR(__xludf.DUMMYFUNCTION("GOOGLETRANSLATE(A49812,""en"",""pt"")"),"preço, zoom óptico 3x, boas características, facilidade de uso, facilidade botões navegáveis, compacto, qualidade de imagem")</f>
        <v>preço, zoom óptico 3x, boas características, facilidade de uso, facilidade botões navegáveis, compacto, qualidade de imagem</v>
      </c>
      <c r="B49812" s="3">
        <v>1</v>
      </c>
    </row>
    <row r="49813" ht="15.75" customHeight="1" spans="1:2">
      <c r="A49813" s="3" t="str">
        <f>IFERROR(__xludf.DUMMYFUNCTION("GOOGLETRANSLATE(A49813,""en"",""pt"")"),"Compact, puro design de nova lente giratória, barato, excelente medição,")</f>
        <v>Compact, puro design de nova lente giratória, barato, excelente medição,</v>
      </c>
      <c r="B49813" s="3">
        <v>1</v>
      </c>
    </row>
    <row r="49814" ht="15.75" customHeight="1" spans="1:2">
      <c r="A49814" s="3" t="str">
        <f>IFERROR(__xludf.DUMMYFUNCTION("GOOGLETRANSLATE(A49814,""en"",""pt"")"),"Nice, imagens, imagem Modos, Temporizador, Grande Vida útil da bateria")</f>
        <v>Nice, imagens, imagem Modos, Temporizador, Grande Vida útil da bateria</v>
      </c>
      <c r="B49814" s="3">
        <v>1</v>
      </c>
    </row>
    <row r="49815" ht="15.75" customHeight="1" spans="1:2">
      <c r="A49815" s="3" t="str">
        <f>IFERROR(__xludf.DUMMYFUNCTION("GOOGLETRANSLATE(A49815,""en"",""pt"")"),"Facilidade de uso, tamanho, ótimas fotos, design legal")</f>
        <v>Facilidade de uso, tamanho, ótimas fotos, design legal</v>
      </c>
      <c r="B49815" s="3">
        <v>1</v>
      </c>
    </row>
    <row r="49816" ht="15.75" customHeight="1" spans="1:2">
      <c r="A49816" s="3" t="str">
        <f>IFERROR(__xludf.DUMMYFUNCTION("GOOGLETRANSLATE(A49816,""en"",""pt"")"),", Câmera luz easy-to-use digital com grande resolução")</f>
        <v>, Câmera luz easy-to-use digital com grande resolução</v>
      </c>
      <c r="B49816" s="3">
        <v>1</v>
      </c>
    </row>
    <row r="49817" ht="15.75" customHeight="1" spans="1:2">
      <c r="A49817" s="3" t="str">
        <f>IFERROR(__xludf.DUMMYFUNCTION("GOOGLETRANSLATE(A49817,""en"",""pt"")"),"Bom modo automático, características agradáveis ​​e fáceis de usar")</f>
        <v>Bom modo automático, características agradáveis ​​e fáceis de usar</v>
      </c>
      <c r="B49817" s="3">
        <v>1</v>
      </c>
    </row>
    <row r="49818" ht="15.75" customHeight="1" spans="1:2">
      <c r="A49818" s="3" t="str">
        <f>IFERROR(__xludf.DUMMYFUNCTION("GOOGLETRANSLATE(A49818,""en"",""pt"")"),"Limpar Shots")</f>
        <v>Limpar Shots</v>
      </c>
      <c r="B49818" s="3">
        <v>1</v>
      </c>
    </row>
    <row r="49819" ht="15.75" customHeight="1" spans="1:2">
      <c r="A49819" s="3" t="str">
        <f>IFERROR(__xludf.DUMMYFUNCTION("GOOGLETRANSLATE(A49819,""en"",""pt"")"),"Fácil de usar, excelente qualidade das imagens, vida da bateria é boa, tem um modo de vídeo!")</f>
        <v>Fácil de usar, excelente qualidade das imagens, vida da bateria é boa, tem um modo de vídeo!</v>
      </c>
      <c r="B49819" s="3">
        <v>1</v>
      </c>
    </row>
    <row r="49820" ht="15.75" customHeight="1" spans="1:2">
      <c r="A49820" s="3" t="str">
        <f>IFERROR(__xludf.DUMMYFUNCTION("GOOGLETRANSLATE(A49820,""en"",""pt"")"),"qualidade de imagem, modo macro, facilidade de uso, a vida da bateria, parece legal")</f>
        <v>qualidade de imagem, modo macro, facilidade de uso, a vida da bateria, parece legal</v>
      </c>
      <c r="B49820" s="3">
        <v>1</v>
      </c>
    </row>
    <row r="49821" ht="15.75" customHeight="1" spans="1:2">
      <c r="A49821" s="3" t="str">
        <f>IFERROR(__xludf.DUMMYFUNCTION("GOOGLETRANSLATE(A49821,""en"",""pt"")"),"Fácil de tirar belas fotos, simples de carga para um computador.")</f>
        <v>Fácil de tirar belas fotos, simples de carga para um computador.</v>
      </c>
      <c r="B49821" s="3">
        <v>1</v>
      </c>
    </row>
    <row r="49822" ht="15.75" customHeight="1" spans="1:2">
      <c r="A49822" s="3" t="str">
        <f>IFERROR(__xludf.DUMMYFUNCTION("GOOGLETRANSLATE(A49822,""en"",""pt"")"),"Pequeno, lente giratória.")</f>
        <v>Pequeno, lente giratória.</v>
      </c>
      <c r="B49822" s="3">
        <v>1</v>
      </c>
    </row>
    <row r="49823" ht="15.75" customHeight="1" spans="1:2">
      <c r="A49823" s="3" t="str">
        <f>IFERROR(__xludf.DUMMYFUNCTION("GOOGLETRANSLATE(A49823,""en"",""pt"")"),"Fácil de usar, elegante &amp; amp; design único, lente giratória, recurso de ""cena""")</f>
        <v>Fácil de usar, elegante &amp; amp; design único, lente giratória, recurso de "cena"</v>
      </c>
      <c r="B49823" s="3">
        <v>1</v>
      </c>
    </row>
    <row r="49824" ht="15.75" customHeight="1" spans="1:2">
      <c r="A49824" s="3" t="str">
        <f>IFERROR(__xludf.DUMMYFUNCTION("GOOGLETRANSLATE(A49824,""en"",""pt"")"),"Fácil de usar, parece bom, lense móvel,")</f>
        <v>Fácil de usar, parece bom, lense móvel,</v>
      </c>
      <c r="B49824" s="3">
        <v>1</v>
      </c>
    </row>
    <row r="49825" ht="15.75" customHeight="1" spans="1:2">
      <c r="A49825" s="3" t="str">
        <f>IFERROR(__xludf.DUMMYFUNCTION("GOOGLETRANSLATE(A49825,""en"",""pt"")"),"Tamanho, peso, lcd aleta, cartão de memória flash compacto")</f>
        <v>Tamanho, peso, lcd aleta, cartão de memória flash compacto</v>
      </c>
      <c r="B49825" s="3">
        <v>1</v>
      </c>
    </row>
    <row r="49826" ht="15.75" customHeight="1" spans="1:2">
      <c r="A49826" s="3" t="str">
        <f>IFERROR(__xludf.DUMMYFUNCTION("GOOGLETRANSLATE(A49826,""en"",""pt"")"),"Compacto, fácil de usar, e tem grande instantâneos")</f>
        <v>Compacto, fácil de usar, e tem grande instantâneos</v>
      </c>
      <c r="B49826" s="3">
        <v>1</v>
      </c>
    </row>
    <row r="49827" ht="15.75" customHeight="1" spans="1:2">
      <c r="A49827" s="3" t="str">
        <f>IFERROR(__xludf.DUMMYFUNCTION("GOOGLETRANSLATE(A49827,""en"",""pt"")"),"Lotes de modos de cena, grandes imagens ao ar livre")</f>
        <v>Lotes de modos de cena, grandes imagens ao ar livre</v>
      </c>
      <c r="B49827" s="3">
        <v>1</v>
      </c>
    </row>
    <row r="49828" ht="15.75" customHeight="1" spans="1:2">
      <c r="A49828" s="3" t="str">
        <f>IFERROR(__xludf.DUMMYFUNCTION("GOOGLETRANSLATE(A49828,""en"",""pt"")"),"ac carregador de bateria incluída, uploads fáceis w / pc adaptador de cartão, cabe no bolso")</f>
        <v>ac carregador de bateria incluída, uploads fáceis w / pc adaptador de cartão, cabe no bolso</v>
      </c>
      <c r="B49828" s="3">
        <v>1</v>
      </c>
    </row>
    <row r="49829" ht="15.75" customHeight="1" spans="1:2">
      <c r="A49829" s="3" t="str">
        <f>IFERROR(__xludf.DUMMYFUNCTION("GOOGLETRANSLATE(A49829,""en"",""pt"")"),"A len que ""rotate"", peso leve, 12 modos de cena para escolher")</f>
        <v>A len que "rotate", peso leve, 12 modos de cena para escolher</v>
      </c>
      <c r="B49829" s="3">
        <v>1</v>
      </c>
    </row>
    <row r="49830" ht="15.75" customHeight="1" spans="1:2">
      <c r="A49830" s="3" t="str">
        <f>IFERROR(__xludf.DUMMYFUNCTION("GOOGLETRANSLATE(A49830,""en"",""pt"")"),"tamanho pequeno, fácil auto-retratos com de 360 ​​graus lente de giro, bastante simples de usar, bom preço")</f>
        <v>tamanho pequeno, fácil auto-retratos com de 360 ​​graus lente de giro, bastante simples de usar, bom preço</v>
      </c>
      <c r="B49830" s="3">
        <v>1</v>
      </c>
    </row>
    <row r="49831" ht="15.75" customHeight="1" spans="1:2">
      <c r="A49831" s="3" t="str">
        <f>IFERROR(__xludf.DUMMYFUNCTION("GOOGLETRANSLATE(A49831,""en"",""pt"")"),"Muitos recursos, compacto, qualidade de imagem decente")</f>
        <v>Muitos recursos, compacto, qualidade de imagem decente</v>
      </c>
      <c r="B49831" s="3">
        <v>1</v>
      </c>
    </row>
    <row r="49832" ht="15.75" customHeight="1" spans="1:2">
      <c r="A49832" s="3" t="str">
        <f>IFERROR(__xludf.DUMMYFUNCTION("GOOGLETRANSLATE(A49832,""en"",""pt"")"),"Ótima câmera pequena com uma interface boa usuário.")</f>
        <v>Ótima câmera pequena com uma interface boa usuário.</v>
      </c>
      <c r="B49832" s="3">
        <v>1</v>
      </c>
    </row>
    <row r="49833" ht="15.75" customHeight="1" spans="1:2">
      <c r="A49833" s="3" t="str">
        <f>IFERROR(__xludf.DUMMYFUNCTION("GOOGLETRANSLATE(A49833,""en"",""pt"")"),"tiros movimento. Auto-foco. Pequeno. O visor é legal. Fácil de trabalhar.")</f>
        <v>tiros movimento. Auto-foco. Pequeno. O visor é legal. Fácil de trabalhar.</v>
      </c>
      <c r="B49833" s="3">
        <v>1</v>
      </c>
    </row>
    <row r="49834" ht="15.75" customHeight="1" spans="1:2">
      <c r="A49834" s="3" t="str">
        <f>IFERROR(__xludf.DUMMYFUNCTION("GOOGLETRANSLATE(A49834,""en"",""pt"")"),"Muito se refrescar que procuram., De boa qualidade de imagem")</f>
        <v>Muito se refrescar que procuram., De boa qualidade de imagem</v>
      </c>
      <c r="B49834" s="3">
        <v>1</v>
      </c>
    </row>
    <row r="49835" ht="15.75" customHeight="1" spans="1:2">
      <c r="A49835" s="3" t="str">
        <f>IFERROR(__xludf.DUMMYFUNCTION("GOOGLETRANSLATE(A49835,""en"",""pt"")"),"Incrivelmente nítidas fotos ao ar livre, grande perto e zoom, boa ergonomia")</f>
        <v>Incrivelmente nítidas fotos ao ar livre, grande perto e zoom, boa ergonomia</v>
      </c>
      <c r="B49835" s="3">
        <v>1</v>
      </c>
    </row>
    <row r="49836" ht="15.75" customHeight="1" spans="1:2">
      <c r="A49836" s="3" t="str">
        <f>IFERROR(__xludf.DUMMYFUNCTION("GOOGLETRANSLATE(A49836,""en"",""pt"")"),"Pequeno. Arrefecer lente giratória.")</f>
        <v>Pequeno. Arrefecer lente giratória.</v>
      </c>
      <c r="B49836" s="3">
        <v>1</v>
      </c>
    </row>
    <row r="49837" ht="15.75" customHeight="1" spans="1:2">
      <c r="A49837" s="3" t="str">
        <f>IFERROR(__xludf.DUMMYFUNCTION("GOOGLETRANSLATE(A49837,""en"",""pt"")"),"Conveniente, fácil de usar, boas opções de lente giratória, resultados respeitáveis ​​em geral.")</f>
        <v>Conveniente, fácil de usar, boas opções de lente giratória, resultados respeitáveis ​​em geral.</v>
      </c>
      <c r="B49837" s="3">
        <v>1</v>
      </c>
    </row>
    <row r="49838" ht="15.75" customHeight="1" spans="1:2">
      <c r="A49838" s="3" t="str">
        <f>IFERROR(__xludf.DUMMYFUNCTION("GOOGLETRANSLATE(A49838,""en"",""pt"")"),"Pequeno, memória CF, bateria recarregável, imagens agradáveis ​​em boa luz, design compacto pequeno")</f>
        <v>Pequeno, memória CF, bateria recarregável, imagens agradáveis ​​em boa luz, design compacto pequeno</v>
      </c>
      <c r="B49838" s="3">
        <v>1</v>
      </c>
    </row>
    <row r="49839" ht="15.75" customHeight="1" spans="1:2">
      <c r="A49839" s="3" t="str">
        <f>IFERROR(__xludf.DUMMYFUNCTION("GOOGLETRANSLATE(A49839,""en"",""pt"")"),"Pequeno, arrefecer lente giratória, fotos de qualidade, fácil de usar")</f>
        <v>Pequeno, arrefecer lente giratória, fotos de qualidade, fácil de usar</v>
      </c>
      <c r="B49839" s="3">
        <v>1</v>
      </c>
    </row>
    <row r="49840" ht="15.75" customHeight="1" spans="1:2">
      <c r="A49840" s="3" t="str">
        <f>IFERROR(__xludf.DUMMYFUNCTION("GOOGLETRANSLATE(A49840,""en"",""pt"")"),"Ótima câmera, não custa muito, Toma filmes, muitas cenas de disparo")</f>
        <v>Ótima câmera, não custa muito, Toma filmes, muitas cenas de disparo</v>
      </c>
      <c r="B49840" s="3">
        <v>1</v>
      </c>
    </row>
    <row r="49841" ht="15.75" customHeight="1" spans="1:2">
      <c r="A49841" s="3" t="str">
        <f>IFERROR(__xludf.DUMMYFUNCTION("GOOGLETRANSLATE(A49841,""en"",""pt"")"),"Compacto, o valor, resolução")</f>
        <v>Compacto, o valor, resolução</v>
      </c>
      <c r="B49841" s="3">
        <v>1</v>
      </c>
    </row>
    <row r="49842" ht="15.75" customHeight="1" spans="1:2">
      <c r="A49842" s="3" t="str">
        <f>IFERROR(__xludf.DUMMYFUNCTION("GOOGLETRANSLATE(A49842,""en"",""pt"")"),"lente giratória, leve, modo de filme, zoom óptico 3x, inovador e elegante design")</f>
        <v>lente giratória, leve, modo de filme, zoom óptico 3x, inovador e elegante design</v>
      </c>
      <c r="B49842" s="3">
        <v>1</v>
      </c>
    </row>
    <row r="49843" ht="15.75" customHeight="1" spans="1:2">
      <c r="A49843" s="3" t="str">
        <f>IFERROR(__xludf.DUMMYFUNCTION("GOOGLETRANSLATE(A49843,""en"",""pt"")"),"ótimo para olhar, incrivelmente fácil de usar, tamanho compacto agradável")</f>
        <v>ótimo para olhar, incrivelmente fácil de usar, tamanho compacto agradável</v>
      </c>
      <c r="B49843" s="3">
        <v>1</v>
      </c>
    </row>
    <row r="49844" ht="15.75" customHeight="1" spans="1:2">
      <c r="A49844" s="3" t="str">
        <f>IFERROR(__xludf.DUMMYFUNCTION("GOOGLETRANSLATE(A49844,""en"",""pt"")"),"Menor Preço, de boa qualidade")</f>
        <v>Menor Preço, de boa qualidade</v>
      </c>
      <c r="B49844" s="3">
        <v>1</v>
      </c>
    </row>
    <row r="49845" ht="15.75" customHeight="1" spans="1:2">
      <c r="A49845" s="3" t="str">
        <f>IFERROR(__xludf.DUMMYFUNCTION("GOOGLETRANSLATE(A49845,""en"",""pt"")"),"Folding lentes evita arranhões. Fácil e foto-taking preciso. Inexpesive.")</f>
        <v>Folding lentes evita arranhões. Fácil e foto-taking preciso. Inexpesive.</v>
      </c>
      <c r="B49845" s="3">
        <v>1</v>
      </c>
    </row>
    <row r="49846" ht="15.75" customHeight="1" spans="1:2">
      <c r="A49846" s="3" t="str">
        <f>IFERROR(__xludf.DUMMYFUNCTION("GOOGLETRANSLATE(A49846,""en"",""pt"")"),"Built-in One-Touch botão Upload; lente interna-giratória; preço acessível, a gravação do filme de 15 minutos")</f>
        <v>Built-in One-Touch botão Upload; lente interna-giratória; preço acessível, a gravação do filme de 15 minutos</v>
      </c>
      <c r="B49846" s="3">
        <v>1</v>
      </c>
    </row>
    <row r="49847" ht="15.75" customHeight="1" spans="1:2">
      <c r="A49847" s="3" t="str">
        <f>IFERROR(__xludf.DUMMYFUNCTION("GOOGLETRANSLATE(A49847,""en"",""pt"")"),"Filme pode ser filmado em 3 tipos: B / W, septia e cor.")</f>
        <v>Filme pode ser filmado em 3 tipos: B / W, septia e cor.</v>
      </c>
      <c r="B49847" s="3">
        <v>1</v>
      </c>
    </row>
    <row r="49848" ht="15.75" customHeight="1" spans="1:2">
      <c r="A49848" s="3" t="str">
        <f>IFERROR(__xludf.DUMMYFUNCTION("GOOGLETRANSLATE(A49848,""en"",""pt"")"),"Tamanho compacto, elegante, design ergonômico, 14 modos de cena, incrível função macro.")</f>
        <v>Tamanho compacto, elegante, design ergonômico, 14 modos de cena, incrível função macro.</v>
      </c>
      <c r="B49848" s="3">
        <v>1</v>
      </c>
    </row>
    <row r="49849" ht="15.75" customHeight="1" spans="1:2">
      <c r="A49849" s="3" t="str">
        <f>IFERROR(__xludf.DUMMYFUNCTION("GOOGLETRANSLATE(A49849,""en"",""pt"")"),"Excelente função macro, excelente câmera para o preço &amp; amp; características, qualidade de construção")</f>
        <v>Excelente função macro, excelente câmera para o preço &amp; amp; características, qualidade de construção</v>
      </c>
      <c r="B49849" s="3">
        <v>1</v>
      </c>
    </row>
    <row r="49850" ht="15.75" customHeight="1" spans="1:2">
      <c r="A49850" s="3" t="str">
        <f>IFERROR(__xludf.DUMMYFUNCTION("GOOGLETRANSLATE(A49850,""en"",""pt"")"),"pequena câmera! grandes lentes e megapixels para dinheiro")</f>
        <v>pequena câmera! grandes lentes e megapixels para dinheiro</v>
      </c>
      <c r="B49850" s="3">
        <v>1</v>
      </c>
    </row>
    <row r="49851" ht="15.75" customHeight="1" spans="1:2">
      <c r="A49851" s="3" t="str">
        <f>IFERROR(__xludf.DUMMYFUNCTION("GOOGLETRANSLATE(A49851,""en"",""pt"")"),"O tamanho pequeno, lotes de características, imagens nítidas e claras")</f>
        <v>O tamanho pequeno, lotes de características, imagens nítidas e claras</v>
      </c>
      <c r="B49851" s="3">
        <v>1</v>
      </c>
    </row>
    <row r="49852" ht="15.75" customHeight="1" spans="1:2">
      <c r="A49852" s="3" t="str">
        <f>IFERROR(__xludf.DUMMYFUNCTION("GOOGLETRANSLATE(A49852,""en"",""pt"")"),"Bom preço, excelente Pictures")</f>
        <v>Bom preço, excelente Pictures</v>
      </c>
      <c r="B49852" s="3">
        <v>1</v>
      </c>
    </row>
    <row r="49853" ht="15.75" customHeight="1" spans="1:2">
      <c r="A49853" s="3" t="str">
        <f>IFERROR(__xludf.DUMMYFUNCTION("GOOGLETRANSLATE(A49853,""en"",""pt"")"),"Claro, fácil de usar, muitas configurações")</f>
        <v>Claro, fácil de usar, muitas configurações</v>
      </c>
      <c r="B49853" s="3">
        <v>1</v>
      </c>
    </row>
    <row r="49854" ht="15.75" customHeight="1" spans="1:2">
      <c r="A49854" s="3" t="str">
        <f>IFERROR(__xludf.DUMMYFUNCTION("GOOGLETRANSLATE(A49854,""en"",""pt"")"),"Pequeno, Boa Zoom, imagens nítidas, bom preço.")</f>
        <v>Pequeno, Boa Zoom, imagens nítidas, bom preço.</v>
      </c>
      <c r="B49854" s="3">
        <v>1</v>
      </c>
    </row>
    <row r="49855" ht="15.75" customHeight="1" spans="1:2">
      <c r="A49855" s="3" t="str">
        <f>IFERROR(__xludf.DUMMYFUNCTION("GOOGLETRANSLATE(A49855,""en"",""pt"")"),"MINÚSCULO. Boa qualidade de imagem. Boas Presets. Muito fácil de usar.")</f>
        <v>MINÚSCULO. Boa qualidade de imagem. Boas Presets. Muito fácil de usar.</v>
      </c>
      <c r="B49855" s="3">
        <v>1</v>
      </c>
    </row>
    <row r="49856" ht="15.75" customHeight="1" spans="1:2">
      <c r="A49856" s="3" t="str">
        <f>IFERROR(__xludf.DUMMYFUNCTION("GOOGLETRANSLATE(A49856,""en"",""pt"")"),"PointnShoot simplicidade, Matrix Metering, modos de cena incrivelmente flexíveis,")</f>
        <v>PointnShoot simplicidade, Matrix Metering, modos de cena incrivelmente flexíveis,</v>
      </c>
      <c r="B49856" s="3">
        <v>1</v>
      </c>
    </row>
    <row r="49857" ht="15.75" customHeight="1" spans="1:2">
      <c r="A49857" s="3" t="str">
        <f>IFERROR(__xludf.DUMMYFUNCTION("GOOGLETRANSLATE(A49857,""en"",""pt"")"),"Grandes fotos, tamanho pequeno, zoom óptico")</f>
        <v>Grandes fotos, tamanho pequeno, zoom óptico</v>
      </c>
      <c r="B49857" s="3">
        <v>1</v>
      </c>
    </row>
    <row r="49858" ht="15.75" customHeight="1" spans="1:2">
      <c r="A49858" s="3" t="str">
        <f>IFERROR(__xludf.DUMMYFUNCTION("GOOGLETRANSLATE(A49858,""en"",""pt"")")," As opções de aprimoramento são facilmente acessível a partir da própria câmera.")</f>
        <v> As opções de aprimoramento são facilmente acessível a partir da própria câmera.</v>
      </c>
      <c r="B49858" s="3">
        <v>1</v>
      </c>
    </row>
    <row r="49859" ht="15.75" customHeight="1" spans="1:2">
      <c r="A49859" s="3" t="str">
        <f>IFERROR(__xludf.DUMMYFUNCTION("GOOGLETRANSLATE(A49859,""en"",""pt"")"),"Pequeno, leve, fácil de escorregar em um bolso da camisa")</f>
        <v>Pequeno, leve, fácil de escorregar em um bolso da camisa</v>
      </c>
      <c r="B49859" s="3">
        <v>1</v>
      </c>
    </row>
    <row r="49860" ht="15.75" customHeight="1" spans="1:2">
      <c r="A49860" s="3" t="str">
        <f>IFERROR(__xludf.DUMMYFUNCTION("GOOGLETRANSLATE(A49860,""en"",""pt"")"),"Fácil de usar, leva boas fotos sem flash!")</f>
        <v>Fácil de usar, leva boas fotos sem flash!</v>
      </c>
      <c r="B49860" s="3">
        <v>1</v>
      </c>
    </row>
    <row r="49861" ht="15.75" customHeight="1" spans="1:2">
      <c r="A49861" s="3" t="str">
        <f>IFERROR(__xludf.DUMMYFUNCTION("GOOGLETRANSLATE(A49861,""en"",""pt"")"),"De tamanho compacto, fácil de usar, muito versáteis, fotos maravilhosas.")</f>
        <v>De tamanho compacto, fácil de usar, muito versáteis, fotos maravilhosas.</v>
      </c>
      <c r="B49861" s="3">
        <v>1</v>
      </c>
    </row>
    <row r="49862" ht="15.75" customHeight="1" spans="1:2">
      <c r="A49862" s="3" t="str">
        <f>IFERROR(__xludf.DUMMYFUNCTION("GOOGLETRANSLATE(A49862,""en"",""pt"")"),", Design de lente giratória puro compacto, relativamente barato, excelente medição,")</f>
        <v>, Design de lente giratória puro compacto, relativamente barato, excelente medição,</v>
      </c>
      <c r="B49862" s="3">
        <v>1</v>
      </c>
    </row>
    <row r="49863" ht="15.75" customHeight="1" spans="1:2">
      <c r="A49863" s="3" t="str">
        <f>IFERROR(__xludf.DUMMYFUNCTION("GOOGLETRANSLATE(A49863,""en"",""pt"")"),"Fácil de usar, o peso leve, muitas opções, baterias recarregáveis,")</f>
        <v>Fácil de usar, o peso leve, muitas opções, baterias recarregáveis,</v>
      </c>
      <c r="B49863" s="3">
        <v>1</v>
      </c>
    </row>
    <row r="49864" ht="15.75" customHeight="1" spans="1:2">
      <c r="A49864" s="3" t="str">
        <f>IFERROR(__xludf.DUMMYFUNCTION("GOOGLETRANSLATE(A49864,""en"",""pt"")"),"Nikon reputação &amp; amp; experiência passada, Compact, classificação megapixel respeitável, &amp; amp; preço decente!")</f>
        <v>Nikon reputação &amp; amp; experiência passada, Compact, classificação megapixel respeitável, &amp; amp; preço decente!</v>
      </c>
      <c r="B49864" s="3">
        <v>1</v>
      </c>
    </row>
    <row r="49865" ht="15.75" customHeight="1" spans="1:2">
      <c r="A49865" s="3" t="str">
        <f>IFERROR(__xludf.DUMMYFUNCTION("GOOGLETRANSLATE(A49865,""en"",""pt"")"),"Esta câmera resistente e leve pode levar qualidade fotos e vídeo de você e outros.")</f>
        <v>Esta câmera resistente e leve pode levar qualidade fotos e vídeo de você e outros.</v>
      </c>
      <c r="B49865" s="3">
        <v>1</v>
      </c>
    </row>
    <row r="49866" ht="15.75" customHeight="1" spans="1:2">
      <c r="A49866" s="3" t="str">
        <f>IFERROR(__xludf.DUMMYFUNCTION("GOOGLETRANSLATE(A49866,""en"",""pt"")"),"Grandes fotos, corrige problema de olho vermelho na Coolpix2500, cargas compactas e armazena de fotos")</f>
        <v>Grandes fotos, corrige problema de olho vermelho na Coolpix2500, cargas compactas e armazena de fotos</v>
      </c>
      <c r="B49866" s="3">
        <v>1</v>
      </c>
    </row>
    <row r="49867" ht="15.75" customHeight="1" spans="1:2">
      <c r="A49867" s="3" t="str">
        <f>IFERROR(__xludf.DUMMYFUNCTION("GOOGLETRANSLATE(A49867,""en"",""pt"")"),"Compactar. Boas fotos.")</f>
        <v>Compactar. Boas fotos.</v>
      </c>
      <c r="B49867" s="3">
        <v>1</v>
      </c>
    </row>
    <row r="49868" ht="15.75" customHeight="1" spans="1:2">
      <c r="A49868" s="3" t="str">
        <f>IFERROR(__xludf.DUMMYFUNCTION("GOOGLETRANSLATE(A49868,""en"",""pt"")"),"lente giratória, tamanho compacto")</f>
        <v>lente giratória, tamanho compacto</v>
      </c>
      <c r="B49868" s="3">
        <v>1</v>
      </c>
    </row>
    <row r="49869" ht="15.75" customHeight="1" spans="1:2">
      <c r="A49869" s="3" t="str">
        <f>IFERROR(__xludf.DUMMYFUNCTION("GOOGLETRANSLATE(A49869,""en"",""pt"")"),"Fácil de usar, bom preço, é uma NIKON, excelentes características")</f>
        <v>Fácil de usar, bom preço, é uma NIKON, excelentes características</v>
      </c>
      <c r="B49869" s="3">
        <v>1</v>
      </c>
    </row>
    <row r="49870" ht="15.75" customHeight="1" spans="1:2">
      <c r="A49870" s="3" t="str">
        <f>IFERROR(__xludf.DUMMYFUNCTION("GOOGLETRANSLATE(A49870,""en"",""pt"")"),"4 Megapixels, Brilhante Display, Fácil de usar, recursos avançados, zoom digital de 12x, compacto")</f>
        <v>4 Megapixels, Brilhante Display, Fácil de usar, recursos avançados, zoom digital de 12x, compacto</v>
      </c>
      <c r="B49870" s="3">
        <v>1</v>
      </c>
    </row>
    <row r="49871" ht="15.75" customHeight="1" spans="1:2">
      <c r="A49871" s="3" t="str">
        <f>IFERROR(__xludf.DUMMYFUNCTION("GOOGLETRANSLATE(A49871,""en"",""pt"")"),"Facilidade de utilização, quatro megapixels, preço, tamanho, opções")</f>
        <v>Facilidade de utilização, quatro megapixels, preço, tamanho, opções</v>
      </c>
      <c r="B49871" s="3">
        <v>1</v>
      </c>
    </row>
    <row r="49872" ht="15.75" customHeight="1" spans="1:2">
      <c r="A49872" s="3" t="str">
        <f>IFERROR(__xludf.DUMMYFUNCTION("GOOGLETRANSLATE(A49872,""en"",""pt"")"),"Quatro MegaPixels, excelente 3X Nikkor Zoom, PointnShoot simplicidade e preço,")</f>
        <v>Quatro MegaPixels, excelente 3X Nikkor Zoom, PointnShoot simplicidade e preço,</v>
      </c>
      <c r="B49872" s="3">
        <v>1</v>
      </c>
    </row>
    <row r="49873" ht="15.75" customHeight="1" spans="1:2">
      <c r="A49873" s="3" t="str">
        <f>IFERROR(__xludf.DUMMYFUNCTION("GOOGLETRANSLATE(A49873,""en"",""pt"")"),"Muito fácil de usar")</f>
        <v>Muito fácil de usar</v>
      </c>
      <c r="B49873" s="3">
        <v>1</v>
      </c>
    </row>
    <row r="49874" ht="15.75" customHeight="1" spans="1:2">
      <c r="A49874" s="3" t="str">
        <f>IFERROR(__xludf.DUMMYFUNCTION("GOOGLETRANSLATE(A49874,""en"",""pt"")"),"4 megapixels, capacidade de apontar e disparar, grandes imagens, o Pro / recursos avançados, fácil de usar")</f>
        <v>4 megapixels, capacidade de apontar e disparar, grandes imagens, o Pro / recursos avançados, fácil de usar</v>
      </c>
      <c r="B49874" s="3">
        <v>1</v>
      </c>
    </row>
    <row r="49875" ht="15.75" customHeight="1" spans="1:2">
      <c r="A49875" s="3" t="str">
        <f>IFERROR(__xludf.DUMMYFUNCTION("GOOGLETRANSLATE(A49875,""en"",""pt"")"),"Preço, características, a vida da bateria")</f>
        <v>Preço, características, a vida da bateria</v>
      </c>
      <c r="B49875" s="3">
        <v>1</v>
      </c>
    </row>
    <row r="49876" ht="15.75" customHeight="1" spans="1:2">
      <c r="A49876" s="3" t="str">
        <f>IFERROR(__xludf.DUMMYFUNCTION("GOOGLETRANSLATE(A49876,""en"",""pt"")"),"Fácil de usar. Ótimas fotos mesmo em um quarto muito escuro.")</f>
        <v>Fácil de usar. Ótimas fotos mesmo em um quarto muito escuro.</v>
      </c>
      <c r="B49876" s="3">
        <v>1</v>
      </c>
    </row>
    <row r="49877" ht="15.75" customHeight="1" spans="1:2">
      <c r="A49877" s="3" t="str">
        <f>IFERROR(__xludf.DUMMYFUNCTION("GOOGLETRANSLATE(A49877,""en"",""pt"")"),"pequeno, boa aparência, boa macro e foco automático, disparador rápida, boa visualização da imagem")</f>
        <v>pequeno, boa aparência, boa macro e foco automático, disparador rápida, boa visualização da imagem</v>
      </c>
      <c r="B49877" s="3">
        <v>1</v>
      </c>
    </row>
    <row r="49878" ht="15.75" customHeight="1" spans="1:2">
      <c r="A49878" s="3" t="str">
        <f>IFERROR(__xludf.DUMMYFUNCTION("GOOGLETRANSLATE(A49878,""en"",""pt"")"),"Excelente qualidade de imagem. Nikon Optics., Tamanho compacto.")</f>
        <v>Excelente qualidade de imagem. Nikon Optics., Tamanho compacto.</v>
      </c>
      <c r="B49878" s="3">
        <v>1</v>
      </c>
    </row>
    <row r="49879" ht="15.75" customHeight="1" spans="1:2">
      <c r="A49879" s="3" t="str">
        <f>IFERROR(__xludf.DUMMYFUNCTION("GOOGLETRANSLATE(A49879,""en"",""pt"")"),"Pequeno, bateria recarregável, óptico &amp; amp; zoom digital, cor perfeita, modos manuais")</f>
        <v>Pequeno, bateria recarregável, óptico &amp; amp; zoom digital, cor perfeita, modos manuais</v>
      </c>
      <c r="B49879" s="3">
        <v>1</v>
      </c>
    </row>
    <row r="49880" ht="15.75" customHeight="1" spans="1:2">
      <c r="A49880" s="3" t="str">
        <f>IFERROR(__xludf.DUMMYFUNCTION("GOOGLETRANSLATE(A49880,""en"",""pt"")"),"Fácil de segurar, belas fotos, configuração e documentação simples, durável")</f>
        <v>Fácil de segurar, belas fotos, configuração e documentação simples, durável</v>
      </c>
      <c r="B49880" s="3">
        <v>1</v>
      </c>
    </row>
    <row r="49881" ht="15.75" customHeight="1" spans="1:2">
      <c r="A49881" s="3" t="str">
        <f>IFERROR(__xludf.DUMMYFUNCTION("GOOGLETRANSLATE(A49881,""en"",""pt"")"),"Qualidade. Opções avançadas de manuais. SMALL para seu conjunto de recursos")</f>
        <v>Qualidade. Opções avançadas de manuais. SMALL para seu conjunto de recursos</v>
      </c>
      <c r="B49881" s="3">
        <v>1</v>
      </c>
    </row>
    <row r="49882" ht="15.75" customHeight="1" spans="1:2">
      <c r="A49882" s="3" t="str">
        <f>IFERROR(__xludf.DUMMYFUNCTION("GOOGLETRANSLATE(A49882,""en"",""pt"")"),"cores bonitas, boa macro.")</f>
        <v>cores bonitas, boa macro.</v>
      </c>
      <c r="B49882" s="3">
        <v>1</v>
      </c>
    </row>
    <row r="49883" ht="15.75" customHeight="1" spans="1:2">
      <c r="A49883" s="3" t="str">
        <f>IFERROR(__xludf.DUMMYFUNCTION("GOOGLETRANSLATE(A49883,""en"",""pt"")"),"Preço, qualidade retrato agradável, Compact, Lotes de configurações")</f>
        <v>Preço, qualidade retrato agradável, Compact, Lotes de configurações</v>
      </c>
      <c r="B49883" s="3">
        <v>1</v>
      </c>
    </row>
    <row r="49884" ht="15.75" customHeight="1" spans="1:2">
      <c r="A49884" s="3" t="str">
        <f>IFERROR(__xludf.DUMMYFUNCTION("GOOGLETRANSLATE(A49884,""en"",""pt"")"),"Bom tamanho e sensação, características agradáveis ​​para preço, imagens de qualidade.")</f>
        <v>Bom tamanho e sensação, características agradáveis ​​para preço, imagens de qualidade.</v>
      </c>
      <c r="B49884" s="3">
        <v>1</v>
      </c>
    </row>
    <row r="49885" ht="15.75" customHeight="1" spans="1:2">
      <c r="A49885" s="3" t="str">
        <f>IFERROR(__xludf.DUMMYFUNCTION("GOOGLETRANSLATE(A49885,""en"",""pt"")"),"Crystal Clear LCD, vida útil da bateria decente, impressionante pics, acessível, ergonômico")</f>
        <v>Crystal Clear LCD, vida útil da bateria decente, impressionante pics, acessível, ergonômico</v>
      </c>
      <c r="B49885" s="3">
        <v>1</v>
      </c>
    </row>
    <row r="49886" ht="15.75" customHeight="1" spans="1:2">
      <c r="A49886" s="3" t="str">
        <f>IFERROR(__xludf.DUMMYFUNCTION("GOOGLETRANSLATE(A49886,""en"",""pt"")"),"Auto, pré-definir cenas e modos manuais. bateria recarregável de lítio e carregador incuded. 4 megapixels.")</f>
        <v>Auto, pré-definir cenas e modos manuais. bateria recarregável de lítio e carregador incuded. 4 megapixels.</v>
      </c>
      <c r="B49886" s="3">
        <v>1</v>
      </c>
    </row>
    <row r="49887" ht="15.75" customHeight="1" spans="1:2">
      <c r="A49887" s="3" t="str">
        <f>IFERROR(__xludf.DUMMYFUNCTION("GOOGLETRANSLATE(A49887,""en"",""pt"")"),"4 megapixels, facilidade de uso, excelente reprodução de cores, recursos avançados / pro, preço!")</f>
        <v>4 megapixels, facilidade de uso, excelente reprodução de cores, recursos avançados / pro, preço!</v>
      </c>
      <c r="B49887" s="3">
        <v>1</v>
      </c>
    </row>
    <row r="49888" ht="15.75" customHeight="1" spans="1:2">
      <c r="A49888" s="3" t="str">
        <f>IFERROR(__xludf.DUMMYFUNCTION("GOOGLETRANSLATE(A49888,""en"",""pt"")"),"user-friendly, divertido, leve, fácil de seguir-instruções")</f>
        <v>user-friendly, divertido, leve, fácil de seguir-instruções</v>
      </c>
      <c r="B49888" s="3">
        <v>1</v>
      </c>
    </row>
    <row r="49889" ht="15.75" customHeight="1" spans="1:2">
      <c r="A49889" s="3" t="str">
        <f>IFERROR(__xludf.DUMMYFUNCTION("GOOGLETRANSLATE(A49889,""en"",""pt"")"),"Preço Vs Qualidade")</f>
        <v>Preço Vs Qualidade</v>
      </c>
      <c r="B49889" s="3">
        <v>1</v>
      </c>
    </row>
    <row r="49890" ht="15.75" customHeight="1" spans="1:2">
      <c r="A49890" s="3" t="str">
        <f>IFERROR(__xludf.DUMMYFUNCTION("GOOGLETRANSLATE(A49890,""en"",""pt"")"),"Tantos recursos, fácil de usar, fácil de aprender, ótimo modo automático")</f>
        <v>Tantos recursos, fácil de usar, fácil de aprender, ótimo modo automático</v>
      </c>
      <c r="B49890" s="3">
        <v>1</v>
      </c>
    </row>
    <row r="49891" ht="15.75" customHeight="1" spans="1:2">
      <c r="A49891" s="3" t="str">
        <f>IFERROR(__xludf.DUMMYFUNCTION("GOOGLETRANSLATE(A49891,""en"",""pt"")"),"Compact, puro atualização sobre o design de lente giratória, 4 megapixels, excelente medição &amp; amp; # 13; &amp; amp; # 10;")</f>
        <v>Compact, puro atualização sobre o design de lente giratória, 4 megapixels, excelente medição &amp; amp; # 13; &amp; amp; # 10;</v>
      </c>
      <c r="B49891" s="3">
        <v>1</v>
      </c>
    </row>
    <row r="49892" ht="15.75" customHeight="1" spans="1:2">
      <c r="A49892" s="3" t="str">
        <f>IFERROR(__xludf.DUMMYFUNCTION("GOOGLETRANSLATE(A49892,""en"",""pt"")"),"4 Megapixel, leve, versátil, cores ricas, lente afiada, acessórios, pro-sumer orientada, Li-ion recarregável")</f>
        <v>4 Megapixel, leve, versátil, cores ricas, lente afiada, acessórios, pro-sumer orientada, Li-ion recarregável</v>
      </c>
      <c r="B49892" s="3">
        <v>1</v>
      </c>
    </row>
    <row r="49893" ht="15.75" customHeight="1" spans="1:2">
      <c r="A49893" s="3" t="str">
        <f>IFERROR(__xludf.DUMMYFUNCTION("GOOGLETRANSLATE(A49893,""en"",""pt"")"),"4 mpixels. variedade enorme de acessórios. Infinitas opções de disparo.")</f>
        <v>4 mpixels. variedade enorme de acessórios. Infinitas opções de disparo.</v>
      </c>
      <c r="B49893" s="3">
        <v>1</v>
      </c>
    </row>
    <row r="49894" ht="15.75" customHeight="1" spans="1:2">
      <c r="A49894" s="3" t="str">
        <f>IFERROR(__xludf.DUMMYFUNCTION("GOOGLETRANSLATE(A49894,""en"",""pt"")"),"Há maneira são muitas coisas que são boas sobre esta câmera")</f>
        <v>Há maneira são muitas coisas que são boas sobre esta câmera</v>
      </c>
      <c r="B49894" s="3">
        <v>1</v>
      </c>
    </row>
    <row r="49895" ht="15.75" customHeight="1" spans="1:2">
      <c r="A49895" s="3" t="str">
        <f>IFERROR(__xludf.DUMMYFUNCTION("GOOGLETRANSLATE(A49895,""en"",""pt"")"),"Facilidade de uso, 4 megapixels, acessórios disponíveis")</f>
        <v>Facilidade de uso, 4 megapixels, acessórios disponíveis</v>
      </c>
      <c r="B49895" s="3">
        <v>1</v>
      </c>
    </row>
    <row r="49896" ht="15.75" customHeight="1" spans="1:2">
      <c r="A49896" s="3" t="str">
        <f>IFERROR(__xludf.DUMMYFUNCTION("GOOGLETRANSLATE(A49896,""en"",""pt"")"),"Lustroso todos corpo de liga de metal de magnésio, concentração interna 4x lente zoom óptico.")</f>
        <v>Lustroso todos corpo de liga de metal de magnésio, concentração interna 4x lente zoom óptico.</v>
      </c>
      <c r="B49896" s="3">
        <v>1</v>
      </c>
    </row>
    <row r="49897" ht="15.75" customHeight="1" spans="1:2">
      <c r="A49897" s="3" t="str">
        <f>IFERROR(__xludf.DUMMYFUNCTION("GOOGLETRANSLATE(A49897,""en"",""pt"")"),"suficiente de luz ponderada e durável, mesmo para o mais amador do fotógrafo.")</f>
        <v>suficiente de luz ponderada e durável, mesmo para o mais amador do fotógrafo.</v>
      </c>
      <c r="B49897" s="3">
        <v>1</v>
      </c>
    </row>
    <row r="49898" ht="15.75" customHeight="1" spans="1:2">
      <c r="A49898" s="3" t="str">
        <f>IFERROR(__xludf.DUMMYFUNCTION("GOOGLETRANSLATE(A49898,""en"",""pt"")"),"baterias recarregáveis, pode gravar vídeo + áudio, todo corpo de metal, modo totalmente manual, cores mais brilhantes")</f>
        <v>baterias recarregáveis, pode gravar vídeo + áudio, todo corpo de metal, modo totalmente manual, cores mais brilhantes</v>
      </c>
      <c r="B49898" s="3">
        <v>1</v>
      </c>
    </row>
    <row r="49899" ht="15.75" customHeight="1" spans="1:2">
      <c r="A49899" s="3" t="str">
        <f>IFERROR(__xludf.DUMMYFUNCTION("GOOGLETRANSLATE(A49899,""en"",""pt"")"),"Excelente qualidade de imagem; Fácil de usar.")</f>
        <v>Excelente qualidade de imagem; Fácil de usar.</v>
      </c>
      <c r="B49899" s="3">
        <v>1</v>
      </c>
    </row>
    <row r="49900" ht="15.75" customHeight="1" spans="1:2">
      <c r="A49900" s="3" t="str">
        <f>IFERROR(__xludf.DUMMYFUNCTION("GOOGLETRANSLATE(A49900,""en"",""pt"")"),"Excelente configuração construção, boa qualidade de imagem, design giratório")</f>
        <v>Excelente configuração construção, boa qualidade de imagem, design giratório</v>
      </c>
      <c r="B49900" s="3">
        <v>1</v>
      </c>
    </row>
    <row r="49901" ht="15.75" customHeight="1" spans="1:2">
      <c r="A49901" s="3" t="str">
        <f>IFERROR(__xludf.DUMMYFUNCTION("GOOGLETRANSLATE(A49901,""en"",""pt"")"),"Very bad camera")</f>
        <v>Very bad camera</v>
      </c>
      <c r="B49901" s="3">
        <v>1</v>
      </c>
    </row>
    <row r="49902" ht="15.75" customHeight="1" spans="1:2">
      <c r="A49902" s="3" t="str">
        <f>IFERROR(__xludf.DUMMYFUNCTION("GOOGLETRANSLATE(A49902,""en"",""pt"")"),"Pequeno, câmera leve, grande em recursos e desempenho.")</f>
        <v>Pequeno, câmera leve, grande em recursos e desempenho.</v>
      </c>
      <c r="B49902" s="3">
        <v>1</v>
      </c>
    </row>
    <row r="49903" ht="15.75" customHeight="1" spans="1:2">
      <c r="A49903" s="3" t="str">
        <f>IFERROR(__xludf.DUMMYFUNCTION("GOOGLETRANSLATE(A49903,""en"",""pt"")"),"Tem grandes figuras., Excelente para o trabalho macro.")</f>
        <v>Tem grandes figuras., Excelente para o trabalho macro.</v>
      </c>
      <c r="B49903" s="3">
        <v>1</v>
      </c>
    </row>
    <row r="49904" ht="15.75" customHeight="1" spans="1:2">
      <c r="A49904" s="3" t="str">
        <f>IFERROR(__xludf.DUMMYFUNCTION("GOOGLETRANSLATE(A49904,""en"",""pt"")"),"Qualidade de Construção, Lens, 4MP CCD, e saturação de cor excelente")</f>
        <v>Qualidade de Construção, Lens, 4MP CCD, e saturação de cor excelente</v>
      </c>
      <c r="B49904" s="3">
        <v>1</v>
      </c>
    </row>
    <row r="49905" ht="15.75" customHeight="1" spans="1:2">
      <c r="A49905" s="3" t="str">
        <f>IFERROR(__xludf.DUMMYFUNCTION("GOOGLETRANSLATE(A49905,""en"",""pt"")"),"4 megapixels, zoom de 4x, ótimo para macros., Muitas opções.")</f>
        <v>4 megapixels, zoom de 4x, ótimo para macros., Muitas opções.</v>
      </c>
      <c r="B49905" s="3">
        <v>1</v>
      </c>
    </row>
    <row r="49906" ht="15.75" customHeight="1" spans="1:2">
      <c r="A49906" s="3" t="str">
        <f>IFERROR(__xludf.DUMMYFUNCTION("GOOGLETRANSLATE(A49906,""en"",""pt"")"),"Boa qualidade de imagem, ótimo para tiros técnicos")</f>
        <v>Boa qualidade de imagem, ótimo para tiros técnicos</v>
      </c>
      <c r="B49906" s="3">
        <v>1</v>
      </c>
    </row>
    <row r="49907" ht="15.75" customHeight="1" spans="1:2">
      <c r="A49907" s="3" t="str">
        <f>IFERROR(__xludf.DUMMYFUNCTION("GOOGLETRANSLATE(A49907,""en"",""pt"")"),"torcer corpo. ótimas fotos. toneladas de recursos. Nikon.")</f>
        <v>torcer corpo. ótimas fotos. toneladas de recursos. Nikon.</v>
      </c>
      <c r="B49907" s="3">
        <v>1</v>
      </c>
    </row>
    <row r="49908" ht="15.75" customHeight="1" spans="1:2">
      <c r="A49908" s="3" t="str">
        <f>IFERROR(__xludf.DUMMYFUNCTION("GOOGLETRANSLATE(A49908,""en"",""pt"")"),"4 pixels com muitos acessórios dar mais opções de disparo")</f>
        <v>4 pixels com muitos acessórios dar mais opções de disparo</v>
      </c>
      <c r="B49908" s="3">
        <v>1</v>
      </c>
    </row>
    <row r="49909" ht="15.75" customHeight="1" spans="1:2">
      <c r="A49909" s="3" t="str">
        <f>IFERROR(__xludf.DUMMYFUNCTION("GOOGLETRANSLATE(A49909,""en"",""pt"")"),"impressionante capacidade macro, rico em recursos, realmente agradáveis ​​tiros!")</f>
        <v>impressionante capacidade macro, rico em recursos, realmente agradáveis ​​tiros!</v>
      </c>
      <c r="B49909" s="3">
        <v>1</v>
      </c>
    </row>
    <row r="49910" ht="15.75" customHeight="1" spans="1:2">
      <c r="A49910" s="3" t="str">
        <f>IFERROR(__xludf.DUMMYFUNCTION("GOOGLETRANSLATE(A49910,""en"",""pt"")"),"Grandes resolução, recursos e ergonomia (Mas leia o manual)")</f>
        <v>Grandes resolução, recursos e ergonomia (Mas leia o manual)</v>
      </c>
      <c r="B49910" s="3">
        <v>1</v>
      </c>
    </row>
    <row r="49911" ht="15.75" customHeight="1" spans="1:2">
      <c r="A49911" s="3" t="str">
        <f>IFERROR(__xludf.DUMMYFUNCTION("GOOGLETRANSLATE(A49911,""en"",""pt"")"),"Mais opções do que eu jamais usar, fácil de usar.")</f>
        <v>Mais opções do que eu jamais usar, fácil de usar.</v>
      </c>
      <c r="B49911" s="3">
        <v>1</v>
      </c>
    </row>
    <row r="49912" ht="15.75" customHeight="1" spans="1:2">
      <c r="A49912" s="3" t="str">
        <f>IFERROR(__xludf.DUMMYFUNCTION("GOOGLETRANSLATE(A49912,""en"",""pt"")"),"excelente qualidade de imagem, boa construção e sensação, bom tamanho")</f>
        <v>excelente qualidade de imagem, boa construção e sensação, bom tamanho</v>
      </c>
      <c r="B49912" s="3">
        <v>1</v>
      </c>
    </row>
    <row r="49913" ht="15.75" customHeight="1" spans="1:2">
      <c r="A49913" s="3" t="str">
        <f>IFERROR(__xludf.DUMMYFUNCTION("GOOGLETRANSLATE(A49913,""en"",""pt"")"),"Excelente qualidade de macro para cópia corrediça de 35mm. tamanho relativamente pequeno.")</f>
        <v>Excelente qualidade de macro para cópia corrediça de 35mm. tamanho relativamente pequeno.</v>
      </c>
      <c r="B49913" s="3">
        <v>1</v>
      </c>
    </row>
    <row r="49914" ht="15.75" customHeight="1" spans="1:2">
      <c r="A49914" s="3" t="str">
        <f>IFERROR(__xludf.DUMMYFUNCTION("GOOGLETRANSLATE(A49914,""en"",""pt"")"),"Blazingly autofoco rápido, excelente medição e uma lente muito muito afiada.")</f>
        <v>Blazingly autofoco rápido, excelente medição e uma lente muito muito afiada.</v>
      </c>
      <c r="B49914" s="3">
        <v>1</v>
      </c>
    </row>
    <row r="49915" ht="15.75" customHeight="1" spans="1:2">
      <c r="A49915" s="3" t="str">
        <f>IFERROR(__xludf.DUMMYFUNCTION("GOOGLETRANSLATE(A49915,""en"",""pt"")"),"5 megapixels imagens Pro medição, NO Atraso do Obturador")</f>
        <v>5 megapixels imagens Pro medição, NO Atraso do Obturador</v>
      </c>
      <c r="B49915" s="3">
        <v>1</v>
      </c>
    </row>
    <row r="49916" ht="15.75" customHeight="1" spans="1:2">
      <c r="A49916" s="3" t="str">
        <f>IFERROR(__xludf.DUMMYFUNCTION("GOOGLETRANSLATE(A49916,""en"",""pt"")"),"sem atraso do obturador, autofoco rápido, 5 megapixels, toneladas de recursos")</f>
        <v>sem atraso do obturador, autofoco rápido, 5 megapixels, toneladas de recursos</v>
      </c>
      <c r="B49916" s="3">
        <v>1</v>
      </c>
    </row>
    <row r="49917" ht="15.75" customHeight="1" spans="1:2">
      <c r="A49917" s="3" t="str">
        <f>IFERROR(__xludf.DUMMYFUNCTION("GOOGLETRANSLATE(A49917,""en"",""pt"")"),"Grandes imagens, design compacto, Super foco automático rápido")</f>
        <v>Grandes imagens, design compacto, Super foco automático rápido</v>
      </c>
      <c r="B49917" s="3">
        <v>1</v>
      </c>
    </row>
    <row r="49918" ht="15.75" customHeight="1" spans="1:2">
      <c r="A49918" s="3" t="str">
        <f>IFERROR(__xludf.DUMMYFUNCTION("GOOGLETRANSLATE(A49918,""en"",""pt"")"),"Shutter Response, excelente qualidade de imagem")</f>
        <v>Shutter Response, excelente qualidade de imagem</v>
      </c>
      <c r="B49918" s="3">
        <v>1</v>
      </c>
    </row>
    <row r="49919" ht="15.75" customHeight="1" spans="1:2">
      <c r="A49919" s="3" t="str">
        <f>IFERROR(__xludf.DUMMYFUNCTION("GOOGLETRANSLATE(A49919,""en"",""pt"")"),"Infinidade de recursos - Excelente qualidade - além excelente Imagens")</f>
        <v>Infinidade de recursos - Excelente qualidade - além excelente Imagens</v>
      </c>
      <c r="B49919" s="3">
        <v>1</v>
      </c>
    </row>
    <row r="49920" ht="15.75" customHeight="1" spans="1:2">
      <c r="A49920" s="3" t="str">
        <f>IFERROR(__xludf.DUMMYFUNCTION("GOOGLETRANSLATE(A49920,""en"",""pt"")"),"tamanho, peso leve, ergonomia")</f>
        <v>tamanho, peso leve, ergonomia</v>
      </c>
      <c r="B49920" s="3">
        <v>1</v>
      </c>
    </row>
    <row r="49921" ht="15.75" customHeight="1" spans="1:2">
      <c r="A49921" s="3" t="str">
        <f>IFERROR(__xludf.DUMMYFUNCTION("GOOGLETRANSLATE(A49921,""en"",""pt"")"),"Boa lente, toneladas de características, bateria boa vida-SUPER EASY File Transfer !!")</f>
        <v>Boa lente, toneladas de características, bateria boa vida-SUPER EASY File Transfer !!</v>
      </c>
      <c r="B49921" s="3">
        <v>1</v>
      </c>
    </row>
    <row r="49922" ht="15.75" customHeight="1" spans="1:2">
      <c r="A49922" s="3" t="str">
        <f>IFERROR(__xludf.DUMMYFUNCTION("GOOGLETRANSLATE(A49922,""en"",""pt"")"),"excelente qualidade de imagem, flexível, poderoso!")</f>
        <v>excelente qualidade de imagem, flexível, poderoso!</v>
      </c>
      <c r="B49922" s="3">
        <v>1</v>
      </c>
    </row>
    <row r="49923" ht="15.75" customHeight="1" spans="1:2">
      <c r="A49923" s="3" t="str">
        <f>IFERROR(__xludf.DUMMYFUNCTION("GOOGLETRANSLATE(A49923,""en"",""pt"")"),"Imagens incríveis. Inúmeros recursos. Boa óptica. nome Nikon.")</f>
        <v>Imagens incríveis. Inúmeros recursos. Boa óptica. nome Nikon.</v>
      </c>
      <c r="B49923" s="3">
        <v>1</v>
      </c>
    </row>
    <row r="49924" ht="15.75" customHeight="1" spans="1:2">
      <c r="A49924" s="3" t="str">
        <f>IFERROR(__xludf.DUMMYFUNCTION("GOOGLETRANSLATE(A49924,""en"",""pt"")"),"leve; Excelentes fotos de qualidade; O link fácil para pc")</f>
        <v>leve; Excelentes fotos de qualidade; O link fácil para pc</v>
      </c>
      <c r="B49924" s="3">
        <v>1</v>
      </c>
    </row>
    <row r="49925" ht="15.75" customHeight="1" spans="1:2">
      <c r="A49925" s="3" t="str">
        <f>IFERROR(__xludf.DUMMYFUNCTION("GOOGLETRANSLATE(A49925,""en"",""pt"")"),"Grande resolução, tamanho pequeno, excelente zoom grande angular.")</f>
        <v>Grande resolução, tamanho pequeno, excelente zoom grande angular.</v>
      </c>
      <c r="B49925" s="3">
        <v>1</v>
      </c>
    </row>
    <row r="49926" ht="15.75" customHeight="1" spans="1:2">
      <c r="A49926" s="3" t="str">
        <f>IFERROR(__xludf.DUMMYFUNCTION("GOOGLETRANSLATE(A49926,""en"",""pt"")"),"Excelente qualidade de imagem, qualidade de construção Nikon, muitos recursos, muitos acessórios disponíveis, boa construção pesada")</f>
        <v>Excelente qualidade de imagem, qualidade de construção Nikon, muitos recursos, muitos acessórios disponíveis, boa construção pesada</v>
      </c>
      <c r="B49926" s="3">
        <v>1</v>
      </c>
    </row>
    <row r="49927" ht="15.75" customHeight="1" spans="1:2">
      <c r="A49927" s="3" t="str">
        <f>IFERROR(__xludf.DUMMYFUNCTION("GOOGLETRANSLATE(A49927,""en"",""pt"")"),"Pictures são perfeitos, agradável pequeno corpo bem construído")</f>
        <v>Pictures são perfeitos, agradável pequeno corpo bem construído</v>
      </c>
      <c r="B49927" s="3">
        <v>1</v>
      </c>
    </row>
    <row r="49928" ht="15.75" customHeight="1" spans="1:2">
      <c r="A49928" s="3" t="str">
        <f>IFERROR(__xludf.DUMMYFUNCTION("GOOGLETRANSLATE(A49928,""en"",""pt"")"),"Excelente qualidade, fácil de usar, compacto")</f>
        <v>Excelente qualidade, fácil de usar, compacto</v>
      </c>
      <c r="B49928" s="3">
        <v>1</v>
      </c>
    </row>
    <row r="49929" ht="15.75" customHeight="1" spans="1:2">
      <c r="A49929" s="3" t="str">
        <f>IFERROR(__xludf.DUMMYFUNCTION("GOOGLETRANSLATE(A49929,""en"",""pt"")"),"Tudo sobre esta câmera é um plus.")</f>
        <v>Tudo sobre esta câmera é um plus.</v>
      </c>
      <c r="B49929" s="3">
        <v>1</v>
      </c>
    </row>
    <row r="49930" ht="15.75" customHeight="1" spans="1:2">
      <c r="A49930" s="3" t="str">
        <f>IFERROR(__xludf.DUMMYFUNCTION("GOOGLETRANSLATE(A49930,""en"",""pt"")"),"Rápido, grande cores e resolução.")</f>
        <v>Rápido, grande cores e resolução.</v>
      </c>
      <c r="B49930" s="3">
        <v>1</v>
      </c>
    </row>
    <row r="49931" ht="15.75" customHeight="1" spans="1:2">
      <c r="A49931" s="3" t="str">
        <f>IFERROR(__xludf.DUMMYFUNCTION("GOOGLETRANSLATE(A49931,""en"",""pt"")"),"5 mega pixels, tamanho muito pequeno, muitas opções")</f>
        <v>5 mega pixels, tamanho muito pequeno, muitas opções</v>
      </c>
      <c r="B49931" s="3">
        <v>1</v>
      </c>
    </row>
    <row r="49932" ht="15.75" customHeight="1" spans="1:2">
      <c r="A49932" s="3" t="str">
        <f>IFERROR(__xludf.DUMMYFUNCTION("GOOGLETRANSLATE(A49932,""en"",""pt"")"),"Excelente qualidade de imagem; Simples de usar")</f>
        <v>Excelente qualidade de imagem; Simples de usar</v>
      </c>
      <c r="B49932" s="3">
        <v>1</v>
      </c>
    </row>
    <row r="49933" ht="15.75" customHeight="1" spans="1:2">
      <c r="A49933" s="3" t="str">
        <f>IFERROR(__xludf.DUMMYFUNCTION("GOOGLETRANSLATE(A49933,""en"",""pt"")"),"Muitos recursos úteis, excelente qualidade de imagem, fácil transferência de fotos da câmera para o computador.")</f>
        <v>Muitos recursos úteis, excelente qualidade de imagem, fácil transferência de fotos da câmera para o computador.</v>
      </c>
      <c r="B49933" s="3">
        <v>1</v>
      </c>
    </row>
    <row r="49934" ht="15.75" customHeight="1" spans="1:2">
      <c r="A49934" s="3" t="str">
        <f>IFERROR(__xludf.DUMMYFUNCTION("GOOGLETRANSLATE(A49934,""en"",""pt"")"),"8X Nikkor Zoom, cinco megapixels de resolução, sem compressão RAW &amp; amp; imagens TIFF,")</f>
        <v>8X Nikkor Zoom, cinco megapixels de resolução, sem compressão RAW &amp; amp; imagens TIFF,</v>
      </c>
      <c r="B49934" s="3">
        <v>1</v>
      </c>
    </row>
    <row r="49935" ht="15.75" customHeight="1" spans="1:2">
      <c r="A49935" s="3" t="str">
        <f>IFERROR(__xludf.DUMMYFUNCTION("GOOGLETRANSLATE(A49935,""en"",""pt"")"),"Bom zoom óptico, o modo RAW, grandes resultados, abundância de controle do usuário")</f>
        <v>Bom zoom óptico, o modo RAW, grandes resultados, abundância de controle do usuário</v>
      </c>
      <c r="B49935" s="3">
        <v>1</v>
      </c>
    </row>
    <row r="49936" ht="15.75" customHeight="1" spans="1:2">
      <c r="A49936" s="3" t="str">
        <f>IFERROR(__xludf.DUMMYFUNCTION("GOOGLETRANSLATE(A49936,""en"",""pt"")"),"5 megapixels, zoom 8x, lotes de características, acessórios e mais prós do que eu posso listar")</f>
        <v>5 megapixels, zoom 8x, lotes de características, acessórios e mais prós do que eu posso listar</v>
      </c>
      <c r="B49936" s="3">
        <v>1</v>
      </c>
    </row>
    <row r="49937" ht="15.75" customHeight="1" spans="1:2">
      <c r="A49937" s="3" t="str">
        <f>IFERROR(__xludf.DUMMYFUNCTION("GOOGLETRANSLATE(A49937,""en"",""pt"")"),"Visor Eletrônico Além disso LCD, Excelente Fit / Grip, 8X Optical e Nikor Lens.")</f>
        <v>Visor Eletrônico Além disso LCD, Excelente Fit / Grip, 8X Optical e Nikor Lens.</v>
      </c>
      <c r="B49937" s="3">
        <v>1</v>
      </c>
    </row>
    <row r="49938" ht="15.75" customHeight="1" spans="1:2">
      <c r="A49938" s="3" t="str">
        <f>IFERROR(__xludf.DUMMYFUNCTION("GOOGLETRANSLATE(A49938,""en"",""pt"")"),"Grande qualidade &amp; amp imagem; abundância de recursos para dar o controle fotógrafo total.")</f>
        <v>Grande qualidade &amp; amp imagem; abundância de recursos para dar o controle fotógrafo total.</v>
      </c>
      <c r="B49938" s="3">
        <v>1</v>
      </c>
    </row>
    <row r="49939" ht="15.75" customHeight="1" spans="1:2">
      <c r="A49939" s="3" t="str">
        <f>IFERROR(__xludf.DUMMYFUNCTION("GOOGLETRANSLATE(A49939,""en"",""pt"")"),"Excelente qualidade de foto e lotes de grandes recursos!")</f>
        <v>Excelente qualidade de foto e lotes de grandes recursos!</v>
      </c>
      <c r="B49939" s="3">
        <v>1</v>
      </c>
    </row>
    <row r="49940" ht="15.75" customHeight="1" spans="1:2">
      <c r="A49940" s="3" t="str">
        <f>IFERROR(__xludf.DUMMYFUNCTION("GOOGLETRANSLATE(A49940,""en"",""pt"")"),"De alta resolução, pode aceitar um cartão de memória de 1GB, por sua capacidade é pequena")</f>
        <v>De alta resolução, pode aceitar um cartão de memória de 1GB, por sua capacidade é pequena</v>
      </c>
      <c r="B49940" s="3">
        <v>1</v>
      </c>
    </row>
    <row r="49941" ht="15.75" customHeight="1" spans="1:2">
      <c r="A49941" s="3" t="str">
        <f>IFERROR(__xludf.DUMMYFUNCTION("GOOGLETRANSLATE(A49941,""en"",""pt"")"),"Aparência agradável. Compactar. Grandes tiros fora.")</f>
        <v>Aparência agradável. Compactar. Grandes tiros fora.</v>
      </c>
      <c r="B49941" s="3">
        <v>1</v>
      </c>
    </row>
    <row r="49942" ht="15.75" customHeight="1" spans="1:2">
      <c r="A49942" s="3" t="str">
        <f>IFERROR(__xludf.DUMMYFUNCTION("GOOGLETRANSLATE(A49942,""en"",""pt"")"),"imagens nítidas e claras, design profissional e elegante, 8x de zoom é magnífico")</f>
        <v>imagens nítidas e claras, design profissional e elegante, 8x de zoom é magnífico</v>
      </c>
      <c r="B49942" s="3">
        <v>1</v>
      </c>
    </row>
    <row r="49943" ht="15.75" customHeight="1" spans="1:2">
      <c r="A49943" s="3" t="str">
        <f>IFERROR(__xludf.DUMMYFUNCTION("GOOGLETRANSLATE(A49943,""en"",""pt"")"),"5 megapixels, zoom 8x (35-280 mm), a qualidade da Nikon e confiabilidade")</f>
        <v>5 megapixels, zoom 8x (35-280 mm), a qualidade da Nikon e confiabilidade</v>
      </c>
      <c r="B49943" s="3">
        <v>1</v>
      </c>
    </row>
    <row r="49944" ht="15.75" customHeight="1" spans="1:2">
      <c r="A49944" s="3" t="str">
        <f>IFERROR(__xludf.DUMMYFUNCTION("GOOGLETRANSLATE(A49944,""en"",""pt"")"),"Toma belas fotos, 8z zoom, EVF faz câmera SLR como, pequeno para ele do conjunto de recursos.")</f>
        <v>Toma belas fotos, 8z zoom, EVF faz câmera SLR como, pequeno para ele do conjunto de recursos.</v>
      </c>
      <c r="B49944" s="3">
        <v>1</v>
      </c>
    </row>
    <row r="49945" ht="15.75" customHeight="1" spans="1:2">
      <c r="A49945" s="3" t="str">
        <f>IFERROR(__xludf.DUMMYFUNCTION("GOOGLETRANSLATE(A49945,""en"",""pt"")"),"macro, zoom, corpo")</f>
        <v>macro, zoom, corpo</v>
      </c>
      <c r="B49945" s="3">
        <v>1</v>
      </c>
    </row>
    <row r="49946" ht="15.75" customHeight="1" spans="1:2">
      <c r="A49946" s="3" t="str">
        <f>IFERROR(__xludf.DUMMYFUNCTION("GOOGLETRANSLATE(A49946,""en"",""pt"")"),"Boa qualidade de imagem à luz do dia, zoom óptico de 8x,")</f>
        <v>Boa qualidade de imagem à luz do dia, zoom óptico de 8x,</v>
      </c>
      <c r="B49946" s="3">
        <v>1</v>
      </c>
    </row>
    <row r="49947" ht="15.75" customHeight="1" spans="1:2">
      <c r="A49947" s="3" t="str">
        <f>IFERROR(__xludf.DUMMYFUNCTION("GOOGLETRANSLATE(A49947,""en"",""pt"")"),"responsivo, muito bom resolução, carregado recurso")</f>
        <v>responsivo, muito bom resolução, carregado recurso</v>
      </c>
      <c r="B49947" s="3">
        <v>1</v>
      </c>
    </row>
    <row r="49948" ht="15.75" customHeight="1" spans="1:2">
      <c r="A49948" s="3" t="str">
        <f>IFERROR(__xludf.DUMMYFUNCTION("GOOGLETRANSLATE(A49948,""en"",""pt"")"),"Enorme faixa de zoom, ultra-compacto, imagens deslumbrantes, interface fácil")</f>
        <v>Enorme faixa de zoom, ultra-compacto, imagens deslumbrantes, interface fácil</v>
      </c>
      <c r="B49948" s="3">
        <v>1</v>
      </c>
    </row>
    <row r="49949" ht="15.75" customHeight="1" spans="1:2">
      <c r="A49949" s="3" t="str">
        <f>IFERROR(__xludf.DUMMYFUNCTION("GOOGLETRANSLATE(A49949,""en"",""pt"")"),"tamanho, peso, lente")</f>
        <v>tamanho, peso, lente</v>
      </c>
      <c r="B49949" s="3">
        <v>1</v>
      </c>
    </row>
    <row r="49950" ht="15.75" customHeight="1" spans="1:2">
      <c r="A49950" s="3" t="str">
        <f>IFERROR(__xludf.DUMMYFUNCTION("GOOGLETRANSLATE(A49950,""en"",""pt"")"),"leva grandes tiros, recursos interessantes")</f>
        <v>leva grandes tiros, recursos interessantes</v>
      </c>
      <c r="B49950" s="3">
        <v>1</v>
      </c>
    </row>
    <row r="49951" ht="15.75" customHeight="1" spans="1:2">
      <c r="A49951" s="3" t="str">
        <f>IFERROR(__xludf.DUMMYFUNCTION("GOOGLETRANSLATE(A49951,""en"",""pt"")"),"acessível")</f>
        <v>acessível</v>
      </c>
      <c r="B49951" s="3">
        <v>1</v>
      </c>
    </row>
    <row r="49952" ht="15.75" customHeight="1" spans="1:2">
      <c r="A49952" s="3" t="str">
        <f>IFERROR(__xludf.DUMMYFUNCTION("GOOGLETRANSLATE(A49952,""en"",""pt"")"),"qualidade de imagem e resolução; Fácil de usar")</f>
        <v>qualidade de imagem e resolução; Fácil de usar</v>
      </c>
      <c r="B49952" s="3">
        <v>1</v>
      </c>
    </row>
    <row r="49953" ht="15.75" customHeight="1" spans="1:2">
      <c r="A49953" s="3" t="str">
        <f>IFERROR(__xludf.DUMMYFUNCTION("GOOGLETRANSLATE(A49953,""en"",""pt"")"),"Fechar atirando para cima")</f>
        <v>Fechar atirando para cima</v>
      </c>
      <c r="B49953" s="3">
        <v>1</v>
      </c>
    </row>
    <row r="49954" ht="15.75" customHeight="1" spans="1:2">
      <c r="A49954" s="3" t="str">
        <f>IFERROR(__xludf.DUMMYFUNCTION("GOOGLETRANSLATE(A49954,""en"",""pt"")"),"Muito versátil, compacto, fácil de usar")</f>
        <v>Muito versátil, compacto, fácil de usar</v>
      </c>
      <c r="B49954" s="3">
        <v>1</v>
      </c>
    </row>
    <row r="49955" ht="15.75" customHeight="1" spans="1:2">
      <c r="A49955" s="3" t="str">
        <f>IFERROR(__xludf.DUMMYFUNCTION("GOOGLETRANSLATE(A49955,""en"",""pt"")"),"Fácil de transportar, basta apontar e disparar")</f>
        <v>Fácil de transportar, basta apontar e disparar</v>
      </c>
      <c r="B49955" s="3">
        <v>1</v>
      </c>
    </row>
    <row r="49956" ht="15.75" customHeight="1" spans="1:2">
      <c r="A49956" s="3" t="str">
        <f>IFERROR(__xludf.DUMMYFUNCTION("GOOGLETRANSLATE(A49956,""en"",""pt"")"),"Grande negócio para uma câmera de 2.1 megapixel")</f>
        <v>Grande negócio para uma câmera de 2.1 megapixel</v>
      </c>
      <c r="B49956" s="3">
        <v>1</v>
      </c>
    </row>
    <row r="49957" ht="15.75" customHeight="1" spans="1:2">
      <c r="A49957" s="3" t="str">
        <f>IFERROR(__xludf.DUMMYFUNCTION("GOOGLETRANSLATE(A49957,""en"",""pt"")"),"Limpar e fotos nítidas")</f>
        <v>Limpar e fotos nítidas</v>
      </c>
      <c r="B49957" s="3">
        <v>1</v>
      </c>
    </row>
    <row r="49958" ht="15.75" customHeight="1" spans="1:2">
      <c r="A49958" s="3" t="str">
        <f>IFERROR(__xludf.DUMMYFUNCTION("GOOGLETRANSLATE(A49958,""en"",""pt"")"),"facilidade na transferência para laptop")</f>
        <v>facilidade na transferência para laptop</v>
      </c>
      <c r="B49958" s="3">
        <v>1</v>
      </c>
    </row>
    <row r="49959" ht="15.75" customHeight="1" spans="1:2">
      <c r="A49959" s="3" t="str">
        <f>IFERROR(__xludf.DUMMYFUNCTION("GOOGLETRANSLATE(A49959,""en"",""pt"")"),"Imagem de segunda qualidade a nenhum rápido desempenho controles Uncompressed Tiff Nikkor Manuel")</f>
        <v>Imagem de segunda qualidade a nenhum rápido desempenho controles Uncompressed Tiff Nikkor Manuel</v>
      </c>
      <c r="B49959" s="3">
        <v>1</v>
      </c>
    </row>
    <row r="49960" ht="15.75" customHeight="1" spans="1:2">
      <c r="A49960" s="3" t="str">
        <f>IFERROR(__xludf.DUMMYFUNCTION("GOOGLETRANSLATE(A49960,""en"",""pt"")"),"Desempenho rápido, boa qualidade de imagem")</f>
        <v>Desempenho rápido, boa qualidade de imagem</v>
      </c>
      <c r="B49960" s="3">
        <v>1</v>
      </c>
    </row>
    <row r="49961" ht="15.75" customHeight="1" spans="1:2">
      <c r="A49961" s="3" t="str">
        <f>IFERROR(__xludf.DUMMYFUNCTION("GOOGLETRANSLATE(A49961,""en"",""pt"")"),"modos manual / automático, macro, zoom de 2x, muito fácil de manusear, pois é leve e se encaixa mão bem.")</f>
        <v>modos manual / automático, macro, zoom de 2x, muito fácil de manusear, pois é leve e se encaixa mão bem.</v>
      </c>
      <c r="B49961" s="3">
        <v>1</v>
      </c>
    </row>
    <row r="49962" ht="15.75" customHeight="1" spans="1:2">
      <c r="A49962" s="3" t="s">
        <v>252</v>
      </c>
      <c r="B49962" s="3">
        <v>1</v>
      </c>
    </row>
    <row r="49963" ht="15.75" customHeight="1" spans="1:2">
      <c r="A49963" s="3" t="str">
        <f>IFERROR(__xludf.DUMMYFUNCTION("GOOGLETRANSLATE(A49963,""en"",""pt"")"),"Pequeno, leve, bateria está incluído com a câmera, boa resolução, excelentes 8x10 impressões a cores, Nikon reputação")</f>
        <v>Pequeno, leve, bateria está incluído com a câmera, boa resolução, excelentes 8x10 impressões a cores, Nikon reputação</v>
      </c>
      <c r="B49963" s="3">
        <v>1</v>
      </c>
    </row>
    <row r="49964" ht="15.75" customHeight="1" spans="1:2">
      <c r="A49964" s="3" t="str">
        <f>IFERROR(__xludf.DUMMYFUNCTION("GOOGLETRANSLATE(A49964,""en"",""pt"")"),"Pequeno, leve, fácil de usar.")</f>
        <v>Pequeno, leve, fácil de usar.</v>
      </c>
      <c r="B49964" s="3">
        <v>1</v>
      </c>
    </row>
    <row r="49965" ht="15.75" customHeight="1" spans="1:2">
      <c r="A49965" s="3" t="str">
        <f>IFERROR(__xludf.DUMMYFUNCTION("GOOGLETRANSLATE(A49965,""en"",""pt"")"),"O tamanho pequeno, 2 megapixels, um botão de transferência de imagem, bateria recarregável Li-Ion incluído.")</f>
        <v>O tamanho pequeno, 2 megapixels, um botão de transferência de imagem, bateria recarregável Li-Ion incluído.</v>
      </c>
      <c r="B49965" s="3">
        <v>1</v>
      </c>
    </row>
    <row r="49966" ht="15.75" customHeight="1" spans="1:2">
      <c r="A49966" s="3" t="str">
        <f>IFERROR(__xludf.DUMMYFUNCTION("GOOGLETRANSLATE(A49966,""en"",""pt"")"),"Design compacto. Simple &amp; amp; # 147; Modo de Cena &amp; amp; # 148; Operação. Uma foto botão enviar.")</f>
        <v>Design compacto. Simple &amp; amp; # 147; Modo de Cena &amp; amp; # 148; Operação. Uma foto botão enviar.</v>
      </c>
      <c r="B49966" s="3">
        <v>1</v>
      </c>
    </row>
    <row r="49967" ht="15.75" customHeight="1" spans="1:2">
      <c r="A49967" s="3" t="str">
        <f>IFERROR(__xludf.DUMMYFUNCTION("GOOGLETRANSLATE(A49967,""en"",""pt"")"),"Portátil, elegante e acessível. Se encaixa em sua camisa bolso. Múltiplas configurações, verão fotos são excelentes")</f>
        <v>Portátil, elegante e acessível. Se encaixa em sua camisa bolso. Múltiplas configurações, verão fotos são excelentes</v>
      </c>
      <c r="B49967" s="3">
        <v>1</v>
      </c>
    </row>
    <row r="49968" ht="15.75" customHeight="1" spans="1:2">
      <c r="A49968" s="3" t="str">
        <f>IFERROR(__xludf.DUMMYFUNCTION("GOOGLETRANSLATE(A49968,""en"",""pt"")"),"Bateria e carregador incluído, boa qualidade de imagem, mesmo em configuração mais baixa")</f>
        <v>Bateria e carregador incluído, boa qualidade de imagem, mesmo em configuração mais baixa</v>
      </c>
      <c r="B49968" s="3">
        <v>1</v>
      </c>
    </row>
    <row r="49969" ht="15.75" customHeight="1" spans="1:2">
      <c r="A49969" s="3" t="str">
        <f>IFERROR(__xludf.DUMMYFUNCTION("GOOGLETRANSLATE(A49969,""en"",""pt"")"),"bateria recarregável, tamanho compacto, zoom óptico / digital de alta resolução.")</f>
        <v>bateria recarregável, tamanho compacto, zoom óptico / digital de alta resolução.</v>
      </c>
      <c r="B49969" s="3">
        <v>1</v>
      </c>
    </row>
    <row r="49970" ht="15.75" customHeight="1" spans="1:2">
      <c r="A49970" s="3" t="str">
        <f>IFERROR(__xludf.DUMMYFUNCTION("GOOGLETRANSLATE(A49970,""en"",""pt"")"),"Pequeno, leve, rápido e transferência fácil de fotografias para o computador")</f>
        <v>Pequeno, leve, rápido e transferência fácil de fotografias para o computador</v>
      </c>
      <c r="B49970" s="3">
        <v>1</v>
      </c>
    </row>
    <row r="49971" ht="15.75" customHeight="1" spans="1:2">
      <c r="A49971" s="3" t="str">
        <f>IFERROR(__xludf.DUMMYFUNCTION("GOOGLETRANSLATE(A49971,""en"",""pt"")"),"tamanho pequeno, fácil de fazer upload de fotos")</f>
        <v>tamanho pequeno, fácil de fazer upload de fotos</v>
      </c>
      <c r="B49971" s="3">
        <v>1</v>
      </c>
    </row>
    <row r="49972" ht="15.75" customHeight="1" spans="1:2">
      <c r="A49972" s="3" t="str">
        <f>IFERROR(__xludf.DUMMYFUNCTION("GOOGLETRANSLATE(A49972,""en"",""pt"")"),"pequeno, leve, barato, tem excelentes fotos macro")</f>
        <v>pequeno, leve, barato, tem excelentes fotos macro</v>
      </c>
      <c r="B49972" s="3">
        <v>1</v>
      </c>
    </row>
    <row r="49973" ht="15.75" customHeight="1" spans="1:2">
      <c r="A49973" s="3" t="str">
        <f>IFERROR(__xludf.DUMMYFUNCTION("GOOGLETRANSLATE(A49973,""en"",""pt"")"),"Facilidade de uso, preço baixo, bateria recarregável de lítio-ion")</f>
        <v>Facilidade de uso, preço baixo, bateria recarregável de lítio-ion</v>
      </c>
      <c r="B49973" s="3">
        <v>1</v>
      </c>
    </row>
    <row r="49974" ht="15.75" customHeight="1" spans="1:2">
      <c r="A49974" s="3" t="str">
        <f>IFERROR(__xludf.DUMMYFUNCTION("GOOGLETRANSLATE(A49974,""en"",""pt"")"),"bateria recarregável duradouro, pequeno e leve, boa documentação, conexão USB rápida")</f>
        <v>bateria recarregável duradouro, pequeno e leve, boa documentação, conexão USB rápida</v>
      </c>
      <c r="B49974" s="3">
        <v>1</v>
      </c>
    </row>
    <row r="49975" ht="15.75" customHeight="1" spans="1:2">
      <c r="A49975" s="3" t="str">
        <f>IFERROR(__xludf.DUMMYFUNCTION("GOOGLETRANSLATE(A49975,""en"",""pt"")"),"O tamanho pequeno, smartmedia, muitos modos predefinidos de fotografias")</f>
        <v>O tamanho pequeno, smartmedia, muitos modos predefinidos de fotografias</v>
      </c>
      <c r="B49975" s="3">
        <v>1</v>
      </c>
    </row>
    <row r="49976" ht="15.75" customHeight="1" spans="1:2">
      <c r="A49976" s="3" t="str">
        <f>IFERROR(__xludf.DUMMYFUNCTION("GOOGLETRANSLATE(A49976,""en"",""pt"")"),"bateria recarregável, peso leve, facilidade de uso")</f>
        <v>bateria recarregável, peso leve, facilidade de uso</v>
      </c>
      <c r="B49976" s="3">
        <v>1</v>
      </c>
    </row>
    <row r="49977" ht="15.75" customHeight="1" spans="1:2">
      <c r="A49977" s="3" t="str">
        <f>IFERROR(__xludf.DUMMYFUNCTION("GOOGLETRANSLATE(A49977,""en"",""pt"")"),"Ultra-compacto, design robusto, fácil de usar menus, bom zoom, imagens de qualidade, memória barato, bateria de longa duração.")</f>
        <v>Ultra-compacto, design robusto, fácil de usar menus, bom zoom, imagens de qualidade, memória barato, bateria de longa duração.</v>
      </c>
      <c r="B49977" s="3">
        <v>1</v>
      </c>
    </row>
    <row r="49978" ht="15.75" customHeight="1" spans="1:2">
      <c r="A49978" s="3" t="str">
        <f>IFERROR(__xludf.DUMMYFUNCTION("GOOGLETRANSLATE(A49978,""en"",""pt"")"),"James Bond, ou GQ, para cerca de US $ 300")</f>
        <v>James Bond, ou GQ, para cerca de US $ 300</v>
      </c>
      <c r="B49978" s="3">
        <v>1</v>
      </c>
    </row>
    <row r="49979" ht="15.75" customHeight="1" spans="1:2">
      <c r="A49979" s="3" t="str">
        <f>IFERROR(__xludf.DUMMYFUNCTION("GOOGLETRANSLATE(A49979,""en"",""pt"")"),"muito pequeno e furtivo")</f>
        <v>muito pequeno e furtivo</v>
      </c>
      <c r="B49979" s="3">
        <v>1</v>
      </c>
    </row>
    <row r="49980" ht="15.75" customHeight="1" spans="1:2">
      <c r="A49980" s="3" t="str">
        <f>IFERROR(__xludf.DUMMYFUNCTION("GOOGLETRANSLATE(A49980,""en"",""pt"")"),"Muito leve, boa tela LCD, Pequeno, NIKON !, lotes de características, lithuim-Ion Battery inlcuded")</f>
        <v>Muito leve, boa tela LCD, Pequeno, NIKON !, lotes de características, lithuim-Ion Battery inlcuded</v>
      </c>
      <c r="B49980" s="3">
        <v>1</v>
      </c>
    </row>
    <row r="49981" ht="15.75" customHeight="1" spans="1:2">
      <c r="A49981" s="3" t="str">
        <f>IFERROR(__xludf.DUMMYFUNCTION("GOOGLETRANSLATE(A49981,""en"",""pt"")"),"Muito pequenas, boas fotos, grandes alambiques")</f>
        <v>Muito pequenas, boas fotos, grandes alambiques</v>
      </c>
      <c r="B49981" s="3">
        <v>1</v>
      </c>
    </row>
    <row r="49982" ht="15.75" customHeight="1" spans="1:2">
      <c r="A49982" s="3" t="str">
        <f>IFERROR(__xludf.DUMMYFUNCTION("GOOGLETRANSLATE(A49982,""en"",""pt"")"),"Tamanho, estilo, qualidade de pics, diferentes configurações de auto")</f>
        <v>Tamanho, estilo, qualidade de pics, diferentes configurações de auto</v>
      </c>
      <c r="B49982" s="3">
        <v>1</v>
      </c>
    </row>
    <row r="49983" ht="15.75" customHeight="1" spans="1:2">
      <c r="A49983" s="3" t="str">
        <f>IFERROR(__xludf.DUMMYFUNCTION("GOOGLETRANSLATE(A49983,""en"",""pt"")"),"O tamanho pequeno, fácil de usar todos os recursos")</f>
        <v>O tamanho pequeno, fácil de usar todos os recursos</v>
      </c>
      <c r="B49983" s="3">
        <v>1</v>
      </c>
    </row>
    <row r="49984" ht="15.75" customHeight="1" spans="1:2">
      <c r="A49984" s="3" t="str">
        <f>IFERROR(__xludf.DUMMYFUNCTION("GOOGLETRANSLATE(A49984,""en"",""pt"")"),"Leve, pequeno, fácil de usar, ótimas fotos, impressionante close up fotos. Excelente câmera pouco.")</f>
        <v>Leve, pequeno, fácil de usar, ótimas fotos, impressionante close up fotos. Excelente câmera pouco.</v>
      </c>
      <c r="B49984" s="3">
        <v>1</v>
      </c>
    </row>
    <row r="49985" ht="15.75" customHeight="1" spans="1:2">
      <c r="A49985" s="3" t="str">
        <f>IFERROR(__xludf.DUMMYFUNCTION("GOOGLETRANSLATE(A49985,""en"",""pt"")"),"Pequenas e gerenciáveis, imagens de alta qualidade com boa capacidade de zoom.")</f>
        <v>Pequenas e gerenciáveis, imagens de alta qualidade com boa capacidade de zoom.</v>
      </c>
      <c r="B49985" s="3">
        <v>1</v>
      </c>
    </row>
    <row r="49986" ht="15.75" customHeight="1" spans="1:2">
      <c r="A49986" s="3" t="str">
        <f>IFERROR(__xludf.DUMMYFUNCTION("GOOGLETRANSLATE(A49986,""en"",""pt"")"),"Excelente câmera de bolso e fácil de segurar")</f>
        <v>Excelente câmera de bolso e fácil de segurar</v>
      </c>
      <c r="B49986" s="3">
        <v>1</v>
      </c>
    </row>
    <row r="49987" ht="15.75" customHeight="1" spans="1:2">
      <c r="A49987" s="3" t="str">
        <f>IFERROR(__xludf.DUMMYFUNCTION("GOOGLETRANSLATE(A49987,""en"",""pt"")"),"O tamanho compacto torna-o perfeito câmera de viagem.")</f>
        <v>O tamanho compacto torna-o perfeito câmera de viagem.</v>
      </c>
      <c r="B49987" s="3">
        <v>1</v>
      </c>
    </row>
    <row r="49988" ht="15.75" customHeight="1" spans="1:2">
      <c r="A49988" s="3" t="str">
        <f>IFERROR(__xludf.DUMMYFUNCTION("GOOGLETRANSLATE(A49988,""en"",""pt"")"),"ótimo para pessoas com tempo em suas mãos.")</f>
        <v>ótimo para pessoas com tempo em suas mãos.</v>
      </c>
      <c r="B49988" s="3">
        <v>1</v>
      </c>
    </row>
    <row r="49989" ht="15.75" customHeight="1" spans="1:2">
      <c r="A49989" s="3" t="str">
        <f>IFERROR(__xludf.DUMMYFUNCTION("GOOGLETRANSLATE(A49989,""en"",""pt"")"),"Leve, design elegante e extremamente compacto.")</f>
        <v>Leve, design elegante e extremamente compacto.</v>
      </c>
      <c r="B49989" s="3">
        <v>1</v>
      </c>
    </row>
    <row r="49990" ht="15.75" customHeight="1" spans="1:2">
      <c r="A49990" s="3" t="str">
        <f>IFERROR(__xludf.DUMMYFUNCTION("GOOGLETRANSLATE(A49990,""en"",""pt"")"),"Compacto e elegante design, bateria Lithium-Ion incluído, boa qualidade de imagem")</f>
        <v>Compacto e elegante design, bateria Lithium-Ion incluído, boa qualidade de imagem</v>
      </c>
      <c r="B49990" s="3">
        <v>1</v>
      </c>
    </row>
    <row r="49991" ht="15.75" customHeight="1" spans="1:2">
      <c r="A49991" s="3" t="str">
        <f>IFERROR(__xludf.DUMMYFUNCTION("GOOGLETRANSLATE(A49991,""en"",""pt"")"),"Nenhum")</f>
        <v>Nenhum</v>
      </c>
      <c r="B49991" s="3">
        <v>1</v>
      </c>
    </row>
    <row r="49992" ht="15.75" customHeight="1" spans="1:2">
      <c r="A49992" s="3" t="str">
        <f>IFERROR(__xludf.DUMMYFUNCTION("GOOGLETRANSLATE(A49992,""en"",""pt"")"),"- Tamanho, - A vida da bateria, - Daytime fotos")</f>
        <v>- Tamanho, - A vida da bateria, - Daytime fotos</v>
      </c>
      <c r="B49992" s="3">
        <v>1</v>
      </c>
    </row>
    <row r="49993" ht="15.75" customHeight="1" spans="1:2">
      <c r="A49993" s="3" t="str">
        <f>IFERROR(__xludf.DUMMYFUNCTION("GOOGLETRANSLATE(A49993,""en"",""pt"")"),"Bom tamanho e sensação. Atraente.")</f>
        <v>Bom tamanho e sensação. Atraente.</v>
      </c>
      <c r="B49993" s="3">
        <v>1</v>
      </c>
    </row>
    <row r="49994" ht="15.75" customHeight="1" spans="1:2">
      <c r="A49994" s="3" t="str">
        <f>IFERROR(__xludf.DUMMYFUNCTION("GOOGLETRANSLATE(A49994,""en"",""pt"")"),"Compacta, flexível, fácil de usar, grandes fotos macro, barato")</f>
        <v>Compacta, flexível, fácil de usar, grandes fotos macro, barato</v>
      </c>
      <c r="B49994" s="3">
        <v>1</v>
      </c>
    </row>
    <row r="49995" ht="15.75" customHeight="1" spans="1:2">
      <c r="A49995" s="3" t="str">
        <f>IFERROR(__xludf.DUMMYFUNCTION("GOOGLETRANSLATE(A49995,""en"",""pt"")"),"pequeno, leve, tempo de carga longa, compact flash")</f>
        <v>pequeno, leve, tempo de carga longa, compact flash</v>
      </c>
      <c r="B49995" s="3">
        <v>1</v>
      </c>
    </row>
    <row r="49996" ht="15.75" customHeight="1" spans="1:2">
      <c r="A49996" s="3" t="str">
        <f>IFERROR(__xludf.DUMMYFUNCTION("GOOGLETRANSLATE(A49996,""en"",""pt"")"),"Tamanho, que é sobre ele.")</f>
        <v>Tamanho, que é sobre ele.</v>
      </c>
      <c r="B49996" s="3">
        <v>1</v>
      </c>
    </row>
    <row r="49997" ht="15.75" customHeight="1" spans="1:2">
      <c r="A49997" s="3" t="str">
        <f>IFERROR(__xludf.DUMMYFUNCTION("GOOGLETRANSLATE(A49997,""en"",""pt"")"),"compacto, fácil de usar, boa imagem")</f>
        <v>compacto, fácil de usar, boa imagem</v>
      </c>
      <c r="B49997" s="3">
        <v>1</v>
      </c>
    </row>
    <row r="49998" ht="15.75" customHeight="1" spans="1:2">
      <c r="A49998" s="3" t="str">
        <f>IFERROR(__xludf.DUMMYFUNCTION("GOOGLETRANSLATE(A49998,""en"",""pt"")"),"Luz, Compact Flash, muitos modos para configurações diferentes")</f>
        <v>Luz, Compact Flash, muitos modos para configurações diferentes</v>
      </c>
      <c r="B49998" s="3">
        <v>1</v>
      </c>
    </row>
    <row r="49999" ht="15.75" customHeight="1" spans="1:2">
      <c r="A49999" s="3" t="str">
        <f>IFERROR(__xludf.DUMMYFUNCTION("GOOGLETRANSLATE(A49999,""en"",""pt"")"),"Pequeno, elegante e fácil de usar")</f>
        <v>Pequeno, elegante e fácil de usar</v>
      </c>
      <c r="B49999" s="3">
        <v>1</v>
      </c>
    </row>
    <row r="50000" ht="15.75" customHeight="1" spans="1:2">
      <c r="A50000" s="3" t="str">
        <f>IFERROR(__xludf.DUMMYFUNCTION("GOOGLETRANSLATE(A50000,""en"",""pt"")"),"Compacto, leve, vem com uma bateria recarregável. Qualidade excelente.")</f>
        <v>Compacto, leve, vem com uma bateria recarregável. Qualidade excelente.</v>
      </c>
      <c r="B50000" s="3">
        <v>1</v>
      </c>
    </row>
    <row r="50001" ht="15.75" customHeight="1" spans="1:2">
      <c r="A50001" s="3" t="str">
        <f>IFERROR(__xludf.DUMMYFUNCTION("GOOGLETRANSLATE(A50001,""en"",""pt"")"),"Pequeno, modo de cena, inclui bateria e carregador")</f>
        <v>Pequeno, modo de cena, inclui bateria e carregador</v>
      </c>
      <c r="B50001" s="3">
        <v>1</v>
      </c>
    </row>
    <row r="50002" ht="15.75" customHeight="1" spans="1:2">
      <c r="A50002" s="3" t="str">
        <f>IFERROR(__xludf.DUMMYFUNCTION("GOOGLETRANSLATE(A50002,""en"",""pt"")"),"Pequeno, fácil de usar, prático, de boa qualidade.")</f>
        <v>Pequeno, fácil de usar, prático, de boa qualidade.</v>
      </c>
      <c r="B50002" s="3">
        <v>1</v>
      </c>
    </row>
    <row r="50003" ht="15.75" customHeight="1" spans="1:2">
      <c r="A50003" s="3" t="str">
        <f>IFERROR(__xludf.DUMMYFUNCTION("GOOGLETRANSLATE(A50003,""en"",""pt"")"),"NiMH recarregáveis ​​da bateria, carregador &amp; amp; todos os cabos, pequenas &amp; amp; compactar.")</f>
        <v>NiMH recarregáveis ​​da bateria, carregador &amp; amp; todos os cabos, pequenas &amp; amp; compactar.</v>
      </c>
      <c r="B50003" s="3">
        <v>1</v>
      </c>
    </row>
    <row r="50004" ht="15.75" customHeight="1" spans="1:2">
      <c r="A50004" s="3" t="str">
        <f>IFERROR(__xludf.DUMMYFUNCTION("GOOGLETRANSLATE(A50004,""en"",""pt"")"),"Muito pequeno, boa qualidade de imagem")</f>
        <v>Muito pequeno, boa qualidade de imagem</v>
      </c>
      <c r="B50004" s="3">
        <v>1</v>
      </c>
    </row>
    <row r="50005" ht="15.75" customHeight="1" spans="1:2">
      <c r="A50005" s="3" t="str">
        <f>IFERROR(__xludf.DUMMYFUNCTION("GOOGLETRANSLATE(A50005,""en"",""pt"")"),"vem com bateria recarregável e carregador, imagens nítidas para uma de 2 megapixels")</f>
        <v>vem com bateria recarregável e carregador, imagens nítidas para uma de 2 megapixels</v>
      </c>
      <c r="B50005" s="3">
        <v>1</v>
      </c>
    </row>
    <row r="50006" ht="15.75" customHeight="1" spans="1:2">
      <c r="A50006" s="3" t="str">
        <f>IFERROR(__xludf.DUMMYFUNCTION("GOOGLETRANSLATE(A50006,""en"",""pt"")"),"Pequeno, bastante fácil de usar, muito fácil de fazer upload para o computador")</f>
        <v>Pequeno, bastante fácil de usar, muito fácil de fazer upload para o computador</v>
      </c>
      <c r="B50006" s="3">
        <v>1</v>
      </c>
    </row>
    <row r="50007" ht="15.75" customHeight="1" spans="1:2">
      <c r="A50007" s="3" t="str">
        <f>IFERROR(__xludf.DUMMYFUNCTION("GOOGLETRANSLATE(A50007,""en"",""pt"")"),"Tamanho pequeno, fácil de usar")</f>
        <v>Tamanho pequeno, fácil de usar</v>
      </c>
      <c r="B50007" s="3">
        <v>1</v>
      </c>
    </row>
    <row r="50008" ht="15.75" customHeight="1" spans="1:2">
      <c r="A50008" s="3" t="str">
        <f>IFERROR(__xludf.DUMMYFUNCTION("GOOGLETRANSLATE(A50008,""en"",""pt"")"),"Grande Pictures, leve e pequeno Camera")</f>
        <v>Grande Pictures, leve e pequeno Camera</v>
      </c>
      <c r="B50008" s="3">
        <v>1</v>
      </c>
    </row>
    <row r="50009" ht="15.75" customHeight="1" spans="1:2">
      <c r="A50009" s="3" t="str">
        <f>IFERROR(__xludf.DUMMYFUNCTION("GOOGLETRANSLATE(A50009,""en"",""pt"")"),"tamanho pequeno agradável para transporte. Boas fotos. Muito fácil de usar.")</f>
        <v>tamanho pequeno agradável para transporte. Boas fotos. Muito fácil de usar.</v>
      </c>
      <c r="B50009" s="3">
        <v>1</v>
      </c>
    </row>
    <row r="50010" ht="15.75" customHeight="1" spans="1:2">
      <c r="A50010" s="3" t="str">
        <f>IFERROR(__xludf.DUMMYFUNCTION("GOOGLETRANSLATE(A50010,""en"",""pt"")"),"Grande valor para o dinheiro se você é um novato reletive.")</f>
        <v>Grande valor para o dinheiro se você é um novato reletive.</v>
      </c>
      <c r="B50010" s="3">
        <v>1</v>
      </c>
    </row>
    <row r="50011" ht="15.75" customHeight="1" spans="1:2">
      <c r="A50011" s="3" t="str">
        <f>IFERROR(__xludf.DUMMYFUNCTION("GOOGLETRANSLATE(A50011,""en"",""pt"")"),"Fun, barato, leva lindas imagens claras, e ele simplesmente funciona.")</f>
        <v>Fun, barato, leva lindas imagens claras, e ele simplesmente funciona.</v>
      </c>
      <c r="B50011" s="3">
        <v>1</v>
      </c>
    </row>
    <row r="50012" ht="15.75" customHeight="1" spans="1:2">
      <c r="A50012" s="3" t="str">
        <f>IFERROR(__xludf.DUMMYFUNCTION("GOOGLETRANSLATE(A50012,""en"",""pt"")"),"Uma boa ergonomia, excelente qualidade de imagem, decente macro")</f>
        <v>Uma boa ergonomia, excelente qualidade de imagem, decente macro</v>
      </c>
      <c r="B50012" s="3">
        <v>1</v>
      </c>
    </row>
    <row r="50013" ht="15.75" customHeight="1" spans="1:2">
      <c r="A50013" s="3" t="str">
        <f>IFERROR(__xludf.DUMMYFUNCTION("GOOGLETRANSLATE(A50013,""en"",""pt"")"),"Excelente qualidade de imagem, fácil de usar, cargas de opções para brincar.")</f>
        <v>Excelente qualidade de imagem, fácil de usar, cargas de opções para brincar.</v>
      </c>
      <c r="B50013" s="3">
        <v>1</v>
      </c>
    </row>
    <row r="50014" ht="15.75" customHeight="1" spans="1:2">
      <c r="A50014" s="3" t="str">
        <f>IFERROR(__xludf.DUMMYFUNCTION("GOOGLETRANSLATE(A50014,""en"",""pt"")"),"add-on lentes (teleconversores, grande angular, olho de peixe) estão disponíveis e compatíveis com mais caro Nikon Coolpix")</f>
        <v>add-on lentes (teleconversores, grande angular, olho de peixe) estão disponíveis e compatíveis com mais caro Nikon Coolpix</v>
      </c>
      <c r="B50014" s="3">
        <v>1</v>
      </c>
    </row>
    <row r="50015" ht="15.75" customHeight="1" spans="1:2">
      <c r="A50015" s="3" t="str">
        <f>IFERROR(__xludf.DUMMYFUNCTION("GOOGLETRANSLATE(A50015,""en"",""pt"")"),"Grandes ampliações de qualidade.")</f>
        <v>Grandes ampliações de qualidade.</v>
      </c>
      <c r="B50015" s="3">
        <v>1</v>
      </c>
    </row>
    <row r="50016" ht="15.75" customHeight="1" spans="1:2">
      <c r="A50016" s="3" t="str">
        <f>IFERROR(__xludf.DUMMYFUNCTION("GOOGLETRANSLATE(A50016,""en"",""pt"")"),"Um verdadeiro ponto e atirar câmera. Grande aderência. Modos &amp; amp de exposição; ""Melhor tiro"".")</f>
        <v>Um verdadeiro ponto e atirar câmera. Grande aderência. Modos &amp; amp de exposição; "Melhor tiro".</v>
      </c>
      <c r="B50016" s="3">
        <v>1</v>
      </c>
    </row>
    <row r="50017" ht="15.75" customHeight="1" spans="1:2">
      <c r="A50017" s="3" t="str">
        <f>IFERROR(__xludf.DUMMYFUNCTION("GOOGLETRANSLATE(A50017,""en"",""pt"")"),"Assim fácil de usar, você quase esquecer a sua digital!")</f>
        <v>Assim fácil de usar, você quase esquecer a sua digital!</v>
      </c>
      <c r="B50017" s="3">
        <v>1</v>
      </c>
    </row>
    <row r="50018" ht="15.75" customHeight="1" spans="1:2">
      <c r="A50018" s="3" t="str">
        <f>IFERROR(__xludf.DUMMYFUNCTION("GOOGLETRANSLATE(A50018,""en"",""pt"")"),"Boa resolução para uma câmera de baixo custo")</f>
        <v>Boa resolução para uma câmera de baixo custo</v>
      </c>
      <c r="B50018" s="3">
        <v>1</v>
      </c>
    </row>
    <row r="50019" ht="15.75" customHeight="1" spans="1:2">
      <c r="A50019" s="3" t="str">
        <f>IFERROR(__xludf.DUMMYFUNCTION("GOOGLETRANSLATE(A50019,""en"",""pt"")"),"imagens de alta qualidade, barato, brilhante LCD")</f>
        <v>imagens de alta qualidade, barato, brilhante LCD</v>
      </c>
      <c r="B50019" s="3">
        <v>1</v>
      </c>
    </row>
    <row r="50020" ht="15.75" customHeight="1" spans="1:2">
      <c r="A50020" s="3" t="str">
        <f>IFERROR(__xludf.DUMMYFUNCTION("GOOGLETRANSLATE(A50020,""en"",""pt"")"),"tamanho compacto, facilidade de uso, baixo consumo de energia, qualidade de imagem")</f>
        <v>tamanho compacto, facilidade de uso, baixo consumo de energia, qualidade de imagem</v>
      </c>
      <c r="B50020" s="3">
        <v>1</v>
      </c>
    </row>
    <row r="50021" ht="15.75" customHeight="1" spans="1:2">
      <c r="A50021" s="3" t="str">
        <f>IFERROR(__xludf.DUMMYFUNCTION("GOOGLETRANSLATE(A50021,""en"",""pt"")"),"fácil de usar")</f>
        <v>fácil de usar</v>
      </c>
      <c r="B50021" s="3">
        <v>1</v>
      </c>
    </row>
    <row r="50022" ht="15.75" customHeight="1" spans="1:2">
      <c r="A50022" s="3" t="str">
        <f>IFERROR(__xludf.DUMMYFUNCTION("GOOGLETRANSLATE(A50022,""en"",""pt"")"),"Grandes fotos, muitas características")</f>
        <v>Grandes fotos, muitas características</v>
      </c>
      <c r="B50022" s="3">
        <v>1</v>
      </c>
    </row>
    <row r="50023" ht="15.75" customHeight="1" spans="1:2">
      <c r="A50023" s="3" t="str">
        <f>IFERROR(__xludf.DUMMYFUNCTION("GOOGLETRANSLATE(A50023,""en"",""pt"")"),"Muito durável, grande add-ons")</f>
        <v>Muito durável, grande add-ons</v>
      </c>
      <c r="B50023" s="3">
        <v>1</v>
      </c>
    </row>
    <row r="50024" ht="15.75" customHeight="1" spans="1:2">
      <c r="A50024" s="3" t="str">
        <f>IFERROR(__xludf.DUMMYFUNCTION("GOOGLETRANSLATE(A50024,""en"",""pt"")"),"precisa de cor, definição Crisp")</f>
        <v>precisa de cor, definição Crisp</v>
      </c>
      <c r="B50024" s="3">
        <v>1</v>
      </c>
    </row>
    <row r="50025" ht="15.75" customHeight="1" spans="1:2">
      <c r="A50025" s="3" t="str">
        <f>IFERROR(__xludf.DUMMYFUNCTION("GOOGLETRANSLATE(A50025,""en"",""pt"")"),"zoom óptico, menor custo, tamanho menor, a exposição e degradado, foco e cor")</f>
        <v>zoom óptico, menor custo, tamanho menor, a exposição e degradado, foco e cor</v>
      </c>
      <c r="B50025" s="3">
        <v>1</v>
      </c>
    </row>
    <row r="50026" ht="15.75" customHeight="1" spans="1:2">
      <c r="A50026" s="3" t="str">
        <f>IFERROR(__xludf.DUMMYFUNCTION("GOOGLETRANSLATE(A50026,""en"",""pt"")"),"Grande resolução, compra fantástica se descontado, US $ 75 Nikon rebate através 04/01.")</f>
        <v>Grande resolução, compra fantástica se descontado, US $ 75 Nikon rebate através 04/01.</v>
      </c>
      <c r="B50026" s="3">
        <v>1</v>
      </c>
    </row>
    <row r="50027" ht="15.75" customHeight="1" spans="1:2">
      <c r="A50027" s="3" t="str">
        <f>IFERROR(__xludf.DUMMYFUNCTION("GOOGLETRANSLATE(A50027,""en"",""pt"")"),"Fácil de usar, design intuitivo")</f>
        <v>Fácil de usar, design intuitivo</v>
      </c>
      <c r="B50027" s="3">
        <v>1</v>
      </c>
    </row>
    <row r="50028" ht="15.75" customHeight="1" spans="1:2">
      <c r="A50028" s="3" t="str">
        <f>IFERROR(__xludf.DUMMYFUNCTION("GOOGLETRANSLATE(A50028,""en"",""pt"")"),"Grande valor. Muito confiável, fácil de usar e excelente qualidade de imagem.")</f>
        <v>Grande valor. Muito confiável, fácil de usar e excelente qualidade de imagem.</v>
      </c>
      <c r="B50028" s="3">
        <v>1</v>
      </c>
    </row>
    <row r="50029" ht="15.75" customHeight="1" spans="1:2">
      <c r="A50029" s="3" t="str">
        <f>IFERROR(__xludf.DUMMYFUNCTION("GOOGLETRANSLATE(A50029,""en"",""pt"")"),"recursos Professional Nikon tirar fotos incríveis com um ótimo preço")</f>
        <v>recursos Professional Nikon tirar fotos incríveis com um ótimo preço</v>
      </c>
      <c r="B50029" s="3">
        <v>1</v>
      </c>
    </row>
    <row r="50030" ht="15.75" customHeight="1" spans="1:2">
      <c r="A50030" s="3" t="str">
        <f>IFERROR(__xludf.DUMMYFUNCTION("GOOGLETRANSLATE(A50030,""en"",""pt"")"),"Preço, características, Lens, Durabilidade.")</f>
        <v>Preço, características, Lens, Durabilidade.</v>
      </c>
      <c r="B50030" s="3">
        <v>1</v>
      </c>
    </row>
    <row r="50031" ht="15.75" customHeight="1" spans="1:2">
      <c r="A50031" s="3" t="str">
        <f>IFERROR(__xludf.DUMMYFUNCTION("GOOGLETRANSLATE(A50031,""en"",""pt"")"),"Apontar e disparar, fácil de usar, de alta qualidade e imagens nítidas, atualização de LCD em tempo real")</f>
        <v>Apontar e disparar, fácil de usar, de alta qualidade e imagens nítidas, atualização de LCD em tempo real</v>
      </c>
      <c r="B50031" s="3">
        <v>1</v>
      </c>
    </row>
    <row r="50032" ht="15.75" customHeight="1" spans="1:2">
      <c r="A50032" s="3" t="str">
        <f>IFERROR(__xludf.DUMMYFUNCTION("GOOGLETRANSLATE(A50032,""en"",""pt"")"),"tecnologia afinado")</f>
        <v>tecnologia afinado</v>
      </c>
      <c r="B50032" s="3">
        <v>1</v>
      </c>
    </row>
    <row r="50033" ht="15.75" customHeight="1" spans="1:2">
      <c r="A50033" s="3" t="str">
        <f>IFERROR(__xludf.DUMMYFUNCTION("GOOGLETRANSLATE(A50033,""en"",""pt"")"),"fotos surpreendentes, vários acessórios, acessível")</f>
        <v>fotos surpreendentes, vários acessórios, acessível</v>
      </c>
      <c r="B50033" s="3">
        <v>1</v>
      </c>
    </row>
    <row r="50034" ht="15.75" customHeight="1" spans="1:2">
      <c r="A50034" s="3" t="str">
        <f>IFERROR(__xludf.DUMMYFUNCTION("GOOGLETRANSLATE(A50034,""en"",""pt"")"),"qualidade de imagem, facilidade de uso")</f>
        <v>qualidade de imagem, facilidade de uso</v>
      </c>
      <c r="B50034" s="3">
        <v>1</v>
      </c>
    </row>
    <row r="50035" ht="15.75" customHeight="1" spans="1:2">
      <c r="A50035" s="3" t="str">
        <f>IFERROR(__xludf.DUMMYFUNCTION("GOOGLETRANSLATE(A50035,""en"",""pt"")"),"Muitos para listar")</f>
        <v>Muitos para listar</v>
      </c>
      <c r="B50035" s="3">
        <v>1</v>
      </c>
    </row>
    <row r="50036" ht="15.75" customHeight="1" spans="1:2">
      <c r="A50036" s="3" t="str">
        <f>IFERROR(__xludf.DUMMYFUNCTION("GOOGLETRANSLATE(A50036,""en"",""pt"")"),"pequeno, leve, durável,")</f>
        <v>pequeno, leve, durável,</v>
      </c>
      <c r="B50036" s="3">
        <v>1</v>
      </c>
    </row>
    <row r="50037" ht="15.75" customHeight="1" spans="1:2">
      <c r="A50037" s="3" t="str">
        <f>IFERROR(__xludf.DUMMYFUNCTION("GOOGLETRANSLATE(A50037,""en"",""pt"")"),"boa bonita ... boa marca.")</f>
        <v>boa bonita ... boa marca.</v>
      </c>
      <c r="B50037" s="3">
        <v>1</v>
      </c>
    </row>
    <row r="50038" ht="15.75" customHeight="1" spans="1:2">
      <c r="A50038" s="3" t="str">
        <f>IFERROR(__xludf.DUMMYFUNCTION("GOOGLETRANSLATE(A50038,""en"",""pt"")"),"Excelente qualidade de imagem, facilidade de uso no modo automático, extensa seletividade no modo manual, o modo TIFF não comprimido, três modos JPEG compactados úteis, ampla faixa de velocidade do obturador, a recuperação rápida permite que vários tiros "&amp;"em um curto período de tempo, boa ergonomia")</f>
        <v>Excelente qualidade de imagem, facilidade de uso no modo automático, extensa seletividade no modo manual, o modo TIFF não comprimido, três modos JPEG compactados úteis, ampla faixa de velocidade do obturador, a recuperação rápida permite que vários tiros em um curto período de tempo, boa ergonomia</v>
      </c>
      <c r="B50038" s="3">
        <v>1</v>
      </c>
    </row>
    <row r="50039" ht="15.75" customHeight="1" spans="1:2">
      <c r="A50039" s="3" t="str">
        <f>IFERROR(__xludf.DUMMYFUNCTION("GOOGLETRANSLATE(A50039,""en"",""pt"")"),"Foto qualidade, fácil de usar, leve")</f>
        <v>Foto qualidade, fácil de usar, leve</v>
      </c>
      <c r="B50039" s="3">
        <v>1</v>
      </c>
    </row>
    <row r="50040" ht="15.75" customHeight="1" spans="1:2">
      <c r="A50040" s="3" t="str">
        <f>IFERROR(__xludf.DUMMYFUNCTION("GOOGLETRANSLATE(A50040,""en"",""pt"")"),"Rico em recursos, qualidade 2,1 megapixel")</f>
        <v>Rico em recursos, qualidade 2,1 megapixel</v>
      </c>
      <c r="B50040" s="3">
        <v>1</v>
      </c>
    </row>
    <row r="50041" ht="15.75" customHeight="1" spans="1:2">
      <c r="A50041" s="3" t="str">
        <f>IFERROR(__xludf.DUMMYFUNCTION("GOOGLETRANSLATE(A50041,""en"",""pt"")"),"fotos de alta resolução, design ergonômico, preço baixo")</f>
        <v>fotos de alta resolução, design ergonômico, preço baixo</v>
      </c>
      <c r="B50041" s="3">
        <v>1</v>
      </c>
    </row>
    <row r="50042" ht="15.75" customHeight="1" spans="1:2">
      <c r="A50042" s="3" t="str">
        <f>IFERROR(__xludf.DUMMYFUNCTION("GOOGLETRANSLATE(A50042,""en"",""pt"")"),"Fácil de usar, excelente qualidade de imagem")</f>
        <v>Fácil de usar, excelente qualidade de imagem</v>
      </c>
      <c r="B50042" s="3">
        <v>1</v>
      </c>
    </row>
    <row r="50043" ht="15.75" customHeight="1" spans="1:2">
      <c r="A50043" s="3" t="str">
        <f>IFERROR(__xludf.DUMMYFUNCTION("GOOGLETRANSLATE(A50043,""en"",""pt"")"),"Lens, facilidade de uso, acessórios, ótimas fotos mesmo em &amp; amp; quot; Ajuste básico &amp; amp; quot ;,")</f>
        <v>Lens, facilidade de uso, acessórios, ótimas fotos mesmo em &amp; amp; quot; Ajuste básico &amp; amp; quot ;,</v>
      </c>
      <c r="B50043" s="3">
        <v>1</v>
      </c>
    </row>
    <row r="50044" ht="15.75" customHeight="1" spans="1:2">
      <c r="A50044" s="3" t="str">
        <f>IFERROR(__xludf.DUMMYFUNCTION("GOOGLETRANSLATE(A50044,""en"",""pt"")"),"Preço e funções")</f>
        <v>Preço e funções</v>
      </c>
      <c r="B50044" s="3">
        <v>1</v>
      </c>
    </row>
    <row r="50045" ht="15.75" customHeight="1" spans="1:2">
      <c r="A50045" s="3" t="str">
        <f>IFERROR(__xludf.DUMMYFUNCTION("GOOGLETRANSLATE(A50045,""en"",""pt"")"),"boa cor, boa exposição; revisão imagem rápido; menus fácil;")</f>
        <v>boa cor, boa exposição; revisão imagem rápido; menus fácil;</v>
      </c>
      <c r="B50045" s="3">
        <v>1</v>
      </c>
    </row>
    <row r="50046" ht="15.75" customHeight="1" spans="1:2">
      <c r="A50046" s="3" t="str">
        <f>IFERROR(__xludf.DUMMYFUNCTION("GOOGLETRANSLATE(A50046,""en"",""pt"")"),"Tem grande pix, suporte técnico veio através")</f>
        <v>Tem grande pix, suporte técnico veio através</v>
      </c>
      <c r="B50046" s="3">
        <v>1</v>
      </c>
    </row>
    <row r="50047" ht="15.75" customHeight="1" spans="1:2">
      <c r="A50047" s="3" t="str">
        <f>IFERROR(__xludf.DUMMYFUNCTION("GOOGLETRANSLATE(A50047,""en"",""pt"")"),"É uma Nikon, Ele tem grandes figuras!")</f>
        <v>É uma Nikon, Ele tem grandes figuras!</v>
      </c>
      <c r="B50047" s="3">
        <v>1</v>
      </c>
    </row>
    <row r="50048" ht="15.75" customHeight="1" spans="1:2">
      <c r="A50048" s="3" t="str">
        <f>IFERROR(__xludf.DUMMYFUNCTION("GOOGLETRANSLATE(A50048,""en"",""pt"")"),"qualidade de imagem, facilidade de uso")</f>
        <v>qualidade de imagem, facilidade de uso</v>
      </c>
      <c r="B50048" s="3">
        <v>1</v>
      </c>
    </row>
    <row r="50049" ht="15.75" customHeight="1" spans="1:2">
      <c r="A50049" s="3" t="str">
        <f>IFERROR(__xludf.DUMMYFUNCTION("GOOGLETRANSLATE(A50049,""en"",""pt"")"),"A qualidade da foto, o consumo de energia, recursos, valor.")</f>
        <v>A qualidade da foto, o consumo de energia, recursos, valor.</v>
      </c>
      <c r="B50049" s="3">
        <v>1</v>
      </c>
    </row>
    <row r="50050" ht="15.75" customHeight="1" spans="1:2">
      <c r="A50050" s="3" t="str">
        <f>IFERROR(__xludf.DUMMYFUNCTION("GOOGLETRANSLATE(A50050,""en"",""pt"")"),"Preço, qualidade, tamanho")</f>
        <v>Preço, qualidade, tamanho</v>
      </c>
      <c r="B50050" s="3">
        <v>1</v>
      </c>
    </row>
    <row r="50051" ht="15.75" customHeight="1" spans="1:2">
      <c r="A50051" s="3" t="str">
        <f>IFERROR(__xludf.DUMMYFUNCTION("GOOGLETRANSLATE(A50051,""en"",""pt"")"),"Grandes tiros ampliados")</f>
        <v>Grandes tiros ampliados</v>
      </c>
      <c r="B50051" s="3">
        <v>1</v>
      </c>
    </row>
    <row r="50052" ht="15.75" customHeight="1" spans="1:2">
      <c r="A50052" s="3" t="str">
        <f>IFERROR(__xludf.DUMMYFUNCTION("GOOGLETRANSLATE(A50052,""en"",""pt"")"),"Excelentes fotos dos quartos, intuitiva interface de usuário e controles, ótimo preço!")</f>
        <v>Excelentes fotos dos quartos, intuitiva interface de usuário e controles, ótimo preço!</v>
      </c>
      <c r="B50052" s="3">
        <v>1</v>
      </c>
    </row>
    <row r="50053" ht="15.75" customHeight="1" spans="1:2">
      <c r="A50053" s="3" t="str">
        <f>IFERROR(__xludf.DUMMYFUNCTION("GOOGLETRANSLATE(A50053,""en"",""pt"")"),"A qualidade da foto; Preço; Fácil de usar; Boas opções manuais")</f>
        <v>A qualidade da foto; Preço; Fácil de usar; Boas opções manuais</v>
      </c>
      <c r="B50053" s="3">
        <v>1</v>
      </c>
    </row>
    <row r="50054" ht="15.75" customHeight="1" spans="1:2">
      <c r="A50054" s="3" t="str">
        <f>IFERROR(__xludf.DUMMYFUNCTION("GOOGLETRANSLATE(A50054,""en"",""pt"")"),"Preço, qualidade e marca.")</f>
        <v>Preço, qualidade e marca.</v>
      </c>
      <c r="B50054" s="3">
        <v>1</v>
      </c>
    </row>
    <row r="50055" ht="15.75" customHeight="1" spans="1:2">
      <c r="A50055" s="3" t="str">
        <f>IFERROR(__xludf.DUMMYFUNCTION("GOOGLETRANSLATE(A50055,""en"",""pt"")"),"fantásticas Fotos")</f>
        <v>fantásticas Fotos</v>
      </c>
      <c r="B50055" s="3">
        <v>1</v>
      </c>
    </row>
    <row r="50056" ht="15.75" customHeight="1" spans="1:2">
      <c r="A50056" s="3" t="str">
        <f>IFERROR(__xludf.DUMMYFUNCTION("GOOGLETRANSLATE(A50056,""en"",""pt"")"),"Tamanho, qualidade de imagem, características, conveniência")</f>
        <v>Tamanho, qualidade de imagem, características, conveniência</v>
      </c>
      <c r="B50056" s="3">
        <v>1</v>
      </c>
    </row>
    <row r="50057" ht="15.75" customHeight="1" spans="1:2">
      <c r="A50057" s="3" t="str">
        <f>IFERROR(__xludf.DUMMYFUNCTION("GOOGLETRANSLATE(A50057,""en"",""pt"")"),"De alta qualidade, fácil de usar")</f>
        <v>De alta qualidade, fácil de usar</v>
      </c>
      <c r="B50057" s="3">
        <v>1</v>
      </c>
    </row>
    <row r="50058" ht="15.75" customHeight="1" spans="1:2">
      <c r="A50058" s="3" t="str">
        <f>IFERROR(__xludf.DUMMYFUNCTION("GOOGLETRANSLATE(A50058,""en"",""pt"")"),"Fácil de usar, preço, qualidade pic")</f>
        <v>Fácil de usar, preço, qualidade pic</v>
      </c>
      <c r="B50058" s="3">
        <v>1</v>
      </c>
    </row>
    <row r="50059" ht="15.75" customHeight="1" spans="1:2">
      <c r="A50059" s="3" t="str">
        <f>IFERROR(__xludf.DUMMYFUNCTION("GOOGLETRANSLATE(A50059,""en"",""pt"")"),"Boa imagem, vida útil da bateria decente.")</f>
        <v>Boa imagem, vida útil da bateria decente.</v>
      </c>
      <c r="B50059" s="3">
        <v>1</v>
      </c>
    </row>
    <row r="50060" ht="15.75" customHeight="1" spans="1:2">
      <c r="A50060" s="3" t="str">
        <f>IFERROR(__xludf.DUMMYFUNCTION("GOOGLETRANSLATE(A50060,""en"",""pt"")"),"Grande bang para o buck e leve.")</f>
        <v>Grande bang para o buck e leve.</v>
      </c>
      <c r="B50060" s="3">
        <v>1</v>
      </c>
    </row>
    <row r="50061" ht="15.75" customHeight="1" spans="1:2">
      <c r="A50061" s="3" t="str">
        <f>IFERROR(__xludf.DUMMYFUNCTION("GOOGLETRANSLATE(A50061,""en"",""pt"")"),"Ótimo preço, um monte de recursos, fácil de usar.")</f>
        <v>Ótimo preço, um monte de recursos, fácil de usar.</v>
      </c>
      <c r="B50061" s="3">
        <v>1</v>
      </c>
    </row>
    <row r="50062" ht="15.75" customHeight="1" spans="1:2">
      <c r="A50062" s="3" t="str">
        <f>IFERROR(__xludf.DUMMYFUNCTION("GOOGLETRANSLATE(A50062,""en"",""pt"")"),"Grande qualidade de imagem e branco sistema de balanço, muito barato, com desconto")</f>
        <v>Grande qualidade de imagem e branco sistema de balanço, muito barato, com desconto</v>
      </c>
      <c r="B50062" s="3">
        <v>1</v>
      </c>
    </row>
    <row r="50063" ht="15.75" customHeight="1" spans="1:2">
      <c r="A50063" s="3" t="str">
        <f>IFERROR(__xludf.DUMMYFUNCTION("GOOGLETRANSLATE(A50063,""en"",""pt"")"),"Facilidade de uso, portabilidade, qualidade das imagens")</f>
        <v>Facilidade de uso, portabilidade, qualidade das imagens</v>
      </c>
      <c r="B50063" s="3">
        <v>1</v>
      </c>
    </row>
    <row r="50064" ht="15.75" customHeight="1" spans="1:2">
      <c r="A50064" s="3" t="str">
        <f>IFERROR(__xludf.DUMMYFUNCTION("GOOGLETRANSLATE(A50064,""en"",""pt"")"),"Preço e Qualidade")</f>
        <v>Preço e Qualidade</v>
      </c>
      <c r="B50064" s="3">
        <v>1</v>
      </c>
    </row>
    <row r="50065" ht="15.75" customHeight="1" spans="1:2">
      <c r="A50065" s="3" t="str">
        <f>IFERROR(__xludf.DUMMYFUNCTION("GOOGLETRANSLATE(A50065,""en"",""pt"")"),"excelente preço, características excelentes (que funcionam como prometido!), excelente qualidade de foto !!!")</f>
        <v>excelente preço, características excelentes (que funcionam como prometido!), excelente qualidade de foto !!!</v>
      </c>
      <c r="B50065" s="3">
        <v>1</v>
      </c>
    </row>
    <row r="50066" ht="15.75" customHeight="1" spans="1:2">
      <c r="A50066" s="3" t="str">
        <f>IFERROR(__xludf.DUMMYFUNCTION("GOOGLETRANSLATE(A50066,""en"",""pt"")"),"Ótimas fotos")</f>
        <v>Ótimas fotos</v>
      </c>
      <c r="B50066" s="3">
        <v>1</v>
      </c>
    </row>
    <row r="50067" ht="15.75" customHeight="1" spans="1:2">
      <c r="A50067" s="3" t="str">
        <f>IFERROR(__xludf.DUMMYFUNCTION("GOOGLETRANSLATE(A50067,""en"",""pt"")"),"Qualidade da imagem")</f>
        <v>Qualidade da imagem</v>
      </c>
      <c r="B50067" s="3">
        <v>1</v>
      </c>
    </row>
    <row r="50068" ht="15.75" customHeight="1" spans="1:2">
      <c r="A50068" s="3" t="str">
        <f>IFERROR(__xludf.DUMMYFUNCTION("GOOGLETRANSLATE(A50068,""en"",""pt"")"),"excelente qualidade de imagem")</f>
        <v>excelente qualidade de imagem</v>
      </c>
      <c r="B50068" s="3">
        <v>1</v>
      </c>
    </row>
    <row r="50069" ht="15.75" customHeight="1" spans="1:2">
      <c r="A50069" s="3" t="str">
        <f>IFERROR(__xludf.DUMMYFUNCTION("GOOGLETRANSLATE(A50069,""en"",""pt"")"),"Pequeno, excelente qualidade de foto, controles intuitivos")</f>
        <v>Pequeno, excelente qualidade de foto, controles intuitivos</v>
      </c>
      <c r="B50069" s="3">
        <v>1</v>
      </c>
    </row>
    <row r="50070" ht="15.75" customHeight="1" spans="1:2">
      <c r="A50070" s="3" t="str">
        <f>IFERROR(__xludf.DUMMYFUNCTION("GOOGLETRANSLATE(A50070,""en"",""pt"")"),"ótimas fotos, preço bom")</f>
        <v>ótimas fotos, preço bom</v>
      </c>
      <c r="B50070" s="3">
        <v>1</v>
      </c>
    </row>
    <row r="50071" ht="15.75" customHeight="1" spans="1:2">
      <c r="A50071" s="3" t="str">
        <f>IFERROR(__xludf.DUMMYFUNCTION("GOOGLETRANSLATE(A50071,""en"",""pt"")"),"impressões de grande qualidade")</f>
        <v>impressões de grande qualidade</v>
      </c>
      <c r="B50071" s="3">
        <v>1</v>
      </c>
    </row>
    <row r="50072" ht="15.75" customHeight="1" spans="1:2">
      <c r="A50072" s="3" t="str">
        <f>IFERROR(__xludf.DUMMYFUNCTION("GOOGLETRANSLATE(A50072,""en"",""pt"")"),"Imagens de alta qualidade")</f>
        <v>Imagens de alta qualidade</v>
      </c>
      <c r="B50072" s="3">
        <v>1</v>
      </c>
    </row>
    <row r="50073" ht="15.75" customHeight="1" spans="1:2">
      <c r="A50073" s="3" t="str">
        <f>IFERROR(__xludf.DUMMYFUNCTION("GOOGLETRANSLATE(A50073,""en"",""pt"")"),"qualidade, facilidade de uso")</f>
        <v>qualidade, facilidade de uso</v>
      </c>
      <c r="B50073" s="3">
        <v>1</v>
      </c>
    </row>
    <row r="50074" ht="15.75" customHeight="1" spans="1:2">
      <c r="A50074" s="3" t="str">
        <f>IFERROR(__xludf.DUMMYFUNCTION("GOOGLETRANSLATE(A50074,""en"",""pt"")"),"Impressionante qualidade de imagem, características excelentes, luz, pequeno")</f>
        <v>Impressionante qualidade de imagem, características excelentes, luz, pequeno</v>
      </c>
      <c r="B50074" s="3">
        <v>1</v>
      </c>
    </row>
    <row r="50075" ht="15.75" customHeight="1" spans="1:2">
      <c r="A50075" s="3" t="str">
        <f>IFERROR(__xludf.DUMMYFUNCTION("GOOGLETRANSLATE(A50075,""en"",""pt"")"),"boas fotos")</f>
        <v>boas fotos</v>
      </c>
      <c r="B50075" s="3">
        <v>1</v>
      </c>
    </row>
    <row r="50076" ht="15.75" customHeight="1" spans="1:2">
      <c r="A50076" s="3" t="str">
        <f>IFERROR(__xludf.DUMMYFUNCTION("GOOGLETRANSLATE(A50076,""en"",""pt"")"),"qualidade da imagem é boa")</f>
        <v>qualidade da imagem é boa</v>
      </c>
      <c r="B50076" s="3">
        <v>1</v>
      </c>
    </row>
    <row r="50077" ht="15.75" customHeight="1" spans="1:2">
      <c r="A50077" s="3" t="str">
        <f>IFERROR(__xludf.DUMMYFUNCTION("GOOGLETRANSLATE(A50077,""en"",""pt"")"),"Digital, pode colocar em computadores, visualizando a tela, qualidade e ajustes de flash, não usa filme, durável, fácil de usar.")</f>
        <v>Digital, pode colocar em computadores, visualizando a tela, qualidade e ajustes de flash, não usa filme, durável, fácil de usar.</v>
      </c>
      <c r="B50077" s="3">
        <v>1</v>
      </c>
    </row>
    <row r="50078" ht="15.75" customHeight="1" spans="1:2">
      <c r="A50078" s="3" t="str">
        <f>IFERROR(__xludf.DUMMYFUNCTION("GOOGLETRANSLATE(A50078,""en"",""pt"")"),"Fácil de tirar fotos, cartões de memória CompactFlash torná-lo simples para mover as fotos para PCs")</f>
        <v>Fácil de tirar fotos, cartões de memória CompactFlash torná-lo simples para mover as fotos para PCs</v>
      </c>
      <c r="B50078" s="3">
        <v>1</v>
      </c>
    </row>
    <row r="50079" ht="15.75" customHeight="1" spans="1:2">
      <c r="A50079" s="3" t="str">
        <f>IFERROR(__xludf.DUMMYFUNCTION("GOOGLETRANSLATE(A50079,""en"",""pt"")"),"Excelente Nikon qualidade da foto (palavra-chave qualidade da foto)")</f>
        <v>Excelente Nikon qualidade da foto (palavra-chave qualidade da foto)</v>
      </c>
      <c r="B50079" s="3">
        <v>1</v>
      </c>
    </row>
    <row r="50080" ht="15.75" customHeight="1" spans="1:2">
      <c r="A50080" s="3" t="str">
        <f>IFERROR(__xludf.DUMMYFUNCTION("GOOGLETRANSLATE(A50080,""en"",""pt"")"),"imagens de grande qualidade, muito acessível e fácil de usar")</f>
        <v>imagens de grande qualidade, muito acessível e fácil de usar</v>
      </c>
      <c r="B50080" s="3">
        <v>1</v>
      </c>
    </row>
    <row r="50081" ht="15.75" customHeight="1" spans="1:2">
      <c r="A50081" s="3" t="str">
        <f>IFERROR(__xludf.DUMMYFUNCTION("GOOGLETRANSLATE(A50081,""en"",""pt"")"),"imagens de alta qualidade de alta resolução. Lotes das características")</f>
        <v>imagens de alta qualidade de alta resolução. Lotes das características</v>
      </c>
      <c r="B50081" s="3">
        <v>1</v>
      </c>
    </row>
    <row r="50082" ht="15.75" customHeight="1" spans="1:2">
      <c r="A50082" s="3" t="str">
        <f>IFERROR(__xludf.DUMMYFUNCTION("GOOGLETRANSLATE(A50082,""en"",""pt"")"),"2+ megapixels, Grandes imagens, adicione em lentes, ótimo preço")</f>
        <v>2+ megapixels, Grandes imagens, adicione em lentes, ótimo preço</v>
      </c>
      <c r="B50082" s="3">
        <v>1</v>
      </c>
    </row>
    <row r="50083" ht="15.75" customHeight="1" spans="1:2">
      <c r="A50083" s="3" t="str">
        <f>IFERROR(__xludf.DUMMYFUNCTION("GOOGLETRANSLATE(A50083,""en"",""pt"")"),"Grande valor. Muito confiável, fácil de usar e excelente qualidade de imagem.")</f>
        <v>Grande valor. Muito confiável, fácil de usar e excelente qualidade de imagem.</v>
      </c>
      <c r="B50083" s="3">
        <v>1</v>
      </c>
    </row>
    <row r="50084" ht="15.75" customHeight="1" spans="1:2">
      <c r="A50084" s="3" t="str">
        <f>IFERROR(__xludf.DUMMYFUNCTION("GOOGLETRANSLATE(A50084,""en"",""pt"")"),"Fácil de usar, configurações personalizáveis, ótimas fotos.")</f>
        <v>Fácil de usar, configurações personalizáveis, ótimas fotos.</v>
      </c>
      <c r="B50084" s="3">
        <v>1</v>
      </c>
    </row>
    <row r="50085" ht="15.75" customHeight="1" spans="1:2">
      <c r="A50085" s="3" t="str">
        <f>IFERROR(__xludf.DUMMYFUNCTION("GOOGLETRANSLATE(A50085,""en"",""pt"")"),"Pode ser pego barato. De alta qualidade para durar mais alguns anos.")</f>
        <v>Pode ser pego barato. De alta qualidade para durar mais alguns anos.</v>
      </c>
      <c r="B50085" s="3">
        <v>1</v>
      </c>
    </row>
    <row r="50086" ht="15.75" customHeight="1" spans="1:2">
      <c r="A50086" s="3" t="str">
        <f>IFERROR(__xludf.DUMMYFUNCTION("GOOGLETRANSLATE(A50086,""en"",""pt"")"),"controles pequeno, bem localizado, viewfinder &amp; amp; zoom 2,5x claro, complementos de lente")</f>
        <v>controles pequeno, bem localizado, viewfinder &amp; amp; zoom 2,5x claro, complementos de lente</v>
      </c>
      <c r="B50086" s="3">
        <v>1</v>
      </c>
    </row>
    <row r="50087" ht="15.75" customHeight="1" spans="1:2">
      <c r="A50087" s="3" t="str">
        <f>IFERROR(__xludf.DUMMYFUNCTION("GOOGLETRANSLATE(A50087,""en"",""pt"")"),"Captura ótimas fotos, muitos recursos.")</f>
        <v>Captura ótimas fotos, muitos recursos.</v>
      </c>
      <c r="B50087" s="3">
        <v>1</v>
      </c>
    </row>
    <row r="50088" ht="15.75" customHeight="1" spans="1:2">
      <c r="A50088" s="3" t="str">
        <f>IFERROR(__xludf.DUMMYFUNCTION("GOOGLETRANSLATE(A50088,""en"",""pt"")"),"nome Nikon, pixels")</f>
        <v>nome Nikon, pixels</v>
      </c>
      <c r="B50088" s="3">
        <v>1</v>
      </c>
    </row>
    <row r="50089" ht="15.75" customHeight="1" spans="1:2">
      <c r="A50089" s="3" t="str">
        <f>IFERROR(__xludf.DUMMYFUNCTION("GOOGLETRANSLATE(A50089,""en"",""pt"")"),"Todas as características úteis do Nikon 990, com um tamanho melhor para viajar.")</f>
        <v>Todas as características úteis do Nikon 990, com um tamanho melhor para viajar.</v>
      </c>
      <c r="B50089" s="3">
        <v>1</v>
      </c>
    </row>
    <row r="50090" ht="15.75" customHeight="1" spans="1:2">
      <c r="A50090" s="3" t="str">
        <f>IFERROR(__xludf.DUMMYFUNCTION("GOOGLETRANSLATE(A50090,""en"",""pt"")"),"boas fotos, Nice tamanho, modo de cena interessante, excelente vista rápida.")</f>
        <v>boas fotos, Nice tamanho, modo de cena interessante, excelente vista rápida.</v>
      </c>
      <c r="B50090" s="3">
        <v>1</v>
      </c>
    </row>
    <row r="50091" ht="15.75" customHeight="1" spans="1:2">
      <c r="A50091" s="3" t="str">
        <f>IFERROR(__xludf.DUMMYFUNCTION("GOOGLETRANSLATE(A50091,""en"",""pt"")"),"Alta resolução, tamanho certo, boa visualização, zoom poderoso")</f>
        <v>Alta resolução, tamanho certo, boa visualização, zoom poderoso</v>
      </c>
      <c r="B50091" s="3">
        <v>1</v>
      </c>
    </row>
    <row r="50092" ht="15.75" customHeight="1" spans="1:2">
      <c r="A50092" s="3" t="str">
        <f>IFERROR(__xludf.DUMMYFUNCTION("GOOGLETRANSLATE(A50092,""en"",""pt"")"),"Grandes fotos com muitos detalhes, zoom, alguns recursos manuais")</f>
        <v>Grandes fotos com muitos detalhes, zoom, alguns recursos manuais</v>
      </c>
      <c r="B50092" s="3">
        <v>1</v>
      </c>
    </row>
    <row r="50093" ht="15.75" customHeight="1" spans="1:2">
      <c r="A50093" s="3" t="str">
        <f>IFERROR(__xludf.DUMMYFUNCTION("GOOGLETRANSLATE(A50093,""en"",""pt"")"),"Compacto, fácil, excelente qualidade Fotos")</f>
        <v>Compacto, fácil, excelente qualidade Fotos</v>
      </c>
      <c r="B50093" s="3">
        <v>1</v>
      </c>
    </row>
    <row r="50094" ht="15.75" customHeight="1" spans="1:2">
      <c r="A50094" s="3" t="str">
        <f>IFERROR(__xludf.DUMMYFUNCTION("GOOGLETRANSLATE(A50094,""en"",""pt"")"),"Grandes fotos, configurações de auto agradáveis")</f>
        <v>Grandes fotos, configurações de auto agradáveis</v>
      </c>
      <c r="B50094" s="3">
        <v>1</v>
      </c>
    </row>
    <row r="50095" ht="15.75" customHeight="1" spans="1:2">
      <c r="A50095" s="3" t="str">
        <f>IFERROR(__xludf.DUMMYFUNCTION("GOOGLETRANSLATE(A50095,""en"",""pt"")"),"muito leve e compacto, imagens de boa qualidade, versátil.")</f>
        <v>muito leve e compacto, imagens de boa qualidade, versátil.</v>
      </c>
      <c r="B50095" s="3">
        <v>1</v>
      </c>
    </row>
    <row r="50096" ht="15.75" customHeight="1" spans="1:2">
      <c r="A50096" s="3" t="str">
        <f>IFERROR(__xludf.DUMMYFUNCTION("GOOGLETRANSLATE(A50096,""en"",""pt"")"),"Excelente qualidade de imagem, shot2shot rápida recarga")</f>
        <v>Excelente qualidade de imagem, shot2shot rápida recarga</v>
      </c>
      <c r="B50096" s="3">
        <v>1</v>
      </c>
    </row>
    <row r="50097" ht="15.75" customHeight="1" spans="1:2">
      <c r="A50097" s="3" t="str">
        <f>IFERROR(__xludf.DUMMYFUNCTION("GOOGLETRANSLATE(A50097,""en"",""pt"")"),"imagens nítidas e muitos recursos, custo mais baixo")</f>
        <v>imagens nítidas e muitos recursos, custo mais baixo</v>
      </c>
      <c r="B50097" s="3">
        <v>1</v>
      </c>
    </row>
    <row r="50098" ht="15.75" customHeight="1" spans="1:2">
      <c r="A50098" s="3" t="str">
        <f>IFERROR(__xludf.DUMMYFUNCTION("GOOGLETRANSLATE(A50098,""en"",""pt"")"),"3,34 megapixels, lente grande, muitos modos, Serviços para amadores e profissionais, tela LCD nítido")</f>
        <v>3,34 megapixels, lente grande, muitos modos, Serviços para amadores e profissionais, tela LCD nítido</v>
      </c>
      <c r="B50098" s="3">
        <v>1</v>
      </c>
    </row>
    <row r="50099" ht="15.75" customHeight="1" spans="1:2">
      <c r="A50099" s="3" t="str">
        <f>IFERROR(__xludf.DUMMYFUNCTION("GOOGLETRANSLATE(A50099,""en"",""pt"")"),"modos manuais, zoom óptico, opções de medição")</f>
        <v>modos manuais, zoom óptico, opções de medição</v>
      </c>
      <c r="B50099" s="3">
        <v>1</v>
      </c>
    </row>
    <row r="50100" ht="15.75" customHeight="1" spans="1:2">
      <c r="A50100" s="3" t="str">
        <f>IFERROR(__xludf.DUMMYFUNCTION("GOOGLETRANSLATE(A50100,""en"",""pt"")"),"Tamanho, a vida da bateria, PC Conectividade, Pic Qualidade.")</f>
        <v>Tamanho, a vida da bateria, PC Conectividade, Pic Qualidade.</v>
      </c>
      <c r="B50100" s="3">
        <v>1</v>
      </c>
    </row>
    <row r="50101" ht="15.75" customHeight="1" spans="1:2">
      <c r="A50101" s="3" t="str">
        <f>IFERROR(__xludf.DUMMYFUNCTION("GOOGLETRANSLATE(A50101,""en"",""pt"")"),"fotos de qualidade, melhorar a imagem caracteriza, regiões 5 de focagem automática, o modo Cenas, pequeno e leve.")</f>
        <v>fotos de qualidade, melhorar a imagem caracteriza, regiões 5 de focagem automática, o modo Cenas, pequeno e leve.</v>
      </c>
      <c r="B50101" s="3">
        <v>1</v>
      </c>
    </row>
    <row r="50102" ht="15.75" customHeight="1" spans="1:2">
      <c r="A50102" s="3" t="str">
        <f>IFERROR(__xludf.DUMMYFUNCTION("GOOGLETRANSLATE(A50102,""en"",""pt"")"),"Excelente qualidade de imagem, grande auto de medição, uma fotos de toque.")</f>
        <v>Excelente qualidade de imagem, grande auto de medição, uma fotos de toque.</v>
      </c>
      <c r="B50102" s="3">
        <v>1</v>
      </c>
    </row>
    <row r="50103" ht="15.75" customHeight="1" spans="1:2">
      <c r="A50103" s="3" t="str">
        <f>IFERROR(__xludf.DUMMYFUNCTION("GOOGLETRANSLATE(A50103,""en"",""pt"")"),"tamanho compacto, boa lente, grande controle manual, e boa localização botão")</f>
        <v>tamanho compacto, boa lente, grande controle manual, e boa localização botão</v>
      </c>
      <c r="B50103" s="3">
        <v>1</v>
      </c>
    </row>
    <row r="50104" ht="15.75" customHeight="1" spans="1:2">
      <c r="A50104" s="3" t="str">
        <f>IFERROR(__xludf.DUMMYFUNCTION("GOOGLETRANSLATE(A50104,""en"",""pt"")"),"tamanho compacto &amp; amp; configurações em abundância")</f>
        <v>tamanho compacto &amp; amp; configurações em abundância</v>
      </c>
      <c r="B50104" s="3">
        <v>1</v>
      </c>
    </row>
    <row r="50105" ht="15.75" customHeight="1" spans="1:2">
      <c r="A50105" s="3" t="str">
        <f>IFERROR(__xludf.DUMMYFUNCTION("GOOGLETRANSLATE(A50105,""en"",""pt"")"),"Excelente cor e iluminação, cheio de recursos.")</f>
        <v>Excelente cor e iluminação, cheio de recursos.</v>
      </c>
      <c r="B50105" s="3">
        <v>1</v>
      </c>
    </row>
    <row r="50106" ht="15.75" customHeight="1" spans="1:2">
      <c r="A50106" s="3" t="str">
        <f>IFERROR(__xludf.DUMMYFUNCTION("GOOGLETRANSLATE(A50106,""en"",""pt"")"),"3,34 Megapixels, grandes recursos, Super Preço")</f>
        <v>3,34 Megapixels, grandes recursos, Super Preço</v>
      </c>
      <c r="B50106" s="3">
        <v>1</v>
      </c>
    </row>
    <row r="50107" ht="15.75" customHeight="1" spans="1:2">
      <c r="A50107" s="3" t="str">
        <f>IFERROR(__xludf.DUMMYFUNCTION("GOOGLETRANSLATE(A50107,""en"",""pt"")"),"imagens de alta qualidade, tamanho compacto")</f>
        <v>imagens de alta qualidade, tamanho compacto</v>
      </c>
      <c r="B50107" s="3">
        <v>1</v>
      </c>
    </row>
    <row r="50108" ht="15.75" customHeight="1" spans="1:2">
      <c r="A50108" s="3" t="str">
        <f>IFERROR(__xludf.DUMMYFUNCTION("GOOGLETRANSLATE(A50108,""en"",""pt"")"),"Boas imagens, conveniente")</f>
        <v>Boas imagens, conveniente</v>
      </c>
      <c r="B50108" s="3">
        <v>1</v>
      </c>
    </row>
    <row r="50109" ht="15.75" customHeight="1" spans="1:2">
      <c r="A50109" s="3" t="str">
        <f>IFERROR(__xludf.DUMMYFUNCTION("GOOGLETRANSLATE(A50109,""en"",""pt"")"),"Nikon qualidade, rico em recursos, Controle Manual")</f>
        <v>Nikon qualidade, rico em recursos, Controle Manual</v>
      </c>
      <c r="B50109" s="3">
        <v>1</v>
      </c>
    </row>
    <row r="50110" ht="15.75" customHeight="1" spans="1:2">
      <c r="A50110" s="3" t="str">
        <f>IFERROR(__xludf.DUMMYFUNCTION("GOOGLETRANSLATE(A50110,""en"",""pt"")"),"Destaque-embaladas e Oh tão pequeno!")</f>
        <v>Destaque-embaladas e Oh tão pequeno!</v>
      </c>
      <c r="B50110" s="3">
        <v>1</v>
      </c>
    </row>
    <row r="50111" ht="15.75" customHeight="1" spans="1:2">
      <c r="A50111" s="3" t="str">
        <f>IFERROR(__xludf.DUMMYFUNCTION("GOOGLETRANSLATE(A50111,""en"",""pt"")"),"Preço qualidade de imagem")</f>
        <v>Preço qualidade de imagem</v>
      </c>
      <c r="B50111" s="3">
        <v>1</v>
      </c>
    </row>
    <row r="50112" ht="15.75" customHeight="1" spans="1:2">
      <c r="A50112" s="3" t="str">
        <f>IFERROR(__xludf.DUMMYFUNCTION("GOOGLETRANSLATE(A50112,""en"",""pt"")"),"Muito compacto, toneladas de características, excelente qualidade de imagem mesmo nas configurações mais baixas.")</f>
        <v>Muito compacto, toneladas de características, excelente qualidade de imagem mesmo nas configurações mais baixas.</v>
      </c>
      <c r="B50112" s="3">
        <v>1</v>
      </c>
    </row>
    <row r="50113" ht="15.75" customHeight="1" spans="1:2">
      <c r="A50113" s="3" t="str">
        <f>IFERROR(__xludf.DUMMYFUNCTION("GOOGLETRANSLATE(A50113,""en"",""pt"")"),"Excelentes fotos, tamanho compacto, fácil de usar, zoom óptico, acessórios disponíveis")</f>
        <v>Excelentes fotos, tamanho compacto, fácil de usar, zoom óptico, acessórios disponíveis</v>
      </c>
      <c r="B50113" s="3">
        <v>1</v>
      </c>
    </row>
    <row r="50114" ht="15.75" customHeight="1" spans="1:2">
      <c r="A50114" s="3" t="str">
        <f>IFERROR(__xludf.DUMMYFUNCTION("GOOGLETRANSLATE(A50114,""en"",""pt"")"),"3,34 megapixels, capacidade Macro, melhor qualidade de imagem")</f>
        <v>3,34 megapixels, capacidade Macro, melhor qualidade de imagem</v>
      </c>
      <c r="B50114" s="3">
        <v>1</v>
      </c>
    </row>
    <row r="50115" ht="15.75" customHeight="1" spans="1:2">
      <c r="A50115" s="3" t="str">
        <f>IFERROR(__xludf.DUMMYFUNCTION("GOOGLETRANSLATE(A50115,""en"",""pt"")"),"CÂMARA DE SOM, CAMERA ZONE, COMPDIRECT e câmera DISCOVERY não honrar seus preços site!")</f>
        <v>CÂMARA DE SOM, CAMERA ZONE, COMPDIRECT e câmera DISCOVERY não honrar seus preços site!</v>
      </c>
      <c r="B50115" s="3">
        <v>1</v>
      </c>
    </row>
    <row r="50116" ht="15.75" customHeight="1" spans="1:2">
      <c r="A50116" s="3" t="str">
        <f>IFERROR(__xludf.DUMMYFUNCTION("GOOGLETRANSLATE(A50116,""en"",""pt"")"),"nome Nikon, fator de forma.")</f>
        <v>nome Nikon, fator de forma.</v>
      </c>
      <c r="B50116" s="3">
        <v>1</v>
      </c>
    </row>
    <row r="50117" ht="15.75" customHeight="1" spans="1:2">
      <c r="A50117" s="3" t="str">
        <f>IFERROR(__xludf.DUMMYFUNCTION("GOOGLETRANSLATE(A50117,""en"",""pt"")"),"Tamanho, preço, qualidade de imagem, Características")</f>
        <v>Tamanho, preço, qualidade de imagem, Características</v>
      </c>
      <c r="B50117" s="3">
        <v>1</v>
      </c>
    </row>
    <row r="50118" ht="15.75" customHeight="1" spans="1:2">
      <c r="A50118" s="3" t="str">
        <f>IFERROR(__xludf.DUMMYFUNCTION("GOOGLETRANSLATE(A50118,""en"",""pt"")"),"Tamanho grande, solidamente construída, luz.")</f>
        <v>Tamanho grande, solidamente construída, luz.</v>
      </c>
      <c r="B50118" s="3">
        <v>1</v>
      </c>
    </row>
    <row r="50119" ht="15.75" customHeight="1" spans="1:2">
      <c r="A50119" s="3" t="str">
        <f>IFERROR(__xludf.DUMMYFUNCTION("GOOGLETRANSLATE(A50119,""en"",""pt"")"),"Muito bom preço, muitos recursos, em vez compacto, excelente qualidade de imagens")</f>
        <v>Muito bom preço, muitos recursos, em vez compacto, excelente qualidade de imagens</v>
      </c>
      <c r="B50119" s="3">
        <v>1</v>
      </c>
    </row>
    <row r="50120" ht="15.75" customHeight="1" spans="1:2">
      <c r="A50120" s="3" t="str">
        <f>IFERROR(__xludf.DUMMYFUNCTION("GOOGLETRANSLATE(A50120,""en"",""pt"")"),"Qualidade, preço, add-on acessórios, lotes de características, tamanho, grande macro, modo de cena, etc.")</f>
        <v>Qualidade, preço, add-on acessórios, lotes de características, tamanho, grande macro, modo de cena, etc.</v>
      </c>
      <c r="B50120" s="3">
        <v>1</v>
      </c>
    </row>
    <row r="50121" ht="15.75" customHeight="1" spans="1:2">
      <c r="A50121" s="3" t="str">
        <f>IFERROR(__xludf.DUMMYFUNCTION("GOOGLETRANSLATE(A50121,""en"",""pt"")"),"fotos excelentes")</f>
        <v>fotos excelentes</v>
      </c>
      <c r="B50121" s="3">
        <v>1</v>
      </c>
    </row>
    <row r="50122" ht="15.75" customHeight="1" spans="1:2">
      <c r="A50122" s="3" t="str">
        <f>IFERROR(__xludf.DUMMYFUNCTION("GOOGLETRANSLATE(A50122,""en"",""pt"")"),"compacta, muito forte, cores precisas")</f>
        <v>compacta, muito forte, cores precisas</v>
      </c>
      <c r="B50122" s="3">
        <v>1</v>
      </c>
    </row>
    <row r="50123" ht="15.75" customHeight="1" spans="1:2">
      <c r="A50123" s="3" t="str">
        <f>IFERROR(__xludf.DUMMYFUNCTION("GOOGLETRANSLATE(A50123,""en"",""pt"")"),"Bom preço! qualidade Great Picture! Fácil de aprender! valor imbatível!")</f>
        <v>Bom preço! qualidade Great Picture! Fácil de aprender! valor imbatível!</v>
      </c>
      <c r="B50123" s="3">
        <v>1</v>
      </c>
    </row>
    <row r="50124" ht="15.75" customHeight="1" spans="1:2">
      <c r="A50124" s="3" t="str">
        <f>IFERROR(__xludf.DUMMYFUNCTION("GOOGLETRANSLATE(A50124,""en"",""pt"")"),"fantástica câmera, TC-E3ED teleconverter pode fotografar a lua, veja abaixo")</f>
        <v>fantástica câmera, TC-E3ED teleconverter pode fotografar a lua, veja abaixo</v>
      </c>
      <c r="B50124" s="3">
        <v>1</v>
      </c>
    </row>
    <row r="50125" ht="15.75" customHeight="1" spans="1:2">
      <c r="A50125" s="3" t="str">
        <f>IFERROR(__xludf.DUMMYFUNCTION("GOOGLETRANSLATE(A50125,""en"",""pt"")"),"Às vezes é preciso fotos decentes")</f>
        <v>Às vezes é preciso fotos decentes</v>
      </c>
      <c r="B50125" s="3">
        <v>1</v>
      </c>
    </row>
    <row r="50126" ht="15.75" customHeight="1" spans="1:2">
      <c r="A50126" s="3" t="str">
        <f>IFERROR(__xludf.DUMMYFUNCTION("GOOGLETRANSLATE(A50126,""en"",""pt"")"),"Boas características - design agradável - imagens nítidas")</f>
        <v>Boas características - design agradável - imagens nítidas</v>
      </c>
      <c r="B50126" s="3">
        <v>1</v>
      </c>
    </row>
    <row r="50127" ht="15.75" customHeight="1" spans="1:2">
      <c r="A50127" s="3" t="str">
        <f>IFERROR(__xludf.DUMMYFUNCTION("GOOGLETRANSLATE(A50127,""en"",""pt"")"),"Luz, Pequeno, afiado, fácil de usar, controles manuais flexíveis")</f>
        <v>Luz, Pequeno, afiado, fácil de usar, controles manuais flexíveis</v>
      </c>
      <c r="B50127" s="3">
        <v>1</v>
      </c>
    </row>
    <row r="50128" ht="15.75" customHeight="1" spans="1:2">
      <c r="A50128" s="3" t="str">
        <f>IFERROR(__xludf.DUMMYFUNCTION("GOOGLETRANSLATE(A50128,""en"",""pt"")"),"Bons controles, imagens nítidas, bom modo manual")</f>
        <v>Bons controles, imagens nítidas, bom modo manual</v>
      </c>
      <c r="B50128" s="3">
        <v>1</v>
      </c>
    </row>
    <row r="50129" ht="15.75" customHeight="1" spans="1:2">
      <c r="A50129" s="3" t="str">
        <f>IFERROR(__xludf.DUMMYFUNCTION("GOOGLETRANSLATE(A50129,""en"",""pt"")"),"qualidade da imagem, tamanho e peso, controles manuais, opcionais grande angular e teleobjectiva")</f>
        <v>qualidade da imagem, tamanho e peso, controles manuais, opcionais grande angular e teleobjectiva</v>
      </c>
      <c r="B50129" s="3">
        <v>1</v>
      </c>
    </row>
    <row r="50130" ht="15.75" customHeight="1" spans="1:2">
      <c r="A50130" s="3" t="str">
        <f>IFERROR(__xludf.DUMMYFUNCTION("GOOGLETRANSLATE(A50130,""en"",""pt"")"),"Pequeno, característica-cheia, 3,21 megapixel câmera com layout de fácil utilização")</f>
        <v>Pequeno, característica-cheia, 3,21 megapixel câmera com layout de fácil utilização</v>
      </c>
      <c r="B50130" s="3">
        <v>1</v>
      </c>
    </row>
    <row r="50131" ht="15.75" customHeight="1" spans="1:2">
      <c r="A50131" s="3" t="str">
        <f>IFERROR(__xludf.DUMMYFUNCTION("GOOGLETRANSLATE(A50131,""en"",""pt"")"),"Boa qualidade de imagem, fácil de usar, compacto e pequeno, lighweight, bons recursos")</f>
        <v>Boa qualidade de imagem, fácil de usar, compacto e pequeno, lighweight, bons recursos</v>
      </c>
      <c r="B50131" s="3">
        <v>1</v>
      </c>
    </row>
    <row r="50132" ht="15.75" customHeight="1" spans="1:2">
      <c r="A50132" s="3" t="str">
        <f>IFERROR(__xludf.DUMMYFUNCTION("GOOGLETRANSLATE(A50132,""en"",""pt"")"),"Compacto, leve, vida útil da bateria decente, utiliza cartões CF, boa macro, fácil de usar.")</f>
        <v>Compacto, leve, vida útil da bateria decente, utiliza cartões CF, boa macro, fácil de usar.</v>
      </c>
      <c r="B50132" s="3">
        <v>1</v>
      </c>
    </row>
    <row r="50133" ht="15.75" customHeight="1" spans="1:2">
      <c r="A50133" s="3" t="str">
        <f>IFERROR(__xludf.DUMMYFUNCTION("GOOGLETRANSLATE(A50133,""en"",""pt"")"),"tamanho e fácil de usar")</f>
        <v>tamanho e fácil de usar</v>
      </c>
      <c r="B50133" s="3">
        <v>1</v>
      </c>
    </row>
    <row r="50134" ht="15.75" customHeight="1" spans="1:2">
      <c r="A50134" s="3" t="str">
        <f>IFERROR(__xludf.DUMMYFUNCTION("GOOGLETRANSLATE(A50134,""en"",""pt"")"),"Fácil de usar, acessível, leve e conveniente.")</f>
        <v>Fácil de usar, acessível, leve e conveniente.</v>
      </c>
      <c r="B50134" s="3">
        <v>1</v>
      </c>
    </row>
    <row r="50135" ht="15.75" customHeight="1" spans="1:2">
      <c r="A50135" s="3" t="str">
        <f>IFERROR(__xludf.DUMMYFUNCTION("GOOGLETRANSLATE(A50135,""en"",""pt"")"),"user friendly, pequeno, durável com boas fotos")</f>
        <v>user friendly, pequeno, durável com boas fotos</v>
      </c>
      <c r="B50135" s="3">
        <v>1</v>
      </c>
    </row>
    <row r="50136" ht="15.75" customHeight="1" spans="1:2">
      <c r="A50136" s="3" t="str">
        <f>IFERROR(__xludf.DUMMYFUNCTION("GOOGLETRANSLATE(A50136,""en"",""pt"")"),"Muito pequeno, tem grandes figuras, bateria recarregável.")</f>
        <v>Muito pequeno, tem grandes figuras, bateria recarregável.</v>
      </c>
      <c r="B50136" s="3">
        <v>1</v>
      </c>
    </row>
    <row r="50137" ht="15.75" customHeight="1" spans="1:2">
      <c r="A50137" s="3" t="str">
        <f>IFERROR(__xludf.DUMMYFUNCTION("GOOGLETRANSLATE(A50137,""en"",""pt"")"),"pequeno, se encaixa bem em suas mãos, o modo automático tira boas imagens simples para um iniciante")</f>
        <v>pequeno, se encaixa bem em suas mãos, o modo automático tira boas imagens simples para um iniciante</v>
      </c>
      <c r="B50137" s="3">
        <v>1</v>
      </c>
    </row>
    <row r="50138" ht="15.75" customHeight="1" spans="1:2">
      <c r="A50138" s="3" t="str">
        <f>IFERROR(__xludf.DUMMYFUNCTION("GOOGLETRANSLATE(A50138,""en"",""pt"")"),"Compacto, leve, barato, fotos de alta qualidade user-friendly")</f>
        <v>Compacto, leve, barato, fotos de alta qualidade user-friendly</v>
      </c>
      <c r="B50138" s="3">
        <v>1</v>
      </c>
    </row>
    <row r="50139" ht="15.75" customHeight="1" spans="1:2">
      <c r="A50139" s="3" t="str">
        <f>IFERROR(__xludf.DUMMYFUNCTION("GOOGLETRANSLATE(A50139,""en"",""pt"")"),"Compacto, leve, fácil de usar")</f>
        <v>Compacto, leve, fácil de usar</v>
      </c>
      <c r="B50139" s="3">
        <v>1</v>
      </c>
    </row>
    <row r="50140" ht="15.75" customHeight="1" spans="1:2">
      <c r="A50140" s="3" t="str">
        <f>IFERROR(__xludf.DUMMYFUNCTION("GOOGLETRANSLATE(A50140,""en"",""pt"")"),"tamanho grande pequena")</f>
        <v>tamanho grande pequena</v>
      </c>
      <c r="B50140" s="3">
        <v>1</v>
      </c>
    </row>
    <row r="50141" ht="15.75" customHeight="1" spans="1:2">
      <c r="A50141" s="3" t="str">
        <f>IFERROR(__xludf.DUMMYFUNCTION("GOOGLETRANSLATE(A50141,""en"",""pt"")"),"instruções de uso são muito claras; muito compacto e fácil de transportar")</f>
        <v>instruções de uso são muito claras; muito compacto e fácil de transportar</v>
      </c>
      <c r="B50141" s="3">
        <v>1</v>
      </c>
    </row>
    <row r="50142" ht="15.75" customHeight="1" spans="1:2">
      <c r="A50142" s="3" t="str">
        <f>IFERROR(__xludf.DUMMYFUNCTION("GOOGLETRANSLATE(A50142,""en"",""pt"")"),"pequeno tamanho e facilidade de uso; versátil, com muitas opções")</f>
        <v>pequeno tamanho e facilidade de uso; versátil, com muitas opções</v>
      </c>
      <c r="B50142" s="3">
        <v>1</v>
      </c>
    </row>
    <row r="50143" ht="15.75" customHeight="1" spans="1:2">
      <c r="A50143" s="3" t="str">
        <f>IFERROR(__xludf.DUMMYFUNCTION("GOOGLETRANSLATE(A50143,""en"",""pt"")"),"Pequeno, grande vida da bateria")</f>
        <v>Pequeno, grande vida da bateria</v>
      </c>
      <c r="B50143" s="3">
        <v>1</v>
      </c>
    </row>
    <row r="50144" ht="15.75" customHeight="1" spans="1:2">
      <c r="A50144" s="3" t="str">
        <f>IFERROR(__xludf.DUMMYFUNCTION("GOOGLETRANSLATE(A50144,""en"",""pt"")"),"Compacto, fácil de menu de navegação,")</f>
        <v>Compacto, fácil de menu de navegação,</v>
      </c>
      <c r="B50144" s="3">
        <v>1</v>
      </c>
    </row>
    <row r="50145" ht="15.75" customHeight="1" spans="1:2">
      <c r="A50145" s="3" t="str">
        <f>IFERROR(__xludf.DUMMYFUNCTION("GOOGLETRANSLATE(A50145,""en"",""pt"")"),"pequeno, lotes de modos de disparo")</f>
        <v>pequeno, lotes de modos de disparo</v>
      </c>
      <c r="B50145" s="3">
        <v>1</v>
      </c>
    </row>
    <row r="50146" ht="15.75" customHeight="1" spans="1:2">
      <c r="A50146" s="3" t="str">
        <f>IFERROR(__xludf.DUMMYFUNCTION("GOOGLETRANSLATE(A50146,""en"",""pt"")"),"New 3X Nikkor Zoom, &amp; amp; # 147; Point &amp; amp; # 146; n &amp; amp; # 146; Shoot &amp; amp; # 148; simplicidade, Matrix Metering, modo CSM e Quick Review mode &amp; amp; # 13; &amp; amp; # 10;")</f>
        <v>New 3X Nikkor Zoom, &amp; amp; # 147; Point &amp; amp; # 146; n &amp; amp; # 146; Shoot &amp; amp; # 148; simplicidade, Matrix Metering, modo CSM e Quick Review mode &amp; amp; # 13; &amp; amp; # 10;</v>
      </c>
      <c r="B50146" s="3">
        <v>1</v>
      </c>
    </row>
    <row r="50147" ht="15.75" customHeight="1" spans="1:2">
      <c r="A50147" s="3" t="str">
        <f>IFERROR(__xludf.DUMMYFUNCTION("GOOGLETRANSLATE(A50147,""en"",""pt"")"),"Pequeno, boa lente, bateria recarregável fornecida, nice design")</f>
        <v>Pequeno, boa lente, bateria recarregável fornecida, nice design</v>
      </c>
      <c r="B50147" s="3">
        <v>1</v>
      </c>
    </row>
    <row r="50148" ht="15.75" customHeight="1" spans="1:2">
      <c r="A50148" s="3" t="str">
        <f>IFERROR(__xludf.DUMMYFUNCTION("GOOGLETRANSLATE(A50148,""en"",""pt"")"),"Acessível, fácil de usar, toneladas de opções")</f>
        <v>Acessível, fácil de usar, toneladas de opções</v>
      </c>
      <c r="B50148" s="3">
        <v>1</v>
      </c>
    </row>
    <row r="50149" ht="15.75" customHeight="1" spans="1:2">
      <c r="A50149" s="3" t="str">
        <f>IFERROR(__xludf.DUMMYFUNCTION("GOOGLETRANSLATE(A50149,""en"",""pt"")"),"qualidade de imagem, design, facilidade de uso, boa auto e manual fotos modo, excelente qualidade de construção.")</f>
        <v>qualidade de imagem, design, facilidade de uso, boa auto e manual fotos modo, excelente qualidade de construção.</v>
      </c>
      <c r="B50149" s="3">
        <v>1</v>
      </c>
    </row>
    <row r="50150" ht="15.75" customHeight="1" spans="1:2">
      <c r="A50150" s="3" t="str">
        <f>IFERROR(__xludf.DUMMYFUNCTION("GOOGLETRANSLATE(A50150,""en"",""pt"")"),"Grande sensação, imagens de alta qualidade, muitas opções, e fácil de usar.")</f>
        <v>Grande sensação, imagens de alta qualidade, muitas opções, e fácil de usar.</v>
      </c>
      <c r="B50150" s="3">
        <v>1</v>
      </c>
    </row>
    <row r="50151" ht="15.75" customHeight="1" spans="1:2">
      <c r="A50151" s="3" t="str">
        <f>IFERROR(__xludf.DUMMYFUNCTION("GOOGLETRANSLATE(A50151,""en"",""pt"")"),"Tamanho, pequeno, bom / egronomics Ok, controles de uso fácil, cartões de memória disponíveis.")</f>
        <v>Tamanho, pequeno, bom / egronomics Ok, controles de uso fácil, cartões de memória disponíveis.</v>
      </c>
      <c r="B50151" s="3">
        <v>1</v>
      </c>
    </row>
    <row r="50152" ht="15.75" customHeight="1" spans="1:2">
      <c r="A50152" s="3" t="str">
        <f>IFERROR(__xludf.DUMMYFUNCTION("GOOGLETRANSLATE(A50152,""en"",""pt"")"),"Alta resolução, baixo custo")</f>
        <v>Alta resolução, baixo custo</v>
      </c>
      <c r="B50152" s="3">
        <v>1</v>
      </c>
    </row>
    <row r="50153" ht="15.75" customHeight="1" spans="1:2">
      <c r="A50153" s="3" t="str">
        <f>IFERROR(__xludf.DUMMYFUNCTION("GOOGLETRANSLATE(A50153,""en"",""pt"")"),"Excelente qualidade de imagem, ótica prémio, construção sólida, versatilidade, adaptabilidade, design giratório, lentes acopláveis ​​e filtros.")</f>
        <v>Excelente qualidade de imagem, ótica prémio, construção sólida, versatilidade, adaptabilidade, design giratório, lentes acopláveis ​​e filtros.</v>
      </c>
      <c r="B50153" s="3">
        <v>1</v>
      </c>
    </row>
    <row r="50154" ht="15.75" customHeight="1" spans="1:2">
      <c r="A50154" s="3" t="str">
        <f>IFERROR(__xludf.DUMMYFUNCTION("GOOGLETRANSLATE(A50154,""en"",""pt"")"),"Boa qualidade de imagem, recursos de mídia Compact Flash, qualidade de construção, grandes acessórios")</f>
        <v>Boa qualidade de imagem, recursos de mídia Compact Flash, qualidade de construção, grandes acessórios</v>
      </c>
      <c r="B50154" s="3">
        <v>1</v>
      </c>
    </row>
    <row r="50155" ht="15.75" customHeight="1" spans="1:2">
      <c r="A50155" s="3" t="str">
        <f>IFERROR(__xludf.DUMMYFUNCTION("GOOGLETRANSLATE(A50155,""en"",""pt"")"),"baterias relativamente baratos AA NiMH podem ser usadas. Bons closes.")</f>
        <v>baterias relativamente baratos AA NiMH podem ser usadas. Bons closes.</v>
      </c>
      <c r="B50155" s="3">
        <v>1</v>
      </c>
    </row>
    <row r="50156" ht="15.75" customHeight="1" spans="1:2">
      <c r="A50156" s="3" t="str">
        <f>IFERROR(__xludf.DUMMYFUNCTION("GOOGLETRANSLATE(A50156,""en"",""pt"")"),"fotos de qualidade")</f>
        <v>fotos de qualidade</v>
      </c>
      <c r="B50156" s="3">
        <v>1</v>
      </c>
    </row>
    <row r="50157" ht="15.75" customHeight="1" spans="1:2">
      <c r="A50157" s="3" t="str">
        <f>IFERROR(__xludf.DUMMYFUNCTION("GOOGLETRANSLATE(A50157,""en"",""pt"")"),"Boa resolução &amp; amp; amp; qualidade de imagem, fácil de usar")</f>
        <v>Boa resolução &amp; amp; amp; qualidade de imagem, fácil de usar</v>
      </c>
      <c r="B50157" s="3">
        <v>1</v>
      </c>
    </row>
    <row r="50158" ht="15.75" customHeight="1" spans="1:2">
      <c r="A50158" s="3" t="str">
        <f>IFERROR(__xludf.DUMMYFUNCTION("GOOGLETRANSLATE(A50158,""en"",""pt"")"),"Impressionante qualidade de imagem, bom controle manual, design sólido")</f>
        <v>Impressionante qualidade de imagem, bom controle manual, design sólido</v>
      </c>
      <c r="B50158" s="3">
        <v>1</v>
      </c>
    </row>
    <row r="50159" ht="15.75" customHeight="1" spans="1:2">
      <c r="A50159" s="3" t="str">
        <f>IFERROR(__xludf.DUMMYFUNCTION("GOOGLETRANSLATE(A50159,""en"",""pt"")"),"fácil de usar, fotos coloridas")</f>
        <v>fácil de usar, fotos coloridas</v>
      </c>
      <c r="B50159" s="3">
        <v>1</v>
      </c>
    </row>
    <row r="50160" ht="15.75" customHeight="1" spans="1:2">
      <c r="A50160" s="3" t="str">
        <f>IFERROR(__xludf.DUMMYFUNCTION("GOOGLETRANSLATE(A50160,""en"",""pt"")"),"bom conjunto de recursos, giratória view finder")</f>
        <v>bom conjunto de recursos, giratória view finder</v>
      </c>
      <c r="B50160" s="3">
        <v>1</v>
      </c>
    </row>
    <row r="50161" ht="15.75" customHeight="1" spans="1:2">
      <c r="A50161" s="3" t="str">
        <f>IFERROR(__xludf.DUMMYFUNCTION("GOOGLETRANSLATE(A50161,""en"",""pt"")"),"excelente qualidade de imagem, fácil de usar")</f>
        <v>excelente qualidade de imagem, fácil de usar</v>
      </c>
      <c r="B50161" s="3">
        <v>1</v>
      </c>
    </row>
    <row r="50162" ht="15.75" customHeight="1" spans="1:2">
      <c r="A50162" s="3" t="str">
        <f>IFERROR(__xludf.DUMMYFUNCTION("GOOGLETRANSLATE(A50162,""en"",""pt"")"),"excelente qualidade de imagem")</f>
        <v>excelente qualidade de imagem</v>
      </c>
      <c r="B50162" s="3">
        <v>1</v>
      </c>
    </row>
    <row r="50163" ht="15.75" customHeight="1" spans="1:2">
      <c r="A50163" s="3" t="str">
        <f>IFERROR(__xludf.DUMMYFUNCTION("GOOGLETRANSLATE(A50163,""en"",""pt"")"),"Recursos, facilidade de uso, qualidade de foto")</f>
        <v>Recursos, facilidade de uso, qualidade de foto</v>
      </c>
      <c r="B50163" s="3">
        <v>1</v>
      </c>
    </row>
    <row r="50164" ht="15.75" customHeight="1" spans="1:2">
      <c r="A50164" s="3" t="str">
        <f>IFERROR(__xludf.DUMMYFUNCTION("GOOGLETRANSLATE(A50164,""en"",""pt"")"),"Imagens nítidas, mesmo com zoom total.")</f>
        <v>Imagens nítidas, mesmo com zoom total.</v>
      </c>
      <c r="B50164" s="3">
        <v>1</v>
      </c>
    </row>
    <row r="50165" ht="15.75" customHeight="1" spans="1:2">
      <c r="A50165" s="3" t="str">
        <f>IFERROR(__xludf.DUMMYFUNCTION("GOOGLETRANSLATE(A50165,""en"",""pt"")"),"qualidade de imagem, facilidade de uso, flexibilidade, tamanho.")</f>
        <v>qualidade de imagem, facilidade de uso, flexibilidade, tamanho.</v>
      </c>
      <c r="B50165" s="3">
        <v>1</v>
      </c>
    </row>
    <row r="50166" ht="15.75" customHeight="1" spans="1:2">
      <c r="A50166" s="3" t="str">
        <f>IFERROR(__xludf.DUMMYFUNCTION("GOOGLETRANSLATE(A50166,""en"",""pt"")"),"Grande qualidade das imagens, facilidade de uso")</f>
        <v>Grande qualidade das imagens, facilidade de uso</v>
      </c>
      <c r="B50166" s="3">
        <v>1</v>
      </c>
    </row>
    <row r="50167" ht="15.75" customHeight="1" spans="1:2">
      <c r="A50167" s="3" t="str">
        <f>IFERROR(__xludf.DUMMYFUNCTION("GOOGLETRANSLATE(A50167,""en"",""pt"")"),"Lente giratória, qualidade Nikon, rentável ao longo do longo prazo")</f>
        <v>Lente giratória, qualidade Nikon, rentável ao longo do longo prazo</v>
      </c>
      <c r="B50167" s="3">
        <v>1</v>
      </c>
    </row>
    <row r="50168" ht="15.75" customHeight="1" spans="1:2">
      <c r="A50168" s="3" t="str">
        <f>IFERROR(__xludf.DUMMYFUNCTION("GOOGLETRANSLATE(A50168,""en"",""pt"")"),"flexível, robusto, de alta qualidade")</f>
        <v>flexível, robusto, de alta qualidade</v>
      </c>
      <c r="B50168" s="3">
        <v>1</v>
      </c>
    </row>
    <row r="50169" ht="15.75" customHeight="1" spans="1:2">
      <c r="A50169" s="3" t="str">
        <f>IFERROR(__xludf.DUMMYFUNCTION("GOOGLETRANSLATE(A50169,""en"",""pt"")"),"Imagens claras. Confortável de usar. Há muita coisa que você pode fazer com esta câmera, se você tomar o tempo para aprender.")</f>
        <v>Imagens claras. Confortável de usar. Há muita coisa que você pode fazer com esta câmera, se você tomar o tempo para aprender.</v>
      </c>
      <c r="B50169" s="3">
        <v>1</v>
      </c>
    </row>
    <row r="50170" ht="15.75" customHeight="1" spans="1:2">
      <c r="A50170" s="3" t="str">
        <f>IFERROR(__xludf.DUMMYFUNCTION("GOOGLETRANSLATE(A50170,""en"",""pt"")"),"Design, Features, de alta qualidade")</f>
        <v>Design, Features, de alta qualidade</v>
      </c>
      <c r="B50170" s="3">
        <v>1</v>
      </c>
    </row>
    <row r="50171" ht="15.75" customHeight="1" spans="1:2">
      <c r="A50171" s="3" t="str">
        <f>IFERROR(__xludf.DUMMYFUNCTION("GOOGLETRANSLATE(A50171,""en"",""pt"")"),"Ótimas fotos")</f>
        <v>Ótimas fotos</v>
      </c>
      <c r="B50171" s="3">
        <v>1</v>
      </c>
    </row>
    <row r="50172" ht="15.75" customHeight="1" spans="1:2">
      <c r="A50172" s="3" t="str">
        <f>IFERROR(__xludf.DUMMYFUNCTION("GOOGLETRANSLATE(A50172,""en"",""pt"")"),"A grande qualidade, girando a cabeça, Lote de recursos")</f>
        <v>A grande qualidade, girando a cabeça, Lote de recursos</v>
      </c>
      <c r="B50172" s="3">
        <v>1</v>
      </c>
    </row>
    <row r="50173" ht="15.75" customHeight="1" spans="1:2">
      <c r="A50173" s="3" t="str">
        <f>IFERROR(__xludf.DUMMYFUNCTION("GOOGLETRANSLATE(A50173,""en"",""pt"")"),"Brilliant LCD, Nikon Qualidade")</f>
        <v>Brilliant LCD, Nikon Qualidade</v>
      </c>
      <c r="B50173" s="3">
        <v>1</v>
      </c>
    </row>
    <row r="50174" ht="15.75" customHeight="1" spans="1:2">
      <c r="A50174" s="3" t="str">
        <f>IFERROR(__xludf.DUMMYFUNCTION("GOOGLETRANSLATE(A50174,""en"",""pt"")"),"qualidade de resolução de imagem incrível, grandes óptica e características.")</f>
        <v>qualidade de resolução de imagem incrível, grandes óptica e características.</v>
      </c>
      <c r="B50174" s="3">
        <v>1</v>
      </c>
    </row>
    <row r="50175" ht="15.75" customHeight="1" spans="1:2">
      <c r="A50175" s="3" t="str">
        <f>IFERROR(__xludf.DUMMYFUNCTION("GOOGLETRANSLATE(A50175,""en"",""pt"")"),"Sem revelação, ambientalmente saudável")</f>
        <v>Sem revelação, ambientalmente saudável</v>
      </c>
      <c r="B50175" s="3">
        <v>1</v>
      </c>
    </row>
    <row r="50176" ht="15.75" customHeight="1" spans="1:2">
      <c r="A50176" s="3" t="str">
        <f>IFERROR(__xludf.DUMMYFUNCTION("GOOGLETRANSLATE(A50176,""en"",""pt"")"),"ótima câmera durável, cabeça swival, pilhas AA")</f>
        <v>ótima câmera durável, cabeça swival, pilhas AA</v>
      </c>
      <c r="B50176" s="3">
        <v>1</v>
      </c>
    </row>
    <row r="50177" ht="15.75" customHeight="1" spans="1:2">
      <c r="A50177" s="3" t="str">
        <f>IFERROR(__xludf.DUMMYFUNCTION("GOOGLETRANSLATE(A50177,""en"",""pt"")"),"Pequeno, extremamente versátil, fácil de usar.")</f>
        <v>Pequeno, extremamente versátil, fácil de usar.</v>
      </c>
      <c r="B50177" s="3">
        <v>1</v>
      </c>
    </row>
    <row r="50178" ht="15.75" customHeight="1" spans="1:2">
      <c r="A50178" s="3" t="str">
        <f>IFERROR(__xludf.DUMMYFUNCTION("GOOGLETRANSLATE(A50178,""en"",""pt"")"),"Excelente qualidade de imagem, lente giratória, zoom óptico")</f>
        <v>Excelente qualidade de imagem, lente giratória, zoom óptico</v>
      </c>
      <c r="B50178" s="3">
        <v>1</v>
      </c>
    </row>
    <row r="50179" ht="15.75" customHeight="1" spans="1:2">
      <c r="A50179" s="3" t="str">
        <f>IFERROR(__xludf.DUMMYFUNCTION("GOOGLETRANSLATE(A50179,""en"",""pt"")"),"Excelente qualidade de imagem e facilidade de uso")</f>
        <v>Excelente qualidade de imagem e facilidade de uso</v>
      </c>
      <c r="B50179" s="3">
        <v>1</v>
      </c>
    </row>
    <row r="50180" ht="15.75" customHeight="1" spans="1:2">
      <c r="A50180" s="3" t="str">
        <f>IFERROR(__xludf.DUMMYFUNCTION("GOOGLETRANSLATE(A50180,""en"",""pt"")"),"Excelente qualidade de imagem, divertido de usar")</f>
        <v>Excelente qualidade de imagem, divertido de usar</v>
      </c>
      <c r="B50180" s="3">
        <v>1</v>
      </c>
    </row>
    <row r="50181" ht="15.75" customHeight="1" spans="1:2">
      <c r="A50181" s="3" t="str">
        <f>IFERROR(__xludf.DUMMYFUNCTION("GOOGLETRANSLATE(A50181,""en"",""pt"")"),"Uau, olha para aqueles tiros! Eu devo ser um profissional!")</f>
        <v>Uau, olha para aqueles tiros! Eu devo ser um profissional!</v>
      </c>
      <c r="B50181" s="3">
        <v>1</v>
      </c>
    </row>
    <row r="50182" ht="15.75" customHeight="1" spans="1:2">
      <c r="A50182" s="3" t="str">
        <f>IFERROR(__xludf.DUMMYFUNCTION("GOOGLETRANSLATE(A50182,""en"",""pt"")"),"controles manuais capacitá-lo a ser criativo.")</f>
        <v>controles manuais capacitá-lo a ser criativo.</v>
      </c>
      <c r="B50182" s="3">
        <v>1</v>
      </c>
    </row>
    <row r="50183" ht="15.75" customHeight="1" spans="1:2">
      <c r="A50183" s="3" t="str">
        <f>IFERROR(__xludf.DUMMYFUNCTION("GOOGLETRANSLATE(A50183,""en"",""pt"")"),"excelente qualidade de imagem, toneladas de recursos, fácil de usar")</f>
        <v>excelente qualidade de imagem, toneladas de recursos, fácil de usar</v>
      </c>
      <c r="B50183" s="3">
        <v>1</v>
      </c>
    </row>
    <row r="50184" ht="15.75" customHeight="1" spans="1:2">
      <c r="A50184" s="3" t="str">
        <f>IFERROR(__xludf.DUMMYFUNCTION("GOOGLETRANSLATE(A50184,""en"",""pt"")"),"qualidade flexibilidade tremenda")</f>
        <v>qualidade flexibilidade tremenda</v>
      </c>
      <c r="B50184" s="3">
        <v>1</v>
      </c>
    </row>
    <row r="50185" ht="15.75" customHeight="1" spans="1:2">
      <c r="A50185" s="3" t="str">
        <f>IFERROR(__xludf.DUMMYFUNCTION("GOOGLETRANSLATE(A50185,""en"",""pt"")"),"construção sólida, a vida da bateria, qualidade de imagem")</f>
        <v>construção sólida, a vida da bateria, qualidade de imagem</v>
      </c>
      <c r="B50185" s="3">
        <v>1</v>
      </c>
    </row>
    <row r="50186" ht="15.75" customHeight="1" spans="1:2">
      <c r="A50186" s="3" t="str">
        <f>IFERROR(__xludf.DUMMYFUNCTION("GOOGLETRANSLATE(A50186,""en"",""pt"")"),"qualidade de imagem, facilidade de uso")</f>
        <v>qualidade de imagem, facilidade de uso</v>
      </c>
      <c r="B50186" s="3">
        <v>1</v>
      </c>
    </row>
    <row r="50187" ht="15.75" customHeight="1" spans="1:2">
      <c r="A50187" s="3" t="str">
        <f>IFERROR(__xludf.DUMMYFUNCTION("GOOGLETRANSLATE(A50187,""en"",""pt"")"),"Alta qualidade, facilidade de utilização, compacto, fácil de transportar, acessórios facilmente disponíveis.")</f>
        <v>Alta qualidade, facilidade de utilização, compacto, fácil de transportar, acessórios facilmente disponíveis.</v>
      </c>
      <c r="B50187" s="3">
        <v>1</v>
      </c>
    </row>
    <row r="50188" ht="15.75" customHeight="1" spans="1:2">
      <c r="A50188" s="3" t="str">
        <f>IFERROR(__xludf.DUMMYFUNCTION("GOOGLETRANSLATE(A50188,""en"",""pt"")"),"recursos de auto completos, capacidade Macro")</f>
        <v>recursos de auto completos, capacidade Macro</v>
      </c>
      <c r="B50188" s="3">
        <v>1</v>
      </c>
    </row>
    <row r="50189" ht="15.75" customHeight="1" spans="1:2">
      <c r="A50189" s="3" t="str">
        <f>IFERROR(__xludf.DUMMYFUNCTION("GOOGLETRANSLATE(A50189,""en"",""pt"")"),"Características quentes, Nikon Confiança, facilidade de uso")</f>
        <v>Características quentes, Nikon Confiança, facilidade de uso</v>
      </c>
      <c r="B50189" s="3">
        <v>1</v>
      </c>
    </row>
    <row r="50190" ht="15.75" customHeight="1" spans="1:2">
      <c r="A50190" s="3" t="str">
        <f>IFERROR(__xludf.DUMMYFUNCTION("GOOGLETRANSLATE(A50190,""en"",""pt"")"),"qualidade Nikon")</f>
        <v>qualidade Nikon</v>
      </c>
      <c r="B50190" s="3">
        <v>1</v>
      </c>
    </row>
    <row r="50191" ht="15.75" customHeight="1" spans="1:2">
      <c r="A50191" s="3" t="str">
        <f>IFERROR(__xludf.DUMMYFUNCTION("GOOGLETRANSLATE(A50191,""en"",""pt"")"),"facilidade de manuseio, boa qualidade de imagem")</f>
        <v>facilidade de manuseio, boa qualidade de imagem</v>
      </c>
      <c r="B50191" s="3">
        <v>1</v>
      </c>
    </row>
    <row r="50192" ht="15.75" customHeight="1" spans="1:2">
      <c r="A50192" s="3" t="str">
        <f>IFERROR(__xludf.DUMMYFUNCTION("GOOGLETRANSLATE(A50192,""en"",""pt"")"),"Grande valor para o preço")</f>
        <v>Grande valor para o preço</v>
      </c>
      <c r="B50192" s="3">
        <v>1</v>
      </c>
    </row>
    <row r="50193" ht="15.75" customHeight="1" spans="1:2">
      <c r="A50193" s="3" t="str">
        <f>IFERROR(__xludf.DUMMYFUNCTION("GOOGLETRANSLATE(A50193,""en"",""pt"")"),"qualidade de imagem, velocidade do disparo, cabeça giratória, seletor do melhor disparo, faixas ISO dinâmicos, grande capacidade macro")</f>
        <v>qualidade de imagem, velocidade do disparo, cabeça giratória, seletor do melhor disparo, faixas ISO dinâmicos, grande capacidade macro</v>
      </c>
      <c r="B50193" s="3">
        <v>1</v>
      </c>
    </row>
    <row r="50194" ht="15.75" customHeight="1" spans="1:2">
      <c r="A50194" s="3" t="str">
        <f>IFERROR(__xludf.DUMMYFUNCTION("GOOGLETRANSLATE(A50194,""en"",""pt"")"),"Flash excelente e ergonomia")</f>
        <v>Flash excelente e ergonomia</v>
      </c>
      <c r="B50194" s="3">
        <v>1</v>
      </c>
    </row>
    <row r="50195" ht="15.75" customHeight="1" spans="1:2">
      <c r="A50195" s="3" t="str">
        <f>IFERROR(__xludf.DUMMYFUNCTION("GOOGLETRANSLATE(A50195,""en"",""pt"")"),"muito fácil de usar; excelente qualidade de imagem")</f>
        <v>muito fácil de usar; excelente qualidade de imagem</v>
      </c>
      <c r="B50195" s="3">
        <v>1</v>
      </c>
    </row>
    <row r="50196" ht="15.75" customHeight="1" spans="1:2">
      <c r="A50196" s="3" t="str">
        <f>IFERROR(__xludf.DUMMYFUNCTION("GOOGLETRANSLATE(A50196,""en"",""pt"")"),"compactos, imagens de alta qualidade")</f>
        <v>compactos, imagens de alta qualidade</v>
      </c>
      <c r="B50196" s="3">
        <v>1</v>
      </c>
    </row>
    <row r="50197" ht="15.75" customHeight="1" spans="1:2">
      <c r="A50197" s="3" t="str">
        <f>IFERROR(__xludf.DUMMYFUNCTION("GOOGLETRANSLATE(A50197,""en"",""pt"")"),"qualidade da foto")</f>
        <v>qualidade da foto</v>
      </c>
      <c r="B50197" s="3">
        <v>1</v>
      </c>
    </row>
    <row r="50198" ht="15.75" customHeight="1" spans="1:2">
      <c r="A50198" s="3" t="str">
        <f>IFERROR(__xludf.DUMMYFUNCTION("GOOGLETRANSLATE(A50198,""en"",""pt"")"),"Belas imagens")</f>
        <v>Belas imagens</v>
      </c>
      <c r="B50198" s="3">
        <v>1</v>
      </c>
    </row>
    <row r="50199" ht="15.75" customHeight="1" spans="1:2">
      <c r="A50199" s="3" t="str">
        <f>IFERROR(__xludf.DUMMYFUNCTION("GOOGLETRANSLATE(A50199,""en"",""pt"")"),"Boa qualidade e velocidade para obter o resultado")</f>
        <v>Boa qualidade e velocidade para obter o resultado</v>
      </c>
      <c r="B50199" s="3">
        <v>1</v>
      </c>
    </row>
    <row r="50200" ht="15.75" customHeight="1" spans="1:2">
      <c r="A50200" s="3" t="str">
        <f>IFERROR(__xludf.DUMMYFUNCTION("GOOGLETRANSLATE(A50200,""en"",""pt"")"),"- resolução de 2,1 megapixel - grande variedade de recursos e opções que são relativamente fáceis de usar")</f>
        <v>- resolução de 2,1 megapixel - grande variedade de recursos e opções que são relativamente fáceis de usar</v>
      </c>
      <c r="B50200" s="3">
        <v>1</v>
      </c>
    </row>
    <row r="50201" ht="15.75" customHeight="1" spans="1:2">
      <c r="A50201" s="3" t="str">
        <f>IFERROR(__xludf.DUMMYFUNCTION("GOOGLETRANSLATE(A50201,""en"",""pt"")"),"Tamanho grande, grande Pictures, qualidade Nikon")</f>
        <v>Tamanho grande, grande Pictures, qualidade Nikon</v>
      </c>
      <c r="B50201" s="3">
        <v>1</v>
      </c>
    </row>
    <row r="50202" ht="15.75" customHeight="1" spans="1:2">
      <c r="A50202" s="3" t="str">
        <f>IFERROR(__xludf.DUMMYFUNCTION("GOOGLETRANSLATE(A50202,""en"",""pt"")"),"qualidade, resolução, armazenamento, visualização instantânea")</f>
        <v>qualidade, resolução, armazenamento, visualização instantânea</v>
      </c>
      <c r="B50202" s="3">
        <v>1</v>
      </c>
    </row>
    <row r="50203" ht="15.75" customHeight="1" spans="1:2">
      <c r="A50203" s="3" t="str">
        <f>IFERROR(__xludf.DUMMYFUNCTION("GOOGLETRANSLATE(A50203,""en"",""pt"")"),"Fotos excelentes")</f>
        <v>Fotos excelentes</v>
      </c>
      <c r="B50203" s="3">
        <v>1</v>
      </c>
    </row>
    <row r="50204" ht="15.75" customHeight="1" spans="1:2">
      <c r="A50204" s="3" t="str">
        <f>IFERROR(__xludf.DUMMYFUNCTION("GOOGLETRANSLATE(A50204,""en"",""pt"")"),"peso leve, fácil de usar e com preços razoáveis")</f>
        <v>peso leve, fácil de usar e com preços razoáveis</v>
      </c>
      <c r="B50204" s="3">
        <v>1</v>
      </c>
    </row>
    <row r="50205" ht="15.75" customHeight="1" spans="1:2">
      <c r="A50205" s="3" t="str">
        <f>IFERROR(__xludf.DUMMYFUNCTION("GOOGLETRANSLATE(A50205,""en"",""pt"")"),"boa câmera")</f>
        <v>boa câmera</v>
      </c>
      <c r="B50205" s="3">
        <v>1</v>
      </c>
    </row>
    <row r="50206" ht="15.75" customHeight="1" spans="1:2">
      <c r="A50206" s="3" t="str">
        <f>IFERROR(__xludf.DUMMYFUNCTION("GOOGLETRANSLATE(A50206,""en"",""pt"")"),"Oi resolução e controles manuais")</f>
        <v>Oi resolução e controles manuais</v>
      </c>
      <c r="B50206" s="3">
        <v>1</v>
      </c>
    </row>
    <row r="50207" ht="15.75" customHeight="1" spans="1:2">
      <c r="A50207" s="3" t="str">
        <f>IFERROR(__xludf.DUMMYFUNCTION("GOOGLETRANSLATE(A50207,""en"",""pt"")"),"Grande conjunto de recursos.")</f>
        <v>Grande conjunto de recursos.</v>
      </c>
      <c r="B50207" s="3">
        <v>1</v>
      </c>
    </row>
    <row r="50208" ht="15.75" customHeight="1" spans="1:2">
      <c r="A50208" s="3" t="str">
        <f>IFERROR(__xludf.DUMMYFUNCTION("GOOGLETRANSLATE(A50208,""en"",""pt"")"),"qualidade de imagem, velocidade, características, CompactFlash")</f>
        <v>qualidade de imagem, velocidade, características, CompactFlash</v>
      </c>
      <c r="B50208" s="3">
        <v>1</v>
      </c>
    </row>
    <row r="50209" ht="15.75" customHeight="1" spans="1:2">
      <c r="A50209" s="3" t="str">
        <f>IFERROR(__xludf.DUMMYFUNCTION("GOOGLETRANSLATE(A50209,""en"",""pt"")"),"características, qualidade de imagem")</f>
        <v>características, qualidade de imagem</v>
      </c>
      <c r="B50209" s="3">
        <v>1</v>
      </c>
    </row>
    <row r="50210" ht="15.75" customHeight="1" spans="1:2">
      <c r="A50210" s="3" t="str">
        <f>IFERROR(__xludf.DUMMYFUNCTION("GOOGLETRANSLATE(A50210,""en"",""pt"")"),"Ele torce !!!!!")</f>
        <v>Ele torce !!!!!</v>
      </c>
      <c r="B50210" s="3">
        <v>1</v>
      </c>
    </row>
    <row r="50211" ht="15.75" customHeight="1" spans="1:2">
      <c r="A50211" s="3" t="str">
        <f>IFERROR(__xludf.DUMMYFUNCTION("GOOGLETRANSLATE(A50211,""en"",""pt"")"),"Mais recursos do que a maioria das câmeras nesta faixa de preço.")</f>
        <v>Mais recursos do que a maioria das câmeras nesta faixa de preço.</v>
      </c>
      <c r="B50211" s="3">
        <v>1</v>
      </c>
    </row>
    <row r="50212" ht="15.75" customHeight="1" spans="1:2">
      <c r="A50212" s="3" t="str">
        <f>IFERROR(__xludf.DUMMYFUNCTION("GOOGLETRANSLATE(A50212,""en"",""pt"")"),"QUALIDADE, facilidade de uso em MODO AUTOMÁTICO, FUNÇÕES")</f>
        <v>QUALIDADE, facilidade de uso em MODO AUTOMÁTICO, FUNÇÕES</v>
      </c>
      <c r="B50212" s="3">
        <v>1</v>
      </c>
    </row>
    <row r="50213" ht="15.75" customHeight="1" spans="1:2">
      <c r="A50213" s="3" t="str">
        <f>IFERROR(__xludf.DUMMYFUNCTION("GOOGLETRANSLATE(A50213,""en"",""pt"")"),"A grande qualidade, durável, relativamente fácil de usar")</f>
        <v>A grande qualidade, durável, relativamente fácil de usar</v>
      </c>
      <c r="B50213" s="3">
        <v>1</v>
      </c>
    </row>
    <row r="50214" ht="15.75" customHeight="1" spans="1:2">
      <c r="A50214" s="3" t="str">
        <f>IFERROR(__xludf.DUMMYFUNCTION("GOOGLETRANSLATE(A50214,""en"",""pt"")"),"Batelada de recursos, qualidade grande imagem")</f>
        <v>Batelada de recursos, qualidade grande imagem</v>
      </c>
      <c r="B50214" s="3">
        <v>1</v>
      </c>
    </row>
    <row r="50215" ht="15.75" customHeight="1" spans="1:2">
      <c r="A50215" s="3" t="str">
        <f>IFERROR(__xludf.DUMMYFUNCTION("GOOGLETRANSLATE(A50215,""en"",""pt"")"),"Fácil de usar e imagens de boa qualidade")</f>
        <v>Fácil de usar e imagens de boa qualidade</v>
      </c>
      <c r="B50215" s="3">
        <v>1</v>
      </c>
    </row>
    <row r="50216" ht="15.75" customHeight="1" spans="1:2">
      <c r="A50216" s="3" t="str">
        <f>IFERROR(__xludf.DUMMYFUNCTION("GOOGLETRANSLATE(A50216,""en"",""pt"")"),"veja o comentário")</f>
        <v>veja o comentário</v>
      </c>
      <c r="B50216" s="3">
        <v>1</v>
      </c>
    </row>
    <row r="50217" ht="15.75" customHeight="1" spans="1:2">
      <c r="A50217" s="3" t="str">
        <f>IFERROR(__xludf.DUMMYFUNCTION("GOOGLETRANSLATE(A50217,""en"",""pt"")"),"Tamanho compacto, imagens excelentes, excelente foco macro")</f>
        <v>Tamanho compacto, imagens excelentes, excelente foco macro</v>
      </c>
      <c r="B50217" s="3">
        <v>1</v>
      </c>
    </row>
    <row r="50218" ht="15.75" customHeight="1" spans="1:2">
      <c r="A50218" s="3" t="str">
        <f>IFERROR(__xludf.DUMMYFUNCTION("GOOGLETRANSLATE(A50218,""en"",""pt"")"),"Excelente qualidade de imagem.")</f>
        <v>Excelente qualidade de imagem.</v>
      </c>
      <c r="B50218" s="3">
        <v>1</v>
      </c>
    </row>
    <row r="50219" ht="15.75" customHeight="1" spans="1:2">
      <c r="A50219" s="3" t="str">
        <f>IFERROR(__xludf.DUMMYFUNCTION("GOOGLETRANSLATE(A50219,""en"",""pt"")"),"recurso de giro é imbatível. A qualidade da imagem é excelente")</f>
        <v>recurso de giro é imbatível. A qualidade da imagem é excelente</v>
      </c>
      <c r="B50219" s="3">
        <v>1</v>
      </c>
    </row>
    <row r="50220" ht="15.75" customHeight="1" spans="1:2">
      <c r="A50220" s="3" t="str">
        <f>IFERROR(__xludf.DUMMYFUNCTION("GOOGLETRANSLATE(A50220,""en"",""pt"")"),"excelente câmera")</f>
        <v>excelente câmera</v>
      </c>
      <c r="B50220" s="3">
        <v>1</v>
      </c>
    </row>
    <row r="50221" ht="15.75" customHeight="1" spans="1:2">
      <c r="A50221" s="3" t="str">
        <f>IFERROR(__xludf.DUMMYFUNCTION("GOOGLETRANSLATE(A50221,""en"",""pt"")"),"Ótimas fotos")</f>
        <v>Ótimas fotos</v>
      </c>
      <c r="B50221" s="3">
        <v>1</v>
      </c>
    </row>
    <row r="50222" ht="15.75" customHeight="1" spans="1:2">
      <c r="A50222" s="3" t="str">
        <f>IFERROR(__xludf.DUMMYFUNCTION("GOOGLETRANSLATE(A50222,""en"",""pt"")"),"localizadores ópticos e telas de LCD, controle de usuário")</f>
        <v>localizadores ópticos e telas de LCD, controle de usuário</v>
      </c>
      <c r="B50222" s="3">
        <v>1</v>
      </c>
    </row>
    <row r="50223" ht="15.75" customHeight="1" spans="1:2">
      <c r="A50223" s="3" t="str">
        <f>IFERROR(__xludf.DUMMYFUNCTION("GOOGLETRANSLATE(A50223,""en"",""pt"")"),"Grandes imagens, definições sobre o controle total")</f>
        <v>Grandes imagens, definições sobre o controle total</v>
      </c>
      <c r="B50223" s="3">
        <v>1</v>
      </c>
    </row>
    <row r="50224" ht="15.75" customHeight="1" spans="1:2">
      <c r="A50224" s="3" t="str">
        <f>IFERROR(__xludf.DUMMYFUNCTION("GOOGLETRANSLATE(A50224,""en"",""pt"")"),"Grandes recursos, Pictures impressionantes,")</f>
        <v>Grandes recursos, Pictures impressionantes,</v>
      </c>
      <c r="B50224" s="3">
        <v>1</v>
      </c>
    </row>
    <row r="50225" ht="15.75" customHeight="1" spans="1:2">
      <c r="A50225" s="3" t="str">
        <f>IFERROR(__xludf.DUMMYFUNCTION("GOOGLETRANSLATE(A50225,""en"",""pt"")"),"incrível variedade de características, de alta qualidade pics, 2Megapixels mais")</f>
        <v>incrível variedade de características, de alta qualidade pics, 2Megapixels mais</v>
      </c>
      <c r="B50225" s="3">
        <v>1</v>
      </c>
    </row>
    <row r="50226" ht="15.75" customHeight="1" spans="1:2">
      <c r="A50226" s="3" t="str">
        <f>IFERROR(__xludf.DUMMYFUNCTION("GOOGLETRANSLATE(A50226,""en"",""pt"")"),"Pequeno, leve, digitais")</f>
        <v>Pequeno, leve, digitais</v>
      </c>
      <c r="B50226" s="3">
        <v>1</v>
      </c>
    </row>
    <row r="50227" ht="15.75" customHeight="1" spans="1:2">
      <c r="A50227" s="3" t="str">
        <f>IFERROR(__xludf.DUMMYFUNCTION("GOOGLETRANSLATE(A50227,""en"",""pt"")"),"Imagens excelentes, fácil de usar, toneladas de acessórios")</f>
        <v>Imagens excelentes, fácil de usar, toneladas de acessórios</v>
      </c>
      <c r="B50227" s="3">
        <v>1</v>
      </c>
    </row>
    <row r="50228" ht="15.75" customHeight="1" spans="1:2">
      <c r="A50228" s="3" t="str">
        <f>IFERROR(__xludf.DUMMYFUNCTION("GOOGLETRANSLATE(A50228,""en"",""pt"")"),"tira ótimas fotos")</f>
        <v>tira ótimas fotos</v>
      </c>
      <c r="B50228" s="3">
        <v>1</v>
      </c>
    </row>
    <row r="50229" ht="15.75" customHeight="1" spans="1:2">
      <c r="A50229" s="3" t="str">
        <f>IFERROR(__xludf.DUMMYFUNCTION("GOOGLETRANSLATE(A50229,""en"",""pt"")"),"Boa qualidade da foto")</f>
        <v>Boa qualidade da foto</v>
      </c>
      <c r="B50229" s="3">
        <v>1</v>
      </c>
    </row>
    <row r="50230" ht="15.75" customHeight="1" spans="1:2">
      <c r="A50230" s="3" t="str">
        <f>IFERROR(__xludf.DUMMYFUNCTION("GOOGLETRANSLATE(A50230,""en"",""pt"")"),"qualidade de imagem, controles manuais, incrível o modo macro")</f>
        <v>qualidade de imagem, controles manuais, incrível o modo macro</v>
      </c>
      <c r="B50230" s="3">
        <v>1</v>
      </c>
    </row>
    <row r="50231" ht="15.75" customHeight="1" spans="1:2">
      <c r="A50231" s="3" t="str">
        <f>IFERROR(__xludf.DUMMYFUNCTION("GOOGLETRANSLATE(A50231,""en"",""pt"")"),"De qualidade de imagem, facilidade de uso, qualidade de construção, ergonomia")</f>
        <v>De qualidade de imagem, facilidade de uso, qualidade de construção, ergonomia</v>
      </c>
      <c r="B50231" s="3">
        <v>1</v>
      </c>
    </row>
    <row r="50232" ht="15.75" customHeight="1" spans="1:2">
      <c r="A50232" s="3" t="str">
        <f>IFERROR(__xludf.DUMMYFUNCTION("GOOGLETRANSLATE(A50232,""en"",""pt"")"),"Boa qualidade")</f>
        <v>Boa qualidade</v>
      </c>
      <c r="B50232" s="3">
        <v>1</v>
      </c>
    </row>
    <row r="50233" ht="15.75" customHeight="1" spans="1:2">
      <c r="A50233" s="3" t="str">
        <f>IFERROR(__xludf.DUMMYFUNCTION("GOOGLETRANSLATE(A50233,""en"",""pt"")"),"boa qualidade de imagem, câmera bastante durável")</f>
        <v>boa qualidade de imagem, câmera bastante durável</v>
      </c>
      <c r="B50233" s="3">
        <v>1</v>
      </c>
    </row>
    <row r="50234" ht="15.75" customHeight="1" spans="1:2">
      <c r="A50234" s="3" t="str">
        <f>IFERROR(__xludf.DUMMYFUNCTION("GOOGLETRANSLATE(A50234,""en"",""pt"")"),"Fun imagens de grande qualidade fácil de usar")</f>
        <v>Fun imagens de grande qualidade fácil de usar</v>
      </c>
      <c r="B50234" s="3">
        <v>1</v>
      </c>
    </row>
    <row r="50235" ht="15.75" customHeight="1" spans="1:2">
      <c r="A50235" s="3" t="str">
        <f>IFERROR(__xludf.DUMMYFUNCTION("GOOGLETRANSLATE(A50235,""en"",""pt"")"),"imagens de qualidade, fácil de uso")</f>
        <v>imagens de qualidade, fácil de uso</v>
      </c>
      <c r="B50235" s="3">
        <v>1</v>
      </c>
    </row>
    <row r="50236" ht="15.75" customHeight="1" spans="1:2">
      <c r="A50236" s="3" t="str">
        <f>IFERROR(__xludf.DUMMYFUNCTION("GOOGLETRANSLATE(A50236,""en"",""pt"")"),"grandes imagens")</f>
        <v>grandes imagens</v>
      </c>
      <c r="B50236" s="3">
        <v>1</v>
      </c>
    </row>
    <row r="50237" ht="15.75" customHeight="1" spans="1:2">
      <c r="A50237" s="3" t="str">
        <f>IFERROR(__xludf.DUMMYFUNCTION("GOOGLETRANSLATE(A50237,""en"",""pt"")"),"muito boa qualidade de imagem e fácil de usar")</f>
        <v>muito boa qualidade de imagem e fácil de usar</v>
      </c>
      <c r="B50237" s="3">
        <v>1</v>
      </c>
    </row>
    <row r="50238" ht="15.75" customHeight="1" spans="1:2">
      <c r="A50238" s="3" t="str">
        <f>IFERROR(__xludf.DUMMYFUNCTION("GOOGLETRANSLATE(A50238,""en"",""pt"")"),"Boa qualidade de imagem, fácil de usar")</f>
        <v>Boa qualidade de imagem, fácil de usar</v>
      </c>
      <c r="B50238" s="3">
        <v>1</v>
      </c>
    </row>
    <row r="50239" ht="15.75" customHeight="1" spans="1:2">
      <c r="A50239" s="3" t="str">
        <f>IFERROR(__xludf.DUMMYFUNCTION("GOOGLETRANSLATE(A50239,""en"",""pt"")"),"Fácil de usar, lente giratória, modo macro embutido, tem todas as características básicas")</f>
        <v>Fácil de usar, lente giratória, modo macro embutido, tem todas as características básicas</v>
      </c>
      <c r="B50239" s="3">
        <v>1</v>
      </c>
    </row>
    <row r="50240" ht="15.75" customHeight="1" spans="1:2">
      <c r="A50240" s="3" t="str">
        <f>IFERROR(__xludf.DUMMYFUNCTION("GOOGLETRANSLATE(A50240,""en"",""pt"")"),"user friendly, o uso de cartões compact flash e pilhas tamanho AA")</f>
        <v>user friendly, o uso de cartões compact flash e pilhas tamanho AA</v>
      </c>
      <c r="B50240" s="3">
        <v>1</v>
      </c>
    </row>
    <row r="50241" ht="15.75" customHeight="1" spans="1:2">
      <c r="A50241" s="3" t="str">
        <f>IFERROR(__xludf.DUMMYFUNCTION("GOOGLETRANSLATE(A50241,""en"",""pt"")"),"Fácil de usar, a qualidade da imagem excellect")</f>
        <v>Fácil de usar, a qualidade da imagem excellect</v>
      </c>
      <c r="B50241" s="3">
        <v>1</v>
      </c>
    </row>
    <row r="50242" ht="15.75" customHeight="1" spans="1:2">
      <c r="A50242" s="3" t="str">
        <f>IFERROR(__xludf.DUMMYFUNCTION("GOOGLETRANSLATE(A50242,""en"",""pt"")"),"Nikon qualidade Lens, muitos recursos")</f>
        <v>Nikon qualidade Lens, muitos recursos</v>
      </c>
      <c r="B50242" s="3">
        <v>1</v>
      </c>
    </row>
    <row r="50243" ht="15.75" customHeight="1" spans="1:2">
      <c r="A50243" s="3" t="str">
        <f>IFERROR(__xludf.DUMMYFUNCTION("GOOGLETRANSLATE(A50243,""en"",""pt"")"),"monitor, características, lente")</f>
        <v>monitor, características, lente</v>
      </c>
      <c r="B50243" s="3">
        <v>1</v>
      </c>
    </row>
    <row r="50244" ht="15.75" customHeight="1" spans="1:2">
      <c r="A50244" s="3" t="str">
        <f>IFERROR(__xludf.DUMMYFUNCTION("GOOGLETRANSLATE(A50244,""en"",""pt"")"),"absolutos fotos de qualidade superior")</f>
        <v>absolutos fotos de qualidade superior</v>
      </c>
      <c r="B50244" s="3">
        <v>1</v>
      </c>
    </row>
    <row r="50245" ht="15.75" customHeight="1" spans="1:2">
      <c r="A50245" s="3" t="str">
        <f>IFERROR(__xludf.DUMMYFUNCTION("GOOGLETRANSLATE(A50245,""en"",""pt"")"),"qualidade superior, fácil de usar, compacto &amp; amp; amp; luz, muitos extras com a câmera e você pode comprar novas lentes / acessórios")</f>
        <v>qualidade superior, fácil de usar, compacto &amp; amp; amp; luz, muitos extras com a câmera e você pode comprar novas lentes / acessórios</v>
      </c>
      <c r="B50245" s="3">
        <v>1</v>
      </c>
    </row>
    <row r="50246" ht="15.75" customHeight="1" spans="1:2">
      <c r="A50246" s="3" t="str">
        <f>IFERROR(__xludf.DUMMYFUNCTION("GOOGLETRANSLATE(A50246,""en"",""pt"")"),"lente Nikkor, qualidade de imagem, tamanho, velocidade")</f>
        <v>lente Nikkor, qualidade de imagem, tamanho, velocidade</v>
      </c>
      <c r="B50246" s="3">
        <v>1</v>
      </c>
    </row>
    <row r="50247" ht="15.75" customHeight="1" spans="1:2">
      <c r="A50247" s="3" t="str">
        <f>IFERROR(__xludf.DUMMYFUNCTION("GOOGLETRANSLATE(A50247,""en"",""pt"")"),"macro incrível, muito afiada e cor correta lente dando brilhantes imagens nítidas.")</f>
        <v>macro incrível, muito afiada e cor correta lente dando brilhantes imagens nítidas.</v>
      </c>
      <c r="B50247" s="3">
        <v>1</v>
      </c>
    </row>
    <row r="50248" ht="15.75" customHeight="1" spans="1:2">
      <c r="A50248" s="3" t="str">
        <f>IFERROR(__xludf.DUMMYFUNCTION("GOOGLETRANSLATE(A50248,""en"",""pt"")"),"caso twistable, imagem nítida")</f>
        <v>caso twistable, imagem nítida</v>
      </c>
      <c r="B50248" s="3">
        <v>1</v>
      </c>
    </row>
    <row r="50249" ht="15.75" customHeight="1" spans="1:2">
      <c r="A50249" s="3" t="str">
        <f>IFERROR(__xludf.DUMMYFUNCTION("GOOGLETRANSLATE(A50249,""en"",""pt"")"),"design giratório; qualidade da foto; versatilidade")</f>
        <v>design giratório; qualidade da foto; versatilidade</v>
      </c>
      <c r="B50249" s="3">
        <v>1</v>
      </c>
    </row>
    <row r="50250" ht="15.75" customHeight="1" spans="1:2">
      <c r="A50250" s="3" t="str">
        <f>IFERROR(__xludf.DUMMYFUNCTION("GOOGLETRANSLATE(A50250,""en"",""pt"")"),"É uma câmera de verdade, tem lentes e filtros feitos por ele adicionais, é bom")</f>
        <v>É uma câmera de verdade, tem lentes e filtros feitos por ele adicionais, é bom</v>
      </c>
      <c r="B50250" s="3">
        <v>1</v>
      </c>
    </row>
    <row r="50251" ht="15.75" customHeight="1" spans="1:2">
      <c r="A50251" s="3" t="str">
        <f>IFERROR(__xludf.DUMMYFUNCTION("GOOGLETRANSLATE(A50251,""en"",""pt"")"),"Excelente qualidade, relativamente fácil de usar.")</f>
        <v>Excelente qualidade, relativamente fácil de usar.</v>
      </c>
      <c r="B50251" s="3">
        <v>1</v>
      </c>
    </row>
    <row r="50252" ht="15.75" customHeight="1" spans="1:2">
      <c r="A50252" s="3" t="str">
        <f>IFERROR(__xludf.DUMMYFUNCTION("GOOGLETRANSLATE(A50252,""en"",""pt"")"),"detalhes extremamente afiados")</f>
        <v>detalhes extremamente afiados</v>
      </c>
      <c r="B50252" s="3">
        <v>1</v>
      </c>
    </row>
    <row r="50253" ht="15.75" customHeight="1" spans="1:2">
      <c r="A50253" s="3" t="str">
        <f>IFERROR(__xludf.DUMMYFUNCTION("GOOGLETRANSLATE(A50253,""en"",""pt"")"),"Leve, fácil de usar, Grandes imagens")</f>
        <v>Leve, fácil de usar, Grandes imagens</v>
      </c>
      <c r="B50253" s="3">
        <v>1</v>
      </c>
    </row>
    <row r="50254" ht="15.75" customHeight="1" spans="1:2">
      <c r="A50254" s="3" t="str">
        <f>IFERROR(__xludf.DUMMYFUNCTION("GOOGLETRANSLATE(A50254,""en"",""pt"")"),"fotos de qualidade, fácil de usar.")</f>
        <v>fotos de qualidade, fácil de usar.</v>
      </c>
      <c r="B50254" s="3">
        <v>1</v>
      </c>
    </row>
    <row r="50255" ht="15.75" customHeight="1" spans="1:2">
      <c r="A50255" s="3" t="s">
        <v>253</v>
      </c>
      <c r="B50255" s="3">
        <v>1</v>
      </c>
    </row>
    <row r="50256" ht="15.75" customHeight="1" spans="1:2">
      <c r="A50256" s="3" t="str">
        <f>IFERROR(__xludf.DUMMYFUNCTION("GOOGLETRANSLATE(A50256,""en"",""pt"")"),"Grandes fotos, lentes e recursos")</f>
        <v>Grandes fotos, lentes e recursos</v>
      </c>
      <c r="B50256" s="3">
        <v>1</v>
      </c>
    </row>
    <row r="50257" ht="15.75" customHeight="1" spans="1:2">
      <c r="A50257" s="3" t="str">
        <f>IFERROR(__xludf.DUMMYFUNCTION("GOOGLETRANSLATE(A50257,""en"",""pt"")"),"Muitos recursos para amadores, boa resolução, brilhante LCD, lente macro, corpo giratório. Fotografias muito boas.")</f>
        <v>Muitos recursos para amadores, boa resolução, brilhante LCD, lente macro, corpo giratório. Fotografias muito boas.</v>
      </c>
      <c r="B50257" s="3">
        <v>1</v>
      </c>
    </row>
    <row r="50258" ht="15.75" customHeight="1" spans="1:2">
      <c r="A50258" s="3" t="str">
        <f>IFERROR(__xludf.DUMMYFUNCTION("GOOGLETRANSLATE(A50258,""en"",""pt"")"),"De fator de forma, qualidade de imagem, zoom, recursos maciços.")</f>
        <v>De fator de forma, qualidade de imagem, zoom, recursos maciços.</v>
      </c>
      <c r="B50258" s="3">
        <v>1</v>
      </c>
    </row>
    <row r="50259" ht="15.75" customHeight="1" spans="1:2">
      <c r="A50259" s="3" t="str">
        <f>IFERROR(__xludf.DUMMYFUNCTION("GOOGLETRANSLATE(A50259,""en"",""pt"")"),"fotos de alta qualidade. Muito útil. Grandes close-ups. Eu amo esta câmera!")</f>
        <v>fotos de alta qualidade. Muito útil. Grandes close-ups. Eu amo esta câmera!</v>
      </c>
      <c r="B50259" s="3">
        <v>1</v>
      </c>
    </row>
    <row r="50260" ht="15.75" customHeight="1" spans="1:2">
      <c r="A50260" s="3" t="str">
        <f>IFERROR(__xludf.DUMMYFUNCTION("GOOGLETRANSLATE(A50260,""en"",""pt"")"),"Carregado com características úteis; fácil de ajustar a exposição; Expansibilidade; exibição útil")</f>
        <v>Carregado com características úteis; fácil de ajustar a exposição; Expansibilidade; exibição útil</v>
      </c>
      <c r="B50260" s="3">
        <v>1</v>
      </c>
    </row>
    <row r="50261" ht="15.75" customHeight="1" spans="1:2">
      <c r="A50261" s="3" t="str">
        <f>IFERROR(__xludf.DUMMYFUNCTION("GOOGLETRANSLATE(A50261,""en"",""pt"")"),"Grande movimentação, capacidade de armazenamento maravilhosa, leve, compacto, imagens de boa qualidade.")</f>
        <v>Grande movimentação, capacidade de armazenamento maravilhosa, leve, compacto, imagens de boa qualidade.</v>
      </c>
      <c r="B50261" s="3">
        <v>1</v>
      </c>
    </row>
    <row r="50262" ht="15.75" customHeight="1" spans="1:2">
      <c r="A50262" s="3" t="str">
        <f>IFERROR(__xludf.DUMMYFUNCTION("GOOGLETRANSLATE(A50262,""en"",""pt"")"),"lente giratória, leva cartões CF, usa pilhas AA de tamanho e tira ótimas fotos!")</f>
        <v>lente giratória, leva cartões CF, usa pilhas AA de tamanho e tira ótimas fotos!</v>
      </c>
      <c r="B50262" s="3">
        <v>1</v>
      </c>
    </row>
    <row r="50263" ht="15.75" customHeight="1" spans="1:2">
      <c r="A50263" s="3" t="str">
        <f>IFERROR(__xludf.DUMMYFUNCTION("GOOGLETRANSLATE(A50263,""en"",""pt"")"),"Excelente resolução, características, corpo dividido.")</f>
        <v>Excelente resolução, características, corpo dividido.</v>
      </c>
      <c r="B50263" s="3">
        <v>1</v>
      </c>
    </row>
    <row r="50264" ht="15.75" customHeight="1" spans="1:2">
      <c r="A50264" s="3" t="str">
        <f>IFERROR(__xludf.DUMMYFUNCTION("GOOGLETRANSLATE(A50264,""en"",""pt"")"),"Ótima resolução de fotos, imagens nítidas, cor boa, fácil de usar")</f>
        <v>Ótima resolução de fotos, imagens nítidas, cor boa, fácil de usar</v>
      </c>
      <c r="B50264" s="3">
        <v>1</v>
      </c>
    </row>
    <row r="50265" ht="15.75" customHeight="1" spans="1:2">
      <c r="A50265" s="3" t="str">
        <f>IFERROR(__xludf.DUMMYFUNCTION("GOOGLETRANSLATE(A50265,""en"",""pt"")"),"Durablity, qualidade das fotos, fácil de usar.")</f>
        <v>Durablity, qualidade das fotos, fácil de usar.</v>
      </c>
      <c r="B50265" s="3">
        <v>1</v>
      </c>
    </row>
    <row r="50266" ht="15.75" customHeight="1" spans="1:2">
      <c r="A50266" s="3" t="str">
        <f>IFERROR(__xludf.DUMMYFUNCTION("GOOGLETRANSLATE(A50266,""en"",""pt"")"),"Fotos excelentes em Auto quase sempre.")</f>
        <v>Fotos excelentes em Auto quase sempre.</v>
      </c>
      <c r="B50266" s="3">
        <v>1</v>
      </c>
    </row>
    <row r="50267" ht="15.75" customHeight="1" spans="1:2">
      <c r="A50267" s="3" t="s">
        <v>254</v>
      </c>
      <c r="B50267" s="3">
        <v>1</v>
      </c>
    </row>
    <row r="50268" ht="15.75" customHeight="1" spans="1:2">
      <c r="A50268" s="3" t="str">
        <f>IFERROR(__xludf.DUMMYFUNCTION("GOOGLETRANSLATE(A50268,""en"",""pt"")"),"Alta Rez, esperto estilo e Características")</f>
        <v>Alta Rez, esperto estilo e Características</v>
      </c>
      <c r="B50268" s="3">
        <v>1</v>
      </c>
    </row>
    <row r="50269" ht="15.75" customHeight="1" spans="1:2">
      <c r="A50269" s="3" t="str">
        <f>IFERROR(__xludf.DUMMYFUNCTION("GOOGLETRANSLATE(A50269,""en"",""pt"")"),"Grande ecrã LCD, robusto, customizável")</f>
        <v>Grande ecrã LCD, robusto, customizável</v>
      </c>
      <c r="B50269" s="3">
        <v>1</v>
      </c>
    </row>
    <row r="50270" ht="15.75" customHeight="1" spans="1:2">
      <c r="A50270" s="3" t="str">
        <f>IFERROR(__xludf.DUMMYFUNCTION("GOOGLETRANSLATE(A50270,""en"",""pt"")"),"Excelente qualidade de imagem")</f>
        <v>Excelente qualidade de imagem</v>
      </c>
      <c r="B50270" s="3">
        <v>1</v>
      </c>
    </row>
    <row r="50271" ht="15.75" customHeight="1" spans="1:2">
      <c r="A50271" s="3" t="str">
        <f>IFERROR(__xludf.DUMMYFUNCTION("GOOGLETRANSLATE(A50271,""en"",""pt"")"),"fácil de usar")</f>
        <v>fácil de usar</v>
      </c>
      <c r="B50271" s="3">
        <v>1</v>
      </c>
    </row>
    <row r="50272" ht="15.75" customHeight="1" spans="1:2">
      <c r="A50272" s="3" t="str">
        <f>IFERROR(__xludf.DUMMYFUNCTION("GOOGLETRANSLATE(A50272,""en"",""pt"")"),"Pequeno, fácil de usar, e tem grandes fotos")</f>
        <v>Pequeno, fácil de usar, e tem grandes fotos</v>
      </c>
      <c r="B50272" s="3">
        <v>1</v>
      </c>
    </row>
    <row r="50273" ht="15.75" customHeight="1" spans="1:2">
      <c r="A50273" s="3" t="str">
        <f>IFERROR(__xludf.DUMMYFUNCTION("GOOGLETRANSLATE(A50273,""en"",""pt"")"),"Very Nice Pic é")</f>
        <v>Very Nice Pic é</v>
      </c>
      <c r="B50273" s="3">
        <v>1</v>
      </c>
    </row>
    <row r="50274" ht="15.75" customHeight="1" spans="1:2">
      <c r="A50274" s="3" t="str">
        <f>IFERROR(__xludf.DUMMYFUNCTION("GOOGLETRANSLATE(A50274,""en"",""pt"")"),"opção de controle manual extensa, a qualidade boa foto")</f>
        <v>opção de controle manual extensa, a qualidade boa foto</v>
      </c>
      <c r="B50274" s="3">
        <v>1</v>
      </c>
    </row>
    <row r="50275" ht="15.75" customHeight="1" spans="1:2">
      <c r="A50275" s="3" t="str">
        <f>IFERROR(__xludf.DUMMYFUNCTION("GOOGLETRANSLATE(A50275,""en"",""pt"")"),"capacidade macro não pode ser batida, ea lente Nikon é incrível.")</f>
        <v>capacidade macro não pode ser batida, ea lente Nikon é incrível.</v>
      </c>
      <c r="B50275" s="3">
        <v>1</v>
      </c>
    </row>
    <row r="50276" ht="15.75" customHeight="1" spans="1:2">
      <c r="A50276" s="3" t="str">
        <f>IFERROR(__xludf.DUMMYFUNCTION("GOOGLETRANSLATE(A50276,""en"",""pt"")"),"excelente qualidade de imagem")</f>
        <v>excelente qualidade de imagem</v>
      </c>
      <c r="B50276" s="3">
        <v>1</v>
      </c>
    </row>
    <row r="50277" ht="15.75" customHeight="1" spans="1:2">
      <c r="A50277" s="3" t="str">
        <f>IFERROR(__xludf.DUMMYFUNCTION("GOOGLETRANSLATE(A50277,""en"",""pt"")"),"qualidade de imagem, funcionalidade, design")</f>
        <v>qualidade de imagem, funcionalidade, design</v>
      </c>
      <c r="B50277" s="3">
        <v>1</v>
      </c>
    </row>
    <row r="50278" ht="15.75" customHeight="1" spans="1:2">
      <c r="A50278" s="3" t="str">
        <f>IFERROR(__xludf.DUMMYFUNCTION("GOOGLETRANSLATE(A50278,""en"",""pt"")"),"corpo giratório, vários modos, a facilidade de utilização em modo automático, qualidade das imagens")</f>
        <v>corpo giratório, vários modos, a facilidade de utilização em modo automático, qualidade das imagens</v>
      </c>
      <c r="B50278" s="3">
        <v>1</v>
      </c>
    </row>
    <row r="50279" ht="15.75" customHeight="1" spans="1:2">
      <c r="A50279" s="3" t="str">
        <f>IFERROR(__xludf.DUMMYFUNCTION("GOOGLETRANSLATE(A50279,""en"",""pt"")"),"Toneladas de características, modo de filme, e imagens muito claras!")</f>
        <v>Toneladas de características, modo de filme, e imagens muito claras!</v>
      </c>
      <c r="B50279" s="3">
        <v>1</v>
      </c>
    </row>
    <row r="50280" ht="15.75" customHeight="1" spans="1:2">
      <c r="A50280" s="3" t="str">
        <f>IFERROR(__xludf.DUMMYFUNCTION("GOOGLETRANSLATE(A50280,""en"",""pt"")"),"inigualável qualidade de imagem digital")</f>
        <v>inigualável qualidade de imagem digital</v>
      </c>
      <c r="B50280" s="3">
        <v>1</v>
      </c>
    </row>
    <row r="50281" ht="15.75" customHeight="1" spans="1:2">
      <c r="A50281" s="3" t="str">
        <f>IFERROR(__xludf.DUMMYFUNCTION("GOOGLETRANSLATE(A50281,""en"",""pt"")"),"melhor câmera digital lá fora, para menos de US $ 1000")</f>
        <v>melhor câmera digital lá fora, para menos de US $ 1000</v>
      </c>
      <c r="B50281" s="3">
        <v>1</v>
      </c>
    </row>
    <row r="50282" ht="15.75" customHeight="1" spans="1:2">
      <c r="A50282" s="3" t="str">
        <f>IFERROR(__xludf.DUMMYFUNCTION("GOOGLETRANSLATE(A50282,""en"",""pt"")"),"Valor, qualidade de imagem, versatilidade, zoom, macro")</f>
        <v>Valor, qualidade de imagem, versatilidade, zoom, macro</v>
      </c>
      <c r="B50282" s="3">
        <v>1</v>
      </c>
    </row>
    <row r="50283" ht="15.75" customHeight="1" spans="1:2">
      <c r="A50283" s="3" t="str">
        <f>IFERROR(__xludf.DUMMYFUNCTION("GOOGLETRANSLATE(A50283,""en"",""pt"")"),"alta Ultra-sharp res fotos, Lotes de usuário")</f>
        <v>alta Ultra-sharp res fotos, Lotes de usuário</v>
      </c>
      <c r="B50283" s="3">
        <v>1</v>
      </c>
    </row>
    <row r="50284" ht="15.75" customHeight="1" spans="1:2">
      <c r="A50284" s="3" t="str">
        <f>IFERROR(__xludf.DUMMYFUNCTION("GOOGLETRANSLATE(A50284,""en"",""pt"")"),"Excelente qualidade de imagem, muitas opções, maior velocidade de download para um PC, o modo AUTO é tão fácil de usar como uma câmera regular, e muito mais ...")</f>
        <v>Excelente qualidade de imagem, muitas opções, maior velocidade de download para um PC, o modo AUTO é tão fácil de usar como uma câmera regular, e muito mais ...</v>
      </c>
      <c r="B50284" s="3">
        <v>1</v>
      </c>
    </row>
    <row r="50285" ht="15.75" customHeight="1" spans="1:2">
      <c r="A50285" s="3" t="str">
        <f>IFERROR(__xludf.DUMMYFUNCTION("GOOGLETRANSLATE(A50285,""en"",""pt"")"),"Excelente qualidade de imagem")</f>
        <v>Excelente qualidade de imagem</v>
      </c>
      <c r="B50285" s="3">
        <v>1</v>
      </c>
    </row>
    <row r="50286" ht="15.75" customHeight="1" spans="1:2">
      <c r="A50286" s="3" t="str">
        <f>IFERROR(__xludf.DUMMYFUNCTION("GOOGLETRANSLATE(A50286,""en"",""pt"")"),"pixels de resolução alta, fácil de usar, bom software")</f>
        <v>pixels de resolução alta, fácil de usar, bom software</v>
      </c>
      <c r="B50286" s="3">
        <v>1</v>
      </c>
    </row>
    <row r="50287" ht="15.75" customHeight="1" spans="1:2">
      <c r="A50287" s="3" t="str">
        <f>IFERROR(__xludf.DUMMYFUNCTION("GOOGLETRANSLATE(A50287,""en"",""pt"")"),"Alta resolução, Bom Zoom.")</f>
        <v>Alta resolução, Bom Zoom.</v>
      </c>
      <c r="B50287" s="3">
        <v>1</v>
      </c>
    </row>
    <row r="50288" ht="15.75" customHeight="1" spans="1:2">
      <c r="A50288" s="3" t="str">
        <f>IFERROR(__xludf.DUMMYFUNCTION("GOOGLETRANSLATE(A50288,""en"",""pt"")"),"Afiado, lente contrastado, 3.34MPixels, puro corpo torção.")</f>
        <v>Afiado, lente contrastado, 3.34MPixels, puro corpo torção.</v>
      </c>
      <c r="B50288" s="3">
        <v>1</v>
      </c>
    </row>
    <row r="50289" ht="15.75" customHeight="1" spans="1:2">
      <c r="A50289" s="3" t="str">
        <f>IFERROR(__xludf.DUMMYFUNCTION("GOOGLETRANSLATE(A50289,""en"",""pt"")"),"Assim fácil de usar que é assustador")</f>
        <v>Assim fácil de usar que é assustador</v>
      </c>
      <c r="B50289" s="3">
        <v>1</v>
      </c>
    </row>
    <row r="50290" ht="15.75" customHeight="1" spans="1:2">
      <c r="A50290" s="3" t="str">
        <f>IFERROR(__xludf.DUMMYFUNCTION("GOOGLETRANSLATE(A50290,""en"",""pt"")"),"qualidade de imagem equivalente a uma câmera de boa 35 milímetros")</f>
        <v>qualidade de imagem equivalente a uma câmera de boa 35 milímetros</v>
      </c>
      <c r="B50290" s="3">
        <v>1</v>
      </c>
    </row>
    <row r="50291" ht="15.75" customHeight="1" spans="1:2">
      <c r="A50291" s="3" t="str">
        <f>IFERROR(__xludf.DUMMYFUNCTION("GOOGLETRANSLATE(A50291,""en"",""pt"")"),"qualidade de imagem GRANDE")</f>
        <v>qualidade de imagem GRANDE</v>
      </c>
      <c r="B50291" s="3">
        <v>1</v>
      </c>
    </row>
    <row r="50292" ht="15.75" customHeight="1" spans="1:2">
      <c r="A50292" s="3" t="str">
        <f>IFERROR(__xludf.DUMMYFUNCTION("GOOGLETRANSLATE(A50292,""en"",""pt"")"),"Grandes recursos, se eu vou conseguir o software que eu pago.")</f>
        <v>Grandes recursos, se eu vou conseguir o software que eu pago.</v>
      </c>
      <c r="B50292" s="3">
        <v>1</v>
      </c>
    </row>
    <row r="50293" ht="15.75" customHeight="1" spans="1:2">
      <c r="A50293" s="3" t="str">
        <f>IFERROR(__xludf.DUMMYFUNCTION("GOOGLETRANSLATE(A50293,""en"",""pt"")"),"Explodir sua mente fotos")</f>
        <v>Explodir sua mente fotos</v>
      </c>
      <c r="B50293" s="3">
        <v>1</v>
      </c>
    </row>
    <row r="50294" ht="15.75" customHeight="1" spans="1:2">
      <c r="A50294" s="3" t="str">
        <f>IFERROR(__xludf.DUMMYFUNCTION("GOOGLETRANSLATE(A50294,""en"",""pt"")"),"Grandes imagens, rico em recursos")</f>
        <v>Grandes imagens, rico em recursos</v>
      </c>
      <c r="B50294" s="3">
        <v>1</v>
      </c>
    </row>
    <row r="50295" ht="15.75" customHeight="1" spans="1:2">
      <c r="A50295" s="3" t="str">
        <f>IFERROR(__xludf.DUMMYFUNCTION("GOOGLETRANSLATE(A50295,""en"",""pt"")"),"Toma belas fotografias facilmente!")</f>
        <v>Toma belas fotografias facilmente!</v>
      </c>
      <c r="B50295" s="3">
        <v>1</v>
      </c>
    </row>
    <row r="50296" ht="15.75" customHeight="1" spans="1:2">
      <c r="A50296" s="3" t="str">
        <f>IFERROR(__xludf.DUMMYFUNCTION("GOOGLETRANSLATE(A50296,""en"",""pt"")"),"Sólido, confiável, bem documentada.")</f>
        <v>Sólido, confiável, bem documentada.</v>
      </c>
      <c r="B50296" s="3">
        <v>1</v>
      </c>
    </row>
    <row r="50297" ht="15.75" customHeight="1" spans="1:2">
      <c r="A50297" s="3" t="str">
        <f>IFERROR(__xludf.DUMMYFUNCTION("GOOGLETRANSLATE(A50297,""en"",""pt"")"),"qualidade de imagem, recursos")</f>
        <v>qualidade de imagem, recursos</v>
      </c>
      <c r="B50297" s="3">
        <v>1</v>
      </c>
    </row>
    <row r="50298" ht="15.75" customHeight="1" spans="1:2">
      <c r="A50298" s="3" t="str">
        <f>IFERROR(__xludf.DUMMYFUNCTION("GOOGLETRANSLATE(A50298,""en"",""pt"")"),"Boa qualidade de imagem, qualidade de construção.")</f>
        <v>Boa qualidade de imagem, qualidade de construção.</v>
      </c>
      <c r="B50298" s="3">
        <v>1</v>
      </c>
    </row>
    <row r="50299" ht="15.75" customHeight="1" spans="1:2">
      <c r="A50299" s="3" t="str">
        <f>IFERROR(__xludf.DUMMYFUNCTION("GOOGLETRANSLATE(A50299,""en"",""pt"")"),"É a qualidade da imagem estúpido.")</f>
        <v>É a qualidade da imagem estúpido.</v>
      </c>
      <c r="B50299" s="3">
        <v>1</v>
      </c>
    </row>
    <row r="50300" ht="15.75" customHeight="1" spans="1:2">
      <c r="A50300" s="3" t="str">
        <f>IFERROR(__xludf.DUMMYFUNCTION("GOOGLETRANSLATE(A50300,""en"",""pt"")"),"Grandes fotos, 3.34 megapixels produzir grande impressão até 8 por 10, durável, ótima interface")</f>
        <v>Grandes fotos, 3.34 megapixels produzir grande impressão até 8 por 10, durável, ótima interface</v>
      </c>
      <c r="B50300" s="3">
        <v>1</v>
      </c>
    </row>
    <row r="50301" ht="15.75" customHeight="1" spans="1:2">
      <c r="A50301" s="3" t="str">
        <f>IFERROR(__xludf.DUMMYFUNCTION("GOOGLETRANSLATE(A50301,""en"",""pt"")"),"Grande qualidade, resistente design")</f>
        <v>Grande qualidade, resistente design</v>
      </c>
      <c r="B50301" s="3">
        <v>1</v>
      </c>
    </row>
    <row r="50302" ht="15.75" customHeight="1" spans="1:2">
      <c r="A50302" s="3" t="str">
        <f>IFERROR(__xludf.DUMMYFUNCTION("GOOGLETRANSLATE(A50302,""en"",""pt"")"),"Veja Elaborado")</f>
        <v>Veja Elaborado</v>
      </c>
      <c r="B50302" s="3">
        <v>1</v>
      </c>
    </row>
    <row r="50303" ht="15.75" customHeight="1" spans="1:2">
      <c r="A50303" s="3" t="str">
        <f>IFERROR(__xludf.DUMMYFUNCTION("GOOGLETRANSLATE(A50303,""en"",""pt"")"),"Grande detalhe e cor")</f>
        <v>Grande detalhe e cor</v>
      </c>
      <c r="B50303" s="3">
        <v>1</v>
      </c>
    </row>
    <row r="50304" ht="15.75" customHeight="1" spans="1:2">
      <c r="A50304" s="3" t="str">
        <f>IFERROR(__xludf.DUMMYFUNCTION("GOOGLETRANSLATE(A50304,""en"",""pt"")"),"Resolução, magnésio corpo, Interface USB")</f>
        <v>Resolução, magnésio corpo, Interface USB</v>
      </c>
      <c r="B50304" s="3">
        <v>1</v>
      </c>
    </row>
    <row r="50305" ht="15.75" customHeight="1" spans="1:2">
      <c r="A50305" s="3" t="str">
        <f>IFERROR(__xludf.DUMMYFUNCTION("GOOGLETRANSLATE(A50305,""en"",""pt"")"),"memórias, visualizar como acontece, mostrando às pessoas como você ir")</f>
        <v>memórias, visualizar como acontece, mostrando às pessoas como você ir</v>
      </c>
      <c r="B50305" s="3">
        <v>1</v>
      </c>
    </row>
    <row r="50306" ht="15.75" customHeight="1" spans="1:2">
      <c r="A50306" s="3" t="str">
        <f>IFERROR(__xludf.DUMMYFUNCTION("GOOGLETRANSLATE(A50306,""en"",""pt"")"),"Nitidez e capacidades avançadas")</f>
        <v>Nitidez e capacidades avançadas</v>
      </c>
      <c r="B50306" s="3">
        <v>1</v>
      </c>
    </row>
    <row r="50307" ht="15.75" customHeight="1" spans="1:2">
      <c r="A50307" s="3" t="str">
        <f>IFERROR(__xludf.DUMMYFUNCTION("GOOGLETRANSLATE(A50307,""en"",""pt"")"),"Flexibilidade, Usabilidade, Tecnologia, Preço, Qualidade")</f>
        <v>Flexibilidade, Usabilidade, Tecnologia, Preço, Qualidade</v>
      </c>
      <c r="B50307" s="3">
        <v>1</v>
      </c>
    </row>
    <row r="50308" ht="15.75" customHeight="1" spans="1:2">
      <c r="A50308" s="3" t="str">
        <f>IFERROR(__xludf.DUMMYFUNCTION("GOOGLETRANSLATE(A50308,""en"",""pt"")"),"ótima câmera incrível resolução, zoom.")</f>
        <v>ótima câmera incrível resolução, zoom.</v>
      </c>
      <c r="B50308" s="3">
        <v>1</v>
      </c>
    </row>
    <row r="50309" ht="15.75" customHeight="1" spans="1:2">
      <c r="A50309" s="3" t="str">
        <f>IFERROR(__xludf.DUMMYFUNCTION("GOOGLETRANSLATE(A50309,""en"",""pt"")"),"economia digital com imagens = para filme")</f>
        <v>economia digital com imagens = para filme</v>
      </c>
      <c r="B50309" s="3">
        <v>1</v>
      </c>
    </row>
    <row r="50310" ht="15.75" customHeight="1" spans="1:2">
      <c r="A50310" s="3" t="str">
        <f>IFERROR(__xludf.DUMMYFUNCTION("GOOGLETRANSLATE(A50310,""en"",""pt"")"),"Fácil de usar, melhor valor")</f>
        <v>Fácil de usar, melhor valor</v>
      </c>
      <c r="B50310" s="3">
        <v>1</v>
      </c>
    </row>
    <row r="50311" ht="15.75" customHeight="1" spans="1:2">
      <c r="A50311" s="3" t="str">
        <f>IFERROR(__xludf.DUMMYFUNCTION("GOOGLETRANSLATE(A50311,""en"",""pt"")"),"featuresd semelhante como 35 homólogos MM, grande automática modo de Qualidade, simples de usar !!")</f>
        <v>featuresd semelhante como 35 homólogos MM, grande automática modo de Qualidade, simples de usar !!</v>
      </c>
      <c r="B50311" s="3">
        <v>1</v>
      </c>
    </row>
    <row r="50312" ht="15.75" customHeight="1" spans="1:2">
      <c r="A50312" s="3" t="str">
        <f>IFERROR(__xludf.DUMMYFUNCTION("GOOGLETRANSLATE(A50312,""en"",""pt"")"),"sua câmera de um bom")</f>
        <v>sua câmera de um bom</v>
      </c>
      <c r="B50312" s="3">
        <v>1</v>
      </c>
    </row>
    <row r="50313" ht="15.75" customHeight="1" spans="1:2">
      <c r="A50313" s="3" t="str">
        <f>IFERROR(__xludf.DUMMYFUNCTION("GOOGLETRANSLATE(A50313,""en"",""pt"")"),"Melhor imagem para menos de US $ 1000")</f>
        <v>Melhor imagem para menos de US $ 1000</v>
      </c>
      <c r="B50313" s="3">
        <v>1</v>
      </c>
    </row>
    <row r="50314" ht="15.75" customHeight="1" spans="1:2">
      <c r="A50314" s="3" t="str">
        <f>IFERROR(__xludf.DUMMYFUNCTION("GOOGLETRANSLATE(A50314,""en"",""pt"")"),"Afiadas fotos detalhadas")</f>
        <v>Afiadas fotos detalhadas</v>
      </c>
      <c r="B50314" s="3">
        <v>1</v>
      </c>
    </row>
    <row r="50315" ht="15.75" customHeight="1" spans="1:2">
      <c r="A50315" s="3" t="str">
        <f>IFERROR(__xludf.DUMMYFUNCTION("GOOGLETRANSLATE(A50315,""en"",""pt"")"),"coisa")</f>
        <v>coisa</v>
      </c>
      <c r="B50315" s="3">
        <v>1</v>
      </c>
    </row>
    <row r="50316" ht="15.75" customHeight="1" spans="1:2">
      <c r="A50316" s="3" t="str">
        <f>IFERROR(__xludf.DUMMYFUNCTION("GOOGLETRANSLATE(A50316,""en"",""pt"")"),"3,34 Megapixels, girando Zoom Lens, grande conjunto de recursos")</f>
        <v>3,34 Megapixels, girando Zoom Lens, grande conjunto de recursos</v>
      </c>
      <c r="B50316" s="3">
        <v>1</v>
      </c>
    </row>
    <row r="50317" ht="15.75" customHeight="1" spans="1:2">
      <c r="A50317" s="3" t="str">
        <f>IFERROR(__xludf.DUMMYFUNCTION("GOOGLETRANSLATE(A50317,""en"",""pt"")"),"desenhar")</f>
        <v>desenhar</v>
      </c>
      <c r="B50317" s="3">
        <v>1</v>
      </c>
    </row>
    <row r="50318" ht="15.75" customHeight="1" spans="1:2">
      <c r="A50318" s="3" t="str">
        <f>IFERROR(__xludf.DUMMYFUNCTION("GOOGLETRANSLATE(A50318,""en"",""pt"")"),"Excelente cor, tem histograma")</f>
        <v>Excelente cor, tem histograma</v>
      </c>
      <c r="B50318" s="3">
        <v>1</v>
      </c>
    </row>
    <row r="50319" ht="15.75" customHeight="1" spans="1:2">
      <c r="A50319" s="3" t="str">
        <f>IFERROR(__xludf.DUMMYFUNCTION("GOOGLETRANSLATE(A50319,""en"",""pt"")"),"#VALUE!")</f>
        <v>#VALUE!</v>
      </c>
      <c r="B50319" s="3">
        <v>1</v>
      </c>
    </row>
    <row r="50320" ht="15.75" customHeight="1" spans="1:2">
      <c r="A50320" s="3" t="str">
        <f>IFERROR(__xludf.DUMMYFUNCTION("GOOGLETRANSLATE(A50320,""en"",""pt"")"),"Veja a lista dos 10")</f>
        <v>Veja a lista dos 10</v>
      </c>
      <c r="B50320" s="3">
        <v>1</v>
      </c>
    </row>
    <row r="50321" ht="15.75" customHeight="1" spans="1:2">
      <c r="A50321" s="3" t="str">
        <f>IFERROR(__xludf.DUMMYFUNCTION("GOOGLETRANSLATE(A50321,""en"",""pt"")"),"Muitas das funcionalidades, utilização flexível, boas fotos")</f>
        <v>Muitas das funcionalidades, utilização flexível, boas fotos</v>
      </c>
      <c r="B50321" s="3">
        <v>1</v>
      </c>
    </row>
    <row r="50322" ht="15.75" customHeight="1" spans="1:2">
      <c r="A50322" s="3" t="str">
        <f>IFERROR(__xludf.DUMMYFUNCTION("GOOGLETRANSLATE(A50322,""en"",""pt"")"),"fabulosa qualidade de imagem, operação muito rápida")</f>
        <v>fabulosa qualidade de imagem, operação muito rápida</v>
      </c>
      <c r="B50322" s="3">
        <v>1</v>
      </c>
    </row>
    <row r="50323" ht="15.75" customHeight="1" spans="1:2">
      <c r="A50323" s="3" t="str">
        <f>IFERROR(__xludf.DUMMYFUNCTION("GOOGLETRANSLATE(A50323,""en"",""pt"")"),"Muito afiado! Excelente zoom, boa painel de vista, fácil de usar")</f>
        <v>Muito afiado! Excelente zoom, boa painel de vista, fácil de usar</v>
      </c>
      <c r="B50323" s="3">
        <v>1</v>
      </c>
    </row>
    <row r="50324" ht="15.75" customHeight="1" spans="1:2">
      <c r="A50324" s="3" t="str">
        <f>IFERROR(__xludf.DUMMYFUNCTION("GOOGLETRANSLATE(A50324,""en"",""pt"")"),"rápido em tirar fotos, rápido na revisão de fotos, rápido em mudar as configurações da câmera")</f>
        <v>rápido em tirar fotos, rápido na revisão de fotos, rápido em mudar as configurações da câmera</v>
      </c>
      <c r="B50324" s="3">
        <v>1</v>
      </c>
    </row>
    <row r="50325" ht="15.75" customHeight="1" spans="1:2">
      <c r="A50325" s="3" t="str">
        <f>IFERROR(__xludf.DUMMYFUNCTION("GOOGLETRANSLATE(A50325,""en"",""pt"")"),"corpo giratório, excelente qualidade de imagem, apresenta para o dinheiro.")</f>
        <v>corpo giratório, excelente qualidade de imagem, apresenta para o dinheiro.</v>
      </c>
      <c r="B50325" s="3">
        <v>1</v>
      </c>
    </row>
    <row r="50326" ht="15.75" customHeight="1" spans="1:2">
      <c r="A50326" s="3" t="str">
        <f>IFERROR(__xludf.DUMMYFUNCTION("GOOGLETRANSLATE(A50326,""en"",""pt"")"),"Esta câmera produz alguns dos melhores impressões Ive visto, grandes recursos e mão de obra sólida")</f>
        <v>Esta câmera produz alguns dos melhores impressões Ive visto, grandes recursos e mão de obra sólida</v>
      </c>
      <c r="B50326" s="3">
        <v>1</v>
      </c>
    </row>
    <row r="50327" ht="15.75" customHeight="1" spans="1:2">
      <c r="A50327" s="3" t="str">
        <f>IFERROR(__xludf.DUMMYFUNCTION("GOOGLETRANSLATE(A50327,""en"",""pt"")"),"Excelentes fotos de alta resolução com funções de câmera de 35mm")</f>
        <v>Excelentes fotos de alta resolução com funções de câmera de 35mm</v>
      </c>
      <c r="B50327" s="3">
        <v>1</v>
      </c>
    </row>
    <row r="50328" ht="15.75" customHeight="1" spans="1:2">
      <c r="A50328" s="3" t="str">
        <f>IFERROR(__xludf.DUMMYFUNCTION("GOOGLETRANSLATE(A50328,""en"",""pt"")"),"Impressionante qualidade de imagem, modos manuais para fotografias personalizadas, transferência USB, capacidade de flash externo")</f>
        <v>Impressionante qualidade de imagem, modos manuais para fotografias personalizadas, transferência USB, capacidade de flash externo</v>
      </c>
      <c r="B50328" s="3">
        <v>1</v>
      </c>
    </row>
    <row r="50329" ht="15.75" customHeight="1" spans="1:2">
      <c r="A50329" s="3" t="str">
        <f>IFERROR(__xludf.DUMMYFUNCTION("GOOGLETRANSLATE(A50329,""en"",""pt"")"),"Big Pictures, res alto.")</f>
        <v>Big Pictures, res alto.</v>
      </c>
      <c r="B50329" s="3">
        <v>1</v>
      </c>
    </row>
    <row r="50330" ht="15.75" customHeight="1" spans="1:2">
      <c r="A50330" s="3" t="str">
        <f>IFERROR(__xludf.DUMMYFUNCTION("GOOGLETRANSLATE(A50330,""en"",""pt"")"),"capacidade macro insuperável, 4X zoom, 6X revisão, ergonomia")</f>
        <v>capacidade macro insuperável, 4X zoom, 6X revisão, ergonomia</v>
      </c>
      <c r="B50330" s="3">
        <v>1</v>
      </c>
    </row>
    <row r="50331" ht="15.75" customHeight="1" spans="1:2">
      <c r="A50331" s="3" t="str">
        <f>IFERROR(__xludf.DUMMYFUNCTION("GOOGLETRANSLATE(A50331,""en"",""pt"")"),"qualidade Nikon, ótimas fotos, zoom 4x, boa bateria, lotes de funções")</f>
        <v>qualidade Nikon, ótimas fotos, zoom 4x, boa bateria, lotes de funções</v>
      </c>
      <c r="B50331" s="3">
        <v>1</v>
      </c>
    </row>
    <row r="50332" ht="15.75" customHeight="1" spans="1:2">
      <c r="A50332" s="3" t="str">
        <f>IFERROR(__xludf.DUMMYFUNCTION("GOOGLETRANSLATE(A50332,""en"",""pt"")"),"Fácil de usar para o novato, Funcionalidade para o Pro, eo melhor sistema de exposição.")</f>
        <v>Fácil de usar para o novato, Funcionalidade para o Pro, eo melhor sistema de exposição.</v>
      </c>
      <c r="B50332" s="3">
        <v>1</v>
      </c>
    </row>
    <row r="50333" ht="15.75" customHeight="1" spans="1:2">
      <c r="A50333" s="3" t="str">
        <f>IFERROR(__xludf.DUMMYFUNCTION("GOOGLETRANSLATE(A50333,""en"",""pt"")"),"Excelente qualidade de imagem, flexable resolução / taxa de compressão, apresenta galore")</f>
        <v>Excelente qualidade de imagem, flexable resolução / taxa de compressão, apresenta galore</v>
      </c>
      <c r="B50333" s="3">
        <v>1</v>
      </c>
    </row>
    <row r="50334" ht="15.75" customHeight="1" spans="1:2">
      <c r="A50334" s="3" t="str">
        <f>IFERROR(__xludf.DUMMYFUNCTION("GOOGLETRANSLATE(A50334,""en"",""pt"")"),"close impressionantes, incrível detalhe, configurações automáticas tirar fotos maravilhosas")</f>
        <v>close impressionantes, incrível detalhe, configurações automáticas tirar fotos maravilhosas</v>
      </c>
      <c r="B50334" s="3">
        <v>1</v>
      </c>
    </row>
    <row r="50335" ht="15.75" customHeight="1" spans="1:2">
      <c r="A50335" s="3" t="str">
        <f>IFERROR(__xludf.DUMMYFUNCTION("GOOGLETRANSLATE(A50335,""en"",""pt"")"),"Excelente qualidade de imagem. Cheio de recursos, mas fácil de apontar e disparar no modo automático.")</f>
        <v>Excelente qualidade de imagem. Cheio de recursos, mas fácil de apontar e disparar no modo automático.</v>
      </c>
      <c r="B50335" s="3">
        <v>1</v>
      </c>
    </row>
    <row r="50336" ht="15.75" customHeight="1" spans="1:2">
      <c r="A50336" s="3" t="str">
        <f>IFERROR(__xludf.DUMMYFUNCTION("GOOGLETRANSLATE(A50336,""en"",""pt"")"),"substituto digno para o 950 e 990.")</f>
        <v>substituto digno para o 950 e 990.</v>
      </c>
      <c r="B50336" s="3">
        <v>1</v>
      </c>
    </row>
    <row r="50337" ht="15.75" customHeight="1" spans="1:2">
      <c r="A50337" s="3" t="str">
        <f>IFERROR(__xludf.DUMMYFUNCTION("GOOGLETRANSLATE(A50337,""en"",""pt"")"),"As imagens nítidas, display de fácil leitura, fácil de operar")</f>
        <v>As imagens nítidas, display de fácil leitura, fácil de operar</v>
      </c>
      <c r="B50337" s="3">
        <v>1</v>
      </c>
    </row>
    <row r="50338" ht="15.75" customHeight="1" spans="1:2">
      <c r="A50338" s="3" t="str">
        <f>IFERROR(__xludf.DUMMYFUNCTION("GOOGLETRANSLATE(A50338,""en"",""pt"")"),"cor soberba, Macro excelente, fácil de usar recursos de auto")</f>
        <v>cor soberba, Macro excelente, fácil de usar recursos de auto</v>
      </c>
      <c r="B50338" s="3">
        <v>1</v>
      </c>
    </row>
    <row r="50339" ht="15.75" customHeight="1" spans="1:2">
      <c r="A50339" s="3" t="str">
        <f>IFERROR(__xludf.DUMMYFUNCTION("GOOGLETRANSLATE(A50339,""en"",""pt"")"),"câmera extremamente capaz, com a facilidade de uso para o usuário médio eo profissional experiente.")</f>
        <v>câmera extremamente capaz, com a facilidade de uso para o usuário médio eo profissional experiente.</v>
      </c>
      <c r="B50339" s="3">
        <v>1</v>
      </c>
    </row>
    <row r="50340" ht="15.75" customHeight="1" spans="1:2">
      <c r="A50340" s="3" t="str">
        <f>IFERROR(__xludf.DUMMYFUNCTION("GOOGLETRANSLATE(A50340,""en"",""pt"")"),"fotos nítidas e bons capabilites zoom")</f>
        <v>fotos nítidas e bons capabilites zoom</v>
      </c>
      <c r="B50340" s="3">
        <v>1</v>
      </c>
    </row>
    <row r="50341" ht="15.75" customHeight="1" spans="1:2">
      <c r="A50341" s="3" t="str">
        <f>IFERROR(__xludf.DUMMYFUNCTION("GOOGLETRANSLATE(A50341,""en"",""pt"")"),"Tira fotos bonitas")</f>
        <v>Tira fotos bonitas</v>
      </c>
      <c r="B50341" s="3">
        <v>1</v>
      </c>
    </row>
    <row r="50342" ht="15.75" customHeight="1" spans="1:2">
      <c r="A50342" s="3" t="str">
        <f>IFERROR(__xludf.DUMMYFUNCTION("GOOGLETRANSLATE(A50342,""en"",""pt"")"),"Mais megapixels, mais zoom, melhores recursos, lente grande &amp; amp;. # 13; &amp; amp; # 10;")</f>
        <v>Mais megapixels, mais zoom, melhores recursos, lente grande &amp; amp;. # 13; &amp; amp; # 10;</v>
      </c>
      <c r="B50342" s="3">
        <v>1</v>
      </c>
    </row>
    <row r="50343" ht="15.75" customHeight="1" spans="1:2">
      <c r="A50343" s="3" t="str">
        <f>IFERROR(__xludf.DUMMYFUNCTION("GOOGLETRANSLATE(A50343,""en"",""pt"")"),"modo manual é muito poderoso")</f>
        <v>modo manual é muito poderoso</v>
      </c>
      <c r="B50343" s="3">
        <v>1</v>
      </c>
    </row>
    <row r="50344" ht="15.75" customHeight="1" spans="1:2">
      <c r="A50344" s="3" t="str">
        <f>IFERROR(__xludf.DUMMYFUNCTION("GOOGLETRANSLATE(A50344,""en"",""pt"")"),"Principalmente boa e imagens nítidas")</f>
        <v>Principalmente boa e imagens nítidas</v>
      </c>
      <c r="B50344" s="3">
        <v>1</v>
      </c>
    </row>
    <row r="50345" ht="15.75" customHeight="1" spans="1:2">
      <c r="A50345" s="3" t="str">
        <f>IFERROR(__xludf.DUMMYFUNCTION("GOOGLETRANSLATE(A50345,""en"",""pt"")"),"4x lense, grande captação cor, muitas opções, design, velocidade adequada")</f>
        <v>4x lense, grande captação cor, muitas opções, design, velocidade adequada</v>
      </c>
      <c r="B50345" s="3">
        <v>1</v>
      </c>
    </row>
    <row r="50346" ht="15.75" customHeight="1" spans="1:2">
      <c r="A50346" s="3" t="str">
        <f>IFERROR(__xludf.DUMMYFUNCTION("GOOGLETRANSLATE(A50346,""en"",""pt"")"),"Tem grandes figuras, muito claro, zoom muito bom")</f>
        <v>Tem grandes figuras, muito claro, zoom muito bom</v>
      </c>
      <c r="B50346" s="3">
        <v>1</v>
      </c>
    </row>
    <row r="50347" ht="15.75" customHeight="1" spans="1:2">
      <c r="A50347" s="3" t="str">
        <f>IFERROR(__xludf.DUMMYFUNCTION("GOOGLETRANSLATE(A50347,""en"",""pt"")"),"características múltiplas, tamanho grande para mãos grandes, a qualidade de imagem GRANDE")</f>
        <v>características múltiplas, tamanho grande para mãos grandes, a qualidade de imagem GRANDE</v>
      </c>
      <c r="B50347" s="3">
        <v>1</v>
      </c>
    </row>
    <row r="50348" ht="15.75" customHeight="1" spans="1:2">
      <c r="A50348" s="3" t="str">
        <f>IFERROR(__xludf.DUMMYFUNCTION("GOOGLETRANSLATE(A50348,""en"",""pt"")"),"Lotes das características agradáveis, design de alta qualidade.")</f>
        <v>Lotes das características agradáveis, design de alta qualidade.</v>
      </c>
      <c r="B50348" s="3">
        <v>1</v>
      </c>
    </row>
    <row r="50349" ht="15.75" customHeight="1" spans="1:2">
      <c r="A50349" s="3" t="str">
        <f>IFERROR(__xludf.DUMMYFUNCTION("GOOGLETRANSLATE(A50349,""en"",""pt"")"),"Very nice Camera")</f>
        <v>Very nice Camera</v>
      </c>
      <c r="B50349" s="3">
        <v>1</v>
      </c>
    </row>
    <row r="50350" ht="15.75" customHeight="1" spans="1:2">
      <c r="A50350" s="3" t="str">
        <f>IFERROR(__xludf.DUMMYFUNCTION("GOOGLETRANSLATE(A50350,""en"",""pt"")"),"Boa qualidade de imagem")</f>
        <v>Boa qualidade de imagem</v>
      </c>
      <c r="B50350" s="3">
        <v>1</v>
      </c>
    </row>
    <row r="50351" ht="15.75" customHeight="1" spans="1:2">
      <c r="A50351" s="3" t="str">
        <f>IFERROR(__xludf.DUMMYFUNCTION("GOOGLETRANSLATE(A50351,""en"",""pt"")"),"Excelente qualidade de construção, durável, grande resolução e clareza, lentes Nikon estão entre os melhores")</f>
        <v>Excelente qualidade de construção, durável, grande resolução e clareza, lentes Nikon estão entre os melhores</v>
      </c>
      <c r="B50351" s="3">
        <v>1</v>
      </c>
    </row>
    <row r="50352" ht="15.75" customHeight="1" spans="1:2">
      <c r="A50352" s="3" t="str">
        <f>IFERROR(__xludf.DUMMYFUNCTION("GOOGLETRANSLATE(A50352,""en"",""pt"")"),"lente nova 4X Zoom, novo &amp; amp; # 147; na câmera &amp; amp; # 148; imagem opções de manipulação &amp; amp; # 13; &amp; amp; # 10;")</f>
        <v>lente nova 4X Zoom, novo &amp; amp; # 147; na câmera &amp; amp; # 148; imagem opções de manipulação &amp; amp; # 13; &amp; amp; # 10;</v>
      </c>
      <c r="B50352" s="3">
        <v>1</v>
      </c>
    </row>
    <row r="50353" ht="15.75" customHeight="1" spans="1:2">
      <c r="A50353" s="3" t="str">
        <f>IFERROR(__xludf.DUMMYFUNCTION("GOOGLETRANSLATE(A50353,""en"",""pt"")"),"É uma Nikon, grandes cores na maior parte do tempo. Sólido")</f>
        <v>É uma Nikon, grandes cores na maior parte do tempo. Sólido</v>
      </c>
      <c r="B50353" s="3">
        <v>1</v>
      </c>
    </row>
    <row r="50354" ht="15.75" customHeight="1" spans="1:2">
      <c r="A50354" s="3" t="str">
        <f>IFERROR(__xludf.DUMMYFUNCTION("GOOGLETRANSLATE(A50354,""en"",""pt"")"),"Excelente qualidade, funciona direito da caixa.")</f>
        <v>Excelente qualidade, funciona direito da caixa.</v>
      </c>
      <c r="B50354" s="3">
        <v>1</v>
      </c>
    </row>
    <row r="50355" ht="15.75" customHeight="1" spans="1:2">
      <c r="A50355" s="3" t="str">
        <f>IFERROR(__xludf.DUMMYFUNCTION("GOOGLETRANSLATE(A50355,""en"",""pt"")"),"Super lente e qualidade")</f>
        <v>Super lente e qualidade</v>
      </c>
      <c r="B50355" s="3">
        <v>1</v>
      </c>
    </row>
    <row r="50356" ht="15.75" customHeight="1" spans="1:2">
      <c r="A50356" s="3" t="str">
        <f>IFERROR(__xludf.DUMMYFUNCTION("GOOGLETRANSLATE(A50356,""en"",""pt"")"),"Ótimo para quem precisa de algo em ou perto do topo da linha.")</f>
        <v>Ótimo para quem precisa de algo em ou perto do topo da linha.</v>
      </c>
      <c r="B50356" s="3">
        <v>1</v>
      </c>
    </row>
    <row r="50357" ht="15.75" customHeight="1" spans="1:2">
      <c r="A50357" s="3" t="str">
        <f>IFERROR(__xludf.DUMMYFUNCTION("GOOGLETRANSLATE(A50357,""en"",""pt"")"),"Grande lente, maior zoom, melhores opções de resolução, incluído bateria de lítio-ion.")</f>
        <v>Grande lente, maior zoom, melhores opções de resolução, incluído bateria de lítio-ion.</v>
      </c>
      <c r="B50357" s="3">
        <v>1</v>
      </c>
    </row>
    <row r="50358" ht="15.75" customHeight="1" spans="1:2">
      <c r="A50358" s="3" t="str">
        <f>IFERROR(__xludf.DUMMYFUNCTION("GOOGLETRANSLATE(A50358,""en"",""pt"")"),"Usa lentes SLR, fantástica resolução, controles familiares, nenhum atraso do obturador!")</f>
        <v>Usa lentes SLR, fantástica resolução, controles familiares, nenhum atraso do obturador!</v>
      </c>
      <c r="B50358" s="3">
        <v>1</v>
      </c>
    </row>
    <row r="50359" ht="15.75" customHeight="1" spans="1:2">
      <c r="A50359" s="3" t="str">
        <f>IFERROR(__xludf.DUMMYFUNCTION("GOOGLETRANSLATE(A50359,""en"",""pt"")"),"Rico em recursos, lente intercambiável, 6 megapixel resolução &amp; amp; # 13; &amp; amp; # 10;")</f>
        <v>Rico em recursos, lente intercambiável, 6 megapixel resolução &amp; amp; # 13; &amp; amp; # 10;</v>
      </c>
      <c r="B50359" s="3">
        <v>1</v>
      </c>
    </row>
    <row r="50360" ht="15.75" customHeight="1" spans="1:2">
      <c r="A50360" s="3" t="str">
        <f>IFERROR(__xludf.DUMMYFUNCTION("GOOGLETRANSLATE(A50360,""en"",""pt"")"),"resposta instantânea")</f>
        <v>resposta instantânea</v>
      </c>
      <c r="B50360" s="3">
        <v>1</v>
      </c>
    </row>
    <row r="50361" ht="15.75" customHeight="1" spans="1:2">
      <c r="A50361" s="3" t="str">
        <f>IFERROR(__xludf.DUMMYFUNCTION("GOOGLETRANSLATE(A50361,""en"",""pt"")"),"6 megapixels, maior duração da bateria, peso leve")</f>
        <v>6 megapixels, maior duração da bateria, peso leve</v>
      </c>
      <c r="B50361" s="3">
        <v>1</v>
      </c>
    </row>
    <row r="50362" ht="15.75" customHeight="1" spans="1:2">
      <c r="A50362" s="3" t="str">
        <f>IFERROR(__xludf.DUMMYFUNCTION("GOOGLETRANSLATE(A50362,""en"",""pt"")"),"tempo de atraso insignificante quando ligar a câmera, bateria de longa duração.")</f>
        <v>tempo de atraso insignificante quando ligar a câmera, bateria de longa duração.</v>
      </c>
      <c r="B50362" s="3">
        <v>1</v>
      </c>
    </row>
    <row r="50363" ht="15.75" customHeight="1" spans="1:2">
      <c r="A50363" s="3" t="str">
        <f>IFERROR(__xludf.DUMMYFUNCTION("GOOGLETRANSLATE(A50363,""en"",""pt"")"),"qualidade Nikon, todas as lentes Nikon vai funcionar. , Qualidade de imagem muito boa.")</f>
        <v>qualidade Nikon, todas as lentes Nikon vai funcionar. , Qualidade de imagem muito boa.</v>
      </c>
      <c r="B50363" s="3">
        <v>1</v>
      </c>
    </row>
    <row r="50364" ht="15.75" customHeight="1" spans="1:2">
      <c r="A50364" s="3" t="str">
        <f>IFERROR(__xludf.DUMMYFUNCTION("GOOGLETRANSLATE(A50364,""en"",""pt"")"),"Pictures, construção de Produto, a vida da bateria")</f>
        <v>Pictures, construção de Produto, a vida da bateria</v>
      </c>
      <c r="B50364" s="3">
        <v>1</v>
      </c>
    </row>
    <row r="50365" ht="15.75" customHeight="1" spans="1:2">
      <c r="A50365" s="3" t="str">
        <f>IFERROR(__xludf.DUMMYFUNCTION("GOOGLETRANSLATE(A50365,""en"",""pt"")"),"Qualidade da imagem. Capacidade de usar lentes Nikon. Opções.")</f>
        <v>Qualidade da imagem. Capacidade de usar lentes Nikon. Opções.</v>
      </c>
      <c r="B50365" s="3">
        <v>1</v>
      </c>
    </row>
    <row r="50366" ht="15.75" customHeight="1" spans="1:2">
      <c r="A50366" s="3" t="str">
        <f>IFERROR(__xludf.DUMMYFUNCTION("GOOGLETRANSLATE(A50366,""en"",""pt"")"),"Belas imagens, rápido, tira uma fotografia natural. visor brilhante. vida útil da bateria impressionante.")</f>
        <v>Belas imagens, rápido, tira uma fotografia natural. visor brilhante. vida útil da bateria impressionante.</v>
      </c>
      <c r="B50366" s="3">
        <v>1</v>
      </c>
    </row>
    <row r="50367" ht="15.75" customHeight="1" spans="1:2">
      <c r="A50367" s="3" t="str">
        <f>IFERROR(__xludf.DUMMYFUNCTION("GOOGLETRANSLATE(A50367,""en"",""pt"")"),"Super!!")</f>
        <v>Super!!</v>
      </c>
      <c r="B50367" s="3">
        <v>1</v>
      </c>
    </row>
    <row r="50368" ht="15.75" customHeight="1" spans="1:2">
      <c r="A50368" s="3" t="str">
        <f>IFERROR(__xludf.DUMMYFUNCTION("GOOGLETRANSLATE(A50368,""en"",""pt"")"),"Ele tem todas as funções necessárias para uma câmera profissional básica.")</f>
        <v>Ele tem todas as funções necessárias para uma câmera profissional básica.</v>
      </c>
      <c r="B50368" s="3">
        <v>1</v>
      </c>
    </row>
    <row r="50369" ht="15.75" customHeight="1" spans="1:2">
      <c r="A50369" s="3" t="str">
        <f>IFERROR(__xludf.DUMMYFUNCTION("GOOGLETRANSLATE(A50369,""en"",""pt"")"),"Fácil de usar, fotos grandes, bateria de longa duração, a funcionalidade")</f>
        <v>Fácil de usar, fotos grandes, bateria de longa duração, a funcionalidade</v>
      </c>
      <c r="B50369" s="3">
        <v>1</v>
      </c>
    </row>
    <row r="50370" ht="15.75" customHeight="1" spans="1:2">
      <c r="A50370" s="3" t="str">
        <f>IFERROR(__xludf.DUMMYFUNCTION("GOOGLETRANSLATE(A50370,""en"",""pt"")"),"Boas fotos, construção robusta, lentes Nikon.")</f>
        <v>Boas fotos, construção robusta, lentes Nikon.</v>
      </c>
      <c r="B50370" s="3">
        <v>1</v>
      </c>
    </row>
    <row r="50371" ht="15.75" customHeight="1" spans="1:2">
      <c r="A50371" s="3" t="str">
        <f>IFERROR(__xludf.DUMMYFUNCTION("GOOGLETRANSLATE(A50371,""en"",""pt"")"),"grandes imagens, preço decente, usará Nikon vidro")</f>
        <v>grandes imagens, preço decente, usará Nikon vidro</v>
      </c>
      <c r="B50371" s="3">
        <v>1</v>
      </c>
    </row>
    <row r="50372" ht="15.75" customHeight="1" spans="1:2">
      <c r="A50372" s="3" t="str">
        <f>IFERROR(__xludf.DUMMYFUNCTION("GOOGLETRANSLATE(A50372,""en"",""pt"")"),"grande sensação, resposta rápida, NÃO precisa Nikon Capture para abrir arquivos RAW")</f>
        <v>grande sensação, resposta rápida, NÃO precisa Nikon Capture para abrir arquivos RAW</v>
      </c>
      <c r="B50372" s="3">
        <v>1</v>
      </c>
    </row>
    <row r="50373" ht="15.75" customHeight="1" spans="1:2">
      <c r="A50373" s="3" t="str">
        <f>IFERROR(__xludf.DUMMYFUNCTION("GOOGLETRANSLATE(A50373,""en"",""pt"")"),"Apenas uma ótima câmera para usar com toda a versatilidade que você poderia querer.")</f>
        <v>Apenas uma ótima câmera para usar com toda a versatilidade que você poderia querer.</v>
      </c>
      <c r="B50373" s="3">
        <v>1</v>
      </c>
    </row>
    <row r="50374" ht="15.75" customHeight="1" spans="1:2">
      <c r="A50374" s="3" t="str">
        <f>IFERROR(__xludf.DUMMYFUNCTION("GOOGLETRANSLATE(A50374,""en"",""pt"")"),"SLR seis Megapixel Digital Profissional")</f>
        <v>SLR seis Megapixel Digital Profissional</v>
      </c>
      <c r="B50374" s="3">
        <v>1</v>
      </c>
    </row>
    <row r="50375" ht="15.75" customHeight="1" spans="1:2">
      <c r="A50375" s="3" t="str">
        <f>IFERROR(__xludf.DUMMYFUNCTION("GOOGLETRANSLATE(A50375,""en"",""pt"")"),"Rápido, confiável, a melhor câmera SLR Digital feita.")</f>
        <v>Rápido, confiável, a melhor câmera SLR Digital feita.</v>
      </c>
      <c r="B50375" s="3">
        <v>1</v>
      </c>
    </row>
    <row r="50376" ht="15.75" customHeight="1" spans="1:2">
      <c r="A50376" s="3" t="str">
        <f>IFERROR(__xludf.DUMMYFUNCTION("GOOGLETRANSLATE(A50376,""en"",""pt"")"),"Excelente qualidade, divertido de usar, poderoso")</f>
        <v>Excelente qualidade, divertido de usar, poderoso</v>
      </c>
      <c r="B50376" s="3">
        <v>1</v>
      </c>
    </row>
    <row r="50377" ht="15.75" customHeight="1" spans="1:2">
      <c r="A50377" s="3" t="str">
        <f>IFERROR(__xludf.DUMMYFUNCTION("GOOGLETRANSLATE(A50377,""en"",""pt"")"),"câmera extremamente capaz, de alta qualidade de imagem, cores precisas, rápido.")</f>
        <v>câmera extremamente capaz, de alta qualidade de imagem, cores precisas, rápido.</v>
      </c>
      <c r="B50377" s="3">
        <v>1</v>
      </c>
    </row>
    <row r="50378" ht="15.75" customHeight="1" spans="1:2">
      <c r="A50378" s="3" t="str">
        <f>IFERROR(__xludf.DUMMYFUNCTION("GOOGLETRANSLATE(A50378,""en"",""pt"")"),"Toma, fotografias digitais nítidas nítidas inigualável por qualquer outra câmera digital")</f>
        <v>Toma, fotografias digitais nítidas nítidas inigualável por qualquer outra câmera digital</v>
      </c>
      <c r="B50378" s="3">
        <v>1</v>
      </c>
    </row>
    <row r="50379" ht="15.75" customHeight="1" spans="1:2">
      <c r="A50379" s="3" t="str">
        <f>IFERROR(__xludf.DUMMYFUNCTION("GOOGLETRANSLATE(A50379,""en"",""pt"")"),"Ao melhor")</f>
        <v>Ao melhor</v>
      </c>
      <c r="B50379" s="3">
        <v>1</v>
      </c>
    </row>
    <row r="50380" ht="15.75" customHeight="1" spans="1:2">
      <c r="A50380" s="3" t="str">
        <f>IFERROR(__xludf.DUMMYFUNCTION("GOOGLETRANSLATE(A50380,""en"",""pt"")"),"A jóia do famoso permutabilidade da Nikon")</f>
        <v>A jóia do famoso permutabilidade da Nikon</v>
      </c>
      <c r="B50380" s="3">
        <v>1</v>
      </c>
    </row>
    <row r="50381" ht="15.75" customHeight="1" spans="1:2">
      <c r="A50381" s="3" t="str">
        <f>IFERROR(__xludf.DUMMYFUNCTION("GOOGLETRANSLATE(A50381,""en"",""pt"")"),"SLR digital profissional completa")</f>
        <v>SLR digital profissional completa</v>
      </c>
      <c r="B50381" s="3">
        <v>1</v>
      </c>
    </row>
    <row r="50382" ht="15.75" customHeight="1" spans="1:2">
      <c r="A50382" s="3" t="str">
        <f>IFERROR(__xludf.DUMMYFUNCTION("GOOGLETRANSLATE(A50382,""en"",""pt"")"),"Excelentes fotos de qualidade")</f>
        <v>Excelentes fotos de qualidade</v>
      </c>
      <c r="B50382" s="3">
        <v>1</v>
      </c>
    </row>
    <row r="50383" ht="15.75" customHeight="1" spans="1:2">
      <c r="A50383" s="3" t="str">
        <f>IFERROR(__xludf.DUMMYFUNCTION("GOOGLETRANSLATE(A50383,""en"",""pt"")"),"imagens pendentes, qualidade F-series")</f>
        <v>imagens pendentes, qualidade F-series</v>
      </c>
      <c r="B50383" s="3">
        <v>1</v>
      </c>
    </row>
    <row r="50384" ht="15.75" customHeight="1" spans="1:2">
      <c r="A50384" s="3" t="str">
        <f>IFERROR(__xludf.DUMMYFUNCTION("GOOGLETRANSLATE(A50384,""en"",""pt"")"),"muitos recursos, bom produto acabado")</f>
        <v>muitos recursos, bom produto acabado</v>
      </c>
      <c r="B50384" s="3">
        <v>1</v>
      </c>
    </row>
    <row r="50385" ht="15.75" customHeight="1" spans="1:2">
      <c r="A50385" s="3" t="str">
        <f>IFERROR(__xludf.DUMMYFUNCTION("GOOGLETRANSLATE(A50385,""en"",""pt"")"),"Excelente sistema de câmera, age como uma câmera de filme")</f>
        <v>Excelente sistema de câmera, age como uma câmera de filme</v>
      </c>
      <c r="B50385" s="3">
        <v>1</v>
      </c>
    </row>
    <row r="50386" ht="15.75" customHeight="1" spans="1:2">
      <c r="A50386" s="3" t="str">
        <f>IFERROR(__xludf.DUMMYFUNCTION("GOOGLETRANSLATE(A50386,""en"",""pt"")"),"Fácil de usar, poupa tempo e dinheiro")</f>
        <v>Fácil de usar, poupa tempo e dinheiro</v>
      </c>
      <c r="B50386" s="3">
        <v>1</v>
      </c>
    </row>
    <row r="50387" ht="15.75" customHeight="1" spans="1:2">
      <c r="A50387" s="3" t="str">
        <f>IFERROR(__xludf.DUMMYFUNCTION("GOOGLETRANSLATE(A50387,""en"",""pt"")"),"Características Alta qualidade-Profissional")</f>
        <v>Características Alta qualidade-Profissional</v>
      </c>
      <c r="B50387" s="3">
        <v>1</v>
      </c>
    </row>
    <row r="50388" ht="15.75" customHeight="1" spans="1:2">
      <c r="A50388" s="3" t="str">
        <f>IFERROR(__xludf.DUMMYFUNCTION("GOOGLETRANSLATE(A50388,""en"",""pt"")"),"Qualidade Profissional Digital")</f>
        <v>Qualidade Profissional Digital</v>
      </c>
      <c r="B50388" s="3">
        <v>1</v>
      </c>
    </row>
    <row r="50389" ht="15.75" customHeight="1" spans="1:2">
      <c r="A50389" s="3" t="str">
        <f>IFERROR(__xludf.DUMMYFUNCTION("GOOGLETRANSLATE(A50389,""en"",""pt"")"),"A melhor de todas as câmeras digitais.")</f>
        <v>A melhor de todas as câmeras digitais.</v>
      </c>
      <c r="B50389" s="3">
        <v>1</v>
      </c>
    </row>
    <row r="50390" ht="15.75" customHeight="1" spans="1:2">
      <c r="A50390" s="3" t="str">
        <f>IFERROR(__xludf.DUMMYFUNCTION("GOOGLETRANSLATE(A50390,""en"",""pt"")"),"Ele faz tudo que você precisa de um corpo de filme de nível profissional.")</f>
        <v>Ele faz tudo que você precisa de um corpo de filme de nível profissional.</v>
      </c>
      <c r="B50390" s="3">
        <v>1</v>
      </c>
    </row>
    <row r="50391" ht="15.75" customHeight="1" spans="1:2">
      <c r="A50391" s="3" t="str">
        <f>IFERROR(__xludf.DUMMYFUNCTION("GOOGLETRANSLATE(A50391,""en"",""pt"")"),"barato, excelente qualidade de impressão")</f>
        <v>barato, excelente qualidade de impressão</v>
      </c>
      <c r="B50391" s="3">
        <v>1</v>
      </c>
    </row>
    <row r="50392" ht="15.75" customHeight="1" spans="1:2">
      <c r="A50392" s="3" t="str">
        <f>IFERROR(__xludf.DUMMYFUNCTION("GOOGLETRANSLATE(A50392,""en"",""pt"")"),"bandeja de papel")</f>
        <v>bandeja de papel</v>
      </c>
      <c r="B50392" s="3">
        <v>1</v>
      </c>
    </row>
    <row r="50393" ht="15.75" customHeight="1" spans="1:2">
      <c r="A50393" s="3" t="str">
        <f>IFERROR(__xludf.DUMMYFUNCTION("GOOGLETRANSLATE(A50393,""en"",""pt"")"),"Barato, toner é tamanho compacto barato, pequeno")</f>
        <v>Barato, toner é tamanho compacto barato, pequeno</v>
      </c>
      <c r="B50393" s="3">
        <v>1</v>
      </c>
    </row>
    <row r="50394" ht="15.75" customHeight="1" spans="1:2">
      <c r="A50394" s="3" t="str">
        <f>IFERROR(__xludf.DUMMYFUNCTION("GOOGLETRANSLATE(A50394,""en"",""pt"")"),"Quando a impressora imprime - é ótimo.")</f>
        <v>Quando a impressora imprime - é ótimo.</v>
      </c>
      <c r="B50394" s="3">
        <v>1</v>
      </c>
    </row>
    <row r="50395" ht="15.75" customHeight="1" spans="1:2">
      <c r="A50395" s="3" t="str">
        <f>IFERROR(__xludf.DUMMYFUNCTION("GOOGLETRANSLATE(A50395,""en"",""pt"")"),"lasca")</f>
        <v>lasca</v>
      </c>
      <c r="B50395" s="3">
        <v>1</v>
      </c>
    </row>
    <row r="50396" ht="15.75" customHeight="1" spans="1:2">
      <c r="A50396" s="3" t="str">
        <f>IFERROR(__xludf.DUMMYFUNCTION("GOOGLETRANSLATE(A50396,""en"",""pt"")"),"impressões de qualidade laser, baixo custo de alimentação por página")</f>
        <v>impressões de qualidade laser, baixo custo de alimentação por página</v>
      </c>
      <c r="B50396" s="3">
        <v>1</v>
      </c>
    </row>
    <row r="50397" ht="15.75" customHeight="1" spans="1:2">
      <c r="A50397" s="3" t="str">
        <f>IFERROR(__xludf.DUMMYFUNCTION("GOOGLETRANSLATE(A50397,""en"",""pt"")"),"qualidade de impressão")</f>
        <v>qualidade de impressão</v>
      </c>
      <c r="B50397" s="3">
        <v>1</v>
      </c>
    </row>
    <row r="50398" ht="15.75" customHeight="1" spans="1:2">
      <c r="A50398" s="3" t="str">
        <f>IFERROR(__xludf.DUMMYFUNCTION("GOOGLETRANSLATE(A50398,""en"",""pt"")"),"Barato.")</f>
        <v>Barato.</v>
      </c>
      <c r="B50398" s="3">
        <v>1</v>
      </c>
    </row>
    <row r="50399" ht="15.75" customHeight="1" spans="1:2">
      <c r="A50399" s="3" t="str">
        <f>IFERROR(__xludf.DUMMYFUNCTION("GOOGLETRANSLATE(A50399,""en"",""pt"")"),"Zoom, Zoom Zoom !!!! Eu esqueci de mencionar o ZOOM !!!")</f>
        <v>Zoom, Zoom Zoom !!!! Eu esqueci de mencionar o ZOOM !!!</v>
      </c>
      <c r="B50399" s="3">
        <v>1</v>
      </c>
    </row>
    <row r="50400" ht="15.75" customHeight="1" spans="1:2">
      <c r="A50400" s="3" t="str">
        <f>IFERROR(__xludf.DUMMYFUNCTION("GOOGLETRANSLATE(A50400,""en"",""pt"")"),"muitos recursos")</f>
        <v>muitos recursos</v>
      </c>
      <c r="B50400" s="3">
        <v>1</v>
      </c>
    </row>
    <row r="50401" ht="15.75" customHeight="1" spans="1:2">
      <c r="A50401" s="3" t="str">
        <f>IFERROR(__xludf.DUMMYFUNCTION("GOOGLETRANSLATE(A50401,""en"",""pt"")"),"Impressionante Zoom, muita clareza, Grandes Configurações do usuário")</f>
        <v>Impressionante Zoom, muita clareza, Grandes Configurações do usuário</v>
      </c>
      <c r="B50401" s="3">
        <v>1</v>
      </c>
    </row>
    <row r="50402" ht="15.75" customHeight="1" spans="1:2">
      <c r="A50402" s="3" t="str">
        <f>IFERROR(__xludf.DUMMYFUNCTION("GOOGLETRANSLATE(A50402,""en"",""pt"")"),"zoom longo, ajustes manuais, tamanho, versatilidade")</f>
        <v>zoom longo, ajustes manuais, tamanho, versatilidade</v>
      </c>
      <c r="B50402" s="3">
        <v>1</v>
      </c>
    </row>
    <row r="50403" ht="15.75" customHeight="1" spans="1:2">
      <c r="A50403" s="3" t="str">
        <f>IFERROR(__xludf.DUMMYFUNCTION("GOOGLETRANSLATE(A50403,""en"",""pt"")"),"Fácil de usar")</f>
        <v>Fácil de usar</v>
      </c>
      <c r="B50403" s="3">
        <v>1</v>
      </c>
    </row>
    <row r="50404" ht="15.75" customHeight="1" spans="1:2">
      <c r="A50404" s="3" t="str">
        <f>IFERROR(__xludf.DUMMYFUNCTION("GOOGLETRANSLATE(A50404,""en"",""pt"")"),"zoom incrível, agradáveis ​​fotos nítidas, relativamente fácil de operar")</f>
        <v>zoom incrível, agradáveis ​​fotos nítidas, relativamente fácil de operar</v>
      </c>
      <c r="B50404" s="3">
        <v>1</v>
      </c>
    </row>
    <row r="50405" ht="15.75" customHeight="1" spans="1:2">
      <c r="A50405" s="3" t="str">
        <f>IFERROR(__xludf.DUMMYFUNCTION("GOOGLETRANSLATE(A50405,""en"",""pt"")"),"Zoom, clareza, funções especiais")</f>
        <v>Zoom, clareza, funções especiais</v>
      </c>
      <c r="B50405" s="3">
        <v>1</v>
      </c>
    </row>
    <row r="50406" ht="15.75" customHeight="1" spans="1:2">
      <c r="A50406" s="3" t="str">
        <f>IFERROR(__xludf.DUMMYFUNCTION("GOOGLETRANSLATE(A50406,""en"",""pt"")"),"Preço, zoom 10x, configurações manuais, grande autonomia da bateria, tamanho compacto,")</f>
        <v>Preço, zoom 10x, configurações manuais, grande autonomia da bateria, tamanho compacto,</v>
      </c>
      <c r="B50406" s="3">
        <v>1</v>
      </c>
    </row>
    <row r="50407" ht="15.75" customHeight="1" spans="1:2">
      <c r="A50407" s="3" t="str">
        <f>IFERROR(__xludf.DUMMYFUNCTION("GOOGLETRANSLATE(A50407,""en"",""pt"")"),"zoom, características, qualidade de imagem")</f>
        <v>zoom, características, qualidade de imagem</v>
      </c>
      <c r="B50407" s="3">
        <v>1</v>
      </c>
    </row>
    <row r="50408" ht="15.75" customHeight="1" spans="1:2">
      <c r="A50408" s="3" t="str">
        <f>IFERROR(__xludf.DUMMYFUNCTION("GOOGLETRANSLATE(A50408,""en"",""pt"")"),"Grande zoom, com maravilhoso resolução e tamanho sharpness.Compact.")</f>
        <v>Grande zoom, com maravilhoso resolução e tamanho sharpness.Compact.</v>
      </c>
      <c r="B50408" s="3">
        <v>1</v>
      </c>
    </row>
    <row r="50409" ht="15.75" customHeight="1" spans="1:2">
      <c r="A50409" s="3" t="str">
        <f>IFERROR(__xludf.DUMMYFUNCTION("GOOGLETRANSLATE(A50409,""en"",""pt"")"),"qualidade de imagem, pequeno, leve.")</f>
        <v>qualidade de imagem, pequeno, leve.</v>
      </c>
      <c r="B50409" s="3">
        <v>1</v>
      </c>
    </row>
    <row r="50410" ht="15.75" customHeight="1" spans="1:2">
      <c r="A50410" s="3" t="str">
        <f>IFERROR(__xludf.DUMMYFUNCTION("GOOGLETRANSLATE(A50410,""en"",""pt"")"),"Facilidade de uso geral; tamanho compacto; imagens de boa qualidade para o preço")</f>
        <v>Facilidade de uso geral; tamanho compacto; imagens de boa qualidade para o preço</v>
      </c>
      <c r="B50410" s="3">
        <v>1</v>
      </c>
    </row>
    <row r="50411" ht="15.75" customHeight="1" spans="1:2">
      <c r="A50411" s="3" t="str">
        <f>IFERROR(__xludf.DUMMYFUNCTION("GOOGLETRANSLATE(A50411,""en"",""pt"")"),"barato, fotos de boa qualidade, nome Olympus")</f>
        <v>barato, fotos de boa qualidade, nome Olympus</v>
      </c>
      <c r="B50411" s="3">
        <v>1</v>
      </c>
    </row>
    <row r="50412" ht="15.75" customHeight="1" spans="1:2">
      <c r="A50412" s="3" t="str">
        <f>IFERROR(__xludf.DUMMYFUNCTION("GOOGLETRANSLATE(A50412,""en"",""pt"")"),"Fácil de usar, grande qualidade da foto, fácil de transferência")</f>
        <v>Fácil de usar, grande qualidade da foto, fácil de transferência</v>
      </c>
      <c r="B50412" s="3">
        <v>1</v>
      </c>
    </row>
    <row r="50413" ht="15.75" customHeight="1" spans="1:2">
      <c r="A50413" s="3" t="str">
        <f>IFERROR(__xludf.DUMMYFUNCTION("GOOGLETRANSLATE(A50413,""en"",""pt"")"),"Fácil de usar, barato")</f>
        <v>Fácil de usar, barato</v>
      </c>
      <c r="B50413" s="3">
        <v>1</v>
      </c>
    </row>
    <row r="50414" ht="15.75" customHeight="1" spans="1:2">
      <c r="A50414" s="3" t="str">
        <f>IFERROR(__xludf.DUMMYFUNCTION("GOOGLETRANSLATE(A50414,""en"",""pt"")"),"baratos, fotos decentes")</f>
        <v>baratos, fotos decentes</v>
      </c>
      <c r="B50414" s="3">
        <v>1</v>
      </c>
    </row>
    <row r="50415" ht="15.75" customHeight="1" spans="1:2">
      <c r="A50415" s="3" t="str">
        <f>IFERROR(__xludf.DUMMYFUNCTION("GOOGLETRANSLATE(A50415,""en"",""pt"")"),"bom preço, boas pics, pequeno")</f>
        <v>bom preço, boas pics, pequeno</v>
      </c>
      <c r="B50415" s="3">
        <v>1</v>
      </c>
    </row>
    <row r="50416" ht="15.75" customHeight="1" spans="1:2">
      <c r="A50416" s="3" t="str">
        <f>IFERROR(__xludf.DUMMYFUNCTION("GOOGLETRANSLATE(A50416,""en"",""pt"")"),"De bolso, sério, robusto, barato, boas imagens")</f>
        <v>De bolso, sério, robusto, barato, boas imagens</v>
      </c>
      <c r="B50416" s="3">
        <v>1</v>
      </c>
    </row>
    <row r="50417" ht="15.75" customHeight="1" spans="1:2">
      <c r="A50417" s="3" t="str">
        <f>IFERROR(__xludf.DUMMYFUNCTION("GOOGLETRANSLATE(A50417,""en"",""pt"")"),"excelente qualidade de imagem, fácil de usar, barato, muitas funções")</f>
        <v>excelente qualidade de imagem, fácil de usar, barato, muitas funções</v>
      </c>
      <c r="B50417" s="3">
        <v>1</v>
      </c>
    </row>
    <row r="50418" ht="15.75" customHeight="1" spans="1:2">
      <c r="A50418" s="3" t="str">
        <f>IFERROR(__xludf.DUMMYFUNCTION("GOOGLETRANSLATE(A50418,""en"",""pt"")"),"Grandes óptica, imagens maravilhosas,, design agradável pequena, bem construídos, recursos suficientes para ser flexível.")</f>
        <v>Grandes óptica, imagens maravilhosas,, design agradável pequena, bem construídos, recursos suficientes para ser flexível.</v>
      </c>
      <c r="B50418" s="3">
        <v>1</v>
      </c>
    </row>
    <row r="50419" ht="15.75" customHeight="1" spans="1:2">
      <c r="A50419" s="3" t="str">
        <f>IFERROR(__xludf.DUMMYFUNCTION("GOOGLETRANSLATE(A50419,""en"",""pt"")"),"Quando eu comprei a câmera funcionou muito bem!")</f>
        <v>Quando eu comprei a câmera funcionou muito bem!</v>
      </c>
      <c r="B50419" s="3">
        <v>1</v>
      </c>
    </row>
    <row r="50420" ht="15.75" customHeight="1" spans="1:2">
      <c r="A50420" s="3" t="str">
        <f>IFERROR(__xludf.DUMMYFUNCTION("GOOGLETRANSLATE(A50420,""en"",""pt"")"),"Pequeno, barato, fácil de usar.")</f>
        <v>Pequeno, barato, fácil de usar.</v>
      </c>
      <c r="B50420" s="3">
        <v>1</v>
      </c>
    </row>
    <row r="50421" ht="15.75" customHeight="1" spans="1:2">
      <c r="A50421" s="3" t="str">
        <f>IFERROR(__xludf.DUMMYFUNCTION("GOOGLETRANSLATE(A50421,""en"",""pt"")"),"Baixo preço, muito imagens de alta qualidade, fácil de usar")</f>
        <v>Baixo preço, muito imagens de alta qualidade, fácil de usar</v>
      </c>
      <c r="B50421" s="3">
        <v>1</v>
      </c>
    </row>
    <row r="50422" ht="15.75" customHeight="1" spans="1:2">
      <c r="A50422" s="3" t="str">
        <f>IFERROR(__xludf.DUMMYFUNCTION("GOOGLETRANSLATE(A50422,""en"",""pt"")"),"fotos de qualidade grande para uma câmera de 1.3 megapixel")</f>
        <v>fotos de qualidade grande para uma câmera de 1.3 megapixel</v>
      </c>
      <c r="B50422" s="3">
        <v>1</v>
      </c>
    </row>
    <row r="50423" ht="15.75" customHeight="1" spans="1:2">
      <c r="A50423" s="3" t="str">
        <f>IFERROR(__xludf.DUMMYFUNCTION("GOOGLETRANSLATE(A50423,""en"",""pt"")"),"pequeno tamanho, facilidade de uso, confiável")</f>
        <v>pequeno tamanho, facilidade de uso, confiável</v>
      </c>
      <c r="B50423" s="3">
        <v>1</v>
      </c>
    </row>
    <row r="50424" ht="15.75" customHeight="1" spans="1:2">
      <c r="A50424" s="3" t="str">
        <f>IFERROR(__xludf.DUMMYFUNCTION("GOOGLETRANSLATE(A50424,""en"",""pt"")"),"Fácil de usar, de alta qualidade foto")</f>
        <v>Fácil de usar, de alta qualidade foto</v>
      </c>
      <c r="B50424" s="3">
        <v>1</v>
      </c>
    </row>
    <row r="50425" ht="15.75" customHeight="1" spans="1:2">
      <c r="A50425" s="3" t="str">
        <f>IFERROR(__xludf.DUMMYFUNCTION("GOOGLETRANSLATE(A50425,""en"",""pt"")"),"Tamanho compacto, excelente qualidade de imagem, grande valor")</f>
        <v>Tamanho compacto, excelente qualidade de imagem, grande valor</v>
      </c>
      <c r="B50425" s="3">
        <v>1</v>
      </c>
    </row>
    <row r="50426" ht="15.75" customHeight="1" spans="1:2">
      <c r="A50426" s="3" t="str">
        <f>IFERROR(__xludf.DUMMYFUNCTION("GOOGLETRANSLATE(A50426,""en"",""pt"")"),"A Câmara de arranque com um ótimo acabamento!")</f>
        <v>A Câmara de arranque com um ótimo acabamento!</v>
      </c>
      <c r="B50426" s="3">
        <v>1</v>
      </c>
    </row>
    <row r="50427" ht="15.75" customHeight="1" spans="1:2">
      <c r="A50427" s="3" t="s">
        <v>255</v>
      </c>
      <c r="B50427" s="3">
        <v>1</v>
      </c>
    </row>
    <row r="50428" ht="15.75" customHeight="1" spans="1:2">
      <c r="A50428" s="3" t="str">
        <f>IFERROR(__xludf.DUMMYFUNCTION("GOOGLETRANSLATE(A50428,""en"",""pt"")"),"Fácil de transportar, Zoom Óptico, Macro, conexão USB")</f>
        <v>Fácil de transportar, Zoom Óptico, Macro, conexão USB</v>
      </c>
      <c r="B50428" s="3">
        <v>1</v>
      </c>
    </row>
    <row r="50429" ht="15.75" customHeight="1" spans="1:2">
      <c r="A50429" s="3" t="s">
        <v>256</v>
      </c>
      <c r="B50429" s="3">
        <v>1</v>
      </c>
    </row>
    <row r="50430" ht="15.75" customHeight="1" spans="1:2">
      <c r="A50430" s="3" t="str">
        <f>IFERROR(__xludf.DUMMYFUNCTION("GOOGLETRANSLATE(A50430,""en"",""pt"")"),"O design simples, fácil de aprender, fácil de usar, manuais de fácil leitura e em informações CD profundidade.")</f>
        <v>O design simples, fácil de aprender, fácil de usar, manuais de fácil leitura e em informações CD profundidade.</v>
      </c>
      <c r="B50430" s="3">
        <v>1</v>
      </c>
    </row>
    <row r="50431" ht="15.75" customHeight="1" spans="1:2">
      <c r="A50431" s="3" t="str">
        <f>IFERROR(__xludf.DUMMYFUNCTION("GOOGLETRANSLATE(A50431,""en"",""pt"")"),"impressionante lista de características, preço, Simplicidade")</f>
        <v>impressionante lista de características, preço, Simplicidade</v>
      </c>
      <c r="B50431" s="3">
        <v>1</v>
      </c>
    </row>
    <row r="50432" ht="15.75" customHeight="1" spans="1:2">
      <c r="A50432" s="3" t="str">
        <f>IFERROR(__xludf.DUMMYFUNCTION("GOOGLETRANSLATE(A50432,""en"",""pt"")"),"Pequeno, barato, carregado com características, fácil de usar, fotos de boa qualidade.")</f>
        <v>Pequeno, barato, carregado com características, fácil de usar, fotos de boa qualidade.</v>
      </c>
      <c r="B50432" s="3">
        <v>1</v>
      </c>
    </row>
    <row r="50433" ht="15.75" customHeight="1" spans="1:2">
      <c r="A50433" s="3" t="str">
        <f>IFERROR(__xludf.DUMMYFUNCTION("GOOGLETRANSLATE(A50433,""en"",""pt"")"),"De bolso. À moda. Pilhas AA")</f>
        <v>De bolso. À moda. Pilhas AA</v>
      </c>
      <c r="B50433" s="3">
        <v>1</v>
      </c>
    </row>
    <row r="50434" ht="15.75" customHeight="1" spans="1:2">
      <c r="A50434" s="3" t="str">
        <f>IFERROR(__xludf.DUMMYFUNCTION("GOOGLETRANSLATE(A50434,""en"",""pt"")"),"pequeno, cabe no seu bolso, qualidade de imagem, fácil de usar")</f>
        <v>pequeno, cabe no seu bolso, qualidade de imagem, fácil de usar</v>
      </c>
      <c r="B50434" s="3">
        <v>1</v>
      </c>
    </row>
    <row r="50435" ht="15.75" customHeight="1" spans="1:2">
      <c r="A50435" s="3" t="str">
        <f>IFERROR(__xludf.DUMMYFUNCTION("GOOGLETRANSLATE(A50435,""en"",""pt"")"),"zoom óptico, macro, tampa da lente duro, excelente preço, bateria de longa duração e de alta qualidade fotos")</f>
        <v>zoom óptico, macro, tampa da lente duro, excelente preço, bateria de longa duração e de alta qualidade fotos</v>
      </c>
      <c r="B50435" s="3">
        <v>1</v>
      </c>
    </row>
    <row r="50436" ht="15.75" customHeight="1" spans="1:2">
      <c r="A50436" s="3" t="str">
        <f>IFERROR(__xludf.DUMMYFUNCTION("GOOGLETRANSLATE(A50436,""en"",""pt"")"),"Rápido, Pretty, design funcional.")</f>
        <v>Rápido, Pretty, design funcional.</v>
      </c>
      <c r="B50436" s="3">
        <v>1</v>
      </c>
    </row>
    <row r="50437" ht="15.75" customHeight="1" spans="1:2">
      <c r="A50437" s="3" t="str">
        <f>IFERROR(__xludf.DUMMYFUNCTION("GOOGLETRANSLATE(A50437,""en"",""pt"")"),"Versatilidade, características, qualidade de imagem, cores vibrantes")</f>
        <v>Versatilidade, características, qualidade de imagem, cores vibrantes</v>
      </c>
      <c r="B50437" s="3">
        <v>1</v>
      </c>
    </row>
    <row r="50438" ht="15.75" customHeight="1" spans="1:2">
      <c r="A50438" s="3" t="str">
        <f>IFERROR(__xludf.DUMMYFUNCTION("GOOGLETRANSLATE(A50438,""en"",""pt"")"),"qualidade, versatilidade.")</f>
        <v>qualidade, versatilidade.</v>
      </c>
      <c r="B50438" s="3">
        <v>1</v>
      </c>
    </row>
    <row r="50439" ht="15.75" customHeight="1" spans="1:2">
      <c r="A50439" s="3" t="str">
        <f>IFERROR(__xludf.DUMMYFUNCTION("GOOGLETRANSLATE(A50439,""en"",""pt"")"),"zoom óptico de 3x, excelente qualidade de imagem, tempo de reciclagem rápido")</f>
        <v>zoom óptico de 3x, excelente qualidade de imagem, tempo de reciclagem rápido</v>
      </c>
      <c r="B50439" s="3">
        <v>1</v>
      </c>
    </row>
    <row r="50440" ht="15.75" customHeight="1" spans="1:2">
      <c r="A50440" s="3" t="str">
        <f>IFERROR(__xludf.DUMMYFUNCTION("GOOGLETRANSLATE(A50440,""en"",""pt"")"),"muitos recursos, de grande qualidade")</f>
        <v>muitos recursos, de grande qualidade</v>
      </c>
      <c r="B50440" s="3">
        <v>1</v>
      </c>
    </row>
    <row r="50441" ht="15.75" customHeight="1" spans="1:2">
      <c r="A50441" s="3" t="str">
        <f>IFERROR(__xludf.DUMMYFUNCTION("GOOGLETRANSLATE(A50441,""en"",""pt"")"),"qualidade incrível de fotos")</f>
        <v>qualidade incrível de fotos</v>
      </c>
      <c r="B50441" s="3">
        <v>1</v>
      </c>
    </row>
    <row r="50442" ht="15.75" customHeight="1" spans="1:2">
      <c r="A50442" s="3" t="str">
        <f>IFERROR(__xludf.DUMMYFUNCTION("GOOGLETRANSLATE(A50442,""en"",""pt"")"),"Muitas boas características e corridas de baratas, baterias AA simples.")</f>
        <v>Muitas boas características e corridas de baratas, baterias AA simples.</v>
      </c>
      <c r="B50442" s="3">
        <v>1</v>
      </c>
    </row>
    <row r="50443" ht="15.75" customHeight="1" spans="1:2">
      <c r="A50443" s="3" t="str">
        <f>IFERROR(__xludf.DUMMYFUNCTION("GOOGLETRANSLATE(A50443,""en"",""pt"")"),"excelente qualidade de imagem, fácil de usar, zoom óptico e digital, controle remoto")</f>
        <v>excelente qualidade de imagem, fácil de usar, zoom óptico e digital, controle remoto</v>
      </c>
      <c r="B50443" s="3">
        <v>1</v>
      </c>
    </row>
    <row r="50444" ht="15.75" customHeight="1" spans="1:2">
      <c r="A50444" s="3" t="str">
        <f>IFERROR(__xludf.DUMMYFUNCTION("GOOGLETRANSLATE(A50444,""en"",""pt"")"),"totalmente manual, oferece total controle criativo para fotógrafos, compacto, de qualidade")</f>
        <v>totalmente manual, oferece total controle criativo para fotógrafos, compacto, de qualidade</v>
      </c>
      <c r="B50444" s="3">
        <v>1</v>
      </c>
    </row>
    <row r="50445" ht="15.75" customHeight="1" spans="1:2">
      <c r="A50445" s="3" t="str">
        <f>IFERROR(__xludf.DUMMYFUNCTION("GOOGLETRANSLATE(A50445,""en"",""pt"")"),"imagens de alta qualidade, zoom óptico")</f>
        <v>imagens de alta qualidade, zoom óptico</v>
      </c>
      <c r="B50445" s="3">
        <v>1</v>
      </c>
    </row>
    <row r="50446" ht="15.75" customHeight="1" spans="1:2">
      <c r="A50446" s="3" t="str">
        <f>IFERROR(__xludf.DUMMYFUNCTION("GOOGLETRANSLATE(A50446,""en"",""pt"")"),"imagens de qualidade cinematográfica, o tempo de recuperação rápido entre os disparos")</f>
        <v>imagens de qualidade cinematográfica, o tempo de recuperação rápido entre os disparos</v>
      </c>
      <c r="B50446" s="3">
        <v>1</v>
      </c>
    </row>
    <row r="50447" ht="15.75" customHeight="1" spans="1:2">
      <c r="A50447" s="3" t="str">
        <f>IFERROR(__xludf.DUMMYFUNCTION("GOOGLETRANSLATE(A50447,""en"",""pt"")"),"Qualidade de imagem, design compacto, velocidade, características")</f>
        <v>Qualidade de imagem, design compacto, velocidade, características</v>
      </c>
      <c r="B50447" s="3">
        <v>1</v>
      </c>
    </row>
    <row r="50448" ht="15.75" customHeight="1" spans="1:2">
      <c r="A50448" s="3" t="str">
        <f>IFERROR(__xludf.DUMMYFUNCTION("GOOGLETRANSLATE(A50448,""en"",""pt"")"),"qualidade de imagem, portabilidade")</f>
        <v>qualidade de imagem, portabilidade</v>
      </c>
      <c r="B50448" s="3">
        <v>1</v>
      </c>
    </row>
    <row r="50449" ht="15.75" customHeight="1" spans="1:2">
      <c r="A50449" s="3" t="str">
        <f>IFERROR(__xludf.DUMMYFUNCTION("GOOGLETRANSLATE(A50449,""en"",""pt"")"),"ótima resolução, lente zoom, luz olhos vermelhos, design elegante, baterias recarregáveis ​​w / carregador, em geral, um grande pacote!")</f>
        <v>ótima resolução, lente zoom, luz olhos vermelhos, design elegante, baterias recarregáveis ​​w / carregador, em geral, um grande pacote!</v>
      </c>
      <c r="B50449" s="3">
        <v>1</v>
      </c>
    </row>
    <row r="50450" ht="15.75" customHeight="1" spans="1:2">
      <c r="A50450" s="3" t="s">
        <v>257</v>
      </c>
      <c r="B50450" s="3">
        <v>1</v>
      </c>
    </row>
    <row r="50451" ht="15.75" customHeight="1" spans="1:2">
      <c r="A50451" s="3" t="str">
        <f>IFERROR(__xludf.DUMMYFUNCTION("GOOGLETRANSLATE(A50451,""en"",""pt"")"),"Compacto, fácil de usar e flexível")</f>
        <v>Compacto, fácil de usar e flexível</v>
      </c>
      <c r="B50451" s="3">
        <v>1</v>
      </c>
    </row>
    <row r="50452" ht="15.75" customHeight="1" spans="1:2">
      <c r="A50452" s="3" t="str">
        <f>IFERROR(__xludf.DUMMYFUNCTION("GOOGLETRANSLATE(A50452,""en"",""pt"")"),"A melhor câmera digital sempre")</f>
        <v>A melhor câmera digital sempre</v>
      </c>
      <c r="B50452" s="3">
        <v>1</v>
      </c>
    </row>
    <row r="50453" ht="15.75" customHeight="1" spans="1:2">
      <c r="A50453" s="3" t="str">
        <f>IFERROR(__xludf.DUMMYFUNCTION("GOOGLETRANSLATE(A50453,""en"",""pt"")"),"facilidade de uso, display LCD, modos de lentes, extras")</f>
        <v>facilidade de uso, display LCD, modos de lentes, extras</v>
      </c>
      <c r="B50453" s="3">
        <v>1</v>
      </c>
    </row>
    <row r="50454" ht="15.75" customHeight="1" spans="1:2">
      <c r="A50454" s="3" t="str">
        <f>IFERROR(__xludf.DUMMYFUNCTION("GOOGLETRANSLATE(A50454,""en"",""pt"")"),"Fácil de usar, grande qualidade de hardware e software")</f>
        <v>Fácil de usar, grande qualidade de hardware e software</v>
      </c>
      <c r="B50454" s="3">
        <v>1</v>
      </c>
    </row>
    <row r="50455" ht="15.75" customHeight="1" spans="1:2">
      <c r="A50455" s="3" t="str">
        <f>IFERROR(__xludf.DUMMYFUNCTION("GOOGLETRANSLATE(A50455,""en"",""pt"")"),"Qualidade da imagem")</f>
        <v>Qualidade da imagem</v>
      </c>
      <c r="B50455" s="3">
        <v>1</v>
      </c>
    </row>
    <row r="50456" ht="15.75" customHeight="1" spans="1:2">
      <c r="A50456" s="3" t="str">
        <f>IFERROR(__xludf.DUMMYFUNCTION("GOOGLETRANSLATE(A50456,""en"",""pt"")"),"Perfeito para um amador")</f>
        <v>Perfeito para um amador</v>
      </c>
      <c r="B50456" s="3">
        <v>1</v>
      </c>
    </row>
    <row r="50457" ht="15.75" customHeight="1" spans="1:2">
      <c r="A50457" s="3" t="str">
        <f>IFERROR(__xludf.DUMMYFUNCTION("GOOGLETRANSLATE(A50457,""en"",""pt"")"),"Excelentes imagens, pequeno pacote")</f>
        <v>Excelentes imagens, pequeno pacote</v>
      </c>
      <c r="B50457" s="3">
        <v>1</v>
      </c>
    </row>
    <row r="50458" ht="15.75" customHeight="1" spans="1:2">
      <c r="A50458" s="3" t="str">
        <f>IFERROR(__xludf.DUMMYFUNCTION("GOOGLETRANSLATE(A50458,""en"",""pt"")"),"qualidade de imagem, peso leve, funcionalidade")</f>
        <v>qualidade de imagem, peso leve, funcionalidade</v>
      </c>
      <c r="B50458" s="3">
        <v>1</v>
      </c>
    </row>
    <row r="50459" ht="15.75" customHeight="1" spans="1:2">
      <c r="A50459" s="3" t="str">
        <f>IFERROR(__xludf.DUMMYFUNCTION("GOOGLETRANSLATE(A50459,""en"",""pt"")"),"Grande resolução, tamanho compacto, maravilhoso flash interna")</f>
        <v>Grande resolução, tamanho compacto, maravilhoso flash interna</v>
      </c>
      <c r="B50459" s="3">
        <v>1</v>
      </c>
    </row>
    <row r="50460" ht="15.75" customHeight="1" spans="1:2">
      <c r="A50460" s="3" t="str">
        <f>IFERROR(__xludf.DUMMYFUNCTION("GOOGLETRANSLATE(A50460,""en"",""pt"")"),"Excelentes fotos dos quartos, e relativamente fácil de usar.")</f>
        <v>Excelentes fotos dos quartos, e relativamente fácil de usar.</v>
      </c>
      <c r="B50460" s="3">
        <v>1</v>
      </c>
    </row>
    <row r="50461" ht="15.75" customHeight="1" spans="1:2">
      <c r="A50461" s="3" t="str">
        <f>IFERROR(__xludf.DUMMYFUNCTION("GOOGLETRANSLATE(A50461,""en"",""pt"")"),"Esta é uma ótima câmera que tira fotos de qualidade e muitas opções de escolha")</f>
        <v>Esta é uma ótima câmera que tira fotos de qualidade e muitas opções de escolha</v>
      </c>
      <c r="B50461" s="3">
        <v>1</v>
      </c>
    </row>
    <row r="50462" ht="15.75" customHeight="1" spans="1:2">
      <c r="A50462" s="3" t="str">
        <f>IFERROR(__xludf.DUMMYFUNCTION("GOOGLETRANSLATE(A50462,""en"",""pt"")"),"grandes imagens, do tipo SLR recursos")</f>
        <v>grandes imagens, do tipo SLR recursos</v>
      </c>
      <c r="B50462" s="3">
        <v>1</v>
      </c>
    </row>
    <row r="50463" ht="15.75" customHeight="1" spans="1:2">
      <c r="A50463" s="3" t="str">
        <f>IFERROR(__xludf.DUMMYFUNCTION("GOOGLETRANSLATE(A50463,""en"",""pt"")"),"alta resolução, compacto e portátil, fácil de usar")</f>
        <v>alta resolução, compacto e portátil, fácil de usar</v>
      </c>
      <c r="B50463" s="3">
        <v>1</v>
      </c>
    </row>
    <row r="50464" ht="15.75" customHeight="1" spans="1:2">
      <c r="A50464" s="3" t="str">
        <f>IFERROR(__xludf.DUMMYFUNCTION("GOOGLETRANSLATE(A50464,""en"",""pt"")"),"grande manual de aprendizagem, bom preço, fotos excelentes, grande zoom")</f>
        <v>grande manual de aprendizagem, bom preço, fotos excelentes, grande zoom</v>
      </c>
      <c r="B50464" s="3">
        <v>1</v>
      </c>
    </row>
    <row r="50465" ht="15.75" customHeight="1" spans="1:2">
      <c r="A50465" s="3" t="str">
        <f>IFERROR(__xludf.DUMMYFUNCTION("GOOGLETRANSLATE(A50465,""en"",""pt"")"),"Excelente imagem, concorrente 35mm, excelentes características gerais")</f>
        <v>Excelente imagem, concorrente 35mm, excelentes características gerais</v>
      </c>
      <c r="B50465" s="3">
        <v>1</v>
      </c>
    </row>
    <row r="50466" ht="15.75" customHeight="1" spans="1:2">
      <c r="A50466" s="3" t="str">
        <f>IFERROR(__xludf.DUMMYFUNCTION("GOOGLETRANSLATE(A50466,""en"",""pt"")"),"bateria de longa duração.")</f>
        <v>bateria de longa duração.</v>
      </c>
      <c r="B50466" s="3">
        <v>1</v>
      </c>
    </row>
    <row r="50467" ht="15.75" customHeight="1" spans="1:2">
      <c r="A50467" s="3" t="str">
        <f>IFERROR(__xludf.DUMMYFUNCTION("GOOGLETRANSLATE(A50467,""en"",""pt"")"),"Fotos muito boas, zoom óptico 3x")</f>
        <v>Fotos muito boas, zoom óptico 3x</v>
      </c>
      <c r="B50467" s="3">
        <v>1</v>
      </c>
    </row>
    <row r="50468" ht="15.75" customHeight="1" spans="1:2">
      <c r="A50468" s="3" t="str">
        <f>IFERROR(__xludf.DUMMYFUNCTION("GOOGLETRANSLATE(A50468,""en"",""pt"")"),"Lotes de características. Fácil de usar. Pequeno, mas poderoso.")</f>
        <v>Lotes de características. Fácil de usar. Pequeno, mas poderoso.</v>
      </c>
      <c r="B50468" s="3">
        <v>1</v>
      </c>
    </row>
    <row r="50469" ht="15.75" customHeight="1" spans="1:2">
      <c r="A50469" s="3" t="str">
        <f>IFERROR(__xludf.DUMMYFUNCTION("GOOGLETRANSLATE(A50469,""en"",""pt"")"),"Tem quase todos os recursos que você poderia sonhar.")</f>
        <v>Tem quase todos os recursos que você poderia sonhar.</v>
      </c>
      <c r="B50469" s="3">
        <v>1</v>
      </c>
    </row>
    <row r="50470" ht="15.75" customHeight="1" spans="1:2">
      <c r="A50470" s="3" t="str">
        <f>IFERROR(__xludf.DUMMYFUNCTION("GOOGLETRANSLATE(A50470,""en"",""pt"")"),"lotes de grandes recursos, boa qualidade de imagem, bateria de longa duração")</f>
        <v>lotes de grandes recursos, boa qualidade de imagem, bateria de longa duração</v>
      </c>
      <c r="B50470" s="3">
        <v>1</v>
      </c>
    </row>
    <row r="50471" ht="15.75" customHeight="1" spans="1:2">
      <c r="A50471" s="3" t="str">
        <f>IFERROR(__xludf.DUMMYFUNCTION("GOOGLETRANSLATE(A50471,""en"",""pt"")"),"Fácil de usar fotos excelentes muitos recursos")</f>
        <v>Fácil de usar fotos excelentes muitos recursos</v>
      </c>
      <c r="B50471" s="3">
        <v>1</v>
      </c>
    </row>
    <row r="50472" ht="15.75" customHeight="1" spans="1:2">
      <c r="A50472" s="3" t="str">
        <f>IFERROR(__xludf.DUMMYFUNCTION("GOOGLETRANSLATE(A50472,""en"",""pt"")"),"grandes potenciais fotos")</f>
        <v>grandes potenciais fotos</v>
      </c>
      <c r="B50472" s="3">
        <v>1</v>
      </c>
    </row>
    <row r="50473" ht="15.75" customHeight="1" spans="1:2">
      <c r="A50473" s="3" t="str">
        <f>IFERROR(__xludf.DUMMYFUNCTION("GOOGLETRANSLATE(A50473,""en"",""pt"")"),"pequeno, mas tem grandes figuras")</f>
        <v>pequeno, mas tem grandes figuras</v>
      </c>
      <c r="B50473" s="3">
        <v>1</v>
      </c>
    </row>
    <row r="50474" ht="15.75" customHeight="1" spans="1:2">
      <c r="A50474" s="3" t="str">
        <f>IFERROR(__xludf.DUMMYFUNCTION("GOOGLETRANSLATE(A50474,""en"",""pt"")"),"boa tela, imagens de boa qualidade, vida útil da bateria decente")</f>
        <v>boa tela, imagens de boa qualidade, vida útil da bateria decente</v>
      </c>
      <c r="B50474" s="3">
        <v>1</v>
      </c>
    </row>
    <row r="50475" ht="15.75" customHeight="1" spans="1:2">
      <c r="A50475" s="3" t="str">
        <f>IFERROR(__xludf.DUMMYFUNCTION("GOOGLETRANSLATE(A50475,""en"",""pt"")"),"Fotos de boa qualidade, preço")</f>
        <v>Fotos de boa qualidade, preço</v>
      </c>
      <c r="B50475" s="3">
        <v>1</v>
      </c>
    </row>
    <row r="50476" ht="15.75" customHeight="1" spans="1:2">
      <c r="A50476" s="3" t="str">
        <f>IFERROR(__xludf.DUMMYFUNCTION("GOOGLETRANSLATE(A50476,""en"",""pt"")"),"grande quantidade")</f>
        <v>grande quantidade</v>
      </c>
      <c r="B50476" s="3">
        <v>1</v>
      </c>
    </row>
    <row r="50477" ht="15.75" customHeight="1" spans="1:2">
      <c r="A50477" s="3" t="str">
        <f>IFERROR(__xludf.DUMMYFUNCTION("GOOGLETRANSLATE(A50477,""en"",""pt"")"),"Esta câmera é fácil de usar. Baterias durar um longo tempo")</f>
        <v>Esta câmera é fácil de usar. Baterias durar um longo tempo</v>
      </c>
      <c r="B50477" s="3">
        <v>1</v>
      </c>
    </row>
    <row r="50478" ht="15.75" customHeight="1" spans="1:2">
      <c r="A50478" s="3" t="str">
        <f>IFERROR(__xludf.DUMMYFUNCTION("GOOGLETRANSLATE(A50478,""en"",""pt"")"),"Excelente qualidade da foto, fácil de usar, bateria de longa duração")</f>
        <v>Excelente qualidade da foto, fácil de usar, bateria de longa duração</v>
      </c>
      <c r="B50478" s="3">
        <v>1</v>
      </c>
    </row>
    <row r="50479" ht="15.75" customHeight="1" spans="1:2">
      <c r="A50479" s="3" t="str">
        <f>IFERROR(__xludf.DUMMYFUNCTION("GOOGLETRANSLATE(A50479,""en"",""pt"")"),"Quando se está trabalhando, é espetacular.")</f>
        <v>Quando se está trabalhando, é espetacular.</v>
      </c>
      <c r="B50479" s="3">
        <v>1</v>
      </c>
    </row>
    <row r="50480" ht="15.75" customHeight="1" spans="1:2">
      <c r="A50480" s="3" t="str">
        <f>IFERROR(__xludf.DUMMYFUNCTION("GOOGLETRANSLATE(A50480,""en"",""pt"")"),"Facilidade de manuseio e alta resolução")</f>
        <v>Facilidade de manuseio e alta resolução</v>
      </c>
      <c r="B50480" s="3">
        <v>1</v>
      </c>
    </row>
    <row r="50481" ht="15.75" customHeight="1" spans="1:2">
      <c r="A50481" s="3" t="str">
        <f>IFERROR(__xludf.DUMMYFUNCTION("GOOGLETRANSLATE(A50481,""en"",""pt"")"),"Compacto, de alta qualidade, controle completo e vídeo!")</f>
        <v>Compacto, de alta qualidade, controle completo e vídeo!</v>
      </c>
      <c r="B50481" s="3">
        <v>1</v>
      </c>
    </row>
    <row r="50482" ht="15.75" customHeight="1" spans="1:2">
      <c r="A50482" s="3" t="str">
        <f>IFERROR(__xludf.DUMMYFUNCTION("GOOGLETRANSLATE(A50482,""en"",""pt"")"),"grande Camera")</f>
        <v>grande Camera</v>
      </c>
      <c r="B50482" s="3">
        <v>1</v>
      </c>
    </row>
    <row r="50483" ht="15.75" customHeight="1" spans="1:2">
      <c r="A50483" s="3" t="str">
        <f>IFERROR(__xludf.DUMMYFUNCTION("GOOGLETRANSLATE(A50483,""en"",""pt"")"),"excelente resolução, fácil de usar, design retro compacto")</f>
        <v>excelente resolução, fácil de usar, design retro compacto</v>
      </c>
      <c r="B50483" s="3">
        <v>1</v>
      </c>
    </row>
    <row r="50484" ht="15.75" customHeight="1" spans="1:2">
      <c r="A50484" s="3" t="str">
        <f>IFERROR(__xludf.DUMMYFUNCTION("GOOGLETRANSLATE(A50484,""en"",""pt"")"),"Grande software, funções poderosas.")</f>
        <v>Grande software, funções poderosas.</v>
      </c>
      <c r="B50484" s="3">
        <v>1</v>
      </c>
    </row>
    <row r="50485" ht="15.75" customHeight="1" spans="1:2">
      <c r="A50485" s="3" t="str">
        <f>IFERROR(__xludf.DUMMYFUNCTION("GOOGLETRANSLATE(A50485,""en"",""pt"")"),"Excelente qualidade de imagem, embalado com características")</f>
        <v>Excelente qualidade de imagem, embalado com características</v>
      </c>
      <c r="B50485" s="3">
        <v>1</v>
      </c>
    </row>
    <row r="50486" ht="15.75" customHeight="1" spans="1:2">
      <c r="A50486" s="3" t="str">
        <f>IFERROR(__xludf.DUMMYFUNCTION("GOOGLETRANSLATE(A50486,""en"",""pt"")"),"câmera incrível")</f>
        <v>câmera incrível</v>
      </c>
      <c r="B50486" s="3">
        <v>1</v>
      </c>
    </row>
    <row r="50487" ht="15.75" customHeight="1" spans="1:2">
      <c r="A50487" s="3" t="str">
        <f>IFERROR(__xludf.DUMMYFUNCTION("GOOGLETRANSLATE(A50487,""en"",""pt"")"),"Existem muitos prós sobre esta câmera. Esta câmera tira fotos de qualidade e seria ótimo para toda a família")</f>
        <v>Existem muitos prós sobre esta câmera. Esta câmera tira fotos de qualidade e seria ótimo para toda a família</v>
      </c>
      <c r="B50487" s="3">
        <v>1</v>
      </c>
    </row>
    <row r="50488" ht="15.75" customHeight="1" spans="1:2">
      <c r="A50488" s="3" t="str">
        <f>IFERROR(__xludf.DUMMYFUNCTION("GOOGLETRANSLATE(A50488,""en"",""pt"")"),"Grandes fotos, facilidade de uso, lente afiada")</f>
        <v>Grandes fotos, facilidade de uso, lente afiada</v>
      </c>
      <c r="B50488" s="3">
        <v>1</v>
      </c>
    </row>
    <row r="50489" ht="15.75" customHeight="1" spans="1:2">
      <c r="A50489" s="3" t="str">
        <f>IFERROR(__xludf.DUMMYFUNCTION("GOOGLETRANSLATE(A50489,""en"",""pt"")"),"excelente qualidade de imagem, boas características, preço cair")</f>
        <v>excelente qualidade de imagem, boas características, preço cair</v>
      </c>
      <c r="B50489" s="3">
        <v>1</v>
      </c>
    </row>
    <row r="50490" ht="15.75" customHeight="1" spans="1:2">
      <c r="A50490" s="3" t="str">
        <f>IFERROR(__xludf.DUMMYFUNCTION("GOOGLETRANSLATE(A50490,""en"",""pt"")"),"Fácil de usar, belas imagens.")</f>
        <v>Fácil de usar, belas imagens.</v>
      </c>
      <c r="B50490" s="3">
        <v>1</v>
      </c>
    </row>
    <row r="50491" ht="15.75" customHeight="1" spans="1:2">
      <c r="A50491" s="3" t="str">
        <f>IFERROR(__xludf.DUMMYFUNCTION("GOOGLETRANSLATE(A50491,""en"",""pt"")"),"muito, eu imagino")</f>
        <v>muito, eu imagino</v>
      </c>
      <c r="B50491" s="3">
        <v>1</v>
      </c>
    </row>
    <row r="50492" ht="15.75" customHeight="1" spans="1:2">
      <c r="A50492" s="3" t="str">
        <f>IFERROR(__xludf.DUMMYFUNCTION("GOOGLETRANSLATE(A50492,""en"",""pt"")"),"compacto, leve e fácil de usar")</f>
        <v>compacto, leve e fácil de usar</v>
      </c>
      <c r="B50492" s="3">
        <v>1</v>
      </c>
    </row>
    <row r="50493" ht="15.75" customHeight="1" spans="1:2">
      <c r="A50493" s="3" t="str">
        <f>IFERROR(__xludf.DUMMYFUNCTION("GOOGLETRANSLATE(A50493,""en"",""pt"")"),"A grande qualidade, fácil de usar")</f>
        <v>A grande qualidade, fácil de usar</v>
      </c>
      <c r="B50493" s="3">
        <v>1</v>
      </c>
    </row>
    <row r="50494" ht="15.75" customHeight="1" spans="1:2">
      <c r="A50494" s="3" t="str">
        <f>IFERROR(__xludf.DUMMYFUNCTION("GOOGLETRANSLATE(A50494,""en"",""pt"")"),"Fabulosa qualidade de imagem, compacto")</f>
        <v>Fabulosa qualidade de imagem, compacto</v>
      </c>
      <c r="B50494" s="3">
        <v>1</v>
      </c>
    </row>
    <row r="50495" ht="15.75" customHeight="1" spans="1:2">
      <c r="A50495" s="3" t="str">
        <f>IFERROR(__xludf.DUMMYFUNCTION("GOOGLETRANSLATE(A50495,""en"",""pt"")"),"user friendly, divertido, fácil de usar, bom manual, luz")</f>
        <v>user friendly, divertido, fácil de usar, bom manual, luz</v>
      </c>
      <c r="B50495" s="3">
        <v>1</v>
      </c>
    </row>
    <row r="50496" ht="15.75" customHeight="1" spans="1:2">
      <c r="A50496" s="3" t="str">
        <f>IFERROR(__xludf.DUMMYFUNCTION("GOOGLETRANSLATE(A50496,""en"",""pt"")"),"Tamanho, funcionalidade, wow-factor")</f>
        <v>Tamanho, funcionalidade, wow-factor</v>
      </c>
      <c r="B50496" s="3">
        <v>1</v>
      </c>
    </row>
    <row r="50497" ht="15.75" customHeight="1" spans="1:2">
      <c r="A50497" s="3" t="str">
        <f>IFERROR(__xludf.DUMMYFUNCTION("GOOGLETRANSLATE(A50497,""en"",""pt"")"),"Excelente qualidade de imagem, pequena design leve,")</f>
        <v>Excelente qualidade de imagem, pequena design leve,</v>
      </c>
      <c r="B50497" s="3">
        <v>1</v>
      </c>
    </row>
    <row r="50498" ht="15.75" customHeight="1" spans="1:2">
      <c r="A50498" s="3" t="str">
        <f>IFERROR(__xludf.DUMMYFUNCTION("GOOGLETRANSLATE(A50498,""en"",""pt"")"),"escolha maravilhosa e econômica")</f>
        <v>escolha maravilhosa e econômica</v>
      </c>
      <c r="B50498" s="3">
        <v>1</v>
      </c>
    </row>
    <row r="50499" ht="15.75" customHeight="1" spans="1:2">
      <c r="A50499" s="3" t="str">
        <f>IFERROR(__xludf.DUMMYFUNCTION("GOOGLETRANSLATE(A50499,""en"",""pt"")"),"Boa vista de imagem, excelente qualidade de imagem, de modo conveniente e versátil.")</f>
        <v>Boa vista de imagem, excelente qualidade de imagem, de modo conveniente e versátil.</v>
      </c>
      <c r="B50499" s="3">
        <v>1</v>
      </c>
    </row>
    <row r="50500" ht="15.75" customHeight="1" spans="1:2">
      <c r="A50500" s="3" t="str">
        <f>IFERROR(__xludf.DUMMYFUNCTION("GOOGLETRANSLATE(A50500,""en"",""pt"")"),"Grandes fotos, portátil")</f>
        <v>Grandes fotos, portátil</v>
      </c>
      <c r="B50500" s="3">
        <v>1</v>
      </c>
    </row>
    <row r="50501" ht="15.75" customHeight="1" spans="1:2">
      <c r="A50501" s="3" t="str">
        <f>IFERROR(__xludf.DUMMYFUNCTION("GOOGLETRANSLATE(A50501,""en"",""pt"")"),"Capaz de assumir verdadeiramente grandes fotos")</f>
        <v>Capaz de assumir verdadeiramente grandes fotos</v>
      </c>
      <c r="B50501" s="3">
        <v>1</v>
      </c>
    </row>
    <row r="50502" ht="15.75" customHeight="1" spans="1:2">
      <c r="A50502" s="3" t="str">
        <f>IFERROR(__xludf.DUMMYFUNCTION("GOOGLETRANSLATE(A50502,""en"",""pt"")"),"nível de preços, controle manual completo, flash muito potente")</f>
        <v>nível de preços, controle manual completo, flash muito potente</v>
      </c>
      <c r="B50502" s="3">
        <v>1</v>
      </c>
    </row>
    <row r="50503" ht="15.75" customHeight="1" spans="1:2">
      <c r="A50503" s="3" t="str">
        <f>IFERROR(__xludf.DUMMYFUNCTION("GOOGLETRANSLATE(A50503,""en"",""pt"")"),"Fácil e ótimas fotos quase cada tiro")</f>
        <v>Fácil e ótimas fotos quase cada tiro</v>
      </c>
      <c r="B50503" s="3">
        <v>1</v>
      </c>
    </row>
    <row r="50504" ht="15.75" customHeight="1" spans="1:2">
      <c r="A50504" s="3" t="str">
        <f>IFERROR(__xludf.DUMMYFUNCTION("GOOGLETRANSLATE(A50504,""en"",""pt"")"),"tela de visualização, zoom, fotos em preto-e-branco")</f>
        <v>tela de visualização, zoom, fotos em preto-e-branco</v>
      </c>
      <c r="B50504" s="3">
        <v>1</v>
      </c>
    </row>
    <row r="50505" ht="15.75" customHeight="1" spans="1:2">
      <c r="A50505" s="3" t="str">
        <f>IFERROR(__xludf.DUMMYFUNCTION("GOOGLETRANSLATE(A50505,""en"",""pt"")"),"pequeno perfil &amp; amp; amp; duradouro de energia da bateria")</f>
        <v>pequeno perfil &amp; amp; amp; duradouro de energia da bateria</v>
      </c>
      <c r="B50505" s="3">
        <v>1</v>
      </c>
    </row>
    <row r="50506" ht="15.75" customHeight="1" spans="1:2">
      <c r="A50506" s="3" t="str">
        <f>IFERROR(__xludf.DUMMYFUNCTION("GOOGLETRANSLATE(A50506,""en"",""pt"")"),"Grandes imagens, fácil de usar, cheio de recursos.")</f>
        <v>Grandes imagens, fácil de usar, cheio de recursos.</v>
      </c>
      <c r="B50506" s="3">
        <v>1</v>
      </c>
    </row>
    <row r="50507" ht="15.75" customHeight="1" spans="1:2">
      <c r="A50507" s="3" t="str">
        <f>IFERROR(__xludf.DUMMYFUNCTION("GOOGLETRANSLATE(A50507,""en"",""pt"")"),"fator de forma, SmartMedia, qualidade fotográfica, filmes QuickTime")</f>
        <v>fator de forma, SmartMedia, qualidade fotográfica, filmes QuickTime</v>
      </c>
      <c r="B50507" s="3">
        <v>1</v>
      </c>
    </row>
    <row r="50508" ht="15.75" customHeight="1" spans="1:2">
      <c r="A50508" s="3" t="str">
        <f>IFERROR(__xludf.DUMMYFUNCTION("GOOGLETRANSLATE(A50508,""en"",""pt"")"),"Simples para começar a usar, fácil download, técnicas de fotografia avançadas, bateria de longa duração, se LCD não é usada")</f>
        <v>Simples para começar a usar, fácil download, técnicas de fotografia avançadas, bateria de longa duração, se LCD não é usada</v>
      </c>
      <c r="B50508" s="3">
        <v>1</v>
      </c>
    </row>
    <row r="50509" ht="15.75" customHeight="1" spans="1:2">
      <c r="A50509" s="3" t="str">
        <f>IFERROR(__xludf.DUMMYFUNCTION("GOOGLETRANSLATE(A50509,""en"",""pt"")"),"Grande qualidade - muitas opções úteis")</f>
        <v>Grande qualidade - muitas opções úteis</v>
      </c>
      <c r="B50509" s="3">
        <v>1</v>
      </c>
    </row>
    <row r="50510" ht="15.75" customHeight="1" spans="1:2">
      <c r="A50510" s="3" t="str">
        <f>IFERROR(__xludf.DUMMYFUNCTION("GOOGLETRANSLATE(A50510,""en"",""pt"")"),"Design, compatibilidade com strobes auxiliares, facilidade de uso e qualidade da imagem.")</f>
        <v>Design, compatibilidade com strobes auxiliares, facilidade de uso e qualidade da imagem.</v>
      </c>
      <c r="B50510" s="3">
        <v>1</v>
      </c>
    </row>
    <row r="50511" ht="15.75" customHeight="1" spans="1:2">
      <c r="A50511" s="3" t="str">
        <f>IFERROR(__xludf.DUMMYFUNCTION("GOOGLETRANSLATE(A50511,""en"",""pt"")"),"Excelente qualidade de imagem, grande versatilidade, controle remoto sem fio, modo de filme, câmera controle total")</f>
        <v>Excelente qualidade de imagem, grande versatilidade, controle remoto sem fio, modo de filme, câmera controle total</v>
      </c>
      <c r="B50511" s="3">
        <v>1</v>
      </c>
    </row>
    <row r="50512" ht="15.75" customHeight="1" spans="1:2">
      <c r="A50512" s="3" t="str">
        <f>IFERROR(__xludf.DUMMYFUNCTION("GOOGLETRANSLATE(A50512,""en"",""pt"")"),"qualidade geral da imagem")</f>
        <v>qualidade geral da imagem</v>
      </c>
      <c r="B50512" s="3">
        <v>1</v>
      </c>
    </row>
    <row r="50513" ht="15.75" customHeight="1" spans="1:2">
      <c r="A50513" s="3" t="str">
        <f>IFERROR(__xludf.DUMMYFUNCTION("GOOGLETRANSLATE(A50513,""en"",""pt"")"),"Grande lente zoom")</f>
        <v>Grande lente zoom</v>
      </c>
      <c r="B50513" s="3">
        <v>1</v>
      </c>
    </row>
    <row r="50514" ht="15.75" customHeight="1" spans="1:2">
      <c r="A50514" s="3" t="str">
        <f>IFERROR(__xludf.DUMMYFUNCTION("GOOGLETRANSLATE(A50514,""en"",""pt"")"),"alta qualidade de imagem. cor agradável. controle manual")</f>
        <v>alta qualidade de imagem. cor agradável. controle manual</v>
      </c>
      <c r="B50514" s="3">
        <v>1</v>
      </c>
    </row>
    <row r="50515" ht="15.75" customHeight="1" spans="1:2">
      <c r="A50515" s="3" t="str">
        <f>IFERROR(__xludf.DUMMYFUNCTION("GOOGLETRANSLATE(A50515,""en"",""pt"")"),"Nenhum custo filme")</f>
        <v>Nenhum custo filme</v>
      </c>
      <c r="B50515" s="3">
        <v>1</v>
      </c>
    </row>
    <row r="50516" ht="15.75" customHeight="1" spans="1:2">
      <c r="A50516" s="3" t="str">
        <f>IFERROR(__xludf.DUMMYFUNCTION("GOOGLETRANSLATE(A50516,""en"",""pt"")"),"fácil de usar, imagens de alta qualidade")</f>
        <v>fácil de usar, imagens de alta qualidade</v>
      </c>
      <c r="B50516" s="3">
        <v>1</v>
      </c>
    </row>
    <row r="50517" ht="15.75" customHeight="1" spans="1:2">
      <c r="A50517" s="3" t="str">
        <f>IFERROR(__xludf.DUMMYFUNCTION("GOOGLETRANSLATE(A50517,""en"",""pt"")"),"bateria de longa duração, imagens de boa qualidade")</f>
        <v>bateria de longa duração, imagens de boa qualidade</v>
      </c>
      <c r="B50517" s="3">
        <v>1</v>
      </c>
    </row>
    <row r="50518" ht="15.75" customHeight="1" spans="1:2">
      <c r="A50518" s="3" t="str">
        <f>IFERROR(__xludf.DUMMYFUNCTION("GOOGLETRANSLATE(A50518,""en"",""pt"")"),"Excelente qualidade de imagem, bateria de longa duração")</f>
        <v>Excelente qualidade de imagem, bateria de longa duração</v>
      </c>
      <c r="B50518" s="3">
        <v>1</v>
      </c>
    </row>
    <row r="50519" ht="15.75" customHeight="1" spans="1:2">
      <c r="A50519" s="3" t="str">
        <f>IFERROR(__xludf.DUMMYFUNCTION("GOOGLETRANSLATE(A50519,""en"",""pt"")"),"A grande imagem, fácil de baixar as fotos, e grande software")</f>
        <v>A grande imagem, fácil de baixar as fotos, e grande software</v>
      </c>
      <c r="B50519" s="3">
        <v>1</v>
      </c>
    </row>
    <row r="50520" ht="15.75" customHeight="1" spans="1:2">
      <c r="A50520" s="3" t="str">
        <f>IFERROR(__xludf.DUMMYFUNCTION("GOOGLETRANSLATE(A50520,""en"",""pt"")"),"fotos de qualidade, características fotográficas")</f>
        <v>fotos de qualidade, características fotográficas</v>
      </c>
      <c r="B50520" s="3">
        <v>1</v>
      </c>
    </row>
    <row r="50521" ht="15.75" customHeight="1" spans="1:2">
      <c r="A50521" s="3" t="str">
        <f>IFERROR(__xludf.DUMMYFUNCTION("GOOGLETRANSLATE(A50521,""en"",""pt"")"),"Fácil de usar, durável, boa resolução, memórias de uma vida")</f>
        <v>Fácil de usar, durável, boa resolução, memórias de uma vida</v>
      </c>
      <c r="B50521" s="3">
        <v>1</v>
      </c>
    </row>
    <row r="50522" ht="15.75" customHeight="1" spans="1:2">
      <c r="A50522" s="3" t="str">
        <f>IFERROR(__xludf.DUMMYFUNCTION("GOOGLETRANSLATE(A50522,""en"",""pt"")"),"design compacto e recursos avançados")</f>
        <v>design compacto e recursos avançados</v>
      </c>
      <c r="B50522" s="3">
        <v>1</v>
      </c>
    </row>
    <row r="50523" ht="15.75" customHeight="1" spans="1:2">
      <c r="A50523" s="3" t="str">
        <f>IFERROR(__xludf.DUMMYFUNCTION("GOOGLETRANSLATE(A50523,""en"",""pt"")"),"Leve, pequeno, fácil. Fotos de boa qualidade")</f>
        <v>Leve, pequeno, fácil. Fotos de boa qualidade</v>
      </c>
      <c r="B50523" s="3">
        <v>1</v>
      </c>
    </row>
    <row r="50524" ht="15.75" customHeight="1" spans="1:2">
      <c r="A50524" s="3" t="str">
        <f>IFERROR(__xludf.DUMMYFUNCTION("GOOGLETRANSLATE(A50524,""en"",""pt"")"),"Qualidade de Imagem, Recursos, a vida da bateria")</f>
        <v>Qualidade de Imagem, Recursos, a vida da bateria</v>
      </c>
      <c r="B50524" s="3">
        <v>1</v>
      </c>
    </row>
    <row r="50525" ht="15.75" customHeight="1" spans="1:2">
      <c r="A50525" s="3" t="str">
        <f>IFERROR(__xludf.DUMMYFUNCTION("GOOGLETRANSLATE(A50525,""en"",""pt"")"),"rico em recursos, solidamente construída, excelente qualidade de imagem.")</f>
        <v>rico em recursos, solidamente construída, excelente qualidade de imagem.</v>
      </c>
      <c r="B50525" s="3">
        <v>1</v>
      </c>
    </row>
    <row r="50526" ht="15.75" customHeight="1" spans="1:2">
      <c r="A50526" s="3" t="str">
        <f>IFERROR(__xludf.DUMMYFUNCTION("GOOGLETRANSLATE(A50526,""en"",""pt"")"),"Boa qualidade de imagem; vida útil da bateria")</f>
        <v>Boa qualidade de imagem; vida útil da bateria</v>
      </c>
      <c r="B50526" s="3">
        <v>1</v>
      </c>
    </row>
    <row r="50527" ht="15.75" customHeight="1" spans="1:2">
      <c r="A50527" s="3" t="str">
        <f>IFERROR(__xludf.DUMMYFUNCTION("GOOGLETRANSLATE(A50527,""en"",""pt"")"),"Grande câmera com recursos para o novato e profissional!")</f>
        <v>Grande câmera com recursos para o novato e profissional!</v>
      </c>
      <c r="B50527" s="3">
        <v>1</v>
      </c>
    </row>
    <row r="50528" ht="15.75" customHeight="1" spans="1:2">
      <c r="A50528" s="3" t="str">
        <f>IFERROR(__xludf.DUMMYFUNCTION("GOOGLETRANSLATE(A50528,""en"",""pt"")"),"Boa qualidade de imagem, fácil de usar, barato")</f>
        <v>Boa qualidade de imagem, fácil de usar, barato</v>
      </c>
      <c r="B50528" s="3">
        <v>1</v>
      </c>
    </row>
    <row r="50529" ht="15.75" customHeight="1" spans="1:2">
      <c r="A50529" s="3" t="str">
        <f>IFERROR(__xludf.DUMMYFUNCTION("GOOGLETRANSLATE(A50529,""en"",""pt"")"),"Tudo o que você poderia querer e você economizar uma fortuna.")</f>
        <v>Tudo o que você poderia querer e você economizar uma fortuna.</v>
      </c>
      <c r="B50529" s="3">
        <v>1</v>
      </c>
    </row>
    <row r="50530" ht="15.75" customHeight="1" spans="1:2">
      <c r="A50530" s="3" t="str">
        <f>IFERROR(__xludf.DUMMYFUNCTION("GOOGLETRANSLATE(A50530,""en"",""pt"")"),"No geral quase-perfeição! Excelente qualidade, bom preço, fácil de usar, de controle remoto!")</f>
        <v>No geral quase-perfeição! Excelente qualidade, bom preço, fácil de usar, de controle remoto!</v>
      </c>
      <c r="B50530" s="3">
        <v>1</v>
      </c>
    </row>
    <row r="50531" ht="15.75" customHeight="1" spans="1:2">
      <c r="A50531" s="3" t="str">
        <f>IFERROR(__xludf.DUMMYFUNCTION("GOOGLETRANSLATE(A50531,""en"",""pt"")"),"Qualidade de imagem, USB, Versatilidade, vida útil da bateria")</f>
        <v>Qualidade de imagem, USB, Versatilidade, vida útil da bateria</v>
      </c>
      <c r="B50531" s="3">
        <v>1</v>
      </c>
    </row>
    <row r="50532" ht="15.75" customHeight="1" spans="1:2">
      <c r="A50532" s="3" t="str">
        <f>IFERROR(__xludf.DUMMYFUNCTION("GOOGLETRANSLATE(A50532,""en"",""pt"")"),"lente de zoom óptico que permite a fotografia melhor com pouca luz, excelente qualidade de imagem, facilidade de uso")</f>
        <v>lente de zoom óptico que permite a fotografia melhor com pouca luz, excelente qualidade de imagem, facilidade de uso</v>
      </c>
      <c r="B50532" s="3">
        <v>1</v>
      </c>
    </row>
    <row r="50533" ht="15.75" customHeight="1" spans="1:2">
      <c r="A50533" s="3" t="str">
        <f>IFERROR(__xludf.DUMMYFUNCTION("GOOGLETRANSLATE(A50533,""en"",""pt"")"),"Excelente câmera que possui muitos controles e leva muito boas fotos")</f>
        <v>Excelente câmera que possui muitos controles e leva muito boas fotos</v>
      </c>
      <c r="B50533" s="3">
        <v>1</v>
      </c>
    </row>
    <row r="50534" ht="15.75" customHeight="1" spans="1:2">
      <c r="A50534" s="3" t="str">
        <f>IFERROR(__xludf.DUMMYFUNCTION("GOOGLETRANSLATE(A50534,""en"",""pt"")"),"Excelente qualidade de imagem, boa vida útil da bateria, abundância de opções manuais")</f>
        <v>Excelente qualidade de imagem, boa vida útil da bateria, abundância de opções manuais</v>
      </c>
      <c r="B50534" s="3">
        <v>1</v>
      </c>
    </row>
    <row r="50535" ht="15.75" customHeight="1" spans="1:2">
      <c r="A50535" s="3" t="str">
        <f>IFERROR(__xludf.DUMMYFUNCTION("GOOGLETRANSLATE(A50535,""en"",""pt"")"),"Muito fácil de usar, grandes fotos de qualidade")</f>
        <v>Muito fácil de usar, grandes fotos de qualidade</v>
      </c>
      <c r="B50535" s="3">
        <v>1</v>
      </c>
    </row>
    <row r="50536" ht="15.75" customHeight="1" spans="1:2">
      <c r="A50536" s="3" t="str">
        <f>IFERROR(__xludf.DUMMYFUNCTION("GOOGLETRANSLATE(A50536,""en"",""pt"")"),"Excelente qualidade de imagem; muito versátil para o dinheiro")</f>
        <v>Excelente qualidade de imagem; muito versátil para o dinheiro</v>
      </c>
      <c r="B50536" s="3">
        <v>1</v>
      </c>
    </row>
    <row r="50537" ht="15.75" customHeight="1" spans="1:2">
      <c r="A50537" s="3" t="str">
        <f>IFERROR(__xludf.DUMMYFUNCTION("GOOGLETRANSLATE(A50537,""en"",""pt"")"),"Afiado, ricos fotos; toneladas de grandes recursos; alta qualidade de construção")</f>
        <v>Afiado, ricos fotos; toneladas de grandes recursos; alta qualidade de construção</v>
      </c>
      <c r="B50537" s="3">
        <v>1</v>
      </c>
    </row>
    <row r="50538" ht="15.75" customHeight="1" spans="1:2">
      <c r="A50538" s="3" t="str">
        <f>IFERROR(__xludf.DUMMYFUNCTION("GOOGLETRANSLATE(A50538,""en"",""pt"")"),"Excelente qualidade de imagem e de grande desempenho de pouca luz")</f>
        <v>Excelente qualidade de imagem e de grande desempenho de pouca luz</v>
      </c>
      <c r="B50538" s="3">
        <v>1</v>
      </c>
    </row>
    <row r="50539" ht="15.75" customHeight="1" spans="1:2">
      <c r="A50539" s="3" t="str">
        <f>IFERROR(__xludf.DUMMYFUNCTION("GOOGLETRANSLATE(A50539,""en"",""pt"")"),"Grandes recursos manuais, imagens claras, boa vida útil da bateria")</f>
        <v>Grandes recursos manuais, imagens claras, boa vida útil da bateria</v>
      </c>
      <c r="B50539" s="3">
        <v>1</v>
      </c>
    </row>
    <row r="50540" ht="15.75" customHeight="1" spans="1:2">
      <c r="A50540" s="3" t="str">
        <f>IFERROR(__xludf.DUMMYFUNCTION("GOOGLETRANSLATE(A50540,""en"",""pt"")"),"Leve, câmera digital compacta, muito fácil de usar.")</f>
        <v>Leve, câmera digital compacta, muito fácil de usar.</v>
      </c>
      <c r="B50540" s="3">
        <v>1</v>
      </c>
    </row>
    <row r="50541" ht="15.75" customHeight="1" spans="1:2">
      <c r="A50541" s="3" t="str">
        <f>IFERROR(__xludf.DUMMYFUNCTION("GOOGLETRANSLATE(A50541,""en"",""pt"")"),"lente de qualidade, medição, opções de flash, tamanho, peso, opções de configuração, USB")</f>
        <v>lente de qualidade, medição, opções de flash, tamanho, peso, opções de configuração, USB</v>
      </c>
      <c r="B50541" s="3">
        <v>1</v>
      </c>
    </row>
    <row r="50542" ht="15.75" customHeight="1" spans="1:2">
      <c r="A50542" s="3" t="str">
        <f>IFERROR(__xludf.DUMMYFUNCTION("GOOGLETRANSLATE(A50542,""en"",""pt"")"),"Grandes fotos digitais. Fácil de fazer o upload para PC")</f>
        <v>Grandes fotos digitais. Fácil de fazer o upload para PC</v>
      </c>
      <c r="B50542" s="3">
        <v>1</v>
      </c>
    </row>
    <row r="50543" ht="15.75" customHeight="1" spans="1:2">
      <c r="A50543" s="3" t="str">
        <f>IFERROR(__xludf.DUMMYFUNCTION("GOOGLETRANSLATE(A50543,""en"",""pt"")"),"A qualidade da foto, facilidade de uso, USB &amp; amp; tampa da lente trela")</f>
        <v>A qualidade da foto, facilidade de uso, USB &amp; amp; tampa da lente trela</v>
      </c>
      <c r="B50543" s="3">
        <v>1</v>
      </c>
    </row>
    <row r="50544" ht="15.75" customHeight="1" spans="1:2">
      <c r="A50544" s="3" t="str">
        <f>IFERROR(__xludf.DUMMYFUNCTION("GOOGLETRANSLATE(A50544,""en"",""pt"")"),"Imagens de alta qualidade, fácil de usar")</f>
        <v>Imagens de alta qualidade, fácil de usar</v>
      </c>
      <c r="B50544" s="3">
        <v>1</v>
      </c>
    </row>
    <row r="50545" ht="15.75" customHeight="1" spans="1:2">
      <c r="A50545" s="3" t="str">
        <f>IFERROR(__xludf.DUMMYFUNCTION("GOOGLETRANSLATE(A50545,""en"",""pt"")"),"A qualidade da foto, muitos recursos, o controle manual, pilhas AA")</f>
        <v>A qualidade da foto, muitos recursos, o controle manual, pilhas AA</v>
      </c>
      <c r="B50545" s="3">
        <v>1</v>
      </c>
    </row>
    <row r="50546" ht="15.75" customHeight="1" spans="1:2">
      <c r="A50546" s="3" t="str">
        <f>IFERROR(__xludf.DUMMYFUNCTION("GOOGLETRANSLATE(A50546,""en"",""pt"")"),"excelente qualidade de imagem; Zoom óptico de 10x; SLR vista estilo finder.")</f>
        <v>excelente qualidade de imagem; Zoom óptico de 10x; SLR vista estilo finder.</v>
      </c>
      <c r="B50546" s="3">
        <v>1</v>
      </c>
    </row>
    <row r="50547" ht="15.75" customHeight="1" spans="1:2">
      <c r="A50547" s="3" t="str">
        <f>IFERROR(__xludf.DUMMYFUNCTION("GOOGLETRANSLATE(A50547,""en"",""pt"")"),"Facilidade de utilização &amp; amp; grandes fotos com um zoom óptico de 10x.")</f>
        <v>Facilidade de utilização &amp; amp; grandes fotos com um zoom óptico de 10x.</v>
      </c>
      <c r="B50547" s="3">
        <v>1</v>
      </c>
    </row>
    <row r="50548" ht="15.75" customHeight="1" spans="1:2">
      <c r="A50548" s="3" t="str">
        <f>IFERROR(__xludf.DUMMYFUNCTION("GOOGLETRANSLATE(A50548,""en"",""pt"")"),"IS ZzooomM, geral Pic Qualidade, Foco auxiliar, Processing / velocidade de atualização, Isolado, Preço caindo diariamente.")</f>
        <v>IS ZzooomM, geral Pic Qualidade, Foco auxiliar, Processing / velocidade de atualização, Isolado, Preço caindo diariamente.</v>
      </c>
      <c r="B50548" s="3">
        <v>1</v>
      </c>
    </row>
    <row r="50549" ht="15.75" customHeight="1" spans="1:2">
      <c r="A50549" s="3" t="str">
        <f>IFERROR(__xludf.DUMMYFUNCTION("GOOGLETRANSLATE(A50549,""en"",""pt"")"),"Rico em recursos, grande procura Hardware, Zoom, A qualidade da imagem")</f>
        <v>Rico em recursos, grande procura Hardware, Zoom, A qualidade da imagem</v>
      </c>
      <c r="B50549" s="3">
        <v>1</v>
      </c>
    </row>
    <row r="50550" ht="15.75" customHeight="1" spans="1:2">
      <c r="A50550" s="3" t="str">
        <f>IFERROR(__xludf.DUMMYFUNCTION("GOOGLETRANSLATE(A50550,""en"",""pt"")"),"Longo zoom da lente, grandes recursos, grandes fotos, resistente e bem construído")</f>
        <v>Longo zoom da lente, grandes recursos, grandes fotos, resistente e bem construído</v>
      </c>
      <c r="B50550" s="3">
        <v>1</v>
      </c>
    </row>
    <row r="50551" ht="15.75" customHeight="1" spans="1:2">
      <c r="A50551" s="3" t="str">
        <f>IFERROR(__xludf.DUMMYFUNCTION("GOOGLETRANSLATE(A50551,""en"",""pt"")"),"Excelente câmera! Adorei desde o momento da primeira utilização!")</f>
        <v>Excelente câmera! Adorei desde o momento da primeira utilização!</v>
      </c>
      <c r="B50551" s="3">
        <v>1</v>
      </c>
    </row>
    <row r="50552" ht="15.75" customHeight="1" spans="1:2">
      <c r="A50552" s="3" t="str">
        <f>IFERROR(__xludf.DUMMYFUNCTION("GOOGLETRANSLATE(A50552,""en"",""pt"")"),"Impressionante zoom de 10x, estabilizador de imagem, 2.1Mega Pixels, bom flash, filmes QuickTime.")</f>
        <v>Impressionante zoom de 10x, estabilizador de imagem, 2.1Mega Pixels, bom flash, filmes QuickTime.</v>
      </c>
      <c r="B50552" s="3">
        <v>1</v>
      </c>
    </row>
    <row r="50553" ht="15.75" customHeight="1" spans="1:2">
      <c r="A50553" s="3" t="str">
        <f>IFERROR(__xludf.DUMMYFUNCTION("GOOGLETRANSLATE(A50553,""en"",""pt"")"),"Um produto perfeito, o 10X óptico Zoon, no total, é produto de alta qualidade &amp; amp;. # 13; &amp; amp; # 10; &amp; amp; # 13; &amp; amp; # 10;")</f>
        <v>Um produto perfeito, o 10X óptico Zoon, no total, é produto de alta qualidade &amp; amp;. # 13; &amp; amp; # 10; &amp; amp; # 13; &amp; amp; # 10;</v>
      </c>
      <c r="B50553" s="3">
        <v>1</v>
      </c>
    </row>
    <row r="50554" ht="15.75" customHeight="1" spans="1:2">
      <c r="A50554" s="3" t="str">
        <f>IFERROR(__xludf.DUMMYFUNCTION("GOOGLETRANSLATE(A50554,""en"",""pt"")"),"zoom óptico de 10x, estabilização de imagem, grandes tiros, pacote completo")</f>
        <v>zoom óptico de 10x, estabilização de imagem, grandes tiros, pacote completo</v>
      </c>
      <c r="B50554" s="3">
        <v>1</v>
      </c>
    </row>
    <row r="50555" ht="15.75" customHeight="1" spans="1:2">
      <c r="A50555" s="3" t="str">
        <f>IFERROR(__xludf.DUMMYFUNCTION("GOOGLETRANSLATE(A50555,""en"",""pt"")"),"zoom 10x, estabilizador de imagem, cores precisas, lente afiada")</f>
        <v>zoom 10x, estabilizador de imagem, cores precisas, lente afiada</v>
      </c>
      <c r="B50555" s="3">
        <v>1</v>
      </c>
    </row>
    <row r="50556" ht="15.75" customHeight="1" spans="1:2">
      <c r="A50556" s="3" t="str">
        <f>IFERROR(__xludf.DUMMYFUNCTION("GOOGLETRANSLATE(A50556,""en"",""pt"")"),"Relativamente compacto em comparação com uma SLR com zoom características semelhantes")</f>
        <v>Relativamente compacto em comparação com uma SLR com zoom características semelhantes</v>
      </c>
      <c r="B50556" s="3">
        <v>1</v>
      </c>
    </row>
    <row r="50557" ht="15.75" customHeight="1" spans="1:2">
      <c r="A50557" s="3" t="str">
        <f>IFERROR(__xludf.DUMMYFUNCTION("GOOGLETRANSLATE(A50557,""en"",""pt"")"),"Zoom Ótico 10x, Estabilização de Imagem, Grandes Controls")</f>
        <v>Zoom Ótico 10x, Estabilização de Imagem, Grandes Controls</v>
      </c>
      <c r="B50557" s="3">
        <v>1</v>
      </c>
    </row>
    <row r="50558" ht="15.75" customHeight="1" spans="1:2">
      <c r="A50558" s="3" t="str">
        <f>IFERROR(__xludf.DUMMYFUNCTION("GOOGLETRANSLATE(A50558,""en"",""pt"")"),"Excelentes fotos de qualidade; lente de zoom excelente; controles compreensíveis e operação.")</f>
        <v>Excelentes fotos de qualidade; lente de zoom excelente; controles compreensíveis e operação.</v>
      </c>
      <c r="B50558" s="3">
        <v>1</v>
      </c>
    </row>
    <row r="50559" ht="15.75" customHeight="1" spans="1:2">
      <c r="A50559" s="3" t="str">
        <f>IFERROR(__xludf.DUMMYFUNCTION("GOOGLETRANSLATE(A50559,""en"",""pt"")"),"fácil utilização, lente zoom longa, imagens de grande qualidade")</f>
        <v>fácil utilização, lente zoom longa, imagens de grande qualidade</v>
      </c>
      <c r="B50559" s="3">
        <v>1</v>
      </c>
    </row>
    <row r="50560" ht="15.75" customHeight="1" spans="1:2">
      <c r="A50560" s="3" t="str">
        <f>IFERROR(__xludf.DUMMYFUNCTION("GOOGLETRANSLATE(A50560,""en"",""pt"")"),"zoom de 10X, característica-laden")</f>
        <v>zoom de 10X, característica-laden</v>
      </c>
      <c r="B50560" s="3">
        <v>1</v>
      </c>
    </row>
    <row r="50561" ht="15.75" customHeight="1" spans="1:2">
      <c r="A50561" s="3" t="str">
        <f>IFERROR(__xludf.DUMMYFUNCTION("GOOGLETRANSLATE(A50561,""en"",""pt"")"),"lente de 10x Zoom, muitos recursos")</f>
        <v>lente de 10x Zoom, muitos recursos</v>
      </c>
      <c r="B50561" s="3">
        <v>1</v>
      </c>
    </row>
    <row r="50562" ht="15.75" customHeight="1" spans="1:2">
      <c r="A50562" s="3" t="str">
        <f>IFERROR(__xludf.DUMMYFUNCTION("GOOGLETRANSLATE(A50562,""en"",""pt"")"),"estabilizador de imagem, zoom de 10X, fácil de segurar, grande cor, peso leve")</f>
        <v>estabilizador de imagem, zoom de 10X, fácil de segurar, grande cor, peso leve</v>
      </c>
      <c r="B50562" s="3">
        <v>1</v>
      </c>
    </row>
    <row r="50563" ht="15.75" customHeight="1" spans="1:2">
      <c r="A50563" s="3" t="str">
        <f>IFERROR(__xludf.DUMMYFUNCTION("GOOGLETRANSLATE(A50563,""en"",""pt"")"),"Estabilização de imagem. 10x zoom elimina pena de 2.1 megapixels.")</f>
        <v>Estabilização de imagem. 10x zoom elimina pena de 2.1 megapixels.</v>
      </c>
      <c r="B50563" s="3">
        <v>1</v>
      </c>
    </row>
    <row r="50564" ht="15.75" customHeight="1" spans="1:2">
      <c r="A50564" s="3" t="str">
        <f>IFERROR(__xludf.DUMMYFUNCTION("GOOGLETRANSLATE(A50564,""en"",""pt"")"),"Grandes características, bom preço. 10X zoom - mais do que qualquer câmera, mesmo depois de três anos.")</f>
        <v>Grandes características, bom preço. 10X zoom - mais do que qualquer câmera, mesmo depois de três anos.</v>
      </c>
      <c r="B50564" s="3">
        <v>1</v>
      </c>
    </row>
    <row r="50565" ht="15.75" customHeight="1" spans="1:2">
      <c r="A50565" s="3" t="str">
        <f>IFERROR(__xludf.DUMMYFUNCTION("GOOGLETRANSLATE(A50565,""en"",""pt"")"),"10x estabilizado lente zoom, visor eletrônico, fotos excelentes")</f>
        <v>10x estabilizado lente zoom, visor eletrônico, fotos excelentes</v>
      </c>
      <c r="B50565" s="3">
        <v>1</v>
      </c>
    </row>
    <row r="50566" ht="15.75" customHeight="1" spans="1:2">
      <c r="A50566" s="3" t="str">
        <f>IFERROR(__xludf.DUMMYFUNCTION("GOOGLETRANSLATE(A50566,""en"",""pt"")"),"Excelente zoom e qualidade de imagem")</f>
        <v>Excelente zoom e qualidade de imagem</v>
      </c>
      <c r="B50566" s="3">
        <v>1</v>
      </c>
    </row>
    <row r="50567" ht="15.75" customHeight="1" spans="1:2">
      <c r="A50567" s="3" t="str">
        <f>IFERROR(__xludf.DUMMYFUNCTION("GOOGLETRANSLATE(A50567,""en"",""pt"")"),"É uma Olympus.")</f>
        <v>É uma Olympus.</v>
      </c>
      <c r="B50567" s="3">
        <v>1</v>
      </c>
    </row>
    <row r="50568" ht="15.75" customHeight="1" spans="1:2">
      <c r="A50568" s="3" t="str">
        <f>IFERROR(__xludf.DUMMYFUNCTION("GOOGLETRANSLATE(A50568,""en"",""pt"")"),"O Zoom !!! Os recursos em abundância.")</f>
        <v>O Zoom !!! Os recursos em abundância.</v>
      </c>
      <c r="B50568" s="3">
        <v>1</v>
      </c>
    </row>
    <row r="50569" ht="15.75" customHeight="1" spans="1:2">
      <c r="A50569" s="3" t="str">
        <f>IFERROR(__xludf.DUMMYFUNCTION("GOOGLETRANSLATE(A50569,""en"",""pt"")"),"Flexível, confortável, rápido e capaz.")</f>
        <v>Flexível, confortável, rápido e capaz.</v>
      </c>
      <c r="B50569" s="3">
        <v>1</v>
      </c>
    </row>
    <row r="50570" ht="15.75" customHeight="1" spans="1:2">
      <c r="A50570" s="3" t="str">
        <f>IFERROR(__xludf.DUMMYFUNCTION("GOOGLETRANSLATE(A50570,""en"",""pt"")"),"Excelente câmera digital, lote de opções, manual de informações.")</f>
        <v>Excelente câmera digital, lote de opções, manual de informações.</v>
      </c>
      <c r="B50570" s="3">
        <v>1</v>
      </c>
    </row>
    <row r="50571" ht="15.75" customHeight="1" spans="1:2">
      <c r="A50571" s="3" t="str">
        <f>IFERROR(__xludf.DUMMYFUNCTION("GOOGLETRANSLATE(A50571,""en"",""pt"")"),"Fácil de usar; lotes de sinos / assobios")</f>
        <v>Fácil de usar; lotes de sinos / assobios</v>
      </c>
      <c r="B50571" s="3">
        <v>1</v>
      </c>
    </row>
    <row r="50572" ht="15.75" customHeight="1" spans="1:2">
      <c r="A50572" s="3" t="str">
        <f>IFERROR(__xludf.DUMMYFUNCTION("GOOGLETRANSLATE(A50572,""en"",""pt"")"),"Grandes fotos, bons meios bonitas armazenamento.")</f>
        <v>Grandes fotos, bons meios bonitas armazenamento.</v>
      </c>
      <c r="B50572" s="3">
        <v>1</v>
      </c>
    </row>
    <row r="50573" ht="15.75" customHeight="1" spans="1:2">
      <c r="A50573" s="3" t="str">
        <f>IFERROR(__xludf.DUMMYFUNCTION("GOOGLETRANSLATE(A50573,""en"",""pt"")"),"Zoom, Zoom, Zoom")</f>
        <v>Zoom, Zoom, Zoom</v>
      </c>
      <c r="B50573" s="3">
        <v>1</v>
      </c>
    </row>
    <row r="50574" ht="15.75" customHeight="1" spans="1:2">
      <c r="A50574" s="3" t="str">
        <f>IFERROR(__xludf.DUMMYFUNCTION("GOOGLETRANSLATE(A50574,""en"",""pt"")"),"ZOOM !, extensos controles manuais")</f>
        <v>ZOOM !, extensos controles manuais</v>
      </c>
      <c r="B50574" s="3">
        <v>1</v>
      </c>
    </row>
    <row r="50575" ht="15.75" customHeight="1" spans="1:2">
      <c r="A50575" s="3" t="str">
        <f>IFERROR(__xludf.DUMMYFUNCTION("GOOGLETRANSLATE(A50575,""en"",""pt"")"),"Excelente zoom estabilizado, fácil de usar, energias criativas pode ser usado devido à capacidade de definir a velocidade do obturador e abertura configurações manualmente, câmera é boa para o crepúsculo e noite tiros, etc.")</f>
        <v>Excelente zoom estabilizado, fácil de usar, energias criativas pode ser usado devido à capacidade de definir a velocidade do obturador e abertura configurações manualmente, câmera é boa para o crepúsculo e noite tiros, etc.</v>
      </c>
      <c r="B50575" s="3">
        <v>1</v>
      </c>
    </row>
    <row r="50576" ht="15.75" customHeight="1" spans="1:2">
      <c r="A50576" s="3" t="str">
        <f>IFERROR(__xludf.DUMMYFUNCTION("GOOGLETRANSLATE(A50576,""en"",""pt"")"),"Em uma palavra: ZOOM: este tem uma das melhores zooms que eu vi em 10x óptico")</f>
        <v>Em uma palavra: ZOOM: este tem uma das melhores zooms que eu vi em 10x óptico</v>
      </c>
      <c r="B50576" s="3">
        <v>1</v>
      </c>
    </row>
    <row r="50577" ht="15.75" customHeight="1" spans="1:2">
      <c r="A50577" s="3" t="str">
        <f>IFERROR(__xludf.DUMMYFUNCTION("GOOGLETRANSLATE(A50577,""en"",""pt"")"),"Grande zoom e tempo de resposta rápido! Noite definição divertido!")</f>
        <v>Grande zoom e tempo de resposta rápido! Noite definição divertido!</v>
      </c>
      <c r="B50577" s="3">
        <v>1</v>
      </c>
    </row>
    <row r="50578" ht="15.75" customHeight="1" spans="1:2">
      <c r="A50578" s="3" t="str">
        <f>IFERROR(__xludf.DUMMYFUNCTION("GOOGLETRANSLATE(A50578,""en"",""pt"")"),"10x Zoom estabilizada, autofoco iluminado, excelente óptica")</f>
        <v>10x Zoom estabilizada, autofoco iluminado, excelente óptica</v>
      </c>
      <c r="B50578" s="3">
        <v>1</v>
      </c>
    </row>
    <row r="50579" ht="15.75" customHeight="1" spans="1:2">
      <c r="A50579" s="3" t="str">
        <f>IFERROR(__xludf.DUMMYFUNCTION("GOOGLETRANSLATE(A50579,""en"",""pt"")"),"ZOOM um grande zoom de 10x com facilidade estabilizador óptico de uso e grandes fotos")</f>
        <v>ZOOM um grande zoom de 10x com facilidade estabilizador óptico de uso e grandes fotos</v>
      </c>
      <c r="B50579" s="3">
        <v>1</v>
      </c>
    </row>
    <row r="50580" ht="15.75" customHeight="1" spans="1:2">
      <c r="A50580" s="3" t="str">
        <f>IFERROR(__xludf.DUMMYFUNCTION("GOOGLETRANSLATE(A50580,""en"",""pt"")"),"ZOOOOOOOMM !!!, muitas opções manuais.")</f>
        <v>ZOOOOOOOMM !!!, muitas opções manuais.</v>
      </c>
      <c r="B50580" s="3">
        <v>1</v>
      </c>
    </row>
    <row r="50581" ht="15.75" customHeight="1" spans="1:2">
      <c r="A50581" s="3" t="str">
        <f>IFERROR(__xludf.DUMMYFUNCTION("GOOGLETRANSLATE(A50581,""en"",""pt"")"),"Extremamente boa qualidade da foto. Totalmente automático para controles manuais completos.")</f>
        <v>Extremamente boa qualidade da foto. Totalmente automático para controles manuais completos.</v>
      </c>
      <c r="B50581" s="3">
        <v>1</v>
      </c>
    </row>
    <row r="50582" ht="15.75" customHeight="1" spans="1:2">
      <c r="A50582" s="3" t="str">
        <f>IFERROR(__xludf.DUMMYFUNCTION("GOOGLETRANSLATE(A50582,""en"",""pt"")"),"Obter imagem immeadiately, na foto são de tamanho pequeno carteira, computador imagens são de qualidade boa.")</f>
        <v>Obter imagem immeadiately, na foto são de tamanho pequeno carteira, computador imagens são de qualidade boa.</v>
      </c>
      <c r="B50582" s="3">
        <v>1</v>
      </c>
    </row>
    <row r="50583" ht="15.75" customHeight="1" spans="1:2">
      <c r="A50583" s="3" t="str">
        <f>IFERROR(__xludf.DUMMYFUNCTION("GOOGLETRANSLATE(A50583,""en"",""pt"")"),"bom zoom apresenta, em tempo real edição na câmera, recurso de impressão Polaroid")</f>
        <v>bom zoom apresenta, em tempo real edição na câmera, recurso de impressão Polaroid</v>
      </c>
      <c r="B50583" s="3">
        <v>1</v>
      </c>
    </row>
    <row r="50584" ht="15.75" customHeight="1" spans="1:2">
      <c r="A50584" s="3" t="str">
        <f>IFERROR(__xludf.DUMMYFUNCTION("GOOGLETRANSLATE(A50584,""en"",""pt"")"),"bom zoom apresenta, em tempo real edição na câmera, recurso de impressão Polaroid")</f>
        <v>bom zoom apresenta, em tempo real edição na câmera, recurso de impressão Polaroid</v>
      </c>
      <c r="B50584" s="3">
        <v>1</v>
      </c>
    </row>
    <row r="50585" ht="15.75" customHeight="1" spans="1:2">
      <c r="A50585" s="3" t="str">
        <f>IFERROR(__xludf.DUMMYFUNCTION("GOOGLETRANSLATE(A50585,""en"",""pt"")"),"Ótima câmera! Tem muitos recursos, e um grande programa de software.")</f>
        <v>Ótima câmera! Tem muitos recursos, e um grande programa de software.</v>
      </c>
      <c r="B50585" s="3">
        <v>1</v>
      </c>
    </row>
    <row r="50586" ht="15.75" customHeight="1" spans="1:2">
      <c r="A50586" s="3" t="str">
        <f>IFERROR(__xludf.DUMMYFUNCTION("GOOGLETRANSLATE(A50586,""en"",""pt"")"),"fotos digitais de boa qualidade. Impressora embutida.")</f>
        <v>fotos digitais de boa qualidade. Impressora embutida.</v>
      </c>
      <c r="B50586" s="3">
        <v>1</v>
      </c>
    </row>
    <row r="50587" ht="15.75" customHeight="1" spans="1:2">
      <c r="A50587" s="3" t="str">
        <f>IFERROR(__xludf.DUMMYFUNCTION("GOOGLETRANSLATE(A50587,""en"",""pt"")"),"Pics bom, fácil de usar")</f>
        <v>Pics bom, fácil de usar</v>
      </c>
      <c r="B50587" s="3">
        <v>1</v>
      </c>
    </row>
    <row r="50588" ht="15.75" customHeight="1" spans="1:2">
      <c r="A50588" s="3" t="str">
        <f>IFERROR(__xludf.DUMMYFUNCTION("GOOGLETRANSLATE(A50588,""en"",""pt"")"),"grande negócio para o dinheiro")</f>
        <v>grande negócio para o dinheiro</v>
      </c>
      <c r="B50588" s="3">
        <v>1</v>
      </c>
    </row>
    <row r="50589" ht="15.75" customHeight="1" spans="1:2">
      <c r="A50589" s="3" t="str">
        <f>IFERROR(__xludf.DUMMYFUNCTION("GOOGLETRANSLATE(A50589,""en"",""pt"")"),"Grande Digital imagens com a conveniência de instant fotos.")</f>
        <v>Grande Digital imagens com a conveniência de instant fotos.</v>
      </c>
      <c r="B50589" s="3">
        <v>1</v>
      </c>
    </row>
    <row r="50590" ht="15.75" customHeight="1" spans="1:2">
      <c r="A50590" s="3" t="str">
        <f>IFERROR(__xludf.DUMMYFUNCTION("GOOGLETRANSLATE(A50590,""en"",""pt"")"),"características surpreendentes, fotos e conveniência.")</f>
        <v>características surpreendentes, fotos e conveniência.</v>
      </c>
      <c r="B50590" s="3">
        <v>1</v>
      </c>
    </row>
    <row r="50591" ht="15.75" customHeight="1" spans="1:2">
      <c r="A50591" s="3" t="str">
        <f>IFERROR(__xludf.DUMMYFUNCTION("GOOGLETRANSLATE(A50591,""en"",""pt"")"),"Grande qualidade de imagem e fácil de usar")</f>
        <v>Grande qualidade de imagem e fácil de usar</v>
      </c>
      <c r="B50591" s="3">
        <v>1</v>
      </c>
    </row>
    <row r="50592" ht="15.75" customHeight="1" spans="1:2">
      <c r="A50592" s="3" t="str">
        <f>IFERROR(__xludf.DUMMYFUNCTION("GOOGLETRANSLATE(A50592,""en"",""pt"")"),"Excelente qualidade de foto, muito boa qualidade de impressão, preço baixo.")</f>
        <v>Excelente qualidade de foto, muito boa qualidade de impressão, preço baixo.</v>
      </c>
      <c r="B50592" s="3">
        <v>1</v>
      </c>
    </row>
    <row r="50593" ht="15.75" customHeight="1" spans="1:2">
      <c r="A50593" s="3" t="str">
        <f>IFERROR(__xludf.DUMMYFUNCTION("GOOGLETRANSLATE(A50593,""en"",""pt"")"),"Muito boa qualidade &amp; amp Imagem; Divertido de usar!")</f>
        <v>Muito boa qualidade &amp; amp Imagem; Divertido de usar!</v>
      </c>
      <c r="B50593" s="3">
        <v>1</v>
      </c>
    </row>
    <row r="50594" ht="15.75" customHeight="1" spans="1:2">
      <c r="A50594" s="3" t="str">
        <f>IFERROR(__xludf.DUMMYFUNCTION("GOOGLETRANSLATE(A50594,""en"",""pt"")"),"Instantaneamente imprime imagens no filme Polaroid.")</f>
        <v>Instantaneamente imprime imagens no filme Polaroid.</v>
      </c>
      <c r="B50594" s="3">
        <v>1</v>
      </c>
    </row>
    <row r="50595" ht="15.75" customHeight="1" spans="1:2">
      <c r="A50595" s="3" t="str">
        <f>IFERROR(__xludf.DUMMYFUNCTION("GOOGLETRANSLATE(A50595,""en"",""pt"")"),"câmera digital acoplada com estampas polaroid")</f>
        <v>câmera digital acoplada com estampas polaroid</v>
      </c>
      <c r="B50595" s="3">
        <v>1</v>
      </c>
    </row>
    <row r="50596" ht="15.75" customHeight="1" spans="1:2">
      <c r="A50596" s="3" t="str">
        <f>IFERROR(__xludf.DUMMYFUNCTION("GOOGLETRANSLATE(A50596,""en"",""pt"")"),"Outra excelente câmera digital Olympus, impressão apresentam uma novidade puro.")</f>
        <v>Outra excelente câmera digital Olympus, impressão apresentam uma novidade puro.</v>
      </c>
      <c r="B50596" s="3">
        <v>1</v>
      </c>
    </row>
    <row r="50597" ht="15.75" customHeight="1" spans="1:2">
      <c r="A50597" s="3" t="str">
        <f>IFERROR(__xludf.DUMMYFUNCTION("GOOGLETRANSLATE(A50597,""en"",""pt"")"),"boa câmera Olympus com boa capacidade de zoom e pode imprimir também!")</f>
        <v>boa câmera Olympus com boa capacidade de zoom e pode imprimir também!</v>
      </c>
      <c r="B50597" s="3">
        <v>1</v>
      </c>
    </row>
    <row r="50598" ht="15.75" customHeight="1" spans="1:2">
      <c r="A50598" s="3" t="str">
        <f>IFERROR(__xludf.DUMMYFUNCTION("GOOGLETRANSLATE(A50598,""en"",""pt"")"),"Impressões com o premir de um botão!")</f>
        <v>Impressões com o premir de um botão!</v>
      </c>
      <c r="B50598" s="3">
        <v>1</v>
      </c>
    </row>
    <row r="50599" ht="15.75" customHeight="1" spans="1:2">
      <c r="A50599" s="3" t="str">
        <f>IFERROR(__xludf.DUMMYFUNCTION("GOOGLETRANSLATE(A50599,""en"",""pt"")"),"Facilidade de uso, capacidade de imprimir no local, Olympus ""grandeza"" digitais por trás dessa câmera")</f>
        <v>Facilidade de uso, capacidade de imprimir no local, Olympus "grandeza" digitais por trás dessa câmera</v>
      </c>
      <c r="B50599" s="3">
        <v>1</v>
      </c>
    </row>
    <row r="50600" ht="15.75" customHeight="1" spans="1:2">
      <c r="A50600" s="3" t="str">
        <f>IFERROR(__xludf.DUMMYFUNCTION("GOOGLETRANSLATE(A50600,""en"",""pt"")"),"Mais fácil do que parece, boa qualidade, impressões instantâneas, Fun!")</f>
        <v>Mais fácil do que parece, boa qualidade, impressões instantâneas, Fun!</v>
      </c>
      <c r="B50600" s="3">
        <v>1</v>
      </c>
    </row>
    <row r="50601" ht="15.75" customHeight="1" spans="1:2">
      <c r="A50601" s="3" t="str">
        <f>IFERROR(__xludf.DUMMYFUNCTION("GOOGLETRANSLATE(A50601,""en"",""pt"")"),"características impressionantes que são muito necessários para o amador avançado.")</f>
        <v>características impressionantes que são muito necessários para o amador avançado.</v>
      </c>
      <c r="B50601" s="3">
        <v>1</v>
      </c>
    </row>
    <row r="50602" ht="15.75" customHeight="1" spans="1:2">
      <c r="A50602" s="3" t="str">
        <f>IFERROR(__xludf.DUMMYFUNCTION("GOOGLETRANSLATE(A50602,""en"",""pt"")"),"É Olympus! SLR, lendo CompactFlash &amp; amp; SmartMedia.")</f>
        <v>É Olympus! SLR, lendo CompactFlash &amp; amp; SmartMedia.</v>
      </c>
      <c r="B50602" s="3">
        <v>1</v>
      </c>
    </row>
    <row r="50603" ht="15.75" customHeight="1" spans="1:2">
      <c r="A50603" s="3" t="str">
        <f>IFERROR(__xludf.DUMMYFUNCTION("GOOGLETRANSLATE(A50603,""en"",""pt"")"),"Grandes imagens, controles SLR completos sobre obturador, exposição, abertura, baterias recarregáveis ​​e carregador, 3x de zoom, cartão de 32MB SmartMedia incluído. autofoco rápido. design durável.")</f>
        <v>Grandes imagens, controles SLR completos sobre obturador, exposição, abertura, baterias recarregáveis ​​e carregador, 3x de zoom, cartão de 32MB SmartMedia incluído. autofoco rápido. design durável.</v>
      </c>
      <c r="B50603" s="3">
        <v>1</v>
      </c>
    </row>
    <row r="50604" ht="15.75" customHeight="1" spans="1:2">
      <c r="A50604" s="3" t="str">
        <f>IFERROR(__xludf.DUMMYFUNCTION("GOOGLETRANSLATE(A50604,""en"",""pt"")"),"qualidade de imagem, cartões de memória dual, pro características")</f>
        <v>qualidade de imagem, cartões de memória dual, pro características</v>
      </c>
      <c r="B50604" s="3">
        <v>1</v>
      </c>
    </row>
    <row r="50605" ht="15.75" customHeight="1" spans="1:2">
      <c r="A50605" s="3" t="str">
        <f>IFERROR(__xludf.DUMMYFUNCTION("GOOGLETRANSLATE(A50605,""en"",""pt"")"),"Verdadeira SLR, características excepcionais, dois tipos de meios de armazenamento")</f>
        <v>Verdadeira SLR, características excepcionais, dois tipos de meios de armazenamento</v>
      </c>
      <c r="B50605" s="3">
        <v>1</v>
      </c>
    </row>
    <row r="50606" ht="15.75" customHeight="1" spans="1:2">
      <c r="A50606" s="3" t="str">
        <f>IFERROR(__xludf.DUMMYFUNCTION("GOOGLETRANSLATE(A50606,""en"",""pt"")"),"tiros de alta resolução, vários modos de disparo, tela de revisão em grande")</f>
        <v>tiros de alta resolução, vários modos de disparo, tela de revisão em grande</v>
      </c>
      <c r="B50606" s="3">
        <v>1</v>
      </c>
    </row>
    <row r="50607" ht="15.75" customHeight="1" spans="1:2">
      <c r="A50607" s="3" t="str">
        <f>IFERROR(__xludf.DUMMYFUNCTION("GOOGLETRANSLATE(A50607,""en"",""pt"")"),"Pouca luz incidindo, SLR")</f>
        <v>Pouca luz incidindo, SLR</v>
      </c>
      <c r="B50607" s="3">
        <v>1</v>
      </c>
    </row>
    <row r="50608" ht="15.75" customHeight="1" spans="1:2">
      <c r="A50608" s="3" t="str">
        <f>IFERROR(__xludf.DUMMYFUNCTION("GOOGLETRANSLATE(A50608,""en"",""pt"")"),"facilidade de uso, qualidade de fotos")</f>
        <v>facilidade de uso, qualidade de fotos</v>
      </c>
      <c r="B50608" s="3">
        <v>1</v>
      </c>
    </row>
    <row r="50609" ht="15.75" customHeight="1" spans="1:2">
      <c r="A50609" s="3" t="str">
        <f>IFERROR(__xludf.DUMMYFUNCTION("GOOGLETRANSLATE(A50609,""en"",""pt"")"),"operação rápida, boa qualidade de imagem, design sensação de solidez")</f>
        <v>operação rápida, boa qualidade de imagem, design sensação de solidez</v>
      </c>
      <c r="B50609" s="3">
        <v>1</v>
      </c>
    </row>
    <row r="50610" ht="15.75" customHeight="1" spans="1:2">
      <c r="A50610" s="3" t="str">
        <f>IFERROR(__xludf.DUMMYFUNCTION("GOOGLETRANSLATE(A50610,""en"",""pt"")"),"Resolução, lente zoom, cartões de memória")</f>
        <v>Resolução, lente zoom, cartões de memória</v>
      </c>
      <c r="B50610" s="3">
        <v>1</v>
      </c>
    </row>
    <row r="50611" ht="15.75" customHeight="1" spans="1:2">
      <c r="A50611" s="3" t="str">
        <f>IFERROR(__xludf.DUMMYFUNCTION("GOOGLETRANSLATE(A50611,""en"",""pt"")"),"Excelente qualidade de imagem")</f>
        <v>Excelente qualidade de imagem</v>
      </c>
      <c r="B50611" s="3">
        <v>1</v>
      </c>
    </row>
    <row r="50612" ht="15.75" customHeight="1" spans="1:2">
      <c r="A50612" s="3" t="str">
        <f>IFERROR(__xludf.DUMMYFUNCTION("GOOGLETRANSLATE(A50612,""en"",""pt"")"),"Grande qualidade e preço justo")</f>
        <v>Grande qualidade e preço justo</v>
      </c>
      <c r="B50612" s="3">
        <v>1</v>
      </c>
    </row>
    <row r="50613" ht="15.75" customHeight="1" spans="1:2">
      <c r="A50613" s="3" t="str">
        <f>IFERROR(__xludf.DUMMYFUNCTION("GOOGLETRANSLATE(A50613,""en"",""pt"")"),"Algumas características interessantes, boa qualidade de imagem")</f>
        <v>Algumas características interessantes, boa qualidade de imagem</v>
      </c>
      <c r="B50613" s="3">
        <v>1</v>
      </c>
    </row>
    <row r="50614" ht="15.75" customHeight="1" spans="1:2">
      <c r="A50614" s="3" t="str">
        <f>IFERROR(__xludf.DUMMYFUNCTION("GOOGLETRANSLATE(A50614,""en"",""pt"")"),"35 milímetros de Qualidade, Zoom Óptico 3x, True SLR, muito espaço de armazenamento, Auto-Tudo")</f>
        <v>35 milímetros de Qualidade, Zoom Óptico 3x, True SLR, muito espaço de armazenamento, Auto-Tudo</v>
      </c>
      <c r="B50614" s="3">
        <v>1</v>
      </c>
    </row>
    <row r="50615" ht="15.75" customHeight="1" spans="1:2">
      <c r="A50615" s="3" t="str">
        <f>IFERROR(__xludf.DUMMYFUNCTION("GOOGLETRANSLATE(A50615,""en"",""pt"")"),"Tudo")</f>
        <v>Tudo</v>
      </c>
      <c r="B50615" s="3">
        <v>1</v>
      </c>
    </row>
    <row r="50616" ht="15.75" customHeight="1" spans="1:2">
      <c r="A50616" s="3" t="str">
        <f>IFERROR(__xludf.DUMMYFUNCTION("GOOGLETRANSLATE(A50616,""en"",""pt"")"),"qualidade impressionante, sempre pronto a disparar, muitos ajustes, foco infravermelho")</f>
        <v>qualidade impressionante, sempre pronto a disparar, muitos ajustes, foco infravermelho</v>
      </c>
      <c r="B50616" s="3">
        <v>1</v>
      </c>
    </row>
    <row r="50617" ht="15.75" customHeight="1" spans="1:2">
      <c r="A50617" s="3" t="str">
        <f>IFERROR(__xludf.DUMMYFUNCTION("GOOGLETRANSLATE(A50617,""en"",""pt"")"),"Afiado, perdoando (exposição.), Fácil de operar")</f>
        <v>Afiado, perdoando (exposição.), Fácil de operar</v>
      </c>
      <c r="B50617" s="3">
        <v>1</v>
      </c>
    </row>
    <row r="50618" ht="15.75" customHeight="1" spans="1:2">
      <c r="A50618" s="3" t="str">
        <f>IFERROR(__xludf.DUMMYFUNCTION("GOOGLETRANSLATE(A50618,""en"",""pt"")"),"tudo, mas o custo!")</f>
        <v>tudo, mas o custo!</v>
      </c>
      <c r="B50618" s="3">
        <v>1</v>
      </c>
    </row>
    <row r="50619" ht="15.75" customHeight="1" spans="1:2">
      <c r="A50619" s="3" t="str">
        <f>IFERROR(__xludf.DUMMYFUNCTION("GOOGLETRANSLATE(A50619,""en"",""pt"")"),"SLR digitais, boa qualidade de imagem, controle remoto")</f>
        <v>SLR digitais, boa qualidade de imagem, controle remoto</v>
      </c>
      <c r="B50619" s="3">
        <v>1</v>
      </c>
    </row>
    <row r="50620" ht="15.75" customHeight="1" spans="1:2">
      <c r="A50620" s="3" t="str">
        <f>IFERROR(__xludf.DUMMYFUNCTION("GOOGLETRANSLATE(A50620,""en"",""pt"")"),"Lotes de grandes recursos, qualidade boa foto")</f>
        <v>Lotes de grandes recursos, qualidade boa foto</v>
      </c>
      <c r="B50620" s="3">
        <v>1</v>
      </c>
    </row>
    <row r="50621" ht="15.75" customHeight="1" spans="1:2">
      <c r="A50621" s="3" t="str">
        <f>IFERROR(__xludf.DUMMYFUNCTION("GOOGLETRANSLATE(A50621,""en"",""pt"")"),"recursos manuais, ótimas fotos, tudo")</f>
        <v>recursos manuais, ótimas fotos, tudo</v>
      </c>
      <c r="B50621" s="3">
        <v>1</v>
      </c>
    </row>
    <row r="50622" ht="15.75" customHeight="1" spans="1:2">
      <c r="A50622" s="3" t="str">
        <f>IFERROR(__xludf.DUMMYFUNCTION("GOOGLETRANSLATE(A50622,""en"",""pt"")"),"Muitas características, excelente qualidade, grande Macro .. SLR!")</f>
        <v>Muitas características, excelente qualidade, grande Macro .. SLR!</v>
      </c>
      <c r="B50622" s="3">
        <v>1</v>
      </c>
    </row>
    <row r="50623" ht="15.75" customHeight="1" spans="1:2">
      <c r="A50623" s="3" t="str">
        <f>IFERROR(__xludf.DUMMYFUNCTION("GOOGLETRANSLATE(A50623,""en"",""pt"")"),"Excelente qualidade de imagem, grande controle, ótimo preço!")</f>
        <v>Excelente qualidade de imagem, grande controle, ótimo preço!</v>
      </c>
      <c r="B50623" s="3">
        <v>1</v>
      </c>
    </row>
    <row r="50624" ht="15.75" customHeight="1" spans="1:2">
      <c r="A50624" s="3" t="str">
        <f>IFERROR(__xludf.DUMMYFUNCTION("GOOGLETRANSLATE(A50624,""en"",""pt"")"),"Claro, as imagens podem ser impressas. Mais opções do que você pode usar.")</f>
        <v>Claro, as imagens podem ser impressas. Mais opções do que você pode usar.</v>
      </c>
      <c r="B50624" s="3">
        <v>1</v>
      </c>
    </row>
    <row r="50625" ht="15.75" customHeight="1" spans="1:2">
      <c r="A50625" s="3" t="str">
        <f>IFERROR(__xludf.DUMMYFUNCTION("GOOGLETRANSLATE(A50625,""en"",""pt"")"),"Grande variedade de recursos e configurações, excelente qualidade de imagem")</f>
        <v>Grande variedade de recursos e configurações, excelente qualidade de imagem</v>
      </c>
      <c r="B50625" s="3">
        <v>1</v>
      </c>
    </row>
    <row r="50626" ht="15.75" customHeight="1" spans="1:2">
      <c r="A50626" s="3" t="str">
        <f>IFERROR(__xludf.DUMMYFUNCTION("GOOGLETRANSLATE(A50626,""en"",""pt"")"),"3.3 megapixel, excelente qualidade de imagem, cores precisas, enquadramento automático da exposição, controle remoto")</f>
        <v>3.3 megapixel, excelente qualidade de imagem, cores precisas, enquadramento automático da exposição, controle remoto</v>
      </c>
      <c r="B50626" s="3">
        <v>1</v>
      </c>
    </row>
    <row r="50627" ht="15.75" customHeight="1" spans="1:2">
      <c r="A50627" s="3" t="str">
        <f>IFERROR(__xludf.DUMMYFUNCTION("GOOGLETRANSLATE(A50627,""en"",""pt"")"),"Grandes fotos dos quartos, sensação de solidez. grande # de recursos, &amp; amp; # 13; &amp; amp; # 10; cartão de memória, USB + &amp; amp;. # 13; &amp; amp; # 10;")</f>
        <v>Grandes fotos dos quartos, sensação de solidez. grande # de recursos, &amp; amp; # 13; &amp; amp; # 10; cartão de memória, USB + &amp; amp;. # 13; &amp; amp; # 10;</v>
      </c>
      <c r="B50627" s="3">
        <v>1</v>
      </c>
    </row>
    <row r="50628" ht="15.75" customHeight="1" spans="1:2">
      <c r="A50628" s="3" t="str">
        <f>IFERROR(__xludf.DUMMYFUNCTION("GOOGLETRANSLATE(A50628,""en"",""pt"")"),"muito amigável, mesmo para iniciantes; excelente cor e contraste, mesmo em luz natural")</f>
        <v>muito amigável, mesmo para iniciantes; excelente cor e contraste, mesmo em luz natural</v>
      </c>
      <c r="B50628" s="3">
        <v>1</v>
      </c>
    </row>
    <row r="50629" ht="15.75" customHeight="1" spans="1:2">
      <c r="A50629" s="3" t="str">
        <f>IFERROR(__xludf.DUMMYFUNCTION("GOOGLETRANSLATE(A50629,""en"",""pt"")"),"simples morto para uso, muito bem construído, autofocus infalível e exposição")</f>
        <v>simples morto para uso, muito bem construído, autofocus infalível e exposição</v>
      </c>
      <c r="B50629" s="3">
        <v>1</v>
      </c>
    </row>
    <row r="50630" ht="15.75" customHeight="1" spans="1:2">
      <c r="A50630" s="3" t="str">
        <f>IFERROR(__xludf.DUMMYFUNCTION("GOOGLETRANSLATE(A50630,""en"",""pt"")"),"Imagens de grande qualidade, Característica Mini Filme")</f>
        <v>Imagens de grande qualidade, Característica Mini Filme</v>
      </c>
      <c r="B50630" s="3">
        <v>1</v>
      </c>
    </row>
    <row r="50631" ht="15.75" customHeight="1" spans="1:2">
      <c r="A50631" s="3" t="str">
        <f>IFERROR(__xludf.DUMMYFUNCTION("GOOGLETRANSLATE(A50631,""en"",""pt"")"),"A qualidade da imagem é excelente; remoto é uma obrigação")</f>
        <v>A qualidade da imagem é excelente; remoto é uma obrigação</v>
      </c>
      <c r="B50631" s="3">
        <v>1</v>
      </c>
    </row>
    <row r="50632" ht="15.75" customHeight="1" spans="1:2">
      <c r="A50632" s="3" t="str">
        <f>IFERROR(__xludf.DUMMYFUNCTION("GOOGLETRANSLATE(A50632,""en"",""pt"")"),"Fácil de usar, excelente qualidade de imagem, baixo preço da câmera 3,34 megapixel")</f>
        <v>Fácil de usar, excelente qualidade de imagem, baixo preço da câmera 3,34 megapixel</v>
      </c>
      <c r="B50632" s="3">
        <v>1</v>
      </c>
    </row>
    <row r="50633" ht="15.75" customHeight="1" spans="1:2">
      <c r="A50633" s="3" t="str">
        <f>IFERROR(__xludf.DUMMYFUNCTION("GOOGLETRANSLATE(A50633,""en"",""pt"")"),"Grandes imagens, fácil de usar, ótima resolução.")</f>
        <v>Grandes imagens, fácil de usar, ótima resolução.</v>
      </c>
      <c r="B50633" s="3">
        <v>1</v>
      </c>
    </row>
    <row r="50634" ht="15.75" customHeight="1" spans="1:2">
      <c r="A50634" s="3" t="str">
        <f>IFERROR(__xludf.DUMMYFUNCTION("GOOGLETRANSLATE(A50634,""en"",""pt"")"),"Imagens muito agradáveis ​​com cores fiéis. Grande apresenta também.")</f>
        <v>Imagens muito agradáveis ​​com cores fiéis. Grande apresenta também.</v>
      </c>
      <c r="B50634" s="3">
        <v>1</v>
      </c>
    </row>
    <row r="50635" ht="15.75" customHeight="1" spans="1:2">
      <c r="A50635" s="3" t="str">
        <f>IFERROR(__xludf.DUMMYFUNCTION("GOOGLETRANSLATE(A50635,""en"",""pt"")"),"Bom preço, boa qualidade, fácil de usar, confiável marca.")</f>
        <v>Bom preço, boa qualidade, fácil de usar, confiável marca.</v>
      </c>
      <c r="B50635" s="3">
        <v>1</v>
      </c>
    </row>
    <row r="50636" ht="15.75" customHeight="1" spans="1:2">
      <c r="A50636" s="3" t="str">
        <f>IFERROR(__xludf.DUMMYFUNCTION("GOOGLETRANSLATE(A50636,""en"",""pt"")"),"Facilmente para uso em comparação com outras câmeras digitais")</f>
        <v>Facilmente para uso em comparação com outras câmeras digitais</v>
      </c>
      <c r="B50636" s="3">
        <v>1</v>
      </c>
    </row>
    <row r="50637" ht="15.75" customHeight="1" spans="1:2">
      <c r="A50637" s="3" t="str">
        <f>IFERROR(__xludf.DUMMYFUNCTION("GOOGLETRANSLATE(A50637,""en"",""pt"")"),"preço razoável, muitas opções manuais, qualidade Olympus.")</f>
        <v>preço razoável, muitas opções manuais, qualidade Olympus.</v>
      </c>
      <c r="B50637" s="3">
        <v>1</v>
      </c>
    </row>
    <row r="50638" ht="15.75" customHeight="1" spans="1:2">
      <c r="A50638" s="3" t="str">
        <f>IFERROR(__xludf.DUMMYFUNCTION("GOOGLETRANSLATE(A50638,""en"",""pt"")"),"Toma fotos excelentes de qualidade, somente 3,34 megapixels no mercado de menos de US $ 500")</f>
        <v>Toma fotos excelentes de qualidade, somente 3,34 megapixels no mercado de menos de US $ 500</v>
      </c>
      <c r="B50638" s="3">
        <v>1</v>
      </c>
    </row>
    <row r="50639" ht="15.75" customHeight="1" spans="1:2">
      <c r="A50639" s="3" t="str">
        <f>IFERROR(__xludf.DUMMYFUNCTION("GOOGLETRANSLATE(A50639,""en"",""pt"")"),"Grande procura fotos.")</f>
        <v>Grande procura fotos.</v>
      </c>
      <c r="B50639" s="3">
        <v>1</v>
      </c>
    </row>
    <row r="50640" ht="15.75" customHeight="1" spans="1:2">
      <c r="A50640" s="3" t="str">
        <f>IFERROR(__xludf.DUMMYFUNCTION("GOOGLETRANSLATE(A50640,""en"",""pt"")"),"Grande valor para o $$$. Excelente entrada de nível de câmera digital de 3MP")</f>
        <v>Grande valor para o $$$. Excelente entrada de nível de câmera digital de 3MP</v>
      </c>
      <c r="B50640" s="3">
        <v>1</v>
      </c>
    </row>
    <row r="50641" ht="15.75" customHeight="1" spans="1:2">
      <c r="A50641" s="3" t="str">
        <f>IFERROR(__xludf.DUMMYFUNCTION("GOOGLETRANSLATE(A50641,""en"",""pt"")"),"Grandes óptica, acessível, cheio de recursos, fácil de usar")</f>
        <v>Grandes óptica, acessível, cheio de recursos, fácil de usar</v>
      </c>
      <c r="B50641" s="3">
        <v>1</v>
      </c>
    </row>
    <row r="50642" ht="15.75" customHeight="1" spans="1:2">
      <c r="A50642" s="3" t="str">
        <f>IFERROR(__xludf.DUMMYFUNCTION("GOOGLETRANSLATE(A50642,""en"",""pt"")"),"Grande procura fotos, muito feliz com estampas maiores, como 8x10, 5x7")</f>
        <v>Grande procura fotos, muito feliz com estampas maiores, como 8x10, 5x7</v>
      </c>
      <c r="B50642" s="3">
        <v>1</v>
      </c>
    </row>
    <row r="50643" ht="15.75" customHeight="1" spans="1:2">
      <c r="A50643" s="3" t="str">
        <f>IFERROR(__xludf.DUMMYFUNCTION("GOOGLETRANSLATE(A50643,""en"",""pt"")"),"qualidade bela imagem, grande em baterias e um cam excelente para o preço!")</f>
        <v>qualidade bela imagem, grande em baterias e um cam excelente para o preço!</v>
      </c>
      <c r="B50643" s="3">
        <v>1</v>
      </c>
    </row>
    <row r="50644" ht="15.75" customHeight="1" spans="1:2">
      <c r="A50644" s="3" t="str">
        <f>IFERROR(__xludf.DUMMYFUNCTION("GOOGLETRANSLATE(A50644,""en"",""pt"")"),"TUDO")</f>
        <v>TUDO</v>
      </c>
      <c r="B50644" s="3">
        <v>1</v>
      </c>
    </row>
    <row r="50645" ht="15.75" customHeight="1" spans="1:2">
      <c r="A50645" s="3" t="str">
        <f>IFERROR(__xludf.DUMMYFUNCTION("GOOGLETRANSLATE(A50645,""en"",""pt"")"),"Excelentes resultados de uma cave barganhar preços câmera.")</f>
        <v>Excelentes resultados de uma cave barganhar preços câmera.</v>
      </c>
      <c r="B50645" s="3">
        <v>1</v>
      </c>
    </row>
    <row r="50646" ht="15.75" customHeight="1" spans="1:2">
      <c r="A50646" s="3" t="str">
        <f>IFERROR(__xludf.DUMMYFUNCTION("GOOGLETRANSLATE(A50646,""en"",""pt"")"),"Muito câmera eficiente eu usá-lo mesmo para minhas necessidades de impressão comercial")</f>
        <v>Muito câmera eficiente eu usá-lo mesmo para minhas necessidades de impressão comercial</v>
      </c>
      <c r="B50646" s="3">
        <v>1</v>
      </c>
    </row>
    <row r="50647" ht="15.75" customHeight="1" spans="1:2">
      <c r="A50647" s="3" t="str">
        <f>IFERROR(__xludf.DUMMYFUNCTION("GOOGLETRANSLATE(A50647,""en"",""pt"")"),"Cheio de recursos, controles logicamente estabelecidos, excelente qualidade de imagem.")</f>
        <v>Cheio de recursos, controles logicamente estabelecidos, excelente qualidade de imagem.</v>
      </c>
      <c r="B50647" s="3">
        <v>1</v>
      </c>
    </row>
    <row r="50648" ht="15.75" customHeight="1" spans="1:2">
      <c r="A50648" s="3" t="str">
        <f>IFERROR(__xludf.DUMMYFUNCTION("GOOGLETRANSLATE(A50648,""en"",""pt"")"),"qualidade da imagem é OK")</f>
        <v>qualidade da imagem é OK</v>
      </c>
      <c r="B50648" s="3">
        <v>1</v>
      </c>
    </row>
    <row r="50649" ht="15.75" customHeight="1" spans="1:2">
      <c r="A50649" s="3" t="str">
        <f>IFERROR(__xludf.DUMMYFUNCTION("GOOGLETRANSLATE(A50649,""en"",""pt"")"),"Grande autonomia da bateria, facilidade de uso, qualidade de imagem")</f>
        <v>Grande autonomia da bateria, facilidade de uso, qualidade de imagem</v>
      </c>
      <c r="B50649" s="3">
        <v>1</v>
      </c>
    </row>
    <row r="50650" ht="15.75" customHeight="1" spans="1:2">
      <c r="A50650" s="3" t="str">
        <f>IFERROR(__xludf.DUMMYFUNCTION("GOOGLETRANSLATE(A50650,""en"",""pt"")"),"comprou fábrica polida reemergentes, bem como excelentes fotos de qualidade")</f>
        <v>comprou fábrica polida reemergentes, bem como excelentes fotos de qualidade</v>
      </c>
      <c r="B50650" s="3">
        <v>1</v>
      </c>
    </row>
    <row r="50651" ht="15.75" customHeight="1" spans="1:2">
      <c r="A50651" s="3" t="str">
        <f>IFERROR(__xludf.DUMMYFUNCTION("GOOGLETRANSLATE(A50651,""en"",""pt"")"),"Robusto, controle remoto, grande visor LCD, Zoom Digital, 3,34 Mega Pixel")</f>
        <v>Robusto, controle remoto, grande visor LCD, Zoom Digital, 3,34 Mega Pixel</v>
      </c>
      <c r="B50651" s="3">
        <v>1</v>
      </c>
    </row>
    <row r="50652" ht="15.75" customHeight="1" spans="1:2">
      <c r="A50652" s="3" t="str">
        <f>IFERROR(__xludf.DUMMYFUNCTION("GOOGLETRANSLATE(A50652,""en"",""pt"")"),"Qualidade de imagem, a vida da bateria, facilidade de uso")</f>
        <v>Qualidade de imagem, a vida da bateria, facilidade de uso</v>
      </c>
      <c r="B50652" s="3">
        <v>1</v>
      </c>
    </row>
    <row r="50653" ht="15.75" customHeight="1" spans="1:2">
      <c r="A50653" s="3" t="str">
        <f>IFERROR(__xludf.DUMMYFUNCTION("GOOGLETRANSLATE(A50653,""en"",""pt"")"),"Claro, imagens de boa qualidade")</f>
        <v>Claro, imagens de boa qualidade</v>
      </c>
      <c r="B50653" s="3">
        <v>1</v>
      </c>
    </row>
    <row r="50654" ht="15.75" customHeight="1" spans="1:2">
      <c r="A50654" s="3" t="str">
        <f>IFERROR(__xludf.DUMMYFUNCTION("GOOGLETRANSLATE(A50654,""en"",""pt"")"),"Excelente resolução, Lotes de grandes funções, fácil de usar, leva 30 clips segundo filme")</f>
        <v>Excelente resolução, Lotes de grandes funções, fácil de usar, leva 30 clips segundo filme</v>
      </c>
      <c r="B50654" s="3">
        <v>1</v>
      </c>
    </row>
    <row r="50655" ht="15.75" customHeight="1" spans="1:2">
      <c r="A50655" s="3" t="str">
        <f>IFERROR(__xludf.DUMMYFUNCTION("GOOGLETRANSLATE(A50655,""en"",""pt"")"),"grande qualidade tiro, fácil de usar, muitas opções de foto")</f>
        <v>grande qualidade tiro, fácil de usar, muitas opções de foto</v>
      </c>
      <c r="B50655" s="3">
        <v>1</v>
      </c>
    </row>
    <row r="50656" ht="15.75" customHeight="1" spans="1:2">
      <c r="A50656" s="3" t="str">
        <f>IFERROR(__xludf.DUMMYFUNCTION("GOOGLETRANSLATE(A50656,""en"",""pt"")"),"grandes resultados, como uma SLR real, interface USB, tempo de resposta rápido")</f>
        <v>grandes resultados, como uma SLR real, interface USB, tempo de resposta rápido</v>
      </c>
      <c r="B50656" s="3">
        <v>1</v>
      </c>
    </row>
    <row r="50657" ht="15.75" customHeight="1" spans="1:2">
      <c r="A50657" s="3" t="str">
        <f>IFERROR(__xludf.DUMMYFUNCTION("GOOGLETRANSLATE(A50657,""en"",""pt"")"),"Excelente qualidade de imagem, características, conectividade USB")</f>
        <v>Excelente qualidade de imagem, características, conectividade USB</v>
      </c>
      <c r="B50657" s="3">
        <v>1</v>
      </c>
    </row>
    <row r="50658" ht="15.75" customHeight="1" spans="1:2">
      <c r="A50658" s="3" t="str">
        <f>IFERROR(__xludf.DUMMYFUNCTION("GOOGLETRANSLATE(A50658,""en"",""pt"")"),"Excelentes grandes impressões")</f>
        <v>Excelentes grandes impressões</v>
      </c>
      <c r="B50658" s="3">
        <v>1</v>
      </c>
    </row>
    <row r="50659" ht="15.75" customHeight="1" spans="1:2">
      <c r="A50659" s="3" t="str">
        <f>IFERROR(__xludf.DUMMYFUNCTION("GOOGLETRANSLATE(A50659,""en"",""pt"")"),"Incríveis com qualidade fotográfica fotos. Fácil de usar! porta USB compatível e rápido.")</f>
        <v>Incríveis com qualidade fotográfica fotos. Fácil de usar! porta USB compatível e rápido.</v>
      </c>
      <c r="B50659" s="3">
        <v>1</v>
      </c>
    </row>
    <row r="50660" ht="15.75" customHeight="1" spans="1:2">
      <c r="A50660" s="3" t="str">
        <f>IFERROR(__xludf.DUMMYFUNCTION("GOOGLETRANSLATE(A50660,""en"",""pt"")"),"Excelente qualidade de imagem. Bom modo automático e cargas de opções manuais. Preço.")</f>
        <v>Excelente qualidade de imagem. Bom modo automático e cargas de opções manuais. Preço.</v>
      </c>
      <c r="B50660" s="3">
        <v>1</v>
      </c>
    </row>
    <row r="50661" ht="15.75" customHeight="1" spans="1:2">
      <c r="A50661" s="3" t="str">
        <f>IFERROR(__xludf.DUMMYFUNCTION("GOOGLETRANSLATE(A50661,""en"",""pt"")"),"Boa câmera corpo &amp; amp; outlook, fotos com boa detalhes, nitidez e cor, agradando revestimentos de lente, AA-alimentado")</f>
        <v>Boa câmera corpo &amp; amp; outlook, fotos com boa detalhes, nitidez e cor, agradando revestimentos de lente, AA-alimentado</v>
      </c>
      <c r="B50661" s="3">
        <v>1</v>
      </c>
    </row>
    <row r="50662" ht="15.75" customHeight="1" spans="1:2">
      <c r="A50662" s="3" t="str">
        <f>IFERROR(__xludf.DUMMYFUNCTION("GOOGLETRANSLATE(A50662,""en"",""pt"")"),"Excelentes fotos!")</f>
        <v>Excelentes fotos!</v>
      </c>
      <c r="B50662" s="3">
        <v>1</v>
      </c>
    </row>
    <row r="50663" ht="15.75" customHeight="1" spans="1:2">
      <c r="A50663" s="3" t="str">
        <f>IFERROR(__xludf.DUMMYFUNCTION("GOOGLETRANSLATE(A50663,""en"",""pt"")"),"qualidade de imagem, versatilidade, compacidade. A melhor hoje.")</f>
        <v>qualidade de imagem, versatilidade, compacidade. A melhor hoje.</v>
      </c>
      <c r="B50663" s="3">
        <v>1</v>
      </c>
    </row>
    <row r="50664" ht="15.75" customHeight="1" spans="1:2">
      <c r="A50664" s="3" t="str">
        <f>IFERROR(__xludf.DUMMYFUNCTION("GOOGLETRANSLATE(A50664,""en"",""pt"")"),"Versátil, boas melhorias para filmes QuickTime")</f>
        <v>Versátil, boas melhorias para filmes QuickTime</v>
      </c>
      <c r="B50664" s="3">
        <v>1</v>
      </c>
    </row>
    <row r="50665" ht="15.75" customHeight="1" spans="1:2">
      <c r="A50665" s="3" t="str">
        <f>IFERROR(__xludf.DUMMYFUNCTION("GOOGLETRANSLATE(A50665,""en"",""pt"")"),"qualidade da imagem, tamanho compacto")</f>
        <v>qualidade da imagem, tamanho compacto</v>
      </c>
      <c r="B50665" s="3">
        <v>1</v>
      </c>
    </row>
    <row r="50666" ht="15.75" customHeight="1" spans="1:2">
      <c r="A50666" s="3" t="str">
        <f>IFERROR(__xludf.DUMMYFUNCTION("GOOGLETRANSLATE(A50666,""en"",""pt"")"),"imagem muito boa, res suficientes para imprimir 8x10")</f>
        <v>imagem muito boa, res suficientes para imprimir 8x10</v>
      </c>
      <c r="B50666" s="3">
        <v>1</v>
      </c>
    </row>
    <row r="50667" ht="15.75" customHeight="1" spans="1:2">
      <c r="A50667" s="3" t="str">
        <f>IFERROR(__xludf.DUMMYFUNCTION("GOOGLETRANSLATE(A50667,""en"",""pt"")"),"controle completo sobre configurações.")</f>
        <v>controle completo sobre configurações.</v>
      </c>
      <c r="B50667" s="3">
        <v>1</v>
      </c>
    </row>
    <row r="50668" ht="15.75" customHeight="1" spans="1:2">
      <c r="A50668" s="3" t="str">
        <f>IFERROR(__xludf.DUMMYFUNCTION("GOOGLETRANSLATE(A50668,""en"",""pt"")"),"grande qualidade foto, transferência rápida via USB")</f>
        <v>grande qualidade foto, transferência rápida via USB</v>
      </c>
      <c r="B50668" s="3">
        <v>1</v>
      </c>
    </row>
    <row r="50669" ht="15.75" customHeight="1" spans="1:2">
      <c r="A50669" s="3" t="str">
        <f>IFERROR(__xludf.DUMMYFUNCTION("GOOGLETRANSLATE(A50669,""en"",""pt"")"),"qualidade de imagem, facilidade de operação, gratificação instantânea")</f>
        <v>qualidade de imagem, facilidade de operação, gratificação instantânea</v>
      </c>
      <c r="B50669" s="3">
        <v>1</v>
      </c>
    </row>
    <row r="50670" ht="15.75" customHeight="1" spans="1:2">
      <c r="A50670" s="3" t="str">
        <f>IFERROR(__xludf.DUMMYFUNCTION("GOOGLETRANSLATE(A50670,""en"",""pt"")"),"leve, portátil impressões de qualidade, fácil de operar")</f>
        <v>leve, portátil impressões de qualidade, fácil de operar</v>
      </c>
      <c r="B50670" s="3">
        <v>1</v>
      </c>
    </row>
    <row r="50671" ht="15.75" customHeight="1" spans="1:2">
      <c r="A50671" s="3" t="str">
        <f>IFERROR(__xludf.DUMMYFUNCTION("GOOGLETRANSLATE(A50671,""en"",""pt"")"),"vídeo QuickTime e áudio, 3.3 MP, a qualidade do ajuste &amp; amp superior; terminar")</f>
        <v>vídeo QuickTime e áudio, 3.3 MP, a qualidade do ajuste &amp; amp superior; terminar</v>
      </c>
      <c r="B50671" s="3">
        <v>1</v>
      </c>
    </row>
    <row r="50672" ht="15.75" customHeight="1" spans="1:2">
      <c r="A50672" s="3" t="str">
        <f>IFERROR(__xludf.DUMMYFUNCTION("GOOGLETRANSLATE(A50672,""en"",""pt"")"),"Toma belas imagens detalhadas e filmes!")</f>
        <v>Toma belas imagens detalhadas e filmes!</v>
      </c>
      <c r="B50672" s="3">
        <v>1</v>
      </c>
    </row>
    <row r="50673" ht="15.75" customHeight="1" spans="1:2">
      <c r="A50673" s="3" t="str">
        <f>IFERROR(__xludf.DUMMYFUNCTION("GOOGLETRANSLATE(A50673,""en"",""pt"")"),"Excelente qualidade de imagem, fácil de usar, ótima câmera")</f>
        <v>Excelente qualidade de imagem, fácil de usar, ótima câmera</v>
      </c>
      <c r="B50673" s="3">
        <v>1</v>
      </c>
    </row>
    <row r="50674" ht="15.75" customHeight="1" spans="1:2">
      <c r="A50674" s="3" t="str">
        <f>IFERROR(__xludf.DUMMYFUNCTION("GOOGLETRANSLATE(A50674,""en"",""pt"")"),"Outstanding Pictures, fácil de usar.")</f>
        <v>Outstanding Pictures, fácil de usar.</v>
      </c>
      <c r="B50674" s="3">
        <v>1</v>
      </c>
    </row>
    <row r="50675" ht="15.75" customHeight="1" spans="1:2">
      <c r="A50675" s="3" t="str">
        <f>IFERROR(__xludf.DUMMYFUNCTION("GOOGLETRANSLATE(A50675,""en"",""pt"")"),"Melhor câmera digital de 3,3 megapixels no mercado")</f>
        <v>Melhor câmera digital de 3,3 megapixels no mercado</v>
      </c>
      <c r="B50675" s="3">
        <v>1</v>
      </c>
    </row>
    <row r="50676" ht="15.75" customHeight="1" spans="1:2">
      <c r="A50676" s="3" t="str">
        <f>IFERROR(__xludf.DUMMYFUNCTION("GOOGLETRANSLATE(A50676,""en"",""pt"")"),"Ótimo preço para as características que você começa e muito bom fotos de qualidade, compatibilidade teve USB")</f>
        <v>Ótimo preço para as características que você começa e muito bom fotos de qualidade, compatibilidade teve USB</v>
      </c>
      <c r="B50676" s="3">
        <v>1</v>
      </c>
    </row>
    <row r="50677" ht="15.75" customHeight="1" spans="1:2">
      <c r="A50677" s="3" t="str">
        <f>IFERROR(__xludf.DUMMYFUNCTION("GOOGLETRANSLATE(A50677,""en"",""pt"")"),"qualidade fotográfica, funcionalidades")</f>
        <v>qualidade fotográfica, funcionalidades</v>
      </c>
      <c r="B50677" s="3">
        <v>1</v>
      </c>
    </row>
    <row r="50678" ht="15.75" customHeight="1" spans="1:2">
      <c r="A50678" s="3" t="str">
        <f>IFERROR(__xludf.DUMMYFUNCTION("GOOGLETRANSLATE(A50678,""en"",""pt"")"),"Olympus Qualidade, quadro pequeno.")</f>
        <v>Olympus Qualidade, quadro pequeno.</v>
      </c>
      <c r="B50678" s="3">
        <v>1</v>
      </c>
    </row>
    <row r="50679" ht="15.75" customHeight="1" spans="1:2">
      <c r="A50679" s="3" t="str">
        <f>IFERROR(__xludf.DUMMYFUNCTION("GOOGLETRANSLATE(A50679,""en"",""pt"")"),"Mesma qualidade, menos caro do que 3030")</f>
        <v>Mesma qualidade, menos caro do que 3030</v>
      </c>
      <c r="B50679" s="3">
        <v>1</v>
      </c>
    </row>
    <row r="50680" ht="15.75" customHeight="1" spans="1:2">
      <c r="A50680" s="3" t="str">
        <f>IFERROR(__xludf.DUMMYFUNCTION("GOOGLETRANSLATE(A50680,""en"",""pt"")"),"Muitas características / ALTA RESOLUÇÃO / CAPACIDADE DE FILME")</f>
        <v>Muitas características / ALTA RESOLUÇÃO / CAPACIDADE DE FILME</v>
      </c>
      <c r="B50680" s="3">
        <v>1</v>
      </c>
    </row>
    <row r="50681" ht="15.75" customHeight="1" spans="1:2">
      <c r="A50681" s="3" t="str">
        <f>IFERROR(__xludf.DUMMYFUNCTION("GOOGLETRANSLATE(A50681,""en"",""pt"")"),"Grandes tiros, toneladas de opções")</f>
        <v>Grandes tiros, toneladas de opções</v>
      </c>
      <c r="B50681" s="3">
        <v>1</v>
      </c>
    </row>
    <row r="50682" ht="15.75" customHeight="1" spans="1:2">
      <c r="A50682" s="3" t="str">
        <f>IFERROR(__xludf.DUMMYFUNCTION("GOOGLETRANSLATE(A50682,""en"",""pt"")"),"Fácil de usar, fotos de qualidade, tem controle remoto, conexão USB é rápido.")</f>
        <v>Fácil de usar, fotos de qualidade, tem controle remoto, conexão USB é rápido.</v>
      </c>
      <c r="B50682" s="3">
        <v>1</v>
      </c>
    </row>
    <row r="50683" ht="15.75" customHeight="1" spans="1:2">
      <c r="A50683" s="3" t="str">
        <f>IFERROR(__xludf.DUMMYFUNCTION("GOOGLETRANSLATE(A50683,""en"",""pt"")"),"Qualidade, tamanho, peso")</f>
        <v>Qualidade, tamanho, peso</v>
      </c>
      <c r="B50683" s="3">
        <v>1</v>
      </c>
    </row>
    <row r="50684" ht="15.75" customHeight="1" spans="1:2">
      <c r="A50684" s="3" t="str">
        <f>IFERROR(__xludf.DUMMYFUNCTION("GOOGLETRANSLATE(A50684,""en"",""pt"")"),"grande compasity armazenamento")</f>
        <v>grande compasity armazenamento</v>
      </c>
      <c r="B50684" s="3">
        <v>1</v>
      </c>
    </row>
    <row r="50685" ht="15.75" customHeight="1" spans="1:2">
      <c r="A50685" s="3" t="str">
        <f>IFERROR(__xludf.DUMMYFUNCTION("GOOGLETRANSLATE(A50685,""en"",""pt"")"),"Grande Pictures-fácil de usar")</f>
        <v>Grande Pictures-fácil de usar</v>
      </c>
      <c r="B50685" s="3">
        <v>1</v>
      </c>
    </row>
    <row r="50686" ht="15.75" customHeight="1" spans="1:2">
      <c r="A50686" s="3" t="str">
        <f>IFERROR(__xludf.DUMMYFUNCTION("GOOGLETRANSLATE(A50686,""en"",""pt"")"),"Centenas de dólares mais barato do que as câmeras digitais comparáveis, 3,34 resolução MP, os lotes de opções manuais")</f>
        <v>Centenas de dólares mais barato do que as câmeras digitais comparáveis, 3,34 resolução MP, os lotes de opções manuais</v>
      </c>
      <c r="B50686" s="3">
        <v>1</v>
      </c>
    </row>
    <row r="50687" ht="15.75" customHeight="1" spans="1:2">
      <c r="A50687" s="3" t="str">
        <f>IFERROR(__xludf.DUMMYFUNCTION("GOOGLETRANSLATE(A50687,""en"",""pt"")"),"Fácil de usar. Transferir para o computador de um piscar de olhos. Excelente valor. tiros de qualidade fotográfica.")</f>
        <v>Fácil de usar. Transferir para o computador de um piscar de olhos. Excelente valor. tiros de qualidade fotográfica.</v>
      </c>
      <c r="B50687" s="3">
        <v>1</v>
      </c>
    </row>
    <row r="50688" ht="15.75" customHeight="1" spans="1:2">
      <c r="A50688" s="3" t="str">
        <f>IFERROR(__xludf.DUMMYFUNCTION("GOOGLETRANSLATE(A50688,""en"",""pt"")"),"Bom tamanho, zoom, controle remoto, timer, alça de pescoço confortável")</f>
        <v>Bom tamanho, zoom, controle remoto, timer, alça de pescoço confortável</v>
      </c>
      <c r="B50688" s="3">
        <v>1</v>
      </c>
    </row>
    <row r="50689" ht="15.75" customHeight="1" spans="1:2">
      <c r="A50689" s="3" t="str">
        <f>IFERROR(__xludf.DUMMYFUNCTION("GOOGLETRANSLATE(A50689,""en"",""pt"")"),"Excelentes fotos! Além disso, uma câmera fácil de usar!")</f>
        <v>Excelentes fotos! Além disso, uma câmera fácil de usar!</v>
      </c>
      <c r="B50689" s="3">
        <v>1</v>
      </c>
    </row>
    <row r="50690" ht="15.75" customHeight="1" spans="1:2">
      <c r="A50690" s="3" t="str">
        <f>IFERROR(__xludf.DUMMYFUNCTION("GOOGLETRANSLATE(A50690,""en"",""pt"")"),"saldo devedor branco, ajuste de contraste, e as opções de redução de ruído, custo razoável, e excelente Imagens &amp; amp; # 13; &amp; amp; # 10;")</f>
        <v>saldo devedor branco, ajuste de contraste, e as opções de redução de ruído, custo razoável, e excelente Imagens &amp; amp; # 13; &amp; amp; # 10;</v>
      </c>
      <c r="B50690" s="3">
        <v>1</v>
      </c>
    </row>
    <row r="50691" ht="15.75" customHeight="1" spans="1:2">
      <c r="A50691" s="3" t="str">
        <f>IFERROR(__xludf.DUMMYFUNCTION("GOOGLETRANSLATE(A50691,""en"",""pt"")"),"Fácil de usar, ""arrastar e soltar"" as fotos para o PC")</f>
        <v>Fácil de usar, "arrastar e soltar" as fotos para o PC</v>
      </c>
      <c r="B50691" s="3">
        <v>1</v>
      </c>
    </row>
    <row r="50692" ht="15.75" customHeight="1" spans="1:2">
      <c r="A50692" s="3" t="str">
        <f>IFERROR(__xludf.DUMMYFUNCTION("GOOGLETRANSLATE(A50692,""en"",""pt"")"),"Excelente resolução, facilidade de uso, e")</f>
        <v>Excelente resolução, facilidade de uso, e</v>
      </c>
      <c r="B50692" s="3">
        <v>1</v>
      </c>
    </row>
    <row r="50693" ht="15.75" customHeight="1" spans="1:2">
      <c r="A50693" s="3" t="str">
        <f>IFERROR(__xludf.DUMMYFUNCTION("GOOGLETRANSLATE(A50693,""en"",""pt"")"),"Boas fotos. Boa mistura de características.")</f>
        <v>Boas fotos. Boa mistura de características.</v>
      </c>
      <c r="B50693" s="3">
        <v>1</v>
      </c>
    </row>
    <row r="50694" ht="15.75" customHeight="1" spans="1:2">
      <c r="A50694" s="3" t="str">
        <f>IFERROR(__xludf.DUMMYFUNCTION("GOOGLETRANSLATE(A50694,""en"",""pt"")"),"Grandes fotos de qualidade, fácil de usar")</f>
        <v>Grandes fotos de qualidade, fácil de usar</v>
      </c>
      <c r="B50694" s="3">
        <v>1</v>
      </c>
    </row>
    <row r="50695" ht="15.75" customHeight="1" spans="1:2">
      <c r="A50695" s="3" t="str">
        <f>IFERROR(__xludf.DUMMYFUNCTION("GOOGLETRANSLATE(A50695,""en"",""pt"")"),"Simples para o novato, confortáveis, imagens nítidas, rápido e durável!")</f>
        <v>Simples para o novato, confortáveis, imagens nítidas, rápido e durável!</v>
      </c>
      <c r="B50695" s="3">
        <v>1</v>
      </c>
    </row>
    <row r="50696" ht="15.75" customHeight="1" spans="1:2">
      <c r="A50696" s="3" t="str">
        <f>IFERROR(__xludf.DUMMYFUNCTION("GOOGLETRANSLATE(A50696,""en"",""pt"")"),"Wonderful qualidade de imagem.")</f>
        <v>Wonderful qualidade de imagem.</v>
      </c>
      <c r="B50696" s="3">
        <v>1</v>
      </c>
    </row>
    <row r="50697" ht="15.75" customHeight="1" spans="1:2">
      <c r="A50697" s="3" t="str">
        <f>IFERROR(__xludf.DUMMYFUNCTION("GOOGLETRANSLATE(A50697,""en"",""pt"")"),"Grande qualidade da foto, característica - completa, expansível, ergonômico e intuitivo, noite, filme, e modos macro")</f>
        <v>Grande qualidade da foto, característica - completa, expansível, ergonômico e intuitivo, noite, filme, e modos macro</v>
      </c>
      <c r="B50697" s="3">
        <v>1</v>
      </c>
    </row>
    <row r="50698" ht="15.75" customHeight="1" spans="1:2">
      <c r="A50698" s="3" t="str">
        <f>IFERROR(__xludf.DUMMYFUNCTION("GOOGLETRANSLATE(A50698,""en"",""pt"")"),"Fácil de usar, tem grandes figuras, muitas opções.")</f>
        <v>Fácil de usar, tem grandes figuras, muitas opções.</v>
      </c>
      <c r="B50698" s="3">
        <v>1</v>
      </c>
    </row>
    <row r="50699" ht="15.75" customHeight="1" spans="1:2">
      <c r="A50699" s="3" t="str">
        <f>IFERROR(__xludf.DUMMYFUNCTION("GOOGLETRANSLATE(A50699,""en"",""pt"")"),"Grande qualidade &amp; amp imagem; fácil de usar. Compacto, com muitos recursos.")</f>
        <v>Grande qualidade &amp; amp imagem; fácil de usar. Compacto, com muitos recursos.</v>
      </c>
      <c r="B50699" s="3">
        <v>1</v>
      </c>
    </row>
    <row r="50700" ht="15.75" customHeight="1" spans="1:2">
      <c r="A50700" s="3" t="str">
        <f>IFERROR(__xludf.DUMMYFUNCTION("GOOGLETRANSLATE(A50700,""en"",""pt"")"),"Custo, fotos de qualidade, facilidade de uso")</f>
        <v>Custo, fotos de qualidade, facilidade de uso</v>
      </c>
      <c r="B50700" s="3">
        <v>1</v>
      </c>
    </row>
    <row r="50701" ht="15.75" customHeight="1" spans="1:2">
      <c r="A50701" s="3" t="str">
        <f>IFERROR(__xludf.DUMMYFUNCTION("GOOGLETRANSLATE(A50701,""en"",""pt"")"),"Grande câmera e lente projetado pelo famoso Olympus Camera Designer Maitani")</f>
        <v>Grande câmera e lente projetado pelo famoso Olympus Camera Designer Maitani</v>
      </c>
      <c r="B50701" s="3">
        <v>1</v>
      </c>
    </row>
    <row r="50702" ht="15.75" customHeight="1" spans="1:2">
      <c r="A50702" s="3" t="str">
        <f>IFERROR(__xludf.DUMMYFUNCTION("GOOGLETRANSLATE(A50702,""en"",""pt"")"),"Qualidade da foto")</f>
        <v>Qualidade da foto</v>
      </c>
      <c r="B50702" s="3">
        <v>1</v>
      </c>
    </row>
    <row r="50703" ht="15.75" customHeight="1" spans="1:2">
      <c r="A50703" s="3" t="str">
        <f>IFERROR(__xludf.DUMMYFUNCTION("GOOGLETRANSLATE(A50703,""en"",""pt"")"),"Quase todas as características de uma SLR em um relativamente pequeno pacote")</f>
        <v>Quase todas as características de uma SLR em um relativamente pequeno pacote</v>
      </c>
      <c r="B50703" s="3">
        <v>1</v>
      </c>
    </row>
    <row r="50704" ht="15.75" customHeight="1" spans="1:2">
      <c r="A50704" s="3" t="str">
        <f>IFERROR(__xludf.DUMMYFUNCTION("GOOGLETRANSLATE(A50704,""en"",""pt"")"),"Permite que uma variedade de controlos manuais")</f>
        <v>Permite que uma variedade de controlos manuais</v>
      </c>
      <c r="B50704" s="3">
        <v>1</v>
      </c>
    </row>
    <row r="50705" ht="15.75" customHeight="1" spans="1:2">
      <c r="A50705" s="3" t="str">
        <f>IFERROR(__xludf.DUMMYFUNCTION("GOOGLETRANSLATE(A50705,""en"",""pt"")"),"Boa qualidade de imagem, fácil ponto e modo de disparo, várias opções.")</f>
        <v>Boa qualidade de imagem, fácil ponto e modo de disparo, várias opções.</v>
      </c>
      <c r="B50705" s="3">
        <v>1</v>
      </c>
    </row>
    <row r="50706" ht="15.75" customHeight="1" spans="1:2">
      <c r="A50706" s="3" t="str">
        <f>IFERROR(__xludf.DUMMYFUNCTION("GOOGLETRANSLATE(A50706,""en"",""pt"")"),"belas fotos o tempo todo")</f>
        <v>belas fotos o tempo todo</v>
      </c>
      <c r="B50706" s="3">
        <v>1</v>
      </c>
    </row>
    <row r="50707" ht="15.75" customHeight="1" spans="1:2">
      <c r="A50707" s="3" t="str">
        <f>IFERROR(__xludf.DUMMYFUNCTION("GOOGLETRANSLATE(A50707,""en"",""pt"")"),"Belas imagens. Boa resolução.")</f>
        <v>Belas imagens. Boa resolução.</v>
      </c>
      <c r="B50707" s="3">
        <v>1</v>
      </c>
    </row>
    <row r="50708" ht="15.75" customHeight="1" spans="1:2">
      <c r="A50708" s="3" t="str">
        <f>IFERROR(__xludf.DUMMYFUNCTION("GOOGLETRANSLATE(A50708,""en"",""pt"")"),"grandes, fotos nítidas.")</f>
        <v>grandes, fotos nítidas.</v>
      </c>
      <c r="B50708" s="3">
        <v>1</v>
      </c>
    </row>
    <row r="50709" ht="15.75" customHeight="1" spans="1:2">
      <c r="A50709" s="3" t="str">
        <f>IFERROR(__xludf.DUMMYFUNCTION("GOOGLETRANSLATE(A50709,""en"",""pt"")"),"Características, qualidade de imagem, a reputação Olympus")</f>
        <v>Características, qualidade de imagem, a reputação Olympus</v>
      </c>
      <c r="B50709" s="3">
        <v>1</v>
      </c>
    </row>
    <row r="50710" ht="15.75" customHeight="1" spans="1:2">
      <c r="A50710" s="3" t="str">
        <f>IFERROR(__xludf.DUMMYFUNCTION("GOOGLETRANSLATE(A50710,""en"",""pt"")"),"Fits mão muito bem, leva excelente pix.")</f>
        <v>Fits mão muito bem, leva excelente pix.</v>
      </c>
      <c r="B50710" s="3">
        <v>1</v>
      </c>
    </row>
    <row r="50711" ht="15.75" customHeight="1" spans="1:2">
      <c r="A50711" s="3" t="str">
        <f>IFERROR(__xludf.DUMMYFUNCTION("GOOGLETRANSLATE(A50711,""en"",""pt"")"),"Boa Zoom, fácil de manusear, toneladas de opções.")</f>
        <v>Boa Zoom, fácil de manusear, toneladas de opções.</v>
      </c>
      <c r="B50711" s="3">
        <v>1</v>
      </c>
    </row>
    <row r="50712" ht="15.75" customHeight="1" spans="1:2">
      <c r="A50712" s="3" t="str">
        <f>IFERROR(__xludf.DUMMYFUNCTION("GOOGLETRANSLATE(A50712,""en"",""pt"")"),"boas fotos. fácil de usar")</f>
        <v>boas fotos. fácil de usar</v>
      </c>
      <c r="B50712" s="3">
        <v>1</v>
      </c>
    </row>
    <row r="50713" ht="15.75" customHeight="1" spans="1:2">
      <c r="A50713" s="3" t="str">
        <f>IFERROR(__xludf.DUMMYFUNCTION("GOOGLETRANSLATE(A50713,""en"",""pt"")"),"Afiada lente, confiáveis ​​e modos manuais, rico em recursos.")</f>
        <v>Afiada lente, confiáveis ​​e modos manuais, rico em recursos.</v>
      </c>
      <c r="B50713" s="3">
        <v>1</v>
      </c>
    </row>
    <row r="50714" ht="15.75" customHeight="1" spans="1:2">
      <c r="A50714" s="3" t="str">
        <f>IFERROR(__xludf.DUMMYFUNCTION("GOOGLETRANSLATE(A50714,""en"",""pt"")"),"Boa relação preço / qualidade, design robusto")</f>
        <v>Boa relação preço / qualidade, design robusto</v>
      </c>
      <c r="B50714" s="3">
        <v>1</v>
      </c>
    </row>
    <row r="50715" ht="15.75" customHeight="1" spans="1:2">
      <c r="A50715" s="3" t="str">
        <f>IFERROR(__xludf.DUMMYFUNCTION("GOOGLETRANSLATE(A50715,""en"",""pt"")"),"Sensação agradável, muito fácil de usar.")</f>
        <v>Sensação agradável, muito fácil de usar.</v>
      </c>
      <c r="B50715" s="3">
        <v>1</v>
      </c>
    </row>
    <row r="50716" ht="15.75" customHeight="1" spans="1:2">
      <c r="A50716" s="3" t="str">
        <f>IFERROR(__xludf.DUMMYFUNCTION("GOOGLETRANSLATE(A50716,""en"",""pt"")"),"Incrível qualidade de imagem, fácil de usar")</f>
        <v>Incrível qualidade de imagem, fácil de usar</v>
      </c>
      <c r="B50716" s="3">
        <v>1</v>
      </c>
    </row>
    <row r="50717" ht="15.75" customHeight="1" spans="1:2">
      <c r="A50717" s="3" t="str">
        <f>IFERROR(__xludf.DUMMYFUNCTION("GOOGLETRANSLATE(A50717,""en"",""pt"")"),"tiros grande qualidade - Flash funciona bem com pouca luz")</f>
        <v>tiros grande qualidade - Flash funciona bem com pouca luz</v>
      </c>
      <c r="B50717" s="3">
        <v>1</v>
      </c>
    </row>
    <row r="50718" ht="15.75" customHeight="1" spans="1:2">
      <c r="A50718" s="3" t="str">
        <f>IFERROR(__xludf.DUMMYFUNCTION("GOOGLETRANSLATE(A50718,""en"",""pt"")"),"som, filme, 3.34 megapixels, manual passeio em cima, pequeno, leve e fácil de manusear.")</f>
        <v>som, filme, 3.34 megapixels, manual passeio em cima, pequeno, leve e fácil de manusear.</v>
      </c>
      <c r="B50718" s="3">
        <v>1</v>
      </c>
    </row>
    <row r="50719" ht="15.75" customHeight="1" spans="1:2">
      <c r="A50719" s="3" t="str">
        <f>IFERROR(__xludf.DUMMYFUNCTION("GOOGLETRANSLATE(A50719,""en"",""pt"")"),"Ótimas fotos")</f>
        <v>Ótimas fotos</v>
      </c>
      <c r="B50719" s="3">
        <v>1</v>
      </c>
    </row>
    <row r="50720" ht="15.75" customHeight="1" spans="1:2">
      <c r="A50720" s="3" t="str">
        <f>IFERROR(__xludf.DUMMYFUNCTION("GOOGLETRANSLATE(A50720,""en"",""pt"")"),"desempenho tremendo, muito preciso, resultados de alta qualidade")</f>
        <v>desempenho tremendo, muito preciso, resultados de alta qualidade</v>
      </c>
      <c r="B50720" s="3">
        <v>1</v>
      </c>
    </row>
    <row r="50721" ht="15.75" customHeight="1" spans="1:2">
      <c r="A50721" s="3" t="str">
        <f>IFERROR(__xludf.DUMMYFUNCTION("GOOGLETRANSLATE(A50721,""en"",""pt"")"),"Qualidade da foto")</f>
        <v>Qualidade da foto</v>
      </c>
      <c r="B50721" s="3">
        <v>1</v>
      </c>
    </row>
    <row r="50722" ht="15.75" customHeight="1" spans="1:2">
      <c r="A50722" s="3" t="str">
        <f>IFERROR(__xludf.DUMMYFUNCTION("GOOGLETRANSLATE(A50722,""en"",""pt"")"),"som, filme, 3.34 megapixels, manual passeio em cima, pequeno, leve e fácil de manusear.")</f>
        <v>som, filme, 3.34 megapixels, manual passeio em cima, pequeno, leve e fácil de manusear.</v>
      </c>
      <c r="B50722" s="3">
        <v>1</v>
      </c>
    </row>
    <row r="50723" ht="15.75" customHeight="1" spans="1:2">
      <c r="A50723" s="3" t="str">
        <f>IFERROR(__xludf.DUMMYFUNCTION("GOOGLETRANSLATE(A50723,""en"",""pt"")"),"qualidade das imagens, a gama de opções")</f>
        <v>qualidade das imagens, a gama de opções</v>
      </c>
      <c r="B50723" s="3">
        <v>1</v>
      </c>
    </row>
    <row r="50724" ht="15.75" customHeight="1" spans="1:2">
      <c r="A50724" s="3" t="str">
        <f>IFERROR(__xludf.DUMMYFUNCTION("GOOGLETRANSLATE(A50724,""en"",""pt"")"),"sistema de alta qualidade lente de vidro, corpo de alumínio, muitas opções de compressão de imagem")</f>
        <v>sistema de alta qualidade lente de vidro, corpo de alumínio, muitas opções de compressão de imagem</v>
      </c>
      <c r="B50724" s="3">
        <v>1</v>
      </c>
    </row>
    <row r="50725" ht="15.75" customHeight="1" spans="1:2">
      <c r="A50725" s="3" t="str">
        <f>IFERROR(__xludf.DUMMYFUNCTION("GOOGLETRANSLATE(A50725,""en"",""pt"")"),"Excelente qualidade de imagem, 3,34 Megapixels, boa precisão de cor.")</f>
        <v>Excelente qualidade de imagem, 3,34 Megapixels, boa precisão de cor.</v>
      </c>
      <c r="B50725" s="3">
        <v>1</v>
      </c>
    </row>
    <row r="50726" ht="15.75" customHeight="1" spans="1:2">
      <c r="A50726" s="3" t="str">
        <f>IFERROR(__xludf.DUMMYFUNCTION("GOOGLETRANSLATE(A50726,""en"",""pt"")"),"Boa resolução, e recursos")</f>
        <v>Boa resolução, e recursos</v>
      </c>
      <c r="B50726" s="3">
        <v>1</v>
      </c>
    </row>
    <row r="50727" ht="15.75" customHeight="1" spans="1:2">
      <c r="A50727" s="3" t="str">
        <f>IFERROR(__xludf.DUMMYFUNCTION("GOOGLETRANSLATE(A50727,""en"",""pt"")"),"Flexibilidade, peso leve, resistente.")</f>
        <v>Flexibilidade, peso leve, resistente.</v>
      </c>
      <c r="B50727" s="3">
        <v>1</v>
      </c>
    </row>
    <row r="50728" ht="15.75" customHeight="1" spans="1:2">
      <c r="A50728" s="3" t="str">
        <f>IFERROR(__xludf.DUMMYFUNCTION("GOOGLETRANSLATE(A50728,""en"",""pt"")"),"Compacto, qualidade, facilidade de uso")</f>
        <v>Compacto, qualidade, facilidade de uso</v>
      </c>
      <c r="B50728" s="3">
        <v>1</v>
      </c>
    </row>
    <row r="50729" ht="15.75" customHeight="1" spans="1:2">
      <c r="A50729" s="3" t="str">
        <f>IFERROR(__xludf.DUMMYFUNCTION("GOOGLETRANSLATE(A50729,""en"",""pt"")"),"Leve, alta resolução &amp; amp; amp; Filmes curtos")</f>
        <v>Leve, alta resolução &amp; amp; amp; Filmes curtos</v>
      </c>
      <c r="B50729" s="3">
        <v>1</v>
      </c>
    </row>
    <row r="50730" ht="15.75" customHeight="1" spans="1:2">
      <c r="A50730" s="3" t="str">
        <f>IFERROR(__xludf.DUMMYFUNCTION("GOOGLETRANSLATE(A50730,""en"",""pt"")"),"não")</f>
        <v>não</v>
      </c>
      <c r="B50730" s="3">
        <v>1</v>
      </c>
    </row>
    <row r="50731" ht="15.75" customHeight="1" spans="1:2">
      <c r="A50731" s="3" t="str">
        <f>IFERROR(__xludf.DUMMYFUNCTION("GOOGLETRANSLATE(A50731,""en"",""pt"")"),"zoom ótico")</f>
        <v>zoom ótico</v>
      </c>
      <c r="B50731" s="3">
        <v>1</v>
      </c>
    </row>
    <row r="50732" ht="15.75" customHeight="1" spans="1:2">
      <c r="A50732" s="3" t="str">
        <f>IFERROR(__xludf.DUMMYFUNCTION("GOOGLETRANSLATE(A50732,""en"",""pt"")"),"operação multi modo")</f>
        <v>operação multi modo</v>
      </c>
      <c r="B50732" s="3">
        <v>1</v>
      </c>
    </row>
    <row r="50733" ht="15.75" customHeight="1" spans="1:2">
      <c r="A50733" s="3" t="str">
        <f>IFERROR(__xludf.DUMMYFUNCTION("GOOGLETRANSLATE(A50733,""en"",""pt"")"),"captura grandes imagens")</f>
        <v>captura grandes imagens</v>
      </c>
      <c r="B50733" s="3">
        <v>1</v>
      </c>
    </row>
    <row r="50734" ht="15.75" customHeight="1" spans="1:2">
      <c r="A50734" s="3" t="str">
        <f>IFERROR(__xludf.DUMMYFUNCTION("GOOGLETRANSLATE(A50734,""en"",""pt"")"),"Excelente qualidade de imagem. Responsive, fácil de usar, controles intuitivos.")</f>
        <v>Excelente qualidade de imagem. Responsive, fácil de usar, controles intuitivos.</v>
      </c>
      <c r="B50734" s="3">
        <v>1</v>
      </c>
    </row>
    <row r="50735" ht="15.75" customHeight="1" spans="1:2">
      <c r="A50735" s="3" t="str">
        <f>IFERROR(__xludf.DUMMYFUNCTION("GOOGLETRANSLATE(A50735,""en"",""pt"")"),"Alta resolução, compacto e versátil, muitos recursos")</f>
        <v>Alta resolução, compacto e versátil, muitos recursos</v>
      </c>
      <c r="B50735" s="3">
        <v>1</v>
      </c>
    </row>
    <row r="50736" ht="15.75" customHeight="1" spans="1:2">
      <c r="A50736" s="3" t="str">
        <f>IFERROR(__xludf.DUMMYFUNCTION("GOOGLETRANSLATE(A50736,""en"",""pt"")"),"FABULOSO COLOR")</f>
        <v>FABULOSO COLOR</v>
      </c>
      <c r="B50736" s="3">
        <v>1</v>
      </c>
    </row>
    <row r="50737" ht="15.75" customHeight="1" spans="1:2">
      <c r="A50737" s="3" t="str">
        <f>IFERROR(__xludf.DUMMYFUNCTION("GOOGLETRANSLATE(A50737,""en"",""pt"")"),"A grande qualidade, resolução, filme, som")</f>
        <v>A grande qualidade, resolução, filme, som</v>
      </c>
      <c r="B50737" s="3">
        <v>1</v>
      </c>
    </row>
    <row r="50738" ht="15.75" customHeight="1" spans="1:2">
      <c r="A50738" s="3" t="str">
        <f>IFERROR(__xludf.DUMMYFUNCTION("GOOGLETRANSLATE(A50738,""en"",""pt"")"),"ótimas fotos, rico em recursos")</f>
        <v>ótimas fotos, rico em recursos</v>
      </c>
      <c r="B50738" s="3">
        <v>1</v>
      </c>
    </row>
    <row r="50739" ht="15.75" customHeight="1" spans="1:2">
      <c r="A50739" s="3" t="str">
        <f>IFERROR(__xludf.DUMMYFUNCTION("GOOGLETRANSLATE(A50739,""en"",""pt"")"),"Olympus C700 destrói competição câmera digital.")</f>
        <v>Olympus C700 destrói competição câmera digital.</v>
      </c>
      <c r="B50739" s="3">
        <v>1</v>
      </c>
    </row>
    <row r="50740" ht="15.75" customHeight="1" spans="1:2">
      <c r="A50740" s="3" t="str">
        <f>IFERROR(__xludf.DUMMYFUNCTION("GOOGLETRANSLATE(A50740,""en"",""pt"")"),"RESULTADOS excelente, fácil de usar,")</f>
        <v>RESULTADOS excelente, fácil de usar,</v>
      </c>
      <c r="B50740" s="3">
        <v>1</v>
      </c>
    </row>
    <row r="50741" ht="15.75" customHeight="1" spans="1:2">
      <c r="A50741" s="3" t="str">
        <f>IFERROR(__xludf.DUMMYFUNCTION("GOOGLETRANSLATE(A50741,""en"",""pt"")"),"lente rápida f1.8, excelente qualidade de imagem, 32 MB de buffer de memória interna, boa vida útil da bateria &amp; amp; # 13; &amp; amp; # 10;")</f>
        <v>lente rápida f1.8, excelente qualidade de imagem, 32 MB de buffer de memória interna, boa vida útil da bateria &amp; amp; # 13; &amp; amp; # 10;</v>
      </c>
      <c r="B50741" s="3">
        <v>1</v>
      </c>
    </row>
    <row r="50742" ht="15.75" customHeight="1" spans="1:2">
      <c r="A50742" s="3" t="str">
        <f>IFERROR(__xludf.DUMMYFUNCTION("GOOGLETRANSLATE(A50742,""en"",""pt"")"),"Excelente baixo lente da luz, qualidade de imagem, configurações de exposição automática")</f>
        <v>Excelente baixo lente da luz, qualidade de imagem, configurações de exposição automática</v>
      </c>
      <c r="B50742" s="3">
        <v>1</v>
      </c>
    </row>
    <row r="50743" ht="15.75" customHeight="1" spans="1:2">
      <c r="A50743" s="3" t="str">
        <f>IFERROR(__xludf.DUMMYFUNCTION("GOOGLETRANSLATE(A50743,""en"",""pt"")"),"Boa qualidade de imagem, lente rápida.")</f>
        <v>Boa qualidade de imagem, lente rápida.</v>
      </c>
      <c r="B50743" s="3">
        <v>1</v>
      </c>
    </row>
    <row r="50744" ht="15.75" customHeight="1" spans="1:2">
      <c r="A50744" s="3" t="str">
        <f>IFERROR(__xludf.DUMMYFUNCTION("GOOGLETRANSLATE(A50744,""en"",""pt"")"),"Excelentes Pictures, toneladas de características, bom zoom, peso leve, boa todas as câmeras ao redor.")</f>
        <v>Excelentes Pictures, toneladas de características, bom zoom, peso leve, boa todas as câmeras ao redor.</v>
      </c>
      <c r="B50744" s="3">
        <v>1</v>
      </c>
    </row>
    <row r="50745" ht="15.75" customHeight="1" spans="1:2">
      <c r="A50745" s="3" t="str">
        <f>IFERROR(__xludf.DUMMYFUNCTION("GOOGLETRANSLATE(A50745,""en"",""pt"")"),"boa qualidade de imagem, balanço de cor, tamanho ergonómico, lente brilhante")</f>
        <v>boa qualidade de imagem, balanço de cor, tamanho ergonómico, lente brilhante</v>
      </c>
      <c r="B50745" s="3">
        <v>1</v>
      </c>
    </row>
    <row r="50746" ht="15.75" customHeight="1" spans="1:2">
      <c r="A50746" s="3" t="str">
        <f>IFERROR(__xludf.DUMMYFUNCTION("GOOGLETRANSLATE(A50746,""en"",""pt"")"),"Facilidade de uso, mas tem muitas opções de personalização; controle remoto incluído, e todos os cabos")</f>
        <v>Facilidade de uso, mas tem muitas opções de personalização; controle remoto incluído, e todos os cabos</v>
      </c>
      <c r="B50746" s="3">
        <v>1</v>
      </c>
    </row>
    <row r="50747" ht="15.75" customHeight="1" spans="1:2">
      <c r="A50747" s="3" t="str">
        <f>IFERROR(__xludf.DUMMYFUNCTION("GOOGLETRANSLATE(A50747,""en"",""pt"")"),"Grandes fotos ao ar livre, puxa de lente em toneladas de luz, boa funcionalidade")</f>
        <v>Grandes fotos ao ar livre, puxa de lente em toneladas de luz, boa funcionalidade</v>
      </c>
      <c r="B50747" s="3">
        <v>1</v>
      </c>
    </row>
    <row r="50748" ht="15.75" customHeight="1" spans="1:2">
      <c r="A50748" s="3" t="str">
        <f>IFERROR(__xludf.DUMMYFUNCTION("GOOGLETRANSLATE(A50748,""en"",""pt"")"),"De qualidade, opções")</f>
        <v>De qualidade, opções</v>
      </c>
      <c r="B50748" s="3">
        <v>1</v>
      </c>
    </row>
    <row r="50749" ht="15.75" customHeight="1" spans="1:2">
      <c r="A50749" s="3" t="str">
        <f>IFERROR(__xludf.DUMMYFUNCTION("GOOGLETRANSLATE(A50749,""en"",""pt"")"),"Excelente qualidade de imagem")</f>
        <v>Excelente qualidade de imagem</v>
      </c>
      <c r="B50749" s="3">
        <v>1</v>
      </c>
    </row>
    <row r="50750" ht="15.75" customHeight="1" spans="1:2">
      <c r="A50750" s="3" t="str">
        <f>IFERROR(__xludf.DUMMYFUNCTION("GOOGLETRANSLATE(A50750,""en"",""pt"")"),"corpo resistente, conectividade pc, um monte de recursos, tela grande TFT, lente, gerenciamento de energia, etc")</f>
        <v>corpo resistente, conectividade pc, um monte de recursos, tela grande TFT, lente, gerenciamento de energia, etc</v>
      </c>
      <c r="B50750" s="3">
        <v>1</v>
      </c>
    </row>
    <row r="50751" ht="15.75" customHeight="1" spans="1:2">
      <c r="A50751" s="3" t="str">
        <f>IFERROR(__xludf.DUMMYFUNCTION("GOOGLETRANSLATE(A50751,""en"",""pt"")"),"Esta câmera contornos bem para a sua mão e pode tirar fotos de alta qualidade.")</f>
        <v>Esta câmera contornos bem para a sua mão e pode tirar fotos de alta qualidade.</v>
      </c>
      <c r="B50751" s="3">
        <v>1</v>
      </c>
    </row>
    <row r="50752" ht="15.75" customHeight="1" spans="1:2">
      <c r="A50752" s="3" t="str">
        <f>IFERROR(__xludf.DUMMYFUNCTION("GOOGLETRANSLATE(A50752,""en"",""pt"")"),"Fabulosas fotos, grande variedade de controles de usuário, lente rápida")</f>
        <v>Fabulosas fotos, grande variedade de controles de usuário, lente rápida</v>
      </c>
      <c r="B50752" s="3">
        <v>1</v>
      </c>
    </row>
    <row r="50753" ht="15.75" customHeight="1" spans="1:2">
      <c r="A50753" s="3" t="str">
        <f>IFERROR(__xludf.DUMMYFUNCTION("GOOGLETRANSLATE(A50753,""en"",""pt"")"),"Excelentes fotos! Breve virar, o modo burst.")</f>
        <v>Excelentes fotos! Breve virar, o modo burst.</v>
      </c>
      <c r="B50753" s="3">
        <v>1</v>
      </c>
    </row>
    <row r="50754" ht="15.75" customHeight="1" spans="1:2">
      <c r="A50754" s="3" t="str">
        <f>IFERROR(__xludf.DUMMYFUNCTION("GOOGLETRANSLATE(A50754,""en"",""pt"")"),"Fotos excelentes, conectividade, tamanho e funções")</f>
        <v>Fotos excelentes, conectividade, tamanho e funções</v>
      </c>
      <c r="B50754" s="3">
        <v>1</v>
      </c>
    </row>
    <row r="50755" ht="15.75" customHeight="1" spans="1:2">
      <c r="A50755" s="3" t="str">
        <f>IFERROR(__xludf.DUMMYFUNCTION("GOOGLETRANSLATE(A50755,""en"",""pt"")"),"Excelente qualidade de imagem. lense rápido. classe olhar. O modo Burst.")</f>
        <v>Excelente qualidade de imagem. lense rápido. classe olhar. O modo Burst.</v>
      </c>
      <c r="B50755" s="3">
        <v>1</v>
      </c>
    </row>
    <row r="50756" ht="15.75" customHeight="1" spans="1:2">
      <c r="A50756" s="3" t="str">
        <f>IFERROR(__xludf.DUMMYFUNCTION("GOOGLETRANSLATE(A50756,""en"",""pt"")"),"Grandes fotos &amp; amp; # 13; &amp; amp; # 10; não tem que se preocupar com o filme &amp; amp; # 13; &amp; amp; # 10; Tira fotos para fora da direita da caixa")</f>
        <v>Grandes fotos &amp; amp; # 13; &amp; amp; # 10; não tem que se preocupar com o filme &amp; amp; # 13; &amp; amp; # 10; Tira fotos para fora da direita da caixa</v>
      </c>
      <c r="B50756" s="3">
        <v>1</v>
      </c>
    </row>
    <row r="50757" ht="15.75" customHeight="1" spans="1:2">
      <c r="A50757" s="3" t="str">
        <f>IFERROR(__xludf.DUMMYFUNCTION("GOOGLETRANSLATE(A50757,""en"",""pt"")"),"Crisp fotografias limpas. Grande cor. grandes recursos")</f>
        <v>Crisp fotografias limpas. Grande cor. grandes recursos</v>
      </c>
      <c r="B50757" s="3">
        <v>1</v>
      </c>
    </row>
    <row r="50758" ht="15.75" customHeight="1" spans="1:2">
      <c r="A50758" s="3" t="str">
        <f>IFERROR(__xludf.DUMMYFUNCTION("GOOGLETRANSLATE(A50758,""en"",""pt"")"),"Uma câmera muito bem desenhado.")</f>
        <v>Uma câmera muito bem desenhado.</v>
      </c>
      <c r="B50758" s="3">
        <v>1</v>
      </c>
    </row>
    <row r="50759" ht="15.75" customHeight="1" spans="1:2">
      <c r="A50759" s="3" t="str">
        <f>IFERROR(__xludf.DUMMYFUNCTION("GOOGLETRANSLATE(A50759,""en"",""pt"")"),"diminuir luz (1.8F), excelentes fotos")</f>
        <v>diminuir luz (1.8F), excelentes fotos</v>
      </c>
      <c r="B50759" s="3">
        <v>1</v>
      </c>
    </row>
    <row r="50760" ht="15.75" customHeight="1" spans="1:2">
      <c r="A50760" s="3" t="str">
        <f>IFERROR(__xludf.DUMMYFUNCTION("GOOGLETRANSLATE(A50760,""en"",""pt"")"),"Qualidade")</f>
        <v>Qualidade</v>
      </c>
      <c r="B50760" s="3">
        <v>1</v>
      </c>
    </row>
    <row r="50761" ht="15.75" customHeight="1" spans="1:2">
      <c r="A50761" s="3" t="str">
        <f>IFERROR(__xludf.DUMMYFUNCTION("GOOGLETRANSLATE(A50761,""en"",""pt"")"),"lente rápida, bom (AAs) vida útil da bateria, funcionalidade muito flexível, turnround rápida, filmes MJPEG, boa exibição")</f>
        <v>lente rápida, bom (AAs) vida útil da bateria, funcionalidade muito flexível, turnround rápida, filmes MJPEG, boa exibição</v>
      </c>
      <c r="B50761" s="3">
        <v>1</v>
      </c>
    </row>
    <row r="50762" ht="15.75" customHeight="1" spans="1:2">
      <c r="A50762" s="3" t="str">
        <f>IFERROR(__xludf.DUMMYFUNCTION("GOOGLETRANSLATE(A50762,""en"",""pt"")"),"lente 1.8F, pilhas AA, imagens de excelente qualidade")</f>
        <v>lente 1.8F, pilhas AA, imagens de excelente qualidade</v>
      </c>
      <c r="B50762" s="3">
        <v>1</v>
      </c>
    </row>
    <row r="50763" ht="15.75" customHeight="1" spans="1:2">
      <c r="A50763" s="3" t="str">
        <f>IFERROR(__xludf.DUMMYFUNCTION("GOOGLETRANSLATE(A50763,""en"",""pt"")"),"recursos tremendos, grande monitor, excelentes fotos de qualidade")</f>
        <v>recursos tremendos, grande monitor, excelentes fotos de qualidade</v>
      </c>
      <c r="B50763" s="3">
        <v>1</v>
      </c>
    </row>
    <row r="50764" ht="15.75" customHeight="1" spans="1:2">
      <c r="A50764" s="3" t="str">
        <f>IFERROR(__xludf.DUMMYFUNCTION("GOOGLETRANSLATE(A50764,""en"",""pt"")"),"Excelente qualidade de imagem e fácil de usar botões")</f>
        <v>Excelente qualidade de imagem e fácil de usar botões</v>
      </c>
      <c r="B50764" s="3">
        <v>1</v>
      </c>
    </row>
    <row r="50765" ht="15.75" customHeight="1" spans="1:2">
      <c r="A50765" s="3" t="str">
        <f>IFERROR(__xludf.DUMMYFUNCTION("GOOGLETRANSLATE(A50765,""en"",""pt"")"),"Muitas opções manuais, conjunto de recursos incrível, imagens digitais de quatro megapixel soberba,")</f>
        <v>Muitas opções manuais, conjunto de recursos incrível, imagens digitais de quatro megapixel soberba,</v>
      </c>
      <c r="B50765" s="3">
        <v>1</v>
      </c>
    </row>
    <row r="50766" ht="15.75" customHeight="1" spans="1:2">
      <c r="A50766" s="3" t="str">
        <f>IFERROR(__xludf.DUMMYFUNCTION("GOOGLETRANSLATE(A50766,""en"",""pt"")"),"ótica fantásticas para cor e clareza; controles manuais e automáticos para profissionais e estreantes")</f>
        <v>ótica fantásticas para cor e clareza; controles manuais e automáticos para profissionais e estreantes</v>
      </c>
      <c r="B50766" s="3">
        <v>1</v>
      </c>
    </row>
    <row r="50767" ht="15.75" customHeight="1" spans="1:2">
      <c r="A50767" s="3" t="str">
        <f>IFERROR(__xludf.DUMMYFUNCTION("GOOGLETRANSLATE(A50767,""en"",""pt"")"),"Rápido, muitas configurações e opções, qualidade de imagem e clareza.")</f>
        <v>Rápido, muitas configurações e opções, qualidade de imagem e clareza.</v>
      </c>
      <c r="B50767" s="3">
        <v>1</v>
      </c>
    </row>
    <row r="50768" ht="15.75" customHeight="1" spans="1:2">
      <c r="A50768" s="3" t="str">
        <f>IFERROR(__xludf.DUMMYFUNCTION("GOOGLETRANSLATE(A50768,""en"",""pt"")"),"Foto qualidade, características, estilo")</f>
        <v>Foto qualidade, características, estilo</v>
      </c>
      <c r="B50768" s="3">
        <v>1</v>
      </c>
    </row>
    <row r="50769" ht="15.75" customHeight="1" spans="1:2">
      <c r="A50769" s="3" t="str">
        <f>IFERROR(__xludf.DUMMYFUNCTION("GOOGLETRANSLATE(A50769,""en"",""pt"")"),"Cargas de recursos; fácil o suficiente para uso point-and-shoot; Customizável meu Modos e atalhos; LCD brilhante.")</f>
        <v>Cargas de recursos; fácil o suficiente para uso point-and-shoot; Customizável meu Modos e atalhos; LCD brilhante.</v>
      </c>
      <c r="B50769" s="3">
        <v>1</v>
      </c>
    </row>
    <row r="50770" ht="15.75" customHeight="1" spans="1:2">
      <c r="A50770" s="3" t="str">
        <f>IFERROR(__xludf.DUMMYFUNCTION("GOOGLETRANSLATE(A50770,""en"",""pt"")"),"Fácil de alterar opções, clareza de visualização, grande qualidade zoom")</f>
        <v>Fácil de alterar opções, clareza de visualização, grande qualidade zoom</v>
      </c>
      <c r="B50770" s="3">
        <v>1</v>
      </c>
    </row>
    <row r="50771" ht="15.75" customHeight="1" spans="1:2">
      <c r="A50771" s="3" t="str">
        <f>IFERROR(__xludf.DUMMYFUNCTION("GOOGLETRANSLATE(A50771,""en"",""pt"")"),"Tem um monte de recursos para o iniciante e fotógrafo mais avançado.")</f>
        <v>Tem um monte de recursos para o iniciante e fotógrafo mais avançado.</v>
      </c>
      <c r="B50771" s="3">
        <v>1</v>
      </c>
    </row>
    <row r="50772" ht="15.75" customHeight="1" spans="1:2">
      <c r="A50772" s="3" t="str">
        <f>IFERROR(__xludf.DUMMYFUNCTION("GOOGLETRANSLATE(A50772,""en"",""pt"")"),"valor, 4MP, boa resolução")</f>
        <v>valor, 4MP, boa resolução</v>
      </c>
      <c r="B50772" s="3">
        <v>1</v>
      </c>
    </row>
    <row r="50773" ht="15.75" customHeight="1" spans="1:2">
      <c r="A50773" s="3" t="str">
        <f>IFERROR(__xludf.DUMMYFUNCTION("GOOGLETRANSLATE(A50773,""en"",""pt"")"),"Manual e automático. Muito pouco lag. 4 megapixels.")</f>
        <v>Manual e automático. Muito pouco lag. 4 megapixels.</v>
      </c>
      <c r="B50773" s="3">
        <v>1</v>
      </c>
    </row>
    <row r="50774" ht="15.75" customHeight="1" spans="1:2">
      <c r="A50774" s="3" t="str">
        <f>IFERROR(__xludf.DUMMYFUNCTION("GOOGLETRANSLATE(A50774,""en"",""pt"")"),"Excelentes imagens, ótimo preço. Melhor valor para o dinheiro.")</f>
        <v>Excelentes imagens, ótimo preço. Melhor valor para o dinheiro.</v>
      </c>
      <c r="B50774" s="3">
        <v>1</v>
      </c>
    </row>
    <row r="50775" ht="15.75" customHeight="1" spans="1:2">
      <c r="A50775" s="3" t="str">
        <f>IFERROR(__xludf.DUMMYFUNCTION("GOOGLETRANSLATE(A50775,""en"",""pt"")"),"4MP, Large LCD, Zoom Digital, opções de flash, Opções de filme")</f>
        <v>4MP, Large LCD, Zoom Digital, opções de flash, Opções de filme</v>
      </c>
      <c r="B50775" s="3">
        <v>1</v>
      </c>
    </row>
    <row r="50776" ht="15.75" customHeight="1" spans="1:2">
      <c r="A50776" s="3" t="str">
        <f>IFERROR(__xludf.DUMMYFUNCTION("GOOGLETRANSLATE(A50776,""en"",""pt"")"),"Para muitos a lista (ver comentário)")</f>
        <v>Para muitos a lista (ver comentário)</v>
      </c>
      <c r="B50776" s="3">
        <v>1</v>
      </c>
    </row>
    <row r="50777" ht="15.75" customHeight="1" spans="1:2">
      <c r="A50777" s="3" t="str">
        <f>IFERROR(__xludf.DUMMYFUNCTION("GOOGLETRANSLATE(A50777,""en"",""pt"")"),"Claridade, cor e detalhe de fotos é ótimo.")</f>
        <v>Claridade, cor e detalhe de fotos é ótimo.</v>
      </c>
      <c r="B50777" s="3">
        <v>1</v>
      </c>
    </row>
    <row r="50778" ht="15.75" customHeight="1" spans="1:2">
      <c r="A50778" s="3" t="str">
        <f>IFERROR(__xludf.DUMMYFUNCTION("GOOGLETRANSLATE(A50778,""en"",""pt"")"),"Facilidade de uso e recursos construído em")</f>
        <v>Facilidade de uso e recursos construído em</v>
      </c>
      <c r="B50778" s="3">
        <v>1</v>
      </c>
    </row>
    <row r="50779" ht="15.75" customHeight="1" spans="1:2">
      <c r="A50779" s="3" t="str">
        <f>IFERROR(__xludf.DUMMYFUNCTION("GOOGLETRANSLATE(A50779,""en"",""pt"")"),"Você vai adorar os recursos!")</f>
        <v>Você vai adorar os recursos!</v>
      </c>
      <c r="B50779" s="3">
        <v>1</v>
      </c>
    </row>
    <row r="50780" ht="15.75" customHeight="1" spans="1:2">
      <c r="A50780" s="3" t="str">
        <f>IFERROR(__xludf.DUMMYFUNCTION("GOOGLETRANSLATE(A50780,""en"",""pt"")"),"Acessíveis para uma câmera realmente agradável")</f>
        <v>Acessíveis para uma câmera realmente agradável</v>
      </c>
      <c r="B50780" s="3">
        <v>1</v>
      </c>
    </row>
    <row r="50781" ht="15.75" customHeight="1" spans="1:2">
      <c r="A50781" s="3" t="str">
        <f>IFERROR(__xludf.DUMMYFUNCTION("GOOGLETRANSLATE(A50781,""en"",""pt"")"),"As imagens nítidas, flexível, facilitar o download de fotos, com preços razoáveis.")</f>
        <v>As imagens nítidas, flexível, facilitar o download de fotos, com preços razoáveis.</v>
      </c>
      <c r="B50781" s="3">
        <v>1</v>
      </c>
    </row>
    <row r="50782" ht="15.75" customHeight="1" spans="1:2">
      <c r="A50782" s="3" t="str">
        <f>IFERROR(__xludf.DUMMYFUNCTION("GOOGLETRANSLATE(A50782,""en"",""pt"")"),"Photo Quality. Facilidade de Menus. Recursos!")</f>
        <v>Photo Quality. Facilidade de Menus. Recursos!</v>
      </c>
      <c r="B50782" s="3">
        <v>1</v>
      </c>
    </row>
    <row r="50783" ht="15.75" customHeight="1" spans="1:2">
      <c r="A50783" s="3" t="str">
        <f>IFERROR(__xludf.DUMMYFUNCTION("GOOGLETRANSLATE(A50783,""en"",""pt"")"),"câmera versátil fantástico. câmera sonhar para amadores.")</f>
        <v>câmera versátil fantástico. câmera sonhar para amadores.</v>
      </c>
      <c r="B50783" s="3">
        <v>1</v>
      </c>
    </row>
    <row r="50784" ht="15.75" customHeight="1" spans="1:2">
      <c r="A50784" s="3" t="str">
        <f>IFERROR(__xludf.DUMMYFUNCTION("GOOGLETRANSLATE(A50784,""en"",""pt"")"),"é muito fácil de usar instruções simples")</f>
        <v>é muito fácil de usar instruções simples</v>
      </c>
      <c r="B50784" s="3">
        <v>1</v>
      </c>
    </row>
    <row r="50785" ht="15.75" customHeight="1" spans="1:2">
      <c r="A50785" s="3" t="str">
        <f>IFERROR(__xludf.DUMMYFUNCTION("GOOGLETRANSLATE(A50785,""en"",""pt"")"),"Uma câmera digital que vai fazer todo o seu trabalho.")</f>
        <v>Uma câmera digital que vai fazer todo o seu trabalho.</v>
      </c>
      <c r="B50785" s="3">
        <v>1</v>
      </c>
    </row>
    <row r="50786" ht="15.75" customHeight="1" spans="1:2">
      <c r="A50786" s="3" t="str">
        <f>IFERROR(__xludf.DUMMYFUNCTION("GOOGLETRANSLATE(A50786,""en"",""pt"")"),"Lotes de características. Um valor bom para o dinheiro no grupo 4-Mega-pixel.")</f>
        <v>Lotes de características. Um valor bom para o dinheiro no grupo 4-Mega-pixel.</v>
      </c>
      <c r="B50786" s="3">
        <v>1</v>
      </c>
    </row>
    <row r="50787" ht="15.75" customHeight="1" spans="1:2">
      <c r="A50787" s="3" t="str">
        <f>IFERROR(__xludf.DUMMYFUNCTION("GOOGLETRANSLATE(A50787,""en"",""pt"")"),"Boa qualidade das imagens e de fácil uso.")</f>
        <v>Boa qualidade das imagens e de fácil uso.</v>
      </c>
      <c r="B50787" s="3">
        <v>1</v>
      </c>
    </row>
    <row r="50788" ht="15.75" customHeight="1" spans="1:2">
      <c r="A50788" s="3" t="str">
        <f>IFERROR(__xludf.DUMMYFUNCTION("GOOGLETRANSLATE(A50788,""en"",""pt"")"),"faixa extravagante de configurações possíveis, mas pode ser usado como um ponto-and-shoot")</f>
        <v>faixa extravagante de configurações possíveis, mas pode ser usado como um ponto-and-shoot</v>
      </c>
      <c r="B50788" s="3">
        <v>1</v>
      </c>
    </row>
    <row r="50789" ht="15.75" customHeight="1" spans="1:2">
      <c r="A50789" s="3" t="str">
        <f>IFERROR(__xludf.DUMMYFUNCTION("GOOGLETRANSLATE(A50789,""en"",""pt"")"),"Excelente Optics, resolução, facilidade de uso, tamanho pequeno, e Olympus Qualidade")</f>
        <v>Excelente Optics, resolução, facilidade de uso, tamanho pequeno, e Olympus Qualidade</v>
      </c>
      <c r="B50789" s="3">
        <v>1</v>
      </c>
    </row>
    <row r="50790" ht="15.75" customHeight="1" spans="1:2">
      <c r="A50790" s="3" t="str">
        <f>IFERROR(__xludf.DUMMYFUNCTION("GOOGLETRANSLATE(A50790,""en"",""pt"")"),"Qualidade excelente. Mesmo grande para um Pro!")</f>
        <v>Qualidade excelente. Mesmo grande para um Pro!</v>
      </c>
      <c r="B50790" s="3">
        <v>1</v>
      </c>
    </row>
    <row r="50791" ht="15.75" customHeight="1" spans="1:2">
      <c r="A50791" s="3" t="str">
        <f>IFERROR(__xludf.DUMMYFUNCTION("GOOGLETRANSLATE(A50791,""en"",""pt"")"),"Wonderful resolução-I produziu um anuário de 52 páginas utilizando todas as fotos digitais e eles foram ótimos.")</f>
        <v>Wonderful resolução-I produziu um anuário de 52 páginas utilizando todas as fotos digitais e eles foram ótimos.</v>
      </c>
      <c r="B50791" s="3">
        <v>1</v>
      </c>
    </row>
    <row r="50792" ht="15.75" customHeight="1" spans="1:2">
      <c r="A50792" s="3" t="str">
        <f>IFERROR(__xludf.DUMMYFUNCTION("GOOGLETRANSLATE(A50792,""en"",""pt"")"),"ótimas fotos de duração da bateria software boa-vida")</f>
        <v>ótimas fotos de duração da bateria software boa-vida</v>
      </c>
      <c r="B50792" s="3">
        <v>1</v>
      </c>
    </row>
    <row r="50793" ht="15.75" customHeight="1" spans="1:2">
      <c r="A50793" s="3" t="str">
        <f>IFERROR(__xludf.DUMMYFUNCTION("GOOGLETRANSLATE(A50793,""en"",""pt"")"),"Fotos profissionais &amp; amp qualidade; muitos, apresenta em uma câmera compacta.")</f>
        <v>Fotos profissionais &amp; amp qualidade; muitos, apresenta em uma câmera compacta.</v>
      </c>
      <c r="B50793" s="3">
        <v>1</v>
      </c>
    </row>
    <row r="50794" ht="15.75" customHeight="1" spans="1:2">
      <c r="A50794" s="3" t="str">
        <f>IFERROR(__xludf.DUMMYFUNCTION("GOOGLETRANSLATE(A50794,""en"",""pt"")"),"Grandes imagens nítidas e preço, ótima relação de zoom, controle de layout agradável, bom tamanho LCD.")</f>
        <v>Grandes imagens nítidas e preço, ótima relação de zoom, controle de layout agradável, bom tamanho LCD.</v>
      </c>
      <c r="B50794" s="3">
        <v>1</v>
      </c>
    </row>
    <row r="50795" ht="15.75" customHeight="1" spans="1:2">
      <c r="A50795" s="3" t="str">
        <f>IFERROR(__xludf.DUMMYFUNCTION("GOOGLETRANSLATE(A50795,""en"",""pt"")"),"relativamente pequeno em tamanho")</f>
        <v>relativamente pequeno em tamanho</v>
      </c>
      <c r="B50795" s="3">
        <v>1</v>
      </c>
    </row>
    <row r="50796" ht="15.75" customHeight="1" spans="1:2">
      <c r="A50796" s="3" t="str">
        <f>IFERROR(__xludf.DUMMYFUNCTION("GOOGLETRANSLATE(A50796,""en"",""pt"")"),"A grande qualidade, bom preço, software agradável, pilhas AA")</f>
        <v>A grande qualidade, bom preço, software agradável, pilhas AA</v>
      </c>
      <c r="B50796" s="3">
        <v>1</v>
      </c>
    </row>
    <row r="50797" ht="15.75" customHeight="1" spans="1:2">
      <c r="A50797" s="3" t="str">
        <f>IFERROR(__xludf.DUMMYFUNCTION("GOOGLETRANSLATE(A50797,""en"",""pt"")"),"Excelente qualidade de imagem e peso leve.")</f>
        <v>Excelente qualidade de imagem e peso leve.</v>
      </c>
      <c r="B50797" s="3">
        <v>1</v>
      </c>
    </row>
    <row r="50798" ht="15.75" customHeight="1" spans="1:2">
      <c r="A50798" s="3" t="str">
        <f>IFERROR(__xludf.DUMMYFUNCTION("GOOGLETRANSLATE(A50798,""en"",""pt"")"),"grandes recursos")</f>
        <v>grandes recursos</v>
      </c>
      <c r="B50798" s="3">
        <v>1</v>
      </c>
    </row>
    <row r="50799" ht="15.75" customHeight="1" spans="1:2">
      <c r="A50799" s="3" t="str">
        <f>IFERROR(__xludf.DUMMYFUNCTION("GOOGLETRANSLATE(A50799,""en"",""pt"")"),"4MP por um bom preço. imagens de boa qualidade.")</f>
        <v>4MP por um bom preço. imagens de boa qualidade.</v>
      </c>
      <c r="B50799" s="3">
        <v>1</v>
      </c>
    </row>
    <row r="50800" ht="15.75" customHeight="1" spans="1:2">
      <c r="A50800" s="3" t="str">
        <f>IFERROR(__xludf.DUMMYFUNCTION("GOOGLETRANSLATE(A50800,""en"",""pt"")"),"fotos nítidas e capacidade de vídeo, excluir o que você não quer.")</f>
        <v>fotos nítidas e capacidade de vídeo, excluir o que você não quer.</v>
      </c>
      <c r="B50800" s="3">
        <v>1</v>
      </c>
    </row>
    <row r="50801" ht="15.75" customHeight="1" spans="1:2">
      <c r="A50801" s="3" t="str">
        <f>IFERROR(__xludf.DUMMYFUNCTION("GOOGLETRANSLATE(A50801,""en"",""pt"")"),"Incrível qualidade de imagem, cargas de recursos, capacidade de adicionar lentes")</f>
        <v>Incrível qualidade de imagem, cargas de recursos, capacidade de adicionar lentes</v>
      </c>
      <c r="B50801" s="3">
        <v>1</v>
      </c>
    </row>
    <row r="50802" ht="15.75" customHeight="1" spans="1:2">
      <c r="A50802" s="3" t="str">
        <f>IFERROR(__xludf.DUMMYFUNCTION("GOOGLETRANSLATE(A50802,""en"",""pt"")"),"Excelente qualidade de imagem. Fácil de usar, basta apontar e disparar.")</f>
        <v>Excelente qualidade de imagem. Fácil de usar, basta apontar e disparar.</v>
      </c>
      <c r="B50802" s="3">
        <v>1</v>
      </c>
    </row>
    <row r="50803" ht="15.75" customHeight="1" spans="1:2">
      <c r="A50803" s="3" t="str">
        <f>IFERROR(__xludf.DUMMYFUNCTION("GOOGLETRANSLATE(A50803,""en"",""pt"")"),"EXCELENTES IMAGENS; fácil de usar")</f>
        <v>EXCELENTES IMAGENS; fácil de usar</v>
      </c>
      <c r="B50803" s="3">
        <v>1</v>
      </c>
    </row>
    <row r="50804" ht="15.75" customHeight="1" spans="1:2">
      <c r="A50804" s="3" t="str">
        <f>IFERROR(__xludf.DUMMYFUNCTION("GOOGLETRANSLATE(A50804,""en"",""pt"")"),"Excelentes fotos!")</f>
        <v>Excelentes fotos!</v>
      </c>
      <c r="B50804" s="3">
        <v>1</v>
      </c>
    </row>
    <row r="50805" ht="15.75" customHeight="1" spans="1:2">
      <c r="A50805" s="3" t="str">
        <f>IFERROR(__xludf.DUMMYFUNCTION("GOOGLETRANSLATE(A50805,""en"",""pt"")"),"Muito rápido / lente de alta qualidade, boa qualidade de imagem, aceita pilhas AA padrão")</f>
        <v>Muito rápido / lente de alta qualidade, boa qualidade de imagem, aceita pilhas AA padrão</v>
      </c>
      <c r="B50805" s="3">
        <v>1</v>
      </c>
    </row>
    <row r="50806" ht="15.75" customHeight="1" spans="1:2">
      <c r="A50806" s="3" t="str">
        <f>IFERROR(__xludf.DUMMYFUNCTION("GOOGLETRANSLATE(A50806,""en"",""pt"")"),"Grandes fotos com uma grande exposição.")</f>
        <v>Grandes fotos com uma grande exposição.</v>
      </c>
      <c r="B50806" s="3">
        <v>1</v>
      </c>
    </row>
    <row r="50807" ht="15.75" customHeight="1" spans="1:2">
      <c r="A50807" s="3" t="str">
        <f>IFERROR(__xludf.DUMMYFUNCTION("GOOGLETRANSLATE(A50807,""en"",""pt"")"),"excelente qualidade de imagem, preço, características avançadas")</f>
        <v>excelente qualidade de imagem, preço, características avançadas</v>
      </c>
      <c r="B50807" s="3">
        <v>1</v>
      </c>
    </row>
    <row r="50808" ht="15.75" customHeight="1" spans="1:2">
      <c r="A50808" s="3" t="str">
        <f>IFERROR(__xludf.DUMMYFUNCTION("GOOGLETRANSLATE(A50808,""en"",""pt"")"),"Monte de recursos. Grande qualidade interior / exterior.")</f>
        <v>Monte de recursos. Grande qualidade interior / exterior.</v>
      </c>
      <c r="B50808" s="3">
        <v>1</v>
      </c>
    </row>
    <row r="50809" ht="15.75" customHeight="1" spans="1:2">
      <c r="A50809" s="3" t="str">
        <f>IFERROR(__xludf.DUMMYFUNCTION("GOOGLETRANSLATE(A50809,""en"",""pt"")"),"processador de imagem rápido")</f>
        <v>processador de imagem rápido</v>
      </c>
      <c r="B50809" s="3">
        <v>1</v>
      </c>
    </row>
    <row r="50810" ht="15.75" customHeight="1" spans="1:2">
      <c r="A50810" s="3" t="str">
        <f>IFERROR(__xludf.DUMMYFUNCTION("GOOGLETRANSLATE(A50810,""en"",""pt"")"),"Eu gosto desta câmera digital muito. Fácil de usar.")</f>
        <v>Eu gosto desta câmera digital muito. Fácil de usar.</v>
      </c>
      <c r="B50810" s="3">
        <v>1</v>
      </c>
    </row>
    <row r="50811" ht="15.75" customHeight="1" spans="1:2">
      <c r="A50811" s="3" t="str">
        <f>IFERROR(__xludf.DUMMYFUNCTION("GOOGLETRANSLATE(A50811,""en"",""pt"")"),"Muito fotos de boa qualidade, fácil de usar.")</f>
        <v>Muito fotos de boa qualidade, fácil de usar.</v>
      </c>
      <c r="B50811" s="3">
        <v>1</v>
      </c>
    </row>
    <row r="50812" ht="15.75" customHeight="1" spans="1:2">
      <c r="A50812" s="3" t="str">
        <f>IFERROR(__xludf.DUMMYFUNCTION("GOOGLETRANSLATE(A50812,""en"",""pt"")"),"muitos recursos, grandes fotos, design, opções de resolução, grande macro e MAIS")</f>
        <v>muitos recursos, grandes fotos, design, opções de resolução, grande macro e MAIS</v>
      </c>
      <c r="B50812" s="3">
        <v>1</v>
      </c>
    </row>
    <row r="50813" ht="15.75" customHeight="1" spans="1:2">
      <c r="A50813" s="3" t="str">
        <f>IFERROR(__xludf.DUMMYFUNCTION("GOOGLETRANSLATE(A50813,""en"",""pt"")"),"Leve, zoom longo e macro !, manuais e automáticas configurações, GREAT flash, muito mais!")</f>
        <v>Leve, zoom longo e macro !, manuais e automáticas configurações, GREAT flash, muito mais!</v>
      </c>
      <c r="B50813" s="3">
        <v>1</v>
      </c>
    </row>
    <row r="50814" ht="15.75" customHeight="1" spans="1:2">
      <c r="A50814" s="3" t="str">
        <f>IFERROR(__xludf.DUMMYFUNCTION("GOOGLETRANSLATE(A50814,""en"",""pt"")"),"Excelente qualidade, muitos recursos, mini filme com som")</f>
        <v>Excelente qualidade, muitos recursos, mini filme com som</v>
      </c>
      <c r="B50814" s="3">
        <v>1</v>
      </c>
    </row>
    <row r="50815" ht="15.75" customHeight="1" spans="1:2">
      <c r="A50815" s="3" t="str">
        <f>IFERROR(__xludf.DUMMYFUNCTION("GOOGLETRANSLATE(A50815,""en"",""pt"")"),"grande para o lustre da fotografia, bem como apontar e disparar pessoa")</f>
        <v>grande para o lustre da fotografia, bem como apontar e disparar pessoa</v>
      </c>
      <c r="B50815" s="3">
        <v>1</v>
      </c>
    </row>
    <row r="50816" ht="15.75" customHeight="1" spans="1:2">
      <c r="A50816" s="3" t="str">
        <f>IFERROR(__xludf.DUMMYFUNCTION("GOOGLETRANSLATE(A50816,""en"",""pt"")"),"Excelente qualidade de imagem, lente zoom rápido, controle remoto.")</f>
        <v>Excelente qualidade de imagem, lente zoom rápido, controle remoto.</v>
      </c>
      <c r="B50816" s="3">
        <v>1</v>
      </c>
    </row>
    <row r="50817" ht="15.75" customHeight="1" spans="1:2">
      <c r="A50817" s="3" t="str">
        <f>IFERROR(__xludf.DUMMYFUNCTION("GOOGLETRANSLATE(A50817,""en"",""pt"")"),"Ótima câmera para qualquer um apenas sobre.")</f>
        <v>Ótima câmera para qualquer um apenas sobre.</v>
      </c>
      <c r="B50817" s="3">
        <v>1</v>
      </c>
    </row>
    <row r="50818" ht="15.75" customHeight="1" spans="1:2">
      <c r="A50818" s="3" t="str">
        <f>IFERROR(__xludf.DUMMYFUNCTION("GOOGLETRANSLATE(A50818,""en"",""pt"")"),"Toma pendentes fotos. Tem mais recursos do que eu esperava. Muito fácil de usar.")</f>
        <v>Toma pendentes fotos. Tem mais recursos do que eu esperava. Muito fácil de usar.</v>
      </c>
      <c r="B50818" s="3">
        <v>1</v>
      </c>
    </row>
    <row r="50819" ht="15.75" customHeight="1" spans="1:2">
      <c r="A50819" s="3" t="str">
        <f>IFERROR(__xludf.DUMMYFUNCTION("GOOGLETRANSLATE(A50819,""en"",""pt"")"),"Mais novo preço baixo. Boa resolução. Boa close-up fotos.")</f>
        <v>Mais novo preço baixo. Boa resolução. Boa close-up fotos.</v>
      </c>
      <c r="B50819" s="3">
        <v>1</v>
      </c>
    </row>
    <row r="50820" ht="15.75" customHeight="1" spans="1:2">
      <c r="A50820" s="3" t="str">
        <f>IFERROR(__xludf.DUMMYFUNCTION("GOOGLETRANSLATE(A50820,""en"",""pt"")"),"Fácil de usar; cria nítidas e coloridas, grandes fotos.")</f>
        <v>Fácil de usar; cria nítidas e coloridas, grandes fotos.</v>
      </c>
      <c r="B50820" s="3">
        <v>1</v>
      </c>
    </row>
    <row r="50821" ht="15.75" customHeight="1" spans="1:2">
      <c r="A50821" s="3" t="str">
        <f>IFERROR(__xludf.DUMMYFUNCTION("GOOGLETRANSLATE(A50821,""en"",""pt"")"),"design muito compacto, a 5 Mega Pixels, não muito mais")</f>
        <v>design muito compacto, a 5 Mega Pixels, não muito mais</v>
      </c>
      <c r="B50821" s="3">
        <v>1</v>
      </c>
    </row>
    <row r="50822" ht="15.75" customHeight="1" spans="1:2">
      <c r="A50822" s="3" t="str">
        <f>IFERROR(__xludf.DUMMYFUNCTION("GOOGLETRANSLATE(A50822,""en"",""pt"")"),"Compactos, sólidos, Grande foto qualidade, facilidade de uso")</f>
        <v>Compactos, sólidos, Grande foto qualidade, facilidade de uso</v>
      </c>
      <c r="B50822" s="3">
        <v>1</v>
      </c>
    </row>
    <row r="50823" ht="15.75" customHeight="1" spans="1:2">
      <c r="A50823" s="3" t="str">
        <f>IFERROR(__xludf.DUMMYFUNCTION("GOOGLETRANSLATE(A50823,""en"",""pt"")"),"Câmera pequena, leve e excelentes fotos.")</f>
        <v>Câmera pequena, leve e excelentes fotos.</v>
      </c>
      <c r="B50823" s="3">
        <v>1</v>
      </c>
    </row>
    <row r="50824" ht="15.75" customHeight="1" spans="1:2">
      <c r="A50824" s="3" t="str">
        <f>IFERROR(__xludf.DUMMYFUNCTION("GOOGLETRANSLATE(A50824,""en"",""pt"")"),"Robusto corpo, Compact, Hi-Res, as opções manuais, grandes imagens w / prática, a vida da bateria")</f>
        <v>Robusto corpo, Compact, Hi-Res, as opções manuais, grandes imagens w / prática, a vida da bateria</v>
      </c>
      <c r="B50824" s="3">
        <v>1</v>
      </c>
    </row>
    <row r="50825" ht="15.75" customHeight="1" spans="1:2">
      <c r="A50825" s="3" t="str">
        <f>IFERROR(__xludf.DUMMYFUNCTION("GOOGLETRANSLATE(A50825,""en"",""pt"")"),"Compacta, de alta resolução, razor LCD nítida e brilhante")</f>
        <v>Compacta, de alta resolução, razor LCD nítida e brilhante</v>
      </c>
      <c r="B50825" s="3">
        <v>1</v>
      </c>
    </row>
    <row r="50826" ht="15.75" customHeight="1" spans="1:2">
      <c r="A50826" s="3" t="str">
        <f>IFERROR(__xludf.DUMMYFUNCTION("GOOGLETRANSLATE(A50826,""en"",""pt"")"),"qualidade da imagem, tamanho compacto, fácil de usar")</f>
        <v>qualidade da imagem, tamanho compacto, fácil de usar</v>
      </c>
      <c r="B50826" s="3">
        <v>1</v>
      </c>
    </row>
    <row r="50827" ht="15.75" customHeight="1" spans="1:2">
      <c r="A50827" s="3" t="str">
        <f>IFERROR(__xludf.DUMMYFUNCTION("GOOGLETRANSLATE(A50827,""en"",""pt"")"),"O tamanho pequeno, cartão xD é muito rápido, fotos nítidas, facilidade de uso")</f>
        <v>O tamanho pequeno, cartão xD é muito rápido, fotos nítidas, facilidade de uso</v>
      </c>
      <c r="B50827" s="3">
        <v>1</v>
      </c>
    </row>
    <row r="50828" ht="15.75" customHeight="1" spans="1:2">
      <c r="A50828" s="3" t="str">
        <f>IFERROR(__xludf.DUMMYFUNCTION("GOOGLETRANSLATE(A50828,""en"",""pt"")"),"design agradável, peso leve, divertido de usar, acessível &amp; amp; super pequeno")</f>
        <v>design agradável, peso leve, divertido de usar, acessível &amp; amp; super pequeno</v>
      </c>
      <c r="B50828" s="3">
        <v>1</v>
      </c>
    </row>
    <row r="50829" ht="15.75" customHeight="1" spans="1:2">
      <c r="A50829" s="3" t="str">
        <f>IFERROR(__xludf.DUMMYFUNCTION("GOOGLETRANSLATE(A50829,""en"",""pt"")"),"resolução de 5 megapixels; lente de zoom óptico 3X f2.8; Longa duração da bateria recarregável")</f>
        <v>resolução de 5 megapixels; lente de zoom óptico 3X f2.8; Longa duração da bateria recarregável</v>
      </c>
      <c r="B50829" s="3">
        <v>1</v>
      </c>
    </row>
    <row r="50830" ht="15.75" customHeight="1" spans="1:2">
      <c r="A50830" s="3" t="str">
        <f>IFERROR(__xludf.DUMMYFUNCTION("GOOGLETRANSLATE(A50830,""en"",""pt"")"),"pequenas, 5 pixels")</f>
        <v>pequenas, 5 pixels</v>
      </c>
      <c r="B50830" s="3">
        <v>1</v>
      </c>
    </row>
    <row r="50831" ht="15.75" customHeight="1" spans="1:2">
      <c r="A50831" s="3" t="str">
        <f>IFERROR(__xludf.DUMMYFUNCTION("GOOGLETRANSLATE(A50831,""en"",""pt"")"),"tamanho compacto, a qualidade boa imagem")</f>
        <v>tamanho compacto, a qualidade boa imagem</v>
      </c>
      <c r="B50831" s="3">
        <v>1</v>
      </c>
    </row>
    <row r="50832" ht="15.75" customHeight="1" spans="1:2">
      <c r="A50832" s="3" t="str">
        <f>IFERROR(__xludf.DUMMYFUNCTION("GOOGLETRANSLATE(A50832,""en"",""pt"")"),"Compactar")</f>
        <v>Compactar</v>
      </c>
      <c r="B50832" s="3">
        <v>1</v>
      </c>
    </row>
    <row r="50833" ht="15.75" customHeight="1" spans="1:2">
      <c r="A50833" s="3" t="str">
        <f>IFERROR(__xludf.DUMMYFUNCTION("GOOGLETRANSLATE(A50833,""en"",""pt"")"),"Ultra compacto, cinco megapixels, opções de exposição manual,")</f>
        <v>Ultra compacto, cinco megapixels, opções de exposição manual,</v>
      </c>
      <c r="B50833" s="3">
        <v>1</v>
      </c>
    </row>
    <row r="50834" ht="15.75" customHeight="1" spans="1:2">
      <c r="A50834" s="3" t="str">
        <f>IFERROR(__xludf.DUMMYFUNCTION("GOOGLETRANSLATE(A50834,""en"",""pt"")"),"Compacto e fácil de transferir fotos para o computador")</f>
        <v>Compacto e fácil de transferir fotos para o computador</v>
      </c>
      <c r="B50834" s="3">
        <v>1</v>
      </c>
    </row>
    <row r="50835" ht="15.75" customHeight="1" spans="1:2">
      <c r="A50835" s="3" t="str">
        <f>IFERROR(__xludf.DUMMYFUNCTION("GOOGLETRANSLATE(A50835,""en"",""pt"")"),"Pequena, cinco megapixels, bateria de iões de lítio / carregador")</f>
        <v>Pequena, cinco megapixels, bateria de iões de lítio / carregador</v>
      </c>
      <c r="B50835" s="3">
        <v>1</v>
      </c>
    </row>
    <row r="50836" ht="15.75" customHeight="1" spans="1:2">
      <c r="A50836" s="3" t="str">
        <f>IFERROR(__xludf.DUMMYFUNCTION("GOOGLETRANSLATE(A50836,""en"",""pt"")"),"pequeno, boa bateria, boa resolução")</f>
        <v>pequeno, boa bateria, boa resolução</v>
      </c>
      <c r="B50836" s="3">
        <v>1</v>
      </c>
    </row>
    <row r="50837" ht="15.75" customHeight="1" spans="1:2">
      <c r="A50837" s="3" t="str">
        <f>IFERROR(__xludf.DUMMYFUNCTION("GOOGLETRANSLATE(A50837,""en"",""pt"")"),"qualidade de imagem, XD cartão de memória Tecnologia, tamanho, peso, duração da bateria")</f>
        <v>qualidade de imagem, XD cartão de memória Tecnologia, tamanho, peso, duração da bateria</v>
      </c>
      <c r="B50837" s="3">
        <v>1</v>
      </c>
    </row>
    <row r="50838" ht="15.75" customHeight="1" spans="1:2">
      <c r="A50838" s="3" t="str">
        <f>IFERROR(__xludf.DUMMYFUNCTION("GOOGLETRANSLATE(A50838,""en"",""pt"")"),"Todo o corpo de metal, tamanho compacto, fácil de usar - e 5 qualidade megapixel")</f>
        <v>Todo o corpo de metal, tamanho compacto, fácil de usar - e 5 qualidade megapixel</v>
      </c>
      <c r="B50838" s="3">
        <v>1</v>
      </c>
    </row>
    <row r="50839" ht="15.75" customHeight="1" spans="1:2">
      <c r="A50839" s="3" t="str">
        <f>IFERROR(__xludf.DUMMYFUNCTION("GOOGLETRANSLATE(A50839,""en"",""pt"")"),"Facilidade de uso, muito boa ergonomia, qualidade excelente imagem")</f>
        <v>Facilidade de uso, muito boa ergonomia, qualidade excelente imagem</v>
      </c>
      <c r="B50839" s="3">
        <v>1</v>
      </c>
    </row>
    <row r="50840" ht="15.75" customHeight="1" spans="1:2">
      <c r="A50840" s="3" t="str">
        <f>IFERROR(__xludf.DUMMYFUNCTION("GOOGLETRANSLATE(A50840,""en"",""pt"")"),"muitos recursos práticos; imagem lindo; cru / formato TIFF; excelente ergonomia &amp; amp; uma verdadeira beleza")</f>
        <v>muitos recursos práticos; imagem lindo; cru / formato TIFF; excelente ergonomia &amp; amp; uma verdadeira beleza</v>
      </c>
      <c r="B50840" s="3">
        <v>1</v>
      </c>
    </row>
    <row r="50841" ht="15.75" customHeight="1" spans="1:2">
      <c r="A50841" s="3" t="str">
        <f>IFERROR(__xludf.DUMMYFUNCTION("GOOGLETRANSLATE(A50841,""en"",""pt"")"),"5 megapixels, pro características, memória triple compatibilidade de formatos de cartão, rápido 3X zoom,")</f>
        <v>5 megapixels, pro características, memória triple compatibilidade de formatos de cartão, rápido 3X zoom,</v>
      </c>
      <c r="B50841" s="3">
        <v>1</v>
      </c>
    </row>
    <row r="50842" ht="15.75" customHeight="1" spans="1:2">
      <c r="A50842" s="3" t="str">
        <f>IFERROR(__xludf.DUMMYFUNCTION("GOOGLETRANSLATE(A50842,""en"",""pt"")"),"fotografar e economia de pouco agradável corpo-fácil de usar-rápida")</f>
        <v>fotografar e economia de pouco agradável corpo-fácil de usar-rápida</v>
      </c>
      <c r="B50842" s="3">
        <v>1</v>
      </c>
    </row>
    <row r="50843" ht="15.75" customHeight="1" spans="1:2">
      <c r="A50843" s="3" t="str">
        <f>IFERROR(__xludf.DUMMYFUNCTION("GOOGLETRANSLATE(A50843,""en"",""pt"")"),"5MP, F / 1.8 lente, sapata, Compact Flash, pilhas AA, de grande valor.")</f>
        <v>5MP, F / 1.8 lente, sapata, Compact Flash, pilhas AA, de grande valor.</v>
      </c>
      <c r="B50843" s="3">
        <v>1</v>
      </c>
    </row>
    <row r="50844" ht="15.75" customHeight="1" spans="1:2">
      <c r="A50844" s="3" t="str">
        <f>IFERROR(__xludf.DUMMYFUNCTION("GOOGLETRANSLATE(A50844,""en"",""pt"")"),"Tamanho compacto, na cor preta, pilhas AA, vem com carregador lento e baterias extra (1700mAh)")</f>
        <v>Tamanho compacto, na cor preta, pilhas AA, vem com carregador lento e baterias extra (1700mAh)</v>
      </c>
      <c r="B50844" s="3">
        <v>1</v>
      </c>
    </row>
    <row r="50845" ht="15.75" customHeight="1" spans="1:2">
      <c r="A50845" s="3" t="str">
        <f>IFERROR(__xludf.DUMMYFUNCTION("GOOGLETRANSLATE(A50845,""en"",""pt"")"),"Faz tudo uma câmera normal de alta qualidade pode fazer ..")</f>
        <v>Faz tudo uma câmera normal de alta qualidade pode fazer ..</v>
      </c>
      <c r="B50845" s="3">
        <v>1</v>
      </c>
    </row>
    <row r="50846" ht="15.75" customHeight="1" spans="1:2">
      <c r="A50846" s="3" t="str">
        <f>IFERROR(__xludf.DUMMYFUNCTION("GOOGLETRANSLATE(A50846,""en"",""pt"")"),"fotos incríveis, grande tamanho, características impressionantes")</f>
        <v>fotos incríveis, grande tamanho, características impressionantes</v>
      </c>
      <c r="B50846" s="3">
        <v>1</v>
      </c>
    </row>
    <row r="50847" ht="15.75" customHeight="1" spans="1:2">
      <c r="A50847" s="3" t="str">
        <f>IFERROR(__xludf.DUMMYFUNCTION("GOOGLETRANSLATE(A50847,""en"",""pt"")"),"imagens de boa qualidade, boas características de manual, acessível")</f>
        <v>imagens de boa qualidade, boas características de manual, acessível</v>
      </c>
      <c r="B50847" s="3">
        <v>1</v>
      </c>
    </row>
    <row r="50848" ht="15.75" customHeight="1" spans="1:2">
      <c r="A50848" s="3" t="str">
        <f>IFERROR(__xludf.DUMMYFUNCTION("GOOGLETRANSLATE(A50848,""en"",""pt"")"),"O tamanho pequeno, corpo de magnésio, ambientes profissionais, e uma lente de vidro inteiro.")</f>
        <v>O tamanho pequeno, corpo de magnésio, ambientes profissionais, e uma lente de vidro inteiro.</v>
      </c>
      <c r="B50848" s="3">
        <v>1</v>
      </c>
    </row>
    <row r="50849" ht="15.75" customHeight="1" spans="1:2">
      <c r="A50849" s="3" t="str">
        <f>IFERROR(__xludf.DUMMYFUNCTION("GOOGLETRANSLATE(A50849,""en"",""pt"")"),"Melhor câmera em todas as suas características.")</f>
        <v>Melhor câmera em todas as suas características.</v>
      </c>
      <c r="B50849" s="3">
        <v>1</v>
      </c>
    </row>
    <row r="50850" ht="15.75" customHeight="1" spans="1:2">
      <c r="A50850" s="3" t="str">
        <f>IFERROR(__xludf.DUMMYFUNCTION("GOOGLETRANSLATE(A50850,""en"",""pt"")"),"Uma grande flexibilidade, o corpo de metal sólido, lente muito rápido.")</f>
        <v>Uma grande flexibilidade, o corpo de metal sólido, lente muito rápido.</v>
      </c>
      <c r="B50850" s="3">
        <v>1</v>
      </c>
    </row>
    <row r="50851" ht="15.75" customHeight="1" spans="1:2">
      <c r="A50851" s="3" t="str">
        <f>IFERROR(__xludf.DUMMYFUNCTION("GOOGLETRANSLATE(A50851,""en"",""pt"")"),"Para um atirador experiente tem grandes figuras.")</f>
        <v>Para um atirador experiente tem grandes figuras.</v>
      </c>
      <c r="B50851" s="3">
        <v>1</v>
      </c>
    </row>
    <row r="50852" ht="15.75" customHeight="1" spans="1:2">
      <c r="A50852" s="3" t="str">
        <f>IFERROR(__xludf.DUMMYFUNCTION("GOOGLETRANSLATE(A50852,""en"",""pt"")"),"Rico em recursos, qualidade de imagem, flexibilidade de mídia de armazenamento")</f>
        <v>Rico em recursos, qualidade de imagem, flexibilidade de mídia de armazenamento</v>
      </c>
      <c r="B50852" s="3">
        <v>1</v>
      </c>
    </row>
    <row r="50853" ht="15.75" customHeight="1" spans="1:2">
      <c r="A50853" s="3" t="str">
        <f>IFERROR(__xludf.DUMMYFUNCTION("GOOGLETRANSLATE(A50853,""en"",""pt"")"),"Flexibilidades, compacidade, noite foto, macro, modo super macro, muitas configurações, o meu modo, historgram, acessórios.,")</f>
        <v>Flexibilidades, compacidade, noite foto, macro, modo super macro, muitas configurações, o meu modo, historgram, acessórios.,</v>
      </c>
      <c r="B50853" s="3">
        <v>1</v>
      </c>
    </row>
    <row r="50854" ht="15.75" customHeight="1" spans="1:2">
      <c r="A50854" s="3" t="str">
        <f>IFERROR(__xludf.DUMMYFUNCTION("GOOGLETRANSLATE(A50854,""en"",""pt"")"),"Excelente qualidade de imagem, bando de recursos, capacidade de usar vários formatos de cartão")</f>
        <v>Excelente qualidade de imagem, bando de recursos, capacidade de usar vários formatos de cartão</v>
      </c>
      <c r="B50854" s="3">
        <v>1</v>
      </c>
    </row>
    <row r="50855" ht="15.75" customHeight="1" spans="1:2">
      <c r="A50855" s="3" t="str">
        <f>IFERROR(__xludf.DUMMYFUNCTION("GOOGLETRANSLATE(A50855,""en"",""pt"")"),"Obter câmera geral")</f>
        <v>Obter câmera geral</v>
      </c>
      <c r="B50855" s="3">
        <v>1</v>
      </c>
    </row>
    <row r="50856" ht="15.75" customHeight="1" spans="1:2">
      <c r="A50856" s="3" t="str">
        <f>IFERROR(__xludf.DUMMYFUNCTION("GOOGLETRANSLATE(A50856,""en"",""pt"")"),"Completa Manual ou Point &amp; amp; Atire, meu modo, as fotografias impressionantes, alta qualidade, grande lente, Capability Subaquático,")</f>
        <v>Completa Manual ou Point &amp; amp; Atire, meu modo, as fotografias impressionantes, alta qualidade, grande lente, Capability Subaquático,</v>
      </c>
      <c r="B50856" s="3">
        <v>1</v>
      </c>
    </row>
    <row r="50857" ht="15.75" customHeight="1" spans="1:2">
      <c r="A50857" s="3" t="str">
        <f>IFERROR(__xludf.DUMMYFUNCTION("GOOGLETRANSLATE(A50857,""en"",""pt"")"),"Grande, imagens nítidas. Boa Macro. Capacidade de configurações de controle manualmente.")</f>
        <v>Grande, imagens nítidas. Boa Macro. Capacidade de configurações de controle manualmente.</v>
      </c>
      <c r="B50857" s="3">
        <v>1</v>
      </c>
    </row>
    <row r="50858" ht="15.75" customHeight="1" spans="1:2">
      <c r="A50858" s="3" t="str">
        <f>IFERROR(__xludf.DUMMYFUNCTION("GOOGLETRANSLATE(A50858,""en"",""pt"")"),"5 MP, F / 1.8 lente, flash controlável, mantas de AA, 3 tipo de cartões de memória, 64 ISO.")</f>
        <v>5 MP, F / 1.8 lente, flash controlável, mantas de AA, 3 tipo de cartões de memória, 64 ISO.</v>
      </c>
      <c r="B50858" s="3">
        <v>1</v>
      </c>
    </row>
    <row r="50859" ht="15.75" customHeight="1" spans="1:2">
      <c r="A50859" s="3" t="str">
        <f>IFERROR(__xludf.DUMMYFUNCTION("GOOGLETRANSLATE(A50859,""en"",""pt"")"),"build passado, esta é uma máquina foto tomada, que é livre de problemas")</f>
        <v>build passado, esta é uma máquina foto tomada, que é livre de problemas</v>
      </c>
      <c r="B50859" s="3">
        <v>1</v>
      </c>
    </row>
    <row r="50860" ht="15.75" customHeight="1" spans="1:2">
      <c r="A50860" s="3" t="str">
        <f>IFERROR(__xludf.DUMMYFUNCTION("GOOGLETRANSLATE(A50860,""en"",""pt"")"),"Alta resolução, tomar 3 cartões &amp; amp diferentes meios de comunicação; tem uma boa lista de modos de disparo.")</f>
        <v>Alta resolução, tomar 3 cartões &amp; amp diferentes meios de comunicação; tem uma boa lista de modos de disparo.</v>
      </c>
      <c r="B50860" s="3">
        <v>1</v>
      </c>
    </row>
    <row r="50861" ht="15.75" customHeight="1" spans="1:2">
      <c r="A50861" s="3" t="str">
        <f>IFERROR(__xludf.DUMMYFUNCTION("GOOGLETRANSLATE(A50861,""en"",""pt"")"),"Excelente qualidade de imagem, Lotes de recursos avançados.")</f>
        <v>Excelente qualidade de imagem, Lotes de recursos avançados.</v>
      </c>
      <c r="B50861" s="3">
        <v>1</v>
      </c>
    </row>
    <row r="50862" ht="15.75" customHeight="1" spans="1:2">
      <c r="A50862" s="3" t="str">
        <f>IFERROR(__xludf.DUMMYFUNCTION("GOOGLETRANSLATE(A50862,""en"",""pt"")"),"Excelente qualidade de imagem, boas opções, boas escolhas bateria, opções de mídia boas.")</f>
        <v>Excelente qualidade de imagem, boas opções, boas escolhas bateria, opções de mídia boas.</v>
      </c>
      <c r="B50862" s="3">
        <v>1</v>
      </c>
    </row>
    <row r="50863" ht="15.75" customHeight="1" spans="1:2">
      <c r="A50863" s="3" t="str">
        <f>IFERROR(__xludf.DUMMYFUNCTION("GOOGLETRANSLATE(A50863,""en"",""pt"")"),"5.2 Mega Pixel")</f>
        <v>5.2 Mega Pixel</v>
      </c>
      <c r="B50863" s="3">
        <v>1</v>
      </c>
    </row>
    <row r="50864" ht="15.75" customHeight="1" spans="1:2">
      <c r="A50864" s="3" t="str">
        <f>IFERROR(__xludf.DUMMYFUNCTION("GOOGLETRANSLATE(A50864,""en"",""pt"")"),"incrível qualidade de imagem, capacidade de filme sem fim, configurações personalizadas, muito fácil de descobrir.")</f>
        <v>incrível qualidade de imagem, capacidade de filme sem fim, configurações personalizadas, muito fácil de descobrir.</v>
      </c>
      <c r="B50864" s="3">
        <v>1</v>
      </c>
    </row>
    <row r="50865" ht="15.75" customHeight="1" spans="1:2">
      <c r="A50865" s="3" t="str">
        <f>IFERROR(__xludf.DUMMYFUNCTION("GOOGLETRANSLATE(A50865,""en"",""pt"")"),"Facilidade de uso Qualidade")</f>
        <v>Facilidade de uso Qualidade</v>
      </c>
      <c r="B50865" s="3">
        <v>1</v>
      </c>
    </row>
    <row r="50866" ht="15.75" customHeight="1" spans="1:2">
      <c r="A50866" s="3" t="str">
        <f>IFERROR(__xludf.DUMMYFUNCTION("GOOGLETRANSLATE(A50866,""en"",""pt"")"),"Afiado, fotos vivas e precisas. Uma câmera completo que pode fazer tudo.")</f>
        <v>Afiado, fotos vivas e precisas. Uma câmera completo que pode fazer tudo.</v>
      </c>
      <c r="B50866" s="3">
        <v>1</v>
      </c>
    </row>
    <row r="50867" ht="15.75" customHeight="1" spans="1:2">
      <c r="A50867" s="3" t="str">
        <f>IFERROR(__xludf.DUMMYFUNCTION("GOOGLETRANSLATE(A50867,""en"",""pt"")"),"Rápido 1.8 lente, controle completo, zoom óptico 3x, excelente ergonomia")</f>
        <v>Rápido 1.8 lente, controle completo, zoom óptico 3x, excelente ergonomia</v>
      </c>
      <c r="B50867" s="3">
        <v>1</v>
      </c>
    </row>
    <row r="50868" ht="15.75" customHeight="1" spans="1:2">
      <c r="A50868" s="3" t="str">
        <f>IFERROR(__xludf.DUMMYFUNCTION("GOOGLETRANSLATE(A50868,""en"",""pt"")"),"qualidade de imagem (se você ler meu comentário)")</f>
        <v>qualidade de imagem (se você ler meu comentário)</v>
      </c>
      <c r="B50868" s="3">
        <v>1</v>
      </c>
    </row>
    <row r="50869" ht="15.75" customHeight="1" spans="1:2">
      <c r="A50869" s="3" t="str">
        <f>IFERROR(__xludf.DUMMYFUNCTION("GOOGLETRANSLATE(A50869,""en"",""pt"")"),"boa qualidade pic, grande flash, software muito bom / menus da câmera.")</f>
        <v>boa qualidade pic, grande flash, software muito bom / menus da câmera.</v>
      </c>
      <c r="B50869" s="3">
        <v>1</v>
      </c>
    </row>
    <row r="50870" ht="15.75" customHeight="1" spans="1:2">
      <c r="A50870" s="3" t="str">
        <f>IFERROR(__xludf.DUMMYFUNCTION("GOOGLETRANSLATE(A50870,""en"",""pt"")"),"Grandes imagens, excelente qualidade de construção, tempo de ciclo rápido, grande flexibilidade, várias opções de mídia de armazenamento.")</f>
        <v>Grandes imagens, excelente qualidade de construção, tempo de ciclo rápido, grande flexibilidade, várias opções de mídia de armazenamento.</v>
      </c>
      <c r="B50870" s="3">
        <v>1</v>
      </c>
    </row>
    <row r="50871" ht="15.75" customHeight="1" spans="1:2">
      <c r="A50871" s="3" t="str">
        <f>IFERROR(__xludf.DUMMYFUNCTION("GOOGLETRANSLATE(A50871,""en"",""pt"")"),"Você pode usar baterias AA regulares para ligá-lo.")</f>
        <v>Você pode usar baterias AA regulares para ligá-lo.</v>
      </c>
      <c r="B50871" s="3">
        <v>1</v>
      </c>
    </row>
    <row r="50872" ht="15.75" customHeight="1" spans="1:2">
      <c r="A50872" s="3" t="str">
        <f>IFERROR(__xludf.DUMMYFUNCTION("GOOGLETRANSLATE(A50872,""en"",""pt"")"),"Muito flexível, sólido e tira ótimas fotos.")</f>
        <v>Muito flexível, sólido e tira ótimas fotos.</v>
      </c>
      <c r="B50872" s="3">
        <v>1</v>
      </c>
    </row>
    <row r="50873" ht="15.75" customHeight="1" spans="1:2">
      <c r="A50873" s="3" t="str">
        <f>IFERROR(__xludf.DUMMYFUNCTION("GOOGLETRANSLATE(A50873,""en"",""pt"")"),"Capaz de ajustar washout. Ótimo para familys com pele clara crianças")</f>
        <v>Capaz de ajustar washout. Ótimo para familys com pele clara crianças</v>
      </c>
      <c r="B50873" s="3">
        <v>1</v>
      </c>
    </row>
    <row r="50874" ht="15.75" customHeight="1" spans="1:2">
      <c r="A50874" s="3" t="str">
        <f>IFERROR(__xludf.DUMMYFUNCTION("GOOGLETRANSLATE(A50874,""en"",""pt"")"),"Grande câmera para saber mais sobre a fotografia.")</f>
        <v>Grande câmera para saber mais sobre a fotografia.</v>
      </c>
      <c r="B50874" s="3">
        <v>1</v>
      </c>
    </row>
    <row r="50875" ht="15.75" customHeight="1" spans="1:2">
      <c r="A50875" s="3" t="str">
        <f>IFERROR(__xludf.DUMMYFUNCTION("GOOGLETRANSLATE(A50875,""en"",""pt"")"),"Menor zoom óptico de 10x, ligação USB, excelente qualidade")</f>
        <v>Menor zoom óptico de 10x, ligação USB, excelente qualidade</v>
      </c>
      <c r="B50875" s="3">
        <v>1</v>
      </c>
    </row>
    <row r="50876" ht="15.75" customHeight="1" spans="1:2">
      <c r="A50876" s="3" t="str">
        <f>IFERROR(__xludf.DUMMYFUNCTION("GOOGLETRANSLATE(A50876,""en"",""pt"")"),"Excelente qualidade de imagem, grande zoom, maior duração da bateria, e uma grande conectividade.")</f>
        <v>Excelente qualidade de imagem, grande zoom, maior duração da bateria, e uma grande conectividade.</v>
      </c>
      <c r="B50876" s="3">
        <v>1</v>
      </c>
    </row>
    <row r="50877" ht="15.75" customHeight="1" spans="1:2">
      <c r="A50877" s="3" t="str">
        <f>IFERROR(__xludf.DUMMYFUNCTION("GOOGLETRANSLATE(A50877,""en"",""pt"")"),"Excelente qualidade de imagem, grande zoom, maior duração da bateria, e uma grande conectividade!")</f>
        <v>Excelente qualidade de imagem, grande zoom, maior duração da bateria, e uma grande conectividade!</v>
      </c>
      <c r="B50877" s="3">
        <v>1</v>
      </c>
    </row>
    <row r="50878" ht="15.75" customHeight="1" spans="1:2">
      <c r="A50878" s="3" t="str">
        <f>IFERROR(__xludf.DUMMYFUNCTION("GOOGLETRANSLATE(A50878,""en"",""pt"")"),"Excelente qualidade de imagem, grande zoom, maior duração da bateria, e uma grande conectividade!")</f>
        <v>Excelente qualidade de imagem, grande zoom, maior duração da bateria, e uma grande conectividade!</v>
      </c>
      <c r="B50878" s="3">
        <v>1</v>
      </c>
    </row>
    <row r="50879" ht="15.75" customHeight="1" spans="1:2">
      <c r="A50879" s="3" t="str">
        <f>IFERROR(__xludf.DUMMYFUNCTION("GOOGLETRANSLATE(A50879,""en"",""pt"")"),"muito à frente da concorrência - esta é praticamente uma SLR Digital!")</f>
        <v>muito à frente da concorrência - esta é praticamente uma SLR Digital!</v>
      </c>
      <c r="B50879" s="3">
        <v>1</v>
      </c>
    </row>
    <row r="50880" ht="15.75" customHeight="1" spans="1:2">
      <c r="A50880" s="3" t="str">
        <f>IFERROR(__xludf.DUMMYFUNCTION("GOOGLETRANSLATE(A50880,""en"",""pt"")"),"Excelente construção, carregado com características e excelente qualidade de imagem!")</f>
        <v>Excelente construção, carregado com características e excelente qualidade de imagem!</v>
      </c>
      <c r="B50880" s="3">
        <v>1</v>
      </c>
    </row>
    <row r="50881" ht="15.75" customHeight="1" spans="1:2">
      <c r="A50881" s="3" t="str">
        <f>IFERROR(__xludf.DUMMYFUNCTION("GOOGLETRANSLATE(A50881,""en"",""pt"")"),"Maravilhosa lente 10x zooms em uma pequena chassi que é fácil de segurar.")</f>
        <v>Maravilhosa lente 10x zooms em uma pequena chassi que é fácil de segurar.</v>
      </c>
      <c r="B50881" s="3">
        <v>1</v>
      </c>
    </row>
    <row r="50882" ht="15.75" customHeight="1" spans="1:2">
      <c r="A50882" s="3" t="str">
        <f>IFERROR(__xludf.DUMMYFUNCTION("GOOGLETRANSLATE(A50882,""en"",""pt"")"),"muitos recursos, pode encontrá-lo pelos preços razoáveis, grande pix")</f>
        <v>muitos recursos, pode encontrá-lo pelos preços razoáveis, grande pix</v>
      </c>
      <c r="B50882" s="3">
        <v>1</v>
      </c>
    </row>
    <row r="50883" ht="15.75" customHeight="1" spans="1:2">
      <c r="A50883" s="3" t="str">
        <f>IFERROR(__xludf.DUMMYFUNCTION("GOOGLETRANSLATE(A50883,""en"",""pt"")"),"zoom de 10X, flexibilidade incrível, modo de filme")</f>
        <v>zoom de 10X, flexibilidade incrível, modo de filme</v>
      </c>
      <c r="B50883" s="3">
        <v>1</v>
      </c>
    </row>
    <row r="50884" ht="15.75" customHeight="1" spans="1:2">
      <c r="A50884" s="3" t="str">
        <f>IFERROR(__xludf.DUMMYFUNCTION("GOOGLETRANSLATE(A50884,""en"",""pt"")"),"10X zoom, capacidade de controlar algumas funções manuais, qualidade de imagem")</f>
        <v>10X zoom, capacidade de controlar algumas funções manuais, qualidade de imagem</v>
      </c>
      <c r="B50884" s="3">
        <v>1</v>
      </c>
    </row>
    <row r="50885" ht="15.75" customHeight="1" spans="1:2">
      <c r="A50885" s="3" t="str">
        <f>IFERROR(__xludf.DUMMYFUNCTION("GOOGLETRANSLATE(A50885,""en"",""pt"")"),"Zoom óptico, a versatilidade, a vida da bateria, tamanho e qualidade da foto")</f>
        <v>Zoom óptico, a versatilidade, a vida da bateria, tamanho e qualidade da foto</v>
      </c>
      <c r="B50885" s="3">
        <v>1</v>
      </c>
    </row>
    <row r="50886" ht="15.75" customHeight="1" spans="1:2">
      <c r="A50886" s="3" t="str">
        <f>IFERROR(__xludf.DUMMYFUNCTION("GOOGLETRANSLATE(A50886,""en"",""pt"")"),"10x Zoom, um toque Balanço de Branco, Size.")</f>
        <v>10x Zoom, um toque Balanço de Branco, Size.</v>
      </c>
      <c r="B50886" s="3">
        <v>1</v>
      </c>
    </row>
    <row r="50887" ht="15.75" customHeight="1" spans="1:2">
      <c r="A50887" s="3" t="str">
        <f>IFERROR(__xludf.DUMMYFUNCTION("GOOGLETRANSLATE(A50887,""en"",""pt"")"),"cor maravilhosa, tamanho pequeno, lotes de controle.")</f>
        <v>cor maravilhosa, tamanho pequeno, lotes de controle.</v>
      </c>
      <c r="B50887" s="3">
        <v>1</v>
      </c>
    </row>
    <row r="50888" ht="15.75" customHeight="1" spans="1:2">
      <c r="A50888" s="3" t="str">
        <f>IFERROR(__xludf.DUMMYFUNCTION("GOOGLETRANSLATE(A50888,""en"",""pt"")"),"zoom grande, pequeno, bem feito, visor eletrônico e boas fotos")</f>
        <v>zoom grande, pequeno, bem feito, visor eletrônico e boas fotos</v>
      </c>
      <c r="B50888" s="3">
        <v>1</v>
      </c>
    </row>
    <row r="50889" ht="15.75" customHeight="1" spans="1:2">
      <c r="A50889" s="3" t="str">
        <f>IFERROR(__xludf.DUMMYFUNCTION("GOOGLETRANSLATE(A50889,""en"",""pt"")"),"QuickTime filme, grande qualidade de imagem")</f>
        <v>QuickTime filme, grande qualidade de imagem</v>
      </c>
      <c r="B50889" s="3">
        <v>1</v>
      </c>
    </row>
    <row r="50890" ht="15.75" customHeight="1" spans="1:2">
      <c r="A50890" s="3" t="str">
        <f>IFERROR(__xludf.DUMMYFUNCTION("GOOGLETRANSLATE(A50890,""en"",""pt"")"),"Clareza de fotos, facilidade de uso")</f>
        <v>Clareza de fotos, facilidade de uso</v>
      </c>
      <c r="B50890" s="3">
        <v>1</v>
      </c>
    </row>
    <row r="50891" ht="15.75" customHeight="1" spans="1:2">
      <c r="A50891" s="3" t="str">
        <f>IFERROR(__xludf.DUMMYFUNCTION("GOOGLETRANSLATE(A50891,""en"",""pt"")"),"zoom total, interface simples")</f>
        <v>zoom total, interface simples</v>
      </c>
      <c r="B50891" s="3">
        <v>1</v>
      </c>
    </row>
    <row r="50892" ht="15.75" customHeight="1" spans="1:2">
      <c r="A50892" s="3" t="str">
        <f>IFERROR(__xludf.DUMMYFUNCTION("GOOGLETRANSLATE(A50892,""en"",""pt"")"),"zoom 10x, os lotes de controles de usuário, fácil em baterias")</f>
        <v>zoom 10x, os lotes de controles de usuário, fácil em baterias</v>
      </c>
      <c r="B50892" s="3">
        <v>1</v>
      </c>
    </row>
    <row r="50893" ht="15.75" customHeight="1" spans="1:2">
      <c r="A50893" s="3" t="str">
        <f>IFERROR(__xludf.DUMMYFUNCTION("GOOGLETRANSLATE(A50893,""en"",""pt"")"),"10x zoom, boas altos-light fotos, usa pilhas AA,")</f>
        <v>10x zoom, boas altos-light fotos, usa pilhas AA,</v>
      </c>
      <c r="B50893" s="3">
        <v>1</v>
      </c>
    </row>
    <row r="50894" ht="15.75" customHeight="1" spans="1:2">
      <c r="A50894" s="3" t="str">
        <f>IFERROR(__xludf.DUMMYFUNCTION("GOOGLETRANSLATE(A50894,""en"",""pt"")"),"Idiot-proof, software plug-n-play, vídeo Quick Time com som, leve e compacto")</f>
        <v>Idiot-proof, software plug-n-play, vídeo Quick Time com som, leve e compacto</v>
      </c>
      <c r="B50894" s="3">
        <v>1</v>
      </c>
    </row>
    <row r="50895" ht="15.75" customHeight="1" spans="1:2">
      <c r="A50895" s="3" t="str">
        <f>IFERROR(__xludf.DUMMYFUNCTION("GOOGLETRANSLATE(A50895,""en"",""pt"")"),"Qualidade, facilidade de uso, zoom")</f>
        <v>Qualidade, facilidade de uso, zoom</v>
      </c>
      <c r="B50895" s="3">
        <v>1</v>
      </c>
    </row>
    <row r="50896" ht="15.75" customHeight="1" spans="1:2">
      <c r="A50896" s="3" t="str">
        <f>IFERROR(__xludf.DUMMYFUNCTION("GOOGLETRANSLATE(A50896,""en"",""pt"")"),"zoom 10x, tamanho pequeno, o modo totalmente manual, conexão driver-less")</f>
        <v>zoom 10x, tamanho pequeno, o modo totalmente manual, conexão driver-less</v>
      </c>
      <c r="B50896" s="3">
        <v>1</v>
      </c>
    </row>
    <row r="50897" ht="15.75" customHeight="1" spans="1:2">
      <c r="A50897" s="3" t="str">
        <f>IFERROR(__xludf.DUMMYFUNCTION("GOOGLETRANSLATE(A50897,""en"",""pt"")"),"Zoom Ótico 10x Compact completa featured, fácil de usar flash bom. Grande Buy.")</f>
        <v>Zoom Ótico 10x Compact completa featured, fácil de usar flash bom. Grande Buy.</v>
      </c>
      <c r="B50897" s="3">
        <v>1</v>
      </c>
    </row>
    <row r="50898" ht="15.75" customHeight="1" spans="1:2">
      <c r="A50898" s="3" t="str">
        <f>IFERROR(__xludf.DUMMYFUNCTION("GOOGLETRANSLATE(A50898,""en"",""pt"")"),"Boas características para o dinheiro.")</f>
        <v>Boas características para o dinheiro.</v>
      </c>
      <c r="B50898" s="3">
        <v>1</v>
      </c>
    </row>
    <row r="50899" ht="15.75" customHeight="1" spans="1:2">
      <c r="A50899" s="3" t="str">
        <f>IFERROR(__xludf.DUMMYFUNCTION("GOOGLETRANSLATE(A50899,""en"",""pt"")"),"fotos de qualidade, lente de qualidade, o ajuste de flash, manual agradável")</f>
        <v>fotos de qualidade, lente de qualidade, o ajuste de flash, manual agradável</v>
      </c>
      <c r="B50899" s="3">
        <v>1</v>
      </c>
    </row>
    <row r="50900" ht="15.75" customHeight="1" spans="1:2">
      <c r="A50900" s="3" t="str">
        <f>IFERROR(__xludf.DUMMYFUNCTION("GOOGLETRANSLATE(A50900,""en"",""pt"")"),"Zoom, facilidade de uso, zoom, Ocular digital, eu fiz menção de zoom?")</f>
        <v>Zoom, facilidade de uso, zoom, Ocular digital, eu fiz menção de zoom?</v>
      </c>
      <c r="B50900" s="3">
        <v>1</v>
      </c>
    </row>
    <row r="50901" ht="15.75" customHeight="1" spans="1:2">
      <c r="A50901" s="3" t="str">
        <f>IFERROR(__xludf.DUMMYFUNCTION("GOOGLETRANSLATE(A50901,""en"",""pt"")"),"Melhor zoom óptico para o preço. câmera de qualidade / lente. Fácil de usar no modo automático.")</f>
        <v>Melhor zoom óptico para o preço. câmera de qualidade / lente. Fácil de usar no modo automático.</v>
      </c>
      <c r="B50901" s="3">
        <v>1</v>
      </c>
    </row>
    <row r="50902" ht="15.75" customHeight="1" spans="1:2">
      <c r="A50902" s="3" t="str">
        <f>IFERROR(__xludf.DUMMYFUNCTION("GOOGLETRANSLATE(A50902,""en"",""pt"")"),"Lentes de zoom")</f>
        <v>Lentes de zoom</v>
      </c>
      <c r="B50902" s="3">
        <v>1</v>
      </c>
    </row>
    <row r="50903" ht="15.75" customHeight="1" spans="1:2">
      <c r="A50903" s="3" t="str">
        <f>IFERROR(__xludf.DUMMYFUNCTION("GOOGLETRANSLATE(A50903,""en"",""pt"")"),"zoom 8x, tamanho compacto, excelentes 3 megapixels,")</f>
        <v>zoom 8x, tamanho compacto, excelentes 3 megapixels,</v>
      </c>
      <c r="B50903" s="3">
        <v>1</v>
      </c>
    </row>
    <row r="50904" ht="15.75" customHeight="1" spans="1:2">
      <c r="A50904" s="3" t="str">
        <f>IFERROR(__xludf.DUMMYFUNCTION("GOOGLETRANSLATE(A50904,""en"",""pt"")"),"velocidade do obturador extremamente rápido, poderoso, claro 8X zoom óptico &amp; amp; bateria de lítio de longa vida")</f>
        <v>velocidade do obturador extremamente rápido, poderoso, claro 8X zoom óptico &amp; amp; bateria de lítio de longa vida</v>
      </c>
      <c r="B50904" s="3">
        <v>1</v>
      </c>
    </row>
    <row r="50905" ht="15.75" customHeight="1" spans="1:2">
      <c r="A50905" s="3" t="str">
        <f>IFERROR(__xludf.DUMMYFUNCTION("GOOGLETRANSLATE(A50905,""en"",""pt"")"),"1) fácil de usar recursos 2) Programação 3) MOTOR DRIVE !!")</f>
        <v>1) fácil de usar recursos 2) Programação 3) MOTOR DRIVE !!</v>
      </c>
      <c r="B50905" s="3">
        <v>1</v>
      </c>
    </row>
    <row r="50906" ht="15.75" customHeight="1" spans="1:2">
      <c r="A50906" s="3" t="str">
        <f>IFERROR(__xludf.DUMMYFUNCTION("GOOGLETRANSLATE(A50906,""en"",""pt"")"),"Grande zoom, ótimo preço, ótimo conceito. Os filmes QuickTime são um plus")</f>
        <v>Grande zoom, ótimo preço, ótimo conceito. Os filmes QuickTime são um plus</v>
      </c>
      <c r="B50906" s="3">
        <v>1</v>
      </c>
    </row>
    <row r="50907" ht="15.75" customHeight="1" spans="1:2">
      <c r="A50907" s="3" t="str">
        <f>IFERROR(__xludf.DUMMYFUNCTION("GOOGLETRANSLATE(A50907,""en"",""pt"")"),"A resolução e as cores são lindas. Pode ser usado para ampliações.")</f>
        <v>A resolução e as cores são lindas. Pode ser usado para ampliações.</v>
      </c>
      <c r="B50907" s="3">
        <v>1</v>
      </c>
    </row>
    <row r="50908" ht="15.75" customHeight="1" spans="1:2">
      <c r="A50908" s="3" t="str">
        <f>IFERROR(__xludf.DUMMYFUNCTION("GOOGLETRANSLATE(A50908,""en"",""pt"")"),"Big zoom. Grandes características. Muito fácil de usar. tiros agradáveis ​​com boas cores.")</f>
        <v>Big zoom. Grandes características. Muito fácil de usar. tiros agradáveis ​​com boas cores.</v>
      </c>
      <c r="B50908" s="3">
        <v>1</v>
      </c>
    </row>
    <row r="50909" ht="15.75" customHeight="1" spans="1:2">
      <c r="A50909" s="3" t="str">
        <f>IFERROR(__xludf.DUMMYFUNCTION("GOOGLETRANSLATE(A50909,""en"",""pt"")"),"função de zoom agradável, boa vida útil da bateria")</f>
        <v>função de zoom agradável, boa vida útil da bateria</v>
      </c>
      <c r="B50909" s="3">
        <v>1</v>
      </c>
    </row>
    <row r="50910" ht="15.75" customHeight="1" spans="1:2">
      <c r="A50910" s="3" t="str">
        <f>IFERROR(__xludf.DUMMYFUNCTION("GOOGLETRANSLATE(A50910,""en"",""pt"")"),"imagens claras, facilidade de visualização, ótimo para um dono de câmera digital primeira vez")</f>
        <v>imagens claras, facilidade de visualização, ótimo para um dono de câmera digital primeira vez</v>
      </c>
      <c r="B50910" s="3">
        <v>1</v>
      </c>
    </row>
    <row r="50911" ht="15.75" customHeight="1" spans="1:2">
      <c r="A50911" s="3" t="str">
        <f>IFERROR(__xludf.DUMMYFUNCTION("GOOGLETRANSLATE(A50911,""en"",""pt"")"),"Grande zoom óptico")</f>
        <v>Grande zoom óptico</v>
      </c>
      <c r="B50911" s="3">
        <v>1</v>
      </c>
    </row>
    <row r="50912" ht="15.75" customHeight="1" spans="1:2">
      <c r="A50912" s="3" t="str">
        <f>IFERROR(__xludf.DUMMYFUNCTION("GOOGLETRANSLATE(A50912,""en"",""pt"")"),"Excelente para impressões de até 11x17 ou maior")</f>
        <v>Excelente para impressões de até 11x17 ou maior</v>
      </c>
      <c r="B50912" s="3">
        <v>1</v>
      </c>
    </row>
    <row r="50913" ht="15.75" customHeight="1" spans="1:2">
      <c r="A50913" s="3" t="str">
        <f>IFERROR(__xludf.DUMMYFUNCTION("GOOGLETRANSLATE(A50913,""en"",""pt"")"),"Grandes imagens, muitas opções, zoom óptico de 10x!")</f>
        <v>Grandes imagens, muitas opções, zoom óptico de 10x!</v>
      </c>
      <c r="B50913" s="3">
        <v>1</v>
      </c>
    </row>
    <row r="50914" ht="15.75" customHeight="1" spans="1:2">
      <c r="A50914" s="3" t="str">
        <f>IFERROR(__xludf.DUMMYFUNCTION("GOOGLETRANSLATE(A50914,""en"",""pt"")"),"Grande Zoom. Excelente qualidade óptica.")</f>
        <v>Grande Zoom. Excelente qualidade óptica.</v>
      </c>
      <c r="B50914" s="3">
        <v>1</v>
      </c>
    </row>
    <row r="50915" ht="15.75" customHeight="1" spans="1:2">
      <c r="A50915" s="3" t="str">
        <f>IFERROR(__xludf.DUMMYFUNCTION("GOOGLETRANSLATE(A50915,""en"",""pt"")"),"Monstro 10X zoom, tamanho compacto, grande autonomia da bateria,")</f>
        <v>Monstro 10X zoom, tamanho compacto, grande autonomia da bateria,</v>
      </c>
      <c r="B50915" s="3">
        <v>1</v>
      </c>
    </row>
    <row r="50916" ht="15.75" customHeight="1" spans="1:2">
      <c r="A50916" s="3" t="str">
        <f>IFERROR(__xludf.DUMMYFUNCTION("GOOGLETRANSLATE(A50916,""en"",""pt"")"),"Excelente qualidade de imagem, zoom fantástica e tamanho pequeno")</f>
        <v>Excelente qualidade de imagem, zoom fantástica e tamanho pequeno</v>
      </c>
      <c r="B50916" s="3">
        <v>1</v>
      </c>
    </row>
    <row r="50917" ht="15.75" customHeight="1" spans="1:2">
      <c r="A50917" s="3" t="str">
        <f>IFERROR(__xludf.DUMMYFUNCTION("GOOGLETRANSLATE(A50917,""en"",""pt"")"),"Valor, modos de fábrica, provável duração da bateria, zoom óptico de 10x, resultados impressos")</f>
        <v>Valor, modos de fábrica, provável duração da bateria, zoom óptico de 10x, resultados impressos</v>
      </c>
      <c r="B50917" s="3">
        <v>1</v>
      </c>
    </row>
    <row r="50918" ht="15.75" customHeight="1" spans="1:2">
      <c r="A50918" s="3" t="str">
        <f>IFERROR(__xludf.DUMMYFUNCTION("GOOGLETRANSLATE(A50918,""en"",""pt"")"),"Boa menu e funcionalidades")</f>
        <v>Boa menu e funcionalidades</v>
      </c>
      <c r="B50918" s="3">
        <v>1</v>
      </c>
    </row>
    <row r="50919" ht="15.75" customHeight="1" spans="1:2">
      <c r="A50919" s="3" t="str">
        <f>IFERROR(__xludf.DUMMYFUNCTION("GOOGLETRANSLATE(A50919,""en"",""pt"")"),"Muito boa lente zoom, boas imagens em situações de alto contraste")</f>
        <v>Muito boa lente zoom, boas imagens em situações de alto contraste</v>
      </c>
      <c r="B50919" s="3">
        <v>1</v>
      </c>
    </row>
    <row r="50920" ht="15.75" customHeight="1" spans="1:2">
      <c r="A50920" s="3" t="str">
        <f>IFERROR(__xludf.DUMMYFUNCTION("GOOGLETRANSLATE(A50920,""en"",""pt"")"),"Zoom Ótico 10x, fácil de usar")</f>
        <v>Zoom Ótico 10x, fácil de usar</v>
      </c>
      <c r="B50920" s="3">
        <v>1</v>
      </c>
    </row>
    <row r="50921" ht="15.75" customHeight="1" spans="1:2">
      <c r="A50921" s="3" t="str">
        <f>IFERROR(__xludf.DUMMYFUNCTION("GOOGLETRANSLATE(A50921,""en"",""pt"")"),"Fácil de disparar com e ótimas fotos; Convenientemente preço e toneladas de recursos")</f>
        <v>Fácil de disparar com e ótimas fotos; Convenientemente preço e toneladas de recursos</v>
      </c>
      <c r="B50921" s="3">
        <v>1</v>
      </c>
    </row>
    <row r="50922" ht="15.75" customHeight="1" spans="1:2">
      <c r="A50922" s="3" t="str">
        <f>IFERROR(__xludf.DUMMYFUNCTION("GOOGLETRANSLATE(A50922,""en"",""pt"")"),"Quase aceitável como um Pro-Am câmara")</f>
        <v>Quase aceitável como um Pro-Am câmara</v>
      </c>
      <c r="B50922" s="3">
        <v>1</v>
      </c>
    </row>
    <row r="50923" ht="15.75" customHeight="1" spans="1:2">
      <c r="A50923" s="3" t="str">
        <f>IFERROR(__xludf.DUMMYFUNCTION("GOOGLETRANSLATE(A50923,""en"",""pt"")"),"Uma tonelada de recursos por um preço luz.")</f>
        <v>Uma tonelada de recursos por um preço luz.</v>
      </c>
      <c r="B50923" s="3">
        <v>1</v>
      </c>
    </row>
    <row r="50924" ht="15.75" customHeight="1" spans="1:2">
      <c r="A50924" s="3" t="str">
        <f>IFERROR(__xludf.DUMMYFUNCTION("GOOGLETRANSLATE(A50924,""en"",""pt"")"),"10x zoom óptico. Cor e qualidade !. DIVERSÃO!")</f>
        <v>10x zoom óptico. Cor e qualidade !. DIVERSÃO!</v>
      </c>
      <c r="B50924" s="3">
        <v>1</v>
      </c>
    </row>
    <row r="50925" ht="15.75" customHeight="1" spans="1:2">
      <c r="A50925" s="3" t="str">
        <f>IFERROR(__xludf.DUMMYFUNCTION("GOOGLETRANSLATE(A50925,""en"",""pt"")"),"sapata de flash, 10x, pré-definidos modos, tamanho, pilhas AA.")</f>
        <v>sapata de flash, 10x, pré-definidos modos, tamanho, pilhas AA.</v>
      </c>
      <c r="B50925" s="3">
        <v>1</v>
      </c>
    </row>
    <row r="50926" ht="15.75" customHeight="1" spans="1:2">
      <c r="A50926" s="3" t="str">
        <f>IFERROR(__xludf.DUMMYFUNCTION("GOOGLETRANSLATE(A50926,""en"",""pt"")"),"Excelentes fotos, usá-lo no modo automático ou fazer todas as suas configurações manuais!")</f>
        <v>Excelentes fotos, usá-lo no modo automático ou fazer todas as suas configurações manuais!</v>
      </c>
      <c r="B50926" s="3">
        <v>1</v>
      </c>
    </row>
    <row r="50927" ht="15.75" customHeight="1" spans="1:2">
      <c r="A50927" s="3" t="str">
        <f>IFERROR(__xludf.DUMMYFUNCTION("GOOGLETRANSLATE(A50927,""en"",""pt"")"),"zoom 10x, 4 megapixels, maior duração da bateria,")</f>
        <v>zoom 10x, 4 megapixels, maior duração da bateria,</v>
      </c>
      <c r="B50927" s="3">
        <v>1</v>
      </c>
    </row>
    <row r="50928" ht="15.75" customHeight="1" spans="1:2">
      <c r="A50928" s="3" t="str">
        <f>IFERROR(__xludf.DUMMYFUNCTION("GOOGLETRANSLATE(A50928,""en"",""pt"")"),"zoom de 10X é ótimo juntamente com a resolução 4Meg.")</f>
        <v>zoom de 10X é ótimo juntamente com a resolução 4Meg.</v>
      </c>
      <c r="B50928" s="3">
        <v>1</v>
      </c>
    </row>
    <row r="50929" ht="15.75" customHeight="1" spans="1:2">
      <c r="A50929" s="3" t="str">
        <f>IFERROR(__xludf.DUMMYFUNCTION("GOOGLETRANSLATE(A50929,""en"",""pt"")"),"Ultra Zoom!")</f>
        <v>Ultra Zoom!</v>
      </c>
      <c r="B50929" s="3">
        <v>1</v>
      </c>
    </row>
    <row r="50930" ht="15.75" customHeight="1" spans="1:2">
      <c r="A50930" s="3" t="str">
        <f>IFERROR(__xludf.DUMMYFUNCTION("GOOGLETRANSLATE(A50930,""en"",""pt"")"),"Tamanho, xD, zoom óptico de 10X, 4 megpix dá fotos de alta qualidade, facilidade de uso")</f>
        <v>Tamanho, xD, zoom óptico de 10X, 4 megpix dá fotos de alta qualidade, facilidade de uso</v>
      </c>
      <c r="B50930" s="3">
        <v>1</v>
      </c>
    </row>
    <row r="50931" ht="15.75" customHeight="1" spans="1:2">
      <c r="A50931" s="3" t="str">
        <f>IFERROR(__xludf.DUMMYFUNCTION("GOOGLETRANSLATE(A50931,""en"",""pt"")"),"capacidade Grande Zoom. As baterias recarregáveis ​​com vida longa. leve. grande serviço ao cliente. XD Picture Card")</f>
        <v>capacidade Grande Zoom. As baterias recarregáveis ​​com vida longa. leve. grande serviço ao cliente. XD Picture Card</v>
      </c>
      <c r="B50931" s="3">
        <v>1</v>
      </c>
    </row>
    <row r="50932" ht="15.75" customHeight="1" spans="1:2">
      <c r="A50932" s="3" t="str">
        <f>IFERROR(__xludf.DUMMYFUNCTION("GOOGLETRANSLATE(A50932,""en"",""pt"")"),"Zoom óptico de 10x, memória xd, um monte de ""ad-ons"" disponível")</f>
        <v>Zoom óptico de 10x, memória xd, um monte de "ad-ons" disponível</v>
      </c>
      <c r="B50932" s="3">
        <v>1</v>
      </c>
    </row>
    <row r="50933" ht="15.75" customHeight="1" spans="1:2">
      <c r="A50933" s="3" t="str">
        <f>IFERROR(__xludf.DUMMYFUNCTION("GOOGLETRANSLATE(A50933,""en"",""pt"")"),"Durável, confiável, tem as características básicas que eu quero")</f>
        <v>Durável, confiável, tem as características básicas que eu quero</v>
      </c>
      <c r="B50933" s="3">
        <v>1</v>
      </c>
    </row>
    <row r="50934" ht="15.75" customHeight="1" spans="1:2">
      <c r="A50934" s="3" t="str">
        <f>IFERROR(__xludf.DUMMYFUNCTION("GOOGLETRANSLATE(A50934,""en"",""pt"")"),"Robusto, com bom aspecto, display LCD agradável, razoável em baterias, meios de smartcard é útil")</f>
        <v>Robusto, com bom aspecto, display LCD agradável, razoável em baterias, meios de smartcard é útil</v>
      </c>
      <c r="B50934" s="3">
        <v>1</v>
      </c>
    </row>
    <row r="50935" ht="15.75" customHeight="1" spans="1:2">
      <c r="A50935" s="3" t="str">
        <f>IFERROR(__xludf.DUMMYFUNCTION("GOOGLETRANSLATE(A50935,""en"",""pt"")"),"preço razoável, boas características para o dinheiro")</f>
        <v>preço razoável, boas características para o dinheiro</v>
      </c>
      <c r="B50935" s="3">
        <v>1</v>
      </c>
    </row>
    <row r="50936" ht="15.75" customHeight="1" spans="1:2">
      <c r="A50936" s="3" t="str">
        <f>IFERROR(__xludf.DUMMYFUNCTION("GOOGLETRANSLATE(A50936,""en"",""pt"")"),"Fácil de usar. Toma fotos decentes.")</f>
        <v>Fácil de usar. Toma fotos decentes.</v>
      </c>
      <c r="B50936" s="3">
        <v>1</v>
      </c>
    </row>
    <row r="50937" ht="15.75" customHeight="1" spans="1:2">
      <c r="A50937" s="3" t="str">
        <f>IFERROR(__xludf.DUMMYFUNCTION("GOOGLETRANSLATE(A50937,""en"",""pt"")"),"atirador bem equilibrada; conveniência, fácil de usar")</f>
        <v>atirador bem equilibrada; conveniência, fácil de usar</v>
      </c>
      <c r="B50937" s="3">
        <v>1</v>
      </c>
    </row>
    <row r="50938" ht="15.75" customHeight="1" spans="1:2">
      <c r="A50938" s="3" t="str">
        <f>IFERROR(__xludf.DUMMYFUNCTION("GOOGLETRANSLATE(A50938,""en"",""pt"")"),"Muito fácil de usar, leva imagens de alta qualidade, pode conter até 64 megas.")</f>
        <v>Muito fácil de usar, leva imagens de alta qualidade, pode conter até 64 megas.</v>
      </c>
      <c r="B50938" s="3">
        <v>1</v>
      </c>
    </row>
    <row r="50939" ht="15.75" customHeight="1" spans="1:2">
      <c r="A50939" s="3" t="str">
        <f>IFERROR(__xludf.DUMMYFUNCTION("GOOGLETRANSLATE(A50939,""en"",""pt"")"),"Camera A Great 1.2Mb Digital")</f>
        <v>Camera A Great 1.2Mb Digital</v>
      </c>
      <c r="B50939" s="3">
        <v>1</v>
      </c>
    </row>
    <row r="50940" ht="15.75" customHeight="1" spans="1:2">
      <c r="A50940" s="3" t="str">
        <f>IFERROR(__xludf.DUMMYFUNCTION("GOOGLETRANSLATE(A50940,""en"",""pt"")"),"Ótima câmera, excelente qualidade de imagem, e uma lente zoom para close-ups!")</f>
        <v>Ótima câmera, excelente qualidade de imagem, e uma lente zoom para close-ups!</v>
      </c>
      <c r="B50940" s="3">
        <v>1</v>
      </c>
    </row>
    <row r="50941" ht="15.75" customHeight="1" spans="1:2">
      <c r="A50941" s="3" t="str">
        <f>IFERROR(__xludf.DUMMYFUNCTION("GOOGLETRANSLATE(A50941,""en"",""pt"")"),"muito acessível, imagens de alta qualidade")</f>
        <v>muito acessível, imagens de alta qualidade</v>
      </c>
      <c r="B50941" s="3">
        <v>1</v>
      </c>
    </row>
    <row r="50942" ht="15.75" customHeight="1" spans="1:2">
      <c r="A50942" s="3" t="str">
        <f>IFERROR(__xludf.DUMMYFUNCTION("GOOGLETRANSLATE(A50942,""en"",""pt"")"),"Barato, compacto, leve, fácil de usar, maravilhosamente batata frita fotos! A melhor compra!")</f>
        <v>Barato, compacto, leve, fácil de usar, maravilhosamente batata frita fotos! A melhor compra!</v>
      </c>
      <c r="B50942" s="3">
        <v>1</v>
      </c>
    </row>
    <row r="50943" ht="15.75" customHeight="1" spans="1:2">
      <c r="A50943" s="3" t="str">
        <f>IFERROR(__xludf.DUMMYFUNCTION("GOOGLETRANSLATE(A50943,""en"",""pt"")"),"Fácil para iniciantes.")</f>
        <v>Fácil para iniciantes.</v>
      </c>
      <c r="B50943" s="3">
        <v>1</v>
      </c>
    </row>
    <row r="50944" ht="15.75" customHeight="1" spans="1:2">
      <c r="A50944" s="3" t="str">
        <f>IFERROR(__xludf.DUMMYFUNCTION("GOOGLETRANSLATE(A50944,""en"",""pt"")"),"Esta é uma câmera muito versátil e tem muito boas fotos")</f>
        <v>Esta é uma câmera muito versátil e tem muito boas fotos</v>
      </c>
      <c r="B50944" s="3">
        <v>1</v>
      </c>
    </row>
    <row r="50945" ht="15.75" customHeight="1" spans="1:2">
      <c r="A50945" s="3" t="str">
        <f>IFERROR(__xludf.DUMMYFUNCTION("GOOGLETRANSLATE(A50945,""en"",""pt"")"),"Excelente qualidade de imagem, fácil de usar.")</f>
        <v>Excelente qualidade de imagem, fácil de usar.</v>
      </c>
      <c r="B50945" s="3">
        <v>1</v>
      </c>
    </row>
    <row r="50946" ht="15.75" customHeight="1" spans="1:2">
      <c r="A50946" s="3" t="str">
        <f>IFERROR(__xludf.DUMMYFUNCTION("GOOGLETRANSLATE(A50946,""en"",""pt"")"),"As imagens são facilmente visualizados na tv via vídeo em cabo.")</f>
        <v>As imagens são facilmente visualizados na tv via vídeo em cabo.</v>
      </c>
      <c r="B50946" s="3">
        <v>1</v>
      </c>
    </row>
    <row r="50947" ht="15.75" customHeight="1" spans="1:2">
      <c r="A50947" s="3" t="str">
        <f>IFERROR(__xludf.DUMMYFUNCTION("GOOGLETRANSLATE(A50947,""en"",""pt"")"),"Barato, fácil de usar, o software incluído é bom. tira boas 1.3 megapixels fotos.")</f>
        <v>Barato, fácil de usar, o software incluído é bom. tira boas 1.3 megapixels fotos.</v>
      </c>
      <c r="B50947" s="3">
        <v>1</v>
      </c>
    </row>
    <row r="50948" ht="15.75" customHeight="1" spans="1:2">
      <c r="A50948" s="3" t="str">
        <f>IFERROR(__xludf.DUMMYFUNCTION("GOOGLETRANSLATE(A50948,""en"",""pt"")"),"Excelente qualidade de foto, flash forte, alto nível de ampliação")</f>
        <v>Excelente qualidade de foto, flash forte, alto nível de ampliação</v>
      </c>
      <c r="B50948" s="3">
        <v>1</v>
      </c>
    </row>
    <row r="50949" ht="15.75" customHeight="1" spans="1:2">
      <c r="A50949" s="3" t="str">
        <f>IFERROR(__xludf.DUMMYFUNCTION("GOOGLETRANSLATE(A50949,""en"",""pt"")"),"View Finder, download para um computador,")</f>
        <v>View Finder, download para um computador,</v>
      </c>
      <c r="B50949" s="3">
        <v>1</v>
      </c>
    </row>
    <row r="50950" ht="15.75" customHeight="1" spans="1:2">
      <c r="A50950" s="3" t="str">
        <f>IFERROR(__xludf.DUMMYFUNCTION("GOOGLETRANSLATE(A50950,""en"",""pt"")"),"Amor as opções de visualização de imagem antes de fazer upload para o computador.")</f>
        <v>Amor as opções de visualização de imagem antes de fazer upload para o computador.</v>
      </c>
      <c r="B50950" s="3">
        <v>1</v>
      </c>
    </row>
    <row r="50951" ht="15.75" customHeight="1" spans="1:2">
      <c r="A50951" s="3" t="str">
        <f>IFERROR(__xludf.DUMMYFUNCTION("GOOGLETRANSLATE(A50951,""en"",""pt"")"),"Barato")</f>
        <v>Barato</v>
      </c>
      <c r="B50951" s="3">
        <v>1</v>
      </c>
    </row>
    <row r="50952" ht="15.75" customHeight="1" spans="1:2">
      <c r="A50952" s="3" t="str">
        <f>IFERROR(__xludf.DUMMYFUNCTION("GOOGLETRANSLATE(A50952,""en"",""pt"")"),"Imagens de grande qualidade")</f>
        <v>Imagens de grande qualidade</v>
      </c>
      <c r="B50952" s="3">
        <v>1</v>
      </c>
    </row>
    <row r="50953" ht="15.75" customHeight="1" spans="1:2">
      <c r="A50953" s="3" t="str">
        <f>IFERROR(__xludf.DUMMYFUNCTION("GOOGLETRANSLATE(A50953,""en"",""pt"")"),"peso leve, fácil de usar, tem grandes figuras")</f>
        <v>peso leve, fácil de usar, tem grandes figuras</v>
      </c>
      <c r="B50953" s="3">
        <v>1</v>
      </c>
    </row>
    <row r="50954" ht="15.75" customHeight="1" spans="1:2">
      <c r="A50954" s="3" t="str">
        <f>IFERROR(__xludf.DUMMYFUNCTION("GOOGLETRANSLATE(A50954,""en"",""pt"")"),"Imagens de alta qualidade, baixo preço, excelente flash, display LCD brilhante, excelente capacidade de imagem")</f>
        <v>Imagens de alta qualidade, baixo preço, excelente flash, display LCD brilhante, excelente capacidade de imagem</v>
      </c>
      <c r="B50954" s="3">
        <v>1</v>
      </c>
    </row>
    <row r="50955" ht="15.75" customHeight="1" spans="1:2">
      <c r="A50955" s="3" t="str">
        <f>IFERROR(__xludf.DUMMYFUNCTION("GOOGLETRANSLATE(A50955,""en"",""pt"")"),"Compacto, fácil de usar, tirar ótimas fotos.")</f>
        <v>Compacto, fácil de usar, tirar ótimas fotos.</v>
      </c>
      <c r="B50955" s="3">
        <v>1</v>
      </c>
    </row>
    <row r="50956" ht="15.75" customHeight="1" spans="1:2">
      <c r="A50956" s="3" t="str">
        <f>IFERROR(__xludf.DUMMYFUNCTION("GOOGLETRANSLATE(A50956,""en"",""pt"")"),"Imagens nítidas, fácil de usar")</f>
        <v>Imagens nítidas, fácil de usar</v>
      </c>
      <c r="B50956" s="3">
        <v>1</v>
      </c>
    </row>
    <row r="50957" ht="15.75" customHeight="1" spans="1:2">
      <c r="A50957" s="3" t="str">
        <f>IFERROR(__xludf.DUMMYFUNCTION("GOOGLETRANSLATE(A50957,""en"",""pt"")"),"bonito, peso leve, simples de usar")</f>
        <v>bonito, peso leve, simples de usar</v>
      </c>
      <c r="B50957" s="3">
        <v>1</v>
      </c>
    </row>
    <row r="50958" ht="15.75" customHeight="1" spans="1:2">
      <c r="A50958" s="3" t="str">
        <f>IFERROR(__xludf.DUMMYFUNCTION("GOOGLETRANSLATE(A50958,""en"",""pt"")"),"Grande apresenta a um preço de nível de entrada")</f>
        <v>Grande apresenta a um preço de nível de entrada</v>
      </c>
      <c r="B50958" s="3">
        <v>1</v>
      </c>
    </row>
    <row r="50959" ht="15.75" customHeight="1" spans="1:2">
      <c r="A50959" s="3" t="str">
        <f>IFERROR(__xludf.DUMMYFUNCTION("GOOGLETRANSLATE(A50959,""en"",""pt"")"),"boa qualidade e barato")</f>
        <v>boa qualidade e barato</v>
      </c>
      <c r="B50959" s="3">
        <v>1</v>
      </c>
    </row>
    <row r="50960" ht="15.75" customHeight="1" spans="1:2">
      <c r="A50960" s="3" t="str">
        <f>IFERROR(__xludf.DUMMYFUNCTION("GOOGLETRANSLATE(A50960,""en"",""pt"")"),"Boa câmera, bom preço")</f>
        <v>Boa câmera, bom preço</v>
      </c>
      <c r="B50960" s="3">
        <v>1</v>
      </c>
    </row>
    <row r="50961" ht="15.75" customHeight="1" spans="1:2">
      <c r="A50961" s="3" t="str">
        <f>IFERROR(__xludf.DUMMYFUNCTION("GOOGLETRANSLATE(A50961,""en"",""pt"")"),"Grandes fotos, download rápido para o meu PC (conector USB incluído)")</f>
        <v>Grandes fotos, download rápido para o meu PC (conector USB incluído)</v>
      </c>
      <c r="B50961" s="3">
        <v>1</v>
      </c>
    </row>
    <row r="50962" ht="15.75" customHeight="1" spans="1:2">
      <c r="A50962" s="3" t="str">
        <f>IFERROR(__xludf.DUMMYFUNCTION("GOOGLETRANSLATE(A50962,""en"",""pt"")"),"baixo custo, fácil de usar")</f>
        <v>baixo custo, fácil de usar</v>
      </c>
      <c r="B50962" s="3">
        <v>1</v>
      </c>
    </row>
    <row r="50963" ht="15.75" customHeight="1" spans="1:2">
      <c r="A50963" s="3" t="str">
        <f>IFERROR(__xludf.DUMMYFUNCTION("GOOGLETRANSLATE(A50963,""en"",""pt"")"),"Qualidade da foto")</f>
        <v>Qualidade da foto</v>
      </c>
      <c r="B50963" s="3">
        <v>1</v>
      </c>
    </row>
    <row r="50964" ht="15.75" customHeight="1" spans="1:2">
      <c r="A50964" s="3" t="str">
        <f>IFERROR(__xludf.DUMMYFUNCTION("GOOGLETRANSLATE(A50964,""en"",""pt"")"),"excelentes fotos de qualidade")</f>
        <v>excelentes fotos de qualidade</v>
      </c>
      <c r="B50964" s="3">
        <v>1</v>
      </c>
    </row>
    <row r="50965" ht="15.75" customHeight="1" spans="1:2">
      <c r="A50965" s="3" t="str">
        <f>IFERROR(__xludf.DUMMYFUNCTION("GOOGLETRANSLATE(A50965,""en"",""pt"")"),"$ 275, Compact, Fun")</f>
        <v>$ 275, Compact, Fun</v>
      </c>
      <c r="B50965" s="3">
        <v>1</v>
      </c>
    </row>
    <row r="50966" ht="15.75" customHeight="1" spans="1:2">
      <c r="A50966" s="3" t="str">
        <f>IFERROR(__xludf.DUMMYFUNCTION("GOOGLETRANSLATE(A50966,""en"",""pt"")"),"Excelentes imagens, grande autonomia da bateria, facilidade de uso")</f>
        <v>Excelentes imagens, grande autonomia da bateria, facilidade de uso</v>
      </c>
      <c r="B50966" s="3">
        <v>1</v>
      </c>
    </row>
    <row r="50967" ht="15.75" customHeight="1" spans="1:2">
      <c r="A50967" s="3" t="str">
        <f>IFERROR(__xludf.DUMMYFUNCTION("GOOGLETRANSLATE(A50967,""en"",""pt"")"),"preço, foco automático, e outros recursos")</f>
        <v>preço, foco automático, e outros recursos</v>
      </c>
      <c r="B50967" s="3">
        <v>1</v>
      </c>
    </row>
    <row r="50968" ht="15.75" customHeight="1" spans="1:2">
      <c r="A50968" s="3" t="str">
        <f>IFERROR(__xludf.DUMMYFUNCTION("GOOGLETRANSLATE(A50968,""en"",""pt"")"),"Fácil, ótimo preço, grandes recursos")</f>
        <v>Fácil, ótimo preço, grandes recursos</v>
      </c>
      <c r="B50968" s="3">
        <v>1</v>
      </c>
    </row>
    <row r="50969" ht="15.75" customHeight="1" spans="1:2">
      <c r="A50969" s="3" t="str">
        <f>IFERROR(__xludf.DUMMYFUNCTION("GOOGLETRANSLATE(A50969,""en"",""pt"")"),"Geralmente fácil de usar; Ótimas fotos")</f>
        <v>Geralmente fácil de usar; Ótimas fotos</v>
      </c>
      <c r="B50969" s="3">
        <v>1</v>
      </c>
    </row>
    <row r="50970" ht="15.75" customHeight="1" spans="1:2">
      <c r="A50970" s="3" t="str">
        <f>IFERROR(__xludf.DUMMYFUNCTION("GOOGLETRANSLATE(A50970,""en"",""pt"")"),"Fácil de usar, ótimas fotos, quase à prova de erro!")</f>
        <v>Fácil de usar, ótimas fotos, quase à prova de erro!</v>
      </c>
      <c r="B50970" s="3">
        <v>1</v>
      </c>
    </row>
    <row r="50971" ht="15.75" customHeight="1" spans="1:2">
      <c r="A50971" s="3" t="str">
        <f>IFERROR(__xludf.DUMMYFUNCTION("GOOGLETRANSLATE(A50971,""en"",""pt"")"),"Modelo mais amplamente recomendada, de longe,")</f>
        <v>Modelo mais amplamente recomendada, de longe,</v>
      </c>
      <c r="B50971" s="3">
        <v>1</v>
      </c>
    </row>
    <row r="50972" ht="15.75" customHeight="1" spans="1:2">
      <c r="A50972" s="3" t="str">
        <f>IFERROR(__xludf.DUMMYFUNCTION("GOOGLETRANSLATE(A50972,""en"",""pt"")"),"Barato, excelente qualidade de imagem")</f>
        <v>Barato, excelente qualidade de imagem</v>
      </c>
      <c r="B50972" s="3">
        <v>1</v>
      </c>
    </row>
    <row r="50973" ht="15.75" customHeight="1" spans="1:2">
      <c r="A50973" s="3" t="str">
        <f>IFERROR(__xludf.DUMMYFUNCTION("GOOGLETRANSLATE(A50973,""en"",""pt"")"),"Toma excelentes fotos! Fácil de aprender a utilizar este produto.")</f>
        <v>Toma excelentes fotos! Fácil de aprender a utilizar este produto.</v>
      </c>
      <c r="B50973" s="3">
        <v>1</v>
      </c>
    </row>
    <row r="50974" ht="15.75" customHeight="1" spans="1:2">
      <c r="A50974" s="3" t="str">
        <f>IFERROR(__xludf.DUMMYFUNCTION("GOOGLETRANSLATE(A50974,""en"",""pt"")"),"Não era caro e é fácil de usar.")</f>
        <v>Não era caro e é fácil de usar.</v>
      </c>
      <c r="B50974" s="3">
        <v>1</v>
      </c>
    </row>
    <row r="50975" ht="15.75" customHeight="1" spans="1:2">
      <c r="A50975" s="3" t="str">
        <f>IFERROR(__xludf.DUMMYFUNCTION("GOOGLETRANSLATE(A50975,""en"",""pt"")"),"Este é provavelmente o mais bang para seus investimentos quando se trata de câmeras digitais.")</f>
        <v>Este é provavelmente o mais bang para seus investimentos quando se trata de câmeras digitais.</v>
      </c>
      <c r="B50975" s="3">
        <v>1</v>
      </c>
    </row>
    <row r="50976" ht="15.75" customHeight="1" spans="1:2">
      <c r="A50976" s="3" t="str">
        <f>IFERROR(__xludf.DUMMYFUNCTION("GOOGLETRANSLATE(A50976,""en"",""pt"")"),"fácil de usar")</f>
        <v>fácil de usar</v>
      </c>
      <c r="B50976" s="3">
        <v>1</v>
      </c>
    </row>
    <row r="50977" ht="15.75" customHeight="1" spans="1:2">
      <c r="A50977" s="3" t="str">
        <f>IFERROR(__xludf.DUMMYFUNCTION("GOOGLETRANSLATE(A50977,""en"",""pt"")"),"Fácil de usar e leva boas fotos")</f>
        <v>Fácil de usar e leva boas fotos</v>
      </c>
      <c r="B50977" s="3">
        <v>1</v>
      </c>
    </row>
    <row r="50978" ht="15.75" customHeight="1" spans="1:2">
      <c r="A50978" s="3" t="str">
        <f>IFERROR(__xludf.DUMMYFUNCTION("GOOGLETRANSLATE(A50978,""en"",""pt"")"),"excell. imagens, grandes tiros da noite, o tempo baixo reciclagem")</f>
        <v>excell. imagens, grandes tiros da noite, o tempo baixo reciclagem</v>
      </c>
      <c r="B50978" s="3">
        <v>1</v>
      </c>
    </row>
    <row r="50979" ht="15.75" customHeight="1" spans="1:2">
      <c r="A50979" s="3" t="str">
        <f>IFERROR(__xludf.DUMMYFUNCTION("GOOGLETRANSLATE(A50979,""en"",""pt"")"),"preço, qualidade, facilidade de uso")</f>
        <v>preço, qualidade, facilidade de uso</v>
      </c>
      <c r="B50979" s="3">
        <v>1</v>
      </c>
    </row>
    <row r="50980" ht="15.75" customHeight="1" spans="1:2">
      <c r="A50980" s="3" t="str">
        <f>IFERROR(__xludf.DUMMYFUNCTION("GOOGLETRANSLATE(A50980,""en"",""pt"")"),"User Friendly em todos os sentidos")</f>
        <v>User Friendly em todos os sentidos</v>
      </c>
      <c r="B50980" s="3">
        <v>1</v>
      </c>
    </row>
    <row r="50981" ht="15.75" customHeight="1" spans="1:2">
      <c r="A50981" s="3" t="str">
        <f>IFERROR(__xludf.DUMMYFUNCTION("GOOGLETRANSLATE(A50981,""en"",""pt"")"),"Barato e fácil de usar!")</f>
        <v>Barato e fácil de usar!</v>
      </c>
      <c r="B50981" s="3">
        <v>1</v>
      </c>
    </row>
    <row r="50982" ht="15.75" customHeight="1" spans="1:2">
      <c r="A50982" s="3" t="str">
        <f>IFERROR(__xludf.DUMMYFUNCTION("GOOGLETRANSLATE(A50982,""en"",""pt"")"),"Fácil de usar, ótimas fotos")</f>
        <v>Fácil de usar, ótimas fotos</v>
      </c>
      <c r="B50982" s="3">
        <v>1</v>
      </c>
    </row>
    <row r="50983" ht="15.75" customHeight="1" spans="1:2">
      <c r="A50983" s="3" t="str">
        <f>IFERROR(__xludf.DUMMYFUNCTION("GOOGLETRANSLATE(A50983,""en"",""pt"")"),"grande quantidade de recursos para o dinheiro")</f>
        <v>grande quantidade de recursos para o dinheiro</v>
      </c>
      <c r="B50983" s="3">
        <v>1</v>
      </c>
    </row>
    <row r="50984" ht="15.75" customHeight="1" spans="1:2">
      <c r="A50984" s="3" t="str">
        <f>IFERROR(__xludf.DUMMYFUNCTION("GOOGLETRANSLATE(A50984,""en"",""pt"")"),"A grande qualidade, vida incrível da bateria, brilhante LCD, nome Olympus")</f>
        <v>A grande qualidade, vida incrível da bateria, brilhante LCD, nome Olympus</v>
      </c>
      <c r="B50984" s="3">
        <v>1</v>
      </c>
    </row>
    <row r="50985" ht="15.75" customHeight="1" spans="1:2">
      <c r="A50985" s="3" t="str">
        <f>IFERROR(__xludf.DUMMYFUNCTION("GOOGLETRANSLATE(A50985,""en"",""pt"")"),"A grande qualidade, fácil de usar!")</f>
        <v>A grande qualidade, fácil de usar!</v>
      </c>
      <c r="B50985" s="3">
        <v>1</v>
      </c>
    </row>
    <row r="50986" ht="15.75" customHeight="1" spans="1:2">
      <c r="A50986" s="3" t="str">
        <f>IFERROR(__xludf.DUMMYFUNCTION("GOOGLETRANSLATE(A50986,""en"",""pt"")"),"Acessível, leve e reputada empresa")</f>
        <v>Acessível, leve e reputada empresa</v>
      </c>
      <c r="B50986" s="3">
        <v>1</v>
      </c>
    </row>
    <row r="50987" ht="15.75" customHeight="1" spans="1:2">
      <c r="A50987" s="3" t="str">
        <f>IFERROR(__xludf.DUMMYFUNCTION("GOOGLETRANSLATE(A50987,""en"",""pt"")"),"imagens de qualidade, fácil de usar, barato")</f>
        <v>imagens de qualidade, fácil de usar, barato</v>
      </c>
      <c r="B50987" s="3">
        <v>1</v>
      </c>
    </row>
    <row r="50988" ht="15.75" customHeight="1" spans="1:2">
      <c r="A50988" s="3" t="str">
        <f>IFERROR(__xludf.DUMMYFUNCTION("GOOGLETRANSLATE(A50988,""en"",""pt"")"),"excelente clareza")</f>
        <v>excelente clareza</v>
      </c>
      <c r="B50988" s="3">
        <v>1</v>
      </c>
    </row>
    <row r="50989" ht="15.75" customHeight="1" spans="1:2">
      <c r="A50989" s="3" t="str">
        <f>IFERROR(__xludf.DUMMYFUNCTION("GOOGLETRANSLATE(A50989,""en"",""pt"")"),"De baixo custo, alta qualidade, características")</f>
        <v>De baixo custo, alta qualidade, características</v>
      </c>
      <c r="B50989" s="3">
        <v>1</v>
      </c>
    </row>
    <row r="50990" ht="15.75" customHeight="1" spans="1:2">
      <c r="A50990" s="3" t="str">
        <f>IFERROR(__xludf.DUMMYFUNCTION("GOOGLETRANSLATE(A50990,""en"",""pt"")"),"leve, mas resistente, rápido e fácil de usar")</f>
        <v>leve, mas resistente, rápido e fácil de usar</v>
      </c>
      <c r="B50990" s="3">
        <v>1</v>
      </c>
    </row>
    <row r="50991" ht="15.75" customHeight="1" spans="1:2">
      <c r="A50991" s="3" t="str">
        <f>IFERROR(__xludf.DUMMYFUNCTION("GOOGLETRANSLATE(A50991,""en"",""pt"")"),"preços, gravuras, recursos")</f>
        <v>preços, gravuras, recursos</v>
      </c>
      <c r="B50991" s="3">
        <v>1</v>
      </c>
    </row>
    <row r="50992" ht="15.75" customHeight="1" spans="1:2">
      <c r="A50992" s="3" t="str">
        <f>IFERROR(__xludf.DUMMYFUNCTION("GOOGLETRANSLATE(A50992,""en"",""pt"")"),"Grandes fotos, bom preço para a qualidade de imagens, características boas")</f>
        <v>Grandes fotos, bom preço para a qualidade de imagens, características boas</v>
      </c>
      <c r="B50992" s="3">
        <v>1</v>
      </c>
    </row>
    <row r="50993" ht="15.75" customHeight="1" spans="1:2">
      <c r="A50993" s="3" t="str">
        <f>IFERROR(__xludf.DUMMYFUNCTION("GOOGLETRANSLATE(A50993,""en"",""pt"")"),"rápido para ficar pronto, grande nitidez da imagem")</f>
        <v>rápido para ficar pronto, grande nitidez da imagem</v>
      </c>
      <c r="B50993" s="3">
        <v>1</v>
      </c>
    </row>
    <row r="50994" ht="15.75" customHeight="1" spans="1:2">
      <c r="A50994" s="3" t="str">
        <f>IFERROR(__xludf.DUMMYFUNCTION("GOOGLETRANSLATE(A50994,""en"",""pt"")"),"baratos, imagens de alta qualidade")</f>
        <v>baratos, imagens de alta qualidade</v>
      </c>
      <c r="B50994" s="3">
        <v>1</v>
      </c>
    </row>
    <row r="50995" ht="15.75" customHeight="1" spans="1:2">
      <c r="A50995" s="3" t="str">
        <f>IFERROR(__xludf.DUMMYFUNCTION("GOOGLETRANSLATE(A50995,""en"",""pt"")"),"boa qualidade de imagem, simples de usar, boa proprietários manuais")</f>
        <v>boa qualidade de imagem, simples de usar, boa proprietários manuais</v>
      </c>
      <c r="B50995" s="3">
        <v>1</v>
      </c>
    </row>
    <row r="50996" ht="15.75" customHeight="1" spans="1:2">
      <c r="A50996" s="3" t="str">
        <f>IFERROR(__xludf.DUMMYFUNCTION("GOOGLETRANSLATE(A50996,""en"",""pt"")"),"fotos grandes, elegante procurando, muitas características, barato")</f>
        <v>fotos grandes, elegante procurando, muitas características, barato</v>
      </c>
      <c r="B50996" s="3">
        <v>1</v>
      </c>
    </row>
    <row r="50997" ht="15.75" customHeight="1" spans="1:2">
      <c r="A50997" s="3" t="str">
        <f>IFERROR(__xludf.DUMMYFUNCTION("GOOGLETRANSLATE(A50997,""en"",""pt"")"),"avarento bateria, de boa qualidade ao ar livre, agradável visor")</f>
        <v>avarento bateria, de boa qualidade ao ar livre, agradável visor</v>
      </c>
      <c r="B50997" s="3">
        <v>1</v>
      </c>
    </row>
    <row r="50998" ht="15.75" customHeight="1" spans="1:2">
      <c r="A50998" s="3" t="str">
        <f>IFERROR(__xludf.DUMMYFUNCTION("GOOGLETRANSLATE(A50998,""en"",""pt"")"),"Fácil de lear, boa resolução, de baixo custo")</f>
        <v>Fácil de lear, boa resolução, de baixo custo</v>
      </c>
      <c r="B50998" s="3">
        <v>1</v>
      </c>
    </row>
    <row r="50999" ht="15.75" customHeight="1" spans="1:2">
      <c r="A50999" s="3" t="str">
        <f>IFERROR(__xludf.DUMMYFUNCTION("GOOGLETRANSLATE(A50999,""en"",""pt"")"),"Facilidade de uso e Grandes tiros")</f>
        <v>Facilidade de uso e Grandes tiros</v>
      </c>
      <c r="B50999" s="3">
        <v>1</v>
      </c>
    </row>
    <row r="51000" ht="15.75" customHeight="1" spans="1:2">
      <c r="A51000" s="3" t="str">
        <f>IFERROR(__xludf.DUMMYFUNCTION("GOOGLETRANSLATE(A51000,""en"",""pt"")"),"Excelente qualidade de imagem, ótimo preço")</f>
        <v>Excelente qualidade de imagem, ótimo preço</v>
      </c>
      <c r="B51000" s="3">
        <v>1</v>
      </c>
    </row>
    <row r="51001" ht="15.75" customHeight="1" spans="1:2">
      <c r="A51001" s="3" t="str">
        <f>IFERROR(__xludf.DUMMYFUNCTION("GOOGLETRANSLATE(A51001,""en"",""pt"")"),"câmera barata com LCD")</f>
        <v>câmera barata com LCD</v>
      </c>
      <c r="B51001" s="3">
        <v>1</v>
      </c>
    </row>
    <row r="51002" ht="15.75" customHeight="1" spans="1:2">
      <c r="A51002" s="3" t="str">
        <f>IFERROR(__xludf.DUMMYFUNCTION("GOOGLETRANSLATE(A51002,""en"",""pt"")"),"Barato, resistente, leva boa pix")</f>
        <v>Barato, resistente, leva boa pix</v>
      </c>
      <c r="B51002" s="3">
        <v>1</v>
      </c>
    </row>
    <row r="51003" ht="15.75" customHeight="1" spans="1:2">
      <c r="A51003" s="3" t="str">
        <f>IFERROR(__xludf.DUMMYFUNCTION("GOOGLETRANSLATE(A51003,""en"",""pt"")"),"Excelente qualidade de imagem. cartão de 8MB incluído (até 122 fotos); preço inacreditável")</f>
        <v>Excelente qualidade de imagem. cartão de 8MB incluído (até 122 fotos); preço inacreditável</v>
      </c>
      <c r="B51003" s="3">
        <v>1</v>
      </c>
    </row>
    <row r="51004" ht="15.75" customHeight="1" spans="1:2">
      <c r="A51004" s="3" t="str">
        <f>IFERROR(__xludf.DUMMYFUNCTION("GOOGLETRANSLATE(A51004,""en"",""pt"")"),"qualidade de imagem, facilidade de uso, sensação de câmera")</f>
        <v>qualidade de imagem, facilidade de uso, sensação de câmera</v>
      </c>
      <c r="B51004" s="3">
        <v>1</v>
      </c>
    </row>
    <row r="51005" ht="15.75" customHeight="1" spans="1:2">
      <c r="A51005" s="3" t="str">
        <f>IFERROR(__xludf.DUMMYFUNCTION("GOOGLETRANSLATE(A51005,""en"",""pt"")"),"fotos digitais, tela de lcd, tamanho compacto")</f>
        <v>fotos digitais, tela de lcd, tamanho compacto</v>
      </c>
      <c r="B51005" s="3">
        <v>1</v>
      </c>
    </row>
    <row r="51006" ht="15.75" customHeight="1" spans="1:2">
      <c r="A51006" s="3" t="str">
        <f>IFERROR(__xludf.DUMMYFUNCTION("GOOGLETRANSLATE(A51006,""en"",""pt"")"),"Imagens agradáveis, preço acessível")</f>
        <v>Imagens agradáveis, preço acessível</v>
      </c>
      <c r="B51006" s="3">
        <v>1</v>
      </c>
    </row>
    <row r="51007" ht="15.75" customHeight="1" spans="1:2">
      <c r="A51007" s="3" t="str">
        <f>IFERROR(__xludf.DUMMYFUNCTION("GOOGLETRANSLATE(A51007,""en"",""pt"")"),"1.3 Megapix por US $ 300, janela de visualização")</f>
        <v>1.3 Megapix por US $ 300, janela de visualização</v>
      </c>
      <c r="B51007" s="3">
        <v>1</v>
      </c>
    </row>
    <row r="51008" ht="15.75" customHeight="1" spans="1:2">
      <c r="A51008" s="3" t="str">
        <f>IFERROR(__xludf.DUMMYFUNCTION("GOOGLETRANSLATE(A51008,""en"",""pt"")"),"Compacto, brilhante torrado foto colorida, a reprodução do monitor")</f>
        <v>Compacto, brilhante torrado foto colorida, a reprodução do monitor</v>
      </c>
      <c r="B51008" s="3">
        <v>1</v>
      </c>
    </row>
    <row r="51009" ht="15.75" customHeight="1" spans="1:2">
      <c r="A51009" s="3" t="str">
        <f>IFERROR(__xludf.DUMMYFUNCTION("GOOGLETRANSLATE(A51009,""en"",""pt"")"),"excelente preço, fácil de usar, ótimas fotos")</f>
        <v>excelente preço, fácil de usar, ótimas fotos</v>
      </c>
      <c r="B51009" s="3">
        <v>1</v>
      </c>
    </row>
    <row r="51010" ht="15.75" customHeight="1" spans="1:2">
      <c r="A51010" s="3" t="str">
        <f>IFERROR(__xludf.DUMMYFUNCTION("GOOGLETRANSLATE(A51010,""en"",""pt"")"),"Super Bargain, boa qualidade pic")</f>
        <v>Super Bargain, boa qualidade pic</v>
      </c>
      <c r="B51010" s="3">
        <v>1</v>
      </c>
    </row>
    <row r="51011" ht="15.75" customHeight="1" spans="1:2">
      <c r="A51011" s="3" t="str">
        <f>IFERROR(__xludf.DUMMYFUNCTION("GOOGLETRANSLATE(A51011,""en"",""pt"")"),"qualidade de imagem, compacto, qualidade")</f>
        <v>qualidade de imagem, compacto, qualidade</v>
      </c>
      <c r="B51011" s="3">
        <v>1</v>
      </c>
    </row>
    <row r="51012" ht="15.75" customHeight="1" spans="1:2">
      <c r="A51012" s="3" t="str">
        <f>IFERROR(__xludf.DUMMYFUNCTION("GOOGLETRANSLATE(A51012,""en"",""pt"")"),"Alta qualidade, transferências fáceis")</f>
        <v>Alta qualidade, transferências fáceis</v>
      </c>
      <c r="B51012" s="3">
        <v>1</v>
      </c>
    </row>
    <row r="51013" ht="15.75" customHeight="1" spans="1:2">
      <c r="A51013" s="3" t="str">
        <f>IFERROR(__xludf.DUMMYFUNCTION("GOOGLETRANSLATE(A51013,""en"",""pt"")"),"Fácil de usar, grande clareza")</f>
        <v>Fácil de usar, grande clareza</v>
      </c>
      <c r="B51013" s="3">
        <v>1</v>
      </c>
    </row>
    <row r="51014" ht="15.75" customHeight="1" spans="1:2">
      <c r="A51014" s="3" t="s">
        <v>258</v>
      </c>
      <c r="B51014" s="3">
        <v>1</v>
      </c>
    </row>
    <row r="51015" ht="15.75" customHeight="1" spans="1:2">
      <c r="A51015" s="3" t="str">
        <f>IFERROR(__xludf.DUMMYFUNCTION("GOOGLETRANSLATE(A51015,""en"",""pt"")"),"melhor qualidade pic nesta classe - sem dúvida!")</f>
        <v>melhor qualidade pic nesta classe - sem dúvida!</v>
      </c>
      <c r="B51015" s="3">
        <v>1</v>
      </c>
    </row>
    <row r="51016" ht="15.75" customHeight="1" spans="1:2">
      <c r="A51016" s="3" t="str">
        <f>IFERROR(__xludf.DUMMYFUNCTION("GOOGLETRANSLATE(A51016,""en"",""pt"")"),"Leve, ótimas fotos, facilidade de uso")</f>
        <v>Leve, ótimas fotos, facilidade de uso</v>
      </c>
      <c r="B51016" s="3">
        <v>1</v>
      </c>
    </row>
    <row r="51017" ht="15.75" customHeight="1" spans="1:2">
      <c r="A51017" s="3" t="str">
        <f>IFERROR(__xludf.DUMMYFUNCTION("GOOGLETRANSLATE(A51017,""en"",""pt"")"),"boa qualidade, ver fotos em um instante")</f>
        <v>boa qualidade, ver fotos em um instante</v>
      </c>
      <c r="B51017" s="3">
        <v>1</v>
      </c>
    </row>
    <row r="51018" ht="15.75" customHeight="1" spans="1:2">
      <c r="A51018" s="3" t="str">
        <f>IFERROR(__xludf.DUMMYFUNCTION("GOOGLETRANSLATE(A51018,""en"",""pt"")"),"fácil de usar, acessíveis, imagens de boa qualidade digital")</f>
        <v>fácil de usar, acessíveis, imagens de boa qualidade digital</v>
      </c>
      <c r="B51018" s="3">
        <v>1</v>
      </c>
    </row>
    <row r="51019" ht="15.75" customHeight="1" spans="1:2">
      <c r="A51019" s="3" t="str">
        <f>IFERROR(__xludf.DUMMYFUNCTION("GOOGLETRANSLATE(A51019,""en"",""pt"")"),"Anexado / tampa da lente deslizante, toneladas de recursos")</f>
        <v>Anexado / tampa da lente deslizante, toneladas de recursos</v>
      </c>
      <c r="B51019" s="3">
        <v>1</v>
      </c>
    </row>
    <row r="51020" ht="15.75" customHeight="1" spans="1:2">
      <c r="A51020" s="3" t="str">
        <f>IFERROR(__xludf.DUMMYFUNCTION("GOOGLETRANSLATE(A51020,""en"",""pt"")"),"rápida, fácil, pequeno")</f>
        <v>rápida, fácil, pequeno</v>
      </c>
      <c r="B51020" s="3">
        <v>1</v>
      </c>
    </row>
    <row r="51021" ht="15.75" customHeight="1" spans="1:2">
      <c r="A51021" s="3" t="str">
        <f>IFERROR(__xludf.DUMMYFUNCTION("GOOGLETRANSLATE(A51021,""en"",""pt"")"),"Fácil compacto e nunca precisa de outro rolo de filme")</f>
        <v>Fácil compacto e nunca precisa de outro rolo de filme</v>
      </c>
      <c r="B51021" s="3">
        <v>1</v>
      </c>
    </row>
    <row r="51022" ht="15.75" customHeight="1" spans="1:2">
      <c r="A51022" s="3" t="str">
        <f>IFERROR(__xludf.DUMMYFUNCTION("GOOGLETRANSLATE(A51022,""en"",""pt"")"),"RCA Jack")</f>
        <v>RCA Jack</v>
      </c>
      <c r="B51022" s="3">
        <v>1</v>
      </c>
    </row>
    <row r="51023" ht="15.75" customHeight="1" spans="1:2">
      <c r="A51023" s="3" t="str">
        <f>IFERROR(__xludf.DUMMYFUNCTION("GOOGLETRANSLATE(A51023,""en"",""pt"")"),"baixo custo, bons resultados, confiável")</f>
        <v>baixo custo, bons resultados, confiável</v>
      </c>
      <c r="B51023" s="3">
        <v>1</v>
      </c>
    </row>
    <row r="51024" ht="15.75" customHeight="1" spans="1:2">
      <c r="A51024" s="3" t="str">
        <f>IFERROR(__xludf.DUMMYFUNCTION("GOOGLETRANSLATE(A51024,""en"",""pt"")"),"Grande Pictures, fácil de usar")</f>
        <v>Grande Pictures, fácil de usar</v>
      </c>
      <c r="B51024" s="3">
        <v>1</v>
      </c>
    </row>
    <row r="51025" ht="15.75" customHeight="1" spans="1:2">
      <c r="A51025" s="3" t="str">
        <f>IFERROR(__xludf.DUMMYFUNCTION("GOOGLETRANSLATE(A51025,""en"",""pt"")"),"Preço &amp; amp; amp; fácil de usar")</f>
        <v>Preço &amp; amp; amp; fácil de usar</v>
      </c>
      <c r="B51025" s="3">
        <v>1</v>
      </c>
    </row>
    <row r="51026" ht="15.75" customHeight="1" spans="1:2">
      <c r="A51026" s="3" t="str">
        <f>IFERROR(__xludf.DUMMYFUNCTION("GOOGLETRANSLATE(A51026,""en"",""pt"")"),"Fácil de usar")</f>
        <v>Fácil de usar</v>
      </c>
      <c r="B51026" s="3">
        <v>1</v>
      </c>
    </row>
    <row r="51027" ht="15.75" customHeight="1" spans="1:2">
      <c r="A51027" s="3" t="str">
        <f>IFERROR(__xludf.DUMMYFUNCTION("GOOGLETRANSLATE(A51027,""en"",""pt"")"),"Tira fotos muito nítidas")</f>
        <v>Tira fotos muito nítidas</v>
      </c>
      <c r="B51027" s="3">
        <v>1</v>
      </c>
    </row>
    <row r="51028" ht="15.75" customHeight="1" spans="1:2">
      <c r="A51028" s="3" t="str">
        <f>IFERROR(__xludf.DUMMYFUNCTION("GOOGLETRANSLATE(A51028,""en"",""pt"")"),"leva grandes close-ups")</f>
        <v>leva grandes close-ups</v>
      </c>
      <c r="B51028" s="3">
        <v>1</v>
      </c>
    </row>
    <row r="51029" ht="15.75" customHeight="1" spans="1:2">
      <c r="A51029" s="3" t="str">
        <f>IFERROR(__xludf.DUMMYFUNCTION("GOOGLETRANSLATE(A51029,""en"",""pt"")"),"acessíveis e excelente para o novato")</f>
        <v>acessíveis e excelente para o novato</v>
      </c>
      <c r="B51029" s="3">
        <v>1</v>
      </c>
    </row>
    <row r="51030" ht="15.75" customHeight="1" spans="1:2">
      <c r="A51030" s="3" t="str">
        <f>IFERROR(__xludf.DUMMYFUNCTION("GOOGLETRANSLATE(A51030,""en"",""pt"")"),"clareza, a facilidade de utilização, lcd, flash")</f>
        <v>clareza, a facilidade de utilização, lcd, flash</v>
      </c>
      <c r="B51030" s="3">
        <v>1</v>
      </c>
    </row>
    <row r="51031" ht="15.75" customHeight="1" spans="1:2">
      <c r="A51031" s="3" t="str">
        <f>IFERROR(__xludf.DUMMYFUNCTION("GOOGLETRANSLATE(A51031,""en"",""pt"")"),"Ótimo preço, de alta qualidade")</f>
        <v>Ótimo preço, de alta qualidade</v>
      </c>
      <c r="B51031" s="3">
        <v>1</v>
      </c>
    </row>
    <row r="51032" ht="15.75" customHeight="1" spans="1:2">
      <c r="A51032" s="3" t="str">
        <f>IFERROR(__xludf.DUMMYFUNCTION("GOOGLETRANSLATE(A51032,""en"",""pt"")"),"Altamente recomendado")</f>
        <v>Altamente recomendado</v>
      </c>
      <c r="B51032" s="3">
        <v>1</v>
      </c>
    </row>
    <row r="51033" ht="15.75" customHeight="1" spans="1:2">
      <c r="A51033" s="3" t="str">
        <f>IFERROR(__xludf.DUMMYFUNCTION("GOOGLETRANSLATE(A51033,""en"",""pt"")"),"Preço e Qualidade")</f>
        <v>Preço e Qualidade</v>
      </c>
      <c r="B51033" s="3">
        <v>1</v>
      </c>
    </row>
    <row r="51034" ht="15.75" customHeight="1" spans="1:2">
      <c r="A51034" s="3" t="str">
        <f>IFERROR(__xludf.DUMMYFUNCTION("GOOGLETRANSLATE(A51034,""en"",""pt"")"),"fácil de usar / acessível")</f>
        <v>fácil de usar / acessível</v>
      </c>
      <c r="B51034" s="3">
        <v>1</v>
      </c>
    </row>
    <row r="51035" ht="15.75" customHeight="1" spans="1:2">
      <c r="A51035" s="3" t="str">
        <f>IFERROR(__xludf.DUMMYFUNCTION("GOOGLETRANSLATE(A51035,""en"",""pt"")"),"Muitos recursos, fácil de usar, ótimo preço")</f>
        <v>Muitos recursos, fácil de usar, ótimo preço</v>
      </c>
      <c r="B51035" s="3">
        <v>1</v>
      </c>
    </row>
    <row r="51036" ht="15.75" customHeight="1" spans="1:2">
      <c r="A51036" s="3" t="str">
        <f>IFERROR(__xludf.DUMMYFUNCTION("GOOGLETRANSLATE(A51036,""en"",""pt"")"),"Facilidade de uso, qualidade de imagem gootd")</f>
        <v>Facilidade de uso, qualidade de imagem gootd</v>
      </c>
      <c r="B51036" s="3">
        <v>1</v>
      </c>
    </row>
    <row r="51037" ht="15.75" customHeight="1" spans="1:2">
      <c r="A51037" s="3" t="str">
        <f>IFERROR(__xludf.DUMMYFUNCTION("GOOGLETRANSLATE(A51037,""en"",""pt"")"),"qualidade de imagem fantástica")</f>
        <v>qualidade de imagem fantástica</v>
      </c>
      <c r="B51037" s="3">
        <v>1</v>
      </c>
    </row>
    <row r="51038" ht="15.75" customHeight="1" spans="1:2">
      <c r="A51038" s="3" t="str">
        <f>IFERROR(__xludf.DUMMYFUNCTION("GOOGLETRANSLATE(A51038,""en"",""pt"")"),"Preço, leves, imagens de qualidade. fácil de usar")</f>
        <v>Preço, leves, imagens de qualidade. fácil de usar</v>
      </c>
      <c r="B51038" s="3">
        <v>1</v>
      </c>
    </row>
    <row r="51039" ht="15.75" customHeight="1" spans="1:2">
      <c r="A51039" s="3" t="str">
        <f>IFERROR(__xludf.DUMMYFUNCTION("GOOGLETRANSLATE(A51039,""en"",""pt"")"),"fácil de usar")</f>
        <v>fácil de usar</v>
      </c>
      <c r="B51039" s="3">
        <v>1</v>
      </c>
    </row>
    <row r="51040" ht="15.75" customHeight="1" spans="1:2">
      <c r="A51040" s="3" t="str">
        <f>IFERROR(__xludf.DUMMYFUNCTION("GOOGLETRANSLATE(A51040,""en"",""pt"")"),"Photo Quality, facilidade de uso")</f>
        <v>Photo Quality, facilidade de uso</v>
      </c>
      <c r="B51040" s="3">
        <v>1</v>
      </c>
    </row>
    <row r="51041" ht="15.75" customHeight="1" spans="1:2">
      <c r="A51041" s="3" t="str">
        <f>IFERROR(__xludf.DUMMYFUNCTION("GOOGLETRANSLATE(A51041,""en"",""pt"")"),"Relativamente barato, fácil de usar, visor de tela LCD +")</f>
        <v>Relativamente barato, fácil de usar, visor de tela LCD +</v>
      </c>
      <c r="B51041" s="3">
        <v>1</v>
      </c>
    </row>
    <row r="51042" ht="15.75" customHeight="1" spans="1:2">
      <c r="A51042" s="3" t="str">
        <f>IFERROR(__xludf.DUMMYFUNCTION("GOOGLETRANSLATE(A51042,""en"",""pt"")"),"Excelente qualidade, moniter fresco visualização")</f>
        <v>Excelente qualidade, moniter fresco visualização</v>
      </c>
      <c r="B51042" s="3">
        <v>1</v>
      </c>
    </row>
    <row r="51043" ht="15.75" customHeight="1" spans="1:2">
      <c r="A51043" s="3" t="str">
        <f>IFERROR(__xludf.DUMMYFUNCTION("GOOGLETRANSLATE(A51043,""en"",""pt"")"),"Barato, butt-simples, muito bem para a maioria das aplicações Web, bom pacote de software")</f>
        <v>Barato, butt-simples, muito bem para a maioria das aplicações Web, bom pacote de software</v>
      </c>
      <c r="B51043" s="3">
        <v>1</v>
      </c>
    </row>
    <row r="51044" ht="15.75" customHeight="1" spans="1:2">
      <c r="A51044" s="3" t="str">
        <f>IFERROR(__xludf.DUMMYFUNCTION("GOOGLETRANSLATE(A51044,""en"",""pt"")"),"câmera barata, bom para proprietários de câmeras digitais primeira vez")</f>
        <v>câmera barata, bom para proprietários de câmeras digitais primeira vez</v>
      </c>
      <c r="B51044" s="3">
        <v>1</v>
      </c>
    </row>
    <row r="51045" ht="15.75" customHeight="1" spans="1:2">
      <c r="A51045" s="3" t="str">
        <f>IFERROR(__xludf.DUMMYFUNCTION("GOOGLETRANSLATE(A51045,""en"",""pt"")"),"Fácil de usar, barato, boas fotos")</f>
        <v>Fácil de usar, barato, boas fotos</v>
      </c>
      <c r="B51045" s="3">
        <v>1</v>
      </c>
    </row>
    <row r="51046" ht="15.75" customHeight="1" spans="1:2">
      <c r="A51046" s="3" t="str">
        <f>IFERROR(__xludf.DUMMYFUNCTION("GOOGLETRANSLATE(A51046,""en"",""pt"")"),"Muitos ajustes manuais, veio com um conjunto de baterias recarregáveis, ótimas fotos")</f>
        <v>Muitos ajustes manuais, veio com um conjunto de baterias recarregáveis, ótimas fotos</v>
      </c>
      <c r="B51046" s="3">
        <v>1</v>
      </c>
    </row>
    <row r="51047" ht="15.75" customHeight="1" spans="1:2">
      <c r="A51047" s="3" t="str">
        <f>IFERROR(__xludf.DUMMYFUNCTION("GOOGLETRANSLATE(A51047,""en"",""pt"")"),"Preço, facilidade de uso, tamanho, tela LCD")</f>
        <v>Preço, facilidade de uso, tamanho, tela LCD</v>
      </c>
      <c r="B51047" s="3">
        <v>1</v>
      </c>
    </row>
    <row r="51048" ht="15.75" customHeight="1" spans="1:2">
      <c r="A51048" s="3" t="str">
        <f>IFERROR(__xludf.DUMMYFUNCTION("GOOGLETRANSLATE(A51048,""en"",""pt"")"),"Um grande, fácil de usar câmera digital. As folhas manuais nada ao acaso.")</f>
        <v>Um grande, fácil de usar câmera digital. As folhas manuais nada ao acaso.</v>
      </c>
      <c r="B51048" s="3">
        <v>1</v>
      </c>
    </row>
    <row r="51049" ht="15.75" customHeight="1" spans="1:2">
      <c r="A51049" s="3" t="str">
        <f>IFERROR(__xludf.DUMMYFUNCTION("GOOGLETRANSLATE(A51049,""en"",""pt"")"),"Apontar e disparar, alguns de qualidade agradável 1,3 megapixels")</f>
        <v>Apontar e disparar, alguns de qualidade agradável 1,3 megapixels</v>
      </c>
      <c r="B51049" s="3">
        <v>1</v>
      </c>
    </row>
    <row r="51050" ht="15.75" customHeight="1" spans="1:2">
      <c r="A51050" s="3" t="str">
        <f>IFERROR(__xludf.DUMMYFUNCTION("GOOGLETRANSLATE(A51050,""en"",""pt"")"),"Excelente qualidade de imagem, não mangenta / azul / vermelho em suas fotos! Hi nitidez, cartão de 8M para começar.")</f>
        <v>Excelente qualidade de imagem, não mangenta / azul / vermelho em suas fotos! Hi nitidez, cartão de 8M para começar.</v>
      </c>
      <c r="B51050" s="3">
        <v>1</v>
      </c>
    </row>
    <row r="51051" ht="15.75" customHeight="1" spans="1:2">
      <c r="A51051" s="3" t="str">
        <f>IFERROR(__xludf.DUMMYFUNCTION("GOOGLETRANSLATE(A51051,""en"",""pt"")"),"Bom preço para boa qualidade")</f>
        <v>Bom preço para boa qualidade</v>
      </c>
      <c r="B51051" s="3">
        <v>1</v>
      </c>
    </row>
    <row r="51052" ht="15.75" customHeight="1" spans="1:2">
      <c r="A51052" s="3" t="str">
        <f>IFERROR(__xludf.DUMMYFUNCTION("GOOGLETRANSLATE(A51052,""en"",""pt"")"),"Pode ser usado para mac, &amp; amp; pc.")</f>
        <v>Pode ser usado para mac, &amp; amp; pc.</v>
      </c>
      <c r="B51052" s="3">
        <v>1</v>
      </c>
    </row>
    <row r="51053" ht="15.75" customHeight="1" spans="1:2">
      <c r="A51053" s="3" t="str">
        <f>IFERROR(__xludf.DUMMYFUNCTION("GOOGLETRANSLATE(A51053,""en"",""pt"")"),"utilização fácil e leve, excelente qualidade de imagem")</f>
        <v>utilização fácil e leve, excelente qualidade de imagem</v>
      </c>
      <c r="B51053" s="3">
        <v>1</v>
      </c>
    </row>
    <row r="51054" ht="15.75" customHeight="1" spans="1:2">
      <c r="A51054" s="3" t="str">
        <f>IFERROR(__xludf.DUMMYFUNCTION("GOOGLETRANSLATE(A51054,""en"",""pt"")"),"Grande câmera barata")</f>
        <v>Grande câmera barata</v>
      </c>
      <c r="B51054" s="3">
        <v>1</v>
      </c>
    </row>
    <row r="51055" ht="15.75" customHeight="1" spans="1:2">
      <c r="A51055" s="3" t="str">
        <f>IFERROR(__xludf.DUMMYFUNCTION("GOOGLETRANSLATE(A51055,""en"",""pt"")"),"Ótima câmera! Fácil de usar e excelente qualidade de foto!")</f>
        <v>Ótima câmera! Fácil de usar e excelente qualidade de foto!</v>
      </c>
      <c r="B51055" s="3">
        <v>1</v>
      </c>
    </row>
    <row r="51056" ht="15.75" customHeight="1" spans="1:2">
      <c r="A51056" s="3" t="str">
        <f>IFERROR(__xludf.DUMMYFUNCTION("GOOGLETRANSLATE(A51056,""en"",""pt"")"),"Excelente qualidade de imagem. Clara e precisa. Fácil de usar.")</f>
        <v>Excelente qualidade de imagem. Clara e precisa. Fácil de usar.</v>
      </c>
      <c r="B51056" s="3">
        <v>1</v>
      </c>
    </row>
    <row r="51057" ht="15.75" customHeight="1" spans="1:2">
      <c r="A51057" s="3" t="str">
        <f>IFERROR(__xludf.DUMMYFUNCTION("GOOGLETRANSLATE(A51057,""en"",""pt"")"),"Relativamente barato, fácil de usar, boa qualidade de imagem, software Camedia")</f>
        <v>Relativamente barato, fácil de usar, boa qualidade de imagem, software Camedia</v>
      </c>
      <c r="B51057" s="3">
        <v>1</v>
      </c>
    </row>
    <row r="51058" ht="15.75" customHeight="1" spans="1:2">
      <c r="A51058" s="3" t="str">
        <f>IFERROR(__xludf.DUMMYFUNCTION("GOOGLETRANSLATE(A51058,""en"",""pt"")"),"Preço &amp; amp; # 13; &amp; amp; # 10; Size &amp; amp; # 13; &amp; amp; # 10; Olhe")</f>
        <v>Preço &amp; amp; # 13; &amp; amp; # 10; Size &amp; amp; # 13; &amp; amp; # 10; Olhe</v>
      </c>
      <c r="B51058" s="3">
        <v>1</v>
      </c>
    </row>
    <row r="51059" ht="15.75" customHeight="1" spans="1:2">
      <c r="A51059" s="3" t="str">
        <f>IFERROR(__xludf.DUMMYFUNCTION("GOOGLETRANSLATE(A51059,""en"",""pt"")"),"Ótimo preço, fotos maravilhosas")</f>
        <v>Ótimo preço, fotos maravilhosas</v>
      </c>
      <c r="B51059" s="3">
        <v>1</v>
      </c>
    </row>
    <row r="51060" ht="15.75" customHeight="1" spans="1:2">
      <c r="A51060" s="3" t="str">
        <f>IFERROR(__xludf.DUMMYFUNCTION("GOOGLETRANSLATE(A51060,""en"",""pt"")"),"Barato, bom o suficiente, filme QT capaz, flash bom, fácil de usar, boa velocidade de transferência")</f>
        <v>Barato, bom o suficiente, filme QT capaz, flash bom, fácil de usar, boa velocidade de transferência</v>
      </c>
      <c r="B51060" s="3">
        <v>1</v>
      </c>
    </row>
    <row r="51061" ht="15.75" customHeight="1" spans="1:2">
      <c r="A51061" s="3" t="str">
        <f>IFERROR(__xludf.DUMMYFUNCTION("GOOGLETRANSLATE(A51061,""en"",""pt"")"),"emoções baratas, tamanho pequeno")</f>
        <v>emoções baratas, tamanho pequeno</v>
      </c>
      <c r="B51061" s="3">
        <v>1</v>
      </c>
    </row>
    <row r="51062" ht="15.75" customHeight="1" spans="1:2">
      <c r="A51062" s="3" t="str">
        <f>IFERROR(__xludf.DUMMYFUNCTION("GOOGLETRANSLATE(A51062,""en"",""pt"")"),"fácil de transferir para o computador")</f>
        <v>fácil de transferir para o computador</v>
      </c>
      <c r="B51062" s="3">
        <v>1</v>
      </c>
    </row>
    <row r="51063" ht="15.75" customHeight="1" spans="1:2">
      <c r="A51063" s="3" t="str">
        <f>IFERROR(__xludf.DUMMYFUNCTION("GOOGLETRANSLATE(A51063,""en"",""pt"")"),"Bom para o preço, bom equilíbrio de cor, balanço de branco automático satisfatória na maioria das situações de iluminação.")</f>
        <v>Bom para o preço, bom equilíbrio de cor, balanço de branco automático satisfatória na maioria das situações de iluminação.</v>
      </c>
      <c r="B51063" s="3">
        <v>1</v>
      </c>
    </row>
    <row r="51064" ht="15.75" customHeight="1" spans="1:2">
      <c r="A51064" s="3" t="str">
        <f>IFERROR(__xludf.DUMMYFUNCTION("GOOGLETRANSLATE(A51064,""en"",""pt"")"),"Fácil de aprender a usar, fotos tomar bem alargamento, memória padrão adequado. &amp; Amp; # 13; &amp; amp; # 10;")</f>
        <v>Fácil de aprender a usar, fotos tomar bem alargamento, memória padrão adequado. &amp; Amp; # 13; &amp; amp; # 10;</v>
      </c>
      <c r="B51064" s="3">
        <v>1</v>
      </c>
    </row>
    <row r="51065" ht="15.75" customHeight="1" spans="1:2">
      <c r="A51065" s="3" t="str">
        <f>IFERROR(__xludf.DUMMYFUNCTION("GOOGLETRANSLATE(A51065,""en"",""pt"")"),"Preço, qualidade de imagem geral, facilidade de uso, parece ótimo")</f>
        <v>Preço, qualidade de imagem geral, facilidade de uso, parece ótimo</v>
      </c>
      <c r="B51065" s="3">
        <v>1</v>
      </c>
    </row>
    <row r="51066" ht="15.75" customHeight="1" spans="1:2">
      <c r="A51066" s="3" t="str">
        <f>IFERROR(__xludf.DUMMYFUNCTION("GOOGLETRANSLATE(A51066,""en"",""pt"")"),"simples e extremamente eficaz, ótimo preço!")</f>
        <v>simples e extremamente eficaz, ótimo preço!</v>
      </c>
      <c r="B51066" s="3">
        <v>1</v>
      </c>
    </row>
    <row r="51067" ht="15.75" customHeight="1" spans="1:2">
      <c r="A51067" s="3" t="str">
        <f>IFERROR(__xludf.DUMMYFUNCTION("GOOGLETRANSLATE(A51067,""en"",""pt"")"),"fácil de usar &amp; amp; # 13; &amp; amp; # 10;")</f>
        <v>fácil de usar &amp; amp; # 13; &amp; amp; # 10;</v>
      </c>
      <c r="B51067" s="3">
        <v>1</v>
      </c>
    </row>
    <row r="51068" ht="15.75" customHeight="1" spans="1:2">
      <c r="A51068" s="3" t="str">
        <f>IFERROR(__xludf.DUMMYFUNCTION("GOOGLETRANSLATE(A51068,""en"",""pt"")"),"Excelente qualidade de imagem, recursos de edição extras, tampa da lente, tamanho pequeno")</f>
        <v>Excelente qualidade de imagem, recursos de edição extras, tampa da lente, tamanho pequeno</v>
      </c>
      <c r="B51068" s="3">
        <v>1</v>
      </c>
    </row>
    <row r="51069" ht="15.75" customHeight="1" spans="1:2">
      <c r="A51069" s="3" t="str">
        <f>IFERROR(__xludf.DUMMYFUNCTION("GOOGLETRANSLATE(A51069,""en"",""pt"")"),"Bom preço! Boa qualidade de foto!")</f>
        <v>Bom preço! Boa qualidade de foto!</v>
      </c>
      <c r="B51069" s="3">
        <v>1</v>
      </c>
    </row>
    <row r="51070" ht="15.75" customHeight="1" spans="1:2">
      <c r="A51070" s="3" t="str">
        <f>IFERROR(__xludf.DUMMYFUNCTION("GOOGLETRANSLATE(A51070,""en"",""pt"")"),"câmera pouco Dandy. Ótimas fotos.")</f>
        <v>câmera pouco Dandy. Ótimas fotos.</v>
      </c>
      <c r="B51070" s="3">
        <v>1</v>
      </c>
    </row>
    <row r="51071" ht="15.75" customHeight="1" spans="1:2">
      <c r="A51071" s="3" t="str">
        <f>IFERROR(__xludf.DUMMYFUNCTION("GOOGLETRANSLATE(A51071,""en"",""pt"")"),"qualidade incrível para baixo preço, facilidade de uso, memória expansível")</f>
        <v>qualidade incrível para baixo preço, facilidade de uso, memória expansível</v>
      </c>
      <c r="B51071" s="3">
        <v>1</v>
      </c>
    </row>
    <row r="51072" ht="15.75" customHeight="1" spans="1:2">
      <c r="A51072" s="3" t="str">
        <f>IFERROR(__xludf.DUMMYFUNCTION("GOOGLETRANSLATE(A51072,""en"",""pt"")"),"Excelentes Cores, imagens nítidas (parecido com a qualidade do filme), fácil de usar.")</f>
        <v>Excelentes Cores, imagens nítidas (parecido com a qualidade do filme), fácil de usar.</v>
      </c>
      <c r="B51072" s="3">
        <v>1</v>
      </c>
    </row>
    <row r="51073" ht="15.75" customHeight="1" spans="1:2">
      <c r="A51073" s="3" t="str">
        <f>IFERROR(__xludf.DUMMYFUNCTION("GOOGLETRANSLATE(A51073,""en"",""pt"")"),"Muito barato para os recursos. Amigo do usuário.")</f>
        <v>Muito barato para os recursos. Amigo do usuário.</v>
      </c>
      <c r="B51073" s="3">
        <v>1</v>
      </c>
    </row>
    <row r="51074" ht="15.75" customHeight="1" spans="1:2">
      <c r="A51074" s="3" t="str">
        <f>IFERROR(__xludf.DUMMYFUNCTION("GOOGLETRANSLATE(A51074,""en"",""pt"")"),"Excelentes imagens, ótimo software")</f>
        <v>Excelentes imagens, ótimo software</v>
      </c>
      <c r="B51074" s="3">
        <v>1</v>
      </c>
    </row>
    <row r="51075" ht="15.75" customHeight="1" spans="1:2">
      <c r="A51075" s="3" t="str">
        <f>IFERROR(__xludf.DUMMYFUNCTION("GOOGLETRANSLATE(A51075,""en"",""pt"")"),"interface de usuário fácil, de grande qualidade tiro, opções de flash, interface USB, grava vídeo.")</f>
        <v>interface de usuário fácil, de grande qualidade tiro, opções de flash, interface USB, grava vídeo.</v>
      </c>
      <c r="B51075" s="3">
        <v>1</v>
      </c>
    </row>
    <row r="51076" ht="15.75" customHeight="1" spans="1:2">
      <c r="A51076" s="3" t="str">
        <f>IFERROR(__xludf.DUMMYFUNCTION("GOOGLETRANSLATE(A51076,""en"",""pt"")"),"Vida útil da bateria, pode salvar a configuração (restaurar off) para tiros rápidos.")</f>
        <v>Vida útil da bateria, pode salvar a configuração (restaurar off) para tiros rápidos.</v>
      </c>
      <c r="B51076" s="3">
        <v>1</v>
      </c>
    </row>
    <row r="51077" ht="15.75" customHeight="1" spans="1:2">
      <c r="A51077" s="3" t="str">
        <f>IFERROR(__xludf.DUMMYFUNCTION("GOOGLETRANSLATE(A51077,""en"",""pt"")"),"Simples de usar. Grande qualidade da foto. Confiável.")</f>
        <v>Simples de usar. Grande qualidade da foto. Confiável.</v>
      </c>
      <c r="B51077" s="3">
        <v>1</v>
      </c>
    </row>
    <row r="51078" ht="15.75" customHeight="1" spans="1:2">
      <c r="A51078" s="3" t="str">
        <f>IFERROR(__xludf.DUMMYFUNCTION("GOOGLETRANSLATE(A51078,""en"",""pt"")"),"fotos muito boas")</f>
        <v>fotos muito boas</v>
      </c>
      <c r="B51078" s="3">
        <v>1</v>
      </c>
    </row>
    <row r="51079" ht="15.75" customHeight="1" spans="1:2">
      <c r="A51079" s="3" t="str">
        <f>IFERROR(__xludf.DUMMYFUNCTION("GOOGLETRANSLATE(A51079,""en"",""pt"")"),"Muito boa câmera. Funciona excelente com um Mac.")</f>
        <v>Muito boa câmera. Funciona excelente com um Mac.</v>
      </c>
      <c r="B51079" s="3">
        <v>1</v>
      </c>
    </row>
    <row r="51080" ht="15.75" customHeight="1" spans="1:2">
      <c r="A51080" s="3" t="str">
        <f>IFERROR(__xludf.DUMMYFUNCTION("GOOGLETRANSLATE(A51080,""en"",""pt"")"),"O peso leve; compactar; imagens de alta qualidade;")</f>
        <v>O peso leve; compactar; imagens de alta qualidade;</v>
      </c>
      <c r="B51080" s="3">
        <v>1</v>
      </c>
    </row>
    <row r="51081" ht="15.75" customHeight="1" spans="1:2">
      <c r="A51081" s="3" t="str">
        <f>IFERROR(__xludf.DUMMYFUNCTION("GOOGLETRANSLATE(A51081,""en"",""pt"")"),"Barato, durável, de fácil uso, resolução de qualidade")</f>
        <v>Barato, durável, de fácil uso, resolução de qualidade</v>
      </c>
      <c r="B51081" s="3">
        <v>1</v>
      </c>
    </row>
    <row r="51082" ht="15.75" customHeight="1" spans="1:2">
      <c r="A51082" s="3" t="str">
        <f>IFERROR(__xludf.DUMMYFUNCTION("GOOGLETRANSLATE(A51082,""en"",""pt"")"),"Definição de macro, ótimo preço, Tecnologia Olympus, Super alta qualidade (SHQ), fácil de usar software")</f>
        <v>Definição de macro, ótimo preço, Tecnologia Olympus, Super alta qualidade (SHQ), fácil de usar software</v>
      </c>
      <c r="B51082" s="3">
        <v>1</v>
      </c>
    </row>
    <row r="51083" ht="15.75" customHeight="1" spans="1:2">
      <c r="A51083" s="3" t="str">
        <f>IFERROR(__xludf.DUMMYFUNCTION("GOOGLETRANSLATE(A51083,""en"",""pt"")"),"preço razoável; câmera amigável")</f>
        <v>preço razoável; câmera amigável</v>
      </c>
      <c r="B51083" s="3">
        <v>1</v>
      </c>
    </row>
    <row r="51084" ht="15.75" customHeight="1" spans="1:2">
      <c r="A51084" s="3" t="str">
        <f>IFERROR(__xludf.DUMMYFUNCTION("GOOGLETRANSLATE(A51084,""en"",""pt"")"),"Excelente Qualidade Fotográfica, preço baixo, Modo de Filme Quicktime, suporte USB, fácil de usar")</f>
        <v>Excelente Qualidade Fotográfica, preço baixo, Modo de Filme Quicktime, suporte USB, fácil de usar</v>
      </c>
      <c r="B51084" s="3">
        <v>1</v>
      </c>
    </row>
    <row r="51085" ht="15.75" customHeight="1" spans="1:2">
      <c r="A51085" s="3" t="str">
        <f>IFERROR(__xludf.DUMMYFUNCTION("GOOGLETRANSLATE(A51085,""en"",""pt"")"),"tira ótimas fotos e muito fácil de ligar para o computador")</f>
        <v>tira ótimas fotos e muito fácil de ligar para o computador</v>
      </c>
      <c r="B51085" s="3">
        <v>1</v>
      </c>
    </row>
    <row r="51086" ht="15.75" customHeight="1" spans="1:2">
      <c r="A51086" s="3" t="str">
        <f>IFERROR(__xludf.DUMMYFUNCTION("GOOGLETRANSLATE(A51086,""en"",""pt"")"),"Preço, qualidade de imagem, facilidade de utilização, modo macro")</f>
        <v>Preço, qualidade de imagem, facilidade de utilização, modo macro</v>
      </c>
      <c r="B51086" s="3">
        <v>1</v>
      </c>
    </row>
    <row r="51087" ht="15.75" customHeight="1" spans="1:2">
      <c r="A51087" s="3" t="str">
        <f>IFERROR(__xludf.DUMMYFUNCTION("GOOGLETRANSLATE(A51087,""en"",""pt"")"),"2.0 mega pixels, tela de LCD, grandes fotos de qualidade quando não utiliza o zoom.")</f>
        <v>2.0 mega pixels, tela de LCD, grandes fotos de qualidade quando não utiliza o zoom.</v>
      </c>
      <c r="B51087" s="3">
        <v>1</v>
      </c>
    </row>
    <row r="51088" ht="15.75" customHeight="1" spans="1:2">
      <c r="A51088" s="3" t="str">
        <f>IFERROR(__xludf.DUMMYFUNCTION("GOOGLETRANSLATE(A51088,""en"",""pt"")"),"Simples de usar.")</f>
        <v>Simples de usar.</v>
      </c>
      <c r="B51088" s="3">
        <v>1</v>
      </c>
    </row>
    <row r="51089" ht="15.75" customHeight="1" spans="1:2">
      <c r="A51089" s="3" t="str">
        <f>IFERROR(__xludf.DUMMYFUNCTION("GOOGLETRANSLATE(A51089,""en"",""pt"")"),"excelente qualidade de imagem; leitura / gravação para mídia inteligentes; fácil; boa tampa da lente.")</f>
        <v>excelente qualidade de imagem; leitura / gravação para mídia inteligentes; fácil; boa tampa da lente.</v>
      </c>
      <c r="B51089" s="3">
        <v>1</v>
      </c>
    </row>
    <row r="51090" ht="15.75" customHeight="1" spans="1:2">
      <c r="A51090" s="3" t="str">
        <f>IFERROR(__xludf.DUMMYFUNCTION("GOOGLETRANSLATE(A51090,""en"",""pt"")"),"Ótimas fotos! Ótimo preço! Fácil de usar!")</f>
        <v>Ótimas fotos! Ótimo preço! Fácil de usar!</v>
      </c>
      <c r="B51090" s="3">
        <v>1</v>
      </c>
    </row>
    <row r="51091" ht="15.75" customHeight="1" spans="1:2">
      <c r="A51091" s="3" t="str">
        <f>IFERROR(__xludf.DUMMYFUNCTION("GOOGLETRANSLATE(A51091,""en"",""pt"")"),"Preço, facilidade de uso, qualidade de fotos")</f>
        <v>Preço, facilidade de uso, qualidade de fotos</v>
      </c>
      <c r="B51091" s="3">
        <v>1</v>
      </c>
    </row>
    <row r="51092" ht="15.75" customHeight="1" spans="1:2">
      <c r="A51092" s="3" t="str">
        <f>IFERROR(__xludf.DUMMYFUNCTION("GOOGLETRANSLATE(A51092,""en"",""pt"")"),"Grande Pictures, Distância focal fixa, longa vida útil da bateria, fácil de usar")</f>
        <v>Grande Pictures, Distância focal fixa, longa vida útil da bateria, fácil de usar</v>
      </c>
      <c r="B51092" s="3">
        <v>1</v>
      </c>
    </row>
    <row r="51093" ht="15.75" customHeight="1" spans="1:2">
      <c r="A51093" s="3" t="str">
        <f>IFERROR(__xludf.DUMMYFUNCTION("GOOGLETRANSLATE(A51093,""en"",""pt"")"),"Dá-lhe uma excelente qualidade de foto!")</f>
        <v>Dá-lhe uma excelente qualidade de foto!</v>
      </c>
      <c r="B51093" s="3">
        <v>1</v>
      </c>
    </row>
    <row r="51094" ht="15.75" customHeight="1" spans="1:2">
      <c r="A51094" s="3" t="str">
        <f>IFERROR(__xludf.DUMMYFUNCTION("GOOGLETRANSLATE(A51094,""en"",""pt"")"),"Excelente qualidade de imagem, câmera de bolso, design robusto")</f>
        <v>Excelente qualidade de imagem, câmera de bolso, design robusto</v>
      </c>
      <c r="B51094" s="3">
        <v>1</v>
      </c>
    </row>
    <row r="51095" ht="15.75" customHeight="1" spans="1:2">
      <c r="A51095" s="3" t="str">
        <f>IFERROR(__xludf.DUMMYFUNCTION("GOOGLETRANSLATE(A51095,""en"",""pt"")"),"tamanho pequeno, fotos de qualidade.")</f>
        <v>tamanho pequeno, fotos de qualidade.</v>
      </c>
      <c r="B51095" s="3">
        <v>1</v>
      </c>
    </row>
    <row r="51096" ht="15.75" customHeight="1" spans="1:2">
      <c r="A51096" s="3" t="str">
        <f>IFERROR(__xludf.DUMMYFUNCTION("GOOGLETRANSLATE(A51096,""en"",""pt"")"),"Tamanho, aparência, qualidade de imagem")</f>
        <v>Tamanho, aparência, qualidade de imagem</v>
      </c>
      <c r="B51096" s="3">
        <v>1</v>
      </c>
    </row>
    <row r="51097" ht="15.75" customHeight="1" spans="1:2">
      <c r="A51097" s="3" t="str">
        <f>IFERROR(__xludf.DUMMYFUNCTION("GOOGLETRANSLATE(A51097,""en"",""pt"")"),"Compacto, excelente qualidade de imagem")</f>
        <v>Compacto, excelente qualidade de imagem</v>
      </c>
      <c r="B51097" s="3">
        <v>1</v>
      </c>
    </row>
    <row r="51098" ht="15.75" customHeight="1" spans="1:2">
      <c r="A51098" s="3" t="str">
        <f>IFERROR(__xludf.DUMMYFUNCTION("GOOGLETRANSLATE(A51098,""en"",""pt"")"),"Compacto, elegante e fácil de usar, 4 megapixels, grandes óptica e muito mais ...")</f>
        <v>Compacto, elegante e fácil de usar, 4 megapixels, grandes óptica e muito mais ...</v>
      </c>
      <c r="B51098" s="3">
        <v>1</v>
      </c>
    </row>
    <row r="51099" ht="15.75" customHeight="1" spans="1:2">
      <c r="A51099" s="3" t="str">
        <f>IFERROR(__xludf.DUMMYFUNCTION("GOOGLETRANSLATE(A51099,""en"",""pt"")"),"Portáteis, controles manuais completos, fotos em pouca luz")</f>
        <v>Portáteis, controles manuais completos, fotos em pouca luz</v>
      </c>
      <c r="B51099" s="3">
        <v>1</v>
      </c>
    </row>
    <row r="51100" ht="15.75" customHeight="1" spans="1:2">
      <c r="A51100" s="3" t="str">
        <f>IFERROR(__xludf.DUMMYFUNCTION("GOOGLETRANSLATE(A51100,""en"",""pt"")"),"Carry-em toda parte tamanho, resolução superior, sem tampa da lente solta")</f>
        <v>Carry-em toda parte tamanho, resolução superior, sem tampa da lente solta</v>
      </c>
      <c r="B51100" s="3">
        <v>1</v>
      </c>
    </row>
    <row r="51101" ht="15.75" customHeight="1" spans="1:2">
      <c r="A51101" s="3" t="str">
        <f>IFERROR(__xludf.DUMMYFUNCTION("GOOGLETRANSLATE(A51101,""en"",""pt"")"),"4.0 Megapixel, tamanho pequeno, lotes de características")</f>
        <v>4.0 Megapixel, tamanho pequeno, lotes de características</v>
      </c>
      <c r="B51101" s="3">
        <v>1</v>
      </c>
    </row>
    <row r="51102" ht="15.75" customHeight="1" spans="1:2">
      <c r="A51102" s="3" t="str">
        <f>IFERROR(__xludf.DUMMYFUNCTION("GOOGLETRANSLATE(A51102,""en"",""pt"")"),"tamanho pequeno ainda mantém as características da linha C de câmaras Olympus")</f>
        <v>tamanho pequeno ainda mantém as características da linha C de câmaras Olympus</v>
      </c>
      <c r="B51102" s="3">
        <v>1</v>
      </c>
    </row>
    <row r="51103" ht="15.75" customHeight="1" spans="1:2">
      <c r="A51103" s="3" t="str">
        <f>IFERROR(__xludf.DUMMYFUNCTION("GOOGLETRANSLATE(A51103,""en"",""pt"")"),"4 megapixels, tamanho pequeno, boa qualidade de construção, facilidade de uso, a bateria.")</f>
        <v>4 megapixels, tamanho pequeno, boa qualidade de construção, facilidade de uso, a bateria.</v>
      </c>
      <c r="B51103" s="3">
        <v>1</v>
      </c>
    </row>
    <row r="51104" ht="15.75" customHeight="1" spans="1:2">
      <c r="A51104" s="3" t="str">
        <f>IFERROR(__xludf.DUMMYFUNCTION("GOOGLETRANSLATE(A51104,""en"",""pt"")"),"Tamanho de bolso, 4.1 mega pixel, smartmedia 128M dá muitas fotos")</f>
        <v>Tamanho de bolso, 4.1 mega pixel, smartmedia 128M dá muitas fotos</v>
      </c>
      <c r="B51104" s="3">
        <v>1</v>
      </c>
    </row>
    <row r="51105" ht="15.75" customHeight="1" spans="1:2">
      <c r="A51105" s="3" t="str">
        <f>IFERROR(__xludf.DUMMYFUNCTION("GOOGLETRANSLATE(A51105,""en"",""pt"")"),"Pequeno, leve, fácil de usar, 4 Megapixel!")</f>
        <v>Pequeno, leve, fácil de usar, 4 Megapixel!</v>
      </c>
      <c r="B51105" s="3">
        <v>1</v>
      </c>
    </row>
    <row r="51106" ht="15.75" customHeight="1" spans="1:2">
      <c r="A51106" s="3" t="str">
        <f>IFERROR(__xludf.DUMMYFUNCTION("GOOGLETRANSLATE(A51106,""en"",""pt"")"),"Compact, a Sharp Hi-Rez Pictures, muitos recursos")</f>
        <v>Compact, a Sharp Hi-Rez Pictures, muitos recursos</v>
      </c>
      <c r="B51106" s="3">
        <v>1</v>
      </c>
    </row>
    <row r="51107" ht="15.75" customHeight="1" spans="1:2">
      <c r="A51107" s="3" t="str">
        <f>IFERROR(__xludf.DUMMYFUNCTION("GOOGLETRANSLATE(A51107,""en"",""pt"")"),"pequeno, 4 megapixels é ótimo! lotes de diferentes características ... imagens de grande qualidade. bastante durável.")</f>
        <v>pequeno, 4 megapixels é ótimo! lotes de diferentes características ... imagens de grande qualidade. bastante durável.</v>
      </c>
      <c r="B51107" s="3">
        <v>1</v>
      </c>
    </row>
    <row r="51108" ht="15.75" customHeight="1" spans="1:2">
      <c r="A51108" s="3" t="str">
        <f>IFERROR(__xludf.DUMMYFUNCTION("GOOGLETRANSLATE(A51108,""en"",""pt"")"),"Vai em qualquer lugar, fornece fotos com qualidade de publicação; ótimo serviço de garantia")</f>
        <v>Vai em qualquer lugar, fornece fotos com qualidade de publicação; ótimo serviço de garantia</v>
      </c>
      <c r="B51108" s="3">
        <v>1</v>
      </c>
    </row>
    <row r="51109" ht="15.75" customHeight="1" spans="1:2">
      <c r="A51109" s="3" t="str">
        <f>IFERROR(__xludf.DUMMYFUNCTION("GOOGLETRANSLATE(A51109,""en"",""pt"")"),"Potente e simples de operar. Esta é uma excelente câmera para fotógrafos mais experientes")</f>
        <v>Potente e simples de operar. Esta é uma excelente câmera para fotógrafos mais experientes</v>
      </c>
      <c r="B51109" s="3">
        <v>1</v>
      </c>
    </row>
    <row r="51110" ht="15.75" customHeight="1" spans="1:2">
      <c r="A51110" s="3" t="str">
        <f>IFERROR(__xludf.DUMMYFUNCTION("GOOGLETRANSLATE(A51110,""en"",""pt"")"),"pequeno, leva pilhas AA em uma pitada")</f>
        <v>pequeno, leva pilhas AA em uma pitada</v>
      </c>
      <c r="B51110" s="3">
        <v>1</v>
      </c>
    </row>
    <row r="51111" ht="15.75" customHeight="1" spans="1:2">
      <c r="A51111" s="3" t="str">
        <f>IFERROR(__xludf.DUMMYFUNCTION("GOOGLETRANSLATE(A51111,""en"",""pt"")"),"Grande Média Câmara, nenhum uso em ter uma câmera de vídeo com este !!!")</f>
        <v>Grande Média Câmara, nenhum uso em ter uma câmera de vídeo com este !!!</v>
      </c>
      <c r="B51111" s="3">
        <v>1</v>
      </c>
    </row>
    <row r="51112" ht="15.75" customHeight="1" spans="1:2">
      <c r="A51112" s="3" t="str">
        <f>IFERROR(__xludf.DUMMYFUNCTION("GOOGLETRANSLATE(A51112,""en"",""pt"")"),"Alta Qualidade Pics, Pequeno, automática e as configurações manuais")</f>
        <v>Alta Qualidade Pics, Pequeno, automática e as configurações manuais</v>
      </c>
      <c r="B51112" s="3">
        <v>1</v>
      </c>
    </row>
    <row r="51113" ht="15.75" customHeight="1" spans="1:2">
      <c r="A51113" s="3" t="str">
        <f>IFERROR(__xludf.DUMMYFUNCTION("GOOGLETRANSLATE(A51113,""en"",""pt"")"),"Ótimo preço, duração da bateria e qualidade de imagem!")</f>
        <v>Ótimo preço, duração da bateria e qualidade de imagem!</v>
      </c>
      <c r="B51113" s="3">
        <v>1</v>
      </c>
    </row>
    <row r="51114" ht="15.75" customHeight="1" spans="1:2">
      <c r="A51114" s="3" t="str">
        <f>IFERROR(__xludf.DUMMYFUNCTION("GOOGLETRANSLATE(A51114,""en"",""pt"")"),"Fácil de usar, as imagens muito claras, e muitos recursos")</f>
        <v>Fácil de usar, as imagens muito claras, e muitos recursos</v>
      </c>
      <c r="B51114" s="3">
        <v>1</v>
      </c>
    </row>
    <row r="51115" ht="15.75" customHeight="1" spans="1:2">
      <c r="A51115" s="3" t="str">
        <f>IFERROR(__xludf.DUMMYFUNCTION("GOOGLETRANSLATE(A51115,""en"",""pt"")"),"Pequeno, preço decente, boas fotos.")</f>
        <v>Pequeno, preço decente, boas fotos.</v>
      </c>
      <c r="B51115" s="3">
        <v>1</v>
      </c>
    </row>
    <row r="51116" ht="15.75" customHeight="1" spans="1:2">
      <c r="A51116" s="3" t="str">
        <f>IFERROR(__xludf.DUMMYFUNCTION("GOOGLETRANSLATE(A51116,""en"",""pt"")"),"Compacta, point &amp; amp; shoot fácil, lente zoom ótico 3x, USB, ótimas fotos.")</f>
        <v>Compacta, point &amp; amp; shoot fácil, lente zoom ótico 3x, USB, ótimas fotos.</v>
      </c>
      <c r="B51116" s="3">
        <v>1</v>
      </c>
    </row>
    <row r="51117" ht="15.75" customHeight="1" spans="1:2">
      <c r="A51117" s="3" t="str">
        <f>IFERROR(__xludf.DUMMYFUNCTION("GOOGLETRANSLATE(A51117,""en"",""pt"")"),"Facilidade de uso, qualidade de fotos")</f>
        <v>Facilidade de uso, qualidade de fotos</v>
      </c>
      <c r="B51117" s="3">
        <v>1</v>
      </c>
    </row>
    <row r="51118" ht="15.75" customHeight="1" spans="1:2">
      <c r="A51118" s="3" t="str">
        <f>IFERROR(__xludf.DUMMYFUNCTION("GOOGLETRANSLATE(A51118,""en"",""pt"")"),"Belíssimas imagens, USB Pronto, 2.1 Megapixels, barato, fácil de usar ...")</f>
        <v>Belíssimas imagens, USB Pronto, 2.1 Megapixels, barato, fácil de usar ...</v>
      </c>
      <c r="B51118" s="3">
        <v>1</v>
      </c>
    </row>
    <row r="51119" ht="15.75" customHeight="1" spans="1:2">
      <c r="A51119" s="3" t="str">
        <f>IFERROR(__xludf.DUMMYFUNCTION("GOOGLETRANSLATE(A51119,""en"",""pt"")"),"2.1 mega pixel, flash automático com algumas características de flash extras, a TV, USB, zoom de 3X")</f>
        <v>2.1 mega pixel, flash automático com algumas características de flash extras, a TV, USB, zoom de 3X</v>
      </c>
      <c r="B51119" s="3">
        <v>1</v>
      </c>
    </row>
    <row r="51120" ht="15.75" customHeight="1" spans="1:2">
      <c r="A51120" s="3" t="str">
        <f>IFERROR(__xludf.DUMMYFUNCTION("GOOGLETRANSLATE(A51120,""en"",""pt"")"),"Boa qualidade de imagem e preço")</f>
        <v>Boa qualidade de imagem e preço</v>
      </c>
      <c r="B51120" s="3">
        <v>1</v>
      </c>
    </row>
    <row r="51121" ht="15.75" customHeight="1" spans="1:2">
      <c r="A51121" s="3" t="str">
        <f>IFERROR(__xludf.DUMMYFUNCTION("GOOGLETRANSLATE(A51121,""en"",""pt"")"),"Avaliado altamente por muitos críticos")</f>
        <v>Avaliado altamente por muitos críticos</v>
      </c>
      <c r="B51121" s="3">
        <v>1</v>
      </c>
    </row>
    <row r="51122" ht="15.75" customHeight="1" spans="1:2">
      <c r="A51122" s="3" t="str">
        <f>IFERROR(__xludf.DUMMYFUNCTION("GOOGLETRANSLATE(A51122,""en"",""pt"")"),"picturetaking rápido, boa qualidade de imagem, bom conjunto de recursos para o preço")</f>
        <v>picturetaking rápido, boa qualidade de imagem, bom conjunto de recursos para o preço</v>
      </c>
      <c r="B51122" s="3">
        <v>1</v>
      </c>
    </row>
    <row r="51123" ht="15.75" customHeight="1" spans="1:2">
      <c r="A51123" s="3" t="str">
        <f>IFERROR(__xludf.DUMMYFUNCTION("GOOGLETRANSLATE(A51123,""en"",""pt"")"),"Compacto, bom zoom, tampa deslizante, e qualidade de imagem.")</f>
        <v>Compacto, bom zoom, tampa deslizante, e qualidade de imagem.</v>
      </c>
      <c r="B51123" s="3">
        <v>1</v>
      </c>
    </row>
    <row r="51124" ht="15.75" customHeight="1" spans="1:2">
      <c r="A51124" s="3" t="str">
        <f>IFERROR(__xludf.DUMMYFUNCTION("GOOGLETRANSLATE(A51124,""en"",""pt"")"),"imagens nítidas e transferências sem falhas para o computador, boas instruções, preço justo")</f>
        <v>imagens nítidas e transferências sem falhas para o computador, boas instruções, preço justo</v>
      </c>
      <c r="B51124" s="3">
        <v>1</v>
      </c>
    </row>
    <row r="51125" ht="15.75" customHeight="1" spans="1:2">
      <c r="A51125" s="3" t="str">
        <f>IFERROR(__xludf.DUMMYFUNCTION("GOOGLETRANSLATE(A51125,""en"",""pt"")"),"imagens soberbas resolução de qualidade, bom preço, USB, panorama, até ISO 400")</f>
        <v>imagens soberbas resolução de qualidade, bom preço, USB, panorama, até ISO 400</v>
      </c>
      <c r="B51125" s="3">
        <v>1</v>
      </c>
    </row>
    <row r="51126" ht="15.75" customHeight="1" spans="1:2">
      <c r="A51126" s="3" t="str">
        <f>IFERROR(__xludf.DUMMYFUNCTION("GOOGLETRANSLATE(A51126,""en"",""pt"")"),"Grandes imagens, de bolso, rápido e fácil de usar.")</f>
        <v>Grandes imagens, de bolso, rápido e fácil de usar.</v>
      </c>
      <c r="B51126" s="3">
        <v>1</v>
      </c>
    </row>
    <row r="51127" ht="15.75" customHeight="1" spans="1:2">
      <c r="A51127" s="3" t="str">
        <f>IFERROR(__xludf.DUMMYFUNCTION("GOOGLETRANSLATE(A51127,""en"",""pt"")"),"Com preços moderados, fácil de usar, formato portátil, ótimas fotos")</f>
        <v>Com preços moderados, fácil de usar, formato portátil, ótimas fotos</v>
      </c>
      <c r="B51127" s="3">
        <v>1</v>
      </c>
    </row>
    <row r="51128" ht="15.75" customHeight="1" spans="1:2">
      <c r="A51128" s="3" t="str">
        <f>IFERROR(__xludf.DUMMYFUNCTION("GOOGLETRANSLATE(A51128,""en"",""pt"")"),"Grande Pics !, o armazenamento de 128MB, excelente zoom óptico, recursos extras muitos. conexão USB fácil")</f>
        <v>Grande Pics !, o armazenamento de 128MB, excelente zoom óptico, recursos extras muitos. conexão USB fácil</v>
      </c>
      <c r="B51128" s="3">
        <v>1</v>
      </c>
    </row>
    <row r="51129" ht="15.75" customHeight="1" spans="1:2">
      <c r="A51129" s="3" t="str">
        <f>IFERROR(__xludf.DUMMYFUNCTION("GOOGLETRANSLATE(A51129,""en"",""pt"")"),"Pequeno, 3X óptico / zoom 9X digitais, modo Quicktime Filme, USB, 2.1 Megapixel")</f>
        <v>Pequeno, 3X óptico / zoom 9X digitais, modo Quicktime Filme, USB, 2.1 Megapixel</v>
      </c>
      <c r="B51129" s="3">
        <v>1</v>
      </c>
    </row>
    <row r="51130" ht="15.75" customHeight="1" spans="1:2">
      <c r="A51130" s="3" t="str">
        <f>IFERROR(__xludf.DUMMYFUNCTION("GOOGLETRANSLATE(A51130,""en"",""pt"")"),"Grandes fotos, 2.1 MP, barato, agradável óptica, fácil de usar, lente protegida")</f>
        <v>Grandes fotos, 2.1 MP, barato, agradável óptica, fácil de usar, lente protegida</v>
      </c>
      <c r="B51130" s="3">
        <v>1</v>
      </c>
    </row>
    <row r="51131" ht="15.75" customHeight="1" spans="1:2">
      <c r="A51131" s="3" t="str">
        <f>IFERROR(__xludf.DUMMYFUNCTION("GOOGLETRANSLATE(A51131,""en"",""pt"")"),"zoom óptico, bom tamanho")</f>
        <v>zoom óptico, bom tamanho</v>
      </c>
      <c r="B51131" s="3">
        <v>1</v>
      </c>
    </row>
    <row r="51132" ht="15.75" customHeight="1" spans="1:2">
      <c r="A51132" s="3" t="str">
        <f>IFERROR(__xludf.DUMMYFUNCTION("GOOGLETRANSLATE(A51132,""en"",""pt"")"),"tamanho conveniente, boa proteção da lente, excelente qualidade de imagem, preço razoável.")</f>
        <v>tamanho conveniente, boa proteção da lente, excelente qualidade de imagem, preço razoável.</v>
      </c>
      <c r="B51132" s="3">
        <v>1</v>
      </c>
    </row>
    <row r="51133" ht="15.75" customHeight="1" spans="1:2">
      <c r="A51133" s="3" t="str">
        <f>IFERROR(__xludf.DUMMYFUNCTION("GOOGLETRANSLATE(A51133,""en"",""pt"")"),"Imagem, Features, a vida da bateria, facilidade de uso, Construção")</f>
        <v>Imagem, Features, a vida da bateria, facilidade de uso, Construção</v>
      </c>
      <c r="B51133" s="3">
        <v>1</v>
      </c>
    </row>
    <row r="51134" ht="15.75" customHeight="1" spans="1:2">
      <c r="A51134" s="3" t="str">
        <f>IFERROR(__xludf.DUMMYFUNCTION("GOOGLETRANSLATE(A51134,""en"",""pt"")"),"Convenientes, imagens de boa qualidade, funciona de forma confiável")</f>
        <v>Convenientes, imagens de boa qualidade, funciona de forma confiável</v>
      </c>
      <c r="B51134" s="3">
        <v>1</v>
      </c>
    </row>
    <row r="51135" ht="15.75" customHeight="1" spans="1:2">
      <c r="A51135" s="3" t="str">
        <f>IFERROR(__xludf.DUMMYFUNCTION("GOOGLETRANSLATE(A51135,""en"",""pt"")"),"Fotografias muito boas")</f>
        <v>Fotografias muito boas</v>
      </c>
      <c r="B51135" s="3">
        <v>1</v>
      </c>
    </row>
    <row r="51136" ht="15.75" customHeight="1" spans="1:2">
      <c r="A51136" s="3" t="str">
        <f>IFERROR(__xludf.DUMMYFUNCTION("GOOGLETRANSLATE(A51136,""en"",""pt"")"),"Valor e qualidade")</f>
        <v>Valor e qualidade</v>
      </c>
      <c r="B51136" s="3">
        <v>1</v>
      </c>
    </row>
    <row r="51137" ht="15.75" customHeight="1" spans="1:2">
      <c r="A51137" s="3" t="str">
        <f>IFERROR(__xludf.DUMMYFUNCTION("GOOGLETRANSLATE(A51137,""en"",""pt"")"),"imagens simples, simples e excelentes")</f>
        <v>imagens simples, simples e excelentes</v>
      </c>
      <c r="B51137" s="3">
        <v>1</v>
      </c>
    </row>
    <row r="51138" ht="15.75" customHeight="1" spans="1:2">
      <c r="A51138" s="3" t="str">
        <f>IFERROR(__xludf.DUMMYFUNCTION("GOOGLETRANSLATE(A51138,""en"",""pt"")"),"Ótimas fotos. Fácil de usar. Grande autonomia da bateria com NiMH.")</f>
        <v>Ótimas fotos. Fácil de usar. Grande autonomia da bateria com NiMH.</v>
      </c>
      <c r="B51138" s="3">
        <v>1</v>
      </c>
    </row>
    <row r="51139" ht="15.75" customHeight="1" spans="1:2">
      <c r="A51139" s="3" t="str">
        <f>IFERROR(__xludf.DUMMYFUNCTION("GOOGLETRANSLATE(A51139,""en"",""pt"")"),"poderosa câmera, baixo custo, resultados de imagem impressionantes")</f>
        <v>poderosa câmera, baixo custo, resultados de imagem impressionantes</v>
      </c>
      <c r="B51139" s="3">
        <v>1</v>
      </c>
    </row>
    <row r="51140" ht="15.75" customHeight="1" spans="1:2">
      <c r="A51140" s="3" t="str">
        <f>IFERROR(__xludf.DUMMYFUNCTION("GOOGLETRANSLATE(A51140,""en"",""pt"")"),"Muito durável, fácil de usar, ótimas fotos")</f>
        <v>Muito durável, fácil de usar, ótimas fotos</v>
      </c>
      <c r="B51140" s="3">
        <v>1</v>
      </c>
    </row>
    <row r="51141" ht="15.75" customHeight="1" spans="1:2">
      <c r="A51141" s="3" t="str">
        <f>IFERROR(__xludf.DUMMYFUNCTION("GOOGLETRANSLATE(A51141,""en"",""pt"")"),"Durable-Leve-Download de menu amigável-Fácil Use Instrução,")</f>
        <v>Durable-Leve-Download de menu amigável-Fácil Use Instrução,</v>
      </c>
      <c r="B51141" s="3">
        <v>1</v>
      </c>
    </row>
    <row r="51142" ht="15.75" customHeight="1" spans="1:2">
      <c r="A51142" s="3" t="str">
        <f>IFERROR(__xludf.DUMMYFUNCTION("GOOGLETRANSLATE(A51142,""en"",""pt"")"),"Qualidade de Fotos, USB !!, facilidade de uso, a vida da bateria (muito bom) &amp; amp; # 13; &amp; amp; # 10;")</f>
        <v>Qualidade de Fotos, USB !!, facilidade de uso, a vida da bateria (muito bom) &amp; amp; # 13; &amp; amp; # 10;</v>
      </c>
      <c r="B51142" s="3">
        <v>1</v>
      </c>
    </row>
    <row r="51143" ht="15.75" customHeight="1" spans="1:2">
      <c r="A51143" s="3" t="str">
        <f>IFERROR(__xludf.DUMMYFUNCTION("GOOGLETRANSLATE(A51143,""en"",""pt"")"),"Tamanho, zoom óptico, a qualidade da foto, preço")</f>
        <v>Tamanho, zoom óptico, a qualidade da foto, preço</v>
      </c>
      <c r="B51143" s="3">
        <v>1</v>
      </c>
    </row>
    <row r="51144" ht="15.75" customHeight="1" spans="1:2">
      <c r="A51144" s="3" t="str">
        <f>IFERROR(__xludf.DUMMYFUNCTION("GOOGLETRANSLATE(A51144,""en"",""pt"")"),"Apontar e disparar, a vida da bateria, decentemente grande visualiza o ecrã")</f>
        <v>Apontar e disparar, a vida da bateria, decentemente grande visualiza o ecrã</v>
      </c>
      <c r="B51144" s="3">
        <v>1</v>
      </c>
    </row>
    <row r="51145" ht="15.75" customHeight="1" spans="1:2">
      <c r="A51145" s="3" t="str">
        <f>IFERROR(__xludf.DUMMYFUNCTION("GOOGLETRANSLATE(A51145,""en"",""pt"")"),"Grandes imagens, display LCD nítido, mais zoom do que a maioria 2.1 da esse preço")</f>
        <v>Grandes imagens, display LCD nítido, mais zoom do que a maioria 2.1 da esse preço</v>
      </c>
      <c r="B51145" s="3">
        <v>1</v>
      </c>
    </row>
    <row r="51146" ht="15.75" customHeight="1" spans="1:2">
      <c r="A51146" s="3" t="str">
        <f>IFERROR(__xludf.DUMMYFUNCTION("GOOGLETRANSLATE(A51146,""en"",""pt"")"),"1) boas fotos, fácil de usar e muito bom conjunto de recursos.")</f>
        <v>1) boas fotos, fácil de usar e muito bom conjunto de recursos.</v>
      </c>
      <c r="B51146" s="3">
        <v>1</v>
      </c>
    </row>
    <row r="51147" ht="15.75" customHeight="1" spans="1:2">
      <c r="A51147" s="3" t="str">
        <f>IFERROR(__xludf.DUMMYFUNCTION("GOOGLETRANSLATE(A51147,""en"",""pt"")"),"Grandes pics, fácil de usar.")</f>
        <v>Grandes pics, fácil de usar.</v>
      </c>
      <c r="B51147" s="3">
        <v>1</v>
      </c>
    </row>
    <row r="51148" ht="15.75" customHeight="1" spans="1:2">
      <c r="A51148" s="3" t="str">
        <f>IFERROR(__xludf.DUMMYFUNCTION("GOOGLETRANSLATE(A51148,""en"",""pt"")"),"Fácil de usar")</f>
        <v>Fácil de usar</v>
      </c>
      <c r="B51148" s="3">
        <v>1</v>
      </c>
    </row>
    <row r="51149" ht="15.75" customHeight="1" spans="1:2">
      <c r="A51149" s="3" t="str">
        <f>IFERROR(__xludf.DUMMYFUNCTION("GOOGLETRANSLATE(A51149,""en"",""pt"")"),"Fácil de usar, grande iluminação em ambiente escuro, preço")</f>
        <v>Fácil de usar, grande iluminação em ambiente escuro, preço</v>
      </c>
      <c r="B51149" s="3">
        <v>1</v>
      </c>
    </row>
    <row r="51150" ht="15.75" customHeight="1" spans="1:2">
      <c r="A51150" s="3" t="str">
        <f>IFERROR(__xludf.DUMMYFUNCTION("GOOGLETRANSLATE(A51150,""en"",""pt"")"),"Fácil de usar, zoom, panorama")</f>
        <v>Fácil de usar, zoom, panorama</v>
      </c>
      <c r="B51150" s="3">
        <v>1</v>
      </c>
    </row>
    <row r="51151" ht="15.75" customHeight="1" spans="1:2">
      <c r="A51151" s="3" t="str">
        <f>IFERROR(__xludf.DUMMYFUNCTION("GOOGLETRANSLATE(A51151,""en"",""pt"")"),"Pequeno em tamanho, boa óptica, agradável qualidade de imagem.")</f>
        <v>Pequeno em tamanho, boa óptica, agradável qualidade de imagem.</v>
      </c>
      <c r="B51151" s="3">
        <v>1</v>
      </c>
    </row>
    <row r="51152" ht="15.75" customHeight="1" spans="1:2">
      <c r="A51152" s="3" t="str">
        <f>IFERROR(__xludf.DUMMYFUNCTION("GOOGLETRANSLATE(A51152,""en"",""pt"")"),"bom tamanho e peso, fotos panorâmicas.")</f>
        <v>bom tamanho e peso, fotos panorâmicas.</v>
      </c>
      <c r="B51152" s="3">
        <v>1</v>
      </c>
    </row>
    <row r="51153" ht="15.75" customHeight="1" spans="1:2">
      <c r="A51153" s="3" t="str">
        <f>IFERROR(__xludf.DUMMYFUNCTION("GOOGLETRANSLATE(A51153,""en"",""pt"")"),"Ópticas excelentes, grandes recursos, conexão USB rápida.")</f>
        <v>Ópticas excelentes, grandes recursos, conexão USB rápida.</v>
      </c>
      <c r="B51153" s="3">
        <v>1</v>
      </c>
    </row>
    <row r="51154" ht="15.75" customHeight="1" spans="1:2">
      <c r="A51154" s="3" t="str">
        <f>IFERROR(__xludf.DUMMYFUNCTION("GOOGLETRANSLATE(A51154,""en"",""pt"")"),"Boa qualidade de imagem, fácil de usar, Limpar tela, formato bom menu")</f>
        <v>Boa qualidade de imagem, fácil de usar, Limpar tela, formato bom menu</v>
      </c>
      <c r="B51154" s="3">
        <v>1</v>
      </c>
    </row>
    <row r="51155" ht="15.75" customHeight="1" spans="1:2">
      <c r="A51155" s="3" t="str">
        <f>IFERROR(__xludf.DUMMYFUNCTION("GOOGLETRANSLATE(A51155,""en"",""pt"")"),"Boas impressões, conveniente para viajar com, qualidade confiável.")</f>
        <v>Boas impressões, conveniente para viajar com, qualidade confiável.</v>
      </c>
      <c r="B51155" s="3">
        <v>1</v>
      </c>
    </row>
    <row r="51156" ht="15.75" customHeight="1" spans="1:2">
      <c r="A51156" s="3" t="str">
        <f>IFERROR(__xludf.DUMMYFUNCTION("GOOGLETRANSLATE(A51156,""en"",""pt"")"),"preço, zoom óptico 3x, ASA-velocidade, panorama, clips vid")</f>
        <v>preço, zoom óptico 3x, ASA-velocidade, panorama, clips vid</v>
      </c>
      <c r="B51156" s="3">
        <v>1</v>
      </c>
    </row>
    <row r="51157" ht="15.75" customHeight="1" spans="1:2">
      <c r="A51157" s="3" t="str">
        <f>IFERROR(__xludf.DUMMYFUNCTION("GOOGLETRANSLATE(A51157,""en"",""pt"")"),"Suporta 128MB de mídia, leve, compacto, atraente, registros 15 arquivos AVI segundo e zoom óptico 3x.")</f>
        <v>Suporta 128MB de mídia, leve, compacto, atraente, registros 15 arquivos AVI segundo e zoom óptico 3x.</v>
      </c>
      <c r="B51157" s="3">
        <v>1</v>
      </c>
    </row>
    <row r="51158" ht="15.75" customHeight="1" spans="1:2">
      <c r="A51158" s="3" t="str">
        <f>IFERROR(__xludf.DUMMYFUNCTION("GOOGLETRANSLATE(A51158,""en"",""pt"")"),"Samll, simples, qualidade Olympus")</f>
        <v>Samll, simples, qualidade Olympus</v>
      </c>
      <c r="B51158" s="3">
        <v>1</v>
      </c>
    </row>
    <row r="51159" ht="15.75" customHeight="1" spans="1:2">
      <c r="A51159" s="3" t="str">
        <f>IFERROR(__xludf.DUMMYFUNCTION("GOOGLETRANSLATE(A51159,""en"",""pt"")"),"Preço, qualidade de imagem, tamanho")</f>
        <v>Preço, qualidade de imagem, tamanho</v>
      </c>
      <c r="B51159" s="3">
        <v>1</v>
      </c>
    </row>
    <row r="51160" ht="15.75" customHeight="1" spans="1:2">
      <c r="A51160" s="3" t="str">
        <f>IFERROR(__xludf.DUMMYFUNCTION("GOOGLETRANSLATE(A51160,""en"",""pt"")"),"Boa Pixs, boa Flash, agradável lente 3X, grande memória w / 64mb cartão")</f>
        <v>Boa Pixs, boa Flash, agradável lente 3X, grande memória w / 64mb cartão</v>
      </c>
      <c r="B51160" s="3">
        <v>1</v>
      </c>
    </row>
    <row r="51161" ht="15.75" customHeight="1" spans="1:2">
      <c r="A51161" s="3" t="str">
        <f>IFERROR(__xludf.DUMMYFUNCTION("GOOGLETRANSLATE(A51161,""en"",""pt"")"),"Compacto, usa pilhas AA, boa qualidade de imagem, barato")</f>
        <v>Compacto, usa pilhas AA, boa qualidade de imagem, barato</v>
      </c>
      <c r="B51161" s="3">
        <v>1</v>
      </c>
    </row>
    <row r="51162" ht="15.75" customHeight="1" spans="1:2">
      <c r="A51162" s="3" t="str">
        <f>IFERROR(__xludf.DUMMYFUNCTION("GOOGLETRANSLATE(A51162,""en"",""pt"")"),"qualidade de imagem, facilidade de uso, a tela LCD clara, compacta, durável, mesmo quando molhado.")</f>
        <v>qualidade de imagem, facilidade de uso, a tela LCD clara, compacta, durável, mesmo quando molhado.</v>
      </c>
      <c r="B51162" s="3">
        <v>1</v>
      </c>
    </row>
    <row r="51163" ht="15.75" customHeight="1" spans="1:2">
      <c r="A51163" s="3" t="str">
        <f>IFERROR(__xludf.DUMMYFUNCTION("GOOGLETRANSLATE(A51163,""en"",""pt"")"),"fácil de usar; X3 zoom óptico; boa qualidade para de 2.0 mega pixel de cam")</f>
        <v>fácil de usar; X3 zoom óptico; boa qualidade para de 2.0 mega pixel de cam</v>
      </c>
      <c r="B51163" s="3">
        <v>1</v>
      </c>
    </row>
    <row r="51164" ht="15.75" customHeight="1" spans="1:2">
      <c r="A51164" s="3" t="str">
        <f>IFERROR(__xludf.DUMMYFUNCTION("GOOGLETRANSLATE(A51164,""en"",""pt"")"),"Duráveis, Grande procura estampas, relativamente barato, boa óptica")</f>
        <v>Duráveis, Grande procura estampas, relativamente barato, boa óptica</v>
      </c>
      <c r="B51164" s="3">
        <v>1</v>
      </c>
    </row>
    <row r="51165" ht="15.75" customHeight="1" spans="1:2">
      <c r="A51165" s="3" t="str">
        <f>IFERROR(__xludf.DUMMYFUNCTION("GOOGLETRANSLATE(A51165,""en"",""pt"")"),"tamanho, facilidade de uso, zoom óptico, a qualidade de fotos")</f>
        <v>tamanho, facilidade de uso, zoom óptico, a qualidade de fotos</v>
      </c>
      <c r="B51165" s="3">
        <v>1</v>
      </c>
    </row>
    <row r="51166" ht="15.75" customHeight="1" spans="1:2">
      <c r="A51166" s="3" t="str">
        <f>IFERROR(__xludf.DUMMYFUNCTION("GOOGLETRANSLATE(A51166,""en"",""pt"")"),"Barato, pequeno e fácil de usar. Oferece pix qualidade.")</f>
        <v>Barato, pequeno e fácil de usar. Oferece pix qualidade.</v>
      </c>
      <c r="B51166" s="3">
        <v>1</v>
      </c>
    </row>
    <row r="51167" ht="15.75" customHeight="1" spans="1:2">
      <c r="A51167" s="3" t="str">
        <f>IFERROR(__xludf.DUMMYFUNCTION("GOOGLETRANSLATE(A51167,""en"",""pt"")"),"Preço, fotos Boa Qualidade")</f>
        <v>Preço, fotos Boa Qualidade</v>
      </c>
      <c r="B51167" s="3">
        <v>1</v>
      </c>
    </row>
    <row r="51168" ht="15.75" customHeight="1" spans="1:2">
      <c r="A51168" s="3" t="str">
        <f>IFERROR(__xludf.DUMMYFUNCTION("GOOGLETRANSLATE(A51168,""en"",""pt"")"),"Bom Qualidade de Imagem, Fácil de usar software, de fácil operação")</f>
        <v>Bom Qualidade de Imagem, Fácil de usar software, de fácil operação</v>
      </c>
      <c r="B51168" s="3">
        <v>1</v>
      </c>
    </row>
    <row r="51169" ht="15.75" customHeight="1" spans="1:2">
      <c r="A51169" s="3" t="str">
        <f>IFERROR(__xludf.DUMMYFUNCTION("GOOGLETRANSLATE(A51169,""en"",""pt"")"),"Preço, tamanho, características, fácil de usar e tem grandes figuras!")</f>
        <v>Preço, tamanho, características, fácil de usar e tem grandes figuras!</v>
      </c>
      <c r="B51169" s="3">
        <v>1</v>
      </c>
    </row>
    <row r="51170" ht="15.75" customHeight="1" spans="1:2">
      <c r="A51170" s="3" t="str">
        <f>IFERROR(__xludf.DUMMYFUNCTION("GOOGLETRANSLATE(A51170,""en"",""pt"")"),"Fiável como uma câmera compacta na maioria das condições")</f>
        <v>Fiável como uma câmera compacta na maioria das condições</v>
      </c>
      <c r="B51170" s="3">
        <v>1</v>
      </c>
    </row>
    <row r="51171" ht="15.75" customHeight="1" spans="1:2">
      <c r="A51171" s="3" t="str">
        <f>IFERROR(__xludf.DUMMYFUNCTION("GOOGLETRANSLATE(A51171,""en"",""pt"")"),"boas fotos leva")</f>
        <v>boas fotos leva</v>
      </c>
      <c r="B51171" s="3">
        <v>1</v>
      </c>
    </row>
    <row r="51172" ht="15.75" customHeight="1" spans="1:2">
      <c r="A51172" s="3" t="str">
        <f>IFERROR(__xludf.DUMMYFUNCTION("GOOGLETRANSLATE(A51172,""en"",""pt"")"),"Barato, boas fotos, peso leve, mídia de baixo custo, características decente")</f>
        <v>Barato, boas fotos, peso leve, mídia de baixo custo, características decente</v>
      </c>
      <c r="B51172" s="3">
        <v>1</v>
      </c>
    </row>
    <row r="51173" ht="15.75" customHeight="1" spans="1:2">
      <c r="A51173" s="3" t="str">
        <f>IFERROR(__xludf.DUMMYFUNCTION("GOOGLETRANSLATE(A51173,""en"",""pt"")"),"Grande compra para menos de US $ 400, excelentes fotos.")</f>
        <v>Grande compra para menos de US $ 400, excelentes fotos.</v>
      </c>
      <c r="B51173" s="3">
        <v>1</v>
      </c>
    </row>
    <row r="51174" ht="15.75" customHeight="1" spans="1:2">
      <c r="A51174" s="3" t="str">
        <f>IFERROR(__xludf.DUMMYFUNCTION("GOOGLETRANSLATE(A51174,""en"",""pt"")"),"Impressionante para a pessoa comum não profissional")</f>
        <v>Impressionante para a pessoa comum não profissional</v>
      </c>
      <c r="B51174" s="3">
        <v>1</v>
      </c>
    </row>
    <row r="51175" ht="15.75" customHeight="1" spans="1:2">
      <c r="A51175" s="3" t="str">
        <f>IFERROR(__xludf.DUMMYFUNCTION("GOOGLETRANSLATE(A51175,""en"",""pt"")"),"baterias padrão, qualidade boa imagem")</f>
        <v>baterias padrão, qualidade boa imagem</v>
      </c>
      <c r="B51175" s="3">
        <v>1</v>
      </c>
    </row>
    <row r="51176" ht="15.75" customHeight="1" spans="1:2">
      <c r="A51176" s="3" t="str">
        <f>IFERROR(__xludf.DUMMYFUNCTION("GOOGLETRANSLATE(A51176,""en"",""pt"")"),"Robusto, rápido, fácil de usar, e excelentes fotos.")</f>
        <v>Robusto, rápido, fácil de usar, e excelentes fotos.</v>
      </c>
      <c r="B51176" s="3">
        <v>1</v>
      </c>
    </row>
    <row r="51177" ht="15.75" customHeight="1" spans="1:2">
      <c r="A51177" s="3" t="str">
        <f>IFERROR(__xludf.DUMMYFUNCTION("GOOGLETRANSLATE(A51177,""en"",""pt"")"),"Facilidade de uso, qualidade de imagem, software decente fornecido.")</f>
        <v>Facilidade de uso, qualidade de imagem, software decente fornecido.</v>
      </c>
      <c r="B51177" s="3">
        <v>1</v>
      </c>
    </row>
    <row r="51178" ht="15.75" customHeight="1" spans="1:2">
      <c r="A51178" s="3" t="str">
        <f>IFERROR(__xludf.DUMMYFUNCTION("GOOGLETRANSLATE(A51178,""en"",""pt"")"),"Qualidade Ponto e tiro, lente Olympus, Tiff e características panorama")</f>
        <v>Qualidade Ponto e tiro, lente Olympus, Tiff e características panorama</v>
      </c>
      <c r="B51178" s="3">
        <v>1</v>
      </c>
    </row>
    <row r="51179" ht="15.75" customHeight="1" spans="1:2">
      <c r="A51179" s="3" t="str">
        <f>IFERROR(__xludf.DUMMYFUNCTION("GOOGLETRANSLATE(A51179,""en"",""pt"")"),"Muito boa qualidade de imagem na maioria dos casos, fácil de aprender e usar, preço competitivo.")</f>
        <v>Muito boa qualidade de imagem na maioria dos casos, fácil de aprender e usar, preço competitivo.</v>
      </c>
      <c r="B51179" s="3">
        <v>1</v>
      </c>
    </row>
    <row r="51180" ht="15.75" customHeight="1" spans="1:2">
      <c r="A51180" s="3" t="str">
        <f>IFERROR(__xludf.DUMMYFUNCTION("GOOGLETRANSLATE(A51180,""en"",""pt"")"),"Geralmente, leva uma imagem decente sem você ter que pensar muito")</f>
        <v>Geralmente, leva uma imagem decente sem você ter que pensar muito</v>
      </c>
      <c r="B51180" s="3">
        <v>1</v>
      </c>
    </row>
    <row r="51181" ht="15.75" customHeight="1" spans="1:2">
      <c r="A51181" s="3" t="str">
        <f>IFERROR(__xludf.DUMMYFUNCTION("GOOGLETRANSLATE(A51181,""en"",""pt"")"),"Muito leve e compacta e tem a volta rápida off botão de flash.")</f>
        <v>Muito leve e compacta e tem a volta rápida off botão de flash.</v>
      </c>
      <c r="B51181" s="3">
        <v>1</v>
      </c>
    </row>
    <row r="51182" ht="15.75" customHeight="1" spans="1:2">
      <c r="A51182" s="3" t="str">
        <f>IFERROR(__xludf.DUMMYFUNCTION("GOOGLETRANSLATE(A51182,""en"",""pt"")"),"fotos claras, Memória actualizável")</f>
        <v>fotos claras, Memória actualizável</v>
      </c>
      <c r="B51182" s="3">
        <v>1</v>
      </c>
    </row>
    <row r="51183" ht="15.75" customHeight="1" spans="1:2">
      <c r="A51183" s="3" t="str">
        <f>IFERROR(__xludf.DUMMYFUNCTION("GOOGLETRANSLATE(A51183,""en"",""pt"")"),"Excelente preço, perfeito para iniciantes")</f>
        <v>Excelente preço, perfeito para iniciantes</v>
      </c>
      <c r="B51183" s="3">
        <v>1</v>
      </c>
    </row>
    <row r="51184" ht="15.75" customHeight="1" spans="1:2">
      <c r="A51184" s="3" t="str">
        <f>IFERROR(__xludf.DUMMYFUNCTION("GOOGLETRANSLATE(A51184,""en"",""pt"")"),"legal em flash brilhante, fácil de usar, ótimo balanço de cor,")</f>
        <v>legal em flash brilhante, fácil de usar, ótimo balanço de cor,</v>
      </c>
      <c r="B51184" s="3">
        <v>1</v>
      </c>
    </row>
    <row r="51185" ht="15.75" customHeight="1" spans="1:2">
      <c r="A51185" s="3" t="str">
        <f>IFERROR(__xludf.DUMMYFUNCTION("GOOGLETRANSLATE(A51185,""en"",""pt"")"),"luz, bons em baterias, boas fotos")</f>
        <v>luz, bons em baterias, boas fotos</v>
      </c>
      <c r="B51185" s="3">
        <v>1</v>
      </c>
    </row>
    <row r="51186" ht="15.75" customHeight="1" spans="1:2">
      <c r="A51186" s="3" t="str">
        <f>IFERROR(__xludf.DUMMYFUNCTION("GOOGLETRANSLATE(A51186,""en"",""pt"")"),"Mais fácil câmera no mundo a utilizar.")</f>
        <v>Mais fácil câmera no mundo a utilizar.</v>
      </c>
      <c r="B51186" s="3">
        <v>1</v>
      </c>
    </row>
    <row r="51187" ht="15.75" customHeight="1" spans="1:2">
      <c r="A51187" s="3" t="str">
        <f>IFERROR(__xludf.DUMMYFUNCTION("GOOGLETRANSLATE(A51187,""en"",""pt"")"),"Preço, grandes 3 megapixels, função mapeamento de pixels")</f>
        <v>Preço, grandes 3 megapixels, função mapeamento de pixels</v>
      </c>
      <c r="B51187" s="3">
        <v>1</v>
      </c>
    </row>
    <row r="51188" ht="15.75" customHeight="1" spans="1:2">
      <c r="A51188" s="3" t="str">
        <f>IFERROR(__xludf.DUMMYFUNCTION("GOOGLETRANSLATE(A51188,""en"",""pt"")"),"Um grande ponto e atirar câmera. Um cartão de memória terá muitas fotos.")</f>
        <v>Um grande ponto e atirar câmera. Um cartão de memória terá muitas fotos.</v>
      </c>
      <c r="B51188" s="3">
        <v>1</v>
      </c>
    </row>
    <row r="51189" ht="15.75" customHeight="1" spans="1:2">
      <c r="A51189" s="3" t="str">
        <f>IFERROR(__xludf.DUMMYFUNCTION("GOOGLETRANSLATE(A51189,""en"",""pt"")"),"dois slots de memória, tela adujstable, altas óptica de desempenho, detalhes impressionantes.")</f>
        <v>dois slots de memória, tela adujstable, altas óptica de desempenho, detalhes impressionantes.</v>
      </c>
      <c r="B51189" s="3">
        <v>1</v>
      </c>
    </row>
    <row r="51190" ht="15.75" customHeight="1" spans="1:2">
      <c r="A51190" s="3" t="str">
        <f>IFERROR(__xludf.DUMMYFUNCTION("GOOGLETRANSLATE(A51190,""en"",""pt"")"),"ópticas reais SLR e sentir, excelente qualidade de imagem, muito semelhante a filme.")</f>
        <v>ópticas reais SLR e sentir, excelente qualidade de imagem, muito semelhante a filme.</v>
      </c>
      <c r="B51190" s="3">
        <v>1</v>
      </c>
    </row>
    <row r="51191" ht="15.75" customHeight="1" spans="1:2">
      <c r="A51191" s="3" t="str">
        <f>IFERROR(__xludf.DUMMYFUNCTION("GOOGLETRANSLATE(A51191,""en"",""pt"")"),"4,0 megapixels, 4x de zoom, capacidade para SmartMedia &amp; amp; Compact Flash.")</f>
        <v>4,0 megapixels, 4x de zoom, capacidade para SmartMedia &amp; amp; Compact Flash.</v>
      </c>
      <c r="B51191" s="3">
        <v>1</v>
      </c>
    </row>
    <row r="51192" ht="15.75" customHeight="1" spans="1:2">
      <c r="A51192" s="3" t="str">
        <f>IFERROR(__xludf.DUMMYFUNCTION("GOOGLETRANSLATE(A51192,""en"",""pt"")"),", Construção substancial de alumínio, lente soberba, cheia de flash forte o manual, a qualidade de imagem incrível.")</f>
        <v>, Construção substancial de alumínio, lente soberba, cheia de flash forte o manual, a qualidade de imagem incrível.</v>
      </c>
      <c r="B51192" s="3">
        <v>1</v>
      </c>
    </row>
    <row r="51193" ht="15.75" customHeight="1" spans="1:2">
      <c r="A51193" s="3" t="str">
        <f>IFERROR(__xludf.DUMMYFUNCTION("GOOGLETRANSLATE(A51193,""en"",""pt"")"),"Qualidade, qualidade, qualidade")</f>
        <v>Qualidade, qualidade, qualidade</v>
      </c>
      <c r="B51193" s="3">
        <v>1</v>
      </c>
    </row>
    <row r="51194" ht="15.75" customHeight="1" spans="1:2">
      <c r="A51194" s="3" t="str">
        <f>IFERROR(__xludf.DUMMYFUNCTION("GOOGLETRANSLATE(A51194,""en"",""pt"")"),"Fotos maravilhosas: bastante fácil de usar.")</f>
        <v>Fotos maravilhosas: bastante fácil de usar.</v>
      </c>
      <c r="B51194" s="3">
        <v>1</v>
      </c>
    </row>
    <row r="51195" ht="15.75" customHeight="1" spans="1:2">
      <c r="A51195" s="3" t="str">
        <f>IFERROR(__xludf.DUMMYFUNCTION("GOOGLETRANSLATE(A51195,""en"",""pt"")"),"Preço, características de nível profissional, construção robusta")</f>
        <v>Preço, características de nível profissional, construção robusta</v>
      </c>
      <c r="B51195" s="3">
        <v>1</v>
      </c>
    </row>
    <row r="51196" ht="15.75" customHeight="1" spans="1:2">
      <c r="A51196" s="3" t="str">
        <f>IFERROR(__xludf.DUMMYFUNCTION("GOOGLETRANSLATE(A51196,""en"",""pt"")"),"detalhes impressionantes da imagem, cor natural.")</f>
        <v>detalhes impressionantes da imagem, cor natural.</v>
      </c>
      <c r="B51196" s="3">
        <v>1</v>
      </c>
    </row>
    <row r="51197" ht="15.75" customHeight="1" spans="1:2">
      <c r="A51197" s="3" t="str">
        <f>IFERROR(__xludf.DUMMYFUNCTION("GOOGLETRANSLATE(A51197,""en"",""pt"")"),"Grande sensação. Você realmente esquecer que você está usando uma câmera digital &amp; amp; # 13; &amp; amp; # 10; Terrific fotos")</f>
        <v>Grande sensação. Você realmente esquecer que você está usando uma câmera digital &amp; amp; # 13; &amp; amp; # 10; Terrific fotos</v>
      </c>
      <c r="B51197" s="3">
        <v>1</v>
      </c>
    </row>
    <row r="51198" ht="15.75" customHeight="1" spans="1:2">
      <c r="A51198" s="3" t="str">
        <f>IFERROR(__xludf.DUMMYFUNCTION("GOOGLETRANSLATE(A51198,""en"",""pt"")"),"qualidade de construção, sólida pesada ação, e positiva de controles")</f>
        <v>qualidade de construção, sólida pesada ação, e positiva de controles</v>
      </c>
      <c r="B51198" s="3">
        <v>1</v>
      </c>
    </row>
    <row r="51199" ht="15.75" customHeight="1" spans="1:2">
      <c r="A51199" s="3" t="str">
        <f>IFERROR(__xludf.DUMMYFUNCTION("GOOGLETRANSLATE(A51199,""en"",""pt"")"),"4 Megapixel, Super Zoom, barato, grande conjunto de recursos")</f>
        <v>4 Megapixel, Super Zoom, barato, grande conjunto de recursos</v>
      </c>
      <c r="B51199" s="3">
        <v>1</v>
      </c>
    </row>
    <row r="51200" ht="15.75" customHeight="1" spans="1:2">
      <c r="A51200" s="3" t="str">
        <f>IFERROR(__xludf.DUMMYFUNCTION("GOOGLETRANSLATE(A51200,""en"",""pt"")"),"Um muito a desejar em todos os aspectos ... o estado da arte.")</f>
        <v>Um muito a desejar em todos os aspectos ... o estado da arte.</v>
      </c>
      <c r="B51200" s="3">
        <v>1</v>
      </c>
    </row>
    <row r="51201" ht="15.75" customHeight="1" spans="1:2">
      <c r="A51201" s="3" t="str">
        <f>IFERROR(__xludf.DUMMYFUNCTION("GOOGLETRANSLATE(A51201,""en"",""pt"")"),"construção sólida, excelente ergonomia, alta contagem de pixels, suporte CFII estado sólido, muitos acessórios disponíveis, pré-visualização de imagens ao vivo")</f>
        <v>construção sólida, excelente ergonomia, alta contagem de pixels, suporte CFII estado sólido, muitos acessórios disponíveis, pré-visualização de imagens ao vivo</v>
      </c>
      <c r="B51201" s="3">
        <v>1</v>
      </c>
    </row>
    <row r="51202" ht="15.75" customHeight="1" spans="1:2">
      <c r="A51202" s="3" t="str">
        <f>IFERROR(__xludf.DUMMYFUNCTION("GOOGLETRANSLATE(A51202,""en"",""pt"")"),"É resolução !!! Wow: 2240 x 1680.n também a capacidade de copiar imagens de um cartão para outro enquanto ainda na câmara.")</f>
        <v>É resolução !!! Wow: 2240 x 1680.n também a capacidade de copiar imagens de um cartão para outro enquanto ainda na câmara.</v>
      </c>
      <c r="B51202" s="3">
        <v>1</v>
      </c>
    </row>
    <row r="51203" ht="15.75" customHeight="1" spans="1:2">
      <c r="A51203" s="3" t="str">
        <f>IFERROR(__xludf.DUMMYFUNCTION("GOOGLETRANSLATE(A51203,""en"",""pt"")"),"Lens, construção")</f>
        <v>Lens, construção</v>
      </c>
      <c r="B51203" s="3">
        <v>1</v>
      </c>
    </row>
    <row r="51204" ht="15.75" customHeight="1" spans="1:2">
      <c r="A51204" s="3" t="str">
        <f>IFERROR(__xludf.DUMMYFUNCTION("GOOGLETRANSLATE(A51204,""en"",""pt"")"),"Lente fixa, muito rápido, se sente bem, interface intuitiva. imagem 4.0 megapixel ...")</f>
        <v>Lente fixa, muito rápido, se sente bem, interface intuitiva. imagem 4.0 megapixel ...</v>
      </c>
      <c r="B51204" s="3">
        <v>1</v>
      </c>
    </row>
    <row r="51205" ht="15.75" customHeight="1" spans="1:2">
      <c r="A51205" s="3" t="str">
        <f>IFERROR(__xludf.DUMMYFUNCTION("GOOGLETRANSLATE(A51205,""en"",""pt"")"),"nitidez da imagem - ergonomia - o preço para o valor")</f>
        <v>nitidez da imagem - ergonomia - o preço para o valor</v>
      </c>
      <c r="B51205" s="3">
        <v>1</v>
      </c>
    </row>
    <row r="51206" ht="15.75" customHeight="1" spans="1:2">
      <c r="A51206" s="3" t="str">
        <f>IFERROR(__xludf.DUMMYFUNCTION("GOOGLETRANSLATE(A51206,""en"",""pt"")"),"matriz 4 megapixels, parece modificação sólido, conveniente de comprimento focal, universalidade, características muito")</f>
        <v>matriz 4 megapixels, parece modificação sólido, conveniente de comprimento focal, universalidade, características muito</v>
      </c>
      <c r="B51206" s="3">
        <v>1</v>
      </c>
    </row>
    <row r="51207" ht="15.75" customHeight="1" spans="1:2">
      <c r="A51207" s="3" t="str">
        <f>IFERROR(__xludf.DUMMYFUNCTION("GOOGLETRANSLATE(A51207,""en"",""pt"")"),"qualidade de imagem, ergonomia, construção, controles, formatos duas mídia")</f>
        <v>qualidade de imagem, ergonomia, construção, controles, formatos duas mídia</v>
      </c>
      <c r="B51207" s="3">
        <v>1</v>
      </c>
    </row>
    <row r="51208" ht="15.75" customHeight="1" spans="1:2">
      <c r="A51208" s="3" t="str">
        <f>IFERROR(__xludf.DUMMYFUNCTION("GOOGLETRANSLATE(A51208,""en"",""pt"")"),"câmera muito sólida. Parece ser bastante confiável. Excelente CCD e óptica.")</f>
        <v>câmera muito sólida. Parece ser bastante confiável. Excelente CCD e óptica.</v>
      </c>
      <c r="B51208" s="3">
        <v>1</v>
      </c>
    </row>
    <row r="51209" ht="15.75" customHeight="1" spans="1:2">
      <c r="A51209" s="3" t="str">
        <f>IFERROR(__xludf.DUMMYFUNCTION("GOOGLETRANSLATE(A51209,""en"",""pt"")"),"Projeto pequeno, fácil de usar, excelente resolução, grandes recursos!")</f>
        <v>Projeto pequeno, fácil de usar, excelente resolução, grandes recursos!</v>
      </c>
      <c r="B51209" s="3">
        <v>1</v>
      </c>
    </row>
    <row r="51210" ht="15.75" customHeight="1" spans="1:2">
      <c r="A51210" s="3" t="str">
        <f>IFERROR(__xludf.DUMMYFUNCTION("GOOGLETRANSLATE(A51210,""en"",""pt"")"),"Elegante (bonito), caixa de metal, tempo à prova, grande resolução")</f>
        <v>Elegante (bonito), caixa de metal, tempo à prova, grande resolução</v>
      </c>
      <c r="B51210" s="3">
        <v>1</v>
      </c>
    </row>
    <row r="51211" ht="15.75" customHeight="1" spans="1:2">
      <c r="A51211" s="3" t="str">
        <f>IFERROR(__xludf.DUMMYFUNCTION("GOOGLETRANSLATE(A51211,""en"",""pt"")"),"De bolso, à prova de intempéries, arrefecer visualmente, fotos nítidas")</f>
        <v>De bolso, à prova de intempéries, arrefecer visualmente, fotos nítidas</v>
      </c>
      <c r="B51211" s="3">
        <v>1</v>
      </c>
    </row>
    <row r="51212" ht="15.75" customHeight="1" spans="1:2">
      <c r="A51212" s="3" t="s">
        <v>259</v>
      </c>
      <c r="B51212" s="3">
        <v>1</v>
      </c>
    </row>
    <row r="51213" ht="15.75" customHeight="1" spans="1:2">
      <c r="A51213" s="3" t="str">
        <f>IFERROR(__xludf.DUMMYFUNCTION("GOOGLETRANSLATE(A51213,""en"",""pt"")"),", Tampa da lente protegida Compact")</f>
        <v>, Tampa da lente protegida Compact</v>
      </c>
      <c r="B51213" s="3">
        <v>1</v>
      </c>
    </row>
    <row r="51214" ht="15.75" customHeight="1" spans="1:2">
      <c r="A51214" s="3" t="str">
        <f>IFERROR(__xludf.DUMMYFUNCTION("GOOGLETRANSLATE(A51214,""en"",""pt"")"),", Muito amigável, suporte ao cliente compacto")</f>
        <v>, Muito amigável, suporte ao cliente compacto</v>
      </c>
      <c r="B51214" s="3">
        <v>1</v>
      </c>
    </row>
    <row r="51215" ht="15.75" customHeight="1" spans="1:2">
      <c r="A51215" s="3" t="str">
        <f>IFERROR(__xludf.DUMMYFUNCTION("GOOGLETRANSLATE(A51215,""en"",""pt"")"),"O Camera para os novatos.")</f>
        <v>O Camera para os novatos.</v>
      </c>
      <c r="B51215" s="3">
        <v>1</v>
      </c>
    </row>
    <row r="51216" ht="15.75" customHeight="1" spans="1:2">
      <c r="A51216" s="3" t="str">
        <f>IFERROR(__xludf.DUMMYFUNCTION("GOOGLETRANSLATE(A51216,""en"",""pt"")"),"tamanho pequeno, design elegante, a vida da bateria, interface de usuário intuitiva, interface USB.")</f>
        <v>tamanho pequeno, design elegante, a vida da bateria, interface de usuário intuitiva, interface USB.</v>
      </c>
      <c r="B51216" s="3">
        <v>1</v>
      </c>
    </row>
    <row r="51217" ht="15.75" customHeight="1" spans="1:2">
      <c r="A51217" s="3" t="str">
        <f>IFERROR(__xludf.DUMMYFUNCTION("GOOGLETRANSLATE(A51217,""en"",""pt"")"),"Compacto, excelente qualidade de foto, à prova de tempo, de fácil utilização,")</f>
        <v>Compacto, excelente qualidade de foto, à prova de tempo, de fácil utilização,</v>
      </c>
      <c r="B51217" s="3">
        <v>1</v>
      </c>
    </row>
    <row r="51218" ht="15.75" customHeight="1" spans="1:2">
      <c r="A51218" s="3" t="str">
        <f>IFERROR(__xludf.DUMMYFUNCTION("GOOGLETRANSLATE(A51218,""en"",""pt"")"),"à prova de tempo, tamanho perfeito, bateria recarregável")</f>
        <v>à prova de tempo, tamanho perfeito, bateria recarregável</v>
      </c>
      <c r="B51218" s="3">
        <v>1</v>
      </c>
    </row>
    <row r="51219" ht="15.75" customHeight="1" spans="1:2">
      <c r="A51219" s="3" t="str">
        <f>IFERROR(__xludf.DUMMYFUNCTION("GOOGLETRANSLATE(A51219,""en"",""pt"")"),"caixa de metal, à prova de intempéries, sensação contínua")</f>
        <v>caixa de metal, à prova de intempéries, sensação contínua</v>
      </c>
      <c r="B51219" s="3">
        <v>1</v>
      </c>
    </row>
    <row r="51220" ht="15.75" customHeight="1" spans="1:2">
      <c r="A51220" s="3" t="str">
        <f>IFERROR(__xludf.DUMMYFUNCTION("GOOGLETRANSLATE(A51220,""en"",""pt"")"),"lente afiada, a vida da bateria, construção robusta, controles sensíveis")</f>
        <v>lente afiada, a vida da bateria, construção robusta, controles sensíveis</v>
      </c>
      <c r="B51220" s="3">
        <v>1</v>
      </c>
    </row>
    <row r="51221" ht="15.75" customHeight="1" spans="1:2">
      <c r="A51221" s="3" t="str">
        <f>IFERROR(__xludf.DUMMYFUNCTION("GOOGLETRANSLATE(A51221,""en"",""pt"")"),"Fácil de usar, prova de falhas, elegante, leve")</f>
        <v>Fácil de usar, prova de falhas, elegante, leve</v>
      </c>
      <c r="B51221" s="3">
        <v>1</v>
      </c>
    </row>
    <row r="51222" ht="15.75" customHeight="1" spans="1:2">
      <c r="A51222" s="3" t="str">
        <f>IFERROR(__xludf.DUMMYFUNCTION("GOOGLETRANSLATE(A51222,""en"",""pt"")"),"Excelente operação automática. O modo macro funciona a partir de 8 polegadas ao infinito.")</f>
        <v>Excelente operação automática. O modo macro funciona a partir de 8 polegadas ao infinito.</v>
      </c>
      <c r="B51222" s="3">
        <v>1</v>
      </c>
    </row>
    <row r="51223" ht="15.75" customHeight="1" spans="1:2">
      <c r="A51223" s="3" t="str">
        <f>IFERROR(__xludf.DUMMYFUNCTION("GOOGLETRANSLATE(A51223,""en"",""pt"")"),"Tamanho portátil e excelente qualidade de imagem!")</f>
        <v>Tamanho portátil e excelente qualidade de imagem!</v>
      </c>
      <c r="B51223" s="3">
        <v>1</v>
      </c>
    </row>
    <row r="51224" ht="15.75" customHeight="1" spans="1:2">
      <c r="A51224" s="3" t="str">
        <f>IFERROR(__xludf.DUMMYFUNCTION("GOOGLETRANSLATE(A51224,""en"",""pt"")"),"Excelente AF &amp; amp; geral apresenta redução de olhos vermelhos, compacto, facilidade de utilização qualidade de imagem")</f>
        <v>Excelente AF &amp; amp; geral apresenta redução de olhos vermelhos, compacto, facilidade de utilização qualidade de imagem</v>
      </c>
      <c r="B51224" s="3">
        <v>1</v>
      </c>
    </row>
    <row r="51225" ht="15.75" customHeight="1" spans="1:2">
      <c r="A51225" s="3" t="str">
        <f>IFERROR(__xludf.DUMMYFUNCTION("GOOGLETRANSLATE(A51225,""en"",""pt"")"),"Boa qualidade de imagem")</f>
        <v>Boa qualidade de imagem</v>
      </c>
      <c r="B51225" s="3">
        <v>1</v>
      </c>
    </row>
    <row r="51226" ht="15.75" customHeight="1" spans="1:2">
      <c r="A51226" s="3" t="str">
        <f>IFERROR(__xludf.DUMMYFUNCTION("GOOGLETRANSLATE(A51226,""en"",""pt"")"),"Intempéries com excelente qualidade de foto!")</f>
        <v>Intempéries com excelente qualidade de foto!</v>
      </c>
      <c r="B51226" s="3">
        <v>1</v>
      </c>
    </row>
    <row r="51227" ht="15.75" customHeight="1" spans="1:2">
      <c r="A51227" s="3" t="str">
        <f>IFERROR(__xludf.DUMMYFUNCTION("GOOGLETRANSLATE(A51227,""en"",""pt"")"),"Tremenda qualidade de imagem, facilidade de uso")</f>
        <v>Tremenda qualidade de imagem, facilidade de uso</v>
      </c>
      <c r="B51227" s="3">
        <v>1</v>
      </c>
    </row>
    <row r="51228" ht="15.75" customHeight="1" spans="1:2">
      <c r="A51228" s="3" t="str">
        <f>IFERROR(__xludf.DUMMYFUNCTION("GOOGLETRANSLATE(A51228,""en"",""pt"")"),"Grande tamanho. fotos maravilhosas")</f>
        <v>Grande tamanho. fotos maravilhosas</v>
      </c>
      <c r="B51228" s="3">
        <v>1</v>
      </c>
    </row>
    <row r="51229" ht="15.75" customHeight="1" spans="1:2">
      <c r="A51229" s="3" t="str">
        <f>IFERROR(__xludf.DUMMYFUNCTION("GOOGLETRANSLATE(A51229,""en"",""pt"")"),"Fácil de usar, caixa de metal pequeno agradável")</f>
        <v>Fácil de usar, caixa de metal pequeno agradável</v>
      </c>
      <c r="B51229" s="3">
        <v>1</v>
      </c>
    </row>
    <row r="51230" ht="15.75" customHeight="1" spans="1:2">
      <c r="A51230" s="3" t="str">
        <f>IFERROR(__xludf.DUMMYFUNCTION("GOOGLETRANSLATE(A51230,""en"",""pt"")"),"tamanho pequeno, invólucro de metal, à prova de intempéries")</f>
        <v>tamanho pequeno, invólucro de metal, à prova de intempéries</v>
      </c>
      <c r="B51230" s="3">
        <v>1</v>
      </c>
    </row>
    <row r="51231" ht="15.75" customHeight="1" spans="1:2">
      <c r="A51231" s="3" t="str">
        <f>IFERROR(__xludf.DUMMYFUNCTION("GOOGLETRANSLATE(A51231,""en"",""pt"")"),"Fácil de usar, boa qualidade pics, viewscreen na parte de trás.")</f>
        <v>Fácil de usar, boa qualidade pics, viewscreen na parte de trás.</v>
      </c>
      <c r="B51231" s="3">
        <v>1</v>
      </c>
    </row>
    <row r="51232" ht="15.75" customHeight="1" spans="1:2">
      <c r="A51232" s="3" t="str">
        <f>IFERROR(__xludf.DUMMYFUNCTION("GOOGLETRANSLATE(A51232,""en"",""pt"")"),"Fácil de usar, boa qualidade pics, viewscreen na parte de trás.")</f>
        <v>Fácil de usar, boa qualidade pics, viewscreen na parte de trás.</v>
      </c>
      <c r="B51232" s="3">
        <v>1</v>
      </c>
    </row>
    <row r="51233" ht="15.75" customHeight="1" spans="1:2">
      <c r="A51233" s="3" t="str">
        <f>IFERROR(__xludf.DUMMYFUNCTION("GOOGLETRANSLATE(A51233,""en"",""pt"")"),"Alta qualidade e fácil de usar.")</f>
        <v>Alta qualidade e fácil de usar.</v>
      </c>
      <c r="B51233" s="3">
        <v>1</v>
      </c>
    </row>
    <row r="51234" ht="15.75" customHeight="1" spans="1:2">
      <c r="A51234" s="3" t="str">
        <f>IFERROR(__xludf.DUMMYFUNCTION("GOOGLETRANSLATE(A51234,""en"",""pt"")"),"NADA!!!")</f>
        <v>NADA!!!</v>
      </c>
      <c r="B51234" s="3">
        <v>1</v>
      </c>
    </row>
    <row r="51235" ht="15.75" customHeight="1" spans="1:2">
      <c r="A51235" s="3" t="str">
        <f>IFERROR(__xludf.DUMMYFUNCTION("GOOGLETRANSLATE(A51235,""en"",""pt"")"),"imagens de qualidade, bom design, simples")</f>
        <v>imagens de qualidade, bom design, simples</v>
      </c>
      <c r="B51235" s="3">
        <v>1</v>
      </c>
    </row>
    <row r="51236" ht="15.75" customHeight="1" spans="1:2">
      <c r="A51236" s="3" t="str">
        <f>IFERROR(__xludf.DUMMYFUNCTION("GOOGLETRANSLATE(A51236,""en"",""pt"")"),"qualidade da foto &amp; amp; amp; preço")</f>
        <v>qualidade da foto &amp; amp; amp; preço</v>
      </c>
      <c r="B51236" s="3">
        <v>1</v>
      </c>
    </row>
    <row r="51237" ht="15.75" customHeight="1" spans="1:2">
      <c r="A51237" s="3" t="str">
        <f>IFERROR(__xludf.DUMMYFUNCTION("GOOGLETRANSLATE(A51237,""en"",""pt"")"),"vida útil da bateria excepcional, resolução, efeitos especiais")</f>
        <v>vida útil da bateria excepcional, resolução, efeitos especiais</v>
      </c>
      <c r="B51237" s="3">
        <v>1</v>
      </c>
    </row>
    <row r="51238" ht="15.75" customHeight="1" spans="1:2">
      <c r="A51238" s="3" t="str">
        <f>IFERROR(__xludf.DUMMYFUNCTION("GOOGLETRANSLATE(A51238,""en"",""pt"")"),"confiabilidade, preço, facilidade de uso")</f>
        <v>confiabilidade, preço, facilidade de uso</v>
      </c>
      <c r="B51238" s="3">
        <v>1</v>
      </c>
    </row>
    <row r="51239" ht="15.75" customHeight="1" spans="1:2">
      <c r="A51239" s="3" t="str">
        <f>IFERROR(__xludf.DUMMYFUNCTION("GOOGLETRANSLATE(A51239,""en"",""pt"")"),"Fácil de usar -Grande Pictures -")</f>
        <v>Fácil de usar -Grande Pictures -</v>
      </c>
      <c r="B51239" s="3">
        <v>1</v>
      </c>
    </row>
    <row r="51240" ht="15.75" customHeight="1" spans="1:2">
      <c r="A51240" s="3" t="str">
        <f>IFERROR(__xludf.DUMMYFUNCTION("GOOGLETRANSLATE(A51240,""en"",""pt"")"),"Acessível, fácil de usar")</f>
        <v>Acessível, fácil de usar</v>
      </c>
      <c r="B51240" s="3">
        <v>1</v>
      </c>
    </row>
    <row r="51241" ht="15.75" customHeight="1" spans="1:2">
      <c r="A51241" s="3" t="str">
        <f>IFERROR(__xludf.DUMMYFUNCTION("GOOGLETRANSLATE(A51241,""en"",""pt"")"),"Preço, facilidade de uso")</f>
        <v>Preço, facilidade de uso</v>
      </c>
      <c r="B51241" s="3">
        <v>1</v>
      </c>
    </row>
    <row r="51242" ht="15.75" customHeight="1" spans="1:2">
      <c r="A51242" s="3" t="str">
        <f>IFERROR(__xludf.DUMMYFUNCTION("GOOGLETRANSLATE(A51242,""en"",""pt"")"),"arquivo JPG, até 122 fotos por 8 M byte cartão")</f>
        <v>arquivo JPG, até 122 fotos por 8 M byte cartão</v>
      </c>
      <c r="B51242" s="3">
        <v>1</v>
      </c>
    </row>
    <row r="51243" ht="15.75" customHeight="1" spans="1:2">
      <c r="A51243" s="3" t="str">
        <f>IFERROR(__xludf.DUMMYFUNCTION("GOOGLETRANSLATE(A51243,""en"",""pt"")"),"Pequeno, barato, muito boa resolução, excelente vida útil da bateria")</f>
        <v>Pequeno, barato, muito boa resolução, excelente vida útil da bateria</v>
      </c>
      <c r="B51243" s="3">
        <v>1</v>
      </c>
    </row>
    <row r="51244" ht="15.75" customHeight="1" spans="1:2">
      <c r="A51244" s="3" t="str">
        <f>IFERROR(__xludf.DUMMYFUNCTION("GOOGLETRANSLATE(A51244,""en"",""pt"")"),"Boa Imagery, facilidade de uso, bem-feito")</f>
        <v>Boa Imagery, facilidade de uso, bem-feito</v>
      </c>
      <c r="B51244" s="3">
        <v>1</v>
      </c>
    </row>
    <row r="51245" ht="15.75" customHeight="1" spans="1:2">
      <c r="A51245" s="3" t="str">
        <f>IFERROR(__xludf.DUMMYFUNCTION("GOOGLETRANSLATE(A51245,""en"",""pt"")"),"Tira ótimas fotos")</f>
        <v>Tira ótimas fotos</v>
      </c>
      <c r="B51245" s="3">
        <v>1</v>
      </c>
    </row>
    <row r="51246" ht="15.75" customHeight="1" spans="1:2">
      <c r="A51246" s="3" t="str">
        <f>IFERROR(__xludf.DUMMYFUNCTION("GOOGLETRANSLATE(A51246,""en"",""pt"")"),"os preços, os lotes de características")</f>
        <v>os preços, os lotes de características</v>
      </c>
      <c r="B51246" s="3">
        <v>1</v>
      </c>
    </row>
    <row r="51247" ht="15.75" customHeight="1" spans="1:2">
      <c r="A51247" s="3" t="str">
        <f>IFERROR(__xludf.DUMMYFUNCTION("GOOGLETRANSLATE(A51247,""en"",""pt"")"),"Fácil de usar, grande saída")</f>
        <v>Fácil de usar, grande saída</v>
      </c>
      <c r="B51247" s="3">
        <v>1</v>
      </c>
    </row>
    <row r="51248" ht="15.75" customHeight="1" spans="1:2">
      <c r="A51248" s="3" t="str">
        <f>IFERROR(__xludf.DUMMYFUNCTION("GOOGLETRANSLATE(A51248,""en"",""pt"")"),"Grandes recursos para o preço")</f>
        <v>Grandes recursos para o preço</v>
      </c>
      <c r="B51248" s="3">
        <v>1</v>
      </c>
    </row>
    <row r="51249" ht="15.75" customHeight="1" spans="1:2">
      <c r="A51249" s="3" t="str">
        <f>IFERROR(__xludf.DUMMYFUNCTION("GOOGLETRANSLATE(A51249,""en"",""pt"")"),"Fácil de usar com bons resultados")</f>
        <v>Fácil de usar com bons resultados</v>
      </c>
      <c r="B51249" s="3">
        <v>1</v>
      </c>
    </row>
    <row r="51250" ht="15.75" customHeight="1" spans="1:2">
      <c r="A51250" s="3" t="str">
        <f>IFERROR(__xludf.DUMMYFUNCTION("GOOGLETRANSLATE(A51250,""en"",""pt"")"),"Muito fácil de usar, construído em flash, foco automático.")</f>
        <v>Muito fácil de usar, construído em flash, foco automático.</v>
      </c>
      <c r="B51250" s="3">
        <v>1</v>
      </c>
    </row>
    <row r="51251" ht="15.75" customHeight="1" spans="1:2">
      <c r="A51251" s="3" t="str">
        <f>IFERROR(__xludf.DUMMYFUNCTION("GOOGLETRANSLATE(A51251,""en"",""pt"")"),"Preço, características, resolução")</f>
        <v>Preço, características, resolução</v>
      </c>
      <c r="B51251" s="3">
        <v>1</v>
      </c>
    </row>
    <row r="51252" ht="15.75" customHeight="1" spans="1:2">
      <c r="A51252" s="3" t="str">
        <f>IFERROR(__xludf.DUMMYFUNCTION("GOOGLETRANSLATE(A51252,""en"",""pt"")"),"Fácil de usar")</f>
        <v>Fácil de usar</v>
      </c>
      <c r="B51252" s="3">
        <v>1</v>
      </c>
    </row>
    <row r="51253" ht="15.75" customHeight="1" spans="1:2">
      <c r="A51253" s="3" t="str">
        <f>IFERROR(__xludf.DUMMYFUNCTION("GOOGLETRANSLATE(A51253,""en"",""pt"")"),"Tem grandes figuras &amp; amp; amp; É fácil de usar")</f>
        <v>Tem grandes figuras &amp; amp; amp; É fácil de usar</v>
      </c>
      <c r="B51253" s="3">
        <v>1</v>
      </c>
    </row>
    <row r="51254" ht="15.75" customHeight="1" spans="1:2">
      <c r="A51254" s="3" t="str">
        <f>IFERROR(__xludf.DUMMYFUNCTION("GOOGLETRANSLATE(A51254,""en"",""pt"")"),"Excelente qualidade de fotos. Muitas características interessantes. Ecrã LCD")</f>
        <v>Excelente qualidade de fotos. Muitas características interessantes. Ecrã LCD</v>
      </c>
      <c r="B51254" s="3">
        <v>1</v>
      </c>
    </row>
    <row r="51255" ht="15.75" customHeight="1" spans="1:2">
      <c r="A51255" s="3" t="str">
        <f>IFERROR(__xludf.DUMMYFUNCTION("GOOGLETRANSLATE(A51255,""en"",""pt"")"),"Barato, boa qualidade de imagem")</f>
        <v>Barato, boa qualidade de imagem</v>
      </c>
      <c r="B51255" s="3">
        <v>1</v>
      </c>
    </row>
    <row r="51256" ht="15.75" customHeight="1" spans="1:2">
      <c r="A51256" s="3" t="str">
        <f>IFERROR(__xludf.DUMMYFUNCTION("GOOGLETRANSLATE(A51256,""en"",""pt"")"),"Faz tudo")</f>
        <v>Faz tudo</v>
      </c>
      <c r="B51256" s="3">
        <v>1</v>
      </c>
    </row>
    <row r="51257" ht="15.75" customHeight="1" spans="1:2">
      <c r="A51257" s="3" t="str">
        <f>IFERROR(__xludf.DUMMYFUNCTION("GOOGLETRANSLATE(A51257,""en"",""pt"")"),"preço, tela de LCD, flash")</f>
        <v>preço, tela de LCD, flash</v>
      </c>
      <c r="B51257" s="3">
        <v>1</v>
      </c>
    </row>
    <row r="51258" ht="15.75" customHeight="1" spans="1:2">
      <c r="A51258" s="3" t="str">
        <f>IFERROR(__xludf.DUMMYFUNCTION("GOOGLETRANSLATE(A51258,""en"",""pt"")"),"Preço, características, bateria de longa duração, de alta qualidade")</f>
        <v>Preço, características, bateria de longa duração, de alta qualidade</v>
      </c>
      <c r="B51258" s="3">
        <v>1</v>
      </c>
    </row>
    <row r="51259" ht="15.75" customHeight="1" spans="1:2">
      <c r="A51259" s="3" t="str">
        <f>IFERROR(__xludf.DUMMYFUNCTION("GOOGLETRANSLATE(A51259,""en"",""pt"")"),"Desempenho para o preço")</f>
        <v>Desempenho para o preço</v>
      </c>
      <c r="B51259" s="3">
        <v>1</v>
      </c>
    </row>
    <row r="51260" ht="15.75" customHeight="1" spans="1:2">
      <c r="A51260" s="3" t="str">
        <f>IFERROR(__xludf.DUMMYFUNCTION("GOOGLETRANSLATE(A51260,""en"",""pt"")"),"Afiada Imagem, fácil de usar, de baixo preço, reputação empresa")</f>
        <v>Afiada Imagem, fácil de usar, de baixo preço, reputação empresa</v>
      </c>
      <c r="B51260" s="3">
        <v>1</v>
      </c>
    </row>
    <row r="51261" ht="15.75" customHeight="1" spans="1:2">
      <c r="A51261" s="3" t="str">
        <f>IFERROR(__xludf.DUMMYFUNCTION("GOOGLETRANSLATE(A51261,""en"",""pt"")"),"Fácil de usar, faixa de preço razoável, boa qualidade de imagem, visualizador na câmera")</f>
        <v>Fácil de usar, faixa de preço razoável, boa qualidade de imagem, visualizador na câmera</v>
      </c>
      <c r="B51261" s="3">
        <v>1</v>
      </c>
    </row>
    <row r="51262" ht="15.75" customHeight="1" spans="1:2">
      <c r="A51262" s="3" t="str">
        <f>IFERROR(__xludf.DUMMYFUNCTION("GOOGLETRANSLATE(A51262,""en"",""pt"")"),"Excelente qualidade de imagem, a preços acessíveis, cargas de recursos")</f>
        <v>Excelente qualidade de imagem, a preços acessíveis, cargas de recursos</v>
      </c>
      <c r="B51262" s="3">
        <v>1</v>
      </c>
    </row>
    <row r="51263" ht="15.75" customHeight="1" spans="1:2">
      <c r="A51263" s="3" t="str">
        <f>IFERROR(__xludf.DUMMYFUNCTION("GOOGLETRANSLATE(A51263,""en"",""pt"")"),"Muito fácil de usar. Capture imagens nítidas e vívidas")</f>
        <v>Muito fácil de usar. Capture imagens nítidas e vívidas</v>
      </c>
      <c r="B51263" s="3">
        <v>1</v>
      </c>
    </row>
    <row r="51264" ht="15.75" customHeight="1" spans="1:2">
      <c r="A51264" s="3" t="str">
        <f>IFERROR(__xludf.DUMMYFUNCTION("GOOGLETRANSLATE(A51264,""en"",""pt"")"),"basta apontar e disparar")</f>
        <v>basta apontar e disparar</v>
      </c>
      <c r="B51264" s="3">
        <v>1</v>
      </c>
    </row>
    <row r="51265" ht="15.75" customHeight="1" spans="1:2">
      <c r="A51265" s="3" t="str">
        <f>IFERROR(__xludf.DUMMYFUNCTION("GOOGLETRANSLATE(A51265,""en"",""pt"")"),"Não muito caro, leva fotos decentes.")</f>
        <v>Não muito caro, leva fotos decentes.</v>
      </c>
      <c r="B51265" s="3">
        <v>1</v>
      </c>
    </row>
    <row r="51266" ht="15.75" customHeight="1" spans="1:2">
      <c r="A51266" s="3" t="str">
        <f>IFERROR(__xludf.DUMMYFUNCTION("GOOGLETRANSLATE(A51266,""en"",""pt"")"),"Fácil de usar; vida extra longa!")</f>
        <v>Fácil de usar; vida extra longa!</v>
      </c>
      <c r="B51266" s="3">
        <v>1</v>
      </c>
    </row>
    <row r="51267" ht="15.75" customHeight="1" spans="1:2">
      <c r="A51267" s="3" t="str">
        <f>IFERROR(__xludf.DUMMYFUNCTION("GOOGLETRANSLATE(A51267,""en"",""pt"")"),"Barato, de alta capacidade, de fácil utilização, os lotes de recursos")</f>
        <v>Barato, de alta capacidade, de fácil utilização, os lotes de recursos</v>
      </c>
      <c r="B51267" s="3">
        <v>1</v>
      </c>
    </row>
    <row r="51268" ht="15.75" customHeight="1" spans="1:2">
      <c r="A51268" s="3" t="str">
        <f>IFERROR(__xludf.DUMMYFUNCTION("GOOGLETRANSLATE(A51268,""en"",""pt"")"),"Fotos excelentes de vida e características da bateria!")</f>
        <v>Fotos excelentes de vida e características da bateria!</v>
      </c>
      <c r="B51268" s="3">
        <v>1</v>
      </c>
    </row>
    <row r="51269" ht="15.75" customHeight="1" spans="1:2">
      <c r="A51269" s="3" t="str">
        <f>IFERROR(__xludf.DUMMYFUNCTION("GOOGLETRANSLATE(A51269,""en"",""pt"")"),"Fácil de usar; funciona bem; mfg confiável.")</f>
        <v>Fácil de usar; funciona bem; mfg confiável.</v>
      </c>
      <c r="B51269" s="3">
        <v>1</v>
      </c>
    </row>
    <row r="51270" ht="15.75" customHeight="1" spans="1:2">
      <c r="A51270" s="3" t="str">
        <f>IFERROR(__xludf.DUMMYFUNCTION("GOOGLETRANSLATE(A51270,""en"",""pt"")"),"Fácil de usar, lcd de visualização / tela de revisão, ótimas fotos")</f>
        <v>Fácil de usar, lcd de visualização / tela de revisão, ótimas fotos</v>
      </c>
      <c r="B51270" s="3">
        <v>1</v>
      </c>
    </row>
    <row r="51271" ht="15.75" customHeight="1" spans="1:2">
      <c r="A51271" s="3" t="str">
        <f>IFERROR(__xludf.DUMMYFUNCTION("GOOGLETRANSLATE(A51271,""en"",""pt"")"),"preço, robusta, de qualidade, usabilidade")</f>
        <v>preço, robusta, de qualidade, usabilidade</v>
      </c>
      <c r="B51271" s="3">
        <v>1</v>
      </c>
    </row>
    <row r="51272" ht="15.75" customHeight="1" spans="1:2">
      <c r="A51272" s="3" t="str">
        <f>IFERROR(__xludf.DUMMYFUNCTION("GOOGLETRANSLATE(A51272,""en"",""pt"")"),"Qualidade, preço")</f>
        <v>Qualidade, preço</v>
      </c>
      <c r="B51272" s="3">
        <v>1</v>
      </c>
    </row>
    <row r="51273" ht="15.75" customHeight="1" spans="1:2">
      <c r="A51273" s="3" t="str">
        <f>IFERROR(__xludf.DUMMYFUNCTION("GOOGLETRANSLATE(A51273,""en"",""pt"")"),"Grande resolução, grandes recursos, barato em comparação com outras câmeras.")</f>
        <v>Grande resolução, grandes recursos, barato em comparação com outras câmeras.</v>
      </c>
      <c r="B51273" s="3">
        <v>1</v>
      </c>
    </row>
    <row r="51274" ht="15.75" customHeight="1" spans="1:2">
      <c r="A51274" s="3" t="str">
        <f>IFERROR(__xludf.DUMMYFUNCTION("GOOGLETRANSLATE(A51274,""en"",""pt"")"),"facilidade de utilização, versatilidade")</f>
        <v>facilidade de utilização, versatilidade</v>
      </c>
      <c r="B51274" s="3">
        <v>1</v>
      </c>
    </row>
    <row r="51275" ht="15.75" customHeight="1" spans="1:2">
      <c r="A51275" s="3" t="str">
        <f>IFERROR(__xludf.DUMMYFUNCTION("GOOGLETRANSLATE(A51275,""en"",""pt"")"),"Ser capaz de selecionar o modo de gravação, diferentes modos de flash, temporizador")</f>
        <v>Ser capaz de selecionar o modo de gravação, diferentes modos de flash, temporizador</v>
      </c>
      <c r="B51275" s="3">
        <v>1</v>
      </c>
    </row>
    <row r="51276" ht="15.75" customHeight="1" spans="1:2">
      <c r="A51276" s="3" t="str">
        <f>IFERROR(__xludf.DUMMYFUNCTION("GOOGLETRANSLATE(A51276,""en"",""pt"")"),"grande qualidade, baixo custo")</f>
        <v>grande qualidade, baixo custo</v>
      </c>
      <c r="B51276" s="3">
        <v>1</v>
      </c>
    </row>
    <row r="51277" ht="15.75" customHeight="1" spans="1:2">
      <c r="A51277" s="3" t="str">
        <f>IFERROR(__xludf.DUMMYFUNCTION("GOOGLETRANSLATE(A51277,""en"",""pt"")"),"tiros qualidade de alta resolução, barato")</f>
        <v>tiros qualidade de alta resolução, barato</v>
      </c>
      <c r="B51277" s="3">
        <v>1</v>
      </c>
    </row>
    <row r="51278" ht="15.75" customHeight="1" spans="1:2">
      <c r="A51278" s="3" t="str">
        <f>IFERROR(__xludf.DUMMYFUNCTION("GOOGLETRANSLATE(A51278,""en"",""pt"")"),"Facilidade de uso, preço,")</f>
        <v>Facilidade de uso, preço,</v>
      </c>
      <c r="B51278" s="3">
        <v>1</v>
      </c>
    </row>
    <row r="51279" ht="15.75" customHeight="1" spans="1:2">
      <c r="A51279" s="3" t="str">
        <f>IFERROR(__xludf.DUMMYFUNCTION("GOOGLETRANSLATE(A51279,""en"",""pt"")"),"Preço, tecnologia, qualidade")</f>
        <v>Preço, tecnologia, qualidade</v>
      </c>
      <c r="B51279" s="3">
        <v>1</v>
      </c>
    </row>
    <row r="51280" ht="15.75" customHeight="1" spans="1:2">
      <c r="A51280" s="3" t="str">
        <f>IFERROR(__xludf.DUMMYFUNCTION("GOOGLETRANSLATE(A51280,""en"",""pt"")"),"Super fácil de usar")</f>
        <v>Super fácil de usar</v>
      </c>
      <c r="B51280" s="3">
        <v>1</v>
      </c>
    </row>
    <row r="51281" ht="15.75" customHeight="1" spans="1:2">
      <c r="A51281" s="3" t="str">
        <f>IFERROR(__xludf.DUMMYFUNCTION("GOOGLETRANSLATE(A51281,""en"",""pt"")"),"Bem concebido, bom preço, excelente capacidade")</f>
        <v>Bem concebido, bom preço, excelente capacidade</v>
      </c>
      <c r="B51281" s="3">
        <v>1</v>
      </c>
    </row>
    <row r="51282" ht="15.75" customHeight="1" spans="1:2">
      <c r="A51282" s="3" t="str">
        <f>IFERROR(__xludf.DUMMYFUNCTION("GOOGLETRANSLATE(A51282,""en"",""pt"")"),"Luz, fotos nítidas e de fácil leitura manual. Barato.")</f>
        <v>Luz, fotos nítidas e de fácil leitura manual. Barato.</v>
      </c>
      <c r="B51282" s="3">
        <v>1</v>
      </c>
    </row>
    <row r="51283" ht="15.75" customHeight="1" spans="1:2">
      <c r="A51283" s="3" t="str">
        <f>IFERROR(__xludf.DUMMYFUNCTION("GOOGLETRANSLATE(A51283,""en"",""pt"")"),"barato, fácil de operar, mais pixels para o fanfarrão")</f>
        <v>barato, fácil de operar, mais pixels para o fanfarrão</v>
      </c>
      <c r="B51283" s="3">
        <v>1</v>
      </c>
    </row>
    <row r="51284" ht="15.75" customHeight="1" spans="1:2">
      <c r="A51284" s="3" t="str">
        <f>IFERROR(__xludf.DUMMYFUNCTION("GOOGLETRANSLATE(A51284,""en"",""pt"")"),"fotos de boa grandes preço")</f>
        <v>fotos de boa grandes preço</v>
      </c>
      <c r="B51284" s="3">
        <v>1</v>
      </c>
    </row>
    <row r="51285" ht="15.75" customHeight="1" spans="1:2">
      <c r="A51285" s="3" t="str">
        <f>IFERROR(__xludf.DUMMYFUNCTION("GOOGLETRANSLATE(A51285,""en"",""pt"")"),"Qualidade, características, preço")</f>
        <v>Qualidade, características, preço</v>
      </c>
      <c r="B51285" s="3">
        <v>1</v>
      </c>
    </row>
    <row r="51286" ht="15.75" customHeight="1" spans="1:2">
      <c r="A51286" s="3" t="str">
        <f>IFERROR(__xludf.DUMMYFUNCTION("GOOGLETRANSLATE(A51286,""en"",""pt"")"),"Fácil de usar, confiável e barata")</f>
        <v>Fácil de usar, confiável e barata</v>
      </c>
      <c r="B51286" s="3">
        <v>1</v>
      </c>
    </row>
    <row r="51287" ht="15.75" customHeight="1" spans="1:2">
      <c r="A51287" s="3" t="str">
        <f>IFERROR(__xludf.DUMMYFUNCTION("GOOGLETRANSLATE(A51287,""en"",""pt"")"),"Fácil de usar. Lens está protegida. Boa qualidade nas fotos. A ajuda técnico por telefone é muito bom.")</f>
        <v>Fácil de usar. Lens está protegida. Boa qualidade nas fotos. A ajuda técnico por telefone é muito bom.</v>
      </c>
      <c r="B51287" s="3">
        <v>1</v>
      </c>
    </row>
    <row r="51288" ht="15.75" customHeight="1" spans="1:2">
      <c r="A51288" s="3" t="str">
        <f>IFERROR(__xludf.DUMMYFUNCTION("GOOGLETRANSLATE(A51288,""en"",""pt"")"),"Preço, qualidade da foto, modo macro")</f>
        <v>Preço, qualidade da foto, modo macro</v>
      </c>
      <c r="B51288" s="3">
        <v>1</v>
      </c>
    </row>
    <row r="51289" ht="15.75" customHeight="1" spans="1:2">
      <c r="A51289" s="3" t="str">
        <f>IFERROR(__xludf.DUMMYFUNCTION("GOOGLETRANSLATE(A51289,""en"",""pt"")"),"pode fazer fotografia digital muito básico")</f>
        <v>pode fazer fotografia digital muito básico</v>
      </c>
      <c r="B51289" s="3">
        <v>1</v>
      </c>
    </row>
    <row r="51290" ht="15.75" customHeight="1" spans="1:2">
      <c r="A51290" s="3" t="str">
        <f>IFERROR(__xludf.DUMMYFUNCTION("GOOGLETRANSLATE(A51290,""en"",""pt"")"),"Bom Características &amp; amp; amp; Preço")</f>
        <v>Bom Características &amp; amp; amp; Preço</v>
      </c>
      <c r="B51290" s="3">
        <v>1</v>
      </c>
    </row>
    <row r="51291" ht="15.75" customHeight="1" spans="1:2">
      <c r="A51291" s="3" t="str">
        <f>IFERROR(__xludf.DUMMYFUNCTION("GOOGLETRANSLATE(A51291,""en"",""pt"")"),"Muito fácil de usar, muito suave display LCD")</f>
        <v>Muito fácil de usar, muito suave display LCD</v>
      </c>
      <c r="B51291" s="3">
        <v>1</v>
      </c>
    </row>
    <row r="51292" ht="15.75" customHeight="1" spans="1:2">
      <c r="A51292" s="3" t="str">
        <f>IFERROR(__xludf.DUMMYFUNCTION("GOOGLETRANSLATE(A51292,""en"",""pt"")"),"Simples de usar; Tela de LCD; boa qualidade de imagem")</f>
        <v>Simples de usar; Tela de LCD; boa qualidade de imagem</v>
      </c>
      <c r="B51292" s="3">
        <v>1</v>
      </c>
    </row>
    <row r="51293" ht="15.75" customHeight="1" spans="1:2">
      <c r="A51293" s="3" t="str">
        <f>IFERROR(__xludf.DUMMYFUNCTION("GOOGLETRANSLATE(A51293,""en"",""pt"")"),"De alta resolução a um baixo custo, pequeno, user-friendly")</f>
        <v>De alta resolução a um baixo custo, pequeno, user-friendly</v>
      </c>
      <c r="B51293" s="3">
        <v>1</v>
      </c>
    </row>
    <row r="51294" ht="15.75" customHeight="1" spans="1:2">
      <c r="A51294" s="3" t="str">
        <f>IFERROR(__xludf.DUMMYFUNCTION("GOOGLETRANSLATE(A51294,""en"",""pt"")"),"estilo valor do preço")</f>
        <v>estilo valor do preço</v>
      </c>
      <c r="B51294" s="3">
        <v>1</v>
      </c>
    </row>
    <row r="51295" ht="15.75" customHeight="1" spans="1:2">
      <c r="A51295" s="3" t="str">
        <f>IFERROR(__xludf.DUMMYFUNCTION("GOOGLETRANSLATE(A51295,""en"",""pt"")"),"qualidade da foto é muito bom")</f>
        <v>qualidade da foto é muito bom</v>
      </c>
      <c r="B51295" s="3">
        <v>1</v>
      </c>
    </row>
    <row r="51296" ht="15.75" customHeight="1" spans="1:2">
      <c r="A51296" s="3" t="str">
        <f>IFERROR(__xludf.DUMMYFUNCTION("GOOGLETRANSLATE(A51296,""en"",""pt"")"),"design limpo, intuitivo, rápido de aprender")</f>
        <v>design limpo, intuitivo, rápido de aprender</v>
      </c>
      <c r="B51296" s="3">
        <v>1</v>
      </c>
    </row>
    <row r="51297" ht="15.75" customHeight="1" spans="1:2">
      <c r="A51297" s="3" t="str">
        <f>IFERROR(__xludf.DUMMYFUNCTION("GOOGLETRANSLATE(A51297,""en"",""pt"")"),"Fácil de usar, ótimo Pictures qualidade, a preços acessíveis")</f>
        <v>Fácil de usar, ótimo Pictures qualidade, a preços acessíveis</v>
      </c>
      <c r="B51297" s="3">
        <v>1</v>
      </c>
    </row>
    <row r="51298" ht="15.75" customHeight="1" spans="1:2">
      <c r="A51298" s="3" t="str">
        <f>IFERROR(__xludf.DUMMYFUNCTION("GOOGLETRANSLATE(A51298,""en"",""pt"")"),"pequeno, fácil de usar, versátil, recursos")</f>
        <v>pequeno, fácil de usar, versátil, recursos</v>
      </c>
      <c r="B51298" s="3">
        <v>1</v>
      </c>
    </row>
    <row r="51299" ht="15.75" customHeight="1" spans="1:2">
      <c r="A51299" s="3" t="str">
        <f>IFERROR(__xludf.DUMMYFUNCTION("GOOGLETRANSLATE(A51299,""en"",""pt"")"),"Low Price, Great qualidade de imagem, 8MB de RAM incluída, tomada de saída para a tela da TV, trabalha e se parece com uma câmera normal 35 milímetros")</f>
        <v>Low Price, Great qualidade de imagem, 8MB de RAM incluída, tomada de saída para a tela da TV, trabalha e se parece com uma câmera normal 35 milímetros</v>
      </c>
      <c r="B51299" s="3">
        <v>1</v>
      </c>
    </row>
    <row r="51300" ht="15.75" customHeight="1" spans="1:2">
      <c r="A51300" s="3" t="str">
        <f>IFERROR(__xludf.DUMMYFUNCTION("GOOGLETRANSLATE(A51300,""en"",""pt"")"),"Ótimas opções para o dinheiro")</f>
        <v>Ótimas opções para o dinheiro</v>
      </c>
      <c r="B51300" s="3">
        <v>1</v>
      </c>
    </row>
    <row r="51301" ht="15.75" customHeight="1" spans="1:2">
      <c r="A51301" s="3" t="str">
        <f>IFERROR(__xludf.DUMMYFUNCTION("GOOGLETRANSLATE(A51301,""en"",""pt"")"),"imagens nítidas e acabamento de alta qualidade, bom preço")</f>
        <v>imagens nítidas e acabamento de alta qualidade, bom preço</v>
      </c>
      <c r="B51301" s="3">
        <v>1</v>
      </c>
    </row>
    <row r="51302" ht="15.75" customHeight="1" spans="1:2">
      <c r="A51302" s="3" t="str">
        <f>IFERROR(__xludf.DUMMYFUNCTION("GOOGLETRANSLATE(A51302,""en"",""pt"")"),"conveniência, facilidade de uso, preço, diversão")</f>
        <v>conveniência, facilidade de uso, preço, diversão</v>
      </c>
      <c r="B51302" s="3">
        <v>1</v>
      </c>
    </row>
    <row r="51303" ht="15.75" customHeight="1" spans="1:2">
      <c r="A51303" s="3" t="str">
        <f>IFERROR(__xludf.DUMMYFUNCTION("GOOGLETRANSLATE(A51303,""en"",""pt"")"),"portabilidade, aparência, facilidade de uso, construído em flash, imagens excelentes")</f>
        <v>portabilidade, aparência, facilidade de uso, construído em flash, imagens excelentes</v>
      </c>
      <c r="B51303" s="3">
        <v>1</v>
      </c>
    </row>
    <row r="51304" ht="15.75" customHeight="1" spans="1:2">
      <c r="A51304" s="3" t="str">
        <f>IFERROR(__xludf.DUMMYFUNCTION("GOOGLETRANSLATE(A51304,""en"",""pt"")"),"Imagens de boa qualidade, bateria de longa duração, fácil de usar")</f>
        <v>Imagens de boa qualidade, bateria de longa duração, fácil de usar</v>
      </c>
      <c r="B51304" s="3">
        <v>1</v>
      </c>
    </row>
    <row r="51305" ht="15.75" customHeight="1" spans="1:2">
      <c r="A51305" s="3" t="str">
        <f>IFERROR(__xludf.DUMMYFUNCTION("GOOGLETRANSLATE(A51305,""en"",""pt"")"),"excelente qualidade de imagem, ótimo preço")</f>
        <v>excelente qualidade de imagem, ótimo preço</v>
      </c>
      <c r="B51305" s="3">
        <v>1</v>
      </c>
    </row>
    <row r="51306" ht="15.75" customHeight="1" spans="1:2">
      <c r="A51306" s="3" t="str">
        <f>IFERROR(__xludf.DUMMYFUNCTION("GOOGLETRANSLATE(A51306,""en"",""pt"")"),"User-friendly, excelentes fotos dos quartos")</f>
        <v>User-friendly, excelentes fotos dos quartos</v>
      </c>
      <c r="B51306" s="3">
        <v>1</v>
      </c>
    </row>
    <row r="51307" ht="15.75" customHeight="1" spans="1:2">
      <c r="A51307" s="3" t="str">
        <f>IFERROR(__xludf.DUMMYFUNCTION("GOOGLETRANSLATE(A51307,""en"",""pt"")"),"Grande LCD, preço baixo, compacto e robusto")</f>
        <v>Grande LCD, preço baixo, compacto e robusto</v>
      </c>
      <c r="B51307" s="3">
        <v>1</v>
      </c>
    </row>
    <row r="51308" ht="15.75" customHeight="1" spans="1:2">
      <c r="A51308" s="3" t="str">
        <f>IFERROR(__xludf.DUMMYFUNCTION("GOOGLETRANSLATE(A51308,""en"",""pt"")"),"facilidade de uso, qualidade para o preço")</f>
        <v>facilidade de uso, qualidade para o preço</v>
      </c>
      <c r="B51308" s="3">
        <v>1</v>
      </c>
    </row>
    <row r="51309" ht="15.75" customHeight="1" spans="1:2">
      <c r="A51309" s="3" t="str">
        <f>IFERROR(__xludf.DUMMYFUNCTION("GOOGLETRANSLATE(A51309,""en"",""pt"")"),"Fácil de usar")</f>
        <v>Fácil de usar</v>
      </c>
      <c r="B51309" s="3">
        <v>1</v>
      </c>
    </row>
    <row r="51310" ht="15.75" customHeight="1" spans="1:2">
      <c r="A51310" s="3" t="str">
        <f>IFERROR(__xludf.DUMMYFUNCTION("GOOGLETRANSLATE(A51310,""en"",""pt"")"),"Acessível")</f>
        <v>Acessível</v>
      </c>
      <c r="B51310" s="3">
        <v>1</v>
      </c>
    </row>
    <row r="51311" ht="15.75" customHeight="1" spans="1:2">
      <c r="A51311" s="3" t="str">
        <f>IFERROR(__xludf.DUMMYFUNCTION("GOOGLETRANSLATE(A51311,""en"",""pt"")"),"Alta qualidade, fácil de usar, confiáveis")</f>
        <v>Alta qualidade, fácil de usar, confiáveis</v>
      </c>
      <c r="B51311" s="3">
        <v>1</v>
      </c>
    </row>
    <row r="51312" ht="15.75" customHeight="1" spans="1:2">
      <c r="A51312" s="3" t="str">
        <f>IFERROR(__xludf.DUMMYFUNCTION("GOOGLETRANSLATE(A51312,""en"",""pt"")"),"preço, desempenho")</f>
        <v>preço, desempenho</v>
      </c>
      <c r="B51312" s="3">
        <v>1</v>
      </c>
    </row>
    <row r="51313" ht="15.75" customHeight="1" spans="1:2">
      <c r="A51313" s="3" t="str">
        <f>IFERROR(__xludf.DUMMYFUNCTION("GOOGLETRANSLATE(A51313,""en"",""pt"")"),"preço, resolução e facilidade de op.")</f>
        <v>preço, resolução e facilidade de op.</v>
      </c>
      <c r="B51313" s="3">
        <v>1</v>
      </c>
    </row>
    <row r="51314" ht="15.75" customHeight="1" spans="1:2">
      <c r="A51314" s="3" t="str">
        <f>IFERROR(__xludf.DUMMYFUNCTION("GOOGLETRANSLATE(A51314,""en"",""pt"")"),"Boas imagens, baterias de longa duração, flash")</f>
        <v>Boas imagens, baterias de longa duração, flash</v>
      </c>
      <c r="B51314" s="3">
        <v>1</v>
      </c>
    </row>
    <row r="51315" ht="15.75" customHeight="1" spans="1:2">
      <c r="A51315" s="3" t="str">
        <f>IFERROR(__xludf.DUMMYFUNCTION("GOOGLETRANSLATE(A51315,""en"",""pt"")"),"boa aparência, luz")</f>
        <v>boa aparência, luz</v>
      </c>
      <c r="B51315" s="3">
        <v>1</v>
      </c>
    </row>
    <row r="51316" ht="15.75" customHeight="1" spans="1:2">
      <c r="A51316" s="3" t="str">
        <f>IFERROR(__xludf.DUMMYFUNCTION("GOOGLETRANSLATE(A51316,""en"",""pt"")"),"Fácil de usar, grande qualidade e ótimo preço")</f>
        <v>Fácil de usar, grande qualidade e ótimo preço</v>
      </c>
      <c r="B51316" s="3">
        <v>1</v>
      </c>
    </row>
    <row r="51317" ht="15.75" customHeight="1" spans="1:2">
      <c r="A51317" s="3" t="str">
        <f>IFERROR(__xludf.DUMMYFUNCTION("GOOGLETRANSLATE(A51317,""en"",""pt"")"),"grande imagem para o dinheiro")</f>
        <v>grande imagem para o dinheiro</v>
      </c>
      <c r="B51317" s="3">
        <v>1</v>
      </c>
    </row>
    <row r="51318" ht="15.75" customHeight="1" spans="1:2">
      <c r="A51318" s="3" t="str">
        <f>IFERROR(__xludf.DUMMYFUNCTION("GOOGLETRANSLATE(A51318,""en"",""pt"")"),"Fácil de usar, bom valor,")</f>
        <v>Fácil de usar, bom valor,</v>
      </c>
      <c r="B51318" s="3">
        <v>1</v>
      </c>
    </row>
    <row r="51319" ht="15.75" customHeight="1" spans="1:2">
      <c r="A51319" s="3" t="str">
        <f>IFERROR(__xludf.DUMMYFUNCTION("GOOGLETRANSLATE(A51319,""en"",""pt"")"),"Baixo custo, facilidade de uso.")</f>
        <v>Baixo custo, facilidade de uso.</v>
      </c>
      <c r="B51319" s="3">
        <v>1</v>
      </c>
    </row>
    <row r="51320" ht="15.75" customHeight="1" spans="1:2">
      <c r="A51320" s="3" t="str">
        <f>IFERROR(__xludf.DUMMYFUNCTION("GOOGLETRANSLATE(A51320,""en"",""pt"")"),"grandes imagens, preço")</f>
        <v>grandes imagens, preço</v>
      </c>
      <c r="B51320" s="3">
        <v>1</v>
      </c>
    </row>
    <row r="51321" ht="15.75" customHeight="1" spans="1:2">
      <c r="A51321" s="3" t="str">
        <f>IFERROR(__xludf.DUMMYFUNCTION("GOOGLETRANSLATE(A51321,""en"",""pt"")"),"Fácil de usar, resistente")</f>
        <v>Fácil de usar, resistente</v>
      </c>
      <c r="B51321" s="3">
        <v>1</v>
      </c>
    </row>
    <row r="51322" ht="15.75" customHeight="1" spans="1:2">
      <c r="A51322" s="3" t="str">
        <f>IFERROR(__xludf.DUMMYFUNCTION("GOOGLETRANSLATE(A51322,""en"",""pt"")"),"bate imagens digitalização com um scanner")</f>
        <v>bate imagens digitalização com um scanner</v>
      </c>
      <c r="B51322" s="3">
        <v>1</v>
      </c>
    </row>
    <row r="51323" ht="15.75" customHeight="1" spans="1:2">
      <c r="A51323" s="3" t="str">
        <f>IFERROR(__xludf.DUMMYFUNCTION("GOOGLETRANSLATE(A51323,""en"",""pt"")"),"boa resolução e recursos para o preço")</f>
        <v>boa resolução e recursos para o preço</v>
      </c>
      <c r="B51323" s="3">
        <v>1</v>
      </c>
    </row>
    <row r="51324" ht="15.75" customHeight="1" spans="1:2">
      <c r="A51324" s="3" t="str">
        <f>IFERROR(__xludf.DUMMYFUNCTION("GOOGLETRANSLATE(A51324,""en"",""pt"")"),"LCD é nítida, excelente qualidade de imagem")</f>
        <v>LCD é nítida, excelente qualidade de imagem</v>
      </c>
      <c r="B51324" s="3">
        <v>1</v>
      </c>
    </row>
    <row r="51325" ht="15.75" customHeight="1" spans="1:2">
      <c r="A51325" s="3" t="str">
        <f>IFERROR(__xludf.DUMMYFUNCTION("GOOGLETRANSLATE(A51325,""en"",""pt"")"),"Excelente qualidade de imagem, fácil de usar, relativamente barato.")</f>
        <v>Excelente qualidade de imagem, fácil de usar, relativamente barato.</v>
      </c>
      <c r="B51325" s="3">
        <v>1</v>
      </c>
    </row>
    <row r="51326" ht="15.75" customHeight="1" spans="1:2">
      <c r="A51326" s="3" t="str">
        <f>IFERROR(__xludf.DUMMYFUNCTION("GOOGLETRANSLATE(A51326,""en"",""pt"")"),"Ver tela, tamanho de bolso")</f>
        <v>Ver tela, tamanho de bolso</v>
      </c>
      <c r="B51326" s="3">
        <v>1</v>
      </c>
    </row>
    <row r="51327" ht="15.75" customHeight="1" spans="1:2">
      <c r="A51327" s="3" t="str">
        <f>IFERROR(__xludf.DUMMYFUNCTION("GOOGLETRANSLATE(A51327,""en"",""pt"")"),"valor, armazenamento removível, display LCD, um bom software,")</f>
        <v>valor, armazenamento removível, display LCD, um bom software,</v>
      </c>
      <c r="B51327" s="3">
        <v>1</v>
      </c>
    </row>
    <row r="51328" ht="15.75" customHeight="1" spans="1:2">
      <c r="A51328" s="3" t="str">
        <f>IFERROR(__xludf.DUMMYFUNCTION("GOOGLETRANSLATE(A51328,""en"",""pt"")"),"TV a cabo, LCD grande,")</f>
        <v>TV a cabo, LCD grande,</v>
      </c>
      <c r="B51328" s="3">
        <v>1</v>
      </c>
    </row>
    <row r="51329" ht="15.75" customHeight="1" spans="1:2">
      <c r="A51329" s="3" t="str">
        <f>IFERROR(__xludf.DUMMYFUNCTION("GOOGLETRANSLATE(A51329,""en"",""pt"")"),"Ótima câmera pelo preço")</f>
        <v>Ótima câmera pelo preço</v>
      </c>
      <c r="B51329" s="3">
        <v>1</v>
      </c>
    </row>
    <row r="51330" ht="15.75" customHeight="1" spans="1:2">
      <c r="A51330" s="3" t="str">
        <f>IFERROR(__xludf.DUMMYFUNCTION("GOOGLETRANSLATE(A51330,""en"",""pt"")"),"Alta resolução, baixo preço")</f>
        <v>Alta resolução, baixo preço</v>
      </c>
      <c r="B51330" s="3">
        <v>1</v>
      </c>
    </row>
    <row r="51331" ht="15.75" customHeight="1" spans="1:2">
      <c r="A51331" s="3" t="str">
        <f>IFERROR(__xludf.DUMMYFUNCTION("GOOGLETRANSLATE(A51331,""en"",""pt"")"),"resolução de 1,3 megapixels")</f>
        <v>resolução de 1,3 megapixels</v>
      </c>
      <c r="B51331" s="3">
        <v>1</v>
      </c>
    </row>
    <row r="51332" ht="15.75" customHeight="1" spans="1:2">
      <c r="A51332" s="3" t="str">
        <f>IFERROR(__xludf.DUMMYFUNCTION("GOOGLETRANSLATE(A51332,""en"",""pt"")"),"Ótima câmera, muito estável, características loucas.")</f>
        <v>Ótima câmera, muito estável, características loucas.</v>
      </c>
      <c r="B51332" s="3">
        <v>1</v>
      </c>
    </row>
    <row r="51333" ht="15.75" customHeight="1" spans="1:2">
      <c r="A51333" s="3" t="str">
        <f>IFERROR(__xludf.DUMMYFUNCTION("GOOGLETRANSLATE(A51333,""en"",""pt"")"),"Grandes imagens, fácil utilização, bateria de longa duração")</f>
        <v>Grandes imagens, fácil utilização, bateria de longa duração</v>
      </c>
      <c r="B51333" s="3">
        <v>1</v>
      </c>
    </row>
    <row r="51334" ht="15.75" customHeight="1" spans="1:2">
      <c r="A51334" s="3" t="str">
        <f>IFERROR(__xludf.DUMMYFUNCTION("GOOGLETRANSLATE(A51334,""en"",""pt"")"),"grande imagem, facilidade de usar")</f>
        <v>grande imagem, facilidade de usar</v>
      </c>
      <c r="B51334" s="3">
        <v>1</v>
      </c>
    </row>
    <row r="51335" ht="15.75" customHeight="1" spans="1:2">
      <c r="A51335" s="3" t="str">
        <f>IFERROR(__xludf.DUMMYFUNCTION("GOOGLETRANSLATE(A51335,""en"",""pt"")"),"MUITO")</f>
        <v>MUITO</v>
      </c>
      <c r="B51335" s="3">
        <v>1</v>
      </c>
    </row>
    <row r="51336" ht="15.75" customHeight="1" spans="1:2">
      <c r="A51336" s="3" t="str">
        <f>IFERROR(__xludf.DUMMYFUNCTION("GOOGLETRANSLATE(A51336,""en"",""pt"")"),"Custo, resolução")</f>
        <v>Custo, resolução</v>
      </c>
      <c r="B51336" s="3">
        <v>1</v>
      </c>
    </row>
    <row r="51337" ht="15.75" customHeight="1" spans="1:2">
      <c r="A51337" s="3" t="str">
        <f>IFERROR(__xludf.DUMMYFUNCTION("GOOGLETRANSLATE(A51337,""en"",""pt"")"),"câmera decente, preço decente")</f>
        <v>câmera decente, preço decente</v>
      </c>
      <c r="B51337" s="3">
        <v>1</v>
      </c>
    </row>
    <row r="51338" ht="15.75" customHeight="1" spans="1:2">
      <c r="A51338" s="3" t="str">
        <f>IFERROR(__xludf.DUMMYFUNCTION("GOOGLETRANSLATE(A51338,""en"",""pt"")"),"O disquete, conveniente e muitos recursos.")</f>
        <v>O disquete, conveniente e muitos recursos.</v>
      </c>
      <c r="B51338" s="3">
        <v>1</v>
      </c>
    </row>
    <row r="51339" ht="15.75" customHeight="1" spans="1:2">
      <c r="A51339" s="3" t="str">
        <f>IFERROR(__xludf.DUMMYFUNCTION("GOOGLETRANSLATE(A51339,""en"",""pt"")"),"Grande qualidade de Fotos")</f>
        <v>Grande qualidade de Fotos</v>
      </c>
      <c r="B51339" s="3">
        <v>1</v>
      </c>
    </row>
    <row r="51340" ht="15.75" customHeight="1" spans="1:2">
      <c r="A51340" s="3" t="str">
        <f>IFERROR(__xludf.DUMMYFUNCTION("GOOGLETRANSLATE(A51340,""en"",""pt"")"),"interface intuitiva")</f>
        <v>interface intuitiva</v>
      </c>
      <c r="B51340" s="3">
        <v>1</v>
      </c>
    </row>
    <row r="51341" ht="15.75" customHeight="1" spans="1:2">
      <c r="A51341" s="3" t="str">
        <f>IFERROR(__xludf.DUMMYFUNCTION("GOOGLETRANSLATE(A51341,""en"",""pt"")"),"toma fotos agradáveis ​​qaulity, fácil de usar")</f>
        <v>toma fotos agradáveis ​​qaulity, fácil de usar</v>
      </c>
      <c r="B51341" s="3">
        <v>1</v>
      </c>
    </row>
    <row r="51342" ht="15.75" customHeight="1" spans="1:2">
      <c r="A51342" s="3" t="str">
        <f>IFERROR(__xludf.DUMMYFUNCTION("GOOGLETRANSLATE(A51342,""en"",""pt"")"),"Preços e qualidade de imagem")</f>
        <v>Preços e qualidade de imagem</v>
      </c>
      <c r="B51342" s="3">
        <v>1</v>
      </c>
    </row>
    <row r="51343" ht="15.75" customHeight="1" spans="1:2">
      <c r="A51343" s="3" t="str">
        <f>IFERROR(__xludf.DUMMYFUNCTION("GOOGLETRANSLATE(A51343,""en"",""pt"")"),"Compacto, confiável, monitor de Reprodução, claras e nítidas fotos")</f>
        <v>Compacto, confiável, monitor de Reprodução, claras e nítidas fotos</v>
      </c>
      <c r="B51343" s="3">
        <v>1</v>
      </c>
    </row>
    <row r="51344" ht="15.75" customHeight="1" spans="1:2">
      <c r="A51344" s="3" t="str">
        <f>IFERROR(__xludf.DUMMYFUNCTION("GOOGLETRANSLATE(A51344,""en"",""pt"")"),"Qualidade, facilidade de uso, preço, Software, vida útil da bateria")</f>
        <v>Qualidade, facilidade de uso, preço, Software, vida útil da bateria</v>
      </c>
      <c r="B51344" s="3">
        <v>1</v>
      </c>
    </row>
    <row r="51345" ht="15.75" customHeight="1" spans="1:2">
      <c r="A51345" s="3" t="str">
        <f>IFERROR(__xludf.DUMMYFUNCTION("GOOGLETRANSLATE(A51345,""en"",""pt"")"),"tem grandes figuras")</f>
        <v>tem grandes figuras</v>
      </c>
      <c r="B51345" s="3">
        <v>1</v>
      </c>
    </row>
    <row r="51346" ht="15.75" customHeight="1" spans="1:2">
      <c r="A51346" s="3" t="str">
        <f>IFERROR(__xludf.DUMMYFUNCTION("GOOGLETRANSLATE(A51346,""en"",""pt"")"),"Tudo")</f>
        <v>Tudo</v>
      </c>
      <c r="B51346" s="3">
        <v>1</v>
      </c>
    </row>
    <row r="51347" ht="15.75" customHeight="1" spans="1:2">
      <c r="A51347" s="3" t="str">
        <f>IFERROR(__xludf.DUMMYFUNCTION("GOOGLETRANSLATE(A51347,""en"",""pt"")"),"Grande qualidade a um preço acessível")</f>
        <v>Grande qualidade a um preço acessível</v>
      </c>
      <c r="B51347" s="3">
        <v>1</v>
      </c>
    </row>
    <row r="51348" ht="15.75" customHeight="1" spans="1:2">
      <c r="A51348" s="3" t="str">
        <f>IFERROR(__xludf.DUMMYFUNCTION("GOOGLETRANSLATE(A51348,""en"",""pt"")"),"Notavelmente alta qualidade para o preço")</f>
        <v>Notavelmente alta qualidade para o preço</v>
      </c>
      <c r="B51348" s="3">
        <v>1</v>
      </c>
    </row>
    <row r="51349" ht="15.75" customHeight="1" spans="1:2">
      <c r="A51349" s="3" t="str">
        <f>IFERROR(__xludf.DUMMYFUNCTION("GOOGLETRANSLATE(A51349,""en"",""pt"")"),"Facilidade de uso, resolução, cor")</f>
        <v>Facilidade de uso, resolução, cor</v>
      </c>
      <c r="B51349" s="3">
        <v>1</v>
      </c>
    </row>
    <row r="51350" ht="15.75" customHeight="1" spans="1:2">
      <c r="A51350" s="3" t="str">
        <f>IFERROR(__xludf.DUMMYFUNCTION("GOOGLETRANSLATE(A51350,""en"",""pt"")"),"grande Camera")</f>
        <v>grande Camera</v>
      </c>
      <c r="B51350" s="3">
        <v>1</v>
      </c>
    </row>
    <row r="51351" ht="15.75" customHeight="1" spans="1:2">
      <c r="A51351" s="3" t="str">
        <f>IFERROR(__xludf.DUMMYFUNCTION("GOOGLETRANSLATE(A51351,""en"",""pt"")"),"Facilidade de uso, conjunto de recursos, o software incluído")</f>
        <v>Facilidade de uso, conjunto de recursos, o software incluído</v>
      </c>
      <c r="B51351" s="3">
        <v>1</v>
      </c>
    </row>
    <row r="51352" ht="15.75" customHeight="1" spans="1:2">
      <c r="A51352" s="3" t="str">
        <f>IFERROR(__xludf.DUMMYFUNCTION("GOOGLETRANSLATE(A51352,""en"",""pt"")"),"Barato, excelente qualidade de imagem, e durável.")</f>
        <v>Barato, excelente qualidade de imagem, e durável.</v>
      </c>
      <c r="B51352" s="3">
        <v>1</v>
      </c>
    </row>
    <row r="51353" ht="15.75" customHeight="1" spans="1:2">
      <c r="A51353" s="3" t="str">
        <f>IFERROR(__xludf.DUMMYFUNCTION("GOOGLETRANSLATE(A51353,""en"",""pt"")"),"ótimo preço para a excelente qualidade, facilidade de uso")</f>
        <v>ótimo preço para a excelente qualidade, facilidade de uso</v>
      </c>
      <c r="B51353" s="3">
        <v>1</v>
      </c>
    </row>
    <row r="51354" ht="15.75" customHeight="1" spans="1:2">
      <c r="A51354" s="3" t="str">
        <f>IFERROR(__xludf.DUMMYFUNCTION("GOOGLETRANSLATE(A51354,""en"",""pt"")"),"Belas imagens, facilidade de utilização, Software")</f>
        <v>Belas imagens, facilidade de utilização, Software</v>
      </c>
      <c r="B51354" s="3">
        <v>1</v>
      </c>
    </row>
    <row r="51355" ht="15.75" customHeight="1" spans="1:2">
      <c r="A51355" s="3" t="str">
        <f>IFERROR(__xludf.DUMMYFUNCTION("GOOGLETRANSLATE(A51355,""en"",""pt"")"),"imagens de alta qualidade, fácil de usar, fator de forma point-and-shoot")</f>
        <v>imagens de alta qualidade, fácil de usar, fator de forma point-and-shoot</v>
      </c>
      <c r="B51355" s="3">
        <v>1</v>
      </c>
    </row>
    <row r="51356" ht="15.75" customHeight="1" spans="1:2">
      <c r="A51356" s="3" t="str">
        <f>IFERROR(__xludf.DUMMYFUNCTION("GOOGLETRANSLATE(A51356,""en"",""pt"")"),"Fácil de usar funções básicas, grande visualização LCD claro, módulos de memória de baixo custo")</f>
        <v>Fácil de usar funções básicas, grande visualização LCD claro, módulos de memória de baixo custo</v>
      </c>
      <c r="B51356" s="3">
        <v>1</v>
      </c>
    </row>
    <row r="51357" ht="15.75" customHeight="1" spans="1:2">
      <c r="A51357" s="3" t="str">
        <f>IFERROR(__xludf.DUMMYFUNCTION("GOOGLETRANSLATE(A51357,""en"",""pt"")"),"Pequeno e acessível")</f>
        <v>Pequeno e acessível</v>
      </c>
      <c r="B51357" s="3">
        <v>1</v>
      </c>
    </row>
    <row r="51358" ht="15.75" customHeight="1" spans="1:2">
      <c r="A51358" s="3" t="str">
        <f>IFERROR(__xludf.DUMMYFUNCTION("GOOGLETRANSLATE(A51358,""en"",""pt"")"),"Pequeno, bom valor, point &amp; amp; amp; tiro")</f>
        <v>Pequeno, bom valor, point &amp; amp; amp; tiro</v>
      </c>
      <c r="B51358" s="3">
        <v>1</v>
      </c>
    </row>
    <row r="51359" ht="15.75" customHeight="1" spans="1:2">
      <c r="A51359" s="3" t="str">
        <f>IFERROR(__xludf.DUMMYFUNCTION("GOOGLETRANSLATE(A51359,""en"",""pt"")"),"FLASH PATH")</f>
        <v>FLASH PATH</v>
      </c>
      <c r="B51359" s="3">
        <v>1</v>
      </c>
    </row>
    <row r="51360" ht="15.75" customHeight="1" spans="1:2">
      <c r="A51360" s="3" t="str">
        <f>IFERROR(__xludf.DUMMYFUNCTION("GOOGLETRANSLATE(A51360,""en"",""pt"")"),"Fácil de usar, instruções claras grandes imagens,.")</f>
        <v>Fácil de usar, instruções claras grandes imagens,.</v>
      </c>
      <c r="B51360" s="3">
        <v>1</v>
      </c>
    </row>
    <row r="51361" ht="15.75" customHeight="1" spans="1:2">
      <c r="A51361" s="3" t="str">
        <f>IFERROR(__xludf.DUMMYFUNCTION("GOOGLETRANSLATE(A51361,""en"",""pt"")"),"Imagens de alta qualidade, fácil de usar")</f>
        <v>Imagens de alta qualidade, fácil de usar</v>
      </c>
      <c r="B51361" s="3">
        <v>1</v>
      </c>
    </row>
    <row r="51362" ht="15.75" customHeight="1" spans="1:2">
      <c r="A51362" s="3" t="str">
        <f>IFERROR(__xludf.DUMMYFUNCTION("GOOGLETRANSLATE(A51362,""en"",""pt"")"),"boa qualidade de imagem, a construção")</f>
        <v>boa qualidade de imagem, a construção</v>
      </c>
      <c r="B51362" s="3">
        <v>1</v>
      </c>
    </row>
    <row r="51363" ht="15.75" customHeight="1" spans="1:2">
      <c r="A51363" s="3" t="str">
        <f>IFERROR(__xludf.DUMMYFUNCTION("GOOGLETRANSLATE(A51363,""en"",""pt"")"),"Peso, tamanho")</f>
        <v>Peso, tamanho</v>
      </c>
      <c r="B51363" s="3">
        <v>1</v>
      </c>
    </row>
    <row r="51364" ht="15.75" customHeight="1" spans="1:2">
      <c r="A51364" s="3" t="str">
        <f>IFERROR(__xludf.DUMMYFUNCTION("GOOGLETRANSLATE(A51364,""en"",""pt"")"),"Grandes fotos, fácil de usar")</f>
        <v>Grandes fotos, fácil de usar</v>
      </c>
      <c r="B51364" s="3">
        <v>1</v>
      </c>
    </row>
    <row r="51365" ht="15.75" customHeight="1" spans="1:2">
      <c r="A51365" s="3" t="str">
        <f>IFERROR(__xludf.DUMMYFUNCTION("GOOGLETRANSLATE(A51365,""en"",""pt"")"),"ótimas fotos, tamanho pequeno")</f>
        <v>ótimas fotos, tamanho pequeno</v>
      </c>
      <c r="B51365" s="3">
        <v>1</v>
      </c>
    </row>
    <row r="51366" ht="15.75" customHeight="1" spans="1:2">
      <c r="A51366" s="3" t="str">
        <f>IFERROR(__xludf.DUMMYFUNCTION("GOOGLETRANSLATE(A51366,""en"",""pt"")"),"qualidade da imagem. facilidade de uso para a fotografia básica")</f>
        <v>qualidade da imagem. facilidade de uso para a fotografia básica</v>
      </c>
      <c r="B51366" s="3">
        <v>1</v>
      </c>
    </row>
    <row r="51367" ht="15.75" customHeight="1" spans="1:2">
      <c r="A51367" s="3" t="str">
        <f>IFERROR(__xludf.DUMMYFUNCTION("GOOGLETRANSLATE(A51367,""en"",""pt"")"),"facilidade de uso, facilidade de transferência para PC")</f>
        <v>facilidade de uso, facilidade de transferência para PC</v>
      </c>
      <c r="B51367" s="3">
        <v>1</v>
      </c>
    </row>
    <row r="51368" ht="15.75" customHeight="1" spans="1:2">
      <c r="A51368" s="3" t="str">
        <f>IFERROR(__xludf.DUMMYFUNCTION("GOOGLETRANSLATE(A51368,""en"",""pt"")"),"imagens de alta qualidade, tamanho, facilidade de uso")</f>
        <v>imagens de alta qualidade, tamanho, facilidade de uso</v>
      </c>
      <c r="B51368" s="3">
        <v>1</v>
      </c>
    </row>
    <row r="51369" ht="15.75" customHeight="1" spans="1:2">
      <c r="A51369" s="3" t="str">
        <f>IFERROR(__xludf.DUMMYFUNCTION("GOOGLETRANSLATE(A51369,""en"",""pt"")"),"Tamanho, resolução")</f>
        <v>Tamanho, resolução</v>
      </c>
      <c r="B51369" s="3">
        <v>1</v>
      </c>
    </row>
    <row r="51370" ht="15.75" customHeight="1" spans="1:2">
      <c r="A51370" s="3" t="str">
        <f>IFERROR(__xludf.DUMMYFUNCTION("GOOGLETRANSLATE(A51370,""en"",""pt"")"),"Qualidade Fotos; Fácil de usar; tamanho da câmara;")</f>
        <v>Qualidade Fotos; Fácil de usar; tamanho da câmara;</v>
      </c>
      <c r="B51370" s="3">
        <v>1</v>
      </c>
    </row>
    <row r="51371" ht="15.75" customHeight="1" spans="1:2">
      <c r="A51371" s="3" t="str">
        <f>IFERROR(__xludf.DUMMYFUNCTION("GOOGLETRANSLATE(A51371,""en"",""pt"")"),"Fácil de usar, as imagens são de qualidade boa")</f>
        <v>Fácil de usar, as imagens são de qualidade boa</v>
      </c>
      <c r="B51371" s="3">
        <v>1</v>
      </c>
    </row>
    <row r="51372" ht="15.75" customHeight="1" spans="1:2">
      <c r="A51372" s="3" t="str">
        <f>IFERROR(__xludf.DUMMYFUNCTION("GOOGLETRANSLATE(A51372,""en"",""pt"")"),"É pequeno e compacto. É fácil de usar.")</f>
        <v>É pequeno e compacto. É fácil de usar.</v>
      </c>
      <c r="B51372" s="3">
        <v>1</v>
      </c>
    </row>
    <row r="51373" ht="15.75" customHeight="1" spans="1:2">
      <c r="A51373" s="3" t="str">
        <f>IFERROR(__xludf.DUMMYFUNCTION("GOOGLETRANSLATE(A51373,""en"",""pt"")"),"Grandes fotos, versátil, adaptador compacto, disquete")</f>
        <v>Grandes fotos, versátil, adaptador compacto, disquete</v>
      </c>
      <c r="B51373" s="3">
        <v>1</v>
      </c>
    </row>
    <row r="51374" ht="15.75" customHeight="1" spans="1:2">
      <c r="A51374" s="3" t="str">
        <f>IFERROR(__xludf.DUMMYFUNCTION("GOOGLETRANSLATE(A51374,""en"",""pt"")"),"Fácil de usar.")</f>
        <v>Fácil de usar.</v>
      </c>
      <c r="B51374" s="3">
        <v>1</v>
      </c>
    </row>
    <row r="51375" ht="15.75" customHeight="1" spans="1:2">
      <c r="A51375" s="3" t="str">
        <f>IFERROR(__xludf.DUMMYFUNCTION("GOOGLETRANSLATE(A51375,""en"",""pt"")"),"ótimas fotos. ampliar. fácil utilização.")</f>
        <v>ótimas fotos. ampliar. fácil utilização.</v>
      </c>
      <c r="B51375" s="3">
        <v>1</v>
      </c>
    </row>
    <row r="51376" ht="15.75" customHeight="1" spans="1:2">
      <c r="A51376" s="3" t="str">
        <f>IFERROR(__xludf.DUMMYFUNCTION("GOOGLETRANSLATE(A51376,""en"",""pt"")"),"Great Quality &amp; amp; amp; impressionante Preço")</f>
        <v>Great Quality &amp; amp; amp; impressionante Preço</v>
      </c>
      <c r="B51376" s="3">
        <v>1</v>
      </c>
    </row>
    <row r="51377" ht="15.75" customHeight="1" spans="1:2">
      <c r="A51377" s="3" t="str">
        <f>IFERROR(__xludf.DUMMYFUNCTION("GOOGLETRANSLATE(A51377,""en"",""pt"")"),"Fácil de usar")</f>
        <v>Fácil de usar</v>
      </c>
      <c r="B51377" s="3">
        <v>1</v>
      </c>
    </row>
    <row r="51378" ht="15.75" customHeight="1" spans="1:2">
      <c r="A51378" s="3" t="str">
        <f>IFERROR(__xludf.DUMMYFUNCTION("GOOGLETRANSLATE(A51378,""en"",""pt"")"),"condições de luz ai,, imagens de boa qualidade pequenas, zoom, elimina olhos vermelhos, não mais do filme")</f>
        <v>condições de luz ai,, imagens de boa qualidade pequenas, zoom, elimina olhos vermelhos, não mais do filme</v>
      </c>
      <c r="B51378" s="3">
        <v>1</v>
      </c>
    </row>
    <row r="51379" ht="15.75" customHeight="1" spans="1:2">
      <c r="A51379" s="3" t="str">
        <f>IFERROR(__xludf.DUMMYFUNCTION("GOOGLETRANSLATE(A51379,""en"",""pt"")"),"fotos grandes, fácil de usar, boa qualidade, grande valor")</f>
        <v>fotos grandes, fácil de usar, boa qualidade, grande valor</v>
      </c>
      <c r="B51379" s="3">
        <v>1</v>
      </c>
    </row>
    <row r="51380" ht="15.75" customHeight="1" spans="1:2">
      <c r="A51380" s="3" t="str">
        <f>IFERROR(__xludf.DUMMYFUNCTION("GOOGLETRANSLATE(A51380,""en"",""pt"")"),"Incrível Pictures, qualidade, versatilidade")</f>
        <v>Incrível Pictures, qualidade, versatilidade</v>
      </c>
      <c r="B51380" s="3">
        <v>1</v>
      </c>
    </row>
    <row r="51381" ht="15.75" customHeight="1" spans="1:2">
      <c r="A51381" s="3" t="str">
        <f>IFERROR(__xludf.DUMMYFUNCTION("GOOGLETRANSLATE(A51381,""en"",""pt"")"),"Excelente qualidade de imagem por US $ 299. Múltiplas funções.")</f>
        <v>Excelente qualidade de imagem por US $ 299. Múltiplas funções.</v>
      </c>
      <c r="B51381" s="3">
        <v>1</v>
      </c>
    </row>
    <row r="51382" ht="15.75" customHeight="1" spans="1:2">
      <c r="A51382" s="3" t="str">
        <f>IFERROR(__xludf.DUMMYFUNCTION("GOOGLETRANSLATE(A51382,""en"",""pt"")"),"Grande resolução, Boa exposição, dentro e fora. Excepcional vida útil da bateria")</f>
        <v>Grande resolução, Boa exposição, dentro e fora. Excepcional vida útil da bateria</v>
      </c>
      <c r="B51382" s="3">
        <v>1</v>
      </c>
    </row>
    <row r="51383" ht="15.75" customHeight="1" spans="1:2">
      <c r="A51383" s="3" t="str">
        <f>IFERROR(__xludf.DUMMYFUNCTION("GOOGLETRANSLATE(A51383,""en"",""pt"")"),"Grandes fotos, saída de TV, LCD, Smartmedia")</f>
        <v>Grandes fotos, saída de TV, LCD, Smartmedia</v>
      </c>
      <c r="B51383" s="3">
        <v>1</v>
      </c>
    </row>
    <row r="51384" ht="15.75" customHeight="1" spans="1:2">
      <c r="A51384" s="3" t="str">
        <f>IFERROR(__xludf.DUMMYFUNCTION("GOOGLETRANSLATE(A51384,""en"",""pt"")"),"Fácil de usar, de boa qualidade, bom preço")</f>
        <v>Fácil de usar, de boa qualidade, bom preço</v>
      </c>
      <c r="B51384" s="3">
        <v>1</v>
      </c>
    </row>
    <row r="51385" ht="15.75" customHeight="1" spans="1:2">
      <c r="A51385" s="3" t="str">
        <f>IFERROR(__xludf.DUMMYFUNCTION("GOOGLETRANSLATE(A51385,""en"",""pt"")"),"Grande LCD, zoom 3x, comact, leve e durável")</f>
        <v>Grande LCD, zoom 3x, comact, leve e durável</v>
      </c>
      <c r="B51385" s="3">
        <v>1</v>
      </c>
    </row>
    <row r="51386" ht="15.75" customHeight="1" spans="1:2">
      <c r="A51386" s="3" t="str">
        <f>IFERROR(__xludf.DUMMYFUNCTION("GOOGLETRANSLATE(A51386,""en"",""pt"")"),"baixo preço, boa qualidade de imagem, display LCD")</f>
        <v>baixo preço, boa qualidade de imagem, display LCD</v>
      </c>
      <c r="B51386" s="3">
        <v>1</v>
      </c>
    </row>
    <row r="51387" ht="15.75" customHeight="1" spans="1:2">
      <c r="A51387" s="3" t="str">
        <f>IFERROR(__xludf.DUMMYFUNCTION("GOOGLETRANSLATE(A51387,""en"",""pt"")"),"Excelentes imagens, tamanho compacto, fácil de usar")</f>
        <v>Excelentes imagens, tamanho compacto, fácil de usar</v>
      </c>
      <c r="B51387" s="3">
        <v>1</v>
      </c>
    </row>
    <row r="51388" ht="15.75" customHeight="1" spans="1:2">
      <c r="A51388" s="3" t="str">
        <f>IFERROR(__xludf.DUMMYFUNCTION("GOOGLETRANSLATE(A51388,""en"",""pt"")"),"Fácil de usar e pequeno")</f>
        <v>Fácil de usar e pequeno</v>
      </c>
      <c r="B51388" s="3">
        <v>1</v>
      </c>
    </row>
    <row r="51389" ht="15.75" customHeight="1" spans="1:2">
      <c r="A51389" s="3" t="str">
        <f>IFERROR(__xludf.DUMMYFUNCTION("GOOGLETRANSLATE(A51389,""en"",""pt"")"),"facilidade de utilização, fotografias claras")</f>
        <v>facilidade de utilização, fotografias claras</v>
      </c>
      <c r="B51389" s="3">
        <v>1</v>
      </c>
    </row>
    <row r="51390" ht="15.75" customHeight="1" spans="1:2">
      <c r="A51390" s="3" t="str">
        <f>IFERROR(__xludf.DUMMYFUNCTION("GOOGLETRANSLATE(A51390,""en"",""pt"")"),"Boa qualidade, muitas opções")</f>
        <v>Boa qualidade, muitas opções</v>
      </c>
      <c r="B51390" s="3">
        <v>1</v>
      </c>
    </row>
    <row r="51391" ht="15.75" customHeight="1" spans="1:2">
      <c r="A51391" s="3" t="str">
        <f>IFERROR(__xludf.DUMMYFUNCTION("GOOGLETRANSLATE(A51391,""en"",""pt"")"),"Grande Macro, agradável carregado recursos")</f>
        <v>Grande Macro, agradável carregado recursos</v>
      </c>
      <c r="B51391" s="3">
        <v>1</v>
      </c>
    </row>
    <row r="51392" ht="15.75" customHeight="1" spans="1:2">
      <c r="A51392" s="3" t="str">
        <f>IFERROR(__xludf.DUMMYFUNCTION("GOOGLETRANSLATE(A51392,""en"",""pt"")"),"Fácil de usar, altamente versátil, acessível.")</f>
        <v>Fácil de usar, altamente versátil, acessível.</v>
      </c>
      <c r="B51392" s="3">
        <v>1</v>
      </c>
    </row>
    <row r="51393" ht="15.75" customHeight="1" spans="1:2">
      <c r="A51393" s="3" t="str">
        <f>IFERROR(__xludf.DUMMYFUNCTION("GOOGLETRANSLATE(A51393,""en"",""pt"")"),"Facilidade de utilização, durabilidade, qualidade")</f>
        <v>Facilidade de utilização, durabilidade, qualidade</v>
      </c>
      <c r="B51393" s="3">
        <v>1</v>
      </c>
    </row>
    <row r="51394" ht="15.75" customHeight="1" spans="1:2">
      <c r="A51394" s="3" t="str">
        <f>IFERROR(__xludf.DUMMYFUNCTION("GOOGLETRANSLATE(A51394,""en"",""pt"")"),"Fotos de boa qualidade, zoom, pequeno, fácil de usar")</f>
        <v>Fotos de boa qualidade, zoom, pequeno, fácil de usar</v>
      </c>
      <c r="B51394" s="3">
        <v>1</v>
      </c>
    </row>
    <row r="51395" ht="15.75" customHeight="1" spans="1:2">
      <c r="A51395" s="3" t="str">
        <f>IFERROR(__xludf.DUMMYFUNCTION("GOOGLETRANSLATE(A51395,""en"",""pt"")"),"Tem grandes figuras; muitas grandes características")</f>
        <v>Tem grandes figuras; muitas grandes características</v>
      </c>
      <c r="B51395" s="3">
        <v>1</v>
      </c>
    </row>
    <row r="51396" ht="15.75" customHeight="1" spans="1:2">
      <c r="A51396" s="3" t="str">
        <f>IFERROR(__xludf.DUMMYFUNCTION("GOOGLETRANSLATE(A51396,""en"",""pt"")")," Grandes featuers, Fácil de usar, preço barato")</f>
        <v> Grandes featuers, Fácil de usar, preço barato</v>
      </c>
      <c r="B51396" s="3">
        <v>1</v>
      </c>
    </row>
    <row r="51397" ht="15.75" customHeight="1" spans="1:2">
      <c r="A51397" s="3" t="str">
        <f>IFERROR(__xludf.DUMMYFUNCTION("GOOGLETRANSLATE(A51397,""en"",""pt"")"),"Boa qualidade de imagem / fácil de usar / suficiente pequeno para o seu bolso")</f>
        <v>Boa qualidade de imagem / fácil de usar / suficiente pequeno para o seu bolso</v>
      </c>
      <c r="B51397" s="3">
        <v>1</v>
      </c>
    </row>
    <row r="51398" ht="15.75" customHeight="1" spans="1:2">
      <c r="A51398" s="3" t="str">
        <f>IFERROR(__xludf.DUMMYFUNCTION("GOOGLETRANSLATE(A51398,""en"",""pt"")"),"Excelente qualidade fotográfica, capacidade panorâmica, decente na vida da bateria.")</f>
        <v>Excelente qualidade fotográfica, capacidade panorâmica, decente na vida da bateria.</v>
      </c>
      <c r="B51398" s="3">
        <v>1</v>
      </c>
    </row>
    <row r="51399" ht="15.75" customHeight="1" spans="1:2">
      <c r="A51399" s="3" t="str">
        <f>IFERROR(__xludf.DUMMYFUNCTION("GOOGLETRANSLATE(A51399,""en"",""pt"")"),"Sólida, fácil de usar no modo básico")</f>
        <v>Sólida, fácil de usar no modo básico</v>
      </c>
      <c r="B51399" s="3">
        <v>1</v>
      </c>
    </row>
    <row r="51400" ht="15.75" customHeight="1" spans="1:2">
      <c r="A51400" s="3" t="str">
        <f>IFERROR(__xludf.DUMMYFUNCTION("GOOGLETRANSLATE(A51400,""en"",""pt"")"),"Availablility Para ver a foto é de uma só vez")</f>
        <v>Availablility Para ver a foto é de uma só vez</v>
      </c>
      <c r="B51400" s="3">
        <v>1</v>
      </c>
    </row>
    <row r="51401" ht="15.75" customHeight="1" spans="1:2">
      <c r="A51401" s="3" t="str">
        <f>IFERROR(__xludf.DUMMYFUNCTION("GOOGLETRANSLATE(A51401,""en"",""pt"")"),"Tamanho compacto, visor óptico preciso, tampa da lente integrada, display LCD brilhante, flash bom para o tamanho / preço, rápido zoom, adaptador de disquete FlashPath incluído para cartões SmartMedia")</f>
        <v>Tamanho compacto, visor óptico preciso, tampa da lente integrada, display LCD brilhante, flash bom para o tamanho / preço, rápido zoom, adaptador de disquete FlashPath incluído para cartões SmartMedia</v>
      </c>
      <c r="B51401" s="3">
        <v>1</v>
      </c>
    </row>
    <row r="51402" ht="15.75" customHeight="1" spans="1:2">
      <c r="A51402" s="3" t="str">
        <f>IFERROR(__xludf.DUMMYFUNCTION("GOOGLETRANSLATE(A51402,""en"",""pt"")"),"Fácil de usar e boas fotos")</f>
        <v>Fácil de usar e boas fotos</v>
      </c>
      <c r="B51402" s="3">
        <v>1</v>
      </c>
    </row>
    <row r="51403" ht="15.75" customHeight="1" spans="1:2">
      <c r="A51403" s="3" t="str">
        <f>IFERROR(__xludf.DUMMYFUNCTION("GOOGLETRANSLATE(A51403,""en"",""pt"")"),"qualidade das imagens, durabilidade")</f>
        <v>qualidade das imagens, durabilidade</v>
      </c>
      <c r="B51403" s="3">
        <v>1</v>
      </c>
    </row>
    <row r="51404" ht="15.75" customHeight="1" spans="1:2">
      <c r="A51404" s="3" t="str">
        <f>IFERROR(__xludf.DUMMYFUNCTION("GOOGLETRANSLATE(A51404,""en"",""pt"")"),"Excelente qualidade de imagem e facilidade de uso.")</f>
        <v>Excelente qualidade de imagem e facilidade de uso.</v>
      </c>
      <c r="B51404" s="3">
        <v>1</v>
      </c>
    </row>
    <row r="51405" ht="15.75" customHeight="1" spans="1:2">
      <c r="A51405" s="3" t="str">
        <f>IFERROR(__xludf.DUMMYFUNCTION("GOOGLETRANSLATE(A51405,""en"",""pt"")"),"Os ajustes de qualidade de foto são fáceis de fazer!")</f>
        <v>Os ajustes de qualidade de foto são fáceis de fazer!</v>
      </c>
      <c r="B51405" s="3">
        <v>1</v>
      </c>
    </row>
    <row r="51406" ht="15.75" customHeight="1" spans="1:2">
      <c r="A51406" s="3" t="str">
        <f>IFERROR(__xludf.DUMMYFUNCTION("GOOGLETRANSLATE(A51406,""en"",""pt"")"),"Boa qualidade de imagem &amp; amp; # 13; &amp; amp; # 10; tamanho &amp; amp; # 13; &amp; amp; # 10; grande display LCD")</f>
        <v>Boa qualidade de imagem &amp; amp; # 13; &amp; amp; # 10; tamanho &amp; amp; # 13; &amp; amp; # 10; grande display LCD</v>
      </c>
      <c r="B51406" s="3">
        <v>1</v>
      </c>
    </row>
    <row r="51407" ht="15.75" customHeight="1" spans="1:2">
      <c r="A51407" s="3" t="str">
        <f>IFERROR(__xludf.DUMMYFUNCTION("GOOGLETRANSLATE(A51407,""en"",""pt"")"),"ótimas fotos e painel LCD")</f>
        <v>ótimas fotos e painel LCD</v>
      </c>
      <c r="B51407" s="3">
        <v>1</v>
      </c>
    </row>
    <row r="51408" ht="15.75" customHeight="1" spans="1:2">
      <c r="A51408" s="3" t="str">
        <f>IFERROR(__xludf.DUMMYFUNCTION("GOOGLETRANSLATE(A51408,""en"",""pt"")"),"Grandes tiros de pouca luz")</f>
        <v>Grandes tiros de pouca luz</v>
      </c>
      <c r="B51408" s="3">
        <v>1</v>
      </c>
    </row>
    <row r="51409" ht="15.75" customHeight="1" spans="1:2">
      <c r="A51409" s="3" t="str">
        <f>IFERROR(__xludf.DUMMYFUNCTION("GOOGLETRANSLATE(A51409,""en"",""pt"")"),"Facilidade de uso, valor")</f>
        <v>Facilidade de uso, valor</v>
      </c>
      <c r="B51409" s="3">
        <v>1</v>
      </c>
    </row>
    <row r="51410" ht="15.75" customHeight="1" spans="1:2">
      <c r="A51410" s="3" t="str">
        <f>IFERROR(__xludf.DUMMYFUNCTION("GOOGLETRANSLATE(A51410,""en"",""pt"")"),"-Leve / compacto; muito fácil de usar; excelentes resultados fotográficos")</f>
        <v>-Leve / compacto; muito fácil de usar; excelentes resultados fotográficos</v>
      </c>
      <c r="B51410" s="3">
        <v>1</v>
      </c>
    </row>
    <row r="51411" ht="15.75" customHeight="1" spans="1:2">
      <c r="A51411" s="3" t="s">
        <v>260</v>
      </c>
      <c r="B51411" s="3">
        <v>1</v>
      </c>
    </row>
    <row r="51412" ht="15.75" customHeight="1" spans="1:2">
      <c r="A51412" s="3" t="str">
        <f>IFERROR(__xludf.DUMMYFUNCTION("GOOGLETRANSLATE(A51412,""en"",""pt"")"),"regular e zoom excelente qualidade, grande facilidade de utilização")</f>
        <v>regular e zoom excelente qualidade, grande facilidade de utilização</v>
      </c>
      <c r="B51412" s="3">
        <v>1</v>
      </c>
    </row>
    <row r="51413" ht="15.75" customHeight="1" spans="1:2">
      <c r="A51413" s="3" t="str">
        <f>IFERROR(__xludf.DUMMYFUNCTION("GOOGLETRANSLATE(A51413,""en"",""pt"")"),"Facilidade de uso, qualidade, Queda de preço, Zoom")</f>
        <v>Facilidade de uso, qualidade, Queda de preço, Zoom</v>
      </c>
      <c r="B51413" s="3">
        <v>1</v>
      </c>
    </row>
    <row r="51414" ht="15.75" customHeight="1" spans="1:2">
      <c r="A51414" s="3" t="str">
        <f>IFERROR(__xludf.DUMMYFUNCTION("GOOGLETRANSLATE(A51414,""en"",""pt"")"),"alto-res, barato, com zoom de 6x")</f>
        <v>alto-res, barato, com zoom de 6x</v>
      </c>
      <c r="B51414" s="3">
        <v>1</v>
      </c>
    </row>
    <row r="51415" ht="15.75" customHeight="1" spans="1:2">
      <c r="A51415" s="3" t="str">
        <f>IFERROR(__xludf.DUMMYFUNCTION("GOOGLETRANSLATE(A51415,""en"",""pt"")"),"Extremamente fácil de usar, ótimo para iniciantes, mais opções para suas fotos!")</f>
        <v>Extremamente fácil de usar, ótimo para iniciantes, mais opções para suas fotos!</v>
      </c>
      <c r="B51415" s="3">
        <v>1</v>
      </c>
    </row>
    <row r="51416" ht="15.75" customHeight="1" spans="1:2">
      <c r="A51416" s="3" t="str">
        <f>IFERROR(__xludf.DUMMYFUNCTION("GOOGLETRANSLATE(A51416,""en"",""pt"")"),"zoom de 2x óptico, tela de LCD, fácil de usar.")</f>
        <v>zoom de 2x óptico, tela de LCD, fácil de usar.</v>
      </c>
      <c r="B51416" s="3">
        <v>1</v>
      </c>
    </row>
    <row r="51417" ht="15.75" customHeight="1" spans="1:2">
      <c r="A51417" s="3" t="str">
        <f>IFERROR(__xludf.DUMMYFUNCTION("GOOGLETRANSLATE(A51417,""en"",""pt"")"),"Clareza, simples de usar, inúmeros recursos, grande produto")</f>
        <v>Clareza, simples de usar, inúmeros recursos, grande produto</v>
      </c>
      <c r="B51417" s="3">
        <v>1</v>
      </c>
    </row>
    <row r="51418" ht="15.75" customHeight="1" spans="1:2">
      <c r="A51418" s="3" t="str">
        <f>IFERROR(__xludf.DUMMYFUNCTION("GOOGLETRANSLATE(A51418,""en"",""pt"")"),"Boas fotos, conjunto de recursos")</f>
        <v>Boas fotos, conjunto de recursos</v>
      </c>
      <c r="B51418" s="3">
        <v>1</v>
      </c>
    </row>
    <row r="51419" ht="15.75" customHeight="1" spans="1:2">
      <c r="A51419" s="3" t="str">
        <f>IFERROR(__xludf.DUMMYFUNCTION("GOOGLETRANSLATE(A51419,""en"",""pt"")"),"divertido ver como olhar fotos antes de imprimir")</f>
        <v>divertido ver como olhar fotos antes de imprimir</v>
      </c>
      <c r="B51419" s="3">
        <v>1</v>
      </c>
    </row>
    <row r="51420" ht="15.75" customHeight="1" spans="1:2">
      <c r="A51420" s="3" t="s">
        <v>261</v>
      </c>
      <c r="B51420" s="3">
        <v>1</v>
      </c>
    </row>
    <row r="51421" ht="15.75" customHeight="1" spans="1:2">
      <c r="A51421" s="3" t="str">
        <f>IFERROR(__xludf.DUMMYFUNCTION("GOOGLETRANSLATE(A51421,""en"",""pt"")"),"características, qualidade, preço, aparência, uso fácil ....")</f>
        <v>características, qualidade, preço, aparência, uso fácil ....</v>
      </c>
      <c r="B51421" s="3">
        <v>1</v>
      </c>
    </row>
    <row r="51422" ht="15.75" customHeight="1" spans="1:2">
      <c r="A51422" s="3" t="str">
        <f>IFERROR(__xludf.DUMMYFUNCTION("GOOGLETRANSLATE(A51422,""en"",""pt"")"),"Excelente qualidade de imagem")</f>
        <v>Excelente qualidade de imagem</v>
      </c>
      <c r="B51422" s="3">
        <v>1</v>
      </c>
    </row>
    <row r="51423" ht="15.75" customHeight="1" spans="1:2">
      <c r="A51423" s="3" t="str">
        <f>IFERROR(__xludf.DUMMYFUNCTION("GOOGLETRANSLATE(A51423,""en"",""pt"")"),"peso leve, pequeno, Qualidade imagens JPG")</f>
        <v>peso leve, pequeno, Qualidade imagens JPG</v>
      </c>
      <c r="B51423" s="3">
        <v>1</v>
      </c>
    </row>
    <row r="51424" ht="15.75" customHeight="1" spans="1:2">
      <c r="A51424" s="3" t="str">
        <f>IFERROR(__xludf.DUMMYFUNCTION("GOOGLETRANSLATE(A51424,""en"",""pt"")"),"Grande Pictures, fácil de baixar")</f>
        <v>Grande Pictures, fácil de baixar</v>
      </c>
      <c r="B51424" s="3">
        <v>1</v>
      </c>
    </row>
    <row r="51425" ht="15.75" customHeight="1" spans="1:2">
      <c r="A51425" s="3" t="s">
        <v>262</v>
      </c>
      <c r="B51425" s="3">
        <v>1</v>
      </c>
    </row>
    <row r="51426" ht="15.75" customHeight="1" spans="1:2">
      <c r="A51426" s="3" t="str">
        <f>IFERROR(__xludf.DUMMYFUNCTION("GOOGLETRANSLATE(A51426,""en"",""pt"")"),"Pequeno e portátil")</f>
        <v>Pequeno e portátil</v>
      </c>
      <c r="B51426" s="3">
        <v>1</v>
      </c>
    </row>
    <row r="51427" ht="15.75" customHeight="1" spans="1:2">
      <c r="A51427" s="3" t="str">
        <f>IFERROR(__xludf.DUMMYFUNCTION("GOOGLETRANSLATE(A51427,""en"",""pt"")"),"Facilidade de uso, preço total, ótimas fotos")</f>
        <v>Facilidade de uso, preço total, ótimas fotos</v>
      </c>
      <c r="B51427" s="3">
        <v>1</v>
      </c>
    </row>
    <row r="51428" ht="15.75" customHeight="1" spans="1:2">
      <c r="A51428" s="3" t="str">
        <f>IFERROR(__xludf.DUMMYFUNCTION("GOOGLETRANSLATE(A51428,""en"",""pt"")"),"Grandes imagens, um monte de recursos, compacto, boa construído em tela")</f>
        <v>Grandes imagens, um monte de recursos, compacto, boa construído em tela</v>
      </c>
      <c r="B51428" s="3">
        <v>1</v>
      </c>
    </row>
    <row r="51429" ht="15.75" customHeight="1" spans="1:2">
      <c r="A51429" s="3" t="str">
        <f>IFERROR(__xludf.DUMMYFUNCTION("GOOGLETRANSLATE(A51429,""en"",""pt"")"),"pequeno, fácil de usar")</f>
        <v>pequeno, fácil de usar</v>
      </c>
      <c r="B51429" s="3">
        <v>1</v>
      </c>
    </row>
    <row r="51430" ht="15.75" customHeight="1" spans="1:2">
      <c r="A51430" s="3" t="str">
        <f>IFERROR(__xludf.DUMMYFUNCTION("GOOGLETRANSLATE(A51430,""en"",""pt"")"),"Lindo! Acessível. Fácil de usar. Produto de qualidade.")</f>
        <v>Lindo! Acessível. Fácil de usar. Produto de qualidade.</v>
      </c>
      <c r="B51430" s="3">
        <v>1</v>
      </c>
    </row>
    <row r="51431" ht="15.75" customHeight="1" spans="1:2">
      <c r="A51431" s="3" t="str">
        <f>IFERROR(__xludf.DUMMYFUNCTION("GOOGLETRANSLATE(A51431,""en"",""pt"")"),"Grandes fotos e recursos para o preço")</f>
        <v>Grandes fotos e recursos para o preço</v>
      </c>
      <c r="B51431" s="3">
        <v>1</v>
      </c>
    </row>
    <row r="51432" ht="15.75" customHeight="1" spans="1:2">
      <c r="A51432" s="3" t="str">
        <f>IFERROR(__xludf.DUMMYFUNCTION("GOOGLETRANSLATE(A51432,""en"",""pt"")"),"Excelente câmera para quase todos os usos")</f>
        <v>Excelente câmera para quase todos os usos</v>
      </c>
      <c r="B51432" s="3">
        <v>1</v>
      </c>
    </row>
    <row r="51433" ht="15.75" customHeight="1" spans="1:2">
      <c r="A51433" s="3" t="str">
        <f>IFERROR(__xludf.DUMMYFUNCTION("GOOGLETRANSLATE(A51433,""en"",""pt"")"),"Excelente design, fácil de usar, excelente qualidade de imagem")</f>
        <v>Excelente design, fácil de usar, excelente qualidade de imagem</v>
      </c>
      <c r="B51433" s="3">
        <v>1</v>
      </c>
    </row>
    <row r="51434" ht="15.75" customHeight="1" spans="1:2">
      <c r="A51434" s="3" t="str">
        <f>IFERROR(__xludf.DUMMYFUNCTION("GOOGLETRANSLATE(A51434,""en"",""pt"")"),"qualidade das fotos, tamanho, zoom óptico, facilidade de uso, preço")</f>
        <v>qualidade das fotos, tamanho, zoom óptico, facilidade de uso, preço</v>
      </c>
      <c r="B51434" s="3">
        <v>1</v>
      </c>
    </row>
    <row r="51435" ht="15.75" customHeight="1" spans="1:2">
      <c r="A51435" s="3" t="str">
        <f>IFERROR(__xludf.DUMMYFUNCTION("GOOGLETRANSLATE(A51435,""en"",""pt"")"),"qualidade de imagem, luz baixa capacidade, tamanho compacto, valor")</f>
        <v>qualidade de imagem, luz baixa capacidade, tamanho compacto, valor</v>
      </c>
      <c r="B51435" s="3">
        <v>1</v>
      </c>
    </row>
    <row r="51436" ht="15.75" customHeight="1" spans="1:2">
      <c r="A51436" s="3" t="str">
        <f>IFERROR(__xludf.DUMMYFUNCTION("GOOGLETRANSLATE(A51436,""en"",""pt"")"),"Zoom, opções de flash, modo de disparo rápido")</f>
        <v>Zoom, opções de flash, modo de disparo rápido</v>
      </c>
      <c r="B51436" s="3">
        <v>1</v>
      </c>
    </row>
    <row r="51437" ht="15.75" customHeight="1" spans="1:2">
      <c r="A51437" s="3" t="str">
        <f>IFERROR(__xludf.DUMMYFUNCTION("GOOGLETRANSLATE(A51437,""en"",""pt"")"),"ótima câmera para o dinheiro")</f>
        <v>ótima câmera para o dinheiro</v>
      </c>
      <c r="B51437" s="3">
        <v>1</v>
      </c>
    </row>
    <row r="51438" ht="15.75" customHeight="1" spans="1:2">
      <c r="A51438" s="3" t="str">
        <f>IFERROR(__xludf.DUMMYFUNCTION("GOOGLETRANSLATE(A51438,""en"",""pt"")"),"Muito fácil de usar, mas muitas opções para aqueles que querem &amp; amp; quot; afinar &amp; amp; quot; tira uma fotografia")</f>
        <v>Muito fácil de usar, mas muitas opções para aqueles que querem &amp; amp; quot; afinar &amp; amp; quot; tira uma fotografia</v>
      </c>
      <c r="B51438" s="3">
        <v>1</v>
      </c>
    </row>
    <row r="51439" ht="15.75" customHeight="1" spans="1:2">
      <c r="A51439" s="3" t="str">
        <f>IFERROR(__xludf.DUMMYFUNCTION("GOOGLETRANSLATE(A51439,""en"",""pt"")"),"LCD brilhante, inicialização rápida, o formato TIFF, modo burst")</f>
        <v>LCD brilhante, inicialização rápida, o formato TIFF, modo burst</v>
      </c>
      <c r="B51439" s="3">
        <v>1</v>
      </c>
    </row>
    <row r="51440" ht="15.75" customHeight="1" spans="1:2">
      <c r="A51440" s="3" t="str">
        <f>IFERROR(__xludf.DUMMYFUNCTION("GOOGLETRANSLATE(A51440,""en"",""pt"")"),"Grande qualidade de imagem para um bom preço")</f>
        <v>Grande qualidade de imagem para um bom preço</v>
      </c>
      <c r="B51440" s="3">
        <v>1</v>
      </c>
    </row>
    <row r="51441" ht="15.75" customHeight="1" spans="1:2">
      <c r="A51441" s="3" t="str">
        <f>IFERROR(__xludf.DUMMYFUNCTION("GOOGLETRANSLATE(A51441,""en"",""pt"")"),"Não mais hassling com a tomada em e pagar por filme")</f>
        <v>Não mais hassling com a tomada em e pagar por filme</v>
      </c>
      <c r="B51441" s="3">
        <v>1</v>
      </c>
    </row>
    <row r="51442" ht="15.75" customHeight="1" spans="1:2">
      <c r="A51442" s="3" t="str">
        <f>IFERROR(__xludf.DUMMYFUNCTION("GOOGLETRANSLATE(A51442,""en"",""pt"")"),"Boa qualidade de imagem")</f>
        <v>Boa qualidade de imagem</v>
      </c>
      <c r="B51442" s="3">
        <v>1</v>
      </c>
    </row>
    <row r="51443" ht="15.75" customHeight="1" spans="1:2">
      <c r="A51443" s="3" t="str">
        <f>IFERROR(__xludf.DUMMYFUNCTION("GOOGLETRANSLATE(A51443,""en"",""pt"")"),"fácil de usar .. peso leve .. muitos recursos")</f>
        <v>fácil de usar .. peso leve .. muitos recursos</v>
      </c>
      <c r="B51443" s="3">
        <v>1</v>
      </c>
    </row>
    <row r="51444" ht="15.75" customHeight="1" spans="1:2">
      <c r="A51444" s="3" t="str">
        <f>IFERROR(__xludf.DUMMYFUNCTION("GOOGLETRANSLATE(A51444,""en"",""pt"")"),"fotos grandes, ótima resolução, boa compressão em imagens de alta resolução")</f>
        <v>fotos grandes, ótima resolução, boa compressão em imagens de alta resolução</v>
      </c>
      <c r="B51444" s="3">
        <v>1</v>
      </c>
    </row>
    <row r="51445" ht="15.75" customHeight="1" spans="1:2">
      <c r="A51445" s="3" t="str">
        <f>IFERROR(__xludf.DUMMYFUNCTION("GOOGLETRANSLATE(A51445,""en"",""pt"")"),"Câmera excelente para um ótimo preço !!!")</f>
        <v>Câmera excelente para um ótimo preço !!!</v>
      </c>
      <c r="B51445" s="3">
        <v>1</v>
      </c>
    </row>
    <row r="51446" ht="15.75" customHeight="1" spans="1:2">
      <c r="A51446" s="3" t="str">
        <f>IFERROR(__xludf.DUMMYFUNCTION("GOOGLETRANSLATE(A51446,""en"",""pt"")"),"Excelente qualidade de imagem")</f>
        <v>Excelente qualidade de imagem</v>
      </c>
      <c r="B51446" s="3">
        <v>1</v>
      </c>
    </row>
    <row r="51447" ht="15.75" customHeight="1" spans="1:2">
      <c r="A51447" s="3" t="str">
        <f>IFERROR(__xludf.DUMMYFUNCTION("GOOGLETRANSLATE(A51447,""en"",""pt"")"),"facilidade de uso, grandes ótica, zoom 3x")</f>
        <v>facilidade de uso, grandes ótica, zoom 3x</v>
      </c>
      <c r="B51447" s="3">
        <v>1</v>
      </c>
    </row>
    <row r="51448" ht="15.75" customHeight="1" spans="1:2">
      <c r="A51448" s="3" t="str">
        <f>IFERROR(__xludf.DUMMYFUNCTION("GOOGLETRANSLATE(A51448,""en"",""pt"")"),"cenário")</f>
        <v>cenário</v>
      </c>
      <c r="B51448" s="3">
        <v>1</v>
      </c>
    </row>
    <row r="51449" ht="15.75" customHeight="1" spans="1:2">
      <c r="A51449" s="3" t="s">
        <v>263</v>
      </c>
      <c r="B51449" s="3">
        <v>1</v>
      </c>
    </row>
    <row r="51450" ht="15.75" customHeight="1" spans="1:2">
      <c r="A51450" s="3" t="str">
        <f>IFERROR(__xludf.DUMMYFUNCTION("GOOGLETRANSLATE(A51450,""en"",""pt"")"),"imagens de boa qualidade, o formato TIFF, tela brilhante LCD")</f>
        <v>imagens de boa qualidade, o formato TIFF, tela brilhante LCD</v>
      </c>
      <c r="B51450" s="3">
        <v>1</v>
      </c>
    </row>
    <row r="51451" ht="15.75" customHeight="1" spans="1:2">
      <c r="A51451" s="3" t="str">
        <f>IFERROR(__xludf.DUMMYFUNCTION("GOOGLETRANSLATE(A51451,""en"",""pt"")"),"grande zoom óptico, funciona bem em condições de pouca luminosidade, cores muito vivas")</f>
        <v>grande zoom óptico, funciona bem em condições de pouca luminosidade, cores muito vivas</v>
      </c>
      <c r="B51451" s="3">
        <v>1</v>
      </c>
    </row>
    <row r="51452" ht="15.75" customHeight="1" spans="1:2">
      <c r="A51452" s="3" t="str">
        <f>IFERROR(__xludf.DUMMYFUNCTION("GOOGLETRANSLATE(A51452,""en"",""pt"")"),"Grandes pics, facilidade de uso.")</f>
        <v>Grandes pics, facilidade de uso.</v>
      </c>
      <c r="B51452" s="3">
        <v>1</v>
      </c>
    </row>
    <row r="51453" ht="15.75" customHeight="1" spans="1:2">
      <c r="A51453" s="3" t="s">
        <v>264</v>
      </c>
      <c r="B51453" s="3">
        <v>1</v>
      </c>
    </row>
    <row r="51454" ht="15.75" customHeight="1" spans="1:2">
      <c r="A51454" s="3" t="str">
        <f>IFERROR(__xludf.DUMMYFUNCTION("GOOGLETRANSLATE(A51454,""en"",""pt"")"),"Facilidade de uso e qualidade")</f>
        <v>Facilidade de uso e qualidade</v>
      </c>
      <c r="B51454" s="3">
        <v>1</v>
      </c>
    </row>
    <row r="51455" ht="15.75" customHeight="1" spans="1:2">
      <c r="A51455" s="3" t="str">
        <f>IFERROR(__xludf.DUMMYFUNCTION("GOOGLETRANSLATE(A51455,""en"",""pt"")"),"excelente câmera, tamanho grande, ótimas fotos!")</f>
        <v>excelente câmera, tamanho grande, ótimas fotos!</v>
      </c>
      <c r="B51455" s="3">
        <v>1</v>
      </c>
    </row>
    <row r="51456" ht="15.75" customHeight="1" spans="1:2">
      <c r="A51456" s="3" t="str">
        <f>IFERROR(__xludf.DUMMYFUNCTION("GOOGLETRANSLATE(A51456,""en"",""pt"")"),"fotos de alta qualidade, aparência, toneladas de recursos")</f>
        <v>fotos de alta qualidade, aparência, toneladas de recursos</v>
      </c>
      <c r="B51456" s="3">
        <v>1</v>
      </c>
    </row>
    <row r="51457" ht="15.75" customHeight="1" spans="1:2">
      <c r="A51457" s="3" t="str">
        <f>IFERROR(__xludf.DUMMYFUNCTION("GOOGLETRANSLATE(A51457,""en"",""pt"")"),"qualidade de imagem, características, tamanho")</f>
        <v>qualidade de imagem, características, tamanho</v>
      </c>
      <c r="B51457" s="3">
        <v>1</v>
      </c>
    </row>
    <row r="51458" ht="15.75" customHeight="1" spans="1:2">
      <c r="A51458" s="3" t="str">
        <f>IFERROR(__xludf.DUMMYFUNCTION("GOOGLETRANSLATE(A51458,""en"",""pt"")"),"grandes imagens, zoom óptico, muitos recursos")</f>
        <v>grandes imagens, zoom óptico, muitos recursos</v>
      </c>
      <c r="B51458" s="3">
        <v>1</v>
      </c>
    </row>
    <row r="51459" ht="15.75" customHeight="1" spans="1:2">
      <c r="A51459" s="3" t="str">
        <f>IFERROR(__xludf.DUMMYFUNCTION("GOOGLETRANSLATE(A51459,""en"",""pt"")"),"aparência, obras, e se sente como um ponto Standard &amp; amp; amp; tiro")</f>
        <v>aparência, obras, e se sente como um ponto Standard &amp; amp; amp; tiro</v>
      </c>
      <c r="B51459" s="3">
        <v>1</v>
      </c>
    </row>
    <row r="51460" ht="15.75" customHeight="1" spans="1:2">
      <c r="A51460" s="3" t="str">
        <f>IFERROR(__xludf.DUMMYFUNCTION("GOOGLETRANSLATE(A51460,""en"",""pt"")"),"Zoom, 1,3 megapixel, Smartmedia")</f>
        <v>Zoom, 1,3 megapixel, Smartmedia</v>
      </c>
      <c r="B51460" s="3">
        <v>1</v>
      </c>
    </row>
    <row r="51461" ht="15.75" customHeight="1" spans="1:2">
      <c r="A51461" s="3" t="str">
        <f>IFERROR(__xludf.DUMMYFUNCTION("GOOGLETRANSLATE(A51461,""en"",""pt"")"),"Armazenamento, a qualidade de impressão")</f>
        <v>Armazenamento, a qualidade de impressão</v>
      </c>
      <c r="B51461" s="3">
        <v>1</v>
      </c>
    </row>
    <row r="51462" ht="15.75" customHeight="1" spans="1:2">
      <c r="A51462" s="3" t="str">
        <f>IFERROR(__xludf.DUMMYFUNCTION("GOOGLETRANSLATE(A51462,""en"",""pt"")"),"Fácil de usar. Instruções. Preço.")</f>
        <v>Fácil de usar. Instruções. Preço.</v>
      </c>
      <c r="B51462" s="3">
        <v>1</v>
      </c>
    </row>
    <row r="51463" ht="15.75" customHeight="1" spans="1:2">
      <c r="A51463" s="3" t="str">
        <f>IFERROR(__xludf.DUMMYFUNCTION("GOOGLETRANSLATE(A51463,""en"",""pt"")"),"fotos de alta qualidade")</f>
        <v>fotos de alta qualidade</v>
      </c>
      <c r="B51463" s="3">
        <v>1</v>
      </c>
    </row>
    <row r="51464" ht="15.75" customHeight="1" spans="1:2">
      <c r="A51464" s="3" t="str">
        <f>IFERROR(__xludf.DUMMYFUNCTION("GOOGLETRANSLATE(A51464,""en"",""pt"")"),"Grandes tiros para a direita fora da caixa")</f>
        <v>Grandes tiros para a direita fora da caixa</v>
      </c>
      <c r="B51464" s="3">
        <v>1</v>
      </c>
    </row>
    <row r="51465" ht="15.75" customHeight="1" spans="1:2">
      <c r="A51465" s="3" t="str">
        <f>IFERROR(__xludf.DUMMYFUNCTION("GOOGLETRANSLATE(A51465,""en"",""pt"")"),"Olympus óptica, lente zoom, conector de TV")</f>
        <v>Olympus óptica, lente zoom, conector de TV</v>
      </c>
      <c r="B51465" s="3">
        <v>1</v>
      </c>
    </row>
    <row r="51466" ht="15.75" customHeight="1" spans="1:2">
      <c r="A51466" s="3" t="str">
        <f>IFERROR(__xludf.DUMMYFUNCTION("GOOGLETRANSLATE(A51466,""en"",""pt"")"),"Toma imagens incríveis; fácil de usar")</f>
        <v>Toma imagens incríveis; fácil de usar</v>
      </c>
      <c r="B51466" s="3">
        <v>1</v>
      </c>
    </row>
    <row r="51467" ht="15.75" customHeight="1" spans="1:2">
      <c r="A51467" s="3" t="str">
        <f>IFERROR(__xludf.DUMMYFUNCTION("GOOGLETRANSLATE(A51467,""en"",""pt"")"),"Atraente, fácil de usar, produz bons resultados, full-featured")</f>
        <v>Atraente, fácil de usar, produz bons resultados, full-featured</v>
      </c>
      <c r="B51467" s="3">
        <v>1</v>
      </c>
    </row>
    <row r="51468" ht="15.75" customHeight="1" spans="1:2">
      <c r="A51468" s="3" t="s">
        <v>265</v>
      </c>
      <c r="B51468" s="3">
        <v>1</v>
      </c>
    </row>
    <row r="51469" ht="15.75" customHeight="1" spans="1:2">
      <c r="A51469" s="3" t="str">
        <f>IFERROR(__xludf.DUMMYFUNCTION("GOOGLETRANSLATE(A51469,""en"",""pt"")"),"se sente como um 35 milímetros")</f>
        <v>se sente como um 35 milímetros</v>
      </c>
      <c r="B51469" s="3">
        <v>1</v>
      </c>
    </row>
    <row r="51470" ht="15.75" customHeight="1" spans="1:2">
      <c r="A51470" s="3" t="str">
        <f>IFERROR(__xludf.DUMMYFUNCTION("GOOGLETRANSLATE(A51470,""en"",""pt"")"),"Em câmeras digitais $ 500 é tudo que você precisa!")</f>
        <v>Em câmeras digitais $ 500 é tudo que você precisa!</v>
      </c>
      <c r="B51470" s="3">
        <v>1</v>
      </c>
    </row>
    <row r="51471" ht="15.75" customHeight="1" spans="1:2">
      <c r="A51471" s="3" t="str">
        <f>IFERROR(__xludf.DUMMYFUNCTION("GOOGLETRANSLATE(A51471,""en"",""pt"")"),"imagem muito clara, fácil de usar")</f>
        <v>imagem muito clara, fácil de usar</v>
      </c>
      <c r="B51471" s="3">
        <v>1</v>
      </c>
    </row>
    <row r="51472" ht="15.75" customHeight="1" spans="1:2">
      <c r="A51472" s="3" t="str">
        <f>IFERROR(__xludf.DUMMYFUNCTION("GOOGLETRANSLATE(A51472,""en"",""pt"")"),"Preço, zoom, facilidade de utilização, durabilidade")</f>
        <v>Preço, zoom, facilidade de utilização, durabilidade</v>
      </c>
      <c r="B51472" s="3">
        <v>1</v>
      </c>
    </row>
    <row r="51473" ht="15.75" customHeight="1" spans="1:2">
      <c r="A51473" s="3" t="str">
        <f>IFERROR(__xludf.DUMMYFUNCTION("GOOGLETRANSLATE(A51473,""en"",""pt"")"),"baixo preço, boa qualidade, fácil de usar, bateria de longa duração")</f>
        <v>baixo preço, boa qualidade, fácil de usar, bateria de longa duração</v>
      </c>
      <c r="B51473" s="3">
        <v>1</v>
      </c>
    </row>
    <row r="51474" ht="15.75" customHeight="1" spans="1:2">
      <c r="A51474" s="3" t="str">
        <f>IFERROR(__xludf.DUMMYFUNCTION("GOOGLETRANSLATE(A51474,""en"",""pt"")"),"Excelente qualidade de imagem; excelente Características")</f>
        <v>Excelente qualidade de imagem; excelente Características</v>
      </c>
      <c r="B51474" s="3">
        <v>1</v>
      </c>
    </row>
    <row r="51475" ht="15.75" customHeight="1" spans="1:2">
      <c r="A51475" s="3" t="str">
        <f>IFERROR(__xludf.DUMMYFUNCTION("GOOGLETRANSLATE(A51475,""en"",""pt"")"),"tudo ... leva ótimas fotos e é leve, barato e bastante fácil de aprender")</f>
        <v>tudo ... leva ótimas fotos e é leve, barato e bastante fácil de aprender</v>
      </c>
      <c r="B51475" s="3">
        <v>1</v>
      </c>
    </row>
    <row r="51476" ht="15.75" customHeight="1" spans="1:2">
      <c r="A51476" s="3" t="str">
        <f>IFERROR(__xludf.DUMMYFUNCTION("GOOGLETRANSLATE(A51476,""en"",""pt"")"),"Boa qualidade de imagem / Excelente custo")</f>
        <v>Boa qualidade de imagem / Excelente custo</v>
      </c>
      <c r="B51476" s="3">
        <v>1</v>
      </c>
    </row>
    <row r="51477" ht="15.75" customHeight="1" spans="1:2">
      <c r="A51477" s="3" t="str">
        <f>IFERROR(__xludf.DUMMYFUNCTION("GOOGLETRANSLATE(A51477,""en"",""pt"")"),"Fácil de usar, zoom, lente interna da tampa, tela ou visor, modos de qualidade")</f>
        <v>Fácil de usar, zoom, lente interna da tampa, tela ou visor, modos de qualidade</v>
      </c>
      <c r="B51477" s="3">
        <v>1</v>
      </c>
    </row>
    <row r="51478" ht="15.75" customHeight="1" spans="1:2">
      <c r="A51478" s="3" t="str">
        <f>IFERROR(__xludf.DUMMYFUNCTION("GOOGLETRANSLATE(A51478,""en"",""pt"")"),"Boa qualidade de imagem, fora de vídeo")</f>
        <v>Boa qualidade de imagem, fora de vídeo</v>
      </c>
      <c r="B51478" s="3">
        <v>1</v>
      </c>
    </row>
    <row r="51479" ht="15.75" customHeight="1" spans="1:2">
      <c r="A51479" s="3" t="str">
        <f>IFERROR(__xludf.DUMMYFUNCTION("GOOGLETRANSLATE(A51479,""en"",""pt"")"),"grande zoom, características profissionais")</f>
        <v>grande zoom, características profissionais</v>
      </c>
      <c r="B51479" s="3">
        <v>1</v>
      </c>
    </row>
    <row r="51480" ht="15.75" customHeight="1" spans="1:2">
      <c r="A51480" s="3" t="str">
        <f>IFERROR(__xludf.DUMMYFUNCTION("GOOGLETRANSLATE(A51480,""en"",""pt"")"),"Qualidade e facilidade de uso para qualquer um")</f>
        <v>Qualidade e facilidade de uso para qualquer um</v>
      </c>
      <c r="B51480" s="3">
        <v>1</v>
      </c>
    </row>
    <row r="51481" ht="15.75" customHeight="1" spans="1:2">
      <c r="A51481" s="3" t="str">
        <f>IFERROR(__xludf.DUMMYFUNCTION("GOOGLETRANSLATE(A51481,""en"",""pt"")"),"Grandes fotos, rápida do obturador, muitas opções, zoom óptico é grande.")</f>
        <v>Grandes fotos, rápida do obturador, muitas opções, zoom óptico é grande.</v>
      </c>
      <c r="B51481" s="3">
        <v>1</v>
      </c>
    </row>
    <row r="51482" ht="15.75" customHeight="1" spans="1:2">
      <c r="A51482" s="3" t="str">
        <f>IFERROR(__xludf.DUMMYFUNCTION("GOOGLETRANSLATE(A51482,""en"",""pt"")"),"Bom zoom. Um bom software. visualização instantânea. tipos de flash. Capa protetora. Temporizador. Ligações para TV.")</f>
        <v>Bom zoom. Um bom software. visualização instantânea. tipos de flash. Capa protetora. Temporizador. Ligações para TV.</v>
      </c>
      <c r="B51482" s="3">
        <v>1</v>
      </c>
    </row>
    <row r="51483" ht="15.75" customHeight="1" spans="1:2">
      <c r="A51483" s="3" t="str">
        <f>IFERROR(__xludf.DUMMYFUNCTION("GOOGLETRANSLATE(A51483,""en"",""pt"")"),"Fácil de usar, boa qualidade de imagem, cartão de 8 MB, pode levar uma surra")</f>
        <v>Fácil de usar, boa qualidade de imagem, cartão de 8 MB, pode levar uma surra</v>
      </c>
      <c r="B51483" s="3">
        <v>1</v>
      </c>
    </row>
    <row r="51484" ht="15.75" customHeight="1" spans="1:2">
      <c r="A51484" s="3" t="str">
        <f>IFERROR(__xludf.DUMMYFUNCTION("GOOGLETRANSLATE(A51484,""en"",""pt"")"),"A grande qualidade, fácil de usar, um bom software, ótimo preço.")</f>
        <v>A grande qualidade, fácil de usar, um bom software, ótimo preço.</v>
      </c>
      <c r="B51484" s="3">
        <v>1</v>
      </c>
    </row>
    <row r="51485" ht="15.75" customHeight="1" spans="1:2">
      <c r="A51485" s="3" t="str">
        <f>IFERROR(__xludf.DUMMYFUNCTION("GOOGLETRANSLATE(A51485,""en"",""pt"")"),"Grande Camera, Quase tudo incluído, nice pics")</f>
        <v>Grande Camera, Quase tudo incluído, nice pics</v>
      </c>
      <c r="B51485" s="3">
        <v>1</v>
      </c>
    </row>
    <row r="51486" ht="15.75" customHeight="1" spans="1:2">
      <c r="A51486" s="3" t="str">
        <f>IFERROR(__xludf.DUMMYFUNCTION("GOOGLETRANSLATE(A51486,""en"",""pt"")"),"Fácil de usar, configurar e funcional")</f>
        <v>Fácil de usar, configurar e funcional</v>
      </c>
      <c r="B51486" s="3">
        <v>1</v>
      </c>
    </row>
    <row r="51487" ht="15.75" customHeight="1" spans="1:2">
      <c r="A51487" s="3" t="str">
        <f>IFERROR(__xludf.DUMMYFUNCTION("GOOGLETRANSLATE(A51487,""en"",""pt"")"),"Facilidade de uso, marca estabelecida")</f>
        <v>Facilidade de uso, marca estabelecida</v>
      </c>
      <c r="B51487" s="3">
        <v>1</v>
      </c>
    </row>
    <row r="51488" ht="15.75" customHeight="1" spans="1:2">
      <c r="A51488" s="3" t="str">
        <f>IFERROR(__xludf.DUMMYFUNCTION("GOOGLETRANSLATE(A51488,""en"",""pt"")"),"bom zoom, memória expansível é um plus, boa resolução para uma câmera de nível de entrada")</f>
        <v>bom zoom, memória expansível é um plus, boa resolução para uma câmera de nível de entrada</v>
      </c>
      <c r="B51488" s="3">
        <v>1</v>
      </c>
    </row>
    <row r="51489" ht="15.75" customHeight="1" spans="1:2">
      <c r="A51489" s="3" t="str">
        <f>IFERROR(__xludf.DUMMYFUNCTION("GOOGLETRANSLATE(A51489,""en"",""pt"")"),"Fácil de usar, ótimo primeira câmera digital")</f>
        <v>Fácil de usar, ótimo primeira câmera digital</v>
      </c>
      <c r="B51489" s="3">
        <v>1</v>
      </c>
    </row>
    <row r="51490" ht="15.75" customHeight="1" spans="1:2">
      <c r="A51490" s="3" t="str">
        <f>IFERROR(__xludf.DUMMYFUNCTION("GOOGLETRANSLATE(A51490,""en"",""pt"")"),"fácil de operar, boas fotos")</f>
        <v>fácil de operar, boas fotos</v>
      </c>
      <c r="B51490" s="3">
        <v>1</v>
      </c>
    </row>
    <row r="51491" ht="15.75" customHeight="1" spans="1:2">
      <c r="A51491" s="3" t="str">
        <f>IFERROR(__xludf.DUMMYFUNCTION("GOOGLETRANSLATE(A51491,""en"",""pt"")"),"fácil de usar; bom preço; Ótimas fotos; bom software; visor LCD")</f>
        <v>fácil de usar; bom preço; Ótimas fotos; bom software; visor LCD</v>
      </c>
      <c r="B51491" s="3">
        <v>1</v>
      </c>
    </row>
    <row r="51492" ht="15.75" customHeight="1" spans="1:2">
      <c r="A51492" s="3" t="str">
        <f>IFERROR(__xludf.DUMMYFUNCTION("GOOGLETRANSLATE(A51492,""en"",""pt"")"),"Fácil de usar, fotos grandes, os lotes de recursos para o preço, bom s / w.")</f>
        <v>Fácil de usar, fotos grandes, os lotes de recursos para o preço, bom s / w.</v>
      </c>
      <c r="B51492" s="3">
        <v>1</v>
      </c>
    </row>
    <row r="51493" ht="15.75" customHeight="1" spans="1:2">
      <c r="A51493" s="3" t="str">
        <f>IFERROR(__xludf.DUMMYFUNCTION("GOOGLETRANSLATE(A51493,""en"",""pt"")"),"Barato, capacidade de zoom, facilidade de uso, as baterias Duplo A.")</f>
        <v>Barato, capacidade de zoom, facilidade de uso, as baterias Duplo A.</v>
      </c>
      <c r="B51493" s="3">
        <v>1</v>
      </c>
    </row>
    <row r="51494" ht="15.75" customHeight="1" spans="1:2">
      <c r="A51494" s="3" t="str">
        <f>IFERROR(__xludf.DUMMYFUNCTION("GOOGLETRANSLATE(A51494,""en"",""pt"")"),"Parece ótimo, fácil de usar, muitas características")</f>
        <v>Parece ótimo, fácil de usar, muitas características</v>
      </c>
      <c r="B51494" s="3">
        <v>1</v>
      </c>
    </row>
    <row r="51495" ht="15.75" customHeight="1" spans="1:2">
      <c r="A51495" s="3" t="str">
        <f>IFERROR(__xludf.DUMMYFUNCTION("GOOGLETRANSLATE(A51495,""en"",""pt"")"),"O 460/490 estavam entre o primeiro ponto e disparar digicams para impressionar os fotógrafos profissionais.")</f>
        <v>O 460/490 estavam entre o primeiro ponto e disparar digicams para impressionar os fotógrafos profissionais.</v>
      </c>
      <c r="B51495" s="3">
        <v>1</v>
      </c>
    </row>
    <row r="51496" ht="15.75" customHeight="1" spans="1:2">
      <c r="A51496" s="3" t="str">
        <f>IFERROR(__xludf.DUMMYFUNCTION("GOOGLETRANSLATE(A51496,""en"",""pt"")"),"Pequeno, apontar e disparar, e agradável")</f>
        <v>Pequeno, apontar e disparar, e agradável</v>
      </c>
      <c r="B51496" s="3">
        <v>1</v>
      </c>
    </row>
    <row r="51497" ht="15.75" customHeight="1" spans="1:2">
      <c r="A51497" s="3" t="str">
        <f>IFERROR(__xludf.DUMMYFUNCTION("GOOGLETRANSLATE(A51497,""en"",""pt"")"),"Belo design; Muitas características; Bom preço")</f>
        <v>Belo design; Muitas características; Bom preço</v>
      </c>
      <c r="B51497" s="3">
        <v>1</v>
      </c>
    </row>
    <row r="51498" ht="15.75" customHeight="1" spans="1:2">
      <c r="A51498" s="3" t="str">
        <f>IFERROR(__xludf.DUMMYFUNCTION("GOOGLETRANSLATE(A51498,""en"",""pt"")"),"Fácil de usar, fotos de boa qualidade")</f>
        <v>Fácil de usar, fotos de boa qualidade</v>
      </c>
      <c r="B51498" s="3">
        <v>1</v>
      </c>
    </row>
    <row r="51499" ht="15.75" customHeight="1" spans="1:2">
      <c r="A51499" s="3" t="str">
        <f>IFERROR(__xludf.DUMMYFUNCTION("GOOGLETRANSLATE(A51499,""en"",""pt"")"),"Fácil de usar, boas fotos, bom mesmo para amadores,")</f>
        <v>Fácil de usar, boas fotos, bom mesmo para amadores,</v>
      </c>
      <c r="B51499" s="3">
        <v>1</v>
      </c>
    </row>
    <row r="51500" ht="15.75" customHeight="1" spans="1:2">
      <c r="A51500" s="3" t="str">
        <f>IFERROR(__xludf.DUMMYFUNCTION("GOOGLETRANSLATE(A51500,""en"",""pt"")"),"Muito fácil de usar, em geral fotos de boa qualidade.")</f>
        <v>Muito fácil de usar, em geral fotos de boa qualidade.</v>
      </c>
      <c r="B51500" s="3">
        <v>1</v>
      </c>
    </row>
    <row r="51501" ht="15.75" customHeight="1" spans="1:2">
      <c r="A51501" s="3" t="str">
        <f>IFERROR(__xludf.DUMMYFUNCTION("GOOGLETRANSLATE(A51501,""en"",""pt"")"),"Qualidade, muitas opções")</f>
        <v>Qualidade, muitas opções</v>
      </c>
      <c r="B51501" s="3">
        <v>1</v>
      </c>
    </row>
    <row r="51502" ht="15.75" customHeight="1" spans="1:2">
      <c r="A51502" s="3" t="str">
        <f>IFERROR(__xludf.DUMMYFUNCTION("GOOGLETRANSLATE(A51502,""en"",""pt"")"),"Excelente qualidade de imagem, configurações de ISO manuais, faz bem em condições de pouca luz")</f>
        <v>Excelente qualidade de imagem, configurações de ISO manuais, faz bem em condições de pouca luz</v>
      </c>
      <c r="B51502" s="3">
        <v>1</v>
      </c>
    </row>
    <row r="51503" ht="15.75" customHeight="1" spans="1:2">
      <c r="A51503" s="3" t="str">
        <f>IFERROR(__xludf.DUMMYFUNCTION("GOOGLETRANSLATE(A51503,""en"",""pt"")"),"Fácil de usar. exibição Sharp. Excelentes resultados. Cheio de recursos.")</f>
        <v>Fácil de usar. exibição Sharp. Excelentes resultados. Cheio de recursos.</v>
      </c>
      <c r="B51503" s="3">
        <v>1</v>
      </c>
    </row>
    <row r="51504" ht="15.75" customHeight="1" spans="1:2">
      <c r="A51504" s="3" t="str">
        <f>IFERROR(__xludf.DUMMYFUNCTION("GOOGLETRANSLATE(A51504,""en"",""pt"")"),"boa qualidade de imagem, baixo preço, facilidade de uso")</f>
        <v>boa qualidade de imagem, baixo preço, facilidade de uso</v>
      </c>
      <c r="B51504" s="3">
        <v>1</v>
      </c>
    </row>
    <row r="51505" ht="15.75" customHeight="1" spans="1:2">
      <c r="A51505" s="3" t="str">
        <f>IFERROR(__xludf.DUMMYFUNCTION("GOOGLETRANSLATE(A51505,""en"",""pt"")"),"Ótima câmera para o I preço- estou emocionado com isso.")</f>
        <v>Ótima câmera para o I preço- estou emocionado com isso.</v>
      </c>
      <c r="B51505" s="3">
        <v>1</v>
      </c>
    </row>
    <row r="51506" ht="15.75" customHeight="1" spans="1:2">
      <c r="A51506" s="3" t="str">
        <f>IFERROR(__xludf.DUMMYFUNCTION("GOOGLETRANSLATE(A51506,""en"",""pt"")"),"Fácil de usar, vários modos de flash, muitas configurações diferentes.")</f>
        <v>Fácil de usar, vários modos de flash, muitas configurações diferentes.</v>
      </c>
      <c r="B51506" s="3">
        <v>1</v>
      </c>
    </row>
    <row r="51507" ht="15.75" customHeight="1" spans="1:2">
      <c r="A51507" s="3" t="str">
        <f>IFERROR(__xludf.DUMMYFUNCTION("GOOGLETRANSLATE(A51507,""en"",""pt"")"),"Excelente qualidade de imagem, fácil de usar.")</f>
        <v>Excelente qualidade de imagem, fácil de usar.</v>
      </c>
      <c r="B51507" s="3">
        <v>1</v>
      </c>
    </row>
    <row r="51508" ht="15.75" customHeight="1" spans="1:2">
      <c r="A51508" s="3" t="str">
        <f>IFERROR(__xludf.DUMMYFUNCTION("GOOGLETRANSLATE(A51508,""en"",""pt"")"),"Fácil de usar, o peso leve, durável, imagens de qualidade")</f>
        <v>Fácil de usar, o peso leve, durável, imagens de qualidade</v>
      </c>
      <c r="B51508" s="3">
        <v>1</v>
      </c>
    </row>
    <row r="51509" ht="15.75" customHeight="1" spans="1:2">
      <c r="A51509" s="3" t="str">
        <f>IFERROR(__xludf.DUMMYFUNCTION("GOOGLETRANSLATE(A51509,""en"",""pt"")"),"ótimas fotos (para 1.3 MP), fácil de usar, durável")</f>
        <v>ótimas fotos (para 1.3 MP), fácil de usar, durável</v>
      </c>
      <c r="B51509" s="3">
        <v>1</v>
      </c>
    </row>
    <row r="51510" ht="15.75" customHeight="1" spans="1:2">
      <c r="A51510" s="3" t="str">
        <f>IFERROR(__xludf.DUMMYFUNCTION("GOOGLETRANSLATE(A51510,""en"",""pt"")"),"Compacto e bem caracterizado")</f>
        <v>Compacto e bem caracterizado</v>
      </c>
      <c r="B51510" s="3">
        <v>1</v>
      </c>
    </row>
    <row r="51511" ht="15.75" customHeight="1" spans="1:2">
      <c r="A51511" s="3" t="str">
        <f>IFERROR(__xludf.DUMMYFUNCTION("GOOGLETRANSLATE(A51511,""en"",""pt"")"),"Parece com uma câmera! Fácil de usar, excelentes resultados! zoom suave Nice.")</f>
        <v>Parece com uma câmera! Fácil de usar, excelentes resultados! zoom suave Nice.</v>
      </c>
      <c r="B51511" s="3">
        <v>1</v>
      </c>
    </row>
    <row r="51512" ht="15.75" customHeight="1" spans="1:2">
      <c r="A51512" s="3" t="str">
        <f>IFERROR(__xludf.DUMMYFUNCTION("GOOGLETRANSLATE(A51512,""en"",""pt"")"),"1.3 megapixel, tiros de qualidade, fácil de usar, zoom 3x")</f>
        <v>1.3 megapixel, tiros de qualidade, fácil de usar, zoom 3x</v>
      </c>
      <c r="B51512" s="3">
        <v>1</v>
      </c>
    </row>
    <row r="51513" ht="15.75" customHeight="1" spans="1:2">
      <c r="A51513" s="3" t="str">
        <f>IFERROR(__xludf.DUMMYFUNCTION("GOOGLETRANSLATE(A51513,""en"",""pt"")"),"Pequeno e fácil de usar")</f>
        <v>Pequeno e fácil de usar</v>
      </c>
      <c r="B51513" s="3">
        <v>1</v>
      </c>
    </row>
    <row r="51514" ht="15.75" customHeight="1" spans="1:2">
      <c r="A51514" s="3" t="str">
        <f>IFERROR(__xludf.DUMMYFUNCTION("GOOGLETRANSLATE(A51514,""en"",""pt"")"),"Não há mais filme que eu não me desenvolvidos. conhecimento instantâneo se você tem o pic")</f>
        <v>Não há mais filme que eu não me desenvolvidos. conhecimento instantâneo se você tem o pic</v>
      </c>
      <c r="B51514" s="3">
        <v>1</v>
      </c>
    </row>
    <row r="51515" ht="15.75" customHeight="1" spans="1:2">
      <c r="A51515" s="3" t="str">
        <f>IFERROR(__xludf.DUMMYFUNCTION("GOOGLETRANSLATE(A51515,""en"",""pt"")"),"Fácil de usar e leva fotos de boa qualidade")</f>
        <v>Fácil de usar e leva fotos de boa qualidade</v>
      </c>
      <c r="B51515" s="3">
        <v>1</v>
      </c>
    </row>
    <row r="51516" ht="15.75" customHeight="1" spans="1:2">
      <c r="A51516" s="3" t="str">
        <f>IFERROR(__xludf.DUMMYFUNCTION("GOOGLETRANSLATE(A51516,""en"",""pt"")"),"tiros bonitas, imagem perfeita!")</f>
        <v>tiros bonitas, imagem perfeita!</v>
      </c>
      <c r="B51516" s="3">
        <v>1</v>
      </c>
    </row>
    <row r="51517" ht="15.75" customHeight="1" spans="1:2">
      <c r="A51517" s="3" t="str">
        <f>IFERROR(__xludf.DUMMYFUNCTION("GOOGLETRANSLATE(A51517,""en"",""pt"")"),"Muito compacto e leve")</f>
        <v>Muito compacto e leve</v>
      </c>
      <c r="B51517" s="3">
        <v>1</v>
      </c>
    </row>
    <row r="51518" ht="15.75" customHeight="1" spans="1:2">
      <c r="A51518" s="3" t="str">
        <f>IFERROR(__xludf.DUMMYFUNCTION("GOOGLETRANSLATE(A51518,""en"",""pt"")"),"Características, qualidade de imagem, facilidade de uso")</f>
        <v>Características, qualidade de imagem, facilidade de uso</v>
      </c>
      <c r="B51518" s="3">
        <v>1</v>
      </c>
    </row>
    <row r="51519" ht="15.75" customHeight="1" spans="1:2">
      <c r="A51519" s="3" t="str">
        <f>IFERROR(__xludf.DUMMYFUNCTION("GOOGLETRANSLATE(A51519,""en"",""pt"")"),"qualidade da imagem, tamanho e aparência")</f>
        <v>qualidade da imagem, tamanho e aparência</v>
      </c>
      <c r="B51519" s="3">
        <v>1</v>
      </c>
    </row>
    <row r="51520" ht="15.75" customHeight="1" spans="1:2">
      <c r="A51520" s="3" t="str">
        <f>IFERROR(__xludf.DUMMYFUNCTION("GOOGLETRANSLATE(A51520,""en"",""pt"")"),"foco automático e exposição, design sólido")</f>
        <v>foco automático e exposição, design sólido</v>
      </c>
      <c r="B51520" s="3">
        <v>1</v>
      </c>
    </row>
    <row r="51521" ht="15.75" customHeight="1" spans="1:2">
      <c r="A51521" s="3" t="str">
        <f>IFERROR(__xludf.DUMMYFUNCTION("GOOGLETRANSLATE(A51521,""en"",""pt"")"),"foto de qualidade é e fácil de tirar fotos.")</f>
        <v>foto de qualidade é e fácil de tirar fotos.</v>
      </c>
      <c r="B51521" s="3">
        <v>1</v>
      </c>
    </row>
    <row r="51522" ht="15.75" customHeight="1" spans="1:2">
      <c r="A51522" s="3" t="str">
        <f>IFERROR(__xludf.DUMMYFUNCTION("GOOGLETRANSLATE(A51522,""en"",""pt"")"),"Compacto, muito alta qualidade óptica")</f>
        <v>Compacto, muito alta qualidade óptica</v>
      </c>
      <c r="B51522" s="3">
        <v>1</v>
      </c>
    </row>
    <row r="51523" ht="15.75" customHeight="1" spans="1:2">
      <c r="A51523" s="3" t="str">
        <f>IFERROR(__xludf.DUMMYFUNCTION("GOOGLETRANSLATE(A51523,""en"",""pt"")"),"Excelentes fotos e recursos para o preço")</f>
        <v>Excelentes fotos e recursos para o preço</v>
      </c>
      <c r="B51523" s="3">
        <v>1</v>
      </c>
    </row>
    <row r="51524" ht="15.75" customHeight="1" spans="1:2">
      <c r="A51524" s="3" t="str">
        <f>IFERROR(__xludf.DUMMYFUNCTION("GOOGLETRANSLATE(A51524,""en"",""pt"")"),"Excelente preço, a qualidade de fotos, e durável")</f>
        <v>Excelente preço, a qualidade de fotos, e durável</v>
      </c>
      <c r="B51524" s="3">
        <v>1</v>
      </c>
    </row>
    <row r="51525" ht="15.75" customHeight="1" spans="1:2">
      <c r="A51525" s="3" t="str">
        <f>IFERROR(__xludf.DUMMYFUNCTION("GOOGLETRANSLATE(A51525,""en"",""pt"")"),"Grandes pics, user-friendly")</f>
        <v>Grandes pics, user-friendly</v>
      </c>
      <c r="B51525" s="3">
        <v>1</v>
      </c>
    </row>
    <row r="51526" ht="15.75" customHeight="1" spans="1:2">
      <c r="A51526" s="3" t="str">
        <f>IFERROR(__xludf.DUMMYFUNCTION("GOOGLETRANSLATE(A51526,""en"",""pt"")"),"Excelente qualidade de imagem, compacto, fácil de usar o software incluído!")</f>
        <v>Excelente qualidade de imagem, compacto, fácil de usar o software incluído!</v>
      </c>
      <c r="B51526" s="3">
        <v>1</v>
      </c>
    </row>
    <row r="51527" ht="15.75" customHeight="1" spans="1:2">
      <c r="A51527" s="3" t="str">
        <f>IFERROR(__xludf.DUMMYFUNCTION("GOOGLETRANSLATE(A51527,""en"",""pt"")"),"Pequeno, barato, Fun")</f>
        <v>Pequeno, barato, Fun</v>
      </c>
      <c r="B51527" s="3">
        <v>1</v>
      </c>
    </row>
    <row r="51528" ht="15.75" customHeight="1" spans="1:2">
      <c r="A51528" s="3" t="str">
        <f>IFERROR(__xludf.DUMMYFUNCTION("GOOGLETRANSLATE(A51528,""en"",""pt"")"),"facilidade de uso, qualidade, preço")</f>
        <v>facilidade de uso, qualidade, preço</v>
      </c>
      <c r="B51528" s="3">
        <v>1</v>
      </c>
    </row>
    <row r="51529" ht="15.75" customHeight="1" spans="1:2">
      <c r="A51529" s="3" t="str">
        <f>IFERROR(__xludf.DUMMYFUNCTION("GOOGLETRANSLATE(A51529,""en"",""pt"")"),"Fácil de usar")</f>
        <v>Fácil de usar</v>
      </c>
      <c r="B51529" s="3">
        <v>1</v>
      </c>
    </row>
    <row r="51530" ht="15.75" customHeight="1" spans="1:2">
      <c r="A51530" s="3" t="str">
        <f>IFERROR(__xludf.DUMMYFUNCTION("GOOGLETRANSLATE(A51530,""en"",""pt"")"),"Relativamente barato, fotos excelentes, tamanho leve agradável")</f>
        <v>Relativamente barato, fotos excelentes, tamanho leve agradável</v>
      </c>
      <c r="B51530" s="3">
        <v>1</v>
      </c>
    </row>
    <row r="51531" ht="15.75" customHeight="1" spans="1:2">
      <c r="A51531" s="3" t="str">
        <f>IFERROR(__xludf.DUMMYFUNCTION("GOOGLETRANSLATE(A51531,""en"",""pt"")"),"Imagens de boa qualidade, agradável Zoom")</f>
        <v>Imagens de boa qualidade, agradável Zoom</v>
      </c>
      <c r="B51531" s="3">
        <v>1</v>
      </c>
    </row>
    <row r="51532" ht="15.75" customHeight="1" spans="1:2">
      <c r="A51532" s="3" t="str">
        <f>IFERROR(__xludf.DUMMYFUNCTION("GOOGLETRANSLATE(A51532,""en"",""pt"")"),"Portabilidade: pode facilmente escorregar no bolso")</f>
        <v>Portabilidade: pode facilmente escorregar no bolso</v>
      </c>
      <c r="B51532" s="3">
        <v>1</v>
      </c>
    </row>
    <row r="51533" ht="15.75" customHeight="1" spans="1:2">
      <c r="A51533" s="3" t="str">
        <f>IFERROR(__xludf.DUMMYFUNCTION("GOOGLETRANSLATE(A51533,""en"",""pt"")"),"O compacto, cheio de funções, e não quebrar o banco.")</f>
        <v>O compacto, cheio de funções, e não quebrar o banco.</v>
      </c>
      <c r="B51533" s="3">
        <v>1</v>
      </c>
    </row>
    <row r="51534" ht="15.75" customHeight="1" spans="1:2">
      <c r="A51534" s="3" t="str">
        <f>IFERROR(__xludf.DUMMYFUNCTION("GOOGLETRANSLATE(A51534,""en"",""pt"")"),"imagens de alta qualidade, muito econômicos, muitos recursos e manual do usuário grande.")</f>
        <v>imagens de alta qualidade, muito econômicos, muitos recursos e manual do usuário grande.</v>
      </c>
      <c r="B51534" s="3">
        <v>1</v>
      </c>
    </row>
    <row r="51535" ht="15.75" customHeight="1" spans="1:2">
      <c r="A51535" s="3" t="str">
        <f>IFERROR(__xludf.DUMMYFUNCTION("GOOGLETRANSLATE(A51535,""en"",""pt"")"),"Grande Pictures / Great preço / Fácil de usar.")</f>
        <v>Grande Pictures / Great preço / Fácil de usar.</v>
      </c>
      <c r="B51535" s="3">
        <v>1</v>
      </c>
    </row>
    <row r="51536" ht="15.75" customHeight="1" spans="1:2">
      <c r="A51536" s="3" t="str">
        <f>IFERROR(__xludf.DUMMYFUNCTION("GOOGLETRANSLATE(A51536,""en"",""pt"")"),"Fácil de usar, grande display digital. Tira ótimas fotos")</f>
        <v>Fácil de usar, grande display digital. Tira ótimas fotos</v>
      </c>
      <c r="B51536" s="3">
        <v>1</v>
      </c>
    </row>
    <row r="51537" ht="15.75" customHeight="1" spans="1:2">
      <c r="A51537" s="3" t="str">
        <f>IFERROR(__xludf.DUMMYFUNCTION("GOOGLETRANSLATE(A51537,""en"",""pt"")"),"Grandes imagens, recursos de zoom, cobertura protetora na lente. ponto fácil e tira uma fotografia shoot.")</f>
        <v>Grandes imagens, recursos de zoom, cobertura protetora na lente. ponto fácil e tira uma fotografia shoot.</v>
      </c>
      <c r="B51537" s="3">
        <v>1</v>
      </c>
    </row>
    <row r="51538" ht="15.75" customHeight="1" spans="1:2">
      <c r="A51538" s="3" t="str">
        <f>IFERROR(__xludf.DUMMYFUNCTION("GOOGLETRANSLATE(A51538,""en"",""pt"")"),"Boa qualidade de imagem, fácil de usar, muitas opções")</f>
        <v>Boa qualidade de imagem, fácil de usar, muitas opções</v>
      </c>
      <c r="B51538" s="3">
        <v>1</v>
      </c>
    </row>
    <row r="51539" ht="15.75" customHeight="1" spans="1:2">
      <c r="A51539" s="3" t="str">
        <f>IFERROR(__xludf.DUMMYFUNCTION("GOOGLETRANSLATE(A51539,""en"",""pt"")"),"Não há mais filme, fácil de usar.")</f>
        <v>Não há mais filme, fácil de usar.</v>
      </c>
      <c r="B51539" s="3">
        <v>1</v>
      </c>
    </row>
    <row r="51540" ht="15.75" customHeight="1" spans="1:2">
      <c r="A51540" s="3" t="str">
        <f>IFERROR(__xludf.DUMMYFUNCTION("GOOGLETRANSLATE(A51540,""en"",""pt"")"),"Fácil de usar, com preços razoáveis, produz ótimas fotos.")</f>
        <v>Fácil de usar, com preços razoáveis, produz ótimas fotos.</v>
      </c>
      <c r="B51540" s="3">
        <v>1</v>
      </c>
    </row>
    <row r="51541" ht="15.75" customHeight="1" spans="1:2">
      <c r="A51541" s="3" t="str">
        <f>IFERROR(__xludf.DUMMYFUNCTION("GOOGLETRANSLATE(A51541,""en"",""pt"")"),"zoom preço e características")</f>
        <v>zoom preço e características</v>
      </c>
      <c r="B51541" s="3">
        <v>1</v>
      </c>
    </row>
    <row r="51542" ht="15.75" customHeight="1" spans="1:2">
      <c r="A51542" s="3" t="str">
        <f>IFERROR(__xludf.DUMMYFUNCTION("GOOGLETRANSLATE(A51542,""en"",""pt"")"),"Extremamente fácil de usar, vem com quase todas as necessárias peças e cabos")</f>
        <v>Extremamente fácil de usar, vem com quase todas as necessárias peças e cabos</v>
      </c>
      <c r="B51542" s="3">
        <v>1</v>
      </c>
    </row>
    <row r="51543" ht="15.75" customHeight="1" spans="1:2">
      <c r="A51543" s="3" t="str">
        <f>IFERROR(__xludf.DUMMYFUNCTION("GOOGLETRANSLATE(A51543,""en"",""pt"")"),"Fácil de usar, pequeno")</f>
        <v>Fácil de usar, pequeno</v>
      </c>
      <c r="B51543" s="3">
        <v>1</v>
      </c>
    </row>
    <row r="51544" ht="15.75" customHeight="1" spans="1:2">
      <c r="A51544" s="3" t="str">
        <f>IFERROR(__xludf.DUMMYFUNCTION("GOOGLETRANSLATE(A51544,""en"",""pt"")"),"Excelentes Pictures, nenhum filme")</f>
        <v>Excelentes Pictures, nenhum filme</v>
      </c>
      <c r="B51544" s="3">
        <v>1</v>
      </c>
    </row>
    <row r="51545" ht="15.75" customHeight="1" spans="1:2">
      <c r="A51545" s="3" t="str">
        <f>IFERROR(__xludf.DUMMYFUNCTION("GOOGLETRANSLATE(A51545,""en"",""pt"")"),"Boa qualidade de imagem para o preço da câmera. A abundância de recursos.")</f>
        <v>Boa qualidade de imagem para o preço da câmera. A abundância de recursos.</v>
      </c>
      <c r="B51545" s="3">
        <v>1</v>
      </c>
    </row>
    <row r="51546" ht="15.75" customHeight="1" spans="1:2">
      <c r="A51546" s="3" t="str">
        <f>IFERROR(__xludf.DUMMYFUNCTION("GOOGLETRANSLATE(A51546,""en"",""pt"")"),"Qualquer um pode trabalhar com ele. É tão fácil como ABC.")</f>
        <v>Qualquer um pode trabalhar com ele. É tão fácil como ABC.</v>
      </c>
      <c r="B51546" s="3">
        <v>1</v>
      </c>
    </row>
    <row r="51547" ht="15.75" customHeight="1" spans="1:2">
      <c r="A51547" s="3" t="str">
        <f>IFERROR(__xludf.DUMMYFUNCTION("GOOGLETRANSLATE(A51547,""en"",""pt"")"),"Grande Quallity Fotos, fácil de usar")</f>
        <v>Grande Quallity Fotos, fácil de usar</v>
      </c>
      <c r="B51547" s="3">
        <v>1</v>
      </c>
    </row>
    <row r="51548" ht="15.75" customHeight="1" spans="1:2">
      <c r="A51548" s="3" t="str">
        <f>IFERROR(__xludf.DUMMYFUNCTION("GOOGLETRANSLATE(A51548,""en"",""pt"")"),"Fácil de usar. fotos de qualidade. bateria de longa duração.")</f>
        <v>Fácil de usar. fotos de qualidade. bateria de longa duração.</v>
      </c>
      <c r="B51548" s="3">
        <v>1</v>
      </c>
    </row>
    <row r="51549" ht="15.75" customHeight="1" spans="1:2">
      <c r="A51549" s="3" t="str">
        <f>IFERROR(__xludf.DUMMYFUNCTION("GOOGLETRANSLATE(A51549,""en"",""pt"")"),"Fácil de usar, grandes recursos")</f>
        <v>Fácil de usar, grandes recursos</v>
      </c>
      <c r="B51549" s="3">
        <v>1</v>
      </c>
    </row>
    <row r="51550" ht="15.75" customHeight="1" spans="1:2">
      <c r="A51550" s="3" t="str">
        <f>IFERROR(__xludf.DUMMYFUNCTION("GOOGLETRANSLATE(A51550,""en"",""pt"")"),"Boa cor e nitidez. Zoom óptico 3x.")</f>
        <v>Boa cor e nitidez. Zoom óptico 3x.</v>
      </c>
      <c r="B51550" s="3">
        <v>1</v>
      </c>
    </row>
    <row r="51551" ht="15.75" customHeight="1" spans="1:2">
      <c r="A51551" s="3" t="str">
        <f>IFERROR(__xludf.DUMMYFUNCTION("GOOGLETRANSLATE(A51551,""en"",""pt"")"),"lente &amp; amp qualidade; imagens, acessórios disponíveis, múltiplas funções, cartões de memória, seleções resolução. preço.")</f>
        <v>lente &amp; amp qualidade; imagens, acessórios disponíveis, múltiplas funções, cartões de memória, seleções resolução. preço.</v>
      </c>
      <c r="B51551" s="3">
        <v>1</v>
      </c>
    </row>
    <row r="51552" ht="15.75" customHeight="1" spans="1:2">
      <c r="A51552" s="3" t="str">
        <f>IFERROR(__xludf.DUMMYFUNCTION("GOOGLETRANSLATE(A51552,""en"",""pt"")"),"Esta câmera é muito fácil de usar. Este é um prazer.")</f>
        <v>Esta câmera é muito fácil de usar. Este é um prazer.</v>
      </c>
      <c r="B51552" s="3">
        <v>1</v>
      </c>
    </row>
    <row r="51553" ht="15.75" customHeight="1" spans="1:2">
      <c r="A51553" s="3" t="str">
        <f>IFERROR(__xludf.DUMMYFUNCTION("GOOGLETRANSLATE(A51553,""en"",""pt"")"),"performer sólida, de grande zoom, duração da bateria é boa, imagem personalizada tomar configurações são fáceis!")</f>
        <v>performer sólida, de grande zoom, duração da bateria é boa, imagem personalizada tomar configurações são fáceis!</v>
      </c>
      <c r="B51553" s="3">
        <v>1</v>
      </c>
    </row>
    <row r="51554" ht="15.75" customHeight="1" spans="1:2">
      <c r="A51554" s="3" t="str">
        <f>IFERROR(__xludf.DUMMYFUNCTION("GOOGLETRANSLATE(A51554,""en"",""pt"")"),"Tudo, design agradável, compacto, fácil de aprender as funções, ...")</f>
        <v>Tudo, design agradável, compacto, fácil de aprender as funções, ...</v>
      </c>
      <c r="B51554" s="3">
        <v>1</v>
      </c>
    </row>
    <row r="51555" ht="15.75" customHeight="1" spans="1:2">
      <c r="A51555" s="3" t="str">
        <f>IFERROR(__xludf.DUMMYFUNCTION("GOOGLETRANSLATE(A51555,""en"",""pt"")"),"Carregado com características, ótimo preço, intuitivos, de boa qualidade")</f>
        <v>Carregado com características, ótimo preço, intuitivos, de boa qualidade</v>
      </c>
      <c r="B51555" s="3">
        <v>1</v>
      </c>
    </row>
    <row r="51556" ht="15.75" customHeight="1" spans="1:2">
      <c r="A51556" s="3" t="str">
        <f>IFERROR(__xludf.DUMMYFUNCTION("GOOGLETRANSLATE(A51556,""en"",""pt"")"),"zoom óptico de 3x afiada, pode fazer filmes curtos, boa capacidade macro, imagens nítidas")</f>
        <v>zoom óptico de 3x afiada, pode fazer filmes curtos, boa capacidade macro, imagens nítidas</v>
      </c>
      <c r="B51556" s="3">
        <v>1</v>
      </c>
    </row>
    <row r="51557" ht="15.75" customHeight="1" spans="1:2">
      <c r="A51557" s="3" t="str">
        <f>IFERROR(__xludf.DUMMYFUNCTION("GOOGLETRANSLATE(A51557,""en"",""pt"")"),"leve, pequeno, ótimas fotos, grande zoom")</f>
        <v>leve, pequeno, ótimas fotos, grande zoom</v>
      </c>
      <c r="B51557" s="3">
        <v>1</v>
      </c>
    </row>
    <row r="51558" ht="15.75" customHeight="1" spans="1:2">
      <c r="A51558" s="3" t="str">
        <f>IFERROR(__xludf.DUMMYFUNCTION("GOOGLETRANSLATE(A51558,""en"",""pt"")"),"Cheap câmera para funções fornecidas, zoom óptico e digital. Ótimas fotos")</f>
        <v>Cheap câmera para funções fornecidas, zoom óptico e digital. Ótimas fotos</v>
      </c>
      <c r="B51558" s="3">
        <v>1</v>
      </c>
    </row>
    <row r="51559" ht="15.75" customHeight="1" spans="1:2">
      <c r="A51559" s="3" t="str">
        <f>IFERROR(__xludf.DUMMYFUNCTION("GOOGLETRANSLATE(A51559,""en"",""pt"")"),"Excelente qualidade de imagem, carregado com características, e fácil de usar para a fotografia básica.")</f>
        <v>Excelente qualidade de imagem, carregado com características, e fácil de usar para a fotografia básica.</v>
      </c>
      <c r="B51559" s="3">
        <v>1</v>
      </c>
    </row>
    <row r="51560" ht="15.75" customHeight="1" spans="1:2">
      <c r="A51560" s="3" t="str">
        <f>IFERROR(__xludf.DUMMYFUNCTION("GOOGLETRANSLATE(A51560,""en"",""pt"")"),"Grande qualidade pic, muitos recursos e pequena o suficiente para um bolso, muito durável")</f>
        <v>Grande qualidade pic, muitos recursos e pequena o suficiente para um bolso, muito durável</v>
      </c>
      <c r="B51560" s="3">
        <v>1</v>
      </c>
    </row>
    <row r="51561" ht="15.75" customHeight="1" spans="1:2">
      <c r="A51561" s="3" t="str">
        <f>IFERROR(__xludf.DUMMYFUNCTION("GOOGLETRANSLATE(A51561,""en"",""pt"")"),"óptica afiadas. Fácil de usar.")</f>
        <v>óptica afiadas. Fácil de usar.</v>
      </c>
      <c r="B51561" s="3">
        <v>1</v>
      </c>
    </row>
    <row r="51562" ht="15.75" customHeight="1" spans="1:2">
      <c r="A51562" s="3" t="str">
        <f>IFERROR(__xludf.DUMMYFUNCTION("GOOGLETRANSLATE(A51562,""en"",""pt"")"),"Imagens de boa qualidade")</f>
        <v>Imagens de boa qualidade</v>
      </c>
      <c r="B51562" s="3">
        <v>1</v>
      </c>
    </row>
    <row r="51563" ht="15.75" customHeight="1" spans="1:2">
      <c r="A51563" s="3" t="str">
        <f>IFERROR(__xludf.DUMMYFUNCTION("GOOGLETRANSLATE(A51563,""en"",""pt"")"),"Grandes close-ups, o modo TIFF, fácil de usar.")</f>
        <v>Grandes close-ups, o modo TIFF, fácil de usar.</v>
      </c>
      <c r="B51563" s="3">
        <v>1</v>
      </c>
    </row>
    <row r="51564" ht="15.75" customHeight="1" spans="1:2">
      <c r="A51564" s="3" t="str">
        <f>IFERROR(__xludf.DUMMYFUNCTION("GOOGLETRANSLATE(A51564,""en"",""pt"")"),"nome Olympus, agradável LCD tamanho, opções abundantes.")</f>
        <v>nome Olympus, agradável LCD tamanho, opções abundantes.</v>
      </c>
      <c r="B51564" s="3">
        <v>1</v>
      </c>
    </row>
    <row r="51565" ht="15.75" customHeight="1" spans="1:2">
      <c r="A51565" s="3" t="str">
        <f>IFERROR(__xludf.DUMMYFUNCTION("GOOGLETRANSLATE(A51565,""en"",""pt"")"),"Acessível, interface fácil, qualidade de imagem aceitável.")</f>
        <v>Acessível, interface fácil, qualidade de imagem aceitável.</v>
      </c>
      <c r="B51565" s="3">
        <v>1</v>
      </c>
    </row>
    <row r="51566" ht="15.75" customHeight="1" spans="1:2">
      <c r="A51566" s="3" t="str">
        <f>IFERROR(__xludf.DUMMYFUNCTION("GOOGLETRANSLATE(A51566,""en"",""pt"")"),"Pequeno e fácil de usar ... grande tomador de imagem")</f>
        <v>Pequeno e fácil de usar ... grande tomador de imagem</v>
      </c>
      <c r="B51566" s="3">
        <v>1</v>
      </c>
    </row>
    <row r="51567" ht="15.75" customHeight="1" spans="1:2">
      <c r="A51567" s="3" t="str">
        <f>IFERROR(__xludf.DUMMYFUNCTION("GOOGLETRANSLATE(A51567,""en"",""pt"")"),"Grandes fotos, fácil de usar")</f>
        <v>Grandes fotos, fácil de usar</v>
      </c>
      <c r="B51567" s="3">
        <v>1</v>
      </c>
    </row>
    <row r="51568" ht="15.75" customHeight="1" spans="1:2">
      <c r="A51568" s="3" t="str">
        <f>IFERROR(__xludf.DUMMYFUNCTION("GOOGLETRANSLATE(A51568,""en"",""pt"")"),"boa qualidade, bom preço")</f>
        <v>boa qualidade, bom preço</v>
      </c>
      <c r="B51568" s="3">
        <v>1</v>
      </c>
    </row>
    <row r="51569" ht="15.75" customHeight="1" spans="1:2">
      <c r="A51569" s="3" t="str">
        <f>IFERROR(__xludf.DUMMYFUNCTION("GOOGLETRANSLATE(A51569,""en"",""pt"")"),"Boa")</f>
        <v>Boa</v>
      </c>
      <c r="B51569" s="3">
        <v>1</v>
      </c>
    </row>
    <row r="51570" ht="15.75" customHeight="1" spans="1:2">
      <c r="A51570" s="3" t="str">
        <f>IFERROR(__xludf.DUMMYFUNCTION("GOOGLETRANSLATE(A51570,""en"",""pt"")"),"Fácil visualização e edição")</f>
        <v>Fácil visualização e edição</v>
      </c>
      <c r="B51570" s="3">
        <v>1</v>
      </c>
    </row>
    <row r="51571" ht="15.75" customHeight="1" spans="1:2">
      <c r="A51571" s="3" t="str">
        <f>IFERROR(__xludf.DUMMYFUNCTION("GOOGLETRANSLATE(A51571,""en"",""pt"")"),"zoom óptico de 3x")</f>
        <v>zoom óptico de 3x</v>
      </c>
      <c r="B51571" s="3">
        <v>1</v>
      </c>
    </row>
    <row r="51572" ht="15.75" customHeight="1" spans="1:2">
      <c r="A51572" s="3" t="str">
        <f>IFERROR(__xludf.DUMMYFUNCTION("GOOGLETRANSLATE(A51572,""en"",""pt"")"),"muitos recursos")</f>
        <v>muitos recursos</v>
      </c>
      <c r="B51572" s="3">
        <v>1</v>
      </c>
    </row>
    <row r="51573" ht="15.75" customHeight="1" spans="1:2">
      <c r="A51573" s="3" t="str">
        <f>IFERROR(__xludf.DUMMYFUNCTION("GOOGLETRANSLATE(A51573,""en"",""pt"")"),"Confiável, Grande Pictures, fácil de usar, velocidade é rápida, tamanho grande (muito pequeno)")</f>
        <v>Confiável, Grande Pictures, fácil de usar, velocidade é rápida, tamanho grande (muito pequeno)</v>
      </c>
      <c r="B51573" s="3">
        <v>1</v>
      </c>
    </row>
    <row r="51574" ht="15.75" customHeight="1" spans="1:2">
      <c r="A51574" s="3" t="str">
        <f>IFERROR(__xludf.DUMMYFUNCTION("GOOGLETRANSLATE(A51574,""en"",""pt"")"),"tampa da lente integrada protege e não pode se perder")</f>
        <v>tampa da lente integrada protege e não pode se perder</v>
      </c>
      <c r="B51574" s="3">
        <v>1</v>
      </c>
    </row>
    <row r="51575" ht="15.75" customHeight="1" spans="1:2">
      <c r="A51575" s="3" t="str">
        <f>IFERROR(__xludf.DUMMYFUNCTION("GOOGLETRANSLATE(A51575,""en"",""pt"")"),"2.1 megapixel, boa óptica; vem com carrinho 8 meg")</f>
        <v>2.1 megapixel, boa óptica; vem com carrinho 8 meg</v>
      </c>
      <c r="B51575" s="3">
        <v>1</v>
      </c>
    </row>
    <row r="51576" ht="15.75" customHeight="1" spans="1:2">
      <c r="A51576" s="3" t="str">
        <f>IFERROR(__xludf.DUMMYFUNCTION("GOOGLETRANSLATE(A51576,""en"",""pt"")"),"fotos grandes, fácil de usar, aparência elegante, marca estabelecida")</f>
        <v>fotos grandes, fácil de usar, aparência elegante, marca estabelecida</v>
      </c>
      <c r="B51576" s="3">
        <v>1</v>
      </c>
    </row>
    <row r="51577" ht="15.75" customHeight="1" spans="1:2">
      <c r="A51577" s="3" t="str">
        <f>IFERROR(__xludf.DUMMYFUNCTION("GOOGLETRANSLATE(A51577,""en"",""pt"")"),"Dezenas de características, preço competitivo, capacidade SmartMedia, uma câmera para cada ambiente!")</f>
        <v>Dezenas de características, preço competitivo, capacidade SmartMedia, uma câmera para cada ambiente!</v>
      </c>
      <c r="B51577" s="3">
        <v>1</v>
      </c>
    </row>
    <row r="51578" ht="15.75" customHeight="1" spans="1:2">
      <c r="A51578" s="3" t="str">
        <f>IFERROR(__xludf.DUMMYFUNCTION("GOOGLETRANSLATE(A51578,""en"",""pt"")"),"Visor (salva baterias), menus gráficos simples.")</f>
        <v>Visor (salva baterias), menus gráficos simples.</v>
      </c>
      <c r="B51578" s="3">
        <v>1</v>
      </c>
    </row>
    <row r="51579" ht="15.75" customHeight="1" spans="1:2">
      <c r="A51579" s="3" t="str">
        <f>IFERROR(__xludf.DUMMYFUNCTION("GOOGLETRANSLATE(A51579,""en"",""pt"")"),"Fácil de usar, boas fotos, zoom agradável")</f>
        <v>Fácil de usar, boas fotos, zoom agradável</v>
      </c>
      <c r="B51579" s="3">
        <v>1</v>
      </c>
    </row>
    <row r="51580" ht="15.75" customHeight="1" spans="1:2">
      <c r="A51580" s="3" t="str">
        <f>IFERROR(__xludf.DUMMYFUNCTION("GOOGLETRANSLATE(A51580,""en"",""pt"")"),"Fácil de usar com um tinha ou dois")</f>
        <v>Fácil de usar com um tinha ou dois</v>
      </c>
      <c r="B51580" s="3">
        <v>1</v>
      </c>
    </row>
    <row r="51581" ht="15.75" customHeight="1" spans="1:2">
      <c r="A51581" s="3" t="str">
        <f>IFERROR(__xludf.DUMMYFUNCTION("GOOGLETRANSLATE(A51581,""en"",""pt"")"),"Excelente Qualidade Pictures, Smart Design, extremamente fácil de usar")</f>
        <v>Excelente Qualidade Pictures, Smart Design, extremamente fácil de usar</v>
      </c>
      <c r="B51581" s="3">
        <v>1</v>
      </c>
    </row>
    <row r="51582" ht="15.75" customHeight="1" spans="1:2">
      <c r="A51582" s="3" t="str">
        <f>IFERROR(__xludf.DUMMYFUNCTION("GOOGLETRANSLATE(A51582,""en"",""pt"")"),"Facilidade de uso, tamanho e confiabilidade pequena")</f>
        <v>Facilidade de uso, tamanho e confiabilidade pequena</v>
      </c>
      <c r="B51582" s="3">
        <v>1</v>
      </c>
    </row>
    <row r="51583" ht="15.75" customHeight="1" spans="1:2">
      <c r="A51583" s="3" t="str">
        <f>IFERROR(__xludf.DUMMYFUNCTION("GOOGLETRANSLATE(A51583,""en"",""pt"")"),"Fácil de usar, grandes resultados ... a primeira câmera digital perfeita")</f>
        <v>Fácil de usar, grandes resultados ... a primeira câmera digital perfeita</v>
      </c>
      <c r="B51583" s="3">
        <v>1</v>
      </c>
    </row>
    <row r="51584" ht="15.75" customHeight="1" spans="1:2">
      <c r="A51584" s="3" t="str">
        <f>IFERROR(__xludf.DUMMYFUNCTION("GOOGLETRANSLATE(A51584,""en"",""pt"")"),"excelentes fotos melhor, então o Cybershot da Sony; ambos parte do olho e janela de visualização")</f>
        <v>excelentes fotos melhor, então o Cybershot da Sony; ambos parte do olho e janela de visualização</v>
      </c>
      <c r="B51584" s="3">
        <v>1</v>
      </c>
    </row>
    <row r="51585" ht="15.75" customHeight="1" spans="1:2">
      <c r="A51585" s="3" t="str">
        <f>IFERROR(__xludf.DUMMYFUNCTION("GOOGLETRANSLATE(A51585,""en"",""pt"")"),"Grande Pictures, cor incrível e muito versátil")</f>
        <v>Grande Pictures, cor incrível e muito versátil</v>
      </c>
      <c r="B51585" s="3">
        <v>1</v>
      </c>
    </row>
    <row r="51586" ht="15.75" customHeight="1" spans="1:2">
      <c r="A51586" s="3" t="str">
        <f>IFERROR(__xludf.DUMMYFUNCTION("GOOGLETRANSLATE(A51586,""en"",""pt"")"),"Excelente qualidade de imagem, fácil de usar, design elegante")</f>
        <v>Excelente qualidade de imagem, fácil de usar, design elegante</v>
      </c>
      <c r="B51586" s="3">
        <v>1</v>
      </c>
    </row>
    <row r="51587" ht="15.75" customHeight="1" spans="1:2">
      <c r="A51587" s="3" t="str">
        <f>IFERROR(__xludf.DUMMYFUNCTION("GOOGLETRANSLATE(A51587,""en"",""pt"")"),"alta qualidade de imagem, lente protegido (barril e tampa)")</f>
        <v>alta qualidade de imagem, lente protegido (barril e tampa)</v>
      </c>
      <c r="B51587" s="3">
        <v>1</v>
      </c>
    </row>
    <row r="51588" ht="15.75" customHeight="1" spans="1:2">
      <c r="A51588" s="3" t="str">
        <f>IFERROR(__xludf.DUMMYFUNCTION("GOOGLETRANSLATE(A51588,""en"",""pt"")"),"bom zoom, fácil de usar")</f>
        <v>bom zoom, fácil de usar</v>
      </c>
      <c r="B51588" s="3">
        <v>1</v>
      </c>
    </row>
    <row r="51589" ht="15.75" customHeight="1" spans="1:2">
      <c r="A51589" s="3" t="str">
        <f>IFERROR(__xludf.DUMMYFUNCTION("GOOGLETRANSLATE(A51589,""en"",""pt"")"),"Grandes pics, sem desperdício.")</f>
        <v>Grandes pics, sem desperdício.</v>
      </c>
      <c r="B51589" s="3">
        <v>1</v>
      </c>
    </row>
    <row r="51590" ht="15.75" customHeight="1" spans="1:2">
      <c r="A51590" s="3" t="str">
        <f>IFERROR(__xludf.DUMMYFUNCTION("GOOGLETRANSLATE(A51590,""en"",""pt"")"),"Alta Qualidade óptico de 3x de zoom, excelente qualidade de imagem, muito gentil em baterias")</f>
        <v>Alta Qualidade óptico de 3x de zoom, excelente qualidade de imagem, muito gentil em baterias</v>
      </c>
      <c r="B51590" s="3">
        <v>1</v>
      </c>
    </row>
    <row r="51591" ht="15.75" customHeight="1" spans="1:2">
      <c r="A51591" s="3" t="str">
        <f>IFERROR(__xludf.DUMMYFUNCTION("GOOGLETRANSLATE(A51591,""en"",""pt"")"),"Pequeno, apontar e disparar e agradável")</f>
        <v>Pequeno, apontar e disparar e agradável</v>
      </c>
      <c r="B51591" s="3">
        <v>1</v>
      </c>
    </row>
    <row r="51592" ht="15.75" customHeight="1" spans="1:2">
      <c r="A51592" s="3" t="str">
        <f>IFERROR(__xludf.DUMMYFUNCTION("GOOGLETRANSLATE(A51592,""en"",""pt"")"),"Muito amigável, leve, durável &amp; amp; amp; excelente qualidade de imagem.")</f>
        <v>Muito amigável, leve, durável &amp; amp; amp; excelente qualidade de imagem.</v>
      </c>
      <c r="B51592" s="3">
        <v>1</v>
      </c>
    </row>
    <row r="51593" ht="15.75" customHeight="1" spans="1:2">
      <c r="A51593" s="3" t="str">
        <f>IFERROR(__xludf.DUMMYFUNCTION("GOOGLETRANSLATE(A51593,""en"",""pt"")"),"Compacto, tira ótimas fotos")</f>
        <v>Compacto, tira ótimas fotos</v>
      </c>
      <c r="B51593" s="3">
        <v>1</v>
      </c>
    </row>
    <row r="51594" ht="15.75" customHeight="1" spans="1:2">
      <c r="A51594" s="3" t="str">
        <f>IFERROR(__xludf.DUMMYFUNCTION("GOOGLETRANSLATE(A51594,""en"",""pt"")"),"Qualidade, facilidade de uso, zoom")</f>
        <v>Qualidade, facilidade de uso, zoom</v>
      </c>
      <c r="B51594" s="3">
        <v>1</v>
      </c>
    </row>
    <row r="51595" ht="15.75" customHeight="1" spans="1:2">
      <c r="A51595" s="3" t="str">
        <f>IFERROR(__xludf.DUMMYFUNCTION("GOOGLETRANSLATE(A51595,""en"",""pt"")"),"fácil de usar,")</f>
        <v>fácil de usar,</v>
      </c>
      <c r="B51595" s="3">
        <v>1</v>
      </c>
    </row>
    <row r="51596" ht="15.75" customHeight="1" spans="1:2">
      <c r="A51596" s="3" t="str">
        <f>IFERROR(__xludf.DUMMYFUNCTION("GOOGLETRANSLATE(A51596,""en"",""pt"")"),"Excelente qualidade de imagem, boa aparência e características")</f>
        <v>Excelente qualidade de imagem, boa aparência e características</v>
      </c>
      <c r="B51596" s="3">
        <v>1</v>
      </c>
    </row>
    <row r="51597" ht="15.75" customHeight="1" spans="1:2">
      <c r="A51597" s="3" t="str">
        <f>IFERROR(__xludf.DUMMYFUNCTION("GOOGLETRANSLATE(A51597,""en"",""pt"")"),"Nenhum")</f>
        <v>Nenhum</v>
      </c>
      <c r="B51597" s="3">
        <v>1</v>
      </c>
    </row>
    <row r="51598" ht="15.75" customHeight="1" spans="1:2">
      <c r="A51598" s="3" t="str">
        <f>IFERROR(__xludf.DUMMYFUNCTION("GOOGLETRANSLATE(A51598,""en"",""pt"")"),"Todos os recursos manuais necessários e mais")</f>
        <v>Todos os recursos manuais necessários e mais</v>
      </c>
      <c r="B51598" s="3">
        <v>1</v>
      </c>
    </row>
    <row r="51599" ht="15.75" customHeight="1" spans="1:2">
      <c r="A51599" s="3" t="str">
        <f>IFERROR(__xludf.DUMMYFUNCTION("GOOGLETRANSLATE(A51599,""en"",""pt"")"),"Imagens agradáveis, bastante fácil de navegar menus, flexibilidade")</f>
        <v>Imagens agradáveis, bastante fácil de navegar menus, flexibilidade</v>
      </c>
      <c r="B51599" s="3">
        <v>1</v>
      </c>
    </row>
    <row r="51600" ht="15.75" customHeight="1" spans="1:2">
      <c r="A51600" s="3" t="str">
        <f>IFERROR(__xludf.DUMMYFUNCTION("GOOGLETRANSLATE(A51600,""en"",""pt"")"),"zoom óptico, qualidade de imagem, facilidade de uso")</f>
        <v>zoom óptico, qualidade de imagem, facilidade de uso</v>
      </c>
      <c r="B51600" s="3">
        <v>1</v>
      </c>
    </row>
    <row r="51601" ht="15.75" customHeight="1" spans="1:2">
      <c r="A51601" s="3" t="str">
        <f>IFERROR(__xludf.DUMMYFUNCTION("GOOGLETRANSLATE(A51601,""en"",""pt"")"),"fácil de usar")</f>
        <v>fácil de usar</v>
      </c>
      <c r="B51601" s="3">
        <v>1</v>
      </c>
    </row>
    <row r="51602" ht="15.75" customHeight="1" spans="1:2">
      <c r="A51602" s="3" t="str">
        <f>IFERROR(__xludf.DUMMYFUNCTION("GOOGLETRANSLATE(A51602,""en"",""pt"")"),"preço razoável / grande qualidade / características interessantes!")</f>
        <v>preço razoável / grande qualidade / características interessantes!</v>
      </c>
      <c r="B51602" s="3">
        <v>1</v>
      </c>
    </row>
    <row r="51603" ht="15.75" customHeight="1" spans="1:2">
      <c r="A51603" s="3" t="str">
        <f>IFERROR(__xludf.DUMMYFUNCTION("GOOGLETRANSLATE(A51603,""en"",""pt"")"),"Modo Moive, 3x de zoom")</f>
        <v>Modo Moive, 3x de zoom</v>
      </c>
      <c r="B51603" s="3">
        <v>1</v>
      </c>
    </row>
    <row r="51604" ht="15.75" customHeight="1" spans="1:2">
      <c r="A51604" s="3" t="str">
        <f>IFERROR(__xludf.DUMMYFUNCTION("GOOGLETRANSLATE(A51604,""en"",""pt"")"),"Recursos para o preço")</f>
        <v>Recursos para o preço</v>
      </c>
      <c r="B51604" s="3">
        <v>1</v>
      </c>
    </row>
    <row r="51605" ht="15.75" customHeight="1" spans="1:2">
      <c r="A51605" s="3" t="str">
        <f>IFERROR(__xludf.DUMMYFUNCTION("GOOGLETRANSLATE(A51605,""en"",""pt"")"),"bem construído, tira ótimas fotos, fácil de usar, um monte de opções, as instruções são fáceis de Sob o suporte e grande apoio internet pela Olympus em responder a perguntas.")</f>
        <v>bem construído, tira ótimas fotos, fácil de usar, um monte de opções, as instruções são fáceis de Sob o suporte e grande apoio internet pela Olympus em responder a perguntas.</v>
      </c>
      <c r="B51605" s="3">
        <v>1</v>
      </c>
    </row>
    <row r="51606" ht="15.75" customHeight="1" spans="1:2">
      <c r="A51606" s="3" t="str">
        <f>IFERROR(__xludf.DUMMYFUNCTION("GOOGLETRANSLATE(A51606,""en"",""pt"")"),"Óptico de 3x, zoom digital 2.5, muitos ajustes manuais, além de auto, tamanho compacto, facilidade de operação")</f>
        <v>Óptico de 3x, zoom digital 2.5, muitos ajustes manuais, além de auto, tamanho compacto, facilidade de operação</v>
      </c>
      <c r="B51606" s="3">
        <v>1</v>
      </c>
    </row>
    <row r="51607" ht="15.75" customHeight="1" spans="1:2">
      <c r="A51607" s="3" t="str">
        <f>IFERROR(__xludf.DUMMYFUNCTION("GOOGLETRANSLATE(A51607,""en"",""pt"")"),"Facilidade de uso, qualidade das fotos, mais do que software adequado")</f>
        <v>Facilidade de uso, qualidade das fotos, mais do que software adequado</v>
      </c>
      <c r="B51607" s="3">
        <v>1</v>
      </c>
    </row>
    <row r="51608" ht="15.75" customHeight="1" spans="1:2">
      <c r="A51608" s="3" t="str">
        <f>IFERROR(__xludf.DUMMYFUNCTION("GOOGLETRANSLATE(A51608,""en"",""pt"")"),"fotos de qualidade e cores verdadeiras")</f>
        <v>fotos de qualidade e cores verdadeiras</v>
      </c>
      <c r="B51608" s="3">
        <v>1</v>
      </c>
    </row>
    <row r="51609" ht="15.75" customHeight="1" spans="1:2">
      <c r="A51609" s="3" t="str">
        <f>IFERROR(__xludf.DUMMYFUNCTION("GOOGLETRANSLATE(A51609,""en"",""pt"")"),"Excelente qualidade de imagem, muitos recursos")</f>
        <v>Excelente qualidade de imagem, muitos recursos</v>
      </c>
      <c r="B51609" s="3">
        <v>1</v>
      </c>
    </row>
    <row r="51610" ht="15.75" customHeight="1" spans="1:2">
      <c r="A51610" s="3" t="str">
        <f>IFERROR(__xludf.DUMMYFUNCTION("GOOGLETRANSLATE(A51610,""en"",""pt"")"),"Rico em recursos, de grande qualidade, design simples.")</f>
        <v>Rico em recursos, de grande qualidade, design simples.</v>
      </c>
      <c r="B51610" s="3">
        <v>1</v>
      </c>
    </row>
    <row r="51611" ht="15.75" customHeight="1" spans="1:2">
      <c r="A51611" s="3" t="str">
        <f>IFERROR(__xludf.DUMMYFUNCTION("GOOGLETRANSLATE(A51611,""en"",""pt"")"),"Qualidade de imagem, excelente Lens, Documentação Excelente")</f>
        <v>Qualidade de imagem, excelente Lens, Documentação Excelente</v>
      </c>
      <c r="B51611" s="3">
        <v>1</v>
      </c>
    </row>
    <row r="51612" ht="15.75" customHeight="1" spans="1:2">
      <c r="A51612" s="3" t="str">
        <f>IFERROR(__xludf.DUMMYFUNCTION("GOOGLETRANSLATE(A51612,""en"",""pt"")"),"fácil de usar, pequenos, excelentes fotos")</f>
        <v>fácil de usar, pequenos, excelentes fotos</v>
      </c>
      <c r="B51612" s="3">
        <v>1</v>
      </c>
    </row>
    <row r="51613" ht="15.75" customHeight="1" spans="1:2">
      <c r="A51613" s="3" t="str">
        <f>IFERROR(__xludf.DUMMYFUNCTION("GOOGLETRANSLATE(A51613,""en"",""pt"")"),"Barato, preciso, confiável, tiro conveniente / visualização, numerosas características úteis, tiros de alta qualidade.")</f>
        <v>Barato, preciso, confiável, tiro conveniente / visualização, numerosas características úteis, tiros de alta qualidade.</v>
      </c>
      <c r="B51613" s="3">
        <v>1</v>
      </c>
    </row>
    <row r="51614" ht="15.75" customHeight="1" spans="1:2">
      <c r="A51614" s="3" t="str">
        <f>IFERROR(__xludf.DUMMYFUNCTION("GOOGLETRANSLATE(A51614,""en"",""pt"")"),"Opera adequadamente como um ponto e atirar.")</f>
        <v>Opera adequadamente como um ponto e atirar.</v>
      </c>
      <c r="B51614" s="3">
        <v>1</v>
      </c>
    </row>
    <row r="51615" ht="15.75" customHeight="1" spans="1:2">
      <c r="A51615" s="3" t="str">
        <f>IFERROR(__xludf.DUMMYFUNCTION("GOOGLETRANSLATE(A51615,""en"",""pt"")"),"Fácil de usar, mesmo com pouco conhecimento de câmeras digitais; imagens claras e de qualidade")</f>
        <v>Fácil de usar, mesmo com pouco conhecimento de câmeras digitais; imagens claras e de qualidade</v>
      </c>
      <c r="B51615" s="3">
        <v>1</v>
      </c>
    </row>
    <row r="51616" ht="15.75" customHeight="1" spans="1:2">
      <c r="A51616" s="3" t="str">
        <f>IFERROR(__xludf.DUMMYFUNCTION("GOOGLETRANSLATE(A51616,""en"",""pt"")"),"Belas Optics, design agradável, Mídia barato, Uncompressed modo TIFF.")</f>
        <v>Belas Optics, design agradável, Mídia barato, Uncompressed modo TIFF.</v>
      </c>
      <c r="B51616" s="3">
        <v>1</v>
      </c>
    </row>
    <row r="51617" ht="15.75" customHeight="1" spans="1:2">
      <c r="A51617" s="3" t="str">
        <f>IFERROR(__xludf.DUMMYFUNCTION("GOOGLETRANSLATE(A51617,""en"",""pt"")"),"Excelente qualidade de imagem")</f>
        <v>Excelente qualidade de imagem</v>
      </c>
      <c r="B51617" s="3">
        <v>1</v>
      </c>
    </row>
    <row r="51618" ht="15.75" customHeight="1" spans="1:2">
      <c r="A51618" s="3" t="str">
        <f>IFERROR(__xludf.DUMMYFUNCTION("GOOGLETRANSLATE(A51618,""en"",""pt"")"),"Característica embalada e divertido de usar")</f>
        <v>Característica embalada e divertido de usar</v>
      </c>
      <c r="B51618" s="3">
        <v>1</v>
      </c>
    </row>
    <row r="51619" ht="15.75" customHeight="1" spans="1:2">
      <c r="A51619" s="3" t="str">
        <f>IFERROR(__xludf.DUMMYFUNCTION("GOOGLETRANSLATE(A51619,""en"",""pt"")"),"Excelente qualidade de imagem, fácil de usar e muitos recursos")</f>
        <v>Excelente qualidade de imagem, fácil de usar e muitos recursos</v>
      </c>
      <c r="B51619" s="3">
        <v>1</v>
      </c>
    </row>
    <row r="51620" ht="15.75" customHeight="1" spans="1:2">
      <c r="A51620" s="3" t="str">
        <f>IFERROR(__xludf.DUMMYFUNCTION("GOOGLETRANSLATE(A51620,""en"",""pt"")"),"CAMERA ZONE, som Fotografia, COMPDIRECT e DISCOVERY CAMERA Anuncie preços baixos que não honram!")</f>
        <v>CAMERA ZONE, som Fotografia, COMPDIRECT e DISCOVERY CAMERA Anuncie preços baixos que não honram!</v>
      </c>
      <c r="B51620" s="3">
        <v>1</v>
      </c>
    </row>
    <row r="51621" ht="15.75" customHeight="1" spans="1:2">
      <c r="A51621" s="3" t="str">
        <f>IFERROR(__xludf.DUMMYFUNCTION("GOOGLETRANSLATE(A51621,""en"",""pt"")"),"tem grandes figuras, leitor de cartão inteligente USB é agora um item de desconto livre com compra.")</f>
        <v>tem grandes figuras, leitor de cartão inteligente USB é agora um item de desconto livre com compra.</v>
      </c>
      <c r="B51621" s="3">
        <v>1</v>
      </c>
    </row>
    <row r="51622" ht="15.75" customHeight="1" spans="1:2">
      <c r="A51622" s="3" t="str">
        <f>IFERROR(__xludf.DUMMYFUNCTION("GOOGLETRANSLATE(A51622,""en"",""pt"")"),"Preço, características, excelente para tiros rápidos, zooms ópticos e digitais")</f>
        <v>Preço, características, excelente para tiros rápidos, zooms ópticos e digitais</v>
      </c>
      <c r="B51622" s="3">
        <v>1</v>
      </c>
    </row>
    <row r="51623" ht="15.75" customHeight="1" spans="1:2">
      <c r="A51623" s="3" t="str">
        <f>IFERROR(__xludf.DUMMYFUNCTION("GOOGLETRANSLATE(A51623,""en"",""pt"")"),"Qualidade de Fotos, USB !!, facilidade de uso, a vida da bateria")</f>
        <v>Qualidade de Fotos, USB !!, facilidade de uso, a vida da bateria</v>
      </c>
      <c r="B51623" s="3">
        <v>1</v>
      </c>
    </row>
    <row r="51624" ht="15.75" customHeight="1" spans="1:2">
      <c r="A51624" s="3" t="str">
        <f>IFERROR(__xludf.DUMMYFUNCTION("GOOGLETRANSLATE(A51624,""en"",""pt"")"),"Boas fotos macro")</f>
        <v>Boas fotos macro</v>
      </c>
      <c r="B51624" s="3">
        <v>1</v>
      </c>
    </row>
    <row r="51625" ht="15.75" customHeight="1" spans="1:2">
      <c r="A51625" s="3" t="str">
        <f>IFERROR(__xludf.DUMMYFUNCTION("GOOGLETRANSLATE(A51625,""en"",""pt"")"),"Fácil de usar, qualidade grande foto")</f>
        <v>Fácil de usar, qualidade grande foto</v>
      </c>
      <c r="B51625" s="3">
        <v>1</v>
      </c>
    </row>
    <row r="51626" ht="15.75" customHeight="1" spans="1:2">
      <c r="A51626" s="3" t="str">
        <f>IFERROR(__xludf.DUMMYFUNCTION("GOOGLETRANSLATE(A51626,""en"",""pt"")"),"ótimas fotos, compacto e elegante")</f>
        <v>ótimas fotos, compacto e elegante</v>
      </c>
      <c r="B51626" s="3">
        <v>1</v>
      </c>
    </row>
    <row r="51627" ht="15.75" customHeight="1" spans="1:2">
      <c r="A51627" s="3" t="str">
        <f>IFERROR(__xludf.DUMMYFUNCTION("GOOGLETRANSLATE(A51627,""en"",""pt"")"),"Impressionante qualidade fotográfica")</f>
        <v>Impressionante qualidade fotográfica</v>
      </c>
      <c r="B51627" s="3">
        <v>1</v>
      </c>
    </row>
    <row r="51628" ht="15.75" customHeight="1" spans="1:2">
      <c r="A51628" s="3" t="str">
        <f>IFERROR(__xludf.DUMMYFUNCTION("GOOGLETRANSLATE(A51628,""en"",""pt"")"),"Excelente qualidade de imagem")</f>
        <v>Excelente qualidade de imagem</v>
      </c>
      <c r="B51628" s="3">
        <v>1</v>
      </c>
    </row>
    <row r="51629" ht="15.75" customHeight="1" spans="1:2">
      <c r="A51629" s="3" t="str">
        <f>IFERROR(__xludf.DUMMYFUNCTION("GOOGLETRANSLATE(A51629,""en"",""pt"")"),"Excelente pacote global &amp; amp; amp; características!")</f>
        <v>Excelente pacote global &amp; amp; amp; características!</v>
      </c>
      <c r="B51629" s="3">
        <v>1</v>
      </c>
    </row>
    <row r="51630" ht="15.75" customHeight="1" spans="1:2">
      <c r="A51630" s="3" t="str">
        <f>IFERROR(__xludf.DUMMYFUNCTION("GOOGLETRANSLATE(A51630,""en"",""pt"")"),"clareza e resolução, saída de vídeo,")</f>
        <v>clareza e resolução, saída de vídeo,</v>
      </c>
      <c r="B51630" s="3">
        <v>1</v>
      </c>
    </row>
    <row r="51631" ht="15.75" customHeight="1" spans="1:2">
      <c r="A51631" s="3" t="str">
        <f>IFERROR(__xludf.DUMMYFUNCTION("GOOGLETRANSLATE(A51631,""en"",""pt"")"),"SLR, Zoom Lens, medição pontual, compensação de exposição, tripé, temporizador")</f>
        <v>SLR, Zoom Lens, medição pontual, compensação de exposição, tripé, temporizador</v>
      </c>
      <c r="B51631" s="3">
        <v>1</v>
      </c>
    </row>
    <row r="51632" ht="15.75" customHeight="1" spans="1:2">
      <c r="A51632" s="3" t="str">
        <f>IFERROR(__xludf.DUMMYFUNCTION("GOOGLETRANSLATE(A51632,""en"",""pt"")"),"lente de vidro, de cor superior e resolução")</f>
        <v>lente de vidro, de cor superior e resolução</v>
      </c>
      <c r="B51632" s="3">
        <v>1</v>
      </c>
    </row>
    <row r="51633" ht="15.75" customHeight="1" spans="1:2">
      <c r="A51633" s="3" t="str">
        <f>IFERROR(__xludf.DUMMYFUNCTION("GOOGLETRANSLATE(A51633,""en"",""pt"")"),"Luz, fácil de usar, de grande qualidade")</f>
        <v>Luz, fácil de usar, de grande qualidade</v>
      </c>
      <c r="B51633" s="3">
        <v>1</v>
      </c>
    </row>
    <row r="51634" ht="15.75" customHeight="1" spans="1:2">
      <c r="A51634" s="3" t="str">
        <f>IFERROR(__xludf.DUMMYFUNCTION("GOOGLETRANSLATE(A51634,""en"",""pt"")"),"Grande resolução, versátil, capacidade de zoom")</f>
        <v>Grande resolução, versátil, capacidade de zoom</v>
      </c>
      <c r="B51634" s="3">
        <v>1</v>
      </c>
    </row>
    <row r="51635" ht="15.75" customHeight="1" spans="1:2">
      <c r="A51635" s="3" t="str">
        <f>IFERROR(__xludf.DUMMYFUNCTION("GOOGLETRANSLATE(A51635,""en"",""pt"")"),"Fácil de usar, confortável de usar, através dos lins com foco, atendimento ao cliente, a política de upgrade.")</f>
        <v>Fácil de usar, confortável de usar, através dos lins com foco, atendimento ao cliente, a política de upgrade.</v>
      </c>
      <c r="B51635" s="3">
        <v>1</v>
      </c>
    </row>
    <row r="51636" ht="15.75" customHeight="1" spans="1:2">
      <c r="A51636" s="3" t="str">
        <f>IFERROR(__xludf.DUMMYFUNCTION("GOOGLETRANSLATE(A51636,""en"",""pt"")"),"Boa óptica, boa transferência para PC, boa sensação na mão")</f>
        <v>Boa óptica, boa transferência para PC, boa sensação na mão</v>
      </c>
      <c r="B51636" s="3">
        <v>1</v>
      </c>
    </row>
    <row r="51637" ht="15.75" customHeight="1" spans="1:2">
      <c r="A51637" s="3" t="str">
        <f>IFERROR(__xludf.DUMMYFUNCTION("GOOGLETRANSLATE(A51637,""en"",""pt"")"),"Grande olhar e sentir como uma câmera de qualidade de 35mm.")</f>
        <v>Grande olhar e sentir como uma câmera de qualidade de 35mm.</v>
      </c>
      <c r="B51637" s="3">
        <v>1</v>
      </c>
    </row>
    <row r="51638" ht="15.75" customHeight="1" spans="1:2">
      <c r="A51638" s="3" t="str">
        <f>IFERROR(__xludf.DUMMYFUNCTION("GOOGLETRANSLATE(A51638,""en"",""pt"")"),"Imagens de boa qualidade, fácil de usar")</f>
        <v>Imagens de boa qualidade, fácil de usar</v>
      </c>
      <c r="B51638" s="3">
        <v>1</v>
      </c>
    </row>
    <row r="51639" ht="15.75" customHeight="1" spans="1:2">
      <c r="A51639" s="3" t="str">
        <f>IFERROR(__xludf.DUMMYFUNCTION("GOOGLETRANSLATE(A51639,""en"",""pt"")"),"boas fotos")</f>
        <v>boas fotos</v>
      </c>
      <c r="B51639" s="3">
        <v>1</v>
      </c>
    </row>
    <row r="51640" ht="15.75" customHeight="1" spans="1:2">
      <c r="A51640" s="3" t="str">
        <f>IFERROR(__xludf.DUMMYFUNCTION("GOOGLETRANSLATE(A51640,""en"",""pt"")"),"Bom negócio")</f>
        <v>Bom negócio</v>
      </c>
      <c r="B51640" s="3">
        <v>1</v>
      </c>
    </row>
    <row r="51641" ht="15.75" customHeight="1" spans="1:2">
      <c r="A51641" s="3" t="str">
        <f>IFERROR(__xludf.DUMMYFUNCTION("GOOGLETRANSLATE(A51641,""en"",""pt"")"),"Fácil de usar!!!!!!!!")</f>
        <v>Fácil de usar!!!!!!!!</v>
      </c>
      <c r="B51641" s="3">
        <v>1</v>
      </c>
    </row>
    <row r="51642" ht="15.75" customHeight="1" spans="1:2">
      <c r="A51642" s="3" t="str">
        <f>IFERROR(__xludf.DUMMYFUNCTION("GOOGLETRANSLATE(A51642,""en"",""pt"")"),"qualidade")</f>
        <v>qualidade</v>
      </c>
      <c r="B51642" s="3">
        <v>1</v>
      </c>
    </row>
    <row r="51643" ht="15.75" customHeight="1" spans="1:2">
      <c r="A51643" s="3" t="str">
        <f>IFERROR(__xludf.DUMMYFUNCTION("GOOGLETRANSLATE(A51643,""en"",""pt"")"),"stills maravilhosa, boa resolução, simplicidade de uso")</f>
        <v>stills maravilhosa, boa resolução, simplicidade de uso</v>
      </c>
      <c r="B51643" s="3">
        <v>1</v>
      </c>
    </row>
    <row r="51644" ht="15.75" customHeight="1" spans="1:2">
      <c r="A51644" s="3" t="str">
        <f>IFERROR(__xludf.DUMMYFUNCTION("GOOGLETRANSLATE(A51644,""en"",""pt"")"),"robusto, fácil de usar câmera")</f>
        <v>robusto, fácil de usar câmera</v>
      </c>
      <c r="B51644" s="3">
        <v>1</v>
      </c>
    </row>
    <row r="51645" ht="15.75" customHeight="1" spans="1:2">
      <c r="A51645" s="3" t="str">
        <f>IFERROR(__xludf.DUMMYFUNCTION("GOOGLETRANSLATE(A51645,""en"",""pt"")"),"Parece com uma câmera")</f>
        <v>Parece com uma câmera</v>
      </c>
      <c r="B51645" s="3">
        <v>1</v>
      </c>
    </row>
    <row r="51646" ht="15.75" customHeight="1" spans="1:2">
      <c r="A51646" s="3" t="str">
        <f>IFERROR(__xludf.DUMMYFUNCTION("GOOGLETRANSLATE(A51646,""en"",""pt"")"),"Fácil de usar, ótimas fotos, instruções simples, de download não é rápido e fácil, funciona como uma câmera regular quando tirar fotos")</f>
        <v>Fácil de usar, ótimas fotos, instruções simples, de download não é rápido e fácil, funciona como uma câmera regular quando tirar fotos</v>
      </c>
      <c r="B51646" s="3">
        <v>1</v>
      </c>
    </row>
    <row r="51647" ht="15.75" customHeight="1" spans="1:2">
      <c r="A51647" s="3" t="str">
        <f>IFERROR(__xludf.DUMMYFUNCTION("GOOGLETRANSLATE(A51647,""en"",""pt"")"),"Qualidade das fotos, tamanho da câmera, e sim, preço!")</f>
        <v>Qualidade das fotos, tamanho da câmera, e sim, preço!</v>
      </c>
      <c r="B51647" s="3">
        <v>1</v>
      </c>
    </row>
    <row r="51648" ht="15.75" customHeight="1" spans="1:2">
      <c r="A51648" s="3" t="str">
        <f>IFERROR(__xludf.DUMMYFUNCTION("GOOGLETRANSLATE(A51648,""en"",""pt"")"),"Facilidade de uso e qualidade de imagem")</f>
        <v>Facilidade de uso e qualidade de imagem</v>
      </c>
      <c r="B51648" s="3">
        <v>1</v>
      </c>
    </row>
    <row r="51649" ht="15.75" customHeight="1" spans="1:2">
      <c r="A51649" s="3" t="str">
        <f>IFERROR(__xludf.DUMMYFUNCTION("GOOGLETRANSLATE(A51649,""en"",""pt"")"),"Boa qualidade da foto e precisão de cor, rosca para lentes conversoras, construção sólida")</f>
        <v>Boa qualidade da foto e precisão de cor, rosca para lentes conversoras, construção sólida</v>
      </c>
      <c r="B51649" s="3">
        <v>1</v>
      </c>
    </row>
    <row r="51650" ht="15.75" customHeight="1" spans="1:2">
      <c r="A51650" s="3" t="str">
        <f>IFERROR(__xludf.DUMMYFUNCTION("GOOGLETRANSLATE(A51650,""en"",""pt"")"),"Res. Auto-foco. SLR.")</f>
        <v>Res. Auto-foco. SLR.</v>
      </c>
      <c r="B51650" s="3">
        <v>1</v>
      </c>
    </row>
    <row r="51651" ht="15.75" customHeight="1" spans="1:2">
      <c r="A51651" s="3" t="str">
        <f>IFERROR(__xludf.DUMMYFUNCTION("GOOGLETRANSLATE(A51651,""en"",""pt"")"),"Excelente qualidade de imagem")</f>
        <v>Excelente qualidade de imagem</v>
      </c>
      <c r="B51651" s="3">
        <v>1</v>
      </c>
    </row>
    <row r="51652" ht="15.75" customHeight="1" spans="1:2">
      <c r="A51652" s="3" t="str">
        <f>IFERROR(__xludf.DUMMYFUNCTION("GOOGLETRANSLATE(A51652,""en"",""pt"")"),"SLR, qualidade grande imagem")</f>
        <v>SLR, qualidade grande imagem</v>
      </c>
      <c r="B51652" s="3">
        <v>1</v>
      </c>
    </row>
    <row r="51653" ht="15.75" customHeight="1" spans="1:2">
      <c r="A51653" s="3" t="str">
        <f>IFERROR(__xludf.DUMMYFUNCTION("GOOGLETRANSLATE(A51653,""en"",""pt"")"),"Melhores fotos já tomadas ..")</f>
        <v>Melhores fotos já tomadas ..</v>
      </c>
      <c r="B51653" s="3">
        <v>1</v>
      </c>
    </row>
    <row r="51654" ht="15.75" customHeight="1" spans="1:2">
      <c r="A51654" s="3" t="str">
        <f>IFERROR(__xludf.DUMMYFUNCTION("GOOGLETRANSLATE(A51654,""en"",""pt"")"),"Se você sabe como, ele vai tirar belas fotos")</f>
        <v>Se você sabe como, ele vai tirar belas fotos</v>
      </c>
      <c r="B51654" s="3">
        <v>1</v>
      </c>
    </row>
    <row r="51655" ht="15.75" customHeight="1" spans="1:2">
      <c r="A51655" s="3" t="str">
        <f>IFERROR(__xludf.DUMMYFUNCTION("GOOGLETRANSLATE(A51655,""en"",""pt"")"),"flash bom, bom detalhe / nitidez, baixo nível de ruído")</f>
        <v>flash bom, bom detalhe / nitidez, baixo nível de ruído</v>
      </c>
      <c r="B51655" s="3">
        <v>1</v>
      </c>
    </row>
    <row r="51656" ht="15.75" customHeight="1" spans="1:2">
      <c r="A51656" s="3" t="str">
        <f>IFERROR(__xludf.DUMMYFUNCTION("GOOGLETRANSLATE(A51656,""en"",""pt"")"),"Fácil de usar, leve, potente")</f>
        <v>Fácil de usar, leve, potente</v>
      </c>
      <c r="B51656" s="3">
        <v>1</v>
      </c>
    </row>
    <row r="51657" ht="15.75" customHeight="1" spans="1:2">
      <c r="A51657" s="3" t="str">
        <f>IFERROR(__xludf.DUMMYFUNCTION("GOOGLETRANSLATE(A51657,""en"",""pt"")"),"Boas fotos")</f>
        <v>Boas fotos</v>
      </c>
      <c r="B51657" s="3">
        <v>1</v>
      </c>
    </row>
    <row r="51658" ht="15.75" customHeight="1" spans="1:2">
      <c r="A51658" s="3" t="str">
        <f>IFERROR(__xludf.DUMMYFUNCTION("GOOGLETRANSLATE(A51658,""en"",""pt"")"),"Qualidade muito boa")</f>
        <v>Qualidade muito boa</v>
      </c>
      <c r="B51658" s="3">
        <v>1</v>
      </c>
    </row>
    <row r="51659" ht="15.75" customHeight="1" spans="1:2">
      <c r="A51659" s="3" t="str">
        <f>IFERROR(__xludf.DUMMYFUNCTION("GOOGLETRANSLATE(A51659,""en"",""pt"")"),"Grande qualidade de imagem")</f>
        <v>Grande qualidade de imagem</v>
      </c>
      <c r="B51659" s="3">
        <v>1</v>
      </c>
    </row>
    <row r="51660" ht="15.75" customHeight="1" spans="1:2">
      <c r="A51660" s="3" t="str">
        <f>IFERROR(__xludf.DUMMYFUNCTION("GOOGLETRANSLATE(A51660,""en"",""pt"")"),"Fácil de usar; qualidade de imagem nítida; muito boa óptica")</f>
        <v>Fácil de usar; qualidade de imagem nítida; muito boa óptica</v>
      </c>
      <c r="B51660" s="3">
        <v>1</v>
      </c>
    </row>
    <row r="51661" ht="15.75" customHeight="1" spans="1:2">
      <c r="A51661" s="3" t="str">
        <f>IFERROR(__xludf.DUMMYFUNCTION("GOOGLETRANSLATE(A51661,""en"",""pt"")"),"SLR")</f>
        <v>SLR</v>
      </c>
      <c r="B51661" s="3">
        <v>1</v>
      </c>
    </row>
    <row r="51662" ht="15.75" customHeight="1" spans="1:2">
      <c r="A51662" s="3" t="str">
        <f>IFERROR(__xludf.DUMMYFUNCTION("GOOGLETRANSLATE(A51662,""en"",""pt"")"),"- Imagens de compressão livre - lente qualidade Olympus")</f>
        <v>- Imagens de compressão livre - lente qualidade Olympus</v>
      </c>
      <c r="B51662" s="3">
        <v>1</v>
      </c>
    </row>
    <row r="51663" ht="15.75" customHeight="1" spans="1:2">
      <c r="A51663" s="3" t="str">
        <f>IFERROR(__xludf.DUMMYFUNCTION("GOOGLETRANSLATE(A51663,""en"",""pt"")"),"Excelente qualidade de imagem.")</f>
        <v>Excelente qualidade de imagem.</v>
      </c>
      <c r="B51663" s="3">
        <v>1</v>
      </c>
    </row>
    <row r="51664" ht="15.75" customHeight="1" spans="1:2">
      <c r="A51664" s="3" t="str">
        <f>IFERROR(__xludf.DUMMYFUNCTION("GOOGLETRANSLATE(A51664,""en"",""pt"")"),"Grande resolução da imagem e alguma habilidade para manipular")</f>
        <v>Grande resolução da imagem e alguma habilidade para manipular</v>
      </c>
      <c r="B51664" s="3">
        <v>1</v>
      </c>
    </row>
    <row r="51665" ht="15.75" customHeight="1" spans="1:2">
      <c r="A51665" s="3" t="str">
        <f>IFERROR(__xludf.DUMMYFUNCTION("GOOGLETRANSLATE(A51665,""en"",""pt"")"),"Fácil de usar. Excelentes fotografias. Luz, elegante e sexy.")</f>
        <v>Fácil de usar. Excelentes fotografias. Luz, elegante e sexy.</v>
      </c>
      <c r="B51665" s="3">
        <v>1</v>
      </c>
    </row>
    <row r="51666" ht="15.75" customHeight="1" spans="1:2">
      <c r="A51666" s="3" t="str">
        <f>IFERROR(__xludf.DUMMYFUNCTION("GOOGLETRANSLATE(A51666,""en"",""pt"")"),"Boa qualidade de imagem, software de computador excelente, um monte de opções")</f>
        <v>Boa qualidade de imagem, software de computador excelente, um monte de opções</v>
      </c>
      <c r="B51666" s="3">
        <v>1</v>
      </c>
    </row>
    <row r="51667" ht="15.75" customHeight="1" spans="1:2">
      <c r="A51667" s="3" t="str">
        <f>IFERROR(__xludf.DUMMYFUNCTION("GOOGLETRANSLATE(A51667,""en"",""pt"")"),"visualização SLR, medição pontual, várias opções de exposição.")</f>
        <v>visualização SLR, medição pontual, várias opções de exposição.</v>
      </c>
      <c r="B51667" s="3">
        <v>1</v>
      </c>
    </row>
    <row r="51668" ht="15.75" customHeight="1" spans="1:2">
      <c r="A51668" s="3" t="str">
        <f>IFERROR(__xludf.DUMMYFUNCTION("GOOGLETRANSLATE(A51668,""en"",""pt"")"),"grandes recursos, facilidade de uso, armazenamento máximo de imagem")</f>
        <v>grandes recursos, facilidade de uso, armazenamento máximo de imagem</v>
      </c>
      <c r="B51668" s="3">
        <v>1</v>
      </c>
    </row>
    <row r="51669" ht="15.75" customHeight="1" spans="1:2">
      <c r="A51669" s="3" t="str">
        <f>IFERROR(__xludf.DUMMYFUNCTION("GOOGLETRANSLATE(A51669,""en"",""pt"")"),"não se assemelha a uma câmera de 35mm")</f>
        <v>não se assemelha a uma câmera de 35mm</v>
      </c>
      <c r="B51669" s="3">
        <v>1</v>
      </c>
    </row>
    <row r="51670" ht="15.75" customHeight="1" spans="1:2">
      <c r="A51670" s="3" t="str">
        <f>IFERROR(__xludf.DUMMYFUNCTION("GOOGLETRANSLATE(A51670,""en"",""pt"")"),"Grande capacidade de armazenamento, fácil configuração USB, peso e sensação de uma SLR.")</f>
        <v>Grande capacidade de armazenamento, fácil configuração USB, peso e sensação de uma SLR.</v>
      </c>
      <c r="B51670" s="3">
        <v>1</v>
      </c>
    </row>
    <row r="51671" ht="15.75" customHeight="1" spans="1:2">
      <c r="A51671" s="3" t="str">
        <f>IFERROR(__xludf.DUMMYFUNCTION("GOOGLETRANSLATE(A51671,""en"",""pt"")"),"Bateria recarregável, fácil de usar, unidade de disco Super")</f>
        <v>Bateria recarregável, fácil de usar, unidade de disco Super</v>
      </c>
      <c r="B51671" s="3">
        <v>1</v>
      </c>
    </row>
    <row r="51672" ht="15.75" customHeight="1" spans="1:2">
      <c r="A51672" s="3" t="str">
        <f>IFERROR(__xludf.DUMMYFUNCTION("GOOGLETRANSLATE(A51672,""en"",""pt"")"),"Carregado com características. Ceia fácil de usar.")</f>
        <v>Carregado com características. Ceia fácil de usar.</v>
      </c>
      <c r="B51672" s="3">
        <v>1</v>
      </c>
    </row>
    <row r="51673" ht="15.75" customHeight="1" spans="1:2">
      <c r="A51673" s="3" t="str">
        <f>IFERROR(__xludf.DUMMYFUNCTION("GOOGLETRANSLATE(A51673,""en"",""pt"")"),"grande qualidade da foto, visor LCD, gravação vídeo / som, fácil de usar")</f>
        <v>grande qualidade da foto, visor LCD, gravação vídeo / som, fácil de usar</v>
      </c>
      <c r="B51673" s="3">
        <v>1</v>
      </c>
    </row>
    <row r="51674" ht="15.75" customHeight="1" spans="1:2">
      <c r="A51674" s="3" t="str">
        <f>IFERROR(__xludf.DUMMYFUNCTION("GOOGLETRANSLATE(A51674,""en"",""pt"")"),"3.5 e SuperDisk, grava áudio")</f>
        <v>3.5 e SuperDisk, grava áudio</v>
      </c>
      <c r="B51674" s="3">
        <v>1</v>
      </c>
    </row>
    <row r="51675" ht="15.75" customHeight="1" spans="1:2">
      <c r="A51675" s="3" t="str">
        <f>IFERROR(__xludf.DUMMYFUNCTION("GOOGLETRANSLATE(A51675,""en"",""pt"")"),"meios de armazenamento e acessórios")</f>
        <v>meios de armazenamento e acessórios</v>
      </c>
      <c r="B51675" s="3">
        <v>1</v>
      </c>
    </row>
    <row r="51676" ht="15.75" customHeight="1" spans="1:2">
      <c r="A51676" s="3" t="str">
        <f>IFERROR(__xludf.DUMMYFUNCTION("GOOGLETRANSLATE(A51676,""en"",""pt"")"),"Ecrã LCD")</f>
        <v>Ecrã LCD</v>
      </c>
      <c r="B51676" s="3">
        <v>1</v>
      </c>
    </row>
    <row r="51677" ht="15.75" customHeight="1" spans="1:2">
      <c r="A51677" s="3" t="str">
        <f>IFERROR(__xludf.DUMMYFUNCTION("GOOGLETRANSLATE(A51677,""en"",""pt"")"),"Fácil de usar; Grande qualidade pic; &amp; Amp; quot; SuperCool &amp; amp; quot; tecnologia de gratificação instantânea")</f>
        <v>Fácil de usar; Grande qualidade pic; &amp; Amp; quot; SuperCool &amp; amp; quot; tecnologia de gratificação instantânea</v>
      </c>
      <c r="B51677" s="3">
        <v>1</v>
      </c>
    </row>
    <row r="51678" ht="15.75" customHeight="1" spans="1:2">
      <c r="A51678" s="3" t="str">
        <f>IFERROR(__xludf.DUMMYFUNCTION("GOOGLETRANSLATE(A51678,""en"",""pt"")"),"A capacidade de armazenamento, características, serviço")</f>
        <v>A capacidade de armazenamento, características, serviço</v>
      </c>
      <c r="B51678" s="3">
        <v>1</v>
      </c>
    </row>
    <row r="51679" ht="15.75" customHeight="1" spans="1:2">
      <c r="A51679" s="3" t="str">
        <f>IFERROR(__xludf.DUMMYFUNCTION("GOOGLETRANSLATE(A51679,""en"",""pt"")"),"Grande aderência para as mãos maiores, capaz de gravar clipes de vídeo")</f>
        <v>Grande aderência para as mãos maiores, capaz de gravar clipes de vídeo</v>
      </c>
      <c r="B51679" s="3">
        <v>1</v>
      </c>
    </row>
    <row r="51680" ht="15.75" customHeight="1" spans="1:2">
      <c r="A51680" s="3" t="str">
        <f>IFERROR(__xludf.DUMMYFUNCTION("GOOGLETRANSLATE(A51680,""en"",""pt"")"),"Flexível, robusto, Capability BIG Memória")</f>
        <v>Flexível, robusto, Capability BIG Memória</v>
      </c>
      <c r="B51680" s="3">
        <v>1</v>
      </c>
    </row>
    <row r="51681" ht="15.75" customHeight="1" spans="1:2">
      <c r="A51681" s="3" t="str">
        <f>IFERROR(__xludf.DUMMYFUNCTION("GOOGLETRANSLATE(A51681,""en"",""pt"")"),"Bem desenhado")</f>
        <v>Bem desenhado</v>
      </c>
      <c r="B51681" s="3">
        <v>1</v>
      </c>
    </row>
    <row r="51682" ht="15.75" customHeight="1" spans="1:2">
      <c r="A51682" s="3" t="str">
        <f>IFERROR(__xludf.DUMMYFUNCTION("GOOGLETRANSLATE(A51682,""en"",""pt"")"),"sim")</f>
        <v>sim</v>
      </c>
      <c r="B51682" s="3">
        <v>1</v>
      </c>
    </row>
    <row r="51683" ht="15.75" customHeight="1" spans="1:2">
      <c r="A51683" s="3" t="str">
        <f>IFERROR(__xludf.DUMMYFUNCTION("GOOGLETRANSLATE(A51683,""en"",""pt"")"),"sente como uma câmara normal, 3,5 &amp; amp; quot; armazenagem do disco, de alta resolução, fecho de correr livre unidade")</f>
        <v>sente como uma câmara normal, 3,5 &amp; amp; quot; armazenagem do disco, de alta resolução, fecho de correr livre unidade</v>
      </c>
      <c r="B51683" s="3">
        <v>1</v>
      </c>
    </row>
    <row r="51684" ht="15.75" customHeight="1" spans="1:2">
      <c r="A51684" s="3" t="str">
        <f>IFERROR(__xludf.DUMMYFUNCTION("GOOGLETRANSLATE(A51684,""en"",""pt"")"),"capacidade de armazenamento em massa. Boa duração da bateria. imagem explosão múltipla é um bom recurso")</f>
        <v>capacidade de armazenamento em massa. Boa duração da bateria. imagem explosão múltipla é um bom recurso</v>
      </c>
      <c r="B51684" s="3">
        <v>1</v>
      </c>
    </row>
    <row r="51685" ht="15.75" customHeight="1" spans="1:2">
      <c r="A51685" s="3" t="str">
        <f>IFERROR(__xludf.DUMMYFUNCTION("GOOGLETRANSLATE(A51685,""en"",""pt"")"),"Bom estilo.")</f>
        <v>Bom estilo.</v>
      </c>
      <c r="B51685" s="3">
        <v>1</v>
      </c>
    </row>
    <row r="51686" ht="15.75" customHeight="1" spans="1:2">
      <c r="A51686" s="3" t="str">
        <f>IFERROR(__xludf.DUMMYFUNCTION("GOOGLETRANSLATE(A51686,""en"",""pt"")"),"Cesta grande, rodas grandes, não muito mais.")</f>
        <v>Cesta grande, rodas grandes, não muito mais.</v>
      </c>
      <c r="B51686" s="3">
        <v>1</v>
      </c>
    </row>
    <row r="51687" ht="15.75" customHeight="1" spans="1:2">
      <c r="A51687" s="3" t="str">
        <f>IFERROR(__xludf.DUMMYFUNCTION("GOOGLETRANSLATE(A51687,""en"",""pt"")"),"Grande procura, Sporty sensação e construção sólida, parece durável, cesta grande, capa de chuva, rodas grandes.")</f>
        <v>Grande procura, Sporty sensação e construção sólida, parece durável, cesta grande, capa de chuva, rodas grandes.</v>
      </c>
      <c r="B51687" s="3">
        <v>1</v>
      </c>
    </row>
    <row r="51688" ht="15.75" customHeight="1" spans="1:2">
      <c r="A51688" s="3" t="str">
        <f>IFERROR(__xludf.DUMMYFUNCTION("GOOGLETRANSLATE(A51688,""en"",""pt"")"),"Grande carrinho de criança olhando que funciona muito bem!")</f>
        <v>Grande carrinho de criança olhando que funciona muito bem!</v>
      </c>
      <c r="B51688" s="3">
        <v>1</v>
      </c>
    </row>
    <row r="51689" ht="15.75" customHeight="1" spans="1:2">
      <c r="A51689" s="3" t="str">
        <f>IFERROR(__xludf.DUMMYFUNCTION("GOOGLETRANSLATE(A51689,""en"",""pt"")"),"Funciona bem com carrinhos Peg Perego, cinta para apertar nas obras do bebê bem")</f>
        <v>Funciona bem com carrinhos Peg Perego, cinta para apertar nas obras do bebê bem</v>
      </c>
      <c r="B51689" s="3">
        <v>1</v>
      </c>
    </row>
    <row r="51690" ht="15.75" customHeight="1" spans="1:2">
      <c r="A51690" s="3" t="str">
        <f>IFERROR(__xludf.DUMMYFUNCTION("GOOGLETRANSLATE(A51690,""en"",""pt"")"),"Prende-se a maioria dos carrinhos Perego, 5-ponto arnês, agradável estofos, leve")</f>
        <v>Prende-se a maioria dos carrinhos Perego, 5-ponto arnês, agradável estofos, leve</v>
      </c>
      <c r="B51690" s="3">
        <v>1</v>
      </c>
    </row>
    <row r="51691" ht="15.75" customHeight="1" spans="1:2">
      <c r="A51691" s="3" t="str">
        <f>IFERROR(__xludf.DUMMYFUNCTION("GOOGLETRANSLATE(A51691,""en"",""pt"")"),"Alças lindamente, mais leve que a maioria dos carrinhos de tamanho completo")</f>
        <v>Alças lindamente, mais leve que a maioria dos carrinhos de tamanho completo</v>
      </c>
      <c r="B51691" s="3">
        <v>1</v>
      </c>
    </row>
    <row r="51692" ht="15.75" customHeight="1" spans="1:2">
      <c r="A51692" s="3" t="str">
        <f>IFERROR(__xludf.DUMMYFUNCTION("GOOGLETRANSLATE(A51692,""en"",""pt"")"),"Estilo, Leve, FoldsCompactly, EXECELLENT TRAVA CAR SYSTEM ASSENTO, Stable")</f>
        <v>Estilo, Leve, FoldsCompactly, EXECELLENT TRAVA CAR SYSTEM ASSENTO, Stable</v>
      </c>
      <c r="B51692" s="3">
        <v>1</v>
      </c>
    </row>
    <row r="51693" ht="15.75" customHeight="1" spans="1:2">
      <c r="A51693" s="3" t="str">
        <f>IFERROR(__xludf.DUMMYFUNCTION("GOOGLETRANSLATE(A51693,""en"",""pt"")"),"O carrinho é um tamanho perfeito. Vem com capa de chuva, reclina, etc.")</f>
        <v>O carrinho é um tamanho perfeito. Vem com capa de chuva, reclina, etc.</v>
      </c>
      <c r="B51693" s="3">
        <v>1</v>
      </c>
    </row>
    <row r="51694" ht="15.75" customHeight="1" spans="1:2">
      <c r="A51694" s="3" t="str">
        <f>IFERROR(__xludf.DUMMYFUNCTION("GOOGLETRANSLATE(A51694,""en"",""pt"")"),"Arnês de 5 pontos, tecidos resistentes a derrames, grandes rodas")</f>
        <v>Arnês de 5 pontos, tecidos resistentes a derrames, grandes rodas</v>
      </c>
      <c r="B51694" s="3">
        <v>1</v>
      </c>
    </row>
    <row r="51695" ht="15.75" customHeight="1" spans="1:2">
      <c r="A51695" s="3" t="str">
        <f>IFERROR(__xludf.DUMMYFUNCTION("GOOGLETRANSLATE(A51695,""en"",""pt"")"),"Olhando agradável, tecido agradável")</f>
        <v>Olhando agradável, tecido agradável</v>
      </c>
      <c r="B51695" s="3">
        <v>1</v>
      </c>
    </row>
    <row r="51696" ht="15.75" customHeight="1" spans="1:2">
      <c r="A51696" s="3" t="str">
        <f>IFERROR(__xludf.DUMMYFUNCTION("GOOGLETRANSLATE(A51696,""en"",""pt"")"),"cores agradáveis, assento de carro seguro")</f>
        <v>cores agradáveis, assento de carro seguro</v>
      </c>
      <c r="B51696" s="3">
        <v>1</v>
      </c>
    </row>
    <row r="51697" ht="15.75" customHeight="1" spans="1:2">
      <c r="A51697" s="3" t="str">
        <f>IFERROR(__xludf.DUMMYFUNCTION("GOOGLETRANSLATE(A51697,""en"",""pt"")"),"Durabilidade, suspensão total, assentos reclináveis, fácil de empurrar, bom passeio")</f>
        <v>Durabilidade, suspensão total, assentos reclináveis, fácil de empurrar, bom passeio</v>
      </c>
      <c r="B51697" s="3">
        <v>1</v>
      </c>
    </row>
    <row r="51698" ht="15.75" customHeight="1" spans="1:2">
      <c r="A51698" s="3" t="str">
        <f>IFERROR(__xludf.DUMMYFUNCTION("GOOGLETRANSLATE(A51698,""en"",""pt"")"),"Grande carrinho de criança, confortável, vai durar")</f>
        <v>Grande carrinho de criança, confortável, vai durar</v>
      </c>
      <c r="B51698" s="3">
        <v>1</v>
      </c>
    </row>
    <row r="51699" ht="15.75" customHeight="1" spans="1:2">
      <c r="A51699" s="3" t="str">
        <f>IFERROR(__xludf.DUMMYFUNCTION("GOOGLETRANSLATE(A51699,""en"",""pt"")"),"Assentos amovíveis para armazenamento / transporte, Bancos intercambiáveis, Carseat compatível")</f>
        <v>Assentos amovíveis para armazenamento / transporte, Bancos intercambiáveis, Carseat compatível</v>
      </c>
      <c r="B51699" s="3">
        <v>1</v>
      </c>
    </row>
    <row r="51700" ht="15.75" customHeight="1" spans="1:2">
      <c r="A51700" s="3" t="str">
        <f>IFERROR(__xludf.DUMMYFUNCTION("GOOGLETRANSLATE(A51700,""en"",""pt"")"),"manipulação superior, conforto, qualidade")</f>
        <v>manipulação superior, conforto, qualidade</v>
      </c>
      <c r="B51700" s="3">
        <v>1</v>
      </c>
    </row>
    <row r="51701" ht="15.75" customHeight="1" spans="1:2">
      <c r="A51701" s="3" t="str">
        <f>IFERROR(__xludf.DUMMYFUNCTION("GOOGLETRANSLATE(A51701,""en"",""pt"")"),"bancos podem enfrentar um ao outro, ambos os assentos reclinam")</f>
        <v>bancos podem enfrentar um ao outro, ambos os assentos reclinam</v>
      </c>
      <c r="B51701" s="3">
        <v>1</v>
      </c>
    </row>
    <row r="51702" ht="15.75" customHeight="1" spans="1:2">
      <c r="A51702" s="3" t="str">
        <f>IFERROR(__xludf.DUMMYFUNCTION("GOOGLETRANSLATE(A51702,""en"",""pt"")"),"Durável, versátil, fácil set-up e desmontar, mantém o seu valor")</f>
        <v>Durável, versátil, fácil set-up e desmontar, mantém o seu valor</v>
      </c>
      <c r="B51702" s="3">
        <v>1</v>
      </c>
    </row>
    <row r="51703" ht="15.75" customHeight="1" spans="1:2">
      <c r="A51703" s="3" t="str">
        <f>IFERROR(__xludf.DUMMYFUNCTION("GOOGLETRANSLATE(A51703,""en"",""pt"")"),"Classe versatilidade levando em assentos configurações. Alta qualidade de design, construção e conforto.")</f>
        <v>Classe versatilidade levando em assentos configurações. Alta qualidade de design, construção e conforto.</v>
      </c>
      <c r="B51703" s="3">
        <v>1</v>
      </c>
    </row>
    <row r="51704" ht="15.75" customHeight="1" spans="1:2">
      <c r="A51704" s="3" t="str">
        <f>IFERROR(__xludf.DUMMYFUNCTION("GOOGLETRANSLATE(A51704,""en"",""pt"")"),"Tudo")</f>
        <v>Tudo</v>
      </c>
      <c r="B51704" s="3">
        <v>1</v>
      </c>
    </row>
    <row r="51705" ht="15.75" customHeight="1" spans="1:2">
      <c r="A51705" s="3" t="str">
        <f>IFERROR(__xludf.DUMMYFUNCTION("GOOGLETRANSLATE(A51705,""en"",""pt"")"),"muitos profissionais., rodas, ambos os bebês pode deitar-se, brincar uns com os outros e muito mais.")</f>
        <v>muitos profissionais., rodas, ambos os bebês pode deitar-se, brincar uns com os outros e muito mais.</v>
      </c>
      <c r="B51705" s="3">
        <v>1</v>
      </c>
    </row>
    <row r="51706" ht="15.75" customHeight="1" spans="1:2">
      <c r="A51706" s="3" t="str">
        <f>IFERROR(__xludf.DUMMYFUNCTION("GOOGLETRANSLATE(A51706,""en"",""pt"")"),"Parece bom, fácil de manobrar, diferentes posições de assento")</f>
        <v>Parece bom, fácil de manobrar, diferentes posições de assento</v>
      </c>
      <c r="B51706" s="3">
        <v>1</v>
      </c>
    </row>
    <row r="51707" ht="15.75" customHeight="1" spans="1:2">
      <c r="A51707" s="3" t="str">
        <f>IFERROR(__xludf.DUMMYFUNCTION("GOOGLETRANSLATE(A51707,""en"",""pt"")"),"grande o suficiente para uma criança de seis anos e um six-pack")</f>
        <v>grande o suficiente para uma criança de seis anos e um six-pack</v>
      </c>
      <c r="B51707" s="3">
        <v>1</v>
      </c>
    </row>
    <row r="51708" ht="15.75" customHeight="1" spans="1:2">
      <c r="A51708" s="3" t="str">
        <f>IFERROR(__xludf.DUMMYFUNCTION("GOOGLETRANSLATE(A51708,""en"",""pt"")"),"ampla sala de estar, os lotes de espaço para as pernas, assentos móveis, fácil de direção, rodas grandes torná-lo fácil de passar por coisas")</f>
        <v>ampla sala de estar, os lotes de espaço para as pernas, assentos móveis, fácil de direção, rodas grandes torná-lo fácil de passar por coisas</v>
      </c>
      <c r="B51708" s="3">
        <v>1</v>
      </c>
    </row>
    <row r="51709" ht="15.75" customHeight="1" spans="1:2">
      <c r="A51709" s="3" t="str">
        <f>IFERROR(__xludf.DUMMYFUNCTION("GOOGLETRANSLATE(A51709,""en"",""pt"")"),"assentos resistentes podem enfrentar para a frente, para trás ou para o outro; Arnês de 5 pontos; fácil de freio; manobrabilidade")</f>
        <v>assentos resistentes podem enfrentar para a frente, para trás ou para o outro; Arnês de 5 pontos; fácil de freio; manobrabilidade</v>
      </c>
      <c r="B51709" s="3">
        <v>1</v>
      </c>
    </row>
    <row r="51710" ht="15.75" customHeight="1" spans="1:2">
      <c r="A51710" s="3" t="str">
        <f>IFERROR(__xludf.DUMMYFUNCTION("GOOGLETRANSLATE(A51710,""en"",""pt"")"),"Desconfortável para bebês")</f>
        <v>Desconfortável para bebês</v>
      </c>
      <c r="B51710" s="3">
        <v>1</v>
      </c>
    </row>
    <row r="51711" ht="15.75" customHeight="1" spans="1:2">
      <c r="A51711" s="3" t="str">
        <f>IFERROR(__xludf.DUMMYFUNCTION("GOOGLETRANSLATE(A51711,""en"",""pt"")"),"Robusto, espaçoso, fácil de usar.")</f>
        <v>Robusto, espaçoso, fácil de usar.</v>
      </c>
      <c r="B51711" s="3">
        <v>1</v>
      </c>
    </row>
    <row r="51712" ht="15.75" customHeight="1" spans="1:2">
      <c r="A51712" s="3" t="str">
        <f>IFERROR(__xludf.DUMMYFUNCTION("GOOGLETRANSLATE(A51712,""en"",""pt"")"),"Um bom carrinho de criança sólida que seu bebê será seguro e confortável em")</f>
        <v>Um bom carrinho de criança sólida que seu bebê será seguro e confortável em</v>
      </c>
      <c r="B51712" s="3">
        <v>1</v>
      </c>
    </row>
    <row r="51713" ht="15.75" customHeight="1" spans="1:2">
      <c r="A51713" s="3" t="str">
        <f>IFERROR(__xludf.DUMMYFUNCTION("GOOGLETRANSLATE(A51713,""en"",""pt"")"),"fácil de dobrar e desdobrar, confortáveis ​​e excelentes recursos, como punho reversível")</f>
        <v>fácil de dobrar e desdobrar, confortáveis ​​e excelentes recursos, como punho reversível</v>
      </c>
      <c r="B51713" s="3">
        <v>1</v>
      </c>
    </row>
    <row r="51714" ht="15.75" customHeight="1" spans="1:2">
      <c r="A51714" s="3" t="str">
        <f>IFERROR(__xludf.DUMMYFUNCTION("GOOGLETRANSLATE(A51714,""en"",""pt"")"),"O Cadillac de carrinhos, pode alterar a forma como rostos de bebê, grandes rodas para passeio confortável")</f>
        <v>O Cadillac de carrinhos, pode alterar a forma como rostos de bebê, grandes rodas para passeio confortável</v>
      </c>
      <c r="B51714" s="3">
        <v>1</v>
      </c>
    </row>
    <row r="51715" ht="15.75" customHeight="1" spans="1:2">
      <c r="A51715" s="3" t="str">
        <f>IFERROR(__xludf.DUMMYFUNCTION("GOOGLETRANSLATE(A51715,""en"",""pt"")"),"Cómodo, elegante, confortável")</f>
        <v>Cómodo, elegante, confortável</v>
      </c>
      <c r="B51715" s="3">
        <v>1</v>
      </c>
    </row>
    <row r="51716" ht="15.75" customHeight="1" spans="1:2">
      <c r="A51716" s="3" t="str">
        <f>IFERROR(__xludf.DUMMYFUNCTION("GOOGLETRANSLATE(A51716,""en"",""pt"")"),"Belo e luxuoso. Muito, muito confortável e espaçoso para o bebê.")</f>
        <v>Belo e luxuoso. Muito, muito confortável e espaçoso para o bebê.</v>
      </c>
      <c r="B51716" s="3">
        <v>1</v>
      </c>
    </row>
    <row r="51717" ht="15.75" customHeight="1" spans="1:2">
      <c r="A51717" s="3" t="str">
        <f>IFERROR(__xludf.DUMMYFUNCTION("GOOGLETRANSLATE(A51717,""en"",""pt"")"),"Totalmente reclina, ampla sala de estar, tecido macio ... nome bem conhecido.")</f>
        <v>Totalmente reclina, ampla sala de estar, tecido macio ... nome bem conhecido.</v>
      </c>
      <c r="B51717" s="3">
        <v>1</v>
      </c>
    </row>
    <row r="51718" ht="15.75" customHeight="1" spans="1:2">
      <c r="A51718" s="3" t="str">
        <f>IFERROR(__xludf.DUMMYFUNCTION("GOOGLETRANSLATE(A51718,""en"",""pt"")"),"elegante, punho reversível, fácil de dobrar")</f>
        <v>elegante, punho reversível, fácil de dobrar</v>
      </c>
      <c r="B51718" s="3">
        <v>1</v>
      </c>
    </row>
    <row r="51719" ht="15.75" customHeight="1" spans="1:2">
      <c r="A51719" s="3" t="str">
        <f>IFERROR(__xludf.DUMMYFUNCTION("GOOGLETRANSLATE(A51719,""en"",""pt"")"),"bonito, bom passeio, espaçoso para o bebê, bom armazenamento, blocos de sol e do vento bem, pode ser aberta com uma mão, guiador reversível, pode ser usado para recém-nascidos a 3 anos de idade.")</f>
        <v>bonito, bom passeio, espaçoso para o bebê, bom armazenamento, blocos de sol e do vento bem, pode ser aberta com uma mão, guiador reversível, pode ser usado para recém-nascidos a 3 anos de idade.</v>
      </c>
      <c r="B51719" s="3">
        <v>1</v>
      </c>
    </row>
    <row r="51720" ht="15.75" customHeight="1" spans="1:2">
      <c r="A51720" s="3" t="str">
        <f>IFERROR(__xludf.DUMMYFUNCTION("GOOGLETRANSLATE(A51720,""en"",""pt"")"),"construção robusta")</f>
        <v>construção robusta</v>
      </c>
      <c r="B51720" s="3">
        <v>1</v>
      </c>
    </row>
    <row r="51721" ht="15.75" customHeight="1" spans="1:2">
      <c r="A51721" s="3" t="str">
        <f>IFERROR(__xludf.DUMMYFUNCTION("GOOGLETRANSLATE(A51721,""en"",""pt"")"),"Muito bonito carrinho de criança, bunting cobertura é um excelente acessório")</f>
        <v>Muito bonito carrinho de criança, bunting cobertura é um excelente acessório</v>
      </c>
      <c r="B51721" s="3">
        <v>1</v>
      </c>
    </row>
    <row r="51722" ht="15.75" customHeight="1" spans="1:2">
      <c r="A51722" s="3" t="str">
        <f>IFERROR(__xludf.DUMMYFUNCTION("GOOGLETRANSLATE(A51722,""en"",""pt"")"),"transporte e carrinho muito confortável para o bebê")</f>
        <v>transporte e carrinho muito confortável para o bebê</v>
      </c>
      <c r="B51722" s="3">
        <v>1</v>
      </c>
    </row>
    <row r="51723" ht="15.75" customHeight="1" spans="1:2">
      <c r="A51723" s="3" t="str">
        <f>IFERROR(__xludf.DUMMYFUNCTION("GOOGLETRANSLATE(A51723,""en"",""pt"")"),"fácil de usar, fácil de limpar, passeios sem problemas,")</f>
        <v>fácil de usar, fácil de limpar, passeios sem problemas,</v>
      </c>
      <c r="B51723" s="3">
        <v>1</v>
      </c>
    </row>
    <row r="51724" ht="15.75" customHeight="1" spans="1:2">
      <c r="A51724" s="3" t="str">
        <f>IFERROR(__xludf.DUMMYFUNCTION("GOOGLETRANSLATE(A51724,""en"",""pt"")"),"construção sólida, estilo atraente, fácil de usar")</f>
        <v>construção sólida, estilo atraente, fácil de usar</v>
      </c>
      <c r="B51724" s="3">
        <v>1</v>
      </c>
    </row>
    <row r="51725" ht="15.75" customHeight="1" spans="1:2">
      <c r="A51725" s="3" t="str">
        <f>IFERROR(__xludf.DUMMYFUNCTION("GOOGLETRANSLATE(A51725,""en"",""pt"")"),"a leste aberto, fácil perto")</f>
        <v>a leste aberto, fácil perto</v>
      </c>
      <c r="B51725" s="3">
        <v>1</v>
      </c>
    </row>
    <row r="51726" ht="15.75" customHeight="1" spans="1:2">
      <c r="A51726" s="3" t="str">
        <f>IFERROR(__xludf.DUMMYFUNCTION("GOOGLETRANSLATE(A51726,""en"",""pt"")"),"Bonito, fácil de compactar")</f>
        <v>Bonito, fácil de compactar</v>
      </c>
      <c r="B51726" s="3">
        <v>1</v>
      </c>
    </row>
    <row r="51727" ht="15.75" customHeight="1" spans="1:2">
      <c r="A51727" s="3" t="str">
        <f>IFERROR(__xludf.DUMMYFUNCTION("GOOGLETRANSLATE(A51727,""en"",""pt"")"),"reclina rodas totalmente, ajustáveis ​​e direcção punho")</f>
        <v>reclina rodas totalmente, ajustáveis ​​e direcção punho</v>
      </c>
      <c r="B51727" s="3">
        <v>1</v>
      </c>
    </row>
    <row r="51728" ht="15.75" customHeight="1" spans="1:2">
      <c r="A51728" s="3" t="str">
        <f>IFERROR(__xludf.DUMMYFUNCTION("GOOGLETRANSLATE(A51728,""en"",""pt"")"),"Eu sinto o bebê é seguro, é fácil de usar e confortável para o bebê")</f>
        <v>Eu sinto o bebê é seguro, é fácil de usar e confortável para o bebê</v>
      </c>
      <c r="B51728" s="3">
        <v>1</v>
      </c>
    </row>
    <row r="51729" ht="15.75" customHeight="1" spans="1:2">
      <c r="A51729" s="3" t="str">
        <f>IFERROR(__xludf.DUMMYFUNCTION("GOOGLETRANSLATE(A51729,""en"",""pt"")"),"É muito confortável para a criança.")</f>
        <v>É muito confortável para a criança.</v>
      </c>
      <c r="B51729" s="3">
        <v>1</v>
      </c>
    </row>
    <row r="51730" ht="15.75" customHeight="1" spans="1:2">
      <c r="A51730" s="3" t="str">
        <f>IFERROR(__xludf.DUMMYFUNCTION("GOOGLETRANSLATE(A51730,""en"",""pt"")"),"Convertidos do ""carrinho de bebê"" tradicional para carrinho de criança, de boot completo para o inverno, muito de pelúcia")</f>
        <v>Convertidos do "carrinho de bebê" tradicional para carrinho de criança, de boot completo para o inverno, muito de pelúcia</v>
      </c>
      <c r="B51730" s="3">
        <v>1</v>
      </c>
    </row>
    <row r="51731" ht="15.75" customHeight="1" spans="1:2">
      <c r="A51731" s="3" t="str">
        <f>IFERROR(__xludf.DUMMYFUNCTION("GOOGLETRANSLATE(A51731,""en"",""pt"")"),"boa cobertura, reclina todo o caminho, extensão agradável perna")</f>
        <v>boa cobertura, reclina todo o caminho, extensão agradável perna</v>
      </c>
      <c r="B51731" s="3">
        <v>1</v>
      </c>
    </row>
    <row r="51732" ht="15.75" customHeight="1" spans="1:2">
      <c r="A51732" s="3" t="str">
        <f>IFERROR(__xludf.DUMMYFUNCTION("GOOGLETRANSLATE(A51732,""en"",""pt"")"),"Carregado com muitas características agradáveis ​​e é bonito!")</f>
        <v>Carregado com muitas características agradáveis ​​e é bonito!</v>
      </c>
      <c r="B51732" s="3">
        <v>1</v>
      </c>
    </row>
    <row r="51733" ht="15.75" customHeight="1" spans="1:2">
      <c r="A51733" s="3" t="str">
        <f>IFERROR(__xludf.DUMMYFUNCTION("GOOGLETRANSLATE(A51733,""en"",""pt"")"),"As pessoas pensam que você é um ""big shot"" com este artigo do bebê de luxo.")</f>
        <v>As pessoas pensam que você é um "big shot" com este artigo do bebê de luxo.</v>
      </c>
      <c r="B51733" s="3">
        <v>1</v>
      </c>
    </row>
    <row r="51734" ht="15.75" customHeight="1" spans="1:2">
      <c r="A51734" s="3" t="str">
        <f>IFERROR(__xludf.DUMMYFUNCTION("GOOGLETRANSLATE(A51734,""en"",""pt"")"),"Muito confortável")</f>
        <v>Muito confortável</v>
      </c>
      <c r="B51734" s="3">
        <v>1</v>
      </c>
    </row>
    <row r="51735" ht="15.75" customHeight="1" spans="1:2">
      <c r="A51735" s="3" t="str">
        <f>IFERROR(__xludf.DUMMYFUNCTION("GOOGLETRANSLATE(A51735,""en"",""pt"")"),"fácil armazenamento, portáteis, aparência")</f>
        <v>fácil armazenamento, portáteis, aparência</v>
      </c>
      <c r="B51735" s="3">
        <v>1</v>
      </c>
    </row>
    <row r="51736" ht="15.75" customHeight="1" spans="1:2">
      <c r="A51736" s="3" t="str">
        <f>IFERROR(__xludf.DUMMYFUNCTION("GOOGLETRANSLATE(A51736,""en"",""pt"")"),"Construção, estabilidade, tamanho, aparência, versatilidade")</f>
        <v>Construção, estabilidade, tamanho, aparência, versatilidade</v>
      </c>
      <c r="B51736" s="3">
        <v>1</v>
      </c>
    </row>
    <row r="51737" ht="15.75" customHeight="1" spans="1:2">
      <c r="A51737" s="3" t="str">
        <f>IFERROR(__xludf.DUMMYFUNCTION("GOOGLETRANSLATE(A51737,""en"",""pt"")"),"recline completa, reversível guiador, espaçosos para o bebê")</f>
        <v>recline completa, reversível guiador, espaçosos para o bebê</v>
      </c>
      <c r="B51737" s="3">
        <v>1</v>
      </c>
    </row>
    <row r="51738" ht="15.75" customHeight="1" spans="1:2">
      <c r="A51738" s="3" t="str">
        <f>IFERROR(__xludf.DUMMYFUNCTION("GOOGLETRANSLATE(A51738,""en"",""pt"")"),"Confortável para as crianças")</f>
        <v>Confortável para as crianças</v>
      </c>
      <c r="B51738" s="3">
        <v>1</v>
      </c>
    </row>
    <row r="51739" ht="15.75" customHeight="1" spans="1:2">
      <c r="A51739" s="3" t="str">
        <f>IFERROR(__xludf.DUMMYFUNCTION("GOOGLETRANSLATE(A51739,""en"",""pt"")"),"Excelente para recém-nascidos, muito resistente")</f>
        <v>Excelente para recém-nascidos, muito resistente</v>
      </c>
      <c r="B51739" s="3">
        <v>1</v>
      </c>
    </row>
    <row r="51740" ht="15.75" customHeight="1" spans="1:2">
      <c r="A51740" s="3" t="str">
        <f>IFERROR(__xludf.DUMMYFUNCTION("GOOGLETRANSLATE(A51740,""en"",""pt"")"),"amp; Lightweight &amp; amp; Fácil fechar")</f>
        <v>amp; Lightweight &amp; amp; Fácil fechar</v>
      </c>
      <c r="B51740" s="3">
        <v>1</v>
      </c>
    </row>
    <row r="51741" ht="15.75" customHeight="1" spans="1:2">
      <c r="A51741" s="3" t="str">
        <f>IFERROR(__xludf.DUMMYFUNCTION("GOOGLETRANSLATE(A51741,""en"",""pt"")"),"Top of the Line - vai durar para sempre")</f>
        <v>Top of the Line - vai durar para sempre</v>
      </c>
      <c r="B51741" s="3">
        <v>1</v>
      </c>
    </row>
    <row r="51742" ht="15.75" customHeight="1" spans="1:2">
      <c r="A51742" s="3" t="str">
        <f>IFERROR(__xludf.DUMMYFUNCTION("GOOGLETRANSLATE(A51742,""en"",""pt"")"),"Extremamente resistente e vai durar para sempre")</f>
        <v>Extremamente resistente e vai durar para sempre</v>
      </c>
      <c r="B51742" s="3">
        <v>1</v>
      </c>
    </row>
    <row r="51743" ht="15.75" customHeight="1" spans="1:2">
      <c r="A51743" s="3" t="str">
        <f>IFERROR(__xludf.DUMMYFUNCTION("GOOGLETRANSLATE(A51743,""en"",""pt"")"),"Muitos recursos, incluindo a conversão de carrinho para transporte, assento que pode deitar-se todo o caminho plano e opção de ter criança virada para ou longe de você.")</f>
        <v>Muitos recursos, incluindo a conversão de carrinho para transporte, assento que pode deitar-se todo o caminho plano e opção de ter criança virada para ou longe de você.</v>
      </c>
      <c r="B51743" s="3">
        <v>1</v>
      </c>
    </row>
    <row r="51744" ht="15.75" customHeight="1" spans="1:2">
      <c r="A51744" s="3" t="str">
        <f>IFERROR(__xludf.DUMMYFUNCTION("GOOGLETRANSLATE(A51744,""en"",""pt"")"),"atraente")</f>
        <v>atraente</v>
      </c>
      <c r="B51744" s="3">
        <v>1</v>
      </c>
    </row>
    <row r="51745" ht="15.75" customHeight="1" spans="1:2">
      <c r="A51745" s="3" t="str">
        <f>IFERROR(__xludf.DUMMYFUNCTION("GOOGLETRANSLATE(A51745,""en"",""pt"")"),"fácil de operar")</f>
        <v>fácil de operar</v>
      </c>
      <c r="B51745" s="3">
        <v>1</v>
      </c>
    </row>
    <row r="51746" ht="15.75" customHeight="1" spans="1:2">
      <c r="A51746" s="3" t="str">
        <f>IFERROR(__xludf.DUMMYFUNCTION("GOOGLETRANSLATE(A51746,""en"",""pt"")"),"amo cada pedaço do carrinho")</f>
        <v>amo cada pedaço do carrinho</v>
      </c>
      <c r="B51746" s="3">
        <v>1</v>
      </c>
    </row>
    <row r="51747" ht="15.75" customHeight="1" spans="1:2">
      <c r="A51747" s="3" t="str">
        <f>IFERROR(__xludf.DUMMYFUNCTION("GOOGLETRANSLATE(A51747,""en"",""pt"")"),"parece")</f>
        <v>parece</v>
      </c>
      <c r="B51747" s="3">
        <v>1</v>
      </c>
    </row>
    <row r="51748" ht="15.75" customHeight="1" spans="1:2">
      <c r="A51748" s="3" t="str">
        <f>IFERROR(__xludf.DUMMYFUNCTION("GOOGLETRANSLATE(A51748,""en"",""pt"")"),"Leve, fácil de usar!")</f>
        <v>Leve, fácil de usar!</v>
      </c>
      <c r="B51748" s="3">
        <v>1</v>
      </c>
    </row>
    <row r="51749" ht="15.75" customHeight="1" spans="1:2">
      <c r="A51749" s="3" t="str">
        <f>IFERROR(__xludf.DUMMYFUNCTION("GOOGLETRANSLATE(A51749,""en"",""pt"")"),"Fácil de usar, fácil de manobrar, bom passeio")</f>
        <v>Fácil de usar, fácil de manobrar, bom passeio</v>
      </c>
      <c r="B51749" s="3">
        <v>1</v>
      </c>
    </row>
    <row r="51750" ht="15.75" customHeight="1" spans="1:2">
      <c r="A51750" s="3" t="str">
        <f>IFERROR(__xludf.DUMMYFUNCTION("GOOGLETRANSLATE(A51750,""en"",""pt"")"),"Posições, Beleza, Funções")</f>
        <v>Posições, Beleza, Funções</v>
      </c>
      <c r="B51750" s="3">
        <v>1</v>
      </c>
    </row>
    <row r="51751" ht="15.75" customHeight="1" spans="1:2">
      <c r="A51751" s="3" t="str">
        <f>IFERROR(__xludf.DUMMYFUNCTION("GOOGLETRANSLATE(A51751,""en"",""pt"")"),"resistente, leve, atraente")</f>
        <v>resistente, leve, atraente</v>
      </c>
      <c r="B51751" s="3">
        <v>1</v>
      </c>
    </row>
    <row r="51752" ht="15.75" customHeight="1" spans="1:2">
      <c r="A51752" s="3" t="str">
        <f>IFERROR(__xludf.DUMMYFUNCTION("GOOGLETRANSLATE(A51752,""en"",""pt"")"),"fácil de manobra, dobra-se facilmente, atraente")</f>
        <v>fácil de manobra, dobra-se facilmente, atraente</v>
      </c>
      <c r="B51752" s="3">
        <v>1</v>
      </c>
    </row>
    <row r="51753" ht="15.75" customHeight="1" spans="1:2">
      <c r="A51753" s="3" t="str">
        <f>IFERROR(__xludf.DUMMYFUNCTION("GOOGLETRANSLATE(A51753,""en"",""pt"")"),"muito espaçoso, de longa duração")</f>
        <v>muito espaçoso, de longa duração</v>
      </c>
      <c r="B51753" s="3">
        <v>1</v>
      </c>
    </row>
    <row r="51754" ht="15.75" customHeight="1" spans="1:2">
      <c r="A51754" s="3" t="str">
        <f>IFERROR(__xludf.DUMMYFUNCTION("GOOGLETRANSLATE(A51754,""en"",""pt"")"),"Muito resistente, fácil de &amp; amp; quot; piloto &amp; amp; quot ;, confortável")</f>
        <v>Muito resistente, fácil de &amp; amp; quot; piloto &amp; amp; quot ;, confortável</v>
      </c>
      <c r="B51754" s="3">
        <v>1</v>
      </c>
    </row>
    <row r="51755" ht="15.75" customHeight="1" spans="1:2">
      <c r="A51755" s="3" t="str">
        <f>IFERROR(__xludf.DUMMYFUNCTION("GOOGLETRANSLATE(A51755,""en"",""pt"")"),"beleza, facilidade de uso, segurança")</f>
        <v>beleza, facilidade de uso, segurança</v>
      </c>
      <c r="B51755" s="3">
        <v>1</v>
      </c>
    </row>
    <row r="51756" ht="15.75" customHeight="1" spans="1:2">
      <c r="A51756" s="3" t="str">
        <f>IFERROR(__xludf.DUMMYFUNCTION("GOOGLETRANSLATE(A51756,""en"",""pt"")"),"Luxuoso, resistente, seguro")</f>
        <v>Luxuoso, resistente, seguro</v>
      </c>
      <c r="B51756" s="3">
        <v>1</v>
      </c>
    </row>
    <row r="51757" ht="15.75" customHeight="1" spans="1:2">
      <c r="A51757" s="3" t="str">
        <f>IFERROR(__xludf.DUMMYFUNCTION("GOOGLETRANSLATE(A51757,""en"",""pt"")"),"Confortável, resistente, veste bem")</f>
        <v>Confortável, resistente, veste bem</v>
      </c>
      <c r="B51757" s="3">
        <v>1</v>
      </c>
    </row>
    <row r="51758" ht="15.75" customHeight="1" spans="1:2">
      <c r="A51758" s="3" t="str">
        <f>IFERROR(__xludf.DUMMYFUNCTION("GOOGLETRANSLATE(A51758,""en"",""pt"")"),"Alta qualidade, versátil, confortável para o bebê")</f>
        <v>Alta qualidade, versátil, confortável para o bebê</v>
      </c>
      <c r="B51758" s="3">
        <v>1</v>
      </c>
    </row>
    <row r="51759" ht="15.75" customHeight="1" spans="1:2">
      <c r="A51759" s="3" t="str">
        <f>IFERROR(__xludf.DUMMYFUNCTION("GOOGLETRANSLATE(A51759,""en"",""pt"")"),"Qualidade e Durabilidade")</f>
        <v>Qualidade e Durabilidade</v>
      </c>
      <c r="B51759" s="3">
        <v>1</v>
      </c>
    </row>
    <row r="51760" ht="15.75" customHeight="1" spans="1:2">
      <c r="A51760" s="3" t="str">
        <f>IFERROR(__xludf.DUMMYFUNCTION("GOOGLETRANSLATE(A51760,""en"",""pt"")"),"forte, bonito, fácil de manusear")</f>
        <v>forte, bonito, fácil de manusear</v>
      </c>
      <c r="B51760" s="3">
        <v>1</v>
      </c>
    </row>
    <row r="51761" ht="15.75" customHeight="1" spans="1:2">
      <c r="A51761" s="3" t="str">
        <f>IFERROR(__xludf.DUMMYFUNCTION("GOOGLETRANSLATE(A51761,""en"",""pt"")"),"nenhum realmente .... Eu acho que é uma coisa 'status' para os pais a comprar um desses")</f>
        <v>nenhum realmente .... Eu acho que é uma coisa 'status' para os pais a comprar um desses</v>
      </c>
      <c r="B51761" s="3">
        <v>1</v>
      </c>
    </row>
    <row r="51762" ht="15.75" customHeight="1" spans="1:2">
      <c r="A51762" s="3" t="str">
        <f>IFERROR(__xludf.DUMMYFUNCTION("GOOGLETRANSLATE(A51762,""en"",""pt"")"),"Grande passeio, punho reversível, bom espaço de armazenamento, as rodas dianteiras e traseiras bloqueio, etc.")</f>
        <v>Grande passeio, punho reversível, bom espaço de armazenamento, as rodas dianteiras e traseiras bloqueio, etc.</v>
      </c>
      <c r="B51762" s="3">
        <v>1</v>
      </c>
    </row>
    <row r="51763" ht="15.75" customHeight="1" spans="1:2">
      <c r="A51763" s="3" t="str">
        <f>IFERROR(__xludf.DUMMYFUNCTION("GOOGLETRANSLATE(A51763,""en"",""pt"")"),"sólidas, muito atraente, alças bem")</f>
        <v>sólidas, muito atraente, alças bem</v>
      </c>
      <c r="B51763" s="3">
        <v>1</v>
      </c>
    </row>
    <row r="51764" ht="15.75" customHeight="1" spans="1:2">
      <c r="A51764" s="3" t="str">
        <f>IFERROR(__xludf.DUMMYFUNCTION("GOOGLETRANSLATE(A51764,""en"",""pt"")"),"empurra muito bem, bonito, de 5 pontos arnês de segurança, inicialização completa")</f>
        <v>empurra muito bem, bonito, de 5 pontos arnês de segurança, inicialização completa</v>
      </c>
      <c r="B51764" s="3">
        <v>1</v>
      </c>
    </row>
    <row r="51765" ht="15.75" customHeight="1" spans="1:2">
      <c r="A51765" s="3" t="str">
        <f>IFERROR(__xludf.DUMMYFUNCTION("GOOGLETRANSLATE(A51765,""en"",""pt"")"),"muitas características convenientes")</f>
        <v>muitas características convenientes</v>
      </c>
      <c r="B51765" s="3">
        <v>1</v>
      </c>
    </row>
    <row r="51766" ht="15.75" customHeight="1" spans="1:2">
      <c r="A51766" s="3" t="str">
        <f>IFERROR(__xludf.DUMMYFUNCTION("GOOGLETRANSLATE(A51766,""en"",""pt"")"),"robustez, conforto, fácil de empurrar, bonito exterior")</f>
        <v>robustez, conforto, fácil de empurrar, bonito exterior</v>
      </c>
      <c r="B51766" s="3">
        <v>1</v>
      </c>
    </row>
    <row r="51767" ht="15.75" customHeight="1" spans="1:2">
      <c r="A51767" s="3" t="str">
        <f>IFERROR(__xludf.DUMMYFUNCTION("GOOGLETRANSLATE(A51767,""en"",""pt"")"),"Armazena 80 lbs., Alça ajustável, rodas de borracha girar e fechadura")</f>
        <v>Armazena 80 lbs., Alça ajustável, rodas de borracha girar e fechadura</v>
      </c>
      <c r="B51767" s="3">
        <v>1</v>
      </c>
    </row>
    <row r="51768" ht="15.75" customHeight="1" spans="1:2">
      <c r="A51768" s="3" t="str">
        <f>IFERROR(__xludf.DUMMYFUNCTION("GOOGLETRANSLATE(A51768,""en"",""pt"")"),"Fácil de usar")</f>
        <v>Fácil de usar</v>
      </c>
      <c r="B51768" s="3">
        <v>1</v>
      </c>
    </row>
    <row r="51769" ht="15.75" customHeight="1" spans="1:2">
      <c r="A51769" s="3" t="str">
        <f>IFERROR(__xludf.DUMMYFUNCTION("GOOGLETRANSLATE(A51769,""en"",""pt"")"),"Pode ser usado com assento infantil, acomodar passageiros estribo, e muito, muito mais!")</f>
        <v>Pode ser usado com assento infantil, acomodar passageiros estribo, e muito, muito mais!</v>
      </c>
      <c r="B51769" s="3">
        <v>1</v>
      </c>
    </row>
    <row r="51770" ht="15.75" customHeight="1" spans="1:2">
      <c r="A51770" s="3" t="str">
        <f>IFERROR(__xludf.DUMMYFUNCTION("GOOGLETRANSLATE(A51770,""en"",""pt"")"),"Leve, durável e bonito!")</f>
        <v>Leve, durável e bonito!</v>
      </c>
      <c r="B51770" s="3">
        <v>1</v>
      </c>
    </row>
    <row r="51771" ht="15.75" customHeight="1" spans="1:2">
      <c r="A51771" s="3" t="str">
        <f>IFERROR(__xludf.DUMMYFUNCTION("GOOGLETRANSLATE(A51771,""en"",""pt"")"),"aparência, conforto do bebê, a capacidade de reclinação")</f>
        <v>aparência, conforto do bebê, a capacidade de reclinação</v>
      </c>
      <c r="B51771" s="3">
        <v>1</v>
      </c>
    </row>
    <row r="51772" ht="15.75" customHeight="1" spans="1:2">
      <c r="A51772" s="3" t="str">
        <f>IFERROR(__xludf.DUMMYFUNCTION("GOOGLETRANSLATE(A51772,""en"",""pt"")"),"Aparência, conforto para o bebê, nome")</f>
        <v>Aparência, conforto para o bebê, nome</v>
      </c>
      <c r="B51772" s="3">
        <v>1</v>
      </c>
    </row>
    <row r="51773" ht="15.75" customHeight="1" spans="1:2">
      <c r="A51773" s="3" t="str">
        <f>IFERROR(__xludf.DUMMYFUNCTION("GOOGLETRANSLATE(A51773,""en"",""pt"")"),"Fácil de usar!!!")</f>
        <v>Fácil de usar!!!</v>
      </c>
      <c r="B51773" s="3">
        <v>1</v>
      </c>
    </row>
    <row r="51774" ht="15.75" customHeight="1" spans="1:2">
      <c r="A51774" s="3" t="str">
        <f>IFERROR(__xludf.DUMMYFUNCTION("GOOGLETRANSLATE(A51774,""en"",""pt"")"),"muitas características, aparência extravagante")</f>
        <v>muitas características, aparência extravagante</v>
      </c>
      <c r="B51774" s="3">
        <v>1</v>
      </c>
    </row>
    <row r="51775" ht="15.75" customHeight="1" spans="1:2">
      <c r="A51775" s="3" t="str">
        <f>IFERROR(__xludf.DUMMYFUNCTION("GOOGLETRANSLATE(A51775,""en"",""pt"")"),"Dobra-se tão pequeno! Chuva e guarda-sol !! Fica na posição vertical.")</f>
        <v>Dobra-se tão pequeno! Chuva e guarda-sol !! Fica na posição vertical.</v>
      </c>
      <c r="B51775" s="3">
        <v>1</v>
      </c>
    </row>
    <row r="51776" ht="15.75" customHeight="1" spans="1:2">
      <c r="A51776" s="3" t="str">
        <f>IFERROR(__xludf.DUMMYFUNCTION("GOOGLETRANSLATE(A51776,""en"",""pt"")"),"Peso leve, de qualidade, rodas knobby, confortável e fácil de usar")</f>
        <v>Peso leve, de qualidade, rodas knobby, confortável e fácil de usar</v>
      </c>
      <c r="B51776" s="3">
        <v>1</v>
      </c>
    </row>
    <row r="51777" ht="15.75" customHeight="1" spans="1:2">
      <c r="A51777" s="3" t="str">
        <f>IFERROR(__xludf.DUMMYFUNCTION("GOOGLETRANSLATE(A51777,""en"",""pt"")"),"Dobras forma compacta, durável, bem feito, Canopy puxa todo o caminho para a frente.")</f>
        <v>Dobras forma compacta, durável, bem feito, Canopy puxa todo o caminho para a frente.</v>
      </c>
      <c r="B51777" s="3">
        <v>1</v>
      </c>
    </row>
    <row r="51778" ht="15.75" customHeight="1" spans="1:2">
      <c r="A51778" s="3" t="str">
        <f>IFERROR(__xludf.DUMMYFUNCTION("GOOGLETRANSLATE(A51778,""en"",""pt"")"),"Leve, elegante &amp; amp; lotes conveniências")</f>
        <v>Leve, elegante &amp; amp; lotes conveniências</v>
      </c>
      <c r="B51778" s="3">
        <v>1</v>
      </c>
    </row>
    <row r="51779" ht="15.75" customHeight="1" spans="1:2">
      <c r="A51779" s="3" t="str">
        <f>IFERROR(__xludf.DUMMYFUNCTION("GOOGLETRANSLATE(A51779,""en"",""pt"")"),", Resistente, sistema maravilhoso de longa duração")</f>
        <v>, Resistente, sistema maravilhoso de longa duração</v>
      </c>
      <c r="B51779" s="3">
        <v>1</v>
      </c>
    </row>
    <row r="51780" ht="15.75" customHeight="1" spans="1:2">
      <c r="A51780" s="3" t="str">
        <f>IFERROR(__xludf.DUMMYFUNCTION("GOOGLETRANSLATE(A51780,""en"",""pt"")"),"Muitas opções")</f>
        <v>Muitas opções</v>
      </c>
      <c r="B51780" s="3">
        <v>1</v>
      </c>
    </row>
    <row r="51781" ht="15.75" customHeight="1" spans="1:2">
      <c r="A51781" s="3" t="str">
        <f>IFERROR(__xludf.DUMMYFUNCTION("GOOGLETRANSLATE(A51781,""en"",""pt"")"),"Espaçosa, agradáveis ​​altos pegas, 5 pontos arnês, canopy BIG")</f>
        <v>Espaçosa, agradáveis ​​altos pegas, 5 pontos arnês, canopy BIG</v>
      </c>
      <c r="B51781" s="3">
        <v>1</v>
      </c>
    </row>
    <row r="51782" ht="15.75" customHeight="1" spans="1:2">
      <c r="A51782" s="3" t="str">
        <f>IFERROR(__xludf.DUMMYFUNCTION("GOOGLETRANSLATE(A51782,""en"",""pt"")"),"Fun Color (Sunscapes); Grande Canopy; degrau traseiro para uma criança; Perego Qualidade")</f>
        <v>Fun Color (Sunscapes); Grande Canopy; degrau traseiro para uma criança; Perego Qualidade</v>
      </c>
      <c r="B51782" s="3">
        <v>1</v>
      </c>
    </row>
    <row r="51783" ht="15.75" customHeight="1" spans="1:2">
      <c r="A51783" s="3" t="str">
        <f>IFERROR(__xludf.DUMMYFUNCTION("GOOGLETRANSLATE(A51783,""en"",""pt"")"),"Pequeno quando dobrado, passo posterior para crianças mais velhas")</f>
        <v>Pequeno quando dobrado, passo posterior para crianças mais velhas</v>
      </c>
      <c r="B51783" s="3">
        <v>1</v>
      </c>
    </row>
    <row r="51784" ht="15.75" customHeight="1" spans="1:2">
      <c r="A51784" s="3" t="str">
        <f>IFERROR(__xludf.DUMMYFUNCTION("GOOGLETRANSLATE(A51784,""en"",""pt"")"),"atraente, grande capot; confortável")</f>
        <v>atraente, grande capot; confortável</v>
      </c>
      <c r="B51784" s="3">
        <v>1</v>
      </c>
    </row>
    <row r="51785" ht="15.75" customHeight="1" spans="1:2">
      <c r="A51785" s="3" t="str">
        <f>IFERROR(__xludf.DUMMYFUNCTION("GOOGLETRANSLATE(A51785,""en"",""pt"")"),"leve, fácil de manobrar, durável")</f>
        <v>leve, fácil de manobrar, durável</v>
      </c>
      <c r="B51785" s="3">
        <v>1</v>
      </c>
    </row>
    <row r="51786" ht="15.75" customHeight="1" spans="1:2">
      <c r="A51786" s="3" t="str">
        <f>IFERROR(__xludf.DUMMYFUNCTION("GOOGLETRANSLATE(A51786,""en"",""pt"")"),"construção de qualidade, assento totalmente reclináveis")</f>
        <v>construção de qualidade, assento totalmente reclináveis</v>
      </c>
      <c r="B51786" s="3">
        <v>1</v>
      </c>
    </row>
    <row r="51787" ht="15.75" customHeight="1" spans="1:2">
      <c r="A51787" s="3" t="str">
        <f>IFERROR(__xludf.DUMMYFUNCTION("GOOGLETRANSLATE(A51787,""en"",""pt"")"),"Leve, alças terrenos acidentados com facilidade, se encaixa bebês e crianças pequenas, lojas bem.")</f>
        <v>Leve, alças terrenos acidentados com facilidade, se encaixa bebês e crianças pequenas, lojas bem.</v>
      </c>
      <c r="B51787" s="3">
        <v>1</v>
      </c>
    </row>
    <row r="51788" ht="15.75" customHeight="1" spans="1:2">
      <c r="A51788" s="3" t="str">
        <f>IFERROR(__xludf.DUMMYFUNCTION("GOOGLETRANSLATE(A51788,""en"",""pt"")"),"Arnês de 5 pontos; fica na posição vertical quando dobrado; marquise; tampa da chuva ligado")</f>
        <v>Arnês de 5 pontos; fica na posição vertical quando dobrado; marquise; tampa da chuva ligado</v>
      </c>
      <c r="B51788" s="3">
        <v>1</v>
      </c>
    </row>
    <row r="51789" ht="15.75" customHeight="1" spans="1:2">
      <c r="A51789" s="3" t="s">
        <v>266</v>
      </c>
      <c r="B51789" s="3">
        <v>1</v>
      </c>
    </row>
    <row r="51790" ht="15.75" customHeight="1" spans="1:2">
      <c r="A51790" s="3" t="str">
        <f>IFERROR(__xludf.DUMMYFUNCTION("GOOGLETRANSLATE(A51790,""en"",""pt"")"),"Espaçoso para crianças e reclina para diferentes posições. Dobras para tamanho conveniente.")</f>
        <v>Espaçoso para crianças e reclina para diferentes posições. Dobras para tamanho conveniente.</v>
      </c>
      <c r="B51790" s="3">
        <v>1</v>
      </c>
    </row>
    <row r="51791" ht="15.75" customHeight="1" spans="1:2">
      <c r="A51791" s="3" t="str">
        <f>IFERROR(__xludf.DUMMYFUNCTION("GOOGLETRANSLATE(A51791,""en"",""pt"")"),"Transforma facilmente, estável, confortável, robusto e confiável.")</f>
        <v>Transforma facilmente, estável, confortável, robusto e confiável.</v>
      </c>
      <c r="B51791" s="3">
        <v>1</v>
      </c>
    </row>
    <row r="51792" ht="15.75" customHeight="1" spans="1:2">
      <c r="A51792" s="3" t="str">
        <f>IFERROR(__xludf.DUMMYFUNCTION("GOOGLETRANSLATE(A51792,""en"",""pt"")"),"Boa aparência; fácil de abrir e fechar; fácil de manobrar em espaços apertados")</f>
        <v>Boa aparência; fácil de abrir e fechar; fácil de manobrar em espaços apertados</v>
      </c>
      <c r="B51792" s="3">
        <v>1</v>
      </c>
    </row>
    <row r="51793" ht="15.75" customHeight="1" spans="1:2">
      <c r="A51793" s="3" t="str">
        <f>IFERROR(__xludf.DUMMYFUNCTION("GOOGLETRANSLATE(A51793,""en"",""pt"")"),"estribo traseiro, dobra-se pequena, confortável para crianças, alças ajustáveis, resistente, mas leve")</f>
        <v>estribo traseiro, dobra-se pequena, confortável para crianças, alças ajustáveis, resistente, mas leve</v>
      </c>
      <c r="B51793" s="3">
        <v>1</v>
      </c>
    </row>
    <row r="51794" ht="15.75" customHeight="1" spans="1:2">
      <c r="A51794" s="3" t="str">
        <f>IFERROR(__xludf.DUMMYFUNCTION("GOOGLETRANSLATE(A51794,""en"",""pt"")"),"leve, resistente, bar frontal removível, bar ficar para trás, cheio de recursos")</f>
        <v>leve, resistente, bar frontal removível, bar ficar para trás, cheio de recursos</v>
      </c>
      <c r="B51794" s="3">
        <v>1</v>
      </c>
    </row>
    <row r="51795" ht="15.75" customHeight="1" spans="1:2">
      <c r="A51795" s="3" t="str">
        <f>IFERROR(__xludf.DUMMYFUNCTION("GOOGLETRANSLATE(A51795,""en"",""pt"")"),"Compacto, leve, durável e é um Peg Perego ...")</f>
        <v>Compacto, leve, durável e é um Peg Perego ...</v>
      </c>
      <c r="B51795" s="3">
        <v>1</v>
      </c>
    </row>
    <row r="51796" ht="15.75" customHeight="1" spans="1:2">
      <c r="A51796" s="3" t="str">
        <f>IFERROR(__xludf.DUMMYFUNCTION("GOOGLETRANSLATE(A51796,""en"",""pt"")"),"Leve, durável, confortável, se desenrola rapidamente")</f>
        <v>Leve, durável, confortável, se desenrola rapidamente</v>
      </c>
      <c r="B51796" s="3">
        <v>1</v>
      </c>
    </row>
    <row r="51797" ht="15.75" customHeight="1" spans="1:2">
      <c r="A51797" s="3" t="str">
        <f>IFERROR(__xludf.DUMMYFUNCTION("GOOGLETRANSLATE(A51797,""en"",""pt"")"),"Leve, reclina, pode transportar uma criança mais velha na parte de trás, durável.")</f>
        <v>Leve, reclina, pode transportar uma criança mais velha na parte de trás, durável.</v>
      </c>
      <c r="B51797" s="3">
        <v>1</v>
      </c>
    </row>
    <row r="51798" ht="15.75" customHeight="1" spans="1:2">
      <c r="A51798" s="3" t="str">
        <f>IFERROR(__xludf.DUMMYFUNCTION("GOOGLETRANSLATE(A51798,""en"",""pt"")"),"resistente, apoio para os pés de volta")</f>
        <v>resistente, apoio para os pés de volta</v>
      </c>
      <c r="B51798" s="3">
        <v>1</v>
      </c>
    </row>
    <row r="51799" ht="15.75" customHeight="1" spans="1:2">
      <c r="A51799" s="3" t="str">
        <f>IFERROR(__xludf.DUMMYFUNCTION("GOOGLETRANSLATE(A51799,""en"",""pt"")"),"Leve, durável, compacto")</f>
        <v>Leve, durável, compacto</v>
      </c>
      <c r="B51799" s="3">
        <v>1</v>
      </c>
    </row>
    <row r="51800" ht="15.75" customHeight="1" spans="1:2">
      <c r="A51800" s="3" t="str">
        <f>IFERROR(__xludf.DUMMYFUNCTION("GOOGLETRANSLATE(A51800,""en"",""pt"")"),"de fácil navegação, assento totalmente reclina")</f>
        <v>de fácil navegação, assento totalmente reclina</v>
      </c>
      <c r="B51800" s="3">
        <v>1</v>
      </c>
    </row>
    <row r="51801" ht="15.75" customHeight="1" spans="1:2">
      <c r="A51801" s="3" t="str">
        <f>IFERROR(__xludf.DUMMYFUNCTION("GOOGLETRANSLATE(A51801,""en"",""pt"")"),"resistente, alças muito bem, fácil de dobrar-se, totalmente reclinável, elegante.")</f>
        <v>resistente, alças muito bem, fácil de dobrar-se, totalmente reclinável, elegante.</v>
      </c>
      <c r="B51801" s="3">
        <v>1</v>
      </c>
    </row>
    <row r="51802" ht="15.75" customHeight="1" spans="1:2">
      <c r="A51802" s="3" t="str">
        <f>IFERROR(__xludf.DUMMYFUNCTION("GOOGLETRANSLATE(A51802,""en"",""pt"")"),"grandes rodas, preço e conforto")</f>
        <v>grandes rodas, preço e conforto</v>
      </c>
      <c r="B51802" s="3">
        <v>1</v>
      </c>
    </row>
    <row r="51803" ht="15.75" customHeight="1" spans="1:2">
      <c r="A51803" s="3" t="str">
        <f>IFERROR(__xludf.DUMMYFUNCTION("GOOGLETRANSLATE(A51803,""en"",""pt"")"),"leve, durável, marca")</f>
        <v>leve, durável, marca</v>
      </c>
      <c r="B51803" s="3">
        <v>1</v>
      </c>
    </row>
    <row r="51804" ht="15.75" customHeight="1" spans="1:2">
      <c r="A51804" s="3" t="str">
        <f>IFERROR(__xludf.DUMMYFUNCTION("GOOGLETRANSLATE(A51804,""en"",""pt"")"),"Robusto, fácil de usar, grandes recursos para o dólar, muito provavelmente, o carrinho de criança que você vai pegar e usar")</f>
        <v>Robusto, fácil de usar, grandes recursos para o dólar, muito provavelmente, o carrinho de criança que você vai pegar e usar</v>
      </c>
      <c r="B51804" s="3">
        <v>1</v>
      </c>
    </row>
    <row r="51805" ht="15.75" customHeight="1" spans="1:2">
      <c r="A51805" s="3" t="str">
        <f>IFERROR(__xludf.DUMMYFUNCTION("GOOGLETRANSLATE(A51805,""en"",""pt"")")," Muito boa qualidade, forte, de boa aparência")</f>
        <v> Muito boa qualidade, forte, de boa aparência</v>
      </c>
      <c r="B51805" s="3">
        <v>1</v>
      </c>
    </row>
    <row r="51806" ht="15.75" customHeight="1" spans="1:2">
      <c r="A51806" s="3" t="str">
        <f>IFERROR(__xludf.DUMMYFUNCTION("GOOGLETRANSLATE(A51806,""en"",""pt"")"),"água dossel repelente")</f>
        <v>água dossel repelente</v>
      </c>
      <c r="B51806" s="3">
        <v>1</v>
      </c>
    </row>
    <row r="51807" ht="15.75" customHeight="1" spans="1:2">
      <c r="A51807" s="3" t="str">
        <f>IFERROR(__xludf.DUMMYFUNCTION("GOOGLETRANSLATE(A51807,""en"",""pt"")"),"Tecido é durável, carrinho de criança é leve e dobra-se bem")</f>
        <v>Tecido é durável, carrinho de criança é leve e dobra-se bem</v>
      </c>
      <c r="B51807" s="3">
        <v>1</v>
      </c>
    </row>
    <row r="51808" ht="15.75" customHeight="1" spans="1:2">
      <c r="A51808" s="3" t="str">
        <f>IFERROR(__xludf.DUMMYFUNCTION("GOOGLETRANSLATE(A51808,""en"",""pt"")"),"Qualidade, atraente")</f>
        <v>Qualidade, atraente</v>
      </c>
      <c r="B51808" s="3">
        <v>1</v>
      </c>
    </row>
    <row r="51809" ht="15.75" customHeight="1" spans="1:2">
      <c r="A51809" s="3" t="str">
        <f>IFERROR(__xludf.DUMMYFUNCTION("GOOGLETRANSLATE(A51809,""en"",""pt"")"),"Conveniência e Durabilidade")</f>
        <v>Conveniência e Durabilidade</v>
      </c>
      <c r="B51809" s="3">
        <v>1</v>
      </c>
    </row>
    <row r="51810" ht="15.75" customHeight="1" spans="1:2">
      <c r="A51810" s="3" t="str">
        <f>IFERROR(__xludf.DUMMYFUNCTION("GOOGLETRANSLATE(A51810,""en"",""pt"")"),"Compacto e leve")</f>
        <v>Compacto e leve</v>
      </c>
      <c r="B51810" s="3">
        <v>1</v>
      </c>
    </row>
    <row r="51811" ht="15.75" customHeight="1" spans="1:2">
      <c r="A51811" s="3" t="str">
        <f>IFERROR(__xludf.DUMMYFUNCTION("GOOGLETRANSLATE(A51811,""en"",""pt"")"),"compactar")</f>
        <v>compactar</v>
      </c>
      <c r="B51811" s="3">
        <v>1</v>
      </c>
    </row>
    <row r="51812" ht="15.75" customHeight="1" spans="1:2">
      <c r="A51812" s="3" t="str">
        <f>IFERROR(__xludf.DUMMYFUNCTION("GOOGLETRANSLATE(A51812,""en"",""pt"")"),"leve, durável e de baixo custo")</f>
        <v>leve, durável e de baixo custo</v>
      </c>
      <c r="B51812" s="3">
        <v>1</v>
      </c>
    </row>
    <row r="51813" ht="15.75" customHeight="1" spans="1:2">
      <c r="A51813" s="3" t="str">
        <f>IFERROR(__xludf.DUMMYFUNCTION("GOOGLETRANSLATE(A51813,""en"",""pt"")"),"mais durável do que a maioria dos carrinhos de guarda-chuva, totalmente lavável, confortável para as crianças, bastante razoável.")</f>
        <v>mais durável do que a maioria dos carrinhos de guarda-chuva, totalmente lavável, confortável para as crianças, bastante razoável.</v>
      </c>
      <c r="B51813" s="3">
        <v>1</v>
      </c>
    </row>
    <row r="51814" ht="15.75" customHeight="1" spans="1:2">
      <c r="A51814" s="3" t="str">
        <f>IFERROR(__xludf.DUMMYFUNCTION("GOOGLETRANSLATE(A51814,""en"",""pt"")"),"carrinho de qualidade muito")</f>
        <v>carrinho de qualidade muito</v>
      </c>
      <c r="B51814" s="3">
        <v>1</v>
      </c>
    </row>
    <row r="51815" ht="15.75" customHeight="1" spans="1:2">
      <c r="A51815" s="3" t="str">
        <f>IFERROR(__xludf.DUMMYFUNCTION("GOOGLETRANSLATE(A51815,""en"",""pt"")"),"Tenho a 2001 Trek Pliko e é ótimo!")</f>
        <v>Tenho a 2001 Trek Pliko e é ótimo!</v>
      </c>
      <c r="B51815" s="3">
        <v>1</v>
      </c>
    </row>
    <row r="51816" ht="15.75" customHeight="1" spans="1:2">
      <c r="A51816" s="3" t="str">
        <f>IFERROR(__xludf.DUMMYFUNCTION("GOOGLETRANSLATE(A51816,""en"",""pt"")"),"muito confortável, fácil de dobrar, um sonho para empurrar, totalmente reclinável, elegante!")</f>
        <v>muito confortável, fácil de dobrar, um sonho para empurrar, totalmente reclinável, elegante!</v>
      </c>
      <c r="B51816" s="3">
        <v>1</v>
      </c>
    </row>
    <row r="51817" ht="15.75" customHeight="1" spans="1:2">
      <c r="A51817" s="3" t="str">
        <f>IFERROR(__xludf.DUMMYFUNCTION("GOOGLETRANSLATE(A51817,""en"",""pt"")"),"Elegante, carrinho de bebé dobrável compacto")</f>
        <v>Elegante, carrinho de bebé dobrável compacto</v>
      </c>
      <c r="B51817" s="3">
        <v>1</v>
      </c>
    </row>
    <row r="51818" ht="15.75" customHeight="1" spans="1:2">
      <c r="A51818" s="3" t="str">
        <f>IFERROR(__xludf.DUMMYFUNCTION("GOOGLETRANSLATE(A51818,""en"",""pt"")"),"Dobras muito pequeno, fácil de manobra e parece ótimo.")</f>
        <v>Dobras muito pequeno, fácil de manobra e parece ótimo.</v>
      </c>
      <c r="B51818" s="3">
        <v>1</v>
      </c>
    </row>
    <row r="51819" ht="15.75" customHeight="1" spans="1:2">
      <c r="A51819" s="3" t="str">
        <f>IFERROR(__xludf.DUMMYFUNCTION("GOOGLETRANSLATE(A51819,""en"",""pt"")"),"Tem um cinto de segurança incrível.")</f>
        <v>Tem um cinto de segurança incrível.</v>
      </c>
      <c r="B51819" s="3">
        <v>1</v>
      </c>
    </row>
    <row r="51820" ht="15.75" customHeight="1" spans="1:2">
      <c r="A51820" s="3" t="str">
        <f>IFERROR(__xludf.DUMMYFUNCTION("GOOGLETRANSLATE(A51820,""en"",""pt"")"),"adorável assento acolchoado bem, muito grande capa impermeável, bolha chuva, acolchoado pára-choques bar, bons pneus")</f>
        <v>adorável assento acolchoado bem, muito grande capa impermeável, bolha chuva, acolchoado pára-choques bar, bons pneus</v>
      </c>
      <c r="B51820" s="3">
        <v>1</v>
      </c>
    </row>
    <row r="51821" ht="15.75" customHeight="1" spans="1:2">
      <c r="A51821" s="3" t="str">
        <f>IFERROR(__xludf.DUMMYFUNCTION("GOOGLETRANSLATE(A51821,""en"",""pt"")"),"Tecido agradável e copa. muito durável")</f>
        <v>Tecido agradável e copa. muito durável</v>
      </c>
      <c r="B51821" s="3">
        <v>1</v>
      </c>
    </row>
    <row r="51822" ht="15.75" customHeight="1" spans="1:2">
      <c r="A51822" s="3" t="str">
        <f>IFERROR(__xludf.DUMMYFUNCTION("GOOGLETRANSLATE(A51822,""en"",""pt"")"),"built-in capa de chuva, reclina, alças ajustáveis, livre de pé, removível pára-choques frente bar, cesta, forte procura")</f>
        <v>built-in capa de chuva, reclina, alças ajustáveis, livre de pé, removível pára-choques frente bar, cesta, forte procura</v>
      </c>
      <c r="B51822" s="3">
        <v>1</v>
      </c>
    </row>
    <row r="51823" ht="15.75" customHeight="1" spans="1:2">
      <c r="A51823" s="3" t="str">
        <f>IFERROR(__xludf.DUMMYFUNCTION("GOOGLETRANSLATE(A51823,""en"",""pt"")"),"Muito leve e resistente. Dobra-se como um carrinho guarda-chuva. Bom para pais altos.")</f>
        <v>Muito leve e resistente. Dobra-se como um carrinho guarda-chuva. Bom para pais altos.</v>
      </c>
      <c r="B51823" s="3">
        <v>1</v>
      </c>
    </row>
    <row r="51824" ht="15.75" customHeight="1" spans="1:2">
      <c r="A51824" s="3" t="str">
        <f>IFERROR(__xludf.DUMMYFUNCTION("GOOGLETRANSLATE(A51824,""en"",""pt"")"),"grandes tecidos, fácil de abrir &amp; amp; Fechar")</f>
        <v>grandes tecidos, fácil de abrir &amp; amp; Fechar</v>
      </c>
      <c r="B51824" s="3">
        <v>1</v>
      </c>
    </row>
    <row r="51825" ht="15.75" customHeight="1" spans="1:2">
      <c r="A51825" s="3" t="str">
        <f>IFERROR(__xludf.DUMMYFUNCTION("GOOGLETRANSLATE(A51825,""en"",""pt"")"),"cores, assentos lavável, rodas duplas na frente e para trás, recline completo")</f>
        <v>cores, assentos lavável, rodas duplas na frente e para trás, recline completo</v>
      </c>
      <c r="B51825" s="3">
        <v>1</v>
      </c>
    </row>
    <row r="51826" ht="15.75" customHeight="1" spans="1:2">
      <c r="A51826" s="3" t="str">
        <f>IFERROR(__xludf.DUMMYFUNCTION("GOOGLETRANSLATE(A51826,""en"",""pt"")"),"5 ponto arnês, alças ajustáveis, compacto, leve, versátil, durável.")</f>
        <v>5 ponto arnês, alças ajustáveis, compacto, leve, versátil, durável.</v>
      </c>
      <c r="B51826" s="3">
        <v>1</v>
      </c>
    </row>
    <row r="51827" ht="15.75" customHeight="1" spans="1:2">
      <c r="A51827" s="3" t="str">
        <f>IFERROR(__xludf.DUMMYFUNCTION("GOOGLETRANSLATE(A51827,""en"",""pt"")"),"tecido lindo, free-standing, uma vez dobrado, capô generoso, uso fácil, leve &amp; amp; compactar enquanto luxuoso.")</f>
        <v>tecido lindo, free-standing, uma vez dobrado, capô generoso, uso fácil, leve &amp; amp; compactar enquanto luxuoso.</v>
      </c>
      <c r="B51827" s="3">
        <v>1</v>
      </c>
    </row>
    <row r="51828" ht="15.75" customHeight="1" spans="1:2">
      <c r="A51828" s="3" t="str">
        <f>IFERROR(__xludf.DUMMYFUNCTION("GOOGLETRANSLATE(A51828,""en"",""pt"")"),"Tampa bonita, resistente-bem feito, reclina, assento de carro compatível, a maioria de tudo!")</f>
        <v>Tampa bonita, resistente-bem feito, reclina, assento de carro compatível, a maioria de tudo!</v>
      </c>
      <c r="B51828" s="3">
        <v>1</v>
      </c>
    </row>
    <row r="51829" ht="15.75" customHeight="1" spans="1:2">
      <c r="A51829" s="3" t="str">
        <f>IFERROR(__xludf.DUMMYFUNCTION("GOOGLETRANSLATE(A51829,""en"",""pt"")"),"Copa grande, construída em capa de chuva, amplo preenchimento, lojas compactamente")</f>
        <v>Copa grande, construída em capa de chuva, amplo preenchimento, lojas compactamente</v>
      </c>
      <c r="B51829" s="3">
        <v>1</v>
      </c>
    </row>
    <row r="51830" ht="15.75" customHeight="1" spans="1:2">
      <c r="A51830" s="3" t="str">
        <f>IFERROR(__xludf.DUMMYFUNCTION("GOOGLETRANSLATE(A51830,""en"",""pt"")"),"A versão 2003 tem todos os sinos e assobios com uma grande exceção.")</f>
        <v>A versão 2003 tem todos os sinos e assobios com uma grande exceção.</v>
      </c>
      <c r="B51830" s="3">
        <v>1</v>
      </c>
    </row>
    <row r="51831" ht="15.75" customHeight="1" spans="1:2">
      <c r="A51831" s="3" t="str">
        <f>IFERROR(__xludf.DUMMYFUNCTION("GOOGLETRANSLATE(A51831,""en"",""pt"")"),"Leve e forte &amp; amp; # 13; &amp; amp; # 10; dobra pequena &amp; amp; # 13; &amp; amp; # 10; fácil de usar carry alça &amp; amp; # 13; &amp; amp; # 10; Fácil de dobrar")</f>
        <v>Leve e forte &amp; amp; # 13; &amp; amp; # 10; dobra pequena &amp; amp; # 13; &amp; amp; # 10; fácil de usar carry alça &amp; amp; # 13; &amp; amp; # 10; Fácil de dobrar</v>
      </c>
      <c r="B51831" s="3">
        <v>1</v>
      </c>
    </row>
    <row r="51832" ht="15.75" customHeight="1" spans="1:2">
      <c r="A51832" s="3" t="str">
        <f>IFERROR(__xludf.DUMMYFUNCTION("GOOGLETRANSLATE(A51832,""en"",""pt"")"),"leve e compacto, construção robusta e confortável")</f>
        <v>leve e compacto, construção robusta e confortável</v>
      </c>
      <c r="B51832" s="3">
        <v>1</v>
      </c>
    </row>
    <row r="51833" ht="15.75" customHeight="1" spans="1:2">
      <c r="A51833" s="3" t="str">
        <f>IFERROR(__xludf.DUMMYFUNCTION("GOOGLETRANSLATE(A51833,""en"",""pt"")"),"Leve, livre de pé quando dobrado. Super confortável!")</f>
        <v>Leve, livre de pé quando dobrado. Super confortável!</v>
      </c>
      <c r="B51833" s="3">
        <v>1</v>
      </c>
    </row>
    <row r="51834" ht="15.75" customHeight="1" spans="1:2">
      <c r="A51834" s="3" t="str">
        <f>IFERROR(__xludf.DUMMYFUNCTION("GOOGLETRANSLATE(A51834,""en"",""pt"")"),"Facilidade de operação e manuseio.")</f>
        <v>Facilidade de operação e manuseio.</v>
      </c>
      <c r="B51834" s="3">
        <v>1</v>
      </c>
    </row>
    <row r="51835" ht="15.75" customHeight="1" spans="1:2">
      <c r="A51835" s="3" t="str">
        <f>IFERROR(__xludf.DUMMYFUNCTION("GOOGLETRANSLATE(A51835,""en"",""pt"")"),"Relativamente leve para um carrinho duplo. Fácil de usar. Confortável para as crianças.")</f>
        <v>Relativamente leve para um carrinho duplo. Fácil de usar. Confortável para as crianças.</v>
      </c>
      <c r="B51835" s="3">
        <v>1</v>
      </c>
    </row>
    <row r="51836" ht="15.75" customHeight="1" spans="1:2">
      <c r="A51836" s="3" t="str">
        <f>IFERROR(__xludf.DUMMYFUNCTION("GOOGLETRANSLATE(A51836,""en"",""pt"")"),"O peso leve, bem acolchoado, muito espaçoso, belo tecido ...")</f>
        <v>O peso leve, bem acolchoado, muito espaçoso, belo tecido ...</v>
      </c>
      <c r="B51836" s="3">
        <v>1</v>
      </c>
    </row>
    <row r="51837" ht="15.75" customHeight="1" spans="1:2">
      <c r="A51837" s="3" t="str">
        <f>IFERROR(__xludf.DUMMYFUNCTION("GOOGLETRANSLATE(A51837,""en"",""pt"")"),"Alças bem, atraente, ambos os assentos reclinam (embora não totalmente), leve em comparação com outras duplas")</f>
        <v>Alças bem, atraente, ambos os assentos reclinam (embora não totalmente), leve em comparação com outras duplas</v>
      </c>
      <c r="B51837" s="3">
        <v>1</v>
      </c>
    </row>
    <row r="51838" ht="15.75" customHeight="1" spans="1:2">
      <c r="A51838" s="3" t="str">
        <f>IFERROR(__xludf.DUMMYFUNCTION("GOOGLETRANSLATE(A51838,""en"",""pt"")"),"Bem construído, fácil de virar e dobrar, atraente.")</f>
        <v>Bem construído, fácil de virar e dobrar, atraente.</v>
      </c>
      <c r="B51838" s="3">
        <v>1</v>
      </c>
    </row>
    <row r="51839" ht="15.75" customHeight="1" spans="1:2">
      <c r="A51839" s="3" t="str">
        <f>IFERROR(__xludf.DUMMYFUNCTION("GOOGLETRANSLATE(A51839,""en"",""pt"")"),"de alta qualidade carrinho Europeia, confortáveis ​​e macios, fáceis de controlar,")</f>
        <v>de alta qualidade carrinho Europeia, confortáveis ​​e macios, fáceis de controlar,</v>
      </c>
      <c r="B51839" s="3">
        <v>1</v>
      </c>
    </row>
    <row r="51840" ht="15.75" customHeight="1" spans="1:2">
      <c r="A51840" s="3" t="str">
        <f>IFERROR(__xludf.DUMMYFUNCTION("GOOGLETRANSLATE(A51840,""en"",""pt"")"),"Bem, faz hold 2 crianças ....")</f>
        <v>Bem, faz hold 2 crianças ....</v>
      </c>
      <c r="B51840" s="3">
        <v>1</v>
      </c>
    </row>
    <row r="51841" ht="15.75" customHeight="1" spans="1:2">
      <c r="A51841" s="3" t="str">
        <f>IFERROR(__xludf.DUMMYFUNCTION("GOOGLETRANSLATE(A51841,""en"",""pt"")"),"bem feito, leve, suave, elegante, um dos tão poucos carrinhos para realizar qualquer valor de revenda")</f>
        <v>bem feito, leve, suave, elegante, um dos tão poucos carrinhos para realizar qualquer valor de revenda</v>
      </c>
      <c r="B51841" s="3">
        <v>1</v>
      </c>
    </row>
    <row r="51842" ht="15.75" customHeight="1" spans="1:2">
      <c r="A51842" s="3" t="str">
        <f>IFERROR(__xludf.DUMMYFUNCTION("GOOGLETRANSLATE(A51842,""en"",""pt"")"),"fácil de usar")</f>
        <v>fácil de usar</v>
      </c>
      <c r="B51842" s="3">
        <v>1</v>
      </c>
    </row>
    <row r="51843" ht="15.75" customHeight="1" spans="1:2">
      <c r="A51843" s="3" t="str">
        <f>IFERROR(__xludf.DUMMYFUNCTION("GOOGLETRANSLATE(A51843,""en"",""pt"")"),"Fácil de dirigir - Muito leve!")</f>
        <v>Fácil de dirigir - Muito leve!</v>
      </c>
      <c r="B51843" s="3">
        <v>1</v>
      </c>
    </row>
    <row r="51844" ht="15.75" customHeight="1" spans="1:2">
      <c r="A51844" s="3" t="str">
        <f>IFERROR(__xludf.DUMMYFUNCTION("GOOGLETRANSLATE(A51844,""en"",""pt"")"),"tudo")</f>
        <v>tudo</v>
      </c>
      <c r="B51844" s="3">
        <v>1</v>
      </c>
    </row>
    <row r="51845" ht="15.75" customHeight="1" spans="1:2">
      <c r="A51845" s="3" t="str">
        <f>IFERROR(__xludf.DUMMYFUNCTION("GOOGLETRANSLATE(A51845,""en"",""pt"")"),"espaçosa, grande tecido")</f>
        <v>espaçosa, grande tecido</v>
      </c>
      <c r="B51845" s="3">
        <v>1</v>
      </c>
    </row>
    <row r="51846" ht="15.75" customHeight="1" spans="1:2">
      <c r="A51846" s="3" t="str">
        <f>IFERROR(__xludf.DUMMYFUNCTION("GOOGLETRANSLATE(A51846,""en"",""pt"")"),"Mantém-se bem para muitas crianças")</f>
        <v>Mantém-se bem para muitas crianças</v>
      </c>
      <c r="B51846" s="3">
        <v>1</v>
      </c>
    </row>
    <row r="51847" ht="15.75" customHeight="1" spans="1:2">
      <c r="A51847" s="3" t="str">
        <f>IFERROR(__xludf.DUMMYFUNCTION("GOOGLETRANSLATE(A51847,""en"",""pt"")"),"Tandem Stroller com materiais de alta qualidade")</f>
        <v>Tandem Stroller com materiais de alta qualidade</v>
      </c>
      <c r="B51847" s="3">
        <v>1</v>
      </c>
    </row>
    <row r="51848" ht="15.75" customHeight="1" spans="1:2">
      <c r="A51848" s="3" t="str">
        <f>IFERROR(__xludf.DUMMYFUNCTION("GOOGLETRANSLATE(A51848,""en"",""pt"")"),"O Cadallac de carrinhos! Um grande passeio, fácil de usar, excelente raio de viragem, alta guiador, realizará o valor de revenda.")</f>
        <v>O Cadallac de carrinhos! Um grande passeio, fácil de usar, excelente raio de viragem, alta guiador, realizará o valor de revenda.</v>
      </c>
      <c r="B51848" s="3">
        <v>1</v>
      </c>
    </row>
    <row r="51849" ht="15.75" customHeight="1" spans="1:2">
      <c r="A51849" s="3" t="str">
        <f>IFERROR(__xludf.DUMMYFUNCTION("GOOGLETRANSLATE(A51849,""en"",""pt"")"),"Um excelente carrinho de criança")</f>
        <v>Um excelente carrinho de criança</v>
      </c>
      <c r="B51849" s="3">
        <v>1</v>
      </c>
    </row>
    <row r="51850" ht="15.75" customHeight="1" spans="1:2">
      <c r="A51850" s="3" t="str">
        <f>IFERROR(__xludf.DUMMYFUNCTION("GOOGLETRANSLATE(A51850,""en"",""pt"")"),"Fácil de entrar em colapso, banco da frente Grande.")</f>
        <v>Fácil de entrar em colapso, banco da frente Grande.</v>
      </c>
      <c r="B51850" s="3">
        <v>1</v>
      </c>
    </row>
    <row r="51851" ht="15.75" customHeight="1" spans="1:2">
      <c r="A51851" s="3" t="str">
        <f>IFERROR(__xludf.DUMMYFUNCTION("GOOGLETRANSLATE(A51851,""en"",""pt"")"),"Mantém-se a um monte!")</f>
        <v>Mantém-se a um monte!</v>
      </c>
      <c r="B51851" s="3">
        <v>1</v>
      </c>
    </row>
    <row r="51852" ht="15.75" customHeight="1" spans="1:2">
      <c r="A51852" s="3" t="str">
        <f>IFERROR(__xludf.DUMMYFUNCTION("GOOGLETRANSLATE(A51852,""en"",""pt"")"),"Um carrinho fabuloso para 2, quer perto de idade ou idades variadas !!!!")</f>
        <v>Um carrinho fabuloso para 2, quer perto de idade ou idades variadas !!!!</v>
      </c>
      <c r="B51852" s="3">
        <v>1</v>
      </c>
    </row>
    <row r="51853" ht="15.75" customHeight="1" spans="1:2">
      <c r="A51853" s="3" t="str">
        <f>IFERROR(__xludf.DUMMYFUNCTION("GOOGLETRANSLATE(A51853,""en"",""pt"")"),"Resistente, construção de qualidade, fácil de manobrar.")</f>
        <v>Resistente, construção de qualidade, fácil de manobrar.</v>
      </c>
      <c r="B51853" s="3">
        <v>1</v>
      </c>
    </row>
    <row r="51854" ht="15.75" customHeight="1" spans="1:2">
      <c r="A51854" s="3" t="str">
        <f>IFERROR(__xludf.DUMMYFUNCTION("GOOGLETRANSLATE(A51854,""en"",""pt"")"),"Luz por um carrinho duplo. Confortável, assentos bem acolchoadas. Fácil de dirigir.")</f>
        <v>Luz por um carrinho duplo. Confortável, assentos bem acolchoadas. Fácil de dirigir.</v>
      </c>
      <c r="B51854" s="3">
        <v>1</v>
      </c>
    </row>
    <row r="51855" ht="15.75" customHeight="1" spans="1:2">
      <c r="A51855" s="3" t="str">
        <f>IFERROR(__xludf.DUMMYFUNCTION("GOOGLETRANSLATE(A51855,""en"",""pt"")"),"peso, mobilidade")</f>
        <v>peso, mobilidade</v>
      </c>
      <c r="B51855" s="3">
        <v>1</v>
      </c>
    </row>
    <row r="51856" ht="15.75" customHeight="1" spans="1:2">
      <c r="A51856" s="3" t="str">
        <f>IFERROR(__xludf.DUMMYFUNCTION("GOOGLETRANSLATE(A51856,""en"",""pt"")"),"leve, fácil aberto &amp; amp; amp; perto, durável, boa aparência, conveniente")</f>
        <v>leve, fácil aberto &amp; amp; amp; perto, durável, boa aparência, conveniente</v>
      </c>
      <c r="B51856" s="3">
        <v>1</v>
      </c>
    </row>
    <row r="51857" ht="15.75" customHeight="1" spans="1:2">
      <c r="A51857" s="3" t="str">
        <f>IFERROR(__xludf.DUMMYFUNCTION("GOOGLETRANSLATE(A51857,""en"",""pt"")"),"Fácil de abrir e fechar, Basket sai")</f>
        <v>Fácil de abrir e fechar, Basket sai</v>
      </c>
      <c r="B51857" s="3">
        <v>1</v>
      </c>
    </row>
    <row r="51858" ht="15.75" customHeight="1" spans="1:2">
      <c r="A51858" s="3" t="str">
        <f>IFERROR(__xludf.DUMMYFUNCTION("GOOGLETRANSLATE(A51858,""en"",""pt"")"),"Muito leve e fácil de usar")</f>
        <v>Muito leve e fácil de usar</v>
      </c>
      <c r="B51858" s="3">
        <v>1</v>
      </c>
    </row>
    <row r="51859" ht="15.75" customHeight="1" spans="1:2">
      <c r="A51859" s="3" t="str">
        <f>IFERROR(__xludf.DUMMYFUNCTION("GOOGLETRANSLATE(A51859,""en"",""pt"")"),"Fácil de navegar, construção de qualidade")</f>
        <v>Fácil de navegar, construção de qualidade</v>
      </c>
      <c r="B51859" s="3">
        <v>1</v>
      </c>
    </row>
    <row r="51860" ht="15.75" customHeight="1" spans="1:2">
      <c r="A51860" s="3" t="str">
        <f>IFERROR(__xludf.DUMMYFUNCTION("GOOGLETRANSLATE(A51860,""en"",""pt"")"),"leve, fácil de manobra, limpa grande")</f>
        <v>leve, fácil de manobra, limpa grande</v>
      </c>
      <c r="B51860" s="3">
        <v>1</v>
      </c>
    </row>
    <row r="51861" ht="15.75" customHeight="1" spans="1:2">
      <c r="A51861" s="3" t="str">
        <f>IFERROR(__xludf.DUMMYFUNCTION("GOOGLETRANSLATE(A51861,""en"",""pt"")"),"nenhum em comparação com produtos similares")</f>
        <v>nenhum em comparação com produtos similares</v>
      </c>
      <c r="B51861" s="3">
        <v>1</v>
      </c>
    </row>
    <row r="51862" ht="15.75" customHeight="1" spans="1:2">
      <c r="A51862" s="3" t="str">
        <f>IFERROR(__xludf.DUMMYFUNCTION("GOOGLETRANSLATE(A51862,""en"",""pt"")"),"confortável, limpa bem")</f>
        <v>confortável, limpa bem</v>
      </c>
      <c r="B51862" s="3">
        <v>1</v>
      </c>
    </row>
    <row r="51863" ht="15.75" customHeight="1" spans="1:2">
      <c r="A51863" s="3" t="str">
        <f>IFERROR(__xludf.DUMMYFUNCTION("GOOGLETRANSLATE(A51863,""en"",""pt"")"),"Fácil de usar")</f>
        <v>Fácil de usar</v>
      </c>
      <c r="B51863" s="3">
        <v>1</v>
      </c>
    </row>
    <row r="51864" ht="15.75" customHeight="1" spans="1:2">
      <c r="A51864" s="3" t="str">
        <f>IFERROR(__xludf.DUMMYFUNCTION("GOOGLETRANSLATE(A51864,""en"",""pt"")"),"grandes bancos, leve, fácil de empurrar / boi")</f>
        <v>grandes bancos, leve, fácil de empurrar / boi</v>
      </c>
      <c r="B51864" s="3">
        <v>1</v>
      </c>
    </row>
    <row r="51865" ht="15.75" customHeight="1" spans="1:2">
      <c r="A51865" s="3" t="str">
        <f>IFERROR(__xludf.DUMMYFUNCTION("GOOGLETRANSLATE(A51865,""en"",""pt"")"),"aparência agradável, duráveis, grandes toldos para tanto, fácil dobrar")</f>
        <v>aparência agradável, duráveis, grandes toldos para tanto, fácil dobrar</v>
      </c>
      <c r="B51865" s="3">
        <v>1</v>
      </c>
    </row>
    <row r="51866" ht="15.75" customHeight="1" spans="1:2">
      <c r="A51866" s="3" t="str">
        <f>IFERROR(__xludf.DUMMYFUNCTION("GOOGLETRANSLATE(A51866,""en"",""pt"")"),"Fácil de operar, se dobra, leve em 24 lbs.")</f>
        <v>Fácil de operar, se dobra, leve em 24 lbs.</v>
      </c>
      <c r="B51866" s="3">
        <v>1</v>
      </c>
    </row>
    <row r="51867" ht="15.75" customHeight="1" spans="1:2">
      <c r="A51867" s="3" t="str">
        <f>IFERROR(__xludf.DUMMYFUNCTION("GOOGLETRANSLATE(A51867,""en"",""pt"")"),"grande procura, protetor de espaço e muito conveniente, bem como bom conforto para os mais pequenos")</f>
        <v>grande procura, protetor de espaço e muito conveniente, bem como bom conforto para os mais pequenos</v>
      </c>
      <c r="B51867" s="3">
        <v>1</v>
      </c>
    </row>
    <row r="51868" ht="15.75" customHeight="1" spans="1:2">
      <c r="A51868" s="3" t="str">
        <f>IFERROR(__xludf.DUMMYFUNCTION("GOOGLETRANSLATE(A51868,""en"",""pt"")"),"Não muito pesado")</f>
        <v>Não muito pesado</v>
      </c>
      <c r="B51868" s="3">
        <v>1</v>
      </c>
    </row>
    <row r="51869" ht="15.75" customHeight="1" spans="1:2">
      <c r="A51869" s="3" t="str">
        <f>IFERROR(__xludf.DUMMYFUNCTION("GOOGLETRANSLATE(A51869,""en"",""pt"")"),"fácil de virar, abrir e fechar, e peso leve")</f>
        <v>fácil de virar, abrir e fechar, e peso leve</v>
      </c>
      <c r="B51869" s="3">
        <v>1</v>
      </c>
    </row>
    <row r="51870" ht="15.75" customHeight="1" spans="1:2">
      <c r="A51870" s="3" t="str">
        <f>IFERROR(__xludf.DUMMYFUNCTION("GOOGLETRANSLATE(A51870,""en"",""pt"")"),"materiais de alta qualidade, durável, fácil de empurrar, espaçoso, o bebê é completamente fechado no banco traseiro")</f>
        <v>materiais de alta qualidade, durável, fácil de empurrar, espaçoso, o bebê é completamente fechado no banco traseiro</v>
      </c>
      <c r="B51870" s="3">
        <v>1</v>
      </c>
    </row>
    <row r="51871" ht="15.75" customHeight="1" spans="1:2">
      <c r="A51871" s="3" t="str">
        <f>IFERROR(__xludf.DUMMYFUNCTION("GOOGLETRANSLATE(A51871,""en"",""pt"")"),"leve, fácil de manobrar, atraente para olhar")</f>
        <v>leve, fácil de manobrar, atraente para olhar</v>
      </c>
      <c r="B51871" s="3">
        <v>1</v>
      </c>
    </row>
    <row r="51872" ht="15.75" customHeight="1" spans="1:2">
      <c r="A51872" s="3" t="str">
        <f>IFERROR(__xludf.DUMMYFUNCTION("GOOGLETRANSLATE(A51872,""en"",""pt"")"),"Um carrinho versátil, confiável e durável com grande estilo")</f>
        <v>Um carrinho versátil, confiável e durável com grande estilo</v>
      </c>
      <c r="B51872" s="3">
        <v>1</v>
      </c>
    </row>
    <row r="51873" ht="15.75" customHeight="1" spans="1:2">
      <c r="A51873" s="3" t="str">
        <f>IFERROR(__xludf.DUMMYFUNCTION("GOOGLETRANSLATE(A51873,""en"",""pt"")"),"durabilidade e conforto")</f>
        <v>durabilidade e conforto</v>
      </c>
      <c r="B51873" s="3">
        <v>1</v>
      </c>
    </row>
    <row r="51874" ht="15.75" customHeight="1" spans="1:2">
      <c r="A51874" s="3" t="str">
        <f>IFERROR(__xludf.DUMMYFUNCTION("GOOGLETRANSLATE(A51874,""en"",""pt"")"),"Durável, seguro, sol bom / chuva / protecção contra o vento, ganchos de carga")</f>
        <v>Durável, seguro, sol bom / chuva / protecção contra o vento, ganchos de carga</v>
      </c>
      <c r="B51874" s="3">
        <v>1</v>
      </c>
    </row>
    <row r="51875" ht="15.75" customHeight="1" spans="1:2">
      <c r="A51875" s="3" t="str">
        <f>IFERROR(__xludf.DUMMYFUNCTION("GOOGLETRANSLATE(A51875,""en"",""pt"")"),"Muito espaço, tem mais peso do que os outros, por baixo cesta removível, fácil de usar, excelente serviço ao cliente e qualidade.")</f>
        <v>Muito espaço, tem mais peso do que os outros, por baixo cesta removível, fácil de usar, excelente serviço ao cliente e qualidade.</v>
      </c>
      <c r="B51875" s="3">
        <v>1</v>
      </c>
    </row>
    <row r="51876" ht="15.75" customHeight="1" spans="1:2">
      <c r="A51876" s="3" t="str">
        <f>IFERROR(__xludf.DUMMYFUNCTION("GOOGLETRANSLATE(A51876,""en"",""pt"")"),"do bebê são muito pesado. Você não tem que carregá-los.")</f>
        <v>do bebê são muito pesado. Você não tem que carregá-los.</v>
      </c>
      <c r="B51876" s="3">
        <v>1</v>
      </c>
    </row>
    <row r="51877" ht="15.75" customHeight="1" spans="1:2">
      <c r="A51877" s="3" t="str">
        <f>IFERROR(__xludf.DUMMYFUNCTION("GOOGLETRANSLATE(A51877,""en"",""pt"")"),"Nenhum")</f>
        <v>Nenhum</v>
      </c>
      <c r="B51877" s="3">
        <v>1</v>
      </c>
    </row>
    <row r="51878" ht="15.75" customHeight="1" spans="1:2">
      <c r="A51878" s="3" t="str">
        <f>IFERROR(__xludf.DUMMYFUNCTION("GOOGLETRANSLATE(A51878,""en"",""pt"")"),"grande carrinho de criança")</f>
        <v>grande carrinho de criança</v>
      </c>
      <c r="B51878" s="3">
        <v>1</v>
      </c>
    </row>
    <row r="51879" ht="15.75" customHeight="1" spans="1:2">
      <c r="A51879" s="3" t="str">
        <f>IFERROR(__xludf.DUMMYFUNCTION("GOOGLETRANSLATE(A51879,""en"",""pt"")"),"Facilidade de armazenamento, facilidade de manobra")</f>
        <v>Facilidade de armazenamento, facilidade de manobra</v>
      </c>
      <c r="B51879" s="3">
        <v>1</v>
      </c>
    </row>
    <row r="51880" ht="15.75" customHeight="1" spans="1:2">
      <c r="A51880" s="3" t="str">
        <f>IFERROR(__xludf.DUMMYFUNCTION("GOOGLETRANSLATE(A51880,""en"",""pt"")"),"Nenhum")</f>
        <v>Nenhum</v>
      </c>
      <c r="B51880" s="3">
        <v>1</v>
      </c>
    </row>
    <row r="51881" ht="15.75" customHeight="1" spans="1:2">
      <c r="A51881" s="3" t="str">
        <f>IFERROR(__xludf.DUMMYFUNCTION("GOOGLETRANSLATE(A51881,""en"",""pt"")"),"Grande carrinho de criança! Compacto e durável!")</f>
        <v>Grande carrinho de criança! Compacto e durável!</v>
      </c>
      <c r="B51881" s="3">
        <v>1</v>
      </c>
    </row>
    <row r="51882" ht="15.75" customHeight="1" spans="1:2">
      <c r="A51882" s="3" t="str">
        <f>IFERROR(__xludf.DUMMYFUNCTION("GOOGLETRANSLATE(A51882,""en"",""pt"")"),"Não consigo pensar em um")</f>
        <v>Não consigo pensar em um</v>
      </c>
      <c r="B51882" s="3">
        <v>1</v>
      </c>
    </row>
    <row r="51883" ht="15.75" customHeight="1" spans="1:2">
      <c r="A51883" s="3" t="str">
        <f>IFERROR(__xludf.DUMMYFUNCTION("GOOGLETRANSLATE(A51883,""en"",""pt"")"),"banco traseiro reclinável todo o caminho, grande construção, muito resistente")</f>
        <v>banco traseiro reclinável todo o caminho, grande construção, muito resistente</v>
      </c>
      <c r="B51883" s="3">
        <v>1</v>
      </c>
    </row>
    <row r="51884" ht="15.75" customHeight="1" spans="1:2">
      <c r="A51884" s="3" t="str">
        <f>IFERROR(__xludf.DUMMYFUNCTION("GOOGLETRANSLATE(A51884,""en"",""pt"")"),"Muito leve, punho reversível, pode levá-lo a partir de anos-nascidos através de criança")</f>
        <v>Muito leve, punho reversível, pode levá-lo a partir de anos-nascidos através de criança</v>
      </c>
      <c r="B51884" s="3">
        <v>1</v>
      </c>
    </row>
    <row r="51885" ht="15.75" customHeight="1" spans="1:2">
      <c r="A51885" s="3" t="str">
        <f>IFERROR(__xludf.DUMMYFUNCTION("GOOGLETRANSLATE(A51885,""en"",""pt"")"),"todas as rodas giratórias, unfols completamente na horizontal, mais fácil de desdobrar com um lado (um)")</f>
        <v>todas as rodas giratórias, unfols completamente na horizontal, mais fácil de desdobrar com um lado (um)</v>
      </c>
      <c r="B51885" s="3">
        <v>1</v>
      </c>
    </row>
    <row r="51886" ht="15.75" customHeight="1" spans="1:2">
      <c r="A51886" s="3" t="str">
        <f>IFERROR(__xludf.DUMMYFUNCTION("GOOGLETRANSLATE(A51886,""en"",""pt"")"),"Handle muda frente para trás.")</f>
        <v>Handle muda frente para trás.</v>
      </c>
      <c r="B51886" s="3">
        <v>1</v>
      </c>
    </row>
    <row r="51887" ht="15.75" customHeight="1" spans="1:2">
      <c r="A51887" s="3" t="str">
        <f>IFERROR(__xludf.DUMMYFUNCTION("GOOGLETRANSLATE(A51887,""en"",""pt"")"),"3-posição reclinada, pode estar para a frente ou trás voltada, fácil de manobra, grande capa")</f>
        <v>3-posição reclinada, pode estar para a frente ou trás voltada, fácil de manobra, grande capa</v>
      </c>
      <c r="B51887" s="3">
        <v>1</v>
      </c>
    </row>
    <row r="51888" ht="15.75" customHeight="1" spans="1:2">
      <c r="A51888" s="3" t="str">
        <f>IFERROR(__xludf.DUMMYFUNCTION("GOOGLETRANSLATE(A51888,""en"",""pt"")"),"flexível - uso como um carrinho de criança ou carruagem, sólido e robusto, quente, com arranque")</f>
        <v>flexível - uso como um carrinho de criança ou carruagem, sólido e robusto, quente, com arranque</v>
      </c>
      <c r="B51888" s="3">
        <v>1</v>
      </c>
    </row>
    <row r="51889" ht="15.75" customHeight="1" spans="1:2">
      <c r="A51889" s="3" t="str">
        <f>IFERROR(__xludf.DUMMYFUNCTION("GOOGLETRANSLATE(A51889,""en"",""pt"")"),"Realizou-se bem, muito espaçoso, grande passeio, e não grito!")</f>
        <v>Realizou-se bem, muito espaçoso, grande passeio, e não grito!</v>
      </c>
      <c r="B51889" s="3">
        <v>1</v>
      </c>
    </row>
    <row r="51890" ht="15.75" customHeight="1" spans="1:2">
      <c r="A51890" s="3" t="str">
        <f>IFERROR(__xludf.DUMMYFUNCTION("GOOGLETRANSLATE(A51890,""en"",""pt"")"),"construção sólida. Capaz de mudar alça para criança rosto ou criança a cara para a frente")</f>
        <v>construção sólida. Capaz de mudar alça para criança rosto ou criança a cara para a frente</v>
      </c>
      <c r="B51890" s="3">
        <v>1</v>
      </c>
    </row>
    <row r="51891" ht="15.75" customHeight="1" spans="1:2">
      <c r="A51891" s="3" t="str">
        <f>IFERROR(__xludf.DUMMYFUNCTION("GOOGLETRANSLATE(A51891,""en"",""pt"")"),"estilo transporte para o bebê e estilo Stroller para a criança, confortável")</f>
        <v>estilo transporte para o bebê e estilo Stroller para a criança, confortável</v>
      </c>
      <c r="B51891" s="3">
        <v>1</v>
      </c>
    </row>
    <row r="51892" ht="15.75" customHeight="1" spans="1:2">
      <c r="A51892" s="3" t="str">
        <f>IFERROR(__xludf.DUMMYFUNCTION("GOOGLETRANSLATE(A51892,""en"",""pt"")"),"Fácil de boi, punho reversível, fácil de dobrar para baixo e leve.")</f>
        <v>Fácil de boi, punho reversível, fácil de dobrar para baixo e leve.</v>
      </c>
      <c r="B51892" s="3">
        <v>1</v>
      </c>
    </row>
    <row r="51893" ht="15.75" customHeight="1" spans="1:2">
      <c r="A51893" s="3" t="str">
        <f>IFERROR(__xludf.DUMMYFUNCTION("GOOGLETRANSLATE(A51893,""en"",""pt"")"),"guiador reversível, grande choque ar cheio rodas absorventes, e convertidos para o transporte.")</f>
        <v>guiador reversível, grande choque ar cheio rodas absorventes, e convertidos para o transporte.</v>
      </c>
      <c r="B51893" s="3">
        <v>1</v>
      </c>
    </row>
    <row r="51894" ht="15.75" customHeight="1" spans="1:2">
      <c r="A51894" s="3" t="str">
        <f>IFERROR(__xludf.DUMMYFUNCTION("GOOGLETRANSLATE(A51894,""en"",""pt"")"),"Fácil de dobrar / desdobrar. Apropriado para recém-nascidos para crianças. À moda. Espaçoso. Alta qualidade")</f>
        <v>Fácil de dobrar / desdobrar. Apropriado para recém-nascidos para crianças. À moda. Espaçoso. Alta qualidade</v>
      </c>
      <c r="B51894" s="3">
        <v>1</v>
      </c>
    </row>
    <row r="51895" ht="15.75" customHeight="1" spans="1:2">
      <c r="A51895" s="3" t="str">
        <f>IFERROR(__xludf.DUMMYFUNCTION("GOOGLETRANSLATE(A51895,""en"",""pt"")"),"punho reversível, elegante, capa lavável.")</f>
        <v>punho reversível, elegante, capa lavável.</v>
      </c>
      <c r="B51895" s="3">
        <v>1</v>
      </c>
    </row>
    <row r="51896" ht="15.75" customHeight="1" spans="1:2">
      <c r="A51896" s="3" t="str">
        <f>IFERROR(__xludf.DUMMYFUNCTION("GOOGLETRANSLATE(A51896,""en"",""pt"")"),"Transforma de recém-nascido para criança, tudo em um carrinho de criança.")</f>
        <v>Transforma de recém-nascido para criança, tudo em um carrinho de criança.</v>
      </c>
      <c r="B51896" s="3">
        <v>1</v>
      </c>
    </row>
    <row r="51897" ht="15.75" customHeight="1" spans="1:2">
      <c r="A51897" s="3" t="str">
        <f>IFERROR(__xludf.DUMMYFUNCTION("GOOGLETRANSLATE(A51897,""en"",""pt"")"),"chão plana com menos de 5 meses de idade.")</f>
        <v>chão plana com menos de 5 meses de idade.</v>
      </c>
      <c r="B51897" s="3">
        <v>1</v>
      </c>
    </row>
    <row r="51898" ht="15.75" customHeight="1" spans="1:2">
      <c r="A51898" s="3" t="str">
        <f>IFERROR(__xludf.DUMMYFUNCTION("GOOGLETRANSLATE(A51898,""en"",""pt"")"),"estudo, punho reversível, de volta ajustável, aparência")</f>
        <v>estudo, punho reversível, de volta ajustável, aparência</v>
      </c>
      <c r="B51898" s="3">
        <v>1</v>
      </c>
    </row>
    <row r="51899" ht="15.75" customHeight="1" spans="1:2">
      <c r="A51899" s="3" t="str">
        <f>IFERROR(__xludf.DUMMYFUNCTION("GOOGLETRANSLATE(A51899,""en"",""pt"")"),"Confortável e luxuoso")</f>
        <v>Confortável e luxuoso</v>
      </c>
      <c r="B51899" s="3">
        <v>1</v>
      </c>
    </row>
    <row r="51900" ht="15.75" customHeight="1" spans="1:2">
      <c r="A51900" s="3" t="str">
        <f>IFERROR(__xludf.DUMMYFUNCTION("GOOGLETRANSLATE(A51900,""en"",""pt"")"),"Não pode ser batida")</f>
        <v>Não pode ser batida</v>
      </c>
      <c r="B51900" s="3">
        <v>1</v>
      </c>
    </row>
    <row r="51901" ht="15.75" customHeight="1" spans="1:2">
      <c r="A51901" s="3" t="str">
        <f>IFERROR(__xludf.DUMMYFUNCTION("GOOGLETRANSLATE(A51901,""en"",""pt"")"),"o olhar dele, o peso")</f>
        <v>o olhar dele, o peso</v>
      </c>
      <c r="B51901" s="3">
        <v>1</v>
      </c>
    </row>
    <row r="51902" ht="15.75" customHeight="1" spans="1:2">
      <c r="A51902" s="3" t="str">
        <f>IFERROR(__xludf.DUMMYFUNCTION("GOOGLETRANSLATE(A51902,""en"",""pt"")"),"Bom do recém-nascido para criança; materiais de alta qualidade")</f>
        <v>Bom do recém-nascido para criança; materiais de alta qualidade</v>
      </c>
      <c r="B51902" s="3">
        <v>1</v>
      </c>
    </row>
    <row r="51903" ht="15.75" customHeight="1" spans="1:2">
      <c r="A51903" s="3" t="str">
        <f>IFERROR(__xludf.DUMMYFUNCTION("GOOGLETRANSLATE(A51903,""en"",""pt"")"),"Assento Ajudstable e Top freios nas rodas, de bolso para o material, Folds")</f>
        <v>Assento Ajudstable e Top freios nas rodas, de bolso para o material, Folds</v>
      </c>
      <c r="B51903" s="3">
        <v>1</v>
      </c>
    </row>
    <row r="51904" ht="15.75" customHeight="1" spans="1:2">
      <c r="A51904" s="3" t="str">
        <f>IFERROR(__xludf.DUMMYFUNCTION("GOOGLETRANSLATE(A51904,""en"",""pt"")"),"manipulo reversível, 4 rodas de bloqueio, bundinha para o tempo frio")</f>
        <v>manipulo reversível, 4 rodas de bloqueio, bundinha para o tempo frio</v>
      </c>
      <c r="B51904" s="3">
        <v>1</v>
      </c>
    </row>
    <row r="51905" ht="15.75" customHeight="1" spans="1:2">
      <c r="A51905" s="3" t="str">
        <f>IFERROR(__xludf.DUMMYFUNCTION("GOOGLETRANSLATE(A51905,""en"",""pt"")"),", Luz, fácil manuseio forte")</f>
        <v>, Luz, fácil manuseio forte</v>
      </c>
      <c r="B51905" s="3">
        <v>1</v>
      </c>
    </row>
    <row r="51906" ht="15.75" customHeight="1" spans="1:2">
      <c r="A51906" s="3" t="str">
        <f>IFERROR(__xludf.DUMMYFUNCTION("GOOGLETRANSLATE(A51906,""en"",""pt"")"),"Leve, fácil de usar, versátil, bem construído, punho reversível")</f>
        <v>Leve, fácil de usar, versátil, bem construído, punho reversível</v>
      </c>
      <c r="B51906" s="3">
        <v>1</v>
      </c>
    </row>
    <row r="51907" ht="15.75" customHeight="1" spans="1:2">
      <c r="A51907" s="3" t="str">
        <f>IFERROR(__xludf.DUMMYFUNCTION("GOOGLETRANSLATE(A51907,""en"",""pt"")"),"Leve, resistente, fácil de manusear")</f>
        <v>Leve, resistente, fácil de manusear</v>
      </c>
      <c r="B51907" s="3">
        <v>1</v>
      </c>
    </row>
    <row r="51908" ht="15.75" customHeight="1" spans="1:2">
      <c r="A51908" s="3" t="str">
        <f>IFERROR(__xludf.DUMMYFUNCTION("GOOGLETRANSLATE(A51908,""en"",""pt"")"),"luz, parece bom, muitos ajustes podem ser feitos para atender às necessidades particulares")</f>
        <v>luz, parece bom, muitos ajustes podem ser feitos para atender às necessidades particulares</v>
      </c>
      <c r="B51908" s="3">
        <v>1</v>
      </c>
    </row>
    <row r="51909" ht="15.75" customHeight="1" spans="1:2">
      <c r="A51909" s="3" t="str">
        <f>IFERROR(__xludf.DUMMYFUNCTION("GOOGLETRANSLATE(A51909,""en"",""pt"")"),"leve, ajustável guiador, tecido durável")</f>
        <v>leve, ajustável guiador, tecido durável</v>
      </c>
      <c r="B51909" s="3">
        <v>1</v>
      </c>
    </row>
    <row r="51910" ht="15.75" customHeight="1" spans="1:2">
      <c r="A51910" s="3" t="str">
        <f>IFERROR(__xludf.DUMMYFUNCTION("GOOGLETRANSLATE(A51910,""en"",""pt"")"),"leve, durabilidade, facilmente fecha e abre, confortável, atraente, muitas características interessantes")</f>
        <v>leve, durabilidade, facilmente fecha e abre, confortável, atraente, muitas características interessantes</v>
      </c>
      <c r="B51910" s="3">
        <v>1</v>
      </c>
    </row>
    <row r="51911" ht="15.75" customHeight="1" spans="1:2">
      <c r="A51911" s="3" t="str">
        <f>IFERROR(__xludf.DUMMYFUNCTION("GOOGLETRANSLATE(A51911,""en"",""pt"")"),"Tudo ... qualidade, resistente a sua e leve")</f>
        <v>Tudo ... qualidade, resistente a sua e leve</v>
      </c>
      <c r="B51911" s="3">
        <v>1</v>
      </c>
    </row>
    <row r="51912" ht="15.75" customHeight="1" spans="1:2">
      <c r="A51912" s="3" t="str">
        <f>IFERROR(__xludf.DUMMYFUNCTION("GOOGLETRANSLATE(A51912,""en"",""pt"")"),"convertidos ao carraige")</f>
        <v>convertidos ao carraige</v>
      </c>
      <c r="B51912" s="3">
        <v>1</v>
      </c>
    </row>
    <row r="51913" ht="15.75" customHeight="1" spans="1:2">
      <c r="A51913" s="3" t="str">
        <f>IFERROR(__xludf.DUMMYFUNCTION("GOOGLETRANSLATE(A51913,""en"",""pt"")"),"alça, copa, recurso de inicialização reversível")</f>
        <v>alça, copa, recurso de inicialização reversível</v>
      </c>
      <c r="B51913" s="3">
        <v>1</v>
      </c>
    </row>
    <row r="51914" ht="15.75" customHeight="1" spans="1:2">
      <c r="A51914" s="3" t="str">
        <f>IFERROR(__xludf.DUMMYFUNCTION("GOOGLETRANSLATE(A51914,""en"",""pt"")"),"estável, suave, muitas características interessantes")</f>
        <v>estável, suave, muitas características interessantes</v>
      </c>
      <c r="B51914" s="3">
        <v>1</v>
      </c>
    </row>
    <row r="51915" ht="15.75" customHeight="1" spans="1:2">
      <c r="A51915" s="3" t="str">
        <f>IFERROR(__xludf.DUMMYFUNCTION("GOOGLETRANSLATE(A51915,""en"",""pt"")"),"Nenhum")</f>
        <v>Nenhum</v>
      </c>
      <c r="B51915" s="3">
        <v>1</v>
      </c>
    </row>
    <row r="51916" ht="15.75" customHeight="1" spans="1:2">
      <c r="A51916" s="3" t="str">
        <f>IFERROR(__xludf.DUMMYFUNCTION("GOOGLETRANSLATE(A51916,""en"",""pt"")"),"Leve,, pelúcia tecido durável, alisar suspensão; reversível barra de pega; totalmente reclináveis ​​assento")</f>
        <v>Leve,, pelúcia tecido durável, alisar suspensão; reversível barra de pega; totalmente reclináveis ​​assento</v>
      </c>
      <c r="B51916" s="3">
        <v>1</v>
      </c>
    </row>
    <row r="51917" ht="15.75" customHeight="1" spans="1:2">
      <c r="A51917" s="3" t="str">
        <f>IFERROR(__xludf.DUMMYFUNCTION("GOOGLETRANSLATE(A51917,""en"",""pt"")"),"Classy olhando, agradáveis ​​padrões de tecido, grande dossel, punho reversível")</f>
        <v>Classy olhando, agradáveis ​​padrões de tecido, grande dossel, punho reversível</v>
      </c>
      <c r="B51917" s="3">
        <v>1</v>
      </c>
    </row>
    <row r="51918" ht="15.75" customHeight="1" spans="1:2">
      <c r="A51918" s="3" t="str">
        <f>IFERROR(__xludf.DUMMYFUNCTION("GOOGLETRANSLATE(A51918,""en"",""pt"")"),"Fácil de empurrar, não muito pesado")</f>
        <v>Fácil de empurrar, não muito pesado</v>
      </c>
      <c r="B51918" s="3">
        <v>1</v>
      </c>
    </row>
    <row r="51919" ht="15.75" customHeight="1" spans="1:2">
      <c r="A51919" s="3" t="str">
        <f>IFERROR(__xludf.DUMMYFUNCTION("GOOGLETRANSLATE(A51919,""en"",""pt"")"),"Resistente, alça giratória, fácil dobrar .....")</f>
        <v>Resistente, alça giratória, fácil dobrar .....</v>
      </c>
      <c r="B51919" s="3">
        <v>1</v>
      </c>
    </row>
    <row r="51920" ht="15.75" customHeight="1" spans="1:2">
      <c r="A51920" s="3" t="str">
        <f>IFERROR(__xludf.DUMMYFUNCTION("GOOGLETRANSLATE(A51920,""en"",""pt"")"),"Dobra-se facilmente, reversível, bom passeio, grandes cores!")</f>
        <v>Dobra-se facilmente, reversível, bom passeio, grandes cores!</v>
      </c>
      <c r="B51920" s="3">
        <v>1</v>
      </c>
    </row>
    <row r="51921" ht="15.75" customHeight="1" spans="1:2">
      <c r="A51921" s="3" t="str">
        <f>IFERROR(__xludf.DUMMYFUNCTION("GOOGLETRANSLATE(A51921,""en"",""pt"")"),"Tecido fino, boa dobra, boa cobertura")</f>
        <v>Tecido fino, boa dobra, boa cobertura</v>
      </c>
      <c r="B51921" s="3">
        <v>1</v>
      </c>
    </row>
    <row r="51922" ht="15.75" customHeight="1" spans="1:2">
      <c r="A51922" s="3" t="str">
        <f>IFERROR(__xludf.DUMMYFUNCTION("GOOGLETRANSLATE(A51922,""en"",""pt"")"),"Vai em qualquer lugar e é tão fácil de usar")</f>
        <v>Vai em qualquer lugar e é tão fácil de usar</v>
      </c>
      <c r="B51922" s="3">
        <v>1</v>
      </c>
    </row>
    <row r="51923" ht="15.75" customHeight="1" spans="1:2">
      <c r="A51923" s="3" t="str">
        <f>IFERROR(__xludf.DUMMYFUNCTION("GOOGLETRANSLATE(A51923,""en"",""pt"")"),"Grande zoom, bateria incrível, interface fácil, lotes de características.")</f>
        <v>Grande zoom, bateria incrível, interface fácil, lotes de características.</v>
      </c>
      <c r="B51923" s="3">
        <v>1</v>
      </c>
    </row>
    <row r="51924" ht="15.75" customHeight="1" spans="1:2">
      <c r="A51924" s="3" t="str">
        <f>IFERROR(__xludf.DUMMYFUNCTION("GOOGLETRANSLATE(A51924,""en"",""pt"")"),"Facilidade de uso, design elegante e fácil de usar botões, excelente zoom e macro")</f>
        <v>Facilidade de uso, design elegante e fácil de usar botões, excelente zoom e macro</v>
      </c>
      <c r="B51924" s="3">
        <v>1</v>
      </c>
    </row>
    <row r="51925" ht="15.75" customHeight="1" spans="1:2">
      <c r="A51925" s="3" t="str">
        <f>IFERROR(__xludf.DUMMYFUNCTION("GOOGLETRANSLATE(A51925,""en"",""pt"")"),"Pequeno, grande zoom para uma pequena digital. Clareza é incrível.")</f>
        <v>Pequeno, grande zoom para uma pequena digital. Clareza é incrível.</v>
      </c>
      <c r="B51925" s="3">
        <v>1</v>
      </c>
    </row>
    <row r="51926" ht="15.75" customHeight="1" spans="1:2">
      <c r="A51926" s="3" t="str">
        <f>IFERROR(__xludf.DUMMYFUNCTION("GOOGLETRANSLATE(A51926,""en"",""pt"")"),"Excelente conjunto de características! A vida da bateria. Tamanho pequeno. Flexibilidade.")</f>
        <v>Excelente conjunto de características! A vida da bateria. Tamanho pequeno. Flexibilidade.</v>
      </c>
      <c r="B51926" s="3">
        <v>1</v>
      </c>
    </row>
    <row r="51927" ht="15.75" customHeight="1" spans="1:2">
      <c r="A51927" s="3" t="str">
        <f>IFERROR(__xludf.DUMMYFUNCTION("GOOGLETRANSLATE(A51927,""en"",""pt"")"),"design intuitivo, milhões de recursos, de excelente qualidade, design muito compacto.")</f>
        <v>design intuitivo, milhões de recursos, de excelente qualidade, design muito compacto.</v>
      </c>
      <c r="B51927" s="3">
        <v>1</v>
      </c>
    </row>
    <row r="51928" ht="15.75" customHeight="1" spans="1:2">
      <c r="A51928" s="3" t="str">
        <f>IFERROR(__xludf.DUMMYFUNCTION("GOOGLETRANSLATE(A51928,""en"",""pt"")"),"corpo sólido, a opção de ir totalmente manuais e ótimas fotos!")</f>
        <v>corpo sólido, a opção de ir totalmente manuais e ótimas fotos!</v>
      </c>
      <c r="B51928" s="3">
        <v>1</v>
      </c>
    </row>
    <row r="51929" ht="15.75" customHeight="1" spans="1:2">
      <c r="A51929" s="3" t="str">
        <f>IFERROR(__xludf.DUMMYFUNCTION("GOOGLETRANSLATE(A51929,""en"",""pt"")"),"Fotos grandes, quer de focagem automática ou manual de configurações / opções. Menu fácil de navegar.")</f>
        <v>Fotos grandes, quer de focagem automática ou manual de configurações / opções. Menu fácil de navegar.</v>
      </c>
      <c r="B51929" s="3">
        <v>1</v>
      </c>
    </row>
    <row r="51930" ht="15.75" customHeight="1" spans="1:2">
      <c r="A51930" s="3" t="str">
        <f>IFERROR(__xludf.DUMMYFUNCTION("GOOGLETRANSLATE(A51930,""en"",""pt"")"),"A bateria durou cerca de 2 semanas! Tamanho pequeno.")</f>
        <v>A bateria durou cerca de 2 semanas! Tamanho pequeno.</v>
      </c>
      <c r="B51930" s="3">
        <v>1</v>
      </c>
    </row>
    <row r="51931" ht="15.75" customHeight="1" spans="1:2">
      <c r="A51931" s="3" t="str">
        <f>IFERROR(__xludf.DUMMYFUNCTION("GOOGLETRANSLATE(A51931,""en"",""pt"")"),"Tamanho, a vida da bateria, facilidade de uso.")</f>
        <v>Tamanho, a vida da bateria, facilidade de uso.</v>
      </c>
      <c r="B51931" s="3">
        <v>1</v>
      </c>
    </row>
    <row r="51932" ht="15.75" customHeight="1" spans="1:2">
      <c r="A51932" s="3" t="str">
        <f>IFERROR(__xludf.DUMMYFUNCTION("GOOGLETRANSLATE(A51932,""en"",""pt"")"),"Ultra-compacto, qualidade de imagem impressionante, carregado com características")</f>
        <v>Ultra-compacto, qualidade de imagem impressionante, carregado com características</v>
      </c>
      <c r="B51932" s="3">
        <v>1</v>
      </c>
    </row>
    <row r="51933" ht="15.75" customHeight="1" spans="1:2">
      <c r="A51933" s="3" t="str">
        <f>IFERROR(__xludf.DUMMYFUNCTION("GOOGLETRANSLATE(A51933,""en"",""pt"")"),"Tamanho &amp; amp; peso são surpreendentes. Tem a maioria dos recursos ""grande câmara"" a preços acessíveis.")</f>
        <v>Tamanho &amp; amp; peso são surpreendentes. Tem a maioria dos recursos "grande câmara" a preços acessíveis.</v>
      </c>
      <c r="B51933" s="3">
        <v>1</v>
      </c>
    </row>
    <row r="51934" ht="15.75" customHeight="1" spans="1:2">
      <c r="A51934" s="3" t="str">
        <f>IFERROR(__xludf.DUMMYFUNCTION("GOOGLETRANSLATE(A51934,""en"",""pt"")"),"qualidade em um pacote pequeno, aparência, facilidade de uso,")</f>
        <v>qualidade em um pacote pequeno, aparência, facilidade de uso,</v>
      </c>
      <c r="B51934" s="3">
        <v>1</v>
      </c>
    </row>
    <row r="51935" ht="15.75" customHeight="1" spans="1:2">
      <c r="A51935" s="3" t="str">
        <f>IFERROR(__xludf.DUMMYFUNCTION("GOOGLETRANSLATE(A51935,""en"",""pt"")"),"Tamanho !, três megapixels, zoom óptico de 3X, alguns recursos manuais, WOW fator, mais!")</f>
        <v>Tamanho !, três megapixels, zoom óptico de 3X, alguns recursos manuais, WOW fator, mais!</v>
      </c>
      <c r="B51935" s="3">
        <v>1</v>
      </c>
    </row>
    <row r="51936" ht="15.75" customHeight="1" spans="1:2">
      <c r="A51936" s="3" t="str">
        <f>IFERROR(__xludf.DUMMYFUNCTION("GOOGLETRANSLATE(A51936,""en"",""pt"")"),"tamanho compacto, a vida da bateria impressionante, excelente lente zoom")</f>
        <v>tamanho compacto, a vida da bateria impressionante, excelente lente zoom</v>
      </c>
      <c r="B51936" s="3">
        <v>1</v>
      </c>
    </row>
    <row r="51937" ht="15.75" customHeight="1" spans="1:2">
      <c r="A51937" s="3" t="str">
        <f>IFERROR(__xludf.DUMMYFUNCTION("GOOGLETRANSLATE(A51937,""en"",""pt"")"),"Tamanho, estilo, características")</f>
        <v>Tamanho, estilo, características</v>
      </c>
      <c r="B51937" s="3">
        <v>1</v>
      </c>
    </row>
    <row r="51938" ht="15.75" customHeight="1" spans="1:2">
      <c r="A51938" s="3" t="str">
        <f>IFERROR(__xludf.DUMMYFUNCTION("GOOGLETRANSLATE(A51938,""en"",""pt"")"),"tamanho, ""cool"" fator, lcd")</f>
        <v>tamanho, "cool" fator, lcd</v>
      </c>
      <c r="B51938" s="3">
        <v>1</v>
      </c>
    </row>
    <row r="51939" ht="15.75" customHeight="1" spans="1:2">
      <c r="A51939" s="3" t="str">
        <f>IFERROR(__xludf.DUMMYFUNCTION("GOOGLETRANSLATE(A51939,""en"",""pt"")"),"Tamanho, Zoom óptico 3x, 3.2MP ... que eu disse tamanho?")</f>
        <v>Tamanho, Zoom óptico 3x, 3.2MP ... que eu disse tamanho?</v>
      </c>
      <c r="B51939" s="3">
        <v>1</v>
      </c>
    </row>
    <row r="51940" ht="15.75" customHeight="1" spans="1:2">
      <c r="A51940" s="3" t="str">
        <f>IFERROR(__xludf.DUMMYFUNCTION("GOOGLETRANSLATE(A51940,""en"",""pt"")"),"Ultra-compacto, 3 megapixels, zoom óptico de 3X, conjunto de recursos incredible, 11 MB de memória interna,")</f>
        <v>Ultra-compacto, 3 megapixels, zoom óptico de 3X, conjunto de recursos incredible, 11 MB de memória interna,</v>
      </c>
      <c r="B51940" s="3">
        <v>1</v>
      </c>
    </row>
    <row r="51941" ht="15.75" customHeight="1" spans="1:2">
      <c r="A51941" s="3" t="str">
        <f>IFERROR(__xludf.DUMMYFUNCTION("GOOGLETRANSLATE(A51941,""en"",""pt"")"),"equilíbrio fantástico de portabilidade, qualidade da foto, vida útil da bateria ea capacidade (com cartão de 256 MB SD)")</f>
        <v>equilíbrio fantástico de portabilidade, qualidade da foto, vida útil da bateria ea capacidade (com cartão de 256 MB SD)</v>
      </c>
      <c r="B51941" s="3">
        <v>1</v>
      </c>
    </row>
    <row r="51942" ht="15.75" customHeight="1" spans="1:2">
      <c r="A51942" s="3" t="str">
        <f>IFERROR(__xludf.DUMMYFUNCTION("GOOGLETRANSLATE(A51942,""en"",""pt"")"),"Tome Tamanho qualquer lugar com recursos completos")</f>
        <v>Tome Tamanho qualquer lugar com recursos completos</v>
      </c>
      <c r="B51942" s="3">
        <v>1</v>
      </c>
    </row>
    <row r="51943" ht="15.75" customHeight="1" spans="1:2">
      <c r="A51943" s="3" t="str">
        <f>IFERROR(__xludf.DUMMYFUNCTION("GOOGLETRANSLATE(A51943,""en"",""pt"")"),"imagem tamanho de boa qualidade se não estiver usando zoom")</f>
        <v>imagem tamanho de boa qualidade se não estiver usando zoom</v>
      </c>
      <c r="B51943" s="3">
        <v>1</v>
      </c>
    </row>
    <row r="51944" ht="15.75" customHeight="1" spans="1:2">
      <c r="A51944" s="3" t="str">
        <f>IFERROR(__xludf.DUMMYFUNCTION("GOOGLETRANSLATE(A51944,""en"",""pt"")"),"Tamanho torna fácil ter sempre com você.")</f>
        <v>Tamanho torna fácil ter sempre com você.</v>
      </c>
      <c r="B51944" s="3">
        <v>1</v>
      </c>
    </row>
    <row r="51945" ht="15.75" customHeight="1" spans="1:2">
      <c r="A51945" s="3" t="str">
        <f>IFERROR(__xludf.DUMMYFUNCTION("GOOGLETRANSLATE(A51945,""en"",""pt"")"),"tamanho conveniente. Agradáveis ​​habilidades macro. Boa energia da bateria.")</f>
        <v>tamanho conveniente. Agradáveis ​​habilidades macro. Boa energia da bateria.</v>
      </c>
      <c r="B51945" s="3">
        <v>1</v>
      </c>
    </row>
    <row r="51946" ht="15.75" customHeight="1" spans="1:2">
      <c r="A51946" s="3" t="str">
        <f>IFERROR(__xludf.DUMMYFUNCTION("GOOGLETRANSLATE(A51946,""en"",""pt"")"),"Extremamente pequeno &amp; amp; leve - e intuitiva interface de usuário &amp; amp; disposição de botões -, a qualidade Fair imagem")</f>
        <v>Extremamente pequeno &amp; amp; leve - e intuitiva interface de usuário &amp; amp; disposição de botões -, a qualidade Fair imagem</v>
      </c>
      <c r="B51946" s="3">
        <v>1</v>
      </c>
    </row>
    <row r="51947" ht="15.75" customHeight="1" spans="1:2">
      <c r="A51947" s="3" t="str">
        <f>IFERROR(__xludf.DUMMYFUNCTION("GOOGLETRANSLATE(A51947,""en"",""pt"")"),"Great Price &amp; amp; leva pilhas comuns")</f>
        <v>Great Price &amp; amp; leva pilhas comuns</v>
      </c>
      <c r="B51947" s="3">
        <v>1</v>
      </c>
    </row>
    <row r="51948" ht="15.75" customHeight="1" spans="1:2">
      <c r="A51948" s="3" t="str">
        <f>IFERROR(__xludf.DUMMYFUNCTION("GOOGLETRANSLATE(A51948,""en"",""pt"")"),"Barato")</f>
        <v>Barato</v>
      </c>
      <c r="B51948" s="3">
        <v>1</v>
      </c>
    </row>
    <row r="51949" ht="15.75" customHeight="1" spans="1:2">
      <c r="A51949" s="3" t="str">
        <f>IFERROR(__xludf.DUMMYFUNCTION("GOOGLETRANSLATE(A51949,""en"",""pt"")"),"Honestamente nenhum!")</f>
        <v>Honestamente nenhum!</v>
      </c>
      <c r="B51949" s="3">
        <v>1</v>
      </c>
    </row>
    <row r="51950" ht="15.75" customHeight="1" spans="1:2">
      <c r="A51950" s="3" t="str">
        <f>IFERROR(__xludf.DUMMYFUNCTION("GOOGLETRANSLATE(A51950,""en"",""pt"")"),"peso barato e leve.")</f>
        <v>peso barato e leve.</v>
      </c>
      <c r="B51950" s="3">
        <v>1</v>
      </c>
    </row>
    <row r="51951" ht="15.75" customHeight="1" spans="1:2">
      <c r="A51951" s="3" t="str">
        <f>IFERROR(__xludf.DUMMYFUNCTION("GOOGLETRANSLATE(A51951,""en"",""pt"")"),"Rápido - Light - Baratos - Auto Repetindo")</f>
        <v>Rápido - Light - Baratos - Auto Repetindo</v>
      </c>
      <c r="B51951" s="3">
        <v>1</v>
      </c>
    </row>
    <row r="51952" ht="15.75" customHeight="1" spans="1:2">
      <c r="A51952" s="3" t="str">
        <f>IFERROR(__xludf.DUMMYFUNCTION("GOOGLETRANSLATE(A51952,""en"",""pt"")"),"Usa uma bateria padrão de 9 volts, funcionalidade de um botão simples, auto-temporizador, barato")</f>
        <v>Usa uma bateria padrão de 9 volts, funcionalidade de um botão simples, auto-temporizador, barato</v>
      </c>
      <c r="B51952" s="3">
        <v>1</v>
      </c>
    </row>
    <row r="51953" ht="15.75" customHeight="1" spans="1:2">
      <c r="A51953" s="3" t="str">
        <f>IFERROR(__xludf.DUMMYFUNCTION("GOOGLETRANSLATE(A51953,""en"",""pt"")"),"Barato e fácil de usar.")</f>
        <v>Barato e fácil de usar.</v>
      </c>
      <c r="B51953" s="3">
        <v>1</v>
      </c>
    </row>
    <row r="51954" ht="15.75" customHeight="1" spans="1:2">
      <c r="A51954" s="3" t="str">
        <f>IFERROR(__xludf.DUMMYFUNCTION("GOOGLETRANSLATE(A51954,""en"",""pt"")"),"Leve, fotos decentes, divertido de usar, um bom software.")</f>
        <v>Leve, fotos decentes, divertido de usar, um bom software.</v>
      </c>
      <c r="B51954" s="3">
        <v>1</v>
      </c>
    </row>
    <row r="51955" ht="15.75" customHeight="1" spans="1:2">
      <c r="A51955" s="3" t="str">
        <f>IFERROR(__xludf.DUMMYFUNCTION("GOOGLETRANSLATE(A51955,""en"",""pt"")"),"Barato")</f>
        <v>Barato</v>
      </c>
      <c r="B51955" s="3">
        <v>1</v>
      </c>
    </row>
    <row r="51956" ht="15.75" customHeight="1" spans="1:2">
      <c r="A51956" s="3" t="str">
        <f>IFERROR(__xludf.DUMMYFUNCTION("GOOGLETRANSLATE(A51956,""en"",""pt"")"),"Nenhum")</f>
        <v>Nenhum</v>
      </c>
      <c r="B51956" s="3">
        <v>1</v>
      </c>
    </row>
    <row r="51957" ht="15.75" customHeight="1" spans="1:2">
      <c r="A51957" s="3" t="str">
        <f>IFERROR(__xludf.DUMMYFUNCTION("GOOGLETRANSLATE(A51957,""en"",""pt"")"),"baratos, compactos, boas fotos para uso na web, fácil de usar")</f>
        <v>baratos, compactos, boas fotos para uso na web, fácil de usar</v>
      </c>
      <c r="B51957" s="3">
        <v>1</v>
      </c>
    </row>
    <row r="51958" ht="15.75" customHeight="1" spans="1:2">
      <c r="A51958" s="3" t="str">
        <f>IFERROR(__xludf.DUMMYFUNCTION("GOOGLETRANSLATE(A51958,""en"",""pt"")"),"Você pode acreditar ESTE PREÇO? Todos podem ir DIGITAL COM ESTE!")</f>
        <v>Você pode acreditar ESTE PREÇO? Todos podem ir DIGITAL COM ESTE!</v>
      </c>
      <c r="B51958" s="3">
        <v>1</v>
      </c>
    </row>
    <row r="51959" ht="15.75" customHeight="1" spans="1:2">
      <c r="A51959" s="3" t="str">
        <f>IFERROR(__xludf.DUMMYFUNCTION("GOOGLETRANSLATE(A51959,""en"",""pt"")"),"É fácil, leve e que um ótimo preço!")</f>
        <v>É fácil, leve e que um ótimo preço!</v>
      </c>
      <c r="B51959" s="3">
        <v>1</v>
      </c>
    </row>
    <row r="51960" ht="15.75" customHeight="1" spans="1:2">
      <c r="A51960" s="3" t="str">
        <f>IFERROR(__xludf.DUMMYFUNCTION("GOOGLETRANSLATE(A51960,""en"",""pt"")"),"Fácil de usar, excelente preço, cumpre promessas.")</f>
        <v>Fácil de usar, excelente preço, cumpre promessas.</v>
      </c>
      <c r="B51960" s="3">
        <v>1</v>
      </c>
    </row>
    <row r="51961" ht="15.75" customHeight="1" spans="1:2">
      <c r="A51961" s="3" t="str">
        <f>IFERROR(__xludf.DUMMYFUNCTION("GOOGLETRANSLATE(A51961,""en"",""pt"")"),"Barato. Fácil de usar. Um bom software incluído. Bateria de Longa Duração. Imagens decente.")</f>
        <v>Barato. Fácil de usar. Um bom software incluído. Bateria de Longa Duração. Imagens decente.</v>
      </c>
      <c r="B51961" s="3">
        <v>1</v>
      </c>
    </row>
    <row r="51962" ht="15.75" customHeight="1" spans="1:2">
      <c r="A51962" s="3" t="str">
        <f>IFERROR(__xludf.DUMMYFUNCTION("GOOGLETRANSLATE(A51962,""en"",""pt"")"),"barato, acessível, boa entrada para fotos digitais")</f>
        <v>barato, acessível, boa entrada para fotos digitais</v>
      </c>
      <c r="B51962" s="3">
        <v>1</v>
      </c>
    </row>
    <row r="51963" ht="15.75" customHeight="1" spans="1:2">
      <c r="A51963" s="3" t="str">
        <f>IFERROR(__xludf.DUMMYFUNCTION("GOOGLETRANSLATE(A51963,""en"",""pt"")"),"Ótimo preço baixo, leve e toda a programação incluiu")</f>
        <v>Ótimo preço baixo, leve e toda a programação incluiu</v>
      </c>
      <c r="B51963" s="3">
        <v>1</v>
      </c>
    </row>
    <row r="51964" ht="15.75" customHeight="1" spans="1:2">
      <c r="A51964" s="3" t="str">
        <f>IFERROR(__xludf.DUMMYFUNCTION("GOOGLETRANSLATE(A51964,""en"",""pt"")"),"caso forte, Flash, Fácil de usar, bom software")</f>
        <v>caso forte, Flash, Fácil de usar, bom software</v>
      </c>
      <c r="B51964" s="3">
        <v>1</v>
      </c>
    </row>
    <row r="51965" ht="15.75" customHeight="1" spans="1:2">
      <c r="A51965" s="3" t="str">
        <f>IFERROR(__xludf.DUMMYFUNCTION("GOOGLETRANSLATE(A51965,""en"",""pt"")"),"Barato")</f>
        <v>Barato</v>
      </c>
      <c r="B51965" s="3">
        <v>1</v>
      </c>
    </row>
    <row r="51966" ht="15.75" customHeight="1" spans="1:2">
      <c r="A51966" s="3" t="str">
        <f>IFERROR(__xludf.DUMMYFUNCTION("GOOGLETRANSLATE(A51966,""en"",""pt"")"),"câmera digital barata. câmera cara geral no entanto.")</f>
        <v>câmera digital barata. câmera cara geral no entanto.</v>
      </c>
      <c r="B51966" s="3">
        <v>1</v>
      </c>
    </row>
    <row r="51967" ht="15.75" customHeight="1" spans="1:2">
      <c r="A51967" s="3" t="str">
        <f>IFERROR(__xludf.DUMMYFUNCTION("GOOGLETRANSLATE(A51967,""en"",""pt"")"),"Fácil de usar, bom preço para iniciantes.")</f>
        <v>Fácil de usar, bom preço para iniciantes.</v>
      </c>
      <c r="B51967" s="3">
        <v>1</v>
      </c>
    </row>
    <row r="51968" ht="15.75" customHeight="1" spans="1:2">
      <c r="A51968" s="3" t="str">
        <f>IFERROR(__xludf.DUMMYFUNCTION("GOOGLETRANSLATE(A51968,""en"",""pt"")"),"Grandes recursos, flash, display LCD,")</f>
        <v>Grandes recursos, flash, display LCD,</v>
      </c>
      <c r="B51968" s="3">
        <v>1</v>
      </c>
    </row>
    <row r="51969" ht="15.75" customHeight="1" spans="1:2">
      <c r="A51969" s="3" t="str">
        <f>IFERROR(__xludf.DUMMYFUNCTION("GOOGLETRANSLATE(A51969,""en"",""pt"")"),"janela de revisão, flash, facilidade de uso")</f>
        <v>janela de revisão, flash, facilidade de uso</v>
      </c>
      <c r="B51969" s="3">
        <v>1</v>
      </c>
    </row>
    <row r="51970" ht="15.75" customHeight="1" spans="1:2">
      <c r="A51970" s="3" t="str">
        <f>IFERROR(__xludf.DUMMYFUNCTION("GOOGLETRANSLATE(A51970,""en"",""pt"")"),"* Muito * câmera digital barata. Bom para o preço.")</f>
        <v>* Muito * câmera digital barata. Bom para o preço.</v>
      </c>
      <c r="B51970" s="3">
        <v>1</v>
      </c>
    </row>
    <row r="51971" ht="15.75" customHeight="1" spans="1:2">
      <c r="A51971" s="3" t="str">
        <f>IFERROR(__xludf.DUMMYFUNCTION("GOOGLETRANSLATE(A51971,""en"",""pt"")"),"Muitos recursos, fácil de usar!")</f>
        <v>Muitos recursos, fácil de usar!</v>
      </c>
      <c r="B51971" s="3">
        <v>1</v>
      </c>
    </row>
    <row r="51972" ht="15.75" customHeight="1" spans="1:2">
      <c r="A51972" s="3" t="str">
        <f>IFERROR(__xludf.DUMMYFUNCTION("GOOGLETRANSLATE(A51972,""en"",""pt"")"),"Barato")</f>
        <v>Barato</v>
      </c>
      <c r="B51972" s="3">
        <v>1</v>
      </c>
    </row>
    <row r="51973" ht="15.75" customHeight="1" spans="1:2">
      <c r="A51973" s="3" t="str">
        <f>IFERROR(__xludf.DUMMYFUNCTION("GOOGLETRANSLATE(A51973,""en"",""pt"")"),"LCD Display, Flash, Software é fácil de usar")</f>
        <v>LCD Display, Flash, Software é fácil de usar</v>
      </c>
      <c r="B51973" s="3">
        <v>1</v>
      </c>
    </row>
    <row r="51974" ht="15.75" customHeight="1" spans="1:2">
      <c r="A51974" s="3" t="str">
        <f>IFERROR(__xludf.DUMMYFUNCTION("GOOGLETRANSLATE(A51974,""en"",""pt"")"),"Preço, facilidade de uso")</f>
        <v>Preço, facilidade de uso</v>
      </c>
      <c r="B51974" s="3">
        <v>1</v>
      </c>
    </row>
    <row r="51975" ht="15.75" customHeight="1" spans="1:2">
      <c r="A51975" s="3" t="str">
        <f>IFERROR(__xludf.DUMMYFUNCTION("GOOGLETRANSLATE(A51975,""en"",""pt"")"),"Baratos, ótimas fotos para preço, muito rápido,")</f>
        <v>Baratos, ótimas fotos para preço, muito rápido,</v>
      </c>
      <c r="B51975" s="3">
        <v>1</v>
      </c>
    </row>
    <row r="51976" ht="15.75" customHeight="1" spans="1:2">
      <c r="A51976" s="3" t="str">
        <f>IFERROR(__xludf.DUMMYFUNCTION("GOOGLETRANSLATE(A51976,""en"",""pt"")"),"É uma maneira barata de se divertir digitais")</f>
        <v>É uma maneira barata de se divertir digitais</v>
      </c>
      <c r="B51976" s="3">
        <v>1</v>
      </c>
    </row>
    <row r="51977" ht="15.75" customHeight="1" spans="1:2">
      <c r="A51977" s="3" t="str">
        <f>IFERROR(__xludf.DUMMYFUNCTION("GOOGLETRANSLATE(A51977,""en"",""pt"")"),"qualidade de imagem decente para uma câmera barata")</f>
        <v>qualidade de imagem decente para uma câmera barata</v>
      </c>
      <c r="B51977" s="3">
        <v>1</v>
      </c>
    </row>
    <row r="51978" ht="15.75" customHeight="1" spans="1:2">
      <c r="A51978" s="3" t="str">
        <f>IFERROR(__xludf.DUMMYFUNCTION("GOOGLETRANSLATE(A51978,""en"",""pt"")"),"Fácil de usar, tem memória expansível, um bom software")</f>
        <v>Fácil de usar, tem memória expansível, um bom software</v>
      </c>
      <c r="B51978" s="3">
        <v>1</v>
      </c>
    </row>
    <row r="51979" ht="15.75" customHeight="1" spans="1:2">
      <c r="A51979" s="3" t="str">
        <f>IFERROR(__xludf.DUMMYFUNCTION("GOOGLETRANSLATE(A51979,""en"",""pt"")"),"Baratos - lotes de recursos para o preço")</f>
        <v>Baratos - lotes de recursos para o preço</v>
      </c>
      <c r="B51979" s="3">
        <v>1</v>
      </c>
    </row>
    <row r="51980" ht="15.75" customHeight="1" spans="1:2">
      <c r="A51980" s="3" t="str">
        <f>IFERROR(__xludf.DUMMYFUNCTION("GOOGLETRANSLATE(A51980,""en"",""pt"")"),"Oi resolução, fácil de usar, ótimo preço.")</f>
        <v>Oi resolução, fácil de usar, ótimo preço.</v>
      </c>
      <c r="B51980" s="3">
        <v>1</v>
      </c>
    </row>
    <row r="51981" ht="15.75" customHeight="1" spans="1:2">
      <c r="A51981" s="3" t="str">
        <f>IFERROR(__xludf.DUMMYFUNCTION("GOOGLETRANSLATE(A51981,""en"",""pt"")"),"Grandes fotos, preço")</f>
        <v>Grandes fotos, preço</v>
      </c>
      <c r="B51981" s="3">
        <v>1</v>
      </c>
    </row>
    <row r="51982" ht="15.75" customHeight="1" spans="1:2">
      <c r="A51982" s="3" t="str">
        <f>IFERROR(__xludf.DUMMYFUNCTION("GOOGLETRANSLATE(A51982,""en"",""pt"")"),"qualidade de imagem, desempenho macro")</f>
        <v>qualidade de imagem, desempenho macro</v>
      </c>
      <c r="B51982" s="3">
        <v>1</v>
      </c>
    </row>
    <row r="51983" ht="15.75" customHeight="1" spans="1:2">
      <c r="A51983" s="3" t="str">
        <f>IFERROR(__xludf.DUMMYFUNCTION("GOOGLETRANSLATE(A51983,""en"",""pt"")"),"Grande Valor, embalado com características")</f>
        <v>Grande Valor, embalado com características</v>
      </c>
      <c r="B51983" s="3">
        <v>1</v>
      </c>
    </row>
    <row r="51984" ht="15.75" customHeight="1" spans="1:2">
      <c r="A51984" s="3" t="str">
        <f>IFERROR(__xludf.DUMMYFUNCTION("GOOGLETRANSLATE(A51984,""en"",""pt"")"),"Preço, capacidade de tirar foto é não importa onde você está.")</f>
        <v>Preço, capacidade de tirar foto é não importa onde você está.</v>
      </c>
      <c r="B51984" s="3">
        <v>1</v>
      </c>
    </row>
    <row r="51985" ht="15.75" customHeight="1" spans="1:2">
      <c r="A51985" s="3" t="str">
        <f>IFERROR(__xludf.DUMMYFUNCTION("GOOGLETRANSLATE(A51985,""en"",""pt"")"),"Preço, pilhas AA, facilidade de uso, qualidade de imagem decente")</f>
        <v>Preço, pilhas AA, facilidade de uso, qualidade de imagem decente</v>
      </c>
      <c r="B51985" s="3">
        <v>1</v>
      </c>
    </row>
    <row r="51986" ht="15.75" customHeight="1" spans="1:2">
      <c r="A51986" s="3" t="str">
        <f>IFERROR(__xludf.DUMMYFUNCTION("GOOGLETRANSLATE(A51986,""en"",""pt"")"),"Baixo custo, excelente lente macro, design bastante intuitivo para fácil utilização")</f>
        <v>Baixo custo, excelente lente macro, design bastante intuitivo para fácil utilização</v>
      </c>
      <c r="B51986" s="3">
        <v>1</v>
      </c>
    </row>
    <row r="51987" ht="15.75" customHeight="1" spans="1:2">
      <c r="A51987" s="3" t="str">
        <f>IFERROR(__xludf.DUMMYFUNCTION("GOOGLETRANSLATE(A51987,""en"",""pt"")"),"Fácil de usar")</f>
        <v>Fácil de usar</v>
      </c>
      <c r="B51987" s="3">
        <v>1</v>
      </c>
    </row>
    <row r="51988" ht="15.75" customHeight="1" spans="1:2">
      <c r="A51988" s="3" t="str">
        <f>IFERROR(__xludf.DUMMYFUNCTION("GOOGLETRANSLATE(A51988,""en"",""pt"")"),"Oi resolução, preço baixo, grande macro")</f>
        <v>Oi resolução, preço baixo, grande macro</v>
      </c>
      <c r="B51988" s="3">
        <v>1</v>
      </c>
    </row>
    <row r="51989" ht="15.75" customHeight="1" spans="1:2">
      <c r="A51989" s="3" t="str">
        <f>IFERROR(__xludf.DUMMYFUNCTION("GOOGLETRANSLATE(A51989,""en"",""pt"")"),"Preço, resolução, lente macro, a capacidade de tirar fotos em pouca luz")</f>
        <v>Preço, resolução, lente macro, a capacidade de tirar fotos em pouca luz</v>
      </c>
      <c r="B51989" s="3">
        <v>1</v>
      </c>
    </row>
    <row r="51990" ht="15.75" customHeight="1" spans="1:2">
      <c r="A51990" s="3" t="str">
        <f>IFERROR(__xludf.DUMMYFUNCTION("GOOGLETRANSLATE(A51990,""en"",""pt"")"),"reprodução de cores excepcional.")</f>
        <v>reprodução de cores excepcional.</v>
      </c>
      <c r="B51990" s="3">
        <v>1</v>
      </c>
    </row>
    <row r="51991" ht="15.75" customHeight="1" spans="1:2">
      <c r="A51991" s="3" t="str">
        <f>IFERROR(__xludf.DUMMYFUNCTION("GOOGLETRANSLATE(A51991,""en"",""pt"")"),"2MB MEM, flash, visor LCD")</f>
        <v>2MB MEM, flash, visor LCD</v>
      </c>
      <c r="B51991" s="3">
        <v>1</v>
      </c>
    </row>
    <row r="51992" ht="15.75" customHeight="1" spans="1:2">
      <c r="A51992" s="3" t="str">
        <f>IFERROR(__xludf.DUMMYFUNCTION("GOOGLETRANSLATE(A51992,""en"",""pt"")"),"Barato, fácil de usar")</f>
        <v>Barato, fácil de usar</v>
      </c>
      <c r="B51992" s="3">
        <v>1</v>
      </c>
    </row>
    <row r="51993" ht="15.75" customHeight="1" spans="1:2">
      <c r="A51993" s="3" t="str">
        <f>IFERROR(__xludf.DUMMYFUNCTION("GOOGLETRANSLATE(A51993,""en"",""pt"")"),"Grande soft ware!")</f>
        <v>Grande soft ware!</v>
      </c>
      <c r="B51993" s="3">
        <v>1</v>
      </c>
    </row>
    <row r="51994" ht="15.75" customHeight="1" spans="1:2">
      <c r="A51994" s="3" t="str">
        <f>IFERROR(__xludf.DUMMYFUNCTION("GOOGLETRANSLATE(A51994,""en"",""pt"")"),"Low Cost, completa &amp; amp; amp; Fácil de usar")</f>
        <v>Low Cost, completa &amp; amp; amp; Fácil de usar</v>
      </c>
      <c r="B51994" s="3">
        <v>1</v>
      </c>
    </row>
    <row r="51995" ht="15.75" customHeight="1" spans="1:2">
      <c r="A51995" s="3" t="str">
        <f>IFERROR(__xludf.DUMMYFUNCTION("GOOGLETRANSLATE(A51995,""en"",""pt"")"),"Baixo preço, facilidade de uso, alta &amp; amp; quot; para bater a bola &amp; amp; quot;")</f>
        <v>Baixo preço, facilidade de uso, alta &amp; amp; quot; para bater a bola &amp; amp; quot;</v>
      </c>
      <c r="B51995" s="3">
        <v>1</v>
      </c>
    </row>
    <row r="51996" ht="15.75" customHeight="1" spans="1:2">
      <c r="A51996" s="3" t="str">
        <f>IFERROR(__xludf.DUMMYFUNCTION("GOOGLETRANSLATE(A51996,""en"",""pt"")"),"Tem tudo!")</f>
        <v>Tem tudo!</v>
      </c>
      <c r="B51996" s="3">
        <v>1</v>
      </c>
    </row>
    <row r="51997" ht="15.75" customHeight="1" spans="1:2">
      <c r="A51997" s="3" t="str">
        <f>IFERROR(__xludf.DUMMYFUNCTION("GOOGLETRANSLATE(A51997,""en"",""pt"")"),"Fácil de usar, faz boas fotografias.")</f>
        <v>Fácil de usar, faz boas fotografias.</v>
      </c>
      <c r="B51997" s="3">
        <v>1</v>
      </c>
    </row>
    <row r="51998" ht="15.75" customHeight="1" spans="1:2">
      <c r="A51998" s="3" t="str">
        <f>IFERROR(__xludf.DUMMYFUNCTION("GOOGLETRANSLATE(A51998,""en"",""pt"")"),"Qualidade de imagem")</f>
        <v>Qualidade de imagem</v>
      </c>
      <c r="B51998" s="3">
        <v>1</v>
      </c>
    </row>
    <row r="51999" ht="15.75" customHeight="1" spans="1:2">
      <c r="A51999" s="3" t="str">
        <f>IFERROR(__xludf.DUMMYFUNCTION("GOOGLETRANSLATE(A51999,""en"",""pt"")"),"Ótimo para o preço. Fácil de usar.")</f>
        <v>Ótimo para o preço. Fácil de usar.</v>
      </c>
      <c r="B51999" s="3">
        <v>1</v>
      </c>
    </row>
    <row r="52000" ht="15.75" customHeight="1" spans="1:2">
      <c r="A52000" s="3" t="str">
        <f>IFERROR(__xludf.DUMMYFUNCTION("GOOGLETRANSLATE(A52000,""en"",""pt"")"),"Preço, facilidade de utilização (câmera), o número de imagens armazenadas, sem desenvolver custo ou tempo de espera, ótimo para iniciantes, e tudo o que você precisa para começar está incluído.")</f>
        <v>Preço, facilidade de utilização (câmera), o número de imagens armazenadas, sem desenvolver custo ou tempo de espera, ótimo para iniciantes, e tudo o que você precisa para começar está incluído.</v>
      </c>
      <c r="B52000" s="3">
        <v>1</v>
      </c>
    </row>
    <row r="52001" ht="15.75" customHeight="1" spans="1:2">
      <c r="A52001" s="3" t="str">
        <f>IFERROR(__xludf.DUMMYFUNCTION("GOOGLETRANSLATE(A52001,""en"",""pt"")"),"Fácil de usar")</f>
        <v>Fácil de usar</v>
      </c>
      <c r="B52001" s="3">
        <v>1</v>
      </c>
    </row>
    <row r="52002" ht="15.75" customHeight="1" spans="1:2">
      <c r="A52002" s="3" t="str">
        <f>IFERROR(__xludf.DUMMYFUNCTION("GOOGLETRANSLATE(A52002,""en"",""pt"")"),"Simples e realista")</f>
        <v>Simples e realista</v>
      </c>
      <c r="B52002" s="3">
        <v>1</v>
      </c>
    </row>
    <row r="52003" ht="15.75" customHeight="1" spans="1:2">
      <c r="A52003" s="3" t="str">
        <f>IFERROR(__xludf.DUMMYFUNCTION("GOOGLETRANSLATE(A52003,""en"",""pt"")"),"preço, características, inclusões, tamanho e peso, capacidade de usar um tripé")</f>
        <v>preço, características, inclusões, tamanho e peso, capacidade de usar um tripé</v>
      </c>
      <c r="B52003" s="3">
        <v>1</v>
      </c>
    </row>
    <row r="52004" ht="15.75" customHeight="1" spans="1:2">
      <c r="A52004" s="3" t="str">
        <f>IFERROR(__xludf.DUMMYFUNCTION("GOOGLETRANSLATE(A52004,""en"",""pt"")"),"Fácil para iniciantes de usar")</f>
        <v>Fácil para iniciantes de usar</v>
      </c>
      <c r="B52004" s="3">
        <v>1</v>
      </c>
    </row>
    <row r="52005" ht="15.75" customHeight="1" spans="1:2">
      <c r="A52005" s="3" t="str">
        <f>IFERROR(__xludf.DUMMYFUNCTION("GOOGLETRANSLATE(A52005,""en"",""pt"")"),"Fácil de usar")</f>
        <v>Fácil de usar</v>
      </c>
      <c r="B52005" s="3">
        <v>1</v>
      </c>
    </row>
    <row r="52006" ht="15.75" customHeight="1" spans="1:2">
      <c r="A52006" s="3" t="str">
        <f>IFERROR(__xludf.DUMMYFUNCTION("GOOGLETRANSLATE(A52006,""en"",""pt"")"),"fácil de usar, ótimas fotos, completo com cabos e software")</f>
        <v>fácil de usar, ótimas fotos, completo com cabos e software</v>
      </c>
      <c r="B52006" s="3">
        <v>1</v>
      </c>
    </row>
    <row r="52007" ht="15.75" customHeight="1" spans="1:2">
      <c r="A52007" s="3" t="str">
        <f>IFERROR(__xludf.DUMMYFUNCTION("GOOGLETRANSLATE(A52007,""en"",""pt"")"),"fácil de usar")</f>
        <v>fácil de usar</v>
      </c>
      <c r="B52007" s="3">
        <v>1</v>
      </c>
    </row>
    <row r="52008" ht="15.75" customHeight="1" spans="1:2">
      <c r="A52008" s="3" t="str">
        <f>IFERROR(__xludf.DUMMYFUNCTION("GOOGLETRANSLATE(A52008,""en"",""pt"")"),"Ele tem um ótimo programa para imprimir o seu pictures.It é fácil de use.It leva apenas alguns minutos para fazer upload de suas fotos e começar a imprimi-los.")</f>
        <v>Ele tem um ótimo programa para imprimir o seu pictures.It é fácil de use.It leva apenas alguns minutos para fazer upload de suas fotos e começar a imprimi-los.</v>
      </c>
      <c r="B52008" s="3">
        <v>1</v>
      </c>
    </row>
    <row r="52009" ht="15.75" customHeight="1" spans="1:2">
      <c r="A52009" s="3" t="str">
        <f>IFERROR(__xludf.DUMMYFUNCTION("GOOGLETRANSLATE(A52009,""en"",""pt"")"),"agradáveis ​​ergonomia, conveniente")</f>
        <v>agradáveis ​​ergonomia, conveniente</v>
      </c>
      <c r="B52009" s="3">
        <v>1</v>
      </c>
    </row>
    <row r="52010" ht="15.75" customHeight="1" spans="1:2">
      <c r="A52010" s="3" t="str">
        <f>IFERROR(__xludf.DUMMYFUNCTION("GOOGLETRANSLATE(A52010,""en"",""pt"")"),"Fácil de usar, e de boa qualidade PICTURES")</f>
        <v>Fácil de usar, e de boa qualidade PICTURES</v>
      </c>
      <c r="B52010" s="3">
        <v>1</v>
      </c>
    </row>
    <row r="52011" ht="15.75" customHeight="1" spans="1:2">
      <c r="A52011" s="3" t="str">
        <f>IFERROR(__xludf.DUMMYFUNCTION("GOOGLETRANSLATE(A52011,""en"",""pt"")"),"fácil manuseio, uso, bom para e-mail fotos.")</f>
        <v>fácil manuseio, uso, bom para e-mail fotos.</v>
      </c>
      <c r="B52011" s="3">
        <v>1</v>
      </c>
    </row>
    <row r="52012" ht="15.75" customHeight="1" spans="1:2">
      <c r="A52012" s="3" t="str">
        <f>IFERROR(__xludf.DUMMYFUNCTION("GOOGLETRANSLATE(A52012,""en"",""pt"")"),"Fácil de usar, compatibilidade do computador")</f>
        <v>Fácil de usar, compatibilidade do computador</v>
      </c>
      <c r="B52012" s="3">
        <v>1</v>
      </c>
    </row>
    <row r="52013" ht="15.75" customHeight="1" spans="1:2">
      <c r="A52013" s="3" t="str">
        <f>IFERROR(__xludf.DUMMYFUNCTION("GOOGLETRANSLATE(A52013,""en"",""pt"")"),"Facilidade em baixar as fotos.")</f>
        <v>Facilidade em baixar as fotos.</v>
      </c>
      <c r="B52013" s="3">
        <v>1</v>
      </c>
    </row>
    <row r="52014" ht="15.75" customHeight="1" spans="1:2">
      <c r="A52014" s="3" t="str">
        <f>IFERROR(__xludf.DUMMYFUNCTION("GOOGLETRANSLATE(A52014,""en"",""pt"")"),"Barato. Ao contrário de materiais descartáveis, você recebe o que está no quadro.")</f>
        <v>Barato. Ao contrário de materiais descartáveis, você recebe o que está no quadro.</v>
      </c>
      <c r="B52014" s="3">
        <v>1</v>
      </c>
    </row>
    <row r="52015" ht="15.75" customHeight="1" spans="1:2">
      <c r="A52015" s="3" t="str">
        <f>IFERROR(__xludf.DUMMYFUNCTION("GOOGLETRANSLATE(A52015,""en"",""pt"")"),"acessível, de boa qualidade e fácil de usar! Diversão para toda a família!")</f>
        <v>acessível, de boa qualidade e fácil de usar! Diversão para toda a família!</v>
      </c>
      <c r="B52015" s="3">
        <v>1</v>
      </c>
    </row>
    <row r="52016" ht="15.75" customHeight="1" spans="1:2">
      <c r="A52016" s="3" t="str">
        <f>IFERROR(__xludf.DUMMYFUNCTION("GOOGLETRANSLATE(A52016,""en"",""pt"")"),"Polaroid PDC640 é uma grande primeira câmera digital.")</f>
        <v>Polaroid PDC640 é uma grande primeira câmera digital.</v>
      </c>
      <c r="B52016" s="3">
        <v>1</v>
      </c>
    </row>
    <row r="52017" ht="15.75" customHeight="1" spans="1:2">
      <c r="A52017" s="3" t="str">
        <f>IFERROR(__xludf.DUMMYFUNCTION("GOOGLETRANSLATE(A52017,""en"",""pt"")"),"leve, fácil de usar, barato,")</f>
        <v>leve, fácil de usar, barato,</v>
      </c>
      <c r="B52017" s="3">
        <v>1</v>
      </c>
    </row>
    <row r="52018" ht="15.75" customHeight="1" spans="1:2">
      <c r="A52018" s="3" t="str">
        <f>IFERROR(__xludf.DUMMYFUNCTION("GOOGLETRANSLATE(A52018,""en"",""pt"")"),"câmera barata")</f>
        <v>câmera barata</v>
      </c>
      <c r="B52018" s="3">
        <v>1</v>
      </c>
    </row>
    <row r="52019" ht="15.75" customHeight="1" spans="1:2">
      <c r="A52019" s="3" t="str">
        <f>IFERROR(__xludf.DUMMYFUNCTION("GOOGLETRANSLATE(A52019,""en"",""pt"")"),"At, Wal-Mart para 99,99, o melhor preço eu poderia encontrar para os recursos oferecidos.")</f>
        <v>At, Wal-Mart para 99,99, o melhor preço eu poderia encontrar para os recursos oferecidos.</v>
      </c>
      <c r="B52019" s="3">
        <v>1</v>
      </c>
    </row>
    <row r="52020" ht="15.75" customHeight="1" spans="1:2">
      <c r="A52020" s="3" t="str">
        <f>IFERROR(__xludf.DUMMYFUNCTION("GOOGLETRANSLATE(A52020,""en"",""pt"")"),"Boas fotos para o baixo custo, muito fácil de transferir fotos para o PC")</f>
        <v>Boas fotos para o baixo custo, muito fácil de transferir fotos para o PC</v>
      </c>
      <c r="B52020" s="3">
        <v>1</v>
      </c>
    </row>
    <row r="52021" ht="15.75" customHeight="1" spans="1:2">
      <c r="A52021" s="3" t="str">
        <f>IFERROR(__xludf.DUMMYFUNCTION("GOOGLETRANSLATE(A52021,""en"",""pt"")"),"De longe mais fácil de usar; câmera &amp; amp; software de quaisquer Digitals no mercado")</f>
        <v>De longe mais fácil de usar; câmera &amp; amp; software de quaisquer Digitals no mercado</v>
      </c>
      <c r="B52021" s="3">
        <v>1</v>
      </c>
    </row>
    <row r="52022" ht="15.75" customHeight="1" spans="1:2">
      <c r="A52022" s="3" t="str">
        <f>IFERROR(__xludf.DUMMYFUNCTION("GOOGLETRANSLATE(A52022,""en"",""pt"")"),"Barato (menos de US $ 100), display LCD, 8 de armazenamento mb, múltiplos qualidade de imagem, e muito mais")</f>
        <v>Barato (menos de US $ 100), display LCD, 8 de armazenamento mb, múltiplos qualidade de imagem, e muito mais</v>
      </c>
      <c r="B52022" s="3">
        <v>1</v>
      </c>
    </row>
    <row r="52023" ht="15.75" customHeight="1" spans="1:2">
      <c r="A52023" s="3" t="str">
        <f>IFERROR(__xludf.DUMMYFUNCTION("GOOGLETRANSLATE(A52023,""en"",""pt"")"),"tudo que você precisa para começar é na caixa")</f>
        <v>tudo que você precisa para começar é na caixa</v>
      </c>
      <c r="B52023" s="3">
        <v>1</v>
      </c>
    </row>
    <row r="52024" ht="15.75" customHeight="1" spans="1:2">
      <c r="A52024" s="3" t="str">
        <f>IFERROR(__xludf.DUMMYFUNCTION("GOOGLETRANSLATE(A52024,""en"",""pt"")"),"Fácil de usar, barato, display decente")</f>
        <v>Fácil de usar, barato, display decente</v>
      </c>
      <c r="B52024" s="3">
        <v>1</v>
      </c>
    </row>
    <row r="52025" ht="15.75" customHeight="1" spans="1:2">
      <c r="A52025" s="3" t="str">
        <f>IFERROR(__xludf.DUMMYFUNCTION("GOOGLETRANSLATE(A52025,""en"",""pt"")"),"Nenhum")</f>
        <v>Nenhum</v>
      </c>
      <c r="B52025" s="3">
        <v>1</v>
      </c>
    </row>
    <row r="52026" ht="15.75" customHeight="1" spans="1:2">
      <c r="A52026" s="3" t="str">
        <f>IFERROR(__xludf.DUMMYFUNCTION("GOOGLETRANSLATE(A52026,""en"",""pt"")"),"Fun, software agradável, leva decentes fotos para o preço")</f>
        <v>Fun, software agradável, leva decentes fotos para o preço</v>
      </c>
      <c r="B52026" s="3">
        <v>1</v>
      </c>
    </row>
    <row r="52027" ht="15.75" customHeight="1" spans="1:2">
      <c r="A52027" s="3" t="str">
        <f>IFERROR(__xludf.DUMMYFUNCTION("GOOGLETRANSLATE(A52027,""en"",""pt"")"),"Acessível &amp; amp; Fácil de usar. Eu ainda recomendo dois anos depois.")</f>
        <v>Acessível &amp; amp; Fácil de usar. Eu ainda recomendo dois anos depois.</v>
      </c>
      <c r="B52027" s="3">
        <v>1</v>
      </c>
    </row>
    <row r="52028" ht="15.75" customHeight="1" spans="1:2">
      <c r="A52028" s="3" t="str">
        <f>IFERROR(__xludf.DUMMYFUNCTION("GOOGLETRANSLATE(A52028,""en"",""pt"")"),", Software de fácil utilização barato, vem com um bom software para categorizar as fotos.")</f>
        <v>, Software de fácil utilização barato, vem com um bom software para categorizar as fotos.</v>
      </c>
      <c r="B52028" s="3">
        <v>1</v>
      </c>
    </row>
    <row r="52029" ht="15.75" customHeight="1" spans="1:2">
      <c r="A52029" s="3" t="str">
        <f>IFERROR(__xludf.DUMMYFUNCTION("GOOGLETRANSLATE(A52029,""en"",""pt"")"),"Facilidade de uso, baixo custo, todos os acessórios incluídos, uma boa primeira câmera digital.")</f>
        <v>Facilidade de uso, baixo custo, todos os acessórios incluídos, uma boa primeira câmera digital.</v>
      </c>
      <c r="B52029" s="3">
        <v>1</v>
      </c>
    </row>
    <row r="52030" ht="15.75" customHeight="1" spans="1:2">
      <c r="A52030" s="3" t="str">
        <f>IFERROR(__xludf.DUMMYFUNCTION("GOOGLETRANSLATE(A52030,""en"",""pt"")"),"Fácil de usar, de baixo custo")</f>
        <v>Fácil de usar, de baixo custo</v>
      </c>
      <c r="B52030" s="3">
        <v>1</v>
      </c>
    </row>
    <row r="52031" ht="15.75" customHeight="1" spans="1:2">
      <c r="A52031" s="3" t="str">
        <f>IFERROR(__xludf.DUMMYFUNCTION("GOOGLETRANSLATE(A52031,""en"",""pt"")"),"Fácil de usar ;, Vem com cabos e software")</f>
        <v>Fácil de usar ;, Vem com cabos e software</v>
      </c>
      <c r="B52031" s="3">
        <v>1</v>
      </c>
    </row>
    <row r="52032" ht="15.75" customHeight="1" spans="1:2">
      <c r="A52032" s="3" t="str">
        <f>IFERROR(__xludf.DUMMYFUNCTION("GOOGLETRANSLATE(A52032,""en"",""pt"")"),"Fácil de usar, boa qualidade de imagem")</f>
        <v>Fácil de usar, boa qualidade de imagem</v>
      </c>
      <c r="B52032" s="3">
        <v>1</v>
      </c>
    </row>
    <row r="52033" ht="15.75" customHeight="1" spans="1:2">
      <c r="A52033" s="3" t="str">
        <f>IFERROR(__xludf.DUMMYFUNCTION("GOOGLETRANSLATE(A52033,""en"",""pt"")"),"Aprendeu o que evitar na minha próxima compra câmera digital.")</f>
        <v>Aprendeu o que evitar na minha próxima compra câmera digital.</v>
      </c>
      <c r="B52033" s="3">
        <v>1</v>
      </c>
    </row>
    <row r="52034" ht="15.75" customHeight="1" spans="1:2">
      <c r="A52034" s="3" t="str">
        <f>IFERROR(__xludf.DUMMYFUNCTION("GOOGLETRANSLATE(A52034,""en"",""pt"")"),"Point &amp; amp; Tiro. câmera de boa Beginner")</f>
        <v>Point &amp; amp; Tiro. câmera de boa Beginner</v>
      </c>
      <c r="B52034" s="3">
        <v>1</v>
      </c>
    </row>
    <row r="52035" ht="15.75" customHeight="1" spans="1:2">
      <c r="A52035" s="3" t="str">
        <f>IFERROR(__xludf.DUMMYFUNCTION("GOOGLETRANSLATE(A52035,""en"",""pt"")"),"Muito amigável, o tempo quase nenhum aprendizado necessário.")</f>
        <v>Muito amigável, o tempo quase nenhum aprendizado necessário.</v>
      </c>
      <c r="B52035" s="3">
        <v>1</v>
      </c>
    </row>
    <row r="52036" ht="15.75" customHeight="1" spans="1:2">
      <c r="A52036" s="3" t="str">
        <f>IFERROR(__xludf.DUMMYFUNCTION("GOOGLETRANSLATE(A52036,""en"",""pt"")"),"claros imagens nítidas, fáceis de transferência, robusto, view finder.")</f>
        <v>claros imagens nítidas, fáceis de transferência, robusto, view finder.</v>
      </c>
      <c r="B52036" s="3">
        <v>1</v>
      </c>
    </row>
    <row r="52037" ht="15.75" customHeight="1" spans="1:2">
      <c r="A52037" s="3" t="str">
        <f>IFERROR(__xludf.DUMMYFUNCTION("GOOGLETRANSLATE(A52037,""en"",""pt"")"),"Fácil de usar - boa primeira câmera")</f>
        <v>Fácil de usar - boa primeira câmera</v>
      </c>
      <c r="B52037" s="3">
        <v>1</v>
      </c>
    </row>
    <row r="52038" ht="15.75" customHeight="1" spans="1:2">
      <c r="A52038" s="3" t="str">
        <f>IFERROR(__xludf.DUMMYFUNCTION("GOOGLETRANSLATE(A52038,""en"",""pt"")"),"fácil de usar")</f>
        <v>fácil de usar</v>
      </c>
      <c r="B52038" s="3">
        <v>1</v>
      </c>
    </row>
    <row r="52039" ht="15.75" customHeight="1" spans="1:2">
      <c r="A52039" s="3" t="str">
        <f>IFERROR(__xludf.DUMMYFUNCTION("GOOGLETRANSLATE(A52039,""en"",""pt"")"),"Preço, bom pacote de software, recursos fáceis de usar, fotos de boa qualidade")</f>
        <v>Preço, bom pacote de software, recursos fáceis de usar, fotos de boa qualidade</v>
      </c>
      <c r="B52039" s="3">
        <v>1</v>
      </c>
    </row>
    <row r="52040" ht="15.75" customHeight="1" spans="1:2">
      <c r="A52040" s="3" t="str">
        <f>IFERROR(__xludf.DUMMYFUNCTION("GOOGLETRANSLATE(A52040,""en"",""pt"")"),"Facilidade de uso, tamanho, preço")</f>
        <v>Facilidade de uso, tamanho, preço</v>
      </c>
      <c r="B52040" s="3">
        <v>1</v>
      </c>
    </row>
    <row r="52041" ht="15.75" customHeight="1" spans="1:2">
      <c r="A52041" s="3" t="str">
        <f>IFERROR(__xludf.DUMMYFUNCTION("GOOGLETRANSLATE(A52041,""en"",""pt"")"),"excepcionalmente fácil de usar, acessórios são fáceis de encontrar")</f>
        <v>excepcionalmente fácil de usar, acessórios são fáceis de encontrar</v>
      </c>
      <c r="B52041" s="3">
        <v>1</v>
      </c>
    </row>
    <row r="52042" ht="15.75" customHeight="1" spans="1:2">
      <c r="A52042" s="3" t="str">
        <f>IFERROR(__xludf.DUMMYFUNCTION("GOOGLETRANSLATE(A52042,""en"",""pt"")"),"preço e qualidade")</f>
        <v>preço e qualidade</v>
      </c>
      <c r="B52042" s="3">
        <v>1</v>
      </c>
    </row>
    <row r="52043" ht="15.75" customHeight="1" spans="1:2">
      <c r="A52043" s="3" t="str">
        <f>IFERROR(__xludf.DUMMYFUNCTION("GOOGLETRANSLATE(A52043,""en"",""pt"")"),"Fácil de usar")</f>
        <v>Fácil de usar</v>
      </c>
      <c r="B52043" s="3">
        <v>1</v>
      </c>
    </row>
    <row r="52044" ht="15.75" customHeight="1" spans="1:2">
      <c r="A52044" s="3" t="str">
        <f>IFERROR(__xludf.DUMMYFUNCTION("GOOGLETRANSLATE(A52044,""en"",""pt"")"),"imagens agradáveis ​​para um preço acessível")</f>
        <v>imagens agradáveis ​​para um preço acessível</v>
      </c>
      <c r="B52044" s="3">
        <v>1</v>
      </c>
    </row>
    <row r="52045" ht="15.75" customHeight="1" spans="1:2">
      <c r="A52045" s="3" t="str">
        <f>IFERROR(__xludf.DUMMYFUNCTION("GOOGLETRANSLATE(A52045,""en"",""pt"")"),"Grande preço no PDC-640 Right Now.")</f>
        <v>Grande preço no PDC-640 Right Now.</v>
      </c>
      <c r="B52045" s="3">
        <v>1</v>
      </c>
    </row>
    <row r="52046" ht="15.75" customHeight="1" spans="1:2">
      <c r="A52046" s="3" t="str">
        <f>IFERROR(__xludf.DUMMYFUNCTION("GOOGLETRANSLATE(A52046,""en"",""pt"")"),"Fácil de usar")</f>
        <v>Fácil de usar</v>
      </c>
      <c r="B52046" s="3">
        <v>1</v>
      </c>
    </row>
    <row r="52047" ht="15.75" customHeight="1" spans="1:2">
      <c r="A52047" s="3" t="str">
        <f>IFERROR(__xludf.DUMMYFUNCTION("GOOGLETRANSLATE(A52047,""en"",""pt"")"),"Barato, fácil, ótimas fotos")</f>
        <v>Barato, fácil, ótimas fotos</v>
      </c>
      <c r="B52047" s="3">
        <v>1</v>
      </c>
    </row>
    <row r="52048" ht="15.75" customHeight="1" spans="1:2">
      <c r="A52048" s="3" t="str">
        <f>IFERROR(__xludf.DUMMYFUNCTION("GOOGLETRANSLATE(A52048,""en"",""pt"")"),"Limpo e claro fotos w / opções boas")</f>
        <v>Limpo e claro fotos w / opções boas</v>
      </c>
      <c r="B52048" s="3">
        <v>1</v>
      </c>
    </row>
    <row r="52049" ht="15.75" customHeight="1" spans="1:2">
      <c r="A52049" s="3" t="str">
        <f>IFERROR(__xludf.DUMMYFUNCTION("GOOGLETRANSLATE(A52049,""en"",""pt"")"),"Grandes fotos, preço baixo, a tela LCD")</f>
        <v>Grandes fotos, preço baixo, a tela LCD</v>
      </c>
      <c r="B52049" s="3">
        <v>1</v>
      </c>
    </row>
    <row r="52050" ht="15.75" customHeight="1" spans="1:2">
      <c r="A52050" s="3" t="str">
        <f>IFERROR(__xludf.DUMMYFUNCTION("GOOGLETRANSLATE(A52050,""en"",""pt"")"),"Ótimo preço, ótimo fotos")</f>
        <v>Ótimo preço, ótimo fotos</v>
      </c>
      <c r="B52050" s="3">
        <v>1</v>
      </c>
    </row>
    <row r="52051" ht="15.75" customHeight="1" spans="1:2">
      <c r="A52051" s="3" t="str">
        <f>IFERROR(__xludf.DUMMYFUNCTION("GOOGLETRANSLATE(A52051,""en"",""pt"")"),"tudo em um kit; fácil de usar; qualidade da foto decente para câmera barata")</f>
        <v>tudo em um kit; fácil de usar; qualidade da foto decente para câmera barata</v>
      </c>
      <c r="B52051" s="3">
        <v>1</v>
      </c>
    </row>
    <row r="52052" ht="15.75" customHeight="1" spans="1:2">
      <c r="A52052" s="3" t="str">
        <f>IFERROR(__xludf.DUMMYFUNCTION("GOOGLETRANSLATE(A52052,""en"",""pt"")"),"0")</f>
        <v>0</v>
      </c>
      <c r="B52052" s="3">
        <v>1</v>
      </c>
    </row>
    <row r="52053" ht="15.75" customHeight="1" spans="1:2">
      <c r="A52053" s="3" t="str">
        <f>IFERROR(__xludf.DUMMYFUNCTION("GOOGLETRANSLATE(A52053,""en"",""pt"")"),"imagens fantásticas de qualidade")</f>
        <v>imagens fantásticas de qualidade</v>
      </c>
      <c r="B52053" s="3">
        <v>1</v>
      </c>
    </row>
    <row r="52054" ht="15.75" customHeight="1" spans="1:2">
      <c r="A52054" s="3" t="str">
        <f>IFERROR(__xludf.DUMMYFUNCTION("GOOGLETRANSLATE(A52054,""en"",""pt"")"),"Bom preço")</f>
        <v>Bom preço</v>
      </c>
      <c r="B52054" s="3">
        <v>1</v>
      </c>
    </row>
    <row r="52055" ht="15.75" customHeight="1" spans="1:2">
      <c r="A52055" s="3" t="str">
        <f>IFERROR(__xludf.DUMMYFUNCTION("GOOGLETRANSLATE(A52055,""en"",""pt"")"),"Valor / resultados")</f>
        <v>Valor / resultados</v>
      </c>
      <c r="B52055" s="3">
        <v>1</v>
      </c>
    </row>
    <row r="52056" ht="15.75" customHeight="1" spans="1:2">
      <c r="A52056" s="3" t="str">
        <f>IFERROR(__xludf.DUMMYFUNCTION("GOOGLETRANSLATE(A52056,""en"",""pt"")"),"AMOR A clareza E DA COR &amp; amp; amp; Assim fácil de usar!")</f>
        <v>AMOR A clareza E DA COR &amp; amp; amp; Assim fácil de usar!</v>
      </c>
      <c r="B52056" s="3">
        <v>1</v>
      </c>
    </row>
    <row r="52057" ht="15.75" customHeight="1" spans="1:2">
      <c r="A52057" s="3" t="str">
        <f>IFERROR(__xludf.DUMMYFUNCTION("GOOGLETRANSLATE(A52057,""en"",""pt"")"),"Fácil de usar e imagens de grande qualidade")</f>
        <v>Fácil de usar e imagens de grande qualidade</v>
      </c>
      <c r="B52057" s="3">
        <v>1</v>
      </c>
    </row>
    <row r="52058" ht="15.75" customHeight="1" spans="1:2">
      <c r="A52058" s="3" t="str">
        <f>IFERROR(__xludf.DUMMYFUNCTION("GOOGLETRANSLATE(A52058,""en"",""pt"")"),"Barato, bastante fácil de tirar uma foto")</f>
        <v>Barato, bastante fácil de tirar uma foto</v>
      </c>
      <c r="B52058" s="3">
        <v>1</v>
      </c>
    </row>
    <row r="52059" ht="15.75" customHeight="1" spans="1:2">
      <c r="A52059" s="3" t="str">
        <f>IFERROR(__xludf.DUMMYFUNCTION("GOOGLETRANSLATE(A52059,""en"",""pt"")"),"Digital, a preços acessíveis, pequeno, confiável")</f>
        <v>Digital, a preços acessíveis, pequeno, confiável</v>
      </c>
      <c r="B52059" s="3">
        <v>1</v>
      </c>
    </row>
    <row r="52060" ht="15.75" customHeight="1" spans="1:2">
      <c r="A52060" s="3" t="str">
        <f>IFERROR(__xludf.DUMMYFUNCTION("GOOGLETRANSLATE(A52060,""en"",""pt"")"),"Fácil de usar, construção sólida, de boa qualidade pix, divertido de usar")</f>
        <v>Fácil de usar, construção sólida, de boa qualidade pix, divertido de usar</v>
      </c>
      <c r="B52060" s="3">
        <v>1</v>
      </c>
    </row>
    <row r="52061" ht="15.75" customHeight="1" spans="1:2">
      <c r="A52061" s="3" t="str">
        <f>IFERROR(__xludf.DUMMYFUNCTION("GOOGLETRANSLATE(A52061,""en"",""pt"")"),"Fácil de usar, cartão de memória removível / substituível, tela de LCD ...")</f>
        <v>Fácil de usar, cartão de memória removível / substituível, tela de LCD ...</v>
      </c>
      <c r="B52061" s="3">
        <v>1</v>
      </c>
    </row>
    <row r="52062" ht="15.75" customHeight="1" spans="1:2">
      <c r="A52062" s="3" t="str">
        <f>IFERROR(__xludf.DUMMYFUNCTION("GOOGLETRANSLATE(A52062,""en"",""pt"")"),"Fácil de usar e aprender, características interessantes para um grande preço.")</f>
        <v>Fácil de usar e aprender, características interessantes para um grande preço.</v>
      </c>
      <c r="B52062" s="3">
        <v>1</v>
      </c>
    </row>
    <row r="52063" ht="15.75" customHeight="1" spans="1:2">
      <c r="A52063" s="3" t="str">
        <f>IFERROR(__xludf.DUMMYFUNCTION("GOOGLETRANSLATE(A52063,""en"",""pt"")"),"preço mais barato do que alguns")</f>
        <v>preço mais barato do que alguns</v>
      </c>
      <c r="B52063" s="3">
        <v>1</v>
      </c>
    </row>
    <row r="52064" ht="15.75" customHeight="1" spans="1:2">
      <c r="A52064" s="3" t="str">
        <f>IFERROR(__xludf.DUMMYFUNCTION("GOOGLETRANSLATE(A52064,""en"",""pt"")"),"FÁCIL DE USAR")</f>
        <v>FÁCIL DE USAR</v>
      </c>
      <c r="B52064" s="3">
        <v>1</v>
      </c>
    </row>
    <row r="52065" ht="15.75" customHeight="1" spans="1:2">
      <c r="A52065" s="3" t="str">
        <f>IFERROR(__xludf.DUMMYFUNCTION("GOOGLETRANSLATE(A52065,""en"",""pt"")"),"Fornece fotografias de qualidade profissional")</f>
        <v>Fornece fotografias de qualidade profissional</v>
      </c>
      <c r="B52065" s="3">
        <v>1</v>
      </c>
    </row>
    <row r="52066" ht="15.75" customHeight="1" spans="1:2">
      <c r="A52066" s="3" t="str">
        <f>IFERROR(__xludf.DUMMYFUNCTION("GOOGLETRANSLATE(A52066,""en"",""pt"")"),"Boa primeira câmera comprar, para fotos inesperadas")</f>
        <v>Boa primeira câmera comprar, para fotos inesperadas</v>
      </c>
      <c r="B52066" s="3">
        <v>1</v>
      </c>
    </row>
    <row r="52067" ht="15.75" customHeight="1" spans="1:2">
      <c r="A52067" s="3" t="str">
        <f>IFERROR(__xludf.DUMMYFUNCTION("GOOGLETRANSLATE(A52067,""en"",""pt"")"),"Fácil de usar, acessível")</f>
        <v>Fácil de usar, acessível</v>
      </c>
      <c r="B52067" s="3">
        <v>1</v>
      </c>
    </row>
    <row r="52068" ht="15.75" customHeight="1" spans="1:2">
      <c r="A52068" s="3" t="str">
        <f>IFERROR(__xludf.DUMMYFUNCTION("GOOGLETRANSLATE(A52068,""en"",""pt"")"),"Camera bom primeiro tempo Digital")</f>
        <v>Camera bom primeiro tempo Digital</v>
      </c>
      <c r="B52068" s="3">
        <v>1</v>
      </c>
    </row>
    <row r="52069" ht="15.75" customHeight="1" spans="1:2">
      <c r="A52069" s="3" t="str">
        <f>IFERROR(__xludf.DUMMYFUNCTION("GOOGLETRANSLATE(A52069,""en"",""pt"")"),"acessível, fácil de usar, leva boas fotos")</f>
        <v>acessível, fácil de usar, leva boas fotos</v>
      </c>
      <c r="B52069" s="3">
        <v>1</v>
      </c>
    </row>
    <row r="52070" ht="15.75" customHeight="1" spans="1:2">
      <c r="A52070" s="3" t="str">
        <f>IFERROR(__xludf.DUMMYFUNCTION("GOOGLETRANSLATE(A52070,""en"",""pt"")"),"-lo tão bom quaisquer outros lá fora")</f>
        <v>-lo tão bom quaisquer outros lá fora</v>
      </c>
      <c r="B52070" s="3">
        <v>1</v>
      </c>
    </row>
    <row r="52071" ht="15.75" customHeight="1" spans="1:2">
      <c r="A52071" s="3" t="str">
        <f>IFERROR(__xludf.DUMMYFUNCTION("GOOGLETRANSLATE(A52071,""en"",""pt"")"),"bom preço, simples de usar")</f>
        <v>bom preço, simples de usar</v>
      </c>
      <c r="B52071" s="3">
        <v>1</v>
      </c>
    </row>
    <row r="52072" ht="15.75" customHeight="1" spans="1:2">
      <c r="A52072" s="3" t="str">
        <f>IFERROR(__xludf.DUMMYFUNCTION("GOOGLETRANSLATE(A52072,""en"",""pt"")"),"Fácil de usar, opções de revisão / visualização, fácil de baixar")</f>
        <v>Fácil de usar, opções de revisão / visualização, fácil de baixar</v>
      </c>
      <c r="B52072" s="3">
        <v>1</v>
      </c>
    </row>
    <row r="52073" ht="15.75" customHeight="1" spans="1:2">
      <c r="A52073" s="3" t="str">
        <f>IFERROR(__xludf.DUMMYFUNCTION("GOOGLETRANSLATE(A52073,""en"",""pt"")"),"Fácil de usar, bom valor, qualidade razoável")</f>
        <v>Fácil de usar, bom valor, qualidade razoável</v>
      </c>
      <c r="B52073" s="3">
        <v>1</v>
      </c>
    </row>
    <row r="52074" ht="15.75" customHeight="1" spans="1:2">
      <c r="A52074" s="3" t="str">
        <f>IFERROR(__xludf.DUMMYFUNCTION("GOOGLETRANSLATE(A52074,""en"",""pt"")"),"Ótima câmera marca por um bom preço")</f>
        <v>Ótima câmera marca por um bom preço</v>
      </c>
      <c r="B52074" s="3">
        <v>1</v>
      </c>
    </row>
    <row r="52075" ht="15.75" customHeight="1" spans="1:2">
      <c r="A52075" s="3" t="str">
        <f>IFERROR(__xludf.DUMMYFUNCTION("GOOGLETRANSLATE(A52075,""en"",""pt"")"),"Preço, facilidade de uso, adaptador AC")</f>
        <v>Preço, facilidade de uso, adaptador AC</v>
      </c>
      <c r="B52075" s="3">
        <v>1</v>
      </c>
    </row>
    <row r="52076" ht="15.75" customHeight="1" spans="1:2">
      <c r="A52076" s="3" t="str">
        <f>IFERROR(__xludf.DUMMYFUNCTION("GOOGLETRANSLATE(A52076,""en"",""pt"")"),"preço, versatilidade")</f>
        <v>preço, versatilidade</v>
      </c>
      <c r="B52076" s="3">
        <v>1</v>
      </c>
    </row>
    <row r="52077" ht="15.75" customHeight="1" spans="1:2">
      <c r="A52077" s="3" t="str">
        <f>IFERROR(__xludf.DUMMYFUNCTION("GOOGLETRANSLATE(A52077,""en"",""pt"")"),"Preço, facilidade de uso")</f>
        <v>Preço, facilidade de uso</v>
      </c>
      <c r="B52077" s="3">
        <v>1</v>
      </c>
    </row>
    <row r="52078" ht="15.75" customHeight="1" spans="1:2">
      <c r="A52078" s="3" t="str">
        <f>IFERROR(__xludf.DUMMYFUNCTION("GOOGLETRANSLATE(A52078,""en"",""pt"")"),"Fácil de usar")</f>
        <v>Fácil de usar</v>
      </c>
      <c r="B52078" s="3">
        <v>1</v>
      </c>
    </row>
    <row r="52079" ht="15.75" customHeight="1" spans="1:2">
      <c r="A52079" s="3" t="str">
        <f>IFERROR(__xludf.DUMMYFUNCTION("GOOGLETRANSLATE(A52079,""en"",""pt"")"),"usabilidade")</f>
        <v>usabilidade</v>
      </c>
      <c r="B52079" s="3">
        <v>1</v>
      </c>
    </row>
    <row r="52080" ht="15.75" customHeight="1" spans="1:2">
      <c r="A52080" s="3" t="str">
        <f>IFERROR(__xludf.DUMMYFUNCTION("GOOGLETRANSLATE(A52080,""en"",""pt"")"),"Fácil de aprender")</f>
        <v>Fácil de aprender</v>
      </c>
      <c r="B52080" s="3">
        <v>1</v>
      </c>
    </row>
    <row r="52081" ht="15.75" customHeight="1" spans="1:2">
      <c r="A52081" s="3" t="str">
        <f>IFERROR(__xludf.DUMMYFUNCTION("GOOGLETRANSLATE(A52081,""en"",""pt"")"),"conveniente, convivial, ótimo preço")</f>
        <v>conveniente, convivial, ótimo preço</v>
      </c>
      <c r="B52081" s="3">
        <v>1</v>
      </c>
    </row>
    <row r="52082" ht="15.75" customHeight="1" spans="1:2">
      <c r="A52082" s="3" t="str">
        <f>IFERROR(__xludf.DUMMYFUNCTION("GOOGLETRANSLATE(A52082,""en"",""pt"")"),"Preço &amp; amp; amp; fácil de usar")</f>
        <v>Preço &amp; amp; amp; fácil de usar</v>
      </c>
      <c r="B52082" s="3">
        <v>1</v>
      </c>
    </row>
    <row r="52083" ht="15.75" customHeight="1" spans="1:2">
      <c r="A52083" s="3" t="str">
        <f>IFERROR(__xludf.DUMMYFUNCTION("GOOGLETRANSLATE(A52083,""en"",""pt"")"),"custos")</f>
        <v>custos</v>
      </c>
      <c r="B52083" s="3">
        <v>1</v>
      </c>
    </row>
    <row r="52084" ht="15.75" customHeight="1" spans="1:2">
      <c r="A52084" s="3" t="str">
        <f>IFERROR(__xludf.DUMMYFUNCTION("GOOGLETRANSLATE(A52084,""en"",""pt"")"),"O lado único aspecto negativo a esta câmera que eu vejo, é que ele não tem capacidade de zoom.")</f>
        <v>O lado único aspecto negativo a esta câmera que eu vejo, é que ele não tem capacidade de zoom.</v>
      </c>
      <c r="B52084" s="3">
        <v>1</v>
      </c>
    </row>
    <row r="52085" ht="15.75" customHeight="1" spans="1:2">
      <c r="A52085" s="3" t="str">
        <f>IFERROR(__xludf.DUMMYFUNCTION("GOOGLETRANSLATE(A52085,""en"",""pt"")"),"Preço, qualidade, facilidade de uso, Recursos.")</f>
        <v>Preço, qualidade, facilidade de uso, Recursos.</v>
      </c>
      <c r="B52085" s="3">
        <v>1</v>
      </c>
    </row>
    <row r="52086" ht="15.75" customHeight="1" spans="1:2">
      <c r="A52086" s="3" t="str">
        <f>IFERROR(__xludf.DUMMYFUNCTION("GOOGLETRANSLATE(A52086,""en"",""pt"")"),"fácil de usar")</f>
        <v>fácil de usar</v>
      </c>
      <c r="B52086" s="3">
        <v>1</v>
      </c>
    </row>
    <row r="52087" ht="15.75" customHeight="1" spans="1:2">
      <c r="A52087" s="3" t="str">
        <f>IFERROR(__xludf.DUMMYFUNCTION("GOOGLETRANSLATE(A52087,""en"",""pt"")"),"Fácil de operar, belas fotos e edição de bônus.")</f>
        <v>Fácil de operar, belas fotos e edição de bônus.</v>
      </c>
      <c r="B52087" s="3">
        <v>1</v>
      </c>
    </row>
    <row r="52088" ht="15.75" customHeight="1" spans="1:2">
      <c r="A52088" s="3" t="str">
        <f>IFERROR(__xludf.DUMMYFUNCTION("GOOGLETRANSLATE(A52088,""en"",""pt"")"),"Funciona muito bem com muitos programas, dá-lhe resultados imediatos (sem espera para o desenvolvimento) e muito fácil de usar.")</f>
        <v>Funciona muito bem com muitos programas, dá-lhe resultados imediatos (sem espera para o desenvolvimento) e muito fácil de usar.</v>
      </c>
      <c r="B52088" s="3">
        <v>1</v>
      </c>
    </row>
    <row r="52089" ht="15.75" customHeight="1" spans="1:2">
      <c r="A52089" s="3" t="str">
        <f>IFERROR(__xludf.DUMMYFUNCTION("GOOGLETRANSLATE(A52089,""en"",""pt"")"),"Preço - facilidade de uso - Compatibilidade")</f>
        <v>Preço - facilidade de uso - Compatibilidade</v>
      </c>
      <c r="B52089" s="3">
        <v>1</v>
      </c>
    </row>
    <row r="52090" ht="15.75" customHeight="1" spans="1:2">
      <c r="A52090" s="3" t="str">
        <f>IFERROR(__xludf.DUMMYFUNCTION("GOOGLETRANSLATE(A52090,""en"",""pt"")"),"Muito fácil de usar.")</f>
        <v>Muito fácil de usar.</v>
      </c>
      <c r="B52090" s="3">
        <v>1</v>
      </c>
    </row>
    <row r="52091" ht="15.75" customHeight="1" spans="1:2">
      <c r="A52091" s="3" t="str">
        <f>IFERROR(__xludf.DUMMYFUNCTION("GOOGLETRANSLATE(A52091,""en"",""pt"")"),"Capaz de apagar e retomar fotos instantaneamente")</f>
        <v>Capaz de apagar e retomar fotos instantaneamente</v>
      </c>
      <c r="B52091" s="3">
        <v>1</v>
      </c>
    </row>
    <row r="52092" ht="15.75" customHeight="1" spans="1:2">
      <c r="A52092" s="3" t="str">
        <f>IFERROR(__xludf.DUMMYFUNCTION("GOOGLETRANSLATE(A52092,""en"",""pt"")"),"fácil de usar")</f>
        <v>fácil de usar</v>
      </c>
      <c r="B52092" s="3">
        <v>1</v>
      </c>
    </row>
    <row r="52093" ht="15.75" customHeight="1" spans="1:2">
      <c r="A52093" s="3" t="str">
        <f>IFERROR(__xludf.DUMMYFUNCTION("GOOGLETRANSLATE(A52093,""en"",""pt"")"),"Muito fácil de usar")</f>
        <v>Muito fácil de usar</v>
      </c>
      <c r="B52093" s="3">
        <v>1</v>
      </c>
    </row>
    <row r="52094" ht="15.75" customHeight="1" spans="1:2">
      <c r="A52094" s="3" t="str">
        <f>IFERROR(__xludf.DUMMYFUNCTION("GOOGLETRANSLATE(A52094,""en"",""pt"")"),"bom preço, ótima câmera")</f>
        <v>bom preço, ótima câmera</v>
      </c>
      <c r="B52094" s="3">
        <v>1</v>
      </c>
    </row>
    <row r="52095" ht="15.75" customHeight="1" spans="1:2">
      <c r="A52095" s="3" t="str">
        <f>IFERROR(__xludf.DUMMYFUNCTION("GOOGLETRANSLATE(A52095,""en"",""pt"")"),"Fácil de usar.")</f>
        <v>Fácil de usar.</v>
      </c>
      <c r="B52095" s="3">
        <v>1</v>
      </c>
    </row>
    <row r="52096" ht="15.75" customHeight="1" spans="1:2">
      <c r="A52096" s="3" t="str">
        <f>IFERROR(__xludf.DUMMYFUNCTION("GOOGLETRANSLATE(A52096,""en"",""pt"")"),"Excelente Qualidade Pictures")</f>
        <v>Excelente Qualidade Pictures</v>
      </c>
      <c r="B52096" s="3">
        <v>1</v>
      </c>
    </row>
    <row r="52097" ht="15.75" customHeight="1" spans="1:2">
      <c r="A52097" s="3" t="str">
        <f>IFERROR(__xludf.DUMMYFUNCTION("GOOGLETRANSLATE(A52097,""en"",""pt"")"),"simples, tira fotos claras enquanto se move")</f>
        <v>simples, tira fotos claras enquanto se move</v>
      </c>
      <c r="B52097" s="3">
        <v>1</v>
      </c>
    </row>
    <row r="52098" ht="15.75" customHeight="1" spans="1:2">
      <c r="A52098" s="3" t="str">
        <f>IFERROR(__xludf.DUMMYFUNCTION("GOOGLETRANSLATE(A52098,""en"",""pt"")"),"muito amigável, bom tamanho, software agradável, fácil configuração.")</f>
        <v>muito amigável, bom tamanho, software agradável, fácil configuração.</v>
      </c>
      <c r="B52098" s="3">
        <v>1</v>
      </c>
    </row>
    <row r="52099" ht="15.75" customHeight="1" spans="1:2">
      <c r="A52099" s="3" t="str">
        <f>IFERROR(__xludf.DUMMYFUNCTION("GOOGLETRANSLATE(A52099,""en"",""pt"")"),"Facilidade de utilização, imagens agradáveis")</f>
        <v>Facilidade de utilização, imagens agradáveis</v>
      </c>
      <c r="B52099" s="3">
        <v>1</v>
      </c>
    </row>
    <row r="52100" ht="15.75" customHeight="1" spans="1:2">
      <c r="A52100" s="3" t="str">
        <f>IFERROR(__xludf.DUMMYFUNCTION("GOOGLETRANSLATE(A52100,""en"",""pt"")"),"Barato e leva baixa qualidade fotos bom o suficiente para a web e e-mail.")</f>
        <v>Barato e leva baixa qualidade fotos bom o suficiente para a web e e-mail.</v>
      </c>
      <c r="B52100" s="3">
        <v>1</v>
      </c>
    </row>
    <row r="52101" ht="15.75" customHeight="1" spans="1:2">
      <c r="A52101" s="3" t="str">
        <f>IFERROR(__xludf.DUMMYFUNCTION("GOOGLETRANSLATE(A52101,""en"",""pt"")"),"peso leve, fácil de usar")</f>
        <v>peso leve, fácil de usar</v>
      </c>
      <c r="B52101" s="3">
        <v>1</v>
      </c>
    </row>
    <row r="52102" ht="15.75" customHeight="1" spans="1:2">
      <c r="A52102" s="3" t="str">
        <f>IFERROR(__xludf.DUMMYFUNCTION("GOOGLETRANSLATE(A52102,""en"",""pt"")"),"fotos de qualidade para o preço")</f>
        <v>fotos de qualidade para o preço</v>
      </c>
      <c r="B52102" s="3">
        <v>1</v>
      </c>
    </row>
    <row r="52103" ht="15.75" customHeight="1" spans="1:2">
      <c r="A52103" s="3" t="str">
        <f>IFERROR(__xludf.DUMMYFUNCTION("GOOGLETRANSLATE(A52103,""en"",""pt"")"),"Ele tira fotos, fácil de usar")</f>
        <v>Ele tira fotos, fácil de usar</v>
      </c>
      <c r="B52103" s="3">
        <v>1</v>
      </c>
    </row>
    <row r="52104" ht="15.75" customHeight="1" spans="1:2">
      <c r="A52104" s="3" t="str">
        <f>IFERROR(__xludf.DUMMYFUNCTION("GOOGLETRANSLATE(A52104,""en"",""pt"")"),"Polaroid reputação, preço")</f>
        <v>Polaroid reputação, preço</v>
      </c>
      <c r="B52104" s="3">
        <v>1</v>
      </c>
    </row>
    <row r="52105" ht="15.75" customHeight="1" spans="1:2">
      <c r="A52105" s="3" t="str">
        <f>IFERROR(__xludf.DUMMYFUNCTION("GOOGLETRANSLATE(A52105,""en"",""pt"")"),"Fácil de usar, leva fotos decentes")</f>
        <v>Fácil de usar, leva fotos decentes</v>
      </c>
      <c r="B52105" s="3">
        <v>1</v>
      </c>
    </row>
    <row r="52106" ht="15.75" customHeight="1" spans="1:2">
      <c r="A52106" s="3" t="str">
        <f>IFERROR(__xludf.DUMMYFUNCTION("GOOGLETRANSLATE(A52106,""en"",""pt"")"),"melhor preço, simples")</f>
        <v>melhor preço, simples</v>
      </c>
      <c r="B52106" s="3">
        <v>1</v>
      </c>
    </row>
    <row r="52107" ht="15.75" customHeight="1" spans="1:2">
      <c r="A52107" s="3" t="str">
        <f>IFERROR(__xludf.DUMMYFUNCTION("GOOGLETRANSLATE(A52107,""en"",""pt"")"),"qualidade de imagem, facilidade de uso")</f>
        <v>qualidade de imagem, facilidade de uso</v>
      </c>
      <c r="B52107" s="3">
        <v>1</v>
      </c>
    </row>
    <row r="52108" ht="15.75" customHeight="1" spans="1:2">
      <c r="A52108" s="3" t="str">
        <f>IFERROR(__xludf.DUMMYFUNCTION("GOOGLETRANSLATE(A52108,""en"",""pt"")"),"FÁCIL DE USAR")</f>
        <v>FÁCIL DE USAR</v>
      </c>
      <c r="B52108" s="3">
        <v>1</v>
      </c>
    </row>
    <row r="52109" ht="15.75" customHeight="1" spans="1:2">
      <c r="A52109" s="3" t="str">
        <f>IFERROR(__xludf.DUMMYFUNCTION("GOOGLETRANSLATE(A52109,""en"",""pt"")"),"fácil de usar, fotos de qualidade, a preços acessíveis")</f>
        <v>fácil de usar, fotos de qualidade, a preços acessíveis</v>
      </c>
      <c r="B52109" s="3">
        <v>1</v>
      </c>
    </row>
    <row r="52110" ht="15.75" customHeight="1" spans="1:2">
      <c r="A52110" s="3" t="str">
        <f>IFERROR(__xludf.DUMMYFUNCTION("GOOGLETRANSLATE(A52110,""en"",""pt"")"),"Excelente de Imagem da tomada")</f>
        <v>Excelente de Imagem da tomada</v>
      </c>
      <c r="B52110" s="3">
        <v>1</v>
      </c>
    </row>
    <row r="52111" ht="15.75" customHeight="1" spans="1:2">
      <c r="A52111" s="3" t="str">
        <f>IFERROR(__xludf.DUMMYFUNCTION("GOOGLETRANSLATE(A52111,""en"",""pt"")"),"Fácil de usar.")</f>
        <v>Fácil de usar.</v>
      </c>
      <c r="B52111" s="3">
        <v>1</v>
      </c>
    </row>
    <row r="52112" ht="15.75" customHeight="1" spans="1:2">
      <c r="A52112" s="3" t="str">
        <f>IFERROR(__xludf.DUMMYFUNCTION("GOOGLETRANSLATE(A52112,""en"",""pt"")"),"Fácil de usar")</f>
        <v>Fácil de usar</v>
      </c>
      <c r="B52112" s="3">
        <v>1</v>
      </c>
    </row>
    <row r="52113" ht="15.75" customHeight="1" spans="1:2">
      <c r="A52113" s="3" t="str">
        <f>IFERROR(__xludf.DUMMYFUNCTION("GOOGLETRANSLATE(A52113,""en"",""pt"")"),"Leve, fácil de usar e excelente ajuda técnica.")</f>
        <v>Leve, fácil de usar e excelente ajuda técnica.</v>
      </c>
      <c r="B52113" s="3">
        <v>1</v>
      </c>
    </row>
    <row r="52114" ht="15.75" customHeight="1" spans="1:2">
      <c r="A52114" s="3" t="str">
        <f>IFERROR(__xludf.DUMMYFUNCTION("GOOGLETRANSLATE(A52114,""en"",""pt"")"),"acessível, fácil de usar, ótimas fotos, 3 configurações de flash, empresa de qualidade")</f>
        <v>acessível, fácil de usar, ótimas fotos, 3 configurações de flash, empresa de qualidade</v>
      </c>
      <c r="B52114" s="3">
        <v>1</v>
      </c>
    </row>
    <row r="52115" ht="15.75" customHeight="1" spans="1:2">
      <c r="A52115" s="3" t="str">
        <f>IFERROR(__xludf.DUMMYFUNCTION("GOOGLETRANSLATE(A52115,""en"",""pt"")"),"boas fotos de ação.")</f>
        <v>boas fotos de ação.</v>
      </c>
      <c r="B52115" s="3">
        <v>1</v>
      </c>
    </row>
    <row r="52116" ht="15.75" customHeight="1" spans="1:2">
      <c r="A52116" s="3" t="str">
        <f>IFERROR(__xludf.DUMMYFUNCTION("GOOGLETRANSLATE(A52116,""en"",""pt"")"),"preço, facilidade, adaptador de disco, fácil de usar")</f>
        <v>preço, facilidade, adaptador de disco, fácil de usar</v>
      </c>
      <c r="B52116" s="3">
        <v>1</v>
      </c>
    </row>
    <row r="52117" ht="15.75" customHeight="1" spans="1:2">
      <c r="A52117" s="3" t="str">
        <f>IFERROR(__xludf.DUMMYFUNCTION("GOOGLETRANSLATE(A52117,""en"",""pt"")"),"Fácil de usar, de grande qualidade, leve, acessível")</f>
        <v>Fácil de usar, de grande qualidade, leve, acessível</v>
      </c>
      <c r="B52117" s="3">
        <v>1</v>
      </c>
    </row>
    <row r="52118" ht="15.75" customHeight="1" spans="1:2">
      <c r="A52118" s="3" t="str">
        <f>IFERROR(__xludf.DUMMYFUNCTION("GOOGLETRANSLATE(A52118,""en"",""pt"")"),"Grande Pictures, User Friendly")</f>
        <v>Grande Pictures, User Friendly</v>
      </c>
      <c r="B52118" s="3">
        <v>1</v>
      </c>
    </row>
    <row r="52119" ht="15.75" customHeight="1" spans="1:2">
      <c r="A52119" s="3" t="str">
        <f>IFERROR(__xludf.DUMMYFUNCTION("GOOGLETRANSLATE(A52119,""en"",""pt"")"),"Preço, facilidade de uso")</f>
        <v>Preço, facilidade de uso</v>
      </c>
      <c r="B52119" s="3">
        <v>1</v>
      </c>
    </row>
    <row r="52120" ht="15.75" customHeight="1" spans="1:2">
      <c r="A52120" s="3" t="str">
        <f>IFERROR(__xludf.DUMMYFUNCTION("GOOGLETRANSLATE(A52120,""en"",""pt"")"),"fácil de usar, preço")</f>
        <v>fácil de usar, preço</v>
      </c>
      <c r="B52120" s="3">
        <v>1</v>
      </c>
    </row>
    <row r="52121" ht="15.75" customHeight="1" spans="1:2">
      <c r="A52121" s="3" t="str">
        <f>IFERROR(__xludf.DUMMYFUNCTION("GOOGLETRANSLATE(A52121,""en"",""pt"")"),"Fácil de usar. Software é simples, sem complicações")</f>
        <v>Fácil de usar. Software é simples, sem complicações</v>
      </c>
      <c r="B52121" s="3">
        <v>1</v>
      </c>
    </row>
    <row r="52122" ht="15.75" customHeight="1" spans="1:2">
      <c r="A52122" s="3" t="str">
        <f>IFERROR(__xludf.DUMMYFUNCTION("GOOGLETRANSLATE(A52122,""en"",""pt"")"),"bom valor em dinheiro")</f>
        <v>bom valor em dinheiro</v>
      </c>
      <c r="B52122" s="3">
        <v>1</v>
      </c>
    </row>
    <row r="52123" ht="15.75" customHeight="1" spans="1:2">
      <c r="A52123" s="3" t="str">
        <f>IFERROR(__xludf.DUMMYFUNCTION("GOOGLETRANSLATE(A52123,""en"",""pt"")"),"Ótimo preço")</f>
        <v>Ótimo preço</v>
      </c>
      <c r="B52123" s="3">
        <v>1</v>
      </c>
    </row>
    <row r="52124" ht="15.75" customHeight="1" spans="1:2">
      <c r="A52124" s="3" t="str">
        <f>IFERROR(__xludf.DUMMYFUNCTION("GOOGLETRANSLATE(A52124,""en"",""pt"")"),"Acessível, fácil de usar, de grande qualidade")</f>
        <v>Acessível, fácil de usar, de grande qualidade</v>
      </c>
      <c r="B52124" s="3">
        <v>1</v>
      </c>
    </row>
    <row r="52125" ht="15.75" customHeight="1" spans="1:2">
      <c r="A52125" s="3" t="str">
        <f>IFERROR(__xludf.DUMMYFUNCTION("GOOGLETRANSLATE(A52125,""en"",""pt"")"),"Fácil de usar, confiáveis, de baixo custo")</f>
        <v>Fácil de usar, confiáveis, de baixo custo</v>
      </c>
      <c r="B52125" s="3">
        <v>1</v>
      </c>
    </row>
    <row r="52126" ht="15.75" customHeight="1" spans="1:2">
      <c r="A52126" s="3" t="str">
        <f>IFERROR(__xludf.DUMMYFUNCTION("GOOGLETRANSLATE(A52126,""en"",""pt"")"),"Fácil de operar, adaptador de disquete economiza em baterias")</f>
        <v>Fácil de operar, adaptador de disquete economiza em baterias</v>
      </c>
      <c r="B52126" s="3">
        <v>1</v>
      </c>
    </row>
    <row r="52127" ht="15.75" customHeight="1" spans="1:2">
      <c r="A52127" s="3" t="str">
        <f>IFERROR(__xludf.DUMMYFUNCTION("GOOGLETRANSLATE(A52127,""en"",""pt"")"),"Tudo!")</f>
        <v>Tudo!</v>
      </c>
      <c r="B52127" s="3">
        <v>1</v>
      </c>
    </row>
    <row r="52128" ht="15.75" customHeight="1" spans="1:2">
      <c r="A52128" s="3" t="str">
        <f>IFERROR(__xludf.DUMMYFUNCTION("GOOGLETRANSLATE(A52128,""en"",""pt"")"),"Grande para e-mail fotos instantâneas para amigos")</f>
        <v>Grande para e-mail fotos instantâneas para amigos</v>
      </c>
      <c r="B52128" s="3">
        <v>1</v>
      </c>
    </row>
    <row r="52129" ht="15.75" customHeight="1" spans="1:2">
      <c r="A52129" s="3" t="str">
        <f>IFERROR(__xludf.DUMMYFUNCTION("GOOGLETRANSLATE(A52129,""en"",""pt"")"),"Fácil de usar e instalar em seu PC")</f>
        <v>Fácil de usar e instalar em seu PC</v>
      </c>
      <c r="B52129" s="3">
        <v>1</v>
      </c>
    </row>
    <row r="52130" ht="15.75" customHeight="1" spans="1:2">
      <c r="A52130" s="3" t="str">
        <f>IFERROR(__xludf.DUMMYFUNCTION("GOOGLETRANSLATE(A52130,""en"",""pt"")"),"Fácil, divertido, barato!")</f>
        <v>Fácil, divertido, barato!</v>
      </c>
      <c r="B52130" s="3">
        <v>1</v>
      </c>
    </row>
    <row r="52131" ht="15.75" customHeight="1" spans="1:2">
      <c r="A52131" s="3" t="str">
        <f>IFERROR(__xludf.DUMMYFUNCTION("GOOGLETRANSLATE(A52131,""en"",""pt"")"),"Fácil de usar, acessível, fotos excelentes")</f>
        <v>Fácil de usar, acessível, fotos excelentes</v>
      </c>
      <c r="B52131" s="3">
        <v>1</v>
      </c>
    </row>
    <row r="52132" ht="15.75" customHeight="1" spans="1:2">
      <c r="A52132" s="3" t="str">
        <f>IFERROR(__xludf.DUMMYFUNCTION("GOOGLETRANSLATE(A52132,""en"",""pt"")"),"Acessível")</f>
        <v>Acessível</v>
      </c>
      <c r="B52132" s="3">
        <v>1</v>
      </c>
    </row>
    <row r="52133" ht="15.75" customHeight="1" spans="1:2">
      <c r="A52133" s="3" t="str">
        <f>IFERROR(__xludf.DUMMYFUNCTION("GOOGLETRANSLATE(A52133,""en"",""pt"")"),"fácil transferência tela de visualização ampla")</f>
        <v>fácil transferência tela de visualização ampla</v>
      </c>
      <c r="B52133" s="3">
        <v>1</v>
      </c>
    </row>
    <row r="52134" ht="15.75" customHeight="1" spans="1:2">
      <c r="A52134" s="3" t="str">
        <f>IFERROR(__xludf.DUMMYFUNCTION("GOOGLETRANSLATE(A52134,""en"",""pt"")"),"excelente qualidade de imagem")</f>
        <v>excelente qualidade de imagem</v>
      </c>
      <c r="B52134" s="3">
        <v>1</v>
      </c>
    </row>
    <row r="52135" ht="15.75" customHeight="1" spans="1:2">
      <c r="A52135" s="3" t="str">
        <f>IFERROR(__xludf.DUMMYFUNCTION("GOOGLETRANSLATE(A52135,""en"",""pt"")"),"Barato e fácil de usar")</f>
        <v>Barato e fácil de usar</v>
      </c>
      <c r="B52135" s="3">
        <v>1</v>
      </c>
    </row>
    <row r="52136" ht="15.75" customHeight="1" spans="1:2">
      <c r="A52136" s="3" t="str">
        <f>IFERROR(__xludf.DUMMYFUNCTION("GOOGLETRANSLATE(A52136,""en"",""pt"")"),"Boa câmera sólida para todos.")</f>
        <v>Boa câmera sólida para todos.</v>
      </c>
      <c r="B52136" s="3">
        <v>1</v>
      </c>
    </row>
    <row r="52137" ht="15.75" customHeight="1" spans="1:2">
      <c r="A52137" s="3" t="str">
        <f>IFERROR(__xludf.DUMMYFUNCTION("GOOGLETRANSLATE(A52137,""en"",""pt"")"),"Custo e qualidade")</f>
        <v>Custo e qualidade</v>
      </c>
      <c r="B52137" s="3">
        <v>1</v>
      </c>
    </row>
    <row r="52138" ht="15.75" customHeight="1" spans="1:2">
      <c r="A52138" s="3" t="str">
        <f>IFERROR(__xludf.DUMMYFUNCTION("GOOGLETRANSLATE(A52138,""en"",""pt"")"),"Usa memória SmartMedia, preço (US $ 180), atendimento ao cliente")</f>
        <v>Usa memória SmartMedia, preço (US $ 180), atendimento ao cliente</v>
      </c>
      <c r="B52138" s="3">
        <v>1</v>
      </c>
    </row>
    <row r="52139" ht="15.75" customHeight="1" spans="1:2">
      <c r="A52139" s="3" t="str">
        <f>IFERROR(__xludf.DUMMYFUNCTION("GOOGLETRANSLATE(A52139,""en"",""pt"")"),"preço")</f>
        <v>preço</v>
      </c>
      <c r="B52139" s="3">
        <v>1</v>
      </c>
    </row>
    <row r="52140" ht="15.75" customHeight="1" spans="1:2">
      <c r="A52140" s="3" t="str">
        <f>IFERROR(__xludf.DUMMYFUNCTION("GOOGLETRANSLATE(A52140,""en"",""pt"")"),"Fácil de usar, grandes fotos de qualidade, a preços razoáveis")</f>
        <v>Fácil de usar, grandes fotos de qualidade, a preços razoáveis</v>
      </c>
      <c r="B52140" s="3">
        <v>1</v>
      </c>
    </row>
    <row r="52141" ht="15.75" customHeight="1" spans="1:2">
      <c r="A52141" s="3" t="str">
        <f>IFERROR(__xludf.DUMMYFUNCTION("GOOGLETRANSLATE(A52141,""en"",""pt"")"),"Grande software, excelente qualidade de imagem")</f>
        <v>Grande software, excelente qualidade de imagem</v>
      </c>
      <c r="B52141" s="3">
        <v>1</v>
      </c>
    </row>
    <row r="52142" ht="15.75" customHeight="1" spans="1:2">
      <c r="A52142" s="3" t="str">
        <f>IFERROR(__xludf.DUMMYFUNCTION("GOOGLETRANSLATE(A52142,""en"",""pt"")"),"user-friendly, preço muito razoável")</f>
        <v>user-friendly, preço muito razoável</v>
      </c>
      <c r="B52142" s="3">
        <v>1</v>
      </c>
    </row>
    <row r="52143" ht="15.75" customHeight="1" spans="1:2">
      <c r="A52143" s="3" t="str">
        <f>IFERROR(__xludf.DUMMYFUNCTION("GOOGLETRANSLATE(A52143,""en"",""pt"")"),"Fácil de usar")</f>
        <v>Fácil de usar</v>
      </c>
      <c r="B52143" s="3">
        <v>1</v>
      </c>
    </row>
    <row r="52144" ht="15.75" customHeight="1" spans="1:2">
      <c r="A52144" s="3" t="str">
        <f>IFERROR(__xludf.DUMMYFUNCTION("GOOGLETRANSLATE(A52144,""en"",""pt"")"),"boas fotos, fácil de usar, acessórios extras, bom preço")</f>
        <v>boas fotos, fácil de usar, acessórios extras, bom preço</v>
      </c>
      <c r="B52144" s="3">
        <v>1</v>
      </c>
    </row>
    <row r="52145" ht="15.75" customHeight="1" spans="1:2">
      <c r="A52145" s="3" t="str">
        <f>IFERROR(__xludf.DUMMYFUNCTION("GOOGLETRANSLATE(A52145,""en"",""pt"")"),"Uma ótima câmera")</f>
        <v>Uma ótima câmera</v>
      </c>
      <c r="B52145" s="3">
        <v>1</v>
      </c>
    </row>
    <row r="52146" ht="15.75" customHeight="1" spans="1:2">
      <c r="A52146" s="3" t="str">
        <f>IFERROR(__xludf.DUMMYFUNCTION("GOOGLETRANSLATE(A52146,""en"",""pt"")"),"pequeno")</f>
        <v>pequeno</v>
      </c>
      <c r="B52146" s="3">
        <v>1</v>
      </c>
    </row>
    <row r="52147" ht="15.75" customHeight="1" spans="1:2">
      <c r="A52147" s="3" t="str">
        <f>IFERROR(__xludf.DUMMYFUNCTION("GOOGLETRANSLATE(A52147,""en"",""pt"")"),"imagens de boa qualidade, preço baixo")</f>
        <v>imagens de boa qualidade, preço baixo</v>
      </c>
      <c r="B52147" s="3">
        <v>1</v>
      </c>
    </row>
    <row r="52148" ht="15.75" customHeight="1" spans="1:2">
      <c r="A52148" s="3" t="str">
        <f>IFERROR(__xludf.DUMMYFUNCTION("GOOGLETRANSLATE(A52148,""en"",""pt"")"),"Qualidade de imagem, facilidade de uso, baixo custo")</f>
        <v>Qualidade de imagem, facilidade de uso, baixo custo</v>
      </c>
      <c r="B52148" s="3">
        <v>1</v>
      </c>
    </row>
    <row r="52149" ht="15.75" customHeight="1" spans="1:2">
      <c r="A52149" s="3" t="str">
        <f>IFERROR(__xludf.DUMMYFUNCTION("GOOGLETRANSLATE(A52149,""en"",""pt"")"),"fácil de operar")</f>
        <v>fácil de operar</v>
      </c>
      <c r="B52149" s="3">
        <v>1</v>
      </c>
    </row>
    <row r="52150" ht="15.75" customHeight="1" spans="1:2">
      <c r="A52150" s="3" t="str">
        <f>IFERROR(__xludf.DUMMYFUNCTION("GOOGLETRANSLATE(A52150,""en"",""pt"")"),"Boa qualidade de imagem")</f>
        <v>Boa qualidade de imagem</v>
      </c>
      <c r="B52150" s="3">
        <v>1</v>
      </c>
    </row>
    <row r="52151" ht="15.75" customHeight="1" spans="1:2">
      <c r="A52151" s="3" t="str">
        <f>IFERROR(__xludf.DUMMYFUNCTION("GOOGLETRANSLATE(A52151,""en"",""pt"")"),"Muito fácil de usar")</f>
        <v>Muito fácil de usar</v>
      </c>
      <c r="B52151" s="3">
        <v>1</v>
      </c>
    </row>
    <row r="52152" ht="15.75" customHeight="1" spans="1:2">
      <c r="A52152" s="3" t="str">
        <f>IFERROR(__xludf.DUMMYFUNCTION("GOOGLETRANSLATE(A52152,""en"",""pt"")"),"excelente preço, boa qualidade")</f>
        <v>excelente preço, boa qualidade</v>
      </c>
      <c r="B52152" s="3">
        <v>1</v>
      </c>
    </row>
    <row r="52153" ht="15.75" customHeight="1" spans="1:2">
      <c r="A52153" s="3" t="str">
        <f>IFERROR(__xludf.DUMMYFUNCTION("GOOGLETRANSLATE(A52153,""en"",""pt"")"),"preço, fácil de usar, características, tamanho")</f>
        <v>preço, fácil de usar, características, tamanho</v>
      </c>
      <c r="B52153" s="3">
        <v>1</v>
      </c>
    </row>
    <row r="52154" ht="15.75" customHeight="1" spans="1:2">
      <c r="A52154" s="3" t="str">
        <f>IFERROR(__xludf.DUMMYFUNCTION("GOOGLETRANSLATE(A52154,""en"",""pt"")"),"Muito muito boa câmera")</f>
        <v>Muito muito boa câmera</v>
      </c>
      <c r="B52154" s="3">
        <v>1</v>
      </c>
    </row>
    <row r="52155" ht="15.75" customHeight="1" spans="1:2">
      <c r="A52155" s="3" t="str">
        <f>IFERROR(__xludf.DUMMYFUNCTION("GOOGLETRANSLATE(A52155,""en"",""pt"")"),"aparência, qualidade, software")</f>
        <v>aparência, qualidade, software</v>
      </c>
      <c r="B52155" s="3">
        <v>1</v>
      </c>
    </row>
    <row r="52156" ht="15.75" customHeight="1" spans="1:2">
      <c r="A52156" s="3" t="str">
        <f>IFERROR(__xludf.DUMMYFUNCTION("GOOGLETRANSLATE(A52156,""en"",""pt"")"),"Acessíveis, imagens claras.")</f>
        <v>Acessíveis, imagens claras.</v>
      </c>
      <c r="B52156" s="3">
        <v>1</v>
      </c>
    </row>
    <row r="52157" ht="15.75" customHeight="1" spans="1:2">
      <c r="A52157" s="3" t="str">
        <f>IFERROR(__xludf.DUMMYFUNCTION("GOOGLETRANSLATE(A52157,""en"",""pt"")"),"fácil de usar tanto câmera e software, imagens de boa qualidade, econômico")</f>
        <v>fácil de usar tanto câmera e software, imagens de boa qualidade, econômico</v>
      </c>
      <c r="B52157" s="3">
        <v>1</v>
      </c>
    </row>
    <row r="52158" ht="15.75" customHeight="1" spans="1:2">
      <c r="A52158" s="3" t="str">
        <f>IFERROR(__xludf.DUMMYFUNCTION("GOOGLETRANSLATE(A52158,""en"",""pt"")"),", Transferência de imagens fácil barato")</f>
        <v>, Transferência de imagens fácil barato</v>
      </c>
      <c r="B52158" s="3">
        <v>1</v>
      </c>
    </row>
    <row r="52159" ht="15.75" customHeight="1" spans="1:2">
      <c r="A52159" s="3" t="str">
        <f>IFERROR(__xludf.DUMMYFUNCTION("GOOGLETRANSLATE(A52159,""en"",""pt"")"),"Acessível, divertido e fácil")</f>
        <v>Acessível, divertido e fácil</v>
      </c>
      <c r="B52159" s="3">
        <v>1</v>
      </c>
    </row>
    <row r="52160" ht="15.75" customHeight="1" spans="1:2">
      <c r="A52160" s="3" t="str">
        <f>IFERROR(__xludf.DUMMYFUNCTION("GOOGLETRANSLATE(A52160,""en"",""pt"")"),"preço justo, um bom software, boa qualidade da foto.")</f>
        <v>preço justo, um bom software, boa qualidade da foto.</v>
      </c>
      <c r="B52160" s="3">
        <v>1</v>
      </c>
    </row>
    <row r="52161" ht="15.75" customHeight="1" spans="1:2">
      <c r="A52161" s="3" t="str">
        <f>IFERROR(__xludf.DUMMYFUNCTION("GOOGLETRANSLATE(A52161,""en"",""pt"")"),"Imagens de boa qualidade e você pode ter um monte deles")</f>
        <v>Imagens de boa qualidade e você pode ter um monte deles</v>
      </c>
      <c r="B52161" s="3">
        <v>1</v>
      </c>
    </row>
    <row r="52162" ht="15.75" customHeight="1" spans="1:2">
      <c r="A52162" s="3" t="str">
        <f>IFERROR(__xludf.DUMMYFUNCTION("GOOGLETRANSLATE(A52162,""en"",""pt"")"),"Qualidade, Valor, Features")</f>
        <v>Qualidade, Valor, Features</v>
      </c>
      <c r="B52162" s="3">
        <v>1</v>
      </c>
    </row>
    <row r="52163" ht="15.75" customHeight="1" spans="1:2">
      <c r="A52163" s="3" t="str">
        <f>IFERROR(__xludf.DUMMYFUNCTION("GOOGLETRANSLATE(A52163,""en"",""pt"")"),"Muito fácil de usar, sem especial / equipamento caro / software necessário")</f>
        <v>Muito fácil de usar, sem especial / equipamento caro / software necessário</v>
      </c>
      <c r="B52163" s="3">
        <v>1</v>
      </c>
    </row>
    <row r="52164" ht="15.75" customHeight="1" spans="1:2">
      <c r="A52164" s="3" t="str">
        <f>IFERROR(__xludf.DUMMYFUNCTION("GOOGLETRANSLATE(A52164,""en"",""pt"")"),"Fácil de usar")</f>
        <v>Fácil de usar</v>
      </c>
      <c r="B52164" s="3">
        <v>1</v>
      </c>
    </row>
    <row r="52165" ht="15.75" customHeight="1" spans="1:2">
      <c r="A52165" s="3" t="str">
        <f>IFERROR(__xludf.DUMMYFUNCTION("GOOGLETRANSLATE(A52165,""en"",""pt"")"),"Custo razoável; fácil de usar; tudo incluído no kit; nome Polaroid; família inteira pode usar; flash automático &amp; amp; amp; temporizador são bons recursos; é possível excluir imagens imediatamente se você não quiser mantê-los; nenhum filme custou mais; se"&amp;"m esperar para ver fotos")</f>
        <v>Custo razoável; fácil de usar; tudo incluído no kit; nome Polaroid; família inteira pode usar; flash automático &amp; amp; amp; temporizador são bons recursos; é possível excluir imagens imediatamente se você não quiser mantê-los; nenhum filme custou mais; sem esperar para ver fotos</v>
      </c>
      <c r="B52165" s="3">
        <v>1</v>
      </c>
    </row>
    <row r="52166" ht="15.75" customHeight="1" spans="1:2">
      <c r="A52166" s="3" t="str">
        <f>IFERROR(__xludf.DUMMYFUNCTION("GOOGLETRANSLATE(A52166,""en"",""pt"")"),"Fácil de usar e configurar; econômico; Prova idiota")</f>
        <v>Fácil de usar e configurar; econômico; Prova idiota</v>
      </c>
      <c r="B52166" s="3">
        <v>1</v>
      </c>
    </row>
    <row r="52167" ht="15.75" customHeight="1" spans="1:2">
      <c r="A52167" s="3" t="str">
        <f>IFERROR(__xludf.DUMMYFUNCTION("GOOGLETRANSLATE(A52167,""en"",""pt"")"),"tem grandes figuras")</f>
        <v>tem grandes figuras</v>
      </c>
      <c r="B52167" s="3">
        <v>1</v>
      </c>
    </row>
    <row r="52168" ht="15.75" customHeight="1" spans="1:2">
      <c r="A52168" s="3" t="str">
        <f>IFERROR(__xludf.DUMMYFUNCTION("GOOGLETRANSLATE(A52168,""en"",""pt"")"),"Baratos, fotos decentes de qualidade para uso casual. Fácil de usar. 1,8"" display LCD")</f>
        <v>Baratos, fotos decentes de qualidade para uso casual. Fácil de usar. 1,8" display LCD</v>
      </c>
      <c r="B52168" s="3">
        <v>1</v>
      </c>
    </row>
    <row r="52169" ht="15.75" customHeight="1" spans="1:2">
      <c r="A52169" s="3" t="str">
        <f>IFERROR(__xludf.DUMMYFUNCTION("GOOGLETRANSLATE(A52169,""en"",""pt"")"),"baixo custo, características de alta, divertido")</f>
        <v>baixo custo, características de alta, divertido</v>
      </c>
      <c r="B52169" s="3">
        <v>1</v>
      </c>
    </row>
    <row r="52170" ht="15.75" customHeight="1" spans="1:2">
      <c r="A52170" s="3" t="str">
        <f>IFERROR(__xludf.DUMMYFUNCTION("GOOGLETRANSLATE(A52170,""en"",""pt"")"),"Custo")</f>
        <v>Custo</v>
      </c>
      <c r="B52170" s="3">
        <v>1</v>
      </c>
    </row>
    <row r="52171" ht="15.75" customHeight="1" spans="1:2">
      <c r="A52171" s="3" t="str">
        <f>IFERROR(__xludf.DUMMYFUNCTION("GOOGLETRANSLATE(A52171,""en"",""pt"")"),"preço justo, visualizador de imagens")</f>
        <v>preço justo, visualizador de imagens</v>
      </c>
      <c r="B52171" s="3">
        <v>1</v>
      </c>
    </row>
    <row r="52172" ht="15.75" customHeight="1" spans="1:2">
      <c r="A52172" s="3" t="str">
        <f>IFERROR(__xludf.DUMMYFUNCTION("GOOGLETRANSLATE(A52172,""en"",""pt"")"),"Fácil de usar, imagens de boa qualidade")</f>
        <v>Fácil de usar, imagens de boa qualidade</v>
      </c>
      <c r="B52172" s="3">
        <v>1</v>
      </c>
    </row>
    <row r="52173" ht="15.75" customHeight="1" spans="1:2">
      <c r="A52173" s="3" t="str">
        <f>IFERROR(__xludf.DUMMYFUNCTION("GOOGLETRANSLATE(A52173,""en"",""pt"")"),"grande valor, bom design, imagens claras, tela de visualização agradável")</f>
        <v>grande valor, bom design, imagens claras, tela de visualização agradável</v>
      </c>
      <c r="B52173" s="3">
        <v>1</v>
      </c>
    </row>
    <row r="52174" ht="15.75" customHeight="1" spans="1:2">
      <c r="A52174" s="3" t="str">
        <f>IFERROR(__xludf.DUMMYFUNCTION("GOOGLETRANSLATE(A52174,""en"",""pt"")"),"Fácil de usar")</f>
        <v>Fácil de usar</v>
      </c>
      <c r="B52174" s="3">
        <v>1</v>
      </c>
    </row>
    <row r="52175" ht="15.75" customHeight="1" spans="1:2">
      <c r="A52175" s="3" t="str">
        <f>IFERROR(__xludf.DUMMYFUNCTION("GOOGLETRANSLATE(A52175,""en"",""pt"")"),"Este custo câmera menos do que os 640 e modo espera mais fotos")</f>
        <v>Este custo câmera menos do que os 640 e modo espera mais fotos</v>
      </c>
      <c r="B52175" s="3">
        <v>1</v>
      </c>
    </row>
    <row r="52176" ht="15.75" customHeight="1" spans="1:2">
      <c r="A52176" s="3" t="str">
        <f>IFERROR(__xludf.DUMMYFUNCTION("GOOGLETRANSLATE(A52176,""en"",""pt"")"),"fotos claras")</f>
        <v>fotos claras</v>
      </c>
      <c r="B52176" s="3">
        <v>1</v>
      </c>
    </row>
    <row r="52177" ht="15.75" customHeight="1" spans="1:2">
      <c r="A52177" s="3" t="str">
        <f>IFERROR(__xludf.DUMMYFUNCTION("GOOGLETRANSLATE(A52177,""en"",""pt"")"),"Amor caso durou apenas um ano.")</f>
        <v>Amor caso durou apenas um ano.</v>
      </c>
      <c r="B52177" s="3">
        <v>1</v>
      </c>
    </row>
    <row r="52178" ht="15.75" customHeight="1" spans="1:2">
      <c r="A52178" s="3" t="str">
        <f>IFERROR(__xludf.DUMMYFUNCTION("GOOGLETRANSLATE(A52178,""en"",""pt"")"),"Muito eficaz e compacto")</f>
        <v>Muito eficaz e compacto</v>
      </c>
      <c r="B52178" s="3">
        <v>1</v>
      </c>
    </row>
    <row r="52179" ht="15.75" customHeight="1" spans="1:2">
      <c r="A52179" s="3" t="str">
        <f>IFERROR(__xludf.DUMMYFUNCTION("GOOGLETRANSLATE(A52179,""en"",""pt"")"),"Fácil de usar, LCD, boa qualidade, preço, elegante")</f>
        <v>Fácil de usar, LCD, boa qualidade, preço, elegante</v>
      </c>
      <c r="B52179" s="3">
        <v>1</v>
      </c>
    </row>
    <row r="52180" ht="15.75" customHeight="1" spans="1:2">
      <c r="A52180" s="3" t="str">
        <f>IFERROR(__xludf.DUMMYFUNCTION("GOOGLETRANSLATE(A52180,""en"",""pt"")"),"LCD tem bugs, nenhuma satisfação")</f>
        <v>LCD tem bugs, nenhuma satisfação</v>
      </c>
      <c r="B52180" s="3">
        <v>1</v>
      </c>
    </row>
    <row r="52181" ht="15.75" customHeight="1" spans="1:2">
      <c r="A52181" s="3" t="str">
        <f>IFERROR(__xludf.DUMMYFUNCTION("GOOGLETRANSLATE(A52181,""en"",""pt"")"),"Facilidade de uso, diversão barata")</f>
        <v>Facilidade de uso, diversão barata</v>
      </c>
      <c r="B52181" s="3">
        <v>1</v>
      </c>
    </row>
    <row r="52182" ht="15.75" customHeight="1" spans="1:2">
      <c r="A52182" s="3" t="str">
        <f>IFERROR(__xludf.DUMMYFUNCTION("GOOGLETRANSLATE(A52182,""en"",""pt"")"),"fotos excelentes para um 640")</f>
        <v>fotos excelentes para um 640</v>
      </c>
      <c r="B52182" s="3">
        <v>1</v>
      </c>
    </row>
    <row r="52183" ht="15.75" customHeight="1" spans="1:2">
      <c r="A52183" s="3" t="str">
        <f>IFERROR(__xludf.DUMMYFUNCTION("GOOGLETRANSLATE(A52183,""en"",""pt"")"),"Apontar e disparar")</f>
        <v>Apontar e disparar</v>
      </c>
      <c r="B52183" s="3">
        <v>1</v>
      </c>
    </row>
    <row r="52184" ht="15.75" customHeight="1" spans="1:2">
      <c r="A52184" s="3" t="str">
        <f>IFERROR(__xludf.DUMMYFUNCTION("GOOGLETRANSLATE(A52184,""en"",""pt"")"),"Muito confiável !!!")</f>
        <v>Muito confiável !!!</v>
      </c>
      <c r="B52184" s="3">
        <v>1</v>
      </c>
    </row>
    <row r="52185" ht="15.75" customHeight="1" spans="1:2">
      <c r="A52185" s="3" t="str">
        <f>IFERROR(__xludf.DUMMYFUNCTION("GOOGLETRANSLATE(A52185,""en"",""pt"")"),"boa qualidade, tela de lcd barato")</f>
        <v>boa qualidade, tela de lcd barato</v>
      </c>
      <c r="B52185" s="3">
        <v>1</v>
      </c>
    </row>
    <row r="52186" ht="15.75" customHeight="1" spans="1:2">
      <c r="A52186" s="3" t="str">
        <f>IFERROR(__xludf.DUMMYFUNCTION("GOOGLETRANSLATE(A52186,""en"",""pt"")"),"fácil de usar, barato, tudo o necessário foi incluído no kit")</f>
        <v>fácil de usar, barato, tudo o necessário foi incluído no kit</v>
      </c>
      <c r="B52186" s="3">
        <v>1</v>
      </c>
    </row>
    <row r="52187" ht="15.75" customHeight="1" spans="1:2">
      <c r="A52187" s="3" t="str">
        <f>IFERROR(__xludf.DUMMYFUNCTION("GOOGLETRANSLATE(A52187,""en"",""pt"")"),"Fácil de usar para iniciantes, barato")</f>
        <v>Fácil de usar para iniciantes, barato</v>
      </c>
      <c r="B52187" s="3">
        <v>1</v>
      </c>
    </row>
    <row r="52188" ht="15.75" customHeight="1" spans="1:2">
      <c r="A52188" s="3" t="str">
        <f>IFERROR(__xludf.DUMMYFUNCTION("GOOGLETRANSLATE(A52188,""en"",""pt"")"),"Fácil de usar, imagens de boa qualidade, boa capacidade de armazenamento")</f>
        <v>Fácil de usar, imagens de boa qualidade, boa capacidade de armazenamento</v>
      </c>
      <c r="B52188" s="3">
        <v>1</v>
      </c>
    </row>
    <row r="52189" ht="15.75" customHeight="1" spans="1:2">
      <c r="A52189" s="3" t="str">
        <f>IFERROR(__xludf.DUMMYFUNCTION("GOOGLETRANSLATE(A52189,""en"",""pt"")"),"Boa, Pretty Good Pictures")</f>
        <v>Boa, Pretty Good Pictures</v>
      </c>
      <c r="B52189" s="3">
        <v>1</v>
      </c>
    </row>
    <row r="52190" ht="15.75" customHeight="1" spans="1:2">
      <c r="A52190" s="3" t="str">
        <f>IFERROR(__xludf.DUMMYFUNCTION("GOOGLETRANSLATE(A52190,""en"",""pt"")"),"Fácil de usar, leva grandes pics, leve")</f>
        <v>Fácil de usar, leva grandes pics, leve</v>
      </c>
      <c r="B52190" s="3">
        <v>1</v>
      </c>
    </row>
    <row r="52191" ht="15.75" customHeight="1" spans="1:2">
      <c r="A52191" s="3" t="str">
        <f>IFERROR(__xludf.DUMMYFUNCTION("GOOGLETRANSLATE(A52191,""en"",""pt"")"),"Muito fácil de usar")</f>
        <v>Muito fácil de usar</v>
      </c>
      <c r="B52191" s="3">
        <v>1</v>
      </c>
    </row>
    <row r="52192" ht="15.75" customHeight="1" spans="1:2">
      <c r="A52192" s="3" t="str">
        <f>IFERROR(__xludf.DUMMYFUNCTION("GOOGLETRANSLATE(A52192,""en"",""pt"")"),"barato, fácil de usar")</f>
        <v>barato, fácil de usar</v>
      </c>
      <c r="B52192" s="3">
        <v>1</v>
      </c>
    </row>
    <row r="52193" ht="15.75" customHeight="1" spans="1:2">
      <c r="A52193" s="3" t="str">
        <f>IFERROR(__xludf.DUMMYFUNCTION("GOOGLETRANSLATE(A52193,""en"",""pt"")"),"Excelente qualidade de imagem, design elegante e preço.")</f>
        <v>Excelente qualidade de imagem, design elegante e preço.</v>
      </c>
      <c r="B52193" s="3">
        <v>1</v>
      </c>
    </row>
    <row r="52194" ht="15.75" customHeight="1" spans="1:2">
      <c r="A52194" s="3" t="str">
        <f>IFERROR(__xludf.DUMMYFUNCTION("GOOGLETRANSLATE(A52194,""en"",""pt"")"),"boa Camera")</f>
        <v>boa Camera</v>
      </c>
      <c r="B52194" s="3">
        <v>1</v>
      </c>
    </row>
    <row r="52195" ht="15.75" customHeight="1" spans="1:2">
      <c r="A52195" s="3" t="str">
        <f>IFERROR(__xludf.DUMMYFUNCTION("GOOGLETRANSLATE(A52195,""en"",""pt"")"),"Barato")</f>
        <v>Barato</v>
      </c>
      <c r="B52195" s="3">
        <v>1</v>
      </c>
    </row>
    <row r="52196" ht="15.75" customHeight="1" spans="1:2">
      <c r="A52196" s="3" t="str">
        <f>IFERROR(__xludf.DUMMYFUNCTION("GOOGLETRANSLATE(A52196,""en"",""pt"")"),"Fácil de usar, conveniente")</f>
        <v>Fácil de usar, conveniente</v>
      </c>
      <c r="B52196" s="3">
        <v>1</v>
      </c>
    </row>
    <row r="52197" ht="15.75" customHeight="1" spans="1:2">
      <c r="A52197" s="3" t="str">
        <f>IFERROR(__xludf.DUMMYFUNCTION("GOOGLETRANSLATE(A52197,""en"",""pt"")"),"Muito fácil de usar, imagens de boa qualidade, tela de LCD")</f>
        <v>Muito fácil de usar, imagens de boa qualidade, tela de LCD</v>
      </c>
      <c r="B52197" s="3">
        <v>1</v>
      </c>
    </row>
    <row r="52198" ht="15.75" customHeight="1" spans="1:2">
      <c r="A52198" s="3" t="str">
        <f>IFERROR(__xludf.DUMMYFUNCTION("GOOGLETRANSLATE(A52198,""en"",""pt"")"),"Muito durável, melhor para uso doméstico simples. Vem com tudo que você precisa")</f>
        <v>Muito durável, melhor para uso doméstico simples. Vem com tudo que você precisa</v>
      </c>
      <c r="B52198" s="3">
        <v>1</v>
      </c>
    </row>
    <row r="52199" ht="15.75" customHeight="1" spans="1:2">
      <c r="A52199" s="3" t="str">
        <f>IFERROR(__xludf.DUMMYFUNCTION("GOOGLETRANSLATE(A52199,""en"",""pt"")"),"Muito bem razoável. Excelente para usuário médio.")</f>
        <v>Muito bem razoável. Excelente para usuário médio.</v>
      </c>
      <c r="B52199" s="3">
        <v>1</v>
      </c>
    </row>
    <row r="52200" ht="15.75" customHeight="1" spans="1:2">
      <c r="A52200" s="3" t="str">
        <f>IFERROR(__xludf.DUMMYFUNCTION("GOOGLETRANSLATE(A52200,""en"",""pt"")"),"Fácil de usar, relativamente barato, primeira câmera digital agradável")</f>
        <v>Fácil de usar, relativamente barato, primeira câmera digital agradável</v>
      </c>
      <c r="B52200" s="3">
        <v>1</v>
      </c>
    </row>
    <row r="52201" ht="15.75" customHeight="1" spans="1:2">
      <c r="A52201" s="3" t="str">
        <f>IFERROR(__xludf.DUMMYFUNCTION("GOOGLETRANSLATE(A52201,""en"",""pt"")"),"detém lotes de imagens")</f>
        <v>detém lotes de imagens</v>
      </c>
      <c r="B52201" s="3">
        <v>1</v>
      </c>
    </row>
    <row r="52202" ht="15.75" customHeight="1" spans="1:2">
      <c r="A52202" s="3" t="str">
        <f>IFERROR(__xludf.DUMMYFUNCTION("GOOGLETRANSLATE(A52202,""en"",""pt"")"),"1.8"" LCD; saída de vídeo para TV; barato")</f>
        <v>1.8" LCD; saída de vídeo para TV; barato</v>
      </c>
      <c r="B52202" s="3">
        <v>1</v>
      </c>
    </row>
    <row r="52203" ht="15.75" customHeight="1" spans="1:2">
      <c r="A52203" s="3" t="str">
        <f>IFERROR(__xludf.DUMMYFUNCTION("GOOGLETRANSLATE(A52203,""en"",""pt"")"),"Fácil de usar e entender as funções")</f>
        <v>Fácil de usar e entender as funções</v>
      </c>
      <c r="B52203" s="3">
        <v>1</v>
      </c>
    </row>
    <row r="52204" ht="15.75" customHeight="1" spans="1:2">
      <c r="A52204" s="3" t="str">
        <f>IFERROR(__xludf.DUMMYFUNCTION("GOOGLETRANSLATE(A52204,""en"",""pt"")"),"preços baixos, características agradáveis, todos os acessórios incluídos")</f>
        <v>preços baixos, características agradáveis, todos os acessórios incluídos</v>
      </c>
      <c r="B52204" s="3">
        <v>1</v>
      </c>
    </row>
    <row r="52205" ht="15.75" customHeight="1" spans="1:2">
      <c r="A52205" s="3" t="str">
        <f>IFERROR(__xludf.DUMMYFUNCTION("GOOGLETRANSLATE(A52205,""en"",""pt"")"),"Barato, fácil de usar, leve, fotos de boa qualidade para e-mail e web.")</f>
        <v>Barato, fácil de usar, leve, fotos de boa qualidade para e-mail e web.</v>
      </c>
      <c r="B52205" s="3">
        <v>1</v>
      </c>
    </row>
    <row r="52206" ht="15.75" customHeight="1" spans="1:2">
      <c r="A52206" s="3" t="str">
        <f>IFERROR(__xludf.DUMMYFUNCTION("GOOGLETRANSLATE(A52206,""en"",""pt"")"),"Fácil de usar, a prova do idiota, e um grande negócio!")</f>
        <v>Fácil de usar, a prova do idiota, e um grande negócio!</v>
      </c>
      <c r="B52206" s="3">
        <v>1</v>
      </c>
    </row>
    <row r="52207" ht="15.75" customHeight="1" spans="1:2">
      <c r="A52207" s="3" t="str">
        <f>IFERROR(__xludf.DUMMYFUNCTION("GOOGLETRANSLATE(A52207,""en"",""pt"")"),"muito fácil de usar e tudo veio em um kit")</f>
        <v>muito fácil de usar e tudo veio em um kit</v>
      </c>
      <c r="B52207" s="3">
        <v>1</v>
      </c>
    </row>
    <row r="52208" ht="15.75" customHeight="1" spans="1:2">
      <c r="A52208" s="3" t="str">
        <f>IFERROR(__xludf.DUMMYFUNCTION("GOOGLETRANSLATE(A52208,""en"",""pt"")"),"Boas fotos. Sensação agradável e design &amp; amp;. # 13; &amp; amp; # 10;")</f>
        <v>Boas fotos. Sensação agradável e design &amp; amp;. # 13; &amp; amp; # 10;</v>
      </c>
      <c r="B52208" s="3">
        <v>1</v>
      </c>
    </row>
    <row r="52209" ht="15.75" customHeight="1" spans="1:2">
      <c r="A52209" s="3" t="str">
        <f>IFERROR(__xludf.DUMMYFUNCTION("GOOGLETRANSLATE(A52209,""en"",""pt"")"),"Barato, fácil de usar, boa qualidade de imagem")</f>
        <v>Barato, fácil de usar, boa qualidade de imagem</v>
      </c>
      <c r="B52209" s="3">
        <v>1</v>
      </c>
    </row>
    <row r="52210" ht="15.75" customHeight="1" spans="1:2">
      <c r="A52210" s="3" t="str">
        <f>IFERROR(__xludf.DUMMYFUNCTION("GOOGLETRANSLATE(A52210,""en"",""pt"")"),"Preço")</f>
        <v>Preço</v>
      </c>
      <c r="B52210" s="3">
        <v>1</v>
      </c>
    </row>
    <row r="52211" ht="15.75" customHeight="1" spans="1:2">
      <c r="A52211" s="3" t="str">
        <f>IFERROR(__xludf.DUMMYFUNCTION("GOOGLETRANSLATE(A52211,""en"",""pt"")"),"Preço, facilidade de uso, design")</f>
        <v>Preço, facilidade de uso, design</v>
      </c>
      <c r="B52211" s="3">
        <v>1</v>
      </c>
    </row>
    <row r="52212" ht="15.75" customHeight="1" spans="1:2">
      <c r="A52212" s="3" t="str">
        <f>IFERROR(__xludf.DUMMYFUNCTION("GOOGLETRANSLATE(A52212,""en"",""pt"")"),"configurações ajustáveis ​​permitem uma melhor qualidade ou mais fotos, o que você preferir!")</f>
        <v>configurações ajustáveis ​​permitem uma melhor qualidade ou mais fotos, o que você preferir!</v>
      </c>
      <c r="B52212" s="3">
        <v>1</v>
      </c>
    </row>
    <row r="52213" ht="15.75" customHeight="1" spans="1:2">
      <c r="A52213" s="3" t="str">
        <f>IFERROR(__xludf.DUMMYFUNCTION("GOOGLETRANSLATE(A52213,""en"",""pt"")"),"Grande Camera, LCD é claro!")</f>
        <v>Grande Camera, LCD é claro!</v>
      </c>
      <c r="B52213" s="3">
        <v>1</v>
      </c>
    </row>
    <row r="52214" ht="15.75" customHeight="1" spans="1:2">
      <c r="A52214" s="3" t="str">
        <f>IFERROR(__xludf.DUMMYFUNCTION("GOOGLETRANSLATE(A52214,""en"",""pt"")"),"Construído em memória, bom caso, a tela LCD decente ver tamanho.")</f>
        <v>Construído em memória, bom caso, a tela LCD decente ver tamanho.</v>
      </c>
      <c r="B52214" s="3">
        <v>1</v>
      </c>
    </row>
    <row r="52215" ht="15.75" customHeight="1" spans="1:2">
      <c r="A52215" s="3" t="str">
        <f>IFERROR(__xludf.DUMMYFUNCTION("GOOGLETRANSLATE(A52215,""en"",""pt"")"),"Pequeno, leve, fácil de usar. uma câmera boa iniciante.")</f>
        <v>Pequeno, leve, fácil de usar. uma câmera boa iniciante.</v>
      </c>
      <c r="B52215" s="3">
        <v>1</v>
      </c>
    </row>
    <row r="52216" ht="15.75" customHeight="1" spans="1:2">
      <c r="A52216" s="3" t="str">
        <f>IFERROR(__xludf.DUMMYFUNCTION("GOOGLETRANSLATE(A52216,""en"",""pt"")"),"peso leve, portátil, imagens agradáveis ​​e serviço ao cliente A +.")</f>
        <v>peso leve, portátil, imagens agradáveis ​​e serviço ao cliente A +.</v>
      </c>
      <c r="B52216" s="3">
        <v>1</v>
      </c>
    </row>
    <row r="52217" ht="15.75" customHeight="1" spans="1:2">
      <c r="A52217" s="3" t="str">
        <f>IFERROR(__xludf.DUMMYFUNCTION("GOOGLETRANSLATE(A52217,""en"",""pt"")"),"Tela LCD, USB &amp; amp; TV Out, instalação fácil, Flash automático")</f>
        <v>Tela LCD, USB &amp; amp; TV Out, instalação fácil, Flash automático</v>
      </c>
      <c r="B52217" s="3">
        <v>1</v>
      </c>
    </row>
    <row r="52218" ht="15.75" customHeight="1" spans="1:2">
      <c r="A52218" s="3" t="str">
        <f>IFERROR(__xludf.DUMMYFUNCTION("GOOGLETRANSLATE(A52218,""en"",""pt"")"),"Boas características para um preço baixo")</f>
        <v>Boas características para um preço baixo</v>
      </c>
      <c r="B52218" s="3">
        <v>1</v>
      </c>
    </row>
    <row r="52219" ht="15.75" customHeight="1" spans="1:2">
      <c r="A52219" s="3" t="str">
        <f>IFERROR(__xludf.DUMMYFUNCTION("GOOGLETRANSLATE(A52219,""en"",""pt"")"),"Excelente câmera pouco para o preço. Extremamente fácil de usar.")</f>
        <v>Excelente câmera pouco para o preço. Extremamente fácil de usar.</v>
      </c>
      <c r="B52219" s="3">
        <v>1</v>
      </c>
    </row>
    <row r="52220" ht="15.75" customHeight="1" spans="1:2">
      <c r="A52220" s="3" t="str">
        <f>IFERROR(__xludf.DUMMYFUNCTION("GOOGLETRANSLATE(A52220,""en"",""pt"")"),"Boa qualidade de imagem, memória expansível, fácil de usar")</f>
        <v>Boa qualidade de imagem, memória expansível, fácil de usar</v>
      </c>
      <c r="B52220" s="3">
        <v>1</v>
      </c>
    </row>
    <row r="52221" ht="15.75" customHeight="1" spans="1:2">
      <c r="A52221" s="3" t="str">
        <f>IFERROR(__xludf.DUMMYFUNCTION("GOOGLETRANSLATE(A52221,""en"",""pt"")"),"Grande qualidade da foto, fácil de instalar, fácil de usar, muito durável!")</f>
        <v>Grande qualidade da foto, fácil de instalar, fácil de usar, muito durável!</v>
      </c>
      <c r="B52221" s="3">
        <v>1</v>
      </c>
    </row>
    <row r="52222" ht="15.75" customHeight="1" spans="1:2">
      <c r="A52222" s="3" t="str">
        <f>IFERROR(__xludf.DUMMYFUNCTION("GOOGLETRANSLATE(A52222,""en"",""pt"")"),"Fácil de usar")</f>
        <v>Fácil de usar</v>
      </c>
      <c r="B52222" s="3">
        <v>1</v>
      </c>
    </row>
    <row r="52223" ht="15.75" customHeight="1" spans="1:2">
      <c r="A52223" s="3" t="str">
        <f>IFERROR(__xludf.DUMMYFUNCTION("GOOGLETRANSLATE(A52223,""en"",""pt"")"),"Vai caber em sua bolsa")</f>
        <v>Vai caber em sua bolsa</v>
      </c>
      <c r="B52223" s="3">
        <v>1</v>
      </c>
    </row>
    <row r="52224" ht="15.75" customHeight="1" spans="1:2">
      <c r="A52224" s="3" t="str">
        <f>IFERROR(__xludf.DUMMYFUNCTION("GOOGLETRANSLATE(A52224,""en"",""pt"")"),"barato, tem grandes figuras")</f>
        <v>barato, tem grandes figuras</v>
      </c>
      <c r="B52224" s="3">
        <v>1</v>
      </c>
    </row>
    <row r="52225" ht="15.75" customHeight="1" spans="1:2">
      <c r="A52225" s="3" t="str">
        <f>IFERROR(__xludf.DUMMYFUNCTION("GOOGLETRANSLATE(A52225,""en"",""pt"")"),"tamanho perfeito, fácil de usar, acessível, bom software")</f>
        <v>tamanho perfeito, fácil de usar, acessível, bom software</v>
      </c>
      <c r="B52225" s="3">
        <v>1</v>
      </c>
    </row>
    <row r="52226" ht="15.75" customHeight="1" spans="1:2">
      <c r="A52226" s="3" t="str">
        <f>IFERROR(__xludf.DUMMYFUNCTION("GOOGLETRANSLATE(A52226,""en"",""pt"")"),"Muito móvel, de grande qualidade para o preço !!!")</f>
        <v>Muito móvel, de grande qualidade para o preço !!!</v>
      </c>
      <c r="B52226" s="3">
        <v>1</v>
      </c>
    </row>
    <row r="52227" ht="15.75" customHeight="1" spans="1:2">
      <c r="A52227" s="3" t="str">
        <f>IFERROR(__xludf.DUMMYFUNCTION("GOOGLETRANSLATE(A52227,""en"",""pt"")"),"Meu primeiro amor .... uh, em câmeras digitais, que é!")</f>
        <v>Meu primeiro amor .... uh, em câmeras digitais, que é!</v>
      </c>
      <c r="B52227" s="3">
        <v>1</v>
      </c>
    </row>
    <row r="52228" ht="15.75" customHeight="1" spans="1:2">
      <c r="A52228" s="3" t="str">
        <f>IFERROR(__xludf.DUMMYFUNCTION("GOOGLETRANSLATE(A52228,""en"",""pt"")"),"O tamanho pequeno, boa resolução, conector USB.")</f>
        <v>O tamanho pequeno, boa resolução, conector USB.</v>
      </c>
      <c r="B52228" s="3">
        <v>1</v>
      </c>
    </row>
    <row r="52229" ht="15.75" customHeight="1" spans="1:2">
      <c r="A52229" s="3" t="str">
        <f>IFERROR(__xludf.DUMMYFUNCTION("GOOGLETRANSLATE(A52229,""en"",""pt"")"),"Muito fácil de usar")</f>
        <v>Muito fácil de usar</v>
      </c>
      <c r="B52229" s="3">
        <v>1</v>
      </c>
    </row>
    <row r="52230" ht="15.75" customHeight="1" spans="1:2">
      <c r="A52230" s="3" t="str">
        <f>IFERROR(__xludf.DUMMYFUNCTION("GOOGLETRANSLATE(A52230,""en"",""pt"")"),"Boa câmera barata.")</f>
        <v>Boa câmera barata.</v>
      </c>
      <c r="B52230" s="3">
        <v>1</v>
      </c>
    </row>
    <row r="52231" ht="15.75" customHeight="1" spans="1:2">
      <c r="A52231" s="3" t="str">
        <f>IFERROR(__xludf.DUMMYFUNCTION("GOOGLETRANSLATE(A52231,""en"",""pt"")"),"Confiabilidade, qualidade de imagem, fácil de ler suporte manual e bem organizado tecnologia")</f>
        <v>Confiabilidade, qualidade de imagem, fácil de ler suporte manual e bem organizado tecnologia</v>
      </c>
      <c r="B52231" s="3">
        <v>1</v>
      </c>
    </row>
    <row r="52232" ht="15.75" customHeight="1" spans="1:2">
      <c r="A52232" s="3" t="str">
        <f>IFERROR(__xludf.DUMMYFUNCTION("GOOGLETRANSLATE(A52232,""en"",""pt"")"),"Baixo preço, os recursos da câmera")</f>
        <v>Baixo preço, os recursos da câmera</v>
      </c>
      <c r="B52232" s="3">
        <v>1</v>
      </c>
    </row>
    <row r="52233" ht="15.75" customHeight="1" spans="1:2">
      <c r="A52233" s="3" t="str">
        <f>IFERROR(__xludf.DUMMYFUNCTION("GOOGLETRANSLATE(A52233,""en"",""pt"")"),"Vem com todos os acessórios para fazê-la funcionar fora da caixa.")</f>
        <v>Vem com todos os acessórios para fazê-la funcionar fora da caixa.</v>
      </c>
      <c r="B52233" s="3">
        <v>1</v>
      </c>
    </row>
    <row r="52234" ht="15.75" customHeight="1" spans="1:2">
      <c r="A52234" s="3" t="str">
        <f>IFERROR(__xludf.DUMMYFUNCTION("GOOGLETRANSLATE(A52234,""en"",""pt"")"),"fácil de usar")</f>
        <v>fácil de usar</v>
      </c>
      <c r="B52234" s="3">
        <v>1</v>
      </c>
    </row>
    <row r="52235" ht="15.75" customHeight="1" spans="1:2">
      <c r="A52235" s="3" t="str">
        <f>IFERROR(__xludf.DUMMYFUNCTION("GOOGLETRANSLATE(A52235,""en"",""pt"")"),"Grande preço, boa Pictures")</f>
        <v>Grande preço, boa Pictures</v>
      </c>
      <c r="B52235" s="3">
        <v>1</v>
      </c>
    </row>
    <row r="52236" ht="15.75" customHeight="1" spans="1:2">
      <c r="A52236" s="3" t="str">
        <f>IFERROR(__xludf.DUMMYFUNCTION("GOOGLETRANSLATE(A52236,""en"",""pt"")"),"pequeno, boa qualidade de imagem, capacidade de memória adicionadas")</f>
        <v>pequeno, boa qualidade de imagem, capacidade de memória adicionadas</v>
      </c>
      <c r="B52236" s="3">
        <v>1</v>
      </c>
    </row>
    <row r="52237" ht="15.75" customHeight="1" spans="1:2">
      <c r="A52237" s="3" t="str">
        <f>IFERROR(__xludf.DUMMYFUNCTION("GOOGLETRANSLATE(A52237,""en"",""pt"")"),"Barato / Bastante fácil de operar / help Informativo on-line")</f>
        <v>Barato / Bastante fácil de operar / help Informativo on-line</v>
      </c>
      <c r="B52237" s="3">
        <v>1</v>
      </c>
    </row>
    <row r="52238" ht="15.75" customHeight="1" spans="1:2">
      <c r="A52238" s="3" t="str">
        <f>IFERROR(__xludf.DUMMYFUNCTION("GOOGLETRANSLATE(A52238,""en"",""pt"")"),"custo ,, tamanho, facilidade de uso")</f>
        <v>custo ,, tamanho, facilidade de uso</v>
      </c>
      <c r="B52238" s="3">
        <v>1</v>
      </c>
    </row>
    <row r="52239" ht="15.75" customHeight="1" spans="1:2">
      <c r="A52239" s="3" t="str">
        <f>IFERROR(__xludf.DUMMYFUNCTION("GOOGLETRANSLATE(A52239,""en"",""pt"")"),"fácil de usar, preço, características")</f>
        <v>fácil de usar, preço, características</v>
      </c>
      <c r="B52239" s="3">
        <v>1</v>
      </c>
    </row>
    <row r="52240" ht="15.75" customHeight="1" spans="1:2">
      <c r="A52240" s="3" t="str">
        <f>IFERROR(__xludf.DUMMYFUNCTION("GOOGLETRANSLATE(A52240,""en"",""pt"")"),"Preço - que é uma barganha, extremamente fácil de usar")</f>
        <v>Preço - que é uma barganha, extremamente fácil de usar</v>
      </c>
      <c r="B52240" s="3">
        <v>1</v>
      </c>
    </row>
    <row r="52241" ht="15.75" customHeight="1" spans="1:2">
      <c r="A52241" s="3" t="str">
        <f>IFERROR(__xludf.DUMMYFUNCTION("GOOGLETRANSLATE(A52241,""en"",""pt"")"),"Barato / fácil de usar")</f>
        <v>Barato / fácil de usar</v>
      </c>
      <c r="B52241" s="3">
        <v>1</v>
      </c>
    </row>
    <row r="52242" ht="15.75" customHeight="1" spans="1:2">
      <c r="A52242" s="3" t="str">
        <f>IFERROR(__xludf.DUMMYFUNCTION("GOOGLETRANSLATE(A52242,""en"",""pt"")"),"Preço baixo")</f>
        <v>Preço baixo</v>
      </c>
      <c r="B52242" s="3">
        <v>1</v>
      </c>
    </row>
    <row r="52243" ht="15.75" customHeight="1" spans="1:2">
      <c r="A52243" s="3" t="str">
        <f>IFERROR(__xludf.DUMMYFUNCTION("GOOGLETRANSLATE(A52243,""en"",""pt"")"),"Fácil de usar, Software &amp; amp; amp; ferragens")</f>
        <v>Fácil de usar, Software &amp; amp; amp; ferragens</v>
      </c>
      <c r="B52243" s="3">
        <v>1</v>
      </c>
    </row>
    <row r="52244" ht="15.75" customHeight="1" spans="1:2">
      <c r="A52244" s="3" t="str">
        <f>IFERROR(__xludf.DUMMYFUNCTION("GOOGLETRANSLATE(A52244,""en"",""pt"")"),"Uma grande quantidade de memória")</f>
        <v>Uma grande quantidade de memória</v>
      </c>
      <c r="B52244" s="3">
        <v>1</v>
      </c>
    </row>
    <row r="52245" ht="15.75" customHeight="1" spans="1:2">
      <c r="A52245" s="3" t="str">
        <f>IFERROR(__xludf.DUMMYFUNCTION("GOOGLETRANSLATE(A52245,""en"",""pt"")"),"great item, ótimo preço.")</f>
        <v>great item, ótimo preço.</v>
      </c>
      <c r="B52245" s="3">
        <v>1</v>
      </c>
    </row>
    <row r="52246" ht="15.75" customHeight="1" spans="1:2">
      <c r="A52246" s="3" t="str">
        <f>IFERROR(__xludf.DUMMYFUNCTION("GOOGLETRANSLATE(A52246,""en"",""pt"")"),"Too many to lista!")</f>
        <v>Too many to lista!</v>
      </c>
      <c r="B52246" s="3">
        <v>1</v>
      </c>
    </row>
    <row r="52247" ht="15.75" customHeight="1" spans="1:2">
      <c r="A52247" s="3" t="str">
        <f>IFERROR(__xludf.DUMMYFUNCTION("GOOGLETRANSLATE(A52247,""en"",""pt"")"),"Muito fácil de usar")</f>
        <v>Muito fácil de usar</v>
      </c>
      <c r="B52247" s="3">
        <v>1</v>
      </c>
    </row>
    <row r="52248" ht="15.75" customHeight="1" spans="1:2">
      <c r="A52248" s="3" t="str">
        <f>IFERROR(__xludf.DUMMYFUNCTION("GOOGLETRANSLATE(A52248,""en"",""pt"")"),"Preço barato para o que você")</f>
        <v>Preço barato para o que você</v>
      </c>
      <c r="B52248" s="3">
        <v>1</v>
      </c>
    </row>
    <row r="52249" ht="15.75" customHeight="1" spans="1:2">
      <c r="A52249" s="3" t="str">
        <f>IFERROR(__xludf.DUMMYFUNCTION("GOOGLETRANSLATE(A52249,""en"",""pt"")"),"grande qualidade, fácil de usar")</f>
        <v>grande qualidade, fácil de usar</v>
      </c>
      <c r="B52249" s="3">
        <v>1</v>
      </c>
    </row>
    <row r="52250" ht="15.75" customHeight="1" spans="1:2">
      <c r="A52250" s="3" t="s">
        <v>267</v>
      </c>
      <c r="B52250" s="3">
        <v>1</v>
      </c>
    </row>
    <row r="52251" ht="15.75" customHeight="1" spans="1:2">
      <c r="A52251" s="3" t="str">
        <f>IFERROR(__xludf.DUMMYFUNCTION("GOOGLETRANSLATE(A52251,""en"",""pt"")"),"Tem grandes figuras. muito barato")</f>
        <v>Tem grandes figuras. muito barato</v>
      </c>
      <c r="B52251" s="3">
        <v>1</v>
      </c>
    </row>
    <row r="52252" ht="15.75" customHeight="1" spans="1:2">
      <c r="A52252" s="3" t="str">
        <f>IFERROR(__xludf.DUMMYFUNCTION("GOOGLETRANSLATE(A52252,""en"",""pt"")"),"barato, de fácil utilização, o preço vs. resolução")</f>
        <v>barato, de fácil utilização, o preço vs. resolução</v>
      </c>
      <c r="B52252" s="3">
        <v>1</v>
      </c>
    </row>
    <row r="52253" ht="15.75" customHeight="1" spans="1:2">
      <c r="A52253" s="3" t="str">
        <f>IFERROR(__xludf.DUMMYFUNCTION("GOOGLETRANSLATE(A52253,""en"",""pt"")"),"Ótimo negócio; sob preços; pequena / durável; boa LCD tamanho")</f>
        <v>Ótimo negócio; sob preços; pequena / durável; boa LCD tamanho</v>
      </c>
      <c r="B52253" s="3">
        <v>1</v>
      </c>
    </row>
    <row r="52254" ht="15.75" customHeight="1" spans="1:2">
      <c r="A52254" s="3" t="str">
        <f>IFERROR(__xludf.DUMMYFUNCTION("GOOGLETRANSLATE(A52254,""en"",""pt"")"),"Tudo muito bonito, especialmente LCD, armazenamento, qualidade de imagem e preço")</f>
        <v>Tudo muito bonito, especialmente LCD, armazenamento, qualidade de imagem e preço</v>
      </c>
      <c r="B52254" s="3">
        <v>1</v>
      </c>
    </row>
    <row r="52255" ht="15.75" customHeight="1" spans="1:2">
      <c r="A52255" s="3" t="str">
        <f>IFERROR(__xludf.DUMMYFUNCTION("GOOGLETRANSLATE(A52255,""en"",""pt"")"),"leve; compactar")</f>
        <v>leve; compactar</v>
      </c>
      <c r="B52255" s="3">
        <v>1</v>
      </c>
    </row>
    <row r="52256" ht="15.75" customHeight="1" spans="1:2">
      <c r="A52256" s="3" t="str">
        <f>IFERROR(__xludf.DUMMYFUNCTION("GOOGLETRANSLATE(A52256,""en"",""pt"")"),"muito fácil de trabalhar")</f>
        <v>muito fácil de trabalhar</v>
      </c>
      <c r="B52256" s="3">
        <v>1</v>
      </c>
    </row>
    <row r="52257" ht="15.75" customHeight="1" spans="1:2">
      <c r="A52257" s="3" t="str">
        <f>IFERROR(__xludf.DUMMYFUNCTION("GOOGLETRANSLATE(A52257,""en"",""pt"")"),"Preço baixo")</f>
        <v>Preço baixo</v>
      </c>
      <c r="B52257" s="3">
        <v>1</v>
      </c>
    </row>
    <row r="52258" ht="15.75" customHeight="1" spans="1:2">
      <c r="A52258" s="3" t="str">
        <f>IFERROR(__xludf.DUMMYFUNCTION("GOOGLETRANSLATE(A52258,""en"",""pt"")"),"Ótimas fotos!")</f>
        <v>Ótimas fotos!</v>
      </c>
      <c r="B52258" s="3">
        <v>1</v>
      </c>
    </row>
    <row r="52259" ht="15.75" customHeight="1" spans="1:2">
      <c r="A52259" s="3" t="str">
        <f>IFERROR(__xludf.DUMMYFUNCTION("GOOGLETRANSLATE(A52259,""en"",""pt"")"),"Qualidade de imagens digitais, o uso fácil, muitos recursos, grande valor")</f>
        <v>Qualidade de imagens digitais, o uso fácil, muitos recursos, grande valor</v>
      </c>
      <c r="B52259" s="3">
        <v>1</v>
      </c>
    </row>
    <row r="52260" ht="15.75" customHeight="1" spans="1:2">
      <c r="A52260" s="3" t="str">
        <f>IFERROR(__xludf.DUMMYFUNCTION("GOOGLETRANSLATE(A52260,""en"",""pt"")"),"Excelente qualidade de imagem, fácil de usar, ecrã LCD a cores")</f>
        <v>Excelente qualidade de imagem, fácil de usar, ecrã LCD a cores</v>
      </c>
      <c r="B52260" s="3">
        <v>1</v>
      </c>
    </row>
    <row r="52261" ht="15.75" customHeight="1" spans="1:2">
      <c r="A52261" s="3" t="str">
        <f>IFERROR(__xludf.DUMMYFUNCTION("GOOGLETRANSLATE(A52261,""en"",""pt"")"),"Ótima câmera e grande qualidade")</f>
        <v>Ótima câmera e grande qualidade</v>
      </c>
      <c r="B52261" s="3">
        <v>1</v>
      </c>
    </row>
    <row r="52262" ht="15.75" customHeight="1" spans="1:2">
      <c r="A52262" s="3" t="str">
        <f>IFERROR(__xludf.DUMMYFUNCTION("GOOGLETRANSLATE(A52262,""en"",""pt"")"),"tamanho, aparência")</f>
        <v>tamanho, aparência</v>
      </c>
      <c r="B52262" s="3">
        <v>1</v>
      </c>
    </row>
    <row r="52263" ht="15.75" customHeight="1" spans="1:2">
      <c r="A52263" s="3" t="str">
        <f>IFERROR(__xludf.DUMMYFUNCTION("GOOGLETRANSLATE(A52263,""en"",""pt"")"),"Fácil de usar, leve")</f>
        <v>Fácil de usar, leve</v>
      </c>
      <c r="B52263" s="3">
        <v>1</v>
      </c>
    </row>
    <row r="52264" ht="15.75" customHeight="1" spans="1:2">
      <c r="A52264" s="3" t="str">
        <f>IFERROR(__xludf.DUMMYFUNCTION("GOOGLETRANSLATE(A52264,""en"",""pt"")"),"A câmera é barato")</f>
        <v>A câmera é barato</v>
      </c>
      <c r="B52264" s="3">
        <v>1</v>
      </c>
    </row>
    <row r="52265" ht="15.75" customHeight="1" spans="1:2">
      <c r="A52265" s="3" t="str">
        <f>IFERROR(__xludf.DUMMYFUNCTION("GOOGLETRANSLATE(A52265,""en"",""pt"")"),"barato, fácil de usar")</f>
        <v>barato, fácil de usar</v>
      </c>
      <c r="B52265" s="3">
        <v>1</v>
      </c>
    </row>
    <row r="52266" ht="15.75" customHeight="1" spans="1:2">
      <c r="A52266" s="3" t="str">
        <f>IFERROR(__xludf.DUMMYFUNCTION("GOOGLETRANSLATE(A52266,""en"",""pt"")"),"preço barato, o software é fácil de usar")</f>
        <v>preço barato, o software é fácil de usar</v>
      </c>
      <c r="B52266" s="3">
        <v>1</v>
      </c>
    </row>
    <row r="52267" ht="15.75" customHeight="1" spans="1:2">
      <c r="A52267" s="3" t="str">
        <f>IFERROR(__xludf.DUMMYFUNCTION("GOOGLETRANSLATE(A52267,""en"",""pt"")"),"belas fotos, software funciona bem")</f>
        <v>belas fotos, software funciona bem</v>
      </c>
      <c r="B52267" s="3">
        <v>1</v>
      </c>
    </row>
    <row r="52268" ht="15.75" customHeight="1" spans="1:2">
      <c r="A52268" s="3" t="str">
        <f>IFERROR(__xludf.DUMMYFUNCTION("GOOGLETRANSLATE(A52268,""en"",""pt"")"),"ecrã LCD a cores, luz, vem com 2 software")</f>
        <v>ecrã LCD a cores, luz, vem com 2 software</v>
      </c>
      <c r="B52268" s="3">
        <v>1</v>
      </c>
    </row>
    <row r="52269" ht="15.75" customHeight="1" spans="1:2">
      <c r="A52269" s="3" t="str">
        <f>IFERROR(__xludf.DUMMYFUNCTION("GOOGLETRANSLATE(A52269,""en"",""pt"")"),"Facilidade de uso, qualidade de imagem, design conveniente compacto")</f>
        <v>Facilidade de uso, qualidade de imagem, design conveniente compacto</v>
      </c>
      <c r="B52269" s="3">
        <v>1</v>
      </c>
    </row>
    <row r="52270" ht="15.75" customHeight="1" spans="1:2">
      <c r="A52270" s="3" t="str">
        <f>IFERROR(__xludf.DUMMYFUNCTION("GOOGLETRANSLATE(A52270,""en"",""pt"")"),"Preço, Qualidade de Imagem, Simplicidade")</f>
        <v>Preço, Qualidade de Imagem, Simplicidade</v>
      </c>
      <c r="B52270" s="3">
        <v>1</v>
      </c>
    </row>
    <row r="52271" ht="15.75" customHeight="1" spans="1:2">
      <c r="A52271" s="3" t="str">
        <f>IFERROR(__xludf.DUMMYFUNCTION("GOOGLETRANSLATE(A52271,""en"",""pt"")"),"Nice quality, funções avançadas, saída de TV em tempo real, fácil de trabalhar.")</f>
        <v>Nice quality, funções avançadas, saída de TV em tempo real, fácil de trabalhar.</v>
      </c>
      <c r="B52271" s="3">
        <v>1</v>
      </c>
    </row>
    <row r="52272" ht="15.75" customHeight="1" spans="1:2">
      <c r="A52272" s="3" t="str">
        <f>IFERROR(__xludf.DUMMYFUNCTION("GOOGLETRANSLATE(A52272,""en"",""pt"")"),"Eu não tenho para enviar meu filme fora de tê-los desenvolvido")</f>
        <v>Eu não tenho para enviar meu filme fora de tê-los desenvolvido</v>
      </c>
      <c r="B52272" s="3">
        <v>1</v>
      </c>
    </row>
    <row r="52273" ht="15.75" customHeight="1" spans="1:2">
      <c r="A52273" s="3" t="str">
        <f>IFERROR(__xludf.DUMMYFUNCTION("GOOGLETRANSLATE(A52273,""en"",""pt"")"),"Bom preço, boa qualidade")</f>
        <v>Bom preço, boa qualidade</v>
      </c>
      <c r="B52273" s="3">
        <v>1</v>
      </c>
    </row>
    <row r="52274" ht="15.75" customHeight="1" spans="1:2">
      <c r="A52274" s="3" t="str">
        <f>IFERROR(__xludf.DUMMYFUNCTION("GOOGLETRANSLATE(A52274,""en"",""pt"")"),"Facilmente atualizável, excelente suporte ao cliente")</f>
        <v>Facilmente atualizável, excelente suporte ao cliente</v>
      </c>
      <c r="B52274" s="3">
        <v>1</v>
      </c>
    </row>
    <row r="52275" ht="15.75" customHeight="1" spans="1:2">
      <c r="A52275" s="3" t="str">
        <f>IFERROR(__xludf.DUMMYFUNCTION("GOOGLETRANSLATE(A52275,""en"",""pt"")"),"Baixo custo, facilidade de uso de software, compacto")</f>
        <v>Baixo custo, facilidade de uso de software, compacto</v>
      </c>
      <c r="B52275" s="3">
        <v>1</v>
      </c>
    </row>
    <row r="52276" ht="15.75" customHeight="1" spans="1:2">
      <c r="A52276" s="3" t="str">
        <f>IFERROR(__xludf.DUMMYFUNCTION("GOOGLETRANSLATE(A52276,""en"",""pt"")"),"Demasiados a lista de revisão ver")</f>
        <v>Demasiados a lista de revisão ver</v>
      </c>
      <c r="B52276" s="3">
        <v>1</v>
      </c>
    </row>
    <row r="52277" ht="15.75" customHeight="1" spans="1:2">
      <c r="A52277" s="3" t="s">
        <v>268</v>
      </c>
      <c r="B52277" s="3">
        <v>1</v>
      </c>
    </row>
    <row r="52278" ht="15.75" customHeight="1" spans="1:2">
      <c r="A52278" s="3" t="s">
        <v>269</v>
      </c>
      <c r="B52278" s="3">
        <v>1</v>
      </c>
    </row>
    <row r="52279" ht="15.75" customHeight="1" spans="1:2">
      <c r="A52279" s="3" t="str">
        <f>IFERROR(__xludf.DUMMYFUNCTION("GOOGLETRANSLATE(A52279,""en"",""pt"")"),"Grandes fotos, ótimo preço")</f>
        <v>Grandes fotos, ótimo preço</v>
      </c>
      <c r="B52279" s="3">
        <v>1</v>
      </c>
    </row>
    <row r="52280" ht="15.75" customHeight="1" spans="1:2">
      <c r="A52280" s="3" t="str">
        <f>IFERROR(__xludf.DUMMYFUNCTION("GOOGLETRANSLATE(A52280,""en"",""pt"")"),"Relativamente simples de usar, aceita upgrades de memória padrão")</f>
        <v>Relativamente simples de usar, aceita upgrades de memória padrão</v>
      </c>
      <c r="B52280" s="3">
        <v>1</v>
      </c>
    </row>
    <row r="52281" ht="15.75" customHeight="1" spans="1:2">
      <c r="A52281" s="3" t="str">
        <f>IFERROR(__xludf.DUMMYFUNCTION("GOOGLETRANSLATE(A52281,""en"",""pt"")"),"boa qualidade de imagem, pequeno")</f>
        <v>boa qualidade de imagem, pequeno</v>
      </c>
      <c r="B52281" s="3">
        <v>1</v>
      </c>
    </row>
    <row r="52282" ht="15.75" customHeight="1" spans="1:2">
      <c r="A52282" s="3" t="str">
        <f>IFERROR(__xludf.DUMMYFUNCTION("GOOGLETRANSLATE(A52282,""en"",""pt"")"),"Mais pixels para Pesos")</f>
        <v>Mais pixels para Pesos</v>
      </c>
      <c r="B52282" s="3">
        <v>1</v>
      </c>
    </row>
    <row r="52283" ht="15.75" customHeight="1" spans="1:2">
      <c r="A52283" s="3" t="str">
        <f>IFERROR(__xludf.DUMMYFUNCTION("GOOGLETRANSLATE(A52283,""en"",""pt"")"),"Preço, facilidade de utilização, pacote de software completo, suporte USB")</f>
        <v>Preço, facilidade de utilização, pacote de software completo, suporte USB</v>
      </c>
      <c r="B52283" s="3">
        <v>1</v>
      </c>
    </row>
    <row r="52284" ht="15.75" customHeight="1" spans="1:2">
      <c r="A52284" s="3" t="str">
        <f>IFERROR(__xludf.DUMMYFUNCTION("GOOGLETRANSLATE(A52284,""en"",""pt"")"),"boas fotos, facilidade de uso")</f>
        <v>boas fotos, facilidade de uso</v>
      </c>
      <c r="B52284" s="3">
        <v>1</v>
      </c>
    </row>
    <row r="52285" ht="15.75" customHeight="1" spans="1:2">
      <c r="A52285" s="3" t="str">
        <f>IFERROR(__xludf.DUMMYFUNCTION("GOOGLETRANSLATE(A52285,""en"",""pt"")"),"Simples de usar, tamanho compacto, trabalha com o Windows 98,99")</f>
        <v>Simples de usar, tamanho compacto, trabalha com o Windows 98,99</v>
      </c>
      <c r="B52285" s="3">
        <v>1</v>
      </c>
    </row>
    <row r="52286" ht="15.75" customHeight="1" spans="1:2">
      <c r="A52286" s="3" t="str">
        <f>IFERROR(__xludf.DUMMYFUNCTION("GOOGLETRANSLATE(A52286,""en"",""pt"")"),"Fácil de usar, se encaixa facilmente em qualquer lugar, ótimo software, USB")</f>
        <v>Fácil de usar, se encaixa facilmente em qualquer lugar, ótimo software, USB</v>
      </c>
      <c r="B52286" s="3">
        <v>1</v>
      </c>
    </row>
    <row r="52287" ht="15.75" customHeight="1" spans="1:2">
      <c r="A52287" s="3" t="str">
        <f>IFERROR(__xludf.DUMMYFUNCTION("GOOGLETRANSLATE(A52287,""en"",""pt"")"),"Toma fotos excelentes.")</f>
        <v>Toma fotos excelentes.</v>
      </c>
      <c r="B52287" s="3">
        <v>1</v>
      </c>
    </row>
    <row r="52288" ht="15.75" customHeight="1" spans="1:2">
      <c r="A52288" s="3" t="str">
        <f>IFERROR(__xludf.DUMMYFUNCTION("GOOGLETRANSLATE(A52288,""en"",""pt"")"),"bom se você quer apenas colocar fotos na internet.")</f>
        <v>bom se você quer apenas colocar fotos na internet.</v>
      </c>
      <c r="B52288" s="3">
        <v>1</v>
      </c>
    </row>
    <row r="52289" ht="15.75" customHeight="1" spans="1:2">
      <c r="A52289" s="3" t="str">
        <f>IFERROR(__xludf.DUMMYFUNCTION("GOOGLETRANSLATE(A52289,""en"",""pt"")"),"A grande qualidade, memória expansível, um monte de acessórios.")</f>
        <v>A grande qualidade, memória expansível, um monte de acessórios.</v>
      </c>
      <c r="B52289" s="3">
        <v>1</v>
      </c>
    </row>
    <row r="52290" ht="15.75" customHeight="1" spans="1:2">
      <c r="A52290" s="3" t="str">
        <f>IFERROR(__xludf.DUMMYFUNCTION("GOOGLETRANSLATE(A52290,""en"",""pt"")"),"slot para cartão de memória expansível, resolução de qualidade de impressão")</f>
        <v>slot para cartão de memória expansível, resolução de qualidade de impressão</v>
      </c>
      <c r="B52290" s="3">
        <v>1</v>
      </c>
    </row>
    <row r="52291" ht="15.75" customHeight="1" spans="1:2">
      <c r="A52291" s="3" t="str">
        <f>IFERROR(__xludf.DUMMYFUNCTION("GOOGLETRANSLATE(A52291,""en"",""pt"")"),"Pequeno e muito fácil de usar. Extras não encontrado em câmeras baratas.")</f>
        <v>Pequeno e muito fácil de usar. Extras não encontrado em câmeras baratas.</v>
      </c>
      <c r="B52291" s="3">
        <v>1</v>
      </c>
    </row>
    <row r="52292" ht="15.75" customHeight="1" spans="1:2">
      <c r="A52292" s="3" t="str">
        <f>IFERROR(__xludf.DUMMYFUNCTION("GOOGLETRANSLATE(A52292,""en"",""pt"")"),"Funciona bem em média da luz Quartos.")</f>
        <v>Funciona bem em média da luz Quartos.</v>
      </c>
      <c r="B52292" s="3">
        <v>1</v>
      </c>
    </row>
    <row r="52293" ht="15.75" customHeight="1" spans="1:2">
      <c r="A52293" s="3" t="str">
        <f>IFERROR(__xludf.DUMMYFUNCTION("GOOGLETRANSLATE(A52293,""en"",""pt"")"),"Fácil, divertido Grandes Pics")</f>
        <v>Fácil, divertido Grandes Pics</v>
      </c>
      <c r="B52293" s="3">
        <v>1</v>
      </c>
    </row>
    <row r="52294" ht="15.75" customHeight="1" spans="1:2">
      <c r="A52294" s="3" t="str">
        <f>IFERROR(__xludf.DUMMYFUNCTION("GOOGLETRANSLATE(A52294,""en"",""pt"")"),"Minúsculo, USB, relativamente barato")</f>
        <v>Minúsculo, USB, relativamente barato</v>
      </c>
      <c r="B52294" s="3">
        <v>1</v>
      </c>
    </row>
    <row r="52295" ht="15.75" customHeight="1" spans="1:2">
      <c r="A52295" s="3" t="str">
        <f>IFERROR(__xludf.DUMMYFUNCTION("GOOGLETRANSLATE(A52295,""en"",""pt"")"),"Preço, upload rápido, tamanho, visualização de TV, flash")</f>
        <v>Preço, upload rápido, tamanho, visualização de TV, flash</v>
      </c>
      <c r="B52295" s="3">
        <v>1</v>
      </c>
    </row>
    <row r="52296" ht="15.75" customHeight="1" spans="1:2">
      <c r="A52296" s="3" t="str">
        <f>IFERROR(__xludf.DUMMYFUNCTION("GOOGLETRANSLATE(A52296,""en"",""pt"")"),"Fácil de usar, sem problemas com o filme carregamento, pode ver as imagens na sua TV")</f>
        <v>Fácil de usar, sem problemas com o filme carregamento, pode ver as imagens na sua TV</v>
      </c>
      <c r="B52296" s="3">
        <v>1</v>
      </c>
    </row>
    <row r="52297" ht="15.75" customHeight="1" spans="1:2">
      <c r="A52297" s="3" t="str">
        <f>IFERROR(__xludf.DUMMYFUNCTION("GOOGLETRANSLATE(A52297,""en"",""pt"")"),"Não há mais photomats, leve, ganchos diretamente à TV para imagens instantâneas")</f>
        <v>Não há mais photomats, leve, ganchos diretamente à TV para imagens instantâneas</v>
      </c>
      <c r="B52297" s="3">
        <v>1</v>
      </c>
    </row>
    <row r="52298" ht="15.75" customHeight="1" spans="1:2">
      <c r="A52298" s="3" t="str">
        <f>IFERROR(__xludf.DUMMYFUNCTION("GOOGLETRANSLATE(A52298,""en"",""pt"")"),"Leve, fácil de usar")</f>
        <v>Leve, fácil de usar</v>
      </c>
      <c r="B52298" s="3">
        <v>1</v>
      </c>
    </row>
    <row r="52299" ht="15.75" customHeight="1" spans="1:2">
      <c r="A52299" s="3" t="str">
        <f>IFERROR(__xludf.DUMMYFUNCTION("GOOGLETRANSLATE(A52299,""en"",""pt"")"),"Barato, facilmente conecta-se à televisão para visualização")</f>
        <v>Barato, facilmente conecta-se à televisão para visualização</v>
      </c>
      <c r="B52299" s="3">
        <v>1</v>
      </c>
    </row>
    <row r="52300" ht="15.75" customHeight="1" spans="1:2">
      <c r="A52300" s="3" t="str">
        <f>IFERROR(__xludf.DUMMYFUNCTION("GOOGLETRANSLATE(A52300,""en"",""pt"")"),"vida útil da bateria, custo, cabos incluídos e adaptador AC, o sinal de saída de vídeo RCA")</f>
        <v>vida útil da bateria, custo, cabos incluídos e adaptador AC, o sinal de saída de vídeo RCA</v>
      </c>
      <c r="B52300" s="3">
        <v>1</v>
      </c>
    </row>
    <row r="52301" ht="15.75" customHeight="1" spans="1:2">
      <c r="A52301" s="3" t="str">
        <f>IFERROR(__xludf.DUMMYFUNCTION("GOOGLETRANSLATE(A52301,""en"",""pt"")"),"Ótima câmera para o preço e tamanho!")</f>
        <v>Ótima câmera para o preço e tamanho!</v>
      </c>
      <c r="B52301" s="3">
        <v>1</v>
      </c>
    </row>
    <row r="52302" ht="15.75" customHeight="1" spans="1:2">
      <c r="A52302" s="3" t="str">
        <f>IFERROR(__xludf.DUMMYFUNCTION("GOOGLETRANSLATE(A52302,""en"",""pt"")"),"Ótima câmera acessível")</f>
        <v>Ótima câmera acessível</v>
      </c>
      <c r="B52302" s="3">
        <v>1</v>
      </c>
    </row>
    <row r="52303" ht="15.75" customHeight="1" spans="1:2">
      <c r="A52303" s="3" t="str">
        <f>IFERROR(__xludf.DUMMYFUNCTION("GOOGLETRANSLATE(A52303,""en"",""pt"")"),"Barato, pequeno, bom para ebay")</f>
        <v>Barato, pequeno, bom para ebay</v>
      </c>
      <c r="B52303" s="3">
        <v>1</v>
      </c>
    </row>
    <row r="52304" ht="15.75" customHeight="1" spans="1:2">
      <c r="A52304" s="3" t="str">
        <f>IFERROR(__xludf.DUMMYFUNCTION("GOOGLETRANSLATE(A52304,""en"",""pt"")"),"Barato, fácil")</f>
        <v>Barato, fácil</v>
      </c>
      <c r="B52304" s="3">
        <v>1</v>
      </c>
    </row>
    <row r="52305" ht="15.75" customHeight="1" spans="1:2">
      <c r="A52305" s="3" t="str">
        <f>IFERROR(__xludf.DUMMYFUNCTION("GOOGLETRANSLATE(A52305,""en"",""pt"")"),"Baixo custo, boa bateria, fácil de usar")</f>
        <v>Baixo custo, boa bateria, fácil de usar</v>
      </c>
      <c r="B52305" s="3">
        <v>1</v>
      </c>
    </row>
    <row r="52306" ht="15.75" customHeight="1" spans="1:2">
      <c r="A52306" s="3" t="str">
        <f>IFERROR(__xludf.DUMMYFUNCTION("GOOGLETRANSLATE(A52306,""en"",""pt"")"),"Não vai custar muito para você começar. Talvez 50 a 60 dólares.")</f>
        <v>Não vai custar muito para você começar. Talvez 50 a 60 dólares.</v>
      </c>
      <c r="B52306" s="3">
        <v>1</v>
      </c>
    </row>
    <row r="52307" ht="15.75" customHeight="1" spans="1:2">
      <c r="A52307" s="3" t="str">
        <f>IFERROR(__xludf.DUMMYFUNCTION("GOOGLETRANSLATE(A52307,""en"",""pt"")"),"Barato preço, manuseio, PC e Mac compatível, flash.")</f>
        <v>Barato preço, manuseio, PC e Mac compatível, flash.</v>
      </c>
      <c r="B52307" s="3">
        <v>1</v>
      </c>
    </row>
    <row r="52308" ht="15.75" customHeight="1" spans="1:2">
      <c r="A52308" s="3" t="str">
        <f>IFERROR(__xludf.DUMMYFUNCTION("GOOGLETRANSLATE(A52308,""en"",""pt"")"),"muito barato, leve, pequeno")</f>
        <v>muito barato, leve, pequeno</v>
      </c>
      <c r="B52308" s="3">
        <v>1</v>
      </c>
    </row>
    <row r="52309" ht="15.75" customHeight="1" spans="1:2">
      <c r="A52309" s="3" t="str">
        <f>IFERROR(__xludf.DUMMYFUNCTION("GOOGLETRANSLATE(A52309,""en"",""pt"")"),"Muito barato, qualidade decente, flash")</f>
        <v>Muito barato, qualidade decente, flash</v>
      </c>
      <c r="B52309" s="3">
        <v>1</v>
      </c>
    </row>
    <row r="52310" ht="15.75" customHeight="1" spans="1:2">
      <c r="A52310" s="3" t="str">
        <f>IFERROR(__xludf.DUMMYFUNCTION("GOOGLETRANSLATE(A52310,""en"",""pt"")"),"pilhas AA padrão, USB e build-in flash")</f>
        <v>pilhas AA padrão, USB e build-in flash</v>
      </c>
      <c r="B52310" s="3">
        <v>1</v>
      </c>
    </row>
    <row r="52311" ht="15.75" customHeight="1" spans="1:2">
      <c r="A52311" s="3" t="str">
        <f>IFERROR(__xludf.DUMMYFUNCTION("GOOGLETRANSLATE(A52311,""en"",""pt"")"),"O preço que eu acho que, depois de ter verificado em um par de lojas.")</f>
        <v>O preço que eu acho que, depois de ter verificado em um par de lojas.</v>
      </c>
      <c r="B52311" s="3">
        <v>1</v>
      </c>
    </row>
    <row r="52312" ht="15.75" customHeight="1" spans="1:2">
      <c r="A52312" s="3" t="str">
        <f>IFERROR(__xludf.DUMMYFUNCTION("GOOGLETRANSLATE(A52312,""en"",""pt"")"),"conexão USB preço detém televisão a cabo 32 exp incluído")</f>
        <v>conexão USB preço detém televisão a cabo 32 exp incluído</v>
      </c>
      <c r="B52312" s="3">
        <v>1</v>
      </c>
    </row>
    <row r="52313" ht="15.75" customHeight="1" spans="1:2">
      <c r="A52313" s="3" t="str">
        <f>IFERROR(__xludf.DUMMYFUNCTION("GOOGLETRANSLATE(A52313,""en"",""pt"")"),"É barato")</f>
        <v>É barato</v>
      </c>
      <c r="B52313" s="3">
        <v>1</v>
      </c>
    </row>
    <row r="52314" ht="15.75" customHeight="1" spans="1:2">
      <c r="A52314" s="3" t="str">
        <f>IFERROR(__xludf.DUMMYFUNCTION("GOOGLETRANSLATE(A52314,""en"",""pt"")"),"Bom tamanho, preço barato, interface agradável")</f>
        <v>Bom tamanho, preço barato, interface agradável</v>
      </c>
      <c r="B52314" s="3">
        <v>1</v>
      </c>
    </row>
    <row r="52315" ht="15.75" customHeight="1" spans="1:2">
      <c r="A52315" s="3" t="str">
        <f>IFERROR(__xludf.DUMMYFUNCTION("GOOGLETRANSLATE(A52315,""en"",""pt"")"),"Barato, mais rápido se não melhor do que imagens de varredura")</f>
        <v>Barato, mais rápido se não melhor do que imagens de varredura</v>
      </c>
      <c r="B52315" s="3">
        <v>1</v>
      </c>
    </row>
    <row r="52316" ht="15.75" customHeight="1" spans="1:2">
      <c r="A52316" s="3" t="str">
        <f>IFERROR(__xludf.DUMMYFUNCTION("GOOGLETRANSLATE(A52316,""en"",""pt"")"),"Sua bastante definitivamente barato e compacto para manter algum dinheiro em sua carteira, mas ...")</f>
        <v>Sua bastante definitivamente barato e compacto para manter algum dinheiro em sua carteira, mas ...</v>
      </c>
      <c r="B52316" s="3">
        <v>1</v>
      </c>
    </row>
    <row r="52317" ht="15.75" customHeight="1" spans="1:2">
      <c r="A52317" s="3" t="str">
        <f>IFERROR(__xludf.DUMMYFUNCTION("GOOGLETRANSLATE(A52317,""en"",""pt"")"),"Ótimo preço, USB Ready, ótimo para diversão, basta apontar e disparar!")</f>
        <v>Ótimo preço, USB Ready, ótimo para diversão, basta apontar e disparar!</v>
      </c>
      <c r="B52317" s="3">
        <v>1</v>
      </c>
    </row>
    <row r="52318" ht="15.75" customHeight="1" spans="1:2">
      <c r="A52318" s="3" t="str">
        <f>IFERROR(__xludf.DUMMYFUNCTION("GOOGLETRANSLATE(A52318,""en"",""pt"")"),"Preço &amp; amp; Tamanho.")</f>
        <v>Preço &amp; amp; Tamanho.</v>
      </c>
      <c r="B52318" s="3">
        <v>1</v>
      </c>
    </row>
    <row r="52319" ht="15.75" customHeight="1" spans="1:2">
      <c r="A52319" s="3" t="str">
        <f>IFERROR(__xludf.DUMMYFUNCTION("GOOGLETRANSLATE(A52319,""en"",""pt"")"),"barato, você realmente não precisa de um photoshop para fazer essas fotos parecer engraçado")</f>
        <v>barato, você realmente não precisa de um photoshop para fazer essas fotos parecer engraçado</v>
      </c>
      <c r="B52319" s="3">
        <v>1</v>
      </c>
    </row>
    <row r="52320" ht="15.75" customHeight="1" spans="1:2">
      <c r="A52320" s="3" t="str">
        <f>IFERROR(__xludf.DUMMYFUNCTION("GOOGLETRANSLATE(A52320,""en"",""pt"")"),"Durabilidade má concepção")</f>
        <v>Durabilidade má concepção</v>
      </c>
      <c r="B52320" s="3">
        <v>1</v>
      </c>
    </row>
    <row r="52321" ht="15.75" customHeight="1" spans="1:2">
      <c r="A52321" s="3" t="str">
        <f>IFERROR(__xludf.DUMMYFUNCTION("GOOGLETRANSLATE(A52321,""en"",""pt"")"),"fácil de usar, marca todos sabemos, o melhor preço")</f>
        <v>fácil de usar, marca todos sabemos, o melhor preço</v>
      </c>
      <c r="B52321" s="3">
        <v>1</v>
      </c>
    </row>
    <row r="52322" ht="15.75" customHeight="1" spans="1:2">
      <c r="A52322" s="3" t="str">
        <f>IFERROR(__xludf.DUMMYFUNCTION("GOOGLETRANSLATE(A52322,""en"",""pt"")"),"fácil de usar, impressionante fotos, preços razoáveis")</f>
        <v>fácil de usar, impressionante fotos, preços razoáveis</v>
      </c>
      <c r="B52322" s="3">
        <v>1</v>
      </c>
    </row>
    <row r="52323" ht="15.75" customHeight="1" spans="1:2">
      <c r="A52323" s="3" t="str">
        <f>IFERROR(__xludf.DUMMYFUNCTION("GOOGLETRANSLATE(A52323,""en"",""pt"")"),"Fácil de usar, agradáveis ​​software package.Takes grandes fotos.")</f>
        <v>Fácil de usar, agradáveis ​​software package.Takes grandes fotos.</v>
      </c>
      <c r="B52323" s="3">
        <v>1</v>
      </c>
    </row>
    <row r="52324" ht="15.75" customHeight="1" spans="1:2">
      <c r="A52324" s="3" t="str">
        <f>IFERROR(__xludf.DUMMYFUNCTION("GOOGLETRANSLATE(A52324,""en"",""pt"")"),"Muito boa qualidade de imagem para o dinheiro (recebemos um desconto de US $ 100)")</f>
        <v>Muito boa qualidade de imagem para o dinheiro (recebemos um desconto de US $ 100)</v>
      </c>
      <c r="B52324" s="3">
        <v>1</v>
      </c>
    </row>
    <row r="52325" ht="15.75" customHeight="1" spans="1:2">
      <c r="A52325" s="3" t="str">
        <f>IFERROR(__xludf.DUMMYFUNCTION("GOOGLETRANSLATE(A52325,""en"",""pt"")"),"Acima de tudo uma ótima câmera")</f>
        <v>Acima de tudo uma ótima câmera</v>
      </c>
      <c r="B52325" s="3">
        <v>1</v>
      </c>
    </row>
    <row r="52326" ht="15.75" customHeight="1" spans="1:2">
      <c r="A52326" s="3" t="str">
        <f>IFERROR(__xludf.DUMMYFUNCTION("GOOGLETRANSLATE(A52326,""en"",""pt"")"),"Demora cerca de 20 imagens de qualidade")</f>
        <v>Demora cerca de 20 imagens de qualidade</v>
      </c>
      <c r="B52326" s="3">
        <v>1</v>
      </c>
    </row>
    <row r="52327" ht="15.75" customHeight="1" spans="1:2">
      <c r="A52327" s="3" t="str">
        <f>IFERROR(__xludf.DUMMYFUNCTION("GOOGLETRANSLATE(A52327,""en"",""pt"")"),"Esta é uma ótima câmera")</f>
        <v>Esta é uma ótima câmera</v>
      </c>
      <c r="B52327" s="3">
        <v>1</v>
      </c>
    </row>
    <row r="52328" ht="15.75" customHeight="1" spans="1:2">
      <c r="A52328" s="3" t="str">
        <f>IFERROR(__xludf.DUMMYFUNCTION("GOOGLETRANSLATE(A52328,""en"",""pt"")"),"Excelente resolução e cópias")</f>
        <v>Excelente resolução e cópias</v>
      </c>
      <c r="B52328" s="3">
        <v>1</v>
      </c>
    </row>
    <row r="52329" ht="15.75" customHeight="1" spans="1:2">
      <c r="A52329" s="3" t="str">
        <f>IFERROR(__xludf.DUMMYFUNCTION("GOOGLETRANSLATE(A52329,""en"",""pt"")"),"Fácil de usar - Muitas funções")</f>
        <v>Fácil de usar - Muitas funções</v>
      </c>
      <c r="B52329" s="3">
        <v>1</v>
      </c>
    </row>
    <row r="52330" ht="15.75" customHeight="1" spans="1:2">
      <c r="A52330" s="3" t="str">
        <f>IFERROR(__xludf.DUMMYFUNCTION("GOOGLETRANSLATE(A52330,""en"",""pt"")"),"Preço certo")</f>
        <v>Preço certo</v>
      </c>
      <c r="B52330" s="3">
        <v>1</v>
      </c>
    </row>
    <row r="52331" ht="15.75" customHeight="1" spans="1:2">
      <c r="A52331" s="3" t="str">
        <f>IFERROR(__xludf.DUMMYFUNCTION("GOOGLETRANSLATE(A52331,""en"",""pt"")"),"Grandes fotos, fácil de usar, muitas características, estilo atraente")</f>
        <v>Grandes fotos, fácil de usar, muitas características, estilo atraente</v>
      </c>
      <c r="B52331" s="3">
        <v>1</v>
      </c>
    </row>
    <row r="52332" ht="15.75" customHeight="1" spans="1:2">
      <c r="A52332" s="3" t="str">
        <f>IFERROR(__xludf.DUMMYFUNCTION("GOOGLETRANSLATE(A52332,""en"",""pt"")"),"Extremamente fácil de usar, embalagem agradável e sensação, os lotes de uso diário apresenta.")</f>
        <v>Extremamente fácil de usar, embalagem agradável e sensação, os lotes de uso diário apresenta.</v>
      </c>
      <c r="B52332" s="3">
        <v>1</v>
      </c>
    </row>
    <row r="52333" ht="15.75" customHeight="1" spans="1:2">
      <c r="A52333" s="3" t="str">
        <f>IFERROR(__xludf.DUMMYFUNCTION("GOOGLETRANSLATE(A52333,""en"",""pt"")"),"Zoom óptico 3x, zoom digital 4x")</f>
        <v>Zoom óptico 3x, zoom digital 4x</v>
      </c>
      <c r="B52333" s="3">
        <v>1</v>
      </c>
    </row>
    <row r="52334" ht="15.75" customHeight="1" spans="1:2">
      <c r="A52334" s="3" t="str">
        <f>IFERROR(__xludf.DUMMYFUNCTION("GOOGLETRANSLATE(A52334,""en"",""pt"")"),"Facilidade de uso, design robusto")</f>
        <v>Facilidade de uso, design robusto</v>
      </c>
      <c r="B52334" s="3">
        <v>1</v>
      </c>
    </row>
    <row r="52335" ht="15.75" customHeight="1" spans="1:2">
      <c r="A52335" s="3" t="str">
        <f>IFERROR(__xludf.DUMMYFUNCTION("GOOGLETRANSLATE(A52335,""en"",""pt"")"),"Imagens de boa qualidade, inclui recursos como o vídeo (bom para slide-shows) e de energia ac.")</f>
        <v>Imagens de boa qualidade, inclui recursos como o vídeo (bom para slide-shows) e de energia ac.</v>
      </c>
      <c r="B52335" s="3">
        <v>1</v>
      </c>
    </row>
    <row r="52336" ht="15.75" customHeight="1" spans="1:2">
      <c r="A52336" s="3" t="str">
        <f>IFERROR(__xludf.DUMMYFUNCTION("GOOGLETRANSLATE(A52336,""en"",""pt"")"),"Fácil de usar.")</f>
        <v>Fácil de usar.</v>
      </c>
      <c r="B52336" s="3">
        <v>1</v>
      </c>
    </row>
    <row r="52337" ht="15.75" customHeight="1" spans="1:2">
      <c r="A52337" s="3" t="str">
        <f>IFERROR(__xludf.DUMMYFUNCTION("GOOGLETRANSLATE(A52337,""en"",""pt"")"),"Boas características para o preço")</f>
        <v>Boas características para o preço</v>
      </c>
      <c r="B52337" s="3">
        <v>1</v>
      </c>
    </row>
    <row r="52338" ht="15.75" customHeight="1" spans="1:2">
      <c r="A52338" s="3" t="str">
        <f>IFERROR(__xludf.DUMMYFUNCTION("GOOGLETRANSLATE(A52338,""en"",""pt"")"),"fácil de percorrer as fotos")</f>
        <v>fácil de percorrer as fotos</v>
      </c>
      <c r="B52338" s="3">
        <v>1</v>
      </c>
    </row>
    <row r="52339" ht="15.75" customHeight="1" spans="1:2">
      <c r="A52339" s="3" t="str">
        <f>IFERROR(__xludf.DUMMYFUNCTION("GOOGLETRANSLATE(A52339,""en"",""pt"")"),"absolutamente NONE")</f>
        <v>absolutamente NONE</v>
      </c>
      <c r="B52339" s="3">
        <v>1</v>
      </c>
    </row>
    <row r="52340" ht="15.75" customHeight="1" spans="1:2">
      <c r="A52340" s="3" t="str">
        <f>IFERROR(__xludf.DUMMYFUNCTION("GOOGLETRANSLATE(A52340,""en"",""pt"")"),"preço baixo")</f>
        <v>preço baixo</v>
      </c>
      <c r="B52340" s="3">
        <v>1</v>
      </c>
    </row>
    <row r="52341" ht="15.75" customHeight="1" spans="1:2">
      <c r="A52341" s="3" t="str">
        <f>IFERROR(__xludf.DUMMYFUNCTION("GOOGLETRANSLATE(A52341,""en"",""pt"")"),"Boa duração da bateria")</f>
        <v>Boa duração da bateria</v>
      </c>
      <c r="B52341" s="3">
        <v>1</v>
      </c>
    </row>
    <row r="52342" ht="15.75" customHeight="1" spans="1:2">
      <c r="A52342" s="3" t="str">
        <f>IFERROR(__xludf.DUMMYFUNCTION("GOOGLETRANSLATE(A52342,""en"",""pt"")"),"Um adaptador / C incluído, zoom óptico, a vida da bateria, serial e USB incluído")</f>
        <v>Um adaptador / C incluído, zoom óptico, a vida da bateria, serial e USB incluído</v>
      </c>
      <c r="B52342" s="3">
        <v>1</v>
      </c>
    </row>
    <row r="52343" ht="15.75" customHeight="1" spans="1:2">
      <c r="A52343" s="3" t="str">
        <f>IFERROR(__xludf.DUMMYFUNCTION("GOOGLETRANSLATE(A52343,""en"",""pt"")"),"Luz para a qualidade")</f>
        <v>Luz para a qualidade</v>
      </c>
      <c r="B52343" s="3">
        <v>1</v>
      </c>
    </row>
    <row r="52344" ht="15.75" customHeight="1" spans="1:2">
      <c r="A52344" s="3" t="str">
        <f>IFERROR(__xludf.DUMMYFUNCTION("GOOGLETRANSLATE(A52344,""en"",""pt"")"),"Boas fotos.")</f>
        <v>Boas fotos.</v>
      </c>
      <c r="B52344" s="3">
        <v>1</v>
      </c>
    </row>
    <row r="52345" ht="15.75" customHeight="1" spans="1:2">
      <c r="A52345" s="3" t="str">
        <f>IFERROR(__xludf.DUMMYFUNCTION("GOOGLETRANSLATE(A52345,""en"",""pt"")"),"Fácil de usar.")</f>
        <v>Fácil de usar.</v>
      </c>
      <c r="B52345" s="3">
        <v>1</v>
      </c>
    </row>
    <row r="52346" ht="15.75" customHeight="1" spans="1:2">
      <c r="A52346" s="3" t="str">
        <f>IFERROR(__xludf.DUMMYFUNCTION("GOOGLETRANSLATE(A52346,""en"",""pt"")"),"Leva boas imagens detalhadas se não quebrar em primeiro lugar.")</f>
        <v>Leva boas imagens detalhadas se não quebrar em primeiro lugar.</v>
      </c>
      <c r="B52346" s="3">
        <v>1</v>
      </c>
    </row>
    <row r="52347" ht="15.75" customHeight="1" spans="1:2">
      <c r="A52347" s="3" t="str">
        <f>IFERROR(__xludf.DUMMYFUNCTION("GOOGLETRANSLATE(A52347,""en"",""pt"")"),"Como eu poderia dizer alguma coisa boa sobre esta câmera. Ele nunca trabalhou tempo suficiente.")</f>
        <v>Como eu poderia dizer alguma coisa boa sobre esta câmera. Ele nunca trabalhou tempo suficiente.</v>
      </c>
      <c r="B52347" s="3">
        <v>1</v>
      </c>
    </row>
    <row r="52348" ht="15.75" customHeight="1" spans="1:2">
      <c r="A52348" s="3" t="str">
        <f>IFERROR(__xludf.DUMMYFUNCTION("GOOGLETRANSLATE(A52348,""en"",""pt"")"),"Fácil de instalar software.")</f>
        <v>Fácil de instalar software.</v>
      </c>
      <c r="B52348" s="3">
        <v>1</v>
      </c>
    </row>
    <row r="52349" ht="15.75" customHeight="1" spans="1:2">
      <c r="A52349" s="3" t="str">
        <f>IFERROR(__xludf.DUMMYFUNCTION("GOOGLETRANSLATE(A52349,""en"",""pt"")"),"maneira barata para tirar fotos digitais")</f>
        <v>maneira barata para tirar fotos digitais</v>
      </c>
      <c r="B52349" s="3">
        <v>1</v>
      </c>
    </row>
    <row r="52350" ht="15.75" customHeight="1" spans="1:2">
      <c r="A52350" s="3" t="str">
        <f>IFERROR(__xludf.DUMMYFUNCTION("GOOGLETRANSLATE(A52350,""en"",""pt"")"),"Barato, relativamente fácil de usar.")</f>
        <v>Barato, relativamente fácil de usar.</v>
      </c>
      <c r="B52350" s="3">
        <v>1</v>
      </c>
    </row>
    <row r="52351" ht="15.75" customHeight="1" spans="1:2">
      <c r="A52351" s="3" t="str">
        <f>IFERROR(__xludf.DUMMYFUNCTION("GOOGLETRANSLATE(A52351,""en"",""pt"")"),"Preço, 640X480 modo bom")</f>
        <v>Preço, 640X480 modo bom</v>
      </c>
      <c r="B52351" s="3">
        <v>1</v>
      </c>
    </row>
    <row r="52352" ht="15.75" customHeight="1" spans="1:2">
      <c r="A52352" s="3" t="str">
        <f>IFERROR(__xludf.DUMMYFUNCTION("GOOGLETRANSLATE(A52352,""en"",""pt"")"),"Barato e fácil de usar. qualidade decente para o preço.")</f>
        <v>Barato e fácil de usar. qualidade decente para o preço.</v>
      </c>
      <c r="B52352" s="3">
        <v>1</v>
      </c>
    </row>
    <row r="52353" ht="15.75" customHeight="1" spans="1:2">
      <c r="A52353" s="3" t="str">
        <f>IFERROR(__xludf.DUMMYFUNCTION("GOOGLETRANSLATE(A52353,""en"",""pt"")"),"Barato, peso leve")</f>
        <v>Barato, peso leve</v>
      </c>
      <c r="B52353" s="3">
        <v>1</v>
      </c>
    </row>
    <row r="52354" ht="15.75" customHeight="1" spans="1:2">
      <c r="A52354" s="3" t="str">
        <f>IFERROR(__xludf.DUMMYFUNCTION("GOOGLETRANSLATE(A52354,""en"",""pt"")"),"Barato. Bom valor para o dinheiro, se você não esperar o melhor.")</f>
        <v>Barato. Bom valor para o dinheiro, se você não esperar o melhor.</v>
      </c>
      <c r="B52354" s="3">
        <v>1</v>
      </c>
    </row>
    <row r="52355" ht="15.75" customHeight="1" spans="1:2">
      <c r="A52355" s="3" t="str">
        <f>IFERROR(__xludf.DUMMYFUNCTION("GOOGLETRANSLATE(A52355,""en"",""pt"")"),"Mais barato no mercado. Funciona para pequenas necessidades.")</f>
        <v>Mais barato no mercado. Funciona para pequenas necessidades.</v>
      </c>
      <c r="B52355" s="3">
        <v>1</v>
      </c>
    </row>
    <row r="52356" ht="15.75" customHeight="1" spans="1:2">
      <c r="A52356" s="3" t="str">
        <f>IFERROR(__xludf.DUMMYFUNCTION("GOOGLETRANSLATE(A52356,""en"",""pt"")"),"Barato")</f>
        <v>Barato</v>
      </c>
      <c r="B52356" s="3">
        <v>1</v>
      </c>
    </row>
    <row r="52357" ht="15.75" customHeight="1" spans="1:2">
      <c r="A52357" s="3" t="str">
        <f>IFERROR(__xludf.DUMMYFUNCTION("GOOGLETRANSLATE(A52357,""en"",""pt"")"),"Tem um adaptador AC")</f>
        <v>Tem um adaptador AC</v>
      </c>
      <c r="B52357" s="3">
        <v>1</v>
      </c>
    </row>
    <row r="52358" ht="15.75" customHeight="1" spans="1:2">
      <c r="A52358" s="3" t="str">
        <f>IFERROR(__xludf.DUMMYFUNCTION("GOOGLETRANSLATE(A52358,""en"",""pt"")"),"Barato, Luz")</f>
        <v>Barato, Luz</v>
      </c>
      <c r="B52358" s="3">
        <v>1</v>
      </c>
    </row>
    <row r="52359" ht="15.75" customHeight="1" spans="1:2">
      <c r="A52359" s="3" t="str">
        <f>IFERROR(__xludf.DUMMYFUNCTION("GOOGLETRANSLATE(A52359,""en"",""pt"")"),"Grande preço, custo razoável, fácil de usar")</f>
        <v>Grande preço, custo razoável, fácil de usar</v>
      </c>
      <c r="B52359" s="3">
        <v>1</v>
      </c>
    </row>
    <row r="52360" ht="15.75" customHeight="1" spans="1:2">
      <c r="A52360" s="3" t="str">
        <f>IFERROR(__xludf.DUMMYFUNCTION("GOOGLETRANSLATE(A52360,""en"",""pt"")"),"fotos decentes, bom para enviar na web")</f>
        <v>fotos decentes, bom para enviar na web</v>
      </c>
      <c r="B52360" s="3">
        <v>1</v>
      </c>
    </row>
    <row r="52361" ht="15.75" customHeight="1" spans="1:2">
      <c r="A52361" s="3" t="str">
        <f>IFERROR(__xludf.DUMMYFUNCTION("GOOGLETRANSLATE(A52361,""en"",""pt"")"),"Fácil de usar")</f>
        <v>Fácil de usar</v>
      </c>
      <c r="B52361" s="3">
        <v>1</v>
      </c>
    </row>
    <row r="52362" ht="15.75" customHeight="1" spans="1:2">
      <c r="A52362" s="3" t="str">
        <f>IFERROR(__xludf.DUMMYFUNCTION("GOOGLETRANSLATE(A52362,""en"",""pt"")"),"Barato, simples de operar, flash decente")</f>
        <v>Barato, simples de operar, flash decente</v>
      </c>
      <c r="B52362" s="3">
        <v>1</v>
      </c>
    </row>
    <row r="52363" ht="15.75" customHeight="1" spans="1:2">
      <c r="A52363" s="3" t="str">
        <f>IFERROR(__xludf.DUMMYFUNCTION("GOOGLETRANSLATE(A52363,""en"",""pt"")"),"Barato")</f>
        <v>Barato</v>
      </c>
      <c r="B52363" s="3">
        <v>1</v>
      </c>
    </row>
    <row r="52364" ht="15.75" customHeight="1" spans="1:2">
      <c r="A52364" s="3" t="str">
        <f>IFERROR(__xludf.DUMMYFUNCTION("GOOGLETRANSLATE(A52364,""en"",""pt"")"),"Boa qualidade de imagem, barato")</f>
        <v>Boa qualidade de imagem, barato</v>
      </c>
      <c r="B52364" s="3">
        <v>1</v>
      </c>
    </row>
    <row r="52365" ht="15.75" customHeight="1" spans="1:2">
      <c r="A52365" s="3" t="str">
        <f>IFERROR(__xludf.DUMMYFUNCTION("GOOGLETRANSLATE(A52365,""en"",""pt"")"),"Grande Camera, fotos excelentes")</f>
        <v>Grande Camera, fotos excelentes</v>
      </c>
      <c r="B52365" s="3">
        <v>1</v>
      </c>
    </row>
    <row r="52366" ht="15.75" customHeight="1" spans="1:2">
      <c r="A52366" s="3" t="str">
        <f>IFERROR(__xludf.DUMMYFUNCTION("GOOGLETRANSLATE(A52366,""en"",""pt"")"),"barato, divertido, fácil")</f>
        <v>barato, divertido, fácil</v>
      </c>
      <c r="B52366" s="3">
        <v>1</v>
      </c>
    </row>
    <row r="52367" ht="15.75" customHeight="1" spans="1:2">
      <c r="A52367" s="3" t="str">
        <f>IFERROR(__xludf.DUMMYFUNCTION("GOOGLETRANSLATE(A52367,""en"",""pt"")"),"preço")</f>
        <v>preço</v>
      </c>
      <c r="B52367" s="3">
        <v>1</v>
      </c>
    </row>
    <row r="52368" ht="15.75" customHeight="1" spans="1:2">
      <c r="A52368" s="3" t="str">
        <f>IFERROR(__xludf.DUMMYFUNCTION("GOOGLETRANSLATE(A52368,""en"",""pt"")"),"Barato para o novato")</f>
        <v>Barato para o novato</v>
      </c>
      <c r="B52368" s="3">
        <v>1</v>
      </c>
    </row>
    <row r="52369" ht="15.75" customHeight="1" spans="1:2">
      <c r="A52369" s="3" t="str">
        <f>IFERROR(__xludf.DUMMYFUNCTION("GOOGLETRANSLATE(A52369,""en"",""pt"")"),"Fácil, leve, ótimas fotos para pouco dinheiro.")</f>
        <v>Fácil, leve, ótimas fotos para pouco dinheiro.</v>
      </c>
      <c r="B52369" s="3">
        <v>1</v>
      </c>
    </row>
    <row r="52370" ht="15.75" customHeight="1" spans="1:2">
      <c r="A52370" s="3" t="str">
        <f>IFERROR(__xludf.DUMMYFUNCTION("GOOGLETRANSLATE(A52370,""en"",""pt"")"),"facilidade de uso, qualidade de imagem")</f>
        <v>facilidade de uso, qualidade de imagem</v>
      </c>
      <c r="B52370" s="3">
        <v>1</v>
      </c>
    </row>
    <row r="52371" ht="15.75" customHeight="1" spans="1:2">
      <c r="A52371" s="3" t="str">
        <f>IFERROR(__xludf.DUMMYFUNCTION("GOOGLETRANSLATE(A52371,""en"",""pt"")"),"Preço, leve")</f>
        <v>Preço, leve</v>
      </c>
      <c r="B52371" s="3">
        <v>1</v>
      </c>
    </row>
    <row r="52372" ht="15.75" customHeight="1" spans="1:2">
      <c r="A52372" s="3" t="str">
        <f>IFERROR(__xludf.DUMMYFUNCTION("GOOGLETRANSLATE(A52372,""en"",""pt"")"),"muito mais barato do que um monte de filmes e desenvolvimento")</f>
        <v>muito mais barato do que um monte de filmes e desenvolvimento</v>
      </c>
      <c r="B52372" s="3">
        <v>1</v>
      </c>
    </row>
    <row r="52373" ht="15.75" customHeight="1" spans="1:2">
      <c r="A52373" s="3" t="str">
        <f>IFERROR(__xludf.DUMMYFUNCTION("GOOGLETRANSLATE(A52373,""en"",""pt"")"),"barato, fácil de usar")</f>
        <v>barato, fácil de usar</v>
      </c>
      <c r="B52373" s="3">
        <v>1</v>
      </c>
    </row>
    <row r="52374" ht="15.75" customHeight="1" spans="1:2">
      <c r="A52374" s="3" t="str">
        <f>IFERROR(__xludf.DUMMYFUNCTION("GOOGLETRANSLATE(A52374,""en"",""pt"")"),"Barato, fácil de usar")</f>
        <v>Barato, fácil de usar</v>
      </c>
      <c r="B52374" s="3">
        <v>1</v>
      </c>
    </row>
    <row r="52375" ht="15.75" customHeight="1" spans="1:2">
      <c r="A52375" s="3" t="str">
        <f>IFERROR(__xludf.DUMMYFUNCTION("GOOGLETRANSLATE(A52375,""en"",""pt"")"),"Preço barato, Lightness")</f>
        <v>Preço barato, Lightness</v>
      </c>
      <c r="B52375" s="3">
        <v>1</v>
      </c>
    </row>
    <row r="52376" ht="15.75" customHeight="1" spans="1:2">
      <c r="A52376" s="3" t="str">
        <f>IFERROR(__xludf.DUMMYFUNCTION("GOOGLETRANSLATE(A52376,""en"",""pt"")"),"preço e qualidade das imagens")</f>
        <v>preço e qualidade das imagens</v>
      </c>
      <c r="B52376" s="3">
        <v>1</v>
      </c>
    </row>
    <row r="52377" ht="15.75" customHeight="1" spans="1:2">
      <c r="A52377" s="3" t="str">
        <f>IFERROR(__xludf.DUMMYFUNCTION("GOOGLETRANSLATE(A52377,""en"",""pt"")"),"Fácil de usar.")</f>
        <v>Fácil de usar.</v>
      </c>
      <c r="B52377" s="3">
        <v>1</v>
      </c>
    </row>
    <row r="52378" ht="15.75" customHeight="1" spans="1:2">
      <c r="A52378" s="3" t="str">
        <f>IFERROR(__xludf.DUMMYFUNCTION("GOOGLETRANSLATE(A52378,""en"",""pt"")"),"bom o suficiente para o básico ... barato.")</f>
        <v>bom o suficiente para o básico ... barato.</v>
      </c>
      <c r="B52378" s="3">
        <v>1</v>
      </c>
    </row>
    <row r="52379" ht="15.75" customHeight="1" spans="1:2">
      <c r="A52379" s="3" t="str">
        <f>IFERROR(__xludf.DUMMYFUNCTION("GOOGLETRANSLATE(A52379,""en"",""pt"")"),"barato e fácil")</f>
        <v>barato e fácil</v>
      </c>
      <c r="B52379" s="3">
        <v>1</v>
      </c>
    </row>
    <row r="52380" ht="15.75" customHeight="1" spans="1:2">
      <c r="A52380" s="3" t="str">
        <f>IFERROR(__xludf.DUMMYFUNCTION("GOOGLETRANSLATE(A52380,""en"",""pt"")"),"câmera boa para o preço, pode obter 4 memory sticks meg para ele")</f>
        <v>câmera boa para o preço, pode obter 4 memory sticks meg para ele</v>
      </c>
      <c r="B52380" s="3">
        <v>1</v>
      </c>
    </row>
    <row r="52381" ht="15.75" customHeight="1" spans="1:2">
      <c r="A52381" s="3" t="str">
        <f>IFERROR(__xludf.DUMMYFUNCTION("GOOGLETRANSLATE(A52381,""en"",""pt"")"),"A câmera cheia!")</f>
        <v>A câmera cheia!</v>
      </c>
      <c r="B52381" s="3">
        <v>1</v>
      </c>
    </row>
    <row r="52382" ht="15.75" customHeight="1" spans="1:2">
      <c r="A52382" s="3" t="str">
        <f>IFERROR(__xludf.DUMMYFUNCTION("GOOGLETRANSLATE(A52382,""en"",""pt"")"),"bom presente para alguém que você odeia")</f>
        <v>bom presente para alguém que você odeia</v>
      </c>
      <c r="B52382" s="3">
        <v>1</v>
      </c>
    </row>
    <row r="52383" ht="15.75" customHeight="1" spans="1:2">
      <c r="A52383" s="3" t="str">
        <f>IFERROR(__xludf.DUMMYFUNCTION("GOOGLETRANSLATE(A52383,""en"",""pt"")"),"Preço e peso")</f>
        <v>Preço e peso</v>
      </c>
      <c r="B52383" s="3">
        <v>1</v>
      </c>
    </row>
    <row r="52384" ht="15.75" customHeight="1" spans="1:2">
      <c r="A52384" s="3" t="str">
        <f>IFERROR(__xludf.DUMMYFUNCTION("GOOGLETRANSLATE(A52384,""en"",""pt"")"),"Pequenas iniciais fotos custo instantâneas")</f>
        <v>Pequenas iniciais fotos custo instantâneas</v>
      </c>
      <c r="B52384" s="3">
        <v>1</v>
      </c>
    </row>
    <row r="52385" ht="15.75" customHeight="1" spans="1:2">
      <c r="A52385" s="3" t="str">
        <f>IFERROR(__xludf.DUMMYFUNCTION("GOOGLETRANSLATE(A52385,""en"",""pt"")"),"Fotos excelentes e fácil de usar.")</f>
        <v>Fotos excelentes e fácil de usar.</v>
      </c>
      <c r="B52385" s="3">
        <v>1</v>
      </c>
    </row>
    <row r="52386" ht="15.75" customHeight="1" spans="1:2">
      <c r="A52386" s="3" t="str">
        <f>IFERROR(__xludf.DUMMYFUNCTION("GOOGLETRANSLATE(A52386,""en"",""pt"")"),"Barato, fácil de usar, funcional")</f>
        <v>Barato, fácil de usar, funcional</v>
      </c>
      <c r="B52386" s="3">
        <v>1</v>
      </c>
    </row>
    <row r="52387" ht="15.75" customHeight="1" spans="1:2">
      <c r="A52387" s="3" t="str">
        <f>IFERROR(__xludf.DUMMYFUNCTION("GOOGLETRANSLATE(A52387,""en"",""pt"")"),"relativamente barato, desliga automaticamente que você esquecer de desligá-lo. Bom tamanho da imagem")</f>
        <v>relativamente barato, desliga automaticamente que você esquecer de desligá-lo. Bom tamanho da imagem</v>
      </c>
      <c r="B52387" s="3">
        <v>1</v>
      </c>
    </row>
    <row r="52388" ht="15.75" customHeight="1" spans="1:2">
      <c r="A52388" s="3" t="str">
        <f>IFERROR(__xludf.DUMMYFUNCTION("GOOGLETRANSLATE(A52388,""en"",""pt"")"),"Barato, fácil de usar, de qualidade aceitável")</f>
        <v>Barato, fácil de usar, de qualidade aceitável</v>
      </c>
      <c r="B52388" s="3">
        <v>1</v>
      </c>
    </row>
    <row r="52389" ht="15.75" customHeight="1" spans="1:2">
      <c r="A52389" s="3" t="str">
        <f>IFERROR(__xludf.DUMMYFUNCTION("GOOGLETRANSLATE(A52389,""en"",""pt"")"),"A partir de junho de 2001, essas câmeras digitais são menos de $ 40")</f>
        <v>A partir de junho de 2001, essas câmeras digitais são menos de $ 40</v>
      </c>
      <c r="B52389" s="3">
        <v>1</v>
      </c>
    </row>
    <row r="52390" ht="15.75" customHeight="1" spans="1:2">
      <c r="A52390" s="3" t="str">
        <f>IFERROR(__xludf.DUMMYFUNCTION("GOOGLETRANSLATE(A52390,""en"",""pt"")"),"Facilidade de uso, visor LCD")</f>
        <v>Facilidade de uso, visor LCD</v>
      </c>
      <c r="B52390" s="3">
        <v>1</v>
      </c>
    </row>
    <row r="52391" ht="15.75" customHeight="1" spans="1:2">
      <c r="A52391" s="3" t="str">
        <f>IFERROR(__xludf.DUMMYFUNCTION("GOOGLETRANSLATE(A52391,""en"",""pt"")"),"Fácil de usar-grande fotos")</f>
        <v>Fácil de usar-grande fotos</v>
      </c>
      <c r="B52391" s="3">
        <v>1</v>
      </c>
    </row>
    <row r="52392" ht="15.75" customHeight="1" spans="1:2">
      <c r="A52392" s="3" t="str">
        <f>IFERROR(__xludf.DUMMYFUNCTION("GOOGLETRANSLATE(A52392,""en"",""pt"")"),"fácil de usar")</f>
        <v>fácil de usar</v>
      </c>
      <c r="B52392" s="3">
        <v>1</v>
      </c>
    </row>
    <row r="52393" ht="15.75" customHeight="1" spans="1:2">
      <c r="A52393" s="3" t="str">
        <f>IFERROR(__xludf.DUMMYFUNCTION("GOOGLETRANSLATE(A52393,""en"",""pt"")"),"pequeno fácil de transportar")</f>
        <v>pequeno fácil de transportar</v>
      </c>
      <c r="B52393" s="3">
        <v>1</v>
      </c>
    </row>
    <row r="52394" ht="15.75" customHeight="1" spans="1:2">
      <c r="A52394" s="3" t="str">
        <f>IFERROR(__xludf.DUMMYFUNCTION("GOOGLETRANSLATE(A52394,""en"",""pt"")"),"Boa câmera ....")</f>
        <v>Boa câmera ....</v>
      </c>
      <c r="B52394" s="3">
        <v>1</v>
      </c>
    </row>
    <row r="52395" ht="15.75" customHeight="1" spans="1:2">
      <c r="A52395" s="3" t="str">
        <f>IFERROR(__xludf.DUMMYFUNCTION("GOOGLETRANSLATE(A52395,""en"",""pt"")"),"Acessível, fácil e divertido, com ótimas fotos de qualidade")</f>
        <v>Acessível, fácil e divertido, com ótimas fotos de qualidade</v>
      </c>
      <c r="B52395" s="3">
        <v>1</v>
      </c>
    </row>
    <row r="52396" ht="15.75" customHeight="1" spans="1:2">
      <c r="A52396" s="3" t="str">
        <f>IFERROR(__xludf.DUMMYFUNCTION("GOOGLETRANSLATE(A52396,""en"",""pt"")"),"Fácil de aprender a usar")</f>
        <v>Fácil de aprender a usar</v>
      </c>
      <c r="B52396" s="3">
        <v>1</v>
      </c>
    </row>
    <row r="52397" ht="15.75" customHeight="1" spans="1:2">
      <c r="A52397" s="3" t="str">
        <f>IFERROR(__xludf.DUMMYFUNCTION("GOOGLETRANSLATE(A52397,""en"",""pt"")"),"luz, barato, fotos macro,")</f>
        <v>luz, barato, fotos macro,</v>
      </c>
      <c r="B52397" s="3">
        <v>1</v>
      </c>
    </row>
    <row r="52398" ht="15.75" customHeight="1" spans="1:2">
      <c r="A52398" s="3" t="s">
        <v>270</v>
      </c>
      <c r="B52398" s="3">
        <v>1</v>
      </c>
    </row>
    <row r="52399" ht="15.75" customHeight="1" spans="1:2">
      <c r="A52399" s="3" t="str">
        <f>IFERROR(__xludf.DUMMYFUNCTION("GOOGLETRANSLATE(A52399,""en"",""pt"")"),"Fácil de usar, câmera barata para iniciantes")</f>
        <v>Fácil de usar, câmera barata para iniciantes</v>
      </c>
      <c r="B52399" s="3">
        <v>1</v>
      </c>
    </row>
    <row r="52400" ht="15.75" customHeight="1" spans="1:2">
      <c r="A52400" s="3" t="str">
        <f>IFERROR(__xludf.DUMMYFUNCTION("GOOGLETRANSLATE(A52400,""en"",""pt"")"),"preço, resolução, zoom")</f>
        <v>preço, resolução, zoom</v>
      </c>
      <c r="B52400" s="3">
        <v>1</v>
      </c>
    </row>
    <row r="52401" ht="15.75" customHeight="1" spans="1:2">
      <c r="A52401" s="3" t="str">
        <f>IFERROR(__xludf.DUMMYFUNCTION("GOOGLETRANSLATE(A52401,""en"",""pt"")"),"Grandes fotos, fácil de usar, macro e zoom")</f>
        <v>Grandes fotos, fácil de usar, macro e zoom</v>
      </c>
      <c r="B52401" s="3">
        <v>1</v>
      </c>
    </row>
    <row r="52402" ht="15.75" customHeight="1" spans="1:2">
      <c r="A52402" s="3" t="str">
        <f>IFERROR(__xludf.DUMMYFUNCTION("GOOGLETRANSLATE(A52402,""en"",""pt"")"),"-rotating lente, zoom, configurações de resolução diferentes")</f>
        <v>-rotating lente, zoom, configurações de resolução diferentes</v>
      </c>
      <c r="B52402" s="3">
        <v>1</v>
      </c>
    </row>
    <row r="52403" ht="15.75" customHeight="1" spans="1:2">
      <c r="A52403" s="3" t="str">
        <f>IFERROR(__xludf.DUMMYFUNCTION("GOOGLETRANSLATE(A52403,""en"",""pt"")"),"recursos, zoom, resolução")</f>
        <v>recursos, zoom, resolução</v>
      </c>
      <c r="B52403" s="3">
        <v>1</v>
      </c>
    </row>
    <row r="52404" ht="15.75" customHeight="1" spans="1:2">
      <c r="A52404" s="3" t="str">
        <f>IFERROR(__xludf.DUMMYFUNCTION("GOOGLETRANSLATE(A52404,""en"",""pt"")"),"Grandes resoluções, Temporizador")</f>
        <v>Grandes resoluções, Temporizador</v>
      </c>
      <c r="B52404" s="3">
        <v>1</v>
      </c>
    </row>
    <row r="52405" ht="15.75" customHeight="1" spans="1:2">
      <c r="A52405" s="3" t="str">
        <f>IFERROR(__xludf.DUMMYFUNCTION("GOOGLETRANSLATE(A52405,""en"",""pt"")"),"barato, disponível, imagens decentes")</f>
        <v>barato, disponível, imagens decentes</v>
      </c>
      <c r="B52405" s="3">
        <v>1</v>
      </c>
    </row>
    <row r="52406" ht="15.75" customHeight="1" spans="1:2">
      <c r="A52406" s="3" t="str">
        <f>IFERROR(__xludf.DUMMYFUNCTION("GOOGLETRANSLATE(A52406,""en"",""pt"")"),"facilidade de uso, tamanho compacto, preço")</f>
        <v>facilidade de uso, tamanho compacto, preço</v>
      </c>
      <c r="B52406" s="3">
        <v>1</v>
      </c>
    </row>
    <row r="52407" ht="15.75" customHeight="1" spans="1:2">
      <c r="A52407" s="3" t="str">
        <f>IFERROR(__xludf.DUMMYFUNCTION("GOOGLETRANSLATE(A52407,""en"",""pt"")"),"grandes recursos")</f>
        <v>grandes recursos</v>
      </c>
      <c r="B52407" s="3">
        <v>1</v>
      </c>
    </row>
    <row r="52408" ht="15.75" customHeight="1" spans="1:2">
      <c r="A52408" s="3" t="str">
        <f>IFERROR(__xludf.DUMMYFUNCTION("GOOGLETRANSLATE(A52408,""en"",""pt"")"),"Uma câmera incrível a um preço excelente, com muitos recursos.")</f>
        <v>Uma câmera incrível a um preço excelente, com muitos recursos.</v>
      </c>
      <c r="B52408" s="3">
        <v>1</v>
      </c>
    </row>
    <row r="52409" ht="15.75" customHeight="1" spans="1:2">
      <c r="A52409" s="3" t="str">
        <f>IFERROR(__xludf.DUMMYFUNCTION("GOOGLETRANSLATE(A52409,""en"",""pt"")"),"projeto físico Superb. Fácil de usar. características fantástico.")</f>
        <v>projeto físico Superb. Fácil de usar. características fantástico.</v>
      </c>
      <c r="B52409" s="3">
        <v>1</v>
      </c>
    </row>
    <row r="52410" ht="15.75" customHeight="1" spans="1:2">
      <c r="A52410" s="3" t="str">
        <f>IFERROR(__xludf.DUMMYFUNCTION("GOOGLETRANSLATE(A52410,""en"",""pt"")"),"Alta resolução e recursos de zoom óptico")</f>
        <v>Alta resolução e recursos de zoom óptico</v>
      </c>
      <c r="B52410" s="3">
        <v>1</v>
      </c>
    </row>
    <row r="52411" ht="15.75" customHeight="1" spans="1:2">
      <c r="A52411" s="3" t="str">
        <f>IFERROR(__xludf.DUMMYFUNCTION("GOOGLETRANSLATE(A52411,""en"",""pt"")"),"Alta resolução e muito fácil de usar")</f>
        <v>Alta resolução e muito fácil de usar</v>
      </c>
      <c r="B52411" s="3">
        <v>1</v>
      </c>
    </row>
    <row r="52412" ht="15.75" customHeight="1" spans="1:2">
      <c r="A52412" s="3" t="str">
        <f>IFERROR(__xludf.DUMMYFUNCTION("GOOGLETRANSLATE(A52412,""en"",""pt"")"),"Ótimas fotos")</f>
        <v>Ótimas fotos</v>
      </c>
      <c r="B52412" s="3">
        <v>1</v>
      </c>
    </row>
    <row r="52413" ht="15.75" customHeight="1" spans="1:2">
      <c r="A52413" s="3" t="str">
        <f>IFERROR(__xludf.DUMMYFUNCTION("GOOGLETRANSLATE(A52413,""en"",""pt"")"),"Pictures não necessitam de correção de cor, olha e sente como uma SLR, fácil de usar")</f>
        <v>Pictures não necessitam de correção de cor, olha e sente como uma SLR, fácil de usar</v>
      </c>
      <c r="B52413" s="3">
        <v>1</v>
      </c>
    </row>
    <row r="52414" ht="15.75" customHeight="1" spans="1:2">
      <c r="A52414" s="3" t="str">
        <f>IFERROR(__xludf.DUMMYFUNCTION("GOOGLETRANSLATE(A52414,""en"",""pt"")"),"OPTICS EXCELENTE")</f>
        <v>OPTICS EXCELENTE</v>
      </c>
      <c r="B52414" s="3">
        <v>1</v>
      </c>
    </row>
    <row r="52415" ht="15.75" customHeight="1" spans="1:2">
      <c r="A52415" s="3" t="str">
        <f>IFERROR(__xludf.DUMMYFUNCTION("GOOGLETRANSLATE(A52415,""en"",""pt"")"),"boa imagem, apagar as fotos ruins")</f>
        <v>boa imagem, apagar as fotos ruins</v>
      </c>
      <c r="B52415" s="3">
        <v>1</v>
      </c>
    </row>
    <row r="52416" ht="15.75" customHeight="1" spans="1:2">
      <c r="A52416" s="3" t="str">
        <f>IFERROR(__xludf.DUMMYFUNCTION("GOOGLETRANSLATE(A52416,""en"",""pt"")"),"Muitos grandes recursos para tal um preço baixo")</f>
        <v>Muitos grandes recursos para tal um preço baixo</v>
      </c>
      <c r="B52416" s="3">
        <v>1</v>
      </c>
    </row>
    <row r="52417" ht="15.75" customHeight="1" spans="1:2">
      <c r="A52417" s="3" t="str">
        <f>IFERROR(__xludf.DUMMYFUNCTION("GOOGLETRANSLATE(A52417,""en"",""pt"")"),"Bem construído e pensado.")</f>
        <v>Bem construído e pensado.</v>
      </c>
      <c r="B52417" s="3">
        <v>1</v>
      </c>
    </row>
    <row r="52418" ht="15.75" customHeight="1" spans="1:2">
      <c r="A52418" s="3" t="str">
        <f>IFERROR(__xludf.DUMMYFUNCTION("GOOGLETRANSLATE(A52418,""en"",""pt"")"),"Fácil de usar, Fantastic Qualidade de Imagem")</f>
        <v>Fácil de usar, Fantastic Qualidade de Imagem</v>
      </c>
      <c r="B52418" s="3">
        <v>1</v>
      </c>
    </row>
    <row r="52419" ht="15.75" customHeight="1" spans="1:2">
      <c r="A52419" s="3" t="str">
        <f>IFERROR(__xludf.DUMMYFUNCTION("GOOGLETRANSLATE(A52419,""en"",""pt"")"),"Boa resolução, zoom 3x,")</f>
        <v>Boa resolução, zoom 3x,</v>
      </c>
      <c r="B52419" s="3">
        <v>1</v>
      </c>
    </row>
    <row r="52420" ht="15.75" customHeight="1" spans="1:2">
      <c r="A52420" s="3" t="str">
        <f>IFERROR(__xludf.DUMMYFUNCTION("GOOGLETRANSLATE(A52420,""en"",""pt"")"),"Grande resolução, super recurso macro, fácil de usar")</f>
        <v>Grande resolução, super recurso macro, fácil de usar</v>
      </c>
      <c r="B52420" s="3">
        <v>1</v>
      </c>
    </row>
    <row r="52421" ht="15.75" customHeight="1" spans="1:2">
      <c r="A52421" s="3" t="str">
        <f>IFERROR(__xludf.DUMMYFUNCTION("GOOGLETRANSLATE(A52421,""en"",""pt"")"),"pequeno tamanho, facilidade de uso. Toma excelentes fotos.")</f>
        <v>pequeno tamanho, facilidade de uso. Toma excelentes fotos.</v>
      </c>
      <c r="B52421" s="3">
        <v>1</v>
      </c>
    </row>
    <row r="52422" ht="15.75" customHeight="1" spans="1:2">
      <c r="A52422" s="3" t="str">
        <f>IFERROR(__xludf.DUMMYFUNCTION("GOOGLETRANSLATE(A52422,""en"",""pt"")"),"Barato, digi-câmera ideal para a primeira utilização, resultados agradáveis")</f>
        <v>Barato, digi-câmera ideal para a primeira utilização, resultados agradáveis</v>
      </c>
      <c r="B52422" s="3">
        <v>1</v>
      </c>
    </row>
    <row r="52423" ht="15.75" customHeight="1" spans="1:2">
      <c r="A52423" s="3" t="str">
        <f>IFERROR(__xludf.DUMMYFUNCTION("GOOGLETRANSLATE(A52423,""en"",""pt"")"),"Unexpensive, uso fácil, afiados diurnas fotos")</f>
        <v>Unexpensive, uso fácil, afiados diurnas fotos</v>
      </c>
      <c r="B52423" s="3">
        <v>1</v>
      </c>
    </row>
    <row r="52424" ht="15.75" customHeight="1" spans="1:2">
      <c r="A52424" s="3" t="str">
        <f>IFERROR(__xludf.DUMMYFUNCTION("GOOGLETRANSLATE(A52424,""en"",""pt"")"),"pequeno, simples, barato")</f>
        <v>pequeno, simples, barato</v>
      </c>
      <c r="B52424" s="3">
        <v>1</v>
      </c>
    </row>
    <row r="52425" ht="15.75" customHeight="1" spans="1:2">
      <c r="A52425" s="3" t="str">
        <f>IFERROR(__xludf.DUMMYFUNCTION("GOOGLETRANSLATE(A52425,""en"",""pt"")"),"Excelente qualidade de imagem - baixo preço!")</f>
        <v>Excelente qualidade de imagem - baixo preço!</v>
      </c>
      <c r="B52425" s="3">
        <v>1</v>
      </c>
    </row>
    <row r="52426" ht="15.75" customHeight="1" spans="1:2">
      <c r="A52426" s="3" t="str">
        <f>IFERROR(__xludf.DUMMYFUNCTION("GOOGLETRANSLATE(A52426,""en"",""pt"")"),"Tamanho, peso, simples de usar,")</f>
        <v>Tamanho, peso, simples de usar,</v>
      </c>
      <c r="B52426" s="3">
        <v>1</v>
      </c>
    </row>
    <row r="52427" ht="15.75" customHeight="1" spans="1:2">
      <c r="A52427" s="3" t="str">
        <f>IFERROR(__xludf.DUMMYFUNCTION("GOOGLETRANSLATE(A52427,""en"",""pt"")"),"Menor, barato, fácil de usar")</f>
        <v>Menor, barato, fácil de usar</v>
      </c>
      <c r="B52427" s="3">
        <v>1</v>
      </c>
    </row>
    <row r="52428" ht="15.75" customHeight="1" spans="1:2">
      <c r="A52428" s="3" t="str">
        <f>IFERROR(__xludf.DUMMYFUNCTION("GOOGLETRANSLATE(A52428,""en"",""pt"")"),"Extemely pequeno, levá-lo em todos os lugares,, imagens de boa qualidade barato (1024x768)")</f>
        <v>Extemely pequeno, levá-lo em todos os lugares,, imagens de boa qualidade barato (1024x768)</v>
      </c>
      <c r="B52428" s="3">
        <v>1</v>
      </c>
    </row>
    <row r="52429" ht="15.75" customHeight="1" spans="1:2">
      <c r="A52429" s="3" t="str">
        <f>IFERROR(__xludf.DUMMYFUNCTION("GOOGLETRANSLATE(A52429,""en"",""pt"")"),"Tamanho pequeno. Fácil de usar. Uso de cartões SmartMedia para armazenamento de fotos.")</f>
        <v>Tamanho pequeno. Fácil de usar. Uso de cartões SmartMedia para armazenamento de fotos.</v>
      </c>
      <c r="B52429" s="3">
        <v>1</v>
      </c>
    </row>
    <row r="52430" ht="15.75" customHeight="1" spans="1:2">
      <c r="A52430" s="3" t="str">
        <f>IFERROR(__xludf.DUMMYFUNCTION("GOOGLETRANSLATE(A52430,""en"",""pt"")"),"12ppm, USB, preço baixo, agradáveis ​​características do software.")</f>
        <v>12ppm, USB, preço baixo, agradáveis ​​características do software.</v>
      </c>
      <c r="B52430" s="3">
        <v>1</v>
      </c>
    </row>
    <row r="52431" ht="15.75" customHeight="1" spans="1:2">
      <c r="A52431" s="3" t="str">
        <f>IFERROR(__xludf.DUMMYFUNCTION("GOOGLETRANSLATE(A52431,""en"",""pt"")"),"Impressão Laser Acessível")</f>
        <v>Impressão Laser Acessível</v>
      </c>
      <c r="B52431" s="3">
        <v>1</v>
      </c>
    </row>
    <row r="52432" ht="15.75" customHeight="1" spans="1:2">
      <c r="A52432" s="3" t="str">
        <f>IFERROR(__xludf.DUMMYFUNCTION("GOOGLETRANSLATE(A52432,""en"",""pt"")"),"valor incrível, qualidade de impressão de texto preto.")</f>
        <v>valor incrível, qualidade de impressão de texto preto.</v>
      </c>
      <c r="B52432" s="3">
        <v>1</v>
      </c>
    </row>
    <row r="52433" ht="15.75" customHeight="1" spans="1:2">
      <c r="A52433" s="3" t="str">
        <f>IFERROR(__xludf.DUMMYFUNCTION("GOOGLETRANSLATE(A52433,""en"",""pt"")"),"Grande impressão a laser de baixo custo.")</f>
        <v>Grande impressão a laser de baixo custo.</v>
      </c>
      <c r="B52433" s="3">
        <v>1</v>
      </c>
    </row>
    <row r="52434" ht="15.75" customHeight="1" spans="1:2">
      <c r="A52434" s="3" t="str">
        <f>IFERROR(__xludf.DUMMYFUNCTION("GOOGLETRANSLATE(A52434,""en"",""pt"")"),"Rápido, memória de 8MB, Toner Saver e Energy Star, Baixo Nível de Ruído")</f>
        <v>Rápido, memória de 8MB, Toner Saver e Energy Star, Baixo Nível de Ruído</v>
      </c>
      <c r="B52434" s="3">
        <v>1</v>
      </c>
    </row>
    <row r="52435" ht="15.75" customHeight="1" spans="1:2">
      <c r="A52435" s="3" t="str">
        <f>IFERROR(__xludf.DUMMYFUNCTION("GOOGLETRANSLATE(A52435,""en"",""pt"")"),"Preço, confiabilidade, economia de toner recurso, grande obra")</f>
        <v>Preço, confiabilidade, economia de toner recurso, grande obra</v>
      </c>
      <c r="B52435" s="3">
        <v>1</v>
      </c>
    </row>
    <row r="52436" ht="15.75" customHeight="1" spans="1:2">
      <c r="A52436" s="3" t="str">
        <f>IFERROR(__xludf.DUMMYFUNCTION("GOOGLETRANSLATE(A52436,""en"",""pt"")"),"Grande qualidade de texto")</f>
        <v>Grande qualidade de texto</v>
      </c>
      <c r="B52436" s="3">
        <v>1</v>
      </c>
    </row>
    <row r="52437" ht="15.75" customHeight="1" spans="1:2">
      <c r="A52437" s="3" t="str">
        <f>IFERROR(__xludf.DUMMYFUNCTION("GOOGLETRANSLATE(A52437,""en"",""pt"")"),"Preço baixo, compatível com USB, tamanho pequeno, impressão rápida, de baixo ruído de espera")</f>
        <v>Preço baixo, compatível com USB, tamanho pequeno, impressão rápida, de baixo ruído de espera</v>
      </c>
      <c r="B52437" s="3">
        <v>1</v>
      </c>
    </row>
    <row r="52438" ht="15.75" customHeight="1" spans="1:2">
      <c r="A52438" s="3" t="str">
        <f>IFERROR(__xludf.DUMMYFUNCTION("GOOGLETRANSLATE(A52438,""en"",""pt"")"),"baixo preço, economia de toner, botão reimpressão tamanhoM compacto")</f>
        <v>baixo preço, economia de toner, botão reimpressão tamanhoM compacto</v>
      </c>
      <c r="B52438" s="3">
        <v>1</v>
      </c>
    </row>
    <row r="52439" ht="15.75" customHeight="1" spans="1:2">
      <c r="A52439" s="3" t="str">
        <f>IFERROR(__xludf.DUMMYFUNCTION("GOOGLETRANSLATE(A52439,""en"",""pt"")"),"Grande qualidade de impressão, impressão rápida (uma vez que ele obtém aquecido e vai)")</f>
        <v>Grande qualidade de impressão, impressão rápida (uma vez que ele obtém aquecido e vai)</v>
      </c>
      <c r="B52439" s="3">
        <v>1</v>
      </c>
    </row>
    <row r="52440" ht="15.75" customHeight="1" spans="1:2">
      <c r="A52440" s="3" t="str">
        <f>IFERROR(__xludf.DUMMYFUNCTION("GOOGLETRANSLATE(A52440,""en"",""pt"")"),"software / drivers sólidos; muito, muito rápido")</f>
        <v>software / drivers sólidos; muito, muito rápido</v>
      </c>
      <c r="B52440" s="3">
        <v>1</v>
      </c>
    </row>
    <row r="52441" ht="15.75" customHeight="1" spans="1:2">
      <c r="A52441" s="3" t="str">
        <f>IFERROR(__xludf.DUMMYFUNCTION("GOOGLETRANSLATE(A52441,""en"",""pt"")"),"Excelente impressão de texto, longlasting toner, sem papel atola nunca, pegada pequena, alimentador de envelopes separados")</f>
        <v>Excelente impressão de texto, longlasting toner, sem papel atola nunca, pegada pequena, alimentador de envelopes separados</v>
      </c>
      <c r="B52441" s="3">
        <v>1</v>
      </c>
    </row>
    <row r="52442" ht="15.75" customHeight="1" spans="1:2">
      <c r="A52442" s="3" t="str">
        <f>IFERROR(__xludf.DUMMYFUNCTION("GOOGLETRANSLATE(A52442,""en"",""pt"")"),"Rápido, Super impressão de alta qualidade, rocha sólida, barato.")</f>
        <v>Rápido, Super impressão de alta qualidade, rocha sólida, barato.</v>
      </c>
      <c r="B52442" s="3">
        <v>1</v>
      </c>
    </row>
    <row r="52443" ht="15.75" customHeight="1" spans="1:2">
      <c r="A52443" s="3" t="str">
        <f>IFERROR(__xludf.DUMMYFUNCTION("GOOGLETRANSLATE(A52443,""en"",""pt"")"),"barato, rápido, confiável, laser")</f>
        <v>barato, rápido, confiável, laser</v>
      </c>
      <c r="B52443" s="3">
        <v>1</v>
      </c>
    </row>
    <row r="52444" ht="15.75" customHeight="1" spans="1:2">
      <c r="A52444" s="3" t="str">
        <f>IFERROR(__xludf.DUMMYFUNCTION("GOOGLETRANSLATE(A52444,""en"",""pt"")"),"Acessível,, Compact ,, rápida ,, Médio Qualidade da impressão ,, recurso Toner Saver ,, USB / Paralela Interface,,")</f>
        <v>Acessível,, Compact ,, rápida ,, Médio Qualidade da impressão ,, recurso Toner Saver ,, USB / Paralela Interface,,</v>
      </c>
      <c r="B52444" s="3">
        <v>1</v>
      </c>
    </row>
    <row r="52445" ht="15.75" customHeight="1" spans="1:2">
      <c r="A52445" s="3" t="str">
        <f>IFERROR(__xludf.DUMMYFUNCTION("GOOGLETRANSLATE(A52445,""en"",""pt"")"),"compacto, rápido, silencioso, impressões de alta qualidade, envelope e papel alimentações separadas, custo muito bom / página")</f>
        <v>compacto, rápido, silencioso, impressões de alta qualidade, envelope e papel alimentações separadas, custo muito bom / página</v>
      </c>
      <c r="B52445" s="3">
        <v>1</v>
      </c>
    </row>
    <row r="52446" ht="15.75" customHeight="1" spans="1:2">
      <c r="A52446" s="3" t="str">
        <f>IFERROR(__xludf.DUMMYFUNCTION("GOOGLETRANSLATE(A52446,""en"",""pt"")"),"Custo. Confiável. OS 10.2 e Linux apoio. Fantástico!")</f>
        <v>Custo. Confiável. OS 10.2 e Linux apoio. Fantástico!</v>
      </c>
      <c r="B52446" s="3">
        <v>1</v>
      </c>
    </row>
    <row r="52447" ht="15.75" customHeight="1" spans="1:2">
      <c r="A52447" s="3" t="str">
        <f>IFERROR(__xludf.DUMMYFUNCTION("GOOGLETRANSLATE(A52447,""en"",""pt"")"),"Barato, utiliza toner barato, livre de problemas.")</f>
        <v>Barato, utiliza toner barato, livre de problemas.</v>
      </c>
      <c r="B52447" s="3">
        <v>1</v>
      </c>
    </row>
    <row r="52448" ht="15.75" customHeight="1" spans="1:2">
      <c r="A52448" s="3" t="str">
        <f>IFERROR(__xludf.DUMMYFUNCTION("GOOGLETRANSLATE(A52448,""en"",""pt"")"),"Fácil de usar. Boa resolução. Quieto. Rápido. Comparativamente barato.")</f>
        <v>Fácil de usar. Boa resolução. Quieto. Rápido. Comparativamente barato.</v>
      </c>
      <c r="B52448" s="3">
        <v>1</v>
      </c>
    </row>
    <row r="52449" ht="15.75" customHeight="1" spans="1:2">
      <c r="A52449" s="3" t="str">
        <f>IFERROR(__xludf.DUMMYFUNCTION("GOOGLETRANSLATE(A52449,""en"",""pt"")"),"Barato alegre e pequeno")</f>
        <v>Barato alegre e pequeno</v>
      </c>
      <c r="B52449" s="3">
        <v>1</v>
      </c>
    </row>
    <row r="52450" ht="15.75" customHeight="1" spans="1:2">
      <c r="A52450" s="3" t="str">
        <f>IFERROR(__xludf.DUMMYFUNCTION("GOOGLETRANSLATE(A52450,""en"",""pt"")"),"Acessibilidade. Confiabilidade. Fácil de usar.")</f>
        <v>Acessibilidade. Confiabilidade. Fácil de usar.</v>
      </c>
      <c r="B52450" s="3">
        <v>1</v>
      </c>
    </row>
    <row r="52451" ht="15.75" customHeight="1" spans="1:2">
      <c r="A52451" s="3" t="str">
        <f>IFERROR(__xludf.DUMMYFUNCTION("GOOGLETRANSLATE(A52451,""en"",""pt"")"),"Grande qualidade de impressão, ótimo preço, recurso de economia de toner")</f>
        <v>Grande qualidade de impressão, ótimo preço, recurso de economia de toner</v>
      </c>
      <c r="B52451" s="3">
        <v>1</v>
      </c>
    </row>
    <row r="52452" ht="15.75" customHeight="1" spans="1:2">
      <c r="A52452" s="3" t="str">
        <f>IFERROR(__xludf.DUMMYFUNCTION("GOOGLETRANSLATE(A52452,""en"",""pt"")"),"Preço")</f>
        <v>Preço</v>
      </c>
      <c r="B52452" s="3">
        <v>1</v>
      </c>
    </row>
    <row r="52453" ht="15.75" customHeight="1" spans="1:2">
      <c r="A52453" s="3" t="str">
        <f>IFERROR(__xludf.DUMMYFUNCTION("GOOGLETRANSLATE(A52453,""en"",""pt"")"),"cópia do pé samll, baixo preço inicial")</f>
        <v>cópia do pé samll, baixo preço inicial</v>
      </c>
      <c r="B52453" s="3">
        <v>1</v>
      </c>
    </row>
    <row r="52454" ht="15.75" customHeight="1" spans="1:2">
      <c r="A52454" s="3" t="str">
        <f>IFERROR(__xludf.DUMMYFUNCTION("GOOGLETRANSLATE(A52454,""en"",""pt"")"),"Barato, fácil de usar, muito bonita em forma")</f>
        <v>Barato, fácil de usar, muito bonita em forma</v>
      </c>
      <c r="B52454" s="3">
        <v>1</v>
      </c>
    </row>
    <row r="52455" ht="15.75" customHeight="1" spans="1:2">
      <c r="A52455" s="3" t="str">
        <f>IFERROR(__xludf.DUMMYFUNCTION("GOOGLETRANSLATE(A52455,""en"",""pt"")"),"barato, mas de boa qualidade, fácil de configurar, Quieto, 8Meg RAM, manuseamento de papel é suave.")</f>
        <v>barato, mas de boa qualidade, fácil de configurar, Quieto, 8Meg RAM, manuseamento de papel é suave.</v>
      </c>
      <c r="B52455" s="3">
        <v>1</v>
      </c>
    </row>
    <row r="52456" ht="15.75" customHeight="1" spans="1:2">
      <c r="A52456" s="3" t="str">
        <f>IFERROR(__xludf.DUMMYFUNCTION("GOOGLETRANSLATE(A52456,""en"",""pt"")"),"Alta qualidade, Drivers facilmente carregado, Característica Toner Saver")</f>
        <v>Alta qualidade, Drivers facilmente carregado, Característica Toner Saver</v>
      </c>
      <c r="B52456" s="3">
        <v>1</v>
      </c>
    </row>
    <row r="52457" ht="15.75" customHeight="1" spans="1:2">
      <c r="A52457" s="3" t="str">
        <f>IFERROR(__xludf.DUMMYFUNCTION("GOOGLETRANSLATE(A52457,""en"",""pt"")"),"Excelente qualidade de impressão. eficiência impressionante. No geral, excelente valor.")</f>
        <v>Excelente qualidade de impressão. eficiência impressionante. No geral, excelente valor.</v>
      </c>
      <c r="B52457" s="3">
        <v>1</v>
      </c>
    </row>
    <row r="52458" ht="15.75" customHeight="1" spans="1:2">
      <c r="A52458" s="3" t="str">
        <f>IFERROR(__xludf.DUMMYFUNCTION("GOOGLETRANSLATE(A52458,""en"",""pt"")"),"Great Value, Compact, estético, Fast, simples.")</f>
        <v>Great Value, Compact, estético, Fast, simples.</v>
      </c>
      <c r="B52458" s="3">
        <v>1</v>
      </c>
    </row>
    <row r="52459" ht="15.75" customHeight="1" spans="1:2">
      <c r="A52459" s="3" t="str">
        <f>IFERROR(__xludf.DUMMYFUNCTION("GOOGLETRANSLATE(A52459,""en"",""pt"")"),"Qualidade de impressão, Energy Star, Toner Saver, design robusto, simples, rápido, surpreendentemente bom Caminhos de papel")</f>
        <v>Qualidade de impressão, Energy Star, Toner Saver, design robusto, simples, rápido, surpreendentemente bom Caminhos de papel</v>
      </c>
      <c r="B52459" s="3">
        <v>1</v>
      </c>
    </row>
    <row r="52460" ht="15.75" customHeight="1" spans="1:2">
      <c r="A52460" s="3" t="str">
        <f>IFERROR(__xludf.DUMMYFUNCTION("GOOGLETRANSLATE(A52460,""en"",""pt"")"),"barato, boa qualidade de impressão, fácil configuração, também funciona com o Windows XP")</f>
        <v>barato, boa qualidade de impressão, fácil configuração, também funciona com o Windows XP</v>
      </c>
      <c r="B52460" s="3">
        <v>1</v>
      </c>
    </row>
    <row r="52461" ht="15.75" customHeight="1" spans="1:2">
      <c r="A52461" s="3" t="str">
        <f>IFERROR(__xludf.DUMMYFUNCTION("GOOGLETRANSLATE(A52461,""en"",""pt"")"),"Barato, bonito e rápido de imprimir e muito tranqüila")</f>
        <v>Barato, bonito e rápido de imprimir e muito tranqüila</v>
      </c>
      <c r="B52461" s="3">
        <v>1</v>
      </c>
    </row>
    <row r="52462" ht="15.75" customHeight="1" spans="1:2">
      <c r="A52462" s="3" t="str">
        <f>IFERROR(__xludf.DUMMYFUNCTION("GOOGLETRANSLATE(A52462,""en"",""pt"")"),"Rápido, uma vez aquecido, grande qualidade de texto, fácil de set-up através da rede")</f>
        <v>Rápido, uma vez aquecido, grande qualidade de texto, fácil de set-up através da rede</v>
      </c>
      <c r="B52462" s="3">
        <v>1</v>
      </c>
    </row>
    <row r="52463" ht="15.75" customHeight="1" spans="1:2">
      <c r="A52463" s="3" t="str">
        <f>IFERROR(__xludf.DUMMYFUNCTION("GOOGLETRANSLATE(A52463,""en"",""pt"")"),"* Rápido * baratos * Funciona com pegada Windows / Mac / Linux * Pequeno * Boa qualidade de impressão")</f>
        <v>* Rápido * baratos * Funciona com pegada Windows / Mac / Linux * Pequeno * Boa qualidade de impressão</v>
      </c>
      <c r="B52463" s="3">
        <v>1</v>
      </c>
    </row>
    <row r="52464" ht="15.75" customHeight="1" spans="1:2">
      <c r="A52464" s="3" t="str">
        <f>IFERROR(__xludf.DUMMYFUNCTION("GOOGLETRANSLATE(A52464,""en"",""pt"")"),"alternativa barata para o escritório em casa tanto em preço, bem como toner.")</f>
        <v>alternativa barata para o escritório em casa tanto em preço, bem como toner.</v>
      </c>
      <c r="B52464" s="3">
        <v>1</v>
      </c>
    </row>
    <row r="52465" ht="15.75" customHeight="1" spans="1:2">
      <c r="A52465" s="3" t="str">
        <f>IFERROR(__xludf.DUMMYFUNCTION("GOOGLETRANSLATE(A52465,""en"",""pt"")"),"Cheia de recursos da impressora para o preço.")</f>
        <v>Cheia de recursos da impressora para o preço.</v>
      </c>
      <c r="B52465" s="3">
        <v>1</v>
      </c>
    </row>
    <row r="52466" ht="15.75" customHeight="1" spans="1:2">
      <c r="A52466" s="3" t="str">
        <f>IFERROR(__xludf.DUMMYFUNCTION("GOOGLETRANSLATE(A52466,""en"",""pt"")"),"Grande qualidade de impressão; Preço razoável")</f>
        <v>Grande qualidade de impressão; Preço razoável</v>
      </c>
      <c r="B52466" s="3">
        <v>1</v>
      </c>
    </row>
    <row r="52467" ht="15.75" customHeight="1" spans="1:2">
      <c r="A52467" s="3" t="str">
        <f>IFERROR(__xludf.DUMMYFUNCTION("GOOGLETRANSLATE(A52467,""en"",""pt"")"),"impressora rápida. Fácil configuração. Confiável.")</f>
        <v>impressora rápida. Fácil configuração. Confiável.</v>
      </c>
      <c r="B52467" s="3">
        <v>1</v>
      </c>
    </row>
    <row r="52468" ht="15.75" customHeight="1" spans="1:2">
      <c r="A52468" s="3" t="str">
        <f>IFERROR(__xludf.DUMMYFUNCTION("GOOGLETRANSLATE(A52468,""en"",""pt"")"),"Impressora grande para o preço. Fácil configuração.")</f>
        <v>Impressora grande para o preço. Fácil configuração.</v>
      </c>
      <c r="B52468" s="3">
        <v>1</v>
      </c>
    </row>
    <row r="52469" ht="15.75" customHeight="1" spans="1:2">
      <c r="A52469" s="3" t="str">
        <f>IFERROR(__xludf.DUMMYFUNCTION("GOOGLETRANSLATE(A52469,""en"",""pt"")"),"Grande saída, econômico, qualidade de construção sólida, bom manuseamento de papel, fácil configuração")</f>
        <v>Grande saída, econômico, qualidade de construção sólida, bom manuseamento de papel, fácil configuração</v>
      </c>
      <c r="B52469" s="3">
        <v>1</v>
      </c>
    </row>
    <row r="52470" ht="15.75" customHeight="1" spans="1:2">
      <c r="A52470" s="3" t="str">
        <f>IFERROR(__xludf.DUMMYFUNCTION("GOOGLETRANSLATE(A52470,""en"",""pt"")"),"Silencioso, rápido, confiável, ótimo preço, expansão de memória fácil")</f>
        <v>Silencioso, rápido, confiável, ótimo preço, expansão de memória fácil</v>
      </c>
      <c r="B52470" s="3">
        <v>1</v>
      </c>
    </row>
    <row r="52471" ht="15.75" customHeight="1" spans="1:2">
      <c r="A52471" s="3" t="str">
        <f>IFERROR(__xludf.DUMMYFUNCTION("GOOGLETRANSLATE(A52471,""en"",""pt"")"),"Barato, 15ppm, Energia Iniciar Compliant, 12.000 páginas por mês")</f>
        <v>Barato, 15ppm, Energia Iniciar Compliant, 12.000 páginas por mês</v>
      </c>
      <c r="B52471" s="3">
        <v>1</v>
      </c>
    </row>
    <row r="52472" ht="15.75" customHeight="1" spans="1:2">
      <c r="A52472" s="3" t="str">
        <f>IFERROR(__xludf.DUMMYFUNCTION("GOOGLETRANSLATE(A52472,""en"",""pt"")"),"Barato, mas não falta de qualidade.")</f>
        <v>Barato, mas não falta de qualidade.</v>
      </c>
      <c r="B52472" s="3">
        <v>1</v>
      </c>
    </row>
    <row r="52473" ht="15.75" customHeight="1" spans="1:2">
      <c r="A52473" s="3" t="str">
        <f>IFERROR(__xludf.DUMMYFUNCTION("GOOGLETRANSLATE(A52473,""en"",""pt"")"),"Tranquilidade, enquanto no modo de espera, Economical toner")</f>
        <v>Tranquilidade, enquanto no modo de espera, Economical toner</v>
      </c>
      <c r="B52473" s="3">
        <v>1</v>
      </c>
    </row>
    <row r="52474" ht="15.75" customHeight="1" spans="1:2">
      <c r="A52474" s="3" t="str">
        <f>IFERROR(__xludf.DUMMYFUNCTION("GOOGLETRANSLATE(A52474,""en"",""pt"")"),"Confiável, econômico, com preços razoáveis")</f>
        <v>Confiável, econômico, com preços razoáveis</v>
      </c>
      <c r="B52474" s="3">
        <v>1</v>
      </c>
    </row>
    <row r="52475" ht="15.75" customHeight="1" spans="1:2">
      <c r="A52475" s="3" t="str">
        <f>IFERROR(__xludf.DUMMYFUNCTION("GOOGLETRANSLATE(A52475,""en"",""pt"")"),"rápido, parece bem construído")</f>
        <v>rápido, parece bem construído</v>
      </c>
      <c r="B52475" s="3">
        <v>1</v>
      </c>
    </row>
    <row r="52476" ht="15.75" customHeight="1" spans="1:2">
      <c r="A52476" s="3" t="str">
        <f>IFERROR(__xludf.DUMMYFUNCTION("GOOGLETRANSLATE(A52476,""en"",""pt"")"),"Baixo custo, excelente qualidade de impressão, apoio maravilhoso do cliente.")</f>
        <v>Baixo custo, excelente qualidade de impressão, apoio maravilhoso do cliente.</v>
      </c>
      <c r="B52476" s="3">
        <v>1</v>
      </c>
    </row>
    <row r="52477" ht="15.75" customHeight="1" spans="1:2">
      <c r="A52477" s="3" t="str">
        <f>IFERROR(__xludf.DUMMYFUNCTION("GOOGLETRANSLATE(A52477,""en"",""pt"")"),"Grande, impressora de grande qualidade")</f>
        <v>Grande, impressora de grande qualidade</v>
      </c>
      <c r="B52477" s="3">
        <v>1</v>
      </c>
    </row>
    <row r="52478" ht="15.75" customHeight="1" spans="1:2">
      <c r="A52478" s="3" t="str">
        <f>IFERROR(__xludf.DUMMYFUNCTION("GOOGLETRANSLATE(A52478,""en"",""pt"")"),"custo muito barato, excelente qualidade de impressão, carrinhos de toner são baratos")</f>
        <v>custo muito barato, excelente qualidade de impressão, carrinhos de toner são baratos</v>
      </c>
      <c r="B52478" s="3">
        <v>1</v>
      </c>
    </row>
    <row r="52479" ht="15.75" customHeight="1" spans="1:2">
      <c r="A52479" s="3" t="str">
        <f>IFERROR(__xludf.DUMMYFUNCTION("GOOGLETRANSLATE(A52479,""en"",""pt"")"),"Compacto, 600dpi, cabo paralelo incluído, grande valor.")</f>
        <v>Compacto, 600dpi, cabo paralelo incluído, grande valor.</v>
      </c>
      <c r="B52479" s="3">
        <v>1</v>
      </c>
    </row>
    <row r="52480" ht="15.75" customHeight="1" spans="1:2">
      <c r="A52480" s="3" t="str">
        <f>IFERROR(__xludf.DUMMYFUNCTION("GOOGLETRANSLATE(A52480,""en"",""pt"")"),"extremamente barato, impressora laser de alta performance")</f>
        <v>extremamente barato, impressora laser de alta performance</v>
      </c>
      <c r="B52480" s="3">
        <v>1</v>
      </c>
    </row>
    <row r="52481" ht="15.75" customHeight="1" spans="1:2">
      <c r="A52481" s="3" t="str">
        <f>IFERROR(__xludf.DUMMYFUNCTION("GOOGLETRANSLATE(A52481,""en"",""pt"")"),"Uma impressora a laser de alta qualidade por menos de $ 200 incluindo cabo paralelo.")</f>
        <v>Uma impressora a laser de alta qualidade por menos de $ 200 incluindo cabo paralelo.</v>
      </c>
      <c r="B52481" s="3">
        <v>1</v>
      </c>
    </row>
    <row r="52482" ht="15.75" customHeight="1" spans="1:2">
      <c r="A52482" s="3" t="str">
        <f>IFERROR(__xludf.DUMMYFUNCTION("GOOGLETRANSLATE(A52482,""en"",""pt"")"),"Um acordo heckuva para uma impressora a laser confiável, unbulky.")</f>
        <v>Um acordo heckuva para uma impressora a laser confiável, unbulky.</v>
      </c>
      <c r="B52482" s="3">
        <v>1</v>
      </c>
    </row>
    <row r="52483" ht="15.75" customHeight="1" spans="1:2">
      <c r="A52483" s="3" t="str">
        <f>IFERROR(__xludf.DUMMYFUNCTION("GOOGLETRANSLATE(A52483,""en"",""pt"")"),"Muito barato, de boa qualidade, cartucho de longa duração")</f>
        <v>Muito barato, de boa qualidade, cartucho de longa duração</v>
      </c>
      <c r="B52483" s="3">
        <v>1</v>
      </c>
    </row>
    <row r="52484" ht="15.75" customHeight="1" spans="1:2">
      <c r="A52484" s="3" t="str">
        <f>IFERROR(__xludf.DUMMYFUNCTION("GOOGLETRANSLATE(A52484,""en"",""pt"")"),"Qualquer problema.")</f>
        <v>Qualquer problema.</v>
      </c>
      <c r="B52484" s="3">
        <v>1</v>
      </c>
    </row>
    <row r="52485" ht="15.75" customHeight="1" spans="1:2">
      <c r="A52485" s="3" t="str">
        <f>IFERROR(__xludf.DUMMYFUNCTION("GOOGLETRANSLATE(A52485,""en"",""pt"")"),"Preço, facilidade de uso, recuperação flash rápido, fácil navegação e bateria de longa duração.")</f>
        <v>Preço, facilidade de uso, recuperação flash rápido, fácil navegação e bateria de longa duração.</v>
      </c>
      <c r="B52485" s="3">
        <v>1</v>
      </c>
    </row>
    <row r="52486" ht="15.75" customHeight="1" spans="1:2">
      <c r="A52486" s="3" t="str">
        <f>IFERROR(__xludf.DUMMYFUNCTION("GOOGLETRANSLATE(A52486,""en"",""pt"")"),"Melhor valor para o dinheiro")</f>
        <v>Melhor valor para o dinheiro</v>
      </c>
      <c r="B52486" s="3">
        <v>1</v>
      </c>
    </row>
    <row r="52487" ht="15.75" customHeight="1" spans="1:2">
      <c r="A52487" s="3" t="str">
        <f>IFERROR(__xludf.DUMMYFUNCTION("GOOGLETRANSLATE(A52487,""en"",""pt"")"),"Fácil de usar .... boa ISO380 lux.")</f>
        <v>Fácil de usar .... boa ISO380 lux.</v>
      </c>
      <c r="B52487" s="3">
        <v>1</v>
      </c>
    </row>
    <row r="52488" ht="15.75" customHeight="1" spans="1:2">
      <c r="A52488" s="3" t="str">
        <f>IFERROR(__xludf.DUMMYFUNCTION("GOOGLETRANSLATE(A52488,""en"",""pt"")"),"Modos de flash, boa exibição, USB, AA comum baterias (não-proprietários), qualidade de imagem aceitável.")</f>
        <v>Modos de flash, boa exibição, USB, AA comum baterias (não-proprietários), qualidade de imagem aceitável.</v>
      </c>
      <c r="B52488" s="3">
        <v>1</v>
      </c>
    </row>
    <row r="52489" ht="15.75" customHeight="1" spans="1:2">
      <c r="A52489" s="3" t="str">
        <f>IFERROR(__xludf.DUMMYFUNCTION("GOOGLETRANSLATE(A52489,""en"",""pt"")"),"Preço, funções")</f>
        <v>Preço, funções</v>
      </c>
      <c r="B52489" s="3">
        <v>1</v>
      </c>
    </row>
    <row r="52490" ht="15.75" customHeight="1" spans="1:2">
      <c r="A52490" s="3" t="str">
        <f>IFERROR(__xludf.DUMMYFUNCTION("GOOGLETRANSLATE(A52490,""en"",""pt"")"),"Ótimo preço, boas características para o dinheiro.")</f>
        <v>Ótimo preço, boas características para o dinheiro.</v>
      </c>
      <c r="B52490" s="3">
        <v>1</v>
      </c>
    </row>
    <row r="52491" ht="15.75" customHeight="1" spans="1:2">
      <c r="A52491" s="3" t="str">
        <f>IFERROR(__xludf.DUMMYFUNCTION("GOOGLETRANSLATE(A52491,""en"",""pt"")"),"Simples de usar, agradável apresenta para menos de US $ 100, upload USB")</f>
        <v>Simples de usar, agradável apresenta para menos de US $ 100, upload USB</v>
      </c>
      <c r="B52491" s="3">
        <v>1</v>
      </c>
    </row>
    <row r="52492" ht="15.75" customHeight="1" spans="1:2">
      <c r="A52492" s="3" t="str">
        <f>IFERROR(__xludf.DUMMYFUNCTION("GOOGLETRANSLATE(A52492,""en"",""pt"")"),"Fácil de usar, de baixo preço, fotos ao ar livre bom, tiros seqüência de ação, B &amp; amp; W fotos")</f>
        <v>Fácil de usar, de baixo preço, fotos ao ar livre bom, tiros seqüência de ação, B &amp; amp; W fotos</v>
      </c>
      <c r="B52492" s="3">
        <v>1</v>
      </c>
    </row>
    <row r="52493" ht="15.75" customHeight="1" spans="1:2">
      <c r="A52493" s="3" t="str">
        <f>IFERROR(__xludf.DUMMYFUNCTION("GOOGLETRANSLATE(A52493,""en"",""pt"")"),"Baixo preço para um mini arranque câmera")</f>
        <v>Baixo preço para um mini arranque câmera</v>
      </c>
      <c r="B52493" s="3">
        <v>1</v>
      </c>
    </row>
    <row r="52494" ht="15.75" customHeight="1" spans="1:2">
      <c r="A52494" s="3" t="str">
        <f>IFERROR(__xludf.DUMMYFUNCTION("GOOGLETRANSLATE(A52494,""en"",""pt"")"),"portabilidade imbatível, facilidade de uso")</f>
        <v>portabilidade imbatível, facilidade de uso</v>
      </c>
      <c r="B52494" s="3">
        <v>1</v>
      </c>
    </row>
    <row r="52495" ht="15.75" customHeight="1" spans="1:2">
      <c r="A52495" s="3" t="str">
        <f>IFERROR(__xludf.DUMMYFUNCTION("GOOGLETRANSLATE(A52495,""en"",""pt"")"),"&amp; Lt; B &amp; gt; Excelente qualidade de imagem para Pequenas Etiqueta de Preço, toneladas de recursos")</f>
        <v>&amp; Lt; B &amp; gt; Excelente qualidade de imagem para Pequenas Etiqueta de Preço, toneladas de recursos</v>
      </c>
      <c r="B52495" s="3">
        <v>1</v>
      </c>
    </row>
    <row r="52496" ht="15.75" customHeight="1" spans="1:2">
      <c r="A52496" s="3" t="str">
        <f>IFERROR(__xludf.DUMMYFUNCTION("GOOGLETRANSLATE(A52496,""en"",""pt"")"),"Fácil de usar, muitas fotos, ótimo para seus instantâneos!")</f>
        <v>Fácil de usar, muitas fotos, ótimo para seus instantâneos!</v>
      </c>
      <c r="B52496" s="3">
        <v>1</v>
      </c>
    </row>
    <row r="52497" ht="15.75" customHeight="1" spans="1:2">
      <c r="A52497" s="3" t="str">
        <f>IFERROR(__xludf.DUMMYFUNCTION("GOOGLETRANSLATE(A52497,""en"",""pt"")"),"Muito barato, Grande Software, excelente área de suporte no site")</f>
        <v>Muito barato, Grande Software, excelente área de suporte no site</v>
      </c>
      <c r="B52497" s="3">
        <v>1</v>
      </c>
    </row>
    <row r="52498" ht="15.75" customHeight="1" spans="1:2">
      <c r="A52498" s="3" t="str">
        <f>IFERROR(__xludf.DUMMYFUNCTION("GOOGLETRANSLATE(A52498,""en"",""pt"")"),"Muito minúsculo, barato, detém 100 Pictures")</f>
        <v>Muito minúsculo, barato, detém 100 Pictures</v>
      </c>
      <c r="B52498" s="3">
        <v>1</v>
      </c>
    </row>
    <row r="52499" ht="15.75" customHeight="1" spans="1:2">
      <c r="A52499" s="3" t="str">
        <f>IFERROR(__xludf.DUMMYFUNCTION("GOOGLETRANSLATE(A52499,""en"",""pt"")"),"Extremamente pequeno e leve")</f>
        <v>Extremamente pequeno e leve</v>
      </c>
      <c r="B52499" s="3">
        <v>1</v>
      </c>
    </row>
    <row r="52500" ht="15.75" customHeight="1" spans="1:2">
      <c r="A52500" s="3" t="str">
        <f>IFERROR(__xludf.DUMMYFUNCTION("GOOGLETRANSLATE(A52500,""en"",""pt"")"),"Portabilidade, facilidade de uso / download para o computador, barato")</f>
        <v>Portabilidade, facilidade de uso / download para o computador, barato</v>
      </c>
      <c r="B52500" s="3">
        <v>1</v>
      </c>
    </row>
    <row r="52501" ht="15.75" customHeight="1" spans="1:2">
      <c r="A52501" s="3" t="str">
        <f>IFERROR(__xludf.DUMMYFUNCTION("GOOGLETRANSLATE(A52501,""en"",""pt"")"),"Tamanho, preço, facilidade de uso, função web cam")</f>
        <v>Tamanho, preço, facilidade de uso, função web cam</v>
      </c>
      <c r="B52501" s="3">
        <v>1</v>
      </c>
    </row>
    <row r="52502" ht="15.75" customHeight="1" spans="1:2">
      <c r="A52502" s="3" t="str">
        <f>IFERROR(__xludf.DUMMYFUNCTION("GOOGLETRANSLATE(A52502,""en"",""pt"")"),"Tamanho. É sobre isso.")</f>
        <v>Tamanho. É sobre isso.</v>
      </c>
      <c r="B52502" s="3">
        <v>1</v>
      </c>
    </row>
    <row r="52503" ht="15.75" customHeight="1" spans="1:2">
      <c r="A52503" s="3" t="str">
        <f>IFERROR(__xludf.DUMMYFUNCTION("GOOGLETRANSLATE(A52503,""en"",""pt"")"),"Barato! Pequeno em tamanho!")</f>
        <v>Barato! Pequeno em tamanho!</v>
      </c>
      <c r="B52503" s="3">
        <v>1</v>
      </c>
    </row>
    <row r="52504" ht="15.75" customHeight="1" spans="1:2">
      <c r="A52504" s="3" t="str">
        <f>IFERROR(__xludf.DUMMYFUNCTION("GOOGLETRANSLATE(A52504,""en"",""pt"")"),"NENHUM")</f>
        <v>NENHUM</v>
      </c>
      <c r="B52504" s="3">
        <v>1</v>
      </c>
    </row>
    <row r="52505" ht="15.75" customHeight="1" spans="1:2">
      <c r="A52505" s="3" t="str">
        <f>IFERROR(__xludf.DUMMYFUNCTION("GOOGLETRANSLATE(A52505,""en"",""pt"")"),"pode ser usado como uma webcam")</f>
        <v>pode ser usado como uma webcam</v>
      </c>
      <c r="B52505" s="3">
        <v>1</v>
      </c>
    </row>
    <row r="52506" ht="15.75" customHeight="1" spans="1:2">
      <c r="A52506" s="3" t="str">
        <f>IFERROR(__xludf.DUMMYFUNCTION("GOOGLETRANSLATE(A52506,""en"",""pt"")"),"Tire mais de 100 fotos e fácil de transportar.")</f>
        <v>Tire mais de 100 fotos e fácil de transportar.</v>
      </c>
      <c r="B52506" s="3">
        <v>1</v>
      </c>
    </row>
    <row r="52507" ht="15.75" customHeight="1" spans="1:2">
      <c r="A52507" s="3" t="str">
        <f>IFERROR(__xludf.DUMMYFUNCTION("GOOGLETRANSLATE(A52507,""en"",""pt"")"),"custo.")</f>
        <v>custo.</v>
      </c>
      <c r="B52507" s="3">
        <v>1</v>
      </c>
    </row>
    <row r="52508" ht="15.75" customHeight="1" spans="1:2">
      <c r="A52508" s="3" t="str">
        <f>IFERROR(__xludf.DUMMYFUNCTION("GOOGLETRANSLATE(A52508,""en"",""pt"")"),"preço, tamanho, uso como webcam em")</f>
        <v>preço, tamanho, uso como webcam em</v>
      </c>
      <c r="B52508" s="3">
        <v>1</v>
      </c>
    </row>
    <row r="52509" ht="15.75" customHeight="1" spans="1:2">
      <c r="A52509" s="3" t="str">
        <f>IFERROR(__xludf.DUMMYFUNCTION("GOOGLETRANSLATE(A52509,""en"",""pt"")"),"câmera digital, webcam, A.V.I. capacidade em 1 pacote pequeno!")</f>
        <v>câmera digital, webcam, A.V.I. capacidade em 1 pacote pequeno!</v>
      </c>
      <c r="B52509" s="3">
        <v>1</v>
      </c>
    </row>
    <row r="52510" ht="15.75" customHeight="1" spans="1:2">
      <c r="A52510" s="3" t="str">
        <f>IFERROR(__xludf.DUMMYFUNCTION("GOOGLETRANSLATE(A52510,""en"",""pt"")"),"3-em-1 Camera, tamanho grande preço !, Pequeno, 8 MB de memória")</f>
        <v>3-em-1 Camera, tamanho grande preço !, Pequeno, 8 MB de memória</v>
      </c>
      <c r="B52510" s="3">
        <v>1</v>
      </c>
    </row>
    <row r="52511" ht="15.75" customHeight="1" spans="1:2">
      <c r="A52511" s="3" t="str">
        <f>IFERROR(__xludf.DUMMYFUNCTION("GOOGLETRANSLATE(A52511,""en"",""pt"")"),"Tamanho.")</f>
        <v>Tamanho.</v>
      </c>
      <c r="B52511" s="3">
        <v>1</v>
      </c>
    </row>
    <row r="52512" ht="15.75" customHeight="1" spans="1:2">
      <c r="A52512" s="3" t="str">
        <f>IFERROR(__xludf.DUMMYFUNCTION("GOOGLETRANSLATE(A52512,""en"",""pt"")"),"O tamanho pequeno, fácil de guardar no seu bolso")</f>
        <v>O tamanho pequeno, fácil de guardar no seu bolso</v>
      </c>
      <c r="B52512" s="3">
        <v>1</v>
      </c>
    </row>
    <row r="52513" ht="15.75" customHeight="1" spans="1:2">
      <c r="A52513" s="3" t="str">
        <f>IFERROR(__xludf.DUMMYFUNCTION("GOOGLETRANSLATE(A52513,""en"",""pt"")"),"Boa aparência")</f>
        <v>Boa aparência</v>
      </c>
      <c r="B52513" s="3">
        <v>1</v>
      </c>
    </row>
    <row r="52514" ht="15.75" customHeight="1" spans="1:2">
      <c r="A52514" s="3" t="str">
        <f>IFERROR(__xludf.DUMMYFUNCTION("GOOGLETRANSLATE(A52514,""en"",""pt"")"),"É pouco ...")</f>
        <v>É pouco ...</v>
      </c>
      <c r="B52514" s="3">
        <v>1</v>
      </c>
    </row>
    <row r="52515" ht="15.75" customHeight="1" spans="1:2">
      <c r="A52515" s="3" t="str">
        <f>IFERROR(__xludf.DUMMYFUNCTION("GOOGLETRANSLATE(A52515,""en"",""pt"")"),"Substancial. Perfeito entry-level ""Pro-sumer"" do tipo SLR câmera digital.")</f>
        <v>Substancial. Perfeito entry-level "Pro-sumer" do tipo SLR câmera digital.</v>
      </c>
      <c r="B52515" s="3">
        <v>1</v>
      </c>
    </row>
    <row r="52516" ht="15.75" customHeight="1" spans="1:2">
      <c r="A52516" s="3" t="str">
        <f>IFERROR(__xludf.DUMMYFUNCTION("GOOGLETRANSLATE(A52516,""en"",""pt"")"),"Lida como uma 35mm, &amp; amp; # 13; &amp; amp; # 10; Controle flexibilidade / layout, &amp; amp; # 13; &amp; amp; # 10; Histograma &amp; amp; # 13; &amp; amp; # 10; baterias recarregáveis, &amp; amp; # 13; &amp; amp; # 10; Memory Stick / cartão flexibilidade &amp; amp; # 13; &amp; amp; # 10;")</f>
        <v>Lida como uma 35mm, &amp; amp; # 13; &amp; amp; # 10; Controle flexibilidade / layout, &amp; amp; # 13; &amp; amp; # 10; Histograma &amp; amp; # 13; &amp; amp; # 10; baterias recarregáveis, &amp; amp; # 13; &amp; amp; # 10; Memory Stick / cartão flexibilidade &amp; amp; # 13; &amp; amp; # 10;</v>
      </c>
      <c r="B52516" s="3">
        <v>1</v>
      </c>
    </row>
    <row r="52517" ht="15.75" customHeight="1" spans="1:2">
      <c r="A52517" s="3" t="str">
        <f>IFERROR(__xludf.DUMMYFUNCTION("GOOGLETRANSLATE(A52517,""en"",""pt"")"),"Tudo que você precisa em uma caixa.")</f>
        <v>Tudo que você precisa em uma caixa.</v>
      </c>
      <c r="B52517" s="3">
        <v>1</v>
      </c>
    </row>
    <row r="52518" ht="15.75" customHeight="1" spans="1:2">
      <c r="A52518" s="3" t="str">
        <f>IFERROR(__xludf.DUMMYFUNCTION("GOOGLETRANSLATE(A52518,""en"",""pt"")"),"Tudo que você precisa em uma caixa.")</f>
        <v>Tudo que você precisa em uma caixa.</v>
      </c>
      <c r="B52518" s="3">
        <v>1</v>
      </c>
    </row>
    <row r="52519" ht="15.75" customHeight="1" spans="1:2">
      <c r="A52519" s="3" t="str">
        <f>IFERROR(__xludf.DUMMYFUNCTION("GOOGLETRANSLATE(A52519,""en"",""pt"")"),"alças DSC-D770, como uma câmara de quadrado 2 1/4 ou um tamanho máximo de 35 mm.")</f>
        <v>alças DSC-D770, como uma câmara de quadrado 2 1/4 ou um tamanho máximo de 35 mm.</v>
      </c>
      <c r="B52519" s="3">
        <v>1</v>
      </c>
    </row>
    <row r="52520" ht="15.75" customHeight="1" spans="1:2">
      <c r="A52520" s="3" t="str">
        <f>IFERROR(__xludf.DUMMYFUNCTION("GOOGLETRANSLATE(A52520,""en"",""pt"")"),"Excelente qualidade de imagem, tela de LCD, Balanço de Branco")</f>
        <v>Excelente qualidade de imagem, tela de LCD, Balanço de Branco</v>
      </c>
      <c r="B52520" s="3">
        <v>1</v>
      </c>
    </row>
    <row r="52521" ht="15.75" customHeight="1" spans="1:2">
      <c r="A52521" s="3" t="str">
        <f>IFERROR(__xludf.DUMMYFUNCTION("GOOGLETRANSLATE(A52521,""en"",""pt"")"),"amplo controle")</f>
        <v>amplo controle</v>
      </c>
      <c r="B52521" s="3">
        <v>1</v>
      </c>
    </row>
    <row r="52522" ht="15.75" customHeight="1" spans="1:2">
      <c r="A52522" s="3" t="str">
        <f>IFERROR(__xludf.DUMMYFUNCTION("GOOGLETRANSLATE(A52522,""en"",""pt"")"),"Excelente qualidade de imagem, ampla gama de opções, fácil de usar.")</f>
        <v>Excelente qualidade de imagem, ampla gama de opções, fácil de usar.</v>
      </c>
      <c r="B52522" s="3">
        <v>1</v>
      </c>
    </row>
    <row r="52523" ht="15.75" customHeight="1" spans="1:2">
      <c r="A52523" s="3" t="str">
        <f>IFERROR(__xludf.DUMMYFUNCTION("GOOGLETRANSLATE(A52523,""en"",""pt"")")," Carl Zeiss Lens, portabilidade, versatilidade, opções criativas")</f>
        <v> Carl Zeiss Lens, portabilidade, versatilidade, opções criativas</v>
      </c>
      <c r="B52523" s="3">
        <v>1</v>
      </c>
    </row>
    <row r="52524" ht="15.75" customHeight="1" spans="1:2">
      <c r="A52524" s="3" t="str">
        <f>IFERROR(__xludf.DUMMYFUNCTION("GOOGLETRANSLATE(A52524,""en"",""pt"")"),"5X de zoom óptico. barril lente roscado. Fácil de usar geral.")</f>
        <v>5X de zoom óptico. barril lente roscado. Fácil de usar geral.</v>
      </c>
      <c r="B52524" s="3">
        <v>1</v>
      </c>
    </row>
    <row r="52525" ht="15.75" customHeight="1" spans="1:2">
      <c r="A52525" s="3" t="str">
        <f>IFERROR(__xludf.DUMMYFUNCTION("GOOGLETRANSLATE(A52525,""en"",""pt"")"),"Terrific imagens de alta qualidade")</f>
        <v>Terrific imagens de alta qualidade</v>
      </c>
      <c r="B52525" s="3">
        <v>1</v>
      </c>
    </row>
    <row r="52526" ht="15.75" customHeight="1" spans="1:2">
      <c r="A52526" s="3" t="str">
        <f>IFERROR(__xludf.DUMMYFUNCTION("GOOGLETRANSLATE(A52526,""en"",""pt"")"),"lente zoom bom, bom peso, modos de foto e filme, tela de LCD giratória")</f>
        <v>lente zoom bom, bom peso, modos de foto e filme, tela de LCD giratória</v>
      </c>
      <c r="B52526" s="3">
        <v>1</v>
      </c>
    </row>
    <row r="52527" ht="15.75" customHeight="1" spans="1:2">
      <c r="A52527" s="3" t="str">
        <f>IFERROR(__xludf.DUMMYFUNCTION("GOOGLETRANSLATE(A52527,""en"",""pt"")"),"Qualidade, estilo, funcionalidade e facilidade de uso")</f>
        <v>Qualidade, estilo, funcionalidade e facilidade de uso</v>
      </c>
      <c r="B52527" s="3">
        <v>1</v>
      </c>
    </row>
    <row r="52528" ht="15.75" customHeight="1" spans="1:2">
      <c r="A52528" s="3" t="str">
        <f>IFERROR(__xludf.DUMMYFUNCTION("GOOGLETRANSLATE(A52528,""en"",""pt"")"),"Excelente qualidade de imagem, excelente cor, energia da bateria ""contagem regressiva"" em minutos, operação intuitiva, fresco projeto")</f>
        <v>Excelente qualidade de imagem, excelente cor, energia da bateria "contagem regressiva" em minutos, operação intuitiva, fresco projeto</v>
      </c>
      <c r="B52528" s="3">
        <v>1</v>
      </c>
    </row>
    <row r="52529" ht="15.75" customHeight="1" spans="1:2">
      <c r="A52529" s="3" t="str">
        <f>IFERROR(__xludf.DUMMYFUNCTION("GOOGLETRANSLATE(A52529,""en"",""pt"")"),"High Performance, inúmeros recursos, facilidade de uso")</f>
        <v>High Performance, inúmeros recursos, facilidade de uso</v>
      </c>
      <c r="B52529" s="3">
        <v>1</v>
      </c>
    </row>
    <row r="52530" ht="15.75" customHeight="1" spans="1:2">
      <c r="A52530" s="3" t="str">
        <f>IFERROR(__xludf.DUMMYFUNCTION("GOOGLETRANSLATE(A52530,""en"",""pt"")"),"Leve, fácil de usar, muitas características")</f>
        <v>Leve, fácil de usar, muitas características</v>
      </c>
      <c r="B52530" s="3">
        <v>1</v>
      </c>
    </row>
    <row r="52531" ht="15.75" customHeight="1" spans="1:2">
      <c r="A52531" s="3" t="str">
        <f>IFERROR(__xludf.DUMMYFUNCTION("GOOGLETRANSLATE(A52531,""en"",""pt"")"),"interface do usuário, a qualidade de imagem")</f>
        <v>interface do usuário, a qualidade de imagem</v>
      </c>
      <c r="B52531" s="3">
        <v>1</v>
      </c>
    </row>
    <row r="52532" ht="15.75" customHeight="1" spans="1:2">
      <c r="A52532" s="3" t="str">
        <f>IFERROR(__xludf.DUMMYFUNCTION("GOOGLETRANSLATE(A52532,""en"",""pt"")"),"short qualidade de imagem nada de excelente, boa bateria, características puras")</f>
        <v>short qualidade de imagem nada de excelente, boa bateria, características puras</v>
      </c>
      <c r="B52532" s="3">
        <v>1</v>
      </c>
    </row>
    <row r="52533" ht="15.75" customHeight="1" spans="1:2">
      <c r="A52533" s="3" t="str">
        <f>IFERROR(__xludf.DUMMYFUNCTION("GOOGLETRANSLATE(A52533,""en"",""pt"")"),"incrível qualidade de imagem, Carl Zeiss com zoom de 5x óptico, resolução de 2.6 mega-pixel")</f>
        <v>incrível qualidade de imagem, Carl Zeiss com zoom de 5x óptico, resolução de 2.6 mega-pixel</v>
      </c>
      <c r="B52533" s="3">
        <v>1</v>
      </c>
    </row>
    <row r="52534" ht="15.75" customHeight="1" spans="1:2">
      <c r="A52534" s="3" t="str">
        <f>IFERROR(__xludf.DUMMYFUNCTION("GOOGLETRANSLATE(A52534,""en"",""pt"")"),"Tamanho, Features, Zoom Óptico")</f>
        <v>Tamanho, Features, Zoom Óptico</v>
      </c>
      <c r="B52534" s="3">
        <v>1</v>
      </c>
    </row>
    <row r="52535" ht="15.75" customHeight="1" spans="1:2">
      <c r="A52535" s="3" t="str">
        <f>IFERROR(__xludf.DUMMYFUNCTION("GOOGLETRANSLATE(A52535,""en"",""pt"")"),"Excelente qualidade de imagem, lente Carl Zeiss com zoom óptico de 5x e anel de foco manual")</f>
        <v>Excelente qualidade de imagem, lente Carl Zeiss com zoom óptico de 5x e anel de foco manual</v>
      </c>
      <c r="B52535" s="3">
        <v>1</v>
      </c>
    </row>
    <row r="52536" ht="15.75" customHeight="1" spans="1:2">
      <c r="A52536" s="3" t="str">
        <f>IFERROR(__xludf.DUMMYFUNCTION("GOOGLETRANSLATE(A52536,""en"",""pt"")"),"LENS BONITO! As imagens fotográficas de qualidade! Fácil de usar e bons programas incluídos! Vídeos sair ótimo!")</f>
        <v>LENS BONITO! As imagens fotográficas de qualidade! Fácil de usar e bons programas incluídos! Vídeos sair ótimo!</v>
      </c>
      <c r="B52536" s="3">
        <v>1</v>
      </c>
    </row>
    <row r="52537" ht="15.75" customHeight="1" spans="1:2">
      <c r="A52537" s="3" t="str">
        <f>IFERROR(__xludf.DUMMYFUNCTION("GOOGLETRANSLATE(A52537,""en"",""pt"")"),"Lens e belas fotos")</f>
        <v>Lens e belas fotos</v>
      </c>
      <c r="B52537" s="3">
        <v>1</v>
      </c>
    </row>
    <row r="52538" ht="15.75" customHeight="1" spans="1:2">
      <c r="A52538" s="3" t="str">
        <f>IFERROR(__xludf.DUMMYFUNCTION("GOOGLETRANSLATE(A52538,""en"",""pt"")"),"Lens, lente. e lente")</f>
        <v>Lens, lente. e lente</v>
      </c>
      <c r="B52538" s="3">
        <v>1</v>
      </c>
    </row>
    <row r="52539" ht="15.75" customHeight="1" spans="1:2">
      <c r="A52539" s="3" t="str">
        <f>IFERROR(__xludf.DUMMYFUNCTION("GOOGLETRANSLATE(A52539,""en"",""pt"")"),"Swivel view finder")</f>
        <v>Swivel view finder</v>
      </c>
      <c r="B52539" s="3">
        <v>1</v>
      </c>
    </row>
    <row r="52540" ht="15.75" customHeight="1" spans="1:2">
      <c r="A52540" s="3" t="str">
        <f>IFERROR(__xludf.DUMMYFUNCTION("GOOGLETRANSLATE(A52540,""en"",""pt"")"),"lentes Zeiss, tamanho e forma, CCD megapixel")</f>
        <v>lentes Zeiss, tamanho e forma, CCD megapixel</v>
      </c>
      <c r="B52540" s="3">
        <v>1</v>
      </c>
    </row>
    <row r="52541" ht="15.75" customHeight="1" spans="1:2">
      <c r="A52541" s="3" t="str">
        <f>IFERROR(__xludf.DUMMYFUNCTION("GOOGLETRANSLATE(A52541,""en"",""pt"")"),"lente, o modo de vídeo, design, qualidade de imagem")</f>
        <v>lente, o modo de vídeo, design, qualidade de imagem</v>
      </c>
      <c r="B52541" s="3">
        <v>1</v>
      </c>
    </row>
    <row r="52542" ht="15.75" customHeight="1" spans="1:2">
      <c r="A52542" s="3" t="str">
        <f>IFERROR(__xludf.DUMMYFUNCTION("GOOGLETRANSLATE(A52542,""en"",""pt"")"),"Grande até fotos em close")</f>
        <v>Grande até fotos em close</v>
      </c>
      <c r="B52542" s="3">
        <v>1</v>
      </c>
    </row>
    <row r="52543" ht="15.75" customHeight="1" spans="1:2">
      <c r="A52543" s="3" t="str">
        <f>IFERROR(__xludf.DUMMYFUNCTION("GOOGLETRANSLATE(A52543,""en"",""pt"")"),"Lens, totalmente automático, fantástico Fotos")</f>
        <v>Lens, totalmente automático, fantástico Fotos</v>
      </c>
      <c r="B52543" s="3">
        <v>1</v>
      </c>
    </row>
    <row r="52544" ht="15.75" customHeight="1" spans="1:2">
      <c r="A52544" s="3" t="str">
        <f>IFERROR(__xludf.DUMMYFUNCTION("GOOGLETRANSLATE(A52544,""en"",""pt"")"),"tudo")</f>
        <v>tudo</v>
      </c>
      <c r="B52544" s="3">
        <v>1</v>
      </c>
    </row>
    <row r="52545" ht="15.75" customHeight="1" spans="1:2">
      <c r="A52545" s="3" t="str">
        <f>IFERROR(__xludf.DUMMYFUNCTION("GOOGLETRANSLATE(A52545,""en"",""pt"")"),"Excelentes Optics, adaptador AC incluído, fácil de usar")</f>
        <v>Excelentes Optics, adaptador AC incluído, fácil de usar</v>
      </c>
      <c r="B52545" s="3">
        <v>1</v>
      </c>
    </row>
    <row r="52546" ht="15.75" customHeight="1" spans="1:2">
      <c r="A52546" s="3" t="str">
        <f>IFERROR(__xludf.DUMMYFUNCTION("GOOGLETRANSLATE(A52546,""en"",""pt"")"),"Foco automático e manual, super clara imagens, tempos de ciclo rápido, excelente redução de olhos vermelhos.")</f>
        <v>Foco automático e manual, super clara imagens, tempos de ciclo rápido, excelente redução de olhos vermelhos.</v>
      </c>
      <c r="B52546" s="3">
        <v>1</v>
      </c>
    </row>
    <row r="52547" ht="15.75" customHeight="1" spans="1:2">
      <c r="A52547" s="3" t="str">
        <f>IFERROR(__xludf.DUMMYFUNCTION("GOOGLETRANSLATE(A52547,""en"",""pt"")"),"Leve, fácil, Carl Zeiss, qualidade de imagem e design.")</f>
        <v>Leve, fácil, Carl Zeiss, qualidade de imagem e design.</v>
      </c>
      <c r="B52547" s="3">
        <v>1</v>
      </c>
    </row>
    <row r="52548" ht="15.75" customHeight="1" spans="1:2">
      <c r="A52548" s="3" t="str">
        <f>IFERROR(__xludf.DUMMYFUNCTION("GOOGLETRANSLATE(A52548,""en"",""pt"")"),"design ergonômico, fácil para amadores, toneladas de recursos")</f>
        <v>design ergonômico, fácil para amadores, toneladas de recursos</v>
      </c>
      <c r="B52548" s="3">
        <v>1</v>
      </c>
    </row>
    <row r="52549" ht="15.75" customHeight="1" spans="1:2">
      <c r="A52549" s="3" t="str">
        <f>IFERROR(__xludf.DUMMYFUNCTION("GOOGLETRANSLATE(A52549,""en"",""pt"")"),"Design único. Alta qualidade de imagem. vara da memória expansível.")</f>
        <v>Design único. Alta qualidade de imagem. vara da memória expansível.</v>
      </c>
      <c r="B52549" s="3">
        <v>1</v>
      </c>
    </row>
    <row r="52550" ht="15.75" customHeight="1" spans="1:2">
      <c r="A52550" s="3" t="str">
        <f>IFERROR(__xludf.DUMMYFUNCTION("GOOGLETRANSLATE(A52550,""en"",""pt"")"),"Grande resposta de cor à luz do dia. Excelente qualidade da lente e fator de zoom.")</f>
        <v>Grande resposta de cor à luz do dia. Excelente qualidade da lente e fator de zoom.</v>
      </c>
      <c r="B52550" s="3">
        <v>1</v>
      </c>
    </row>
    <row r="52551" ht="15.75" customHeight="1" spans="1:2">
      <c r="A52551" s="3" t="str">
        <f>IFERROR(__xludf.DUMMYFUNCTION("GOOGLETRANSLATE(A52551,""en"",""pt"")"),"Ótima câmera all-around digital de vista legal, foco macro, divertido!")</f>
        <v>Ótima câmera all-around digital de vista legal, foco macro, divertido!</v>
      </c>
      <c r="B52551" s="3">
        <v>1</v>
      </c>
    </row>
    <row r="52552" ht="15.75" customHeight="1" spans="1:2">
      <c r="A52552" s="3" t="str">
        <f>IFERROR(__xludf.DUMMYFUNCTION("GOOGLETRANSLATE(A52552,""en"",""pt"")"),"Photo Imaging qualidade, lente, características, a vida da bateria, facilidade")</f>
        <v>Photo Imaging qualidade, lente, características, a vida da bateria, facilidade</v>
      </c>
      <c r="B52552" s="3">
        <v>1</v>
      </c>
    </row>
    <row r="52553" ht="15.75" customHeight="1" spans="1:2">
      <c r="A52553" s="3" t="str">
        <f>IFERROR(__xludf.DUMMYFUNCTION("GOOGLETRANSLATE(A52553,""en"",""pt"")"),"Melhor da Raça (câmera digital + 15 seg MPEGs), Quick para ""preciosos momentos da vida""")</f>
        <v>Melhor da Raça (câmera digital + 15 seg MPEGs), Quick para "preciosos momentos da vida"</v>
      </c>
      <c r="B52553" s="3">
        <v>1</v>
      </c>
    </row>
    <row r="52554" ht="15.75" customHeight="1" spans="1:2">
      <c r="A52554" s="3" t="str">
        <f>IFERROR(__xludf.DUMMYFUNCTION("GOOGLETRANSLATE(A52554,""en"",""pt"")"),"Pequenos, Nice qualidade")</f>
        <v>Pequenos, Nice qualidade</v>
      </c>
      <c r="B52554" s="3">
        <v>1</v>
      </c>
    </row>
    <row r="52555" ht="15.75" customHeight="1" spans="1:2">
      <c r="A52555" s="3" t="str">
        <f>IFERROR(__xludf.DUMMYFUNCTION("GOOGLETRANSLATE(A52555,""en"",""pt"")"),"Leve, 2Mpixel, cabeça rotativa")</f>
        <v>Leve, 2Mpixel, cabeça rotativa</v>
      </c>
      <c r="B52555" s="3">
        <v>1</v>
      </c>
    </row>
    <row r="52556" ht="15.75" customHeight="1" spans="1:2">
      <c r="A52556" s="3" t="str">
        <f>IFERROR(__xludf.DUMMYFUNCTION("GOOGLETRANSLATE(A52556,""en"",""pt"")"),"alta resolução, excelentes características, tamanho compacto")</f>
        <v>alta resolução, excelentes características, tamanho compacto</v>
      </c>
      <c r="B52556" s="3">
        <v>1</v>
      </c>
    </row>
    <row r="52557" ht="15.75" customHeight="1" spans="1:2">
      <c r="A52557" s="3" t="str">
        <f>IFERROR(__xludf.DUMMYFUNCTION("GOOGLETRANSLATE(A52557,""en"",""pt"")"),"fotos otima qualidade")</f>
        <v>fotos otima qualidade</v>
      </c>
      <c r="B52557" s="3">
        <v>1</v>
      </c>
    </row>
    <row r="52558" ht="15.75" customHeight="1" spans="1:2">
      <c r="A52558" s="3" t="str">
        <f>IFERROR(__xludf.DUMMYFUNCTION("GOOGLETRANSLATE(A52558,""en"",""pt"")"),"Grandes pics, portátil. mpeg, lente giratória")</f>
        <v>Grandes pics, portátil. mpeg, lente giratória</v>
      </c>
      <c r="B52558" s="3">
        <v>1</v>
      </c>
    </row>
    <row r="52559" ht="15.75" customHeight="1" spans="1:2">
      <c r="A52559" s="3" t="str">
        <f>IFERROR(__xludf.DUMMYFUNCTION("GOOGLETRANSLATE(A52559,""en"",""pt"")"),"MPEG e imagens JPEG; Pequeno, leve")</f>
        <v>MPEG e imagens JPEG; Pequeno, leve</v>
      </c>
      <c r="B52559" s="3">
        <v>1</v>
      </c>
    </row>
    <row r="52560" ht="15.75" customHeight="1" spans="1:2">
      <c r="A52560" s="3" t="str">
        <f>IFERROR(__xludf.DUMMYFUNCTION("GOOGLETRANSLATE(A52560,""en"",""pt"")"),"tamanho pequeno, grande conjunto de recursos, memory sticks")</f>
        <v>tamanho pequeno, grande conjunto de recursos, memory sticks</v>
      </c>
      <c r="B52560" s="3">
        <v>1</v>
      </c>
    </row>
    <row r="52561" ht="15.75" customHeight="1" spans="1:2">
      <c r="A52561" s="3" t="str">
        <f>IFERROR(__xludf.DUMMYFUNCTION("GOOGLETRANSLATE(A52561,""en"",""pt"")"),"mpeg filme opiton w / vídeo, 2,8x zoom, câmera pouco de diversão")</f>
        <v>mpeg filme opiton w / vídeo, 2,8x zoom, câmera pouco de diversão</v>
      </c>
      <c r="B52561" s="3">
        <v>1</v>
      </c>
    </row>
    <row r="52562" ht="15.75" customHeight="1" spans="1:2">
      <c r="A52562" s="3" t="str">
        <f>IFERROR(__xludf.DUMMYFUNCTION("GOOGLETRANSLATE(A52562,""en"",""pt"")"),"pequena, de alta resolução, fácil de transferência")</f>
        <v>pequena, de alta resolução, fácil de transferência</v>
      </c>
      <c r="B52562" s="3">
        <v>1</v>
      </c>
    </row>
    <row r="52563" ht="15.75" customHeight="1" spans="1:2">
      <c r="A52563" s="3" t="str">
        <f>IFERROR(__xludf.DUMMYFUNCTION("GOOGLETRANSLATE(A52563,""en"",""pt"")"),"Fácil de usar, excelente qualidade de imagem")</f>
        <v>Fácil de usar, excelente qualidade de imagem</v>
      </c>
      <c r="B52563" s="3">
        <v>1</v>
      </c>
    </row>
    <row r="52564" ht="15.75" customHeight="1" spans="1:2">
      <c r="A52564" s="3" t="s">
        <v>271</v>
      </c>
      <c r="B52564" s="3">
        <v>1</v>
      </c>
    </row>
    <row r="52565" ht="15.75" customHeight="1" spans="1:2">
      <c r="A52565" s="3" t="str">
        <f>IFERROR(__xludf.DUMMYFUNCTION("GOOGLETRANSLATE(A52565,""en"",""pt"")"),"pequeno, fácil de usar")</f>
        <v>pequeno, fácil de usar</v>
      </c>
      <c r="B52565" s="3">
        <v>1</v>
      </c>
    </row>
    <row r="52566" ht="15.75" customHeight="1" spans="1:2">
      <c r="A52566" s="3" t="str">
        <f>IFERROR(__xludf.DUMMYFUNCTION("GOOGLETRANSLATE(A52566,""en"",""pt"")"),"grande e clara tela de LCD, muito compacto, leva filmes MPEG, fácil de usar")</f>
        <v>grande e clara tela de LCD, muito compacto, leva filmes MPEG, fácil de usar</v>
      </c>
      <c r="B52566" s="3">
        <v>1</v>
      </c>
    </row>
    <row r="52567" ht="15.75" customHeight="1" spans="1:2">
      <c r="A52567" s="3" t="str">
        <f>IFERROR(__xludf.DUMMYFUNCTION("GOOGLETRANSLATE(A52567,""en"",""pt"")"),"Imagens de excelente qualidade e tamanho pequeno.")</f>
        <v>Imagens de excelente qualidade e tamanho pequeno.</v>
      </c>
      <c r="B52567" s="3">
        <v>1</v>
      </c>
    </row>
    <row r="52568" ht="15.75" customHeight="1" spans="1:2">
      <c r="A52568" s="3" t="str">
        <f>IFERROR(__xludf.DUMMYFUNCTION("GOOGLETRANSLATE(A52568,""en"",""pt"")"),"divertido de usar")</f>
        <v>divertido de usar</v>
      </c>
      <c r="B52568" s="3">
        <v>1</v>
      </c>
    </row>
    <row r="52569" ht="15.75" customHeight="1" spans="1:2">
      <c r="A52569" s="3" t="str">
        <f>IFERROR(__xludf.DUMMYFUNCTION("GOOGLETRANSLATE(A52569,""en"",""pt"")"),"Ótimas fotos")</f>
        <v>Ótimas fotos</v>
      </c>
      <c r="B52569" s="3">
        <v>1</v>
      </c>
    </row>
    <row r="52570" ht="15.75" customHeight="1" spans="1:2">
      <c r="A52570" s="3" t="str">
        <f>IFERROR(__xludf.DUMMYFUNCTION("GOOGLETRANSLATE(A52570,""en"",""pt"")"),"pequeno, robusto, excelente qualidade de imagem, lente boa, muito flexível")</f>
        <v>pequeno, robusto, excelente qualidade de imagem, lente boa, muito flexível</v>
      </c>
      <c r="B52570" s="3">
        <v>1</v>
      </c>
    </row>
    <row r="52571" ht="15.75" customHeight="1" spans="1:2">
      <c r="A52571" s="3" t="str">
        <f>IFERROR(__xludf.DUMMYFUNCTION("GOOGLETRANSLATE(A52571,""en"",""pt"")"),"características surpreendentes, resistentes e duráveis")</f>
        <v>características surpreendentes, resistentes e duráveis</v>
      </c>
      <c r="B52571" s="3">
        <v>1</v>
      </c>
    </row>
    <row r="52572" ht="15.75" customHeight="1" spans="1:2">
      <c r="A52572" s="3" t="str">
        <f>IFERROR(__xludf.DUMMYFUNCTION("GOOGLETRANSLATE(A52572,""en"",""pt"")"),"pequeno tamanho, facilidade de uso")</f>
        <v>pequeno tamanho, facilidade de uso</v>
      </c>
      <c r="B52572" s="3">
        <v>1</v>
      </c>
    </row>
    <row r="52573" ht="15.75" customHeight="1" spans="1:2">
      <c r="A52573" s="3" t="str">
        <f>IFERROR(__xludf.DUMMYFUNCTION("GOOGLETRANSLATE(A52573,""en"",""pt"")"),"Compactar; ótimas fotos.")</f>
        <v>Compactar; ótimas fotos.</v>
      </c>
      <c r="B52573" s="3">
        <v>1</v>
      </c>
    </row>
    <row r="52574" ht="15.75" customHeight="1" spans="1:2">
      <c r="A52574" s="3" t="str">
        <f>IFERROR(__xludf.DUMMYFUNCTION("GOOGLETRANSLATE(A52574,""en"",""pt"")"),"Alta resolução, modo macro, formato de filme MPEG, lente giratória")</f>
        <v>Alta resolução, modo macro, formato de filme MPEG, lente giratória</v>
      </c>
      <c r="B52574" s="3">
        <v>1</v>
      </c>
    </row>
    <row r="52575" ht="15.75" customHeight="1" spans="1:2">
      <c r="A52575" s="3" t="str">
        <f>IFERROR(__xludf.DUMMYFUNCTION("GOOGLETRANSLATE(A52575,""en"",""pt"")"),"Qualidade da imagem, Tamanho, Media, multi Modos (MPEG Vídeo, ainda disparou, e-mail, etc.), Acessórios (leitor de cartão de memória, memory stick da impressora)")</f>
        <v>Qualidade da imagem, Tamanho, Media, multi Modos (MPEG Vídeo, ainda disparou, e-mail, etc.), Acessórios (leitor de cartão de memória, memory stick da impressora)</v>
      </c>
      <c r="B52575" s="3">
        <v>1</v>
      </c>
    </row>
    <row r="52576" ht="15.75" customHeight="1" spans="1:2">
      <c r="A52576" s="3" t="str">
        <f>IFERROR(__xludf.DUMMYFUNCTION("GOOGLETRANSLATE(A52576,""en"",""pt"")"),"2.1 megapixels, Filme e capacidade de E-mail, links para AV reta / Sound.")</f>
        <v>2.1 megapixels, Filme e capacidade de E-mail, links para AV reta / Sound.</v>
      </c>
      <c r="B52576" s="3">
        <v>1</v>
      </c>
    </row>
    <row r="52577" ht="15.75" customHeight="1" spans="1:2">
      <c r="A52577" s="3" t="str">
        <f>IFERROR(__xludf.DUMMYFUNCTION("GOOGLETRANSLATE(A52577,""en"",""pt"")"),"Qualidade das imagens, Qualidade &amp; amp; amp; Sinta-se da câmera")</f>
        <v>Qualidade das imagens, Qualidade &amp; amp; amp; Sinta-se da câmera</v>
      </c>
      <c r="B52577" s="3">
        <v>1</v>
      </c>
    </row>
    <row r="52578" ht="15.75" customHeight="1" spans="1:2">
      <c r="A52578" s="3" t="str">
        <f>IFERROR(__xludf.DUMMYFUNCTION("GOOGLETRANSLATE(A52578,""en"",""pt"")"),"Levando muitas fotos sem medo. Imagens de grande qualidade e filmes")</f>
        <v>Levando muitas fotos sem medo. Imagens de grande qualidade e filmes</v>
      </c>
      <c r="B52578" s="3">
        <v>1</v>
      </c>
    </row>
    <row r="52579" ht="15.75" customHeight="1" spans="1:2">
      <c r="A52579" s="3" t="str">
        <f>IFERROR(__xludf.DUMMYFUNCTION("GOOGLETRANSLATE(A52579,""en"",""pt"")"),"Lens rápido! liberação rápida do obturador, boas capacidades de macro")</f>
        <v>Lens rápido! liberação rápida do obturador, boas capacidades de macro</v>
      </c>
      <c r="B52579" s="3">
        <v>1</v>
      </c>
    </row>
    <row r="52580" ht="15.75" customHeight="1" spans="1:2">
      <c r="A52580" s="3" t="str">
        <f>IFERROR(__xludf.DUMMYFUNCTION("GOOGLETRANSLATE(A52580,""en"",""pt"")"),"Boa medição, de alta qualidade, afiado e muito rápido 5x lente zoom ótico")</f>
        <v>Boa medição, de alta qualidade, afiado e muito rápido 5x lente zoom ótico</v>
      </c>
      <c r="B52580" s="3">
        <v>1</v>
      </c>
    </row>
    <row r="52581" ht="15.75" customHeight="1" spans="1:2">
      <c r="A52581" s="3" t="str">
        <f>IFERROR(__xludf.DUMMYFUNCTION("GOOGLETRANSLATE(A52581,""en"",""pt"")"),"zoom de 5X, recursos abundantes, cores vivas")</f>
        <v>zoom de 5X, recursos abundantes, cores vivas</v>
      </c>
      <c r="B52581" s="3">
        <v>1</v>
      </c>
    </row>
    <row r="52582" ht="15.75" customHeight="1" spans="1:2">
      <c r="A52582" s="3" t="str">
        <f>IFERROR(__xludf.DUMMYFUNCTION("GOOGLETRANSLATE(A52582,""en"",""pt"")"),"Alta resolução, Recursos legais, mais Foto Controle")</f>
        <v>Alta resolução, Recursos legais, mais Foto Controle</v>
      </c>
      <c r="B52582" s="3">
        <v>1</v>
      </c>
    </row>
    <row r="52583" ht="15.75" customHeight="1" spans="1:2">
      <c r="A52583" s="3" t="str">
        <f>IFERROR(__xludf.DUMMYFUNCTION("GOOGLETRANSLATE(A52583,""en"",""pt"")"),"Fácil de manusear, grande funstionality, grande resolução")</f>
        <v>Fácil de manusear, grande funstionality, grande resolução</v>
      </c>
      <c r="B52583" s="3">
        <v>1</v>
      </c>
    </row>
    <row r="52584" ht="15.75" customHeight="1" spans="1:2">
      <c r="A52584" s="3" t="str">
        <f>IFERROR(__xludf.DUMMYFUNCTION("GOOGLETRANSLATE(A52584,""en"",""pt"")"),"Megapixels, modo de vídeo, opção de infravermelho, demasiadas para enumerar!")</f>
        <v>Megapixels, modo de vídeo, opção de infravermelho, demasiadas para enumerar!</v>
      </c>
      <c r="B52584" s="3">
        <v>1</v>
      </c>
    </row>
    <row r="52585" ht="15.75" customHeight="1" spans="1:2">
      <c r="A52585" s="3" t="str">
        <f>IFERROR(__xludf.DUMMYFUNCTION("GOOGLETRANSLATE(A52585,""en"",""pt"")"),"Muitos recursos, muitas opções, parte de conversação!")</f>
        <v>Muitos recursos, muitas opções, parte de conversação!</v>
      </c>
      <c r="B52585" s="3">
        <v>1</v>
      </c>
    </row>
    <row r="52586" ht="15.75" customHeight="1" spans="1:2">
      <c r="A52586" s="3" t="str">
        <f>IFERROR(__xludf.DUMMYFUNCTION("GOOGLETRANSLATE(A52586,""en"",""pt"")"),"Rápido lente Carl Zeiss.")</f>
        <v>Rápido lente Carl Zeiss.</v>
      </c>
      <c r="B52586" s="3">
        <v>1</v>
      </c>
    </row>
    <row r="52587" ht="15.75" customHeight="1" spans="1:2">
      <c r="A52587" s="3" t="str">
        <f>IFERROR(__xludf.DUMMYFUNCTION("GOOGLETRANSLATE(A52587,""en"",""pt"")"),"Duas palavras: Memory Stick! Além disso, boa bateria, incrível qualidade de imagem.")</f>
        <v>Duas palavras: Memory Stick! Além disso, boa bateria, incrível qualidade de imagem.</v>
      </c>
      <c r="B52587" s="3">
        <v>1</v>
      </c>
    </row>
    <row r="52588" ht="15.75" customHeight="1" spans="1:2">
      <c r="A52588" s="3" t="str">
        <f>IFERROR(__xludf.DUMMYFUNCTION("GOOGLETRANSLATE(A52588,""en"",""pt"")"),"5 Megapixels, fotos de IR na escuridão total !, JPG + MPG vídeo!")</f>
        <v>5 Megapixels, fotos de IR na escuridão total !, JPG + MPG vídeo!</v>
      </c>
      <c r="B52588" s="3">
        <v>1</v>
      </c>
    </row>
    <row r="52589" ht="15.75" customHeight="1" spans="1:2">
      <c r="A52589" s="3" t="str">
        <f>IFERROR(__xludf.DUMMYFUNCTION("GOOGLETRANSLATE(A52589,""en"",""pt"")"),"5 Megapixels. 3 tiro explodiu. Controle manual. Melhor câmera digital Pro-sumer. Bom desempenho da bateria.")</f>
        <v>5 Megapixels. 3 tiro explodiu. Controle manual. Melhor câmera digital Pro-sumer. Bom desempenho da bateria.</v>
      </c>
      <c r="B52589" s="3">
        <v>1</v>
      </c>
    </row>
    <row r="52590" ht="15.75" customHeight="1" spans="1:2">
      <c r="A52590" s="3" t="str">
        <f>IFERROR(__xludf.DUMMYFUNCTION("GOOGLETRANSLATE(A52590,""en"",""pt"")"),"Impressionante fotos, facilidade de uso e características maravilhosas.")</f>
        <v>Impressionante fotos, facilidade de uso e características maravilhosas.</v>
      </c>
      <c r="B52590" s="3">
        <v>1</v>
      </c>
    </row>
    <row r="52591" ht="15.75" customHeight="1" spans="1:2">
      <c r="A52591" s="3" t="str">
        <f>IFERROR(__xludf.DUMMYFUNCTION("GOOGLETRANSLATE(A52591,""en"",""pt"")"),"Excelente qualidade de imagem e um monte de opções. Ajuste rápido de características como velocidade do obturador.")</f>
        <v>Excelente qualidade de imagem e um monte de opções. Ajuste rápido de características como velocidade do obturador.</v>
      </c>
      <c r="B52591" s="3">
        <v>1</v>
      </c>
    </row>
    <row r="52592" ht="15.75" customHeight="1" spans="1:2">
      <c r="A52592" s="3" t="str">
        <f>IFERROR(__xludf.DUMMYFUNCTION("GOOGLETRANSLATE(A52592,""en"",""pt"")"),"bateria de longa duração, 5.0 megapixels, autofoco, características nightframe")</f>
        <v>bateria de longa duração, 5.0 megapixels, autofoco, características nightframe</v>
      </c>
      <c r="B52592" s="3">
        <v>1</v>
      </c>
    </row>
    <row r="52593" ht="15.75" customHeight="1" spans="1:2">
      <c r="A52593" s="3" t="str">
        <f>IFERROR(__xludf.DUMMYFUNCTION("GOOGLETRANSLATE(A52593,""en"",""pt"")"),"qualidade de imagem, características, vida útil da bateria, o uso de Sony peças ""padrão"" - MemoryStick, bateria, etc.")</f>
        <v>qualidade de imagem, características, vida útil da bateria, o uso de Sony peças "padrão" - MemoryStick, bateria, etc.</v>
      </c>
      <c r="B52593" s="3">
        <v>1</v>
      </c>
    </row>
    <row r="52594" ht="15.75" customHeight="1" spans="1:2">
      <c r="A52594" s="3" t="str">
        <f>IFERROR(__xludf.DUMMYFUNCTION("GOOGLETRANSLATE(A52594,""en"",""pt"")"),"Melhores lentes, muita bateria, o uso fácil, &amp; amp; # 13; &amp; amp; # 10;. Bom para o preço &amp; amp; # 13; &amp; amp; # 10;")</f>
        <v>Melhores lentes, muita bateria, o uso fácil, &amp; amp; # 13; &amp; amp; # 10;. Bom para o preço &amp; amp; # 13; &amp; amp; # 10;</v>
      </c>
      <c r="B52594" s="3">
        <v>1</v>
      </c>
    </row>
    <row r="52595" ht="15.75" customHeight="1" spans="1:2">
      <c r="A52595" s="3" t="str">
        <f>IFERROR(__xludf.DUMMYFUNCTION("GOOGLETRANSLATE(A52595,""en"",""pt"")"),"Excelentes imagens, grande autonomia da bateria, rápido Lens, start-up / ciclo / vezes o atraso do obturador, noite de baixa capacidade de luz e preço.")</f>
        <v>Excelentes imagens, grande autonomia da bateria, rápido Lens, start-up / ciclo / vezes o atraso do obturador, noite de baixa capacidade de luz e preço.</v>
      </c>
      <c r="B52595" s="3">
        <v>1</v>
      </c>
    </row>
    <row r="52596" ht="15.75" customHeight="1" spans="1:2">
      <c r="A52596" s="3" t="str">
        <f>IFERROR(__xludf.DUMMYFUNCTION("GOOGLETRANSLATE(A52596,""en"",""pt"")"),"lente incrível de Carl Ziess! 5 megapixels trabalhar com! Um zoom de 5x!")</f>
        <v>lente incrível de Carl Ziess! 5 megapixels trabalhar com! Um zoom de 5x!</v>
      </c>
      <c r="B52596" s="3">
        <v>1</v>
      </c>
    </row>
    <row r="52597" ht="15.75" customHeight="1" spans="1:2">
      <c r="A52597" s="3" t="str">
        <f>IFERROR(__xludf.DUMMYFUNCTION("GOOGLETRANSLATE(A52597,""en"",""pt"")"),"Grandes imagens, boa bateria, preço &amp; amp; # 13; &amp; amp; # 10;")</f>
        <v>Grandes imagens, boa bateria, preço &amp; amp; # 13; &amp; amp; # 10;</v>
      </c>
      <c r="B52597" s="3">
        <v>1</v>
      </c>
    </row>
    <row r="52598" ht="15.75" customHeight="1" spans="1:2">
      <c r="A52598" s="3" t="str">
        <f>IFERROR(__xludf.DUMMYFUNCTION("GOOGLETRANSLATE(A52598,""en"",""pt"")"),"Tem grandes figuras, Tira fotos RÁPIDO, a vida da bateria incrível, e tem uma grande lente!")</f>
        <v>Tem grandes figuras, Tira fotos RÁPIDO, a vida da bateria incrível, e tem uma grande lente!</v>
      </c>
      <c r="B52598" s="3">
        <v>1</v>
      </c>
    </row>
    <row r="52599" ht="15.75" customHeight="1" spans="1:2">
      <c r="A52599" s="3" t="str">
        <f>IFERROR(__xludf.DUMMYFUNCTION("GOOGLETRANSLATE(A52599,""en"",""pt"")"),"lente rápida, o tempo de inicialização rápida.")</f>
        <v>lente rápida, o tempo de inicialização rápida.</v>
      </c>
      <c r="B52599" s="3">
        <v>1</v>
      </c>
    </row>
    <row r="52600" ht="15.75" customHeight="1" spans="1:2">
      <c r="A52600" s="3" t="str">
        <f>IFERROR(__xludf.DUMMYFUNCTION("GOOGLETRANSLATE(A52600,""en"",""pt"")"),"UM BOM BOM câmera portátil está bem na frente de seus OLHO")</f>
        <v>UM BOM BOM câmera portátil está bem na frente de seus OLHO</v>
      </c>
      <c r="B52600" s="3">
        <v>1</v>
      </c>
    </row>
    <row r="52601" ht="15.75" customHeight="1" spans="1:2">
      <c r="A52601" s="3" t="str">
        <f>IFERROR(__xludf.DUMMYFUNCTION("GOOGLETRANSLATE(A52601,""en"",""pt"")"),"boas fotos leva")</f>
        <v>boas fotos leva</v>
      </c>
      <c r="B52601" s="3">
        <v>1</v>
      </c>
    </row>
    <row r="52602" ht="15.75" customHeight="1" spans="1:2">
      <c r="A52602" s="3" t="str">
        <f>IFERROR(__xludf.DUMMYFUNCTION("GOOGLETRANSLATE(A52602,""en"",""pt"")"),"Ótimas fotos! Grande autonomia da bateria.")</f>
        <v>Ótimas fotos! Grande autonomia da bateria.</v>
      </c>
      <c r="B52602" s="3">
        <v>1</v>
      </c>
    </row>
    <row r="52603" ht="15.75" customHeight="1" spans="1:2">
      <c r="A52603" s="3" t="str">
        <f>IFERROR(__xludf.DUMMYFUNCTION("GOOGLETRANSLATE(A52603,""en"",""pt"")"),"Crisp, imagens detalhadas. Agradável 5x Lens Optical. Comparativamente a preços acessíveis.")</f>
        <v>Crisp, imagens detalhadas. Agradável 5x Lens Optical. Comparativamente a preços acessíveis.</v>
      </c>
      <c r="B52603" s="3">
        <v>1</v>
      </c>
    </row>
    <row r="52604" ht="15.75" customHeight="1" spans="1:2">
      <c r="A52604" s="3" t="str">
        <f>IFERROR(__xludf.DUMMYFUNCTION("GOOGLETRANSLATE(A52604,""en"",""pt"")"),"Grandes imagens, lente, características, melhor (por enquanto)")</f>
        <v>Grandes imagens, lente, características, melhor (por enquanto)</v>
      </c>
      <c r="B52604" s="3">
        <v>1</v>
      </c>
    </row>
    <row r="52605" ht="15.75" customHeight="1" spans="1:2">
      <c r="A52605" s="3" t="str">
        <f>IFERROR(__xludf.DUMMYFUNCTION("GOOGLETRANSLATE(A52605,""en"",""pt"")"),"5 mega pixles, Features, Zoom, Estilo, Marca, tela, baterias.")</f>
        <v>5 mega pixles, Features, Zoom, Estilo, Marca, tela, baterias.</v>
      </c>
      <c r="B52605" s="3">
        <v>1</v>
      </c>
    </row>
    <row r="52606" ht="15.75" customHeight="1" spans="1:2">
      <c r="A52606" s="3" t="str">
        <f>IFERROR(__xludf.DUMMYFUNCTION("GOOGLETRANSLATE(A52606,""en"",""pt"")"),"Grande SLR como desempenho e qualidade, sem todo aquele filme")</f>
        <v>Grande SLR como desempenho e qualidade, sem todo aquele filme</v>
      </c>
      <c r="B52606" s="3">
        <v>1</v>
      </c>
    </row>
    <row r="52607" ht="15.75" customHeight="1" spans="1:2">
      <c r="A52607" s="3" t="str">
        <f>IFERROR(__xludf.DUMMYFUNCTION("GOOGLETRANSLATE(A52607,""en"",""pt"")"),"Qualidade profissional, mais recursos do que você jamais poderia desejar, excelente qualidade de fotos")</f>
        <v>Qualidade profissional, mais recursos do que você jamais poderia desejar, excelente qualidade de fotos</v>
      </c>
      <c r="B52607" s="3">
        <v>1</v>
      </c>
    </row>
    <row r="52608" ht="15.75" customHeight="1" spans="1:2">
      <c r="A52608" s="3" t="str">
        <f>IFERROR(__xludf.DUMMYFUNCTION("GOOGLETRANSLATE(A52608,""en"",""pt"")"),"Incrível Picture ""qualidade"".")</f>
        <v>Incrível Picture "qualidade".</v>
      </c>
      <c r="B52608" s="3">
        <v>1</v>
      </c>
    </row>
    <row r="52609" ht="15.75" customHeight="1" spans="1:2">
      <c r="A52609" s="3" t="str">
        <f>IFERROR(__xludf.DUMMYFUNCTION("GOOGLETRANSLATE(A52609,""en"",""pt"")"),"Imagens de qualidade, muitos recursos,")</f>
        <v>Imagens de qualidade, muitos recursos,</v>
      </c>
      <c r="B52609" s="3">
        <v>1</v>
      </c>
    </row>
    <row r="52610" ht="15.75" customHeight="1" spans="1:2">
      <c r="A52610" s="3" t="str">
        <f>IFERROR(__xludf.DUMMYFUNCTION("GOOGLETRANSLATE(A52610,""en"",""pt"")"),"Lens, qualidade de construção, muitos recursos e belas fotos")</f>
        <v>Lens, qualidade de construção, muitos recursos e belas fotos</v>
      </c>
      <c r="B52610" s="3">
        <v>1</v>
      </c>
    </row>
    <row r="52611" ht="15.75" customHeight="1" spans="1:2">
      <c r="A52611" s="3" t="str">
        <f>IFERROR(__xludf.DUMMYFUNCTION("GOOGLETRANSLATE(A52611,""en"",""pt"")"),"5 Megapixel, Full Auto, Full Manual")</f>
        <v>5 Megapixel, Full Auto, Full Manual</v>
      </c>
      <c r="B52611" s="3">
        <v>1</v>
      </c>
    </row>
    <row r="52612" ht="15.75" customHeight="1" spans="1:2">
      <c r="A52612" s="3" t="str">
        <f>IFERROR(__xludf.DUMMYFUNCTION("GOOGLETRANSLATE(A52612,""en"",""pt"")"),"Lens, imagem da qualidade, valor para o dinheiro!")</f>
        <v>Lens, imagem da qualidade, valor para o dinheiro!</v>
      </c>
      <c r="B52612" s="3">
        <v>1</v>
      </c>
    </row>
    <row r="52613" ht="15.75" customHeight="1" spans="1:2">
      <c r="A52613" s="3" t="str">
        <f>IFERROR(__xludf.DUMMYFUNCTION("GOOGLETRANSLATE(A52613,""en"",""pt"")"),"Incrível qualidade de imagem. Foto noturna! Pode ser totalmente manual.")</f>
        <v>Incrível qualidade de imagem. Foto noturna! Pode ser totalmente manual.</v>
      </c>
      <c r="B52613" s="3">
        <v>1</v>
      </c>
    </row>
    <row r="52614" ht="15.75" customHeight="1" spans="1:2">
      <c r="A52614" s="3" t="str">
        <f>IFERROR(__xludf.DUMMYFUNCTION("GOOGLETRANSLATE(A52614,""en"",""pt"")"),"Fotos de boa qualidade. Boa duração da bateria por carga. 5X de zoom óptico.")</f>
        <v>Fotos de boa qualidade. Boa duração da bateria por carga. 5X de zoom óptico.</v>
      </c>
      <c r="B52614" s="3">
        <v>1</v>
      </c>
    </row>
    <row r="52615" ht="15.75" customHeight="1" spans="1:2">
      <c r="A52615" s="3" t="str">
        <f>IFERROR(__xludf.DUMMYFUNCTION("GOOGLETRANSLATE(A52615,""en"",""pt"")"),"Magnífica qualidade de imagem, lente grande, faixa de zoom, duração da bateria, o baixo desempenho luz.")</f>
        <v>Magnífica qualidade de imagem, lente grande, faixa de zoom, duração da bateria, o baixo desempenho luz.</v>
      </c>
      <c r="B52615" s="3">
        <v>1</v>
      </c>
    </row>
    <row r="52616" ht="15.75" customHeight="1" spans="1:2">
      <c r="A52616" s="3" t="str">
        <f>IFERROR(__xludf.DUMMYFUNCTION("GOOGLETRANSLATE(A52616,""en"",""pt"")"),"Ótimo produto! fotos incríveis! Muito feliz com minha compra.")</f>
        <v>Ótimo produto! fotos incríveis! Muito feliz com minha compra.</v>
      </c>
      <c r="B52616" s="3">
        <v>1</v>
      </c>
    </row>
    <row r="52617" ht="15.75" customHeight="1" spans="1:2">
      <c r="A52617" s="3" t="str">
        <f>IFERROR(__xludf.DUMMYFUNCTION("GOOGLETRANSLATE(A52617,""en"",""pt"")"),"você se envolver mais com o processo de imagem fazendo")</f>
        <v>você se envolver mais com o processo de imagem fazendo</v>
      </c>
      <c r="B52617" s="3">
        <v>1</v>
      </c>
    </row>
    <row r="52618" ht="15.75" customHeight="1" spans="1:2">
      <c r="A52618" s="3" t="str">
        <f>IFERROR(__xludf.DUMMYFUNCTION("GOOGLETRANSLATE(A52618,""en"",""pt"")"),"Imagem, simples")</f>
        <v>Imagem, simples</v>
      </c>
      <c r="B52618" s="3">
        <v>1</v>
      </c>
    </row>
    <row r="52619" ht="15.75" customHeight="1" spans="1:2">
      <c r="A52619" s="3" t="str">
        <f>IFERROR(__xludf.DUMMYFUNCTION("GOOGLETRANSLATE(A52619,""en"",""pt"")"),"Bem construído, fácil de manusear, e tira ótimas fotos.")</f>
        <v>Bem construído, fácil de manusear, e tira ótimas fotos.</v>
      </c>
      <c r="B52619" s="3">
        <v>1</v>
      </c>
    </row>
    <row r="52620" ht="15.75" customHeight="1" spans="1:2">
      <c r="A52620" s="3" t="str">
        <f>IFERROR(__xludf.DUMMYFUNCTION("GOOGLETRANSLATE(A52620,""en"",""pt"")"),"quantidade razoável de pixels a um bom preço. Muitos extras.")</f>
        <v>quantidade razoável de pixels a um bom preço. Muitos extras.</v>
      </c>
      <c r="B52620" s="3">
        <v>1</v>
      </c>
    </row>
    <row r="52621" ht="15.75" customHeight="1" spans="1:2">
      <c r="A52621" s="3" t="str">
        <f>IFERROR(__xludf.DUMMYFUNCTION("GOOGLETRANSLATE(A52621,""en"",""pt"")"),"Toma Grandes Fotos")</f>
        <v>Toma Grandes Fotos</v>
      </c>
      <c r="B52621" s="3">
        <v>1</v>
      </c>
    </row>
    <row r="52622" ht="15.75" customHeight="1" spans="1:2">
      <c r="A52622" s="3" t="str">
        <f>IFERROR(__xludf.DUMMYFUNCTION("GOOGLETRANSLATE(A52622,""en"",""pt"")"),"FOTOS fantástico, cargas de recursos, zoom 10x, visor")</f>
        <v>FOTOS fantástico, cargas de recursos, zoom 10x, visor</v>
      </c>
      <c r="B52622" s="3">
        <v>1</v>
      </c>
    </row>
    <row r="52623" ht="15.75" customHeight="1" spans="1:2">
      <c r="A52623" s="3" t="str">
        <f>IFERROR(__xludf.DUMMYFUNCTION("GOOGLETRANSLATE(A52623,""en"",""pt"")"),"Grande lente, Medidor de ponto, imagem noite, boa reprodução de cores, exceto de flash")</f>
        <v>Grande lente, Medidor de ponto, imagem noite, boa reprodução de cores, exceto de flash</v>
      </c>
      <c r="B52623" s="3">
        <v>1</v>
      </c>
    </row>
    <row r="52624" ht="15.75" customHeight="1" spans="1:2">
      <c r="A52624" s="3" t="str">
        <f>IFERROR(__xludf.DUMMYFUNCTION("GOOGLETRANSLATE(A52624,""en"",""pt"")"),"5,24 MP, Dual Screen LCD / Visor")</f>
        <v>5,24 MP, Dual Screen LCD / Visor</v>
      </c>
      <c r="B52624" s="3">
        <v>1</v>
      </c>
    </row>
    <row r="52625" ht="15.75" customHeight="1" spans="1:2">
      <c r="A52625" s="3" t="str">
        <f>IFERROR(__xludf.DUMMYFUNCTION("GOOGLETRANSLATE(A52625,""en"",""pt"")"),"ENORME resolução de 5 megapixels! Mais zoom do que a média, fácil de usar.")</f>
        <v>ENORME resolução de 5 megapixels! Mais zoom do que a média, fácil de usar.</v>
      </c>
      <c r="B52625" s="3">
        <v>1</v>
      </c>
    </row>
    <row r="52626" ht="15.75" customHeight="1" spans="1:2">
      <c r="A52626" s="3" t="str">
        <f>IFERROR(__xludf.DUMMYFUNCTION("GOOGLETRANSLATE(A52626,""en"",""pt"")"),"caixa de titânio, ótimas fotos no modo automático, bateria InfoLithium, 5 megapixel resolução")</f>
        <v>caixa de titânio, ótimas fotos no modo automático, bateria InfoLithium, 5 megapixel resolução</v>
      </c>
      <c r="B52626" s="3">
        <v>1</v>
      </c>
    </row>
    <row r="52627" ht="15.75" customHeight="1" spans="1:2">
      <c r="A52627" s="3" t="str">
        <f>IFERROR(__xludf.DUMMYFUNCTION("GOOGLETRANSLATE(A52627,""en"",""pt"")"),"Esta câmera é rápido, fácil de usar, e tem um zoom fantástico.")</f>
        <v>Esta câmera é rápido, fácil de usar, e tem um zoom fantástico.</v>
      </c>
      <c r="B52627" s="3">
        <v>1</v>
      </c>
    </row>
    <row r="52628" ht="15.75" customHeight="1" spans="1:2">
      <c r="A52628" s="3" t="str">
        <f>IFERROR(__xludf.DUMMYFUNCTION("GOOGLETRANSLATE(A52628,""en"",""pt"")"),"características profissionais, excelente qualidade, excelente vida útil da bateria")</f>
        <v>características profissionais, excelente qualidade, excelente vida útil da bateria</v>
      </c>
      <c r="B52628" s="3">
        <v>1</v>
      </c>
    </row>
    <row r="52629" ht="15.75" customHeight="1" spans="1:2">
      <c r="A52629" s="3" t="str">
        <f>IFERROR(__xludf.DUMMYFUNCTION("GOOGLETRANSLATE(A52629,""en"",""pt"")"),"Excelente qualidade de imagem ... as lentes Zeiss é incríveis &amp; amp; #! 3;")</f>
        <v>Excelente qualidade de imagem ... as lentes Zeiss é incríveis &amp; amp; #! 3;</v>
      </c>
      <c r="B52629" s="3">
        <v>1</v>
      </c>
    </row>
    <row r="52630" ht="15.75" customHeight="1" spans="1:2">
      <c r="A52630" s="3" t="str">
        <f>IFERROR(__xludf.DUMMYFUNCTION("GOOGLETRANSLATE(A52630,""en"",""pt"")"),"Bateria de Longa Duração, características de fácil utilização,")</f>
        <v>Bateria de Longa Duração, características de fácil utilização,</v>
      </c>
      <c r="B52630" s="3">
        <v>1</v>
      </c>
    </row>
    <row r="52631" ht="15.75" customHeight="1" spans="1:2">
      <c r="A52631" s="3" t="str">
        <f>IFERROR(__xludf.DUMMYFUNCTION("GOOGLETRANSLATE(A52631,""en"",""pt"")"),"Carl Zeiss Lens, muitos ""pro"" características, ótimo preço, enquadramento Noite / tiro nocturno, extremamente flexível,")</f>
        <v>Carl Zeiss Lens, muitos "pro" características, ótimo preço, enquadramento Noite / tiro nocturno, extremamente flexível,</v>
      </c>
      <c r="B52631" s="3">
        <v>1</v>
      </c>
    </row>
    <row r="52632" ht="15.75" customHeight="1" spans="1:2">
      <c r="A52632" s="3" t="str">
        <f>IFERROR(__xludf.DUMMYFUNCTION("GOOGLETRANSLATE(A52632,""en"",""pt"")"),"Lotes de ajustes manuais, lente 58 milímetros / filtros podem ser utilizados")</f>
        <v>Lotes de ajustes manuais, lente 58 milímetros / filtros podem ser utilizados</v>
      </c>
      <c r="B52632" s="3">
        <v>1</v>
      </c>
    </row>
    <row r="52633" ht="15.75" customHeight="1" spans="1:2">
      <c r="A52633" s="3" t="str">
        <f>IFERROR(__xludf.DUMMYFUNCTION("GOOGLETRANSLATE(A52633,""en"",""pt"")"),"Swivel corpo - Holograma AF - Rápido - Night Framing - Vida útil da bateria")</f>
        <v>Swivel corpo - Holograma AF - Rápido - Night Framing - Vida útil da bateria</v>
      </c>
      <c r="B52633" s="3">
        <v>1</v>
      </c>
    </row>
    <row r="52634" ht="15.75" customHeight="1" spans="1:2">
      <c r="A52634" s="3" t="str">
        <f>IFERROR(__xludf.DUMMYFUNCTION("GOOGLETRANSLATE(A52634,""en"",""pt"")"),"Tiros noite, Fácil de usar, de alta qualidade")</f>
        <v>Tiros noite, Fácil de usar, de alta qualidade</v>
      </c>
      <c r="B52634" s="3">
        <v>1</v>
      </c>
    </row>
    <row r="52635" ht="15.75" customHeight="1" spans="1:2">
      <c r="A52635" s="3" t="str">
        <f>IFERROR(__xludf.DUMMYFUNCTION("GOOGLETRANSLATE(A52635,""en"",""pt"")"),"Excelente qualidade de foto com um monte de recursos!")</f>
        <v>Excelente qualidade de foto com um monte de recursos!</v>
      </c>
      <c r="B52635" s="3">
        <v>1</v>
      </c>
    </row>
    <row r="52636" ht="15.75" customHeight="1" spans="1:2">
      <c r="A52636" s="3" t="str">
        <f>IFERROR(__xludf.DUMMYFUNCTION("GOOGLETRANSLATE(A52636,""en"",""pt"")"),"Fit, qualidade, facilidade, LCD, Lens, bateria, Controles, menu e Sony reputação de qualidade.")</f>
        <v>Fit, qualidade, facilidade, LCD, Lens, bateria, Controles, menu e Sony reputação de qualidade.</v>
      </c>
      <c r="B52636" s="3">
        <v>1</v>
      </c>
    </row>
    <row r="52637" ht="15.75" customHeight="1" spans="1:2">
      <c r="A52637" s="3" t="str">
        <f>IFERROR(__xludf.DUMMYFUNCTION("GOOGLETRANSLATE(A52637,""en"",""pt"")"),"Há opções maravilhosas que você simplesmente não pode obter com outras câmaras.")</f>
        <v>Há opções maravilhosas que você simplesmente não pode obter com outras câmaras.</v>
      </c>
      <c r="B52637" s="3">
        <v>1</v>
      </c>
    </row>
    <row r="52638" ht="15.75" customHeight="1" spans="1:2">
      <c r="A52638" s="3" t="str">
        <f>IFERROR(__xludf.DUMMYFUNCTION("GOOGLETRANSLATE(A52638,""en"",""pt"")"),"Excelentes imagens, grande autonomia da bateria, lente zoom rápido")</f>
        <v>Excelentes imagens, grande autonomia da bateria, lente zoom rápido</v>
      </c>
      <c r="B52638" s="3">
        <v>1</v>
      </c>
    </row>
    <row r="52639" ht="15.75" customHeight="1" spans="1:2">
      <c r="A52639" s="3" t="str">
        <f>IFERROR(__xludf.DUMMYFUNCTION("GOOGLETRANSLATE(A52639,""en"",""pt"")"),"Ótima câmera!")</f>
        <v>Ótima câmera!</v>
      </c>
      <c r="B52639" s="3">
        <v>1</v>
      </c>
    </row>
    <row r="52640" ht="15.75" customHeight="1" spans="1:2">
      <c r="A52640" s="3" t="str">
        <f>IFERROR(__xludf.DUMMYFUNCTION("GOOGLETRANSLATE(A52640,""en"",""pt"")"),"Resistente, fotos excelentes, visor LCD, design.")</f>
        <v>Resistente, fotos excelentes, visor LCD, design.</v>
      </c>
      <c r="B52640" s="3">
        <v>1</v>
      </c>
    </row>
    <row r="52641" ht="15.75" customHeight="1" spans="1:2">
      <c r="A52641" s="3" t="str">
        <f>IFERROR(__xludf.DUMMYFUNCTION("GOOGLETRANSLATE(A52641,""en"",""pt"")"),"Rápido, ágil, relativamente fácil de aprender e usar.")</f>
        <v>Rápido, ágil, relativamente fácil de aprender e usar.</v>
      </c>
      <c r="B52641" s="3">
        <v>1</v>
      </c>
    </row>
    <row r="52642" ht="15.75" customHeight="1" spans="1:2">
      <c r="A52642" s="3" t="str">
        <f>IFERROR(__xludf.DUMMYFUNCTION("GOOGLETRANSLATE(A52642,""en"",""pt"")"),"As baterias InfoLithium, Memory Stick Pro, Carl Zess Lens, 5,24 MP")</f>
        <v>As baterias InfoLithium, Memory Stick Pro, Carl Zess Lens, 5,24 MP</v>
      </c>
      <c r="B52642" s="3">
        <v>1</v>
      </c>
    </row>
    <row r="52643" ht="15.75" customHeight="1" spans="1:2">
      <c r="A52643" s="3" t="str">
        <f>IFERROR(__xludf.DUMMYFUNCTION("GOOGLETRANSLATE(A52643,""en"",""pt"")"),"Controles, facilidade de uso")</f>
        <v>Controles, facilidade de uso</v>
      </c>
      <c r="B52643" s="3">
        <v>1</v>
      </c>
    </row>
    <row r="52644" ht="15.75" customHeight="1" spans="1:2">
      <c r="A52644" s="3" t="str">
        <f>IFERROR(__xludf.DUMMYFUNCTION("GOOGLETRANSLATE(A52644,""en"",""pt"")"),"Características, Foto qualidade, tamanho")</f>
        <v>Características, Foto qualidade, tamanho</v>
      </c>
      <c r="B52644" s="3">
        <v>1</v>
      </c>
    </row>
    <row r="52645" ht="15.75" customHeight="1" spans="1:2">
      <c r="A52645" s="3" t="str">
        <f>IFERROR(__xludf.DUMMYFUNCTION("GOOGLETRANSLATE(A52645,""en"",""pt"")"),"imagens incrivelmente nítidas. Amigo do usuário. ótima câmera")</f>
        <v>imagens incrivelmente nítidas. Amigo do usuário. ótima câmera</v>
      </c>
      <c r="B52645" s="3">
        <v>1</v>
      </c>
    </row>
    <row r="52646" ht="15.75" customHeight="1" spans="1:2">
      <c r="A52646" s="3" t="str">
        <f>IFERROR(__xludf.DUMMYFUNCTION("GOOGLETRANSLATE(A52646,""en"",""pt"")"),"Bem engenharia, qualidade, sistema Hi-res. Este Sony é um sólido passo nessa direção!")</f>
        <v>Bem engenharia, qualidade, sistema Hi-res. Este Sony é um sólido passo nessa direção!</v>
      </c>
      <c r="B52646" s="3">
        <v>1</v>
      </c>
    </row>
    <row r="52647" ht="15.75" customHeight="1" spans="1:2">
      <c r="A52647" s="3" t="str">
        <f>IFERROR(__xludf.DUMMYFUNCTION("GOOGLETRANSLATE(A52647,""en"",""pt"")"),"5,24 megapixels, lentes Carl Zeiss, várias velocidades do obturador, a capacidade de tirar clipes de filme MPEG.")</f>
        <v>5,24 megapixels, lentes Carl Zeiss, várias velocidades do obturador, a capacidade de tirar clipes de filme MPEG.</v>
      </c>
      <c r="B52647" s="3">
        <v>1</v>
      </c>
    </row>
    <row r="52648" ht="15.75" customHeight="1" spans="1:2">
      <c r="A52648" s="3" t="str">
        <f>IFERROR(__xludf.DUMMYFUNCTION("GOOGLETRANSLATE(A52648,""en"",""pt"")"),"qualidade insuperável para fotos")</f>
        <v>qualidade insuperável para fotos</v>
      </c>
      <c r="B52648" s="3">
        <v>1</v>
      </c>
    </row>
    <row r="52649" ht="15.75" customHeight="1" spans="1:2">
      <c r="A52649" s="3" t="str">
        <f>IFERROR(__xludf.DUMMYFUNCTION("GOOGLETRANSLATE(A52649,""en"",""pt"")"),"imagens fantásticas. a bateria nunca se esgota. muitas opções.")</f>
        <v>imagens fantásticas. a bateria nunca se esgota. muitas opções.</v>
      </c>
      <c r="B52649" s="3">
        <v>1</v>
      </c>
    </row>
    <row r="52650" ht="15.75" customHeight="1" spans="1:2">
      <c r="A52650" s="3" t="str">
        <f>IFERROR(__xludf.DUMMYFUNCTION("GOOGLETRANSLATE(A52650,""en"",""pt"")"),"QUALIDADE DE IMAGEM !!!, Macro, AF, velocidade, anel da lente, muito de tudo,,,,,, bateria, Preço")</f>
        <v>QUALIDADE DE IMAGEM !!!, Macro, AF, velocidade, anel da lente, muito de tudo,,,,,, bateria, Preço</v>
      </c>
      <c r="B52650" s="3">
        <v>1</v>
      </c>
    </row>
    <row r="52651" ht="15.75" customHeight="1" spans="1:2">
      <c r="A52651" s="3" t="str">
        <f>IFERROR(__xludf.DUMMYFUNCTION("GOOGLETRANSLATE(A52651,""en"",""pt"")"),"Arrefecer zoom, fotografias nocturnas, lazer com foco,")</f>
        <v>Arrefecer zoom, fotografias nocturnas, lazer com foco,</v>
      </c>
      <c r="B52651" s="3">
        <v>1</v>
      </c>
    </row>
    <row r="52652" ht="15.75" customHeight="1" spans="1:2">
      <c r="A52652" s="3" t="str">
        <f>IFERROR(__xludf.DUMMYFUNCTION("GOOGLETRANSLATE(A52652,""en"",""pt"")"),"EVF, ergonomia, na edição de câmera apresenta, flexibilidade,")</f>
        <v>EVF, ergonomia, na edição de câmera apresenta, flexibilidade,</v>
      </c>
      <c r="B52652" s="3">
        <v>1</v>
      </c>
    </row>
    <row r="52653" ht="15.75" customHeight="1" spans="1:2">
      <c r="A52653" s="3" t="str">
        <f>IFERROR(__xludf.DUMMYFUNCTION("GOOGLETRANSLATE(A52653,""en"",""pt"")"),"Lotes das características")</f>
        <v>Lotes das características</v>
      </c>
      <c r="B52653" s="3">
        <v>1</v>
      </c>
    </row>
    <row r="52654" ht="15.75" customHeight="1" spans="1:2">
      <c r="A52654" s="3" t="str">
        <f>IFERROR(__xludf.DUMMYFUNCTION("GOOGLETRANSLATE(A52654,""en"",""pt"")"),"Excelentes fotos de qualidade mesmo para iniciantes, nightshot, bateria InfoLITHIUM")</f>
        <v>Excelentes fotos de qualidade mesmo para iniciantes, nightshot, bateria InfoLITHIUM</v>
      </c>
      <c r="B52654" s="3">
        <v>1</v>
      </c>
    </row>
    <row r="52655" ht="15.75" customHeight="1" spans="1:2">
      <c r="A52655" s="3" t="str">
        <f>IFERROR(__xludf.DUMMYFUNCTION("GOOGLETRANSLATE(A52655,""en"",""pt"")"),"Tira fotos bonitas")</f>
        <v>Tira fotos bonitas</v>
      </c>
      <c r="B52655" s="3">
        <v>1</v>
      </c>
    </row>
    <row r="52656" ht="15.75" customHeight="1" spans="1:2">
      <c r="A52656" s="3" t="str">
        <f>IFERROR(__xludf.DUMMYFUNCTION("GOOGLETRANSLATE(A52656,""en"",""pt"")"),"Grandes imagens, facilidade de utilização, novas varas Pro memória")</f>
        <v>Grandes imagens, facilidade de utilização, novas varas Pro memória</v>
      </c>
      <c r="B52656" s="3">
        <v>1</v>
      </c>
    </row>
    <row r="52657" ht="15.75" customHeight="1" spans="1:2">
      <c r="A52657" s="3" t="str">
        <f>IFERROR(__xludf.DUMMYFUNCTION("GOOGLETRANSLATE(A52657,""en"",""pt"")"),"qualidade de imagem Phenominal; características impressionantes; qualidade fotográfica ultra-legal com pouca luz")</f>
        <v>qualidade de imagem Phenominal; características impressionantes; qualidade fotográfica ultra-legal com pouca luz</v>
      </c>
      <c r="B52657" s="3">
        <v>1</v>
      </c>
    </row>
    <row r="52658" ht="15.75" customHeight="1" spans="1:2">
      <c r="A52658" s="3" t="str">
        <f>IFERROR(__xludf.DUMMYFUNCTION("GOOGLETRANSLATE(A52658,""en"",""pt"")"),"óptica Zeiss e alisar uma operação confiável")</f>
        <v>óptica Zeiss e alisar uma operação confiável</v>
      </c>
      <c r="B52658" s="3">
        <v>1</v>
      </c>
    </row>
    <row r="52659" ht="15.75" customHeight="1" spans="1:2">
      <c r="A52659" s="3" t="str">
        <f>IFERROR(__xludf.DUMMYFUNCTION("GOOGLETRANSLATE(A52659,""en"",""pt"")"),"cores vivas algumas imagens o que claras.")</f>
        <v>cores vivas algumas imagens o que claras.</v>
      </c>
      <c r="B52659" s="3">
        <v>1</v>
      </c>
    </row>
    <row r="52660" ht="15.75" customHeight="1" spans="1:2">
      <c r="A52660" s="3" t="str">
        <f>IFERROR(__xludf.DUMMYFUNCTION("GOOGLETRANSLATE(A52660,""en"",""pt"")"),"Criatividade reforço; Grande autonomia da bateria; Fácil de usar e de grande resolução de imagem")</f>
        <v>Criatividade reforço; Grande autonomia da bateria; Fácil de usar e de grande resolução de imagem</v>
      </c>
      <c r="B52660" s="3">
        <v>1</v>
      </c>
    </row>
    <row r="52661" ht="15.75" customHeight="1" spans="1:2">
      <c r="A52661" s="3" t="str">
        <f>IFERROR(__xludf.DUMMYFUNCTION("GOOGLETRANSLATE(A52661,""en"",""pt"")"),"muito compacto, fácil de usar, muito boa qualidade de imagem, &amp; amp; efeitos divertido especiais")</f>
        <v>muito compacto, fácil de usar, muito boa qualidade de imagem, &amp; amp; efeitos divertido especiais</v>
      </c>
      <c r="B52661" s="3">
        <v>1</v>
      </c>
    </row>
    <row r="52662" ht="15.75" customHeight="1" spans="1:2">
      <c r="A52662" s="3" t="str">
        <f>IFERROR(__xludf.DUMMYFUNCTION("GOOGLETRANSLATE(A52662,""en"",""pt"")"),"O tamanho pequeno, de boa aparência")</f>
        <v>O tamanho pequeno, de boa aparência</v>
      </c>
      <c r="B52662" s="3">
        <v>1</v>
      </c>
    </row>
    <row r="52663" ht="15.75" customHeight="1" spans="1:2">
      <c r="A52663" s="3" t="str">
        <f>IFERROR(__xludf.DUMMYFUNCTION("GOOGLETRANSLATE(A52663,""en"",""pt"")"),"pequeno tamanho, visor digital memory stick, excelente qualidade de imagem")</f>
        <v>pequeno tamanho, visor digital memory stick, excelente qualidade de imagem</v>
      </c>
      <c r="B52663" s="3">
        <v>1</v>
      </c>
    </row>
    <row r="52664" ht="15.75" customHeight="1" spans="1:2">
      <c r="A52664" s="3" t="str">
        <f>IFERROR(__xludf.DUMMYFUNCTION("GOOGLETRANSLATE(A52664,""en"",""pt"")"),"O tamanho pequeno, lotes de características")</f>
        <v>O tamanho pequeno, lotes de características</v>
      </c>
      <c r="B52664" s="3">
        <v>1</v>
      </c>
    </row>
    <row r="52665" ht="15.75" customHeight="1" spans="1:2">
      <c r="A52665" s="3" t="str">
        <f>IFERROR(__xludf.DUMMYFUNCTION("GOOGLETRANSLATE(A52665,""en"",""pt"")"),"Compacto, excelentes imagens, visores ópticos e LED, fácil de usar &amp; amp; download, filmes MPEG")</f>
        <v>Compacto, excelentes imagens, visores ópticos e LED, fácil de usar &amp; amp; download, filmes MPEG</v>
      </c>
      <c r="B52665" s="3">
        <v>1</v>
      </c>
    </row>
    <row r="52666" ht="15.75" customHeight="1" spans="1:2">
      <c r="A52666" s="3" t="str">
        <f>IFERROR(__xludf.DUMMYFUNCTION("GOOGLETRANSLATE(A52666,""en"",""pt"")"),"projeto fechado em si mesmo Compact, a vida bettery longo, pode alcançar grande qualidade fotográfica.")</f>
        <v>projeto fechado em si mesmo Compact, a vida bettery longo, pode alcançar grande qualidade fotográfica.</v>
      </c>
      <c r="B52666" s="3">
        <v>1</v>
      </c>
    </row>
    <row r="52667" ht="15.75" customHeight="1" spans="1:2">
      <c r="A52667" s="3" t="str">
        <f>IFERROR(__xludf.DUMMYFUNCTION("GOOGLETRANSLATE(A52667,""en"",""pt"")"),"Você não tem que desperdiçar seu dinheiro desenvolvendo imagens indesejadas.")</f>
        <v>Você não tem que desperdiçar seu dinheiro desenvolvendo imagens indesejadas.</v>
      </c>
      <c r="B52667" s="3">
        <v>1</v>
      </c>
    </row>
    <row r="52668" ht="15.75" customHeight="1" spans="1:2">
      <c r="A52668" s="3" t="str">
        <f>IFERROR(__xludf.DUMMYFUNCTION("GOOGLETRANSLATE(A52668,""en"",""pt"")"),"Muitos recursos, fácil de usar, excelente qualidade de foto")</f>
        <v>Muitos recursos, fácil de usar, excelente qualidade de foto</v>
      </c>
      <c r="B52668" s="3">
        <v>1</v>
      </c>
    </row>
    <row r="52669" ht="15.75" customHeight="1" spans="1:2">
      <c r="A52669" s="3" t="str">
        <f>IFERROR(__xludf.DUMMYFUNCTION("GOOGLETRANSLATE(A52669,""en"",""pt"")"),"Pequeno confiável e apoiada por Sony (a um preço premium)")</f>
        <v>Pequeno confiável e apoiada por Sony (a um preço premium)</v>
      </c>
      <c r="B52669" s="3">
        <v>1</v>
      </c>
    </row>
    <row r="52670" ht="15.75" customHeight="1" spans="1:2">
      <c r="A52670" s="3" t="str">
        <f>IFERROR(__xludf.DUMMYFUNCTION("GOOGLETRANSLATE(A52670,""en"",""pt"")"),"Bonito, pequeno, imagens de qualidade")</f>
        <v>Bonito, pequeno, imagens de qualidade</v>
      </c>
      <c r="B52670" s="3">
        <v>1</v>
      </c>
    </row>
    <row r="52671" ht="15.75" customHeight="1" spans="1:2">
      <c r="A52671" s="3" t="str">
        <f>IFERROR(__xludf.DUMMYFUNCTION("GOOGLETRANSLATE(A52671,""en"",""pt"")"),"Bom se você estiver em EXPRESSIONIST ART PICS")</f>
        <v>Bom se você estiver em EXPRESSIONIST ART PICS</v>
      </c>
      <c r="B52671" s="3">
        <v>1</v>
      </c>
    </row>
    <row r="52672" ht="15.75" customHeight="1" spans="1:2">
      <c r="A52672" s="3" t="str">
        <f>IFERROR(__xludf.DUMMYFUNCTION("GOOGLETRANSLATE(A52672,""en"",""pt"")"),"Apenas sobre tudo!")</f>
        <v>Apenas sobre tudo!</v>
      </c>
      <c r="B52672" s="3">
        <v>1</v>
      </c>
    </row>
    <row r="52673" ht="15.75" customHeight="1" spans="1:2">
      <c r="A52673" s="3" t="str">
        <f>IFERROR(__xludf.DUMMYFUNCTION("GOOGLETRANSLATE(A52673,""en"",""pt"")"),"tamanho, qualidade de imagem, oh fez i mencionar tamanho")</f>
        <v>tamanho, qualidade de imagem, oh fez i mencionar tamanho</v>
      </c>
      <c r="B52673" s="3">
        <v>1</v>
      </c>
    </row>
    <row r="52674" ht="15.75" customHeight="1" spans="1:2">
      <c r="A52674" s="3" t="str">
        <f>IFERROR(__xludf.DUMMYFUNCTION("GOOGLETRANSLATE(A52674,""en"",""pt"")"),"USB câmera, pequeno, design compacto")</f>
        <v>USB câmera, pequeno, design compacto</v>
      </c>
      <c r="B52674" s="3">
        <v>1</v>
      </c>
    </row>
    <row r="52675" ht="15.75" customHeight="1" spans="1:2">
      <c r="A52675" s="3" t="str">
        <f>IFERROR(__xludf.DUMMYFUNCTION("GOOGLETRANSLATE(A52675,""en"",""pt"")"),"Compacto, Super Hi-Res Pictures, uma vasta gama de funções, facilidade de uso")</f>
        <v>Compacto, Super Hi-Res Pictures, uma vasta gama de funções, facilidade de uso</v>
      </c>
      <c r="B52675" s="3">
        <v>1</v>
      </c>
    </row>
    <row r="52676" ht="15.75" customHeight="1" spans="1:2">
      <c r="A52676" s="3" t="str">
        <f>IFERROR(__xludf.DUMMYFUNCTION("GOOGLETRANSLATE(A52676,""en"",""pt"")"),"Small Size, Bateria InfoLITHIUM, Metal Design")</f>
        <v>Small Size, Bateria InfoLITHIUM, Metal Design</v>
      </c>
      <c r="B52676" s="3">
        <v>1</v>
      </c>
    </row>
    <row r="52677" ht="15.75" customHeight="1" spans="1:2">
      <c r="A52677" s="3" t="str">
        <f>IFERROR(__xludf.DUMMYFUNCTION("GOOGLETRANSLATE(A52677,""en"",""pt"")"),"Tamanho, portabilidade, oi-rez, opções MPEG, USB, bateria Li-Ion")</f>
        <v>Tamanho, portabilidade, oi-rez, opções MPEG, USB, bateria Li-Ion</v>
      </c>
      <c r="B52677" s="3">
        <v>1</v>
      </c>
    </row>
    <row r="52678" ht="15.75" customHeight="1" spans="1:2">
      <c r="A52678" s="3" t="str">
        <f>IFERROR(__xludf.DUMMYFUNCTION("GOOGLETRANSLATE(A52678,""en"",""pt"")"),"Quem não arrisca, tudo ganhou")</f>
        <v>Quem não arrisca, tudo ganhou</v>
      </c>
      <c r="B52678" s="3">
        <v>1</v>
      </c>
    </row>
    <row r="52679" ht="15.75" customHeight="1" spans="1:2">
      <c r="A52679" s="3" t="str">
        <f>IFERROR(__xludf.DUMMYFUNCTION("GOOGLETRANSLATE(A52679,""en"",""pt"")"),"Tamanho compacto, leve, muito mesmo grandes possibilidades, de fácil utilização, menus familiares, boa vida útil da bateria")</f>
        <v>Tamanho compacto, leve, muito mesmo grandes possibilidades, de fácil utilização, menus familiares, boa vida útil da bateria</v>
      </c>
      <c r="B52679" s="3">
        <v>1</v>
      </c>
    </row>
    <row r="52680" ht="15.75" customHeight="1" spans="1:2">
      <c r="A52680" s="3" t="str">
        <f>IFERROR(__xludf.DUMMYFUNCTION("GOOGLETRANSLATE(A52680,""en"",""pt"")"),"Pequeno, leve, resistente, relativamente barato para um digi-came.")</f>
        <v>Pequeno, leve, resistente, relativamente barato para um digi-came.</v>
      </c>
      <c r="B52680" s="3">
        <v>1</v>
      </c>
    </row>
    <row r="52681" ht="15.75" customHeight="1" spans="1:2">
      <c r="A52681" s="3" t="str">
        <f>IFERROR(__xludf.DUMMYFUNCTION("GOOGLETRANSLATE(A52681,""en"",""pt"")"),"small &amp; amp; tamanho confortável. Fácil de usar menus. Grande procura fotos. Muitos recursos.")</f>
        <v>small &amp; amp; tamanho confortável. Fácil de usar menus. Grande procura fotos. Muitos recursos.</v>
      </c>
      <c r="B52681" s="3">
        <v>1</v>
      </c>
    </row>
    <row r="52682" ht="15.75" customHeight="1" spans="1:2">
      <c r="A52682" s="3" t="str">
        <f>IFERROR(__xludf.DUMMYFUNCTION("GOOGLETRANSLATE(A52682,""en"",""pt"")"),"Tamanho, características, opção pacote marinho")</f>
        <v>Tamanho, características, opção pacote marinho</v>
      </c>
      <c r="B52682" s="3">
        <v>1</v>
      </c>
    </row>
    <row r="52683" ht="15.75" customHeight="1" spans="1:2">
      <c r="A52683" s="3" t="str">
        <f>IFERROR(__xludf.DUMMYFUNCTION("GOOGLETRANSLATE(A52683,""en"",""pt"")"),"Pequeno, prático, cartão de memória, USB")</f>
        <v>Pequeno, prático, cartão de memória, USB</v>
      </c>
      <c r="B52683" s="3">
        <v>1</v>
      </c>
    </row>
    <row r="52684" ht="15.75" customHeight="1" spans="1:2">
      <c r="A52684" s="3" t="str">
        <f>IFERROR(__xludf.DUMMYFUNCTION("GOOGLETRANSLATE(A52684,""en"",""pt"")"),"O tamanho pequeno, grandes recursos, e impressionantes fotos")</f>
        <v>O tamanho pequeno, grandes recursos, e impressionantes fotos</v>
      </c>
      <c r="B52684" s="3">
        <v>1</v>
      </c>
    </row>
    <row r="52685" ht="15.75" customHeight="1" spans="1:2">
      <c r="A52685" s="3" t="str">
        <f>IFERROR(__xludf.DUMMYFUNCTION("GOOGLETRANSLATE(A52685,""en"",""pt"")"),"Tamanho")</f>
        <v>Tamanho</v>
      </c>
      <c r="B52685" s="3">
        <v>1</v>
      </c>
    </row>
    <row r="52686" ht="15.75" customHeight="1" spans="1:2">
      <c r="A52686" s="3" t="str">
        <f>IFERROR(__xludf.DUMMYFUNCTION("GOOGLETRANSLATE(A52686,""en"",""pt"")"),"Tamanho, facilidade de uso, memória e velocidade de mudança da bateria, a qualidade da imagem.")</f>
        <v>Tamanho, facilidade de uso, memória e velocidade de mudança da bateria, a qualidade da imagem.</v>
      </c>
      <c r="B52686" s="3">
        <v>1</v>
      </c>
    </row>
    <row r="52687" ht="15.75" customHeight="1" spans="1:2">
      <c r="A52687" s="3" t="str">
        <f>IFERROR(__xludf.DUMMYFUNCTION("GOOGLETRANSLATE(A52687,""en"",""pt"")"),"Facilidade de uso, qualidade de imagem")</f>
        <v>Facilidade de uso, qualidade de imagem</v>
      </c>
      <c r="B52687" s="3">
        <v>1</v>
      </c>
    </row>
    <row r="52688" ht="15.75" customHeight="1" spans="1:2">
      <c r="A52688" s="3" t="s">
        <v>272</v>
      </c>
      <c r="B52688" s="3">
        <v>1</v>
      </c>
    </row>
    <row r="52689" ht="15.75" customHeight="1" spans="1:2">
      <c r="A52689" s="3" t="str">
        <f>IFERROR(__xludf.DUMMYFUNCTION("GOOGLETRANSLATE(A52689,""en"",""pt"")"),"Todos os recursos em um caso compacto!")</f>
        <v>Todos os recursos em um caso compacto!</v>
      </c>
      <c r="B52689" s="3">
        <v>1</v>
      </c>
    </row>
    <row r="52690" ht="15.75" customHeight="1" spans="1:2">
      <c r="A52690" s="3" t="str">
        <f>IFERROR(__xludf.DUMMYFUNCTION("GOOGLETRANSLATE(A52690,""en"",""pt"")"),"Muito portátil, padrão da indústria qualidade de imagem, a abundância de recursos.")</f>
        <v>Muito portátil, padrão da indústria qualidade de imagem, a abundância de recursos.</v>
      </c>
      <c r="B52690" s="3">
        <v>1</v>
      </c>
    </row>
    <row r="52691" ht="15.75" customHeight="1" spans="1:2">
      <c r="A52691" s="3" t="str">
        <f>IFERROR(__xludf.DUMMYFUNCTION("GOOGLETRANSLATE(A52691,""en"",""pt"")"),"Looks, Funções, bateria")</f>
        <v>Looks, Funções, bateria</v>
      </c>
      <c r="B52691" s="3">
        <v>1</v>
      </c>
    </row>
    <row r="52692" ht="15.75" customHeight="1" spans="1:2">
      <c r="A52692" s="3" t="str">
        <f>IFERROR(__xludf.DUMMYFUNCTION("GOOGLETRANSLATE(A52692,""en"",""pt"")"),"Small Size, Does Stills e filmes W de som /, muitas opções de menu &amp; amp; # 9;")</f>
        <v>Small Size, Does Stills e filmes W de som /, muitas opções de menu &amp; amp; # 9;</v>
      </c>
      <c r="B52692" s="3">
        <v>1</v>
      </c>
    </row>
    <row r="52693" ht="15.75" customHeight="1" spans="1:2">
      <c r="A52693" s="3" t="str">
        <f>IFERROR(__xludf.DUMMYFUNCTION("GOOGLETRANSLATE(A52693,""en"",""pt"")"),"Download de fotos, facilidade de uso, qualidade de imagem.")</f>
        <v>Download de fotos, facilidade de uso, qualidade de imagem.</v>
      </c>
      <c r="B52693" s="3">
        <v>1</v>
      </c>
    </row>
    <row r="52694" ht="15.75" customHeight="1" spans="1:2">
      <c r="A52694" s="3" t="str">
        <f>IFERROR(__xludf.DUMMYFUNCTION("GOOGLETRANSLATE(A52694,""en"",""pt"")"),"Pequeno, resistente, de grande qualidade, simples de usar, tela clara")</f>
        <v>Pequeno, resistente, de grande qualidade, simples de usar, tela clara</v>
      </c>
      <c r="B52694" s="3">
        <v>1</v>
      </c>
    </row>
    <row r="52695" ht="15.75" customHeight="1" spans="1:2">
      <c r="A52695" s="3" t="str">
        <f>IFERROR(__xludf.DUMMYFUNCTION("GOOGLETRANSLATE(A52695,""en"",""pt"")"),"Tamanho, qualidade de imagem, a interface pc, tela de lcd, facilidade de uso")</f>
        <v>Tamanho, qualidade de imagem, a interface pc, tela de lcd, facilidade de uso</v>
      </c>
      <c r="B52695" s="3">
        <v>1</v>
      </c>
    </row>
    <row r="52696" ht="15.75" customHeight="1" spans="1:2">
      <c r="A52696" s="3" t="str">
        <f>IFERROR(__xludf.DUMMYFUNCTION("GOOGLETRANSLATE(A52696,""en"",""pt"")"),"de bolso; fácil de sacar e atirar.")</f>
        <v>de bolso; fácil de sacar e atirar.</v>
      </c>
      <c r="B52696" s="3">
        <v>1</v>
      </c>
    </row>
    <row r="52697" ht="15.75" customHeight="1" spans="1:2">
      <c r="A52697" s="3" t="str">
        <f>IFERROR(__xludf.DUMMYFUNCTION("GOOGLETRANSLATE(A52697,""en"",""pt"")"),"CCD de alta resolução, muitos recursos, fácil de usar, pequeno, portátil, Lente de Qualidade,")</f>
        <v>CCD de alta resolução, muitos recursos, fácil de usar, pequeno, portátil, Lente de Qualidade,</v>
      </c>
      <c r="B52697" s="3">
        <v>1</v>
      </c>
    </row>
    <row r="52698" ht="15.75" customHeight="1" spans="1:2">
      <c r="A52698" s="3" t="str">
        <f>IFERROR(__xludf.DUMMYFUNCTION("GOOGLETRANSLATE(A52698,""en"",""pt"")"),"Pequeno e compacto, muitos recursos, 3.3MPixels")</f>
        <v>Pequeno e compacto, muitos recursos, 3.3MPixels</v>
      </c>
      <c r="B52698" s="3">
        <v>1</v>
      </c>
    </row>
    <row r="52699" ht="15.75" customHeight="1" spans="1:2">
      <c r="A52699" s="3" t="str">
        <f>IFERROR(__xludf.DUMMYFUNCTION("GOOGLETRANSLATE(A52699,""en"",""pt"")"),"pequeno, as imagens de alta qualidade, grande no tempo de exposição, muito bom micro")</f>
        <v>pequeno, as imagens de alta qualidade, grande no tempo de exposição, muito bom micro</v>
      </c>
      <c r="B52699" s="3">
        <v>1</v>
      </c>
    </row>
    <row r="52700" ht="15.75" customHeight="1" spans="1:2">
      <c r="A52700" s="3" t="str">
        <f>IFERROR(__xludf.DUMMYFUNCTION("GOOGLETRANSLATE(A52700,""en"",""pt"")"),"Tamanho pequeno, a vida da bateria, tampa da lente Auto, MPEG Movie")</f>
        <v>Tamanho pequeno, a vida da bateria, tampa da lente Auto, MPEG Movie</v>
      </c>
      <c r="B52700" s="3">
        <v>1</v>
      </c>
    </row>
    <row r="52701" ht="15.75" customHeight="1" spans="1:2">
      <c r="A52701" s="3" t="str">
        <f>IFERROR(__xludf.DUMMYFUNCTION("GOOGLETRANSLATE(A52701,""en"",""pt"")"),"De fator de forma pequeno")</f>
        <v>De fator de forma pequeno</v>
      </c>
      <c r="B52701" s="3">
        <v>1</v>
      </c>
    </row>
    <row r="52702" ht="15.75" customHeight="1" spans="1:2">
      <c r="A52702" s="3" t="str">
        <f>IFERROR(__xludf.DUMMYFUNCTION("GOOGLETRANSLATE(A52702,""en"",""pt"")"),"pequeno tamanho, peso leve, de longa vida útil da bateria")</f>
        <v>pequeno tamanho, peso leve, de longa vida útil da bateria</v>
      </c>
      <c r="B52702" s="3">
        <v>1</v>
      </c>
    </row>
    <row r="52703" ht="15.75" customHeight="1" spans="1:2">
      <c r="A52703" s="3" t="str">
        <f>IFERROR(__xludf.DUMMYFUNCTION("GOOGLETRANSLATE(A52703,""en"",""pt"")"),"Muito afiada, imagens claras. tiros rápidos em objetos em movimento. videoclipes Un-limitada. noite fotografias nítidas.")</f>
        <v>Muito afiada, imagens claras. tiros rápidos em objetos em movimento. videoclipes Un-limitada. noite fotografias nítidas.</v>
      </c>
      <c r="B52703" s="3">
        <v>1</v>
      </c>
    </row>
    <row r="52704" ht="15.75" customHeight="1" spans="1:2">
      <c r="A52704" s="3" t="str">
        <f>IFERROR(__xludf.DUMMYFUNCTION("GOOGLETRANSLATE(A52704,""en"",""pt"")"),"câmera bonita! Tira ótimas fotos! Muitos recursos, mas ainda fácil de usar!")</f>
        <v>câmera bonita! Tira ótimas fotos! Muitos recursos, mas ainda fácil de usar!</v>
      </c>
      <c r="B52704" s="3">
        <v>1</v>
      </c>
    </row>
    <row r="52705" ht="15.75" customHeight="1" spans="1:2">
      <c r="A52705" s="3" t="str">
        <f>IFERROR(__xludf.DUMMYFUNCTION("GOOGLETRANSLATE(A52705,""en"",""pt"")"),"Fácil de usar, tem grandes figuras")</f>
        <v>Fácil de usar, tem grandes figuras</v>
      </c>
      <c r="B52705" s="3">
        <v>1</v>
      </c>
    </row>
    <row r="52706" ht="15.75" customHeight="1" spans="1:2">
      <c r="A52706" s="3" t="str">
        <f>IFERROR(__xludf.DUMMYFUNCTION("GOOGLETRANSLATE(A52706,""en"",""pt"")"),"Tamanho, qualidade e ótimas fotos")</f>
        <v>Tamanho, qualidade e ótimas fotos</v>
      </c>
      <c r="B52706" s="3">
        <v>1</v>
      </c>
    </row>
    <row r="52707" ht="15.75" customHeight="1" spans="1:2">
      <c r="A52707" s="3" t="str">
        <f>IFERROR(__xludf.DUMMYFUNCTION("GOOGLETRANSLATE(A52707,""en"",""pt"")"),"Pequeno, leve, muitos acessórios, incluindo caixa estanque, Versátil")</f>
        <v>Pequeno, leve, muitos acessórios, incluindo caixa estanque, Versátil</v>
      </c>
      <c r="B52707" s="3">
        <v>1</v>
      </c>
    </row>
    <row r="52708" ht="15.75" customHeight="1" spans="1:2">
      <c r="A52708" s="3" t="str">
        <f>IFERROR(__xludf.DUMMYFUNCTION("GOOGLETRANSLATE(A52708,""en"",""pt"")"),"clareza, grande flash, bateria InfoLITHIUM")</f>
        <v>clareza, grande flash, bateria InfoLITHIUM</v>
      </c>
      <c r="B52708" s="3">
        <v>1</v>
      </c>
    </row>
    <row r="52709" ht="15.75" customHeight="1" spans="1:2">
      <c r="A52709" s="3" t="str">
        <f>IFERROR(__xludf.DUMMYFUNCTION("GOOGLETRANSLATE(A52709,""en"",""pt"")"),"o tamanho, 5Mpixels, VGA e vídeo, a ergonomia")</f>
        <v>o tamanho, 5Mpixels, VGA e vídeo, a ergonomia</v>
      </c>
      <c r="B52709" s="3">
        <v>1</v>
      </c>
    </row>
    <row r="52710" ht="15.75" customHeight="1" spans="1:2">
      <c r="A52710" s="3" t="str">
        <f>IFERROR(__xludf.DUMMYFUNCTION("GOOGLETRANSLATE(A52710,""en"",""pt"")"),"Pequeno, fácil de usar, de alta resolução, grande qualidade, muitos formatos")</f>
        <v>Pequeno, fácil de usar, de alta resolução, grande qualidade, muitos formatos</v>
      </c>
      <c r="B52710" s="3">
        <v>1</v>
      </c>
    </row>
    <row r="52711" ht="15.75" customHeight="1" spans="1:2">
      <c r="A52711" s="3" t="str">
        <f>IFERROR(__xludf.DUMMYFUNCTION("GOOGLETRANSLATE(A52711,""en"",""pt"")"),"tamanho compacto e muito bom vídeo para uma câmera fotográfica")</f>
        <v>tamanho compacto e muito bom vídeo para uma câmera fotográfica</v>
      </c>
      <c r="B52711" s="3">
        <v>1</v>
      </c>
    </row>
    <row r="52712" ht="15.75" customHeight="1" spans="1:2">
      <c r="A52712" s="3" t="str">
        <f>IFERROR(__xludf.DUMMYFUNCTION("GOOGLETRANSLATE(A52712,""en"",""pt"")"),"cinco megapixels com P &amp; amp; S facilidade de uso")</f>
        <v>cinco megapixels com P &amp; amp; S facilidade de uso</v>
      </c>
      <c r="B52712" s="3">
        <v>1</v>
      </c>
    </row>
    <row r="52713" ht="15.75" customHeight="1" spans="1:2">
      <c r="A52713" s="3" t="str">
        <f>IFERROR(__xludf.DUMMYFUNCTION("GOOGLETRANSLATE(A52713,""en"",""pt"")"),"Compacto, zoom óptico 3x, 5MP, menu de fácil manuseio impulsionado, simples transferência de imagens para o processo de PC")</f>
        <v>Compacto, zoom óptico 3x, 5MP, menu de fácil manuseio impulsionado, simples transferência de imagens para o processo de PC</v>
      </c>
      <c r="B52713" s="3">
        <v>1</v>
      </c>
    </row>
    <row r="52714" ht="15.75" customHeight="1" spans="1:2">
      <c r="A52714" s="3" t="str">
        <f>IFERROR(__xludf.DUMMYFUNCTION("GOOGLETRANSLATE(A52714,""en"",""pt"")"),"Tudo!")</f>
        <v>Tudo!</v>
      </c>
      <c r="B52714" s="3">
        <v>1</v>
      </c>
    </row>
    <row r="52715" ht="15.75" customHeight="1" spans="1:2">
      <c r="A52715" s="3" t="str">
        <f>IFERROR(__xludf.DUMMYFUNCTION("GOOGLETRANSLATE(A52715,""en"",""pt"")"),"Barato, ótima resolução LCD, e economia de arquivo versátil.")</f>
        <v>Barato, ótima resolução LCD, e economia de arquivo versátil.</v>
      </c>
      <c r="B52715" s="3">
        <v>1</v>
      </c>
    </row>
    <row r="52716" ht="15.75" customHeight="1" spans="1:2">
      <c r="A52716" s="3" t="str">
        <f>IFERROR(__xludf.DUMMYFUNCTION("GOOGLETRANSLATE(A52716,""en"",""pt"")"),"Preço e facilidade de uso.")</f>
        <v>Preço e facilidade de uso.</v>
      </c>
      <c r="B52716" s="3">
        <v>1</v>
      </c>
    </row>
    <row r="52717" ht="15.75" customHeight="1" spans="1:2">
      <c r="A52717" s="3" t="str">
        <f>IFERROR(__xludf.DUMMYFUNCTION("GOOGLETRANSLATE(A52717,""en"",""pt"")"),"Grande preço, quantidade de recursos, facilidade de uso")</f>
        <v>Grande preço, quantidade de recursos, facilidade de uso</v>
      </c>
      <c r="B52717" s="3">
        <v>1</v>
      </c>
    </row>
    <row r="52718" ht="15.75" customHeight="1" spans="1:2">
      <c r="A52718" s="3" t="str">
        <f>IFERROR(__xludf.DUMMYFUNCTION("GOOGLETRANSLATE(A52718,""en"",""pt"")"),"Imagens de grande qualidade, os lotes de recursos, a expansão de baixo custo")</f>
        <v>Imagens de grande qualidade, os lotes de recursos, a expansão de baixo custo</v>
      </c>
      <c r="B52718" s="3">
        <v>1</v>
      </c>
    </row>
    <row r="52719" ht="15.75" customHeight="1" spans="1:2">
      <c r="A52719" s="3" t="str">
        <f>IFERROR(__xludf.DUMMYFUNCTION("GOOGLETRANSLATE(A52719,""en"",""pt"")"),"imagens de grande qualidade, muito barato para as suas características e capacidades, leva vídeos.")</f>
        <v>imagens de grande qualidade, muito barato para as suas características e capacidades, leva vídeos.</v>
      </c>
      <c r="B52719" s="3">
        <v>1</v>
      </c>
    </row>
    <row r="52720" ht="15.75" customHeight="1" spans="1:2">
      <c r="A52720" s="3" t="str">
        <f>IFERROR(__xludf.DUMMYFUNCTION("GOOGLETRANSLATE(A52720,""en"",""pt"")"),"Recursos")</f>
        <v>Recursos</v>
      </c>
      <c r="B52720" s="3">
        <v>1</v>
      </c>
    </row>
    <row r="52721" ht="15.75" customHeight="1" spans="1:2">
      <c r="A52721" s="3" t="str">
        <f>IFERROR(__xludf.DUMMYFUNCTION("GOOGLETRANSLATE(A52721,""en"",""pt"")"),"Pequeno, leve, 1.3 Megapixel, modo Mpeg")</f>
        <v>Pequeno, leve, 1.3 Megapixel, modo Mpeg</v>
      </c>
      <c r="B52721" s="3">
        <v>1</v>
      </c>
    </row>
    <row r="52722" ht="15.75" customHeight="1" spans="1:2">
      <c r="A52722" s="3" t="str">
        <f>IFERROR(__xludf.DUMMYFUNCTION("GOOGLETRANSLATE(A52722,""en"",""pt"")"),"Relativamente baratos, Memory Stick Reader / Writer Drive, Facilidade de Uso")</f>
        <v>Relativamente baratos, Memory Stick Reader / Writer Drive, Facilidade de Uso</v>
      </c>
      <c r="B52722" s="3">
        <v>1</v>
      </c>
    </row>
    <row r="52723" ht="15.75" customHeight="1" spans="1:2">
      <c r="A52723" s="3" t="str">
        <f>IFERROR(__xludf.DUMMYFUNCTION("GOOGLETRANSLATE(A52723,""en"",""pt"")"),"display LCD agradável. muito simples para descobrir como operar sem precisar de instruções.")</f>
        <v>display LCD agradável. muito simples para descobrir como operar sem precisar de instruções.</v>
      </c>
      <c r="B52723" s="3">
        <v>1</v>
      </c>
    </row>
    <row r="52724" ht="15.75" customHeight="1" spans="1:2">
      <c r="A52724" s="3" t="str">
        <f>IFERROR(__xludf.DUMMYFUNCTION("GOOGLETRANSLATE(A52724,""en"",""pt"")"),"Tamanho, preço e qualidade.")</f>
        <v>Tamanho, preço e qualidade.</v>
      </c>
      <c r="B52724" s="3">
        <v>1</v>
      </c>
    </row>
    <row r="52725" ht="15.75" customHeight="1" spans="1:2">
      <c r="A52725" s="3" t="str">
        <f>IFERROR(__xludf.DUMMYFUNCTION("GOOGLETRANSLATE(A52725,""en"",""pt"")"),"qualidade Sony - mais bang para seus investimentos")</f>
        <v>qualidade Sony - mais bang para seus investimentos</v>
      </c>
      <c r="B52725" s="3">
        <v>1</v>
      </c>
    </row>
    <row r="52726" ht="15.75" customHeight="1" spans="1:2">
      <c r="A52726" s="3" t="str">
        <f>IFERROR(__xludf.DUMMYFUNCTION("GOOGLETRANSLATE(A52726,""en"",""pt"")"),"Barato, compacto")</f>
        <v>Barato, compacto</v>
      </c>
      <c r="B52726" s="3">
        <v>1</v>
      </c>
    </row>
    <row r="52727" ht="15.75" customHeight="1" spans="1:2">
      <c r="A52727" s="3" t="str">
        <f>IFERROR(__xludf.DUMMYFUNCTION("GOOGLETRANSLATE(A52727,""en"",""pt"")"),"Muito fácil de usar, boa qualidade de imagem")</f>
        <v>Muito fácil de usar, boa qualidade de imagem</v>
      </c>
      <c r="B52727" s="3">
        <v>1</v>
      </c>
    </row>
    <row r="52728" ht="15.75" customHeight="1" spans="1:2">
      <c r="A52728" s="3" t="str">
        <f>IFERROR(__xludf.DUMMYFUNCTION("GOOGLETRANSLATE(A52728,""en"",""pt"")"),"Boa resolução para o preço")</f>
        <v>Boa resolução para o preço</v>
      </c>
      <c r="B52728" s="3">
        <v>1</v>
      </c>
    </row>
    <row r="52729" ht="15.75" customHeight="1" spans="1:2">
      <c r="A52729" s="3" t="str">
        <f>IFERROR(__xludf.DUMMYFUNCTION("GOOGLETRANSLATE(A52729,""en"",""pt"")"),"Não consigo pensar em qualquer")</f>
        <v>Não consigo pensar em qualquer</v>
      </c>
      <c r="B52729" s="3">
        <v>1</v>
      </c>
    </row>
    <row r="52730" ht="15.75" customHeight="1" spans="1:2">
      <c r="A52730" s="3" t="str">
        <f>IFERROR(__xludf.DUMMYFUNCTION("GOOGLETRANSLATE(A52730,""en"",""pt"")"),"Fácil de usar, interface USB.")</f>
        <v>Fácil de usar, interface USB.</v>
      </c>
      <c r="B52730" s="3">
        <v>1</v>
      </c>
    </row>
    <row r="52731" ht="15.75" customHeight="1" spans="1:2">
      <c r="A52731" s="3" t="str">
        <f>IFERROR(__xludf.DUMMYFUNCTION("GOOGLETRANSLATE(A52731,""en"",""pt"")"),"Bom preço, boas fotos, bom tamanho.")</f>
        <v>Bom preço, boas fotos, bom tamanho.</v>
      </c>
      <c r="B52731" s="3">
        <v>1</v>
      </c>
    </row>
    <row r="52732" ht="15.75" customHeight="1" spans="1:2">
      <c r="A52732" s="3" t="str">
        <f>IFERROR(__xludf.DUMMYFUNCTION("GOOGLETRANSLATE(A52732,""en"",""pt"")"),"Grandes imagens, filmes registros, fáceis de usar e de transferência de fotos para o computador")</f>
        <v>Grandes imagens, filmes registros, fáceis de usar e de transferência de fotos para o computador</v>
      </c>
      <c r="B52732" s="3">
        <v>1</v>
      </c>
    </row>
    <row r="52733" ht="15.75" customHeight="1" spans="1:2">
      <c r="A52733" s="3" t="str">
        <f>IFERROR(__xludf.DUMMYFUNCTION("GOOGLETRANSLATE(A52733,""en"",""pt"")"),"Barato, digno de qualidade de imagem, InfoLithium de capacidade, MPEG Filmes")</f>
        <v>Barato, digno de qualidade de imagem, InfoLithium de capacidade, MPEG Filmes</v>
      </c>
      <c r="B52733" s="3">
        <v>1</v>
      </c>
    </row>
    <row r="52734" ht="15.75" customHeight="1" spans="1:2">
      <c r="A52734" s="3" t="str">
        <f>IFERROR(__xludf.DUMMYFUNCTION("GOOGLETRANSLATE(A52734,""en"",""pt"")"),"Fácil de usar. Um monte de acessórios, cartões de memória são baratos")</f>
        <v>Fácil de usar. Um monte de acessórios, cartões de memória são baratos</v>
      </c>
      <c r="B52734" s="3">
        <v>1</v>
      </c>
    </row>
    <row r="52735" ht="15.75" customHeight="1" spans="1:2">
      <c r="A52735" s="3" t="str">
        <f>IFERROR(__xludf.DUMMYFUNCTION("GOOGLETRANSLATE(A52735,""en"",""pt"")"),"compactos, de baixo custo, ótimas fotos, tela grande de LCD, iluminador noite impressionante.")</f>
        <v>compactos, de baixo custo, ótimas fotos, tela grande de LCD, iluminador noite impressionante.</v>
      </c>
      <c r="B52735" s="3">
        <v>1</v>
      </c>
    </row>
    <row r="52736" ht="15.75" customHeight="1" spans="1:2">
      <c r="A52736" s="3" t="str">
        <f>IFERROR(__xludf.DUMMYFUNCTION("GOOGLETRANSLATE(A52736,""en"",""pt"")"),"Barato, melhor qualidade para o preço, muito compacto, parece legal")</f>
        <v>Barato, melhor qualidade para o preço, muito compacto, parece legal</v>
      </c>
      <c r="B52736" s="3">
        <v>1</v>
      </c>
    </row>
    <row r="52737" ht="15.75" customHeight="1" spans="1:2">
      <c r="A52737" s="3" t="str">
        <f>IFERROR(__xludf.DUMMYFUNCTION("GOOGLETRANSLATE(A52737,""en"",""pt"")"),"Tamanho compacto, muitas opções de programação")</f>
        <v>Tamanho compacto, muitas opções de programação</v>
      </c>
      <c r="B52737" s="3">
        <v>1</v>
      </c>
    </row>
    <row r="52738" ht="15.75" customHeight="1" spans="1:2">
      <c r="A52738" s="3" t="str">
        <f>IFERROR(__xludf.DUMMYFUNCTION("GOOGLETRANSLATE(A52738,""en"",""pt"")"),"Nice oferece disponível.")</f>
        <v>Nice oferece disponível.</v>
      </c>
      <c r="B52738" s="3">
        <v>1</v>
      </c>
    </row>
    <row r="52739" ht="15.75" customHeight="1" spans="1:2">
      <c r="A52739" s="3" t="str">
        <f>IFERROR(__xludf.DUMMYFUNCTION("GOOGLETRANSLATE(A52739,""en"",""pt"")"),"6x zoom preciso, bom valor para o dinheiro, linha 37 milímetros para lentes etc.")</f>
        <v>6x zoom preciso, bom valor para o dinheiro, linha 37 milímetros para lentes etc.</v>
      </c>
      <c r="B52739" s="3">
        <v>1</v>
      </c>
    </row>
    <row r="52740" ht="15.75" customHeight="1" spans="1:2">
      <c r="A52740" s="3" t="str">
        <f>IFERROR(__xludf.DUMMYFUNCTION("GOOGLETRANSLATE(A52740,""en"",""pt"")"),"Excelente Qualidade - tanto câmera e fotos")</f>
        <v>Excelente Qualidade - tanto câmera e fotos</v>
      </c>
      <c r="B52740" s="3">
        <v>1</v>
      </c>
    </row>
    <row r="52741" ht="15.75" customHeight="1" spans="1:2">
      <c r="A52741" s="3" t="str">
        <f>IFERROR(__xludf.DUMMYFUNCTION("GOOGLETRANSLATE(A52741,""en"",""pt"")"),"compactos e leves, imagens maravilhosas, fácil de usar")</f>
        <v>compactos e leves, imagens maravilhosas, fácil de usar</v>
      </c>
      <c r="B52741" s="3">
        <v>1</v>
      </c>
    </row>
    <row r="52742" ht="15.75" customHeight="1" spans="1:2">
      <c r="A52742" s="3" t="str">
        <f>IFERROR(__xludf.DUMMYFUNCTION("GOOGLETRANSLATE(A52742,""en"",""pt"")"),"O tamanho pequeno, baterias recarregáveis, excelente qualidade de imagem, reputação Sony")</f>
        <v>O tamanho pequeno, baterias recarregáveis, excelente qualidade de imagem, reputação Sony</v>
      </c>
      <c r="B52742" s="3">
        <v>1</v>
      </c>
    </row>
    <row r="52743" ht="15.75" customHeight="1" spans="1:2">
      <c r="A52743" s="3" t="str">
        <f>IFERROR(__xludf.DUMMYFUNCTION("GOOGLETRANSLATE(A52743,""en"",""pt"")"),"Vem com bateria recarregável e carregador.")</f>
        <v>Vem com bateria recarregável e carregador.</v>
      </c>
      <c r="B52743" s="3">
        <v>1</v>
      </c>
    </row>
    <row r="52744" ht="15.75" customHeight="1" spans="1:2">
      <c r="A52744" s="3" t="str">
        <f>IFERROR(__xludf.DUMMYFUNCTION("GOOGLETRANSLATE(A52744,""en"",""pt"")"),"Ótimo preço. Muito fácil de usar.")</f>
        <v>Ótimo preço. Muito fácil de usar.</v>
      </c>
      <c r="B52744" s="3">
        <v>1</v>
      </c>
    </row>
    <row r="52745" ht="15.75" customHeight="1" spans="1:2">
      <c r="A52745" s="3" t="str">
        <f>IFERROR(__xludf.DUMMYFUNCTION("GOOGLETRANSLATE(A52745,""en"",""pt"")"),"características interessantes e boa incluído guloseimas para o preço.")</f>
        <v>características interessantes e boa incluído guloseimas para o preço.</v>
      </c>
      <c r="B52745" s="3">
        <v>1</v>
      </c>
    </row>
    <row r="52746" ht="15.75" customHeight="1" spans="1:2">
      <c r="A52746" s="3" t="str">
        <f>IFERROR(__xludf.DUMMYFUNCTION("GOOGLETRANSLATE(A52746,""en"",""pt"")"),"Pequeno, compacto, de boa qualidade")</f>
        <v>Pequeno, compacto, de boa qualidade</v>
      </c>
      <c r="B52746" s="3">
        <v>1</v>
      </c>
    </row>
    <row r="52747" ht="15.75" customHeight="1" spans="1:2">
      <c r="A52747" s="3" t="str">
        <f>IFERROR(__xludf.DUMMYFUNCTION("GOOGLETRANSLATE(A52747,""en"",""pt"")"),"Grande display LCD, grandes características da câmera, fácil de usar")</f>
        <v>Grande display LCD, grandes características da câmera, fácil de usar</v>
      </c>
      <c r="B52747" s="3">
        <v>1</v>
      </c>
    </row>
    <row r="52748" ht="15.75" customHeight="1" spans="1:2">
      <c r="A52748" s="3" t="str">
        <f>IFERROR(__xludf.DUMMYFUNCTION("GOOGLETRANSLATE(A52748,""en"",""pt"")"),"Light &amp; amp; sólido. Fácil &amp; amp; simplesmente de modo a usar. Crisp visor LCD, inicialização rápida / shutdown")</f>
        <v>Light &amp; amp; sólido. Fácil &amp; amp; simplesmente de modo a usar. Crisp visor LCD, inicialização rápida / shutdown</v>
      </c>
      <c r="B52748" s="3">
        <v>1</v>
      </c>
    </row>
    <row r="52749" ht="15.75" customHeight="1" spans="1:2">
      <c r="A52749" s="3" t="str">
        <f>IFERROR(__xludf.DUMMYFUNCTION("GOOGLETRANSLATE(A52749,""en"",""pt"")"),"Tamanho, características, valor, qualidade.")</f>
        <v>Tamanho, características, valor, qualidade.</v>
      </c>
      <c r="B52749" s="3">
        <v>1</v>
      </c>
    </row>
    <row r="52750" ht="15.75" customHeight="1" spans="1:2">
      <c r="A52750" s="3" t="str">
        <f>IFERROR(__xludf.DUMMYFUNCTION("GOOGLETRANSLATE(A52750,""en"",""pt"")"),"Fácil, pequeno, leve, de boa qualidade pics, 2.0 megapixels, economia de energia, Auto tudo!")</f>
        <v>Fácil, pequeno, leve, de boa qualidade pics, 2.0 megapixels, economia de energia, Auto tudo!</v>
      </c>
      <c r="B52750" s="3">
        <v>1</v>
      </c>
    </row>
    <row r="52751" ht="15.75" customHeight="1" spans="1:2">
      <c r="A52751" s="3" t="str">
        <f>IFERROR(__xludf.DUMMYFUNCTION("GOOGLETRANSLATE(A52751,""en"",""pt"")"),"bom tamanho, fotos de boa qualidade, construção sólida, boa qualidade de vídeo")</f>
        <v>bom tamanho, fotos de boa qualidade, construção sólida, boa qualidade de vídeo</v>
      </c>
      <c r="B52751" s="3">
        <v>1</v>
      </c>
    </row>
    <row r="52752" ht="15.75" customHeight="1" spans="1:2">
      <c r="A52752" s="3" t="str">
        <f>IFERROR(__xludf.DUMMYFUNCTION("GOOGLETRANSLATE(A52752,""en"",""pt"")"),"Barato, boa qualidade de imagem, boa vida útil da bateria, confortável nas mãos")</f>
        <v>Barato, boa qualidade de imagem, boa vida útil da bateria, confortável nas mãos</v>
      </c>
      <c r="B52752" s="3">
        <v>1</v>
      </c>
    </row>
    <row r="52753" ht="15.75" customHeight="1" spans="1:2">
      <c r="A52753" s="3" t="str">
        <f>IFERROR(__xludf.DUMMYFUNCTION("GOOGLETRANSLATE(A52753,""en"",""pt"")"),"valor excepcional para o dinheiro. 2MP qualidade de imagem. Sony Qualidade de Construção &amp; amp; Reputação")</f>
        <v>valor excepcional para o dinheiro. 2MP qualidade de imagem. Sony Qualidade de Construção &amp; amp; Reputação</v>
      </c>
      <c r="B52753" s="3">
        <v>1</v>
      </c>
    </row>
    <row r="52754" ht="15.75" customHeight="1" spans="1:2">
      <c r="A52754" s="3" t="str">
        <f>IFERROR(__xludf.DUMMYFUNCTION("GOOGLETRANSLATE(A52754,""en"",""pt"")"),"bom tamanho. Boa duração da bateria. Fácil de usar.")</f>
        <v>bom tamanho. Boa duração da bateria. Fácil de usar.</v>
      </c>
      <c r="B52754" s="3">
        <v>1</v>
      </c>
    </row>
    <row r="52755" ht="15.75" customHeight="1" spans="1:2">
      <c r="A52755" s="3" t="str">
        <f>IFERROR(__xludf.DUMMYFUNCTION("GOOGLETRANSLATE(A52755,""en"",""pt"")"),"Muito fácil de usar, imagens de alta qualidade a um preço excelente")</f>
        <v>Muito fácil de usar, imagens de alta qualidade a um preço excelente</v>
      </c>
      <c r="B52755" s="3">
        <v>1</v>
      </c>
    </row>
    <row r="52756" ht="15.75" customHeight="1" spans="1:2">
      <c r="A52756" s="3" t="str">
        <f>IFERROR(__xludf.DUMMYFUNCTION("GOOGLETRANSLATE(A52756,""en"",""pt"")"),"Muito fácil de usar, mesmo para aqueles de nós que não são ""savvy tecnologia"".")</f>
        <v>Muito fácil de usar, mesmo para aqueles de nós que não são "savvy tecnologia".</v>
      </c>
      <c r="B52756" s="3">
        <v>1</v>
      </c>
    </row>
    <row r="52757" ht="15.75" customHeight="1" spans="1:2">
      <c r="A52757" s="3" t="str">
        <f>IFERROR(__xludf.DUMMYFUNCTION("GOOGLETRANSLATE(A52757,""en"",""pt"")"),"Bom preço, de alta resolução, boa exibição, design elegante")</f>
        <v>Bom preço, de alta resolução, boa exibição, design elegante</v>
      </c>
      <c r="B52757" s="3">
        <v>1</v>
      </c>
    </row>
    <row r="52758" ht="15.75" customHeight="1" spans="1:2">
      <c r="A52758" s="3" t="str">
        <f>IFERROR(__xludf.DUMMYFUNCTION("GOOGLETRANSLATE(A52758,""en"",""pt"")"),"Fácil de transportar, leve, grandes fotos, características impressionantes para uma pequena câmera, tais")</f>
        <v>Fácil de transportar, leve, grandes fotos, características impressionantes para uma pequena câmera, tais</v>
      </c>
      <c r="B52758" s="3">
        <v>1</v>
      </c>
    </row>
    <row r="52759" ht="15.75" customHeight="1" spans="1:2">
      <c r="A52759" s="3" t="s">
        <v>273</v>
      </c>
      <c r="B52759" s="3">
        <v>1</v>
      </c>
    </row>
    <row r="52760" ht="15.75" customHeight="1" spans="1:2">
      <c r="A52760" s="3" t="str">
        <f>IFERROR(__xludf.DUMMYFUNCTION("GOOGLETRANSLATE(A52760,""en"",""pt"")"),"Fácil de usar. Grandes fotos para o preço!")</f>
        <v>Fácil de usar. Grandes fotos para o preço!</v>
      </c>
      <c r="B52760" s="3">
        <v>1</v>
      </c>
    </row>
    <row r="52761" ht="15.75" customHeight="1" spans="1:2">
      <c r="A52761" s="3" t="str">
        <f>IFERROR(__xludf.DUMMYFUNCTION("GOOGLETRANSLATE(A52761,""en"",""pt"")"),"Acessível, compacto, fácil de transferir para o computador")</f>
        <v>Acessível, compacto, fácil de transferir para o computador</v>
      </c>
      <c r="B52761" s="3">
        <v>1</v>
      </c>
    </row>
    <row r="52762" ht="15.75" customHeight="1" spans="1:2">
      <c r="A52762" s="3" t="str">
        <f>IFERROR(__xludf.DUMMYFUNCTION("GOOGLETRANSLATE(A52762,""en"",""pt"")"),"Excelente qualidade de imagem, características, usa Memory Stick, filmes registros, inclui carregador e baterias.")</f>
        <v>Excelente qualidade de imagem, características, usa Memory Stick, filmes registros, inclui carregador e baterias.</v>
      </c>
      <c r="B52762" s="3">
        <v>1</v>
      </c>
    </row>
    <row r="52763" ht="15.75" customHeight="1" spans="1:2">
      <c r="A52763" s="3" t="str">
        <f>IFERROR(__xludf.DUMMYFUNCTION("GOOGLETRANSLATE(A52763,""en"",""pt"")"),"Duradouro, durável, compacto, bom preço, não chato de usar / fácil de usar")</f>
        <v>Duradouro, durável, compacto, bom preço, não chato de usar / fácil de usar</v>
      </c>
      <c r="B52763" s="3">
        <v>1</v>
      </c>
    </row>
    <row r="52764" ht="15.75" customHeight="1" spans="1:2">
      <c r="A52764" s="3" t="str">
        <f>IFERROR(__xludf.DUMMYFUNCTION("GOOGLETRANSLATE(A52764,""en"",""pt"")"),"Barato, mas grande qualidade. Bem fácil")</f>
        <v>Barato, mas grande qualidade. Bem fácil</v>
      </c>
      <c r="B52764" s="3">
        <v>1</v>
      </c>
    </row>
    <row r="52765" ht="15.75" customHeight="1" spans="1:2">
      <c r="A52765" s="3" t="str">
        <f>IFERROR(__xludf.DUMMYFUNCTION("GOOGLETRANSLATE(A52765,""en"",""pt"")"),"pequeno tamanho, a duração da bateria, imagens bem iluminadas são excelentes.")</f>
        <v>pequeno tamanho, a duração da bateria, imagens bem iluminadas são excelentes.</v>
      </c>
      <c r="B52765" s="3">
        <v>1</v>
      </c>
    </row>
    <row r="52766" ht="15.75" customHeight="1" spans="1:2">
      <c r="A52766" s="3" t="str">
        <f>IFERROR(__xludf.DUMMYFUNCTION("GOOGLETRANSLATE(A52766,""en"",""pt"")"),"Grandes fotos dos quartos, incrível durabilidade, compacto, fácil de entender, grandes opções de imagem.")</f>
        <v>Grandes fotos dos quartos, incrível durabilidade, compacto, fácil de entender, grandes opções de imagem.</v>
      </c>
      <c r="B52766" s="3">
        <v>1</v>
      </c>
    </row>
    <row r="52767" ht="15.75" customHeight="1" spans="1:2">
      <c r="A52767" s="3" t="str">
        <f>IFERROR(__xludf.DUMMYFUNCTION("GOOGLETRANSLATE(A52767,""en"",""pt"")"),"pequenos, caixa de magnésio, imagens nítidas")</f>
        <v>pequenos, caixa de magnésio, imagens nítidas</v>
      </c>
      <c r="B52767" s="3">
        <v>1</v>
      </c>
    </row>
    <row r="52768" ht="15.75" customHeight="1" spans="1:2">
      <c r="A52768" s="3" t="str">
        <f>IFERROR(__xludf.DUMMYFUNCTION("GOOGLETRANSLATE(A52768,""en"",""pt"")"),"Mais compacto e leve. Cabe no seu bolso.")</f>
        <v>Mais compacto e leve. Cabe no seu bolso.</v>
      </c>
      <c r="B52768" s="3">
        <v>1</v>
      </c>
    </row>
    <row r="52769" ht="15.75" customHeight="1" spans="1:2">
      <c r="A52769" s="3" t="str">
        <f>IFERROR(__xludf.DUMMYFUNCTION("GOOGLETRANSLATE(A52769,""en"",""pt"")"),"O design elegante, tamanho compacto, fácil de usar, as configurações personalizadas, grande iluminação")</f>
        <v>O design elegante, tamanho compacto, fácil de usar, as configurações personalizadas, grande iluminação</v>
      </c>
      <c r="B52769" s="3">
        <v>1</v>
      </c>
    </row>
    <row r="52770" ht="15.75" customHeight="1" spans="1:2">
      <c r="A52770" s="3" t="str">
        <f>IFERROR(__xludf.DUMMYFUNCTION("GOOGLETRANSLATE(A52770,""en"",""pt"")"),"câmera compacta que tira ótimas fotos e MPEGs (/ w de som)")</f>
        <v>câmera compacta que tira ótimas fotos e MPEGs (/ w de som)</v>
      </c>
      <c r="B52770" s="3">
        <v>1</v>
      </c>
    </row>
    <row r="52771" ht="15.75" customHeight="1" spans="1:2">
      <c r="A52771" s="3" t="str">
        <f>IFERROR(__xludf.DUMMYFUNCTION("GOOGLETRANSLATE(A52771,""en"",""pt"")"),"Grandes imagens, muito fácil de usar. Pequeno!")</f>
        <v>Grandes imagens, muito fácil de usar. Pequeno!</v>
      </c>
      <c r="B52771" s="3">
        <v>1</v>
      </c>
    </row>
    <row r="52772" ht="15.75" customHeight="1" spans="1:2">
      <c r="A52772" s="3" t="str">
        <f>IFERROR(__xludf.DUMMYFUNCTION("GOOGLETRANSLATE(A52772,""en"",""pt"")"),"Tamanho compacto, fácil de usar, Mpeg, Auto-Time, subaquático de hospedagem disponíveis !!!")</f>
        <v>Tamanho compacto, fácil de usar, Mpeg, Auto-Time, subaquático de hospedagem disponíveis !!!</v>
      </c>
      <c r="B52772" s="3">
        <v>1</v>
      </c>
    </row>
    <row r="52773" ht="15.75" customHeight="1" spans="1:2">
      <c r="A52773" s="3" t="str">
        <f>IFERROR(__xludf.DUMMYFUNCTION("GOOGLETRANSLATE(A52773,""en"",""pt"")"),"Excelente Qualidade de Imagem &amp; amp; # 13; &amp; amp; # 10; Build &amp; amp sólidos; # 13; &amp; amp; # 10; tampa da lente &amp; amp automáticas; # 13; &amp; amp; # 10; clipes de filme comprimento ilimitado")</f>
        <v>Excelente Qualidade de Imagem &amp; amp; # 13; &amp; amp; # 10; Build &amp; amp sólidos; # 13; &amp; amp; # 10; tampa da lente &amp; amp automáticas; # 13; &amp; amp; # 10; clipes de filme comprimento ilimitado</v>
      </c>
      <c r="B52773" s="3">
        <v>1</v>
      </c>
    </row>
    <row r="52774" ht="15.75" customHeight="1" spans="1:2">
      <c r="A52774" s="3" t="str">
        <f>IFERROR(__xludf.DUMMYFUNCTION("GOOGLETRANSLATE(A52774,""en"",""pt"")"),"qualidade de imagem, recursos, conexões USB, resolução")</f>
        <v>qualidade de imagem, recursos, conexões USB, resolução</v>
      </c>
      <c r="B52774" s="3">
        <v>1</v>
      </c>
    </row>
    <row r="52775" ht="15.75" customHeight="1" spans="1:2">
      <c r="A52775" s="3" t="str">
        <f>IFERROR(__xludf.DUMMYFUNCTION("GOOGLETRANSLATE(A52775,""en"",""pt"")"),"Res alto, excelentes pics, modo de filme w / audio, toneladas de recursos.")</f>
        <v>Res alto, excelentes pics, modo de filme w / audio, toneladas de recursos.</v>
      </c>
      <c r="B52775" s="3">
        <v>1</v>
      </c>
    </row>
    <row r="52776" ht="15.75" customHeight="1" spans="1:2">
      <c r="A52776" s="3" t="str">
        <f>IFERROR(__xludf.DUMMYFUNCTION("GOOGLETRANSLATE(A52776,""en"",""pt"")"),"O tamanho pequeno, bateria recarregável incluído, excelente qualidade")</f>
        <v>O tamanho pequeno, bateria recarregável incluído, excelente qualidade</v>
      </c>
      <c r="B52776" s="3">
        <v>1</v>
      </c>
    </row>
    <row r="52777" ht="15.75" customHeight="1" spans="1:2">
      <c r="A52777" s="3" t="str">
        <f>IFERROR(__xludf.DUMMYFUNCTION("GOOGLETRANSLATE(A52777,""en"",""pt"")"),"Grande qualidade pics, compacto e uma grande compra em US $ 400")</f>
        <v>Grande qualidade pics, compacto e uma grande compra em US $ 400</v>
      </c>
      <c r="B52777" s="3">
        <v>1</v>
      </c>
    </row>
    <row r="52778" ht="15.75" customHeight="1" spans="1:2">
      <c r="A52778" s="3" t="str">
        <f>IFERROR(__xludf.DUMMYFUNCTION("GOOGLETRANSLATE(A52778,""en"",""pt"")"),"resolução de 3.2MP, USB, imagens cristalinas, bateria compacta e recarregável, Self-Timer, modo de filme por US $ 250")</f>
        <v>resolução de 3.2MP, USB, imagens cristalinas, bateria compacta e recarregável, Self-Timer, modo de filme por US $ 250</v>
      </c>
      <c r="B52778" s="3">
        <v>1</v>
      </c>
    </row>
    <row r="52779" ht="15.75" customHeight="1" spans="1:2">
      <c r="A52779" s="3" t="str">
        <f>IFERROR(__xludf.DUMMYFUNCTION("GOOGLETRANSLATE(A52779,""en"",""pt"")"),"pequeno tamanho, facilidade de uso, qualidade de fotos com luz brilhante")</f>
        <v>pequeno tamanho, facilidade de uso, qualidade de fotos com luz brilhante</v>
      </c>
      <c r="B52779" s="3">
        <v>1</v>
      </c>
    </row>
    <row r="52780" ht="15.75" customHeight="1" spans="1:2">
      <c r="A52780" s="3" t="str">
        <f>IFERROR(__xludf.DUMMYFUNCTION("GOOGLETRANSLATE(A52780,""en"",""pt"")"),"boa qualidade de imagem, fácil de usar, acessível lua tiro luz em locais escuros")</f>
        <v>boa qualidade de imagem, fácil de usar, acessível lua tiro luz em locais escuros</v>
      </c>
      <c r="B52780" s="3">
        <v>1</v>
      </c>
    </row>
    <row r="52781" ht="15.75" customHeight="1" spans="1:2">
      <c r="A52781" s="3" t="str">
        <f>IFERROR(__xludf.DUMMYFUNCTION("GOOGLETRANSLATE(A52781,""en"",""pt"")"),"Ótimo preço e características")</f>
        <v>Ótimo preço e características</v>
      </c>
      <c r="B52781" s="3">
        <v>1</v>
      </c>
    </row>
    <row r="52782" ht="15.75" customHeight="1" spans="1:2">
      <c r="A52782" s="3" t="str">
        <f>IFERROR(__xludf.DUMMYFUNCTION("GOOGLETRANSLATE(A52782,""en"",""pt"")"),"pequeno, leve, pode conter um monte de fotos com 128 meg cartão de memória, recurso de vídeo.")</f>
        <v>pequeno, leve, pode conter um monte de fotos com 128 meg cartão de memória, recurso de vídeo.</v>
      </c>
      <c r="B52782" s="3">
        <v>1</v>
      </c>
    </row>
    <row r="52783" ht="15.75" customHeight="1" spans="1:2">
      <c r="A52783" s="3" t="str">
        <f>IFERROR(__xludf.DUMMYFUNCTION("GOOGLETRANSLATE(A52783,""en"",""pt"")"),"grande qualidade Sony, imagens claras / resolução")</f>
        <v>grande qualidade Sony, imagens claras / resolução</v>
      </c>
      <c r="B52783" s="3">
        <v>1</v>
      </c>
    </row>
    <row r="52784" ht="15.75" customHeight="1" spans="1:2">
      <c r="A52784" s="3" t="str">
        <f>IFERROR(__xludf.DUMMYFUNCTION("GOOGLETRANSLATE(A52784,""en"",""pt"")"),"Fácil de usar. Fotos excelentes. Aparência legal!")</f>
        <v>Fácil de usar. Fotos excelentes. Aparência legal!</v>
      </c>
      <c r="B52784" s="3">
        <v>1</v>
      </c>
    </row>
    <row r="52785" ht="15.75" customHeight="1" spans="1:2">
      <c r="A52785" s="3" t="str">
        <f>IFERROR(__xludf.DUMMYFUNCTION("GOOGLETRANSLATE(A52785,""en"",""pt"")"),"Fácil de usar, boa qualidade de imagem.")</f>
        <v>Fácil de usar, boa qualidade de imagem.</v>
      </c>
      <c r="B52785" s="3">
        <v>1</v>
      </c>
    </row>
    <row r="52786" ht="15.75" customHeight="1" spans="1:2">
      <c r="A52786" s="3" t="str">
        <f>IFERROR(__xludf.DUMMYFUNCTION("GOOGLETRANSLATE(A52786,""en"",""pt"")"),"Toma brilhantes fotos diurnas, boas características, filtros adicionais / lentes disponíveis ...")</f>
        <v>Toma brilhantes fotos diurnas, boas características, filtros adicionais / lentes disponíveis ...</v>
      </c>
      <c r="B52786" s="3">
        <v>1</v>
      </c>
    </row>
    <row r="52787" ht="15.75" customHeight="1" spans="1:2">
      <c r="A52787" s="3" t="str">
        <f>IFERROR(__xludf.DUMMYFUNCTION("GOOGLETRANSLATE(A52787,""en"",""pt"")"),"câmera de usuário amigável com excelente qualidade diurna foto.")</f>
        <v>câmera de usuário amigável com excelente qualidade diurna foto.</v>
      </c>
      <c r="B52787" s="3">
        <v>1</v>
      </c>
    </row>
    <row r="52788" ht="15.75" customHeight="1" spans="1:2">
      <c r="A52788" s="3" t="str">
        <f>IFERROR(__xludf.DUMMYFUNCTION("GOOGLETRANSLATE(A52788,""en"",""pt"")"),"Grandes fotos, modo de filme agradável, pequeno, fácil de usar,")</f>
        <v>Grandes fotos, modo de filme agradável, pequeno, fácil de usar,</v>
      </c>
      <c r="B52788" s="3">
        <v>1</v>
      </c>
    </row>
    <row r="52789" ht="15.75" customHeight="1" spans="1:2">
      <c r="A52789" s="3" t="str">
        <f>IFERROR(__xludf.DUMMYFUNCTION("GOOGLETRANSLATE(A52789,""en"",""pt"")"),"tamanho, qualidade dia, ajustabilidade")</f>
        <v>tamanho, qualidade dia, ajustabilidade</v>
      </c>
      <c r="B52789" s="3">
        <v>1</v>
      </c>
    </row>
    <row r="52790" ht="15.75" customHeight="1" spans="1:2">
      <c r="A52790" s="3" t="str">
        <f>IFERROR(__xludf.DUMMYFUNCTION("GOOGLETRANSLATE(A52790,""en"",""pt"")"),"qualidade Sony. Fácil de usar. fotos decentes. Muita diversão.")</f>
        <v>qualidade Sony. Fácil de usar. fotos decentes. Muita diversão.</v>
      </c>
      <c r="B52790" s="3">
        <v>1</v>
      </c>
    </row>
    <row r="52791" ht="15.75" customHeight="1" spans="1:2">
      <c r="A52791" s="3" t="str">
        <f>IFERROR(__xludf.DUMMYFUNCTION("GOOGLETRANSLATE(A52791,""en"",""pt"")"),"Um monte de câmera para o dinheiro.,")</f>
        <v>Um monte de câmera para o dinheiro.,</v>
      </c>
      <c r="B52791" s="3">
        <v>1</v>
      </c>
    </row>
    <row r="52792" ht="15.75" customHeight="1" spans="1:2">
      <c r="A52792" s="3" t="str">
        <f>IFERROR(__xludf.DUMMYFUNCTION("GOOGLETRANSLATE(A52792,""en"",""pt"")"),"Fácil de usar, grandes recursos, peso leve, excelente reprodução.")</f>
        <v>Fácil de usar, grandes recursos, peso leve, excelente reprodução.</v>
      </c>
      <c r="B52792" s="3">
        <v>1</v>
      </c>
    </row>
    <row r="52793" ht="15.75" customHeight="1" spans="1:2">
      <c r="A52793" s="3" t="str">
        <f>IFERROR(__xludf.DUMMYFUNCTION("GOOGLETRANSLATE(A52793,""en"",""pt"")"),"Nenhum")</f>
        <v>Nenhum</v>
      </c>
      <c r="B52793" s="3">
        <v>1</v>
      </c>
    </row>
    <row r="52794" ht="15.75" customHeight="1" spans="1:2">
      <c r="A52794" s="3" t="str">
        <f>IFERROR(__xludf.DUMMYFUNCTION("GOOGLETRANSLATE(A52794,""en"",""pt"")"),"Sony qualidade de imagem, filtros frescos, recurso Movie")</f>
        <v>Sony qualidade de imagem, filtros frescos, recurso Movie</v>
      </c>
      <c r="B52794" s="3">
        <v>1</v>
      </c>
    </row>
    <row r="52795" ht="15.75" customHeight="1" spans="1:2">
      <c r="A52795" s="3" t="str">
        <f>IFERROR(__xludf.DUMMYFUNCTION("GOOGLETRANSLATE(A52795,""en"",""pt"")"),"Rápido e sujo, bom número de recursos para o $$.")</f>
        <v>Rápido e sujo, bom número de recursos para o $$.</v>
      </c>
      <c r="B52795" s="3">
        <v>1</v>
      </c>
    </row>
    <row r="52796" ht="15.75" customHeight="1" spans="1:2">
      <c r="A52796" s="3" t="str">
        <f>IFERROR(__xludf.DUMMYFUNCTION("GOOGLETRANSLATE(A52796,""en"",""pt"")"),"Compacto, fácil de usar, boa Pictures")</f>
        <v>Compacto, fácil de usar, boa Pictures</v>
      </c>
      <c r="B52796" s="3">
        <v>1</v>
      </c>
    </row>
    <row r="52797" ht="15.75" customHeight="1" spans="1:2">
      <c r="A52797" s="3" t="str">
        <f>IFERROR(__xludf.DUMMYFUNCTION("GOOGLETRANSLATE(A52797,""en"",""pt"")"),"Boas fotos")</f>
        <v>Boas fotos</v>
      </c>
      <c r="B52797" s="3">
        <v>1</v>
      </c>
    </row>
    <row r="52798" ht="15.75" customHeight="1" spans="1:2">
      <c r="A52798" s="3" t="str">
        <f>IFERROR(__xludf.DUMMYFUNCTION("GOOGLETRANSLATE(A52798,""en"",""pt"")"),"interface fácil; Ótimas fotos; Nome grande Sony; modo de filme")</f>
        <v>interface fácil; Ótimas fotos; Nome grande Sony; modo de filme</v>
      </c>
      <c r="B52798" s="3">
        <v>1</v>
      </c>
    </row>
    <row r="52799" ht="15.75" customHeight="1" spans="1:2">
      <c r="A52799" s="3" t="str">
        <f>IFERROR(__xludf.DUMMYFUNCTION("GOOGLETRANSLATE(A52799,""en"",""pt"")"),"Qualidade de imagem, muitos recursos")</f>
        <v>Qualidade de imagem, muitos recursos</v>
      </c>
      <c r="B52799" s="3">
        <v>1</v>
      </c>
    </row>
    <row r="52800" ht="15.75" customHeight="1" spans="1:2">
      <c r="A52800" s="3" t="str">
        <f>IFERROR(__xludf.DUMMYFUNCTION("GOOGLETRANSLATE(A52800,""en"",""pt"")"),"Boa qualidade de imagem, Cargas de funções, saída de vídeo função útil,")</f>
        <v>Boa qualidade de imagem, Cargas de funções, saída de vídeo função útil,</v>
      </c>
      <c r="B52800" s="3">
        <v>1</v>
      </c>
    </row>
    <row r="52801" ht="15.75" customHeight="1" spans="1:2">
      <c r="A52801" s="3" t="str">
        <f>IFERROR(__xludf.DUMMYFUNCTION("GOOGLETRANSLATE(A52801,""en"",""pt"")"),"tamanho, conectividade computador, focar a uma distância")</f>
        <v>tamanho, conectividade computador, focar a uma distância</v>
      </c>
      <c r="B52801" s="3">
        <v>1</v>
      </c>
    </row>
    <row r="52802" ht="15.75" customHeight="1" spans="1:2">
      <c r="A52802" s="3" t="str">
        <f>IFERROR(__xludf.DUMMYFUNCTION("GOOGLETRANSLATE(A52802,""en"",""pt"")"),"visor é uma obrigação. Pode usar pilhas AA")</f>
        <v>visor é uma obrigação. Pode usar pilhas AA</v>
      </c>
      <c r="B52802" s="3">
        <v>1</v>
      </c>
    </row>
    <row r="52803" ht="15.75" customHeight="1" spans="1:2">
      <c r="A52803" s="3" t="str">
        <f>IFERROR(__xludf.DUMMYFUNCTION("GOOGLETRANSLATE(A52803,""en"",""pt"")"),"aparência legal, grandes fotos, simples de operar, o modo de vídeo, grande movimentação")</f>
        <v>aparência legal, grandes fotos, simples de operar, o modo de vídeo, grande movimentação</v>
      </c>
      <c r="B52803" s="3">
        <v>1</v>
      </c>
    </row>
    <row r="52804" ht="15.75" customHeight="1" spans="1:2">
      <c r="A52804" s="3" t="str">
        <f>IFERROR(__xludf.DUMMYFUNCTION("GOOGLETRANSLATE(A52804,""en"",""pt"")"),"Compacto, cheio de recursos, fácil de usar, excelentes fotos.")</f>
        <v>Compacto, cheio de recursos, fácil de usar, excelentes fotos.</v>
      </c>
      <c r="B52804" s="3">
        <v>1</v>
      </c>
    </row>
    <row r="52805" ht="15.75" customHeight="1" spans="1:2">
      <c r="A52805" s="3" t="str">
        <f>IFERROR(__xludf.DUMMYFUNCTION("GOOGLETRANSLATE(A52805,""en"",""pt"")"),"2.1 megapixels, longa 6x zoom, ajuste macro, resolução ajustável, pequeno e leve")</f>
        <v>2.1 megapixels, longa 6x zoom, ajuste macro, resolução ajustável, pequeno e leve</v>
      </c>
      <c r="B52805" s="3">
        <v>1</v>
      </c>
    </row>
    <row r="52806" ht="15.75" customHeight="1" spans="1:2">
      <c r="A52806" s="3" t="str">
        <f>IFERROR(__xludf.DUMMYFUNCTION("GOOGLETRANSLATE(A52806,""en"",""pt"")"),"O projeto do divertimento, grandes recursos")</f>
        <v>O projeto do divertimento, grandes recursos</v>
      </c>
      <c r="B52806" s="3">
        <v>1</v>
      </c>
    </row>
    <row r="52807" ht="15.75" customHeight="1" spans="1:2">
      <c r="A52807" s="3" t="str">
        <f>IFERROR(__xludf.DUMMYFUNCTION("GOOGLETRANSLATE(A52807,""en"",""pt"")"),"Preço, grande LCD, operação fácil")</f>
        <v>Preço, grande LCD, operação fácil</v>
      </c>
      <c r="B52807" s="3">
        <v>1</v>
      </c>
    </row>
    <row r="52808" ht="15.75" customHeight="1" spans="1:2">
      <c r="A52808" s="3" t="str">
        <f>IFERROR(__xludf.DUMMYFUNCTION("GOOGLETRANSLATE(A52808,""en"",""pt"")"),"pequeno, leve, excelente qualidade de imagem, grandes recursos.")</f>
        <v>pequeno, leve, excelente qualidade de imagem, grandes recursos.</v>
      </c>
      <c r="B52808" s="3">
        <v>1</v>
      </c>
    </row>
    <row r="52809" ht="15.75" customHeight="1" spans="1:2">
      <c r="A52809" s="3" t="str">
        <f>IFERROR(__xludf.DUMMYFUNCTION("GOOGLETRANSLATE(A52809,""en"",""pt"")"),"Bom custo-benefício para 2,1 câmera mpix. A vida da bateria mais longa do que o esperado.")</f>
        <v>Bom custo-benefício para 2,1 câmera mpix. A vida da bateria mais longa do que o esperado.</v>
      </c>
      <c r="B52809" s="3">
        <v>1</v>
      </c>
    </row>
    <row r="52810" ht="15.75" customHeight="1" spans="1:2">
      <c r="A52810" s="3" t="str">
        <f>IFERROR(__xludf.DUMMYFUNCTION("GOOGLETRANSLATE(A52810,""en"",""pt"")"),"Compact, lente zoom, fotos de qualidade")</f>
        <v>Compact, lente zoom, fotos de qualidade</v>
      </c>
      <c r="B52810" s="3">
        <v>1</v>
      </c>
    </row>
    <row r="52811" ht="15.75" customHeight="1" spans="1:2">
      <c r="A52811" s="3" t="str">
        <f>IFERROR(__xludf.DUMMYFUNCTION("GOOGLETRANSLATE(A52811,""en"",""pt"")"),"Excelente qualidade de imagem, excelente vida útil da bateria, fácil de usar, elegante &amp; amp; design compacto")</f>
        <v>Excelente qualidade de imagem, excelente vida útil da bateria, fácil de usar, elegante &amp; amp; design compacto</v>
      </c>
      <c r="B52811" s="3">
        <v>1</v>
      </c>
    </row>
    <row r="52812" ht="15.75" customHeight="1" spans="1:2">
      <c r="A52812" s="3" t="str">
        <f>IFERROR(__xludf.DUMMYFUNCTION("GOOGLETRANSLATE(A52812,""en"",""pt"")"),"Lotes das características de tela, LCD")</f>
        <v>Lotes das características de tela, LCD</v>
      </c>
      <c r="B52812" s="3">
        <v>1</v>
      </c>
    </row>
    <row r="52813" ht="15.75" customHeight="1" spans="1:2">
      <c r="A52813" s="3" t="str">
        <f>IFERROR(__xludf.DUMMYFUNCTION("GOOGLETRANSLATE(A52813,""en"",""pt"")"),"Compacto, tem uma tela de LCD, Lotes das características.")</f>
        <v>Compacto, tem uma tela de LCD, Lotes das características.</v>
      </c>
      <c r="B52813" s="3">
        <v>1</v>
      </c>
    </row>
    <row r="52814" ht="15.75" customHeight="1" spans="1:2">
      <c r="A52814" s="3" t="str">
        <f>IFERROR(__xludf.DUMMYFUNCTION("GOOGLETRANSLATE(A52814,""en"",""pt"")"),"peso leve, excelente qualidade de imagem, melhor para bater a bola!")</f>
        <v>peso leve, excelente qualidade de imagem, melhor para bater a bola!</v>
      </c>
      <c r="B52814" s="3">
        <v>1</v>
      </c>
    </row>
    <row r="52815" ht="15.75" customHeight="1" spans="1:2">
      <c r="A52815" s="3" t="str">
        <f>IFERROR(__xludf.DUMMYFUNCTION("GOOGLETRANSLATE(A52815,""en"",""pt"")"),"Preço baixo, grande qualidade, pequenos, muitos recursos")</f>
        <v>Preço baixo, grande qualidade, pequenos, muitos recursos</v>
      </c>
      <c r="B52815" s="3">
        <v>1</v>
      </c>
    </row>
    <row r="52816" ht="15.75" customHeight="1" spans="1:2">
      <c r="A52816" s="3" t="str">
        <f>IFERROR(__xludf.DUMMYFUNCTION("GOOGLETRANSLATE(A52816,""en"",""pt"")"),"compacta, 2 megapixels, funciona bem com o meu MAC !!!")</f>
        <v>compacta, 2 megapixels, funciona bem com o meu MAC !!!</v>
      </c>
      <c r="B52816" s="3">
        <v>1</v>
      </c>
    </row>
    <row r="52817" ht="15.75" customHeight="1" spans="1:2">
      <c r="A52817" s="3" t="str">
        <f>IFERROR(__xludf.DUMMYFUNCTION("GOOGLETRANSLATE(A52817,""en"",""pt"")"),"Fácil de usar, imagens de boa qualidade, características agradáveis, bom para a maioria das pessoas")</f>
        <v>Fácil de usar, imagens de boa qualidade, características agradáveis, bom para a maioria das pessoas</v>
      </c>
      <c r="B52817" s="3">
        <v>1</v>
      </c>
    </row>
    <row r="52818" ht="15.75" customHeight="1" spans="1:2">
      <c r="A52818" s="3" t="str">
        <f>IFERROR(__xludf.DUMMYFUNCTION("GOOGLETRANSLATE(A52818,""en"",""pt"")"),"bom tamanho e forma, grandes recursos")</f>
        <v>bom tamanho e forma, grandes recursos</v>
      </c>
      <c r="B52818" s="3">
        <v>1</v>
      </c>
    </row>
    <row r="52819" ht="15.75" customHeight="1" spans="1:2">
      <c r="A52819" s="3" t="str">
        <f>IFERROR(__xludf.DUMMYFUNCTION("GOOGLETRANSLATE(A52819,""en"",""pt"")"),"Grandes recursos, pequeno, excelente qualidade de imagem")</f>
        <v>Grandes recursos, pequeno, excelente qualidade de imagem</v>
      </c>
      <c r="B52819" s="3">
        <v>1</v>
      </c>
    </row>
    <row r="52820" ht="15.75" customHeight="1" spans="1:2">
      <c r="A52820" s="3" t="str">
        <f>IFERROR(__xludf.DUMMYFUNCTION("GOOGLETRANSLATE(A52820,""en"",""pt"")"),"fácil de usar, a abundância de sinos e assobios")</f>
        <v>fácil de usar, a abundância de sinos e assobios</v>
      </c>
      <c r="B52820" s="3">
        <v>1</v>
      </c>
    </row>
    <row r="52821" ht="15.75" customHeight="1" spans="1:2">
      <c r="A52821" s="3" t="str">
        <f>IFERROR(__xludf.DUMMYFUNCTION("GOOGLETRANSLATE(A52821,""en"",""pt"")"),"Características, tamanho, capacidade Memory Stick")</f>
        <v>Características, tamanho, capacidade Memory Stick</v>
      </c>
      <c r="B52821" s="3">
        <v>1</v>
      </c>
    </row>
    <row r="52822" ht="15.75" customHeight="1" spans="1:2">
      <c r="A52822" s="3" t="str">
        <f>IFERROR(__xludf.DUMMYFUNCTION("GOOGLETRANSLATE(A52822,""en"",""pt"")"),"Fácil de usar, excelente qualidade de imagem, bateria dura muito tempo,")</f>
        <v>Fácil de usar, excelente qualidade de imagem, bateria dura muito tempo,</v>
      </c>
      <c r="B52822" s="3">
        <v>1</v>
      </c>
    </row>
    <row r="52823" ht="15.75" customHeight="1" spans="1:2">
      <c r="A52823" s="3" t="str">
        <f>IFERROR(__xludf.DUMMYFUNCTION("GOOGLETRANSLATE(A52823,""en"",""pt"")"),"Fácil de operar, plug n play.")</f>
        <v>Fácil de operar, plug n play.</v>
      </c>
      <c r="B52823" s="3">
        <v>1</v>
      </c>
    </row>
    <row r="52824" ht="15.75" customHeight="1" spans="1:2">
      <c r="A52824" s="3" t="str">
        <f>IFERROR(__xludf.DUMMYFUNCTION("GOOGLETRANSLATE(A52824,""en"",""pt"")"),"Sony Marca, pequeno, leve, memory stick, imagens nítidas, a revisão fácil foto.")</f>
        <v>Sony Marca, pequeno, leve, memory stick, imagens nítidas, a revisão fácil foto.</v>
      </c>
      <c r="B52824" s="3">
        <v>1</v>
      </c>
    </row>
    <row r="52825" ht="15.75" customHeight="1" spans="1:2">
      <c r="A52825" s="3" t="str">
        <f>IFERROR(__xludf.DUMMYFUNCTION("GOOGLETRANSLATE(A52825,""en"",""pt"")"),"Facilidade de uso (quando se trabalha)")</f>
        <v>Facilidade de uso (quando se trabalha)</v>
      </c>
      <c r="B52825" s="3">
        <v>1</v>
      </c>
    </row>
    <row r="52826" ht="15.75" customHeight="1" spans="1:2">
      <c r="A52826" s="3" t="s">
        <v>274</v>
      </c>
      <c r="B52826" s="3">
        <v>1</v>
      </c>
    </row>
    <row r="52827" ht="15.75" customHeight="1" spans="1:2">
      <c r="A52827" s="3" t="str">
        <f>IFERROR(__xludf.DUMMYFUNCTION("GOOGLETRANSLATE(A52827,""en"",""pt"")"),"Compacta e consistente com grandes fotos")</f>
        <v>Compacta e consistente com grandes fotos</v>
      </c>
      <c r="B52827" s="3">
        <v>1</v>
      </c>
    </row>
    <row r="52828" ht="15.75" customHeight="1" spans="1:2">
      <c r="A52828" s="3" t="str">
        <f>IFERROR(__xludf.DUMMYFUNCTION("GOOGLETRANSLATE(A52828,""en"",""pt"")"),"My Sony P51 Cyber-Shot funcionou muito bem enquanto ele funcionou!")</f>
        <v>My Sony P51 Cyber-Shot funcionou muito bem enquanto ele funcionou!</v>
      </c>
      <c r="B52828" s="3">
        <v>1</v>
      </c>
    </row>
    <row r="52829" ht="15.75" customHeight="1" spans="1:2">
      <c r="A52829" s="3" t="str">
        <f>IFERROR(__xludf.DUMMYFUNCTION("GOOGLETRANSLATE(A52829,""en"",""pt"")"),"tamanho compacto, facilidade tirar fotos, facilidade para baixar no computador.")</f>
        <v>tamanho compacto, facilidade tirar fotos, facilidade para baixar no computador.</v>
      </c>
      <c r="B52829" s="3">
        <v>1</v>
      </c>
    </row>
    <row r="52830" ht="15.75" customHeight="1" spans="1:2">
      <c r="A52830" s="3" t="str">
        <f>IFERROR(__xludf.DUMMYFUNCTION("GOOGLETRANSLATE(A52830,""en"",""pt"")"),"Demora muito bom fotos.")</f>
        <v>Demora muito bom fotos.</v>
      </c>
      <c r="B52830" s="3">
        <v>1</v>
      </c>
    </row>
    <row r="52831" ht="15.75" customHeight="1" spans="1:2">
      <c r="A52831" s="3" t="str">
        <f>IFERROR(__xludf.DUMMYFUNCTION("GOOGLETRANSLATE(A52831,""en"",""pt"")"),"Bom preço, ótimo resolução, grandes cores")</f>
        <v>Bom preço, ótimo resolução, grandes cores</v>
      </c>
      <c r="B52831" s="3">
        <v>1</v>
      </c>
    </row>
    <row r="52832" ht="15.75" customHeight="1" spans="1:2">
      <c r="A52832" s="3" t="str">
        <f>IFERROR(__xludf.DUMMYFUNCTION("GOOGLETRANSLATE(A52832,""en"",""pt"")"),"construção de qualidade, ótimos recursos, terríveis imagens, flexibilidade, compatibilidade")</f>
        <v>construção de qualidade, ótimos recursos, terríveis imagens, flexibilidade, compatibilidade</v>
      </c>
      <c r="B52832" s="3">
        <v>1</v>
      </c>
    </row>
    <row r="52833" ht="15.75" customHeight="1" spans="1:2">
      <c r="A52833" s="3" t="str">
        <f>IFERROR(__xludf.DUMMYFUNCTION("GOOGLETRANSLATE(A52833,""en"",""pt"")"),"Compacta com muitos recursos, fácil de usar.")</f>
        <v>Compacta com muitos recursos, fácil de usar.</v>
      </c>
      <c r="B52833" s="3">
        <v>1</v>
      </c>
    </row>
    <row r="52834" ht="15.75" customHeight="1" spans="1:2">
      <c r="A52834" s="3" t="str">
        <f>IFERROR(__xludf.DUMMYFUNCTION("GOOGLETRANSLATE(A52834,""en"",""pt"")"),"modo de filme; sépia &amp; amp; B &amp; amp; W, zoom óptico de user-friendly, baterias recarregáveis")</f>
        <v>modo de filme; sépia &amp; amp; B &amp; amp; W, zoom óptico de user-friendly, baterias recarregáveis</v>
      </c>
      <c r="B52834" s="3">
        <v>1</v>
      </c>
    </row>
    <row r="52835" ht="15.75" customHeight="1" spans="1:2">
      <c r="A52835" s="3" t="str">
        <f>IFERROR(__xludf.DUMMYFUNCTION("GOOGLETRANSLATE(A52835,""en"",""pt"")"),"grandes recursos, grande autonomia da bateria, tamanho grande")</f>
        <v>grandes recursos, grande autonomia da bateria, tamanho grande</v>
      </c>
      <c r="B52835" s="3">
        <v>1</v>
      </c>
    </row>
    <row r="52836" ht="15.75" customHeight="1" spans="1:2">
      <c r="A52836" s="3" t="str">
        <f>IFERROR(__xludf.DUMMYFUNCTION("GOOGLETRANSLATE(A52836,""en"",""pt"")"),"Imagens de grande qualidade. Muito fácil de usar.")</f>
        <v>Imagens de grande qualidade. Muito fácil de usar.</v>
      </c>
      <c r="B52836" s="3">
        <v>1</v>
      </c>
    </row>
    <row r="52837" ht="15.75" customHeight="1" spans="1:2">
      <c r="A52837" s="3" t="str">
        <f>IFERROR(__xludf.DUMMYFUNCTION("GOOGLETRANSLATE(A52837,""en"",""pt"")"),"muito amigável para um usuário dig-cam primeira vez.")</f>
        <v>muito amigável para um usuário dig-cam primeira vez.</v>
      </c>
      <c r="B52837" s="3">
        <v>1</v>
      </c>
    </row>
    <row r="52838" ht="15.75" customHeight="1" spans="1:2">
      <c r="A52838" s="3" t="str">
        <f>IFERROR(__xludf.DUMMYFUNCTION("GOOGLETRANSLATE(A52838,""en"",""pt"")"),"Pode tirar fotos digitais, bem como vídeos de curta duração.")</f>
        <v>Pode tirar fotos digitais, bem como vídeos de curta duração.</v>
      </c>
      <c r="B52838" s="3">
        <v>1</v>
      </c>
    </row>
    <row r="52839" ht="15.75" customHeight="1" spans="1:2">
      <c r="A52839" s="3" t="str">
        <f>IFERROR(__xludf.DUMMYFUNCTION("GOOGLETRANSLATE(A52839,""en"",""pt"")"),"Qualidade de imagem, faz ótimas fotos ampliadas, vem equipado com baterias recarregáveis ​​e carregador.")</f>
        <v>Qualidade de imagem, faz ótimas fotos ampliadas, vem equipado com baterias recarregáveis ​​e carregador.</v>
      </c>
      <c r="B52839" s="3">
        <v>1</v>
      </c>
    </row>
    <row r="52840" ht="15.75" customHeight="1" spans="1:2">
      <c r="A52840" s="3" t="str">
        <f>IFERROR(__xludf.DUMMYFUNCTION("GOOGLETRANSLATE(A52840,""en"",""pt"")"),"Alta resolução, fácil de usar, baterias recarregáveis, pode gravar filmes")</f>
        <v>Alta resolução, fácil de usar, baterias recarregáveis, pode gravar filmes</v>
      </c>
      <c r="B52840" s="3">
        <v>1</v>
      </c>
    </row>
    <row r="52841" ht="15.75" customHeight="1" spans="1:2">
      <c r="A52841" s="3" t="str">
        <f>IFERROR(__xludf.DUMMYFUNCTION("GOOGLETRANSLATE(A52841,""en"",""pt"")"),"Leve, fácil de usar no modo automático, excelente qualidade de imagem (SONY (R) lente), bateria de longa duração")</f>
        <v>Leve, fácil de usar no modo automático, excelente qualidade de imagem (SONY (R) lente), bateria de longa duração</v>
      </c>
      <c r="B52841" s="3">
        <v>1</v>
      </c>
    </row>
    <row r="52842" ht="15.75" customHeight="1" spans="1:2">
      <c r="A52842" s="3" t="str">
        <f>IFERROR(__xludf.DUMMYFUNCTION("GOOGLETRANSLATE(A52842,""en"",""pt"")"),"qualidade de imagem, preço, facilidade de uso")</f>
        <v>qualidade de imagem, preço, facilidade de uso</v>
      </c>
      <c r="B52842" s="3">
        <v>1</v>
      </c>
    </row>
    <row r="52843" ht="15.75" customHeight="1" spans="1:2">
      <c r="A52843" s="3" t="str">
        <f>IFERROR(__xludf.DUMMYFUNCTION("GOOGLETRANSLATE(A52843,""en"",""pt"")"),"Fácil de usar, tamanho pequeno, as opções parecem intermináveis")</f>
        <v>Fácil de usar, tamanho pequeno, as opções parecem intermináveis</v>
      </c>
      <c r="B52843" s="3">
        <v>1</v>
      </c>
    </row>
    <row r="52844" ht="15.75" customHeight="1" spans="1:2">
      <c r="A52844" s="3" t="str">
        <f>IFERROR(__xludf.DUMMYFUNCTION("GOOGLETRANSLATE(A52844,""en"",""pt"")"),"Nítidas imagens, elegante, fácil conexão, User Friendly,")</f>
        <v>Nítidas imagens, elegante, fácil conexão, User Friendly,</v>
      </c>
      <c r="B52844" s="3">
        <v>1</v>
      </c>
    </row>
    <row r="52845" ht="15.75" customHeight="1" spans="1:2">
      <c r="A52845" s="3" t="str">
        <f>IFERROR(__xludf.DUMMYFUNCTION("GOOGLETRANSLATE(A52845,""en"",""pt"")"),"Fácil de usar. clips de vídeo incrível, com áudio.")</f>
        <v>Fácil de usar. clips de vídeo incrível, com áudio.</v>
      </c>
      <c r="B52845" s="3">
        <v>1</v>
      </c>
    </row>
    <row r="52846" ht="15.75" customHeight="1" spans="1:2">
      <c r="A52846" s="3" t="str">
        <f>IFERROR(__xludf.DUMMYFUNCTION("GOOGLETRANSLATE(A52846,""en"",""pt"")"),"Elegante, leve, Fantastic 3,2 qualidade MP, com gravação de áudio de vídeo")</f>
        <v>Elegante, leve, Fantastic 3,2 qualidade MP, com gravação de áudio de vídeo</v>
      </c>
      <c r="B52846" s="3">
        <v>1</v>
      </c>
    </row>
    <row r="52847" ht="15.75" customHeight="1" spans="1:2">
      <c r="A52847" s="3" t="str">
        <f>IFERROR(__xludf.DUMMYFUNCTION("GOOGLETRANSLATE(A52847,""en"",""pt"")"),"Limpar imagens de cor grande, pequeno facilidade tamanho de uso")</f>
        <v>Limpar imagens de cor grande, pequeno facilidade tamanho de uso</v>
      </c>
      <c r="B52847" s="3">
        <v>1</v>
      </c>
    </row>
    <row r="52848" ht="15.75" customHeight="1" spans="1:2">
      <c r="A52848" s="3" t="str">
        <f>IFERROR(__xludf.DUMMYFUNCTION("GOOGLETRANSLATE(A52848,""en"",""pt"")"),"Pequeno o suficiente para caber no seu bolso. Leve e fácil de usar")</f>
        <v>Pequeno o suficiente para caber no seu bolso. Leve e fácil de usar</v>
      </c>
      <c r="B52848" s="3">
        <v>1</v>
      </c>
    </row>
    <row r="52849" ht="15.75" customHeight="1" spans="1:2">
      <c r="A52849" s="3" t="str">
        <f>IFERROR(__xludf.DUMMYFUNCTION("GOOGLETRANSLATE(A52849,""en"",""pt"")"),"Grande qualidade da foto, ea velocidade do obturador. A vida da bateria é o melhor que eu já vi!")</f>
        <v>Grande qualidade da foto, ea velocidade do obturador. A vida da bateria é o melhor que eu já vi!</v>
      </c>
      <c r="B52849" s="3">
        <v>1</v>
      </c>
    </row>
    <row r="52850" ht="15.75" customHeight="1" spans="1:2">
      <c r="A52850" s="3" t="str">
        <f>IFERROR(__xludf.DUMMYFUNCTION("GOOGLETRANSLATE(A52850,""en"",""pt"")"),"variedade de opções, a qualidade é excelente.")</f>
        <v>variedade de opções, a qualidade é excelente.</v>
      </c>
      <c r="B52850" s="3">
        <v>1</v>
      </c>
    </row>
    <row r="52851" ht="15.75" customHeight="1" spans="1:2">
      <c r="A52851" s="3" t="str">
        <f>IFERROR(__xludf.DUMMYFUNCTION("GOOGLETRANSLATE(A52851,""en"",""pt"")"),"Elegante e fácil operação &amp; amp; transmissão para o computador.")</f>
        <v>Elegante e fácil operação &amp; amp; transmissão para o computador.</v>
      </c>
      <c r="B52851" s="3">
        <v>1</v>
      </c>
    </row>
    <row r="52852" ht="15.75" customHeight="1" spans="1:2">
      <c r="A52852" s="3" t="str">
        <f>IFERROR(__xludf.DUMMYFUNCTION("GOOGLETRANSLATE(A52852,""en"",""pt"")"),"bom equilíbrio de características, preço &amp; amp; Tamanho")</f>
        <v>bom equilíbrio de características, preço &amp; amp; Tamanho</v>
      </c>
      <c r="B52852" s="3">
        <v>1</v>
      </c>
    </row>
    <row r="52853" ht="15.75" customHeight="1" spans="1:2">
      <c r="A52853" s="3" t="str">
        <f>IFERROR(__xludf.DUMMYFUNCTION("GOOGLETRANSLATE(A52853,""en"",""pt"")"),"Fácil de usar, tamanho compacto, instruções são fáceis de entender")</f>
        <v>Fácil de usar, tamanho compacto, instruções são fáceis de entender</v>
      </c>
      <c r="B52853" s="3">
        <v>1</v>
      </c>
    </row>
    <row r="52854" ht="15.75" customHeight="1" spans="1:2">
      <c r="A52854" s="3" t="str">
        <f>IFERROR(__xludf.DUMMYFUNCTION("GOOGLETRANSLATE(A52854,""en"",""pt"")"),"Pequeno, Luz, todas as características que você precisa e então alguns")</f>
        <v>Pequeno, Luz, todas as características que você precisa e então alguns</v>
      </c>
      <c r="B52854" s="3">
        <v>1</v>
      </c>
    </row>
    <row r="52855" ht="15.75" customHeight="1" spans="1:2">
      <c r="A52855" s="3" t="str">
        <f>IFERROR(__xludf.DUMMYFUNCTION("GOOGLETRANSLATE(A52855,""en"",""pt"")"),"Boa câmera por menos de $ 400. Pequeno, mas durável")</f>
        <v>Boa câmera por menos de $ 400. Pequeno, mas durável</v>
      </c>
      <c r="B52855" s="3">
        <v>1</v>
      </c>
    </row>
    <row r="52856" ht="15.75" customHeight="1" spans="1:2">
      <c r="A52856" s="3" t="str">
        <f>IFERROR(__xludf.DUMMYFUNCTION("GOOGLETRANSLATE(A52856,""en"",""pt"")"),"Ótimo preço para o que você. pequeno pacote.")</f>
        <v>Ótimo preço para o que você. pequeno pacote.</v>
      </c>
      <c r="B52856" s="3">
        <v>1</v>
      </c>
    </row>
    <row r="52857" ht="15.75" customHeight="1" spans="1:2">
      <c r="A52857" s="3" t="str">
        <f>IFERROR(__xludf.DUMMYFUNCTION("GOOGLETRANSLATE(A52857,""en"",""pt"")"),"Tamanho, facilidade de uso, qualidade de imagem")</f>
        <v>Tamanho, facilidade de uso, qualidade de imagem</v>
      </c>
      <c r="B52857" s="3">
        <v>1</v>
      </c>
    </row>
    <row r="52858" ht="15.75" customHeight="1" spans="1:2">
      <c r="A52858" s="3" t="str">
        <f>IFERROR(__xludf.DUMMYFUNCTION("GOOGLETRANSLATE(A52858,""en"",""pt"")"),"Boa qualidade de imagem, Zoom, cabo de vídeo para visualização de TV slide.")</f>
        <v>Boa qualidade de imagem, Zoom, cabo de vídeo para visualização de TV slide.</v>
      </c>
      <c r="B52858" s="3">
        <v>1</v>
      </c>
    </row>
    <row r="52859" ht="15.75" customHeight="1" spans="1:2">
      <c r="A52859" s="3" t="str">
        <f>IFERROR(__xludf.DUMMYFUNCTION("GOOGLETRANSLATE(A52859,""en"",""pt"")"),"boa qualidade de imagem, fácil de usar, excelente com pouca luz e ação")</f>
        <v>boa qualidade de imagem, fácil de usar, excelente com pouca luz e ação</v>
      </c>
      <c r="B52859" s="3">
        <v>1</v>
      </c>
    </row>
    <row r="52860" ht="15.75" customHeight="1" spans="1:2">
      <c r="A52860" s="3" t="str">
        <f>IFERROR(__xludf.DUMMYFUNCTION("GOOGLETRANSLATE(A52860,""en"",""pt"")"),"Qualidade da imagem, tamanho, capacidade de memória, Look &amp; amp; Sentir")</f>
        <v>Qualidade da imagem, tamanho, capacidade de memória, Look &amp; amp; Sentir</v>
      </c>
      <c r="B52860" s="3">
        <v>1</v>
      </c>
    </row>
    <row r="52861" ht="15.75" customHeight="1" spans="1:2">
      <c r="A52861" s="3" t="str">
        <f>IFERROR(__xludf.DUMMYFUNCTION("GOOGLETRANSLATE(A52861,""en"",""pt"")"),"Baterias! Você precisa de apenas dois, eles dão vida longa, eles são fornecidos.")</f>
        <v>Baterias! Você precisa de apenas dois, eles dão vida longa, eles são fornecidos.</v>
      </c>
      <c r="B52861" s="3">
        <v>1</v>
      </c>
    </row>
    <row r="52862" ht="15.75" customHeight="1" spans="1:2">
      <c r="A52862" s="3" t="str">
        <f>IFERROR(__xludf.DUMMYFUNCTION("GOOGLETRANSLATE(A52862,""en"",""pt"")"),"Grande Camera, HQ Imagens, boa bateria e excelente opção de carregador. boa Camera geral!")</f>
        <v>Grande Camera, HQ Imagens, boa bateria e excelente opção de carregador. boa Camera geral!</v>
      </c>
      <c r="B52862" s="3">
        <v>1</v>
      </c>
    </row>
    <row r="52863" ht="15.75" customHeight="1" spans="1:2">
      <c r="A52863" s="3" t="str">
        <f>IFERROR(__xludf.DUMMYFUNCTION("GOOGLETRANSLATE(A52863,""en"",""pt"")"),"capacidade de zoom impressionante, tamanho e peso útil, instalações cena noite úteis")</f>
        <v>capacidade de zoom impressionante, tamanho e peso útil, instalações cena noite úteis</v>
      </c>
      <c r="B52863" s="3">
        <v>1</v>
      </c>
    </row>
    <row r="52864" ht="15.75" customHeight="1" spans="1:2">
      <c r="A52864" s="3" t="str">
        <f>IFERROR(__xludf.DUMMYFUNCTION("GOOGLETRANSLATE(A52864,""en"",""pt"")"),"Qualidade, tamanho, Memória, Peso")</f>
        <v>Qualidade, tamanho, Memória, Peso</v>
      </c>
      <c r="B52864" s="3">
        <v>1</v>
      </c>
    </row>
    <row r="52865" ht="15.75" customHeight="1" spans="1:2">
      <c r="A52865" s="3" t="str">
        <f>IFERROR(__xludf.DUMMYFUNCTION("GOOGLETRANSLATE(A52865,""en"",""pt"")"),"design compacto, fácil de usar, excelente qualidade de imagem")</f>
        <v>design compacto, fácil de usar, excelente qualidade de imagem</v>
      </c>
      <c r="B52865" s="3">
        <v>1</v>
      </c>
    </row>
    <row r="52866" ht="15.75" customHeight="1" spans="1:2">
      <c r="A52866" s="3" t="str">
        <f>IFERROR(__xludf.DUMMYFUNCTION("GOOGLETRANSLATE(A52866,""en"",""pt"")"),"Foi fácil de usar. O recurso de ""filme"" ampliou o tempo de gravação.")</f>
        <v>Foi fácil de usar. O recurso de "filme" ampliou o tempo de gravação.</v>
      </c>
      <c r="B52866" s="3">
        <v>1</v>
      </c>
    </row>
    <row r="52867" ht="15.75" customHeight="1" spans="1:2">
      <c r="A52867" s="3" t="str">
        <f>IFERROR(__xludf.DUMMYFUNCTION("GOOGLETRANSLATE(A52867,""en"",""pt"")"),"de qualidade profissional de imagem., tamanho pequeno., Muitas funções!")</f>
        <v>de qualidade profissional de imagem., tamanho pequeno., Muitas funções!</v>
      </c>
      <c r="B52867" s="3">
        <v>1</v>
      </c>
    </row>
    <row r="52868" ht="15.75" customHeight="1" spans="1:2">
      <c r="A52868" s="3" t="str">
        <f>IFERROR(__xludf.DUMMYFUNCTION("GOOGLETRANSLATE(A52868,""en"",""pt"")"),"Compacto, fácil de usar, tela LCD oferece grandes previews")</f>
        <v>Compacto, fácil de usar, tela LCD oferece grandes previews</v>
      </c>
      <c r="B52868" s="3">
        <v>1</v>
      </c>
    </row>
    <row r="52869" ht="15.75" customHeight="1" spans="1:2">
      <c r="A52869" s="3" t="str">
        <f>IFERROR(__xludf.DUMMYFUNCTION("GOOGLETRANSLATE(A52869,""en"",""pt"")"),"Leve &amp; amp; fácil de segurar.")</f>
        <v>Leve &amp; amp; fácil de segurar.</v>
      </c>
      <c r="B52869" s="3">
        <v>1</v>
      </c>
    </row>
    <row r="52870" ht="15.75" customHeight="1" spans="1:2">
      <c r="A52870" s="3" t="str">
        <f>IFERROR(__xludf.DUMMYFUNCTION("GOOGLETRANSLATE(A52870,""en"",""pt"")"),"componentes de qualidade. O tamanho pequeno e excelente qualidade geral da foto.")</f>
        <v>componentes de qualidade. O tamanho pequeno e excelente qualidade geral da foto.</v>
      </c>
      <c r="B52870" s="3">
        <v>1</v>
      </c>
    </row>
    <row r="52871" ht="15.75" customHeight="1" spans="1:2">
      <c r="A52871" s="3" t="str">
        <f>IFERROR(__xludf.DUMMYFUNCTION("GOOGLETRANSLATE(A52871,""en"",""pt"")"),"Bom, compactos, fotos decentes e um monte de controles de usuário")</f>
        <v>Bom, compactos, fotos decentes e um monte de controles de usuário</v>
      </c>
      <c r="B52871" s="3">
        <v>1</v>
      </c>
    </row>
    <row r="52872" ht="15.75" customHeight="1" spans="1:2">
      <c r="A52872" s="3" t="str">
        <f>IFERROR(__xludf.DUMMYFUNCTION("GOOGLETRANSLATE(A52872,""en"",""pt"")"),"bom tamanho, rápido, características interessantes, fotos agradáveis ​​e vida útil da bateria bastante longo ...")</f>
        <v>bom tamanho, rápido, características interessantes, fotos agradáveis ​​e vida útil da bateria bastante longo ...</v>
      </c>
      <c r="B52872" s="3">
        <v>1</v>
      </c>
    </row>
    <row r="52873" ht="15.75" customHeight="1" spans="1:2">
      <c r="A52873" s="3" t="s">
        <v>275</v>
      </c>
      <c r="B52873" s="3">
        <v>1</v>
      </c>
    </row>
    <row r="52874" ht="15.75" customHeight="1" spans="1:2">
      <c r="A52874" s="3" t="str">
        <f>IFERROR(__xludf.DUMMYFUNCTION("GOOGLETRANSLATE(A52874,""en"",""pt"")"),"Fácil de usar")</f>
        <v>Fácil de usar</v>
      </c>
      <c r="B52874" s="3">
        <v>1</v>
      </c>
    </row>
    <row r="52875" ht="15.75" customHeight="1" spans="1:2">
      <c r="A52875" s="3" t="str">
        <f>IFERROR(__xludf.DUMMYFUNCTION("GOOGLETRANSLATE(A52875,""en"",""pt"")"),"Excelente qualidade de foto, extrema facilidade de uso, SONY styling.,")</f>
        <v>Excelente qualidade de foto, extrema facilidade de uso, SONY styling.,</v>
      </c>
      <c r="B52875" s="3">
        <v>1</v>
      </c>
    </row>
    <row r="52876" ht="15.75" customHeight="1" spans="1:2">
      <c r="A52876" s="3" t="str">
        <f>IFERROR(__xludf.DUMMYFUNCTION("GOOGLETRANSLATE(A52876,""en"",""pt"")"),"Realmente fácil de usar. Excelentes fotos de qualidade.")</f>
        <v>Realmente fácil de usar. Excelentes fotos de qualidade.</v>
      </c>
      <c r="B52876" s="3">
        <v>1</v>
      </c>
    </row>
    <row r="52877" ht="15.75" customHeight="1" spans="1:2">
      <c r="A52877" s="3" t="str">
        <f>IFERROR(__xludf.DUMMYFUNCTION("GOOGLETRANSLATE(A52877,""en"",""pt"")"),"Excelentes pics, extremamente fácil de usar.")</f>
        <v>Excelentes pics, extremamente fácil de usar.</v>
      </c>
      <c r="B52877" s="3">
        <v>1</v>
      </c>
    </row>
    <row r="52878" ht="15.75" customHeight="1" spans="1:2">
      <c r="A52878" s="3" t="str">
        <f>IFERROR(__xludf.DUMMYFUNCTION("GOOGLETRANSLATE(A52878,""en"",""pt"")"),"Usa 2 pilhas AA padrão. fotos de alta qualidade e bom zoom.")</f>
        <v>Usa 2 pilhas AA padrão. fotos de alta qualidade e bom zoom.</v>
      </c>
      <c r="B52878" s="3">
        <v>1</v>
      </c>
    </row>
    <row r="52879" ht="15.75" customHeight="1" spans="1:2">
      <c r="A52879" s="3" t="str">
        <f>IFERROR(__xludf.DUMMYFUNCTION("GOOGLETRANSLATE(A52879,""en"",""pt"")"),"Grandes imagens, iluminador autofocus, resistente, câmera ""sentir"", compacto, simples, vida útil da bateria, fácil conectividade.")</f>
        <v>Grandes imagens, iluminador autofocus, resistente, câmera "sentir", compacto, simples, vida útil da bateria, fácil conectividade.</v>
      </c>
      <c r="B52879" s="3">
        <v>1</v>
      </c>
    </row>
    <row r="52880" ht="15.75" customHeight="1" spans="1:2">
      <c r="A52880" s="3" t="str">
        <f>IFERROR(__xludf.DUMMYFUNCTION("GOOGLETRANSLATE(A52880,""en"",""pt"")"),"Excelente qualidade de imagem. design confortável. conexão USB = downloads rápidos. função do obturador pouca luz!")</f>
        <v>Excelente qualidade de imagem. design confortável. conexão USB = downloads rápidos. função do obturador pouca luz!</v>
      </c>
      <c r="B52880" s="3">
        <v>1</v>
      </c>
    </row>
    <row r="52881" ht="15.75" customHeight="1" spans="1:2">
      <c r="A52881" s="3" t="str">
        <f>IFERROR(__xludf.DUMMYFUNCTION("GOOGLETRANSLATE(A52881,""en"",""pt"")"),"Baixo preço para uma qualidade muito boa")</f>
        <v>Baixo preço para uma qualidade muito boa</v>
      </c>
      <c r="B52881" s="3">
        <v>1</v>
      </c>
    </row>
    <row r="52882" ht="15.75" customHeight="1" spans="1:2">
      <c r="A52882" s="3" t="s">
        <v>276</v>
      </c>
      <c r="B52882" s="3">
        <v>1</v>
      </c>
    </row>
    <row r="52883" ht="15.75" customHeight="1" spans="1:2">
      <c r="A52883" s="3" t="str">
        <f>IFERROR(__xludf.DUMMYFUNCTION("GOOGLETRANSLATE(A52883,""en"",""pt"")"),"Excelente qualidade de imagem")</f>
        <v>Excelente qualidade de imagem</v>
      </c>
      <c r="B52883" s="3">
        <v>1</v>
      </c>
    </row>
    <row r="52884" ht="15.75" customHeight="1" spans="1:2">
      <c r="A52884" s="3" t="str">
        <f>IFERROR(__xludf.DUMMYFUNCTION("GOOGLETRANSLATE(A52884,""en"",""pt"")"),"excelentes fotos, bateria de longa duração, captura de vídeo, tamanho compacto")</f>
        <v>excelentes fotos, bateria de longa duração, captura de vídeo, tamanho compacto</v>
      </c>
      <c r="B52884" s="3">
        <v>1</v>
      </c>
    </row>
    <row r="52885" ht="15.75" customHeight="1" spans="1:2">
      <c r="A52885" s="3" t="str">
        <f>IFERROR(__xludf.DUMMYFUNCTION("GOOGLETRANSLATE(A52885,""en"",""pt"")"),"Bom tamanho, tem excelentes fotos com iluminação natural, a velocidade de obturação mais rápida do que alguns, bom preço.")</f>
        <v>Bom tamanho, tem excelentes fotos com iluminação natural, a velocidade de obturação mais rápida do que alguns, bom preço.</v>
      </c>
      <c r="B52885" s="3">
        <v>1</v>
      </c>
    </row>
    <row r="52886" ht="15.75" customHeight="1" spans="1:2">
      <c r="A52886" s="3" t="str">
        <f>IFERROR(__xludf.DUMMYFUNCTION("GOOGLETRANSLATE(A52886,""en"",""pt"")"),"Excelente qualidade de imagem, boa vida útil da bateria")</f>
        <v>Excelente qualidade de imagem, boa vida útil da bateria</v>
      </c>
      <c r="B52886" s="3">
        <v>1</v>
      </c>
    </row>
    <row r="52887" ht="15.75" customHeight="1" spans="1:2">
      <c r="A52887" s="3" t="str">
        <f>IFERROR(__xludf.DUMMYFUNCTION("GOOGLETRANSLATE(A52887,""en"",""pt"")"),"Fácil de usar, opções expansivas")</f>
        <v>Fácil de usar, opções expansivas</v>
      </c>
      <c r="B52887" s="3">
        <v>1</v>
      </c>
    </row>
    <row r="52888" ht="15.75" customHeight="1" spans="1:2">
      <c r="A52888" s="3" t="str">
        <f>IFERROR(__xludf.DUMMYFUNCTION("GOOGLETRANSLATE(A52888,""en"",""pt"")"),"grande fotos de qualidade, boa usabilidade, luz")</f>
        <v>grande fotos de qualidade, boa usabilidade, luz</v>
      </c>
      <c r="B52888" s="3">
        <v>1</v>
      </c>
    </row>
    <row r="52889" ht="15.75" customHeight="1" spans="1:2">
      <c r="A52889" s="3" t="str">
        <f>IFERROR(__xludf.DUMMYFUNCTION("GOOGLETRANSLATE(A52889,""en"",""pt"")"),"marca, serviço, função flash, software, cor, Memory Stick,")</f>
        <v>marca, serviço, função flash, software, cor, Memory Stick,</v>
      </c>
      <c r="B52889" s="3">
        <v>1</v>
      </c>
    </row>
    <row r="52890" ht="15.75" customHeight="1" spans="1:2">
      <c r="A52890" s="3" t="str">
        <f>IFERROR(__xludf.DUMMYFUNCTION("GOOGLETRANSLATE(A52890,""en"",""pt"")"),"Muito fácil de usar, excelente qualidade de imagem.")</f>
        <v>Muito fácil de usar, excelente qualidade de imagem.</v>
      </c>
      <c r="B52890" s="3">
        <v>1</v>
      </c>
    </row>
    <row r="52891" ht="15.75" customHeight="1" spans="1:2">
      <c r="A52891" s="3" t="str">
        <f>IFERROR(__xludf.DUMMYFUNCTION("GOOGLETRANSLATE(A52891,""en"",""pt"")"),"Excelente qualidade de imagem. Excelente desempenho de pouca luz. Fácil de usar.")</f>
        <v>Excelente qualidade de imagem. Excelente desempenho de pouca luz. Fácil de usar.</v>
      </c>
      <c r="B52891" s="3">
        <v>1</v>
      </c>
    </row>
    <row r="52892" ht="15.75" customHeight="1" spans="1:2">
      <c r="A52892" s="3" t="str">
        <f>IFERROR(__xludf.DUMMYFUNCTION("GOOGLETRANSLATE(A52892,""en"",""pt"")"),"Tela de qualidade LCD, nenhum atraso do obturador, excelentes fotos, filmes fantásticos.")</f>
        <v>Tela de qualidade LCD, nenhum atraso do obturador, excelentes fotos, filmes fantásticos.</v>
      </c>
      <c r="B52892" s="3">
        <v>1</v>
      </c>
    </row>
    <row r="52893" ht="15.75" customHeight="1" spans="1:2">
      <c r="A52893" s="3" t="str">
        <f>IFERROR(__xludf.DUMMYFUNCTION("GOOGLETRANSLATE(A52893,""en"",""pt"")"),"Câmera excelente arranque.")</f>
        <v>Câmera excelente arranque.</v>
      </c>
      <c r="B52893" s="3">
        <v>1</v>
      </c>
    </row>
    <row r="52894" ht="15.75" customHeight="1" spans="1:2">
      <c r="A52894" s="3" t="str">
        <f>IFERROR(__xludf.DUMMYFUNCTION("GOOGLETRANSLATE(A52894,""en"",""pt"")"),"Fácil de usar, a qualidade das imagens são grandes")</f>
        <v>Fácil de usar, a qualidade das imagens são grandes</v>
      </c>
      <c r="B52894" s="3">
        <v>1</v>
      </c>
    </row>
    <row r="52895" ht="15.75" customHeight="1" spans="1:2">
      <c r="A52895" s="3" t="s">
        <v>277</v>
      </c>
      <c r="B52895" s="3">
        <v>1</v>
      </c>
    </row>
    <row r="52896" ht="15.75" customHeight="1" spans="1:2">
      <c r="A52896" s="3" t="str">
        <f>IFERROR(__xludf.DUMMYFUNCTION("GOOGLETRANSLATE(A52896,""en"",""pt"")"),"Ela produz os melhores filmes que eu encontrei em uma câmara fotográfica digital!")</f>
        <v>Ela produz os melhores filmes que eu encontrei em uma câmara fotográfica digital!</v>
      </c>
      <c r="B52896" s="3">
        <v>1</v>
      </c>
    </row>
    <row r="52897" ht="15.75" customHeight="1" spans="1:2">
      <c r="A52897" s="3" t="str">
        <f>IFERROR(__xludf.DUMMYFUNCTION("GOOGLETRANSLATE(A52897,""en"",""pt"")"),"Tem toneladas de grandes recursos. Você pode até mesmo optar por fazer a sua imagem preto / branco.")</f>
        <v>Tem toneladas de grandes recursos. Você pode até mesmo optar por fazer a sua imagem preto / branco.</v>
      </c>
      <c r="B52897" s="3">
        <v>1</v>
      </c>
    </row>
    <row r="52898" ht="15.75" customHeight="1" spans="1:2">
      <c r="A52898" s="3" t="str">
        <f>IFERROR(__xludf.DUMMYFUNCTION("GOOGLETRANSLATE(A52898,""en"",""pt"")"),"zoom óptico de 3x, você pode fazer arquivos GIF, excelentes vídeos")</f>
        <v>zoom óptico de 3x, você pode fazer arquivos GIF, excelentes vídeos</v>
      </c>
      <c r="B52898" s="3">
        <v>1</v>
      </c>
    </row>
    <row r="52899" ht="15.75" customHeight="1" spans="1:2">
      <c r="A52899" s="3" t="str">
        <f>IFERROR(__xludf.DUMMYFUNCTION("GOOGLETRANSLATE(A52899,""en"",""pt"")"),"Excelente qualidade de imagem; flexível &amp; amp; definições de imagem fáceis")</f>
        <v>Excelente qualidade de imagem; flexível &amp; amp; definições de imagem fáceis</v>
      </c>
      <c r="B52899" s="3">
        <v>1</v>
      </c>
    </row>
    <row r="52900" ht="15.75" customHeight="1" spans="1:2">
      <c r="A52900" s="3" t="str">
        <f>IFERROR(__xludf.DUMMYFUNCTION("GOOGLETRANSLATE(A52900,""en"",""pt"")"),"Fácil de usar, não muito grande, não muito pequeno, grande autonomia da bateria")</f>
        <v>Fácil de usar, não muito grande, não muito pequeno, grande autonomia da bateria</v>
      </c>
      <c r="B52900" s="3">
        <v>1</v>
      </c>
    </row>
    <row r="52901" ht="15.75" customHeight="1" spans="1:2">
      <c r="A52901" s="3" t="str">
        <f>IFERROR(__xludf.DUMMYFUNCTION("GOOGLETRANSLATE(A52901,""en"",""pt"")"),"compacto, fácil de usar, de grande qualidade pics, ele vem com baterias recarregáveis ​​e carregador")</f>
        <v>compacto, fácil de usar, de grande qualidade pics, ele vem com baterias recarregáveis ​​e carregador</v>
      </c>
      <c r="B52901" s="3">
        <v>1</v>
      </c>
    </row>
    <row r="52902" ht="15.75" customHeight="1" spans="1:2">
      <c r="A52902" s="3" t="str">
        <f>IFERROR(__xludf.DUMMYFUNCTION("GOOGLETRANSLATE(A52902,""en"",""pt"")"),"Fácil de usar. Ótimas fotos. Instruções fáceis de seguir.")</f>
        <v>Fácil de usar. Ótimas fotos. Instruções fáceis de seguir.</v>
      </c>
      <c r="B52902" s="3">
        <v>1</v>
      </c>
    </row>
    <row r="52903" ht="15.75" customHeight="1" spans="1:2">
      <c r="A52903" s="3" t="str">
        <f>IFERROR(__xludf.DUMMYFUNCTION("GOOGLETRANSLATE(A52903,""en"",""pt"")"),"A qualidade, modos de flash, modo de filme, olhar, facilidade de uso.")</f>
        <v>A qualidade, modos de flash, modo de filme, olhar, facilidade de uso.</v>
      </c>
      <c r="B52903" s="3">
        <v>1</v>
      </c>
    </row>
    <row r="52904" ht="15.75" customHeight="1" spans="1:2">
      <c r="A52904" s="3" t="str">
        <f>IFERROR(__xludf.DUMMYFUNCTION("GOOGLETRANSLATE(A52904,""en"",""pt"")"),"leve, compacto, flash muito adequado, bom suporte técnico, sem tampa da lente!")</f>
        <v>leve, compacto, flash muito adequado, bom suporte técnico, sem tampa da lente!</v>
      </c>
      <c r="B52904" s="3">
        <v>1</v>
      </c>
    </row>
    <row r="52905" ht="15.75" customHeight="1" spans="1:2">
      <c r="A52905" s="3" t="str">
        <f>IFERROR(__xludf.DUMMYFUNCTION("GOOGLETRANSLATE(A52905,""en"",""pt"")"),"compacta, resistente, pequeno, pode fazer filmes")</f>
        <v>compacta, resistente, pequeno, pode fazer filmes</v>
      </c>
      <c r="B52905" s="3">
        <v>1</v>
      </c>
    </row>
    <row r="52906" ht="15.75" customHeight="1" spans="1:2">
      <c r="A52906" s="3" t="str">
        <f>IFERROR(__xludf.DUMMYFUNCTION("GOOGLETRANSLATE(A52906,""en"",""pt"")"),"Bolso câmera tamanho, peso leve, durável, fácil de usar, contém várias características e possibilidades")</f>
        <v>Bolso câmera tamanho, peso leve, durável, fácil de usar, contém várias características e possibilidades</v>
      </c>
      <c r="B52906" s="3">
        <v>1</v>
      </c>
    </row>
    <row r="52907" ht="15.75" customHeight="1" spans="1:2">
      <c r="A52907" s="3" t="str">
        <f>IFERROR(__xludf.DUMMYFUNCTION("GOOGLETRANSLATE(A52907,""en"",""pt"")"),"bom tamanho pequeno &amp; amp; # 13; &amp; amp; # 10; Excelente qualidade &amp; amp imagem; # 13; &amp; amp; # 10; Boa duração da bateria")</f>
        <v>bom tamanho pequeno &amp; amp; # 13; &amp; amp; # 10; Excelente qualidade &amp; amp imagem; # 13; &amp; amp; # 10; Boa duração da bateria</v>
      </c>
      <c r="B52907" s="3">
        <v>1</v>
      </c>
    </row>
    <row r="52908" ht="15.75" customHeight="1" spans="1:2">
      <c r="A52908" s="3" t="str">
        <f>IFERROR(__xludf.DUMMYFUNCTION("GOOGLETRANSLATE(A52908,""en"",""pt"")"),"O tamanho pequeno, 4,0 Megapixels, pode gravar vídeo,")</f>
        <v>O tamanho pequeno, 4,0 Megapixels, pode gravar vídeo,</v>
      </c>
      <c r="B52908" s="3">
        <v>1</v>
      </c>
    </row>
    <row r="52909" ht="15.75" customHeight="1" spans="1:2">
      <c r="A52909" s="3" t="str">
        <f>IFERROR(__xludf.DUMMYFUNCTION("GOOGLETRANSLATE(A52909,""en"",""pt"")"),"Pequeno, leve, concentra-se em pouca luz, brilhante LCD com visualização zoom, fotos excelentes, preço.")</f>
        <v>Pequeno, leve, concentra-se em pouca luz, brilhante LCD com visualização zoom, fotos excelentes, preço.</v>
      </c>
      <c r="B52909" s="3">
        <v>1</v>
      </c>
    </row>
    <row r="52910" ht="15.75" customHeight="1" spans="1:2">
      <c r="A52910" s="3" t="str">
        <f>IFERROR(__xludf.DUMMYFUNCTION("GOOGLETRANSLATE(A52910,""en"",""pt"")"),"olhares surpreendentes, compacto e leve")</f>
        <v>olhares surpreendentes, compacto e leve</v>
      </c>
      <c r="B52910" s="3">
        <v>1</v>
      </c>
    </row>
    <row r="52911" ht="15.75" customHeight="1" spans="1:2">
      <c r="A52911" s="3" t="str">
        <f>IFERROR(__xludf.DUMMYFUNCTION("GOOGLETRANSLATE(A52911,""en"",""pt"")"),"Pequeno, leve, característica carregado, LCD protegido, e tampa da lente integrada.")</f>
        <v>Pequeno, leve, característica carregado, LCD protegido, e tampa da lente integrada.</v>
      </c>
      <c r="B52911" s="3">
        <v>1</v>
      </c>
    </row>
    <row r="52912" ht="15.75" customHeight="1" spans="1:2">
      <c r="A52912" s="3" t="str">
        <f>IFERROR(__xludf.DUMMYFUNCTION("GOOGLETRANSLATE(A52912,""en"",""pt"")"),"Compact, quase à prova de idiotas, sendo capaz de se concentrar no escuro")</f>
        <v>Compact, quase à prova de idiotas, sendo capaz de se concentrar no escuro</v>
      </c>
      <c r="B52912" s="3">
        <v>1</v>
      </c>
    </row>
    <row r="52913" ht="15.75" customHeight="1" spans="1:2">
      <c r="A52913" s="3" t="str">
        <f>IFERROR(__xludf.DUMMYFUNCTION("GOOGLETRANSLATE(A52913,""en"",""pt"")"),"Fácil de usar, funciona à noite, a gravação do filme mpeg, o tamanho, a memória funciona bem com o VAIO.")</f>
        <v>Fácil de usar, funciona à noite, a gravação do filme mpeg, o tamanho, a memória funciona bem com o VAIO.</v>
      </c>
      <c r="B52913" s="3">
        <v>1</v>
      </c>
    </row>
    <row r="52914" ht="15.75" customHeight="1" spans="1:2">
      <c r="A52914" s="3" t="str">
        <f>IFERROR(__xludf.DUMMYFUNCTION("GOOGLETRANSLATE(A52914,""en"",""pt"")"),"Pequeno e compacto, fácil de usar, imagem grande qualidade, modo MPEG Movie.")</f>
        <v>Pequeno e compacto, fácil de usar, imagem grande qualidade, modo MPEG Movie.</v>
      </c>
      <c r="B52914" s="3">
        <v>1</v>
      </c>
    </row>
    <row r="52915" ht="15.75" customHeight="1" spans="1:2">
      <c r="A52915" s="3" t="str">
        <f>IFERROR(__xludf.DUMMYFUNCTION("GOOGLETRANSLATE(A52915,""en"",""pt"")"),"Fácil de usar e tiros de qualidade absolutamente maravilhosos")</f>
        <v>Fácil de usar e tiros de qualidade absolutamente maravilhosos</v>
      </c>
      <c r="B52915" s="3">
        <v>1</v>
      </c>
    </row>
    <row r="52916" ht="15.75" customHeight="1" spans="1:2">
      <c r="A52916" s="3" t="str">
        <f>IFERROR(__xludf.DUMMYFUNCTION("GOOGLETRANSLATE(A52916,""en"",""pt"")"),"leva boa de perto as imagens no escuro")</f>
        <v>leva boa de perto as imagens no escuro</v>
      </c>
      <c r="B52916" s="3">
        <v>1</v>
      </c>
    </row>
    <row r="52917" ht="15.75" customHeight="1" spans="1:2">
      <c r="A52917" s="3" t="str">
        <f>IFERROR(__xludf.DUMMYFUNCTION("GOOGLETRANSLATE(A52917,""en"",""pt"")"),"Mais robusto do que seria de esperar. Muito imagens de alta qualidade. Boa capacidade de filme.")</f>
        <v>Mais robusto do que seria de esperar. Muito imagens de alta qualidade. Boa capacidade de filme.</v>
      </c>
      <c r="B52917" s="3">
        <v>1</v>
      </c>
    </row>
    <row r="52918" ht="15.75" customHeight="1" spans="1:2">
      <c r="A52918" s="3" t="str">
        <f>IFERROR(__xludf.DUMMYFUNCTION("GOOGLETRANSLATE(A52918,""en"",""pt"")"),"Toma alta qualidade pics, compacto")</f>
        <v>Toma alta qualidade pics, compacto</v>
      </c>
      <c r="B52918" s="3">
        <v>1</v>
      </c>
    </row>
    <row r="52919" ht="15.75" customHeight="1" spans="1:2">
      <c r="A52919" s="3" t="str">
        <f>IFERROR(__xludf.DUMMYFUNCTION("GOOGLETRANSLATE(A52919,""en"",""pt"")"),"O tamanho pequeno, 4 Resolução Megapixel, 3 configurações de flash, 2: 3 relação de 4X6 impressões perfeitas")</f>
        <v>O tamanho pequeno, 4 Resolução Megapixel, 3 configurações de flash, 2: 3 relação de 4X6 impressões perfeitas</v>
      </c>
      <c r="B52919" s="3">
        <v>1</v>
      </c>
    </row>
    <row r="52920" ht="15.75" customHeight="1" spans="1:2">
      <c r="A52920" s="3" t="str">
        <f>IFERROR(__xludf.DUMMYFUNCTION("GOOGLETRANSLATE(A52920,""en"",""pt"")"),"bom zoom, boa qualidade de imagem, barato, bom armazenamento")</f>
        <v>bom zoom, boa qualidade de imagem, barato, bom armazenamento</v>
      </c>
      <c r="B52920" s="3">
        <v>1</v>
      </c>
    </row>
    <row r="52921" ht="15.75" customHeight="1" spans="1:2">
      <c r="A52921" s="3" t="str">
        <f>IFERROR(__xludf.DUMMYFUNCTION("GOOGLETRANSLATE(A52921,""en"",""pt"")"),"Boa qualidade de imagem. Grande número de controles criativos. Giratório monitor LCD.")</f>
        <v>Boa qualidade de imagem. Grande número de controles criativos. Giratório monitor LCD.</v>
      </c>
      <c r="B52921" s="3">
        <v>1</v>
      </c>
    </row>
    <row r="52922" ht="15.75" customHeight="1" spans="1:2">
      <c r="A52922" s="3" t="str">
        <f>IFERROR(__xludf.DUMMYFUNCTION("GOOGLETRANSLATE(A52922,""en"",""pt"")"),"Fácil de usar, fotos dos quartos, se move na tela.")</f>
        <v>Fácil de usar, fotos dos quartos, se move na tela.</v>
      </c>
      <c r="B52922" s="3">
        <v>1</v>
      </c>
    </row>
    <row r="52923" ht="15.75" customHeight="1" spans="1:2">
      <c r="A52923" s="3" t="str">
        <f>IFERROR(__xludf.DUMMYFUNCTION("GOOGLETRANSLATE(A52923,""en"",""pt"")"),"A qualidade da imagem é a melhor câmera, mais nítido já feito !!")</f>
        <v>A qualidade da imagem é a melhor câmera, mais nítido já feito !!</v>
      </c>
      <c r="B52923" s="3">
        <v>1</v>
      </c>
    </row>
    <row r="52924" ht="15.75" customHeight="1" spans="1:2">
      <c r="A52924" s="3" t="str">
        <f>IFERROR(__xludf.DUMMYFUNCTION("GOOGLETRANSLATE(A52924,""en"",""pt"")"),"rotativa LCD, acessórios de objectiva, durável, é uma SONY")</f>
        <v>rotativa LCD, acessórios de objectiva, durável, é uma SONY</v>
      </c>
      <c r="B52924" s="3">
        <v>1</v>
      </c>
    </row>
    <row r="52925" ht="15.75" customHeight="1" spans="1:2">
      <c r="A52925" s="3" t="str">
        <f>IFERROR(__xludf.DUMMYFUNCTION("GOOGLETRANSLATE(A52925,""en"",""pt"")"),"Fácil de usar, tela giratória, ótimas fotos, EXCELENTE PARA ALUNOS")</f>
        <v>Fácil de usar, tela giratória, ótimas fotos, EXCELENTE PARA ALUNOS</v>
      </c>
      <c r="B52925" s="3">
        <v>1</v>
      </c>
    </row>
    <row r="52926" ht="15.75" customHeight="1" spans="1:2">
      <c r="A52926" s="3" t="str">
        <f>IFERROR(__xludf.DUMMYFUNCTION("GOOGLETRANSLATE(A52926,""en"",""pt"")"),"As ofertas câmera digital forte ampliação !,")</f>
        <v>As ofertas câmera digital forte ampliação !,</v>
      </c>
      <c r="B52926" s="3">
        <v>1</v>
      </c>
    </row>
    <row r="52927" ht="15.75" customHeight="1" spans="1:2">
      <c r="A52927" s="3" t="str">
        <f>IFERROR(__xludf.DUMMYFUNCTION("GOOGLETRANSLATE(A52927,""en"",""pt"")"),"Qualidade de Imagem, Bom Zoom, boa bateria")</f>
        <v>Qualidade de Imagem, Bom Zoom, boa bateria</v>
      </c>
      <c r="B52927" s="3">
        <v>1</v>
      </c>
    </row>
    <row r="52928" ht="15.75" customHeight="1" spans="1:2">
      <c r="A52928" s="3" t="str">
        <f>IFERROR(__xludf.DUMMYFUNCTION("GOOGLETRANSLATE(A52928,""en"",""pt"")"),"Facilidade de uso, tamanho e preço")</f>
        <v>Facilidade de uso, tamanho e preço</v>
      </c>
      <c r="B52928" s="3">
        <v>1</v>
      </c>
    </row>
    <row r="52929" ht="15.75" customHeight="1" spans="1:2">
      <c r="A52929" s="3" t="str">
        <f>IFERROR(__xludf.DUMMYFUNCTION("GOOGLETRANSLATE(A52929,""en"",""pt"")"),"tamanho, facilidade de uso, a vida da bateria")</f>
        <v>tamanho, facilidade de uso, a vida da bateria</v>
      </c>
      <c r="B52929" s="3">
        <v>1</v>
      </c>
    </row>
    <row r="52930" ht="15.75" customHeight="1" spans="1:2">
      <c r="A52930" s="3" t="str">
        <f>IFERROR(__xludf.DUMMYFUNCTION("GOOGLETRANSLATE(A52930,""en"",""pt"")"),"tamanho conveniente, zoom")</f>
        <v>tamanho conveniente, zoom</v>
      </c>
      <c r="B52930" s="3">
        <v>1</v>
      </c>
    </row>
    <row r="52931" ht="15.75" customHeight="1" spans="1:2">
      <c r="A52931" s="3" t="str">
        <f>IFERROR(__xludf.DUMMYFUNCTION("GOOGLETRANSLATE(A52931,""en"",""pt"")"),"Compacto, boa qualidade de imagem, bom espaço de memória")</f>
        <v>Compacto, boa qualidade de imagem, bom espaço de memória</v>
      </c>
      <c r="B52931" s="3">
        <v>1</v>
      </c>
    </row>
    <row r="52932" ht="15.75" customHeight="1" spans="1:2">
      <c r="A52932" s="3" t="str">
        <f>IFERROR(__xludf.DUMMYFUNCTION("GOOGLETRANSLATE(A52932,""en"",""pt"")"),"Boa câmera jovem, é tão apertado!")</f>
        <v>Boa câmera jovem, é tão apertado!</v>
      </c>
      <c r="B52932" s="3">
        <v>1</v>
      </c>
    </row>
    <row r="52933" ht="15.75" customHeight="1" spans="1:2">
      <c r="A52933" s="3" t="str">
        <f>IFERROR(__xludf.DUMMYFUNCTION("GOOGLETRANSLATE(A52933,""en"",""pt"")"),"relação preço / desempenho, bateria recarregável forte, lentes opcionais / filtros")</f>
        <v>relação preço / desempenho, bateria recarregável forte, lentes opcionais / filtros</v>
      </c>
      <c r="B52933" s="3">
        <v>1</v>
      </c>
    </row>
    <row r="52934" ht="15.75" customHeight="1" spans="1:2">
      <c r="A52934" s="3" t="str">
        <f>IFERROR(__xludf.DUMMYFUNCTION("GOOGLETRANSLATE(A52934,""en"",""pt"")"),"laden recurso, grande autonomia da bateria, solidamente construída")</f>
        <v>laden recurso, grande autonomia da bateria, solidamente construída</v>
      </c>
      <c r="B52934" s="3">
        <v>1</v>
      </c>
    </row>
    <row r="52935" ht="15.75" customHeight="1" spans="1:2">
      <c r="A52935" s="3" t="str">
        <f>IFERROR(__xludf.DUMMYFUNCTION("GOOGLETRANSLATE(A52935,""en"",""pt"")"),"Compacto, MACRO imagem, facilidade de operação")</f>
        <v>Compacto, MACRO imagem, facilidade de operação</v>
      </c>
      <c r="B52935" s="3">
        <v>1</v>
      </c>
    </row>
    <row r="52936" ht="15.75" customHeight="1" spans="1:2">
      <c r="A52936" s="3" t="str">
        <f>IFERROR(__xludf.DUMMYFUNCTION("GOOGLETRANSLATE(A52936,""en"",""pt"")"),"vida útil da bateria, qualidade de imagem, durabilidade, funcional, fácil de usar.")</f>
        <v>vida útil da bateria, qualidade de imagem, durabilidade, funcional, fácil de usar.</v>
      </c>
      <c r="B52936" s="3">
        <v>1</v>
      </c>
    </row>
    <row r="52937" ht="15.75" customHeight="1" spans="1:2">
      <c r="A52937" s="3" t="str">
        <f>IFERROR(__xludf.DUMMYFUNCTION("GOOGLETRANSLATE(A52937,""en"",""pt"")"),"Facilidade de uso, pequena")</f>
        <v>Facilidade de uso, pequena</v>
      </c>
      <c r="B52937" s="3">
        <v>1</v>
      </c>
    </row>
    <row r="52938" ht="15.75" customHeight="1" spans="1:2">
      <c r="A52938" s="3" t="str">
        <f>IFERROR(__xludf.DUMMYFUNCTION("GOOGLETRANSLATE(A52938,""en"",""pt"")"),"pequeno e fácil de usar")</f>
        <v>pequeno e fácil de usar</v>
      </c>
      <c r="B52938" s="3">
        <v>1</v>
      </c>
    </row>
    <row r="52939" ht="15.75" customHeight="1" spans="1:2">
      <c r="A52939" s="3" t="str">
        <f>IFERROR(__xludf.DUMMYFUNCTION("GOOGLETRANSLATE(A52939,""en"",""pt"")"),"tamanho pequeno, baterias recarregáveis, bom zoom, grande reprodução, fácil de usar")</f>
        <v>tamanho pequeno, baterias recarregáveis, bom zoom, grande reprodução, fácil de usar</v>
      </c>
      <c r="B52939" s="3">
        <v>1</v>
      </c>
    </row>
    <row r="52940" ht="15.75" customHeight="1" spans="1:2">
      <c r="A52940" s="3" t="str">
        <f>IFERROR(__xludf.DUMMYFUNCTION("GOOGLETRANSLATE(A52940,""en"",""pt"")"),"qualidade extremamente perfeito, lotes de grandes recursos, perfeito para e-mails")</f>
        <v>qualidade extremamente perfeito, lotes de grandes recursos, perfeito para e-mails</v>
      </c>
      <c r="B52940" s="3">
        <v>1</v>
      </c>
    </row>
    <row r="52941" ht="15.75" customHeight="1" spans="1:2">
      <c r="A52941" s="3" t="str">
        <f>IFERROR(__xludf.DUMMYFUNCTION("GOOGLETRANSLATE(A52941,""en"",""pt"")"),"fácil de usar")</f>
        <v>fácil de usar</v>
      </c>
      <c r="B52941" s="3">
        <v>1</v>
      </c>
    </row>
    <row r="52942" ht="15.75" customHeight="1" spans="1:2">
      <c r="A52942" s="3" t="str">
        <f>IFERROR(__xludf.DUMMYFUNCTION("GOOGLETRANSLATE(A52942,""en"",""pt"")"),"visualização móvel")</f>
        <v>visualização móvel</v>
      </c>
      <c r="B52942" s="3">
        <v>1</v>
      </c>
    </row>
    <row r="52943" ht="15.75" customHeight="1" spans="1:2">
      <c r="A52943" s="3" t="str">
        <f>IFERROR(__xludf.DUMMYFUNCTION("GOOGLETRANSLATE(A52943,""en"",""pt"")"),"Imagens fantásticas, fácil de usar, pequeno, tem muitas fotos")</f>
        <v>Imagens fantásticas, fácil de usar, pequeno, tem muitas fotos</v>
      </c>
      <c r="B52943" s="3">
        <v>1</v>
      </c>
    </row>
    <row r="52944" ht="15.75" customHeight="1" spans="1:2">
      <c r="A52944" s="3" t="str">
        <f>IFERROR(__xludf.DUMMYFUNCTION("GOOGLETRANSLATE(A52944,""en"",""pt"")"),"Brilhante 2 &amp; amp; quot; tela LCD, o tamanho compacto, fácil de usar, Onboard editar recursos, menu de fácil Sony, as baterias de InfoLithium, conexão USB, Memory Stick, a qualidade Sony")</f>
        <v>Brilhante 2 &amp; amp; quot; tela LCD, o tamanho compacto, fácil de usar, Onboard editar recursos, menu de fácil Sony, as baterias de InfoLithium, conexão USB, Memory Stick, a qualidade Sony</v>
      </c>
      <c r="B52944" s="3">
        <v>1</v>
      </c>
    </row>
    <row r="52945" ht="15.75" customHeight="1" spans="1:2">
      <c r="A52945" s="3" t="str">
        <f>IFERROR(__xludf.DUMMYFUNCTION("GOOGLETRANSLATE(A52945,""en"",""pt"")"),"Ótimo preço, excelente qualidade de imagem, boa bateria, saída de vídeo, modo de apresentação de slides, toneladas de extras!")</f>
        <v>Ótimo preço, excelente qualidade de imagem, boa bateria, saída de vídeo, modo de apresentação de slides, toneladas de extras!</v>
      </c>
      <c r="B52945" s="3">
        <v>1</v>
      </c>
    </row>
    <row r="52946" ht="15.75" customHeight="1" spans="1:2">
      <c r="A52946" s="3" t="str">
        <f>IFERROR(__xludf.DUMMYFUNCTION("GOOGLETRANSLATE(A52946,""en"",""pt"")"),"Fácil de usar. Grande Crisp claro Pictures")</f>
        <v>Fácil de usar. Grande Crisp claro Pictures</v>
      </c>
      <c r="B52946" s="3">
        <v>1</v>
      </c>
    </row>
    <row r="52947" ht="15.75" customHeight="1" spans="1:2">
      <c r="A52947" s="3" t="str">
        <f>IFERROR(__xludf.DUMMYFUNCTION("GOOGLETRANSLATE(A52947,""en"",""pt"")"),"cabos USB, tela de LCD")</f>
        <v>cabos USB, tela de LCD</v>
      </c>
      <c r="B52947" s="3">
        <v>1</v>
      </c>
    </row>
    <row r="52948" ht="15.75" customHeight="1" spans="1:2">
      <c r="A52948" s="3" t="str">
        <f>IFERROR(__xludf.DUMMYFUNCTION("GOOGLETRANSLATE(A52948,""en"",""pt"")"),"2 &amp; amp; quot; Tela Digital que gira 180 graus, precisa clareza, fácil de usar")</f>
        <v>2 &amp; amp; quot; Tela Digital que gira 180 graus, precisa clareza, fácil de usar</v>
      </c>
      <c r="B52948" s="3">
        <v>1</v>
      </c>
    </row>
    <row r="52949" ht="15.75" customHeight="1" spans="1:2">
      <c r="A52949" s="3" t="str">
        <f>IFERROR(__xludf.DUMMYFUNCTION("GOOGLETRANSLATE(A52949,""en"",""pt"")"),"Grandes recursos / interface USB / fantástica vida da bateria / fácil")</f>
        <v>Grandes recursos / interface USB / fantástica vida da bateria / fácil</v>
      </c>
      <c r="B52949" s="3">
        <v>1</v>
      </c>
    </row>
    <row r="52950" ht="15.75" customHeight="1" spans="1:2">
      <c r="A52950" s="3" t="str">
        <f>IFERROR(__xludf.DUMMYFUNCTION("GOOGLETRANSLATE(A52950,""en"",""pt"")"),"Qualidade de imagem, facilidade de uso")</f>
        <v>Qualidade de imagem, facilidade de uso</v>
      </c>
      <c r="B52950" s="3">
        <v>1</v>
      </c>
    </row>
    <row r="52951" ht="15.75" customHeight="1" spans="1:2">
      <c r="A52951" s="3" t="str">
        <f>IFERROR(__xludf.DUMMYFUNCTION("GOOGLETRANSLATE(A52951,""en"",""pt"")"),"barato; agradável construído em recursos; computador fora amigável da caixa")</f>
        <v>barato; agradável construído em recursos; computador fora amigável da caixa</v>
      </c>
      <c r="B52951" s="3">
        <v>1</v>
      </c>
    </row>
    <row r="52952" ht="15.75" customHeight="1" spans="1:2">
      <c r="A52952" s="3" t="str">
        <f>IFERROR(__xludf.DUMMYFUNCTION("GOOGLETRANSLATE(A52952,""en"",""pt"")"),"bateria durável, recarregável")</f>
        <v>bateria durável, recarregável</v>
      </c>
      <c r="B52952" s="3">
        <v>1</v>
      </c>
    </row>
    <row r="52953" ht="15.75" customHeight="1" spans="1:2">
      <c r="A52953" s="3" t="str">
        <f>IFERROR(__xludf.DUMMYFUNCTION("GOOGLETRANSLATE(A52953,""en"",""pt"")"),"Facilidade de operação, a mídia de cinema memory stick, versatilidade, qualidade de imagem, extremamente portátil")</f>
        <v>Facilidade de operação, a mídia de cinema memory stick, versatilidade, qualidade de imagem, extremamente portátil</v>
      </c>
      <c r="B52953" s="3">
        <v>1</v>
      </c>
    </row>
    <row r="52954" ht="15.75" customHeight="1" spans="1:2">
      <c r="A52954" s="3" t="str">
        <f>IFERROR(__xludf.DUMMYFUNCTION("GOOGLETRANSLATE(A52954,""en"",""pt"")"),"The New Millenium em Fotografia é aqui!")</f>
        <v>The New Millenium em Fotografia é aqui!</v>
      </c>
      <c r="B52954" s="3">
        <v>1</v>
      </c>
    </row>
    <row r="52955" ht="15.75" customHeight="1" spans="1:2">
      <c r="A52955" s="3" t="str">
        <f>IFERROR(__xludf.DUMMYFUNCTION("GOOGLETRANSLATE(A52955,""en"",""pt"")"),"compacto, fácil de usar")</f>
        <v>compacto, fácil de usar</v>
      </c>
      <c r="B52955" s="3">
        <v>1</v>
      </c>
    </row>
    <row r="52956" ht="15.75" customHeight="1" spans="1:2">
      <c r="A52956" s="3" t="str">
        <f>IFERROR(__xludf.DUMMYFUNCTION("GOOGLETRANSLATE(A52956,""en"",""pt"")"),"Incluído recarregável de íon de lítio, conexão USB, abundância de recursos.")</f>
        <v>Incluído recarregável de íon de lítio, conexão USB, abundância de recursos.</v>
      </c>
      <c r="B52956" s="3">
        <v>1</v>
      </c>
    </row>
    <row r="52957" ht="15.75" customHeight="1" spans="1:2">
      <c r="A52957" s="3" t="str">
        <f>IFERROR(__xludf.DUMMYFUNCTION("GOOGLETRANSLATE(A52957,""en"",""pt"")"),"fotos maravilhosas, grande autonomia da bateria, fácil de usar")</f>
        <v>fotos maravilhosas, grande autonomia da bateria, fácil de usar</v>
      </c>
      <c r="B52957" s="3">
        <v>1</v>
      </c>
    </row>
    <row r="52958" ht="15.75" customHeight="1" spans="1:2">
      <c r="A52958" s="3" t="str">
        <f>IFERROR(__xludf.DUMMYFUNCTION("GOOGLETRANSLATE(A52958,""en"",""pt"")"),"Grande design compacto, boa cor, Gestão Simples, memória expansível")</f>
        <v>Grande design compacto, boa cor, Gestão Simples, memória expansível</v>
      </c>
      <c r="B52958" s="3">
        <v>1</v>
      </c>
    </row>
    <row r="52959" ht="15.75" customHeight="1" spans="1:2">
      <c r="A52959" s="3" t="str">
        <f>IFERROR(__xludf.DUMMYFUNCTION("GOOGLETRANSLATE(A52959,""en"",""pt"")"),"Tamanho compacto, muito durável, maior duração da bateria, e inúmeros recursos.")</f>
        <v>Tamanho compacto, muito durável, maior duração da bateria, e inúmeros recursos.</v>
      </c>
      <c r="B52959" s="3">
        <v>1</v>
      </c>
    </row>
    <row r="52960" ht="15.75" customHeight="1" spans="1:2">
      <c r="A52960" s="3" t="str">
        <f>IFERROR(__xludf.DUMMYFUNCTION("GOOGLETRANSLATE(A52960,""en"",""pt"")"),"formato MemoryStick, conexão USB, o menu é fácil de navegar, brilhante 2"" LCD")</f>
        <v>formato MemoryStick, conexão USB, o menu é fácil de navegar, brilhante 2" LCD</v>
      </c>
      <c r="B52960" s="3">
        <v>1</v>
      </c>
    </row>
    <row r="52961" ht="15.75" customHeight="1" spans="1:2">
      <c r="A52961" s="3" t="str">
        <f>IFERROR(__xludf.DUMMYFUNCTION("GOOGLETRANSLATE(A52961,""en"",""pt"")"),"excelente, fácil de usar digital que lhe dará resultados profissionais por um preço reduzido")</f>
        <v>excelente, fácil de usar digital que lhe dará resultados profissionais por um preço reduzido</v>
      </c>
      <c r="B52961" s="3">
        <v>1</v>
      </c>
    </row>
    <row r="52962" ht="15.75" customHeight="1" spans="1:2">
      <c r="A52962" s="3" t="str">
        <f>IFERROR(__xludf.DUMMYFUNCTION("GOOGLETRANSLATE(A52962,""en"",""pt"")"),"Barato, fácil de usar, USB / PC interface rápida e fácil")</f>
        <v>Barato, fácil de usar, USB / PC interface rápida e fácil</v>
      </c>
      <c r="B52962" s="3">
        <v>1</v>
      </c>
    </row>
    <row r="52963" ht="15.75" customHeight="1" spans="1:2">
      <c r="A52963" s="3" t="str">
        <f>IFERROR(__xludf.DUMMYFUNCTION("GOOGLETRANSLATE(A52963,""en"",""pt"")"),"opções de tamanho de imagem grandes, imagens de boa qualidade e excelente vida útil da bateria.")</f>
        <v>opções de tamanho de imagem grandes, imagens de boa qualidade e excelente vida útil da bateria.</v>
      </c>
      <c r="B52963" s="3">
        <v>1</v>
      </c>
    </row>
    <row r="52964" ht="15.75" customHeight="1" spans="1:2">
      <c r="A52964" s="3" t="str">
        <f>IFERROR(__xludf.DUMMYFUNCTION("GOOGLETRANSLATE(A52964,""en"",""pt"")"),"Lotes de grandes recursos. Fácil de usar.")</f>
        <v>Lotes de grandes recursos. Fácil de usar.</v>
      </c>
      <c r="B52964" s="3">
        <v>1</v>
      </c>
    </row>
    <row r="52965" ht="15.75" customHeight="1" spans="1:2">
      <c r="A52965" s="3" t="str">
        <f>IFERROR(__xludf.DUMMYFUNCTION("GOOGLETRANSLATE(A52965,""en"",""pt"")"),"Excelentes Pictures, zoom não sobressai, fácil de usar, excelente LCD.")</f>
        <v>Excelentes Pictures, zoom não sobressai, fácil de usar, excelente LCD.</v>
      </c>
      <c r="B52965" s="3">
        <v>1</v>
      </c>
    </row>
    <row r="52966" ht="15.75" customHeight="1" spans="1:2">
      <c r="A52966" s="3" t="str">
        <f>IFERROR(__xludf.DUMMYFUNCTION("GOOGLETRANSLATE(A52966,""en"",""pt"")"),"bateria recarregável, baixar USB rápida de fotos, 15 filmes segundo, edição na câmera de fotos")</f>
        <v>bateria recarregável, baixar USB rápida de fotos, 15 filmes segundo, edição na câmera de fotos</v>
      </c>
      <c r="B52966" s="3">
        <v>1</v>
      </c>
    </row>
    <row r="52967" ht="15.75" customHeight="1" spans="1:2">
      <c r="A52967" s="3" t="str">
        <f>IFERROR(__xludf.DUMMYFUNCTION("GOOGLETRANSLATE(A52967,""en"",""pt"")"),"capaz de ver e apague as imagens antes de desenvolvimento, muitos recursos")</f>
        <v>capaz de ver e apague as imagens antes de desenvolvimento, muitos recursos</v>
      </c>
      <c r="B52967" s="3">
        <v>1</v>
      </c>
    </row>
    <row r="52968" ht="15.75" customHeight="1" spans="1:2">
      <c r="A52968" s="3" t="str">
        <f>IFERROR(__xludf.DUMMYFUNCTION("GOOGLETRANSLATE(A52968,""en"",""pt"")"),"pequeno, bonito qualidade de imagem")</f>
        <v>pequeno, bonito qualidade de imagem</v>
      </c>
      <c r="B52968" s="3">
        <v>1</v>
      </c>
    </row>
    <row r="52969" ht="15.75" customHeight="1" spans="1:2">
      <c r="A52969" s="3" t="str">
        <f>IFERROR(__xludf.DUMMYFUNCTION("GOOGLETRANSLATE(A52969,""en"",""pt"")"),"compacta, boa tela, a vida batt, etc etc")</f>
        <v>compacta, boa tela, a vida batt, etc etc</v>
      </c>
      <c r="B52969" s="3">
        <v>1</v>
      </c>
    </row>
    <row r="52970" ht="15.75" customHeight="1" spans="1:2">
      <c r="A52970" s="3" t="str">
        <f>IFERROR(__xludf.DUMMYFUNCTION("GOOGLETRANSLATE(A52970,""en"",""pt"")"),"ótima resolução, de fácil utilização, clipes de vídeo full minuto.")</f>
        <v>ótima resolução, de fácil utilização, clipes de vídeo full minuto.</v>
      </c>
      <c r="B52970" s="3">
        <v>1</v>
      </c>
    </row>
    <row r="52971" ht="15.75" customHeight="1" spans="1:2">
      <c r="A52971" s="3" t="str">
        <f>IFERROR(__xludf.DUMMYFUNCTION("GOOGLETRANSLATE(A52971,""en"",""pt"")"),"Versatilidade, pacote pequeno, a qualidade da imagem")</f>
        <v>Versatilidade, pacote pequeno, a qualidade da imagem</v>
      </c>
      <c r="B52971" s="3">
        <v>1</v>
      </c>
    </row>
    <row r="52972" ht="15.75" customHeight="1" spans="1:2">
      <c r="A52972" s="3" t="str">
        <f>IFERROR(__xludf.DUMMYFUNCTION("GOOGLETRANSLATE(A52972,""en"",""pt"")"),"Luz, doce e realmente tem alta resolução para uma excelente câmera de tamanho pequeno bolso.")</f>
        <v>Luz, doce e realmente tem alta resolução para uma excelente câmera de tamanho pequeno bolso.</v>
      </c>
      <c r="B52972" s="3">
        <v>1</v>
      </c>
    </row>
    <row r="52973" ht="15.75" customHeight="1" spans="1:2">
      <c r="A52973" s="3" t="str">
        <f>IFERROR(__xludf.DUMMYFUNCTION("GOOGLETRANSLATE(A52973,""en"",""pt"")"),"A câmera &amp; amp; software são muito fáceis de usar! Melhor do que a qualidade de imagem que o esperado!")</f>
        <v>A câmera &amp; amp; software são muito fáceis de usar! Melhor do que a qualidade de imagem que o esperado!</v>
      </c>
      <c r="B52973" s="3">
        <v>1</v>
      </c>
    </row>
    <row r="52974" ht="15.75" customHeight="1" spans="1:2">
      <c r="A52974" s="3" t="str">
        <f>IFERROR(__xludf.DUMMYFUNCTION("GOOGLETRANSLATE(A52974,""en"",""pt"")"),"grande qualidade da foto em um design compacto w / capacidade de vídeo!")</f>
        <v>grande qualidade da foto em um design compacto w / capacidade de vídeo!</v>
      </c>
      <c r="B52974" s="3">
        <v>1</v>
      </c>
    </row>
    <row r="52975" ht="15.75" customHeight="1" spans="1:2">
      <c r="A52975" s="3" t="str">
        <f>IFERROR(__xludf.DUMMYFUNCTION("GOOGLETRANSLATE(A52975,""en"",""pt"")"),"na tela Edição- clarity- zoom")</f>
        <v>na tela Edição- clarity- zoom</v>
      </c>
      <c r="B52975" s="3">
        <v>1</v>
      </c>
    </row>
    <row r="52976" ht="15.75" customHeight="1" spans="1:2">
      <c r="A52976" s="3" t="str">
        <f>IFERROR(__xludf.DUMMYFUNCTION("GOOGLETRANSLATE(A52976,""en"",""pt"")"),"Compacto, cheio de recursos, excelente qualidade de imagem, fácil de transferir arquivos, bateria de longa vida, compatibilidade MemoryStick, Sony Qualidade")</f>
        <v>Compacto, cheio de recursos, excelente qualidade de imagem, fácil de transferir arquivos, bateria de longa vida, compatibilidade MemoryStick, Sony Qualidade</v>
      </c>
      <c r="B52976" s="3">
        <v>1</v>
      </c>
    </row>
    <row r="52977" ht="15.75" customHeight="1" spans="1:2">
      <c r="A52977" s="3" t="str">
        <f>IFERROR(__xludf.DUMMYFUNCTION("GOOGLETRANSLATE(A52977,""en"",""pt"")"),"modo de filme / rotação de tela LCD / memory stick")</f>
        <v>modo de filme / rotação de tela LCD / memory stick</v>
      </c>
      <c r="B52977" s="3">
        <v>1</v>
      </c>
    </row>
    <row r="52978" ht="15.75" customHeight="1" spans="1:2">
      <c r="A52978" s="3" t="str">
        <f>IFERROR(__xludf.DUMMYFUNCTION("GOOGLETRANSLATE(A52978,""en"",""pt"")"),"Facilidade de uso, características, qualidade")</f>
        <v>Facilidade de uso, características, qualidade</v>
      </c>
      <c r="B52978" s="3">
        <v>1</v>
      </c>
    </row>
    <row r="52979" ht="15.75" customHeight="1" spans="1:2">
      <c r="A52979" s="3" t="str">
        <f>IFERROR(__xludf.DUMMYFUNCTION("GOOGLETRANSLATE(A52979,""en"",""pt"")"),"Longa vida útil da bateria InfoLithium, gravação de áudio, modo de filme MPEG")</f>
        <v>Longa vida útil da bateria InfoLithium, gravação de áudio, modo de filme MPEG</v>
      </c>
      <c r="B52979" s="3">
        <v>1</v>
      </c>
    </row>
    <row r="52980" ht="15.75" customHeight="1" spans="1:2">
      <c r="A52980" s="3" t="str">
        <f>IFERROR(__xludf.DUMMYFUNCTION("GOOGLETRANSLATE(A52980,""en"",""pt"")"),"1 minuto de vídeos digitais com som &amp; amp; # 13; &amp; amp; # 10; Compacto e durável &amp; amp; # 13; &amp; amp; # 10;")</f>
        <v>1 minuto de vídeos digitais com som &amp; amp; # 13; &amp; amp; # 10; Compacto e durável &amp; amp; # 13; &amp; amp; # 10;</v>
      </c>
      <c r="B52980" s="3">
        <v>1</v>
      </c>
    </row>
    <row r="52981" ht="15.75" customHeight="1" spans="1:2">
      <c r="A52981" s="3" t="str">
        <f>IFERROR(__xludf.DUMMYFUNCTION("GOOGLETRANSLATE(A52981,""en"",""pt"")"),"Pequeno, características convenientes, temporizador, leva filmes ou imagens, conecta-se ao computador.")</f>
        <v>Pequeno, características convenientes, temporizador, leva filmes ou imagens, conecta-se ao computador.</v>
      </c>
      <c r="B52981" s="3">
        <v>1</v>
      </c>
    </row>
    <row r="52982" ht="15.75" customHeight="1" spans="1:2">
      <c r="A52982" s="3" t="str">
        <f>IFERROR(__xludf.DUMMYFUNCTION("GOOGLETRANSLATE(A52982,""en"",""pt"")"),"Excelente qualidade de imagem &amp; amp; # 13; &amp; amp; # 10; Boa Software Bundle &amp; amp; # 13; &amp; amp; # 10; USB, Sony Memory, Tv Out &amp; amp; # 13; &amp; amp; # 10; se sentir confortável")</f>
        <v>Excelente qualidade de imagem &amp; amp; # 13; &amp; amp; # 10; Boa Software Bundle &amp; amp; # 13; &amp; amp; # 10; USB, Sony Memory, Tv Out &amp; amp; # 13; &amp; amp; # 10; se sentir confortável</v>
      </c>
      <c r="B52982" s="3">
        <v>1</v>
      </c>
    </row>
    <row r="52983" ht="15.75" customHeight="1" spans="1:2">
      <c r="A52983" s="3" t="str">
        <f>IFERROR(__xludf.DUMMYFUNCTION("GOOGLETRANSLATE(A52983,""en"",""pt"")"),"Moveable / rotação LCD, agradável à vista, edição de imagem na câmera, preço.")</f>
        <v>Moveable / rotação LCD, agradável à vista, edição de imagem na câmera, preço.</v>
      </c>
      <c r="B52983" s="3">
        <v>1</v>
      </c>
    </row>
    <row r="52984" ht="15.75" customHeight="1" spans="1:2">
      <c r="A52984" s="3" t="str">
        <f>IFERROR(__xludf.DUMMYFUNCTION("GOOGLETRANSLATE(A52984,""en"",""pt"")"),"rápida e fácil transferência para PC via cabo USB &amp; amp; # 13; &amp; amp; # 10; Grandes Pictures qualidade")</f>
        <v>rápida e fácil transferência para PC via cabo USB &amp; amp; # 13; &amp; amp; # 10; Grandes Pictures qualidade</v>
      </c>
      <c r="B52984" s="3">
        <v>1</v>
      </c>
    </row>
    <row r="52985" ht="15.75" customHeight="1" spans="1:2">
      <c r="A52985" s="3" t="str">
        <f>IFERROR(__xludf.DUMMYFUNCTION("GOOGLETRANSLATE(A52985,""en"",""pt"")"),"A very nice câmera usando tecnologia avançada.")</f>
        <v>A very nice câmera usando tecnologia avançada.</v>
      </c>
      <c r="B52985" s="3">
        <v>1</v>
      </c>
    </row>
    <row r="52986" ht="15.75" customHeight="1" spans="1:2">
      <c r="A52986" s="3" t="str">
        <f>IFERROR(__xludf.DUMMYFUNCTION("GOOGLETRANSLATE(A52986,""en"",""pt"")"),"Brilhante 2"" visor LCD, controles fáceis de usar, controle manual decente,")</f>
        <v>Brilhante 2" visor LCD, controles fáceis de usar, controle manual decente,</v>
      </c>
      <c r="B52986" s="3">
        <v>1</v>
      </c>
    </row>
    <row r="52987" ht="15.75" customHeight="1" spans="1:2">
      <c r="A52987" s="3" t="str">
        <f>IFERROR(__xludf.DUMMYFUNCTION("GOOGLETRANSLATE(A52987,""en"",""pt"")"),"lente de alta qualidade / foco, sensação câmera sólida, a vida alta da bateria, carregador embutido")</f>
        <v>lente de alta qualidade / foco, sensação câmera sólida, a vida alta da bateria, carregador embutido</v>
      </c>
      <c r="B52987" s="3">
        <v>1</v>
      </c>
    </row>
    <row r="52988" ht="15.75" customHeight="1" spans="1:2">
      <c r="A52988" s="3" t="str">
        <f>IFERROR(__xludf.DUMMYFUNCTION("GOOGLETRANSLATE(A52988,""en"",""pt"")"),"Ótima câmera durável, grande imagem qualidades-Mais recursos, em seguida, outro modelo!")</f>
        <v>Ótima câmera durável, grande imagem qualidades-Mais recursos, em seguida, outro modelo!</v>
      </c>
      <c r="B52988" s="3">
        <v>1</v>
      </c>
    </row>
    <row r="52989" ht="15.75" customHeight="1" spans="1:2">
      <c r="A52989" s="3" t="str">
        <f>IFERROR(__xludf.DUMMYFUNCTION("GOOGLETRANSLATE(A52989,""en"",""pt"")"),"Muitos para listar aqui")</f>
        <v>Muitos para listar aqui</v>
      </c>
      <c r="B52989" s="3">
        <v>1</v>
      </c>
    </row>
    <row r="52990" ht="15.75" customHeight="1" spans="1:2">
      <c r="A52990" s="3" t="str">
        <f>IFERROR(__xludf.DUMMYFUNCTION("GOOGLETRANSLATE(A52990,""en"",""pt"")"),"De longe o melhor características e acessórios para o preço")</f>
        <v>De longe o melhor características e acessórios para o preço</v>
      </c>
      <c r="B52990" s="3">
        <v>1</v>
      </c>
    </row>
    <row r="52991" ht="15.75" customHeight="1" spans="1:2">
      <c r="A52991" s="3" t="str">
        <f>IFERROR(__xludf.DUMMYFUNCTION("GOOGLETRANSLATE(A52991,""en"",""pt"")"),"Ergonomia e LCD giratória")</f>
        <v>Ergonomia e LCD giratória</v>
      </c>
      <c r="B52991" s="3">
        <v>1</v>
      </c>
    </row>
    <row r="52992" ht="15.75" customHeight="1" spans="1:2">
      <c r="A52992" s="3" t="str">
        <f>IFERROR(__xludf.DUMMYFUNCTION("GOOGLETRANSLATE(A52992,""en"",""pt"")"),"1. boa resolução 2. fácil de transportar 3. Armazenamento 4. nenhum complicado software fácil 5. fácil de se transferir para o pc")</f>
        <v>1. boa resolução 2. fácil de transportar 3. Armazenamento 4. nenhum complicado software fácil 5. fácil de se transferir para o pc</v>
      </c>
      <c r="B52992" s="3">
        <v>1</v>
      </c>
    </row>
    <row r="52993" ht="15.75" customHeight="1" spans="1:2">
      <c r="A52993" s="3" t="str">
        <f>IFERROR(__xludf.DUMMYFUNCTION("GOOGLETRANSLATE(A52993,""en"",""pt"")"),"excelente qualidade de imagem, muitos recursos. MPEGs com som")</f>
        <v>excelente qualidade de imagem, muitos recursos. MPEGs com som</v>
      </c>
      <c r="B52993" s="3">
        <v>1</v>
      </c>
    </row>
    <row r="52994" ht="15.75" customHeight="1" spans="1:2">
      <c r="A52994" s="3" t="str">
        <f>IFERROR(__xludf.DUMMYFUNCTION("GOOGLETRANSLATE(A52994,""en"",""pt"")"),"Extremamente boa qualidade foto 1600x1200!")</f>
        <v>Extremamente boa qualidade foto 1600x1200!</v>
      </c>
      <c r="B52994" s="3">
        <v>1</v>
      </c>
    </row>
    <row r="52995" ht="15.75" customHeight="1" spans="1:2">
      <c r="A52995" s="3" t="str">
        <f>IFERROR(__xludf.DUMMYFUNCTION("GOOGLETRANSLATE(A52995,""en"",""pt"")"),"Memory Stick, fácil de usar, bateria de longa duração")</f>
        <v>Memory Stick, fácil de usar, bateria de longa duração</v>
      </c>
      <c r="B52995" s="3">
        <v>1</v>
      </c>
    </row>
    <row r="52996" ht="15.75" customHeight="1" spans="1:2">
      <c r="A52996" s="3" t="str">
        <f>IFERROR(__xludf.DUMMYFUNCTION("GOOGLETRANSLATE(A52996,""en"",""pt"")"),"Boas fotografias, MPEG, luz, conveniente")</f>
        <v>Boas fotografias, MPEG, luz, conveniente</v>
      </c>
      <c r="B52996" s="3">
        <v>1</v>
      </c>
    </row>
    <row r="52997" ht="15.75" customHeight="1" spans="1:2">
      <c r="A52997" s="3" t="str">
        <f>IFERROR(__xludf.DUMMYFUNCTION("GOOGLETRANSLATE(A52997,""en"",""pt"")"),"Fácil de usar")</f>
        <v>Fácil de usar</v>
      </c>
      <c r="B52997" s="3">
        <v>1</v>
      </c>
    </row>
    <row r="52998" ht="15.75" customHeight="1" spans="1:2">
      <c r="A52998" s="3" t="str">
        <f>IFERROR(__xludf.DUMMYFUNCTION("GOOGLETRANSLATE(A52998,""en"",""pt"")"),"Pacote completo")</f>
        <v>Pacote completo</v>
      </c>
      <c r="B52998" s="3">
        <v>1</v>
      </c>
    </row>
    <row r="52999" ht="15.75" customHeight="1" spans="1:2">
      <c r="A52999" s="3" t="str">
        <f>IFERROR(__xludf.DUMMYFUNCTION("GOOGLETRANSLATE(A52999,""en"",""pt"")"),"Recursos, facilidade de uso, qualidade, feedback instantâneo")</f>
        <v>Recursos, facilidade de uso, qualidade, feedback instantâneo</v>
      </c>
      <c r="B52999" s="3">
        <v>1</v>
      </c>
    </row>
    <row r="53000" ht="15.75" customHeight="1" spans="1:2">
      <c r="A53000" s="3" t="str">
        <f>IFERROR(__xludf.DUMMYFUNCTION("GOOGLETRANSLATE(A53000,""en"",""pt"")"),"capacidade de zoom, a nitidez da imagem, software")</f>
        <v>capacidade de zoom, a nitidez da imagem, software</v>
      </c>
      <c r="B53000" s="3">
        <v>1</v>
      </c>
    </row>
    <row r="53001" ht="15.75" customHeight="1" spans="1:2">
      <c r="A53001" s="3" t="str">
        <f>IFERROR(__xludf.DUMMYFUNCTION("GOOGLETRANSLATE(A53001,""en"",""pt"")"),"qualidade de imagem e bateria")</f>
        <v>qualidade de imagem e bateria</v>
      </c>
      <c r="B53001" s="3">
        <v>1</v>
      </c>
    </row>
    <row r="53002" ht="15.75" customHeight="1" spans="1:2">
      <c r="A53002" s="3" t="str">
        <f>IFERROR(__xludf.DUMMYFUNCTION("GOOGLETRANSLATE(A53002,""en"",""pt"")"),"O tamanho pequeno, boa resolução")</f>
        <v>O tamanho pequeno, boa resolução</v>
      </c>
      <c r="B53002" s="3">
        <v>1</v>
      </c>
    </row>
    <row r="53003" ht="15.75" customHeight="1" spans="1:2">
      <c r="A53003" s="3" t="str">
        <f>IFERROR(__xludf.DUMMYFUNCTION("GOOGLETRANSLATE(A53003,""en"",""pt"")"),"compacto, grande LCD, com preços razoáveis, fácil de usar menus")</f>
        <v>compacto, grande LCD, com preços razoáveis, fácil de usar menus</v>
      </c>
      <c r="B53003" s="3">
        <v>1</v>
      </c>
    </row>
    <row r="53004" ht="15.75" customHeight="1" spans="1:2">
      <c r="A53004" s="3" t="str">
        <f>IFERROR(__xludf.DUMMYFUNCTION("GOOGLETRANSLATE(A53004,""en"",""pt"")"),"Qualidade de fotos, tamanho, peso")</f>
        <v>Qualidade de fotos, tamanho, peso</v>
      </c>
      <c r="B53004" s="3">
        <v>1</v>
      </c>
    </row>
    <row r="53005" ht="15.75" customHeight="1" spans="1:2">
      <c r="A53005" s="3" t="str">
        <f>IFERROR(__xludf.DUMMYFUNCTION("GOOGLETRANSLATE(A53005,""en"",""pt"")"),"Leve, fácil de usar, modo de filme MPEG, bateria de longa duração")</f>
        <v>Leve, fácil de usar, modo de filme MPEG, bateria de longa duração</v>
      </c>
      <c r="B53005" s="3">
        <v>1</v>
      </c>
    </row>
    <row r="53006" ht="15.75" customHeight="1" spans="1:2">
      <c r="A53006" s="3" t="str">
        <f>IFERROR(__xludf.DUMMYFUNCTION("GOOGLETRANSLATE(A53006,""en"",""pt"")"),"USB, cartão de memória, zoom, filmes")</f>
        <v>USB, cartão de memória, zoom, filmes</v>
      </c>
      <c r="B53006" s="3">
        <v>1</v>
      </c>
    </row>
    <row r="53007" ht="15.75" customHeight="1" spans="1:2">
      <c r="A53007" s="3" t="str">
        <f>IFERROR(__xludf.DUMMYFUNCTION("GOOGLETRANSLATE(A53007,""en"",""pt"")"),"Câmera pequena; menus intuitivos; Ótimas fotos")</f>
        <v>Câmera pequena; menus intuitivos; Ótimas fotos</v>
      </c>
      <c r="B53007" s="3">
        <v>1</v>
      </c>
    </row>
    <row r="53008" ht="15.75" customHeight="1" spans="1:2">
      <c r="A53008" s="3" t="str">
        <f>IFERROR(__xludf.DUMMYFUNCTION("GOOGLETRANSLATE(A53008,""en"",""pt"")"),"Grandes imagens, MPEG-1 gravação, Fácil Ligação ao computador")</f>
        <v>Grandes imagens, MPEG-1 gravação, Fácil Ligação ao computador</v>
      </c>
      <c r="B53008" s="3">
        <v>1</v>
      </c>
    </row>
    <row r="53009" ht="15.75" customHeight="1" spans="1:2">
      <c r="A53009" s="3" t="str">
        <f>IFERROR(__xludf.DUMMYFUNCTION("GOOGLETRANSLATE(A53009,""en"",""pt"")"),"tamanho pequeno, imagens soberbas, formato portátil")</f>
        <v>tamanho pequeno, imagens soberbas, formato portátil</v>
      </c>
      <c r="B53009" s="3">
        <v>1</v>
      </c>
    </row>
    <row r="53010" ht="15.75" customHeight="1" spans="1:2">
      <c r="A53010" s="3" t="str">
        <f>IFERROR(__xludf.DUMMYFUNCTION("GOOGLETRANSLATE(A53010,""en"",""pt"")"),"interface muito simples, multi uso para cartões de memória, ligação USB, bateria de longa data ...")</f>
        <v>interface muito simples, multi uso para cartões de memória, ligação USB, bateria de longa data ...</v>
      </c>
      <c r="B53010" s="3">
        <v>1</v>
      </c>
    </row>
    <row r="53011" ht="15.75" customHeight="1" spans="1:2">
      <c r="A53011" s="3" t="str">
        <f>IFERROR(__xludf.DUMMYFUNCTION("GOOGLETRANSLATE(A53011,""en"",""pt"")"),"tem todas as guloseimas!")</f>
        <v>tem todas as guloseimas!</v>
      </c>
      <c r="B53011" s="3">
        <v>1</v>
      </c>
    </row>
    <row r="53012" ht="15.75" customHeight="1" spans="1:2">
      <c r="A53012" s="3" t="str">
        <f>IFERROR(__xludf.DUMMYFUNCTION("GOOGLETRANSLATE(A53012,""en"",""pt"")"),"Nenhum")</f>
        <v>Nenhum</v>
      </c>
      <c r="B53012" s="3">
        <v>1</v>
      </c>
    </row>
    <row r="53013" ht="15.75" customHeight="1" spans="1:2">
      <c r="A53013" s="3" t="str">
        <f>IFERROR(__xludf.DUMMYFUNCTION("GOOGLETRANSLATE(A53013,""en"",""pt"")"),"Qualidade e um gravador mpeg")</f>
        <v>Qualidade e um gravador mpeg</v>
      </c>
      <c r="B53013" s="3">
        <v>1</v>
      </c>
    </row>
    <row r="53014" ht="15.75" customHeight="1" spans="1:2">
      <c r="A53014" s="3" t="str">
        <f>IFERROR(__xludf.DUMMYFUNCTION("GOOGLETRANSLATE(A53014,""en"",""pt"")"),"pequeno, excelente resolução, bateria de longa duração, zoom, fácil de usar")</f>
        <v>pequeno, excelente resolução, bateria de longa duração, zoom, fácil de usar</v>
      </c>
      <c r="B53014" s="3">
        <v>1</v>
      </c>
    </row>
    <row r="53015" ht="15.75" customHeight="1" spans="1:2">
      <c r="A53015" s="3" t="str">
        <f>IFERROR(__xludf.DUMMYFUNCTION("GOOGLETRANSLATE(A53015,""en"",""pt"")"),"grandes fotos, controles fáceis, pequeno")</f>
        <v>grandes fotos, controles fáceis, pequeno</v>
      </c>
      <c r="B53015" s="3">
        <v>1</v>
      </c>
    </row>
    <row r="53016" ht="15.75" customHeight="1" spans="1:2">
      <c r="A53016" s="3" t="str">
        <f>IFERROR(__xludf.DUMMYFUNCTION("GOOGLETRANSLATE(A53016,""en"",""pt"")"),"muitos recursos")</f>
        <v>muitos recursos</v>
      </c>
      <c r="B53016" s="3">
        <v>1</v>
      </c>
    </row>
    <row r="53017" ht="15.75" customHeight="1" spans="1:2">
      <c r="A53017" s="3" t="str">
        <f>IFERROR(__xludf.DUMMYFUNCTION("GOOGLETRANSLATE(A53017,""en"",""pt"")"),"Acessórios")</f>
        <v>Acessórios</v>
      </c>
      <c r="B53017" s="3">
        <v>1</v>
      </c>
    </row>
    <row r="53018" ht="15.75" customHeight="1" spans="1:2">
      <c r="A53018" s="3" t="str">
        <f>IFERROR(__xludf.DUMMYFUNCTION("GOOGLETRANSLATE(A53018,""en"",""pt"")"),"Fácil de usar, muitas características, &amp; amp; # 13; &amp; amp; # 10; ecrã LCD de alta qualidade.")</f>
        <v>Fácil de usar, muitas características, &amp; amp; # 13; &amp; amp; # 10; ecrã LCD de alta qualidade.</v>
      </c>
      <c r="B53018" s="3">
        <v>1</v>
      </c>
    </row>
    <row r="53019" ht="15.75" customHeight="1" spans="1:2">
      <c r="A53019" s="3" t="str">
        <f>IFERROR(__xludf.DUMMYFUNCTION("GOOGLETRANSLATE(A53019,""en"",""pt"")"),"Boa qualidade de imagem, a vida da bateria, modo de filme MPEG, fácil de usar, LCD giratória")</f>
        <v>Boa qualidade de imagem, a vida da bateria, modo de filme MPEG, fácil de usar, LCD giratória</v>
      </c>
      <c r="B53019" s="3">
        <v>1</v>
      </c>
    </row>
    <row r="53020" ht="15.75" customHeight="1" spans="1:2">
      <c r="A53020" s="3" t="str">
        <f>IFERROR(__xludf.DUMMYFUNCTION("GOOGLETRANSLATE(A53020,""en"",""pt"")"),"Tão fácil de usar, como a torta!")</f>
        <v>Tão fácil de usar, como a torta!</v>
      </c>
      <c r="B53020" s="3">
        <v>1</v>
      </c>
    </row>
    <row r="53021" ht="15.75" customHeight="1" spans="1:2">
      <c r="A53021" s="3" t="str">
        <f>IFERROR(__xludf.DUMMYFUNCTION("GOOGLETRANSLATE(A53021,""en"",""pt"")"),"Grande resolução, imagens de alta qualidade, opcional cartões de memória de armazenamento grandes, bateria recarregável vida longa")</f>
        <v>Grande resolução, imagens de alta qualidade, opcional cartões de memória de armazenamento grandes, bateria recarregável vida longa</v>
      </c>
      <c r="B53021" s="3">
        <v>1</v>
      </c>
    </row>
    <row r="53022" ht="15.75" customHeight="1" spans="1:2">
      <c r="A53022" s="3" t="str">
        <f>IFERROR(__xludf.DUMMYFUNCTION("GOOGLETRANSLATE(A53022,""en"",""pt"")"),"Info-Lithium Battery da Sony, Capacidades Memory Stick, muito amigável")</f>
        <v>Info-Lithium Battery da Sony, Capacidades Memory Stick, muito amigável</v>
      </c>
      <c r="B53022" s="3">
        <v>1</v>
      </c>
    </row>
    <row r="53023" ht="15.75" customHeight="1" spans="1:2">
      <c r="A53023" s="3" t="str">
        <f>IFERROR(__xludf.DUMMYFUNCTION("GOOGLETRANSLATE(A53023,""en"",""pt"")"),"Levante 2"" ecrã LCD, &amp; amp; # 13; &amp; amp; # 10; Longa vida útil da bateria, &amp; amp; # 13; &amp; amp; # 10; transferência USB")</f>
        <v>Levante 2" ecrã LCD, &amp; amp; # 13; &amp; amp; # 10; Longa vida útil da bateria, &amp; amp; # 13; &amp; amp; # 10; transferência USB</v>
      </c>
      <c r="B53023" s="3">
        <v>1</v>
      </c>
    </row>
    <row r="53024" ht="15.75" customHeight="1" spans="1:2">
      <c r="A53024" s="3" t="str">
        <f>IFERROR(__xludf.DUMMYFUNCTION("GOOGLETRANSLATE(A53024,""en"",""pt"")"),"Conveniente, Great pics, fácil de usar")</f>
        <v>Conveniente, Great pics, fácil de usar</v>
      </c>
      <c r="B53024" s="3">
        <v>1</v>
      </c>
    </row>
    <row r="53025" ht="15.75" customHeight="1" spans="1:2">
      <c r="A53025" s="3" t="str">
        <f>IFERROR(__xludf.DUMMYFUNCTION("GOOGLETRANSLATE(A53025,""en"",""pt"")"),"Compacto, de ângulo livre LCD, zoom óptico, a mídia memory stick, modo de filme com som.")</f>
        <v>Compacto, de ângulo livre LCD, zoom óptico, a mídia memory stick, modo de filme com som.</v>
      </c>
      <c r="B53025" s="3">
        <v>1</v>
      </c>
    </row>
    <row r="53026" ht="15.75" customHeight="1" spans="1:2">
      <c r="A53026" s="3" t="str">
        <f>IFERROR(__xludf.DUMMYFUNCTION("GOOGLETRANSLATE(A53026,""en"",""pt"")"),"Compacto, de ângulo livre LCD, zoom óptico, a mídia memory stick, modo de filme com som.")</f>
        <v>Compacto, de ângulo livre LCD, zoom óptico, a mídia memory stick, modo de filme com som.</v>
      </c>
      <c r="B53026" s="3">
        <v>1</v>
      </c>
    </row>
    <row r="53027" ht="15.75" customHeight="1" spans="1:2">
      <c r="A53027" s="3" t="str">
        <f>IFERROR(__xludf.DUMMYFUNCTION("GOOGLETRANSLATE(A53027,""en"",""pt"")"),"Grande projeto, facilidade de utilização e ecrã LCD brilhante.")</f>
        <v>Grande projeto, facilidade de utilização e ecrã LCD brilhante.</v>
      </c>
      <c r="B53027" s="3">
        <v>1</v>
      </c>
    </row>
    <row r="53028" ht="15.75" customHeight="1" spans="1:2">
      <c r="A53028" s="3" t="str">
        <f>IFERROR(__xludf.DUMMYFUNCTION("GOOGLETRANSLATE(A53028,""en"",""pt"")"),"Grandes fotos que não são borradas ... e é compacto!")</f>
        <v>Grandes fotos que não são borradas ... e é compacto!</v>
      </c>
      <c r="B53028" s="3">
        <v>1</v>
      </c>
    </row>
    <row r="53029" ht="15.75" customHeight="1" spans="1:2">
      <c r="A53029" s="3" t="str">
        <f>IFERROR(__xludf.DUMMYFUNCTION("GOOGLETRANSLATE(A53029,""en"",""pt"")"),"impressionante")</f>
        <v>impressionante</v>
      </c>
      <c r="B53029" s="3">
        <v>1</v>
      </c>
    </row>
    <row r="53030" ht="15.75" customHeight="1" spans="1:2">
      <c r="A53030" s="3" t="str">
        <f>IFERROR(__xludf.DUMMYFUNCTION("GOOGLETRANSLATE(A53030,""en"",""pt"")"),"imagem selecionável impressão relação de aspecto, o modo Voice Memo, In Camera Cortar / Trim &amp; amp; função em tamanho Re")</f>
        <v>imagem selecionável impressão relação de aspecto, o modo Voice Memo, In Camera Cortar / Trim &amp; amp; função em tamanho Re</v>
      </c>
      <c r="B53030" s="3">
        <v>1</v>
      </c>
    </row>
    <row r="53031" ht="15.75" customHeight="1" spans="1:2">
      <c r="A53031" s="3" t="str">
        <f>IFERROR(__xludf.DUMMYFUNCTION("GOOGLETRANSLATE(A53031,""en"",""pt"")"),"imagens poderosas. Amigo do usuário.")</f>
        <v>imagens poderosas. Amigo do usuário.</v>
      </c>
      <c r="B53031" s="3">
        <v>1</v>
      </c>
    </row>
    <row r="53032" ht="15.75" customHeight="1" spans="1:2">
      <c r="A53032" s="3" t="str">
        <f>IFERROR(__xludf.DUMMYFUNCTION("GOOGLETRANSLATE(A53032,""en"",""pt"")"),"não tem que comprar e desenvolver filme, fácil de usar")</f>
        <v>não tem que comprar e desenvolver filme, fácil de usar</v>
      </c>
      <c r="B53032" s="3">
        <v>1</v>
      </c>
    </row>
    <row r="53033" ht="15.75" customHeight="1" spans="1:2">
      <c r="A53033" s="3" t="str">
        <f>IFERROR(__xludf.DUMMYFUNCTION("GOOGLETRANSLATE(A53033,""en"",""pt"")"),"Opção Pequeno Grande Valor Filme")</f>
        <v>Opção Pequeno Grande Valor Filme</v>
      </c>
      <c r="B53033" s="3">
        <v>1</v>
      </c>
    </row>
    <row r="53034" ht="15.75" customHeight="1" spans="1:2">
      <c r="A53034" s="3" t="str">
        <f>IFERROR(__xludf.DUMMYFUNCTION("GOOGLETRANSLATE(A53034,""en"",""pt"")"),"Boa LCD, capacidades MPEG")</f>
        <v>Boa LCD, capacidades MPEG</v>
      </c>
      <c r="B53034" s="3">
        <v>1</v>
      </c>
    </row>
    <row r="53035" ht="15.75" customHeight="1" spans="1:2">
      <c r="A53035" s="3" t="str">
        <f>IFERROR(__xludf.DUMMYFUNCTION("GOOGLETRANSLATE(A53035,""en"",""pt"")"),"Tamanho, Features, grande qualidade de imagem, a Sony Marca")</f>
        <v>Tamanho, Features, grande qualidade de imagem, a Sony Marca</v>
      </c>
      <c r="B53035" s="3">
        <v>1</v>
      </c>
    </row>
    <row r="53036" ht="15.75" customHeight="1" spans="1:2">
      <c r="A53036" s="3" t="str">
        <f>IFERROR(__xludf.DUMMYFUNCTION("GOOGLETRANSLATE(A53036,""en"",""pt"")"),"Fácil de usar e versátil.")</f>
        <v>Fácil de usar e versátil.</v>
      </c>
      <c r="B53036" s="3">
        <v>1</v>
      </c>
    </row>
    <row r="53037" ht="15.75" customHeight="1" spans="1:2">
      <c r="A53037" s="3" t="s">
        <v>278</v>
      </c>
      <c r="B53037" s="3">
        <v>1</v>
      </c>
    </row>
    <row r="53038" ht="15.75" customHeight="1" spans="1:2">
      <c r="A53038" s="3" t="str">
        <f>IFERROR(__xludf.DUMMYFUNCTION("GOOGLETRANSLATE(A53038,""en"",""pt"")"),"Esta câmera produz imagens de alta qualidade e detalhe superior")</f>
        <v>Esta câmera produz imagens de alta qualidade e detalhe superior</v>
      </c>
      <c r="B53038" s="3">
        <v>1</v>
      </c>
    </row>
    <row r="53039" ht="15.75" customHeight="1" spans="1:2">
      <c r="A53039" s="3" t="str">
        <f>IFERROR(__xludf.DUMMYFUNCTION("GOOGLETRANSLATE(A53039,""en"",""pt"")"),"qualidade de imagem, facilidade de uso, zoom.")</f>
        <v>qualidade de imagem, facilidade de uso, zoom.</v>
      </c>
      <c r="B53039" s="3">
        <v>1</v>
      </c>
    </row>
    <row r="53040" ht="15.75" customHeight="1" spans="1:2">
      <c r="A53040" s="3" t="str">
        <f>IFERROR(__xludf.DUMMYFUNCTION("GOOGLETRANSLATE(A53040,""en"",""pt"")"),"Tira fotos excelentes, sem esforço &amp; amp; #! 13; &amp; amp; # 10; capacidade técnica surpreendente em câmera compacta.")</f>
        <v>Tira fotos excelentes, sem esforço &amp; amp; #! 13; &amp; amp; # 10; capacidade técnica surpreendente em câmera compacta.</v>
      </c>
      <c r="B53040" s="3">
        <v>1</v>
      </c>
    </row>
    <row r="53041" ht="15.75" customHeight="1" spans="1:2">
      <c r="A53041" s="3" t="str">
        <f>IFERROR(__xludf.DUMMYFUNCTION("GOOGLETRANSLATE(A53041,""en"",""pt"")"),"Ótimas fotos! Fácil de usar!")</f>
        <v>Ótimas fotos! Fácil de usar!</v>
      </c>
      <c r="B53041" s="3">
        <v>1</v>
      </c>
    </row>
    <row r="53042" ht="15.75" customHeight="1" spans="1:2">
      <c r="A53042" s="3" t="str">
        <f>IFERROR(__xludf.DUMMYFUNCTION("GOOGLETRANSLATE(A53042,""en"",""pt"")"),"Qualidade agradável, boas características")</f>
        <v>Qualidade agradável, boas características</v>
      </c>
      <c r="B53042" s="3">
        <v>1</v>
      </c>
    </row>
    <row r="53043" ht="15.75" customHeight="1" spans="1:2">
      <c r="A53043" s="3" t="str">
        <f>IFERROR(__xludf.DUMMYFUNCTION("GOOGLETRANSLATE(A53043,""en"",""pt"")"),"Excelente tamanho, velocidade e recursos")</f>
        <v>Excelente tamanho, velocidade e recursos</v>
      </c>
      <c r="B53043" s="3">
        <v>1</v>
      </c>
    </row>
    <row r="53044" ht="15.75" customHeight="1" spans="1:2">
      <c r="A53044" s="3" t="str">
        <f>IFERROR(__xludf.DUMMYFUNCTION("GOOGLETRANSLATE(A53044,""en"",""pt"")"),"Grande qualidade de imagem")</f>
        <v>Grande qualidade de imagem</v>
      </c>
      <c r="B53044" s="3">
        <v>1</v>
      </c>
    </row>
    <row r="53045" ht="15.75" customHeight="1" spans="1:2">
      <c r="A53045" s="3" t="str">
        <f>IFERROR(__xludf.DUMMYFUNCTION("GOOGLETRANSLATE(A53045,""en"",""pt"")"),"Grande projeto, imagens nítidas, muitos recursos")</f>
        <v>Grande projeto, imagens nítidas, muitos recursos</v>
      </c>
      <c r="B53045" s="3">
        <v>1</v>
      </c>
    </row>
    <row r="53046" ht="15.75" customHeight="1" spans="1:2">
      <c r="A53046" s="3" t="str">
        <f>IFERROR(__xludf.DUMMYFUNCTION("GOOGLETRANSLATE(A53046,""en"",""pt"")"),"megapixels, software")</f>
        <v>megapixels, software</v>
      </c>
      <c r="B53046" s="3">
        <v>1</v>
      </c>
    </row>
    <row r="53047" ht="15.75" customHeight="1" spans="1:2">
      <c r="A53047" s="3" t="str">
        <f>IFERROR(__xludf.DUMMYFUNCTION("GOOGLETRANSLATE(A53047,""en"",""pt"")"),"câmera de boa qualidade")</f>
        <v>câmera de boa qualidade</v>
      </c>
      <c r="B53047" s="3">
        <v>1</v>
      </c>
    </row>
    <row r="53048" ht="15.75" customHeight="1" spans="1:2">
      <c r="A53048" s="3" t="str">
        <f>IFERROR(__xludf.DUMMYFUNCTION("GOOGLETRANSLATE(A53048,""en"",""pt"")"),"Qualidade de imagem, facilidade de uso, leva grandes filmes, tem configurações SLR, de longa duração da bateria de lítio, (carregador incluído) Good display LCD, tem microfone e altifalante, função Grande Repetição, conexão USB incluído, e MAIS !!!")</f>
        <v>Qualidade de imagem, facilidade de uso, leva grandes filmes, tem configurações SLR, de longa duração da bateria de lítio, (carregador incluído) Good display LCD, tem microfone e altifalante, função Grande Repetição, conexão USB incluído, e MAIS !!!</v>
      </c>
      <c r="B53048" s="3">
        <v>1</v>
      </c>
    </row>
    <row r="53049" ht="15.75" customHeight="1" spans="1:2">
      <c r="A53049" s="3" t="str">
        <f>IFERROR(__xludf.DUMMYFUNCTION("GOOGLETRANSLATE(A53049,""en"",""pt"")"),"Tira boas fotos de ratos.")</f>
        <v>Tira boas fotos de ratos.</v>
      </c>
      <c r="B53049" s="3">
        <v>1</v>
      </c>
    </row>
    <row r="53050" ht="15.75" customHeight="1" spans="1:2">
      <c r="A53050" s="3" t="str">
        <f>IFERROR(__xludf.DUMMYFUNCTION("GOOGLETRANSLATE(A53050,""en"",""pt"")"),"Extremamente imagens nítidas, lente Zeiss, suporte USB, bom tamanho, grande capacidade de armazenamento, modos de exposição avançados, sistema de menu excelente, bom controle do usuário, software muito bom,")</f>
        <v>Extremamente imagens nítidas, lente Zeiss, suporte USB, bom tamanho, grande capacidade de armazenamento, modos de exposição avançados, sistema de menu excelente, bom controle do usuário, software muito bom,</v>
      </c>
      <c r="B53050" s="3">
        <v>1</v>
      </c>
    </row>
    <row r="53051" ht="15.75" customHeight="1" spans="1:2">
      <c r="A53051" s="3" t="str">
        <f>IFERROR(__xludf.DUMMYFUNCTION("GOOGLETRANSLATE(A53051,""en"",""pt"")"),"ótima câmera em um pacote pequeno")</f>
        <v>ótima câmera em um pacote pequeno</v>
      </c>
      <c r="B53051" s="3">
        <v>1</v>
      </c>
    </row>
    <row r="53052" ht="15.75" customHeight="1" spans="1:2">
      <c r="A53052" s="3" t="str">
        <f>IFERROR(__xludf.DUMMYFUNCTION("GOOGLETRANSLATE(A53052,""en"",""pt"")"),"alta qualidade da câmera Super alta tecnologia")</f>
        <v>alta qualidade da câmera Super alta tecnologia</v>
      </c>
      <c r="B53052" s="3">
        <v>1</v>
      </c>
    </row>
    <row r="53053" ht="15.75" customHeight="1" spans="1:2">
      <c r="A53053" s="3" t="str">
        <f>IFERROR(__xludf.DUMMYFUNCTION("GOOGLETRANSLATE(A53053,""en"",""pt"")"),"Lotes das características, divertido de usar")</f>
        <v>Lotes das características, divertido de usar</v>
      </c>
      <c r="B53053" s="3">
        <v>1</v>
      </c>
    </row>
    <row r="53054" ht="15.75" customHeight="1" spans="1:2">
      <c r="A53054" s="3" t="str">
        <f>IFERROR(__xludf.DUMMYFUNCTION("GOOGLETRANSLATE(A53054,""en"",""pt"")"),"fotos surpreendentes, lente Carl Zeiss, arrefecer características e memory stick")</f>
        <v>fotos surpreendentes, lente Carl Zeiss, arrefecer características e memory stick</v>
      </c>
      <c r="B53054" s="3">
        <v>1</v>
      </c>
    </row>
    <row r="53055" ht="15.75" customHeight="1" spans="1:2">
      <c r="A53055" s="3" t="str">
        <f>IFERROR(__xludf.DUMMYFUNCTION("GOOGLETRANSLATE(A53055,""en"",""pt"")"),"Tamanho, qualidade de imagem, apresenta &amp; amp; beleza.")</f>
        <v>Tamanho, qualidade de imagem, apresenta &amp; amp; beleza.</v>
      </c>
      <c r="B53055" s="3">
        <v>1</v>
      </c>
    </row>
    <row r="53056" ht="15.75" customHeight="1" spans="1:2">
      <c r="A53056" s="3" t="str">
        <f>IFERROR(__xludf.DUMMYFUNCTION("GOOGLETRANSLATE(A53056,""en"",""pt"")"),"Eu amo a qualidade desta câmera.")</f>
        <v>Eu amo a qualidade desta câmera.</v>
      </c>
      <c r="B53056" s="3">
        <v>1</v>
      </c>
    </row>
    <row r="53057" ht="15.75" customHeight="1" spans="1:2">
      <c r="A53057" s="3" t="str">
        <f>IFERROR(__xludf.DUMMYFUNCTION("GOOGLETRANSLATE(A53057,""en"",""pt"")"),"A qualidade da imagem, preço, software")</f>
        <v>A qualidade da imagem, preço, software</v>
      </c>
      <c r="B53057" s="3">
        <v>1</v>
      </c>
    </row>
    <row r="53058" ht="15.75" customHeight="1" spans="1:2">
      <c r="A53058" s="3" t="str">
        <f>IFERROR(__xludf.DUMMYFUNCTION("GOOGLETRANSLATE(A53058,""en"",""pt"")"),"Fácil de usar interface do usuário, tamanho compacto, a qualidade Grande imagem")</f>
        <v>Fácil de usar interface do usuário, tamanho compacto, a qualidade Grande imagem</v>
      </c>
      <c r="B53058" s="3">
        <v>1</v>
      </c>
    </row>
    <row r="53059" ht="15.75" customHeight="1" spans="1:2">
      <c r="A53059" s="3" t="str">
        <f>IFERROR(__xludf.DUMMYFUNCTION("GOOGLETRANSLATE(A53059,""en"",""pt"")"),"Grande lente, alta de imagem res, fator de forma pequeno")</f>
        <v>Grande lente, alta de imagem res, fator de forma pequeno</v>
      </c>
      <c r="B53059" s="3">
        <v>1</v>
      </c>
    </row>
    <row r="53060" ht="15.75" customHeight="1" spans="1:2">
      <c r="A53060" s="3" t="str">
        <f>IFERROR(__xludf.DUMMYFUNCTION("GOOGLETRANSLATE(A53060,""en"",""pt"")"),"Excelente qualidade de imagem, recursos")</f>
        <v>Excelente qualidade de imagem, recursos</v>
      </c>
      <c r="B53060" s="3">
        <v>1</v>
      </c>
    </row>
    <row r="53061" ht="15.75" customHeight="1" spans="1:2">
      <c r="A53061" s="3" t="str">
        <f>IFERROR(__xludf.DUMMYFUNCTION("GOOGLETRANSLATE(A53061,""en"",""pt"")"),"qualidade de imagem superior, excelente lente zoom, grande autonomia da bateria")</f>
        <v>qualidade de imagem superior, excelente lente zoom, grande autonomia da bateria</v>
      </c>
      <c r="B53061" s="3">
        <v>1</v>
      </c>
    </row>
    <row r="53062" ht="15.75" customHeight="1" spans="1:2">
      <c r="A53062" s="3" t="str">
        <f>IFERROR(__xludf.DUMMYFUNCTION("GOOGLETRANSLATE(A53062,""en"",""pt"")"),"fotos bonitas, fácil de usar, grandes modos de exposição, medidor de ponto!")</f>
        <v>fotos bonitas, fácil de usar, grandes modos de exposição, medidor de ponto!</v>
      </c>
      <c r="B53062" s="3">
        <v>1</v>
      </c>
    </row>
    <row r="53063" ht="15.75" customHeight="1" spans="1:2">
      <c r="A53063" s="3" t="str">
        <f>IFERROR(__xludf.DUMMYFUNCTION("GOOGLETRANSLATE(A53063,""en"",""pt"")"),"Me fez querer se levantar e gritar, &amp; amp; quot; Obrigado Sony &amp; amp;! Quot;")</f>
        <v>Me fez querer se levantar e gritar, &amp; amp; quot; Obrigado Sony &amp; amp;! Quot;</v>
      </c>
      <c r="B53063" s="3">
        <v>1</v>
      </c>
    </row>
    <row r="53064" ht="15.75" customHeight="1" spans="1:2">
      <c r="A53064" s="3" t="str">
        <f>IFERROR(__xludf.DUMMYFUNCTION("GOOGLETRANSLATE(A53064,""en"",""pt"")"),"6X Zoom, Incrivelmente detalhes nítidos")</f>
        <v>6X Zoom, Incrivelmente detalhes nítidos</v>
      </c>
      <c r="B53064" s="3">
        <v>1</v>
      </c>
    </row>
    <row r="53065" ht="15.75" customHeight="1" spans="1:2">
      <c r="A53065" s="3" t="str">
        <f>IFERROR(__xludf.DUMMYFUNCTION("GOOGLETRANSLATE(A53065,""en"",""pt"")"),"Ótimas fotos! bateria de Nice")</f>
        <v>Ótimas fotos! bateria de Nice</v>
      </c>
      <c r="B53065" s="3">
        <v>1</v>
      </c>
    </row>
    <row r="53066" ht="15.75" customHeight="1" spans="1:2">
      <c r="A53066" s="3" t="str">
        <f>IFERROR(__xludf.DUMMYFUNCTION("GOOGLETRANSLATE(A53066,""en"",""pt"")"),"Grande para ampliações!")</f>
        <v>Grande para ampliações!</v>
      </c>
      <c r="B53066" s="3">
        <v>1</v>
      </c>
    </row>
    <row r="53067" ht="15.75" customHeight="1" spans="1:2">
      <c r="A53067" s="3" t="str">
        <f>IFERROR(__xludf.DUMMYFUNCTION("GOOGLETRANSLATE(A53067,""en"",""pt"")"),"Grandes imagens, interface intuitiva, fácil de usar")</f>
        <v>Grandes imagens, interface intuitiva, fácil de usar</v>
      </c>
      <c r="B53067" s="3">
        <v>1</v>
      </c>
    </row>
    <row r="53068" ht="15.75" customHeight="1" spans="1:2">
      <c r="A53068" s="3" t="str">
        <f>IFERROR(__xludf.DUMMYFUNCTION("GOOGLETRANSLATE(A53068,""en"",""pt"")"),"tamanho pequeno, muitos recursos")</f>
        <v>tamanho pequeno, muitos recursos</v>
      </c>
      <c r="B53068" s="3">
        <v>1</v>
      </c>
    </row>
    <row r="53069" ht="15.75" customHeight="1" spans="1:2">
      <c r="A53069" s="3" t="str">
        <f>IFERROR(__xludf.DUMMYFUNCTION("GOOGLETRANSLATE(A53069,""en"",""pt"")"),"grande clareza")</f>
        <v>grande clareza</v>
      </c>
      <c r="B53069" s="3">
        <v>1</v>
      </c>
    </row>
    <row r="53070" ht="15.75" customHeight="1" spans="1:2">
      <c r="A53070" s="3" t="str">
        <f>IFERROR(__xludf.DUMMYFUNCTION("GOOGLETRANSLATE(A53070,""en"",""pt"")"),"Excelente conjunto de recursos, fácil de usar.")</f>
        <v>Excelente conjunto de recursos, fácil de usar.</v>
      </c>
      <c r="B53070" s="3">
        <v>1</v>
      </c>
    </row>
    <row r="53071" ht="15.75" customHeight="1" spans="1:2">
      <c r="A53071" s="3" t="str">
        <f>IFERROR(__xludf.DUMMYFUNCTION("GOOGLETRANSLATE(A53071,""en"",""pt"")"),"qualidade de imagem, apresenta vs preço")</f>
        <v>qualidade de imagem, apresenta vs preço</v>
      </c>
      <c r="B53071" s="3">
        <v>1</v>
      </c>
    </row>
    <row r="53072" ht="15.75" customHeight="1" spans="1:2">
      <c r="A53072" s="3" t="str">
        <f>IFERROR(__xludf.DUMMYFUNCTION("GOOGLETRANSLATE(A53072,""en"",""pt"")"),"rico em recursos; fácil de usar")</f>
        <v>rico em recursos; fácil de usar</v>
      </c>
      <c r="B53072" s="3">
        <v>1</v>
      </c>
    </row>
    <row r="53073" ht="15.75" customHeight="1" spans="1:2">
      <c r="A53073" s="3" t="str">
        <f>IFERROR(__xludf.DUMMYFUNCTION("GOOGLETRANSLATE(A53073,""en"",""pt"")"),"Pequeno, Grande Pictures, relativamente fácil de transferir fotos para o PC")</f>
        <v>Pequeno, Grande Pictures, relativamente fácil de transferir fotos para o PC</v>
      </c>
      <c r="B53073" s="3">
        <v>1</v>
      </c>
    </row>
    <row r="53074" ht="15.75" customHeight="1" spans="1:2">
      <c r="A53074" s="3" t="str">
        <f>IFERROR(__xludf.DUMMYFUNCTION("GOOGLETRANSLATE(A53074,""en"",""pt"")"),"Excelentes, vívido, fotos nítidas")</f>
        <v>Excelentes, vívido, fotos nítidas</v>
      </c>
      <c r="B53074" s="3">
        <v>1</v>
      </c>
    </row>
    <row r="53075" ht="15.75" customHeight="1" spans="1:2">
      <c r="A53075" s="3" t="str">
        <f>IFERROR(__xludf.DUMMYFUNCTION("GOOGLETRANSLATE(A53075,""en"",""pt"")"),"Foto faixa de tamanho, flash externo disponível, leve, compacto usuário, amigável.")</f>
        <v>Foto faixa de tamanho, flash externo disponível, leve, compacto usuário, amigável.</v>
      </c>
      <c r="B53075" s="3">
        <v>1</v>
      </c>
    </row>
    <row r="53076" ht="15.75" customHeight="1" spans="1:2">
      <c r="A53076" s="3" t="str">
        <f>IFERROR(__xludf.DUMMYFUNCTION("GOOGLETRANSLATE(A53076,""en"",""pt"")"),"Afiadas Fotos e bateria de longa duração")</f>
        <v>Afiadas Fotos e bateria de longa duração</v>
      </c>
      <c r="B53076" s="3">
        <v>1</v>
      </c>
    </row>
    <row r="53077" ht="15.75" customHeight="1" spans="1:2">
      <c r="A53077" s="3" t="str">
        <f>IFERROR(__xludf.DUMMYFUNCTION("GOOGLETRANSLATE(A53077,""en"",""pt"")"),"Fácil de usar")</f>
        <v>Fácil de usar</v>
      </c>
      <c r="B53077" s="3">
        <v>1</v>
      </c>
    </row>
    <row r="53078" ht="15.75" customHeight="1" spans="1:2">
      <c r="A53078" s="3" t="str">
        <f>IFERROR(__xludf.DUMMYFUNCTION("GOOGLETRANSLATE(A53078,""en"",""pt"")"),"A grande qualidade, característica embalada, longa 'on-tempos'")</f>
        <v>A grande qualidade, característica embalada, longa 'on-tempos'</v>
      </c>
      <c r="B53078" s="3">
        <v>1</v>
      </c>
    </row>
    <row r="53079" ht="15.75" customHeight="1" spans="1:2">
      <c r="A53079" s="3" t="str">
        <f>IFERROR(__xludf.DUMMYFUNCTION("GOOGLETRANSLATE(A53079,""en"",""pt"")"),"Incrível qualidade de imagem. bateria de longa duração")</f>
        <v>Incrível qualidade de imagem. bateria de longa duração</v>
      </c>
      <c r="B53079" s="3">
        <v>1</v>
      </c>
    </row>
    <row r="53080" ht="15.75" customHeight="1" spans="1:2">
      <c r="A53080" s="3" t="str">
        <f>IFERROR(__xludf.DUMMYFUNCTION("GOOGLETRANSLATE(A53080,""en"",""pt"")"),"Excelente qualidade de imagem")</f>
        <v>Excelente qualidade de imagem</v>
      </c>
      <c r="B53080" s="3">
        <v>1</v>
      </c>
    </row>
    <row r="53081" ht="15.75" customHeight="1" spans="1:2">
      <c r="A53081" s="3" t="str">
        <f>IFERROR(__xludf.DUMMYFUNCTION("GOOGLETRANSLATE(A53081,""en"",""pt"")"),"grandes imagens, som irreal")</f>
        <v>grandes imagens, som irreal</v>
      </c>
      <c r="B53081" s="3">
        <v>1</v>
      </c>
    </row>
    <row r="53082" ht="15.75" customHeight="1" spans="1:2">
      <c r="A53082" s="3" t="str">
        <f>IFERROR(__xludf.DUMMYFUNCTION("GOOGLETRANSLATE(A53082,""en"",""pt"")"),"3.3 Megapixel, cheio de recursos, fácil de usar, Brilhante LCD, bateria excelente, excelente qualidade de fotos")</f>
        <v>3.3 Megapixel, cheio de recursos, fácil de usar, Brilhante LCD, bateria excelente, excelente qualidade de fotos</v>
      </c>
      <c r="B53082" s="3">
        <v>1</v>
      </c>
    </row>
    <row r="53083" ht="15.75" customHeight="1" spans="1:2">
      <c r="A53083" s="3" t="str">
        <f>IFERROR(__xludf.DUMMYFUNCTION("GOOGLETRANSLATE(A53083,""en"",""pt"")"),"fácil de usar.")</f>
        <v>fácil de usar.</v>
      </c>
      <c r="B53083" s="3">
        <v>1</v>
      </c>
    </row>
    <row r="53084" ht="15.75" customHeight="1" spans="1:2">
      <c r="A53084" s="3" t="str">
        <f>IFERROR(__xludf.DUMMYFUNCTION("GOOGLETRANSLATE(A53084,""en"",""pt"")"),"detalhes incríveis e saturação de cor")</f>
        <v>detalhes incríveis e saturação de cor</v>
      </c>
      <c r="B53084" s="3">
        <v>1</v>
      </c>
    </row>
    <row r="53085" ht="15.75" customHeight="1" spans="1:2">
      <c r="A53085" s="3" t="str">
        <f>IFERROR(__xludf.DUMMYFUNCTION("GOOGLETRANSLATE(A53085,""en"",""pt"")"),"excelentes fotos dos quartos, incrível resolução e realismo")</f>
        <v>excelentes fotos dos quartos, incrível resolução e realismo</v>
      </c>
      <c r="B53085" s="3">
        <v>1</v>
      </c>
    </row>
    <row r="53086" ht="15.75" customHeight="1" spans="1:2">
      <c r="A53086" s="3" t="str">
        <f>IFERROR(__xludf.DUMMYFUNCTION("GOOGLETRANSLATE(A53086,""en"",""pt"")"),"Detalhe incrível, Luz, Bom Acessórios, facilidade de uso")</f>
        <v>Detalhe incrível, Luz, Bom Acessórios, facilidade de uso</v>
      </c>
      <c r="B53086" s="3">
        <v>1</v>
      </c>
    </row>
    <row r="53087" ht="15.75" customHeight="1" spans="1:2">
      <c r="A53087" s="3" t="str">
        <f>IFERROR(__xludf.DUMMYFUNCTION("GOOGLETRANSLATE(A53087,""en"",""pt"")"),"Qualidade e precisão, vários recursos úteis, fácil de usar, grande autonomia da bateria, agradável LCD")</f>
        <v>Qualidade e precisão, vários recursos úteis, fácil de usar, grande autonomia da bateria, agradável LCD</v>
      </c>
      <c r="B53087" s="3">
        <v>1</v>
      </c>
    </row>
    <row r="53088" ht="15.75" customHeight="1" spans="1:2">
      <c r="A53088" s="3" t="str">
        <f>IFERROR(__xludf.DUMMYFUNCTION("GOOGLETRANSLATE(A53088,""en"",""pt"")"),"qualidade de imagem, preço")</f>
        <v>qualidade de imagem, preço</v>
      </c>
      <c r="B53088" s="3">
        <v>1</v>
      </c>
    </row>
    <row r="53089" ht="15.75" customHeight="1" spans="1:2">
      <c r="A53089" s="3" t="str">
        <f>IFERROR(__xludf.DUMMYFUNCTION("GOOGLETRANSLATE(A53089,""en"",""pt"")"),"lente Carl Zeiss, claras fotos nítidas")</f>
        <v>lente Carl Zeiss, claras fotos nítidas</v>
      </c>
      <c r="B53089" s="3">
        <v>1</v>
      </c>
    </row>
    <row r="53090" ht="15.75" customHeight="1" spans="1:2">
      <c r="A53090" s="3" t="str">
        <f>IFERROR(__xludf.DUMMYFUNCTION("GOOGLETRANSLATE(A53090,""en"",""pt"")"),"Alta resolução, vídeo digital, fácil de usar, várias opções.")</f>
        <v>Alta resolução, vídeo digital, fácil de usar, várias opções.</v>
      </c>
      <c r="B53090" s="3">
        <v>1</v>
      </c>
    </row>
    <row r="53091" ht="15.75" customHeight="1" spans="1:2">
      <c r="A53091" s="3" t="str">
        <f>IFERROR(__xludf.DUMMYFUNCTION("GOOGLETRANSLATE(A53091,""en"",""pt"")"),"Sony tem um HIT - Compact, Zeiss Lens, de longa vida útil da bateria, visor óptico ajustável")</f>
        <v>Sony tem um HIT - Compact, Zeiss Lens, de longa vida útil da bateria, visor óptico ajustável</v>
      </c>
      <c r="B53091" s="3">
        <v>1</v>
      </c>
    </row>
    <row r="53092" ht="15.75" customHeight="1" spans="1:2">
      <c r="A53092" s="3" t="str">
        <f>IFERROR(__xludf.DUMMYFUNCTION("GOOGLETRANSLATE(A53092,""en"",""pt"")"),", Fácil de usar, muito versátil, bom software de qualidade de foto de alta")</f>
        <v>, Fácil de usar, muito versátil, bom software de qualidade de foto de alta</v>
      </c>
      <c r="B53092" s="3">
        <v>1</v>
      </c>
    </row>
    <row r="53093" ht="15.75" customHeight="1" spans="1:2">
      <c r="A53093" s="3" t="str">
        <f>IFERROR(__xludf.DUMMYFUNCTION("GOOGLETRANSLATE(A53093,""en"",""pt"")"),"tamanho modesto, peso leve, excelente vida útil da bateria, opções de memória expansível, qualidade Sony, acessórios")</f>
        <v>tamanho modesto, peso leve, excelente vida útil da bateria, opções de memória expansível, qualidade Sony, acessórios</v>
      </c>
      <c r="B53093" s="3">
        <v>1</v>
      </c>
    </row>
    <row r="53094" ht="15.75" customHeight="1" spans="1:2">
      <c r="A53094" s="3" t="str">
        <f>IFERROR(__xludf.DUMMYFUNCTION("GOOGLETRANSLATE(A53094,""en"",""pt"")"),"Grande imagem &amp; amp; qualidade de cor, qualquer filme de comprimento, construção sólida")</f>
        <v>Grande imagem &amp; amp; qualidade de cor, qualquer filme de comprimento, construção sólida</v>
      </c>
      <c r="B53094" s="3">
        <v>1</v>
      </c>
    </row>
    <row r="53095" ht="15.75" customHeight="1" spans="1:2">
      <c r="A53095" s="3" t="str">
        <f>IFERROR(__xludf.DUMMYFUNCTION("GOOGLETRANSLATE(A53095,""en"",""pt"")"),"Qualidade de imagem, embalado com características")</f>
        <v>Qualidade de imagem, embalado com características</v>
      </c>
      <c r="B53095" s="3">
        <v>1</v>
      </c>
    </row>
    <row r="53096" ht="15.75" customHeight="1" spans="1:2">
      <c r="A53096" s="3" t="str">
        <f>IFERROR(__xludf.DUMMYFUNCTION("GOOGLETRANSLATE(A53096,""en"",""pt"")"),"Fácil de usar")</f>
        <v>Fácil de usar</v>
      </c>
      <c r="B53096" s="3">
        <v>1</v>
      </c>
    </row>
    <row r="53097" ht="15.75" customHeight="1" spans="1:2">
      <c r="A53097" s="3" t="str">
        <f>IFERROR(__xludf.DUMMYFUNCTION("GOOGLETRANSLATE(A53097,""en"",""pt"")"),"Apresentam carregados, grandes imagens, bateria de longa duração.")</f>
        <v>Apresentam carregados, grandes imagens, bateria de longa duração.</v>
      </c>
      <c r="B53097" s="3">
        <v>1</v>
      </c>
    </row>
    <row r="53098" ht="15.75" customHeight="1" spans="1:2">
      <c r="A53098" s="3" t="str">
        <f>IFERROR(__xludf.DUMMYFUNCTION("GOOGLETRANSLATE(A53098,""en"",""pt"")"),"* Imagem Superb Quality &amp; amp; # 13; &amp; amp; # 10; * fácil de usar &amp; amp; # 13; &amp; amp; # 10; * qualidade, materiais &amp; amp; # 13; &amp; amp; # 10; * brilhante LCD &amp; amp; # 13; &amp; amp; # 10 ; * bateria Strong")</f>
        <v>* Imagem Superb Quality &amp; amp; # 13; &amp; amp; # 10; * fácil de usar &amp; amp; # 13; &amp; amp; # 10; * qualidade, materiais &amp; amp; # 13; &amp; amp; # 10; * brilhante LCD &amp; amp; # 13; &amp; amp; # 10 ; * bateria Strong</v>
      </c>
      <c r="B53098" s="3">
        <v>1</v>
      </c>
    </row>
    <row r="53099" ht="15.75" customHeight="1" spans="1:2">
      <c r="A53099" s="3" t="str">
        <f>IFERROR(__xludf.DUMMYFUNCTION("GOOGLETRANSLATE(A53099,""en"",""pt"")"),"Qualidade, vida útil da bateria")</f>
        <v>Qualidade, vida útil da bateria</v>
      </c>
      <c r="B53099" s="3">
        <v>1</v>
      </c>
    </row>
    <row r="53100" ht="15.75" customHeight="1" spans="1:2">
      <c r="A53100" s="3" t="str">
        <f>IFERROR(__xludf.DUMMYFUNCTION("GOOGLETRANSLATE(A53100,""en"",""pt"")"),"ajustes manuais, lente CarlZeiss, modo de filme MPEG, bateria InfoLithium")</f>
        <v>ajustes manuais, lente CarlZeiss, modo de filme MPEG, bateria InfoLithium</v>
      </c>
      <c r="B53100" s="3">
        <v>1</v>
      </c>
    </row>
    <row r="53101" ht="15.75" customHeight="1" spans="1:2">
      <c r="A53101" s="3" t="str">
        <f>IFERROR(__xludf.DUMMYFUNCTION("GOOGLETRANSLATE(A53101,""en"",""pt"")"),"Simples, mas avançado, de alta qualidade, muitas opções e recursos.")</f>
        <v>Simples, mas avançado, de alta qualidade, muitas opções e recursos.</v>
      </c>
      <c r="B53101" s="3">
        <v>1</v>
      </c>
    </row>
    <row r="53102" ht="15.75" customHeight="1" spans="1:2">
      <c r="A53102" s="3" t="str">
        <f>IFERROR(__xludf.DUMMYFUNCTION("GOOGLETRANSLATE(A53102,""en"",""pt"")"),"Vídeo w som /, fotos agradáveis, com boa aparência e fácil de descobrir!")</f>
        <v>Vídeo w som /, fotos agradáveis, com boa aparência e fácil de descobrir!</v>
      </c>
      <c r="B53102" s="3">
        <v>1</v>
      </c>
    </row>
    <row r="53103" ht="15.75" customHeight="1" spans="1:2">
      <c r="A53103" s="3" t="str">
        <f>IFERROR(__xludf.DUMMYFUNCTION("GOOGLETRANSLATE(A53103,""en"",""pt"")"),"Aceita diferentes lentes; Se sente como um &amp; lt; i &amp; gt; verdadeiro &amp; lt; / i &amp; gt; Câmera; As imagens nítidas")</f>
        <v>Aceita diferentes lentes; Se sente como um &amp; lt; i &amp; gt; verdadeiro &amp; lt; / i &amp; gt; Câmera; As imagens nítidas</v>
      </c>
      <c r="B53103" s="3">
        <v>1</v>
      </c>
    </row>
    <row r="53104" ht="15.75" customHeight="1" spans="1:2">
      <c r="A53104" s="3" t="str">
        <f>IFERROR(__xludf.DUMMYFUNCTION("GOOGLETRANSLATE(A53104,""en"",""pt"")"),"Bom Qualidade da imagem, bom tamanho, boa qualidade de vídeo")</f>
        <v>Bom Qualidade da imagem, bom tamanho, boa qualidade de vídeo</v>
      </c>
      <c r="B53104" s="3">
        <v>1</v>
      </c>
    </row>
    <row r="53105" ht="15.75" customHeight="1" spans="1:2">
      <c r="A53105" s="3" t="str">
        <f>IFERROR(__xludf.DUMMYFUNCTION("GOOGLETRANSLATE(A53105,""en"",""pt"")"),"Grande ecrã LCD, lente Carl Zeiss, vários modos de tirar fotos em.")</f>
        <v>Grande ecrã LCD, lente Carl Zeiss, vários modos de tirar fotos em.</v>
      </c>
      <c r="B53105" s="3">
        <v>1</v>
      </c>
    </row>
    <row r="53106" ht="15.75" customHeight="1" spans="1:2">
      <c r="A53106" s="3" t="str">
        <f>IFERROR(__xludf.DUMMYFUNCTION("GOOGLETRANSLATE(A53106,""en"",""pt"")"),"Fácil de usar")</f>
        <v>Fácil de usar</v>
      </c>
      <c r="B53106" s="3">
        <v>1</v>
      </c>
    </row>
    <row r="53107" ht="15.75" customHeight="1" spans="1:2">
      <c r="A53107" s="3" t="str">
        <f>IFERROR(__xludf.DUMMYFUNCTION("GOOGLETRANSLATE(A53107,""en"",""pt"")"),"imagem surpreendente, grande lente, bateria fornecida, carregador, inúmeras opções")</f>
        <v>imagem surpreendente, grande lente, bateria fornecida, carregador, inúmeras opções</v>
      </c>
      <c r="B53107" s="3">
        <v>1</v>
      </c>
    </row>
    <row r="53108" ht="15.75" customHeight="1" spans="1:2">
      <c r="A53108" s="3" t="str">
        <f>IFERROR(__xludf.DUMMYFUNCTION("GOOGLETRANSLATE(A53108,""en"",""pt"")"),"bateria de vídeo, recarregável, de grande qualidade, muitas fotos")</f>
        <v>bateria de vídeo, recarregável, de grande qualidade, muitas fotos</v>
      </c>
      <c r="B53108" s="3">
        <v>1</v>
      </c>
    </row>
    <row r="53109" ht="15.75" customHeight="1" spans="1:2">
      <c r="A53109" s="3" t="str">
        <f>IFERROR(__xludf.DUMMYFUNCTION("GOOGLETRANSLATE(A53109,""en"",""pt"")"),"Excelente qualidade de imagem, capacidade de ajuste flexível, sensação geral de durabilidade, vida útil da bateria impressionante.")</f>
        <v>Excelente qualidade de imagem, capacidade de ajuste flexível, sensação geral de durabilidade, vida útil da bateria impressionante.</v>
      </c>
      <c r="B53109" s="3">
        <v>1</v>
      </c>
    </row>
    <row r="53110" ht="15.75" customHeight="1" spans="1:2">
      <c r="A53110" s="3" t="str">
        <f>IFERROR(__xludf.DUMMYFUNCTION("GOOGLETRANSLATE(A53110,""en"",""pt"")"),"design ergonômico, boa saturação de cor, bateria de longa duração")</f>
        <v>design ergonômico, boa saturação de cor, bateria de longa duração</v>
      </c>
      <c r="B53110" s="3">
        <v>1</v>
      </c>
    </row>
    <row r="53111" ht="15.75" customHeight="1" spans="1:2">
      <c r="A53111" s="3" t="str">
        <f>IFERROR(__xludf.DUMMYFUNCTION("GOOGLETRANSLATE(A53111,""en"",""pt"")"),"Fácil de usar, excelente qualidade de imagem, os envios rápidos")</f>
        <v>Fácil de usar, excelente qualidade de imagem, os envios rápidos</v>
      </c>
      <c r="B53111" s="3">
        <v>1</v>
      </c>
    </row>
    <row r="53112" ht="15.75" customHeight="1" spans="1:2">
      <c r="A53112" s="3" t="str">
        <f>IFERROR(__xludf.DUMMYFUNCTION("GOOGLETRANSLATE(A53112,""en"",""pt"")"),"Fácil de usar, excelente qualidade de imagem, a vasta gama de opções e recursos")</f>
        <v>Fácil de usar, excelente qualidade de imagem, a vasta gama de opções e recursos</v>
      </c>
      <c r="B53112" s="3">
        <v>1</v>
      </c>
    </row>
    <row r="53113" ht="15.75" customHeight="1" spans="1:2">
      <c r="A53113" s="3" t="str">
        <f>IFERROR(__xludf.DUMMYFUNCTION("GOOGLETRANSLATE(A53113,""en"",""pt"")"),"Fantástico, lente brilhante, controles intuitivos (para recursos mais usados), excelente qualidade de imagem")</f>
        <v>Fantástico, lente brilhante, controles intuitivos (para recursos mais usados), excelente qualidade de imagem</v>
      </c>
      <c r="B53113" s="3">
        <v>1</v>
      </c>
    </row>
    <row r="53114" ht="15.75" customHeight="1" spans="1:2">
      <c r="A53114" s="3" t="str">
        <f>IFERROR(__xludf.DUMMYFUNCTION("GOOGLETRANSLATE(A53114,""en"",""pt"")"),"belas fotos com ótima resolução. Fácil de usar. Lotes de configurações para brincar.")</f>
        <v>belas fotos com ótima resolução. Fácil de usar. Lotes de configurações para brincar.</v>
      </c>
      <c r="B53114" s="3">
        <v>1</v>
      </c>
    </row>
    <row r="53115" ht="15.75" customHeight="1" spans="1:2">
      <c r="A53115" s="3" t="str">
        <f>IFERROR(__xludf.DUMMYFUNCTION("GOOGLETRANSLATE(A53115,""en"",""pt"")"),"Grande lente, resolução de 3,3 MP, zoom óptico 3x, funções manuais.")</f>
        <v>Grande lente, resolução de 3,3 MP, zoom óptico 3x, funções manuais.</v>
      </c>
      <c r="B53115" s="3">
        <v>1</v>
      </c>
    </row>
    <row r="53116" ht="15.75" customHeight="1" spans="1:2">
      <c r="A53116" s="3" t="str">
        <f>IFERROR(__xludf.DUMMYFUNCTION("GOOGLETRANSLATE(A53116,""en"",""pt"")"),"Grande qualidade da foto, fácil de usar, não vai quebrar o banco. O que mais você poderia querer??")</f>
        <v>Grande qualidade da foto, fácil de usar, não vai quebrar o banco. O que mais você poderia querer??</v>
      </c>
      <c r="B53116" s="3">
        <v>1</v>
      </c>
    </row>
    <row r="53117" ht="15.75" customHeight="1" spans="1:2">
      <c r="A53117" s="3" t="str">
        <f>IFERROR(__xludf.DUMMYFUNCTION("GOOGLETRANSLATE(A53117,""en"",""pt"")"),"controles fáceis, construção durável")</f>
        <v>controles fáceis, construção durável</v>
      </c>
      <c r="B53117" s="3">
        <v>1</v>
      </c>
    </row>
    <row r="53118" ht="15.75" customHeight="1" spans="1:2">
      <c r="A53118" s="3" t="str">
        <f>IFERROR(__xludf.DUMMYFUNCTION("GOOGLETRANSLATE(A53118,""en"",""pt"")"),"baterias recarregáveis, LCD com reprodução de imagem")</f>
        <v>baterias recarregáveis, LCD com reprodução de imagem</v>
      </c>
      <c r="B53118" s="3">
        <v>1</v>
      </c>
    </row>
    <row r="53119" ht="15.75" customHeight="1" spans="1:2">
      <c r="A53119" s="3" t="str">
        <f>IFERROR(__xludf.DUMMYFUNCTION("GOOGLETRANSLATE(A53119,""en"",""pt"")"),"No geral Robustez, a vida da bateria, Preço nitidez de imagem, facilidade de uso.")</f>
        <v>No geral Robustez, a vida da bateria, Preço nitidez de imagem, facilidade de uso.</v>
      </c>
      <c r="B53119" s="3">
        <v>1</v>
      </c>
    </row>
    <row r="53120" ht="15.75" customHeight="1" spans="1:2">
      <c r="A53120" s="3" t="str">
        <f>IFERROR(__xludf.DUMMYFUNCTION("GOOGLETRANSLATE(A53120,""en"",""pt"")"),"Grandes imagens, cor verdadeira, construção robusta, interface agradável.")</f>
        <v>Grandes imagens, cor verdadeira, construção robusta, interface agradável.</v>
      </c>
      <c r="B53120" s="3">
        <v>1</v>
      </c>
    </row>
    <row r="53121" ht="15.75" customHeight="1" spans="1:2">
      <c r="A53121" s="3" t="str">
        <f>IFERROR(__xludf.DUMMYFUNCTION("GOOGLETRANSLATE(A53121,""en"",""pt"")"),"Fácil de usar, ótimas fotos, compacto e se encaixa bem nas mãos.")</f>
        <v>Fácil de usar, ótimas fotos, compacto e se encaixa bem nas mãos.</v>
      </c>
      <c r="B53121" s="3">
        <v>1</v>
      </c>
    </row>
    <row r="53122" ht="15.75" customHeight="1" spans="1:2">
      <c r="A53122" s="3" t="str">
        <f>IFERROR(__xludf.DUMMYFUNCTION("GOOGLETRANSLATE(A53122,""en"",""pt"")"),"Excelente resolução, longa vida recarregável de lítio, Boa Disposição")</f>
        <v>Excelente resolução, longa vida recarregável de lítio, Boa Disposição</v>
      </c>
      <c r="B53122" s="3">
        <v>1</v>
      </c>
    </row>
    <row r="53123" ht="15.75" customHeight="1" spans="1:2">
      <c r="A53123" s="3" t="str">
        <f>IFERROR(__xludf.DUMMYFUNCTION("GOOGLETRANSLATE(A53123,""en"",""pt"")"),"Soberbo, lente. controles tradicionais sobre Camera reduzir a necessidade de menus LCD.")</f>
        <v>Soberbo, lente. controles tradicionais sobre Camera reduzir a necessidade de menus LCD.</v>
      </c>
      <c r="B53123" s="3">
        <v>1</v>
      </c>
    </row>
    <row r="53124" ht="15.75" customHeight="1" spans="1:2">
      <c r="A53124" s="3" t="str">
        <f>IFERROR(__xludf.DUMMYFUNCTION("GOOGLETRANSLATE(A53124,""en"",""pt"")"),"Impressionante qualidade, grandes óptica, bom valor")</f>
        <v>Impressionante qualidade, grandes óptica, bom valor</v>
      </c>
      <c r="B53124" s="3">
        <v>1</v>
      </c>
    </row>
    <row r="53125" ht="15.75" customHeight="1" spans="1:2">
      <c r="A53125" s="3" t="str">
        <f>IFERROR(__xludf.DUMMYFUNCTION("GOOGLETRANSLATE(A53125,""en"",""pt"")"),"poderoso flash, bateria de longa duração, cristalinas e imagens nítidas.")</f>
        <v>poderoso flash, bateria de longa duração, cristalinas e imagens nítidas.</v>
      </c>
      <c r="B53125" s="3">
        <v>1</v>
      </c>
    </row>
    <row r="53126" ht="15.75" customHeight="1" spans="1:2">
      <c r="A53126" s="3" t="str">
        <f>IFERROR(__xludf.DUMMYFUNCTION("GOOGLETRANSLATE(A53126,""en"",""pt"")"),"preço fantástico! 4.1 Megapixel. Tamanho. Recursos. Fácil de usar.")</f>
        <v>preço fantástico! 4.1 Megapixel. Tamanho. Recursos. Fácil de usar.</v>
      </c>
      <c r="B53126" s="3">
        <v>1</v>
      </c>
    </row>
    <row r="53127" ht="15.75" customHeight="1" spans="1:2">
      <c r="A53127" s="3" t="str">
        <f>IFERROR(__xludf.DUMMYFUNCTION("GOOGLETRANSLATE(A53127,""en"",""pt"")"),"Value &amp; amp; Resolução são grandes !!! Carregado com características.")</f>
        <v>Value &amp; amp; Resolução são grandes !!! Carregado com características.</v>
      </c>
      <c r="B53127" s="3">
        <v>1</v>
      </c>
    </row>
    <row r="53128" ht="15.75" customHeight="1" spans="1:2">
      <c r="A53128" s="3" t="str">
        <f>IFERROR(__xludf.DUMMYFUNCTION("GOOGLETRANSLATE(A53128,""en"",""pt"")"),"4.1 Mp, boa bateria, toneladas de recursos, fácil de usar")</f>
        <v>4.1 Mp, boa bateria, toneladas de recursos, fácil de usar</v>
      </c>
      <c r="B53128" s="3">
        <v>1</v>
      </c>
    </row>
    <row r="53129" ht="15.75" customHeight="1" spans="1:2">
      <c r="A53129" s="3" t="str">
        <f>IFERROR(__xludf.DUMMYFUNCTION("GOOGLETRANSLATE(A53129,""en"",""pt"")"),"Alta resolução, cores precisas, acesso aos controles, a vida da bateria")</f>
        <v>Alta resolução, cores precisas, acesso aos controles, a vida da bateria</v>
      </c>
      <c r="B53129" s="3">
        <v>1</v>
      </c>
    </row>
    <row r="53130" ht="15.75" customHeight="1" spans="1:2">
      <c r="A53130" s="3" t="str">
        <f>IFERROR(__xludf.DUMMYFUNCTION("GOOGLETRANSLATE(A53130,""en"",""pt"")"),"lente, a qualidade de imagem, flexibilidade de exposição, a vida da bateria")</f>
        <v>lente, a qualidade de imagem, flexibilidade de exposição, a vida da bateria</v>
      </c>
      <c r="B53130" s="3">
        <v>1</v>
      </c>
    </row>
    <row r="53131" ht="15.75" customHeight="1" spans="1:2">
      <c r="A53131" s="3" t="str">
        <f>IFERROR(__xludf.DUMMYFUNCTION("GOOGLETRANSLATE(A53131,""en"",""pt"")"),"lente Olympus, peso leve, tamanho pequeno, ótimas fotos, lotes de características.")</f>
        <v>lente Olympus, peso leve, tamanho pequeno, ótimas fotos, lotes de características.</v>
      </c>
      <c r="B53131" s="3">
        <v>1</v>
      </c>
    </row>
    <row r="53132" ht="15.75" customHeight="1" spans="1:2">
      <c r="A53132" s="3" t="str">
        <f>IFERROR(__xludf.DUMMYFUNCTION("GOOGLETRANSLATE(A53132,""en"",""pt"")"),"tamanho pequeno, pitcures claras, nome Olympus")</f>
        <v>tamanho pequeno, pitcures claras, nome Olympus</v>
      </c>
      <c r="B53132" s="3">
        <v>1</v>
      </c>
    </row>
    <row r="53133" ht="15.75" customHeight="1" spans="1:2">
      <c r="A53133" s="3" t="str">
        <f>IFERROR(__xludf.DUMMYFUNCTION("GOOGLETRANSLATE(A53133,""en"",""pt"")"),"4.1 Megapixels, excelente qualidade de imagem, ótimo preço, duração de bateria incrível, e opções de controle manual completo")</f>
        <v>4.1 Megapixels, excelente qualidade de imagem, ótimo preço, duração de bateria incrível, e opções de controle manual completo</v>
      </c>
      <c r="B53133" s="3">
        <v>1</v>
      </c>
    </row>
    <row r="53134" ht="15.75" customHeight="1" spans="1:2">
      <c r="A53134" s="3" t="str">
        <f>IFERROR(__xludf.DUMMYFUNCTION("GOOGLETRANSLATE(A53134,""en"",""pt"")"),"Pequeno, fácil de usar, não pode perder a tampa da lente.")</f>
        <v>Pequeno, fácil de usar, não pode perder a tampa da lente.</v>
      </c>
      <c r="B53134" s="3">
        <v>1</v>
      </c>
    </row>
    <row r="53135" ht="15.75" customHeight="1" spans="1:2">
      <c r="A53135" s="3" t="str">
        <f>IFERROR(__xludf.DUMMYFUNCTION("GOOGLETRANSLATE(A53135,""en"",""pt"")"),"Fácil de usar, muitas opções, peso leve, a maioria das imagens são claras e de boa aparência.")</f>
        <v>Fácil de usar, muitas opções, peso leve, a maioria das imagens são claras e de boa aparência.</v>
      </c>
      <c r="B53135" s="3">
        <v>1</v>
      </c>
    </row>
    <row r="53136" ht="15.75" customHeight="1" spans="1:2">
      <c r="A53136" s="3" t="str">
        <f>IFERROR(__xludf.DUMMYFUNCTION("GOOGLETRANSLATE(A53136,""en"",""pt"")"),"Menu fácil de navegar")</f>
        <v>Menu fácil de navegar</v>
      </c>
      <c r="B53136" s="3">
        <v>1</v>
      </c>
    </row>
    <row r="53137" ht="15.75" customHeight="1" spans="1:2">
      <c r="A53137" s="3" t="str">
        <f>IFERROR(__xludf.DUMMYFUNCTION("GOOGLETRANSLATE(A53137,""en"",""pt"")"),"Desempenho, facilidade de uso, o armazenamento de memória")</f>
        <v>Desempenho, facilidade de uso, o armazenamento de memória</v>
      </c>
      <c r="B53137" s="3">
        <v>1</v>
      </c>
    </row>
    <row r="53138" ht="15.75" customHeight="1" spans="1:2">
      <c r="A53138" s="3" t="str">
        <f>IFERROR(__xludf.DUMMYFUNCTION("GOOGLETRANSLATE(A53138,""en"",""pt"")"),"É leve e fácil de usar.")</f>
        <v>É leve e fácil de usar.</v>
      </c>
      <c r="B53138" s="3">
        <v>1</v>
      </c>
    </row>
    <row r="53139" ht="15.75" customHeight="1" spans="1:2">
      <c r="A53139" s="3" t="str">
        <f>IFERROR(__xludf.DUMMYFUNCTION("GOOGLETRANSLATE(A53139,""en"",""pt"")"),"Preço, qualidade de imagem, função de filme, sem instalação de driver necessário")</f>
        <v>Preço, qualidade de imagem, função de filme, sem instalação de driver necessário</v>
      </c>
      <c r="B53139" s="3">
        <v>1</v>
      </c>
    </row>
    <row r="53140" ht="15.75" customHeight="1" spans="1:2">
      <c r="A53140" s="3" t="str">
        <f>IFERROR(__xludf.DUMMYFUNCTION("GOOGLETRANSLATE(A53140,""en"",""pt"")"),"vida útil da bateria, qualidade de imagem, controles manuais, lente Carl Zeiss")</f>
        <v>vida útil da bateria, qualidade de imagem, controles manuais, lente Carl Zeiss</v>
      </c>
      <c r="B53140" s="3">
        <v>1</v>
      </c>
    </row>
    <row r="53141" ht="15.75" customHeight="1" spans="1:2">
      <c r="A53141" s="3" t="str">
        <f>IFERROR(__xludf.DUMMYFUNCTION("GOOGLETRANSLATE(A53141,""en"",""pt"")"),"belas fotos")</f>
        <v>belas fotos</v>
      </c>
      <c r="B53141" s="3">
        <v>1</v>
      </c>
    </row>
    <row r="53142" ht="15.75" customHeight="1" spans="1:2">
      <c r="A53142" s="3" t="str">
        <f>IFERROR(__xludf.DUMMYFUNCTION("GOOGLETRANSLATE(A53142,""en"",""pt"")"),"Design, vida útil da bateria, qualidade de imagem, tela de LCD, características")</f>
        <v>Design, vida útil da bateria, qualidade de imagem, tela de LCD, características</v>
      </c>
      <c r="B53142" s="3">
        <v>1</v>
      </c>
    </row>
    <row r="53143" ht="15.75" customHeight="1" spans="1:2">
      <c r="A53143" s="3" t="str">
        <f>IFERROR(__xludf.DUMMYFUNCTION("GOOGLETRANSLATE(A53143,""en"",""pt"")"),"fácil de usar, grandes fotos, vida útil da bateria razoável")</f>
        <v>fácil de usar, grandes fotos, vida útil da bateria razoável</v>
      </c>
      <c r="B53143" s="3">
        <v>1</v>
      </c>
    </row>
    <row r="53144" ht="15.75" customHeight="1" spans="1:2">
      <c r="A53144" s="3" t="str">
        <f>IFERROR(__xludf.DUMMYFUNCTION("GOOGLETRANSLATE(A53144,""en"",""pt"")"),"Qualidade de imagem, a vida da bateria, facilidade de uso")</f>
        <v>Qualidade de imagem, a vida da bateria, facilidade de uso</v>
      </c>
      <c r="B53144" s="3">
        <v>1</v>
      </c>
    </row>
    <row r="53145" ht="15.75" customHeight="1" spans="1:2">
      <c r="A53145" s="3" t="str">
        <f>IFERROR(__xludf.DUMMYFUNCTION("GOOGLETRANSLATE(A53145,""en"",""pt"")"),"4.1pix, bateria, configurações manuais, acessórios, preto, ergonomia")</f>
        <v>4.1pix, bateria, configurações manuais, acessórios, preto, ergonomia</v>
      </c>
      <c r="B53145" s="3">
        <v>1</v>
      </c>
    </row>
    <row r="53146" ht="15.75" customHeight="1" spans="1:2">
      <c r="A53146" s="3" t="str">
        <f>IFERROR(__xludf.DUMMYFUNCTION("GOOGLETRANSLATE(A53146,""en"",""pt"")"),"Ainda estou para encontrar qualquer coisa esta câmera não faz bem.")</f>
        <v>Ainda estou para encontrar qualquer coisa esta câmera não faz bem.</v>
      </c>
      <c r="B53146" s="3">
        <v>1</v>
      </c>
    </row>
    <row r="53147" ht="15.75" customHeight="1" spans="1:2">
      <c r="A53147" s="3" t="str">
        <f>IFERROR(__xludf.DUMMYFUNCTION("GOOGLETRANSLATE(A53147,""en"",""pt"")"),"Excelentes imagens de qualidade, um pouco de processamento rápido, Grande Construção")</f>
        <v>Excelentes imagens de qualidade, um pouco de processamento rápido, Grande Construção</v>
      </c>
      <c r="B53147" s="3">
        <v>1</v>
      </c>
    </row>
    <row r="53148" ht="15.75" customHeight="1" spans="1:2">
      <c r="A53148" s="3" t="str">
        <f>IFERROR(__xludf.DUMMYFUNCTION("GOOGLETRANSLATE(A53148,""en"",""pt"")"),"Excelentes imagens de qualidade, um pouco de processamento rápido, Grande Construção")</f>
        <v>Excelentes imagens de qualidade, um pouco de processamento rápido, Grande Construção</v>
      </c>
      <c r="B53148" s="3">
        <v>1</v>
      </c>
    </row>
    <row r="53149" ht="15.75" customHeight="1" spans="1:2">
      <c r="A53149" s="3" t="str">
        <f>IFERROR(__xludf.DUMMYFUNCTION("GOOGLETRANSLATE(A53149,""en"",""pt"")"),"lente Ziess, B &amp; amp; W modo, o modo de mpeg, estilo")</f>
        <v>lente Ziess, B &amp; amp; W modo, o modo de mpeg, estilo</v>
      </c>
      <c r="B53149" s="3">
        <v>1</v>
      </c>
    </row>
    <row r="53150" ht="15.75" customHeight="1" spans="1:2">
      <c r="A53150" s="3" t="str">
        <f>IFERROR(__xludf.DUMMYFUNCTION("GOOGLETRANSLATE(A53150,""en"",""pt"")"),"Mais fácil de usar do que outras câmaras. Um monte de características interessantes. bateria de longa duração.")</f>
        <v>Mais fácil de usar do que outras câmaras. Um monte de características interessantes. bateria de longa duração.</v>
      </c>
      <c r="B53150" s="3">
        <v>1</v>
      </c>
    </row>
    <row r="53151" ht="15.75" customHeight="1" spans="1:2">
      <c r="A53151" s="3" t="str">
        <f>IFERROR(__xludf.DUMMYFUNCTION("GOOGLETRANSLATE(A53151,""en"",""pt"")"),"As imagens nítidas; filmes curtos fáceis")</f>
        <v>As imagens nítidas; filmes curtos fáceis</v>
      </c>
      <c r="B53151" s="3">
        <v>1</v>
      </c>
    </row>
    <row r="53152" ht="15.75" customHeight="1" spans="1:2">
      <c r="A53152" s="3" t="str">
        <f>IFERROR(__xludf.DUMMYFUNCTION("GOOGLETRANSLATE(A53152,""en"",""pt"")"),"qualidade de imagem, armazenamento, facilidade de uso, tamanho pequeno, grande valor")</f>
        <v>qualidade de imagem, armazenamento, facilidade de uso, tamanho pequeno, grande valor</v>
      </c>
      <c r="B53152" s="3">
        <v>1</v>
      </c>
    </row>
    <row r="53153" ht="15.75" customHeight="1" spans="1:2">
      <c r="A53153" s="3" t="str">
        <f>IFERROR(__xludf.DUMMYFUNCTION("GOOGLETRANSLATE(A53153,""en"",""pt"")"),"Compacta, de alta resolução (lente 4.1MP Zeiss), excelente vida útil da bateria, bom LSD, o usuário geralmente amigáveis")</f>
        <v>Compacta, de alta resolução (lente 4.1MP Zeiss), excelente vida útil da bateria, bom LSD, o usuário geralmente amigáveis</v>
      </c>
      <c r="B53153" s="3">
        <v>1</v>
      </c>
    </row>
    <row r="53154" ht="15.75" customHeight="1" spans="1:2">
      <c r="A53154" s="3" t="str">
        <f>IFERROR(__xludf.DUMMYFUNCTION("GOOGLETRANSLATE(A53154,""en"",""pt"")"),"Ótimas fotos. Simplesmente ótimo.")</f>
        <v>Ótimas fotos. Simplesmente ótimo.</v>
      </c>
      <c r="B53154" s="3">
        <v>1</v>
      </c>
    </row>
    <row r="53155" ht="15.75" customHeight="1" spans="1:2">
      <c r="A53155" s="3" t="str">
        <f>IFERROR(__xludf.DUMMYFUNCTION("GOOGLETRANSLATE(A53155,""en"",""pt"")"),"fácil de usar, bateria de longa duração, muito alta qualidade de imagem, tela LCD de grandes dimensões")</f>
        <v>fácil de usar, bateria de longa duração, muito alta qualidade de imagem, tela LCD de grandes dimensões</v>
      </c>
      <c r="B53155" s="3">
        <v>1</v>
      </c>
    </row>
    <row r="53156" ht="15.75" customHeight="1" spans="1:2">
      <c r="A53156" s="3" t="str">
        <f>IFERROR(__xludf.DUMMYFUNCTION("GOOGLETRANSLATE(A53156,""en"",""pt"")"),"Grande Camera ... tem grande Fotos")</f>
        <v>Grande Camera ... tem grande Fotos</v>
      </c>
      <c r="B53156" s="3">
        <v>1</v>
      </c>
    </row>
    <row r="53157" ht="15.75" customHeight="1" spans="1:2">
      <c r="A53157" s="3" t="str">
        <f>IFERROR(__xludf.DUMMYFUNCTION("GOOGLETRANSLATE(A53157,""en"",""pt"")"),"Filme e som, imagens de grande qualidade, fácil de usar")</f>
        <v>Filme e som, imagens de grande qualidade, fácil de usar</v>
      </c>
      <c r="B53157" s="3">
        <v>1</v>
      </c>
    </row>
    <row r="53158" ht="15.75" customHeight="1" spans="1:2">
      <c r="A53158" s="3" t="str">
        <f>IFERROR(__xludf.DUMMYFUNCTION("GOOGLETRANSLATE(A53158,""en"",""pt"")"),"Controlar todos os aspectos da sua fotografia, mesmo a velocidade ASA.")</f>
        <v>Controlar todos os aspectos da sua fotografia, mesmo a velocidade ASA.</v>
      </c>
      <c r="B53158" s="3">
        <v>1</v>
      </c>
    </row>
    <row r="53159" ht="15.75" customHeight="1" spans="1:2">
      <c r="A53159" s="3" t="str">
        <f>IFERROR(__xludf.DUMMYFUNCTION("GOOGLETRANSLATE(A53159,""en"",""pt"")"),"fotos grandes, bons filmes")</f>
        <v>fotos grandes, bons filmes</v>
      </c>
      <c r="B53159" s="3">
        <v>1</v>
      </c>
    </row>
    <row r="53160" ht="15.75" customHeight="1" spans="1:2">
      <c r="A53160" s="3" t="str">
        <f>IFERROR(__xludf.DUMMYFUNCTION("GOOGLETRANSLATE(A53160,""en"",""pt"")"),"Muito de alta resolução, controle manual completo, bateria de longa duração, compacto")</f>
        <v>Muito de alta resolução, controle manual completo, bateria de longa duração, compacto</v>
      </c>
      <c r="B53160" s="3">
        <v>1</v>
      </c>
    </row>
    <row r="53161" ht="15.75" customHeight="1" spans="1:2">
      <c r="A53161" s="3" t="str">
        <f>IFERROR(__xludf.DUMMYFUNCTION("GOOGLETRANSLATE(A53161,""en"",""pt"")"),"Tem grandes figuras em auto corpo mode.Excellent e acabamento.")</f>
        <v>Tem grandes figuras em auto corpo mode.Excellent e acabamento.</v>
      </c>
      <c r="B53161" s="3">
        <v>1</v>
      </c>
    </row>
    <row r="53162" ht="15.75" customHeight="1" spans="1:2">
      <c r="A53162" s="3" t="str">
        <f>IFERROR(__xludf.DUMMYFUNCTION("GOOGLETRANSLATE(A53162,""en"",""pt"")"),"Facilidade de uso, claro, fotos precisas, interface USB, Lens, muitas características úteis.")</f>
        <v>Facilidade de uso, claro, fotos precisas, interface USB, Lens, muitas características úteis.</v>
      </c>
      <c r="B53162" s="3">
        <v>1</v>
      </c>
    </row>
    <row r="53163" ht="15.75" customHeight="1" spans="1:2">
      <c r="A53163" s="3" t="str">
        <f>IFERROR(__xludf.DUMMYFUNCTION("GOOGLETRANSLATE(A53163,""en"",""pt"")"),"Fácil de usar, criar vários acessórios, bateria de longa duração do seu vídeo on, bem construído!")</f>
        <v>Fácil de usar, criar vários acessórios, bateria de longa duração do seu vídeo on, bem construído!</v>
      </c>
      <c r="B53163" s="3">
        <v>1</v>
      </c>
    </row>
    <row r="53164" ht="15.75" customHeight="1" spans="1:2">
      <c r="A53164" s="3" t="str">
        <f>IFERROR(__xludf.DUMMYFUNCTION("GOOGLETRANSLATE(A53164,""en"",""pt"")"),"Grandes imagens e flexibilidade. bateria de longa duração.")</f>
        <v>Grandes imagens e flexibilidade. bateria de longa duração.</v>
      </c>
      <c r="B53164" s="3">
        <v>1</v>
      </c>
    </row>
    <row r="53165" ht="15.75" customHeight="1" spans="1:2">
      <c r="A53165" s="3" t="str">
        <f>IFERROR(__xludf.DUMMYFUNCTION("GOOGLETRANSLATE(A53165,""en"",""pt"")"),"Tamanho compacto; fácil de usar")</f>
        <v>Tamanho compacto; fácil de usar</v>
      </c>
      <c r="B53165" s="3">
        <v>1</v>
      </c>
    </row>
    <row r="53166" ht="15.75" customHeight="1" spans="1:2">
      <c r="A53166" s="3" t="str">
        <f>IFERROR(__xludf.DUMMYFUNCTION("GOOGLETRANSLATE(A53166,""en"",""pt"")"),"Tamanho, a vida da bateria, bateria compatível com Sony Filmadoras, qualidade de imagem e configurações manuais")</f>
        <v>Tamanho, a vida da bateria, bateria compatível com Sony Filmadoras, qualidade de imagem e configurações manuais</v>
      </c>
      <c r="B53166" s="3">
        <v>1</v>
      </c>
    </row>
    <row r="53167" ht="15.75" customHeight="1" spans="1:2">
      <c r="A53167" s="3" t="str">
        <f>IFERROR(__xludf.DUMMYFUNCTION("GOOGLETRANSLATE(A53167,""en"",""pt"")"),"Incrivelmente pequeno. construção robusta para o que é. Decente qualidade de imagem.")</f>
        <v>Incrivelmente pequeno. construção robusta para o que é. Decente qualidade de imagem.</v>
      </c>
      <c r="B53167" s="3">
        <v>1</v>
      </c>
    </row>
    <row r="53168" ht="15.75" customHeight="1" spans="1:2">
      <c r="A53168" s="3" t="str">
        <f>IFERROR(__xludf.DUMMYFUNCTION("GOOGLETRANSLATE(A53168,""en"",""pt"")"),"Traga qualquer lugar, bonito (as pessoas adoram), rápido (com cartão de memória pequeno) na luz brilhante.")</f>
        <v>Traga qualquer lugar, bonito (as pessoas adoram), rápido (com cartão de memória pequeno) na luz brilhante.</v>
      </c>
      <c r="B53168" s="3">
        <v>1</v>
      </c>
    </row>
    <row r="53169" ht="15.75" customHeight="1" spans="1:2">
      <c r="A53169" s="3" t="str">
        <f>IFERROR(__xludf.DUMMYFUNCTION("GOOGLETRANSLATE(A53169,""en"",""pt"")"),"Pode caber no seu bolso")</f>
        <v>Pode caber no seu bolso</v>
      </c>
      <c r="B53169" s="3">
        <v>1</v>
      </c>
    </row>
    <row r="53170" ht="15.75" customHeight="1" spans="1:2">
      <c r="A53170" s="3" t="str">
        <f>IFERROR(__xludf.DUMMYFUNCTION("GOOGLETRANSLATE(A53170,""en"",""pt"")"),"Pequeno, leve em todos os lugares, fácil de usar, a qualidade da foto excede as expectativas.")</f>
        <v>Pequeno, leve em todos os lugares, fácil de usar, a qualidade da foto excede as expectativas.</v>
      </c>
      <c r="B53170" s="3">
        <v>1</v>
      </c>
    </row>
    <row r="53171" ht="15.75" customHeight="1" spans="1:2">
      <c r="A53171" s="3" t="str">
        <f>IFERROR(__xludf.DUMMYFUNCTION("GOOGLETRANSLATE(A53171,""en"",""pt"")"),"Minúsculo,, Fácil de usar, grande vida bonito da bateria")</f>
        <v>Minúsculo,, Fácil de usar, grande vida bonito da bateria</v>
      </c>
      <c r="B53171" s="3">
        <v>1</v>
      </c>
    </row>
    <row r="53172" ht="15.75" customHeight="1" spans="1:2">
      <c r="A53172" s="3" t="str">
        <f>IFERROR(__xludf.DUMMYFUNCTION("GOOGLETRANSLATE(A53172,""en"",""pt"")"),"tamanho !, facilidade de uso, cuteness")</f>
        <v>tamanho !, facilidade de uso, cuteness</v>
      </c>
      <c r="B53172" s="3">
        <v>1</v>
      </c>
    </row>
    <row r="53173" ht="15.75" customHeight="1" spans="1:2">
      <c r="A53173" s="3" t="str">
        <f>IFERROR(__xludf.DUMMYFUNCTION("GOOGLETRANSLATE(A53173,""en"",""pt"")"),"TAMANHO! Velocidade, facilidade de uso")</f>
        <v>TAMANHO! Velocidade, facilidade de uso</v>
      </c>
      <c r="B53173" s="3">
        <v>1</v>
      </c>
    </row>
    <row r="53174" ht="15.75" customHeight="1" spans="1:2">
      <c r="A53174" s="3" t="str">
        <f>IFERROR(__xludf.DUMMYFUNCTION("GOOGLETRANSLATE(A53174,""en"",""pt"")"),"tamanho, simplicidade")</f>
        <v>tamanho, simplicidade</v>
      </c>
      <c r="B53174" s="3">
        <v>1</v>
      </c>
    </row>
    <row r="53175" ht="15.75" customHeight="1" spans="1:2">
      <c r="A53175" s="3" t="str">
        <f>IFERROR(__xludf.DUMMYFUNCTION("GOOGLETRANSLATE(A53175,""en"",""pt"")"),"Compact, Chick Magnet (fator enorme bonito), e acessível,")</f>
        <v>Compact, Chick Magnet (fator enorme bonito), e acessível,</v>
      </c>
      <c r="B53175" s="3">
        <v>1</v>
      </c>
    </row>
    <row r="53176" ht="15.75" customHeight="1" spans="1:2">
      <c r="A53176" s="3" t="str">
        <f>IFERROR(__xludf.DUMMYFUNCTION("GOOGLETRANSLATE(A53176,""en"",""pt"")"),"O tamanho pequeno, wow factor, decente resolução.")</f>
        <v>O tamanho pequeno, wow factor, decente resolução.</v>
      </c>
      <c r="B53176" s="3">
        <v>1</v>
      </c>
    </row>
    <row r="53177" ht="15.75" customHeight="1" spans="1:2">
      <c r="A53177" s="3" t="str">
        <f>IFERROR(__xludf.DUMMYFUNCTION("GOOGLETRANSLATE(A53177,""en"",""pt"")"),"tamanho ultra-compacto, de fácil operação, multi-plataforma, boa vida útil da bateria")</f>
        <v>tamanho ultra-compacto, de fácil operação, multi-plataforma, boa vida útil da bateria</v>
      </c>
      <c r="B53177" s="3">
        <v>1</v>
      </c>
    </row>
    <row r="53178" ht="15.75" customHeight="1" spans="1:2">
      <c r="A53178" s="3" t="str">
        <f>IFERROR(__xludf.DUMMYFUNCTION("GOOGLETRANSLATE(A53178,""en"",""pt"")"),"E funcional, a vida da bateria razoável muito pequena.")</f>
        <v>E funcional, a vida da bateria razoável muito pequena.</v>
      </c>
      <c r="B53178" s="3">
        <v>1</v>
      </c>
    </row>
    <row r="53179" ht="15.75" customHeight="1" spans="1:2">
      <c r="A53179" s="3" t="str">
        <f>IFERROR(__xludf.DUMMYFUNCTION("GOOGLETRANSLATE(A53179,""en"",""pt"")"),"tamanho !!!, fácil de usar, a vida da bateria")</f>
        <v>tamanho !!!, fácil de usar, a vida da bateria</v>
      </c>
      <c r="B53179" s="3">
        <v>1</v>
      </c>
    </row>
    <row r="53180" ht="15.75" customHeight="1" spans="1:2">
      <c r="A53180" s="3" t="str">
        <f>IFERROR(__xludf.DUMMYFUNCTION("GOOGLETRANSLATE(A53180,""en"",""pt"")"),"Super compacto, leve, divertido câmera partido")</f>
        <v>Super compacto, leve, divertido câmera partido</v>
      </c>
      <c r="B53180" s="3">
        <v>1</v>
      </c>
    </row>
    <row r="53181" ht="15.75" customHeight="1" spans="1:2">
      <c r="A53181" s="3" t="str">
        <f>IFERROR(__xludf.DUMMYFUNCTION("GOOGLETRANSLATE(A53181,""en"",""pt"")"),"Decente qualidade de imagem. Muito pequenas e realmente é ""de bolso"".")</f>
        <v>Decente qualidade de imagem. Muito pequenas e realmente é "de bolso".</v>
      </c>
      <c r="B53181" s="3">
        <v>1</v>
      </c>
    </row>
    <row r="53182" ht="15.75" customHeight="1" spans="1:2">
      <c r="A53182" s="3" t="str">
        <f>IFERROR(__xludf.DUMMYFUNCTION("GOOGLETRANSLATE(A53182,""en"",""pt"")"),"Minúsculo, Luz = Wearable")</f>
        <v>Minúsculo, Luz = Wearable</v>
      </c>
      <c r="B53182" s="3">
        <v>1</v>
      </c>
    </row>
    <row r="53183" ht="15.75" customHeight="1" spans="1:2">
      <c r="A53183" s="3" t="str">
        <f>IFERROR(__xludf.DUMMYFUNCTION("GOOGLETRANSLATE(A53183,""en"",""pt"")"),"Ele é pequeno")</f>
        <v>Ele é pequeno</v>
      </c>
      <c r="B53183" s="3">
        <v>1</v>
      </c>
    </row>
    <row r="53184" ht="15.75" customHeight="1" spans="1:2">
      <c r="A53184" s="3" t="str">
        <f>IFERROR(__xludf.DUMMYFUNCTION("GOOGLETRANSLATE(A53184,""en"",""pt"")"),"Ultra fresco, boa resolução, excelente qualidade de imagem, altamente portátil, usa pilhas AAA")</f>
        <v>Ultra fresco, boa resolução, excelente qualidade de imagem, altamente portátil, usa pilhas AAA</v>
      </c>
      <c r="B53184" s="3">
        <v>1</v>
      </c>
    </row>
    <row r="53185" ht="15.75" customHeight="1" spans="1:2">
      <c r="A53185" s="3" t="str">
        <f>IFERROR(__xludf.DUMMYFUNCTION("GOOGLETRANSLATE(A53185,""en"",""pt"")"),"minúsculo, lindo, funcional uso, fácil .....")</f>
        <v>minúsculo, lindo, funcional uso, fácil .....</v>
      </c>
      <c r="B53185" s="3">
        <v>1</v>
      </c>
    </row>
    <row r="53186" ht="15.75" customHeight="1" spans="1:2">
      <c r="A53186" s="3" t="str">
        <f>IFERROR(__xludf.DUMMYFUNCTION("GOOGLETRANSLATE(A53186,""en"",""pt"")"),"Pequeno o suficiente para caber no seu celular compartimento bolsa, saco de fraldas, ou bolso da camisa.")</f>
        <v>Pequeno o suficiente para caber no seu celular compartimento bolsa, saco de fraldas, ou bolso da camisa.</v>
      </c>
      <c r="B53186" s="3">
        <v>1</v>
      </c>
    </row>
    <row r="53187" ht="15.75" customHeight="1" spans="1:2">
      <c r="A53187" s="3" t="str">
        <f>IFERROR(__xludf.DUMMYFUNCTION("GOOGLETRANSLATE(A53187,""en"",""pt"")"),"Pequeno, rápido, fácil de usar.")</f>
        <v>Pequeno, rápido, fácil de usar.</v>
      </c>
      <c r="B53187" s="3">
        <v>1</v>
      </c>
    </row>
    <row r="53188" ht="15.75" customHeight="1" spans="1:2">
      <c r="A53188" s="3" t="str">
        <f>IFERROR(__xludf.DUMMYFUNCTION("GOOGLETRANSLATE(A53188,""en"",""pt"")"),"Super tamanho pequeno, fácil de usar, prático")</f>
        <v>Super tamanho pequeno, fácil de usar, prático</v>
      </c>
      <c r="B53188" s="3">
        <v>1</v>
      </c>
    </row>
    <row r="53189" ht="15.75" customHeight="1" spans="1:2">
      <c r="A53189" s="3" t="str">
        <f>IFERROR(__xludf.DUMMYFUNCTION("GOOGLETRANSLATE(A53189,""en"",""pt"")"),"Design extremamente portátil, grande parte de conversação")</f>
        <v>Design extremamente portátil, grande parte de conversação</v>
      </c>
      <c r="B53189" s="3">
        <v>1</v>
      </c>
    </row>
    <row r="53190" ht="15.75" customHeight="1" spans="1:2">
      <c r="A53190" s="3" t="str">
        <f>IFERROR(__xludf.DUMMYFUNCTION("GOOGLETRANSLATE(A53190,""en"",""pt"")"),"O tamanho pequeno, fator fofura")</f>
        <v>O tamanho pequeno, fator fofura</v>
      </c>
      <c r="B53190" s="3">
        <v>1</v>
      </c>
    </row>
    <row r="53191" ht="15.75" customHeight="1" spans="1:2">
      <c r="A53191" s="3" t="str">
        <f>IFERROR(__xludf.DUMMYFUNCTION("GOOGLETRANSLATE(A53191,""en"",""pt"")"),"O tamanho pequeno, 2.0 megapixels e bateria de longa duração.")</f>
        <v>O tamanho pequeno, 2.0 megapixels e bateria de longa duração.</v>
      </c>
      <c r="B53191" s="3">
        <v>1</v>
      </c>
    </row>
    <row r="53192" ht="15.75" customHeight="1" spans="1:2">
      <c r="A53192" s="3" t="str">
        <f>IFERROR(__xludf.DUMMYFUNCTION("GOOGLETRANSLATE(A53192,""en"",""pt"")"),"Small / peso leve. , Fácil transferência. , Carregador de bateria salva um pacote!")</f>
        <v>Small / peso leve. , Fácil transferência. , Carregador de bateria salva um pacote!</v>
      </c>
      <c r="B53192" s="3">
        <v>1</v>
      </c>
    </row>
    <row r="53193" ht="15.75" customHeight="1" spans="1:2">
      <c r="A53193" s="3" t="str">
        <f>IFERROR(__xludf.DUMMYFUNCTION("GOOGLETRANSLATE(A53193,""en"",""pt"")"),"\ _Small_ /, portátil, bonito, flash integrado, muito fácil transferir para o computador.")</f>
        <v>\ _Small_ /, portátil, bonito, flash integrado, muito fácil transferir para o computador.</v>
      </c>
      <c r="B53193" s="3">
        <v>1</v>
      </c>
    </row>
    <row r="53194" ht="15.75" customHeight="1" spans="1:2">
      <c r="A53194" s="3" t="str">
        <f>IFERROR(__xludf.DUMMYFUNCTION("GOOGLETRANSLATE(A53194,""en"",""pt"")"),"Boa qualidade de construção, tamanho grande, fácil de usar, boa picts ao ar livre")</f>
        <v>Boa qualidade de construção, tamanho grande, fácil de usar, boa picts ao ar livre</v>
      </c>
      <c r="B53194" s="3">
        <v>1</v>
      </c>
    </row>
    <row r="53195" ht="15.75" customHeight="1" spans="1:2">
      <c r="A53195" s="3" t="str">
        <f>IFERROR(__xludf.DUMMYFUNCTION("GOOGLETRANSLATE(A53195,""en"",""pt"")"),"Mais do que uma câmera compacta típica, 5 MegaPixels, muitos controles manuais.")</f>
        <v>Mais do que uma câmera compacta típica, 5 MegaPixels, muitos controles manuais.</v>
      </c>
      <c r="B53195" s="3">
        <v>1</v>
      </c>
    </row>
    <row r="53196" ht="15.75" customHeight="1" spans="1:2">
      <c r="A53196" s="3" t="str">
        <f>IFERROR(__xludf.DUMMYFUNCTION("GOOGLETRANSLATE(A53196,""en"",""pt"")"),"5 Megapixel, lente Carl Zeiss, NightShot, 800 ISO Speed.")</f>
        <v>5 Megapixel, lente Carl Zeiss, NightShot, 800 ISO Speed.</v>
      </c>
      <c r="B53196" s="3">
        <v>1</v>
      </c>
    </row>
    <row r="53197" ht="15.75" customHeight="1" spans="1:2">
      <c r="A53197" s="3" t="str">
        <f>IFERROR(__xludf.DUMMYFUNCTION("GOOGLETRANSLATE(A53197,""en"",""pt"")"),"Leve, pequeno, fresco e elegante. fotos brilhantes. Muitos recursos.")</f>
        <v>Leve, pequeno, fresco e elegante. fotos brilhantes. Muitos recursos.</v>
      </c>
      <c r="B53197" s="3">
        <v>1</v>
      </c>
    </row>
    <row r="53198" ht="15.75" customHeight="1" spans="1:2">
      <c r="A53198" s="3" t="str">
        <f>IFERROR(__xludf.DUMMYFUNCTION("GOOGLETRANSLATE(A53198,""en"",""pt"")"),"Tamanho, características, qualidade de construção, qualidade de imagem, fotografias nocturnas, e muitos mais a lista.")</f>
        <v>Tamanho, características, qualidade de construção, qualidade de imagem, fotografias nocturnas, e muitos mais a lista.</v>
      </c>
      <c r="B53198" s="3">
        <v>1</v>
      </c>
    </row>
    <row r="53199" ht="15.75" customHeight="1" spans="1:2">
      <c r="A53199" s="3" t="str">
        <f>IFERROR(__xludf.DUMMYFUNCTION("GOOGLETRANSLATE(A53199,""en"",""pt"")"),"Fotos excelentes, facilidade de uso, durável.")</f>
        <v>Fotos excelentes, facilidade de uso, durável.</v>
      </c>
      <c r="B53199" s="3">
        <v>1</v>
      </c>
    </row>
    <row r="53200" ht="15.75" customHeight="1" spans="1:2">
      <c r="A53200" s="3" t="str">
        <f>IFERROR(__xludf.DUMMYFUNCTION("GOOGLETRANSLATE(A53200,""en"",""pt"")"),"pequeno tamanho, preço, sapata, acessórios, mais!")</f>
        <v>pequeno tamanho, preço, sapata, acessórios, mais!</v>
      </c>
      <c r="B53200" s="3">
        <v>1</v>
      </c>
    </row>
    <row r="53201" ht="15.75" customHeight="1" spans="1:2">
      <c r="A53201" s="3" t="str">
        <f>IFERROR(__xludf.DUMMYFUNCTION("GOOGLETRANSLATE(A53201,""en"",""pt"")"),"Carl Zeiss Lens, etiquetas de voz, Holograma AE")</f>
        <v>Carl Zeiss Lens, etiquetas de voz, Holograma AE</v>
      </c>
      <c r="B53201" s="3">
        <v>1</v>
      </c>
    </row>
    <row r="53202" ht="15.75" customHeight="1" spans="1:2">
      <c r="A53202" s="3" t="str">
        <f>IFERROR(__xludf.DUMMYFUNCTION("GOOGLETRANSLATE(A53202,""en"",""pt"")"),"sapata, cinco megapixels, exposição manual, USB 2.0, níveis muito baixos de ruído, relativamente rápido,")</f>
        <v>sapata, cinco megapixels, exposição manual, USB 2.0, níveis muito baixos de ruído, relativamente rápido,</v>
      </c>
      <c r="B53202" s="3">
        <v>1</v>
      </c>
    </row>
    <row r="53203" ht="15.75" customHeight="1" spans="1:2">
      <c r="A53203" s="3" t="str">
        <f>IFERROR(__xludf.DUMMYFUNCTION("GOOGLETRANSLATE(A53203,""en"",""pt"")"),"bem construído")</f>
        <v>bem construído</v>
      </c>
      <c r="B53203" s="3">
        <v>1</v>
      </c>
    </row>
    <row r="53204" ht="15.75" customHeight="1" spans="1:2">
      <c r="A53204" s="3" t="str">
        <f>IFERROR(__xludf.DUMMYFUNCTION("GOOGLETRANSLATE(A53204,""en"",""pt"")"),"Grandes fotos, rápido, zoom, características, excelente tamanho, mas ainda muito pequeno")</f>
        <v>Grandes fotos, rápido, zoom, características, excelente tamanho, mas ainda muito pequeno</v>
      </c>
      <c r="B53204" s="3">
        <v>1</v>
      </c>
    </row>
    <row r="53205" ht="15.75" customHeight="1" spans="1:2">
      <c r="A53205" s="3" t="str">
        <f>IFERROR(__xludf.DUMMYFUNCTION("GOOGLETRANSLATE(A53205,""en"",""pt"")"),"Carl Zeiss Lens, Holograma AE, Acessórios")</f>
        <v>Carl Zeiss Lens, Holograma AE, Acessórios</v>
      </c>
      <c r="B53205" s="3">
        <v>1</v>
      </c>
    </row>
    <row r="53206" ht="15.75" customHeight="1" spans="1:2">
      <c r="A53206" s="3" t="str">
        <f>IFERROR(__xludf.DUMMYFUNCTION("GOOGLETRANSLATE(A53206,""en"",""pt"")"),"5 Megapixel, totalmente manual ou automático, nightshot, 4x zoom óptico.")</f>
        <v>5 Megapixel, totalmente manual ou automático, nightshot, 4x zoom óptico.</v>
      </c>
      <c r="B53206" s="3">
        <v>1</v>
      </c>
    </row>
    <row r="53207" ht="15.75" customHeight="1" spans="1:2">
      <c r="A53207" s="3" t="str">
        <f>IFERROR(__xludf.DUMMYFUNCTION("GOOGLETRANSLATE(A53207,""en"",""pt"")"),"A melhor casa impressa fotos que eu vi!")</f>
        <v>A melhor casa impressa fotos que eu vi!</v>
      </c>
      <c r="B53207" s="3">
        <v>1</v>
      </c>
    </row>
    <row r="53208" ht="15.75" customHeight="1" spans="1:2">
      <c r="A53208" s="3" t="str">
        <f>IFERROR(__xludf.DUMMYFUNCTION("GOOGLETRANSLATE(A53208,""en"",""pt"")"),"qualidade da foto inacreditável")</f>
        <v>qualidade da foto inacreditável</v>
      </c>
      <c r="B53208" s="3">
        <v>1</v>
      </c>
    </row>
    <row r="53209" ht="15.75" customHeight="1" spans="1:2">
      <c r="A53209" s="3" t="str">
        <f>IFERROR(__xludf.DUMMYFUNCTION("GOOGLETRANSLATE(A53209,""en"",""pt"")"),"Facilidade de uso, qualidade da foto, não precisa de um computador")</f>
        <v>Facilidade de uso, qualidade da foto, não precisa de um computador</v>
      </c>
      <c r="B53209" s="3">
        <v>1</v>
      </c>
    </row>
    <row r="53210" ht="15.75" customHeight="1" spans="1:2">
      <c r="A53210" s="3" t="str">
        <f>IFERROR(__xludf.DUMMYFUNCTION("GOOGLETRANSLATE(A53210,""en"",""pt"")"),"Estou impressionado! Foto de qualidade impressões w / o papel de corte em segundos. Todo mundo deve ter um!")</f>
        <v>Estou impressionado! Foto de qualidade impressões w / o papel de corte em segundos. Todo mundo deve ter um!</v>
      </c>
      <c r="B53210" s="3">
        <v>1</v>
      </c>
    </row>
    <row r="53211" ht="15.75" customHeight="1" spans="1:2">
      <c r="A53211" s="3" t="str">
        <f>IFERROR(__xludf.DUMMYFUNCTION("GOOGLETRANSLATE(A53211,""en"",""pt"")"),"Brilhantes impressões fotográficas de qualidade. imagens a cores perfeitas. impressões sem margens")</f>
        <v>Brilhantes impressões fotográficas de qualidade. imagens a cores perfeitas. impressões sem margens</v>
      </c>
      <c r="B53211" s="3">
        <v>1</v>
      </c>
    </row>
    <row r="53212" ht="15.75" customHeight="1" spans="1:2">
      <c r="A53212" s="3" t="str">
        <f>IFERROR(__xludf.DUMMYFUNCTION("GOOGLETRANSLATE(A53212,""en"",""pt"")"),"A verdadeira qualidade fotográfica, de ponta a ponta a impressão + mais")</f>
        <v>A verdadeira qualidade fotográfica, de ponta a ponta a impressão + mais</v>
      </c>
      <c r="B53212" s="3">
        <v>1</v>
      </c>
    </row>
    <row r="53213" ht="15.75" customHeight="1" spans="1:2">
      <c r="A53213" s="3" t="str">
        <f>IFERROR(__xludf.DUMMYFUNCTION("GOOGLETRANSLATE(A53213,""en"",""pt"")"),"saída de alta qualidade. boa velocidade para a qualidade. custos de fornecimento compactos são agora razoável")</f>
        <v>saída de alta qualidade. boa velocidade para a qualidade. custos de fornecimento compactos são agora razoável</v>
      </c>
      <c r="B53213" s="3">
        <v>1</v>
      </c>
    </row>
    <row r="53214" ht="15.75" customHeight="1" spans="1:2">
      <c r="A53214" s="3" t="str">
        <f>IFERROR(__xludf.DUMMYFUNCTION("GOOGLETRANSLATE(A53214,""en"",""pt"")"),"Qualidade das impressões, facilidade de uso")</f>
        <v>Qualidade das impressões, facilidade de uso</v>
      </c>
      <c r="B53214" s="3">
        <v>1</v>
      </c>
    </row>
    <row r="53215" ht="15.75" customHeight="1" spans="1:2">
      <c r="A53215" s="3" t="str">
        <f>IFERROR(__xludf.DUMMYFUNCTION("GOOGLETRANSLATE(A53215,""en"",""pt"")"),"Muito pequeno, BOA QUALIDADE DA IMAGEM, PICTURES impermeável, TEAR fotos gratuitas")</f>
        <v>Muito pequeno, BOA QUALIDADE DA IMAGEM, PICTURES impermeável, TEAR fotos gratuitas</v>
      </c>
      <c r="B53215" s="3">
        <v>1</v>
      </c>
    </row>
    <row r="53216" ht="15.75" customHeight="1" spans="1:2">
      <c r="A53216" s="3" t="str">
        <f>IFERROR(__xludf.DUMMYFUNCTION("GOOGLETRANSLATE(A53216,""en"",""pt"")"),"Excelentes impressões de qualidade para publicação, pegada pequena mesa")</f>
        <v>Excelentes impressões de qualidade para publicação, pegada pequena mesa</v>
      </c>
      <c r="B53216" s="3">
        <v>1</v>
      </c>
    </row>
    <row r="53217" ht="15.75" customHeight="1" spans="1:2">
      <c r="A53217" s="3" t="str">
        <f>IFERROR(__xludf.DUMMYFUNCTION("GOOGLETRANSLATE(A53217,""en"",""pt"")"),"Parece legal")</f>
        <v>Parece legal</v>
      </c>
      <c r="B53217" s="3">
        <v>1</v>
      </c>
    </row>
    <row r="53218" ht="15.75" customHeight="1" spans="1:2">
      <c r="A53218" s="3" t="str">
        <f>IFERROR(__xludf.DUMMYFUNCTION("GOOGLETRANSLATE(A53218,""en"",""pt"")"),"Ótimas fotos. Fácil de usar. Grande construído em bônus (fotos tamanho passaporte etc ..)")</f>
        <v>Ótimas fotos. Fácil de usar. Grande construído em bônus (fotos tamanho passaporte etc ..)</v>
      </c>
      <c r="B53218" s="3">
        <v>1</v>
      </c>
    </row>
    <row r="53219" ht="15.75" customHeight="1" spans="1:2">
      <c r="A53219" s="3" t="str">
        <f>IFERROR(__xludf.DUMMYFUNCTION("GOOGLETRANSLATE(A53219,""en"",""pt"")"),"qualidade da foto incrível e um ótimo preço. Rápido e fácil.")</f>
        <v>qualidade da foto incrível e um ótimo preço. Rápido e fácil.</v>
      </c>
      <c r="B53219" s="3">
        <v>1</v>
      </c>
    </row>
    <row r="53220" ht="15.75" customHeight="1" spans="1:2">
      <c r="A53220" s="3" t="str">
        <f>IFERROR(__xludf.DUMMYFUNCTION("GOOGLETRANSLATE(A53220,""en"",""pt"")"),"Perfeito Prints, facilidade de uso, toneladas de opções, estilo elegante")</f>
        <v>Perfeito Prints, facilidade de uso, toneladas de opções, estilo elegante</v>
      </c>
      <c r="B53220" s="3">
        <v>1</v>
      </c>
    </row>
    <row r="53221" ht="15.75" customHeight="1" spans="1:2">
      <c r="A53221" s="3" t="str">
        <f>IFERROR(__xludf.DUMMYFUNCTION("GOOGLETRANSLATE(A53221,""en"",""pt"")"),"Excelente, qualidade fotográfica realista, de ponta a ponta a impressão + mais")</f>
        <v>Excelente, qualidade fotográfica realista, de ponta a ponta a impressão + mais</v>
      </c>
      <c r="B53221" s="3">
        <v>1</v>
      </c>
    </row>
    <row r="53222" ht="15.75" customHeight="1" spans="1:2">
      <c r="A53222" s="3" t="str">
        <f>IFERROR(__xludf.DUMMYFUNCTION("GOOGLETRANSLATE(A53222,""en"",""pt"")"),"5 Megapixels, registros para mini CD-R / RW, lente Carl Zeiss.")</f>
        <v>5 Megapixels, registros para mini CD-R / RW, lente Carl Zeiss.</v>
      </c>
      <c r="B53222" s="3">
        <v>1</v>
      </c>
    </row>
    <row r="53223" ht="15.75" customHeight="1" spans="1:2">
      <c r="A53223" s="3" t="str">
        <f>IFERROR(__xludf.DUMMYFUNCTION("GOOGLETRANSLATE(A53223,""en"",""pt"")"),"Fácil de usar, ótimo ecrã LCD, Beautiful qualidade de imagem")</f>
        <v>Fácil de usar, ótimo ecrã LCD, Beautiful qualidade de imagem</v>
      </c>
      <c r="B53223" s="3">
        <v>1</v>
      </c>
    </row>
    <row r="53224" ht="15.75" customHeight="1" spans="1:2">
      <c r="A53224" s="3" t="str">
        <f>IFERROR(__xludf.DUMMYFUNCTION("GOOGLETRANSLATE(A53224,""en"",""pt"")"),"lente de vidro CarlZeiss, 5MP, registros para CD-RW, intervalo de tempo razoável, grande visor LCD")</f>
        <v>lente de vidro CarlZeiss, 5MP, registros para CD-RW, intervalo de tempo razoável, grande visor LCD</v>
      </c>
      <c r="B53224" s="3">
        <v>1</v>
      </c>
    </row>
    <row r="53225" ht="15.75" customHeight="1" spans="1:2">
      <c r="A53225" s="3" t="str">
        <f>IFERROR(__xludf.DUMMYFUNCTION("GOOGLETRANSLATE(A53225,""en"",""pt"")"),"Excelente qualidade de imagem. Capacidade de armazenar fotos diretamente para CD.")</f>
        <v>Excelente qualidade de imagem. Capacidade de armazenar fotos diretamente para CD.</v>
      </c>
      <c r="B53225" s="3">
        <v>1</v>
      </c>
    </row>
    <row r="53226" ht="15.75" customHeight="1" spans="1:2">
      <c r="A53226" s="3" t="str">
        <f>IFERROR(__xludf.DUMMYFUNCTION("GOOGLETRANSLATE(A53226,""en"",""pt"")"),"Características abundância, USB, CD e RCA visualização cabo de fotos, tempo grande bateria")</f>
        <v>Características abundância, USB, CD e RCA visualização cabo de fotos, tempo grande bateria</v>
      </c>
      <c r="B53226" s="3">
        <v>1</v>
      </c>
    </row>
    <row r="53227" ht="15.75" customHeight="1" spans="1:2">
      <c r="A53227" s="3" t="str">
        <f>IFERROR(__xludf.DUMMYFUNCTION("GOOGLETRANSLATE(A53227,""en"",""pt"")"),"Grande câmera com ótimas fotos.")</f>
        <v>Grande câmera com ótimas fotos.</v>
      </c>
      <c r="B53227" s="3">
        <v>1</v>
      </c>
    </row>
    <row r="53228" ht="15.75" customHeight="1" spans="1:2">
      <c r="A53228" s="3" t="str">
        <f>IFERROR(__xludf.DUMMYFUNCTION("GOOGLETRANSLATE(A53228,""en"",""pt"")"),"óptica crocantes soberba, 5 meg imagens, mpeg VGA completo")</f>
        <v>óptica crocantes soberba, 5 meg imagens, mpeg VGA completo</v>
      </c>
      <c r="B53228" s="3">
        <v>1</v>
      </c>
    </row>
    <row r="53229" ht="15.75" customHeight="1" spans="1:2">
      <c r="A53229" s="3" t="str">
        <f>IFERROR(__xludf.DUMMYFUNCTION("GOOGLETRANSLATE(A53229,""en"",""pt"")"),"fáceis para mirar e fantásticas imagens de qualidade")</f>
        <v>fáceis para mirar e fantásticas imagens de qualidade</v>
      </c>
      <c r="B53229" s="3">
        <v>1</v>
      </c>
    </row>
    <row r="53230" ht="15.75" customHeight="1" spans="1:2">
      <c r="A53230" s="3" t="str">
        <f>IFERROR(__xludf.DUMMYFUNCTION("GOOGLETRANSLATE(A53230,""en"",""pt"")"),"Super zoom óptico e ""filme"" CD que podem ser trocados por diversos fins")</f>
        <v>Super zoom óptico e "filme" CD que podem ser trocados por diversos fins</v>
      </c>
      <c r="B53230" s="3">
        <v>1</v>
      </c>
    </row>
    <row r="53231" ht="15.75" customHeight="1" spans="1:2">
      <c r="A53231" s="3" t="str">
        <f>IFERROR(__xludf.DUMMYFUNCTION("GOOGLETRANSLATE(A53231,""en"",""pt"")"),"excelente qualidade de imagem - Fácil de usar - zoom impressionante")</f>
        <v>excelente qualidade de imagem - Fácil de usar - zoom impressionante</v>
      </c>
      <c r="B53231" s="3">
        <v>1</v>
      </c>
    </row>
    <row r="53232" ht="15.75" customHeight="1" spans="1:2">
      <c r="A53232" s="3" t="str">
        <f>IFERROR(__xludf.DUMMYFUNCTION("GOOGLETRANSLATE(A53232,""en"",""pt"")"),"O zoom óptico de 10x é muito poderoso.")</f>
        <v>O zoom óptico de 10x é muito poderoso.</v>
      </c>
      <c r="B53232" s="3">
        <v>1</v>
      </c>
    </row>
    <row r="53233" ht="15.75" customHeight="1" spans="1:2">
      <c r="A53233" s="3" t="str">
        <f>IFERROR(__xludf.DUMMYFUNCTION("GOOGLETRANSLATE(A53233,""en"",""pt"")"),"Lindos, fotos oi-resolução")</f>
        <v>Lindos, fotos oi-resolução</v>
      </c>
      <c r="B53233" s="3">
        <v>1</v>
      </c>
    </row>
    <row r="53234" ht="15.75" customHeight="1" spans="1:2">
      <c r="A53234" s="3" t="str">
        <f>IFERROR(__xludf.DUMMYFUNCTION("GOOGLETRANSLATE(A53234,""en"",""pt"")"),"Qualidade, facilidade de utilização, versatilidade")</f>
        <v>Qualidade, facilidade de utilização, versatilidade</v>
      </c>
      <c r="B53234" s="3">
        <v>1</v>
      </c>
    </row>
    <row r="53235" ht="15.75" customHeight="1" spans="1:2">
      <c r="A53235" s="3" t="str">
        <f>IFERROR(__xludf.DUMMYFUNCTION("GOOGLETRANSLATE(A53235,""en"",""pt"")"),"mídia CD-R, ver online com quaisquer ROM, tiro e fogo MPEGs CD")</f>
        <v>mídia CD-R, ver online com quaisquer ROM, tiro e fogo MPEGs CD</v>
      </c>
      <c r="B53235" s="3">
        <v>1</v>
      </c>
    </row>
    <row r="53236" ht="15.75" customHeight="1" spans="1:2">
      <c r="A53236" s="3" t="str">
        <f>IFERROR(__xludf.DUMMYFUNCTION("GOOGLETRANSLATE(A53236,""en"",""pt"")"),"armazenamento maravilhoso em cd!")</f>
        <v>armazenamento maravilhoso em cd!</v>
      </c>
      <c r="B53236" s="3">
        <v>1</v>
      </c>
    </row>
    <row r="53237" ht="15.75" customHeight="1" spans="1:2">
      <c r="A53237" s="3" t="str">
        <f>IFERROR(__xludf.DUMMYFUNCTION("GOOGLETRANSLATE(A53237,""en"",""pt"")"),"Muito bom em close-up Fotografia.")</f>
        <v>Muito bom em close-up Fotografia.</v>
      </c>
      <c r="B53237" s="3">
        <v>1</v>
      </c>
    </row>
    <row r="53238" ht="15.75" customHeight="1" spans="1:2">
      <c r="A53238" s="3" t="str">
        <f>IFERROR(__xludf.DUMMYFUNCTION("GOOGLETRANSLATE(A53238,""en"",""pt"")"),"armazenamento frio - pode caber um monte de fotos no disco.")</f>
        <v>armazenamento frio - pode caber um monte de fotos no disco.</v>
      </c>
      <c r="B53238" s="3">
        <v>1</v>
      </c>
    </row>
    <row r="53239" ht="15.75" customHeight="1" spans="1:2">
      <c r="A53239" s="3" t="str">
        <f>IFERROR(__xludf.DUMMYFUNCTION("GOOGLETRANSLATE(A53239,""en"",""pt"")"),"Muito confortável de usar, o recurso de armazenamento CDR é maravilhoso, boa qualidade de imagem.")</f>
        <v>Muito confortável de usar, o recurso de armazenamento CDR é maravilhoso, boa qualidade de imagem.</v>
      </c>
      <c r="B53239" s="3">
        <v>1</v>
      </c>
    </row>
    <row r="53240" ht="15.75" customHeight="1" spans="1:2">
      <c r="A53240" s="3" t="str">
        <f>IFERROR(__xludf.DUMMYFUNCTION("GOOGLETRANSLATE(A53240,""en"",""pt"")"),"Fácil de transferir fotos para o computador; não requer nenhum software ou externas cabos")</f>
        <v>Fácil de transferir fotos para o computador; não requer nenhum software ou externas cabos</v>
      </c>
      <c r="B53240" s="3">
        <v>1</v>
      </c>
    </row>
    <row r="53241" ht="15.75" customHeight="1" spans="1:2">
      <c r="A53241" s="3" t="str">
        <f>IFERROR(__xludf.DUMMYFUNCTION("GOOGLETRANSLATE(A53241,""en"",""pt"")"),"Eu posso tomar uma tonelada de res alto fotos em 1 cd")</f>
        <v>Eu posso tomar uma tonelada de res alto fotos em 1 cd</v>
      </c>
      <c r="B53241" s="3">
        <v>1</v>
      </c>
    </row>
    <row r="53242" ht="15.75" customHeight="1" spans="1:2">
      <c r="A53242" s="3" t="str">
        <f>IFERROR(__xludf.DUMMYFUNCTION("GOOGLETRANSLATE(A53242,""en"",""pt"")"),"2.1 mega pixels, resolução de 1600x1200, lente de 400mm")</f>
        <v>2.1 mega pixels, resolução de 1600x1200, lente de 400mm</v>
      </c>
      <c r="B53242" s="3">
        <v>1</v>
      </c>
    </row>
    <row r="53243" ht="15.75" customHeight="1" spans="1:2">
      <c r="A53243" s="3" t="str">
        <f>IFERROR(__xludf.DUMMYFUNCTION("GOOGLETRANSLATE(A53243,""en"",""pt"")"),"Atire todo o dia, boa resolução, a vida boa da bateria")</f>
        <v>Atire todo o dia, boa resolução, a vida boa da bateria</v>
      </c>
      <c r="B53243" s="3">
        <v>1</v>
      </c>
    </row>
    <row r="53244" ht="15.75" customHeight="1" spans="1:2">
      <c r="A53244" s="3" t="str">
        <f>IFERROR(__xludf.DUMMYFUNCTION("GOOGLETRANSLATE(A53244,""en"",""pt"")"),"Fácil de aprender a usar, manual de instruções bom, e barato de usar (custo / foto)")</f>
        <v>Fácil de aprender a usar, manual de instruções bom, e barato de usar (custo / foto)</v>
      </c>
      <c r="B53244" s="3">
        <v>1</v>
      </c>
    </row>
    <row r="53245" ht="15.75" customHeight="1" spans="1:2">
      <c r="A53245" s="3" t="str">
        <f>IFERROR(__xludf.DUMMYFUNCTION("GOOGLETRANSLATE(A53245,""en"",""pt"")"),"Inovador de armazenamento de mídia, agradável Photo apresenta, Grande Zoom e View Finder")</f>
        <v>Inovador de armazenamento de mídia, agradável Photo apresenta, Grande Zoom e View Finder</v>
      </c>
      <c r="B53245" s="3">
        <v>1</v>
      </c>
    </row>
    <row r="53246" ht="15.75" customHeight="1" spans="1:2">
      <c r="A53246" s="3" t="s">
        <v>279</v>
      </c>
      <c r="B53246" s="3">
        <v>1</v>
      </c>
    </row>
    <row r="53247" ht="15.75" customHeight="1" spans="1:2">
      <c r="A53247" s="3" t="str">
        <f>IFERROR(__xludf.DUMMYFUNCTION("GOOGLETRANSLATE(A53247,""en"",""pt"")"),"Imagens Imagens Imagens. O CD permite centenas de fotos.")</f>
        <v>Imagens Imagens Imagens. O CD permite centenas de fotos.</v>
      </c>
      <c r="B53247" s="3">
        <v>1</v>
      </c>
    </row>
    <row r="53248" ht="15.75" customHeight="1" spans="1:2">
      <c r="A53248" s="3" t="str">
        <f>IFERROR(__xludf.DUMMYFUNCTION("GOOGLETRANSLATE(A53248,""en"",""pt"")"),"Boa qualidade de imagem, típico de 2 megapixel &amp; amp; # 13; &amp; amp; # 10; o armazenamento barato")</f>
        <v>Boa qualidade de imagem, típico de 2 megapixel &amp; amp; # 13; &amp; amp; # 10; o armazenamento barato</v>
      </c>
      <c r="B53248" s="3">
        <v>1</v>
      </c>
    </row>
    <row r="53249" ht="15.75" customHeight="1" spans="1:2">
      <c r="A53249" s="3" t="str">
        <f>IFERROR(__xludf.DUMMYFUNCTION("GOOGLETRANSLATE(A53249,""en"",""pt"")"),"Grande armazenamento de mídia, muitos recursos e um conhecido fabricante.")</f>
        <v>Grande armazenamento de mídia, muitos recursos e um conhecido fabricante.</v>
      </c>
      <c r="B53249" s="3">
        <v>1</v>
      </c>
    </row>
    <row r="53250" ht="15.75" customHeight="1" spans="1:2">
      <c r="A53250" s="3" t="str">
        <f>IFERROR(__xludf.DUMMYFUNCTION("GOOGLETRANSLATE(A53250,""en"",""pt"")"),"CD-R podem ser os meios de armazenamento de imagem digital do futuro.")</f>
        <v>CD-R podem ser os meios de armazenamento de imagem digital do futuro.</v>
      </c>
      <c r="B53250" s="3">
        <v>1</v>
      </c>
    </row>
    <row r="53251" ht="15.75" customHeight="1" spans="1:2">
      <c r="A53251" s="3" t="str">
        <f>IFERROR(__xludf.DUMMYFUNCTION("GOOGLETRANSLATE(A53251,""en"",""pt"")"),"nova tecnologia, armazenamento CD-R, 2.1 megapixels")</f>
        <v>nova tecnologia, armazenamento CD-R, 2.1 megapixels</v>
      </c>
      <c r="B53251" s="3">
        <v>1</v>
      </c>
    </row>
    <row r="53252" ht="15.75" customHeight="1" spans="1:2">
      <c r="A53252" s="3" t="str">
        <f>IFERROR(__xludf.DUMMYFUNCTION("GOOGLETRANSLATE(A53252,""en"",""pt"")"),"armazenamento infinito, estabilização de imagem, zoom 10x")</f>
        <v>armazenamento infinito, estabilização de imagem, zoom 10x</v>
      </c>
      <c r="B53252" s="3">
        <v>1</v>
      </c>
    </row>
    <row r="53253" ht="15.75" customHeight="1" spans="1:2">
      <c r="A53253" s="3" t="str">
        <f>IFERROR(__xludf.DUMMYFUNCTION("GOOGLETRANSLATE(A53253,""en"",""pt"")"),"CD-R 156 discos mb! e um grande zoom")</f>
        <v>CD-R 156 discos mb! e um grande zoom</v>
      </c>
      <c r="B53253" s="3">
        <v>1</v>
      </c>
    </row>
    <row r="53254" ht="15.75" customHeight="1" spans="1:2">
      <c r="A53254" s="3" t="str">
        <f>IFERROR(__xludf.DUMMYFUNCTION("GOOGLETRANSLATE(A53254,""en"",""pt"")"),"Grande Capacidade de Imagem")</f>
        <v>Grande Capacidade de Imagem</v>
      </c>
      <c r="B53254" s="3">
        <v>1</v>
      </c>
    </row>
    <row r="53255" ht="15.75" customHeight="1" spans="1:2">
      <c r="A53255" s="3" t="str">
        <f>IFERROR(__xludf.DUMMYFUNCTION("GOOGLETRANSLATE(A53255,""en"",""pt"")"),"Excelente zoom - CD-R drive - diminuir a compressão JPEG de Mavicas anteriores - sensação SLR e funcionalidade - conectividade USB - MPEG HQ")</f>
        <v>Excelente zoom - CD-R drive - diminuir a compressão JPEG de Mavicas anteriores - sensação SLR e funcionalidade - conectividade USB - MPEG HQ</v>
      </c>
      <c r="B53255" s="3">
        <v>1</v>
      </c>
    </row>
    <row r="53256" ht="15.75" customHeight="1" spans="1:2">
      <c r="A53256" s="3" t="str">
        <f>IFERROR(__xludf.DUMMYFUNCTION("GOOGLETRANSLATE(A53256,""en"",""pt"")"),"Espaço para armazenamento, resolução")</f>
        <v>Espaço para armazenamento, resolução</v>
      </c>
      <c r="B53256" s="3">
        <v>1</v>
      </c>
    </row>
    <row r="53257" ht="15.75" customHeight="1" spans="1:2">
      <c r="A53257" s="3" t="str">
        <f>IFERROR(__xludf.DUMMYFUNCTION("GOOGLETRANSLATE(A53257,""en"",""pt"")"),"O espaço de armazenamento, visualização rápida no computador nada para ligar apenas no pop cd !!!")</f>
        <v>O espaço de armazenamento, visualização rápida no computador nada para ligar apenas no pop cd !!!</v>
      </c>
      <c r="B53257" s="3">
        <v>1</v>
      </c>
    </row>
    <row r="53258" ht="15.75" customHeight="1" spans="1:2">
      <c r="A53258" s="3" t="str">
        <f>IFERROR(__xludf.DUMMYFUNCTION("GOOGLETRANSLATE(A53258,""en"",""pt"")"),"estabilização de imagem, médio CD")</f>
        <v>estabilização de imagem, médio CD</v>
      </c>
      <c r="B53258" s="3">
        <v>1</v>
      </c>
    </row>
    <row r="53259" ht="15.75" customHeight="1" spans="1:2">
      <c r="A53259" s="3" t="str">
        <f>IFERROR(__xludf.DUMMYFUNCTION("GOOGLETRANSLATE(A53259,""en"",""pt"")"),"Facilidade de uso, facilidade de migração de arquivos para o PC ou Mac")</f>
        <v>Facilidade de uso, facilidade de migração de arquivos para o PC ou Mac</v>
      </c>
      <c r="B53259" s="3">
        <v>1</v>
      </c>
    </row>
    <row r="53260" ht="15.75" customHeight="1" spans="1:2">
      <c r="A53260" s="3" t="str">
        <f>IFERROR(__xludf.DUMMYFUNCTION("GOOGLETRANSLATE(A53260,""en"",""pt"")"),"Capacidade - Facilidade de Uso")</f>
        <v>Capacidade - Facilidade de Uso</v>
      </c>
      <c r="B53260" s="3">
        <v>1</v>
      </c>
    </row>
    <row r="53261" ht="15.75" customHeight="1" spans="1:2">
      <c r="A53261" s="3" t="str">
        <f>IFERROR(__xludf.DUMMYFUNCTION("GOOGLETRANSLATE(A53261,""en"",""pt"")"),"ACIMA")</f>
        <v>ACIMA</v>
      </c>
      <c r="B53261" s="3">
        <v>1</v>
      </c>
    </row>
    <row r="53262" ht="15.75" customHeight="1" spans="1:2">
      <c r="A53262" s="3" t="str">
        <f>IFERROR(__xludf.DUMMYFUNCTION("GOOGLETRANSLATE(A53262,""en"",""pt"")"),"conveniência, qualidade, excelente zoom")</f>
        <v>conveniência, qualidade, excelente zoom</v>
      </c>
      <c r="B53262" s="3">
        <v>1</v>
      </c>
    </row>
    <row r="53263" ht="15.75" customHeight="1" spans="1:2">
      <c r="A53263" s="3" t="str">
        <f>IFERROR(__xludf.DUMMYFUNCTION("GOOGLETRANSLATE(A53263,""en"",""pt"")"),"conveniência, qualidade, excelente zoom")</f>
        <v>conveniência, qualidade, excelente zoom</v>
      </c>
      <c r="B53263" s="3">
        <v>1</v>
      </c>
    </row>
    <row r="53264" ht="15.75" customHeight="1" spans="1:2">
      <c r="A53264" s="3" t="str">
        <f>IFERROR(__xludf.DUMMYFUNCTION("GOOGLETRANSLATE(A53264,""en"",""pt"")"),"Imprimir imagens de qualidade e armazenamento de arquivos 157meg CD para arquivo grande arquivo.")</f>
        <v>Imprimir imagens de qualidade e armazenamento de arquivos 157meg CD para arquivo grande arquivo.</v>
      </c>
      <c r="B53264" s="3">
        <v>1</v>
      </c>
    </row>
    <row r="53265" ht="15.75" customHeight="1" spans="1:2">
      <c r="A53265" s="3" t="str">
        <f>IFERROR(__xludf.DUMMYFUNCTION("GOOGLETRANSLATE(A53265,""en"",""pt"")"),"armazenamento inovadora, alguns profissionais de styling e fotografia características, capacidade de zoom.")</f>
        <v>armazenamento inovadora, alguns profissionais de styling e fotografia características, capacidade de zoom.</v>
      </c>
      <c r="B53265" s="3">
        <v>1</v>
      </c>
    </row>
    <row r="53266" ht="15.75" customHeight="1" spans="1:2">
      <c r="A53266" s="3" t="str">
        <f>IFERROR(__xludf.DUMMYFUNCTION("GOOGLETRANSLATE(A53266,""en"",""pt"")"),"mini armazenamento CD, Zoom Lens")</f>
        <v>mini armazenamento CD, Zoom Lens</v>
      </c>
      <c r="B53266" s="3">
        <v>1</v>
      </c>
    </row>
    <row r="53267" ht="15.75" customHeight="1" spans="1:2">
      <c r="A53267" s="3" t="str">
        <f>IFERROR(__xludf.DUMMYFUNCTION("GOOGLETRANSLATE(A53267,""en"",""pt"")"),"A grande quantidade de espaço de armazenamento usando um CD ao longo de um disquete")</f>
        <v>A grande quantidade de espaço de armazenamento usando um CD ao longo de um disquete</v>
      </c>
      <c r="B53267" s="3">
        <v>1</v>
      </c>
    </row>
    <row r="53268" ht="15.75" customHeight="1" spans="1:2">
      <c r="A53268" s="3" t="str">
        <f>IFERROR(__xludf.DUMMYFUNCTION("GOOGLETRANSLATE(A53268,""en"",""pt"")"),"Grava diretamente em CD-R. Também funciona como gravador de CD, e câmera de vídeo.")</f>
        <v>Grava diretamente em CD-R. Também funciona como gravador de CD, e câmera de vídeo.</v>
      </c>
      <c r="B53268" s="3">
        <v>1</v>
      </c>
    </row>
    <row r="53269" ht="15.75" customHeight="1" spans="1:2">
      <c r="A53269" s="3" t="str">
        <f>IFERROR(__xludf.DUMMYFUNCTION("GOOGLETRANSLATE(A53269,""en"",""pt"")"),"construção robusta, inúmeras características, a meio de armazenamento Excelente, armazenamento rápido")</f>
        <v>construção robusta, inúmeras características, a meio de armazenamento Excelente, armazenamento rápido</v>
      </c>
      <c r="B53269" s="3">
        <v>1</v>
      </c>
    </row>
    <row r="53270" ht="15.75" customHeight="1" spans="1:2">
      <c r="A53270" s="3" t="str">
        <f>IFERROR(__xludf.DUMMYFUNCTION("GOOGLETRANSLATE(A53270,""en"",""pt"")"),"Excelente qualidade de imagem. 3"" CD-R / RW. Auto e as configurações manuais. Filmes MPEG com som.")</f>
        <v>Excelente qualidade de imagem. 3" CD-R / RW. Auto e as configurações manuais. Filmes MPEG com som.</v>
      </c>
      <c r="B53270" s="3">
        <v>1</v>
      </c>
    </row>
    <row r="53271" ht="15.75" customHeight="1" spans="1:2">
      <c r="A53271" s="3" t="str">
        <f>IFERROR(__xludf.DUMMYFUNCTION("GOOGLETRANSLATE(A53271,""en"",""pt"")"),"Grandes fotos, mais fácil câmera digital para uso, tem mais fotos do que qualquer outra câmera !!!")</f>
        <v>Grandes fotos, mais fácil câmera digital para uso, tem mais fotos do que qualquer outra câmera !!!</v>
      </c>
      <c r="B53271" s="3">
        <v>1</v>
      </c>
    </row>
    <row r="53272" ht="15.75" customHeight="1" spans="1:2">
      <c r="A53272" s="3" t="str">
        <f>IFERROR(__xludf.DUMMYFUNCTION("GOOGLETRANSLATE(A53272,""en"",""pt"")"),"Tem grandes figuras - ambos os clipes ainda e vídeo; grande formato de mídia.")</f>
        <v>Tem grandes figuras - ambos os clipes ainda e vídeo; grande formato de mídia.</v>
      </c>
      <c r="B53272" s="3">
        <v>1</v>
      </c>
    </row>
    <row r="53273" ht="15.75" customHeight="1" spans="1:2">
      <c r="A53273" s="3" t="str">
        <f>IFERROR(__xludf.DUMMYFUNCTION("GOOGLETRANSLATE(A53273,""en"",""pt"")"),"Grande Media Format, capacidade de armazenamento enorme, Video / saída de áudio")</f>
        <v>Grande Media Format, capacidade de armazenamento enorme, Video / saída de áudio</v>
      </c>
      <c r="B53273" s="3">
        <v>1</v>
      </c>
    </row>
    <row r="53274" ht="15.75" customHeight="1" spans="1:2">
      <c r="A53274" s="3" t="str">
        <f>IFERROR(__xludf.DUMMYFUNCTION("GOOGLETRANSLATE(A53274,""en"",""pt"")"),"Bateria recarregável! Nunca um problema de armazenamento! Grande Camera!")</f>
        <v>Bateria recarregável! Nunca um problema de armazenamento! Grande Camera!</v>
      </c>
      <c r="B53274" s="3">
        <v>1</v>
      </c>
    </row>
    <row r="53275" ht="15.75" customHeight="1" spans="1:2">
      <c r="A53275" s="3" t="str">
        <f>IFERROR(__xludf.DUMMYFUNCTION("GOOGLETRANSLATE(A53275,""en"",""pt"")"),"armazenamento ilimitado")</f>
        <v>armazenamento ilimitado</v>
      </c>
      <c r="B53275" s="3">
        <v>1</v>
      </c>
    </row>
    <row r="53276" ht="15.75" customHeight="1" spans="1:2">
      <c r="A53276" s="3" t="str">
        <f>IFERROR(__xludf.DUMMYFUNCTION("GOOGLETRANSLATE(A53276,""en"",""pt"")"),"Grande formato de armazenamento, imagens claras, facilidade de transferência de imagem.")</f>
        <v>Grande formato de armazenamento, imagens claras, facilidade de transferência de imagem.</v>
      </c>
      <c r="B53276" s="3">
        <v>1</v>
      </c>
    </row>
    <row r="53277" ht="15.75" customHeight="1" spans="1:2">
      <c r="A53277" s="3" t="str">
        <f>IFERROR(__xludf.DUMMYFUNCTION("GOOGLETRANSLATE(A53277,""en"",""pt"")"),"Fácil de usar, pequena &amp; amp; conveniente.")</f>
        <v>Fácil de usar, pequena &amp; amp; conveniente.</v>
      </c>
      <c r="B53277" s="3">
        <v>1</v>
      </c>
    </row>
    <row r="53278" ht="15.75" customHeight="1" spans="1:2">
      <c r="A53278" s="3" t="str">
        <f>IFERROR(__xludf.DUMMYFUNCTION("GOOGLETRANSLATE(A53278,""en"",""pt"")"),"Os registos relativos aos mini disco, boa bateria, grandes amplos recursos")</f>
        <v>Os registos relativos aos mini disco, boa bateria, grandes amplos recursos</v>
      </c>
      <c r="B53278" s="3">
        <v>1</v>
      </c>
    </row>
    <row r="53279" ht="15.75" customHeight="1" spans="1:2">
      <c r="A53279" s="3" t="str">
        <f>IFERROR(__xludf.DUMMYFUNCTION("GOOGLETRANSLATE(A53279,""en"",""pt"")"),"Grandes fotos, muitas características, escreve a mini-CDs, grande zoom.")</f>
        <v>Grandes fotos, muitas características, escreve a mini-CDs, grande zoom.</v>
      </c>
      <c r="B53279" s="3">
        <v>1</v>
      </c>
    </row>
    <row r="53280" ht="15.75" customHeight="1" spans="1:2">
      <c r="A53280" s="3" t="str">
        <f>IFERROR(__xludf.DUMMYFUNCTION("GOOGLETRANSLATE(A53280,""en"",""pt"")"),"alta qualidade, salva imagens em CDs, bateria de longa duração, clips de vídeo")</f>
        <v>alta qualidade, salva imagens em CDs, bateria de longa duração, clips de vídeo</v>
      </c>
      <c r="B53280" s="3">
        <v>1</v>
      </c>
    </row>
    <row r="53281" ht="15.75" customHeight="1" spans="1:2">
      <c r="A53281" s="3" t="str">
        <f>IFERROR(__xludf.DUMMYFUNCTION("GOOGLETRANSLATE(A53281,""en"",""pt"")"),"Parece muito legal, mais memória / menor custo, muitos recursos, ainda e imagens em movimento.")</f>
        <v>Parece muito legal, mais memória / menor custo, muitos recursos, ainda e imagens em movimento.</v>
      </c>
      <c r="B53281" s="3">
        <v>1</v>
      </c>
    </row>
    <row r="53282" ht="15.75" customHeight="1" spans="1:2">
      <c r="A53282" s="3" t="s">
        <v>280</v>
      </c>
      <c r="B53282" s="3">
        <v>1</v>
      </c>
    </row>
    <row r="53283" ht="15.75" customHeight="1" spans="1:2">
      <c r="A53283" s="3" t="str">
        <f>IFERROR(__xludf.DUMMYFUNCTION("GOOGLETRANSLATE(A53283,""en"",""pt"")"),"armazenamento de CD e capacidade de MPEG.")</f>
        <v>armazenamento de CD e capacidade de MPEG.</v>
      </c>
      <c r="B53283" s="3">
        <v>1</v>
      </c>
    </row>
    <row r="53284" ht="15.75" customHeight="1" spans="1:2">
      <c r="A53284" s="3" t="str">
        <f>IFERROR(__xludf.DUMMYFUNCTION("GOOGLETRANSLATE(A53284,""en"",""pt"")"),"CDs de capacidade conveniente e alta, boas Modo Macro / imagens, tamanho pic flexível, fácil de aprender")</f>
        <v>CDs de capacidade conveniente e alta, boas Modo Macro / imagens, tamanho pic flexível, fácil de aprender</v>
      </c>
      <c r="B53284" s="3">
        <v>1</v>
      </c>
    </row>
    <row r="53285" ht="15.75" customHeight="1" spans="1:2">
      <c r="A53285" s="3" t="str">
        <f>IFERROR(__xludf.DUMMYFUNCTION("GOOGLETRANSLATE(A53285,""en"",""pt"")"),"perfeitos imagens nítidas de cada vez.")</f>
        <v>perfeitos imagens nítidas de cada vez.</v>
      </c>
      <c r="B53285" s="3">
        <v>1</v>
      </c>
    </row>
    <row r="53286" ht="15.75" customHeight="1" spans="1:2">
      <c r="A53286" s="3" t="str">
        <f>IFERROR(__xludf.DUMMYFUNCTION("GOOGLETRANSLATE(A53286,""en"",""pt"")"),"do CD são convenientes; qualidade da imagem é excelente")</f>
        <v>do CD são convenientes; qualidade da imagem é excelente</v>
      </c>
      <c r="B53286" s="3">
        <v>1</v>
      </c>
    </row>
    <row r="53287" ht="15.75" customHeight="1" spans="1:2">
      <c r="A53287" s="3" t="str">
        <f>IFERROR(__xludf.DUMMYFUNCTION("GOOGLETRANSLATE(A53287,""en"",""pt"")"),"Grandes fotos que são fáceis de criar. armazenamento de CD é barato")</f>
        <v>Grandes fotos que são fáceis de criar. armazenamento de CD é barato</v>
      </c>
      <c r="B53287" s="3">
        <v>1</v>
      </c>
    </row>
    <row r="53288" ht="15.75" customHeight="1" spans="1:2">
      <c r="A53288" s="3" t="str">
        <f>IFERROR(__xludf.DUMMYFUNCTION("GOOGLETRANSLATE(A53288,""en"",""pt"")"),"sistema de menu fácil, cargas de armazenamento e boa escolha de formatos de imagem, vídeo com som")</f>
        <v>sistema de menu fácil, cargas de armazenamento e boa escolha de formatos de imagem, vídeo com som</v>
      </c>
      <c r="B53288" s="3">
        <v>1</v>
      </c>
    </row>
    <row r="53289" ht="15.75" customHeight="1" spans="1:2">
      <c r="A53289" s="3" t="str">
        <f>IFERROR(__xludf.DUMMYFUNCTION("GOOGLETRANSLATE(A53289,""en"",""pt"")"),"Fácil de usar. Excelente lente. armazenamento barato.")</f>
        <v>Fácil de usar. Excelente lente. armazenamento barato.</v>
      </c>
      <c r="B53289" s="3">
        <v>1</v>
      </c>
    </row>
    <row r="53290" ht="15.75" customHeight="1" spans="1:2">
      <c r="A53290" s="3" t="str">
        <f>IFERROR(__xludf.DUMMYFUNCTION("GOOGLETRANSLATE(A53290,""en"",""pt"")"),"Fácil de usar, Grandes fotos")</f>
        <v>Fácil de usar, Grandes fotos</v>
      </c>
      <c r="B53290" s="3">
        <v>1</v>
      </c>
    </row>
    <row r="53291" ht="15.75" customHeight="1" spans="1:2">
      <c r="A53291" s="3" t="str">
        <f>IFERROR(__xludf.DUMMYFUNCTION("GOOGLETRANSLATE(A53291,""en"",""pt"")"),"grande e barata de armazenamento, fácil transferência de dados para PC")</f>
        <v>grande e barata de armazenamento, fácil transferência de dados para PC</v>
      </c>
      <c r="B53291" s="3">
        <v>1</v>
      </c>
    </row>
    <row r="53292" ht="15.75" customHeight="1" spans="1:2">
      <c r="A53292" s="3" t="str">
        <f>IFERROR(__xludf.DUMMYFUNCTION("GOOGLETRANSLATE(A53292,""en"",""pt"")"),"qualidade de imagem, cds de baixo custo, bateria de longa duração")</f>
        <v>qualidade de imagem, cds de baixo custo, bateria de longa duração</v>
      </c>
      <c r="B53292" s="3">
        <v>1</v>
      </c>
    </row>
    <row r="53293" ht="15.75" customHeight="1" spans="1:2">
      <c r="A53293" s="3" t="str">
        <f>IFERROR(__xludf.DUMMYFUNCTION("GOOGLETRANSLATE(A53293,""en"",""pt"")"),"Qualidade, armazena um monte de fotos em altas res.")</f>
        <v>Qualidade, armazena um monte de fotos em altas res.</v>
      </c>
      <c r="B53293" s="3">
        <v>1</v>
      </c>
    </row>
    <row r="53294" ht="15.75" customHeight="1" spans="1:2">
      <c r="A53294" s="3" t="str">
        <f>IFERROR(__xludf.DUMMYFUNCTION("GOOGLETRANSLATE(A53294,""en"",""pt"")"),"Qualidade das imagens, armazenamento barato, resistente Construção")</f>
        <v>Qualidade das imagens, armazenamento barato, resistente Construção</v>
      </c>
      <c r="B53294" s="3">
        <v>1</v>
      </c>
    </row>
    <row r="53295" ht="15.75" customHeight="1" spans="1:2">
      <c r="A53295" s="3" t="str">
        <f>IFERROR(__xludf.DUMMYFUNCTION("GOOGLETRANSLATE(A53295,""en"",""pt"")"),"Big, armazenamento barato. Grandes opções de exposição. bateria inteligente. Ótimas fotos.")</f>
        <v>Big, armazenamento barato. Grandes opções de exposição. bateria inteligente. Ótimas fotos.</v>
      </c>
      <c r="B53295" s="3">
        <v>1</v>
      </c>
    </row>
    <row r="53296" ht="15.75" customHeight="1" spans="1:2">
      <c r="A53296" s="3" t="str">
        <f>IFERROR(__xludf.DUMMYFUNCTION("GOOGLETRANSLATE(A53296,""en"",""pt"")"),"Facilidade de salvar as imagens, grandes imagens, elegante, muito resistente")</f>
        <v>Facilidade de salvar as imagens, grandes imagens, elegante, muito resistente</v>
      </c>
      <c r="B53296" s="3">
        <v>1</v>
      </c>
    </row>
    <row r="53297" ht="15.75" customHeight="1" spans="1:2">
      <c r="A53297" s="3" t="str">
        <f>IFERROR(__xludf.DUMMYFUNCTION("GOOGLETRANSLATE(A53297,""en"",""pt"")"),"armazenamento barato, claras e nítidas belas fotos")</f>
        <v>armazenamento barato, claras e nítidas belas fotos</v>
      </c>
      <c r="B53297" s="3">
        <v>1</v>
      </c>
    </row>
    <row r="53298" ht="15.75" customHeight="1" spans="1:2">
      <c r="A53298" s="3" t="str">
        <f>IFERROR(__xludf.DUMMYFUNCTION("GOOGLETRANSLATE(A53298,""en"",""pt"")"),"lente afiada f2.0 Zeiss, excelente qualidade de imagem, mídia de armazenamento de alta capacidade Cheap &amp; amp; # 13; &amp; amp; # 10;")</f>
        <v>lente afiada f2.0 Zeiss, excelente qualidade de imagem, mídia de armazenamento de alta capacidade Cheap &amp; amp; # 13; &amp; amp; # 10;</v>
      </c>
      <c r="B53298" s="3">
        <v>1</v>
      </c>
    </row>
    <row r="53299" ht="15.75" customHeight="1" spans="1:2">
      <c r="A53299" s="3" t="str">
        <f>IFERROR(__xludf.DUMMYFUNCTION("GOOGLETRANSLATE(A53299,""en"",""pt"")"),"Alta resolução, lente Carl Zeiss, CD-R &amp; amp; RW, Grande revisão imagem")</f>
        <v>Alta resolução, lente Carl Zeiss, CD-R &amp; amp; RW, Grande revisão imagem</v>
      </c>
      <c r="B53299" s="3">
        <v>1</v>
      </c>
    </row>
    <row r="53300" ht="15.75" customHeight="1" spans="1:2">
      <c r="A53300" s="3" t="str">
        <f>IFERROR(__xludf.DUMMYFUNCTION("GOOGLETRANSLATE(A53300,""en"",""pt"")"),"discos de armazenamento de CD-R de qualidade usos que você pode sair e ver em seu PC.")</f>
        <v>discos de armazenamento de CD-R de qualidade usos que você pode sair e ver em seu PC.</v>
      </c>
      <c r="B53300" s="3">
        <v>1</v>
      </c>
    </row>
    <row r="53301" ht="15.75" customHeight="1" spans="1:2">
      <c r="A53301" s="3" t="str">
        <f>IFERROR(__xludf.DUMMYFUNCTION("GOOGLETRANSLATE(A53301,""en"",""pt"")"),"imagens de alta qualidade, armazena imagens em ambos CDs graváveis ​​ou regraváveis, fácil de coordenar com qualquer computador")</f>
        <v>imagens de alta qualidade, armazena imagens em ambos CDs graváveis ​​ou regraváveis, fácil de coordenar com qualquer computador</v>
      </c>
      <c r="B53301" s="3">
        <v>1</v>
      </c>
    </row>
    <row r="53302" ht="15.75" customHeight="1" spans="1:2">
      <c r="A53302" s="3" t="str">
        <f>IFERROR(__xludf.DUMMYFUNCTION("GOOGLETRANSLATE(A53302,""en"",""pt"")"),"Grande Pictures, cargas de recursos, custa apenas poder para tirar fotos!")</f>
        <v>Grande Pictures, cargas de recursos, custa apenas poder para tirar fotos!</v>
      </c>
      <c r="B53302" s="3">
        <v>1</v>
      </c>
    </row>
    <row r="53303" ht="15.75" customHeight="1" spans="1:2">
      <c r="A53303" s="3" t="str">
        <f>IFERROR(__xludf.DUMMYFUNCTION("GOOGLETRANSLATE(A53303,""en"",""pt"")"),"provoca oohs e ahhs onde quer que vá")</f>
        <v>provoca oohs e ahhs onde quer que vá</v>
      </c>
      <c r="B53303" s="3">
        <v>1</v>
      </c>
    </row>
    <row r="53304" ht="15.75" customHeight="1" spans="1:2">
      <c r="A53304" s="3" t="str">
        <f>IFERROR(__xludf.DUMMYFUNCTION("GOOGLETRANSLATE(A53304,""en"",""pt"")"),"Escreve diretamente em um CD")</f>
        <v>Escreve diretamente em um CD</v>
      </c>
      <c r="B53304" s="3">
        <v>1</v>
      </c>
    </row>
    <row r="53305" ht="15.75" customHeight="1" spans="1:2">
      <c r="A53305" s="3" t="str">
        <f>IFERROR(__xludf.DUMMYFUNCTION("GOOGLETRANSLATE(A53305,""en"",""pt"")"),"Excelentes fotos de qualidade, armazenamento mini-CDRW conveniente, equipado com opções úteis, altamente recomendado !!!")</f>
        <v>Excelentes fotos de qualidade, armazenamento mini-CDRW conveniente, equipado com opções úteis, altamente recomendado !!!</v>
      </c>
      <c r="B53305" s="3">
        <v>1</v>
      </c>
    </row>
    <row r="53306" ht="15.75" customHeight="1" spans="1:2">
      <c r="A53306" s="3" t="str">
        <f>IFERROR(__xludf.DUMMYFUNCTION("GOOGLETRANSLATE(A53306,""en"",""pt"")"),"armazenamento em um mini-CDRW que é barato e pode ser reutilizado uma e outra vez")</f>
        <v>armazenamento em um mini-CDRW que é barato e pode ser reutilizado uma e outra vez</v>
      </c>
      <c r="B53306" s="3">
        <v>1</v>
      </c>
    </row>
    <row r="53307" ht="15.75" customHeight="1" spans="1:2">
      <c r="A53307" s="3" t="str">
        <f>IFERROR(__xludf.DUMMYFUNCTION("GOOGLETRANSLATE(A53307,""en"",""pt"")"),"Imagens de alta qualidade, Foto resolução, muitos recursos, é possível obter várias fotos em 1 disco")</f>
        <v>Imagens de alta qualidade, Foto resolução, muitos recursos, é possível obter várias fotos em 1 disco</v>
      </c>
      <c r="B53307" s="3">
        <v>1</v>
      </c>
    </row>
    <row r="53308" ht="15.75" customHeight="1" spans="1:2">
      <c r="A53308" s="3" t="str">
        <f>IFERROR(__xludf.DUMMYFUNCTION("GOOGLETRANSLATE(A53308,""en"",""pt"")"),"Grandes imagens, barato e meios de comunicação fáceis, alta capacidade de armazenamento")</f>
        <v>Grandes imagens, barato e meios de comunicação fáceis, alta capacidade de armazenamento</v>
      </c>
      <c r="B53308" s="3">
        <v>1</v>
      </c>
    </row>
    <row r="53309" ht="15.75" customHeight="1" spans="1:2">
      <c r="A53309" s="3" t="str">
        <f>IFERROR(__xludf.DUMMYFUNCTION("GOOGLETRANSLATE(A53309,""en"",""pt"")"),"fotos grandes, ótima resolução, grande armazenamento")</f>
        <v>fotos grandes, ótima resolução, grande armazenamento</v>
      </c>
      <c r="B53309" s="3">
        <v>1</v>
      </c>
    </row>
    <row r="53310" ht="15.75" customHeight="1" spans="1:2">
      <c r="A53310" s="3" t="str">
        <f>IFERROR(__xludf.DUMMYFUNCTION("GOOGLETRANSLATE(A53310,""en"",""pt"")"),"Facilidade de uso, Grande, meios de armazenamento de baixo custo, ajuste excelente para amador sério")</f>
        <v>Facilidade de uso, Grande, meios de armazenamento de baixo custo, ajuste excelente para amador sério</v>
      </c>
      <c r="B53310" s="3">
        <v>1</v>
      </c>
    </row>
    <row r="53311" ht="15.75" customHeight="1" spans="1:2">
      <c r="A53311" s="3" t="str">
        <f>IFERROR(__xludf.DUMMYFUNCTION("GOOGLETRANSLATE(A53311,""en"",""pt"")"),"Qualidade da foto. Funções extras permitindo que o usuário criado tiros não apenas apontar e clicar.")</f>
        <v>Qualidade da foto. Funções extras permitindo que o usuário criado tiros não apenas apontar e clicar.</v>
      </c>
      <c r="B53311" s="3">
        <v>1</v>
      </c>
    </row>
    <row r="53312" ht="15.75" customHeight="1" spans="1:2">
      <c r="A53312" s="3" t="str">
        <f>IFERROR(__xludf.DUMMYFUNCTION("GOOGLETRANSLATE(A53312,""en"",""pt"")"),"Esta câmera possui muitas fotos e é de boa qualidade.")</f>
        <v>Esta câmera possui muitas fotos e é de boa qualidade.</v>
      </c>
      <c r="B53312" s="3">
        <v>1</v>
      </c>
    </row>
    <row r="53313" ht="15.75" customHeight="1" spans="1:2">
      <c r="A53313" s="3" t="str">
        <f>IFERROR(__xludf.DUMMYFUNCTION("GOOGLETRANSLATE(A53313,""en"",""pt"")"),"Grava em mídia de CD-R - Boa variedade de resoluções para escolher")</f>
        <v>Grava em mídia de CD-R - Boa variedade de resoluções para escolher</v>
      </c>
      <c r="B53313" s="3">
        <v>1</v>
      </c>
    </row>
    <row r="53314" ht="15.75" customHeight="1" spans="1:2">
      <c r="A53314" s="3" t="str">
        <f>IFERROR(__xludf.DUMMYFUNCTION("GOOGLETRANSLATE(A53314,""en"",""pt"")"),"Excelente qualidade de imagem; media baratos")</f>
        <v>Excelente qualidade de imagem; media baratos</v>
      </c>
      <c r="B53314" s="3">
        <v>1</v>
      </c>
    </row>
    <row r="53315" ht="15.75" customHeight="1" spans="1:2">
      <c r="A53315" s="3" t="str">
        <f>IFERROR(__xludf.DUMMYFUNCTION("GOOGLETRANSLATE(A53315,""en"",""pt"")"),"CD mídia dá máxima de armazenamento a um preço mínimo. Muitas opções.")</f>
        <v>CD mídia dá máxima de armazenamento a um preço mínimo. Muitas opções.</v>
      </c>
      <c r="B53315" s="3">
        <v>1</v>
      </c>
    </row>
    <row r="53316" ht="15.75" customHeight="1" spans="1:2">
      <c r="A53316" s="3" t="str">
        <f>IFERROR(__xludf.DUMMYFUNCTION("GOOGLETRANSLATE(A53316,""en"",""pt"")"),"armazenamento de CD, flash inteligente, funções muito impressionantes, versátil")</f>
        <v>armazenamento de CD, flash inteligente, funções muito impressionantes, versátil</v>
      </c>
      <c r="B53316" s="3">
        <v>1</v>
      </c>
    </row>
    <row r="53317" ht="15.75" customHeight="1" spans="1:2">
      <c r="A53317" s="3" t="str">
        <f>IFERROR(__xludf.DUMMYFUNCTION("GOOGLETRANSLATE(A53317,""en"",""pt"")"),"fotos grandes, toneladas de opções, boa bateria, registros em CD!")</f>
        <v>fotos grandes, toneladas de opções, boa bateria, registros em CD!</v>
      </c>
      <c r="B53317" s="3">
        <v>1</v>
      </c>
    </row>
    <row r="53318" ht="15.75" customHeight="1" spans="1:2">
      <c r="A53318" s="3" t="str">
        <f>IFERROR(__xludf.DUMMYFUNCTION("GOOGLETRANSLATE(A53318,""en"",""pt"")"),"gravador de oito centímetros CD, peso leve, 4 mp, toneladas de características, grava vídeo, e é Sony !!")</f>
        <v>gravador de oito centímetros CD, peso leve, 4 mp, toneladas de características, grava vídeo, e é Sony !!</v>
      </c>
      <c r="B53318" s="3">
        <v>1</v>
      </c>
    </row>
    <row r="53319" ht="15.75" customHeight="1" spans="1:2">
      <c r="A53319" s="3" t="str">
        <f>IFERROR(__xludf.DUMMYFUNCTION("GOOGLETRANSLATE(A53319,""en"",""pt"")"),"armazenamento de CD, 4 mega-pixels, longa de vídeo, uma grande variedade de opções e recursos.")</f>
        <v>armazenamento de CD, 4 mega-pixels, longa de vídeo, uma grande variedade de opções e recursos.</v>
      </c>
      <c r="B53319" s="3">
        <v>1</v>
      </c>
    </row>
    <row r="53320" ht="15.75" customHeight="1" spans="1:2">
      <c r="A53320" s="3" t="str">
        <f>IFERROR(__xludf.DUMMYFUNCTION("GOOGLETRANSLATE(A53320,""en"",""pt"")"),"Excelentes fotos dos quartos,, armazenamento de baixo custo ilimitada")</f>
        <v>Excelentes fotos dos quartos,, armazenamento de baixo custo ilimitada</v>
      </c>
      <c r="B53320" s="3">
        <v>1</v>
      </c>
    </row>
    <row r="53321" ht="15.75" customHeight="1" spans="1:2">
      <c r="A53321" s="3" t="str">
        <f>IFERROR(__xludf.DUMMYFUNCTION("GOOGLETRANSLATE(A53321,""en"",""pt"")"),"Ser capaz de armazenar tantas fotos em um CD.")</f>
        <v>Ser capaz de armazenar tantas fotos em um CD.</v>
      </c>
      <c r="B53321" s="3">
        <v>1</v>
      </c>
    </row>
    <row r="53322" ht="15.75" customHeight="1" spans="1:2">
      <c r="A53322" s="3" t="str">
        <f>IFERROR(__xludf.DUMMYFUNCTION("GOOGLETRANSLATE(A53322,""en"",""pt"")")," armazenamento de mídia está em 8 centímetros de CD (barato) .Mantenha mais de 1000 fotos! fotos excepcionais")</f>
        <v> armazenamento de mídia está em 8 centímetros de CD (barato) .Mantenha mais de 1000 fotos! fotos excepcionais</v>
      </c>
      <c r="B53322" s="3">
        <v>1</v>
      </c>
    </row>
    <row r="53323" ht="15.75" customHeight="1" spans="1:2">
      <c r="A53323" s="3" t="str">
        <f>IFERROR(__xludf.DUMMYFUNCTION("GOOGLETRANSLATE(A53323,""en"",""pt"")"),"Os meios de armazenamento")</f>
        <v>Os meios de armazenamento</v>
      </c>
      <c r="B53323" s="3">
        <v>1</v>
      </c>
    </row>
    <row r="53324" ht="15.75" customHeight="1" spans="1:2">
      <c r="A53324" s="3" t="str">
        <f>IFERROR(__xludf.DUMMYFUNCTION("GOOGLETRANSLATE(A53324,""en"",""pt"")"),"opções de armazenamento flexíveis (CD-R ou CD-R / W, Capaz de usar add em filtros e lentes.")</f>
        <v>opções de armazenamento flexíveis (CD-R ou CD-R / W, Capaz de usar add em filtros e lentes.</v>
      </c>
      <c r="B53324" s="3">
        <v>1</v>
      </c>
    </row>
    <row r="53325" ht="15.75" customHeight="1" spans="1:2">
      <c r="A53325" s="3" t="str">
        <f>IFERROR(__xludf.DUMMYFUNCTION("GOOGLETRANSLATE(A53325,""en"",""pt"")"),"Fácil de usar, Aparture e Prioridade de Obturador e de fotos claro ilimitadas.")</f>
        <v>Fácil de usar, Aparture e Prioridade de Obturador e de fotos claro ilimitadas.</v>
      </c>
      <c r="B53325" s="3">
        <v>1</v>
      </c>
    </row>
    <row r="53326" ht="15.75" customHeight="1" spans="1:2">
      <c r="A53326" s="3" t="str">
        <f>IFERROR(__xludf.DUMMYFUNCTION("GOOGLETRANSLATE(A53326,""en"",""pt"")"),"Grandes imagens, grandes recursos, meios de armazenamento grande, grande bateria, grandes recursos!")</f>
        <v>Grandes imagens, grandes recursos, meios de armazenamento grande, grande bateria, grandes recursos!</v>
      </c>
      <c r="B53326" s="3">
        <v>1</v>
      </c>
    </row>
    <row r="53327" ht="15.75" customHeight="1" spans="1:2">
      <c r="A53327" s="3" t="str">
        <f>IFERROR(__xludf.DUMMYFUNCTION("GOOGLETRANSLATE(A53327,""en"",""pt"")"),"excelente qualidade de foto e fácil de usar")</f>
        <v>excelente qualidade de foto e fácil de usar</v>
      </c>
      <c r="B53327" s="3">
        <v>1</v>
      </c>
    </row>
    <row r="53328" ht="15.75" customHeight="1" spans="1:2">
      <c r="A53328" s="3" t="str">
        <f>IFERROR(__xludf.DUMMYFUNCTION("GOOGLETRANSLATE(A53328,""en"",""pt"")"),"Facilidade de uso, instruções bem escrito, versatilidade, capacidade de armazenamento")</f>
        <v>Facilidade de uso, instruções bem escrito, versatilidade, capacidade de armazenamento</v>
      </c>
      <c r="B53328" s="3">
        <v>1</v>
      </c>
    </row>
    <row r="53329" ht="15.75" customHeight="1" spans="1:2">
      <c r="A53329" s="3" t="str">
        <f>IFERROR(__xludf.DUMMYFUNCTION("GOOGLETRANSLATE(A53329,""en"",""pt"")"),"usa CD, a vida da bateria adequada")</f>
        <v>usa CD, a vida da bateria adequada</v>
      </c>
      <c r="B53329" s="3">
        <v>1</v>
      </c>
    </row>
    <row r="53330" ht="15.75" customHeight="1" spans="1:2">
      <c r="A53330" s="3" t="str">
        <f>IFERROR(__xludf.DUMMYFUNCTION("GOOGLETRANSLATE(A53330,""en"",""pt"")"),"Ótima câmera para disparar muitos tiros &amp; amp; resolver os grandes tiros mais tarde.")</f>
        <v>Ótima câmera para disparar muitos tiros &amp; amp; resolver os grandes tiros mais tarde.</v>
      </c>
      <c r="B53330" s="3">
        <v>1</v>
      </c>
    </row>
    <row r="53331" ht="15.75" customHeight="1" spans="1:2">
      <c r="A53331" s="3" t="str">
        <f>IFERROR(__xludf.DUMMYFUNCTION("GOOGLETRANSLATE(A53331,""en"",""pt"")"),"Maciça de armazenamento e capacidade de visualizar no PC sem leitores de cartões ou unidades de ancoragem")</f>
        <v>Maciça de armazenamento e capacidade de visualizar no PC sem leitores de cartões ou unidades de ancoragem</v>
      </c>
      <c r="B53331" s="3">
        <v>1</v>
      </c>
    </row>
    <row r="53332" ht="15.75" customHeight="1" spans="1:2">
      <c r="A53332" s="3" t="str">
        <f>IFERROR(__xludf.DUMMYFUNCTION("GOOGLETRANSLATE(A53332,""en"",""pt"")"),"incrível capacidade de armazenamento, muito ajustável, grande clareza, fácil de usar")</f>
        <v>incrível capacidade de armazenamento, muito ajustável, grande clareza, fácil de usar</v>
      </c>
      <c r="B53332" s="3">
        <v>1</v>
      </c>
    </row>
    <row r="53333" ht="15.75" customHeight="1" spans="1:2">
      <c r="A53333" s="3" t="str">
        <f>IFERROR(__xludf.DUMMYFUNCTION("GOOGLETRANSLATE(A53333,""en"",""pt"")"),"qualidade de imagem, zoom")</f>
        <v>qualidade de imagem, zoom</v>
      </c>
      <c r="B53333" s="3">
        <v>1</v>
      </c>
    </row>
    <row r="53334" ht="15.75" customHeight="1" spans="1:2">
      <c r="A53334" s="3" t="str">
        <f>IFERROR(__xludf.DUMMYFUNCTION("GOOGLETRANSLATE(A53334,""en"",""pt"")"),"Conveniência e capacidade de armazenamento; nenhuma preocupação sobre memory stick ou CompactFlash; com preços moderados")</f>
        <v>Conveniência e capacidade de armazenamento; nenhuma preocupação sobre memory stick ou CompactFlash; com preços moderados</v>
      </c>
      <c r="B53334" s="3">
        <v>1</v>
      </c>
    </row>
    <row r="53335" ht="15.75" customHeight="1" spans="1:2">
      <c r="A53335" s="3" t="str">
        <f>IFERROR(__xludf.DUMMYFUNCTION("GOOGLETRANSLATE(A53335,""en"",""pt"")"),"Disquete")</f>
        <v>Disquete</v>
      </c>
      <c r="B53335" s="3">
        <v>1</v>
      </c>
    </row>
    <row r="53336" ht="15.75" customHeight="1" spans="1:2">
      <c r="A53336" s="3" t="str">
        <f>IFERROR(__xludf.DUMMYFUNCTION("GOOGLETRANSLATE(A53336,""en"",""pt"")"),"Usa disquetes baratos para armazenamento de imagens, monitores LCD")</f>
        <v>Usa disquetes baratos para armazenamento de imagens, monitores LCD</v>
      </c>
      <c r="B53336" s="3">
        <v>1</v>
      </c>
    </row>
    <row r="53337" ht="15.75" customHeight="1" spans="1:2">
      <c r="A53337" s="3" t="str">
        <f>IFERROR(__xludf.DUMMYFUNCTION("GOOGLETRANSLATE(A53337,""en"",""pt"")"),"fotos instantâneas, aceitação disco")</f>
        <v>fotos instantâneas, aceitação disco</v>
      </c>
      <c r="B53337" s="3">
        <v>1</v>
      </c>
    </row>
    <row r="53338" ht="15.75" customHeight="1" spans="1:2">
      <c r="A53338" s="3" t="str">
        <f>IFERROR(__xludf.DUMMYFUNCTION("GOOGLETRANSLATE(A53338,""en"",""pt"")"),"Fácil de usar, 3,5 &amp; amp; quot; solução de disco")</f>
        <v>Fácil de usar, 3,5 &amp; amp; quot; solução de disco</v>
      </c>
      <c r="B53338" s="3">
        <v>1</v>
      </c>
    </row>
    <row r="53339" ht="15.75" customHeight="1" spans="1:2">
      <c r="A53339" s="3" t="str">
        <f>IFERROR(__xludf.DUMMYFUNCTION("GOOGLETRANSLATE(A53339,""en"",""pt"")"),"point &amp; amp; amp; shoot, apagar se você não gosta")</f>
        <v>point &amp; amp; amp; shoot, apagar se você não gosta</v>
      </c>
      <c r="B53339" s="3">
        <v>1</v>
      </c>
    </row>
    <row r="53340" ht="15.75" customHeight="1" spans="1:2">
      <c r="A53340" s="3" t="str">
        <f>IFERROR(__xludf.DUMMYFUNCTION("GOOGLETRANSLATE(A53340,""en"",""pt"")"),"Boa qualidade, usa disquetes")</f>
        <v>Boa qualidade, usa disquetes</v>
      </c>
      <c r="B53340" s="3">
        <v>1</v>
      </c>
    </row>
    <row r="53341" ht="15.75" customHeight="1" spans="1:2">
      <c r="A53341" s="3" t="str">
        <f>IFERROR(__xludf.DUMMYFUNCTION("GOOGLETRANSLATE(A53341,""en"",""pt"")"),"Fácil de usar, agradáveis ​​de qualidade fotos")</f>
        <v>Fácil de usar, agradáveis ​​de qualidade fotos</v>
      </c>
      <c r="B53341" s="3">
        <v>1</v>
      </c>
    </row>
    <row r="53342" ht="15.75" customHeight="1" spans="1:2">
      <c r="A53342" s="3" t="str">
        <f>IFERROR(__xludf.DUMMYFUNCTION("GOOGLETRANSLATE(A53342,""en"",""pt"")"),"durabilidade, velocidade, compatibilidade")</f>
        <v>durabilidade, velocidade, compatibilidade</v>
      </c>
      <c r="B53342" s="3">
        <v>1</v>
      </c>
    </row>
    <row r="53343" ht="15.75" customHeight="1" spans="1:2">
      <c r="A53343" s="3" t="str">
        <f>IFERROR(__xludf.DUMMYFUNCTION("GOOGLETRANSLATE(A53343,""en"",""pt"")"),"Facilidade de uso, boas fotos ao ar livre.")</f>
        <v>Facilidade de uso, boas fotos ao ar livre.</v>
      </c>
      <c r="B53343" s="3">
        <v>1</v>
      </c>
    </row>
    <row r="53344" ht="15.75" customHeight="1" spans="1:2">
      <c r="A53344" s="3" t="str">
        <f>IFERROR(__xludf.DUMMYFUNCTION("GOOGLETRANSLATE(A53344,""en"",""pt"")"),"Fácil de usar, boa resolução, de alta qualidade.")</f>
        <v>Fácil de usar, boa resolução, de alta qualidade.</v>
      </c>
      <c r="B53344" s="3">
        <v>1</v>
      </c>
    </row>
    <row r="53345" ht="15.75" customHeight="1" spans="1:2">
      <c r="A53345" s="3" t="str">
        <f>IFERROR(__xludf.DUMMYFUNCTION("GOOGLETRANSLATE(A53345,""en"",""pt"")"),"Fácil de usar bateria de longa duração.")</f>
        <v>Fácil de usar bateria de longa duração.</v>
      </c>
      <c r="B53345" s="3">
        <v>1</v>
      </c>
    </row>
    <row r="53346" ht="15.75" customHeight="1" spans="1:2">
      <c r="A53346" s="3" t="str">
        <f>IFERROR(__xludf.DUMMYFUNCTION("GOOGLETRANSLATE(A53346,""en"",""pt"")"),"As imagens são armazenadas em disquetes")</f>
        <v>As imagens são armazenadas em disquetes</v>
      </c>
      <c r="B53346" s="3">
        <v>1</v>
      </c>
    </row>
    <row r="53347" ht="15.75" customHeight="1" spans="1:2">
      <c r="A53347" s="3" t="str">
        <f>IFERROR(__xludf.DUMMYFUNCTION("GOOGLETRANSLATE(A53347,""en"",""pt"")"),"Ótimas fotos")</f>
        <v>Ótimas fotos</v>
      </c>
      <c r="B53347" s="3">
        <v>1</v>
      </c>
    </row>
    <row r="53348" ht="15.75" customHeight="1" spans="1:2">
      <c r="A53348" s="3" t="str">
        <f>IFERROR(__xludf.DUMMYFUNCTION("GOOGLETRANSLATE(A53348,""en"",""pt"")"),"No filme, ou em desenvolvimento, utiliza um disquete")</f>
        <v>No filme, ou em desenvolvimento, utiliza um disquete</v>
      </c>
      <c r="B53348" s="3">
        <v>1</v>
      </c>
    </row>
    <row r="53349" ht="15.75" customHeight="1" spans="1:2">
      <c r="A53349" s="3" t="str">
        <f>IFERROR(__xludf.DUMMYFUNCTION("GOOGLETRANSLATE(A53349,""en"",""pt"")"),"conveniente, qualidade pics, bateria de longa duração")</f>
        <v>conveniente, qualidade pics, bateria de longa duração</v>
      </c>
      <c r="B53349" s="3">
        <v>1</v>
      </c>
    </row>
    <row r="53350" ht="15.75" customHeight="1" spans="1:2">
      <c r="A53350" s="3" t="str">
        <f>IFERROR(__xludf.DUMMYFUNCTION("GOOGLETRANSLATE(A53350,""en"",""pt"")"),"tirar de disco, simples, efeitos especiais")</f>
        <v>tirar de disco, simples, efeitos especiais</v>
      </c>
      <c r="B53350" s="3">
        <v>1</v>
      </c>
    </row>
    <row r="53351" ht="15.75" customHeight="1" spans="1:2">
      <c r="A53351" s="3" t="str">
        <f>IFERROR(__xludf.DUMMYFUNCTION("GOOGLETRANSLATE(A53351,""en"",""pt"")"),"Preço, facilidade de utilização,")</f>
        <v>Preço, facilidade de utilização,</v>
      </c>
      <c r="B53351" s="3">
        <v>1</v>
      </c>
    </row>
    <row r="53352" ht="15.75" customHeight="1" spans="1:2">
      <c r="A53352" s="3" t="str">
        <f>IFERROR(__xludf.DUMMYFUNCTION("GOOGLETRANSLATE(A53352,""en"",""pt"")"),"Simples de usar")</f>
        <v>Simples de usar</v>
      </c>
      <c r="B53352" s="3">
        <v>1</v>
      </c>
    </row>
    <row r="53353" ht="15.75" customHeight="1" spans="1:2">
      <c r="A53353" s="3" t="str">
        <f>IFERROR(__xludf.DUMMYFUNCTION("GOOGLETRANSLATE(A53353,""en"",""pt"")"),"Fácil de usar e preço é justo")</f>
        <v>Fácil de usar e preço é justo</v>
      </c>
      <c r="B53353" s="3">
        <v>1</v>
      </c>
    </row>
    <row r="53354" ht="15.75" customHeight="1" spans="1:2">
      <c r="A53354" s="3" t="str">
        <f>IFERROR(__xludf.DUMMYFUNCTION("GOOGLETRANSLATE(A53354,""en"",""pt"")"),"fotos legais")</f>
        <v>fotos legais</v>
      </c>
      <c r="B53354" s="3">
        <v>1</v>
      </c>
    </row>
    <row r="53355" ht="15.75" customHeight="1" spans="1:2">
      <c r="A53355" s="3" t="str">
        <f>IFERROR(__xludf.DUMMYFUNCTION("GOOGLETRANSLATE(A53355,""en"",""pt"")"),"Clareza, vívidas fotos, facilidade de uso")</f>
        <v>Clareza, vívidas fotos, facilidade de uso</v>
      </c>
      <c r="B53355" s="3">
        <v>1</v>
      </c>
    </row>
    <row r="53356" ht="15.75" customHeight="1" spans="1:2">
      <c r="A53356" s="3" t="str">
        <f>IFERROR(__xludf.DUMMYFUNCTION("GOOGLETRANSLATE(A53356,""en"",""pt"")"),"leve, portátil armazena imagens para o disquete")</f>
        <v>leve, portátil armazena imagens para o disquete</v>
      </c>
      <c r="B53356" s="3">
        <v>1</v>
      </c>
    </row>
    <row r="53357" ht="15.75" customHeight="1" spans="1:2">
      <c r="A53357" s="3" t="str">
        <f>IFERROR(__xludf.DUMMYFUNCTION("GOOGLETRANSLATE(A53357,""en"",""pt"")"),"Tire muitas e muitas fotos! Se você não conseguir, tente novamente e novamente!")</f>
        <v>Tire muitas e muitas fotos! Se você não conseguir, tente novamente e novamente!</v>
      </c>
      <c r="B53357" s="3">
        <v>1</v>
      </c>
    </row>
    <row r="53358" ht="15.75" customHeight="1" spans="1:2">
      <c r="A53358" s="3" t="str">
        <f>IFERROR(__xludf.DUMMYFUNCTION("GOOGLETRANSLATE(A53358,""en"",""pt"")"),"excelente preço, facilidade de uso, grandes resultados")</f>
        <v>excelente preço, facilidade de uso, grandes resultados</v>
      </c>
      <c r="B53358" s="3">
        <v>1</v>
      </c>
    </row>
    <row r="53359" ht="15.75" customHeight="1" spans="1:2">
      <c r="A53359" s="3" t="str">
        <f>IFERROR(__xludf.DUMMYFUNCTION("GOOGLETRANSLATE(A53359,""en"",""pt"")"),"Organizado Imagem Tomando Made Easy")</f>
        <v>Organizado Imagem Tomando Made Easy</v>
      </c>
      <c r="B53359" s="3">
        <v>1</v>
      </c>
    </row>
    <row r="53360" ht="15.75" customHeight="1" spans="1:2">
      <c r="A53360" s="3" t="str">
        <f>IFERROR(__xludf.DUMMYFUNCTION("GOOGLETRANSLATE(A53360,""en"",""pt"")"),"Versatilidade")</f>
        <v>Versatilidade</v>
      </c>
      <c r="B53360" s="3">
        <v>1</v>
      </c>
    </row>
    <row r="53361" ht="15.75" customHeight="1" spans="1:2">
      <c r="A53361" s="3" t="str">
        <f>IFERROR(__xludf.DUMMYFUNCTION("GOOGLETRANSLATE(A53361,""en"",""pt"")"),"Fácil de espera, uso")</f>
        <v>Fácil de espera, uso</v>
      </c>
      <c r="B53361" s="3">
        <v>1</v>
      </c>
    </row>
    <row r="53362" ht="15.75" customHeight="1" spans="1:2">
      <c r="A53362" s="3" t="str">
        <f>IFERROR(__xludf.DUMMYFUNCTION("GOOGLETRANSLATE(A53362,""en"",""pt"")"),"Simples de usar, grava imagens em disquetes.")</f>
        <v>Simples de usar, grava imagens em disquetes.</v>
      </c>
      <c r="B53362" s="3">
        <v>1</v>
      </c>
    </row>
    <row r="53363" ht="15.75" customHeight="1" spans="1:2">
      <c r="A53363" s="3" t="str">
        <f>IFERROR(__xludf.DUMMYFUNCTION("GOOGLETRANSLATE(A53363,""en"",""pt"")"),"Não posso pensar em um")</f>
        <v>Não posso pensar em um</v>
      </c>
      <c r="B53363" s="3">
        <v>1</v>
      </c>
    </row>
    <row r="53364" ht="15.75" customHeight="1" spans="1:2">
      <c r="A53364" s="3" t="str">
        <f>IFERROR(__xludf.DUMMYFUNCTION("GOOGLETRANSLATE(A53364,""en"",""pt"")"),"Fácil, os discos são barato ou gratuito, divertido!")</f>
        <v>Fácil, os discos são barato ou gratuito, divertido!</v>
      </c>
      <c r="B53364" s="3">
        <v>1</v>
      </c>
    </row>
    <row r="53365" ht="15.75" customHeight="1" spans="1:2">
      <c r="A53365" s="3" t="str">
        <f>IFERROR(__xludf.DUMMYFUNCTION("GOOGLETRANSLATE(A53365,""en"",""pt"")"),"uso de disco")</f>
        <v>uso de disco</v>
      </c>
      <c r="B53365" s="3">
        <v>1</v>
      </c>
    </row>
    <row r="53366" ht="15.75" customHeight="1" spans="1:2">
      <c r="A53366" s="3" t="str">
        <f>IFERROR(__xludf.DUMMYFUNCTION("GOOGLETRANSLATE(A53366,""en"",""pt"")"),"não mais filme ou negativos")</f>
        <v>não mais filme ou negativos</v>
      </c>
      <c r="B53366" s="3">
        <v>1</v>
      </c>
    </row>
    <row r="53367" ht="15.75" customHeight="1" spans="1:2">
      <c r="A53367" s="3" t="str">
        <f>IFERROR(__xludf.DUMMYFUNCTION("GOOGLETRANSLATE(A53367,""en"",""pt"")"),"-")</f>
        <v>-</v>
      </c>
      <c r="B53367" s="3">
        <v>1</v>
      </c>
    </row>
    <row r="53368" ht="15.75" customHeight="1" spans="1:2">
      <c r="A53368" s="3" t="str">
        <f>IFERROR(__xludf.DUMMYFUNCTION("GOOGLETRANSLATE(A53368,""en"",""pt"")"),"agradável")</f>
        <v>agradável</v>
      </c>
      <c r="B53368" s="3">
        <v>1</v>
      </c>
    </row>
    <row r="53369" ht="15.75" customHeight="1" spans="1:2">
      <c r="A53369" s="3" t="str">
        <f>IFERROR(__xludf.DUMMYFUNCTION("GOOGLETRANSLATE(A53369,""en"",""pt"")"),"Bom se você quer dar a seus filhos uma câmera")</f>
        <v>Bom se você quer dar a seus filhos uma câmera</v>
      </c>
      <c r="B53369" s="3">
        <v>1</v>
      </c>
    </row>
    <row r="53370" ht="15.75" customHeight="1" spans="1:2">
      <c r="A53370" s="3" t="str">
        <f>IFERROR(__xludf.DUMMYFUNCTION("GOOGLETRANSLATE(A53370,""en"",""pt"")"),"Armazenar imagens em Floppys")</f>
        <v>Armazenar imagens em Floppys</v>
      </c>
      <c r="B53370" s="3">
        <v>1</v>
      </c>
    </row>
    <row r="53371" ht="15.75" customHeight="1" spans="1:2">
      <c r="A53371" s="3" t="str">
        <f>IFERROR(__xludf.DUMMYFUNCTION("GOOGLETRANSLATE(A53371,""en"",""pt"")"),"fotos instantâneas, facilidade de transporte, sem baixar")</f>
        <v>fotos instantâneas, facilidade de transporte, sem baixar</v>
      </c>
      <c r="B53371" s="3">
        <v>1</v>
      </c>
    </row>
    <row r="53372" ht="15.75" customHeight="1" spans="1:2">
      <c r="A53372" s="3" t="str">
        <f>IFERROR(__xludf.DUMMYFUNCTION("GOOGLETRANSLATE(A53372,""en"",""pt"")"),"Fácil para iniciantes, armazenamento de disco flexível")</f>
        <v>Fácil para iniciantes, armazenamento de disco flexível</v>
      </c>
      <c r="B53372" s="3">
        <v>1</v>
      </c>
    </row>
    <row r="53373" ht="15.75" customHeight="1" spans="1:2">
      <c r="A53373" s="3" t="str">
        <f>IFERROR(__xludf.DUMMYFUNCTION("GOOGLETRANSLATE(A53373,""en"",""pt"")"),"armazenamento flexível grande conveniência")</f>
        <v>armazenamento flexível grande conveniência</v>
      </c>
      <c r="B53373" s="3">
        <v>1</v>
      </c>
    </row>
    <row r="53374" ht="15.75" customHeight="1" spans="1:2">
      <c r="A53374" s="3" t="str">
        <f>IFERROR(__xludf.DUMMYFUNCTION("GOOGLETRANSLATE(A53374,""en"",""pt"")"),"construído em zoom, flash embutido, tem muitos efeitos diferentes de jogar com")</f>
        <v>construído em zoom, flash embutido, tem muitos efeitos diferentes de jogar com</v>
      </c>
      <c r="B53374" s="3">
        <v>1</v>
      </c>
    </row>
    <row r="53375" ht="15.75" customHeight="1" spans="1:2">
      <c r="A53375" s="3" t="str">
        <f>IFERROR(__xludf.DUMMYFUNCTION("GOOGLETRANSLATE(A53375,""en"",""pt"")"),"ótima câmera")</f>
        <v>ótima câmera</v>
      </c>
      <c r="B53375" s="3">
        <v>1</v>
      </c>
    </row>
    <row r="53376" ht="15.75" customHeight="1" spans="1:2">
      <c r="A53376" s="3" t="str">
        <f>IFERROR(__xludf.DUMMYFUNCTION("GOOGLETRANSLATE(A53376,""en"",""pt"")"),"Facilidade de uso, fácil de entender")</f>
        <v>Facilidade de uso, fácil de entender</v>
      </c>
      <c r="B53376" s="3">
        <v>1</v>
      </c>
    </row>
    <row r="53377" ht="15.75" customHeight="1" spans="1:2">
      <c r="A53377" s="3" t="str">
        <f>IFERROR(__xludf.DUMMYFUNCTION("GOOGLETRANSLATE(A53377,""en"",""pt"")"),"utilização de disquetes significa sem cabos")</f>
        <v>utilização de disquetes significa sem cabos</v>
      </c>
      <c r="B53377" s="3">
        <v>1</v>
      </c>
    </row>
    <row r="53378" ht="15.75" customHeight="1" spans="1:2">
      <c r="A53378" s="3" t="str">
        <f>IFERROR(__xludf.DUMMYFUNCTION("GOOGLETRANSLATE(A53378,""en"",""pt"")"),"qualidade hiqh, intuitiva e durável")</f>
        <v>qualidade hiqh, intuitiva e durável</v>
      </c>
      <c r="B53378" s="3">
        <v>1</v>
      </c>
    </row>
    <row r="53379" ht="15.75" customHeight="1" spans="1:2">
      <c r="A53379" s="3" t="str">
        <f>IFERROR(__xludf.DUMMYFUNCTION("GOOGLETRANSLATE(A53379,""en"",""pt"")"),"Fácil de usar &amp; amp; amp; faz um grande trabalho")</f>
        <v>Fácil de usar &amp; amp; amp; faz um grande trabalho</v>
      </c>
      <c r="B53379" s="3">
        <v>1</v>
      </c>
    </row>
    <row r="53380" ht="15.75" customHeight="1" spans="1:2">
      <c r="A53380" s="3" t="str">
        <f>IFERROR(__xludf.DUMMYFUNCTION("GOOGLETRANSLATE(A53380,""en"",""pt"")"),"transferência de disquete é tão fácil")</f>
        <v>transferência de disquete é tão fácil</v>
      </c>
      <c r="B53380" s="3">
        <v>1</v>
      </c>
    </row>
    <row r="53381" ht="15.75" customHeight="1" spans="1:2">
      <c r="A53381" s="3" t="str">
        <f>IFERROR(__xludf.DUMMYFUNCTION("GOOGLETRANSLATE(A53381,""en"",""pt"")"),"Muito conveniente, boas fotos. Eu tenho usado por mais de três anos")</f>
        <v>Muito conveniente, boas fotos. Eu tenho usado por mais de três anos</v>
      </c>
      <c r="B53381" s="3">
        <v>1</v>
      </c>
    </row>
    <row r="53382" ht="15.75" customHeight="1" spans="1:2">
      <c r="A53382" s="3" t="str">
        <f>IFERROR(__xludf.DUMMYFUNCTION("GOOGLETRANSLATE(A53382,""en"",""pt"")"),"Usa 1,44 MB discos, Fácil de Usar")</f>
        <v>Usa 1,44 MB discos, Fácil de Usar</v>
      </c>
      <c r="B53382" s="3">
        <v>1</v>
      </c>
    </row>
    <row r="53383" ht="15.75" customHeight="1" spans="1:2">
      <c r="A53383" s="3" t="str">
        <f>IFERROR(__xludf.DUMMYFUNCTION("GOOGLETRANSLATE(A53383,""en"",""pt"")"),"formato JPEG padrão, zoom óptico de 10x, resistente")</f>
        <v>formato JPEG padrão, zoom óptico de 10x, resistente</v>
      </c>
      <c r="B53383" s="3">
        <v>1</v>
      </c>
    </row>
    <row r="53384" ht="15.75" customHeight="1" spans="1:2">
      <c r="A53384" s="3" t="str">
        <f>IFERROR(__xludf.DUMMYFUNCTION("GOOGLETRANSLATE(A53384,""en"",""pt"")"),"Armazena imagens em 3 1/2 &amp; amp; quot; discos")</f>
        <v>Armazena imagens em 3 1/2 &amp; amp; quot; discos</v>
      </c>
      <c r="B53384" s="3">
        <v>1</v>
      </c>
    </row>
    <row r="53385" ht="15.75" customHeight="1" spans="1:2">
      <c r="A53385" s="3" t="str">
        <f>IFERROR(__xludf.DUMMYFUNCTION("GOOGLETRANSLATE(A53385,""en"",""pt"")"),"armazenamento")</f>
        <v>armazenamento</v>
      </c>
      <c r="B53385" s="3">
        <v>1</v>
      </c>
    </row>
    <row r="53386" ht="15.75" customHeight="1" spans="1:2">
      <c r="A53386" s="3" t="str">
        <f>IFERROR(__xludf.DUMMYFUNCTION("GOOGLETRANSLATE(A53386,""en"",""pt"")"),"Muito fácil de usar, duráveis ​​e limpas fotos rápidas.")</f>
        <v>Muito fácil de usar, duráveis ​​e limpas fotos rápidas.</v>
      </c>
      <c r="B53386" s="3">
        <v>1</v>
      </c>
    </row>
    <row r="53387" ht="15.75" customHeight="1" spans="1:2">
      <c r="A53387" s="3" t="str">
        <f>IFERROR(__xludf.DUMMYFUNCTION("GOOGLETRANSLATE(A53387,""en"",""pt"")"),"Ponto e uso clique, disquetes servir como filme.")</f>
        <v>Ponto e uso clique, disquetes servir como filme.</v>
      </c>
      <c r="B53387" s="3">
        <v>1</v>
      </c>
    </row>
    <row r="53388" ht="15.75" customHeight="1" spans="1:2">
      <c r="A53388" s="3" t="str">
        <f>IFERROR(__xludf.DUMMYFUNCTION("GOOGLETRANSLATE(A53388,""en"",""pt"")"),"Fantástica capacidade de close-up.")</f>
        <v>Fantástica capacidade de close-up.</v>
      </c>
      <c r="B53388" s="3">
        <v>1</v>
      </c>
    </row>
    <row r="53389" ht="15.75" customHeight="1" spans="1:2">
      <c r="A53389" s="3" t="str">
        <f>IFERROR(__xludf.DUMMYFUNCTION("GOOGLETRANSLATE(A53389,""en"",""pt"")"),"imagens incríveis leva")</f>
        <v>imagens incríveis leva</v>
      </c>
      <c r="B53389" s="3">
        <v>1</v>
      </c>
    </row>
    <row r="53390" ht="15.75" customHeight="1" spans="1:2">
      <c r="A53390" s="3" t="str">
        <f>IFERROR(__xludf.DUMMYFUNCTION("GOOGLETRANSLATE(A53390,""en"",""pt"")"),"facilidade de uso, qualidade super")</f>
        <v>facilidade de uso, qualidade super</v>
      </c>
      <c r="B53390" s="3">
        <v>1</v>
      </c>
    </row>
    <row r="53391" ht="15.75" customHeight="1" spans="1:2">
      <c r="A53391" s="3" t="str">
        <f>IFERROR(__xludf.DUMMYFUNCTION("GOOGLETRANSLATE(A53391,""en"",""pt"")"),"Nítida qualidade de imagem, flash excelente e facilidade de uso.")</f>
        <v>Nítida qualidade de imagem, flash excelente e facilidade de uso.</v>
      </c>
      <c r="B53391" s="3">
        <v>1</v>
      </c>
    </row>
    <row r="53392" ht="15.75" customHeight="1" spans="1:2">
      <c r="A53392" s="3" t="str">
        <f>IFERROR(__xludf.DUMMYFUNCTION("GOOGLETRANSLATE(A53392,""en"",""pt"")"),"Fácil de usar. Boas fotos. Fácil de abrir no computador. visor LCD de grande.")</f>
        <v>Fácil de usar. Boas fotos. Fácil de abrir no computador. visor LCD de grande.</v>
      </c>
      <c r="B53392" s="3">
        <v>1</v>
      </c>
    </row>
    <row r="53393" ht="15.75" customHeight="1" spans="1:2">
      <c r="A53393" s="3" t="str">
        <f>IFERROR(__xludf.DUMMYFUNCTION("GOOGLETRANSLATE(A53393,""en"",""pt"")"),"Zoom óptico de 10x, facilidade de uso, insertos de disquetes ao tirar fotos.")</f>
        <v>Zoom óptico de 10x, facilidade de uso, insertos de disquetes ao tirar fotos.</v>
      </c>
      <c r="B53393" s="3">
        <v>1</v>
      </c>
    </row>
    <row r="53394" ht="15.75" customHeight="1" spans="1:2">
      <c r="A53394" s="3" t="str">
        <f>IFERROR(__xludf.DUMMYFUNCTION("GOOGLETRANSLATE(A53394,""en"",""pt"")"),"Bom, fotos de qualidade. Facilmente baixar imagens para imprimir ou e-mail.")</f>
        <v>Bom, fotos de qualidade. Facilmente baixar imagens para imprimir ou e-mail.</v>
      </c>
      <c r="B53394" s="3">
        <v>1</v>
      </c>
    </row>
    <row r="53395" ht="15.75" customHeight="1" spans="1:2">
      <c r="A53395" s="3" t="str">
        <f>IFERROR(__xludf.DUMMYFUNCTION("GOOGLETRANSLATE(A53395,""en"",""pt"")"),"Bom, desempenho sólido, muito fácil de usar")</f>
        <v>Bom, desempenho sólido, muito fácil de usar</v>
      </c>
      <c r="B53395" s="3">
        <v>1</v>
      </c>
    </row>
    <row r="53396" ht="15.75" customHeight="1" spans="1:2">
      <c r="A53396" s="3" t="str">
        <f>IFERROR(__xludf.DUMMYFUNCTION("GOOGLETRANSLATE(A53396,""en"",""pt"")"),"excelentes Imagens")</f>
        <v>excelentes Imagens</v>
      </c>
      <c r="B53396" s="3">
        <v>1</v>
      </c>
    </row>
    <row r="53397" ht="15.75" customHeight="1" spans="1:2">
      <c r="A53397" s="3" t="str">
        <f>IFERROR(__xludf.DUMMYFUNCTION("GOOGLETRANSLATE(A53397,""en"",""pt"")"),"armazenamento flexível")</f>
        <v>armazenamento flexível</v>
      </c>
      <c r="B53397" s="3">
        <v>1</v>
      </c>
    </row>
    <row r="53398" ht="15.75" customHeight="1" spans="1:2">
      <c r="A53398" s="3" t="str">
        <f>IFERROR(__xludf.DUMMYFUNCTION("GOOGLETRANSLATE(A53398,""en"",""pt"")"),"bateria recarregável, disquetes")</f>
        <v>bateria recarregável, disquetes</v>
      </c>
      <c r="B53398" s="3">
        <v>1</v>
      </c>
    </row>
    <row r="53399" ht="15.75" customHeight="1" spans="1:2">
      <c r="A53399" s="3" t="str">
        <f>IFERROR(__xludf.DUMMYFUNCTION("GOOGLETRANSLATE(A53399,""en"",""pt"")"),"tiros durante o dia, a privacidade, não esperando para ver o resultado, instantaneamente podem ser enviados através da Internet")</f>
        <v>tiros durante o dia, a privacidade, não esperando para ver o resultado, instantaneamente podem ser enviados através da Internet</v>
      </c>
      <c r="B53399" s="3">
        <v>1</v>
      </c>
    </row>
    <row r="53400" ht="15.75" customHeight="1" spans="1:2">
      <c r="A53400" s="3" t="str">
        <f>IFERROR(__xludf.DUMMYFUNCTION("GOOGLETRANSLATE(A53400,""en"",""pt"")"),"bateria recarregável, armazenamento flexível, lente de 10X,")</f>
        <v>bateria recarregável, armazenamento flexível, lente de 10X,</v>
      </c>
      <c r="B53400" s="3">
        <v>1</v>
      </c>
    </row>
    <row r="53401" ht="15.75" customHeight="1" spans="1:2">
      <c r="A53401" s="3" t="str">
        <f>IFERROR(__xludf.DUMMYFUNCTION("GOOGLETRANSLATE(A53401,""en"",""pt"")"),"bateria inteligente prevê tempo restante da bateria")</f>
        <v>bateria inteligente prevê tempo restante da bateria</v>
      </c>
      <c r="B53401" s="3">
        <v>1</v>
      </c>
    </row>
    <row r="53402" ht="15.75" customHeight="1" spans="1:2">
      <c r="A53402" s="3" t="str">
        <f>IFERROR(__xludf.DUMMYFUNCTION("GOOGLETRANSLATE(A53402,""en"",""pt"")"),"divertido, fácil de usar")</f>
        <v>divertido, fácil de usar</v>
      </c>
      <c r="B53402" s="3">
        <v>1</v>
      </c>
    </row>
    <row r="53403" ht="15.75" customHeight="1" spans="1:2">
      <c r="A53403" s="3" t="str">
        <f>IFERROR(__xludf.DUMMYFUNCTION("GOOGLETRANSLATE(A53403,""en"",""pt"")"),"Fácil de transportar, ótimo para apagar fotos ruins")</f>
        <v>Fácil de transportar, ótimo para apagar fotos ruins</v>
      </c>
      <c r="B53403" s="3">
        <v>1</v>
      </c>
    </row>
    <row r="53404" ht="15.75" customHeight="1" spans="1:2">
      <c r="A53404" s="3" t="str">
        <f>IFERROR(__xludf.DUMMYFUNCTION("GOOGLETRANSLATE(A53404,""en"",""pt"")"),"Usos disquetes (muito barato e conveniente), simples de usar")</f>
        <v>Usos disquetes (muito barato e conveniente), simples de usar</v>
      </c>
      <c r="B53404" s="3">
        <v>1</v>
      </c>
    </row>
    <row r="53405" ht="15.75" customHeight="1" spans="1:2">
      <c r="A53405" s="3" t="str">
        <f>IFERROR(__xludf.DUMMYFUNCTION("GOOGLETRANSLATE(A53405,""en"",""pt"")"),"Fácil, e o disquete é grande")</f>
        <v>Fácil, e o disquete é grande</v>
      </c>
      <c r="B53405" s="3">
        <v>1</v>
      </c>
    </row>
    <row r="53406" ht="15.75" customHeight="1" spans="1:2">
      <c r="A53406" s="3" t="str">
        <f>IFERROR(__xludf.DUMMYFUNCTION("GOOGLETRANSLATE(A53406,""en"",""pt"")"),"5 Estrelas + fácil de obter imagens para o computador")</f>
        <v>5 Estrelas + fácil de obter imagens para o computador</v>
      </c>
      <c r="B53406" s="3">
        <v>1</v>
      </c>
    </row>
    <row r="53407" ht="15.75" customHeight="1" spans="1:2">
      <c r="A53407" s="3" t="str">
        <f>IFERROR(__xludf.DUMMYFUNCTION("GOOGLETRANSLATE(A53407,""en"",""pt"")"),"De facil operação; em todas as fases, ótimas fotos")</f>
        <v>De facil operação; em todas as fases, ótimas fotos</v>
      </c>
      <c r="B53407" s="3">
        <v>1</v>
      </c>
    </row>
    <row r="53408" ht="15.75" customHeight="1" spans="1:2">
      <c r="A53408" s="3" t="str">
        <f>IFERROR(__xludf.DUMMYFUNCTION("GOOGLETRANSLATE(A53408,""en"",""pt"")"),"Veja fotos antes de salvar / impressão / e-mail")</f>
        <v>Veja fotos antes de salvar / impressão / e-mail</v>
      </c>
      <c r="B53408" s="3">
        <v>1</v>
      </c>
    </row>
    <row r="53409" ht="15.75" customHeight="1" spans="1:2">
      <c r="A53409" s="3" t="str">
        <f>IFERROR(__xludf.DUMMYFUNCTION("GOOGLETRANSLATE(A53409,""en"",""pt"")"),"Fácil de usar e imagens nítidas")</f>
        <v>Fácil de usar e imagens nítidas</v>
      </c>
      <c r="B53409" s="3">
        <v>1</v>
      </c>
    </row>
    <row r="53410" ht="15.75" customHeight="1" spans="1:2">
      <c r="A53410" s="3" t="str">
        <f>IFERROR(__xludf.DUMMYFUNCTION("GOOGLETRANSLATE(A53410,""en"",""pt"")"),"fácil utilização")</f>
        <v>fácil utilização</v>
      </c>
      <c r="B53410" s="3">
        <v>1</v>
      </c>
    </row>
    <row r="53411" ht="15.75" customHeight="1" spans="1:2">
      <c r="A53411" s="3" t="str">
        <f>IFERROR(__xludf.DUMMYFUNCTION("GOOGLETRANSLATE(A53411,""en"",""pt"")"),"Simples, fácil de usar, prático")</f>
        <v>Simples, fácil de usar, prático</v>
      </c>
      <c r="B53411" s="3">
        <v>1</v>
      </c>
    </row>
    <row r="53412" ht="15.75" customHeight="1" spans="1:2">
      <c r="A53412" s="3" t="str">
        <f>IFERROR(__xludf.DUMMYFUNCTION("GOOGLETRANSLATE(A53412,""en"",""pt"")"),"Fácil de usar")</f>
        <v>Fácil de usar</v>
      </c>
      <c r="B53412" s="3">
        <v>1</v>
      </c>
    </row>
    <row r="53413" ht="15.75" customHeight="1" spans="1:2">
      <c r="A53413" s="3" t="str">
        <f>IFERROR(__xludf.DUMMYFUNCTION("GOOGLETRANSLATE(A53413,""en"",""pt"")"),"Fácil de usar e nenhum cartão de memória")</f>
        <v>Fácil de usar e nenhum cartão de memória</v>
      </c>
      <c r="B53413" s="3">
        <v>1</v>
      </c>
    </row>
    <row r="53414" ht="15.75" customHeight="1" spans="1:2">
      <c r="A53414" s="3" t="str">
        <f>IFERROR(__xludf.DUMMYFUNCTION("GOOGLETRANSLATE(A53414,""en"",""pt"")"),"3,5 armazenamento flexível, bateria de longa duração, de alta qualidade")</f>
        <v>3,5 armazenamento flexível, bateria de longa duração, de alta qualidade</v>
      </c>
      <c r="B53414" s="3">
        <v>1</v>
      </c>
    </row>
    <row r="53415" ht="15.75" customHeight="1" spans="1:2">
      <c r="A53415" s="3" t="str">
        <f>IFERROR(__xludf.DUMMYFUNCTION("GOOGLETRANSLATE(A53415,""en"",""pt"")"),"disquete, bateria recarregável.")</f>
        <v>disquete, bateria recarregável.</v>
      </c>
      <c r="B53415" s="3">
        <v>1</v>
      </c>
    </row>
    <row r="53416" ht="15.75" customHeight="1" spans="1:2">
      <c r="A53416" s="3" t="str">
        <f>IFERROR(__xludf.DUMMYFUNCTION("GOOGLETRANSLATE(A53416,""en"",""pt"")"),"grande Camera")</f>
        <v>grande Camera</v>
      </c>
      <c r="B53416" s="3">
        <v>1</v>
      </c>
    </row>
    <row r="53417" ht="15.75" customHeight="1" spans="1:2">
      <c r="A53417" s="3" t="str">
        <f>IFERROR(__xludf.DUMMYFUNCTION("GOOGLETRANSLATE(A53417,""en"",""pt"")"),"fácil de usar")</f>
        <v>fácil de usar</v>
      </c>
      <c r="B53417" s="3">
        <v>1</v>
      </c>
    </row>
    <row r="53418" ht="15.75" customHeight="1" spans="1:2">
      <c r="A53418" s="3" t="str">
        <f>IFERROR(__xludf.DUMMYFUNCTION("GOOGLETRANSLATE(A53418,""en"",""pt"")"),"faily fácil de usar, ótimas fotos, facilmente enhansed")</f>
        <v>faily fácil de usar, ótimas fotos, facilmente enhansed</v>
      </c>
      <c r="B53418" s="3">
        <v>1</v>
      </c>
    </row>
    <row r="53419" ht="15.75" customHeight="1" spans="1:2">
      <c r="A53419" s="3" t="str">
        <f>IFERROR(__xludf.DUMMYFUNCTION("GOOGLETRANSLATE(A53419,""en"",""pt"")"),"unidade de disquete")</f>
        <v>unidade de disquete</v>
      </c>
      <c r="B53419" s="3">
        <v>1</v>
      </c>
    </row>
    <row r="53420" ht="15.75" customHeight="1" spans="1:2">
      <c r="A53420" s="3" t="str">
        <f>IFERROR(__xludf.DUMMYFUNCTION("GOOGLETRANSLATE(A53420,""en"",""pt"")"),"fácil de usar")</f>
        <v>fácil de usar</v>
      </c>
      <c r="B53420" s="3">
        <v>1</v>
      </c>
    </row>
    <row r="53421" ht="15.75" customHeight="1" spans="1:2">
      <c r="A53421" s="3" t="str">
        <f>IFERROR(__xludf.DUMMYFUNCTION("GOOGLETRANSLATE(A53421,""en"",""pt"")"),"Conveniente, Windows / Mac compatível")</f>
        <v>Conveniente, Windows / Mac compatível</v>
      </c>
      <c r="B53421" s="3">
        <v>1</v>
      </c>
    </row>
    <row r="53422" ht="15.75" customHeight="1" spans="1:2">
      <c r="A53422" s="3" t="str">
        <f>IFERROR(__xludf.DUMMYFUNCTION("GOOGLETRANSLATE(A53422,""en"",""pt"")"),"Fácil de usar, leve, de grande qualidade")</f>
        <v>Fácil de usar, leve, de grande qualidade</v>
      </c>
      <c r="B53422" s="3">
        <v>1</v>
      </c>
    </row>
    <row r="53423" ht="15.75" customHeight="1" spans="1:2">
      <c r="A53423" s="3" t="str">
        <f>IFERROR(__xludf.DUMMYFUNCTION("GOOGLETRANSLATE(A53423,""en"",""pt"")"),"é simples de usar")</f>
        <v>é simples de usar</v>
      </c>
      <c r="B53423" s="3">
        <v>1</v>
      </c>
    </row>
    <row r="53424" ht="15.75" customHeight="1" spans="1:2">
      <c r="A53424" s="3" t="str">
        <f>IFERROR(__xludf.DUMMYFUNCTION("GOOGLETRANSLATE(A53424,""en"",""pt"")"),"Fácil, divertido, armazenamento de dados muito barato")</f>
        <v>Fácil, divertido, armazenamento de dados muito barato</v>
      </c>
      <c r="B53424" s="3">
        <v>1</v>
      </c>
    </row>
    <row r="53425" ht="15.75" customHeight="1" spans="1:2">
      <c r="A53425" s="3" t="str">
        <f>IFERROR(__xludf.DUMMYFUNCTION("GOOGLETRANSLATE(A53425,""en"",""pt"")"),"&amp; Amp; quot; Killer-App &amp; amp; quot; Unidade de disquete de armazenamento; grande visor; menus intuitivos; qualidade Sony")</f>
        <v>&amp; Amp; quot; Killer-App &amp; amp; quot; Unidade de disquete de armazenamento; grande visor; menus intuitivos; qualidade Sony</v>
      </c>
      <c r="B53425" s="3">
        <v>1</v>
      </c>
    </row>
    <row r="53426" ht="15.75" customHeight="1" spans="1:2">
      <c r="A53426" s="3" t="str">
        <f>IFERROR(__xludf.DUMMYFUNCTION("GOOGLETRANSLATE(A53426,""en"",""pt"")"),"Fácil de usar, não muito caro")</f>
        <v>Fácil de usar, não muito caro</v>
      </c>
      <c r="B53426" s="3">
        <v>1</v>
      </c>
    </row>
    <row r="53427" ht="15.75" customHeight="1" spans="1:2">
      <c r="A53427" s="3" t="str">
        <f>IFERROR(__xludf.DUMMYFUNCTION("GOOGLETRANSLATE(A53427,""en"",""pt"")"),"fácil de download, não necessita de cabos extras para se conectar ao seu PC")</f>
        <v>fácil de download, não necessita de cabos extras para se conectar ao seu PC</v>
      </c>
      <c r="B53427" s="3">
        <v>1</v>
      </c>
    </row>
    <row r="53428" ht="15.75" customHeight="1" spans="1:2">
      <c r="A53428" s="3" t="str">
        <f>IFERROR(__xludf.DUMMYFUNCTION("GOOGLETRANSLATE(A53428,""en"",""pt"")"),"Padrão de discos flexíveis para armazenamento de mídia, grande qualidade, capacidade de tirar muitas fotos para um pequeno preço e determinar quais imagens para impressão")</f>
        <v>Padrão de discos flexíveis para armazenamento de mídia, grande qualidade, capacidade de tirar muitas fotos para um pequeno preço e determinar quais imagens para impressão</v>
      </c>
      <c r="B53428" s="3">
        <v>1</v>
      </c>
    </row>
    <row r="53429" ht="15.75" customHeight="1" spans="1:2">
      <c r="A53429" s="3" t="str">
        <f>IFERROR(__xludf.DUMMYFUNCTION("GOOGLETRANSLATE(A53429,""en"",""pt"")"),"visualização instantânea")</f>
        <v>visualização instantânea</v>
      </c>
      <c r="B53429" s="3">
        <v>1</v>
      </c>
    </row>
    <row r="53430" ht="15.75" customHeight="1" spans="1:2">
      <c r="A53430" s="3" t="str">
        <f>IFERROR(__xludf.DUMMYFUNCTION("GOOGLETRANSLATE(A53430,""en"",""pt"")"),"Grandes Arquivos para o meu trabalho.")</f>
        <v>Grandes Arquivos para o meu trabalho.</v>
      </c>
      <c r="B53430" s="3">
        <v>1</v>
      </c>
    </row>
    <row r="53431" ht="15.75" customHeight="1" spans="1:2">
      <c r="A53431" s="3" t="str">
        <f>IFERROR(__xludf.DUMMYFUNCTION("GOOGLETRANSLATE(A53431,""en"",""pt"")"),"10x Zoom, disco flexível padrão")</f>
        <v>10x Zoom, disco flexível padrão</v>
      </c>
      <c r="B53431" s="3">
        <v>1</v>
      </c>
    </row>
    <row r="53432" ht="15.75" customHeight="1" spans="1:2">
      <c r="A53432" s="3" t="str">
        <f>IFERROR(__xludf.DUMMYFUNCTION("GOOGLETRANSLATE(A53432,""en"",""pt"")"),"Utiliza padrão de 3,5 &amp; amp; quot; frouxo")</f>
        <v>Utiliza padrão de 3,5 &amp; amp; quot; frouxo</v>
      </c>
      <c r="B53432" s="3">
        <v>1</v>
      </c>
    </row>
    <row r="53433" ht="15.75" customHeight="1" spans="1:2">
      <c r="A53433" s="3" t="str">
        <f>IFERROR(__xludf.DUMMYFUNCTION("GOOGLETRANSLATE(A53433,""en"",""pt"")"),"leve, fácil de usar .... funciona excepcionalmente bem")</f>
        <v>leve, fácil de usar .... funciona excepcionalmente bem</v>
      </c>
      <c r="B53433" s="3">
        <v>1</v>
      </c>
    </row>
    <row r="53434" ht="15.75" customHeight="1" spans="1:2">
      <c r="A53434" s="3" t="str">
        <f>IFERROR(__xludf.DUMMYFUNCTION("GOOGLETRANSLATE(A53434,""en"",""pt"")"),"disquete de armazenamento de imagens de disco, fácil de usar, sem cabos / downloads")</f>
        <v>disquete de armazenamento de imagens de disco, fácil de usar, sem cabos / downloads</v>
      </c>
      <c r="B53434" s="3">
        <v>1</v>
      </c>
    </row>
    <row r="53435" ht="15.75" customHeight="1" spans="1:2">
      <c r="A53435" s="3" t="str">
        <f>IFERROR(__xludf.DUMMYFUNCTION("GOOGLETRANSLATE(A53435,""en"",""pt"")"),"fácil de usar")</f>
        <v>fácil de usar</v>
      </c>
      <c r="B53435" s="3">
        <v>1</v>
      </c>
    </row>
    <row r="53436" ht="15.75" customHeight="1" spans="1:2">
      <c r="A53436" s="3" t="str">
        <f>IFERROR(__xludf.DUMMYFUNCTION("GOOGLETRANSLATE(A53436,""en"",""pt"")"),"Grandes imagens digitais para pouco esforço.")</f>
        <v>Grandes imagens digitais para pouco esforço.</v>
      </c>
      <c r="B53436" s="3">
        <v>1</v>
      </c>
    </row>
    <row r="53437" ht="15.75" customHeight="1" spans="1:2">
      <c r="A53437" s="3" t="str">
        <f>IFERROR(__xludf.DUMMYFUNCTION("GOOGLETRANSLATE(A53437,""en"",""pt"")"),"Usa 3,5 disquete")</f>
        <v>Usa 3,5 disquete</v>
      </c>
      <c r="B53437" s="3">
        <v>1</v>
      </c>
    </row>
    <row r="53438" ht="15.75" customHeight="1" spans="1:2">
      <c r="A53438" s="3" t="str">
        <f>IFERROR(__xludf.DUMMYFUNCTION("GOOGLETRANSLATE(A53438,""en"",""pt"")"),"Lotes de discos AOL flutuando ao redor")</f>
        <v>Lotes de discos AOL flutuando ao redor</v>
      </c>
      <c r="B53438" s="3">
        <v>1</v>
      </c>
    </row>
    <row r="53439" ht="15.75" customHeight="1" spans="1:2">
      <c r="A53439" s="3" t="str">
        <f>IFERROR(__xludf.DUMMYFUNCTION("GOOGLETRANSLATE(A53439,""en"",""pt"")"),"zoom, disquete, comprimento de carga, clareza de fotos")</f>
        <v>zoom, disquete, comprimento de carga, clareza de fotos</v>
      </c>
      <c r="B53439" s="3">
        <v>1</v>
      </c>
    </row>
    <row r="53440" ht="15.75" customHeight="1" spans="1:2">
      <c r="A53440" s="3" t="str">
        <f>IFERROR(__xludf.DUMMYFUNCTION("GOOGLETRANSLATE(A53440,""en"",""pt"")"),"Super Fácil de usar, bom valor para o dinheiro, leva imagens de boa qualidade")</f>
        <v>Super Fácil de usar, bom valor para o dinheiro, leva imagens de boa qualidade</v>
      </c>
      <c r="B53440" s="3">
        <v>1</v>
      </c>
    </row>
    <row r="53441" ht="15.75" customHeight="1" spans="1:2">
      <c r="A53441" s="3" t="str">
        <f>IFERROR(__xludf.DUMMYFUNCTION("GOOGLETRANSLATE(A53441,""en"",""pt"")"),"facilidade de uso, preço da câmera, e usar de disquete")</f>
        <v>facilidade de uso, preço da câmera, e usar de disquete</v>
      </c>
      <c r="B53441" s="3">
        <v>1</v>
      </c>
    </row>
    <row r="53442" ht="15.75" customHeight="1" spans="1:2">
      <c r="A53442" s="3" t="str">
        <f>IFERROR(__xludf.DUMMYFUNCTION("GOOGLETRANSLATE(A53442,""en"",""pt"")"),"Fácil de usar, sem peças extras caros")</f>
        <v>Fácil de usar, sem peças extras caros</v>
      </c>
      <c r="B53442" s="3">
        <v>1</v>
      </c>
    </row>
    <row r="53443" ht="15.75" customHeight="1" spans="1:2">
      <c r="A53443" s="3" t="str">
        <f>IFERROR(__xludf.DUMMYFUNCTION("GOOGLETRANSLATE(A53443,""en"",""pt"")"),"ótimas fotos, nenhuma conexão necessária para download, salva no disco")</f>
        <v>ótimas fotos, nenhuma conexão necessária para download, salva no disco</v>
      </c>
      <c r="B53443" s="3">
        <v>1</v>
      </c>
    </row>
    <row r="53444" ht="15.75" customHeight="1" spans="1:2">
      <c r="A53444" s="3" t="str">
        <f>IFERROR(__xludf.DUMMYFUNCTION("GOOGLETRANSLATE(A53444,""en"",""pt"")"),"rápido, economizar em desenvolvimento")</f>
        <v>rápido, economizar em desenvolvimento</v>
      </c>
      <c r="B53444" s="3">
        <v>1</v>
      </c>
    </row>
    <row r="53445" ht="15.75" customHeight="1" spans="1:2">
      <c r="A53445" s="3" t="str">
        <f>IFERROR(__xludf.DUMMYFUNCTION("GOOGLETRANSLATE(A53445,""en"",""pt"")"),"Fácil de usar, imagens de boa qualidade, usa disquetes padrão")</f>
        <v>Fácil de usar, imagens de boa qualidade, usa disquetes padrão</v>
      </c>
      <c r="B53445" s="3">
        <v>1</v>
      </c>
    </row>
    <row r="53446" ht="15.75" customHeight="1" spans="1:2">
      <c r="A53446" s="3" t="str">
        <f>IFERROR(__xludf.DUMMYFUNCTION("GOOGLETRANSLATE(A53446,""en"",""pt"")"),"Compacto, de boa qualidade imagens nítidas.")</f>
        <v>Compacto, de boa qualidade imagens nítidas.</v>
      </c>
      <c r="B53446" s="3">
        <v>1</v>
      </c>
    </row>
    <row r="53447" ht="15.75" customHeight="1" spans="1:2">
      <c r="A53447" s="3" t="str">
        <f>IFERROR(__xludf.DUMMYFUNCTION("GOOGLETRANSLATE(A53447,""en"",""pt"")"),"Fácil de operar, mesmo o meu filho mais novo (9 anos) opera a câmera com bons resultados.")</f>
        <v>Fácil de operar, mesmo o meu filho mais novo (9 anos) opera a câmera com bons resultados.</v>
      </c>
      <c r="B53447" s="3">
        <v>1</v>
      </c>
    </row>
    <row r="53448" ht="15.75" customHeight="1" spans="1:2">
      <c r="A53448" s="3" t="str">
        <f>IFERROR(__xludf.DUMMYFUNCTION("GOOGLETRANSLATE(A53448,""en"",""pt"")"),"tudo sobre esta câmera é incrível!")</f>
        <v>tudo sobre esta câmera é incrível!</v>
      </c>
      <c r="B53448" s="3">
        <v>1</v>
      </c>
    </row>
    <row r="53449" ht="15.75" customHeight="1" spans="1:2">
      <c r="A53449" s="3" t="str">
        <f>IFERROR(__xludf.DUMMYFUNCTION("GOOGLETRANSLATE(A53449,""en"",""pt"")"),"Pode ver foto imediatamente, pode armazenar no disco")</f>
        <v>Pode ver foto imediatamente, pode armazenar no disco</v>
      </c>
      <c r="B53449" s="3">
        <v>1</v>
      </c>
    </row>
    <row r="53450" ht="15.75" customHeight="1" spans="1:2">
      <c r="A53450" s="3" t="str">
        <f>IFERROR(__xludf.DUMMYFUNCTION("GOOGLETRANSLATE(A53450,""en"",""pt"")"),"Facilidade de uso, há os custos de processamento de filmes ou fotografias")</f>
        <v>Facilidade de uso, há os custos de processamento de filmes ou fotografias</v>
      </c>
      <c r="B53450" s="3">
        <v>1</v>
      </c>
    </row>
    <row r="53451" ht="15.75" customHeight="1" spans="1:2">
      <c r="A53451" s="3" t="str">
        <f>IFERROR(__xludf.DUMMYFUNCTION("GOOGLETRANSLATE(A53451,""en"",""pt"")"),"Durabilidade / facilidade de uso / fotos Boa Qualidade")</f>
        <v>Durabilidade / facilidade de uso / fotos Boa Qualidade</v>
      </c>
      <c r="B53451" s="3">
        <v>1</v>
      </c>
    </row>
    <row r="53452" ht="15.75" customHeight="1" spans="1:2">
      <c r="A53452" s="3" t="str">
        <f>IFERROR(__xludf.DUMMYFUNCTION("GOOGLETRANSLATE(A53452,""en"",""pt"")"),"Grandes pics, fácil de usar, salvar fotos no disquete")</f>
        <v>Grandes pics, fácil de usar, salvar fotos no disquete</v>
      </c>
      <c r="B53452" s="3">
        <v>1</v>
      </c>
    </row>
    <row r="53453" ht="15.75" customHeight="1" spans="1:2">
      <c r="A53453" s="3" t="str">
        <f>IFERROR(__xludf.DUMMYFUNCTION("GOOGLETRANSLATE(A53453,""en"",""pt"")"),"zoom rápido, autofoco, indicador de progresso na tela.")</f>
        <v>zoom rápido, autofoco, indicador de progresso na tela.</v>
      </c>
      <c r="B53453" s="3">
        <v>1</v>
      </c>
    </row>
    <row r="53454" ht="15.75" customHeight="1" spans="1:2">
      <c r="A53454" s="3" t="str">
        <f>IFERROR(__xludf.DUMMYFUNCTION("GOOGLETRANSLATE(A53454,""en"",""pt"")"),"gratificação imediata, zoom potente, o armazenamento flexível.")</f>
        <v>gratificação imediata, zoom potente, o armazenamento flexível.</v>
      </c>
      <c r="B53454" s="3">
        <v>1</v>
      </c>
    </row>
    <row r="53455" ht="15.75" customHeight="1" spans="1:2">
      <c r="A53455" s="3" t="str">
        <f>IFERROR(__xludf.DUMMYFUNCTION("GOOGLETRANSLATE(A53455,""en"",""pt"")"),"Disquete, facilidade de uso")</f>
        <v>Disquete, facilidade de uso</v>
      </c>
      <c r="B53455" s="3">
        <v>1</v>
      </c>
    </row>
    <row r="53456" ht="15.75" customHeight="1" spans="1:2">
      <c r="A53456" s="3" t="str">
        <f>IFERROR(__xludf.DUMMYFUNCTION("GOOGLETRANSLATE(A53456,""en"",""pt"")"),"reutilizável, armazenamento em disco barato, lente zoom")</f>
        <v>reutilizável, armazenamento em disco barato, lente zoom</v>
      </c>
      <c r="B53456" s="3">
        <v>1</v>
      </c>
    </row>
    <row r="53457" ht="15.75" customHeight="1" spans="1:2">
      <c r="A53457" s="3" t="str">
        <f>IFERROR(__xludf.DUMMYFUNCTION("GOOGLETRANSLATE(A53457,""en"",""pt"")"),"Fácil de usar, salva no disco")</f>
        <v>Fácil de usar, salva no disco</v>
      </c>
      <c r="B53457" s="3">
        <v>1</v>
      </c>
    </row>
    <row r="53458" ht="15.75" customHeight="1" spans="1:2">
      <c r="A53458" s="3" t="str">
        <f>IFERROR(__xludf.DUMMYFUNCTION("GOOGLETRANSLATE(A53458,""en"",""pt"")"),"Disquetes")</f>
        <v>Disquetes</v>
      </c>
      <c r="B53458" s="3">
        <v>1</v>
      </c>
    </row>
    <row r="53459" ht="15.75" customHeight="1" spans="1:2">
      <c r="A53459" s="3" t="str">
        <f>IFERROR(__xludf.DUMMYFUNCTION("GOOGLETRANSLATE(A53459,""en"",""pt"")"),"Apenas uma ótima câmera")</f>
        <v>Apenas uma ótima câmera</v>
      </c>
      <c r="B53459" s="3">
        <v>1</v>
      </c>
    </row>
    <row r="53460" ht="15.75" customHeight="1" spans="1:2">
      <c r="A53460" s="3" t="str">
        <f>IFERROR(__xludf.DUMMYFUNCTION("GOOGLETRANSLATE(A53460,""en"",""pt"")"),"grande qualidade, fácil de usar")</f>
        <v>grande qualidade, fácil de usar</v>
      </c>
      <c r="B53460" s="3">
        <v>1</v>
      </c>
    </row>
    <row r="53461" ht="15.75" customHeight="1" spans="1:2">
      <c r="A53461" s="3" t="str">
        <f>IFERROR(__xludf.DUMMYFUNCTION("GOOGLETRANSLATE(A53461,""en"",""pt"")"),"grande zoom")</f>
        <v>grande zoom</v>
      </c>
      <c r="B53461" s="3">
        <v>1</v>
      </c>
    </row>
    <row r="53462" ht="15.75" customHeight="1" spans="1:2">
      <c r="A53462" s="3" t="str">
        <f>IFERROR(__xludf.DUMMYFUNCTION("GOOGLETRANSLATE(A53462,""en"",""pt"")"),"Fácil de usar, de alta qualidade")</f>
        <v>Fácil de usar, de alta qualidade</v>
      </c>
      <c r="B53462" s="3">
        <v>1</v>
      </c>
    </row>
    <row r="53463" ht="15.75" customHeight="1" spans="1:2">
      <c r="A53463" s="3" t="str">
        <f>IFERROR(__xludf.DUMMYFUNCTION("GOOGLETRANSLATE(A53463,""en"",""pt"")"),"Imagens de grande qualidade rápido digitais.")</f>
        <v>Imagens de grande qualidade rápido digitais.</v>
      </c>
      <c r="B53463" s="3">
        <v>1</v>
      </c>
    </row>
    <row r="53464" ht="15.75" customHeight="1" spans="1:2">
      <c r="A53464" s="3" t="str">
        <f>IFERROR(__xludf.DUMMYFUNCTION("GOOGLETRANSLATE(A53464,""en"",""pt"")"),"Vida útil da bateria, fácil de operar.")</f>
        <v>Vida útil da bateria, fácil de operar.</v>
      </c>
      <c r="B53464" s="3">
        <v>1</v>
      </c>
    </row>
    <row r="53465" ht="15.75" customHeight="1" spans="1:2">
      <c r="A53465" s="3" t="str">
        <f>IFERROR(__xludf.DUMMYFUNCTION("GOOGLETRANSLATE(A53465,""en"",""pt"")"),"simples e barato")</f>
        <v>simples e barato</v>
      </c>
      <c r="B53465" s="3">
        <v>1</v>
      </c>
    </row>
    <row r="53466" ht="15.75" customHeight="1" spans="1:2">
      <c r="A53466" s="3" t="str">
        <f>IFERROR(__xludf.DUMMYFUNCTION("GOOGLETRANSLATE(A53466,""en"",""pt"")"),"Ótimo")</f>
        <v>Ótimo</v>
      </c>
      <c r="B53466" s="3">
        <v>1</v>
      </c>
    </row>
    <row r="53467" ht="15.75" customHeight="1" spans="1:2">
      <c r="A53467" s="3" t="str">
        <f>IFERROR(__xludf.DUMMYFUNCTION("GOOGLETRANSLATE(A53467,""en"",""pt"")"),"Usa 1.44MB disquetes. Fácil de usar. Não há mais desperdício de filme.")</f>
        <v>Usa 1.44MB disquetes. Fácil de usar. Não há mais desperdício de filme.</v>
      </c>
      <c r="B53467" s="3">
        <v>1</v>
      </c>
    </row>
    <row r="53468" ht="15.75" customHeight="1" spans="1:2">
      <c r="A53468" s="3" t="str">
        <f>IFERROR(__xludf.DUMMYFUNCTION("GOOGLETRANSLATE(A53468,""en"",""pt"")"),"simples e fácil de usar, discos baratos para armazenamento de fotos")</f>
        <v>simples e fácil de usar, discos baratos para armazenamento de fotos</v>
      </c>
      <c r="B53468" s="3">
        <v>1</v>
      </c>
    </row>
    <row r="53469" ht="15.75" customHeight="1" spans="1:2">
      <c r="A53469" s="3" t="str">
        <f>IFERROR(__xludf.DUMMYFUNCTION("GOOGLETRANSLATE(A53469,""en"",""pt"")"),"De facil operação")</f>
        <v>De facil operação</v>
      </c>
      <c r="B53469" s="3">
        <v>1</v>
      </c>
    </row>
    <row r="53470" ht="15.75" customHeight="1" spans="1:2">
      <c r="A53470" s="3" t="str">
        <f>IFERROR(__xludf.DUMMYFUNCTION("GOOGLETRANSLATE(A53470,""en"",""pt"")"),"Fácil de usar, salva em disquete")</f>
        <v>Fácil de usar, salva em disquete</v>
      </c>
      <c r="B53470" s="3">
        <v>1</v>
      </c>
    </row>
    <row r="53471" ht="15.75" customHeight="1" spans="1:2">
      <c r="A53471" s="3" t="str">
        <f>IFERROR(__xludf.DUMMYFUNCTION("GOOGLETRANSLATE(A53471,""en"",""pt"")"),"Discos são mais fáceis, em seguida, filme, capacidade de apagar maus pics,")</f>
        <v>Discos são mais fáceis, em seguida, filme, capacidade de apagar maus pics,</v>
      </c>
      <c r="B53471" s="3">
        <v>1</v>
      </c>
    </row>
    <row r="53472" ht="15.75" customHeight="1" spans="1:2">
      <c r="A53472" s="3" t="str">
        <f>IFERROR(__xludf.DUMMYFUNCTION("GOOGLETRANSLATE(A53472,""en"",""pt"")"),"Ótima câmera geral")</f>
        <v>Ótima câmera geral</v>
      </c>
      <c r="B53472" s="3">
        <v>1</v>
      </c>
    </row>
    <row r="53473" ht="15.75" customHeight="1" spans="1:2">
      <c r="A53473" s="3" t="str">
        <f>IFERROR(__xludf.DUMMYFUNCTION("GOOGLETRANSLATE(A53473,""en"",""pt"")"),"Ótimas fotos")</f>
        <v>Ótimas fotos</v>
      </c>
      <c r="B53473" s="3">
        <v>1</v>
      </c>
    </row>
    <row r="53474" ht="15.75" customHeight="1" spans="1:2">
      <c r="A53474" s="3" t="str">
        <f>IFERROR(__xludf.DUMMYFUNCTION("GOOGLETRANSLATE(A53474,""en"",""pt"")"),"Fácil de usar")</f>
        <v>Fácil de usar</v>
      </c>
      <c r="B53474" s="3">
        <v>1</v>
      </c>
    </row>
    <row r="53475" ht="15.75" customHeight="1" spans="1:2">
      <c r="A53475" s="3" t="str">
        <f>IFERROR(__xludf.DUMMYFUNCTION("GOOGLETRANSLATE(A53475,""en"",""pt"")"),"boa Imagem")</f>
        <v>boa Imagem</v>
      </c>
      <c r="B53475" s="3">
        <v>1</v>
      </c>
    </row>
    <row r="53476" ht="15.75" customHeight="1" spans="1:2">
      <c r="A53476" s="3" t="str">
        <f>IFERROR(__xludf.DUMMYFUNCTION("GOOGLETRANSLATE(A53476,""en"",""pt"")"),"Fácil de operar")</f>
        <v>Fácil de operar</v>
      </c>
      <c r="B53476" s="3">
        <v>1</v>
      </c>
    </row>
    <row r="53477" ht="15.75" customHeight="1" spans="1:2">
      <c r="A53477" s="3" t="str">
        <f>IFERROR(__xludf.DUMMYFUNCTION("GOOGLETRANSLATE(A53477,""en"",""pt"")"),"Valor, estilo, conveniência")</f>
        <v>Valor, estilo, conveniência</v>
      </c>
      <c r="B53477" s="3">
        <v>1</v>
      </c>
    </row>
    <row r="53478" ht="15.75" customHeight="1" spans="1:2">
      <c r="A53478" s="3" t="str">
        <f>IFERROR(__xludf.DUMMYFUNCTION("GOOGLETRANSLATE(A53478,""en"",""pt"")"),"disquete")</f>
        <v>disquete</v>
      </c>
      <c r="B53478" s="3">
        <v>1</v>
      </c>
    </row>
    <row r="53479" ht="15.75" customHeight="1" spans="1:2">
      <c r="A53479" s="3" t="str">
        <f>IFERROR(__xludf.DUMMYFUNCTION("GOOGLETRANSLATE(A53479,""en"",""pt"")"),"Grande valor e olhar")</f>
        <v>Grande valor e olhar</v>
      </c>
      <c r="B53479" s="3">
        <v>1</v>
      </c>
    </row>
    <row r="53480" ht="15.75" customHeight="1" spans="1:2">
      <c r="A53480" s="3" t="str">
        <f>IFERROR(__xludf.DUMMYFUNCTION("GOOGLETRANSLATE(A53480,""en"",""pt"")"),"peso leve, fácil de usar")</f>
        <v>peso leve, fácil de usar</v>
      </c>
      <c r="B53480" s="3">
        <v>1</v>
      </c>
    </row>
    <row r="53481" ht="15.75" customHeight="1" spans="1:2">
      <c r="A53481" s="3" t="str">
        <f>IFERROR(__xludf.DUMMYFUNCTION("GOOGLETRANSLATE(A53481,""en"",""pt"")"),"zoom 10x, utiliza 3,5 &amp; amp; quot; disco, fácil de usar")</f>
        <v>zoom 10x, utiliza 3,5 &amp; amp; quot; disco, fácil de usar</v>
      </c>
      <c r="B53481" s="3">
        <v>1</v>
      </c>
    </row>
    <row r="53482" ht="15.75" customHeight="1" spans="1:2">
      <c r="A53482" s="3" t="str">
        <f>IFERROR(__xludf.DUMMYFUNCTION("GOOGLETRANSLATE(A53482,""en"",""pt"")"),"As melhores fotos")</f>
        <v>As melhores fotos</v>
      </c>
      <c r="B53482" s="3">
        <v>1</v>
      </c>
    </row>
    <row r="53483" ht="15.75" customHeight="1" spans="1:2">
      <c r="A53483" s="3" t="str">
        <f>IFERROR(__xludf.DUMMYFUNCTION("GOOGLETRANSLATE(A53483,""en"",""pt"")"),"robusto")</f>
        <v>robusto</v>
      </c>
      <c r="B53483" s="3">
        <v>1</v>
      </c>
    </row>
    <row r="53484" ht="15.75" customHeight="1" spans="1:2">
      <c r="A53484" s="3" t="str">
        <f>IFERROR(__xludf.DUMMYFUNCTION("GOOGLETRANSLATE(A53484,""en"",""pt"")"),"facilidade de uso, de grande qualidade, o armazenamento de disco flexível")</f>
        <v>facilidade de uso, de grande qualidade, o armazenamento de disco flexível</v>
      </c>
      <c r="B53484" s="3">
        <v>1</v>
      </c>
    </row>
    <row r="53485" ht="15.75" customHeight="1" spans="1:2">
      <c r="A53485" s="3" t="str">
        <f>IFERROR(__xludf.DUMMYFUNCTION("GOOGLETRANSLATE(A53485,""en"",""pt"")"),"Fácil de usar, armazenamento disquete, a vida da bateria")</f>
        <v>Fácil de usar, armazenamento disquete, a vida da bateria</v>
      </c>
      <c r="B53485" s="3">
        <v>1</v>
      </c>
    </row>
    <row r="53486" ht="15.75" customHeight="1" spans="1:2">
      <c r="A53486" s="3" t="str">
        <f>IFERROR(__xludf.DUMMYFUNCTION("GOOGLETRANSLATE(A53486,""en"",""pt"")"),"Tela LCD, modos de iluminação, vida útil da bateria, 3,5"" unidade de disquete")</f>
        <v>Tela LCD, modos de iluminação, vida útil da bateria, 3,5" unidade de disquete</v>
      </c>
      <c r="B53486" s="3">
        <v>1</v>
      </c>
    </row>
    <row r="53487" ht="15.75" customHeight="1" spans="1:2">
      <c r="A53487" s="3" t="str">
        <f>IFERROR(__xludf.DUMMYFUNCTION("GOOGLETRANSLATE(A53487,""en"",""pt"")"),"de perto, ponto e capacidades shoot")</f>
        <v>de perto, ponto e capacidades shoot</v>
      </c>
      <c r="B53487" s="3">
        <v>1</v>
      </c>
    </row>
    <row r="53488" ht="15.75" customHeight="1" spans="1:2">
      <c r="A53488" s="3" t="str">
        <f>IFERROR(__xludf.DUMMYFUNCTION("GOOGLETRANSLATE(A53488,""en"",""pt"")"),"Vantagem de uma câmera digital, fácil de usar, armazenamento de disco flexível")</f>
        <v>Vantagem de uma câmera digital, fácil de usar, armazenamento de disco flexível</v>
      </c>
      <c r="B53488" s="3">
        <v>1</v>
      </c>
    </row>
    <row r="53489" ht="15.75" customHeight="1" spans="1:2">
      <c r="A53489" s="3" t="str">
        <f>IFERROR(__xludf.DUMMYFUNCTION("GOOGLETRANSLATE(A53489,""en"",""pt"")"),"Eu gosto de todos SONY Digitals!")</f>
        <v>Eu gosto de todos SONY Digitals!</v>
      </c>
      <c r="B53489" s="3">
        <v>1</v>
      </c>
    </row>
    <row r="53490" ht="15.75" customHeight="1" spans="1:2">
      <c r="A53490" s="3" t="str">
        <f>IFERROR(__xludf.DUMMYFUNCTION("GOOGLETRANSLATE(A53490,""en"",""pt"")"),"Facilidade de operação, sem baixar necessário.")</f>
        <v>Facilidade de operação, sem baixar necessário.</v>
      </c>
      <c r="B53490" s="3">
        <v>1</v>
      </c>
    </row>
    <row r="53491" ht="15.75" customHeight="1" spans="1:2">
      <c r="A53491" s="3" t="str">
        <f>IFERROR(__xludf.DUMMYFUNCTION("GOOGLETRANSLATE(A53491,""en"",""pt"")"),"Disquete de armazenamento, Quick Edição, fácil de usar")</f>
        <v>Disquete de armazenamento, Quick Edição, fácil de usar</v>
      </c>
      <c r="B53491" s="3">
        <v>1</v>
      </c>
    </row>
    <row r="53492" ht="15.75" customHeight="1" spans="1:2">
      <c r="A53492" s="3" t="str">
        <f>IFERROR(__xludf.DUMMYFUNCTION("GOOGLETRANSLATE(A53492,""en"",""pt"")"),"Fácil de usar, de qualidade 4X6 fotos, disquete (Sem USB, há cartões de memória)")</f>
        <v>Fácil de usar, de qualidade 4X6 fotos, disquete (Sem USB, há cartões de memória)</v>
      </c>
      <c r="B53492" s="3">
        <v>1</v>
      </c>
    </row>
    <row r="53493" ht="15.75" customHeight="1" spans="1:2">
      <c r="A53493" s="3" t="str">
        <f>IFERROR(__xludf.DUMMYFUNCTION("GOOGLETRANSLATE(A53493,""en"",""pt"")"),"Uma excelente câmera todo com muitos recursos")</f>
        <v>Uma excelente câmera todo com muitos recursos</v>
      </c>
      <c r="B53493" s="3">
        <v>1</v>
      </c>
    </row>
    <row r="53494" ht="15.75" customHeight="1" spans="1:2">
      <c r="A53494" s="3" t="str">
        <f>IFERROR(__xludf.DUMMYFUNCTION("GOOGLETRANSLATE(A53494,""en"",""pt"")"),"Fácil de usar. Baixe a qualquer PC, sem fios. Nenhum software para instalar.")</f>
        <v>Fácil de usar. Baixe a qualquer PC, sem fios. Nenhum software para instalar.</v>
      </c>
      <c r="B53494" s="3">
        <v>1</v>
      </c>
    </row>
    <row r="53495" ht="15.75" customHeight="1" spans="1:2">
      <c r="A53495" s="3" t="str">
        <f>IFERROR(__xludf.DUMMYFUNCTION("GOOGLETRANSLATE(A53495,""en"",""pt"")"),"Fácil, rápido &amp; amp; amp; rápido virar!")</f>
        <v>Fácil, rápido &amp; amp; amp; rápido virar!</v>
      </c>
      <c r="B53495" s="3">
        <v>1</v>
      </c>
    </row>
    <row r="53496" ht="15.75" customHeight="1" spans="1:2">
      <c r="A53496" s="3" t="str">
        <f>IFERROR(__xludf.DUMMYFUNCTION("GOOGLETRANSLATE(A53496,""en"",""pt"")"),"Fácil de usar, durável e confiável.")</f>
        <v>Fácil de usar, durável e confiável.</v>
      </c>
      <c r="B53496" s="3">
        <v>1</v>
      </c>
    </row>
    <row r="53497" ht="15.75" customHeight="1" spans="1:2">
      <c r="A53497" s="3" t="str">
        <f>IFERROR(__xludf.DUMMYFUNCTION("GOOGLETRANSLATE(A53497,""en"",""pt"")"),"Memória, preço, duração da bateria carga.")</f>
        <v>Memória, preço, duração da bateria carga.</v>
      </c>
      <c r="B53497" s="3">
        <v>1</v>
      </c>
    </row>
    <row r="53498" ht="15.75" customHeight="1" spans="1:2">
      <c r="A53498" s="3" t="str">
        <f>IFERROR(__xludf.DUMMYFUNCTION("GOOGLETRANSLATE(A53498,""en"",""pt"")"),"Toma fotos excelentes e usa um disco em vez de cabos.")</f>
        <v>Toma fotos excelentes e usa um disco em vez de cabos.</v>
      </c>
      <c r="B53498" s="3">
        <v>1</v>
      </c>
    </row>
    <row r="53499" ht="15.75" customHeight="1" spans="1:2">
      <c r="A53499" s="3" t="str">
        <f>IFERROR(__xludf.DUMMYFUNCTION("GOOGLETRANSLATE(A53499,""en"",""pt"")"),"amigo do usuário")</f>
        <v>amigo do usuário</v>
      </c>
      <c r="B53499" s="3">
        <v>1</v>
      </c>
    </row>
    <row r="53500" ht="15.75" customHeight="1" spans="1:2">
      <c r="A53500" s="3" t="str">
        <f>IFERROR(__xludf.DUMMYFUNCTION("GOOGLETRANSLATE(A53500,""en"",""pt"")"),"Preço está descendo.")</f>
        <v>Preço está descendo.</v>
      </c>
      <c r="B53500" s="3">
        <v>1</v>
      </c>
    </row>
    <row r="53501" ht="15.75" customHeight="1" spans="1:2">
      <c r="A53501" s="3" t="str">
        <f>IFERROR(__xludf.DUMMYFUNCTION("GOOGLETRANSLATE(A53501,""en"",""pt"")"),"Grande portátil, fácil de usar")</f>
        <v>Grande portátil, fácil de usar</v>
      </c>
      <c r="B53501" s="3">
        <v>1</v>
      </c>
    </row>
    <row r="53502" ht="15.75" customHeight="1" spans="1:2">
      <c r="A53502" s="3" t="str">
        <f>IFERROR(__xludf.DUMMYFUNCTION("GOOGLETRANSLATE(A53502,""en"",""pt"")"),"fácil de usar")</f>
        <v>fácil de usar</v>
      </c>
      <c r="B53502" s="3">
        <v>1</v>
      </c>
    </row>
    <row r="53503" ht="15.75" customHeight="1" spans="1:2">
      <c r="A53503" s="3" t="str">
        <f>IFERROR(__xludf.DUMMYFUNCTION("GOOGLETRANSLATE(A53503,""en"",""pt"")"),"Fácil de usar")</f>
        <v>Fácil de usar</v>
      </c>
      <c r="B53503" s="3">
        <v>1</v>
      </c>
    </row>
    <row r="53504" ht="15.75" customHeight="1" spans="1:2">
      <c r="A53504" s="3" t="str">
        <f>IFERROR(__xludf.DUMMYFUNCTION("GOOGLETRANSLATE(A53504,""en"",""pt"")"),"fácil de usar e entender")</f>
        <v>fácil de usar e entender</v>
      </c>
      <c r="B53504" s="3">
        <v>1</v>
      </c>
    </row>
    <row r="53505" ht="15.75" customHeight="1" spans="1:2">
      <c r="A53505" s="3" t="str">
        <f>IFERROR(__xludf.DUMMYFUNCTION("GOOGLETRANSLATE(A53505,""en"",""pt"")"),"Leve, fácil de usar, disquetes")</f>
        <v>Leve, fácil de usar, disquetes</v>
      </c>
      <c r="B53505" s="3">
        <v>1</v>
      </c>
    </row>
    <row r="53506" ht="15.75" customHeight="1" spans="1:2">
      <c r="A53506" s="3" t="str">
        <f>IFERROR(__xludf.DUMMYFUNCTION("GOOGLETRANSLATE(A53506,""en"",""pt"")"),"transferência conveniente de imagens para PC; exposições perfeitas")</f>
        <v>transferência conveniente de imagens para PC; exposições perfeitas</v>
      </c>
      <c r="B53506" s="3">
        <v>1</v>
      </c>
    </row>
    <row r="53507" ht="15.75" customHeight="1" spans="1:2">
      <c r="A53507" s="3" t="str">
        <f>IFERROR(__xludf.DUMMYFUNCTION("GOOGLETRANSLATE(A53507,""en"",""pt"")"),"Tira fotos em todos os tipos de iluminação")</f>
        <v>Tira fotos em todos os tipos de iluminação</v>
      </c>
      <c r="B53507" s="3">
        <v>1</v>
      </c>
    </row>
    <row r="53508" ht="15.75" customHeight="1" spans="1:2">
      <c r="A53508" s="3" t="str">
        <f>IFERROR(__xludf.DUMMYFUNCTION("GOOGLETRANSLATE(A53508,""en"",""pt"")"),"Barato, versátil, fácil de operar,")</f>
        <v>Barato, versátil, fácil de operar,</v>
      </c>
      <c r="B53508" s="3">
        <v>1</v>
      </c>
    </row>
    <row r="53509" ht="15.75" customHeight="1" spans="1:2">
      <c r="A53509" s="3" t="str">
        <f>IFERROR(__xludf.DUMMYFUNCTION("GOOGLETRANSLATE(A53509,""en"",""pt"")"),"Fácil, lente zoom, nenhuma conexão de computador,")</f>
        <v>Fácil, lente zoom, nenhuma conexão de computador,</v>
      </c>
      <c r="B53509" s="3">
        <v>1</v>
      </c>
    </row>
    <row r="53510" ht="15.75" customHeight="1" spans="1:2">
      <c r="A53510" s="3" t="str">
        <f>IFERROR(__xludf.DUMMYFUNCTION("GOOGLETRANSLATE(A53510,""en"",""pt"")"),"sistema de disco de armazenamento de imagem de disquete; custo")</f>
        <v>sistema de disco de armazenamento de imagem de disquete; custo</v>
      </c>
      <c r="B53510" s="3">
        <v>1</v>
      </c>
    </row>
    <row r="53511" ht="15.75" customHeight="1" spans="1:2">
      <c r="A53511" s="3" t="str">
        <f>IFERROR(__xludf.DUMMYFUNCTION("GOOGLETRANSLATE(A53511,""en"",""pt"")"),"Facilidade de uso, qualidade das imagens e as economias em impressões")</f>
        <v>Facilidade de uso, qualidade das imagens e as economias em impressões</v>
      </c>
      <c r="B53511" s="3">
        <v>1</v>
      </c>
    </row>
    <row r="53512" ht="15.75" customHeight="1" spans="1:2">
      <c r="A53512" s="3" t="str">
        <f>IFERROR(__xludf.DUMMYFUNCTION("GOOGLETRANSLATE(A53512,""en"",""pt"")"),"muito conveniente, ótimo preço")</f>
        <v>muito conveniente, ótimo preço</v>
      </c>
      <c r="B53512" s="3">
        <v>1</v>
      </c>
    </row>
    <row r="53513" ht="15.75" customHeight="1" spans="1:2">
      <c r="A53513" s="3" t="str">
        <f>IFERROR(__xludf.DUMMYFUNCTION("GOOGLETRANSLATE(A53513,""en"",""pt"")"),"uso fácil, flash, 3 1/2 &amp; amp; quot; &amp; amp; quot; disquete, bateria recarregável, zoom, tela de visualização")</f>
        <v>uso fácil, flash, 3 1/2 &amp; amp; quot; &amp; amp; quot; disquete, bateria recarregável, zoom, tela de visualização</v>
      </c>
      <c r="B53513" s="3">
        <v>1</v>
      </c>
    </row>
    <row r="53514" ht="15.75" customHeight="1" spans="1:2">
      <c r="A53514" s="3" t="str">
        <f>IFERROR(__xludf.DUMMYFUNCTION("GOOGLETRANSLATE(A53514,""en"",""pt"")"),"versatilidade, qualidade das imagens")</f>
        <v>versatilidade, qualidade das imagens</v>
      </c>
      <c r="B53514" s="3">
        <v>1</v>
      </c>
    </row>
    <row r="53515" ht="15.75" customHeight="1" spans="1:2">
      <c r="A53515" s="3" t="str">
        <f>IFERROR(__xludf.DUMMYFUNCTION("GOOGLETRANSLATE(A53515,""en"",""pt"")"),"Baixo custo, excelente qualidade de imagem, embalagem resistente, grande zoom")</f>
        <v>Baixo custo, excelente qualidade de imagem, embalagem resistente, grande zoom</v>
      </c>
      <c r="B53515" s="3">
        <v>1</v>
      </c>
    </row>
    <row r="53516" ht="15.75" customHeight="1" spans="1:2">
      <c r="A53516" s="3" t="str">
        <f>IFERROR(__xludf.DUMMYFUNCTION("GOOGLETRANSLATE(A53516,""en"",""pt"")"),"Fácil, gratificação instantânea, Niza Pictures")</f>
        <v>Fácil, gratificação instantânea, Niza Pictures</v>
      </c>
      <c r="B53516" s="3">
        <v>1</v>
      </c>
    </row>
    <row r="53517" ht="15.75" customHeight="1" spans="1:2">
      <c r="A53517" s="3" t="str">
        <f>IFERROR(__xludf.DUMMYFUNCTION("GOOGLETRANSLATE(A53517,""en"",""pt"")"),"Floppy Armazenamento, SIMPLES")</f>
        <v>Floppy Armazenamento, SIMPLES</v>
      </c>
      <c r="B53517" s="3">
        <v>1</v>
      </c>
    </row>
    <row r="53518" ht="15.75" customHeight="1" spans="1:2">
      <c r="A53518" s="3" t="str">
        <f>IFERROR(__xludf.DUMMYFUNCTION("GOOGLETRANSLATE(A53518,""en"",""pt"")"),"preço razoável, conveniência, qualidade de imagem feira")</f>
        <v>preço razoável, conveniência, qualidade de imagem feira</v>
      </c>
      <c r="B53518" s="3">
        <v>1</v>
      </c>
    </row>
    <row r="53519" ht="15.75" customHeight="1" spans="1:2">
      <c r="A53519" s="3" t="str">
        <f>IFERROR(__xludf.DUMMYFUNCTION("GOOGLETRANSLATE(A53519,""en"",""pt"")"),"razoavelmente econômico para os recursos, fácil de usar, bons resultados")</f>
        <v>razoavelmente econômico para os recursos, fácil de usar, bons resultados</v>
      </c>
      <c r="B53519" s="3">
        <v>1</v>
      </c>
    </row>
    <row r="53520" ht="15.75" customHeight="1" spans="1:2">
      <c r="A53520" s="3" t="str">
        <f>IFERROR(__xludf.DUMMYFUNCTION("GOOGLETRANSLATE(A53520,""en"",""pt"")"),"fácil")</f>
        <v>fácil</v>
      </c>
      <c r="B53520" s="3">
        <v>1</v>
      </c>
    </row>
    <row r="53521" ht="15.75" customHeight="1" spans="1:2">
      <c r="A53521" s="3" t="str">
        <f>IFERROR(__xludf.DUMMYFUNCTION("GOOGLETRANSLATE(A53521,""en"",""pt"")"),"fácil, fácil, fácil. Copiar discos para os amigos, voila !!")</f>
        <v>fácil, fácil, fácil. Copiar discos para os amigos, voila !!</v>
      </c>
      <c r="B53521" s="3">
        <v>1</v>
      </c>
    </row>
    <row r="53522" ht="15.75" customHeight="1" spans="1:2">
      <c r="A53522" s="3" t="str">
        <f>IFERROR(__xludf.DUMMYFUNCTION("GOOGLETRANSLATE(A53522,""en"",""pt"")"),"Facilidade e rapidez de manuseio. Boas fotos. boa zoom")</f>
        <v>Facilidade e rapidez de manuseio. Boas fotos. boa zoom</v>
      </c>
      <c r="B53522" s="3">
        <v>1</v>
      </c>
    </row>
    <row r="53523" ht="15.75" customHeight="1" spans="1:2">
      <c r="A53523" s="3" t="str">
        <f>IFERROR(__xludf.DUMMYFUNCTION("GOOGLETRANSLATE(A53523,""en"",""pt"")"),"As imagens são armazenadas em discos - fácil de usar.")</f>
        <v>As imagens são armazenadas em discos - fácil de usar.</v>
      </c>
      <c r="B53523" s="3">
        <v>1</v>
      </c>
    </row>
    <row r="53524" ht="15.75" customHeight="1" spans="1:2">
      <c r="A53524" s="3" t="str">
        <f>IFERROR(__xludf.DUMMYFUNCTION("GOOGLETRANSLATE(A53524,""en"",""pt"")"),"Impressionante qualidade, sem cabos, recurso disquete é ótimo!")</f>
        <v>Impressionante qualidade, sem cabos, recurso disquete é ótimo!</v>
      </c>
      <c r="B53524" s="3">
        <v>1</v>
      </c>
    </row>
    <row r="53525" ht="15.75" customHeight="1" spans="1:2">
      <c r="A53525" s="3" t="str">
        <f>IFERROR(__xludf.DUMMYFUNCTION("GOOGLETRANSLATE(A53525,""en"",""pt"")"),"Facilidade de uso, grande projeto.")</f>
        <v>Facilidade de uso, grande projeto.</v>
      </c>
      <c r="B53525" s="3">
        <v>1</v>
      </c>
    </row>
    <row r="53526" ht="15.75" customHeight="1" spans="1:2">
      <c r="A53526" s="3" t="str">
        <f>IFERROR(__xludf.DUMMYFUNCTION("GOOGLETRANSLATE(A53526,""en"",""pt"")"),"zoom, nível de flash ajustável, facilidade de uso")</f>
        <v>zoom, nível de flash ajustável, facilidade de uso</v>
      </c>
      <c r="B53526" s="3">
        <v>1</v>
      </c>
    </row>
    <row r="53527" ht="15.75" customHeight="1" spans="1:2">
      <c r="A53527" s="3" t="str">
        <f>IFERROR(__xludf.DUMMYFUNCTION("GOOGLETRANSLATE(A53527,""en"",""pt"")"),"armazenamento disquete, 3,5 disco padrão; zoom de 10x; bateria recarregável")</f>
        <v>armazenamento disquete, 3,5 disco padrão; zoom de 10x; bateria recarregável</v>
      </c>
      <c r="B53527" s="3">
        <v>1</v>
      </c>
    </row>
    <row r="53528" ht="15.75" customHeight="1" spans="1:2">
      <c r="A53528" s="3" t="str">
        <f>IFERROR(__xludf.DUMMYFUNCTION("GOOGLETRANSLATE(A53528,""en"",""pt"")"),"suporte de memória de disco flexível")</f>
        <v>suporte de memória de disco flexível</v>
      </c>
      <c r="B53528" s="3">
        <v>1</v>
      </c>
    </row>
    <row r="53529" ht="15.75" customHeight="1" spans="1:2">
      <c r="A53529" s="3" t="str">
        <f>IFERROR(__xludf.DUMMYFUNCTION("GOOGLETRANSLATE(A53529,""en"",""pt"")"),"Conveniente, excelente para a Photoholic!")</f>
        <v>Conveniente, excelente para a Photoholic!</v>
      </c>
      <c r="B53529" s="3">
        <v>1</v>
      </c>
    </row>
    <row r="53530" ht="15.75" customHeight="1" spans="1:2">
      <c r="A53530" s="3" t="str">
        <f>IFERROR(__xludf.DUMMYFUNCTION("GOOGLETRANSLATE(A53530,""en"",""pt"")"),"Fácil de usar!")</f>
        <v>Fácil de usar!</v>
      </c>
      <c r="B53530" s="3">
        <v>1</v>
      </c>
    </row>
    <row r="53531" ht="15.75" customHeight="1" spans="1:2">
      <c r="A53531" s="3" t="str">
        <f>IFERROR(__xludf.DUMMYFUNCTION("GOOGLETRANSLATE(A53531,""en"",""pt"")"),"simples, começa o trabalho feito, formato de disco útil")</f>
        <v>simples, começa o trabalho feito, formato de disco útil</v>
      </c>
      <c r="B53531" s="3">
        <v>1</v>
      </c>
    </row>
    <row r="53532" ht="15.75" customHeight="1" spans="1:2">
      <c r="A53532" s="3" t="str">
        <f>IFERROR(__xludf.DUMMYFUNCTION("GOOGLETRANSLATE(A53532,""en"",""pt"")"),"Usos disquete disquetes para armazenar fotos, relativamente fácil de aprender como usar")</f>
        <v>Usos disquete disquetes para armazenar fotos, relativamente fácil de aprender como usar</v>
      </c>
      <c r="B53532" s="3">
        <v>1</v>
      </c>
    </row>
    <row r="53533" ht="15.75" customHeight="1" spans="1:2">
      <c r="A53533" s="3" t="str">
        <f>IFERROR(__xludf.DUMMYFUNCTION("GOOGLETRANSLATE(A53533,""en"",""pt"")"),"Tem grandes figuras &amp; amp; amp; fácil de usar.")</f>
        <v>Tem grandes figuras &amp; amp; amp; fácil de usar.</v>
      </c>
      <c r="B53533" s="3">
        <v>1</v>
      </c>
    </row>
    <row r="53534" ht="15.75" customHeight="1" spans="1:2">
      <c r="A53534" s="3" t="str">
        <f>IFERROR(__xludf.DUMMYFUNCTION("GOOGLETRANSLATE(A53534,""en"",""pt"")"),"ótimo para close-up")</f>
        <v>ótimo para close-up</v>
      </c>
      <c r="B53534" s="3">
        <v>1</v>
      </c>
    </row>
    <row r="53535" ht="15.75" customHeight="1" spans="1:2">
      <c r="A53535" s="3" t="str">
        <f>IFERROR(__xludf.DUMMYFUNCTION("GOOGLETRANSLATE(A53535,""en"",""pt"")"),"boas, imagens fáceis. película é um disco de 3,5. muito, muito fácil de usar &amp; amp; # 9;")</f>
        <v>boas, imagens fáceis. película é um disco de 3,5. muito, muito fácil de usar &amp; amp; # 9;</v>
      </c>
      <c r="B53535" s="3">
        <v>1</v>
      </c>
    </row>
    <row r="53536" ht="15.75" customHeight="1" spans="1:2">
      <c r="A53536" s="3" t="str">
        <f>IFERROR(__xludf.DUMMYFUNCTION("GOOGLETRANSLATE(A53536,""en"",""pt"")"),"simples de usar. não caro cartão de memória ou cartão de memória flash, usa 3.5"" floppy")</f>
        <v>simples de usar. não caro cartão de memória ou cartão de memória flash, usa 3.5" floppy</v>
      </c>
      <c r="B53536" s="3">
        <v>1</v>
      </c>
    </row>
    <row r="53537" ht="15.75" customHeight="1" spans="1:2">
      <c r="A53537" s="3" t="str">
        <f>IFERROR(__xludf.DUMMYFUNCTION("GOOGLETRANSLATE(A53537,""en"",""pt"")"),"Permite o uso de disquetes")</f>
        <v>Permite o uso de disquetes</v>
      </c>
      <c r="B53537" s="3">
        <v>1</v>
      </c>
    </row>
    <row r="53538" ht="15.75" customHeight="1" spans="1:2">
      <c r="A53538" s="3" t="str">
        <f>IFERROR(__xludf.DUMMYFUNCTION("GOOGLETRANSLATE(A53538,""en"",""pt"")"),"Esta câmera é grande para o novo computador e usuários de câmeras digitais.")</f>
        <v>Esta câmera é grande para o novo computador e usuários de câmeras digitais.</v>
      </c>
      <c r="B53538" s="3">
        <v>1</v>
      </c>
    </row>
    <row r="53539" ht="15.75" customHeight="1" spans="1:2">
      <c r="A53539" s="3" t="str">
        <f>IFERROR(__xludf.DUMMYFUNCTION("GOOGLETRANSLATE(A53539,""en"",""pt"")"),"Fácil de fazer download de imagens em qualquer computador.")</f>
        <v>Fácil de fazer download de imagens em qualquer computador.</v>
      </c>
      <c r="B53539" s="3">
        <v>1</v>
      </c>
    </row>
    <row r="53540" ht="15.75" customHeight="1" spans="1:2">
      <c r="A53540" s="3" t="str">
        <f>IFERROR(__xludf.DUMMYFUNCTION("GOOGLETRANSLATE(A53540,""en"",""pt"")"),"usa o disquete de 3,5 polegadas como dispositivo de armazenamento, preço acessível, design robusto, medidor de bateria na tela")</f>
        <v>usa o disquete de 3,5 polegadas como dispositivo de armazenamento, preço acessível, design robusto, medidor de bateria na tela</v>
      </c>
      <c r="B53540" s="3">
        <v>1</v>
      </c>
    </row>
    <row r="53541" ht="15.75" customHeight="1" spans="1:2">
      <c r="A53541" s="3" t="str">
        <f>IFERROR(__xludf.DUMMYFUNCTION("GOOGLETRANSLATE(A53541,""en"",""pt"")"),"Facilidade de uso. Disquetes pop, fora e no computador!")</f>
        <v>Facilidade de uso. Disquetes pop, fora e no computador!</v>
      </c>
      <c r="B53541" s="3">
        <v>1</v>
      </c>
    </row>
    <row r="53542" ht="15.75" customHeight="1" spans="1:2">
      <c r="A53542" s="3" t="str">
        <f>IFERROR(__xludf.DUMMYFUNCTION("GOOGLETRANSLATE(A53542,""en"",""pt"")"),"Fácil de usar")</f>
        <v>Fácil de usar</v>
      </c>
      <c r="B53542" s="3">
        <v>1</v>
      </c>
    </row>
    <row r="53543" ht="15.75" customHeight="1" spans="1:2">
      <c r="A53543" s="3" t="str">
        <f>IFERROR(__xludf.DUMMYFUNCTION("GOOGLETRANSLATE(A53543,""en"",""pt"")"),"Facilidade de uso, disquete impulsionado")</f>
        <v>Facilidade de uso, disquete impulsionado</v>
      </c>
      <c r="B53543" s="3">
        <v>1</v>
      </c>
    </row>
    <row r="53544" ht="15.75" customHeight="1" spans="1:2">
      <c r="A53544" s="3" t="str">
        <f>IFERROR(__xludf.DUMMYFUNCTION("GOOGLETRANSLATE(A53544,""en"",""pt"")"),"facilidade de uso, armazena imagens em disquetes")</f>
        <v>facilidade de uso, armazena imagens em disquetes</v>
      </c>
      <c r="B53544" s="3">
        <v>1</v>
      </c>
    </row>
    <row r="53545" ht="15.75" customHeight="1" spans="1:2">
      <c r="A53545" s="3" t="str">
        <f>IFERROR(__xludf.DUMMYFUNCTION("GOOGLETRANSLATE(A53545,""en"",""pt"")"),"sistema de disquete, zoom")</f>
        <v>sistema de disquete, zoom</v>
      </c>
      <c r="B53545" s="3">
        <v>1</v>
      </c>
    </row>
    <row r="53546" ht="15.75" customHeight="1" spans="1:2">
      <c r="A53546" s="3" t="str">
        <f>IFERROR(__xludf.DUMMYFUNCTION("GOOGLETRANSLATE(A53546,""en"",""pt"")"),"Fácil de usar, o preço vem para baixo, tem um monte de fotos, efeitos especiais")</f>
        <v>Fácil de usar, o preço vem para baixo, tem um monte de fotos, efeitos especiais</v>
      </c>
      <c r="B53546" s="3">
        <v>1</v>
      </c>
    </row>
    <row r="53547" ht="15.75" customHeight="1" spans="1:2">
      <c r="A53547" s="3" t="str">
        <f>IFERROR(__xludf.DUMMYFUNCTION("GOOGLETRANSLATE(A53547,""en"",""pt"")"),"Preço e acessórios")</f>
        <v>Preço e acessórios</v>
      </c>
      <c r="B53547" s="3">
        <v>1</v>
      </c>
    </row>
    <row r="53548" ht="15.75" customHeight="1" spans="1:2">
      <c r="A53548" s="3" t="str">
        <f>IFERROR(__xludf.DUMMYFUNCTION("GOOGLETRANSLATE(A53548,""en"",""pt"")"),"Fácil de usar, ótimo tiros ao ar livre, bastante barato")</f>
        <v>Fácil de usar, ótimo tiros ao ar livre, bastante barato</v>
      </c>
      <c r="B53548" s="3">
        <v>1</v>
      </c>
    </row>
    <row r="53549" ht="15.75" customHeight="1" spans="1:2">
      <c r="A53549" s="3" t="str">
        <f>IFERROR(__xludf.DUMMYFUNCTION("GOOGLETRANSLATE(A53549,""en"",""pt"")"),"TUDO")</f>
        <v>TUDO</v>
      </c>
      <c r="B53549" s="3">
        <v>1</v>
      </c>
    </row>
    <row r="53550" ht="15.75" customHeight="1" spans="1:2">
      <c r="A53550" s="3" t="str">
        <f>IFERROR(__xludf.DUMMYFUNCTION("GOOGLETRANSLATE(A53550,""en"",""pt"")"),"Facilidade de uso, o armazenamento flexível")</f>
        <v>Facilidade de uso, o armazenamento flexível</v>
      </c>
      <c r="B53550" s="3">
        <v>1</v>
      </c>
    </row>
    <row r="53551" ht="15.75" customHeight="1" spans="1:2">
      <c r="A53551" s="3" t="str">
        <f>IFERROR(__xludf.DUMMYFUNCTION("GOOGLETRANSLATE(A53551,""en"",""pt"")"),"Grande Pictures, grande poupança de tempo")</f>
        <v>Grande Pictures, grande poupança de tempo</v>
      </c>
      <c r="B53551" s="3">
        <v>1</v>
      </c>
    </row>
    <row r="53552" ht="15.75" customHeight="1" spans="1:2">
      <c r="A53552" s="3" t="str">
        <f>IFERROR(__xludf.DUMMYFUNCTION("GOOGLETRANSLATE(A53552,""en"",""pt"")"),"Fácil de usar, tem grandes figuras.")</f>
        <v>Fácil de usar, tem grandes figuras.</v>
      </c>
      <c r="B53552" s="3">
        <v>1</v>
      </c>
    </row>
    <row r="53553" ht="15.75" customHeight="1" spans="1:2">
      <c r="A53553" s="3" t="str">
        <f>IFERROR(__xludf.DUMMYFUNCTION("GOOGLETRANSLATE(A53553,""en"",""pt"")"),"10X Zoom, unidade de disquete, preço razoável")</f>
        <v>10X Zoom, unidade de disquete, preço razoável</v>
      </c>
      <c r="B53553" s="3">
        <v>1</v>
      </c>
    </row>
    <row r="53554" ht="15.75" customHeight="1" spans="1:2">
      <c r="A53554" s="3" t="str">
        <f>IFERROR(__xludf.DUMMYFUNCTION("GOOGLETRANSLATE(A53554,""en"",""pt"")"),"Fácil de usar")</f>
        <v>Fácil de usar</v>
      </c>
      <c r="B53554" s="3">
        <v>1</v>
      </c>
    </row>
    <row r="53555" ht="15.75" customHeight="1" spans="1:2">
      <c r="A53555" s="3" t="str">
        <f>IFERROR(__xludf.DUMMYFUNCTION("GOOGLETRANSLATE(A53555,""en"",""pt"")"),"fácil de usar")</f>
        <v>fácil de usar</v>
      </c>
      <c r="B53555" s="3">
        <v>1</v>
      </c>
    </row>
    <row r="53556" ht="15.75" customHeight="1" spans="1:2">
      <c r="A53556" s="3" t="str">
        <f>IFERROR(__xludf.DUMMYFUNCTION("GOOGLETRANSLATE(A53556,""en"",""pt"")"),"close-ups maravilhosos")</f>
        <v>close-ups maravilhosos</v>
      </c>
      <c r="B53556" s="3">
        <v>1</v>
      </c>
    </row>
    <row r="53557" ht="15.75" customHeight="1" spans="1:2">
      <c r="A53557" s="3" t="str">
        <f>IFERROR(__xludf.DUMMYFUNCTION("GOOGLETRANSLATE(A53557,""en"",""pt"")"),"media baratos gravação - 3,5 &amp; amp; quot; disquetes")</f>
        <v>media baratos gravação - 3,5 &amp; amp; quot; disquetes</v>
      </c>
      <c r="B53557" s="3">
        <v>1</v>
      </c>
    </row>
    <row r="53558" ht="15.75" customHeight="1" spans="1:2">
      <c r="A53558" s="3" t="str">
        <f>IFERROR(__xludf.DUMMYFUNCTION("GOOGLETRANSLATE(A53558,""en"",""pt"")"),"Usa um disco, nenhum cabo de impressora necessária")</f>
        <v>Usa um disco, nenhum cabo de impressora necessária</v>
      </c>
      <c r="B53558" s="3">
        <v>1</v>
      </c>
    </row>
    <row r="53559" ht="15.75" customHeight="1" spans="1:2">
      <c r="A53559" s="3" t="str">
        <f>IFERROR(__xludf.DUMMYFUNCTION("GOOGLETRANSLATE(A53559,""en"",""pt"")"),"fácil, impressões agradáveis, reimpressões, e-mail")</f>
        <v>fácil, impressões agradáveis, reimpressões, e-mail</v>
      </c>
      <c r="B53559" s="3">
        <v>1</v>
      </c>
    </row>
    <row r="53560" ht="15.75" customHeight="1" spans="1:2">
      <c r="A53560" s="3" t="str">
        <f>IFERROR(__xludf.DUMMYFUNCTION("GOOGLETRANSLATE(A53560,""en"",""pt"")"),"uso de disquete sobre cartões de memória")</f>
        <v>uso de disquete sobre cartões de memória</v>
      </c>
      <c r="B53560" s="3">
        <v>1</v>
      </c>
    </row>
    <row r="53561" ht="15.75" customHeight="1" spans="1:2">
      <c r="A53561" s="3" t="str">
        <f>IFERROR(__xludf.DUMMYFUNCTION("GOOGLETRANSLATE(A53561,""en"",""pt"")"),"3,5 FD Armazenamento, zoom 10x, 2 horas de duração da bateria")</f>
        <v>3,5 FD Armazenamento, zoom 10x, 2 horas de duração da bateria</v>
      </c>
      <c r="B53561" s="3">
        <v>1</v>
      </c>
    </row>
    <row r="53562" ht="15.75" customHeight="1" spans="1:2">
      <c r="A53562" s="3" t="str">
        <f>IFERROR(__xludf.DUMMYFUNCTION("GOOGLETRANSLATE(A53562,""en"",""pt"")"),"armazenamento flexível, boa lente")</f>
        <v>armazenamento flexível, boa lente</v>
      </c>
      <c r="B53562" s="3">
        <v>1</v>
      </c>
    </row>
    <row r="53563" ht="15.75" customHeight="1" spans="1:2">
      <c r="A53563" s="3" t="str">
        <f>IFERROR(__xludf.DUMMYFUNCTION("GOOGLETRANSLATE(A53563,""en"",""pt"")"),"Facilidade de uso, características especiais")</f>
        <v>Facilidade de uso, características especiais</v>
      </c>
      <c r="B53563" s="3">
        <v>1</v>
      </c>
    </row>
    <row r="53564" ht="15.75" customHeight="1" spans="1:2">
      <c r="A53564" s="3" t="str">
        <f>IFERROR(__xludf.DUMMYFUNCTION("GOOGLETRANSLATE(A53564,""en"",""pt"")"),"leva disquete e é fácil de usar.")</f>
        <v>leva disquete e é fácil de usar.</v>
      </c>
      <c r="B53564" s="3">
        <v>1</v>
      </c>
    </row>
    <row r="53565" ht="15.75" customHeight="1" spans="1:2">
      <c r="A53565" s="3" t="str">
        <f>IFERROR(__xludf.DUMMYFUNCTION("GOOGLETRANSLATE(A53565,""en"",""pt"")"),"Amigo do usuário")</f>
        <v>Amigo do usuário</v>
      </c>
      <c r="B53565" s="3">
        <v>1</v>
      </c>
    </row>
    <row r="53566" ht="15.75" customHeight="1" spans="1:2">
      <c r="A53566" s="3" t="str">
        <f>IFERROR(__xludf.DUMMYFUNCTION("GOOGLETRANSLATE(A53566,""en"",""pt"")"),"Facilidade de uso, Qualidade")</f>
        <v>Facilidade de uso, Qualidade</v>
      </c>
      <c r="B53566" s="3">
        <v>1</v>
      </c>
    </row>
    <row r="53567" ht="15.75" customHeight="1" spans="1:2">
      <c r="A53567" s="3" t="str">
        <f>IFERROR(__xludf.DUMMYFUNCTION("GOOGLETRANSLATE(A53567,""en"",""pt"")"),"Fácil de usar")</f>
        <v>Fácil de usar</v>
      </c>
      <c r="B53567" s="3">
        <v>1</v>
      </c>
    </row>
    <row r="53568" ht="15.75" customHeight="1" spans="1:2">
      <c r="A53568" s="3" t="str">
        <f>IFERROR(__xludf.DUMMYFUNCTION("GOOGLETRANSLATE(A53568,""en"",""pt"")"),"esta é uma câmera muito amigável.")</f>
        <v>esta é uma câmera muito amigável.</v>
      </c>
      <c r="B53568" s="3">
        <v>1</v>
      </c>
    </row>
    <row r="53569" ht="15.75" customHeight="1" spans="1:2">
      <c r="A53569" s="3" t="str">
        <f>IFERROR(__xludf.DUMMYFUNCTION("GOOGLETRANSLATE(A53569,""en"",""pt"")"),"peso, os discos de conveniência usando, reprodução instantânea")</f>
        <v>peso, os discos de conveniência usando, reprodução instantânea</v>
      </c>
      <c r="B53569" s="3">
        <v>1</v>
      </c>
    </row>
    <row r="53570" ht="15.75" customHeight="1" spans="1:2">
      <c r="A53570" s="3" t="str">
        <f>IFERROR(__xludf.DUMMYFUNCTION("GOOGLETRANSLATE(A53570,""en"",""pt"")"),"facilidade de usar um disquete, preço, qualidade do produto acabado")</f>
        <v>facilidade de usar um disquete, preço, qualidade do produto acabado</v>
      </c>
      <c r="B53570" s="3">
        <v>1</v>
      </c>
    </row>
    <row r="53571" ht="15.75" customHeight="1" spans="1:2">
      <c r="A53571" s="3" t="str">
        <f>IFERROR(__xludf.DUMMYFUNCTION("GOOGLETRANSLATE(A53571,""en"",""pt"")"),"Fácil de usar, leve, construído em flash")</f>
        <v>Fácil de usar, leve, construído em flash</v>
      </c>
      <c r="B53571" s="3">
        <v>1</v>
      </c>
    </row>
    <row r="53572" ht="15.75" customHeight="1" spans="1:2">
      <c r="A53572" s="3" t="str">
        <f>IFERROR(__xludf.DUMMYFUNCTION("GOOGLETRANSLATE(A53572,""en"",""pt"")"),"obter as impressões que você quer")</f>
        <v>obter as impressões que você quer</v>
      </c>
      <c r="B53572" s="3">
        <v>1</v>
      </c>
    </row>
    <row r="53573" ht="15.75" customHeight="1" spans="1:2">
      <c r="A53573" s="3" t="str">
        <f>IFERROR(__xludf.DUMMYFUNCTION("GOOGLETRANSLATE(A53573,""en"",""pt"")"),"conveniência")</f>
        <v>conveniência</v>
      </c>
      <c r="B53573" s="3">
        <v>1</v>
      </c>
    </row>
    <row r="53574" ht="15.75" customHeight="1" spans="1:2">
      <c r="A53574" s="3" t="str">
        <f>IFERROR(__xludf.DUMMYFUNCTION("GOOGLETRANSLATE(A53574,""en"",""pt"")"),"zoom óptico de 10X, memória barato.")</f>
        <v>zoom óptico de 10X, memória barato.</v>
      </c>
      <c r="B53574" s="3">
        <v>1</v>
      </c>
    </row>
    <row r="53575" ht="15.75" customHeight="1" spans="1:2">
      <c r="A53575" s="3" t="str">
        <f>IFERROR(__xludf.DUMMYFUNCTION("GOOGLETRANSLATE(A53575,""en"",""pt"")"),"fabuloso!")</f>
        <v>fabuloso!</v>
      </c>
      <c r="B53575" s="3">
        <v>1</v>
      </c>
    </row>
    <row r="53576" ht="15.75" customHeight="1" spans="1:2">
      <c r="A53576" s="3" t="str">
        <f>IFERROR(__xludf.DUMMYFUNCTION("GOOGLETRANSLATE(A53576,""en"",""pt"")"),"facilidade de uso, ótimas fotos, muitos recursos, a lista continua")</f>
        <v>facilidade de uso, ótimas fotos, muitos recursos, a lista continua</v>
      </c>
      <c r="B53576" s="3">
        <v>1</v>
      </c>
    </row>
    <row r="53577" ht="15.75" customHeight="1" spans="1:2">
      <c r="A53577" s="3" t="str">
        <f>IFERROR(__xludf.DUMMYFUNCTION("GOOGLETRANSLATE(A53577,""en"",""pt"")"),"rápido, fácil e divertido")</f>
        <v>rápido, fácil e divertido</v>
      </c>
      <c r="B53577" s="3">
        <v>1</v>
      </c>
    </row>
    <row r="53578" ht="15.75" customHeight="1" spans="1:2">
      <c r="A53578" s="3" t="str">
        <f>IFERROR(__xludf.DUMMYFUNCTION("GOOGLETRANSLATE(A53578,""en"",""pt"")"),"conveniente")</f>
        <v>conveniente</v>
      </c>
      <c r="B53578" s="3">
        <v>1</v>
      </c>
    </row>
    <row r="53579" ht="15.75" customHeight="1" spans="1:2">
      <c r="A53579" s="3" t="str">
        <f>IFERROR(__xludf.DUMMYFUNCTION("GOOGLETRANSLATE(A53579,""en"",""pt"")"),"zoom")</f>
        <v>zoom</v>
      </c>
      <c r="B53579" s="3">
        <v>1</v>
      </c>
    </row>
    <row r="53580" ht="15.75" customHeight="1" spans="1:2">
      <c r="A53580" s="3" t="str">
        <f>IFERROR(__xludf.DUMMYFUNCTION("GOOGLETRANSLATE(A53580,""en"",""pt"")"),"Facilidade de aprendizado operação, vantagem de disquete para armazenar fotos")</f>
        <v>Facilidade de aprendizado operação, vantagem de disquete para armazenar fotos</v>
      </c>
      <c r="B53580" s="3">
        <v>1</v>
      </c>
    </row>
    <row r="53581" ht="15.75" customHeight="1" spans="1:2">
      <c r="A53581" s="3" t="str">
        <f>IFERROR(__xludf.DUMMYFUNCTION("GOOGLETRANSLATE(A53581,""en"",""pt"")"),"grande zoom")</f>
        <v>grande zoom</v>
      </c>
      <c r="B53581" s="3">
        <v>1</v>
      </c>
    </row>
    <row r="53582" ht="15.75" customHeight="1" spans="1:2">
      <c r="A53582" s="3" t="str">
        <f>IFERROR(__xludf.DUMMYFUNCTION("GOOGLETRANSLATE(A53582,""en"",""pt"")"),"Tirar fotos excelentes com facilidade")</f>
        <v>Tirar fotos excelentes com facilidade</v>
      </c>
      <c r="B53582" s="3">
        <v>1</v>
      </c>
    </row>
    <row r="53583" ht="15.75" customHeight="1" spans="1:2">
      <c r="A53583" s="3" t="str">
        <f>IFERROR(__xludf.DUMMYFUNCTION("GOOGLETRANSLATE(A53583,""en"",""pt"")"),"Sem ter que baixar imagens para seu disco rígido.")</f>
        <v>Sem ter que baixar imagens para seu disco rígido.</v>
      </c>
      <c r="B53583" s="3">
        <v>1</v>
      </c>
    </row>
    <row r="53584" ht="15.75" customHeight="1" spans="1:2">
      <c r="A53584" s="3" t="str">
        <f>IFERROR(__xludf.DUMMYFUNCTION("GOOGLETRANSLATE(A53584,""en"",""pt"")"),"Zoom, disquetes e facilidade de uso")</f>
        <v>Zoom, disquetes e facilidade de uso</v>
      </c>
      <c r="B53584" s="3">
        <v>1</v>
      </c>
    </row>
    <row r="53585" ht="15.75" customHeight="1" spans="1:2">
      <c r="A53585" s="3" t="str">
        <f>IFERROR(__xludf.DUMMYFUNCTION("GOOGLETRANSLATE(A53585,""en"",""pt"")"),"Simplicidade para operar")</f>
        <v>Simplicidade para operar</v>
      </c>
      <c r="B53585" s="3">
        <v>1</v>
      </c>
    </row>
    <row r="53586" ht="15.75" customHeight="1" spans="1:2">
      <c r="A53586" s="3" t="str">
        <f>IFERROR(__xludf.DUMMYFUNCTION("GOOGLETRANSLATE(A53586,""en"",""pt"")"),"Lojas em jpg para disquetes de 3 1/2 polegadas")</f>
        <v>Lojas em jpg para disquetes de 3 1/2 polegadas</v>
      </c>
      <c r="B53586" s="3">
        <v>1</v>
      </c>
    </row>
    <row r="53587" ht="15.75" customHeight="1" spans="1:2">
      <c r="A53587" s="3" t="str">
        <f>IFERROR(__xludf.DUMMYFUNCTION("GOOGLETRANSLATE(A53587,""en"",""pt"")"),"É fácil de usar, tem muitas opções, menos de US $ 500, leva agradáveis ​​fotos de qualidade.")</f>
        <v>É fácil de usar, tem muitas opções, menos de US $ 500, leva agradáveis ​​fotos de qualidade.</v>
      </c>
      <c r="B53587" s="3">
        <v>1</v>
      </c>
    </row>
    <row r="53588" ht="15.75" customHeight="1" spans="1:2">
      <c r="A53588" s="3" t="str">
        <f>IFERROR(__xludf.DUMMYFUNCTION("GOOGLETRANSLATE(A53588,""en"",""pt"")"),"Fácil de usar")</f>
        <v>Fácil de usar</v>
      </c>
      <c r="B53588" s="3">
        <v>1</v>
      </c>
    </row>
    <row r="53589" ht="15.75" customHeight="1" spans="1:2">
      <c r="A53589" s="3" t="str">
        <f>IFERROR(__xludf.DUMMYFUNCTION("GOOGLETRANSLATE(A53589,""en"",""pt"")"),"Sony Mavica é o melhor produto para o dinheiro")</f>
        <v>Sony Mavica é o melhor produto para o dinheiro</v>
      </c>
      <c r="B53589" s="3">
        <v>1</v>
      </c>
    </row>
    <row r="53590" ht="15.75" customHeight="1" spans="1:2">
      <c r="A53590" s="3" t="str">
        <f>IFERROR(__xludf.DUMMYFUNCTION("GOOGLETRANSLATE(A53590,""en"",""pt"")"),"lente macro, lente de zoom, Disquete")</f>
        <v>lente macro, lente de zoom, Disquete</v>
      </c>
      <c r="B53590" s="3">
        <v>1</v>
      </c>
    </row>
    <row r="53591" ht="15.75" customHeight="1" spans="1:2">
      <c r="A53591" s="3" t="str">
        <f>IFERROR(__xludf.DUMMYFUNCTION("GOOGLETRANSLATE(A53591,""en"",""pt"")"),"muito simples de usar")</f>
        <v>muito simples de usar</v>
      </c>
      <c r="B53591" s="3">
        <v>1</v>
      </c>
    </row>
    <row r="53592" ht="15.75" customHeight="1" spans="1:2">
      <c r="A53592" s="3" t="str">
        <f>IFERROR(__xludf.DUMMYFUNCTION("GOOGLETRANSLATE(A53592,""en"",""pt"")"),"Fácil de baixar")</f>
        <v>Fácil de baixar</v>
      </c>
      <c r="B53592" s="3">
        <v>1</v>
      </c>
    </row>
    <row r="53593" ht="15.75" customHeight="1" spans="1:2">
      <c r="A53593" s="3" t="str">
        <f>IFERROR(__xludf.DUMMYFUNCTION("GOOGLETRANSLATE(A53593,""en"",""pt"")"),"Armazenamento de disco flexível")</f>
        <v>Armazenamento de disco flexível</v>
      </c>
      <c r="B53593" s="3">
        <v>1</v>
      </c>
    </row>
    <row r="53594" ht="15.75" customHeight="1" spans="1:2">
      <c r="A53594" s="3" t="str">
        <f>IFERROR(__xludf.DUMMYFUNCTION("GOOGLETRANSLATE(A53594,""en"",""pt"")"),"Fácil de usar")</f>
        <v>Fácil de usar</v>
      </c>
      <c r="B53594" s="3">
        <v>1</v>
      </c>
    </row>
    <row r="53595" ht="15.75" customHeight="1" spans="1:2">
      <c r="A53595" s="3" t="str">
        <f>IFERROR(__xludf.DUMMYFUNCTION("GOOGLETRANSLATE(A53595,""en"",""pt"")"),"efeitos de imagem, disquete, zoom, tampa da lente")</f>
        <v>efeitos de imagem, disquete, zoom, tampa da lente</v>
      </c>
      <c r="B53595" s="3">
        <v>1</v>
      </c>
    </row>
    <row r="53596" ht="15.75" customHeight="1" spans="1:2">
      <c r="A53596" s="3" t="str">
        <f>IFERROR(__xludf.DUMMYFUNCTION("GOOGLETRANSLATE(A53596,""en"",""pt"")"),"Recursos, facilidade do método de uso e interface de computador")</f>
        <v>Recursos, facilidade do método de uso e interface de computador</v>
      </c>
      <c r="B53596" s="3">
        <v>1</v>
      </c>
    </row>
    <row r="53597" ht="15.75" customHeight="1" spans="1:2">
      <c r="A53597" s="3" t="str">
        <f>IFERROR(__xludf.DUMMYFUNCTION("GOOGLETRANSLATE(A53597,""en"",""pt"")"),"amp; Lightweight &amp; amp; 10x")</f>
        <v>amp; Lightweight &amp; amp; 10x</v>
      </c>
      <c r="B53597" s="3">
        <v>1</v>
      </c>
    </row>
    <row r="53598" ht="15.75" customHeight="1" spans="1:2">
      <c r="A53598" s="3" t="str">
        <f>IFERROR(__xludf.DUMMYFUNCTION("GOOGLETRANSLATE(A53598,""en"",""pt"")"),"tamanho do disco, facilidade de uso, longevidade")</f>
        <v>tamanho do disco, facilidade de uso, longevidade</v>
      </c>
      <c r="B53598" s="3">
        <v>1</v>
      </c>
    </row>
    <row r="53599" ht="15.75" customHeight="1" spans="1:2">
      <c r="A53599" s="3" t="str">
        <f>IFERROR(__xludf.DUMMYFUNCTION("GOOGLETRANSLATE(A53599,""en"",""pt"")"),"Valor e qualidade")</f>
        <v>Valor e qualidade</v>
      </c>
      <c r="B53599" s="3">
        <v>1</v>
      </c>
    </row>
    <row r="53600" ht="15.75" customHeight="1" spans="1:2">
      <c r="A53600" s="3" t="str">
        <f>IFERROR(__xludf.DUMMYFUNCTION("GOOGLETRANSLATE(A53600,""en"",""pt"")"),"Facilidade de uso, ótimas fotos de qualidade, o amor do recurso store-on-disk")</f>
        <v>Facilidade de uso, ótimas fotos de qualidade, o amor do recurso store-on-disk</v>
      </c>
      <c r="B53600" s="3">
        <v>1</v>
      </c>
    </row>
    <row r="53601" ht="15.75" customHeight="1" spans="1:2">
      <c r="A53601" s="3" t="str">
        <f>IFERROR(__xludf.DUMMYFUNCTION("GOOGLETRANSLATE(A53601,""en"",""pt"")"),"Disquete")</f>
        <v>Disquete</v>
      </c>
      <c r="B53601" s="3">
        <v>1</v>
      </c>
    </row>
    <row r="53602" ht="15.75" customHeight="1" spans="1:2">
      <c r="A53602" s="3" t="str">
        <f>IFERROR(__xludf.DUMMYFUNCTION("GOOGLETRANSLATE(A53602,""en"",""pt"")"),"zoom de 10x, um monte de efeitos pic e muito mais")</f>
        <v>zoom de 10x, um monte de efeitos pic e muito mais</v>
      </c>
      <c r="B53602" s="3">
        <v>1</v>
      </c>
    </row>
    <row r="53603" ht="15.75" customHeight="1" spans="1:2">
      <c r="A53603" s="3" t="str">
        <f>IFERROR(__xludf.DUMMYFUNCTION("GOOGLETRANSLATE(A53603,""en"",""pt"")"),"Tamanho compacto, de boa qualidade pic, facilidade de uso")</f>
        <v>Tamanho compacto, de boa qualidade pic, facilidade de uso</v>
      </c>
      <c r="B53603" s="3">
        <v>1</v>
      </c>
    </row>
    <row r="53604" ht="15.75" customHeight="1" spans="1:2">
      <c r="A53604" s="3" t="str">
        <f>IFERROR(__xludf.DUMMYFUNCTION("GOOGLETRANSLATE(A53604,""en"",""pt"")"),"10 x Zoom, construído em unidade de disquete, ecrã LCD, encaixe do formulário para você lado, você pode apagar as imagens que você não quer a partir da câmara, várias opções de imagem")</f>
        <v>10 x Zoom, construído em unidade de disquete, ecrã LCD, encaixe do formulário para você lado, você pode apagar as imagens que você não quer a partir da câmara, várias opções de imagem</v>
      </c>
      <c r="B53604" s="3">
        <v>1</v>
      </c>
    </row>
    <row r="53605" ht="15.75" customHeight="1" spans="1:2">
      <c r="A53605" s="3" t="str">
        <f>IFERROR(__xludf.DUMMYFUNCTION("GOOGLETRANSLATE(A53605,""en"",""pt"")"),"desenvolvimento filme NO")</f>
        <v>desenvolvimento filme NO</v>
      </c>
      <c r="B53605" s="3">
        <v>1</v>
      </c>
    </row>
    <row r="53606" ht="15.75" customHeight="1" spans="1:2">
      <c r="A53606" s="3" t="str">
        <f>IFERROR(__xludf.DUMMYFUNCTION("GOOGLETRANSLATE(A53606,""en"",""pt"")"),"Fácil de usar e estadias bateria carregada por um longo tempo")</f>
        <v>Fácil de usar e estadias bateria carregada por um longo tempo</v>
      </c>
      <c r="B53606" s="3">
        <v>1</v>
      </c>
    </row>
    <row r="53607" ht="15.75" customHeight="1" spans="1:2">
      <c r="A53607" s="3" t="str">
        <f>IFERROR(__xludf.DUMMYFUNCTION("GOOGLETRANSLATE(A53607,""en"",""pt"")"),"armazenamento de disco flexível")</f>
        <v>armazenamento de disco flexível</v>
      </c>
      <c r="B53607" s="3">
        <v>1</v>
      </c>
    </row>
    <row r="53608" ht="15.75" customHeight="1" spans="1:2">
      <c r="A53608" s="3" t="str">
        <f>IFERROR(__xludf.DUMMYFUNCTION("GOOGLETRANSLATE(A53608,""en"",""pt"")"),"Peso-leve, meio de armazenamento grande, zoom impressionante, vida da bateria aceitável")</f>
        <v>Peso-leve, meio de armazenamento grande, zoom impressionante, vida da bateria aceitável</v>
      </c>
      <c r="B53608" s="3">
        <v>1</v>
      </c>
    </row>
    <row r="53609" ht="15.75" customHeight="1" spans="1:2">
      <c r="A53609" s="3" t="str">
        <f>IFERROR(__xludf.DUMMYFUNCTION("GOOGLETRANSLATE(A53609,""en"",""pt"")"),"Fácil de usar.")</f>
        <v>Fácil de usar.</v>
      </c>
      <c r="B53609" s="3">
        <v>1</v>
      </c>
    </row>
    <row r="53610" ht="15.75" customHeight="1" spans="1:2">
      <c r="A53610" s="3" t="str">
        <f>IFERROR(__xludf.DUMMYFUNCTION("GOOGLETRANSLATE(A53610,""en"",""pt"")"),"Muito bem concebido, compatibilidade disquete, facilidade de uso, zoom, macro.")</f>
        <v>Muito bem concebido, compatibilidade disquete, facilidade de uso, zoom, macro.</v>
      </c>
      <c r="B53610" s="3">
        <v>1</v>
      </c>
    </row>
    <row r="53611" ht="15.75" customHeight="1" spans="1:2">
      <c r="A53611" s="3" t="str">
        <f>IFERROR(__xludf.DUMMYFUNCTION("GOOGLETRANSLATE(A53611,""en"",""pt"")"),"Capability Disk Fácil")</f>
        <v>Capability Disk Fácil</v>
      </c>
      <c r="B53611" s="3">
        <v>1</v>
      </c>
    </row>
    <row r="53612" ht="15.75" customHeight="1" spans="1:2">
      <c r="A53612" s="3" t="str">
        <f>IFERROR(__xludf.DUMMYFUNCTION("GOOGLETRANSLATE(A53612,""en"",""pt"")"),"Fácil de operar.")</f>
        <v>Fácil de operar.</v>
      </c>
      <c r="B53612" s="3">
        <v>1</v>
      </c>
    </row>
    <row r="53613" ht="15.75" customHeight="1" spans="1:2">
      <c r="A53613" s="3" t="str">
        <f>IFERROR(__xludf.DUMMYFUNCTION("GOOGLETRANSLATE(A53613,""en"",""pt"")"),"Muitas opções de configuração diferentes, pode apagar o que você não gosta de um disco, começa às imagens de visualização.")</f>
        <v>Muitas opções de configuração diferentes, pode apagar o que você não gosta de um disco, começa às imagens de visualização.</v>
      </c>
      <c r="B53613" s="3">
        <v>1</v>
      </c>
    </row>
    <row r="53614" ht="15.75" customHeight="1" spans="1:2">
      <c r="A53614" s="3" t="str">
        <f>IFERROR(__xludf.DUMMYFUNCTION("GOOGLETRANSLATE(A53614,""en"",""pt"")"),"Simples, rápido, de boa qualidade")</f>
        <v>Simples, rápido, de boa qualidade</v>
      </c>
      <c r="B53614" s="3">
        <v>1</v>
      </c>
    </row>
    <row r="53615" ht="15.75" customHeight="1" spans="1:2">
      <c r="A53615" s="3" t="str">
        <f>IFERROR(__xludf.DUMMYFUNCTION("GOOGLETRANSLATE(A53615,""en"",""pt"")"),"Não Interface, Grande Zoom de energia, fácil de usar")</f>
        <v>Não Interface, Grande Zoom de energia, fácil de usar</v>
      </c>
      <c r="B53615" s="3">
        <v>1</v>
      </c>
    </row>
    <row r="53616" ht="15.75" customHeight="1" spans="1:2">
      <c r="A53616" s="3" t="str">
        <f>IFERROR(__xludf.DUMMYFUNCTION("GOOGLETRANSLATE(A53616,""en"",""pt"")"),"Fácil de usar, tira fotos claras, não desenvolvendo taxas, e você pode enviar fotos online!")</f>
        <v>Fácil de usar, tira fotos claras, não desenvolvendo taxas, e você pode enviar fotos online!</v>
      </c>
      <c r="B53616" s="3">
        <v>1</v>
      </c>
    </row>
    <row r="53617" ht="15.75" customHeight="1" spans="1:2">
      <c r="A53617" s="3" t="str">
        <f>IFERROR(__xludf.DUMMYFUNCTION("GOOGLETRANSLATE(A53617,""en"",""pt"")"),"DA FOTO EXCELENTE")</f>
        <v>DA FOTO EXCELENTE</v>
      </c>
      <c r="B53617" s="3">
        <v>1</v>
      </c>
    </row>
    <row r="53618" ht="15.75" customHeight="1" spans="1:2">
      <c r="A53618" s="3" t="str">
        <f>IFERROR(__xludf.DUMMYFUNCTION("GOOGLETRANSLATE(A53618,""en"",""pt"")"),"Excelente qualidade de imagem; Não muito caro; inúmeras características úteis")</f>
        <v>Excelente qualidade de imagem; Não muito caro; inúmeras características úteis</v>
      </c>
      <c r="B53618" s="3">
        <v>1</v>
      </c>
    </row>
    <row r="53619" ht="15.75" customHeight="1" spans="1:2">
      <c r="A53619" s="3" t="str">
        <f>IFERROR(__xludf.DUMMYFUNCTION("GOOGLETRANSLATE(A53619,""en"",""pt"")"),"Facilidade de uso, disquetes regulares, a qualidade")</f>
        <v>Facilidade de uso, disquetes regulares, a qualidade</v>
      </c>
      <c r="B53619" s="3">
        <v>1</v>
      </c>
    </row>
    <row r="53620" ht="15.75" customHeight="1" spans="1:2">
      <c r="A53620" s="3" t="str">
        <f>IFERROR(__xludf.DUMMYFUNCTION("GOOGLETRANSLATE(A53620,""en"",""pt"")"),"Facilidade de utilização, 10x zoom óptico")</f>
        <v>Facilidade de utilização, 10x zoom óptico</v>
      </c>
      <c r="B53620" s="3">
        <v>1</v>
      </c>
    </row>
    <row r="53621" ht="15.75" customHeight="1" spans="1:2">
      <c r="A53621" s="3" t="str">
        <f>IFERROR(__xludf.DUMMYFUNCTION("GOOGLETRANSLATE(A53621,""en"",""pt"")"),"A very nice câmera, vale o dinheiro!")</f>
        <v>A very nice câmera, vale o dinheiro!</v>
      </c>
      <c r="B53621" s="3">
        <v>1</v>
      </c>
    </row>
    <row r="53622" ht="15.75" customHeight="1" spans="1:2">
      <c r="A53622" s="3" t="str">
        <f>IFERROR(__xludf.DUMMYFUNCTION("GOOGLETRANSLATE(A53622,""en"",""pt"")"),"Rápida, compatível com muitos computadores.")</f>
        <v>Rápida, compatível com muitos computadores.</v>
      </c>
      <c r="B53622" s="3">
        <v>1</v>
      </c>
    </row>
    <row r="53623" ht="15.75" customHeight="1" spans="1:2">
      <c r="A53623" s="3" t="str">
        <f>IFERROR(__xludf.DUMMYFUNCTION("GOOGLETRANSLATE(A53623,""en"",""pt"")"),"fotos decentes,, armazenamento disquete acessível")</f>
        <v>fotos decentes,, armazenamento disquete acessível</v>
      </c>
      <c r="B53623" s="3">
        <v>1</v>
      </c>
    </row>
    <row r="53624" ht="15.75" customHeight="1" spans="1:2">
      <c r="A53624" s="3" t="str">
        <f>IFERROR(__xludf.DUMMYFUNCTION("GOOGLETRANSLATE(A53624,""en"",""pt"")"),"unidade de armazenamento, gravação ao recurso de cópia, anexos de e-mail")</f>
        <v>unidade de armazenamento, gravação ao recurso de cópia, anexos de e-mail</v>
      </c>
      <c r="B53624" s="3">
        <v>1</v>
      </c>
    </row>
    <row r="53625" ht="15.75" customHeight="1" spans="1:2">
      <c r="A53625" s="3" t="str">
        <f>IFERROR(__xludf.DUMMYFUNCTION("GOOGLETRANSLATE(A53625,""en"",""pt"")"),"Facilidade de utilização &amp; amp; amp; preço estava certo!")</f>
        <v>Facilidade de utilização &amp; amp; amp; preço estava certo!</v>
      </c>
      <c r="B53625" s="3">
        <v>1</v>
      </c>
    </row>
    <row r="53626" ht="15.75" customHeight="1" spans="1:2">
      <c r="A53626" s="3" t="str">
        <f>IFERROR(__xludf.DUMMYFUNCTION("GOOGLETRANSLATE(A53626,""en"",""pt"")"),"Ferramentas de disco a bordo, facilidade de operação")</f>
        <v>Ferramentas de disco a bordo, facilidade de operação</v>
      </c>
      <c r="B53626" s="3">
        <v>1</v>
      </c>
    </row>
    <row r="53627" ht="15.75" customHeight="1" spans="1:2">
      <c r="A53627" s="3" t="str">
        <f>IFERROR(__xludf.DUMMYFUNCTION("GOOGLETRANSLATE(A53627,""en"",""pt"")"),"zoom óptico, o armazenamento é fácil usando discos, incrivelmente conveniente!")</f>
        <v>zoom óptico, o armazenamento é fácil usando discos, incrivelmente conveniente!</v>
      </c>
      <c r="B53627" s="3">
        <v>1</v>
      </c>
    </row>
    <row r="53628" ht="15.75" customHeight="1" spans="1:2">
      <c r="A53628" s="3" t="str">
        <f>IFERROR(__xludf.DUMMYFUNCTION("GOOGLETRANSLATE(A53628,""en"",""pt"")"),"Fácil, fácil, fácil")</f>
        <v>Fácil, fácil, fácil</v>
      </c>
      <c r="B53628" s="3">
        <v>1</v>
      </c>
    </row>
    <row r="53629" ht="15.75" customHeight="1" spans="1:2">
      <c r="A53629" s="3" t="str">
        <f>IFERROR(__xludf.DUMMYFUNCTION("GOOGLETRANSLATE(A53629,""en"",""pt"")"),"Portabilidade, Download to Disk, fácil de usar")</f>
        <v>Portabilidade, Download to Disk, fácil de usar</v>
      </c>
      <c r="B53629" s="3">
        <v>1</v>
      </c>
    </row>
    <row r="53630" ht="15.75" customHeight="1" spans="1:2">
      <c r="A53630" s="3" t="str">
        <f>IFERROR(__xludf.DUMMYFUNCTION("GOOGLETRANSLATE(A53630,""en"",""pt"")"),"rápido, fácil, não tem que esperar para o desenvolvimento")</f>
        <v>rápido, fácil, não tem que esperar para o desenvolvimento</v>
      </c>
      <c r="B53630" s="3">
        <v>1</v>
      </c>
    </row>
    <row r="53631" ht="15.75" customHeight="1" spans="1:2">
      <c r="A53631" s="3" t="str">
        <f>IFERROR(__xludf.DUMMYFUNCTION("GOOGLETRANSLATE(A53631,""en"",""pt"")"),"Fácil de usar")</f>
        <v>Fácil de usar</v>
      </c>
      <c r="B53631" s="3">
        <v>1</v>
      </c>
    </row>
    <row r="53632" ht="15.75" customHeight="1" spans="1:2">
      <c r="A53632" s="3" t="str">
        <f>IFERROR(__xludf.DUMMYFUNCTION("GOOGLETRANSLATE(A53632,""en"",""pt"")"),"seu zoom")</f>
        <v>seu zoom</v>
      </c>
      <c r="B53632" s="3">
        <v>1</v>
      </c>
    </row>
    <row r="53633" ht="15.75" customHeight="1" spans="1:2">
      <c r="A53633" s="3" t="str">
        <f>IFERROR(__xludf.DUMMYFUNCTION("GOOGLETRANSLATE(A53633,""en"",""pt"")"),"facilidade de uso, armazenamento de baixo custo, boas fotos.")</f>
        <v>facilidade de uso, armazenamento de baixo custo, boas fotos.</v>
      </c>
      <c r="B53633" s="3">
        <v>1</v>
      </c>
    </row>
    <row r="53634" ht="15.75" customHeight="1" spans="1:2">
      <c r="A53634" s="3" t="str">
        <f>IFERROR(__xludf.DUMMYFUNCTION("GOOGLETRANSLATE(A53634,""en"",""pt"")"),"Baixo preço, facilidade de uso")</f>
        <v>Baixo preço, facilidade de uso</v>
      </c>
      <c r="B53634" s="3">
        <v>1</v>
      </c>
    </row>
    <row r="53635" ht="15.75" customHeight="1" spans="1:2">
      <c r="A53635" s="3" t="str">
        <f>IFERROR(__xludf.DUMMYFUNCTION("GOOGLETRANSLATE(A53635,""en"",""pt"")"),"qualidade de imagem, facilidade de uso")</f>
        <v>qualidade de imagem, facilidade de uso</v>
      </c>
      <c r="B53635" s="3">
        <v>1</v>
      </c>
    </row>
    <row r="53636" ht="15.75" customHeight="1" spans="1:2">
      <c r="A53636" s="3" t="str">
        <f>IFERROR(__xludf.DUMMYFUNCTION("GOOGLETRANSLATE(A53636,""en"",""pt"")"),"veja o comentário")</f>
        <v>veja o comentário</v>
      </c>
      <c r="B53636" s="3">
        <v>1</v>
      </c>
    </row>
    <row r="53637" ht="15.75" customHeight="1" spans="1:2">
      <c r="A53637" s="3" t="str">
        <f>IFERROR(__xludf.DUMMYFUNCTION("GOOGLETRANSLATE(A53637,""en"",""pt"")"),"Conveniente e fácil de usar.")</f>
        <v>Conveniente e fácil de usar.</v>
      </c>
      <c r="B53637" s="3">
        <v>1</v>
      </c>
    </row>
    <row r="53638" ht="15.75" customHeight="1" spans="1:2">
      <c r="A53638" s="3" t="str">
        <f>IFERROR(__xludf.DUMMYFUNCTION("GOOGLETRANSLATE(A53638,""en"",""pt"")"),"Super (o melhor) macro no mercado.")</f>
        <v>Super (o melhor) macro no mercado.</v>
      </c>
      <c r="B53638" s="3">
        <v>1</v>
      </c>
    </row>
    <row r="53639" ht="15.75" customHeight="1" spans="1:2">
      <c r="A53639" s="3" t="str">
        <f>IFERROR(__xludf.DUMMYFUNCTION("GOOGLETRANSLATE(A53639,""en"",""pt"")"),"3,5 Download conveniência disquete")</f>
        <v>3,5 Download conveniência disquete</v>
      </c>
      <c r="B53639" s="3">
        <v>1</v>
      </c>
    </row>
    <row r="53640" ht="15.75" customHeight="1" spans="1:2">
      <c r="A53640" s="3" t="str">
        <f>IFERROR(__xludf.DUMMYFUNCTION("GOOGLETRANSLATE(A53640,""en"",""pt"")"),"Facilidade, capacidade de tela de fotos")</f>
        <v>Facilidade, capacidade de tela de fotos</v>
      </c>
      <c r="B53640" s="3">
        <v>1</v>
      </c>
    </row>
    <row r="53641" ht="15.75" customHeight="1" spans="1:2">
      <c r="A53641" s="3" t="str">
        <f>IFERROR(__xludf.DUMMYFUNCTION("GOOGLETRANSLATE(A53641,""en"",""pt"")"),"Fácil de usar, disquetes são baratos, ótimo todas as câmeras ao redor.")</f>
        <v>Fácil de usar, disquetes são baratos, ótimo todas as câmeras ao redor.</v>
      </c>
      <c r="B53641" s="3">
        <v>1</v>
      </c>
    </row>
    <row r="53642" ht="15.75" customHeight="1" spans="1:2">
      <c r="A53642" s="3" t="str">
        <f>IFERROR(__xludf.DUMMYFUNCTION("GOOGLETRANSLATE(A53642,""en"",""pt"")"),"Fácil de usar, imagens salvas em um disquete")</f>
        <v>Fácil de usar, imagens salvas em um disquete</v>
      </c>
      <c r="B53642" s="3">
        <v>1</v>
      </c>
    </row>
    <row r="53643" ht="15.75" customHeight="1" spans="1:2">
      <c r="A53643" s="3" t="str">
        <f>IFERROR(__xludf.DUMMYFUNCTION("GOOGLETRANSLATE(A53643,""en"",""pt"")"),"Fácil armazenamento de fotos, o uso de fácil operação, ótimo para sites")</f>
        <v>Fácil armazenamento de fotos, o uso de fácil operação, ótimo para sites</v>
      </c>
      <c r="B53643" s="3">
        <v>1</v>
      </c>
    </row>
    <row r="53644" ht="15.75" customHeight="1" spans="1:2">
      <c r="A53644" s="3" t="str">
        <f>IFERROR(__xludf.DUMMYFUNCTION("GOOGLETRANSLATE(A53644,""en"",""pt"")"),"meio de armazenamento conveniente (disquete)")</f>
        <v>meio de armazenamento conveniente (disquete)</v>
      </c>
      <c r="B53644" s="3">
        <v>1</v>
      </c>
    </row>
    <row r="53645" ht="15.75" customHeight="1" spans="1:2">
      <c r="A53645" s="3" t="str">
        <f>IFERROR(__xludf.DUMMYFUNCTION("GOOGLETRANSLATE(A53645,""en"",""pt"")"),"16 imagens em 1 disco")</f>
        <v>16 imagens em 1 disco</v>
      </c>
      <c r="B53645" s="3">
        <v>1</v>
      </c>
    </row>
    <row r="53646" ht="15.75" customHeight="1" spans="1:2">
      <c r="A53646" s="3" t="str">
        <f>IFERROR(__xludf.DUMMYFUNCTION("GOOGLETRANSLATE(A53646,""en"",""pt"")"),"Fácil de usar")</f>
        <v>Fácil de usar</v>
      </c>
      <c r="B53646" s="3">
        <v>1</v>
      </c>
    </row>
    <row r="53647" ht="15.75" customHeight="1" spans="1:2">
      <c r="A53647" s="3" t="str">
        <f>IFERROR(__xludf.DUMMYFUNCTION("GOOGLETRANSLATE(A53647,""en"",""pt"")"),"Disk Storage &amp; amp; amp; Fácil de usar")</f>
        <v>Disk Storage &amp; amp; amp; Fácil de usar</v>
      </c>
      <c r="B53647" s="3">
        <v>1</v>
      </c>
    </row>
    <row r="53648" ht="15.75" customHeight="1" spans="1:2">
      <c r="A53648" s="3" t="str">
        <f>IFERROR(__xludf.DUMMYFUNCTION("GOOGLETRANSLATE(A53648,""en"",""pt"")"),"Floppy Disk Media, amigável")</f>
        <v>Floppy Disk Media, amigável</v>
      </c>
      <c r="B53648" s="3">
        <v>1</v>
      </c>
    </row>
    <row r="53649" ht="15.75" customHeight="1" spans="1:2">
      <c r="A53649" s="3" t="str">
        <f>IFERROR(__xludf.DUMMYFUNCTION("GOOGLETRANSLATE(A53649,""en"",""pt"")"),"Velocidade, facilidade de uso, faixa de zoom larga")</f>
        <v>Velocidade, facilidade de uso, faixa de zoom larga</v>
      </c>
      <c r="B53649" s="3">
        <v>1</v>
      </c>
    </row>
    <row r="53650" ht="15.75" customHeight="1" spans="1:2">
      <c r="A53650" s="3" t="str">
        <f>IFERROR(__xludf.DUMMYFUNCTION("GOOGLETRANSLATE(A53650,""en"",""pt"")"),"Bom preço, fácil de usar, armazenamento em disquetes")</f>
        <v>Bom preço, fácil de usar, armazenamento em disquetes</v>
      </c>
      <c r="B53650" s="3">
        <v>1</v>
      </c>
    </row>
    <row r="53651" ht="15.75" customHeight="1" spans="1:2">
      <c r="A53651" s="3" t="str">
        <f>IFERROR(__xludf.DUMMYFUNCTION("GOOGLETRANSLATE(A53651,""en"",""pt"")"),"Fácil de usar, ótimo preço, meios de armazenamento de baixo custo.")</f>
        <v>Fácil de usar, ótimo preço, meios de armazenamento de baixo custo.</v>
      </c>
      <c r="B53651" s="3">
        <v>1</v>
      </c>
    </row>
    <row r="53652" ht="15.75" customHeight="1" spans="1:2">
      <c r="A53652" s="3" t="str">
        <f>IFERROR(__xludf.DUMMYFUNCTION("GOOGLETRANSLATE(A53652,""en"",""pt"")"),"fácil de operar")</f>
        <v>fácil de operar</v>
      </c>
      <c r="B53652" s="3">
        <v>1</v>
      </c>
    </row>
    <row r="53653" ht="15.75" customHeight="1" spans="1:2">
      <c r="A53653" s="3" t="str">
        <f>IFERROR(__xludf.DUMMYFUNCTION("GOOGLETRANSLATE(A53653,""en"",""pt"")"),"conveniência de disquetes, bom zoom, facilidade de uso")</f>
        <v>conveniência de disquetes, bom zoom, facilidade de uso</v>
      </c>
      <c r="B53653" s="3">
        <v>1</v>
      </c>
    </row>
    <row r="53654" ht="15.75" customHeight="1" spans="1:2">
      <c r="A53654" s="3" t="str">
        <f>IFERROR(__xludf.DUMMYFUNCTION("GOOGLETRANSLATE(A53654,""en"",""pt"")"),"Faz tudo bem.")</f>
        <v>Faz tudo bem.</v>
      </c>
      <c r="B53654" s="3">
        <v>1</v>
      </c>
    </row>
    <row r="53655" ht="15.75" customHeight="1" spans="1:2">
      <c r="A53655" s="3" t="str">
        <f>IFERROR(__xludf.DUMMYFUNCTION("GOOGLETRANSLATE(A53655,""en"",""pt"")"),"instantâneas imagens, rápido, confiável")</f>
        <v>instantâneas imagens, rápido, confiável</v>
      </c>
      <c r="B53655" s="3">
        <v>1</v>
      </c>
    </row>
    <row r="53656" ht="15.75" customHeight="1" spans="1:2">
      <c r="A53656" s="3" t="str">
        <f>IFERROR(__xludf.DUMMYFUNCTION("GOOGLETRANSLATE(A53656,""en"",""pt"")"),"rápido, fácil, conveniente")</f>
        <v>rápido, fácil, conveniente</v>
      </c>
      <c r="B53656" s="3">
        <v>1</v>
      </c>
    </row>
    <row r="53657" ht="15.75" customHeight="1" spans="1:2">
      <c r="A53657" s="3" t="str">
        <f>IFERROR(__xludf.DUMMYFUNCTION("GOOGLETRANSLATE(A53657,""en"",""pt"")"),"facilidade de uso, qualidade das imagens")</f>
        <v>facilidade de uso, qualidade das imagens</v>
      </c>
      <c r="B53657" s="3">
        <v>1</v>
      </c>
    </row>
    <row r="53658" ht="15.75" customHeight="1" spans="1:2">
      <c r="A53658" s="3" t="str">
        <f>IFERROR(__xludf.DUMMYFUNCTION("GOOGLETRANSLATE(A53658,""en"",""pt"")"),"As fotos tiradas armazenadas em disquete")</f>
        <v>As fotos tiradas armazenadas em disquete</v>
      </c>
      <c r="B53658" s="3">
        <v>1</v>
      </c>
    </row>
    <row r="53659" ht="15.75" customHeight="1" spans="1:2">
      <c r="A53659" s="3" t="str">
        <f>IFERROR(__xludf.DUMMYFUNCTION("GOOGLETRANSLATE(A53659,""en"",""pt"")"),"Ótimo para e fotos de itens intrincados e também de fotos")</f>
        <v>Ótimo para e fotos de itens intrincados e também de fotos</v>
      </c>
      <c r="B53659" s="3">
        <v>1</v>
      </c>
    </row>
    <row r="53660" ht="15.75" customHeight="1" spans="1:2">
      <c r="A53660" s="3" t="str">
        <f>IFERROR(__xludf.DUMMYFUNCTION("GOOGLETRANSLATE(A53660,""en"",""pt"")"),"Apenas a quantidade certa de recursos, disquete removível")</f>
        <v>Apenas a quantidade certa de recursos, disquete removível</v>
      </c>
      <c r="B53660" s="3">
        <v>1</v>
      </c>
    </row>
    <row r="53661" ht="15.75" customHeight="1" spans="1:2">
      <c r="A53661" s="3" t="str">
        <f>IFERROR(__xludf.DUMMYFUNCTION("GOOGLETRANSLATE(A53661,""en"",""pt"")"),"fácil, luz, diferentes tipos de fotos")</f>
        <v>fácil, luz, diferentes tipos de fotos</v>
      </c>
      <c r="B53661" s="3">
        <v>1</v>
      </c>
    </row>
    <row r="53662" ht="15.75" customHeight="1" spans="1:2">
      <c r="A53662" s="3" t="str">
        <f>IFERROR(__xludf.DUMMYFUNCTION("GOOGLETRANSLATE(A53662,""en"",""pt"")"),"Fácil de operar, 3,5 &amp; amp; quot; Floppy, 10X zoom")</f>
        <v>Fácil de operar, 3,5 &amp; amp; quot; Floppy, 10X zoom</v>
      </c>
      <c r="B53662" s="3">
        <v>1</v>
      </c>
    </row>
    <row r="53663" ht="15.75" customHeight="1" spans="1:2">
      <c r="A53663" s="3" t="str">
        <f>IFERROR(__xludf.DUMMYFUNCTION("GOOGLETRANSLATE(A53663,""en"",""pt"")"),"fácil de aprender a usar, a capacidade de fotos de visualização.")</f>
        <v>fácil de aprender a usar, a capacidade de fotos de visualização.</v>
      </c>
      <c r="B53663" s="3">
        <v>1</v>
      </c>
    </row>
    <row r="53664" ht="15.75" customHeight="1" spans="1:2">
      <c r="A53664" s="3" t="str">
        <f>IFERROR(__xludf.DUMMYFUNCTION("GOOGLETRANSLATE(A53664,""en"",""pt"")"),"Facilidade de uso, qualidade das imagens e tudo o mais.")</f>
        <v>Facilidade de uso, qualidade das imagens e tudo o mais.</v>
      </c>
      <c r="B53664" s="3">
        <v>1</v>
      </c>
    </row>
    <row r="53665" ht="15.75" customHeight="1" spans="1:2">
      <c r="A53665" s="3" t="str">
        <f>IFERROR(__xludf.DUMMYFUNCTION("GOOGLETRANSLATE(A53665,""en"",""pt"")"),"Fácil de usar, compartilhar fotos")</f>
        <v>Fácil de usar, compartilhar fotos</v>
      </c>
      <c r="B53665" s="3">
        <v>1</v>
      </c>
    </row>
    <row r="53666" ht="15.75" customHeight="1" spans="1:2">
      <c r="A53666" s="3" t="str">
        <f>IFERROR(__xludf.DUMMYFUNCTION("GOOGLETRANSLATE(A53666,""en"",""pt"")"),"Fácil de usar, fotos de alta qualidade")</f>
        <v>Fácil de usar, fotos de alta qualidade</v>
      </c>
      <c r="B53666" s="3">
        <v>1</v>
      </c>
    </row>
    <row r="53667" ht="15.75" customHeight="1" spans="1:2">
      <c r="A53667" s="3" t="str">
        <f>IFERROR(__xludf.DUMMYFUNCTION("GOOGLETRANSLATE(A53667,""en"",""pt"")"),"peso leve e usa um disco flexível")</f>
        <v>peso leve e usa um disco flexível</v>
      </c>
      <c r="B53667" s="3">
        <v>1</v>
      </c>
    </row>
    <row r="53668" ht="15.75" customHeight="1" spans="1:2">
      <c r="A53668" s="3" t="str">
        <f>IFERROR(__xludf.DUMMYFUNCTION("GOOGLETRANSLATE(A53668,""en"",""pt"")"),"fácil de usar")</f>
        <v>fácil de usar</v>
      </c>
      <c r="B53668" s="3">
        <v>1</v>
      </c>
    </row>
    <row r="53669" ht="15.75" customHeight="1" spans="1:2">
      <c r="A53669" s="3" t="str">
        <f>IFERROR(__xludf.DUMMYFUNCTION("GOOGLETRANSLATE(A53669,""en"",""pt"")"),"Facilidade de uso, imagens de grande qualidade, variedade de opções")</f>
        <v>Facilidade de uso, imagens de grande qualidade, variedade de opções</v>
      </c>
      <c r="B53669" s="3">
        <v>1</v>
      </c>
    </row>
    <row r="53670" ht="15.75" customHeight="1" spans="1:2">
      <c r="A53670" s="3" t="str">
        <f>IFERROR(__xludf.DUMMYFUNCTION("GOOGLETRANSLATE(A53670,""en"",""pt"")"),"muito melhor do que a 35mm, facilidade de operação, a abundância de recursos, grande clareza na tela LCD")</f>
        <v>muito melhor do que a 35mm, facilidade de operação, a abundância de recursos, grande clareza na tela LCD</v>
      </c>
      <c r="B53670" s="3">
        <v>1</v>
      </c>
    </row>
    <row r="53671" ht="15.75" customHeight="1" spans="1:2">
      <c r="A53671" s="3" t="str">
        <f>IFERROR(__xludf.DUMMYFUNCTION("GOOGLETRANSLATE(A53671,""en"",""pt"")"),"Armazena imagens em std. disquete, faz cópias no campo.")</f>
        <v>Armazena imagens em std. disquete, faz cópias no campo.</v>
      </c>
      <c r="B53671" s="3">
        <v>1</v>
      </c>
    </row>
    <row r="53672" ht="15.75" customHeight="1" spans="1:2">
      <c r="A53672" s="3" t="str">
        <f>IFERROR(__xludf.DUMMYFUNCTION("GOOGLETRANSLATE(A53672,""en"",""pt"")"),"Simples e fácil de usar")</f>
        <v>Simples e fácil de usar</v>
      </c>
      <c r="B53672" s="3">
        <v>1</v>
      </c>
    </row>
    <row r="53673" ht="15.75" customHeight="1" spans="1:2">
      <c r="A53673" s="3" t="str">
        <f>IFERROR(__xludf.DUMMYFUNCTION("GOOGLETRANSLATE(A53673,""en"",""pt"")"),"sua digatal")</f>
        <v>sua digatal</v>
      </c>
      <c r="B53673" s="3">
        <v>1</v>
      </c>
    </row>
    <row r="53674" ht="15.75" customHeight="1" spans="1:2">
      <c r="A53674" s="3" t="str">
        <f>IFERROR(__xludf.DUMMYFUNCTION("GOOGLETRANSLATE(A53674,""en"",""pt"")"),"Confiável, boa qualidade, armazenamento barato")</f>
        <v>Confiável, boa qualidade, armazenamento barato</v>
      </c>
      <c r="B53674" s="3">
        <v>1</v>
      </c>
    </row>
    <row r="53675" ht="15.75" customHeight="1" spans="1:2">
      <c r="A53675" s="3" t="str">
        <f>IFERROR(__xludf.DUMMYFUNCTION("GOOGLETRANSLATE(A53675,""en"",""pt"")"),"Fotos de boa qualidade")</f>
        <v>Fotos de boa qualidade</v>
      </c>
      <c r="B53675" s="3">
        <v>1</v>
      </c>
    </row>
    <row r="53676" ht="15.75" customHeight="1" spans="1:2">
      <c r="A53676" s="3" t="str">
        <f>IFERROR(__xludf.DUMMYFUNCTION("GOOGLETRANSLATE(A53676,""en"",""pt"")"),"Fácil de usar, usa um disco de computador regular, tem um grande zoom, boa qualidade de imagem")</f>
        <v>Fácil de usar, usa um disco de computador regular, tem um grande zoom, boa qualidade de imagem</v>
      </c>
      <c r="B53676" s="3">
        <v>1</v>
      </c>
    </row>
    <row r="53677" ht="15.75" customHeight="1" spans="1:2">
      <c r="A53677" s="3" t="str">
        <f>IFERROR(__xludf.DUMMYFUNCTION("GOOGLETRANSLATE(A53677,""en"",""pt"")"),"Facilidade de uso, meio de armazenamento de disco flexível")</f>
        <v>Facilidade de uso, meio de armazenamento de disco flexível</v>
      </c>
      <c r="B53677" s="3">
        <v>1</v>
      </c>
    </row>
    <row r="53678" ht="15.75" customHeight="1" spans="1:2">
      <c r="A53678" s="3" t="str">
        <f>IFERROR(__xludf.DUMMYFUNCTION("GOOGLETRANSLATE(A53678,""en"",""pt"")"),"Discos compatíveis com PC, fácil de usar, bateria, Características &amp; amp Especial; # 13; &amp; amp; # 10; &amp; amp; # 13; &amp; amp; # 10; &amp; amp; # 13; &amp; amp; # 10; &amp; amp; # 13 ; &amp; amp; # 10;")</f>
        <v>Discos compatíveis com PC, fácil de usar, bateria, Características &amp; amp Especial; # 13; &amp; amp; # 10; &amp; amp; # 13; &amp; amp; # 10; &amp; amp; # 13; &amp; amp; # 10; &amp; amp; # 13 ; &amp; amp; # 10;</v>
      </c>
      <c r="B53678" s="3">
        <v>1</v>
      </c>
    </row>
    <row r="53679" ht="15.75" customHeight="1" spans="1:2">
      <c r="A53679" s="3" t="str">
        <f>IFERROR(__xludf.DUMMYFUNCTION("GOOGLETRANSLATE(A53679,""en"",""pt"")"),"zoom digital de baixo custo que armazena em um disquete")</f>
        <v>zoom digital de baixo custo que armazena em um disquete</v>
      </c>
      <c r="B53679" s="3">
        <v>1</v>
      </c>
    </row>
    <row r="53680" ht="15.75" customHeight="1" spans="1:2">
      <c r="A53680" s="3" t="str">
        <f>IFERROR(__xludf.DUMMYFUNCTION("GOOGLETRANSLATE(A53680,""en"",""pt"")"),"Barato, Usa disquetes de baixo custo")</f>
        <v>Barato, Usa disquetes de baixo custo</v>
      </c>
      <c r="B53680" s="3">
        <v>1</v>
      </c>
    </row>
    <row r="53681" ht="15.75" customHeight="1" spans="1:2">
      <c r="A53681" s="3" t="str">
        <f>IFERROR(__xludf.DUMMYFUNCTION("GOOGLETRANSLATE(A53681,""en"",""pt"")"),"Fácil de usar, compacta, durável e relativamente barato.")</f>
        <v>Fácil de usar, compacta, durável e relativamente barato.</v>
      </c>
      <c r="B53681" s="3">
        <v>1</v>
      </c>
    </row>
    <row r="53682" ht="15.75" customHeight="1" spans="1:2">
      <c r="A53682" s="3" t="str">
        <f>IFERROR(__xludf.DUMMYFUNCTION("GOOGLETRANSLATE(A53682,""en"",""pt"")"),"É muito fácil de usar. Toma um disquete para armazenar imagens no.")</f>
        <v>É muito fácil de usar. Toma um disquete para armazenar imagens no.</v>
      </c>
      <c r="B53682" s="3">
        <v>1</v>
      </c>
    </row>
    <row r="53683" ht="15.75" customHeight="1" spans="1:2">
      <c r="A53683" s="3" t="str">
        <f>IFERROR(__xludf.DUMMYFUNCTION("GOOGLETRANSLATE(A53683,""en"",""pt"")"),"Fácil de ues &amp; amp; download, agradável ecrã &amp; amp; zoom, apagar indesejados fotos")</f>
        <v>Fácil de ues &amp; amp; download, agradável ecrã &amp; amp; zoom, apagar indesejados fotos</v>
      </c>
      <c r="B53683" s="3">
        <v>1</v>
      </c>
    </row>
    <row r="53684" ht="15.75" customHeight="1" spans="1:2">
      <c r="A53684" s="3" t="str">
        <f>IFERROR(__xludf.DUMMYFUNCTION("GOOGLETRANSLATE(A53684,""en"",""pt"")"),"Conveniência, tamanho do arquivo, a vida da bateria.")</f>
        <v>Conveniência, tamanho do arquivo, a vida da bateria.</v>
      </c>
      <c r="B53684" s="3">
        <v>1</v>
      </c>
    </row>
    <row r="53685" ht="15.75" customHeight="1" spans="1:2">
      <c r="A53685" s="3" t="str">
        <f>IFERROR(__xludf.DUMMYFUNCTION("GOOGLETRANSLATE(A53685,""en"",""pt"")"),"Entendi por um ""roubar"", ea qualidade é fabuloso")</f>
        <v>Entendi por um "roubar", ea qualidade é fabuloso</v>
      </c>
      <c r="B53685" s="3">
        <v>1</v>
      </c>
    </row>
    <row r="53686" ht="15.75" customHeight="1" spans="1:2">
      <c r="A53686" s="3" t="str">
        <f>IFERROR(__xludf.DUMMYFUNCTION("GOOGLETRANSLATE(A53686,""en"",""pt"")"),"convinent, pic e escolher as fotos u querem")</f>
        <v>convinent, pic e escolher as fotos u querem</v>
      </c>
      <c r="B53686" s="3">
        <v>1</v>
      </c>
    </row>
    <row r="53687" ht="15.75" customHeight="1" spans="1:2">
      <c r="A53687" s="3" t="str">
        <f>IFERROR(__xludf.DUMMYFUNCTION("GOOGLETRANSLATE(A53687,""en"",""pt"")"),"Fácil de usar, com preços moderados, recurso, janela de visualização, e função de apagar zoom.")</f>
        <v>Fácil de usar, com preços moderados, recurso, janela de visualização, e função de apagar zoom.</v>
      </c>
      <c r="B53687" s="3">
        <v>1</v>
      </c>
    </row>
    <row r="53688" ht="15.75" customHeight="1" spans="1:2">
      <c r="A53688" s="3" t="str">
        <f>IFERROR(__xludf.DUMMYFUNCTION("GOOGLETRANSLATE(A53688,""en"",""pt"")"),"Preço, clareza de imagem, facilidade de uso")</f>
        <v>Preço, clareza de imagem, facilidade de uso</v>
      </c>
      <c r="B53688" s="3">
        <v>1</v>
      </c>
    </row>
    <row r="53689" ht="15.75" customHeight="1" spans="1:2">
      <c r="A53689" s="3" t="str">
        <f>IFERROR(__xludf.DUMMYFUNCTION("GOOGLETRANSLATE(A53689,""en"",""pt"")"),"Fácil de usar, carregamentos rápidos")</f>
        <v>Fácil de usar, carregamentos rápidos</v>
      </c>
      <c r="B53689" s="3">
        <v>1</v>
      </c>
    </row>
    <row r="53690" ht="15.75" customHeight="1" spans="1:2">
      <c r="A53690" s="3" t="str">
        <f>IFERROR(__xludf.DUMMYFUNCTION("GOOGLETRANSLATE(A53690,""en"",""pt"")"),"Salva em disquete; bom para aqueles com computadores mais antigos que não têm conexões USB.")</f>
        <v>Salva em disquete; bom para aqueles com computadores mais antigos que não têm conexões USB.</v>
      </c>
      <c r="B53690" s="3">
        <v>1</v>
      </c>
    </row>
    <row r="53691" ht="15.75" customHeight="1" spans="1:2">
      <c r="A53691" s="3" t="str">
        <f>IFERROR(__xludf.DUMMYFUNCTION("GOOGLETRANSLATE(A53691,""en"",""pt"")"),"Usa um disco de computador em vez de filme.")</f>
        <v>Usa um disco de computador em vez de filme.</v>
      </c>
      <c r="B53691" s="3">
        <v>1</v>
      </c>
    </row>
    <row r="53692" ht="15.75" customHeight="1" spans="1:2">
      <c r="A53692" s="3" t="str">
        <f>IFERROR(__xludf.DUMMYFUNCTION("GOOGLETRANSLATE(A53692,""en"",""pt"")"),"meio disquete, três configurações de flash, brilhante / dim no painel de visualização, robusto")</f>
        <v>meio disquete, três configurações de flash, brilhante / dim no painel de visualização, robusto</v>
      </c>
      <c r="B53692" s="3">
        <v>1</v>
      </c>
    </row>
    <row r="53693" ht="15.75" customHeight="1" spans="1:2">
      <c r="A53693" s="3" t="str">
        <f>IFERROR(__xludf.DUMMYFUNCTION("GOOGLETRANSLATE(A53693,""en"",""pt"")")," Não há acessórios especiais necessários, zoom 10x, flash embutido, visualizador de LCD")</f>
        <v> Não há acessórios especiais necessários, zoom 10x, flash embutido, visualizador de LCD</v>
      </c>
      <c r="B53693" s="3">
        <v>1</v>
      </c>
    </row>
    <row r="53694" ht="15.75" customHeight="1" spans="1:2">
      <c r="A53694" s="3" t="str">
        <f>IFERROR(__xludf.DUMMYFUNCTION("GOOGLETRANSLATE(A53694,""en"",""pt"")"),"A vida da bateria, Flash")</f>
        <v>A vida da bateria, Flash</v>
      </c>
      <c r="B53694" s="3">
        <v>1</v>
      </c>
    </row>
    <row r="53695" ht="15.75" customHeight="1" spans="1:2">
      <c r="A53695" s="3" t="str">
        <f>IFERROR(__xludf.DUMMYFUNCTION("GOOGLETRANSLATE(A53695,""en"",""pt"")"),"vida massa, facilidade de uso")</f>
        <v>vida massa, facilidade de uso</v>
      </c>
      <c r="B53695" s="3">
        <v>1</v>
      </c>
    </row>
    <row r="53696" ht="15.75" customHeight="1" spans="1:2">
      <c r="A53696" s="3" t="str">
        <f>IFERROR(__xludf.DUMMYFUNCTION("GOOGLETRANSLATE(A53696,""en"",""pt"")"),"Flash manual, exposição automática de seis maneiras differend, barato &amp; amp; # 13; &amp; amp; # 10; Armazena imagens para um disquete")</f>
        <v>Flash manual, exposição automática de seis maneiras differend, barato &amp; amp; # 13; &amp; amp; # 10; Armazena imagens para um disquete</v>
      </c>
      <c r="B53696" s="3">
        <v>1</v>
      </c>
    </row>
    <row r="53697" ht="15.75" customHeight="1" spans="1:2">
      <c r="A53697" s="3" t="str">
        <f>IFERROR(__xludf.DUMMYFUNCTION("GOOGLETRANSLATE(A53697,""en"",""pt"")"),"Sony top-notch qualidade de construção, todas as características agradáveis, menus simples, fiável")</f>
        <v>Sony top-notch qualidade de construção, todas as características agradáveis, menus simples, fiável</v>
      </c>
      <c r="B53697" s="3">
        <v>1</v>
      </c>
    </row>
    <row r="53698" ht="15.75" customHeight="1" spans="1:2">
      <c r="A53698" s="3" t="str">
        <f>IFERROR(__xludf.DUMMYFUNCTION("GOOGLETRANSLATE(A53698,""en"",""pt"")"),"Todos os sinos e assobios. A capacidade de assumir a preto e branco ou a cores.")</f>
        <v>Todos os sinos e assobios. A capacidade de assumir a preto e branco ou a cores.</v>
      </c>
      <c r="B53698" s="3">
        <v>1</v>
      </c>
    </row>
    <row r="53699" ht="15.75" customHeight="1" spans="1:2">
      <c r="A53699" s="3" t="str">
        <f>IFERROR(__xludf.DUMMYFUNCTION("GOOGLETRANSLATE(A53699,""en"",""pt"")"),"Fácil de usar, vem com uma unidade de disquete, durável e excelente vida útil da bateria")</f>
        <v>Fácil de usar, vem com uma unidade de disquete, durável e excelente vida útil da bateria</v>
      </c>
      <c r="B53699" s="3">
        <v>1</v>
      </c>
    </row>
    <row r="53700" ht="15.75" customHeight="1" spans="1:2">
      <c r="A53700" s="3" t="str">
        <f>IFERROR(__xludf.DUMMYFUNCTION("GOOGLETRANSLATE(A53700,""en"",""pt"")"),"O disquete, a facilidade de uso, pintos adorar.")</f>
        <v>O disquete, a facilidade de uso, pintos adorar.</v>
      </c>
      <c r="B53700" s="3">
        <v>1</v>
      </c>
    </row>
    <row r="53701" ht="15.75" customHeight="1" spans="1:2">
      <c r="A53701" s="3" t="str">
        <f>IFERROR(__xludf.DUMMYFUNCTION("GOOGLETRANSLATE(A53701,""en"",""pt"")"),"Custo,")</f>
        <v>Custo,</v>
      </c>
      <c r="B53701" s="3">
        <v>1</v>
      </c>
    </row>
    <row r="53702" ht="15.75" customHeight="1" spans="1:2">
      <c r="A53702" s="3" t="str">
        <f>IFERROR(__xludf.DUMMYFUNCTION("GOOGLETRANSLATE(A53702,""en"",""pt"")"),"TUDO")</f>
        <v>TUDO</v>
      </c>
      <c r="B53702" s="3">
        <v>1</v>
      </c>
    </row>
    <row r="53703" ht="15.75" customHeight="1" spans="1:2">
      <c r="A53703" s="3" t="str">
        <f>IFERROR(__xludf.DUMMYFUNCTION("GOOGLETRANSLATE(A53703,""en"",""pt"")"),"qualidade Sony, armazenamento ilimitado, ótimas fotos")</f>
        <v>qualidade Sony, armazenamento ilimitado, ótimas fotos</v>
      </c>
      <c r="B53703" s="3">
        <v>1</v>
      </c>
    </row>
    <row r="53704" ht="15.75" customHeight="1" spans="1:2">
      <c r="A53704" s="3" t="str">
        <f>IFERROR(__xludf.DUMMYFUNCTION("GOOGLETRANSLATE(A53704,""en"",""pt"")"),"disquete, bateria recarregável, duráveis, óptica")</f>
        <v>disquete, bateria recarregável, duráveis, óptica</v>
      </c>
      <c r="B53704" s="3">
        <v>1</v>
      </c>
    </row>
    <row r="53705" ht="15.75" customHeight="1" spans="1:2">
      <c r="A53705" s="3" t="str">
        <f>IFERROR(__xludf.DUMMYFUNCTION("GOOGLETRANSLATE(A53705,""en"",""pt"")"),"usando disquete, bateria de longa duração é realmente longa vida, simples de usar")</f>
        <v>usando disquete, bateria de longa duração é realmente longa vida, simples de usar</v>
      </c>
      <c r="B53705" s="3">
        <v>1</v>
      </c>
    </row>
    <row r="53706" ht="15.75" customHeight="1" spans="1:2">
      <c r="A53706" s="3" t="str">
        <f>IFERROR(__xludf.DUMMYFUNCTION("GOOGLETRANSLATE(A53706,""en"",""pt"")"),"Facilidade de uso, qualidade, armazenamento de disco flexível")</f>
        <v>Facilidade de uso, qualidade, armazenamento de disco flexível</v>
      </c>
      <c r="B53706" s="3">
        <v>1</v>
      </c>
    </row>
    <row r="53707" ht="15.75" customHeight="1" spans="1:2">
      <c r="A53707" s="3" t="str">
        <f>IFERROR(__xludf.DUMMYFUNCTION("GOOGLETRANSLATE(A53707,""en"",""pt"")"),"Muitas opções diferentes")</f>
        <v>Muitas opções diferentes</v>
      </c>
      <c r="B53707" s="3">
        <v>1</v>
      </c>
    </row>
    <row r="53708" ht="15.75" customHeight="1" spans="1:2">
      <c r="A53708" s="3" t="str">
        <f>IFERROR(__xludf.DUMMYFUNCTION("GOOGLETRANSLATE(A53708,""en"",""pt"")"),"Basta usar um disquete")</f>
        <v>Basta usar um disquete</v>
      </c>
      <c r="B53708" s="3">
        <v>1</v>
      </c>
    </row>
    <row r="53709" ht="15.75" customHeight="1" spans="1:2">
      <c r="A53709" s="3" t="str">
        <f>IFERROR(__xludf.DUMMYFUNCTION("GOOGLETRANSLATE(A53709,""en"",""pt"")"),"ótimo")</f>
        <v>ótimo</v>
      </c>
      <c r="B53709" s="3">
        <v>1</v>
      </c>
    </row>
    <row r="53710" ht="15.75" customHeight="1" spans="1:2">
      <c r="A53710" s="3" t="str">
        <f>IFERROR(__xludf.DUMMYFUNCTION("GOOGLETRANSLATE(A53710,""en"",""pt"")"),"bateria de longa duração")</f>
        <v>bateria de longa duração</v>
      </c>
      <c r="B53710" s="3">
        <v>1</v>
      </c>
    </row>
    <row r="53711" ht="15.75" customHeight="1" spans="1:2">
      <c r="A53711" s="3" t="str">
        <f>IFERROR(__xludf.DUMMYFUNCTION("GOOGLETRANSLATE(A53711,""en"",""pt"")"),"Confiável, fácil, flexível é melhor em conveniência.")</f>
        <v>Confiável, fácil, flexível é melhor em conveniência.</v>
      </c>
      <c r="B53711" s="3">
        <v>1</v>
      </c>
    </row>
    <row r="53712" ht="15.75" customHeight="1" spans="1:2">
      <c r="A53712" s="3" t="str">
        <f>IFERROR(__xludf.DUMMYFUNCTION("GOOGLETRANSLATE(A53712,""en"",""pt"")"),"Usando um disquete, em seguida, ser capaz de usar o computador torna mais fácil.")</f>
        <v>Usando um disquete, em seguida, ser capaz de usar o computador torna mais fácil.</v>
      </c>
      <c r="B53712" s="3">
        <v>1</v>
      </c>
    </row>
    <row r="53713" ht="15.75" customHeight="1" spans="1:2">
      <c r="A53713" s="3" t="str">
        <f>IFERROR(__xludf.DUMMYFUNCTION("GOOGLETRANSLATE(A53713,""en"",""pt"")"),"Disk mudar para fora")</f>
        <v>Disk mudar para fora</v>
      </c>
      <c r="B53713" s="3">
        <v>1</v>
      </c>
    </row>
    <row r="53714" ht="15.75" customHeight="1" spans="1:2">
      <c r="A53714" s="3" t="str">
        <f>IFERROR(__xludf.DUMMYFUNCTION("GOOGLETRANSLATE(A53714,""en"",""pt"")"),"Leva tempo para salvar a imagem para o disco, e se você está salvando um MPEG no disco que leva um bom 10-30 segundos para gravação em disco, ao tentar capturar vários rápidas fotos de esquecê-lo, muito lento.")</f>
        <v>Leva tempo para salvar a imagem para o disco, e se você está salvando um MPEG no disco que leva um bom 10-30 segundos para gravação em disco, ao tentar capturar vários rápidas fotos de esquecê-lo, muito lento.</v>
      </c>
      <c r="B53714" s="3">
        <v>1</v>
      </c>
    </row>
    <row r="53715" ht="15.75" customHeight="1" spans="1:2">
      <c r="A53715" s="3" t="str">
        <f>IFERROR(__xludf.DUMMYFUNCTION("GOOGLETRANSLATE(A53715,""en"",""pt"")"),"close-ups excelentes")</f>
        <v>close-ups excelentes</v>
      </c>
      <c r="B53715" s="3">
        <v>1</v>
      </c>
    </row>
    <row r="53716" ht="15.75" customHeight="1" spans="1:2">
      <c r="A53716" s="3" t="str">
        <f>IFERROR(__xludf.DUMMYFUNCTION("GOOGLETRANSLATE(A53716,""en"",""pt"")"),"portátil, levá-lo em qualquer lugar, apenas no pop e ir")</f>
        <v>portátil, levá-lo em qualquer lugar, apenas no pop e ir</v>
      </c>
      <c r="B53716" s="3">
        <v>1</v>
      </c>
    </row>
    <row r="53717" ht="15.75" customHeight="1" spans="1:2">
      <c r="A53717" s="3" t="str">
        <f>IFERROR(__xludf.DUMMYFUNCTION("GOOGLETRANSLATE(A53717,""en"",""pt"")"),"3.5 flexível, fácil de usar")</f>
        <v>3.5 flexível, fácil de usar</v>
      </c>
      <c r="B53717" s="3">
        <v>1</v>
      </c>
    </row>
    <row r="53718" ht="15.75" customHeight="1" spans="1:2">
      <c r="A53718" s="3" t="str">
        <f>IFERROR(__xludf.DUMMYFUNCTION("GOOGLETRANSLATE(A53718,""en"",""pt"")"),"FÁCIL DE USAR!!! Sem cabos, sem fios, sem espalhafato")</f>
        <v>FÁCIL DE USAR!!! Sem cabos, sem fios, sem espalhafato</v>
      </c>
      <c r="B53718" s="3">
        <v>1</v>
      </c>
    </row>
    <row r="53719" ht="15.75" customHeight="1" spans="1:2">
      <c r="A53719" s="3" t="str">
        <f>IFERROR(__xludf.DUMMYFUNCTION("GOOGLETRANSLATE(A53719,""en"",""pt"")"),"ótimas fotos")</f>
        <v>ótimas fotos</v>
      </c>
      <c r="B53719" s="3">
        <v>1</v>
      </c>
    </row>
    <row r="53720" ht="15.75" customHeight="1" spans="1:2">
      <c r="A53720" s="3" t="str">
        <f>IFERROR(__xludf.DUMMYFUNCTION("GOOGLETRANSLATE(A53720,""en"",""pt"")"),"Absolutamente tudo sobre esta câmera")</f>
        <v>Absolutamente tudo sobre esta câmera</v>
      </c>
      <c r="B53720" s="3">
        <v>1</v>
      </c>
    </row>
    <row r="53721" ht="15.75" customHeight="1" spans="1:2">
      <c r="A53721" s="3" t="str">
        <f>IFERROR(__xludf.DUMMYFUNCTION("GOOGLETRANSLATE(A53721,""en"",""pt"")"),"Fácil de usar, disquete para Cinema, qualquer um pode usar esta câmera!")</f>
        <v>Fácil de usar, disquete para Cinema, qualquer um pode usar esta câmera!</v>
      </c>
      <c r="B53721" s="3">
        <v>1</v>
      </c>
    </row>
    <row r="53722" ht="15.75" customHeight="1" spans="1:2">
      <c r="A53722" s="3" t="str">
        <f>IFERROR(__xludf.DUMMYFUNCTION("GOOGLETRANSLATE(A53722,""en"",""pt"")"),"Fácil de usar, conexões de cabos Não precisava")</f>
        <v>Fácil de usar, conexões de cabos Não precisava</v>
      </c>
      <c r="B53722" s="3">
        <v>1</v>
      </c>
    </row>
    <row r="53723" ht="15.75" customHeight="1" spans="1:2">
      <c r="A53723" s="3" t="str">
        <f>IFERROR(__xludf.DUMMYFUNCTION("GOOGLETRANSLATE(A53723,""en"",""pt"")"),"disquete como mídia de armazenamento")</f>
        <v>disquete como mídia de armazenamento</v>
      </c>
      <c r="B53723" s="3">
        <v>1</v>
      </c>
    </row>
    <row r="53724" ht="15.75" customHeight="1" spans="1:2">
      <c r="A53724" s="3" t="str">
        <f>IFERROR(__xludf.DUMMYFUNCTION("GOOGLETRANSLATE(A53724,""en"",""pt"")"),"Salva para conveniente 3,5 &amp; amp; quot; Disco")</f>
        <v>Salva para conveniente 3,5 &amp; amp; quot; Disco</v>
      </c>
      <c r="B53724" s="3">
        <v>1</v>
      </c>
    </row>
    <row r="53725" ht="15.75" customHeight="1" spans="1:2">
      <c r="A53725" s="3" t="str">
        <f>IFERROR(__xludf.DUMMYFUNCTION("GOOGLETRANSLATE(A53725,""en"",""pt"")"),"Qualidade, flexibilty e facilidade de uso")</f>
        <v>Qualidade, flexibilty e facilidade de uso</v>
      </c>
      <c r="B53725" s="3">
        <v>1</v>
      </c>
    </row>
    <row r="53726" ht="15.75" customHeight="1" spans="1:2">
      <c r="A53726" s="3" t="str">
        <f>IFERROR(__xludf.DUMMYFUNCTION("GOOGLETRANSLATE(A53726,""en"",""pt"")"),"disquetes são baratos &amp; amp; quot; filme digital de &amp; amp; quot ;, bom para web sites, fácil de usar")</f>
        <v>disquetes são baratos &amp; amp; quot; filme digital de &amp; amp; quot ;, bom para web sites, fácil de usar</v>
      </c>
      <c r="B53726" s="3">
        <v>1</v>
      </c>
    </row>
    <row r="53727" ht="15.75" customHeight="1" spans="1:2">
      <c r="A53727" s="3" t="str">
        <f>IFERROR(__xludf.DUMMYFUNCTION("GOOGLETRANSLATE(A53727,""en"",""pt"")"),"É legal, você pode apagar fotos ruins")</f>
        <v>É legal, você pode apagar fotos ruins</v>
      </c>
      <c r="B53727" s="3">
        <v>1</v>
      </c>
    </row>
    <row r="53728" ht="15.75" customHeight="1" spans="1:2">
      <c r="A53728" s="3" t="str">
        <f>IFERROR(__xludf.DUMMYFUNCTION("GOOGLETRANSLATE(A53728,""en"",""pt"")"),"muito fácil de usar, portátil, rápido, impressionante!")</f>
        <v>muito fácil de usar, portátil, rápido, impressionante!</v>
      </c>
      <c r="B53728" s="3">
        <v>1</v>
      </c>
    </row>
    <row r="53729" ht="15.75" customHeight="1" spans="1:2">
      <c r="A53729" s="3" t="str">
        <f>IFERROR(__xludf.DUMMYFUNCTION("GOOGLETRANSLATE(A53729,""en"",""pt"")"),"Facilidade de utilização, muitas funções")</f>
        <v>Facilidade de utilização, muitas funções</v>
      </c>
      <c r="B53729" s="3">
        <v>1</v>
      </c>
    </row>
    <row r="53730" ht="15.75" customHeight="1" spans="1:2">
      <c r="A53730" s="3" t="str">
        <f>IFERROR(__xludf.DUMMYFUNCTION("GOOGLETRANSLATE(A53730,""en"",""pt"")"),"usar para tirar lugares e você terá ótimas fotos")</f>
        <v>usar para tirar lugares e você terá ótimas fotos</v>
      </c>
      <c r="B53730" s="3">
        <v>1</v>
      </c>
    </row>
    <row r="53731" ht="15.75" customHeight="1" spans="1:2">
      <c r="A53731" s="3" t="str">
        <f>IFERROR(__xludf.DUMMYFUNCTION("GOOGLETRANSLATE(A53731,""en"",""pt"")"),"Grandes imagens, fácil armazenamento")</f>
        <v>Grandes imagens, fácil armazenamento</v>
      </c>
      <c r="B53731" s="3">
        <v>1</v>
      </c>
    </row>
    <row r="53732" ht="15.75" customHeight="1" spans="1:2">
      <c r="A53732" s="3" t="str">
        <f>IFERROR(__xludf.DUMMYFUNCTION("GOOGLETRANSLATE(A53732,""en"",""pt"")"),"Cargas no disco, ótima resolução, fácil de usar")</f>
        <v>Cargas no disco, ótima resolução, fácil de usar</v>
      </c>
      <c r="B53732" s="3">
        <v>1</v>
      </c>
    </row>
    <row r="53733" ht="15.75" customHeight="1" spans="1:2">
      <c r="A53733" s="3" t="str">
        <f>IFERROR(__xludf.DUMMYFUNCTION("GOOGLETRANSLATE(A53733,""en"",""pt"")"),"velocidade, confiabilidade, disquete ...")</f>
        <v>velocidade, confiabilidade, disquete ...</v>
      </c>
      <c r="B53733" s="3">
        <v>1</v>
      </c>
    </row>
    <row r="53734" ht="15.75" customHeight="1" spans="1:2">
      <c r="A53734" s="3" t="str">
        <f>IFERROR(__xludf.DUMMYFUNCTION("GOOGLETRANSLATE(A53734,""en"",""pt"")"),"Toma um amplificador 3.5 &amp;; quot; disco")</f>
        <v>Toma um amplificador 3.5 &amp;; quot; disco</v>
      </c>
      <c r="B53734" s="3">
        <v>1</v>
      </c>
    </row>
    <row r="53735" ht="15.75" customHeight="1" spans="1:2">
      <c r="A53735" s="3" t="str">
        <f>IFERROR(__xludf.DUMMYFUNCTION("GOOGLETRANSLATE(A53735,""en"",""pt"")"),"Excelente qualidade a um preço razoável.")</f>
        <v>Excelente qualidade a um preço razoável.</v>
      </c>
      <c r="B53735" s="3">
        <v>1</v>
      </c>
    </row>
    <row r="53736" ht="15.75" customHeight="1" spans="1:2">
      <c r="A53736" s="3" t="str">
        <f>IFERROR(__xludf.DUMMYFUNCTION("GOOGLETRANSLATE(A53736,""en"",""pt"")"),"Muito fácil &amp; amp; amp; divertido de usar, ótimo qualidade de imagem, capacidade de disco flexível, a qualidade Sony")</f>
        <v>Muito fácil &amp; amp; amp; divertido de usar, ótimo qualidade de imagem, capacidade de disco flexível, a qualidade Sony</v>
      </c>
      <c r="B53736" s="3">
        <v>1</v>
      </c>
    </row>
    <row r="53737" ht="15.75" customHeight="1" spans="1:2">
      <c r="A53737" s="3" t="str">
        <f>IFERROR(__xludf.DUMMYFUNCTION("GOOGLETRANSLATE(A53737,""en"",""pt"")"),"Usos disquetes")</f>
        <v>Usos disquetes</v>
      </c>
      <c r="B53737" s="3">
        <v>1</v>
      </c>
    </row>
    <row r="53738" ht="15.75" customHeight="1" spans="1:2">
      <c r="A53738" s="3" t="str">
        <f>IFERROR(__xludf.DUMMYFUNCTION("GOOGLETRANSLATE(A53738,""en"",""pt"")"),"disquetes")</f>
        <v>disquetes</v>
      </c>
      <c r="B53738" s="3">
        <v>1</v>
      </c>
    </row>
    <row r="53739" ht="15.75" customHeight="1" spans="1:2">
      <c r="A53739" s="3" t="str">
        <f>IFERROR(__xludf.DUMMYFUNCTION("GOOGLETRANSLATE(A53739,""en"",""pt"")"),"velocidade, facilidade de transporte para PC, qualidade das imagens, vale a diferença")</f>
        <v>velocidade, facilidade de transporte para PC, qualidade das imagens, vale a diferença</v>
      </c>
      <c r="B53739" s="3">
        <v>1</v>
      </c>
    </row>
    <row r="53740" ht="15.75" customHeight="1" spans="1:2">
      <c r="A53740" s="3" t="str">
        <f>IFERROR(__xludf.DUMMYFUNCTION("GOOGLETRANSLATE(A53740,""en"",""pt"")"),"TUDO")</f>
        <v>TUDO</v>
      </c>
      <c r="B53740" s="3">
        <v>1</v>
      </c>
    </row>
    <row r="53741" ht="15.75" customHeight="1" spans="1:2">
      <c r="A53741" s="3" t="str">
        <f>IFERROR(__xludf.DUMMYFUNCTION("GOOGLETRANSLATE(A53741,""en"",""pt"")"),"Armazena imagens em disquete regular, Sony Confiabilidade")</f>
        <v>Armazena imagens em disquete regular, Sony Confiabilidade</v>
      </c>
      <c r="B53741" s="3">
        <v>1</v>
      </c>
    </row>
    <row r="53742" ht="15.75" customHeight="1" spans="1:2">
      <c r="A53742" s="3" t="str">
        <f>IFERROR(__xludf.DUMMYFUNCTION("GOOGLETRANSLATE(A53742,""en"",""pt"")"),"Fácil de usar, o recurso de vídeo, visualização de imagem, sem cabos")</f>
        <v>Fácil de usar, o recurso de vídeo, visualização de imagem, sem cabos</v>
      </c>
      <c r="B53742" s="3">
        <v>1</v>
      </c>
    </row>
    <row r="53743" ht="15.75" customHeight="1" spans="1:2">
      <c r="A53743" s="3" t="str">
        <f>IFERROR(__xludf.DUMMYFUNCTION("GOOGLETRANSLATE(A53743,""en"",""pt"")"),"simplicidade")</f>
        <v>simplicidade</v>
      </c>
      <c r="B53743" s="3">
        <v>1</v>
      </c>
    </row>
    <row r="53744" ht="15.75" customHeight="1" spans="1:2">
      <c r="A53744" s="3" t="str">
        <f>IFERROR(__xludf.DUMMYFUNCTION("GOOGLETRANSLATE(A53744,""en"",""pt"")"),"Facilidade de uso, Floppy como filme, recurso MPEG, Built-in efeitos de imagem")</f>
        <v>Facilidade de uso, Floppy como filme, recurso MPEG, Built-in efeitos de imagem</v>
      </c>
      <c r="B53744" s="3">
        <v>1</v>
      </c>
    </row>
    <row r="53745" ht="15.75" customHeight="1" spans="1:2">
      <c r="A53745" s="3" t="str">
        <f>IFERROR(__xludf.DUMMYFUNCTION("GOOGLETRANSLATE(A53745,""en"",""pt"")"),"grande qualidade, características, durabilidade e facilidade de uso.")</f>
        <v>grande qualidade, características, durabilidade e facilidade de uso.</v>
      </c>
      <c r="B53745" s="3">
        <v>1</v>
      </c>
    </row>
    <row r="53746" ht="15.75" customHeight="1" spans="1:2">
      <c r="A53746" s="3" t="str">
        <f>IFERROR(__xludf.DUMMYFUNCTION("GOOGLETRANSLATE(A53746,""en"",""pt"")"),"Durável, confiável boas fotos")</f>
        <v>Durável, confiável boas fotos</v>
      </c>
      <c r="B53746" s="3">
        <v>1</v>
      </c>
    </row>
    <row r="53747" ht="15.75" customHeight="1" spans="1:2">
      <c r="A53747" s="3" t="str">
        <f>IFERROR(__xludf.DUMMYFUNCTION("GOOGLETRANSLATE(A53747,""en"",""pt"")"),"Fácil de usar")</f>
        <v>Fácil de usar</v>
      </c>
      <c r="B53747" s="3">
        <v>1</v>
      </c>
    </row>
    <row r="53748" ht="15.75" customHeight="1" spans="1:2">
      <c r="A53748" s="3" t="str">
        <f>IFERROR(__xludf.DUMMYFUNCTION("GOOGLETRANSLATE(A53748,""en"",""pt"")"),"Robusta, muito fácil de usar, boa qualidade geral. Uso de disquetes é barato e fácil.")</f>
        <v>Robusta, muito fácil de usar, boa qualidade geral. Uso de disquetes é barato e fácil.</v>
      </c>
      <c r="B53748" s="3">
        <v>1</v>
      </c>
    </row>
    <row r="53749" ht="15.75" customHeight="1" spans="1:2">
      <c r="A53749" s="3" t="str">
        <f>IFERROR(__xludf.DUMMYFUNCTION("GOOGLETRANSLATE(A53749,""en"",""pt"")"),"armazena imagens de disquete de alta qualidade, facilidade de utilização,")</f>
        <v>armazena imagens de disquete de alta qualidade, facilidade de utilização,</v>
      </c>
      <c r="B53749" s="3">
        <v>1</v>
      </c>
    </row>
    <row r="53750" ht="15.75" customHeight="1" spans="1:2">
      <c r="A53750" s="3" t="str">
        <f>IFERROR(__xludf.DUMMYFUNCTION("GOOGLETRANSLATE(A53750,""en"",""pt"")"),"Fácil de usar. go de disquete diretamente da câmera para o PC para edição de &amp; amp; e-mail.")</f>
        <v>Fácil de usar. go de disquete diretamente da câmera para o PC para edição de &amp; amp; e-mail.</v>
      </c>
      <c r="B53750" s="3">
        <v>1</v>
      </c>
    </row>
    <row r="53751" ht="15.75" customHeight="1" spans="1:2">
      <c r="A53751" s="3" t="str">
        <f>IFERROR(__xludf.DUMMYFUNCTION("GOOGLETRANSLATE(A53751,""en"",""pt"")"),"Grande potencial, ótimo preço, excelente sensação, grande tudo.")</f>
        <v>Grande potencial, ótimo preço, excelente sensação, grande tudo.</v>
      </c>
      <c r="B53751" s="3">
        <v>1</v>
      </c>
    </row>
    <row r="53752" ht="15.75" customHeight="1" spans="1:2">
      <c r="A53752" s="3" t="str">
        <f>IFERROR(__xludf.DUMMYFUNCTION("GOOGLETRANSLATE(A53752,""en"",""pt"")"),"grande clearity, preço decente")</f>
        <v>grande clearity, preço decente</v>
      </c>
      <c r="B53752" s="3">
        <v>1</v>
      </c>
    </row>
    <row r="53753" ht="15.75" customHeight="1" spans="1:2">
      <c r="A53753" s="3" t="str">
        <f>IFERROR(__xludf.DUMMYFUNCTION("GOOGLETRANSLATE(A53753,""en"",""pt"")"),"Fácil de usar, ótimas fotos, versátil, sem cartões ""especiais"" são necessários para manter fotos")</f>
        <v>Fácil de usar, ótimas fotos, versátil, sem cartões "especiais" são necessários para manter fotos</v>
      </c>
      <c r="B53753" s="3">
        <v>1</v>
      </c>
    </row>
    <row r="53754" ht="15.75" customHeight="1" spans="1:2">
      <c r="A53754" s="3" t="str">
        <f>IFERROR(__xludf.DUMMYFUNCTION("GOOGLETRANSLATE(A53754,""en"",""pt"")"),"Fácil de usar. Imagens de grande qualidade. Simples processo de transferência de imagens. Bom sistema de menu.")</f>
        <v>Fácil de usar. Imagens de grande qualidade. Simples processo de transferência de imagens. Bom sistema de menu.</v>
      </c>
      <c r="B53754" s="3">
        <v>1</v>
      </c>
    </row>
    <row r="53755" ht="15.75" customHeight="1" spans="1:2">
      <c r="A53755" s="3" t="str">
        <f>IFERROR(__xludf.DUMMYFUNCTION("GOOGLETRANSLATE(A53755,""en"",""pt"")"),"Durabilidade, boa câmera")</f>
        <v>Durabilidade, boa câmera</v>
      </c>
      <c r="B53755" s="3">
        <v>1</v>
      </c>
    </row>
    <row r="53756" ht="15.75" customHeight="1" spans="1:2">
      <c r="A53756" s="3" t="str">
        <f>IFERROR(__xludf.DUMMYFUNCTION("GOOGLETRANSLATE(A53756,""en"",""pt"")"),"Handy, muito fácil de usar, os disquetes para a transferência fácil e duradouro")</f>
        <v>Handy, muito fácil de usar, os disquetes para a transferência fácil e duradouro</v>
      </c>
      <c r="B53756" s="3">
        <v>1</v>
      </c>
    </row>
    <row r="53757" ht="15.75" customHeight="1" spans="1:2">
      <c r="A53757" s="3" t="str">
        <f>IFERROR(__xludf.DUMMYFUNCTION("GOOGLETRANSLATE(A53757,""en"",""pt"")"),"Clique no botão FUNCIONA!")</f>
        <v>Clique no botão FUNCIONA!</v>
      </c>
      <c r="B53757" s="3">
        <v>1</v>
      </c>
    </row>
    <row r="53758" ht="15.75" customHeight="1" spans="1:2">
      <c r="A53758" s="3" t="str">
        <f>IFERROR(__xludf.DUMMYFUNCTION("GOOGLETRANSLATE(A53758,""en"",""pt"")"),"Assim fácil de usar, eu não precisava do manual.")</f>
        <v>Assim fácil de usar, eu não precisava do manual.</v>
      </c>
      <c r="B53758" s="3">
        <v>1</v>
      </c>
    </row>
    <row r="53759" ht="15.75" customHeight="1" spans="1:2">
      <c r="A53759" s="3" t="str">
        <f>IFERROR(__xludf.DUMMYFUNCTION("GOOGLETRANSLATE(A53759,""en"",""pt"")"),"belíssimas imagens, carregado com características, armazenamento disquete barato, e sem cabos ou downloads necessários!")</f>
        <v>belíssimas imagens, carregado com características, armazenamento disquete barato, e sem cabos ou downloads necessários!</v>
      </c>
      <c r="B53759" s="3">
        <v>1</v>
      </c>
    </row>
    <row r="53760" ht="15.75" customHeight="1" spans="1:2">
      <c r="A53760" s="3" t="str">
        <f>IFERROR(__xludf.DUMMYFUNCTION("GOOGLETRANSLATE(A53760,""en"",""pt"")"),"muito fácil e acessível para uso")</f>
        <v>muito fácil e acessível para uso</v>
      </c>
      <c r="B53760" s="3">
        <v>1</v>
      </c>
    </row>
    <row r="53761" ht="15.75" customHeight="1" spans="1:2">
      <c r="A53761" s="3" t="str">
        <f>IFERROR(__xludf.DUMMYFUNCTION("GOOGLETRANSLATE(A53761,""en"",""pt"")"),"facilidade de uso, peso leve, portabilidade")</f>
        <v>facilidade de uso, peso leve, portabilidade</v>
      </c>
      <c r="B53761" s="3">
        <v>1</v>
      </c>
    </row>
    <row r="53762" ht="15.75" customHeight="1" spans="1:2">
      <c r="A53762" s="3" t="str">
        <f>IFERROR(__xludf.DUMMYFUNCTION("GOOGLETRANSLATE(A53762,""en"",""pt"")"),"Muito fácil de usar.")</f>
        <v>Muito fácil de usar.</v>
      </c>
      <c r="B53762" s="3">
        <v>1</v>
      </c>
    </row>
    <row r="53763" ht="15.75" customHeight="1" spans="1:2">
      <c r="A53763" s="3" t="str">
        <f>IFERROR(__xludf.DUMMYFUNCTION("GOOGLETRANSLATE(A53763,""en"",""pt"")"),"Fácil de usar")</f>
        <v>Fácil de usar</v>
      </c>
      <c r="B53763" s="3">
        <v>1</v>
      </c>
    </row>
    <row r="53764" ht="15.75" customHeight="1" spans="1:2">
      <c r="A53764" s="3" t="str">
        <f>IFERROR(__xludf.DUMMYFUNCTION("GOOGLETRANSLATE(A53764,""en"",""pt"")"),"meios flexíveis, zoom óptico, a capacidade Mpeg")</f>
        <v>meios flexíveis, zoom óptico, a capacidade Mpeg</v>
      </c>
      <c r="B53764" s="3">
        <v>1</v>
      </c>
    </row>
    <row r="53765" ht="15.75" customHeight="1" spans="1:2">
      <c r="A53765" s="3" t="str">
        <f>IFERROR(__xludf.DUMMYFUNCTION("GOOGLETRANSLATE(A53765,""en"",""pt"")"),"flexibilidade, facilidade de uso")</f>
        <v>flexibilidade, facilidade de uso</v>
      </c>
      <c r="B53765" s="3">
        <v>1</v>
      </c>
    </row>
    <row r="53766" ht="15.75" customHeight="1" spans="1:2">
      <c r="A53766" s="3" t="str">
        <f>IFERROR(__xludf.DUMMYFUNCTION("GOOGLETRANSLATE(A53766,""en"",""pt"")"),"Fácil de usar")</f>
        <v>Fácil de usar</v>
      </c>
      <c r="B53766" s="3">
        <v>1</v>
      </c>
    </row>
    <row r="53767" ht="15.75" customHeight="1" spans="1:2">
      <c r="A53767" s="3" t="str">
        <f>IFERROR(__xludf.DUMMYFUNCTION("GOOGLETRANSLATE(A53767,""en"",""pt"")"),"Fácil de usar, ótimas fotos, as impressões mesmo acabou maravilhosamente")</f>
        <v>Fácil de usar, ótimas fotos, as impressões mesmo acabou maravilhosamente</v>
      </c>
      <c r="B53767" s="3">
        <v>1</v>
      </c>
    </row>
    <row r="53768" ht="15.75" customHeight="1" spans="1:2">
      <c r="A53768" s="3" t="str">
        <f>IFERROR(__xludf.DUMMYFUNCTION("GOOGLETRANSLATE(A53768,""en"",""pt"")"),"fotos de baixo custo, corpo robusto,")</f>
        <v>fotos de baixo custo, corpo robusto,</v>
      </c>
      <c r="B53768" s="3">
        <v>1</v>
      </c>
    </row>
    <row r="53769" ht="15.75" customHeight="1" spans="1:2">
      <c r="A53769" s="3" t="str">
        <f>IFERROR(__xludf.DUMMYFUNCTION("GOOGLETRANSLATE(A53769,""en"",""pt"")"),"usar para fotos e-mail, nenhum filme!, vista na TV")</f>
        <v>usar para fotos e-mail, nenhum filme!, vista na TV</v>
      </c>
      <c r="B53769" s="3">
        <v>1</v>
      </c>
    </row>
    <row r="53770" ht="15.75" customHeight="1" spans="1:2">
      <c r="A53770" s="3" t="str">
        <f>IFERROR(__xludf.DUMMYFUNCTION("GOOGLETRANSLATE(A53770,""en"",""pt"")"),"De disco flexível por FÁCIL E VERSÁTIL ACCESS, MPEG MOVIE RECURSO")</f>
        <v>De disco flexível por FÁCIL E VERSÁTIL ACCESS, MPEG MOVIE RECURSO</v>
      </c>
      <c r="B53770" s="3">
        <v>1</v>
      </c>
    </row>
    <row r="53771" ht="15.75" customHeight="1" spans="1:2">
      <c r="A53771" s="3" t="str">
        <f>IFERROR(__xludf.DUMMYFUNCTION("GOOGLETRANSLATE(A53771,""en"",""pt"")"),"Facilidade, qualidade de energia da bateria, características, em uma classe compra em si")</f>
        <v>Facilidade, qualidade de energia da bateria, características, em uma classe compra em si</v>
      </c>
      <c r="B53771" s="3">
        <v>1</v>
      </c>
    </row>
    <row r="53772" ht="15.75" customHeight="1" spans="1:2">
      <c r="A53772" s="3" t="str">
        <f>IFERROR(__xludf.DUMMYFUNCTION("GOOGLETRANSLATE(A53772,""en"",""pt"")"),"Facilidade de uso, importability de fotos em mais qualquer sistema")</f>
        <v>Facilidade de uso, importability de fotos em mais qualquer sistema</v>
      </c>
      <c r="B53772" s="3">
        <v>1</v>
      </c>
    </row>
    <row r="53773" ht="15.75" customHeight="1" spans="1:2">
      <c r="A53773" s="3" t="str">
        <f>IFERROR(__xludf.DUMMYFUNCTION("GOOGLETRANSLATE(A53773,""en"",""pt"")"),"Fácil de usar, usa disquetes")</f>
        <v>Fácil de usar, usa disquetes</v>
      </c>
      <c r="B53773" s="3">
        <v>1</v>
      </c>
    </row>
    <row r="53774" ht="15.75" customHeight="1" spans="1:2">
      <c r="A53774" s="3" t="str">
        <f>IFERROR(__xludf.DUMMYFUNCTION("GOOGLETRANSLATE(A53774,""en"",""pt"")"),"memória de disco, bateria, facilidade de utilização, qualidade de imagem")</f>
        <v>memória de disco, bateria, facilidade de utilização, qualidade de imagem</v>
      </c>
      <c r="B53774" s="3">
        <v>1</v>
      </c>
    </row>
    <row r="53775" ht="15.75" customHeight="1" spans="1:2">
      <c r="A53775" s="3" t="str">
        <f>IFERROR(__xludf.DUMMYFUNCTION("GOOGLETRANSLATE(A53775,""en"",""pt"")"),"Simple &amp; amp; amp; fácil de usar!")</f>
        <v>Simple &amp; amp; amp; fácil de usar!</v>
      </c>
      <c r="B53775" s="3">
        <v>1</v>
      </c>
    </row>
    <row r="53776" ht="15.75" customHeight="1" spans="1:2">
      <c r="A53776" s="3" t="str">
        <f>IFERROR(__xludf.DUMMYFUNCTION("GOOGLETRANSLATE(A53776,""en"",""pt"")"),"Facilidade de uso, ótimas fotos")</f>
        <v>Facilidade de uso, ótimas fotos</v>
      </c>
      <c r="B53776" s="3">
        <v>1</v>
      </c>
    </row>
    <row r="53777" ht="15.75" customHeight="1" spans="1:2">
      <c r="A53777" s="3" t="str">
        <f>IFERROR(__xludf.DUMMYFUNCTION("GOOGLETRANSLATE(A53777,""en"",""pt"")"),"Ótimas fotos")</f>
        <v>Ótimas fotos</v>
      </c>
      <c r="B53777" s="3">
        <v>1</v>
      </c>
    </row>
    <row r="53778" ht="15.75" customHeight="1" spans="1:2">
      <c r="A53778" s="3" t="str">
        <f>IFERROR(__xludf.DUMMYFUNCTION("GOOGLETRANSLATE(A53778,""en"",""pt"")"),"bateria recarregável, fácil de usar")</f>
        <v>bateria recarregável, fácil de usar</v>
      </c>
      <c r="B53778" s="3">
        <v>1</v>
      </c>
    </row>
    <row r="53779" ht="15.75" customHeight="1" spans="1:2">
      <c r="A53779" s="3" t="str">
        <f>IFERROR(__xludf.DUMMYFUNCTION("GOOGLETRANSLATE(A53779,""en"",""pt"")"),"Fácil de usar, multi funcional")</f>
        <v>Fácil de usar, multi funcional</v>
      </c>
      <c r="B53779" s="3">
        <v>1</v>
      </c>
    </row>
    <row r="53780" ht="15.75" customHeight="1" spans="1:2">
      <c r="A53780" s="3" t="str">
        <f>IFERROR(__xludf.DUMMYFUNCTION("GOOGLETRANSLATE(A53780,""en"",""pt"")"),"Grande imagem ... fácil de usar")</f>
        <v>Grande imagem ... fácil de usar</v>
      </c>
      <c r="B53780" s="3">
        <v>1</v>
      </c>
    </row>
    <row r="53781" ht="15.75" customHeight="1" spans="1:2">
      <c r="A53781" s="3" t="str">
        <f>IFERROR(__xludf.DUMMYFUNCTION("GOOGLETRANSLATE(A53781,""en"",""pt"")"),"rentável, fun &amp; amp; amp; Fácil de usar, bateria de lítio recarregável, as opções feitas sob medida")</f>
        <v>rentável, fun &amp; amp; amp; Fácil de usar, bateria de lítio recarregável, as opções feitas sob medida</v>
      </c>
      <c r="B53781" s="3">
        <v>1</v>
      </c>
    </row>
    <row r="53782" ht="15.75" customHeight="1" spans="1:2">
      <c r="A53782" s="3" t="str">
        <f>IFERROR(__xludf.DUMMYFUNCTION("GOOGLETRANSLATE(A53782,""en"",""pt"")"),"Fácil de usar, muito versátil, imagem excelente")</f>
        <v>Fácil de usar, muito versátil, imagem excelente</v>
      </c>
      <c r="B53782" s="3">
        <v>1</v>
      </c>
    </row>
    <row r="53783" ht="15.75" customHeight="1" spans="1:2">
      <c r="A53783" s="3" t="str">
        <f>IFERROR(__xludf.DUMMYFUNCTION("GOOGLETRANSLATE(A53783,""en"",""pt"")"),"Grande qualidade de imagem, facilidade no uso")</f>
        <v>Grande qualidade de imagem, facilidade no uso</v>
      </c>
      <c r="B53783" s="3">
        <v>1</v>
      </c>
    </row>
    <row r="53784" ht="15.75" customHeight="1" spans="1:2">
      <c r="A53784" s="3" t="str">
        <f>IFERROR(__xludf.DUMMYFUNCTION("GOOGLETRANSLATE(A53784,""en"",""pt"")"),"Facilidade de uso, qualidade das imagens")</f>
        <v>Facilidade de uso, qualidade das imagens</v>
      </c>
      <c r="B53784" s="3">
        <v>1</v>
      </c>
    </row>
    <row r="53785" ht="15.75" customHeight="1" spans="1:2">
      <c r="A53785" s="3" t="str">
        <f>IFERROR(__xludf.DUMMYFUNCTION("GOOGLETRANSLATE(A53785,""en"",""pt"")"),"Facilidade de uso, o armazenamento flexível Conveniente, Terrific recursos, incluindo filmes MPEG")</f>
        <v>Facilidade de uso, o armazenamento flexível Conveniente, Terrific recursos, incluindo filmes MPEG</v>
      </c>
      <c r="B53785" s="3">
        <v>1</v>
      </c>
    </row>
    <row r="53786" ht="15.75" customHeight="1" spans="1:2">
      <c r="A53786" s="3" t="str">
        <f>IFERROR(__xludf.DUMMYFUNCTION("GOOGLETRANSLATE(A53786,""en"",""pt"")"),"Fácil de usar, fácil de aprender, qualidade Fotos")</f>
        <v>Fácil de usar, fácil de aprender, qualidade Fotos</v>
      </c>
      <c r="B53786" s="3">
        <v>1</v>
      </c>
    </row>
    <row r="53787" ht="15.75" customHeight="1" spans="1:2">
      <c r="A53787" s="3" t="str">
        <f>IFERROR(__xludf.DUMMYFUNCTION("GOOGLETRANSLATE(A53787,""en"",""pt"")"),"fácil de aprender, usos disquete, jogo de volta, bom para e-mail")</f>
        <v>fácil de aprender, usos disquete, jogo de volta, bom para e-mail</v>
      </c>
      <c r="B53787" s="3">
        <v>1</v>
      </c>
    </row>
    <row r="53788" ht="15.75" customHeight="1" spans="1:2">
      <c r="A53788" s="3" t="str">
        <f>IFERROR(__xludf.DUMMYFUNCTION("GOOGLETRANSLATE(A53788,""en"",""pt"")"),"Ótimas fotos. Muito fácil de usar.")</f>
        <v>Ótimas fotos. Muito fácil de usar.</v>
      </c>
      <c r="B53788" s="3">
        <v>1</v>
      </c>
    </row>
    <row r="53789" ht="15.75" customHeight="1" spans="1:2">
      <c r="A53789" s="3" t="str">
        <f>IFERROR(__xludf.DUMMYFUNCTION("GOOGLETRANSLATE(A53789,""en"",""pt"")"),"Fácil de usar, ótimas fotos, versátil, sem cartões ""especiais"" necessária para manter fotos")</f>
        <v>Fácil de usar, ótimas fotos, versátil, sem cartões "especiais" necessária para manter fotos</v>
      </c>
      <c r="B53789" s="3">
        <v>1</v>
      </c>
    </row>
    <row r="53790" ht="15.75" customHeight="1" spans="1:2">
      <c r="A53790" s="3" t="str">
        <f>IFERROR(__xludf.DUMMYFUNCTION("GOOGLETRANSLATE(A53790,""en"",""pt"")"),"preço de memória - Usa disquetes")</f>
        <v>preço de memória - Usa disquetes</v>
      </c>
      <c r="B53790" s="3">
        <v>1</v>
      </c>
    </row>
    <row r="53791" ht="15.75" customHeight="1" spans="1:2">
      <c r="A53791" s="3" t="str">
        <f>IFERROR(__xludf.DUMMYFUNCTION("GOOGLETRANSLATE(A53791,""en"",""pt"")"),"Fácil de usar")</f>
        <v>Fácil de usar</v>
      </c>
      <c r="B53791" s="3">
        <v>1</v>
      </c>
    </row>
    <row r="53792" ht="15.75" customHeight="1" spans="1:2">
      <c r="A53792" s="3" t="str">
        <f>IFERROR(__xludf.DUMMYFUNCTION("GOOGLETRANSLATE(A53792,""en"",""pt"")"),"acesso ao disco fácil")</f>
        <v>acesso ao disco fácil</v>
      </c>
      <c r="B53792" s="3">
        <v>1</v>
      </c>
    </row>
    <row r="53793" ht="15.75" customHeight="1" spans="1:2">
      <c r="A53793" s="3" t="str">
        <f>IFERROR(__xludf.DUMMYFUNCTION("GOOGLETRANSLATE(A53793,""en"",""pt"")"),"Fácil de usar, bastante barato, boas fotos em ambientes interiores e eu amo usar um disquete para armazenamento")</f>
        <v>Fácil de usar, bastante barato, boas fotos em ambientes interiores e eu amo usar um disquete para armazenamento</v>
      </c>
      <c r="B53793" s="3">
        <v>1</v>
      </c>
    </row>
    <row r="53794" ht="15.75" customHeight="1" spans="1:2">
      <c r="A53794" s="3" t="str">
        <f>IFERROR(__xludf.DUMMYFUNCTION("GOOGLETRANSLATE(A53794,""en"",""pt"")"),"No filme, nenhum filme desenvolvimento custos, conveniência")</f>
        <v>No filme, nenhum filme desenvolvimento custos, conveniência</v>
      </c>
      <c r="B53794" s="3">
        <v>1</v>
      </c>
    </row>
    <row r="53795" ht="15.75" customHeight="1" spans="1:2">
      <c r="A53795" s="3" t="str">
        <f>IFERROR(__xludf.DUMMYFUNCTION("GOOGLETRANSLATE(A53795,""en"",""pt"")"),"excelentes resultados, baixos custos de manutenção, disquetes que são baratos")</f>
        <v>excelentes resultados, baixos custos de manutenção, disquetes que são baratos</v>
      </c>
      <c r="B53795" s="3">
        <v>1</v>
      </c>
    </row>
    <row r="53796" ht="15.75" customHeight="1" spans="1:2">
      <c r="A53796" s="3" t="str">
        <f>IFERROR(__xludf.DUMMYFUNCTION("GOOGLETRANSLATE(A53796,""en"",""pt"")"),"Facilidade de uso, suporte de gravação padrão, macro e telefoto lente, vídeo.")</f>
        <v>Facilidade de uso, suporte de gravação padrão, macro e telefoto lente, vídeo.</v>
      </c>
      <c r="B53796" s="3">
        <v>1</v>
      </c>
    </row>
    <row r="53797" ht="15.75" customHeight="1" spans="1:2">
      <c r="A53797" s="3" t="str">
        <f>IFERROR(__xludf.DUMMYFUNCTION("GOOGLETRANSLATE(A53797,""en"",""pt"")"),"Fácil de usar, fotos de qualidade, prontos para visualização ou e-mail imediatamente")</f>
        <v>Fácil de usar, fotos de qualidade, prontos para visualização ou e-mail imediatamente</v>
      </c>
      <c r="B53797" s="3">
        <v>1</v>
      </c>
    </row>
    <row r="53798" ht="15.75" customHeight="1" spans="1:2">
      <c r="A53798" s="3" t="s">
        <v>281</v>
      </c>
      <c r="B53798" s="3">
        <v>1</v>
      </c>
    </row>
    <row r="53799" ht="15.75" customHeight="1" spans="1:2">
      <c r="A53799" s="3" t="str">
        <f>IFERROR(__xludf.DUMMYFUNCTION("GOOGLETRANSLATE(A53799,""en"",""pt"")"),"grandes resoluções")</f>
        <v>grandes resoluções</v>
      </c>
      <c r="B53799" s="3">
        <v>1</v>
      </c>
    </row>
    <row r="53800" ht="15.75" customHeight="1" spans="1:2">
      <c r="A53800" s="3" t="str">
        <f>IFERROR(__xludf.DUMMYFUNCTION("GOOGLETRANSLATE(A53800,""en"",""pt"")"),"Boas imagens, facilidade de uso, facilidade de desenvolvimento, e-mail, a qualidade")</f>
        <v>Boas imagens, facilidade de uso, facilidade de desenvolvimento, e-mail, a qualidade</v>
      </c>
      <c r="B53800" s="3">
        <v>1</v>
      </c>
    </row>
    <row r="53801" ht="15.75" customHeight="1" spans="1:2">
      <c r="A53801" s="3" t="str">
        <f>IFERROR(__xludf.DUMMYFUNCTION("GOOGLETRANSLATE(A53801,""en"",""pt"")"),"Fácil de usar")</f>
        <v>Fácil de usar</v>
      </c>
      <c r="B53801" s="3">
        <v>1</v>
      </c>
    </row>
    <row r="53802" ht="15.75" customHeight="1" spans="1:2">
      <c r="A53802" s="3" t="str">
        <f>IFERROR(__xludf.DUMMYFUNCTION("GOOGLETRANSLATE(A53802,""en"",""pt"")"),"DISQUETE !!!!!, durável")</f>
        <v>DISQUETE !!!!!, durável</v>
      </c>
      <c r="B53802" s="3">
        <v>1</v>
      </c>
    </row>
    <row r="53803" ht="15.75" customHeight="1" spans="1:2">
      <c r="A53803" s="3" t="str">
        <f>IFERROR(__xludf.DUMMYFUNCTION("GOOGLETRANSLATE(A53803,""en"",""pt"")"),"Veja acima")</f>
        <v>Veja acima</v>
      </c>
      <c r="B53803" s="3">
        <v>1</v>
      </c>
    </row>
    <row r="53804" ht="15.75" customHeight="1" spans="1:2">
      <c r="A53804" s="3" t="str">
        <f>IFERROR(__xludf.DUMMYFUNCTION("GOOGLETRANSLATE(A53804,""en"",""pt"")"),"Fácil de usar, 60 segundos de vídeo, opera através de disquete")</f>
        <v>Fácil de usar, 60 segundos de vídeo, opera através de disquete</v>
      </c>
      <c r="B53804" s="3">
        <v>1</v>
      </c>
    </row>
    <row r="53805" ht="15.75" customHeight="1" spans="1:2">
      <c r="A53805" s="3" t="str">
        <f>IFERROR(__xludf.DUMMYFUNCTION("GOOGLETRANSLATE(A53805,""en"",""pt"")"),"Fácil de usar, simples de transferir imagens para o computador")</f>
        <v>Fácil de usar, simples de transferir imagens para o computador</v>
      </c>
      <c r="B53805" s="3">
        <v>1</v>
      </c>
    </row>
    <row r="53806" ht="15.75" customHeight="1" spans="1:2">
      <c r="A53806" s="3" t="str">
        <f>IFERROR(__xludf.DUMMYFUNCTION("GOOGLETRANSLATE(A53806,""en"",""pt"")"),"Fácil! interface!")</f>
        <v>Fácil! interface!</v>
      </c>
      <c r="B53806" s="3">
        <v>1</v>
      </c>
    </row>
    <row r="53807" ht="15.75" customHeight="1" spans="1:2">
      <c r="A53807" s="3" t="str">
        <f>IFERROR(__xludf.DUMMYFUNCTION("GOOGLETRANSLATE(A53807,""en"",""pt"")"),"disquete útil")</f>
        <v>disquete útil</v>
      </c>
      <c r="B53807" s="3">
        <v>1</v>
      </c>
    </row>
    <row r="53808" ht="15.75" customHeight="1" spans="1:2">
      <c r="A53808" s="3" t="str">
        <f>IFERROR(__xludf.DUMMYFUNCTION("GOOGLETRANSLATE(A53808,""en"",""pt"")"),"Fácil de usar, boa qualidade de imagem, zoom")</f>
        <v>Fácil de usar, boa qualidade de imagem, zoom</v>
      </c>
      <c r="B53808" s="3">
        <v>1</v>
      </c>
    </row>
    <row r="53809" ht="15.75" customHeight="1" spans="1:2">
      <c r="A53809" s="3" t="str">
        <f>IFERROR(__xludf.DUMMYFUNCTION("GOOGLETRANSLATE(A53809,""en"",""pt"")"),"Facilidade de uso, a tecnologia de alta qualidade.")</f>
        <v>Facilidade de uso, a tecnologia de alta qualidade.</v>
      </c>
      <c r="B53809" s="3">
        <v>1</v>
      </c>
    </row>
    <row r="53810" ht="15.75" customHeight="1" spans="1:2">
      <c r="A53810" s="3" t="str">
        <f>IFERROR(__xludf.DUMMYFUNCTION("GOOGLETRANSLATE(A53810,""en"",""pt"")"),"facilidade de uso e versatilidade")</f>
        <v>facilidade de uso e versatilidade</v>
      </c>
      <c r="B53810" s="3">
        <v>1</v>
      </c>
    </row>
    <row r="53811" ht="15.75" customHeight="1" spans="1:2">
      <c r="A53811" s="3" t="str">
        <f>IFERROR(__xludf.DUMMYFUNCTION("GOOGLETRANSLATE(A53811,""en"",""pt"")"),"Conveniente e facilidade de uso")</f>
        <v>Conveniente e facilidade de uso</v>
      </c>
      <c r="B53811" s="3">
        <v>1</v>
      </c>
    </row>
    <row r="53812" ht="15.75" customHeight="1" spans="1:2">
      <c r="A53812" s="3" t="str">
        <f>IFERROR(__xludf.DUMMYFUNCTION("GOOGLETRANSLATE(A53812,""en"",""pt"")"),"Fácil de usar, usa disquetes, sem extras necessárias para se levantar e clique")</f>
        <v>Fácil de usar, usa disquetes, sem extras necessárias para se levantar e clique</v>
      </c>
      <c r="B53812" s="3">
        <v>1</v>
      </c>
    </row>
    <row r="53813" ht="15.75" customHeight="1" spans="1:2">
      <c r="A53813" s="3" t="str">
        <f>IFERROR(__xludf.DUMMYFUNCTION("GOOGLETRANSLATE(A53813,""en"",""pt"")"),"Instantâneas imagens que parecem grandes")</f>
        <v>Instantâneas imagens que parecem grandes</v>
      </c>
      <c r="B53813" s="3">
        <v>1</v>
      </c>
    </row>
    <row r="53814" ht="15.75" customHeight="1" spans="1:2">
      <c r="A53814" s="3" t="str">
        <f>IFERROR(__xludf.DUMMYFUNCTION("GOOGLETRANSLATE(A53814,""en"",""pt"")"),"acesso rápido a pix, fácil de usar")</f>
        <v>acesso rápido a pix, fácil de usar</v>
      </c>
      <c r="B53814" s="3">
        <v>1</v>
      </c>
    </row>
    <row r="53815" ht="15.75" customHeight="1" spans="1:2">
      <c r="A53815" s="3" t="str">
        <f>IFERROR(__xludf.DUMMYFUNCTION("GOOGLETRANSLATE(A53815,""en"",""pt"")"),"Fácil de usar")</f>
        <v>Fácil de usar</v>
      </c>
      <c r="B53815" s="3">
        <v>1</v>
      </c>
    </row>
    <row r="53816" ht="15.75" customHeight="1" spans="1:2">
      <c r="A53816" s="3" t="str">
        <f>IFERROR(__xludf.DUMMYFUNCTION("GOOGLETRANSLATE(A53816,""en"",""pt"")"),"Utiliza um disco em vez de carregar com cabos, etc.")</f>
        <v>Utiliza um disco em vez de carregar com cabos, etc.</v>
      </c>
      <c r="B53816" s="3">
        <v>1</v>
      </c>
    </row>
    <row r="53817" ht="15.75" customHeight="1" spans="1:2">
      <c r="A53817" s="3" t="str">
        <f>IFERROR(__xludf.DUMMYFUNCTION("GOOGLETRANSLATE(A53817,""en"",""pt"")"),"fácil de usar")</f>
        <v>fácil de usar</v>
      </c>
      <c r="B53817" s="3">
        <v>1</v>
      </c>
    </row>
    <row r="53818" ht="15.75" customHeight="1" spans="1:2">
      <c r="A53818" s="3" t="str">
        <f>IFERROR(__xludf.DUMMYFUNCTION("GOOGLETRANSLATE(A53818,""en"",""pt"")"),"acesso imediato a suas fotos com o amp 3,5 e; quot; recurso de disquete")</f>
        <v>acesso imediato a suas fotos com o amp 3,5 e; quot; recurso de disquete</v>
      </c>
      <c r="B53818" s="3">
        <v>1</v>
      </c>
    </row>
    <row r="53819" ht="15.75" customHeight="1" spans="1:2">
      <c r="A53819" s="3" t="str">
        <f>IFERROR(__xludf.DUMMYFUNCTION("GOOGLETRANSLATE(A53819,""en"",""pt"")"),"Grande ZOOM, construído em unidade de disquete, Pictures pequeno o suficiente para e-mail")</f>
        <v>Grande ZOOM, construído em unidade de disquete, Pictures pequeno o suficiente para e-mail</v>
      </c>
      <c r="B53819" s="3">
        <v>1</v>
      </c>
    </row>
    <row r="53820" ht="15.75" customHeight="1" spans="1:2">
      <c r="A53820" s="3" t="str">
        <f>IFERROR(__xludf.DUMMYFUNCTION("GOOGLETRANSLATE(A53820,""en"",""pt"")"),"Preço, unidade de disquete, a vida da bateria, bateria de Ações com a Sony Hi-8 Video Camera")</f>
        <v>Preço, unidade de disquete, a vida da bateria, bateria de Ações com a Sony Hi-8 Video Camera</v>
      </c>
      <c r="B53820" s="3">
        <v>1</v>
      </c>
    </row>
    <row r="53821" ht="15.75" customHeight="1" spans="1:2">
      <c r="A53821" s="3" t="str">
        <f>IFERROR(__xludf.DUMMYFUNCTION("GOOGLETRANSLATE(A53821,""en"",""pt"")"),"usa disquete, fácil de usar")</f>
        <v>usa disquete, fácil de usar</v>
      </c>
      <c r="B53821" s="3">
        <v>1</v>
      </c>
    </row>
    <row r="53822" ht="15.75" customHeight="1" spans="1:2">
      <c r="A53822" s="3" t="s">
        <v>282</v>
      </c>
      <c r="B53822" s="3">
        <v>1</v>
      </c>
    </row>
    <row r="53823" ht="15.75" customHeight="1" spans="1:2">
      <c r="A53823" s="3" t="str">
        <f>IFERROR(__xludf.DUMMYFUNCTION("GOOGLETRANSLATE(A53823,""en"",""pt"")"),"divertido e fácil")</f>
        <v>divertido e fácil</v>
      </c>
      <c r="B53823" s="3">
        <v>1</v>
      </c>
    </row>
    <row r="53824" ht="15.75" customHeight="1" spans="1:2">
      <c r="A53824" s="3" t="str">
        <f>IFERROR(__xludf.DUMMYFUNCTION("GOOGLETRANSLATE(A53824,""en"",""pt"")"),"as fotos com aspecto espectacular")</f>
        <v>as fotos com aspecto espectacular</v>
      </c>
      <c r="B53824" s="3">
        <v>1</v>
      </c>
    </row>
    <row r="53825" ht="15.75" customHeight="1" spans="1:2">
      <c r="A53825" s="3" t="str">
        <f>IFERROR(__xludf.DUMMYFUNCTION("GOOGLETRANSLATE(A53825,""en"",""pt"")"),"nova fotografia idade")</f>
        <v>nova fotografia idade</v>
      </c>
      <c r="B53825" s="3">
        <v>1</v>
      </c>
    </row>
    <row r="53826" ht="15.75" customHeight="1" spans="1:2">
      <c r="A53826" s="3" t="str">
        <f>IFERROR(__xludf.DUMMYFUNCTION("GOOGLETRANSLATE(A53826,""en"",""pt"")"),"Mais duradoura bateria recarregável, clipes de vídeo e fotos, disquetes utilizável com muitos computadores")</f>
        <v>Mais duradoura bateria recarregável, clipes de vídeo e fotos, disquetes utilizável com muitos computadores</v>
      </c>
      <c r="B53826" s="3">
        <v>1</v>
      </c>
    </row>
    <row r="53827" ht="15.75" customHeight="1" spans="1:2">
      <c r="A53827" s="3" t="str">
        <f>IFERROR(__xludf.DUMMYFUNCTION("GOOGLETRANSLATE(A53827,""en"",""pt"")"),"tudo sobre a câmera é grande")</f>
        <v>tudo sobre a câmera é grande</v>
      </c>
      <c r="B53827" s="3">
        <v>1</v>
      </c>
    </row>
    <row r="53828" ht="15.75" customHeight="1" spans="1:2">
      <c r="A53828" s="3" t="str">
        <f>IFERROR(__xludf.DUMMYFUNCTION("GOOGLETRANSLATE(A53828,""en"",""pt"")"),"tudo")</f>
        <v>tudo</v>
      </c>
      <c r="B53828" s="3">
        <v>1</v>
      </c>
    </row>
    <row r="53829" ht="15.75" customHeight="1" spans="1:2">
      <c r="A53829" s="3" t="str">
        <f>IFERROR(__xludf.DUMMYFUNCTION("GOOGLETRANSLATE(A53829,""en"",""pt"")"),"fácil armazenamento em simples disquete")</f>
        <v>fácil armazenamento em simples disquete</v>
      </c>
      <c r="B53829" s="3">
        <v>1</v>
      </c>
    </row>
    <row r="53830" ht="15.75" customHeight="1" spans="1:2">
      <c r="A53830" s="3" t="str">
        <f>IFERROR(__xludf.DUMMYFUNCTION("GOOGLETRANSLATE(A53830,""en"",""pt"")"),"excelente qualidade de imagem e fácil de usar")</f>
        <v>excelente qualidade de imagem e fácil de usar</v>
      </c>
      <c r="B53830" s="3">
        <v>1</v>
      </c>
    </row>
    <row r="53831" ht="15.75" customHeight="1" spans="1:2">
      <c r="A53831" s="3" t="str">
        <f>IFERROR(__xludf.DUMMYFUNCTION("GOOGLETRANSLATE(A53831,""en"",""pt"")"),"Boa qualidade, fácil de usar, usa 1,44 disquetes")</f>
        <v>Boa qualidade, fácil de usar, usa 1,44 disquetes</v>
      </c>
      <c r="B53831" s="3">
        <v>1</v>
      </c>
    </row>
    <row r="53832" ht="15.75" customHeight="1" spans="1:2">
      <c r="A53832" s="3" t="str">
        <f>IFERROR(__xludf.DUMMYFUNCTION("GOOGLETRANSLATE(A53832,""en"",""pt"")"),"nenhum filme")</f>
        <v>nenhum filme</v>
      </c>
      <c r="B53832" s="3">
        <v>1</v>
      </c>
    </row>
    <row r="53833" ht="15.75" customHeight="1" spans="1:2">
      <c r="A53833" s="3" t="str">
        <f>IFERROR(__xludf.DUMMYFUNCTION("GOOGLETRANSLATE(A53833,""en"",""pt"")"),"Pode tirar fotos memoráveis")</f>
        <v>Pode tirar fotos memoráveis</v>
      </c>
      <c r="B53833" s="3">
        <v>1</v>
      </c>
    </row>
    <row r="53834" ht="15.75" customHeight="1" spans="1:2">
      <c r="A53834" s="3" t="str">
        <f>IFERROR(__xludf.DUMMYFUNCTION("GOOGLETRANSLATE(A53834,""en"",""pt"")"),"Extremamente fácil de usar")</f>
        <v>Extremamente fácil de usar</v>
      </c>
      <c r="B53834" s="3">
        <v>1</v>
      </c>
    </row>
    <row r="53835" ht="15.75" customHeight="1" spans="1:2">
      <c r="A53835" s="3" t="str">
        <f>IFERROR(__xludf.DUMMYFUNCTION("GOOGLETRANSLATE(A53835,""en"",""pt"")"),"Simples de usar, tem grandes figuras, utiliza 3 1/2 &amp; amp; quot; disquetes")</f>
        <v>Simples de usar, tem grandes figuras, utiliza 3 1/2 &amp; amp; quot; disquetes</v>
      </c>
      <c r="B53835" s="3">
        <v>1</v>
      </c>
    </row>
    <row r="53836" ht="15.75" customHeight="1" spans="1:2">
      <c r="A53836" s="3" t="str">
        <f>IFERROR(__xludf.DUMMYFUNCTION("GOOGLETRANSLATE(A53836,""en"",""pt"")"),"quailty Fotos")</f>
        <v>quailty Fotos</v>
      </c>
      <c r="B53836" s="3">
        <v>1</v>
      </c>
    </row>
    <row r="53837" ht="15.75" customHeight="1" spans="1:2">
      <c r="A53837" s="3" t="str">
        <f>IFERROR(__xludf.DUMMYFUNCTION("GOOGLETRANSLATE(A53837,""en"",""pt"")"),"Rápido, limpo, boas cores, conveniente")</f>
        <v>Rápido, limpo, boas cores, conveniente</v>
      </c>
      <c r="B53837" s="3">
        <v>1</v>
      </c>
    </row>
    <row r="53838" ht="15.75" customHeight="1" spans="1:2">
      <c r="A53838" s="3" t="str">
        <f>IFERROR(__xludf.DUMMYFUNCTION("GOOGLETRANSLATE(A53838,""en"",""pt"")"),"grande variedade de opções de foto!")</f>
        <v>grande variedade de opções de foto!</v>
      </c>
      <c r="B53838" s="3">
        <v>1</v>
      </c>
    </row>
    <row r="53839" ht="15.75" customHeight="1" spans="1:2">
      <c r="A53839" s="3" t="str">
        <f>IFERROR(__xludf.DUMMYFUNCTION("GOOGLETRANSLATE(A53839,""en"",""pt"")"),"características especiais, armazenamento 3,5 disco fácil")</f>
        <v>características especiais, armazenamento 3,5 disco fácil</v>
      </c>
      <c r="B53839" s="3">
        <v>1</v>
      </c>
    </row>
    <row r="53840" ht="15.75" customHeight="1" spans="1:2">
      <c r="A53840" s="3" t="str">
        <f>IFERROR(__xludf.DUMMYFUNCTION("GOOGLETRANSLATE(A53840,""en"",""pt"")"),"Qualidade, gravação em disquetes")</f>
        <v>Qualidade, gravação em disquetes</v>
      </c>
      <c r="B53840" s="3">
        <v>1</v>
      </c>
    </row>
    <row r="53841" ht="15.75" customHeight="1" spans="1:2">
      <c r="A53841" s="3" t="str">
        <f>IFERROR(__xludf.DUMMYFUNCTION("GOOGLETRANSLATE(A53841,""en"",""pt"")"),"Floppy Disc Interface, Capacidades MPEG, 6X Zoom")</f>
        <v>Floppy Disc Interface, Capacidades MPEG, 6X Zoom</v>
      </c>
      <c r="B53841" s="3">
        <v>1</v>
      </c>
    </row>
    <row r="53842" ht="15.75" customHeight="1" spans="1:2">
      <c r="A53842" s="3" t="str">
        <f>IFERROR(__xludf.DUMMYFUNCTION("GOOGLETRANSLATE(A53842,""en"",""pt"")"),"facilmente operado")</f>
        <v>facilmente operado</v>
      </c>
      <c r="B53842" s="3">
        <v>1</v>
      </c>
    </row>
    <row r="53843" ht="15.75" customHeight="1" spans="1:2">
      <c r="A53843" s="3" t="str">
        <f>IFERROR(__xludf.DUMMYFUNCTION("GOOGLETRANSLATE(A53843,""en"",""pt"")"),"armazenamento de disco flexível")</f>
        <v>armazenamento de disco flexível</v>
      </c>
      <c r="B53843" s="3">
        <v>1</v>
      </c>
    </row>
    <row r="53844" ht="15.75" customHeight="1" spans="1:2">
      <c r="A53844" s="3" t="str">
        <f>IFERROR(__xludf.DUMMYFUNCTION("GOOGLETRANSLATE(A53844,""en"",""pt"")"),"Fácil de usar, a qualidade das imagens, vida útil da bateria")</f>
        <v>Fácil de usar, a qualidade das imagens, vida útil da bateria</v>
      </c>
      <c r="B53844" s="3">
        <v>1</v>
      </c>
    </row>
    <row r="53845" ht="15.75" customHeight="1" spans="1:2">
      <c r="A53845" s="3" t="str">
        <f>IFERROR(__xludf.DUMMYFUNCTION("GOOGLETRANSLATE(A53845,""en"",""pt"")"),"Rápido, fácil de usar, armazenamento barato ilimitada")</f>
        <v>Rápido, fácil de usar, armazenamento barato ilimitada</v>
      </c>
      <c r="B53845" s="3">
        <v>1</v>
      </c>
    </row>
    <row r="53846" ht="15.75" customHeight="1" spans="1:2">
      <c r="A53846" s="3" t="str">
        <f>IFERROR(__xludf.DUMMYFUNCTION("GOOGLETRANSLATE(A53846,""en"",""pt"")"),"Floppys para cinema e fácil de usar!")</f>
        <v>Floppys para cinema e fácil de usar!</v>
      </c>
      <c r="B53846" s="3">
        <v>1</v>
      </c>
    </row>
    <row r="53847" ht="15.75" customHeight="1" spans="1:2">
      <c r="A53847" s="3" t="str">
        <f>IFERROR(__xludf.DUMMYFUNCTION("GOOGLETRANSLATE(A53847,""en"",""pt"")"),"Disquete Filme, fácil de gerir, Great Quality Pics, Grande LCD Viewport")</f>
        <v>Disquete Filme, fácil de gerir, Great Quality Pics, Grande LCD Viewport</v>
      </c>
      <c r="B53847" s="3">
        <v>1</v>
      </c>
    </row>
    <row r="53848" ht="15.75" customHeight="1" spans="1:2">
      <c r="A53848" s="3" t="str">
        <f>IFERROR(__xludf.DUMMYFUNCTION("GOOGLETRANSLATE(A53848,""en"",""pt"")"),"formato grande disquete, a TV, res alto, bom LCD, grandes recursos")</f>
        <v>formato grande disquete, a TV, res alto, bom LCD, grandes recursos</v>
      </c>
      <c r="B53848" s="3">
        <v>1</v>
      </c>
    </row>
    <row r="53849" ht="15.75" customHeight="1" spans="1:2">
      <c r="A53849" s="3" t="str">
        <f>IFERROR(__xludf.DUMMYFUNCTION("GOOGLETRANSLATE(A53849,""en"",""pt"")"),"facilidade de uso, ótimas fotos claras, se sente bem na mão")</f>
        <v>facilidade de uso, ótimas fotos claras, se sente bem na mão</v>
      </c>
      <c r="B53849" s="3">
        <v>1</v>
      </c>
    </row>
    <row r="53850" ht="15.75" customHeight="1" spans="1:2">
      <c r="A53850" s="3" t="str">
        <f>IFERROR(__xludf.DUMMYFUNCTION("GOOGLETRANSLATE(A53850,""en"",""pt"")"),"Fácil, de grande qualidade, o amor do disco in / out recurso")</f>
        <v>Fácil, de grande qualidade, o amor do disco in / out recurso</v>
      </c>
      <c r="B53850" s="3">
        <v>1</v>
      </c>
    </row>
    <row r="53851" ht="15.75" customHeight="1" spans="1:2">
      <c r="A53851" s="3" t="str">
        <f>IFERROR(__xludf.DUMMYFUNCTION("GOOGLETRANSLATE(A53851,""en"",""pt"")"),"Fácil de operar, usa disquetes para filme")</f>
        <v>Fácil de operar, usa disquetes para filme</v>
      </c>
      <c r="B53851" s="3">
        <v>1</v>
      </c>
    </row>
    <row r="53852" ht="15.75" customHeight="1" spans="1:2">
      <c r="A53852" s="3" t="str">
        <f>IFERROR(__xludf.DUMMYFUNCTION("GOOGLETRANSLATE(A53852,""en"",""pt"")"),"Excelente qualidade de imagem. acesso disquete é rápido e muito conveninent")</f>
        <v>Excelente qualidade de imagem. acesso disquete é rápido e muito conveninent</v>
      </c>
      <c r="B53852" s="3">
        <v>1</v>
      </c>
    </row>
    <row r="53853" ht="15.75" customHeight="1" spans="1:2">
      <c r="A53853" s="3" t="str">
        <f>IFERROR(__xludf.DUMMYFUNCTION("GOOGLETRANSLATE(A53853,""en"",""pt"")"),"bateria recarregável, lente zoom")</f>
        <v>bateria recarregável, lente zoom</v>
      </c>
      <c r="B53853" s="3">
        <v>1</v>
      </c>
    </row>
    <row r="53854" ht="15.75" customHeight="1" spans="1:2">
      <c r="A53854" s="3" t="str">
        <f>IFERROR(__xludf.DUMMYFUNCTION("GOOGLETRANSLATE(A53854,""en"",""pt"")"),"Imagens de alta qualidade, fácil de usar, formato flexível, ótimo preço")</f>
        <v>Imagens de alta qualidade, fácil de usar, formato flexível, ótimo preço</v>
      </c>
      <c r="B53854" s="3">
        <v>1</v>
      </c>
    </row>
    <row r="53855" ht="15.75" customHeight="1" spans="1:2">
      <c r="A53855" s="3" t="str">
        <f>IFERROR(__xludf.DUMMYFUNCTION("GOOGLETRANSLATE(A53855,""en"",""pt"")"),"Armazenamento em Disquete")</f>
        <v>Armazenamento em Disquete</v>
      </c>
      <c r="B53855" s="3">
        <v>1</v>
      </c>
    </row>
    <row r="53856" ht="15.75" customHeight="1" spans="1:2">
      <c r="A53856" s="3" t="str">
        <f>IFERROR(__xludf.DUMMYFUNCTION("GOOGLETRANSLATE(A53856,""en"",""pt"")"),"qualidade de fotos e clipes de filme bom")</f>
        <v>qualidade de fotos e clipes de filme bom</v>
      </c>
      <c r="B53856" s="3">
        <v>1</v>
      </c>
    </row>
    <row r="53857" ht="15.75" customHeight="1" spans="1:2">
      <c r="A53857" s="3" t="str">
        <f>IFERROR(__xludf.DUMMYFUNCTION("GOOGLETRANSLATE(A53857,""en"",""pt"")"),"vida útil da bateria sem fim, sensação agradável, a abundância de recursos e grande resolução")</f>
        <v>vida útil da bateria sem fim, sensação agradável, a abundância de recursos e grande resolução</v>
      </c>
      <c r="B53857" s="3">
        <v>1</v>
      </c>
    </row>
    <row r="53858" ht="15.75" customHeight="1" spans="1:2">
      <c r="A53858" s="3" t="str">
        <f>IFERROR(__xludf.DUMMYFUNCTION("GOOGLETRANSLATE(A53858,""en"",""pt"")"),"bom preço. capacidade para demorar 15 segundos MPEGs.")</f>
        <v>bom preço. capacidade para demorar 15 segundos MPEGs.</v>
      </c>
      <c r="B53858" s="3">
        <v>1</v>
      </c>
    </row>
    <row r="53859" ht="15.75" customHeight="1" spans="1:2">
      <c r="A53859" s="3" t="str">
        <f>IFERROR(__xludf.DUMMYFUNCTION("GOOGLETRANSLATE(A53859,""en"",""pt"")"),"excelente qualidade de imagem, bateria de longa duração, muitos recursos extras")</f>
        <v>excelente qualidade de imagem, bateria de longa duração, muitos recursos extras</v>
      </c>
      <c r="B53859" s="3">
        <v>1</v>
      </c>
    </row>
    <row r="53860" ht="15.75" customHeight="1" spans="1:2">
      <c r="A53860" s="3" t="str">
        <f>IFERROR(__xludf.DUMMYFUNCTION("GOOGLETRANSLATE(A53860,""en"",""pt"")"),"Preço, qualidade, design, fácil de usar")</f>
        <v>Preço, qualidade, design, fácil de usar</v>
      </c>
      <c r="B53860" s="3">
        <v>1</v>
      </c>
    </row>
    <row r="53861" ht="15.75" customHeight="1" spans="1:2">
      <c r="A53861" s="3" t="str">
        <f>IFERROR(__xludf.DUMMYFUNCTION("GOOGLETRANSLATE(A53861,""en"",""pt"")"),"qualidade de imagem, Disquetes")</f>
        <v>qualidade de imagem, Disquetes</v>
      </c>
      <c r="B53861" s="3">
        <v>1</v>
      </c>
    </row>
    <row r="53862" ht="15.75" customHeight="1" spans="1:2">
      <c r="A53862" s="3" t="str">
        <f>IFERROR(__xludf.DUMMYFUNCTION("GOOGLETRANSLATE(A53862,""en"",""pt"")"),"Facilidade de uso, nenhum filme, fácil de usar media")</f>
        <v>Facilidade de uso, nenhum filme, fácil de usar media</v>
      </c>
      <c r="B53862" s="3">
        <v>1</v>
      </c>
    </row>
    <row r="53863" ht="15.75" customHeight="1" spans="1:2">
      <c r="A53863" s="3" t="str">
        <f>IFERROR(__xludf.DUMMYFUNCTION("GOOGLETRANSLATE(A53863,""en"",""pt"")"),"TODO O RESTO")</f>
        <v>TODO O RESTO</v>
      </c>
      <c r="B53863" s="3">
        <v>1</v>
      </c>
    </row>
    <row r="53864" ht="15.75" customHeight="1" spans="1:2">
      <c r="A53864" s="3" t="str">
        <f>IFERROR(__xludf.DUMMYFUNCTION("GOOGLETRANSLATE(A53864,""en"",""pt"")"),"otima qualidade. Fácil de usar. O melhor no mercado")</f>
        <v>otima qualidade. Fácil de usar. O melhor no mercado</v>
      </c>
      <c r="B53864" s="3">
        <v>1</v>
      </c>
    </row>
    <row r="53865" ht="15.75" customHeight="1" spans="1:2">
      <c r="A53865" s="3" t="str">
        <f>IFERROR(__xludf.DUMMYFUNCTION("GOOGLETRANSLATE(A53865,""en"",""pt"")"),"Fácil de usar, fotos nítidas, interface de boa")</f>
        <v>Fácil de usar, fotos nítidas, interface de boa</v>
      </c>
      <c r="B53865" s="3">
        <v>1</v>
      </c>
    </row>
    <row r="53866" ht="15.75" customHeight="1" spans="1:2">
      <c r="A53866" s="3" t="str">
        <f>IFERROR(__xludf.DUMMYFUNCTION("GOOGLETRANSLATE(A53866,""en"",""pt"")"),"Tem grandes figuras, faz filmes curtos, muito fácil de usar!")</f>
        <v>Tem grandes figuras, faz filmes curtos, muito fácil de usar!</v>
      </c>
      <c r="B53866" s="3">
        <v>1</v>
      </c>
    </row>
    <row r="53867" ht="15.75" customHeight="1" spans="1:2">
      <c r="A53867" s="3" t="str">
        <f>IFERROR(__xludf.DUMMYFUNCTION("GOOGLETRANSLATE(A53867,""en"",""pt"")"),"Facilidade de uso, apresenta")</f>
        <v>Facilidade de uso, apresenta</v>
      </c>
      <c r="B53867" s="3">
        <v>1</v>
      </c>
    </row>
    <row r="53868" ht="15.75" customHeight="1" spans="1:2">
      <c r="A53868" s="3" t="str">
        <f>IFERROR(__xludf.DUMMYFUNCTION("GOOGLETRANSLATE(A53868,""en"",""pt"")"),"Fácil de usar")</f>
        <v>Fácil de usar</v>
      </c>
      <c r="B53868" s="3">
        <v>1</v>
      </c>
    </row>
    <row r="53869" ht="15.75" customHeight="1" spans="1:2">
      <c r="A53869" s="3" t="str">
        <f>IFERROR(__xludf.DUMMYFUNCTION("GOOGLETRANSLATE(A53869,""en"",""pt"")"),"Amor as fotos que leva!")</f>
        <v>Amor as fotos que leva!</v>
      </c>
      <c r="B53869" s="3">
        <v>1</v>
      </c>
    </row>
    <row r="53870" ht="15.75" customHeight="1" spans="1:2">
      <c r="A53870" s="3" t="str">
        <f>IFERROR(__xludf.DUMMYFUNCTION("GOOGLETRANSLATE(A53870,""en"",""pt"")"),"Fácil de usar, a mídia armazenamento de baixo custo")</f>
        <v>Fácil de usar, a mídia armazenamento de baixo custo</v>
      </c>
      <c r="B53870" s="3">
        <v>1</v>
      </c>
    </row>
    <row r="53871" ht="15.75" customHeight="1" spans="1:2">
      <c r="A53871" s="3" t="str">
        <f>IFERROR(__xludf.DUMMYFUNCTION("GOOGLETRANSLATE(A53871,""en"",""pt"")"),"Crisp, fotos claras com extrema facilidade de uso")</f>
        <v>Crisp, fotos claras com extrema facilidade de uso</v>
      </c>
      <c r="B53871" s="3">
        <v>1</v>
      </c>
    </row>
    <row r="53872" ht="15.75" customHeight="1" spans="1:2">
      <c r="A53872" s="3" t="str">
        <f>IFERROR(__xludf.DUMMYFUNCTION("GOOGLETRANSLATE(A53872,""en"",""pt"")"),"Um todo bom câmera ... fácil de usar")</f>
        <v>Um todo bom câmera ... fácil de usar</v>
      </c>
      <c r="B53872" s="3">
        <v>1</v>
      </c>
    </row>
    <row r="53873" ht="15.75" customHeight="1" spans="1:2">
      <c r="A53873" s="3" t="str">
        <f>IFERROR(__xludf.DUMMYFUNCTION("GOOGLETRANSLATE(A53873,""en"",""pt"")"),"A câmera leve e amigável que faz para instantâneo tomada e fácil utilização.")</f>
        <v>A câmera leve e amigável que faz para instantâneo tomada e fácil utilização.</v>
      </c>
      <c r="B53873" s="3">
        <v>1</v>
      </c>
    </row>
    <row r="53874" ht="15.75" customHeight="1" spans="1:2">
      <c r="A53874" s="3" t="str">
        <f>IFERROR(__xludf.DUMMYFUNCTION("GOOGLETRANSLATE(A53874,""en"",""pt"")"),"facilidade de uso, conveniência")</f>
        <v>facilidade de uso, conveniência</v>
      </c>
      <c r="B53874" s="3">
        <v>1</v>
      </c>
    </row>
    <row r="53875" ht="15.75" customHeight="1" spans="1:2">
      <c r="A53875" s="3" t="str">
        <f>IFERROR(__xludf.DUMMYFUNCTION("GOOGLETRANSLATE(A53875,""en"",""pt"")"),"lense macro permite fotos tão perto quanto 3 polegadas.")</f>
        <v>lense macro permite fotos tão perto quanto 3 polegadas.</v>
      </c>
      <c r="B53875" s="3">
        <v>1</v>
      </c>
    </row>
    <row r="53876" ht="15.75" customHeight="1" spans="1:2">
      <c r="A53876" s="3" t="str">
        <f>IFERROR(__xludf.DUMMYFUNCTION("GOOGLETRANSLATE(A53876,""en"",""pt"")"),"Floppys são, opções baratas boa resolução")</f>
        <v>Floppys são, opções baratas boa resolução</v>
      </c>
      <c r="B53876" s="3">
        <v>1</v>
      </c>
    </row>
    <row r="53877" ht="15.75" customHeight="1" spans="1:2">
      <c r="A53877" s="3" t="str">
        <f>IFERROR(__xludf.DUMMYFUNCTION("GOOGLETRANSLATE(A53877,""en"",""pt"")"),"característica embalada, bom preço")</f>
        <v>característica embalada, bom preço</v>
      </c>
      <c r="B53877" s="3">
        <v>1</v>
      </c>
    </row>
    <row r="53878" ht="15.75" customHeight="1" spans="1:2">
      <c r="A53878" s="3" t="str">
        <f>IFERROR(__xludf.DUMMYFUNCTION("GOOGLETRANSLATE(A53878,""en"",""pt"")"),"disquetes, filmes, grande qualidade fotográfica, temporizador, toneladas de modos e funcionalidades")</f>
        <v>disquetes, filmes, grande qualidade fotográfica, temporizador, toneladas de modos e funcionalidades</v>
      </c>
      <c r="B53878" s="3">
        <v>1</v>
      </c>
    </row>
    <row r="53879" ht="15.75" customHeight="1" spans="1:2">
      <c r="A53879" s="3" t="str">
        <f>IFERROR(__xludf.DUMMYFUNCTION("GOOGLETRANSLATE(A53879,""en"",""pt"")"),"Grandes fotos, fácil de usar")</f>
        <v>Grandes fotos, fácil de usar</v>
      </c>
      <c r="B53879" s="3">
        <v>1</v>
      </c>
    </row>
    <row r="53880" ht="15.75" customHeight="1" spans="1:2">
      <c r="A53880" s="3" t="str">
        <f>IFERROR(__xludf.DUMMYFUNCTION("GOOGLETRANSLATE(A53880,""en"",""pt"")"),"Fácil de usar, Prontamente disponível filme, Grande espectador, capacidade de tomar MPEGs, durável")</f>
        <v>Fácil de usar, Prontamente disponível filme, Grande espectador, capacidade de tomar MPEGs, durável</v>
      </c>
      <c r="B53880" s="3">
        <v>1</v>
      </c>
    </row>
    <row r="53881" ht="15.75" customHeight="1" spans="1:2">
      <c r="A53881" s="3" t="str">
        <f>IFERROR(__xludf.DUMMYFUNCTION("GOOGLETRANSLATE(A53881,""en"",""pt"")"),"Wonderful Camera")</f>
        <v>Wonderful Camera</v>
      </c>
      <c r="B53881" s="3">
        <v>1</v>
      </c>
    </row>
    <row r="53882" ht="15.75" customHeight="1" spans="1:2">
      <c r="A53882" s="3" t="str">
        <f>IFERROR(__xludf.DUMMYFUNCTION("GOOGLETRANSLATE(A53882,""en"",""pt"")"),"Grande Pictures, Usa disquete disquetes, MPEG1 Vídeos")</f>
        <v>Grande Pictures, Usa disquete disquetes, MPEG1 Vídeos</v>
      </c>
      <c r="B53882" s="3">
        <v>1</v>
      </c>
    </row>
    <row r="53883" ht="15.75" customHeight="1" spans="1:2">
      <c r="A53883" s="3" t="str">
        <f>IFERROR(__xludf.DUMMYFUNCTION("GOOGLETRANSLATE(A53883,""en"",""pt"")"),"Fácil de usar - grandes tiros")</f>
        <v>Fácil de usar - grandes tiros</v>
      </c>
      <c r="B53883" s="3">
        <v>1</v>
      </c>
    </row>
    <row r="53884" ht="15.75" customHeight="1" spans="1:2">
      <c r="A53884" s="3" t="str">
        <f>IFERROR(__xludf.DUMMYFUNCTION("GOOGLETRANSLATE(A53884,""en"",""pt"")"),"Ame o zoom imóvel!")</f>
        <v>Ame o zoom imóvel!</v>
      </c>
      <c r="B53884" s="3">
        <v>1</v>
      </c>
    </row>
    <row r="53885" ht="15.75" customHeight="1" spans="1:2">
      <c r="A53885" s="3" t="str">
        <f>IFERROR(__xludf.DUMMYFUNCTION("GOOGLETRANSLATE(A53885,""en"",""pt"")"),"visualização de fotos, disquetes, peso leve")</f>
        <v>visualização de fotos, disquetes, peso leve</v>
      </c>
      <c r="B53885" s="3">
        <v>1</v>
      </c>
    </row>
    <row r="53886" ht="15.75" customHeight="1" spans="1:2">
      <c r="A53886" s="3" t="str">
        <f>IFERROR(__xludf.DUMMYFUNCTION("GOOGLETRANSLATE(A53886,""en"",""pt"")"),"imagem excelente qualidade")</f>
        <v>imagem excelente qualidade</v>
      </c>
      <c r="B53886" s="3">
        <v>1</v>
      </c>
    </row>
    <row r="53887" ht="15.75" customHeight="1" spans="1:2">
      <c r="A53887" s="3" t="str">
        <f>IFERROR(__xludf.DUMMYFUNCTION("GOOGLETRANSLATE(A53887,""en"",""pt"")"),"Disquetes, easy-to-use, imagens de grande qualidade")</f>
        <v>Disquetes, easy-to-use, imagens de grande qualidade</v>
      </c>
      <c r="B53887" s="3">
        <v>1</v>
      </c>
    </row>
    <row r="53888" ht="15.75" customHeight="1" spans="1:2">
      <c r="A53888" s="3" t="str">
        <f>IFERROR(__xludf.DUMMYFUNCTION("GOOGLETRANSLATE(A53888,""en"",""pt"")"),"Facilidade de uso, a tela LCD grande")</f>
        <v>Facilidade de uso, a tela LCD grande</v>
      </c>
      <c r="B53888" s="3">
        <v>1</v>
      </c>
    </row>
    <row r="53889" ht="15.75" customHeight="1" spans="1:2">
      <c r="A53889" s="3" t="str">
        <f>IFERROR(__xludf.DUMMYFUNCTION("GOOGLETRANSLATE(A53889,""en"",""pt"")"),"meios de armazenamento de baixo custo, ferramenta de cópia de disco, vídeo, bem como imagens fixas")</f>
        <v>meios de armazenamento de baixo custo, ferramenta de cópia de disco, vídeo, bem como imagens fixas</v>
      </c>
      <c r="B53889" s="3">
        <v>1</v>
      </c>
    </row>
    <row r="53890" ht="15.75" customHeight="1" spans="1:2">
      <c r="A53890" s="3" t="str">
        <f>IFERROR(__xludf.DUMMYFUNCTION("GOOGLETRANSLATE(A53890,""en"",""pt"")"),"fácil de usar, flexível")</f>
        <v>fácil de usar, flexível</v>
      </c>
      <c r="B53890" s="3">
        <v>1</v>
      </c>
    </row>
    <row r="53891" ht="15.75" customHeight="1" spans="1:2">
      <c r="A53891" s="3" t="str">
        <f>IFERROR(__xludf.DUMMYFUNCTION("GOOGLETRANSLATE(A53891,""en"",""pt"")"),"amigo do usuário")</f>
        <v>amigo do usuário</v>
      </c>
      <c r="B53891" s="3">
        <v>1</v>
      </c>
    </row>
    <row r="53892" ht="15.75" customHeight="1" spans="1:2">
      <c r="A53892" s="3" t="str">
        <f>IFERROR(__xludf.DUMMYFUNCTION("GOOGLETRANSLATE(A53892,""en"",""pt"")"),"Conveniente, fácil de usar, boas fotos")</f>
        <v>Conveniente, fácil de usar, boas fotos</v>
      </c>
      <c r="B53892" s="3">
        <v>1</v>
      </c>
    </row>
    <row r="53893" ht="15.75" customHeight="1" spans="1:2">
      <c r="A53893" s="3" t="str">
        <f>IFERROR(__xludf.DUMMYFUNCTION("GOOGLETRANSLATE(A53893,""en"",""pt"")"),"Amigo do usuário")</f>
        <v>Amigo do usuário</v>
      </c>
      <c r="B53893" s="3">
        <v>1</v>
      </c>
    </row>
    <row r="53894" ht="15.75" customHeight="1" spans="1:2">
      <c r="A53894" s="3" t="str">
        <f>IFERROR(__xludf.DUMMYFUNCTION("GOOGLETRANSLATE(A53894,""en"",""pt"")"),"Qualidade excelente")</f>
        <v>Qualidade excelente</v>
      </c>
      <c r="B53894" s="3">
        <v>1</v>
      </c>
    </row>
    <row r="53895" ht="15.75" customHeight="1" spans="1:2">
      <c r="A53895" s="3" t="str">
        <f>IFERROR(__xludf.DUMMYFUNCTION("GOOGLETRANSLATE(A53895,""en"",""pt"")"),"Fácil, muitos controles")</f>
        <v>Fácil, muitos controles</v>
      </c>
      <c r="B53895" s="3">
        <v>1</v>
      </c>
    </row>
    <row r="53896" ht="15.75" customHeight="1" spans="1:2">
      <c r="A53896" s="3" t="str">
        <f>IFERROR(__xludf.DUMMYFUNCTION("GOOGLETRANSLATE(A53896,""en"",""pt"")"),"Fácil de usar, ótimas fotos, o amor do disquete.")</f>
        <v>Fácil de usar, ótimas fotos, o amor do disquete.</v>
      </c>
      <c r="B53896" s="3">
        <v>1</v>
      </c>
    </row>
    <row r="53897" ht="15.75" customHeight="1" spans="1:2">
      <c r="A53897" s="3" t="str">
        <f>IFERROR(__xludf.DUMMYFUNCTION("GOOGLETRANSLATE(A53897,""en"",""pt"")"),"leve, fácil de usar")</f>
        <v>leve, fácil de usar</v>
      </c>
      <c r="B53897" s="3">
        <v>1</v>
      </c>
    </row>
    <row r="53898" ht="15.75" customHeight="1" spans="1:2">
      <c r="A53898" s="3" t="str">
        <f>IFERROR(__xludf.DUMMYFUNCTION("GOOGLETRANSLATE(A53898,""en"",""pt"")"),"Fácil de usar, rápido, barato de usar, vem com seu próprio carregador de bateria.")</f>
        <v>Fácil de usar, rápido, barato de usar, vem com seu próprio carregador de bateria.</v>
      </c>
      <c r="B53898" s="3">
        <v>1</v>
      </c>
    </row>
    <row r="53899" ht="15.75" customHeight="1" spans="1:2">
      <c r="A53899" s="3" t="str">
        <f>IFERROR(__xludf.DUMMYFUNCTION("GOOGLETRANSLATE(A53899,""en"",""pt"")"),"Fácil de usar e custar produtiva")</f>
        <v>Fácil de usar e custar produtiva</v>
      </c>
      <c r="B53899" s="3">
        <v>1</v>
      </c>
    </row>
    <row r="53900" ht="15.75" customHeight="1" spans="1:2">
      <c r="A53900" s="3" t="str">
        <f>IFERROR(__xludf.DUMMYFUNCTION("GOOGLETRANSLATE(A53900,""en"",""pt"")"),"FÁCIL! Grandes fotos e vídeo, também!")</f>
        <v>FÁCIL! Grandes fotos e vídeo, também!</v>
      </c>
      <c r="B53900" s="3">
        <v>1</v>
      </c>
    </row>
    <row r="53901" ht="15.75" customHeight="1" spans="1:2">
      <c r="A53901" s="3" t="str">
        <f>IFERROR(__xludf.DUMMYFUNCTION("GOOGLETRANSLATE(A53901,""en"",""pt"")"),"Bom demais para ser verdade.")</f>
        <v>Bom demais para ser verdade.</v>
      </c>
      <c r="B53901" s="3">
        <v>1</v>
      </c>
    </row>
    <row r="53902" ht="15.75" customHeight="1" spans="1:2">
      <c r="A53902" s="3" t="str">
        <f>IFERROR(__xludf.DUMMYFUNCTION("GOOGLETRANSLATE(A53902,""en"",""pt"")"),"unidade de disquete, fácil de segurar, fácil de operar")</f>
        <v>unidade de disquete, fácil de segurar, fácil de operar</v>
      </c>
      <c r="B53902" s="3">
        <v>1</v>
      </c>
    </row>
    <row r="53903" ht="15.75" customHeight="1" spans="1:2">
      <c r="A53903" s="3" t="str">
        <f>IFERROR(__xludf.DUMMYFUNCTION("GOOGLETRANSLATE(A53903,""en"",""pt"")"),"resultados imediatos, ótimas fotos, imagens claras, fáceis de operar,")</f>
        <v>resultados imediatos, ótimas fotos, imagens claras, fáceis de operar,</v>
      </c>
      <c r="B53903" s="3">
        <v>1</v>
      </c>
    </row>
    <row r="53904" ht="15.75" customHeight="1" spans="1:2">
      <c r="A53904" s="3" t="str">
        <f>IFERROR(__xludf.DUMMYFUNCTION("GOOGLETRANSLATE(A53904,""en"",""pt"")"),"Fácil de usar, muito compatível (Mac ou PC) robusto e confiável.")</f>
        <v>Fácil de usar, muito compatível (Mac ou PC) robusto e confiável.</v>
      </c>
      <c r="B53904" s="3">
        <v>1</v>
      </c>
    </row>
    <row r="53905" ht="15.75" customHeight="1" spans="1:2">
      <c r="A53905" s="3" t="str">
        <f>IFERROR(__xludf.DUMMYFUNCTION("GOOGLETRANSLATE(A53905,""en"",""pt"")"),"Simples de usar, fotos excelentes, utiliza discos de tamanho padrão")</f>
        <v>Simples de usar, fotos excelentes, utiliza discos de tamanho padrão</v>
      </c>
      <c r="B53905" s="3">
        <v>1</v>
      </c>
    </row>
    <row r="53906" ht="15.75" customHeight="1" spans="1:2">
      <c r="A53906" s="3" t="str">
        <f>IFERROR(__xludf.DUMMYFUNCTION("GOOGLETRANSLATE(A53906,""en"",""pt"")"),"Grande Pictures, disco flexível")</f>
        <v>Grande Pictures, disco flexível</v>
      </c>
      <c r="B53906" s="3">
        <v>1</v>
      </c>
    </row>
    <row r="53907" ht="15.75" customHeight="1" spans="1:2">
      <c r="A53907" s="3" t="str">
        <f>IFERROR(__xludf.DUMMYFUNCTION("GOOGLETRANSLATE(A53907,""en"",""pt"")"),"Rápido, fácil, Grande Pictures, nenhum filme para desenvolver")</f>
        <v>Rápido, fácil, Grande Pictures, nenhum filme para desenvolver</v>
      </c>
      <c r="B53907" s="3">
        <v>1</v>
      </c>
    </row>
    <row r="53908" ht="15.75" customHeight="1" spans="1:2">
      <c r="A53908" s="3" t="str">
        <f>IFERROR(__xludf.DUMMYFUNCTION("GOOGLETRANSLATE(A53908,""en"",""pt"")"),"Muito fácil de usar")</f>
        <v>Muito fácil de usar</v>
      </c>
      <c r="B53908" s="3">
        <v>1</v>
      </c>
    </row>
    <row r="53909" ht="15.75" customHeight="1" spans="1:2">
      <c r="A53909" s="3" t="str">
        <f>IFERROR(__xludf.DUMMYFUNCTION("GOOGLETRANSLATE(A53909,""en"",""pt"")"),"Floppy Disk Storage, Painel de LCD para ver Pictures")</f>
        <v>Floppy Disk Storage, Painel de LCD para ver Pictures</v>
      </c>
      <c r="B53909" s="3">
        <v>1</v>
      </c>
    </row>
    <row r="53910" ht="15.75" customHeight="1" spans="1:2">
      <c r="A53910" s="3" t="str">
        <f>IFERROR(__xludf.DUMMYFUNCTION("GOOGLETRANSLATE(A53910,""en"",""pt"")"),"Tira fotos excelentes, armazenamento conveniente em discos, trabalha com PCs e Macs")</f>
        <v>Tira fotos excelentes, armazenamento conveniente em discos, trabalha com PCs e Macs</v>
      </c>
      <c r="B53910" s="3">
        <v>1</v>
      </c>
    </row>
    <row r="53911" ht="15.75" customHeight="1" spans="1:2">
      <c r="A53911" s="3" t="str">
        <f>IFERROR(__xludf.DUMMYFUNCTION("GOOGLETRANSLATE(A53911,""en"",""pt"")"),"Fácil e divertido de usar. Nenhum software para se preocupar")</f>
        <v>Fácil e divertido de usar. Nenhum software para se preocupar</v>
      </c>
      <c r="B53911" s="3">
        <v>1</v>
      </c>
    </row>
    <row r="53912" ht="15.75" customHeight="1" spans="1:2">
      <c r="A53912" s="3" t="str">
        <f>IFERROR(__xludf.DUMMYFUNCTION("GOOGLETRANSLATE(A53912,""en"",""pt"")"),"boa câmera sólida com opção de disquete")</f>
        <v>boa câmera sólida com opção de disquete</v>
      </c>
      <c r="B53912" s="3">
        <v>1</v>
      </c>
    </row>
    <row r="53913" ht="15.75" customHeight="1" spans="1:2">
      <c r="A53913" s="3" t="str">
        <f>IFERROR(__xludf.DUMMYFUNCTION("GOOGLETRANSLATE(A53913,""en"",""pt"")"),"Imagens de boa qualidade, lojas em disquetes")</f>
        <v>Imagens de boa qualidade, lojas em disquetes</v>
      </c>
      <c r="B53913" s="3">
        <v>1</v>
      </c>
    </row>
    <row r="53914" ht="15.75" customHeight="1" spans="1:2">
      <c r="A53914" s="3" t="str">
        <f>IFERROR(__xludf.DUMMYFUNCTION("GOOGLETRANSLATE(A53914,""en"",""pt"")"),"Fácil de usar o armazenamento de disco flexível, fácil de usar.")</f>
        <v>Fácil de usar o armazenamento de disco flexível, fácil de usar.</v>
      </c>
      <c r="B53914" s="3">
        <v>1</v>
      </c>
    </row>
    <row r="53915" ht="15.75" customHeight="1" spans="1:2">
      <c r="A53915" s="3" t="str">
        <f>IFERROR(__xludf.DUMMYFUNCTION("GOOGLETRANSLATE(A53915,""en"",""pt"")"),"simples formato flexível e barato. chip de computador faz incrível trabalho para compensar pouca luz.")</f>
        <v>simples formato flexível e barato. chip de computador faz incrível trabalho para compensar pouca luz.</v>
      </c>
      <c r="B53915" s="3">
        <v>1</v>
      </c>
    </row>
    <row r="53916" ht="15.75" customHeight="1" spans="1:2">
      <c r="A53916" s="3" t="str">
        <f>IFERROR(__xludf.DUMMYFUNCTION("GOOGLETRANSLATE(A53916,""en"",""pt"")"),"Fácil de usar, confiável, divertido!")</f>
        <v>Fácil de usar, confiável, divertido!</v>
      </c>
      <c r="B53916" s="3">
        <v>1</v>
      </c>
    </row>
    <row r="53917" ht="15.75" customHeight="1" spans="1:2">
      <c r="A53917" s="3" t="str">
        <f>IFERROR(__xludf.DUMMYFUNCTION("GOOGLETRANSLATE(A53917,""en"",""pt"")"),"fotos dos quartos, grandes close-ups e fotos da noite.")</f>
        <v>fotos dos quartos, grandes close-ups e fotos da noite.</v>
      </c>
      <c r="B53917" s="3">
        <v>1</v>
      </c>
    </row>
    <row r="53918" ht="15.75" customHeight="1" spans="1:2">
      <c r="A53918" s="3" t="str">
        <f>IFERROR(__xludf.DUMMYFUNCTION("GOOGLETRANSLATE(A53918,""en"",""pt"")"),"grande qualidade de imagem mesmo em 1.3 Megapixel. disquete, agradável LCD, MPEG, Lotes para lista.")</f>
        <v>grande qualidade de imagem mesmo em 1.3 Megapixel. disquete, agradável LCD, MPEG, Lotes para lista.</v>
      </c>
      <c r="B53918" s="3">
        <v>1</v>
      </c>
    </row>
    <row r="53919" ht="15.75" customHeight="1" spans="1:2">
      <c r="A53919" s="3" t="str">
        <f>IFERROR(__xludf.DUMMYFUNCTION("GOOGLETRANSLATE(A53919,""en"",""pt"")"),"Boa qualidade de imagem, fácil de usar, fotos instantaneamente acessíveis.")</f>
        <v>Boa qualidade de imagem, fácil de usar, fotos instantaneamente acessíveis.</v>
      </c>
      <c r="B53919" s="3">
        <v>1</v>
      </c>
    </row>
    <row r="53920" ht="15.75" customHeight="1" spans="1:2">
      <c r="A53920" s="3" t="str">
        <f>IFERROR(__xludf.DUMMYFUNCTION("GOOGLETRANSLATE(A53920,""en"",""pt"")"),"Ótima câmera arranque. Fácil de usar além de recursos avançados.")</f>
        <v>Ótima câmera arranque. Fácil de usar além de recursos avançados.</v>
      </c>
      <c r="B53920" s="3">
        <v>1</v>
      </c>
    </row>
    <row r="53921" ht="15.75" customHeight="1" spans="1:2">
      <c r="A53921" s="3" t="str">
        <f>IFERROR(__xludf.DUMMYFUNCTION("GOOGLETRANSLATE(A53921,""en"",""pt"")"),"Simplicidade e confiabilidade. Usa ""consumíveis"" comumente disponíveis")</f>
        <v>Simplicidade e confiabilidade. Usa "consumíveis" comumente disponíveis</v>
      </c>
      <c r="B53921" s="3">
        <v>1</v>
      </c>
    </row>
    <row r="53922" ht="15.75" customHeight="1" spans="1:2">
      <c r="A53922" s="3" t="str">
        <f>IFERROR(__xludf.DUMMYFUNCTION("GOOGLETRANSLATE(A53922,""en"",""pt"")"),"Sem tempo de espera para obter impressões processadas")</f>
        <v>Sem tempo de espera para obter impressões processadas</v>
      </c>
      <c r="B53922" s="3">
        <v>1</v>
      </c>
    </row>
    <row r="53923" ht="15.75" customHeight="1" spans="1:2">
      <c r="A53923" s="3" t="str">
        <f>IFERROR(__xludf.DUMMYFUNCTION("GOOGLETRANSLATE(A53923,""en"",""pt"")"),"Tantos recursos")</f>
        <v>Tantos recursos</v>
      </c>
      <c r="B53923" s="3">
        <v>1</v>
      </c>
    </row>
    <row r="53924" ht="15.75" customHeight="1" spans="1:2">
      <c r="A53924" s="3" t="str">
        <f>IFERROR(__xludf.DUMMYFUNCTION("GOOGLETRANSLATE(A53924,""en"",""pt"")"),"Unidade de disquete para a transferência fácil entre outros computadores.")</f>
        <v>Unidade de disquete para a transferência fácil entre outros computadores.</v>
      </c>
      <c r="B53924" s="3">
        <v>1</v>
      </c>
    </row>
    <row r="53925" ht="15.75" customHeight="1" spans="1:2">
      <c r="A53925" s="3" t="str">
        <f>IFERROR(__xludf.DUMMYFUNCTION("GOOGLETRANSLATE(A53925,""en"",""pt"")"),"fotos dos quartos, armazenados em disquete")</f>
        <v>fotos dos quartos, armazenados em disquete</v>
      </c>
      <c r="B53925" s="3">
        <v>1</v>
      </c>
    </row>
    <row r="53926" ht="15.75" customHeight="1" spans="1:2">
      <c r="A53926" s="3" t="str">
        <f>IFERROR(__xludf.DUMMYFUNCTION("GOOGLETRANSLATE(A53926,""en"",""pt"")"),"Fácil de usar, media barato, disponível")</f>
        <v>Fácil de usar, media barato, disponível</v>
      </c>
      <c r="B53926" s="3">
        <v>1</v>
      </c>
    </row>
    <row r="53927" ht="15.75" customHeight="1" spans="1:2">
      <c r="A53927" s="3" t="str">
        <f>IFERROR(__xludf.DUMMYFUNCTION("GOOGLETRANSLATE(A53927,""en"",""pt"")"),"disquete, boa cor")</f>
        <v>disquete, boa cor</v>
      </c>
      <c r="B53927" s="3">
        <v>1</v>
      </c>
    </row>
    <row r="53928" ht="15.75" customHeight="1" spans="1:2">
      <c r="A53928" s="3" t="str">
        <f>IFERROR(__xludf.DUMMYFUNCTION("GOOGLETRANSLATE(A53928,""en"",""pt"")"),"Imagens de alta qualidade")</f>
        <v>Imagens de alta qualidade</v>
      </c>
      <c r="B53928" s="3">
        <v>1</v>
      </c>
    </row>
    <row r="53929" ht="15.75" customHeight="1" spans="1:2">
      <c r="A53929" s="3" t="str">
        <f>IFERROR(__xludf.DUMMYFUNCTION("GOOGLETRANSLATE(A53929,""en"",""pt"")"),"Formato qualidade Digital")</f>
        <v>Formato qualidade Digital</v>
      </c>
      <c r="B53929" s="3">
        <v>1</v>
      </c>
    </row>
    <row r="53930" ht="15.75" customHeight="1" spans="1:2">
      <c r="A53930" s="3" t="str">
        <f>IFERROR(__xludf.DUMMYFUNCTION("GOOGLETRANSLATE(A53930,""en"",""pt"")"),"tecnologia limpa")</f>
        <v>tecnologia limpa</v>
      </c>
      <c r="B53930" s="3">
        <v>1</v>
      </c>
    </row>
    <row r="53931" ht="15.75" customHeight="1" spans="1:2">
      <c r="A53931" s="3" t="str">
        <f>IFERROR(__xludf.DUMMYFUNCTION("GOOGLETRANSLATE(A53931,""en"",""pt"")"),"mesmo que FD81, facilidade de uso")</f>
        <v>mesmo que FD81, facilidade de uso</v>
      </c>
      <c r="B53931" s="3">
        <v>1</v>
      </c>
    </row>
    <row r="53932" ht="15.75" customHeight="1" spans="1:2">
      <c r="A53932" s="3" t="str">
        <f>IFERROR(__xludf.DUMMYFUNCTION("GOOGLETRANSLATE(A53932,""en"",""pt"")"),"grande qualidade, nenhum filme ou custos de desenvolvimento")</f>
        <v>grande qualidade, nenhum filme ou custos de desenvolvimento</v>
      </c>
      <c r="B53932" s="3">
        <v>1</v>
      </c>
    </row>
    <row r="53933" ht="15.75" customHeight="1" spans="1:2">
      <c r="A53933" s="3" t="str">
        <f>IFERROR(__xludf.DUMMYFUNCTION("GOOGLETRANSLATE(A53933,""en"",""pt"")"),"Qualidade, Recursos Facilidade")</f>
        <v>Qualidade, Recursos Facilidade</v>
      </c>
      <c r="B53933" s="3">
        <v>1</v>
      </c>
    </row>
    <row r="53934" ht="15.75" customHeight="1" spans="1:2">
      <c r="A53934" s="3" t="str">
        <f>IFERROR(__xludf.DUMMYFUNCTION("GOOGLETRANSLATE(A53934,""en"",""pt"")"),"câmera extremamente versátil.")</f>
        <v>câmera extremamente versátil.</v>
      </c>
      <c r="B53934" s="3">
        <v>1</v>
      </c>
    </row>
    <row r="53935" ht="15.75" customHeight="1" spans="1:2">
      <c r="A53935" s="3" t="str">
        <f>IFERROR(__xludf.DUMMYFUNCTION("GOOGLETRANSLATE(A53935,""en"",""pt"")"),"Muito fácil de usar, imagens de grande qualidade &amp; amp; # 13; &amp; amp; # 10; unidade de disco flexível faz o download rápido")</f>
        <v>Muito fácil de usar, imagens de grande qualidade &amp; amp; # 13; &amp; amp; # 10; unidade de disco flexível faz o download rápido</v>
      </c>
      <c r="B53935" s="3">
        <v>1</v>
      </c>
    </row>
    <row r="53936" ht="15.75" customHeight="1" spans="1:2">
      <c r="A53936" s="3" t="str">
        <f>IFERROR(__xludf.DUMMYFUNCTION("GOOGLETRANSLATE(A53936,""en"",""pt"")"),"bastante fácil para iniciantes, além de muitas opções para usuários avançados.")</f>
        <v>bastante fácil para iniciantes, além de muitas opções para usuários avançados.</v>
      </c>
      <c r="B53936" s="3">
        <v>1</v>
      </c>
    </row>
    <row r="53937" ht="15.75" customHeight="1" spans="1:2">
      <c r="A53937" s="3" t="str">
        <f>IFERROR(__xludf.DUMMYFUNCTION("GOOGLETRANSLATE(A53937,""en"",""pt"")"),"Enviar imagens em e-mail a partir de qualquer computador imediatamente")</f>
        <v>Enviar imagens em e-mail a partir de qualquer computador imediatamente</v>
      </c>
      <c r="B53937" s="3">
        <v>1</v>
      </c>
    </row>
    <row r="53938" ht="15.75" customHeight="1" spans="1:2">
      <c r="A53938" s="3" t="str">
        <f>IFERROR(__xludf.DUMMYFUNCTION("GOOGLETRANSLATE(A53938,""en"",""pt"")"),"Usa um disco flexível, fácil de usar")</f>
        <v>Usa um disco flexível, fácil de usar</v>
      </c>
      <c r="B53938" s="3">
        <v>1</v>
      </c>
    </row>
    <row r="53939" ht="15.75" customHeight="1" spans="1:2">
      <c r="A53939" s="3" t="str">
        <f>IFERROR(__xludf.DUMMYFUNCTION("GOOGLETRANSLATE(A53939,""en"",""pt"")"),"Fácil de usar, disquetes fazer para facilitar a transferência, leva abuso bem")</f>
        <v>Fácil de usar, disquetes fazer para facilitar a transferência, leva abuso bem</v>
      </c>
      <c r="B53939" s="3">
        <v>1</v>
      </c>
    </row>
    <row r="53940" ht="15.75" customHeight="1" spans="1:2">
      <c r="A53940" s="3" t="str">
        <f>IFERROR(__xludf.DUMMYFUNCTION("GOOGLETRANSLATE(A53940,""en"",""pt"")"),"Fácil de usar, usa disquete padrão.")</f>
        <v>Fácil de usar, usa disquete padrão.</v>
      </c>
      <c r="B53940" s="3">
        <v>1</v>
      </c>
    </row>
    <row r="53941" ht="15.75" customHeight="1" spans="1:2">
      <c r="A53941" s="3" t="str">
        <f>IFERROR(__xludf.DUMMYFUNCTION("GOOGLETRANSLATE(A53941,""en"",""pt"")"),"É tão simples de usar !!!")</f>
        <v>É tão simples de usar !!!</v>
      </c>
      <c r="B53941" s="3">
        <v>1</v>
      </c>
    </row>
    <row r="53942" ht="15.75" customHeight="1" spans="1:2">
      <c r="A53942" s="3" t="str">
        <f>IFERROR(__xludf.DUMMYFUNCTION("GOOGLETRANSLATE(A53942,""en"",""pt"")"),"CARGA PIC está em disquete")</f>
        <v>CARGA PIC está em disquete</v>
      </c>
      <c r="B53942" s="3">
        <v>1</v>
      </c>
    </row>
    <row r="53943" ht="15.75" customHeight="1" spans="1:2">
      <c r="A53943" s="3" t="str">
        <f>IFERROR(__xludf.DUMMYFUNCTION("GOOGLETRANSLATE(A53943,""en"",""pt"")"),"Capaz de fazer filmes, Tudo no disco (não mais filme), Grande Zoom, e muito mais!")</f>
        <v>Capaz de fazer filmes, Tudo no disco (não mais filme), Grande Zoom, e muito mais!</v>
      </c>
      <c r="B53943" s="3">
        <v>1</v>
      </c>
    </row>
    <row r="53944" ht="15.75" customHeight="1" spans="1:2">
      <c r="A53944" s="3" t="str">
        <f>IFERROR(__xludf.DUMMYFUNCTION("GOOGLETRANSLATE(A53944,""en"",""pt"")"),"lojas em disquete; um dispositivo universalmente disponível, zoom maravilhoso, você pode gravar filmes também !!")</f>
        <v>lojas em disquete; um dispositivo universalmente disponível, zoom maravilhoso, você pode gravar filmes também !!</v>
      </c>
      <c r="B53944" s="3">
        <v>1</v>
      </c>
    </row>
    <row r="53945" ht="15.75" customHeight="1" spans="1:2">
      <c r="A53945" s="3" t="str">
        <f>IFERROR(__xludf.DUMMYFUNCTION("GOOGLETRANSLATE(A53945,""en"",""pt"")"),"fotos grandes e fáceis de usar")</f>
        <v>fotos grandes e fáceis de usar</v>
      </c>
      <c r="B53945" s="3">
        <v>1</v>
      </c>
    </row>
    <row r="53946" ht="15.75" customHeight="1" spans="1:2">
      <c r="A53946" s="3" t="str">
        <f>IFERROR(__xludf.DUMMYFUNCTION("GOOGLETRANSLATE(A53946,""en"",""pt"")"),"EZ 2 Utilize")</f>
        <v>EZ 2 Utilize</v>
      </c>
      <c r="B53946" s="3">
        <v>1</v>
      </c>
    </row>
    <row r="53947" ht="15.75" customHeight="1" spans="1:2">
      <c r="A53947" s="3" t="str">
        <f>IFERROR(__xludf.DUMMYFUNCTION("GOOGLETRANSLATE(A53947,""en"",""pt"")"),"Perfeito para a internet, sem cabos ou cartões de memória flash")</f>
        <v>Perfeito para a internet, sem cabos ou cartões de memória flash</v>
      </c>
      <c r="B53947" s="3">
        <v>1</v>
      </c>
    </row>
    <row r="53948" ht="15.75" customHeight="1" spans="1:2">
      <c r="A53948" s="3" t="str">
        <f>IFERROR(__xludf.DUMMYFUNCTION("GOOGLETRANSLATE(A53948,""en"",""pt"")"),"excelente qualidade de imagem")</f>
        <v>excelente qualidade de imagem</v>
      </c>
      <c r="B53948" s="3">
        <v>1</v>
      </c>
    </row>
    <row r="53949" ht="15.75" customHeight="1" spans="1:2">
      <c r="A53949" s="3" t="str">
        <f>IFERROR(__xludf.DUMMYFUNCTION("GOOGLETRANSLATE(A53949,""en"",""pt"")"),"meio de armazenamento, a vida da bateria, facilidade de uso")</f>
        <v>meio de armazenamento, a vida da bateria, facilidade de uso</v>
      </c>
      <c r="B53949" s="3">
        <v>1</v>
      </c>
    </row>
    <row r="53950" ht="15.75" customHeight="1" spans="1:2">
      <c r="A53950" s="3" t="str">
        <f>IFERROR(__xludf.DUMMYFUNCTION("GOOGLETRANSLATE(A53950,""en"",""pt"")"),"Pequeno, peso leve, fotos de alta qualidade")</f>
        <v>Pequeno, peso leve, fotos de alta qualidade</v>
      </c>
      <c r="B53950" s="3">
        <v>1</v>
      </c>
    </row>
    <row r="53951" ht="15.75" customHeight="1" spans="1:2">
      <c r="A53951" s="3" t="str">
        <f>IFERROR(__xludf.DUMMYFUNCTION("GOOGLETRANSLATE(A53951,""en"",""pt"")"),"Wonderful Camera")</f>
        <v>Wonderful Camera</v>
      </c>
      <c r="B53951" s="3">
        <v>1</v>
      </c>
    </row>
    <row r="53952" ht="15.75" customHeight="1" spans="1:2">
      <c r="A53952" s="3" t="str">
        <f>IFERROR(__xludf.DUMMYFUNCTION("GOOGLETRANSLATE(A53952,""en"",""pt"")"),"Grande zoom 16x, armazenamento em disquetes, boas fotos")</f>
        <v>Grande zoom 16x, armazenamento em disquetes, boas fotos</v>
      </c>
      <c r="B53952" s="3">
        <v>1</v>
      </c>
    </row>
    <row r="53953" ht="15.75" customHeight="1" spans="1:2">
      <c r="A53953" s="3" t="str">
        <f>IFERROR(__xludf.DUMMYFUNCTION("GOOGLETRANSLATE(A53953,""en"",""pt"")"),"Fácil muito de usar")</f>
        <v>Fácil muito de usar</v>
      </c>
      <c r="B53953" s="3">
        <v>1</v>
      </c>
    </row>
    <row r="53954" ht="15.75" customHeight="1" spans="1:2">
      <c r="A53954" s="3" t="str">
        <f>IFERROR(__xludf.DUMMYFUNCTION("GOOGLETRANSLATE(A53954,""en"",""pt"")"),"Zoom é muito bom 16x - disquete salva - MOVIMENTO!")</f>
        <v>Zoom é muito bom 16x - disquete salva - MOVIMENTO!</v>
      </c>
      <c r="B53954" s="3">
        <v>1</v>
      </c>
    </row>
    <row r="53955" ht="15.75" customHeight="1" spans="1:2">
      <c r="A53955" s="3" t="str">
        <f>IFERROR(__xludf.DUMMYFUNCTION("GOOGLETRANSLATE(A53955,""en"",""pt"")"),"A facilidade e simplicidade de obtenção de imagens para o computador.")</f>
        <v>A facilidade e simplicidade de obtenção de imagens para o computador.</v>
      </c>
      <c r="B53955" s="3">
        <v>1</v>
      </c>
    </row>
    <row r="53956" ht="15.75" customHeight="1" spans="1:2">
      <c r="A53956" s="3" t="str">
        <f>IFERROR(__xludf.DUMMYFUNCTION("GOOGLETRANSLATE(A53956,""en"",""pt"")"),"usabilidade")</f>
        <v>usabilidade</v>
      </c>
      <c r="B53956" s="3">
        <v>1</v>
      </c>
    </row>
    <row r="53957" ht="15.75" customHeight="1" spans="1:2">
      <c r="A53957" s="3" t="str">
        <f>IFERROR(__xludf.DUMMYFUNCTION("GOOGLETRANSLATE(A53957,""en"",""pt"")"),"tecnologia de disco flexível")</f>
        <v>tecnologia de disco flexível</v>
      </c>
      <c r="B53957" s="3">
        <v>1</v>
      </c>
    </row>
    <row r="53958" ht="15.75" customHeight="1" spans="1:2">
      <c r="A53958" s="3" t="str">
        <f>IFERROR(__xludf.DUMMYFUNCTION("GOOGLETRANSLATE(A53958,""en"",""pt"")"),"Todos excelentes em torno")</f>
        <v>Todos excelentes em torno</v>
      </c>
      <c r="B53958" s="3">
        <v>1</v>
      </c>
    </row>
    <row r="53959" ht="15.75" customHeight="1" spans="1:2">
      <c r="A53959" s="3" t="str">
        <f>IFERROR(__xludf.DUMMYFUNCTION("GOOGLETRANSLATE(A53959,""en"",""pt"")"),"Eu lhe contei sobre os disquetes?")</f>
        <v>Eu lhe contei sobre os disquetes?</v>
      </c>
      <c r="B53959" s="3">
        <v>1</v>
      </c>
    </row>
    <row r="53960" ht="15.75" customHeight="1" spans="1:2">
      <c r="A53960" s="3" t="str">
        <f>IFERROR(__xludf.DUMMYFUNCTION("GOOGLETRANSLATE(A53960,""en"",""pt"")"),"zoom, mini filme, Sony = alta qualidade")</f>
        <v>zoom, mini filme, Sony = alta qualidade</v>
      </c>
      <c r="B53960" s="3">
        <v>1</v>
      </c>
    </row>
    <row r="53961" ht="15.75" customHeight="1" spans="1:2">
      <c r="A53961" s="3" t="str">
        <f>IFERROR(__xludf.DUMMYFUNCTION("GOOGLETRANSLATE(A53961,""en"",""pt"")"),"Facilidade de uso e acessibilidade de imagens")</f>
        <v>Facilidade de uso e acessibilidade de imagens</v>
      </c>
      <c r="B53961" s="3">
        <v>1</v>
      </c>
    </row>
    <row r="53962" ht="15.75" customHeight="1" spans="1:2">
      <c r="A53962" s="3" t="str">
        <f>IFERROR(__xludf.DUMMYFUNCTION("GOOGLETRANSLATE(A53962,""en"",""pt"")"),"Fácil de usar.")</f>
        <v>Fácil de usar.</v>
      </c>
      <c r="B53962" s="3">
        <v>1</v>
      </c>
    </row>
    <row r="53963" ht="15.75" customHeight="1" spans="1:2">
      <c r="A53963" s="3" t="str">
        <f>IFERROR(__xludf.DUMMYFUNCTION("GOOGLETRANSLATE(A53963,""en"",""pt"")"),"user friendly, fácil de aprender, de boa qualidade fotos on-line")</f>
        <v>user friendly, fácil de aprender, de boa qualidade fotos on-line</v>
      </c>
      <c r="B53963" s="3">
        <v>1</v>
      </c>
    </row>
    <row r="53964" ht="15.75" customHeight="1" spans="1:2">
      <c r="A53964" s="3" t="str">
        <f>IFERROR(__xludf.DUMMYFUNCTION("GOOGLETRANSLATE(A53964,""en"",""pt"")"),"Facilidade de uso, sem as portas do computador utilizado,")</f>
        <v>Facilidade de uso, sem as portas do computador utilizado,</v>
      </c>
      <c r="B53964" s="3">
        <v>1</v>
      </c>
    </row>
    <row r="53965" ht="15.75" customHeight="1" spans="1:2">
      <c r="A53965" s="3" t="str">
        <f>IFERROR(__xludf.DUMMYFUNCTION("GOOGLETRANSLATE(A53965,""en"",""pt"")"),"Floppy Disk Storage e muito mais")</f>
        <v>Floppy Disk Storage e muito mais</v>
      </c>
      <c r="B53965" s="3">
        <v>1</v>
      </c>
    </row>
    <row r="53966" ht="15.75" customHeight="1" spans="1:2">
      <c r="A53966" s="3" t="str">
        <f>IFERROR(__xludf.DUMMYFUNCTION("GOOGLETRANSLATE(A53966,""en"",""pt"")"),"Faz cada coisa que eu queria em uma câmera")</f>
        <v>Faz cada coisa que eu queria em uma câmera</v>
      </c>
      <c r="B53966" s="3">
        <v>1</v>
      </c>
    </row>
    <row r="53967" ht="15.75" customHeight="1" spans="1:2">
      <c r="A53967" s="3" t="str">
        <f>IFERROR(__xludf.DUMMYFUNCTION("GOOGLETRANSLATE(A53967,""en"",""pt"")"),"usar disquetes")</f>
        <v>usar disquetes</v>
      </c>
      <c r="B53967" s="3">
        <v>1</v>
      </c>
    </row>
    <row r="53968" ht="15.75" customHeight="1" spans="1:2">
      <c r="A53968" s="3" t="str">
        <f>IFERROR(__xludf.DUMMYFUNCTION("GOOGLETRANSLATE(A53968,""en"",""pt"")"),"16x zoom óptico, mpeg, ótima resolução, mais fácil de carregar disquetes no computador")</f>
        <v>16x zoom óptico, mpeg, ótima resolução, mais fácil de carregar disquetes no computador</v>
      </c>
      <c r="B53968" s="3">
        <v>1</v>
      </c>
    </row>
    <row r="53969" ht="15.75" customHeight="1" spans="1:2">
      <c r="A53969" s="3" t="str">
        <f>IFERROR(__xludf.DUMMYFUNCTION("GOOGLETRANSLATE(A53969,""en"",""pt"")"),"qualidade das imagens; fácil de usar")</f>
        <v>qualidade das imagens; fácil de usar</v>
      </c>
      <c r="B53969" s="3">
        <v>1</v>
      </c>
    </row>
    <row r="53970" ht="15.75" customHeight="1" spans="1:2">
      <c r="A53970" s="3" t="str">
        <f>IFERROR(__xludf.DUMMYFUNCTION("GOOGLETRANSLATE(A53970,""en"",""pt"")"),"Facilidade de uso, meios de armazenamento convenientes, muitas características interessantes")</f>
        <v>Facilidade de uso, meios de armazenamento convenientes, muitas características interessantes</v>
      </c>
      <c r="B53970" s="3">
        <v>1</v>
      </c>
    </row>
    <row r="53971" ht="15.75" customHeight="1" spans="1:2">
      <c r="A53971" s="3" t="str">
        <f>IFERROR(__xludf.DUMMYFUNCTION("GOOGLETRANSLATE(A53971,""en"",""pt"")"),"Fácil de segurar e operar")</f>
        <v>Fácil de segurar e operar</v>
      </c>
      <c r="B53971" s="3">
        <v>1</v>
      </c>
    </row>
    <row r="53972" ht="15.75" customHeight="1" spans="1:2">
      <c r="A53972" s="3" t="str">
        <f>IFERROR(__xludf.DUMMYFUNCTION("GOOGLETRANSLATE(A53972,""en"",""pt"")"),"Simples, de boa qualidade")</f>
        <v>Simples, de boa qualidade</v>
      </c>
      <c r="B53972" s="3">
        <v>1</v>
      </c>
    </row>
    <row r="53973" ht="15.75" customHeight="1" spans="1:2">
      <c r="A53973" s="3" t="str">
        <f>IFERROR(__xludf.DUMMYFUNCTION("GOOGLETRANSLATE(A53973,""en"",""pt"")"),"Hi-res, transferência de arquivos conveniente, de alta ampliação, grande cor.")</f>
        <v>Hi-res, transferência de arquivos conveniente, de alta ampliação, grande cor.</v>
      </c>
      <c r="B53973" s="3">
        <v>1</v>
      </c>
    </row>
    <row r="53974" ht="15.75" customHeight="1" spans="1:2">
      <c r="A53974" s="3" t="str">
        <f>IFERROR(__xludf.DUMMYFUNCTION("GOOGLETRANSLATE(A53974,""en"",""pt"")"),"grande para o uso da família e uso comercial")</f>
        <v>grande para o uso da família e uso comercial</v>
      </c>
      <c r="B53974" s="3">
        <v>1</v>
      </c>
    </row>
    <row r="53975" ht="15.75" customHeight="1" spans="1:2">
      <c r="A53975" s="3" t="str">
        <f>IFERROR(__xludf.DUMMYFUNCTION("GOOGLETRANSLATE(A53975,""en"",""pt"")"),"Fácil de usar e leve")</f>
        <v>Fácil de usar e leve</v>
      </c>
      <c r="B53975" s="3">
        <v>1</v>
      </c>
    </row>
    <row r="53976" ht="15.75" customHeight="1" spans="1:2">
      <c r="A53976" s="3" t="str">
        <f>IFERROR(__xludf.DUMMYFUNCTION("GOOGLETRANSLATE(A53976,""en"",""pt"")"),"Floppy Drive para transferências de dados")</f>
        <v>Floppy Drive para transferências de dados</v>
      </c>
      <c r="B53976" s="3">
        <v>1</v>
      </c>
    </row>
    <row r="53977" ht="15.75" customHeight="1" spans="1:2">
      <c r="A53977" s="3" t="str">
        <f>IFERROR(__xludf.DUMMYFUNCTION("GOOGLETRANSLATE(A53977,""en"",""pt"")"),"vida longa da bateria (1 1/2 horas)")</f>
        <v>vida longa da bateria (1 1/2 horas)</v>
      </c>
      <c r="B53977" s="3">
        <v>1</v>
      </c>
    </row>
    <row r="53978" ht="15.75" customHeight="1" spans="1:2">
      <c r="A53978" s="3" t="str">
        <f>IFERROR(__xludf.DUMMYFUNCTION("GOOGLETRANSLATE(A53978,""en"",""pt"")"),"ótimas fotos e preço razoável")</f>
        <v>ótimas fotos e preço razoável</v>
      </c>
      <c r="B53978" s="3">
        <v>1</v>
      </c>
    </row>
    <row r="53979" ht="15.75" customHeight="1" spans="1:2">
      <c r="A53979" s="3" t="str">
        <f>IFERROR(__xludf.DUMMYFUNCTION("GOOGLETRANSLATE(A53979,""en"",""pt"")"),"Fácil de usar ... não para os profissionais")</f>
        <v>Fácil de usar ... não para os profissionais</v>
      </c>
      <c r="B53979" s="3">
        <v>1</v>
      </c>
    </row>
    <row r="53980" ht="15.75" customHeight="1" spans="1:2">
      <c r="A53980" s="3" t="str">
        <f>IFERROR(__xludf.DUMMYFUNCTION("GOOGLETRANSLATE(A53980,""en"",""pt"")"),"tudo")</f>
        <v>tudo</v>
      </c>
      <c r="B53980" s="3">
        <v>1</v>
      </c>
    </row>
    <row r="53981" ht="15.75" customHeight="1" spans="1:2">
      <c r="A53981" s="3" t="str">
        <f>IFERROR(__xludf.DUMMYFUNCTION("GOOGLETRANSLATE(A53981,""en"",""pt"")"),"Facilidade de uso - Definitivamente")</f>
        <v>Facilidade de uso - Definitivamente</v>
      </c>
      <c r="B53981" s="3">
        <v>1</v>
      </c>
    </row>
    <row r="53982" ht="15.75" customHeight="1" spans="1:2">
      <c r="A53982" s="3" t="str">
        <f>IFERROR(__xludf.DUMMYFUNCTION("GOOGLETRANSLATE(A53982,""en"",""pt"")"),"Fácil de usar, divertido de usar, e ele usa a 3 1/2 &amp; amp; quot; disquetes")</f>
        <v>Fácil de usar, divertido de usar, e ele usa a 3 1/2 &amp; amp; quot; disquetes</v>
      </c>
      <c r="B53982" s="3">
        <v>1</v>
      </c>
    </row>
    <row r="53983" ht="15.75" customHeight="1" spans="1:2">
      <c r="A53983" s="3" t="str">
        <f>IFERROR(__xludf.DUMMYFUNCTION("GOOGLETRANSLATE(A53983,""en"",""pt"")"),"3,5 &amp; amp; quot; disco, vida da bateria é boa")</f>
        <v>3,5 &amp; amp; quot; disco, vida da bateria é boa</v>
      </c>
      <c r="B53983" s="3">
        <v>1</v>
      </c>
    </row>
    <row r="53984" ht="15.75" customHeight="1" spans="1:2">
      <c r="A53984" s="3" t="str">
        <f>IFERROR(__xludf.DUMMYFUNCTION("GOOGLETRANSLATE(A53984,""en"",""pt"")"),"mídia de disquete, flash inteligente, grande valor")</f>
        <v>mídia de disquete, flash inteligente, grande valor</v>
      </c>
      <c r="B53984" s="3">
        <v>1</v>
      </c>
    </row>
    <row r="53985" ht="15.75" customHeight="1" spans="1:2">
      <c r="A53985" s="3" t="str">
        <f>IFERROR(__xludf.DUMMYFUNCTION("GOOGLETRANSLATE(A53985,""en"",""pt"")"),"Esta é uma câmera de alta qualidade e é recomendado por especialistas")</f>
        <v>Esta é uma câmera de alta qualidade e é recomendado por especialistas</v>
      </c>
      <c r="B53985" s="3">
        <v>1</v>
      </c>
    </row>
    <row r="53986" ht="15.75" customHeight="1" spans="1:2">
      <c r="A53986" s="3" t="str">
        <f>IFERROR(__xludf.DUMMYFUNCTION("GOOGLETRANSLATE(A53986,""en"",""pt"")"),"Grande Pictures, fácil de carregar em um PC com disquete, 16x Zoom, 1.3 Mega Pixels")</f>
        <v>Grande Pictures, fácil de carregar em um PC com disquete, 16x Zoom, 1.3 Mega Pixels</v>
      </c>
      <c r="B53986" s="3">
        <v>1</v>
      </c>
    </row>
    <row r="53987" ht="15.75" customHeight="1" spans="1:2">
      <c r="A53987" s="3" t="str">
        <f>IFERROR(__xludf.DUMMYFUNCTION("GOOGLETRANSLATE(A53987,""en"",""pt"")"),"Hella agradável Zoom, usa discos, boa qualidade, pode fazer movimento")</f>
        <v>Hella agradável Zoom, usa discos, boa qualidade, pode fazer movimento</v>
      </c>
      <c r="B53987" s="3">
        <v>1</v>
      </c>
    </row>
    <row r="53988" ht="15.75" customHeight="1" spans="1:2">
      <c r="A53988" s="3" t="str">
        <f>IFERROR(__xludf.DUMMYFUNCTION("GOOGLETRANSLATE(A53988,""en"",""pt"")"),"excelente câmera")</f>
        <v>excelente câmera</v>
      </c>
      <c r="B53988" s="3">
        <v>1</v>
      </c>
    </row>
    <row r="53989" ht="15.75" customHeight="1" spans="1:2">
      <c r="A53989" s="3" t="str">
        <f>IFERROR(__xludf.DUMMYFUNCTION("GOOGLETRANSLATE(A53989,""en"",""pt"")"),"Versatilidade, qualidade de imagem, a conveniência")</f>
        <v>Versatilidade, qualidade de imagem, a conveniência</v>
      </c>
      <c r="B53989" s="3">
        <v>1</v>
      </c>
    </row>
    <row r="53990" ht="15.75" customHeight="1" spans="1:2">
      <c r="A53990" s="3" t="str">
        <f>IFERROR(__xludf.DUMMYFUNCTION("GOOGLETRANSLATE(A53990,""en"",""pt"")"),"Fácil de usar, armazenamento de disco flexível")</f>
        <v>Fácil de usar, armazenamento de disco flexível</v>
      </c>
      <c r="B53990" s="3">
        <v>1</v>
      </c>
    </row>
    <row r="53991" ht="15.75" customHeight="1" spans="1:2">
      <c r="A53991" s="3" t="str">
        <f>IFERROR(__xludf.DUMMYFUNCTION("GOOGLETRANSLATE(A53991,""en"",""pt"")"),"Facilidade de uso e baixo custo de longo alcance")</f>
        <v>Facilidade de uso e baixo custo de longo alcance</v>
      </c>
      <c r="B53991" s="3">
        <v>1</v>
      </c>
    </row>
    <row r="53992" ht="15.75" customHeight="1" spans="1:2">
      <c r="A53992" s="3" t="str">
        <f>IFERROR(__xludf.DUMMYFUNCTION("GOOGLETRANSLATE(A53992,""en"",""pt"")"),"Fácil de usar")</f>
        <v>Fácil de usar</v>
      </c>
      <c r="B53992" s="3">
        <v>1</v>
      </c>
    </row>
    <row r="53993" ht="15.75" customHeight="1" spans="1:2">
      <c r="A53993" s="3" t="str">
        <f>IFERROR(__xludf.DUMMYFUNCTION("GOOGLETRANSLATE(A53993,""en"",""pt"")"),"grande qualidade da foto, usa floppys para armazenar fotos, fácil de usar")</f>
        <v>grande qualidade da foto, usa floppys para armazenar fotos, fácil de usar</v>
      </c>
      <c r="B53993" s="3">
        <v>1</v>
      </c>
    </row>
    <row r="53994" ht="15.75" customHeight="1" spans="1:2">
      <c r="A53994" s="3" t="str">
        <f>IFERROR(__xludf.DUMMYFUNCTION("GOOGLETRANSLATE(A53994,""en"",""pt"")"),"disquete uso do disco; fácil eliminação; solarização flores é bonita!")</f>
        <v>disquete uso do disco; fácil eliminação; solarização flores é bonita!</v>
      </c>
      <c r="B53994" s="3">
        <v>1</v>
      </c>
    </row>
    <row r="53995" ht="15.75" customHeight="1" spans="1:2">
      <c r="A53995" s="3" t="str">
        <f>IFERROR(__xludf.DUMMYFUNCTION("GOOGLETRANSLATE(A53995,""en"",""pt"")"),"Unidade de disquete")</f>
        <v>Unidade de disquete</v>
      </c>
      <c r="B53995" s="3">
        <v>1</v>
      </c>
    </row>
    <row r="53996" ht="15.75" customHeight="1" spans="1:2">
      <c r="A53996" s="3" t="str">
        <f>IFERROR(__xludf.DUMMYFUNCTION("GOOGLETRANSLATE(A53996,""en"",""pt"")"),"Disquetes, zoom, imagens claras")</f>
        <v>Disquetes, zoom, imagens claras</v>
      </c>
      <c r="B53996" s="3">
        <v>1</v>
      </c>
    </row>
    <row r="53997" ht="15.75" customHeight="1" spans="1:2">
      <c r="A53997" s="3" t="str">
        <f>IFERROR(__xludf.DUMMYFUNCTION("GOOGLETRANSLATE(A53997,""en"",""pt"")"),"Muito fácil de usar. Tem grandes figuras.")</f>
        <v>Muito fácil de usar. Tem grandes figuras.</v>
      </c>
      <c r="B53997" s="3">
        <v>1</v>
      </c>
    </row>
    <row r="53998" ht="15.75" customHeight="1" spans="1:2">
      <c r="A53998" s="3" t="str">
        <f>IFERROR(__xludf.DUMMYFUNCTION("GOOGLETRANSLATE(A53998,""en"",""pt"")"),"fotos de qualidade, não ligado ao computador!")</f>
        <v>fotos de qualidade, não ligado ao computador!</v>
      </c>
      <c r="B53998" s="3">
        <v>1</v>
      </c>
    </row>
    <row r="53999" ht="15.75" customHeight="1" spans="1:2">
      <c r="A53999" s="3" t="str">
        <f>IFERROR(__xludf.DUMMYFUNCTION("GOOGLETRANSLATE(A53999,""en"",""pt"")"),"Extremamente fácil de usar, os disquetes são baratos sujeira.")</f>
        <v>Extremamente fácil de usar, os disquetes são baratos sujeira.</v>
      </c>
      <c r="B53999" s="3">
        <v>1</v>
      </c>
    </row>
    <row r="54000" ht="15.75" customHeight="1" spans="1:2">
      <c r="A54000" s="3" t="str">
        <f>IFERROR(__xludf.DUMMYFUNCTION("GOOGLETRANSLATE(A54000,""en"",""pt"")"),"meio de armazenamento, a vida da bateria, facilidade de uso")</f>
        <v>meio de armazenamento, a vida da bateria, facilidade de uso</v>
      </c>
      <c r="B54000" s="3">
        <v>1</v>
      </c>
    </row>
    <row r="54001" ht="15.75" customHeight="1" spans="1:2">
      <c r="A54001" s="3" t="str">
        <f>IFERROR(__xludf.DUMMYFUNCTION("GOOGLETRANSLATE(A54001,""en"",""pt"")"),"unidade de disquete na própria câmera")</f>
        <v>unidade de disquete na própria câmera</v>
      </c>
      <c r="B54001" s="3">
        <v>1</v>
      </c>
    </row>
    <row r="54002" ht="15.75" customHeight="1" spans="1:2">
      <c r="A54002" s="3" t="str">
        <f>IFERROR(__xludf.DUMMYFUNCTION("GOOGLETRANSLATE(A54002,""en"",""pt"")"),"ótimas fotos / facilidade de uso")</f>
        <v>ótimas fotos / facilidade de uso</v>
      </c>
      <c r="B54002" s="3">
        <v>1</v>
      </c>
    </row>
    <row r="54003" ht="15.75" customHeight="1" spans="1:2">
      <c r="A54003" s="3" t="str">
        <f>IFERROR(__xludf.DUMMYFUNCTION("GOOGLETRANSLATE(A54003,""en"",""pt"")"),"baratos, disquetes")</f>
        <v>baratos, disquetes</v>
      </c>
      <c r="B54003" s="3">
        <v>1</v>
      </c>
    </row>
    <row r="54004" ht="15.75" customHeight="1" spans="1:2">
      <c r="A54004" s="3" t="str">
        <f>IFERROR(__xludf.DUMMYFUNCTION("GOOGLETRANSLATE(A54004,""en"",""pt"")"),"Barato &amp; amp; quot; desenvolvimento &amp; amp; quot; de fotografias, de excelente qualidade (se você escolher essa configuração) e muito mais!")</f>
        <v>Barato &amp; amp; quot; desenvolvimento &amp; amp; quot; de fotografias, de excelente qualidade (se você escolher essa configuração) e muito mais!</v>
      </c>
      <c r="B54004" s="3">
        <v>1</v>
      </c>
    </row>
    <row r="54005" ht="15.75" customHeight="1" spans="1:2">
      <c r="A54005" s="3" t="str">
        <f>IFERROR(__xludf.DUMMYFUNCTION("GOOGLETRANSLATE(A54005,""en"",""pt"")"),"registros para o disquete, muito zoom, capacidade de registro mpeg, bateria de longa duração.")</f>
        <v>registros para o disquete, muito zoom, capacidade de registro mpeg, bateria de longa duração.</v>
      </c>
      <c r="B54005" s="3">
        <v>1</v>
      </c>
    </row>
    <row r="54006" ht="15.75" customHeight="1" spans="1:2">
      <c r="A54006" s="3" t="str">
        <f>IFERROR(__xludf.DUMMYFUNCTION("GOOGLETRANSLATE(A54006,""en"",""pt"")"),"versátil, trabalha com PC e Mac, vem com software reforço da imagem")</f>
        <v>versátil, trabalha com PC e Mac, vem com software reforço da imagem</v>
      </c>
      <c r="B54006" s="3">
        <v>1</v>
      </c>
    </row>
    <row r="54007" ht="15.75" customHeight="1" spans="1:2">
      <c r="A54007" s="3" t="str">
        <f>IFERROR(__xludf.DUMMYFUNCTION("GOOGLETRANSLATE(A54007,""en"",""pt"")"),"Impecável operação, Imagens bonitas")</f>
        <v>Impecável operação, Imagens bonitas</v>
      </c>
      <c r="B54007" s="3">
        <v>1</v>
      </c>
    </row>
    <row r="54008" ht="15.75" customHeight="1" spans="1:2">
      <c r="A54008" s="3" t="str">
        <f>IFERROR(__xludf.DUMMYFUNCTION("GOOGLETRANSLATE(A54008,""en"",""pt"")"),"Facilidade de uso, conveniência de armazenamento flexível, exposição, zoom óptico, a interface")</f>
        <v>Facilidade de uso, conveniência de armazenamento flexível, exposição, zoom óptico, a interface</v>
      </c>
      <c r="B54008" s="3">
        <v>1</v>
      </c>
    </row>
    <row r="54009" ht="15.75" customHeight="1" spans="1:2">
      <c r="A54009" s="3" t="str">
        <f>IFERROR(__xludf.DUMMYFUNCTION("GOOGLETRANSLATE(A54009,""en"",""pt"")"),"armazenamento de arquivos simples, excelente performance digital")</f>
        <v>armazenamento de arquivos simples, excelente performance digital</v>
      </c>
      <c r="B54009" s="3">
        <v>1</v>
      </c>
    </row>
    <row r="54010" ht="15.75" customHeight="1" spans="1:2">
      <c r="A54010" s="3" t="str">
        <f>IFERROR(__xludf.DUMMYFUNCTION("GOOGLETRANSLATE(A54010,""en"",""pt"")"),"Reprodução das imagens salvas em um disquete")</f>
        <v>Reprodução das imagens salvas em um disquete</v>
      </c>
      <c r="B54010" s="3">
        <v>1</v>
      </c>
    </row>
    <row r="54011" ht="15.75" customHeight="1" spans="1:2">
      <c r="A54011" s="3" t="str">
        <f>IFERROR(__xludf.DUMMYFUNCTION("GOOGLETRANSLATE(A54011,""en"",""pt"")"),"funcional, fácil de usar")</f>
        <v>funcional, fácil de usar</v>
      </c>
      <c r="B54011" s="3">
        <v>1</v>
      </c>
    </row>
    <row r="54012" ht="15.75" customHeight="1" spans="1:2">
      <c r="A54012" s="3" t="str">
        <f>IFERROR(__xludf.DUMMYFUNCTION("GOOGLETRANSLATE(A54012,""en"",""pt"")"),"drive de disquetes, baterias recarregáveis")</f>
        <v>drive de disquetes, baterias recarregáveis</v>
      </c>
      <c r="B54012" s="3">
        <v>1</v>
      </c>
    </row>
    <row r="54013" ht="15.75" customHeight="1" spans="1:2">
      <c r="A54013" s="3" t="str">
        <f>IFERROR(__xludf.DUMMYFUNCTION("GOOGLETRANSLATE(A54013,""en"",""pt"")"),"Quase tudo")</f>
        <v>Quase tudo</v>
      </c>
      <c r="B54013" s="3">
        <v>1</v>
      </c>
    </row>
    <row r="54014" ht="15.75" customHeight="1" spans="1:2">
      <c r="A54014" s="3" t="str">
        <f>IFERROR(__xludf.DUMMYFUNCTION("GOOGLETRANSLATE(A54014,""en"",""pt"")"),"Conveniência de armazenamento de disco flexível, nenhum filme, grande bateria recarregável.")</f>
        <v>Conveniência de armazenamento de disco flexível, nenhum filme, grande bateria recarregável.</v>
      </c>
      <c r="B54014" s="3">
        <v>1</v>
      </c>
    </row>
    <row r="54015" ht="15.75" customHeight="1" spans="1:2">
      <c r="A54015" s="3" t="s">
        <v>283</v>
      </c>
      <c r="B54015" s="3">
        <v>1</v>
      </c>
    </row>
    <row r="54016" ht="15.75" customHeight="1" spans="1:2">
      <c r="A54016" s="3" t="str">
        <f>IFERROR(__xludf.DUMMYFUNCTION("GOOGLETRANSLATE(A54016,""en"",""pt"")"),"Fácil de usar. De boa qualidade ainda fotos com várias opções na câmera.")</f>
        <v>Fácil de usar. De boa qualidade ainda fotos com várias opções na câmera.</v>
      </c>
      <c r="B54016" s="3">
        <v>1</v>
      </c>
    </row>
    <row r="54017" ht="15.75" customHeight="1" spans="1:2">
      <c r="A54017" s="3" t="str">
        <f>IFERROR(__xludf.DUMMYFUNCTION("GOOGLETRANSLATE(A54017,""en"",""pt"")"),"Perfeito para os deficientes fácil tecnicamente de usar, sem ligar necessário.")</f>
        <v>Perfeito para os deficientes fácil tecnicamente de usar, sem ligar necessário.</v>
      </c>
      <c r="B54017" s="3">
        <v>1</v>
      </c>
    </row>
    <row r="54018" ht="15.75" customHeight="1" spans="1:2">
      <c r="A54018" s="3" t="str">
        <f>IFERROR(__xludf.DUMMYFUNCTION("GOOGLETRANSLATE(A54018,""en"",""pt"")"),"habilidade ilimitada para tirar fotos, nítidas, de fácil utilização, a capacidade Macro")</f>
        <v>habilidade ilimitada para tirar fotos, nítidas, de fácil utilização, a capacidade Macro</v>
      </c>
      <c r="B54018" s="3">
        <v>1</v>
      </c>
    </row>
    <row r="54019" ht="15.75" customHeight="1" spans="1:2">
      <c r="A54019" s="3" t="str">
        <f>IFERROR(__xludf.DUMMYFUNCTION("GOOGLETRANSLATE(A54019,""en"",""pt"")"),"Excelente qualidade de imagem, gratificação instantânea! Lotes de sinos e assobios!")</f>
        <v>Excelente qualidade de imagem, gratificação instantânea! Lotes de sinos e assobios!</v>
      </c>
      <c r="B54019" s="3">
        <v>1</v>
      </c>
    </row>
    <row r="54020" ht="15.75" customHeight="1" spans="1:2">
      <c r="A54020" s="3" t="str">
        <f>IFERROR(__xludf.DUMMYFUNCTION("GOOGLETRANSLATE(A54020,""en"",""pt"")"),"Grande tela LCD, InfoLithium Baterias &amp; amp; # 13; &amp; amp; # 10;")</f>
        <v>Grande tela LCD, InfoLithium Baterias &amp; amp; # 13; &amp; amp; # 10;</v>
      </c>
      <c r="B54020" s="3">
        <v>1</v>
      </c>
    </row>
    <row r="54021" ht="15.75" customHeight="1" spans="1:2">
      <c r="A54021" s="3" t="str">
        <f>IFERROR(__xludf.DUMMYFUNCTION("GOOGLETRANSLATE(A54021,""en"",""pt"")"),"Facilidade de uso, fotos excelentes, capacidade MPEG, o feedback instantâneo")</f>
        <v>Facilidade de uso, fotos excelentes, capacidade MPEG, o feedback instantâneo</v>
      </c>
      <c r="B54021" s="3">
        <v>1</v>
      </c>
    </row>
    <row r="54022" ht="15.75" customHeight="1" spans="1:2">
      <c r="A54022" s="3" t="str">
        <f>IFERROR(__xludf.DUMMYFUNCTION("GOOGLETRANSLATE(A54022,""en"",""pt"")"),"Digital, regulares 3.5"" disquetes, fácil de usar")</f>
        <v>Digital, regulares 3.5" disquetes, fácil de usar</v>
      </c>
      <c r="B54022" s="3">
        <v>1</v>
      </c>
    </row>
    <row r="54023" ht="15.75" customHeight="1" spans="1:2">
      <c r="A54023" s="3" t="str">
        <f>IFERROR(__xludf.DUMMYFUNCTION("GOOGLETRANSLATE(A54023,""en"",""pt"")"),"Fácil de usar, Veja suas fotos imediatamente")</f>
        <v>Fácil de usar, Veja suas fotos imediatamente</v>
      </c>
      <c r="B54023" s="3">
        <v>1</v>
      </c>
    </row>
    <row r="54024" ht="15.75" customHeight="1" spans="1:2">
      <c r="A54024" s="3" t="str">
        <f>IFERROR(__xludf.DUMMYFUNCTION("GOOGLETRANSLATE(A54024,""en"",""pt"")"),"Fácil de usar, imagens de boa qualidade, meios de armazenamento barato")</f>
        <v>Fácil de usar, imagens de boa qualidade, meios de armazenamento barato</v>
      </c>
      <c r="B54024" s="3">
        <v>1</v>
      </c>
    </row>
    <row r="54025" ht="15.75" customHeight="1" spans="1:2">
      <c r="A54025" s="3" t="str">
        <f>IFERROR(__xludf.DUMMYFUNCTION("GOOGLETRANSLATE(A54025,""en"",""pt"")"),"3,5 disquete entra em qualquer computador, apagar maus pics, boa 16x zoom")</f>
        <v>3,5 disquete entra em qualquer computador, apagar maus pics, boa 16x zoom</v>
      </c>
      <c r="B54025" s="3">
        <v>1</v>
      </c>
    </row>
    <row r="54026" ht="15.75" customHeight="1" spans="1:2">
      <c r="A54026" s="3" t="str">
        <f>IFERROR(__xludf.DUMMYFUNCTION("GOOGLETRANSLATE(A54026,""en"",""pt"")"),"facilidade dupla de armazenamento de Qualidade / / filmes com áudio e muito mais ....")</f>
        <v>facilidade dupla de armazenamento de Qualidade / / filmes com áudio e muito mais ....</v>
      </c>
      <c r="B54026" s="3">
        <v>1</v>
      </c>
    </row>
    <row r="54027" ht="15.75" customHeight="1" spans="1:2">
      <c r="A54027" s="3" t="str">
        <f>IFERROR(__xludf.DUMMYFUNCTION("GOOGLETRANSLATE(A54027,""en"",""pt"")"),"fácil, clara e alta resolução, câmera mini-vídeo também")</f>
        <v>fácil, clara e alta resolução, câmera mini-vídeo também</v>
      </c>
      <c r="B54027" s="3">
        <v>1</v>
      </c>
    </row>
    <row r="54028" ht="15.75" customHeight="1" spans="1:2">
      <c r="A54028" s="3" t="str">
        <f>IFERROR(__xludf.DUMMYFUNCTION("GOOGLETRANSLATE(A54028,""en"",""pt"")"),"disquete de 3,5 polegadas")</f>
        <v>disquete de 3,5 polegadas</v>
      </c>
      <c r="B54028" s="3">
        <v>1</v>
      </c>
    </row>
    <row r="54029" ht="15.75" customHeight="1" spans="1:2">
      <c r="A54029" s="3" t="str">
        <f>IFERROR(__xludf.DUMMYFUNCTION("GOOGLETRANSLATE(A54029,""en"",""pt"")"),"bateria da Sony")</f>
        <v>bateria da Sony</v>
      </c>
      <c r="B54029" s="3">
        <v>1</v>
      </c>
    </row>
    <row r="54030" ht="15.75" customHeight="1" spans="1:2">
      <c r="A54030" s="3" t="str">
        <f>IFERROR(__xludf.DUMMYFUNCTION("GOOGLETRANSLATE(A54030,""en"",""pt"")"),"Aumento de zoom, foco manual")</f>
        <v>Aumento de zoom, foco manual</v>
      </c>
      <c r="B54030" s="3">
        <v>1</v>
      </c>
    </row>
    <row r="54031" ht="15.75" customHeight="1" spans="1:2">
      <c r="A54031" s="3" t="str">
        <f>IFERROR(__xludf.DUMMYFUNCTION("GOOGLETRANSLATE(A54031,""en"",""pt"")"),"versatilidade da câmera possui, incluindo foco manual, mídia de armazenamento, qualidade das imagens")</f>
        <v>versatilidade da câmera possui, incluindo foco manual, mídia de armazenamento, qualidade das imagens</v>
      </c>
      <c r="B54031" s="3">
        <v>1</v>
      </c>
    </row>
    <row r="54032" ht="15.75" customHeight="1" spans="1:2">
      <c r="A54032" s="3" t="str">
        <f>IFERROR(__xludf.DUMMYFUNCTION("GOOGLETRANSLATE(A54032,""en"",""pt"")"),"Durável, fiável e resolução é aceitável")</f>
        <v>Durável, fiável e resolução é aceitável</v>
      </c>
      <c r="B54032" s="3">
        <v>1</v>
      </c>
    </row>
    <row r="54033" ht="15.75" customHeight="1" spans="1:2">
      <c r="A54033" s="3" t="str">
        <f>IFERROR(__xludf.DUMMYFUNCTION("GOOGLETRANSLATE(A54033,""en"",""pt"")"),"zoom, duração da bateria, facilidade, qualidade, MPEGs")</f>
        <v>zoom, duração da bateria, facilidade, qualidade, MPEGs</v>
      </c>
      <c r="B54033" s="3">
        <v>1</v>
      </c>
    </row>
    <row r="54034" ht="15.75" customHeight="1" spans="1:2">
      <c r="A54034" s="3" t="str">
        <f>IFERROR(__xludf.DUMMYFUNCTION("GOOGLETRANSLATE(A54034,""en"",""pt"")"),"Não hard / software adicional necessário")</f>
        <v>Não hard / software adicional necessário</v>
      </c>
      <c r="B54034" s="3">
        <v>1</v>
      </c>
    </row>
    <row r="54035" ht="15.75" customHeight="1" spans="1:2">
      <c r="A54035" s="3" t="str">
        <f>IFERROR(__xludf.DUMMYFUNCTION("GOOGLETRANSLATE(A54035,""en"",""pt"")"),"fácil de usar")</f>
        <v>fácil de usar</v>
      </c>
      <c r="B54035" s="3">
        <v>1</v>
      </c>
    </row>
    <row r="54036" ht="15.75" customHeight="1" spans="1:2">
      <c r="A54036" s="3" t="str">
        <f>IFERROR(__xludf.DUMMYFUNCTION("GOOGLETRANSLATE(A54036,""en"",""pt"")"),"Excelente qualidade da foto. vida útil da bateria satisfatória. compatibilidade MPEG")</f>
        <v>Excelente qualidade da foto. vida útil da bateria satisfatória. compatibilidade MPEG</v>
      </c>
      <c r="B54036" s="3">
        <v>1</v>
      </c>
    </row>
    <row r="54037" ht="15.75" customHeight="1" spans="1:2">
      <c r="A54037" s="3" t="str">
        <f>IFERROR(__xludf.DUMMYFUNCTION("GOOGLETRANSLATE(A54037,""en"",""pt"")"),"grande, LCD brilhante, vídeo e capacidades de áudio")</f>
        <v>grande, LCD brilhante, vídeo e capacidades de áudio</v>
      </c>
      <c r="B54037" s="3">
        <v>1</v>
      </c>
    </row>
    <row r="54038" ht="15.75" customHeight="1" spans="1:2">
      <c r="A54038" s="3" t="str">
        <f>IFERROR(__xludf.DUMMYFUNCTION("GOOGLETRANSLATE(A54038,""en"",""pt"")"),"Unidade de disquete; facilidade de uso; carregado com opções")</f>
        <v>Unidade de disquete; facilidade de uso; carregado com opções</v>
      </c>
      <c r="B54038" s="3">
        <v>1</v>
      </c>
    </row>
    <row r="54039" ht="15.75" customHeight="1" spans="1:2">
      <c r="A54039" s="3" t="str">
        <f>IFERROR(__xludf.DUMMYFUNCTION("GOOGLETRANSLATE(A54039,""en"",""pt"")"),"armazenamento disquete, bateria de longa duração, recarga rápida")</f>
        <v>armazenamento disquete, bateria de longa duração, recarga rápida</v>
      </c>
      <c r="B54039" s="3">
        <v>1</v>
      </c>
    </row>
    <row r="54040" ht="15.75" customHeight="1" spans="1:2">
      <c r="A54040" s="3" t="str">
        <f>IFERROR(__xludf.DUMMYFUNCTION("GOOGLETRANSLATE(A54040,""en"",""pt"")"),"Usa disquetes baratos comuns para armazenar imagens de alta qualidade")</f>
        <v>Usa disquetes baratos comuns para armazenar imagens de alta qualidade</v>
      </c>
      <c r="B54040" s="3">
        <v>1</v>
      </c>
    </row>
    <row r="54041" ht="15.75" customHeight="1" spans="1:2">
      <c r="A54041" s="3" t="str">
        <f>IFERROR(__xludf.DUMMYFUNCTION("GOOGLETRANSLATE(A54041,""en"",""pt"")"),"Camera é tão amigável. Tem todas as opções.")</f>
        <v>Camera é tão amigável. Tem todas as opções.</v>
      </c>
      <c r="B54041" s="3">
        <v>1</v>
      </c>
    </row>
    <row r="54042" ht="15.75" customHeight="1" spans="1:2">
      <c r="A54042" s="3" t="str">
        <f>IFERROR(__xludf.DUMMYFUNCTION("GOOGLETRANSLATE(A54042,""en"",""pt"")"),"Muitas opções. Imagens claras.")</f>
        <v>Muitas opções. Imagens claras.</v>
      </c>
      <c r="B54042" s="3">
        <v>1</v>
      </c>
    </row>
    <row r="54043" ht="15.75" customHeight="1" spans="1:2">
      <c r="A54043" s="3" t="s">
        <v>284</v>
      </c>
      <c r="B54043" s="3">
        <v>1</v>
      </c>
    </row>
    <row r="54044" ht="15.75" customHeight="1" spans="1:2">
      <c r="A54044" s="3" t="str">
        <f>IFERROR(__xludf.DUMMYFUNCTION("GOOGLETRANSLATE(A54044,""en"",""pt"")"),"Esta câmara é um grande passo a partir da série Sony MVC 71")</f>
        <v>Esta câmara é um grande passo a partir da série Sony MVC 71</v>
      </c>
      <c r="B54044" s="3">
        <v>1</v>
      </c>
    </row>
    <row r="54045" ht="15.75" customHeight="1" spans="1:2">
      <c r="A54045" s="3" t="str">
        <f>IFERROR(__xludf.DUMMYFUNCTION("GOOGLETRANSLATE(A54045,""en"",""pt"")"),"tela de visualização LCD a cores, registros de disquetes padrão, longa-firmando tiro, capacidade de gravação de vídeo")</f>
        <v>tela de visualização LCD a cores, registros de disquetes padrão, longa-firmando tiro, capacidade de gravação de vídeo</v>
      </c>
      <c r="B54045" s="3">
        <v>1</v>
      </c>
    </row>
    <row r="54046" ht="15.75" customHeight="1" spans="1:2">
      <c r="A54046" s="3" t="str">
        <f>IFERROR(__xludf.DUMMYFUNCTION("GOOGLETRANSLATE(A54046,""en"",""pt"")"),"Zoom, qualidade de imagem, capacidade de criar, Função Email JPG do MPEG")</f>
        <v>Zoom, qualidade de imagem, capacidade de criar, Função Email JPG do MPEG</v>
      </c>
      <c r="B54046" s="3">
        <v>1</v>
      </c>
    </row>
    <row r="54047" ht="15.75" customHeight="1" spans="1:2">
      <c r="A54047" s="3" t="str">
        <f>IFERROR(__xludf.DUMMYFUNCTION("GOOGLETRANSLATE(A54047,""en"",""pt"")"),"Muitos Muitos recursos")</f>
        <v>Muitos Muitos recursos</v>
      </c>
      <c r="B54047" s="3">
        <v>1</v>
      </c>
    </row>
    <row r="54048" ht="15.75" customHeight="1" spans="1:2">
      <c r="A54048" s="3" t="str">
        <f>IFERROR(__xludf.DUMMYFUNCTION("GOOGLETRANSLATE(A54048,""en"",""pt"")"),"Baixo custo para a mídia e facilidade de uso")</f>
        <v>Baixo custo para a mídia e facilidade de uso</v>
      </c>
      <c r="B54048" s="3">
        <v>1</v>
      </c>
    </row>
    <row r="54049" ht="15.75" customHeight="1" spans="1:2">
      <c r="A54049" s="3" t="str">
        <f>IFERROR(__xludf.DUMMYFUNCTION("GOOGLETRANSLATE(A54049,""en"",""pt"")"),"sem cabos necessários meios mais fáceis de usar")</f>
        <v>sem cabos necessários meios mais fáceis de usar</v>
      </c>
      <c r="B54049" s="3">
        <v>1</v>
      </c>
    </row>
    <row r="54050" ht="15.75" customHeight="1" spans="1:2">
      <c r="A54050" s="3" t="str">
        <f>IFERROR(__xludf.DUMMYFUNCTION("GOOGLETRANSLATE(A54050,""en"",""pt"")"),"fotos dos quartos, 3,5 &amp; quot; armazenamento de mídia de disquete, 14x zoom, gravação estável, auto-focus")</f>
        <v>fotos dos quartos, 3,5 &amp; quot; armazenamento de mídia de disquete, 14x zoom, gravação estável, auto-focus</v>
      </c>
      <c r="B54050" s="3">
        <v>1</v>
      </c>
    </row>
    <row r="54051" ht="15.75" customHeight="1" spans="1:2">
      <c r="A54051" s="3" t="str">
        <f>IFERROR(__xludf.DUMMYFUNCTION("GOOGLETRANSLATE(A54051,""en"",""pt"")"),"disquete 3/5 polegadas")</f>
        <v>disquete 3/5 polegadas</v>
      </c>
      <c r="B54051" s="3">
        <v>1</v>
      </c>
    </row>
    <row r="54052" ht="15.75" customHeight="1" spans="1:2">
      <c r="A54052" s="3" t="str">
        <f>IFERROR(__xludf.DUMMYFUNCTION("GOOGLETRANSLATE(A54052,""en"",""pt"")"),"Usa um disquete Ainda tiros ou pequeno filme")</f>
        <v>Usa um disquete Ainda tiros ou pequeno filme</v>
      </c>
      <c r="B54052" s="3">
        <v>1</v>
      </c>
    </row>
    <row r="54053" ht="15.75" customHeight="1" spans="1:2">
      <c r="A54053" s="3" t="str">
        <f>IFERROR(__xludf.DUMMYFUNCTION("GOOGLETRANSLATE(A54053,""en"",""pt"")"),"Alta definição, as baterias duram até cerca de 4 horas.")</f>
        <v>Alta definição, as baterias duram até cerca de 4 horas.</v>
      </c>
      <c r="B54053" s="3">
        <v>1</v>
      </c>
    </row>
    <row r="54054" ht="15.75" customHeight="1" spans="1:2">
      <c r="A54054" s="3" t="str">
        <f>IFERROR(__xludf.DUMMYFUNCTION("GOOGLETRANSLATE(A54054,""en"",""pt"")"),"Zoom, display LCD, bateria de longa duração, fotos em disquete")</f>
        <v>Zoom, display LCD, bateria de longa duração, fotos em disquete</v>
      </c>
      <c r="B54054" s="3">
        <v>1</v>
      </c>
    </row>
    <row r="54055" ht="15.75" customHeight="1" spans="1:2">
      <c r="A54055" s="3" t="str">
        <f>IFERROR(__xludf.DUMMYFUNCTION("GOOGLETRANSLATE(A54055,""en"",""pt"")"),"mini-filmes, som, discos usos, zoom de 14x")</f>
        <v>mini-filmes, som, discos usos, zoom de 14x</v>
      </c>
      <c r="B54055" s="3">
        <v>1</v>
      </c>
    </row>
    <row r="54056" ht="15.75" customHeight="1" spans="1:2">
      <c r="A54056" s="3" t="str">
        <f>IFERROR(__xludf.DUMMYFUNCTION("GOOGLETRANSLATE(A54056,""en"",""pt"")"),"Divertido para brincar, sinos e assobios")</f>
        <v>Divertido para brincar, sinos e assobios</v>
      </c>
      <c r="B54056" s="3">
        <v>1</v>
      </c>
    </row>
    <row r="54057" ht="15.75" customHeight="1" spans="1:2">
      <c r="A54057" s="3" t="str">
        <f>IFERROR(__xludf.DUMMYFUNCTION("GOOGLETRANSLATE(A54057,""en"",""pt"")"),"&amp; Amp; quot; instant &amp; amp; quot; tiros web, grandes lente, disquetes convenientes")</f>
        <v>&amp; Amp; quot; instant &amp; amp; quot; tiros web, grandes lente, disquetes convenientes</v>
      </c>
      <c r="B54057" s="3">
        <v>1</v>
      </c>
    </row>
    <row r="54058" ht="15.75" customHeight="1" spans="1:2">
      <c r="A54058" s="3" t="str">
        <f>IFERROR(__xludf.DUMMYFUNCTION("GOOGLETRANSLATE(A54058,""en"",""pt"")"),"facilidade de utilização, qualidade de imagem, privacidade, características")</f>
        <v>facilidade de utilização, qualidade de imagem, privacidade, características</v>
      </c>
      <c r="B54058" s="3">
        <v>1</v>
      </c>
    </row>
    <row r="54059" ht="15.75" customHeight="1" spans="1:2">
      <c r="A54059" s="3" t="str">
        <f>IFERROR(__xludf.DUMMYFUNCTION("GOOGLETRANSLATE(A54059,""en"",""pt"")"),"14x zoom, fácil de usar, grandes fotos")</f>
        <v>14x zoom, fácil de usar, grandes fotos</v>
      </c>
      <c r="B54059" s="3">
        <v>1</v>
      </c>
    </row>
    <row r="54060" ht="15.75" customHeight="1" spans="1:2">
      <c r="A54060" s="3" t="str">
        <f>IFERROR(__xludf.DUMMYFUNCTION("GOOGLETRANSLATE(A54060,""en"",""pt"")"),"Facilidade de utilização, a conveniência de 3,5 &amp; amp; quot; disco, a qualidade da imagem")</f>
        <v>Facilidade de utilização, a conveniência de 3,5 &amp; amp; quot; disco, a qualidade da imagem</v>
      </c>
      <c r="B54060" s="3">
        <v>1</v>
      </c>
    </row>
    <row r="54061" ht="15.75" customHeight="1" spans="1:2">
      <c r="A54061" s="3" t="str">
        <f>IFERROR(__xludf.DUMMYFUNCTION("GOOGLETRANSLATE(A54061,""en"",""pt"")"),"unidade de disquete, Steady Shot, excelente qualidade de imagem")</f>
        <v>unidade de disquete, Steady Shot, excelente qualidade de imagem</v>
      </c>
      <c r="B54061" s="3">
        <v>1</v>
      </c>
    </row>
    <row r="54062" ht="15.75" customHeight="1" spans="1:2">
      <c r="A54062" s="3" t="str">
        <f>IFERROR(__xludf.DUMMYFUNCTION("GOOGLETRANSLATE(A54062,""en"",""pt"")"),"Grande qualidade fotográfica é, facilidade de uso, Características do disquete")</f>
        <v>Grande qualidade fotográfica é, facilidade de uso, Características do disquete</v>
      </c>
      <c r="B54062" s="3">
        <v>1</v>
      </c>
    </row>
    <row r="54063" ht="15.75" customHeight="1" spans="1:2">
      <c r="A54063" s="3" t="str">
        <f>IFERROR(__xludf.DUMMYFUNCTION("GOOGLETRANSLATE(A54063,""en"",""pt"")"),"instantânea, fácil reprodução / e-mail, grande zoom")</f>
        <v>instantânea, fácil reprodução / e-mail, grande zoom</v>
      </c>
      <c r="B54063" s="3">
        <v>1</v>
      </c>
    </row>
    <row r="54064" ht="15.75" customHeight="1" spans="1:2">
      <c r="A54064" s="3" t="str">
        <f>IFERROR(__xludf.DUMMYFUNCTION("GOOGLETRANSLATE(A54064,""en"",""pt"")"),"Fotos instantaneamente no disco")</f>
        <v>Fotos instantaneamente no disco</v>
      </c>
      <c r="B54064" s="3">
        <v>1</v>
      </c>
    </row>
    <row r="54065" ht="15.75" customHeight="1" spans="1:2">
      <c r="A54065" s="3" t="str">
        <f>IFERROR(__xludf.DUMMYFUNCTION("GOOGLETRANSLATE(A54065,""en"",""pt"")"),"Escreve para o disquete, Grande Zoom")</f>
        <v>Escreve para o disquete, Grande Zoom</v>
      </c>
      <c r="B54065" s="3">
        <v>1</v>
      </c>
    </row>
    <row r="54066" ht="15.75" customHeight="1" spans="1:2">
      <c r="A54066" s="3" t="str">
        <f>IFERROR(__xludf.DUMMYFUNCTION("GOOGLETRANSLATE(A54066,""en"",""pt"")"),"Fácil de usar")</f>
        <v>Fácil de usar</v>
      </c>
      <c r="B54066" s="3">
        <v>1</v>
      </c>
    </row>
    <row r="54067" ht="15.75" customHeight="1" spans="1:2">
      <c r="A54067" s="3" t="str">
        <f>IFERROR(__xludf.DUMMYFUNCTION("GOOGLETRANSLATE(A54067,""en"",""pt"")"),"Fácil de usar, 3 1/2"" compatibilidade Floppy.")</f>
        <v>Fácil de usar, 3 1/2" compatibilidade Floppy.</v>
      </c>
      <c r="B54067" s="3">
        <v>1</v>
      </c>
    </row>
    <row r="54068" ht="15.75" customHeight="1" spans="1:2">
      <c r="A54068" s="3" t="str">
        <f>IFERROR(__xludf.DUMMYFUNCTION("GOOGLETRANSLATE(A54068,""en"",""pt"")"),"todas as características da maioria do SLR. opção de flash externo")</f>
        <v>todas as características da maioria do SLR. opção de flash externo</v>
      </c>
      <c r="B54068" s="3">
        <v>1</v>
      </c>
    </row>
    <row r="54069" ht="15.75" customHeight="1" spans="1:2">
      <c r="A54069" s="3" t="str">
        <f>IFERROR(__xludf.DUMMYFUNCTION("GOOGLETRANSLATE(A54069,""en"",""pt"")"),"Boa Versatilidade, muitas opções, MPEG Gravação Ability, unidade de disquete (Sem PC Hardware Necessário)")</f>
        <v>Boa Versatilidade, muitas opções, MPEG Gravação Ability, unidade de disquete (Sem PC Hardware Necessário)</v>
      </c>
      <c r="B54069" s="3">
        <v>1</v>
      </c>
    </row>
    <row r="54070" ht="15.75" customHeight="1" spans="1:2">
      <c r="A54070" s="3" t="str">
        <f>IFERROR(__xludf.DUMMYFUNCTION("GOOGLETRANSLATE(A54070,""en"",""pt"")"),"opções de gadgets, design")</f>
        <v>opções de gadgets, design</v>
      </c>
      <c r="B54070" s="3">
        <v>1</v>
      </c>
    </row>
    <row r="54071" ht="15.75" customHeight="1" spans="1:2">
      <c r="A54071" s="3" t="str">
        <f>IFERROR(__xludf.DUMMYFUNCTION("GOOGLETRANSLATE(A54071,""en"",""pt"")"),"Usos disquetes, 14x, lente de zoom óptico estabilizado")</f>
        <v>Usos disquetes, 14x, lente de zoom óptico estabilizado</v>
      </c>
      <c r="B54071" s="3">
        <v>1</v>
      </c>
    </row>
    <row r="54072" ht="15.75" customHeight="1" spans="1:2">
      <c r="A54072" s="3" t="str">
        <f>IFERROR(__xludf.DUMMYFUNCTION("GOOGLETRANSLATE(A54072,""en"",""pt"")"),"Boa qualidade de imagem, recurso de vídeo Fun, sensação IMPRESSIONANTE")</f>
        <v>Boa qualidade de imagem, recurso de vídeo Fun, sensação IMPRESSIONANTE</v>
      </c>
      <c r="B54072" s="3">
        <v>1</v>
      </c>
    </row>
    <row r="54073" ht="15.75" customHeight="1" spans="1:2">
      <c r="A54073" s="3" t="str">
        <f>IFERROR(__xludf.DUMMYFUNCTION("GOOGLETRANSLATE(A54073,""en"",""pt"")"),"fotos de qualidade, bateria de lítio-ion, zoom")</f>
        <v>fotos de qualidade, bateria de lítio-ion, zoom</v>
      </c>
      <c r="B54073" s="3">
        <v>1</v>
      </c>
    </row>
    <row r="54074" ht="15.75" customHeight="1" spans="1:2">
      <c r="A54074" s="3" t="str">
        <f>IFERROR(__xludf.DUMMYFUNCTION("GOOGLETRANSLATE(A54074,""en"",""pt"")"),"Fácil de usar, armazenamento disquete é simples")</f>
        <v>Fácil de usar, armazenamento disquete é simples</v>
      </c>
      <c r="B54074" s="3">
        <v>1</v>
      </c>
    </row>
    <row r="54075" ht="15.75" customHeight="1" spans="1:2">
      <c r="A54075" s="3" t="str">
        <f>IFERROR(__xludf.DUMMYFUNCTION("GOOGLETRANSLATE(A54075,""en"",""pt"")"),"infinito, de armazenamento livre, 14x SteadyShot zoom óptico, baterias recarregáveis ​​2 horas")</f>
        <v>infinito, de armazenamento livre, 14x SteadyShot zoom óptico, baterias recarregáveis ​​2 horas</v>
      </c>
      <c r="B54075" s="3">
        <v>1</v>
      </c>
    </row>
    <row r="54076" ht="15.75" customHeight="1" spans="1:2">
      <c r="A54076" s="3" t="str">
        <f>IFERROR(__xludf.DUMMYFUNCTION("GOOGLETRANSLATE(A54076,""en"",""pt"")"),"Veja acima.")</f>
        <v>Veja acima.</v>
      </c>
      <c r="B54076" s="3">
        <v>1</v>
      </c>
    </row>
    <row r="54077" ht="15.75" customHeight="1" spans="1:2">
      <c r="A54077" s="3" t="str">
        <f>IFERROR(__xludf.DUMMYFUNCTION("GOOGLETRANSLATE(A54077,""en"",""pt"")"),"Conveniência, facilidade de uso, lente zoom")</f>
        <v>Conveniência, facilidade de uso, lente zoom</v>
      </c>
      <c r="B54077" s="3">
        <v>1</v>
      </c>
    </row>
    <row r="54078" ht="15.75" customHeight="1" spans="1:2">
      <c r="A54078" s="3" t="str">
        <f>IFERROR(__xludf.DUMMYFUNCTION("GOOGLETRANSLATE(A54078,""en"",""pt"")"),"Luz, conveniente, grande zoom")</f>
        <v>Luz, conveniente, grande zoom</v>
      </c>
      <c r="B54078" s="3">
        <v>1</v>
      </c>
    </row>
    <row r="54079" ht="15.75" customHeight="1" spans="1:2">
      <c r="A54079" s="3" t="str">
        <f>IFERROR(__xludf.DUMMYFUNCTION("GOOGLETRANSLATE(A54079,""en"",""pt"")"),"Floppy disk-fácil de usar")</f>
        <v>Floppy disk-fácil de usar</v>
      </c>
      <c r="B54079" s="3">
        <v>1</v>
      </c>
    </row>
    <row r="54080" ht="15.75" customHeight="1" spans="1:2">
      <c r="A54080" s="3" t="str">
        <f>IFERROR(__xludf.DUMMYFUNCTION("GOOGLETRANSLATE(A54080,""en"",""pt"")"),"Fácil de usar, ótimo zoom")</f>
        <v>Fácil de usar, ótimo zoom</v>
      </c>
      <c r="B54080" s="3">
        <v>1</v>
      </c>
    </row>
    <row r="54081" ht="15.75" customHeight="1" spans="1:2">
      <c r="A54081" s="3" t="str">
        <f>IFERROR(__xludf.DUMMYFUNCTION("GOOGLETRANSLATE(A54081,""en"",""pt"")"),"Disk Drive Access, Zoom Lens, Bateria recarregável")</f>
        <v>Disk Drive Access, Zoom Lens, Bateria recarregável</v>
      </c>
      <c r="B54081" s="3">
        <v>1</v>
      </c>
    </row>
    <row r="54082" ht="15.75" customHeight="1" spans="1:2">
      <c r="A54082" s="3" t="str">
        <f>IFERROR(__xludf.DUMMYFUNCTION("GOOGLETRANSLATE(A54082,""en"",""pt"")"),"Conveniente, rápido, de alta qualidade.")</f>
        <v>Conveniente, rápido, de alta qualidade.</v>
      </c>
      <c r="B54082" s="3">
        <v>1</v>
      </c>
    </row>
    <row r="54083" ht="15.75" customHeight="1" spans="1:2">
      <c r="A54083" s="3" t="str">
        <f>IFERROR(__xludf.DUMMYFUNCTION("GOOGLETRANSLATE(A54083,""en"",""pt"")"),"cheio de recursos, bem integrado")</f>
        <v>cheio de recursos, bem integrado</v>
      </c>
      <c r="B54083" s="3">
        <v>1</v>
      </c>
    </row>
    <row r="54084" ht="15.75" customHeight="1" spans="1:2">
      <c r="A54084" s="3" t="str">
        <f>IFERROR(__xludf.DUMMYFUNCTION("GOOGLETRANSLATE(A54084,""en"",""pt"")"),"Excelente vida útil da bateria, armazenamento ilimitado")</f>
        <v>Excelente vida útil da bateria, armazenamento ilimitado</v>
      </c>
      <c r="B54084" s="3">
        <v>1</v>
      </c>
    </row>
    <row r="54085" ht="15.75" customHeight="1" spans="1:2">
      <c r="A54085" s="3" t="str">
        <f>IFERROR(__xludf.DUMMYFUNCTION("GOOGLETRANSLATE(A54085,""en"",""pt"")"),"modo de filme")</f>
        <v>modo de filme</v>
      </c>
      <c r="B54085" s="3">
        <v>1</v>
      </c>
    </row>
    <row r="54086" ht="15.75" customHeight="1" spans="1:2">
      <c r="A54086" s="3" t="str">
        <f>IFERROR(__xludf.DUMMYFUNCTION("GOOGLETRANSLATE(A54086,""en"",""pt"")"),"User-Friendly, ficha de Áudio / Vídeo, Plano Estável, Zoom")</f>
        <v>User-Friendly, ficha de Áudio / Vídeo, Plano Estável, Zoom</v>
      </c>
      <c r="B54086" s="3">
        <v>1</v>
      </c>
    </row>
    <row r="54087" ht="15.75" customHeight="1" spans="1:2">
      <c r="A54087" s="3" t="str">
        <f>IFERROR(__xludf.DUMMYFUNCTION("GOOGLETRANSLATE(A54087,""en"",""pt"")"),"Disquete")</f>
        <v>Disquete</v>
      </c>
      <c r="B54087" s="3">
        <v>1</v>
      </c>
    </row>
    <row r="54088" ht="15.75" customHeight="1" spans="1:2">
      <c r="A54088" s="3" t="str">
        <f>IFERROR(__xludf.DUMMYFUNCTION("GOOGLETRANSLATE(A54088,""en"",""pt"")"),"Pics ir de 3,5 &amp; amp; quot; disquete, isso é o único filme")</f>
        <v>Pics ir de 3,5 &amp; amp; quot; disquete, isso é o único filme</v>
      </c>
      <c r="B54088" s="3">
        <v>1</v>
      </c>
    </row>
    <row r="54089" ht="15.75" customHeight="1" spans="1:2">
      <c r="A54089" s="3" t="str">
        <f>IFERROR(__xludf.DUMMYFUNCTION("GOOGLETRANSLATE(A54089,""en"",""pt"")"),"Facilidade de uso, formato de disco flexível")</f>
        <v>Facilidade de uso, formato de disco flexível</v>
      </c>
      <c r="B54089" s="3">
        <v>1</v>
      </c>
    </row>
    <row r="54090" ht="15.75" customHeight="1" spans="1:2">
      <c r="A54090" s="3" t="str">
        <f>IFERROR(__xludf.DUMMYFUNCTION("GOOGLETRANSLATE(A54090,""en"",""pt"")"),"Fácil de aprender, fácil de usar, leva grandes tiros")</f>
        <v>Fácil de aprender, fácil de usar, leva grandes tiros</v>
      </c>
      <c r="B54090" s="3">
        <v>1</v>
      </c>
    </row>
    <row r="54091" ht="15.75" customHeight="1" spans="1:2">
      <c r="A54091" s="3" t="str">
        <f>IFERROR(__xludf.DUMMYFUNCTION("GOOGLETRANSLATE(A54091,""en"",""pt"")"),"fotos de qualidade e muito versátil.")</f>
        <v>fotos de qualidade e muito versátil.</v>
      </c>
      <c r="B54091" s="3">
        <v>1</v>
      </c>
    </row>
    <row r="54092" ht="15.75" customHeight="1" spans="1:2">
      <c r="A54092" s="3" t="str">
        <f>IFERROR(__xludf.DUMMYFUNCTION("GOOGLETRANSLATE(A54092,""en"",""pt"")"),"Conveniência, versatilidade, confiabilidade")</f>
        <v>Conveniência, versatilidade, confiabilidade</v>
      </c>
      <c r="B54092" s="3">
        <v>1</v>
      </c>
    </row>
    <row r="54093" ht="15.75" customHeight="1" spans="1:2">
      <c r="A54093" s="3" t="str">
        <f>IFERROR(__xludf.DUMMYFUNCTION("GOOGLETRANSLATE(A54093,""en"",""pt"")"),"disquetes, fácil de usar.")</f>
        <v>disquetes, fácil de usar.</v>
      </c>
      <c r="B54093" s="3">
        <v>1</v>
      </c>
    </row>
    <row r="54094" ht="15.75" customHeight="1" spans="1:2">
      <c r="A54094" s="3" t="str">
        <f>IFERROR(__xludf.DUMMYFUNCTION("GOOGLETRANSLATE(A54094,""en"",""pt"")"),"recursos, facilidade de uso, uso de disquete")</f>
        <v>recursos, facilidade de uso, uso de disquete</v>
      </c>
      <c r="B54094" s="3">
        <v>1</v>
      </c>
    </row>
    <row r="54095" ht="15.75" customHeight="1" spans="1:2">
      <c r="A54095" s="3" t="str">
        <f>IFERROR(__xludf.DUMMYFUNCTION("GOOGLETRANSLATE(A54095,""en"",""pt"")"),"Grande Pictures, facilidade de uso, Disquete Salva")</f>
        <v>Grande Pictures, facilidade de uso, Disquete Salva</v>
      </c>
      <c r="B54095" s="3">
        <v>1</v>
      </c>
    </row>
    <row r="54096" ht="15.75" customHeight="1" spans="1:2">
      <c r="A54096" s="3" t="str">
        <f>IFERROR(__xludf.DUMMYFUNCTION("GOOGLETRANSLATE(A54096,""en"",""pt"")"),"qualidade da foto")</f>
        <v>qualidade da foto</v>
      </c>
      <c r="B54096" s="3">
        <v>1</v>
      </c>
    </row>
    <row r="54097" ht="15.75" customHeight="1" spans="1:2">
      <c r="A54097" s="3" t="str">
        <f>IFERROR(__xludf.DUMMYFUNCTION("GOOGLETRANSLATE(A54097,""en"",""pt"")"),"Fácil e divertido assim")</f>
        <v>Fácil e divertido assim</v>
      </c>
      <c r="B54097" s="3">
        <v>1</v>
      </c>
    </row>
    <row r="54098" ht="15.75" customHeight="1" spans="1:2">
      <c r="A54098" s="3" t="str">
        <f>IFERROR(__xludf.DUMMYFUNCTION("GOOGLETRANSLATE(A54098,""en"",""pt"")"),"Melhores zoom óptico disponíveis, mídia de disquete")</f>
        <v>Melhores zoom óptico disponíveis, mídia de disquete</v>
      </c>
      <c r="B54098" s="3">
        <v>1</v>
      </c>
    </row>
    <row r="54099" ht="15.75" customHeight="1" spans="1:2">
      <c r="A54099" s="3" t="str">
        <f>IFERROR(__xludf.DUMMYFUNCTION("GOOGLETRANSLATE(A54099,""en"",""pt"")"),"Zoom, disquete, o tamanho, câmera real, vídeo")</f>
        <v>Zoom, disquete, o tamanho, câmera real, vídeo</v>
      </c>
      <c r="B54099" s="3">
        <v>1</v>
      </c>
    </row>
    <row r="54100" ht="15.75" customHeight="1" spans="1:2">
      <c r="A54100" s="3" t="str">
        <f>IFERROR(__xludf.DUMMYFUNCTION("GOOGLETRANSLATE(A54100,""en"",""pt"")"),"Floppy meios de armazenamento de disco, 14x zoom (Com tiro contínuo), de abertura manual e de controlo da velocidade")</f>
        <v>Floppy meios de armazenamento de disco, 14x zoom (Com tiro contínuo), de abertura manual e de controlo da velocidade</v>
      </c>
      <c r="B54100" s="3">
        <v>1</v>
      </c>
    </row>
    <row r="54101" ht="15.75" customHeight="1" spans="1:2">
      <c r="A54101" s="3" t="str">
        <f>IFERROR(__xludf.DUMMYFUNCTION("GOOGLETRANSLATE(A54101,""en"",""pt"")"),"Boa resolução, armazenamento flexível, 14x modos Zoom, som / filme")</f>
        <v>Boa resolução, armazenamento flexível, 14x modos Zoom, som / filme</v>
      </c>
      <c r="B54101" s="3">
        <v>1</v>
      </c>
    </row>
    <row r="54102" ht="15.75" customHeight="1" spans="1:2">
      <c r="A54102" s="3" t="str">
        <f>IFERROR(__xludf.DUMMYFUNCTION("GOOGLETRANSLATE(A54102,""en"",""pt"")"),"Facilidade de uso, os disquetes são meios de transferência, MPEG Capable")</f>
        <v>Facilidade de uso, os disquetes são meios de transferência, MPEG Capable</v>
      </c>
      <c r="B54102" s="3">
        <v>1</v>
      </c>
    </row>
    <row r="54103" ht="15.75" customHeight="1" spans="1:2">
      <c r="A54103" s="3" t="str">
        <f>IFERROR(__xludf.DUMMYFUNCTION("GOOGLETRANSLATE(A54103,""en"",""pt"")"),"grande toda câmera ao redor")</f>
        <v>grande toda câmera ao redor</v>
      </c>
      <c r="B54103" s="3">
        <v>1</v>
      </c>
    </row>
    <row r="54104" ht="15.75" customHeight="1" spans="1:2">
      <c r="A54104" s="3" t="str">
        <f>IFERROR(__xludf.DUMMYFUNCTION("GOOGLETRANSLATE(A54104,""en"",""pt"")"),"teleobjetiva, disquetes, flexibilidade")</f>
        <v>teleobjetiva, disquetes, flexibilidade</v>
      </c>
      <c r="B54104" s="3">
        <v>1</v>
      </c>
    </row>
    <row r="54105" ht="15.75" customHeight="1" spans="1:2">
      <c r="A54105" s="3" t="str">
        <f>IFERROR(__xludf.DUMMYFUNCTION("GOOGLETRANSLATE(A54105,""en"",""pt"")"),"fotos privadas não há problema!")</f>
        <v>fotos privadas não há problema!</v>
      </c>
      <c r="B54105" s="3">
        <v>1</v>
      </c>
    </row>
    <row r="54106" ht="15.75" customHeight="1" spans="1:2">
      <c r="A54106" s="3" t="str">
        <f>IFERROR(__xludf.DUMMYFUNCTION("GOOGLETRANSLATE(A54106,""en"",""pt"")"),"fácil de usar, mídia baratos")</f>
        <v>fácil de usar, mídia baratos</v>
      </c>
      <c r="B54106" s="3">
        <v>1</v>
      </c>
    </row>
    <row r="54107" ht="15.75" customHeight="1" spans="1:2">
      <c r="A54107" s="3" t="str">
        <f>IFERROR(__xludf.DUMMYFUNCTION("GOOGLETRANSLATE(A54107,""en"",""pt"")"),"unidade de disco flexível de 2x e Steady Shot")</f>
        <v>unidade de disco flexível de 2x e Steady Shot</v>
      </c>
      <c r="B54107" s="3">
        <v>1</v>
      </c>
    </row>
    <row r="54108" ht="15.75" customHeight="1" spans="1:2">
      <c r="A54108" s="3" t="str">
        <f>IFERROR(__xludf.DUMMYFUNCTION("GOOGLETRANSLATE(A54108,""en"",""pt"")"),"facilidade de uso, disquetes,")</f>
        <v>facilidade de uso, disquetes,</v>
      </c>
      <c r="B54108" s="3">
        <v>1</v>
      </c>
    </row>
    <row r="54109" ht="15.75" customHeight="1" spans="1:2">
      <c r="A54109" s="3" t="str">
        <f>IFERROR(__xludf.DUMMYFUNCTION("GOOGLETRANSLATE(A54109,""en"",""pt"")"),"Facilidade de uso, qualidade, características")</f>
        <v>Facilidade de uso, qualidade, características</v>
      </c>
      <c r="B54109" s="3">
        <v>1</v>
      </c>
    </row>
    <row r="54110" ht="15.75" customHeight="1" spans="1:2">
      <c r="A54110" s="3" t="str">
        <f>IFERROR(__xludf.DUMMYFUNCTION("GOOGLETRANSLATE(A54110,""en"",""pt"")"),"Qualidade, versatilidade do fator do divertimento")</f>
        <v>Qualidade, versatilidade do fator do divertimento</v>
      </c>
      <c r="B54110" s="3">
        <v>1</v>
      </c>
    </row>
    <row r="54111" ht="15.75" customHeight="1" spans="1:2">
      <c r="A54111" s="3" t="str">
        <f>IFERROR(__xludf.DUMMYFUNCTION("GOOGLETRANSLATE(A54111,""en"",""pt"")"),"Fácil de usar, poderoso zoom")</f>
        <v>Fácil de usar, poderoso zoom</v>
      </c>
      <c r="B54111" s="3">
        <v>1</v>
      </c>
    </row>
    <row r="54112" ht="15.75" customHeight="1" spans="1:2">
      <c r="A54112" s="3" t="str">
        <f>IFERROR(__xludf.DUMMYFUNCTION("GOOGLETRANSLATE(A54112,""en"",""pt"")"),"grandes fotos de resolução, fácil de usar")</f>
        <v>grandes fotos de resolução, fácil de usar</v>
      </c>
      <c r="B54112" s="3">
        <v>1</v>
      </c>
    </row>
    <row r="54113" ht="15.75" customHeight="1" spans="1:2">
      <c r="A54113" s="3" t="str">
        <f>IFERROR(__xludf.DUMMYFUNCTION("GOOGLETRANSLATE(A54113,""en"",""pt"")"),"Grande zoom, grande dentro e ao ar livre.")</f>
        <v>Grande zoom, grande dentro e ao ar livre.</v>
      </c>
      <c r="B54113" s="3">
        <v>1</v>
      </c>
    </row>
    <row r="54114" ht="15.75" customHeight="1" spans="1:2">
      <c r="A54114" s="3" t="str">
        <f>IFERROR(__xludf.DUMMYFUNCTION("GOOGLETRANSLATE(A54114,""en"",""pt"")"),"Facilidade de uso, disco flexível por filme")</f>
        <v>Facilidade de uso, disco flexível por filme</v>
      </c>
      <c r="B54114" s="3">
        <v>1</v>
      </c>
    </row>
    <row r="54115" ht="15.75" customHeight="1" spans="1:2">
      <c r="A54115" s="3" t="str">
        <f>IFERROR(__xludf.DUMMYFUNCTION("GOOGLETRANSLATE(A54115,""en"",""pt"")"),"Fácil de usar, de alta qualidade")</f>
        <v>Fácil de usar, de alta qualidade</v>
      </c>
      <c r="B54115" s="3">
        <v>1</v>
      </c>
    </row>
    <row r="54116" ht="15.75" customHeight="1" spans="1:2">
      <c r="A54116" s="3" t="str">
        <f>IFERROR(__xludf.DUMMYFUNCTION("GOOGLETRANSLATE(A54116,""en"",""pt"")"),"Lentes de zoom; armazena imagens em disquetes")</f>
        <v>Lentes de zoom; armazena imagens em disquetes</v>
      </c>
      <c r="B54116" s="3">
        <v>1</v>
      </c>
    </row>
    <row r="54117" ht="15.75" customHeight="1" spans="1:2">
      <c r="A54117" s="3" t="str">
        <f>IFERROR(__xludf.DUMMYFUNCTION("GOOGLETRANSLATE(A54117,""en"",""pt"")"),"A melhor ótica! Fácil de usar.")</f>
        <v>A melhor ótica! Fácil de usar.</v>
      </c>
      <c r="B54117" s="3">
        <v>1</v>
      </c>
    </row>
    <row r="54118" ht="15.75" customHeight="1" spans="1:2">
      <c r="A54118" s="3" t="str">
        <f>IFERROR(__xludf.DUMMYFUNCTION("GOOGLETRANSLATE(A54118,""en"",""pt"")"),"Vida útil da bateria. 3,5 &amp; amp; quot; Floppy Conveniência")</f>
        <v>Vida útil da bateria. 3,5 &amp; amp; quot; Floppy Conveniência</v>
      </c>
      <c r="B54118" s="3">
        <v>1</v>
      </c>
    </row>
    <row r="54119" ht="15.75" customHeight="1" spans="1:2">
      <c r="A54119" s="3" t="str">
        <f>IFERROR(__xludf.DUMMYFUNCTION("GOOGLETRANSLATE(A54119,""en"",""pt"")"),"Fácil")</f>
        <v>Fácil</v>
      </c>
      <c r="B54119" s="3">
        <v>1</v>
      </c>
    </row>
    <row r="54120" ht="15.75" customHeight="1" spans="1:2">
      <c r="A54120" s="3" t="str">
        <f>IFERROR(__xludf.DUMMYFUNCTION("GOOGLETRANSLATE(A54120,""en"",""pt"")"),"Fácil Floppy, Grande Zoom, &amp; amp; amp; Fácil de usar.")</f>
        <v>Fácil Floppy, Grande Zoom, &amp; amp; amp; Fácil de usar.</v>
      </c>
      <c r="B54120" s="3">
        <v>1</v>
      </c>
    </row>
    <row r="54121" ht="15.75" customHeight="1" spans="1:2">
      <c r="A54121" s="3" t="str">
        <f>IFERROR(__xludf.DUMMYFUNCTION("GOOGLETRANSLATE(A54121,""en"",""pt"")"),"Versátil")</f>
        <v>Versátil</v>
      </c>
      <c r="B54121" s="3">
        <v>1</v>
      </c>
    </row>
    <row r="54122" ht="15.75" customHeight="1" spans="1:2">
      <c r="A54122" s="3" t="str">
        <f>IFERROR(__xludf.DUMMYFUNCTION("GOOGLETRANSLATE(A54122,""en"",""pt"")"),"Facilidade de uso, qualidade de imagens e vídeos")</f>
        <v>Facilidade de uso, qualidade de imagens e vídeos</v>
      </c>
      <c r="B54122" s="3">
        <v>1</v>
      </c>
    </row>
    <row r="54123" ht="15.75" customHeight="1" spans="1:2">
      <c r="A54123" s="3" t="str">
        <f>IFERROR(__xludf.DUMMYFUNCTION("GOOGLETRANSLATE(A54123,""en"",""pt"")"),"Fácil de usar, zoom lense, Sony faz um bom produto.")</f>
        <v>Fácil de usar, zoom lense, Sony faz um bom produto.</v>
      </c>
      <c r="B54123" s="3">
        <v>1</v>
      </c>
    </row>
    <row r="54124" ht="15.75" customHeight="1" spans="1:2">
      <c r="A54124" s="3" t="str">
        <f>IFERROR(__xludf.DUMMYFUNCTION("GOOGLETRANSLATE(A54124,""en"",""pt"")"),"Versatilidade, conveniência, simplicidade")</f>
        <v>Versatilidade, conveniência, simplicidade</v>
      </c>
      <c r="B54124" s="3">
        <v>1</v>
      </c>
    </row>
    <row r="54125" ht="15.75" customHeight="1" spans="1:2">
      <c r="A54125" s="3" t="str">
        <f>IFERROR(__xludf.DUMMYFUNCTION("GOOGLETRANSLATE(A54125,""en"",""pt"")"),"Se sente como uma câmera SLR")</f>
        <v>Se sente como uma câmera SLR</v>
      </c>
      <c r="B54125" s="3">
        <v>1</v>
      </c>
    </row>
    <row r="54126" ht="15.75" customHeight="1" spans="1:2">
      <c r="A54126" s="3" t="str">
        <f>IFERROR(__xludf.DUMMYFUNCTION("GOOGLETRANSLATE(A54126,""en"",""pt"")"),"uso duplo")</f>
        <v>uso duplo</v>
      </c>
      <c r="B54126" s="3">
        <v>1</v>
      </c>
    </row>
    <row r="54127" ht="15.75" customHeight="1" spans="1:2">
      <c r="A54127" s="3" t="str">
        <f>IFERROR(__xludf.DUMMYFUNCTION("GOOGLETRANSLATE(A54127,""en"",""pt"")"),"Qualidade")</f>
        <v>Qualidade</v>
      </c>
      <c r="B54127" s="3">
        <v>1</v>
      </c>
    </row>
    <row r="54128" ht="15.75" customHeight="1" spans="1:2">
      <c r="A54128" s="3" t="str">
        <f>IFERROR(__xludf.DUMMYFUNCTION("GOOGLETRANSLATE(A54128,""en"",""pt"")"),"Facilidade de uso, características, armazenamento barato")</f>
        <v>Facilidade de uso, características, armazenamento barato</v>
      </c>
      <c r="B54128" s="3">
        <v>1</v>
      </c>
    </row>
    <row r="54129" ht="15.75" customHeight="1" spans="1:2">
      <c r="A54129" s="3" t="str">
        <f>IFERROR(__xludf.DUMMYFUNCTION("GOOGLETRANSLATE(A54129,""en"",""pt"")"),"leva ótimas fotos")</f>
        <v>leva ótimas fotos</v>
      </c>
      <c r="B54129" s="3">
        <v>1</v>
      </c>
    </row>
    <row r="54130" ht="15.75" customHeight="1" spans="1:2">
      <c r="A54130" s="3" t="str">
        <f>IFERROR(__xludf.DUMMYFUNCTION("GOOGLETRANSLATE(A54130,""en"",""pt"")"),"Toma grandes fotografias; Muitos recursos avançados; Se sente como uma SLR em suas mãos; lente Superior óptico Zoom")</f>
        <v>Toma grandes fotografias; Muitos recursos avançados; Se sente como uma SLR em suas mãos; lente Superior óptico Zoom</v>
      </c>
      <c r="B54130" s="3">
        <v>1</v>
      </c>
    </row>
    <row r="54131" ht="15.75" customHeight="1" spans="1:2">
      <c r="A54131" s="3" t="str">
        <f>IFERROR(__xludf.DUMMYFUNCTION("GOOGLETRANSLATE(A54131,""en"",""pt"")"),"armazenamento de disco flexível, versátil e confiável")</f>
        <v>armazenamento de disco flexível, versátil e confiável</v>
      </c>
      <c r="B54131" s="3">
        <v>1</v>
      </c>
    </row>
    <row r="54132" ht="15.75" customHeight="1" spans="1:2">
      <c r="A54132" s="3" t="str">
        <f>IFERROR(__xludf.DUMMYFUNCTION("GOOGLETRANSLATE(A54132,""en"",""pt"")"),"Grande zoom, perfeito para web ou e-mail, boa bateria, vale o $$")</f>
        <v>Grande zoom, perfeito para web ou e-mail, boa bateria, vale o $$</v>
      </c>
      <c r="B54132" s="3">
        <v>1</v>
      </c>
    </row>
    <row r="54133" ht="15.75" customHeight="1" spans="1:2">
      <c r="A54133" s="3" t="str">
        <f>IFERROR(__xludf.DUMMYFUNCTION("GOOGLETRANSLATE(A54133,""en"",""pt"")"),"Facilidade de utilização, grandes fotos")</f>
        <v>Facilidade de utilização, grandes fotos</v>
      </c>
      <c r="B54133" s="3">
        <v>1</v>
      </c>
    </row>
    <row r="54134" ht="15.75" customHeight="1" spans="1:2">
      <c r="A54134" s="3" t="s">
        <v>285</v>
      </c>
      <c r="B54134" s="3">
        <v>1</v>
      </c>
    </row>
    <row r="54135" ht="15.75" customHeight="1" spans="1:2">
      <c r="A54135" s="3" t="str">
        <f>IFERROR(__xludf.DUMMYFUNCTION("GOOGLETRANSLATE(A54135,""en"",""pt"")"),"Disquete, BOA QUALIDADE PICS enviar pela WEB, bateria de longa duração VIDA,")</f>
        <v>Disquete, BOA QUALIDADE PICS enviar pela WEB, bateria de longa duração VIDA,</v>
      </c>
      <c r="B54135" s="3">
        <v>1</v>
      </c>
    </row>
    <row r="54136" ht="15.75" customHeight="1" spans="1:2">
      <c r="A54136" s="3" t="str">
        <f>IFERROR(__xludf.DUMMYFUNCTION("GOOGLETRANSLATE(A54136,""en"",""pt"")"),"muito versátil, muitas opções o entusiasta 35 milímetros irá desfrutar")</f>
        <v>muito versátil, muitas opções o entusiasta 35 milímetros irá desfrutar</v>
      </c>
      <c r="B54136" s="3">
        <v>1</v>
      </c>
    </row>
    <row r="54137" ht="15.75" customHeight="1" spans="1:2">
      <c r="A54137" s="3" t="str">
        <f>IFERROR(__xludf.DUMMYFUNCTION("GOOGLETRANSLATE(A54137,""en"",""pt"")"),"lente fantástica, fácil de chegar operação manual")</f>
        <v>lente fantástica, fácil de chegar operação manual</v>
      </c>
      <c r="B54137" s="3">
        <v>1</v>
      </c>
    </row>
    <row r="54138" ht="15.75" customHeight="1" spans="1:2">
      <c r="A54138" s="3" t="str">
        <f>IFERROR(__xludf.DUMMYFUNCTION("GOOGLETRANSLATE(A54138,""en"",""pt"")"),"disquete removível e bateria de carga rápida")</f>
        <v>disquete removível e bateria de carga rápida</v>
      </c>
      <c r="B54138" s="3">
        <v>1</v>
      </c>
    </row>
    <row r="54139" ht="15.75" customHeight="1" spans="1:2">
      <c r="A54139" s="3" t="str">
        <f>IFERROR(__xludf.DUMMYFUNCTION("GOOGLETRANSLATE(A54139,""en"",""pt"")"),"Fácil de usar.")</f>
        <v>Fácil de usar.</v>
      </c>
      <c r="B54139" s="3">
        <v>1</v>
      </c>
    </row>
    <row r="54140" ht="15.75" customHeight="1" spans="1:2">
      <c r="A54140" s="3" t="str">
        <f>IFERROR(__xludf.DUMMYFUNCTION("GOOGLETRANSLATE(A54140,""en"",""pt"")"),"incrível variedade de opções, boa qualidade de imagem")</f>
        <v>incrível variedade de opções, boa qualidade de imagem</v>
      </c>
      <c r="B54140" s="3">
        <v>1</v>
      </c>
    </row>
    <row r="54141" ht="15.75" customHeight="1" spans="1:2">
      <c r="A54141" s="3" t="str">
        <f>IFERROR(__xludf.DUMMYFUNCTION("GOOGLETRANSLATE(A54141,""en"",""pt"")"),"peso leve, zoom assassino, de alta qualidade pics, capacidade de vídeo")</f>
        <v>peso leve, zoom assassino, de alta qualidade pics, capacidade de vídeo</v>
      </c>
      <c r="B54141" s="3">
        <v>1</v>
      </c>
    </row>
    <row r="54142" ht="15.75" customHeight="1" spans="1:2">
      <c r="A54142" s="3" t="str">
        <f>IFERROR(__xludf.DUMMYFUNCTION("GOOGLETRANSLATE(A54142,""en"",""pt"")"),"Leve, boa qualidade de imagem, nenhum software especial.")</f>
        <v>Leve, boa qualidade de imagem, nenhum software especial.</v>
      </c>
      <c r="B54142" s="3">
        <v>1</v>
      </c>
    </row>
    <row r="54143" ht="15.75" customHeight="1" spans="1:2">
      <c r="A54143" s="3" t="str">
        <f>IFERROR(__xludf.DUMMYFUNCTION("GOOGLETRANSLATE(A54143,""en"",""pt"")"),"Robusto, confiável, excelente qualidade de foto, interface intuitiva e fácil com o PC.")</f>
        <v>Robusto, confiável, excelente qualidade de foto, interface intuitiva e fácil com o PC.</v>
      </c>
      <c r="B54143" s="3">
        <v>1</v>
      </c>
    </row>
    <row r="54144" ht="15.75" customHeight="1" spans="1:2">
      <c r="A54144" s="3" t="str">
        <f>IFERROR(__xludf.DUMMYFUNCTION("GOOGLETRANSLATE(A54144,""en"",""pt"")"),"Toneladas de opções, e grande qualidade, gravação de vídeo em movimento, storeage disquete, consulte o pict e apagar se você não gosta!")</f>
        <v>Toneladas de opções, e grande qualidade, gravação de vídeo em movimento, storeage disquete, consulte o pict e apagar se você não gosta!</v>
      </c>
      <c r="B54144" s="3">
        <v>1</v>
      </c>
    </row>
    <row r="54145" ht="15.75" customHeight="1" spans="1:2">
      <c r="A54145" s="3" t="str">
        <f>IFERROR(__xludf.DUMMYFUNCTION("GOOGLETRANSLATE(A54145,""en"",""pt"")"),"meio de armazenamento bom como todos os Mavicas, boa compatibilidade.")</f>
        <v>meio de armazenamento bom como todos os Mavicas, boa compatibilidade.</v>
      </c>
      <c r="B54145" s="3">
        <v>1</v>
      </c>
    </row>
    <row r="54146" ht="15.75" customHeight="1" spans="1:2">
      <c r="A54146" s="3" t="str">
        <f>IFERROR(__xludf.DUMMYFUNCTION("GOOGLETRANSLATE(A54146,""en"",""pt"")"),"Grande zoom, boas cores")</f>
        <v>Grande zoom, boas cores</v>
      </c>
      <c r="B54146" s="3">
        <v>1</v>
      </c>
    </row>
    <row r="54147" ht="15.75" customHeight="1" spans="1:2">
      <c r="A54147" s="3" t="str">
        <f>IFERROR(__xludf.DUMMYFUNCTION("GOOGLETRANSLATE(A54147,""en"",""pt"")"),"Versatilidade, e fácil de usar, resultados econômicos de qualidade")</f>
        <v>Versatilidade, e fácil de usar, resultados econômicos de qualidade</v>
      </c>
      <c r="B54147" s="3">
        <v>1</v>
      </c>
    </row>
    <row r="54148" ht="15.75" customHeight="1" spans="1:2">
      <c r="A54148" s="3" t="str">
        <f>IFERROR(__xludf.DUMMYFUNCTION("GOOGLETRANSLATE(A54148,""en"",""pt"")"),"Tem grandes figuras e confortáveis ​​para operar, e as funções são claras.")</f>
        <v>Tem grandes figuras e confortáveis ​​para operar, e as funções são claras.</v>
      </c>
      <c r="B54148" s="3">
        <v>1</v>
      </c>
    </row>
    <row r="54149" ht="15.75" customHeight="1" spans="1:2">
      <c r="A54149" s="3" t="str">
        <f>IFERROR(__xludf.DUMMYFUNCTION("GOOGLETRANSLATE(A54149,""en"",""pt"")"),"Grande SLR apresenta &amp; amp; zoom unparalelled")</f>
        <v>Grande SLR apresenta &amp; amp; zoom unparalelled</v>
      </c>
      <c r="B54149" s="3">
        <v>1</v>
      </c>
    </row>
    <row r="54150" ht="15.75" customHeight="1" spans="1:2">
      <c r="A54150" s="3" t="str">
        <f>IFERROR(__xludf.DUMMYFUNCTION("GOOGLETRANSLATE(A54150,""en"",""pt"")"),"Bom qualidade, fácil de usar")</f>
        <v>Bom qualidade, fácil de usar</v>
      </c>
      <c r="B54150" s="3">
        <v>1</v>
      </c>
    </row>
    <row r="54151" ht="15.75" customHeight="1" spans="1:2">
      <c r="A54151" s="3" t="str">
        <f>IFERROR(__xludf.DUMMYFUNCTION("GOOGLETRANSLATE(A54151,""en"",""pt"")"),"Basta carregar a bateria e você está pronto para tirar fotos")</f>
        <v>Basta carregar a bateria e você está pronto para tirar fotos</v>
      </c>
      <c r="B54151" s="3">
        <v>1</v>
      </c>
    </row>
    <row r="54152" ht="15.75" customHeight="1" spans="1:2">
      <c r="A54152" s="3" t="s">
        <v>286</v>
      </c>
      <c r="B54152" s="3">
        <v>1</v>
      </c>
    </row>
    <row r="54153" ht="15.75" customHeight="1" spans="1:2">
      <c r="A54153" s="3" t="str">
        <f>IFERROR(__xludf.DUMMYFUNCTION("GOOGLETRANSLATE(A54153,""en"",""pt"")"),"Excelente qualidade de imagem, vem com um ótimo software, disquetes, excelente LCD.")</f>
        <v>Excelente qualidade de imagem, vem com um ótimo software, disquetes, excelente LCD.</v>
      </c>
      <c r="B54153" s="3">
        <v>1</v>
      </c>
    </row>
    <row r="54154" ht="15.75" customHeight="1" spans="1:2">
      <c r="A54154" s="3" t="str">
        <f>IFERROR(__xludf.DUMMYFUNCTION("GOOGLETRANSLATE(A54154,""en"",""pt"")"),"zoom 8x óptico, slot cartão de memória, recursos avançados.")</f>
        <v>zoom 8x óptico, slot cartão de memória, recursos avançados.</v>
      </c>
      <c r="B54154" s="3">
        <v>1</v>
      </c>
    </row>
    <row r="54155" ht="15.75" customHeight="1" spans="1:2">
      <c r="A54155" s="3" t="str">
        <f>IFERROR(__xludf.DUMMYFUNCTION("GOOGLETRANSLATE(A54155,""en"",""pt"")"),"Versátil, fácil de usar")</f>
        <v>Versátil, fácil de usar</v>
      </c>
      <c r="B54155" s="3">
        <v>1</v>
      </c>
    </row>
    <row r="54156" ht="15.75" customHeight="1" spans="1:2">
      <c r="A54156" s="3" t="str">
        <f>IFERROR(__xludf.DUMMYFUNCTION("GOOGLETRANSLATE(A54156,""en"",""pt"")"),"Fácil de usar, versátil, ótimas fotos, 5 segundo vídeo - &amp; lt; i &amp; gt; Precisa dizer mais &amp; lt; / i &amp; gt;?")</f>
        <v>Fácil de usar, versátil, ótimas fotos, 5 segundo vídeo - &amp; lt; i &amp; gt; Precisa dizer mais &amp; lt; / i &amp; gt;?</v>
      </c>
      <c r="B54156" s="3">
        <v>1</v>
      </c>
    </row>
    <row r="54157" ht="15.75" customHeight="1" spans="1:2">
      <c r="A54157" s="3" t="str">
        <f>IFERROR(__xludf.DUMMYFUNCTION("GOOGLETRANSLATE(A54157,""en"",""pt"")"),"Divertido de usar, excelente qualidade de imagem, duas opções de armazenamento")</f>
        <v>Divertido de usar, excelente qualidade de imagem, duas opções de armazenamento</v>
      </c>
      <c r="B54157" s="3">
        <v>1</v>
      </c>
    </row>
    <row r="54158" ht="15.75" customHeight="1" spans="1:2">
      <c r="A54158" s="3" t="str">
        <f>IFERROR(__xludf.DUMMYFUNCTION("GOOGLETRANSLATE(A54158,""en"",""pt"")"),"tiro rápido, capacidades portuárias, realmente fácil de usar, imagens apagáveis")</f>
        <v>tiro rápido, capacidades portuárias, realmente fácil de usar, imagens apagáveis</v>
      </c>
      <c r="B54158" s="3">
        <v>1</v>
      </c>
    </row>
    <row r="54159" ht="15.75" customHeight="1" spans="1:2">
      <c r="A54159" s="3" t="str">
        <f>IFERROR(__xludf.DUMMYFUNCTION("GOOGLETRANSLATE(A54159,""en"",""pt"")"),"Toma uma bela imagem.")</f>
        <v>Toma uma bela imagem.</v>
      </c>
      <c r="B54159" s="3">
        <v>1</v>
      </c>
    </row>
    <row r="54160" ht="15.75" customHeight="1" spans="1:2">
      <c r="A54160" s="3" t="str">
        <f>IFERROR(__xludf.DUMMYFUNCTION("GOOGLETRANSLATE(A54160,""en"",""pt"")"),"Excelentes pics, fácil de usar.")</f>
        <v>Excelentes pics, fácil de usar.</v>
      </c>
      <c r="B54160" s="3">
        <v>1</v>
      </c>
    </row>
    <row r="54161" ht="15.75" customHeight="1" spans="1:2">
      <c r="A54161" s="3" t="str">
        <f>IFERROR(__xludf.DUMMYFUNCTION("GOOGLETRANSLATE(A54161,""en"",""pt"")"),"Fácil de usar, de alta qualidade, versátil")</f>
        <v>Fácil de usar, de alta qualidade, versátil</v>
      </c>
      <c r="B54161" s="3">
        <v>1</v>
      </c>
    </row>
    <row r="54162" ht="15.75" customHeight="1" spans="1:2">
      <c r="A54162" s="3" t="str">
        <f>IFERROR(__xludf.DUMMYFUNCTION("GOOGLETRANSLATE(A54162,""en"",""pt"")"),"legal, versátil, fácil de usar, disquete, vídeo")</f>
        <v>legal, versátil, fácil de usar, disquete, vídeo</v>
      </c>
      <c r="B54162" s="3">
        <v>1</v>
      </c>
    </row>
    <row r="54163" ht="15.75" customHeight="1" spans="1:2">
      <c r="A54163" s="3" t="str">
        <f>IFERROR(__xludf.DUMMYFUNCTION("GOOGLETRANSLATE(A54163,""en"",""pt"")"),"bom preço de nível de entrada, de boa qualidade foto, os lotes de zoom, tela grande")</f>
        <v>bom preço de nível de entrada, de boa qualidade foto, os lotes de zoom, tela grande</v>
      </c>
      <c r="B54163" s="3">
        <v>1</v>
      </c>
    </row>
    <row r="54164" ht="15.75" customHeight="1" spans="1:2">
      <c r="A54164" s="3" t="str">
        <f>IFERROR(__xludf.DUMMYFUNCTION("GOOGLETRANSLATE(A54164,""en"",""pt"")"),"fotos de alta qualidade, os lotes de zoom")</f>
        <v>fotos de alta qualidade, os lotes de zoom</v>
      </c>
      <c r="B54164" s="3">
        <v>1</v>
      </c>
    </row>
    <row r="54165" ht="15.75" customHeight="1" spans="1:2">
      <c r="A54165" s="3" t="str">
        <f>IFERROR(__xludf.DUMMYFUNCTION("GOOGLETRANSLATE(A54165,""en"",""pt"")"),"10X óptico de imagem estabilizado zoom. Simples de usar.")</f>
        <v>10X óptico de imagem estabilizado zoom. Simples de usar.</v>
      </c>
      <c r="B54165" s="3">
        <v>1</v>
      </c>
    </row>
    <row r="54166" ht="15.75" customHeight="1" spans="1:2">
      <c r="A54166" s="3" t="str">
        <f>IFERROR(__xludf.DUMMYFUNCTION("GOOGLETRANSLATE(A54166,""en"",""pt"")"),"grande qualidade, armazenamento de disquetes, manuais / controles de automóveis")</f>
        <v>grande qualidade, armazenamento de disquetes, manuais / controles de automóveis</v>
      </c>
      <c r="B54166" s="3">
        <v>1</v>
      </c>
    </row>
    <row r="54167" ht="15.75" customHeight="1" spans="1:2">
      <c r="A54167" s="3" t="str">
        <f>IFERROR(__xludf.DUMMYFUNCTION("GOOGLETRANSLATE(A54167,""en"",""pt"")"),"Duráveis ​​- Alta Qualidade Imagens - Noite função Shot")</f>
        <v>Duráveis ​​- Alta Qualidade Imagens - Noite função Shot</v>
      </c>
      <c r="B54167" s="3">
        <v>1</v>
      </c>
    </row>
    <row r="54168" ht="15.75" customHeight="1" spans="1:2">
      <c r="A54168" s="3" t="str">
        <f>IFERROR(__xludf.DUMMYFUNCTION("GOOGLETRANSLATE(A54168,""en"",""pt"")"),"Sensação agradável - muitas características - 10X zoom - disquete")</f>
        <v>Sensação agradável - muitas características - 10X zoom - disquete</v>
      </c>
      <c r="B54168" s="3">
        <v>1</v>
      </c>
    </row>
    <row r="54169" ht="15.75" customHeight="1" spans="1:2">
      <c r="A54169" s="3" t="str">
        <f>IFERROR(__xludf.DUMMYFUNCTION("GOOGLETRANSLATE(A54169,""en"",""pt"")"),"Grandes Fotos / Armazenamento Floppy")</f>
        <v>Grandes Fotos / Armazenamento Floppy</v>
      </c>
      <c r="B54169" s="3">
        <v>1</v>
      </c>
    </row>
    <row r="54170" ht="15.75" customHeight="1" spans="1:2">
      <c r="A54170" s="3" t="str">
        <f>IFERROR(__xludf.DUMMYFUNCTION("GOOGLETRANSLATE(A54170,""en"",""pt"")"),"zoom de 20X, cargas de características, modo de filme MPEG")</f>
        <v>zoom de 20X, cargas de características, modo de filme MPEG</v>
      </c>
      <c r="B54170" s="3">
        <v>1</v>
      </c>
    </row>
    <row r="54171" ht="15.75" customHeight="1" spans="1:2">
      <c r="A54171" s="3" t="str">
        <f>IFERROR(__xludf.DUMMYFUNCTION("GOOGLETRANSLATE(A54171,""en"",""pt"")"),"fácil")</f>
        <v>fácil</v>
      </c>
      <c r="B54171" s="3">
        <v>1</v>
      </c>
    </row>
    <row r="54172" ht="15.75" customHeight="1" spans="1:2">
      <c r="A54172" s="3" t="str">
        <f>IFERROR(__xludf.DUMMYFUNCTION("GOOGLETRANSLATE(A54172,""en"",""pt"")"),"Abundância de bons recursos e um lindo 10x tópicos filtro zoom + 52mm")</f>
        <v>Abundância de bons recursos e um lindo 10x tópicos filtro zoom + 52mm</v>
      </c>
      <c r="B54172" s="3">
        <v>1</v>
      </c>
    </row>
    <row r="54173" ht="15.75" customHeight="1" spans="1:2">
      <c r="A54173" s="3" t="str">
        <f>IFERROR(__xludf.DUMMYFUNCTION("GOOGLETRANSLATE(A54173,""en"",""pt"")"),"Simplismente maravilhoso")</f>
        <v>Simplismente maravilhoso</v>
      </c>
      <c r="B54173" s="3">
        <v>1</v>
      </c>
    </row>
    <row r="54174" ht="15.75" customHeight="1" spans="1:2">
      <c r="A54174" s="3" t="str">
        <f>IFERROR(__xludf.DUMMYFUNCTION("GOOGLETRANSLATE(A54174,""en"",""pt"")"),"através do visualizador de lente, pode usar disquete")</f>
        <v>através do visualizador de lente, pode usar disquete</v>
      </c>
      <c r="B54174" s="3">
        <v>1</v>
      </c>
    </row>
    <row r="54175" ht="15.75" customHeight="1" spans="1:2">
      <c r="A54175" s="3" t="str">
        <f>IFERROR(__xludf.DUMMYFUNCTION("GOOGLETRANSLATE(A54175,""en"",""pt"")"),"zoom 10-20x é IMPRESSIONANTE")</f>
        <v>zoom 10-20x é IMPRESSIONANTE</v>
      </c>
      <c r="B54175" s="3">
        <v>1</v>
      </c>
    </row>
    <row r="54176" ht="15.75" customHeight="1" spans="1:2">
      <c r="A54176" s="3" t="str">
        <f>IFERROR(__xludf.DUMMYFUNCTION("GOOGLETRANSLATE(A54176,""en"",""pt"")"),"Maior lente zoom disponível!")</f>
        <v>Maior lente zoom disponível!</v>
      </c>
      <c r="B54176" s="3">
        <v>1</v>
      </c>
    </row>
    <row r="54177" ht="15.75" customHeight="1" spans="1:2">
      <c r="A54177" s="3" t="str">
        <f>IFERROR(__xludf.DUMMYFUNCTION("GOOGLETRANSLATE(A54177,""en"",""pt"")"),"Facilidade de uso, qualidade de imagem, conveniência e preço dos meios de comunicação de transferência de arquivos (disquete)")</f>
        <v>Facilidade de uso, qualidade de imagem, conveniência e preço dos meios de comunicação de transferência de arquivos (disquete)</v>
      </c>
      <c r="B54177" s="3">
        <v>1</v>
      </c>
    </row>
    <row r="54178" ht="15.75" customHeight="1" spans="1:2">
      <c r="A54178" s="3" t="str">
        <f>IFERROR(__xludf.DUMMYFUNCTION("GOOGLETRANSLATE(A54178,""en"",""pt"")"),"boa qualidade, fácil de usar")</f>
        <v>boa qualidade, fácil de usar</v>
      </c>
      <c r="B54178" s="3">
        <v>1</v>
      </c>
    </row>
    <row r="54179" ht="15.75" customHeight="1" spans="1:2">
      <c r="A54179" s="3" t="str">
        <f>IFERROR(__xludf.DUMMYFUNCTION("GOOGLETRANSLATE(A54179,""en"",""pt"")"),"Boa qualidade de imagem, gravação de Floppy, Grande Zoom")</f>
        <v>Boa qualidade de imagem, gravação de Floppy, Grande Zoom</v>
      </c>
      <c r="B54179" s="3">
        <v>1</v>
      </c>
    </row>
    <row r="54180" ht="15.75" customHeight="1" spans="1:2">
      <c r="A54180" s="3" t="str">
        <f>IFERROR(__xludf.DUMMYFUNCTION("GOOGLETRANSLATE(A54180,""en"",""pt"")"),"armazenamento flexível, zoom incrível, view finder")</f>
        <v>armazenamento flexível, zoom incrível, view finder</v>
      </c>
      <c r="B54180" s="3">
        <v>1</v>
      </c>
    </row>
    <row r="54181" ht="15.75" customHeight="1" spans="1:2">
      <c r="A54181" s="3" t="str">
        <f>IFERROR(__xludf.DUMMYFUNCTION("GOOGLETRANSLATE(A54181,""en"",""pt"")"),"Lotes das características")</f>
        <v>Lotes das características</v>
      </c>
      <c r="B54181" s="3">
        <v>1</v>
      </c>
    </row>
    <row r="54182" ht="15.75" customHeight="1" spans="1:2">
      <c r="A54182" s="3" t="str">
        <f>IFERROR(__xludf.DUMMYFUNCTION("GOOGLETRANSLATE(A54182,""en"",""pt"")"),"Tudo, o zoom, fácil de usar, ea resolução.")</f>
        <v>Tudo, o zoom, fácil de usar, ea resolução.</v>
      </c>
      <c r="B54182" s="3">
        <v>1</v>
      </c>
    </row>
    <row r="54183" ht="15.75" customHeight="1" spans="1:2">
      <c r="A54183" s="3" t="str">
        <f>IFERROR(__xludf.DUMMYFUNCTION("GOOGLETRANSLATE(A54183,""en"",""pt"")"),"Grande lente, its central qualidade")</f>
        <v>Grande lente, its central qualidade</v>
      </c>
      <c r="B54183" s="3">
        <v>1</v>
      </c>
    </row>
    <row r="54184" ht="15.75" customHeight="1" spans="1:2">
      <c r="A54184" s="3" t="str">
        <f>IFERROR(__xludf.DUMMYFUNCTION("GOOGLETRANSLATE(A54184,""en"",""pt"")"),"Qualidade das fotos; Capacidade de aperature mudança e obturador")</f>
        <v>Qualidade das fotos; Capacidade de aperature mudança e obturador</v>
      </c>
      <c r="B54184" s="3">
        <v>1</v>
      </c>
    </row>
    <row r="54185" ht="15.75" customHeight="1" spans="1:2">
      <c r="A54185" s="3" t="str">
        <f>IFERROR(__xludf.DUMMYFUNCTION("GOOGLETRANSLATE(A54185,""en"",""pt"")"),"Alta qualidade, bom Zoom Óptico")</f>
        <v>Alta qualidade, bom Zoom Óptico</v>
      </c>
      <c r="B54185" s="3">
        <v>1</v>
      </c>
    </row>
    <row r="54186" ht="15.75" customHeight="1" spans="1:2">
      <c r="A54186" s="3" t="str">
        <f>IFERROR(__xludf.DUMMYFUNCTION("GOOGLETRANSLATE(A54186,""en"",""pt"")"),"fácil de usar")</f>
        <v>fácil de usar</v>
      </c>
      <c r="B54186" s="3">
        <v>1</v>
      </c>
    </row>
    <row r="54187" ht="15.75" customHeight="1" spans="1:2">
      <c r="A54187" s="3" t="str">
        <f>IFERROR(__xludf.DUMMYFUNCTION("GOOGLETRANSLATE(A54187,""en"",""pt"")"),"Agradável e agitados 3,5 &amp; amp; quot; disco para filme")</f>
        <v>Agradável e agitados 3,5 &amp; amp; quot; disco para filme</v>
      </c>
      <c r="B54187" s="3">
        <v>1</v>
      </c>
    </row>
    <row r="54188" ht="15.75" customHeight="1" spans="1:2">
      <c r="A54188" s="3" t="str">
        <f>IFERROR(__xludf.DUMMYFUNCTION("GOOGLETRANSLATE(A54188,""en"",""pt"")"),"Excelente qualidade de imagem!")</f>
        <v>Excelente qualidade de imagem!</v>
      </c>
      <c r="B54188" s="3">
        <v>1</v>
      </c>
    </row>
    <row r="54189" ht="15.75" customHeight="1" spans="1:2">
      <c r="A54189" s="3" t="str">
        <f>IFERROR(__xludf.DUMMYFUNCTION("GOOGLETRANSLATE(A54189,""en"",""pt"")"),"disquete é um plus, agradável Zoom Características.")</f>
        <v>disquete é um plus, agradável Zoom Características.</v>
      </c>
      <c r="B54189" s="3">
        <v>1</v>
      </c>
    </row>
    <row r="54190" ht="15.75" customHeight="1" spans="1:2">
      <c r="A54190" s="3" t="str">
        <f>IFERROR(__xludf.DUMMYFUNCTION("GOOGLETRANSLATE(A54190,""en"",""pt"")"),"Doce Camera, agradável Características")</f>
        <v>Doce Camera, agradável Características</v>
      </c>
      <c r="B54190" s="3">
        <v>1</v>
      </c>
    </row>
    <row r="54191" ht="15.75" customHeight="1" spans="1:2">
      <c r="A54191" s="3" t="str">
        <f>IFERROR(__xludf.DUMMYFUNCTION("GOOGLETRANSLATE(A54191,""en"",""pt"")"),"O Zoom, Ergonomia, a vida da bateria, ea qualidade da imagem.")</f>
        <v>O Zoom, Ergonomia, a vida da bateria, ea qualidade da imagem.</v>
      </c>
      <c r="B54191" s="3">
        <v>1</v>
      </c>
    </row>
    <row r="54192" ht="15.75" customHeight="1" spans="1:2">
      <c r="A54192" s="3" t="str">
        <f>IFERROR(__xludf.DUMMYFUNCTION("GOOGLETRANSLATE(A54192,""en"",""pt"")"),"Zoom óptico de 10X, muito boa variedade resolução, a abundância de recursos.")</f>
        <v>Zoom óptico de 10X, muito boa variedade resolução, a abundância de recursos.</v>
      </c>
      <c r="B54192" s="3">
        <v>1</v>
      </c>
    </row>
    <row r="54193" ht="15.75" customHeight="1" spans="1:2">
      <c r="A54193" s="3" t="str">
        <f>IFERROR(__xludf.DUMMYFUNCTION("GOOGLETRANSLATE(A54193,""en"",""pt"")"),"Grande zoom Boa Qualidade")</f>
        <v>Grande zoom Boa Qualidade</v>
      </c>
      <c r="B54193" s="3">
        <v>1</v>
      </c>
    </row>
    <row r="54194" ht="15.75" customHeight="1" spans="1:2">
      <c r="A54194" s="3" t="str">
        <f>IFERROR(__xludf.DUMMYFUNCTION("GOOGLETRANSLATE(A54194,""en"",""pt"")"),"Grande para a distância. Capaz de salvar ou fotos de exclusão.")</f>
        <v>Grande para a distância. Capaz de salvar ou fotos de exclusão.</v>
      </c>
      <c r="B54194" s="3">
        <v>1</v>
      </c>
    </row>
    <row r="54195" ht="15.75" customHeight="1" spans="1:2">
      <c r="A54195" s="3" t="str">
        <f>IFERROR(__xludf.DUMMYFUNCTION("GOOGLETRANSLATE(A54195,""en"",""pt"")"),"A qualidade de impressão é grande")</f>
        <v>A qualidade de impressão é grande</v>
      </c>
      <c r="B54195" s="3">
        <v>1</v>
      </c>
    </row>
    <row r="54196" ht="15.75" customHeight="1" spans="1:2">
      <c r="A54196" s="3" t="str">
        <f>IFERROR(__xludf.DUMMYFUNCTION("GOOGLETRANSLATE(A54196,""en"",""pt"")"),"impressora de mais alta qualidade")</f>
        <v>impressora de mais alta qualidade</v>
      </c>
      <c r="B54196" s="3">
        <v>1</v>
      </c>
    </row>
    <row r="54197" ht="15.75" customHeight="1" spans="1:2">
      <c r="A54197" s="3" t="str">
        <f>IFERROR(__xludf.DUMMYFUNCTION("GOOGLETRANSLATE(A54197,""en"",""pt"")"),"imagens de alta qualidade, facilidade de uso, construído em ethernet")</f>
        <v>imagens de alta qualidade, facilidade de uso, construído em ethernet</v>
      </c>
      <c r="B54197" s="3">
        <v>1</v>
      </c>
    </row>
    <row r="54198" ht="15.75" customHeight="1" spans="1:2">
      <c r="A54198" s="3" t="str">
        <f>IFERROR(__xludf.DUMMYFUNCTION("GOOGLETRANSLATE(A54198,""en"",""pt"")"),"cópias de alta qualidade e baixos custos de manutenção")</f>
        <v>cópias de alta qualidade e baixos custos de manutenção</v>
      </c>
      <c r="B54198" s="3">
        <v>1</v>
      </c>
    </row>
    <row r="54199" ht="15.75" customHeight="1" spans="1:2">
      <c r="A54199" s="3" t="str">
        <f>IFERROR(__xludf.DUMMYFUNCTION("GOOGLETRANSLATE(A54199,""en"",""pt"")"),"Excelente saída de cores, fácil de usar tecnologia de cor, sólida")</f>
        <v>Excelente saída de cores, fácil de usar tecnologia de cor, sólida</v>
      </c>
      <c r="B54199" s="3">
        <v>1</v>
      </c>
    </row>
    <row r="54200" ht="15.75" customHeight="1" spans="1:2">
      <c r="A54200" s="3" t="str">
        <f>IFERROR(__xludf.DUMMYFUNCTION("GOOGLETRANSLATE(A54200,""en"",""pt"")"),"qualidade de cor bonita")</f>
        <v>qualidade de cor bonita</v>
      </c>
      <c r="B54200" s="3">
        <v>1</v>
      </c>
    </row>
    <row r="54201" ht="15.75" customHeight="1" spans="1:2">
      <c r="A54201" s="3" t="str">
        <f>IFERROR(__xludf.DUMMYFUNCTION("GOOGLETRANSLATE(A54201,""en"",""pt"")"),"cores vibrantes, estampas baratos, de fácil manutenção, tinta preta livre.")</f>
        <v>cores vibrantes, estampas baratos, de fácil manutenção, tinta preta livre.</v>
      </c>
      <c r="B54201" s="3">
        <v>1</v>
      </c>
    </row>
    <row r="54202" ht="15.75" customHeight="1" spans="1:2">
      <c r="A54202" s="3" t="str">
        <f>IFERROR(__xludf.DUMMYFUNCTION("GOOGLETRANSLATE(A54202,""en"",""pt"")"),"bom para todos os tipos de arquivos e formatos, fácil de usar")</f>
        <v>bom para todos os tipos de arquivos e formatos, fácil de usar</v>
      </c>
      <c r="B54202" s="3">
        <v>1</v>
      </c>
    </row>
    <row r="54203" ht="15.75" customHeight="1" spans="1:2">
      <c r="A54203" s="3" t="str">
        <f>IFERROR(__xludf.DUMMYFUNCTION("GOOGLETRANSLATE(A54203,""en"",""pt"")"),"rápido, cores vibrantes, confiável,")</f>
        <v>rápido, cores vibrantes, confiável,</v>
      </c>
      <c r="B54203" s="3">
        <v>1</v>
      </c>
    </row>
    <row r="54204" ht="15.75" customHeight="1" spans="1:2">
      <c r="A54204" s="3" t="str">
        <f>IFERROR(__xludf.DUMMYFUNCTION("GOOGLETRANSLATE(A54204,""en"",""pt"")"),"Rápido, rede pronta, grandes cores")</f>
        <v>Rápido, rede pronta, grandes cores</v>
      </c>
      <c r="B54204" s="3">
        <v>1</v>
      </c>
    </row>
    <row r="54205" ht="15.75" customHeight="1" spans="1:2">
      <c r="A54205" s="3" t="str">
        <f>IFERROR(__xludf.DUMMYFUNCTION("GOOGLETRANSLATE(A54205,""en"",""pt"")"),": Rápido, cores vibrantes, confiável,")</f>
        <v>: Rápido, cores vibrantes, confiável,</v>
      </c>
      <c r="B54205" s="3">
        <v>1</v>
      </c>
    </row>
    <row r="54206" ht="15.75" customHeight="1" spans="1:2">
      <c r="A54206" s="3" t="str">
        <f>IFERROR(__xludf.DUMMYFUNCTION("GOOGLETRANSLATE(A54206,""en"",""pt"")"),"0")</f>
        <v>0</v>
      </c>
      <c r="B54206" s="3">
        <v>1</v>
      </c>
    </row>
    <row r="54207" ht="15.75" customHeight="1" spans="1:2">
      <c r="A54207" s="3" t="str">
        <f>IFERROR(__xludf.DUMMYFUNCTION("GOOGLETRANSLATE(A54207,""en"",""pt"")"),"excelente qualidade, durável, bom em consumível")</f>
        <v>excelente qualidade, durável, bom em consumível</v>
      </c>
      <c r="B54207" s="3">
        <v>1</v>
      </c>
    </row>
    <row r="54208" ht="15.75" customHeight="1" spans="1:2">
      <c r="A54208" s="3" t="str">
        <f>IFERROR(__xludf.DUMMYFUNCTION("GOOGLETRANSLATE(A54208,""en"",""pt"")"),"excelente qualidade de imagem, manuseio de grandes meios de comunicação, construído em ethernet")</f>
        <v>excelente qualidade de imagem, manuseio de grandes meios de comunicação, construído em ethernet</v>
      </c>
      <c r="B54208" s="3">
        <v>1</v>
      </c>
    </row>
    <row r="54209" ht="15.75" customHeight="1" spans="1:2">
      <c r="A54209" s="3" t="str">
        <f>IFERROR(__xludf.DUMMYFUNCTION("GOOGLETRANSLATE(A54209,""en"",""pt"")"),"O que podemos dizer .... nós pensamos que é muito legal :)")</f>
        <v>O que podemos dizer .... nós pensamos que é muito legal :)</v>
      </c>
      <c r="B54209" s="3">
        <v>1</v>
      </c>
    </row>
    <row r="54210" ht="15.75" customHeight="1" spans="1:2">
      <c r="A54210" s="3" t="str">
        <f>IFERROR(__xludf.DUMMYFUNCTION("GOOGLETRANSLATE(A54210,""en"",""pt"")"),"páginas a cores de qualidade surpreendentes; baixo custo de manutenção.")</f>
        <v>páginas a cores de qualidade surpreendentes; baixo custo de manutenção.</v>
      </c>
      <c r="B54210" s="3">
        <v>1</v>
      </c>
    </row>
    <row r="54211" ht="15.75" customHeight="1" spans="1:2">
      <c r="A54211" s="3" t="str">
        <f>IFERROR(__xludf.DUMMYFUNCTION("GOOGLETRANSLATE(A54211,""en"",""pt"")"),"Excelente confiabilidade, um burro de carga")</f>
        <v>Excelente confiabilidade, um burro de carga</v>
      </c>
      <c r="B54211" s="3">
        <v>1</v>
      </c>
    </row>
    <row r="54212" ht="15.75" customHeight="1" spans="1:2">
      <c r="A54212" s="3" t="str">
        <f>IFERROR(__xludf.DUMMYFUNCTION("GOOGLETRANSLATE(A54212,""en"",""pt"")"),"Facilidade de uso, Grande Flash &amp; amp; Zoom Options, fácil de navegar menus, USB")</f>
        <v>Facilidade de uso, Grande Flash &amp; amp; Zoom Options, fácil de navegar menus, USB</v>
      </c>
      <c r="B54212" s="3">
        <v>1</v>
      </c>
    </row>
    <row r="54213" ht="15.75" customHeight="1" spans="1:2">
      <c r="A54213" s="3" t="str">
        <f>IFERROR(__xludf.DUMMYFUNCTION("GOOGLETRANSLATE(A54213,""en"",""pt"")"),"Preço, fácil de usar, boa qualidade fotos - perfeito para imagens da web.")</f>
        <v>Preço, fácil de usar, boa qualidade fotos - perfeito para imagens da web.</v>
      </c>
      <c r="B54213" s="3">
        <v>1</v>
      </c>
    </row>
    <row r="54214" ht="15.75" customHeight="1" spans="1:2">
      <c r="A54214" s="3" t="str">
        <f>IFERROR(__xludf.DUMMYFUNCTION("GOOGLETRANSLATE(A54214,""en"",""pt"")"),"Pequeno e fácil de usar.")</f>
        <v>Pequeno e fácil de usar.</v>
      </c>
      <c r="B54214" s="3">
        <v>1</v>
      </c>
    </row>
    <row r="54215" ht="15.75" customHeight="1" spans="1:2">
      <c r="A54215" s="3" t="str">
        <f>IFERROR(__xludf.DUMMYFUNCTION("GOOGLETRANSLATE(A54215,""en"",""pt"")"),"Barato, várias funções, fácil de usar")</f>
        <v>Barato, várias funções, fácil de usar</v>
      </c>
      <c r="B54215" s="3">
        <v>1</v>
      </c>
    </row>
    <row r="54216" ht="15.75" customHeight="1" spans="1:2">
      <c r="A54216" s="3" t="str">
        <f>IFERROR(__xludf.DUMMYFUNCTION("GOOGLETRANSLATE(A54216,""en"",""pt"")"),"Boa forma. preço razoável")</f>
        <v>Boa forma. preço razoável</v>
      </c>
      <c r="B54216" s="3">
        <v>1</v>
      </c>
    </row>
    <row r="54217" ht="15.75" customHeight="1" spans="1:2">
      <c r="A54217" s="3" t="str">
        <f>IFERROR(__xludf.DUMMYFUNCTION("GOOGLETRANSLATE(A54217,""en"",""pt"")"),"Fácil de usar. Lightweight. casca dura. Zoom ótico.")</f>
        <v>Fácil de usar. Lightweight. casca dura. Zoom ótico.</v>
      </c>
      <c r="B54217" s="3">
        <v>1</v>
      </c>
    </row>
    <row r="54218" ht="15.75" customHeight="1" spans="1:2">
      <c r="A54218" s="3" t="str">
        <f>IFERROR(__xludf.DUMMYFUNCTION("GOOGLETRANSLATE(A54218,""en"",""pt"")"),"tela LCD, Menu, facilidade de uso")</f>
        <v>tela LCD, Menu, facilidade de uso</v>
      </c>
      <c r="B54218" s="3">
        <v>1</v>
      </c>
    </row>
    <row r="54219" ht="15.75" customHeight="1" spans="1:2">
      <c r="A54219" s="3" t="str">
        <f>IFERROR(__xludf.DUMMYFUNCTION("GOOGLETRANSLATE(A54219,""en"",""pt"")"),"Lotes de fácil de usar recursos, qualidade de imagem espetacular")</f>
        <v>Lotes de fácil de usar recursos, qualidade de imagem espetacular</v>
      </c>
      <c r="B54219" s="3">
        <v>1</v>
      </c>
    </row>
    <row r="54220" ht="15.75" customHeight="1" spans="1:2">
      <c r="A54220" s="3" t="str">
        <f>IFERROR(__xludf.DUMMYFUNCTION("GOOGLETRANSLATE(A54220,""en"",""pt"")"),"Jam-embalados com características, preço baixo!")</f>
        <v>Jam-embalados com características, preço baixo!</v>
      </c>
      <c r="B54220" s="3">
        <v>1</v>
      </c>
    </row>
    <row r="54221" ht="15.75" customHeight="1" spans="1:2">
      <c r="A54221" s="3" t="str">
        <f>IFERROR(__xludf.DUMMYFUNCTION("GOOGLETRANSLATE(A54221,""en"",""pt"")"),"zoom óptico de 3x, jack de saída de vídeo, preço, opções de lentes, controle de EV.")</f>
        <v>zoom óptico de 3x, jack de saída de vídeo, preço, opções de lentes, controle de EV.</v>
      </c>
      <c r="B54221" s="3">
        <v>1</v>
      </c>
    </row>
    <row r="54222" ht="15.75" customHeight="1" spans="1:2">
      <c r="A54222" s="3" t="str">
        <f>IFERROR(__xludf.DUMMYFUNCTION("GOOGLETRANSLATE(A54222,""en"",""pt"")"),"barato. Fácil de usar.")</f>
        <v>barato. Fácil de usar.</v>
      </c>
      <c r="B54222" s="3">
        <v>1</v>
      </c>
    </row>
    <row r="54223" ht="15.75" customHeight="1" spans="1:2">
      <c r="A54223" s="3" t="str">
        <f>IFERROR(__xludf.DUMMYFUNCTION("GOOGLETRANSLATE(A54223,""en"",""pt"")"),"Ótimas fotos. Fácil de usar. opções de bateria.")</f>
        <v>Ótimas fotos. Fácil de usar. opções de bateria.</v>
      </c>
      <c r="B54223" s="3">
        <v>1</v>
      </c>
    </row>
    <row r="54224" ht="15.75" customHeight="1" spans="1:2">
      <c r="A54224" s="3" t="str">
        <f>IFERROR(__xludf.DUMMYFUNCTION("GOOGLETRANSLATE(A54224,""en"",""pt"")"),"Barato")</f>
        <v>Barato</v>
      </c>
      <c r="B54224" s="3">
        <v>1</v>
      </c>
    </row>
    <row r="54225" ht="15.75" customHeight="1" spans="1:2">
      <c r="A54225" s="3" t="str">
        <f>IFERROR(__xludf.DUMMYFUNCTION("GOOGLETRANSLATE(A54225,""en"",""pt"")"),"artesanato de qualidade, bem-embalados, com todos os recursos, óptica afiadas")</f>
        <v>artesanato de qualidade, bem-embalados, com todos os recursos, óptica afiadas</v>
      </c>
      <c r="B54225" s="3">
        <v>1</v>
      </c>
    </row>
    <row r="54226" ht="15.75" customHeight="1" spans="1:2">
      <c r="A54226" s="3" t="str">
        <f>IFERROR(__xludf.DUMMYFUNCTION("GOOGLETRANSLATE(A54226,""en"",""pt"")"),"Boa qualidade de imagem para o preço.")</f>
        <v>Boa qualidade de imagem para o preço.</v>
      </c>
      <c r="B54226" s="3">
        <v>1</v>
      </c>
    </row>
    <row r="54227" ht="15.75" customHeight="1" spans="1:2">
      <c r="A54227" s="3" t="str">
        <f>IFERROR(__xludf.DUMMYFUNCTION("GOOGLETRANSLATE(A54227,""en"",""pt"")"),"tiros grande dia. Indicação do estado funcional. Boa Zoom.Easy de usar. Atualização de firmware capaz.")</f>
        <v>tiros grande dia. Indicação do estado funcional. Boa Zoom.Easy de usar. Atualização de firmware capaz.</v>
      </c>
      <c r="B54227" s="3">
        <v>1</v>
      </c>
    </row>
    <row r="54228" ht="15.75" customHeight="1" spans="1:2">
      <c r="A54228" s="3" t="str">
        <f>IFERROR(__xludf.DUMMYFUNCTION("GOOGLETRANSLATE(A54228,""en"",""pt"")"),"não acessível, pequeno, não comem pilhas alcalinas! Excelente valor.")</f>
        <v>não acessível, pequeno, não comem pilhas alcalinas! Excelente valor.</v>
      </c>
      <c r="B54228" s="3">
        <v>1</v>
      </c>
    </row>
    <row r="54229" ht="15.75" customHeight="1" spans="1:2">
      <c r="A54229" s="3" t="str">
        <f>IFERROR(__xludf.DUMMYFUNCTION("GOOGLETRANSLATE(A54229,""en"",""pt"")"),"Preço, tamanho, óptica Zoom, de fácil navegação")</f>
        <v>Preço, tamanho, óptica Zoom, de fácil navegação</v>
      </c>
      <c r="B54229" s="3">
        <v>1</v>
      </c>
    </row>
    <row r="54230" ht="15.75" customHeight="1" spans="1:2">
      <c r="A54230" s="3" t="str">
        <f>IFERROR(__xludf.DUMMYFUNCTION("GOOGLETRANSLATE(A54230,""en"",""pt"")"),"Preço, zoom óptico, brilhantes fotos ao ar livre.")</f>
        <v>Preço, zoom óptico, brilhantes fotos ao ar livre.</v>
      </c>
      <c r="B54230" s="3">
        <v>1</v>
      </c>
    </row>
    <row r="54231" ht="15.75" customHeight="1" spans="1:2">
      <c r="A54231" s="3" t="s">
        <v>287</v>
      </c>
      <c r="B54231" s="3">
        <v>1</v>
      </c>
    </row>
    <row r="54232" ht="15.75" customHeight="1" spans="1:2">
      <c r="A54232" s="3" t="str">
        <f>IFERROR(__xludf.DUMMYFUNCTION("GOOGLETRANSLATE(A54232,""en"",""pt"")"),"Todas as funcionalidades - fácil de usar!")</f>
        <v>Todas as funcionalidades - fácil de usar!</v>
      </c>
      <c r="B54232" s="3">
        <v>1</v>
      </c>
    </row>
    <row r="54233" ht="15.75" customHeight="1" spans="1:2">
      <c r="A54233" s="3" t="str">
        <f>IFERROR(__xludf.DUMMYFUNCTION("GOOGLETRANSLATE(A54233,""en"",""pt"")"),"Simples de usar. qualidade de imagem decente para preço.")</f>
        <v>Simples de usar. qualidade de imagem decente para preço.</v>
      </c>
      <c r="B54233" s="3">
        <v>1</v>
      </c>
    </row>
    <row r="54234" ht="15.75" customHeight="1" spans="1:2">
      <c r="A54234" s="3" t="str">
        <f>IFERROR(__xludf.DUMMYFUNCTION("GOOGLETRANSLATE(A54234,""en"",""pt"")"),"Tem uma boa sensação it.Good fotos em amp med &amp;; resoluções acima")</f>
        <v>Tem uma boa sensação it.Good fotos em amp med &amp;; resoluções acima</v>
      </c>
      <c r="B54234" s="3">
        <v>1</v>
      </c>
    </row>
    <row r="54235" ht="15.75" customHeight="1" spans="1:2">
      <c r="A54235" s="3" t="str">
        <f>IFERROR(__xludf.DUMMYFUNCTION("GOOGLETRANSLATE(A54235,""en"",""pt"")"),"Ótimo preço para grande qualidade!")</f>
        <v>Ótimo preço para grande qualidade!</v>
      </c>
      <c r="B54235" s="3">
        <v>1</v>
      </c>
    </row>
    <row r="54236" ht="15.75" customHeight="1" spans="1:2">
      <c r="A54236" s="3" t="str">
        <f>IFERROR(__xludf.DUMMYFUNCTION("GOOGLETRANSLATE(A54236,""en"",""pt"")"),"baixo custo, boa qualidade de imagem, sem nenhum custo adicional para o adaptador AC")</f>
        <v>baixo custo, boa qualidade de imagem, sem nenhum custo adicional para o adaptador AC</v>
      </c>
      <c r="B54236" s="3">
        <v>1</v>
      </c>
    </row>
    <row r="54237" ht="15.75" customHeight="1" spans="1:2">
      <c r="A54237" s="3" t="str">
        <f>IFERROR(__xludf.DUMMYFUNCTION("GOOGLETRANSLATE(A54237,""en"",""pt"")"),"Fácil de usar &amp; amp; Claro, Great Pictures!")</f>
        <v>Fácil de usar &amp; amp; Claro, Great Pictures!</v>
      </c>
      <c r="B54237" s="3">
        <v>1</v>
      </c>
    </row>
    <row r="54238" ht="15.75" customHeight="1" spans="1:2">
      <c r="A54238" s="3" t="str">
        <f>IFERROR(__xludf.DUMMYFUNCTION("GOOGLETRANSLATE(A54238,""en"",""pt"")"),"Eu acho que esta é uma melhor compra em cerca de US $ 200.")</f>
        <v>Eu acho que esta é uma melhor compra em cerca de US $ 200.</v>
      </c>
      <c r="B54238" s="3">
        <v>1</v>
      </c>
    </row>
    <row r="54239" ht="15.75" customHeight="1" spans="1:2">
      <c r="A54239" s="3" t="str">
        <f>IFERROR(__xludf.DUMMYFUNCTION("GOOGLETRANSLATE(A54239,""en"",""pt"")"),"Tamanho, caso duro, tela brilhante, primeira câmera brincadeira!")</f>
        <v>Tamanho, caso duro, tela brilhante, primeira câmera brincadeira!</v>
      </c>
      <c r="B54239" s="3">
        <v>1</v>
      </c>
    </row>
    <row r="54240" ht="15.75" customHeight="1" spans="1:2">
      <c r="A54240" s="3" t="str">
        <f>IFERROR(__xludf.DUMMYFUNCTION("GOOGLETRANSLATE(A54240,""en"",""pt"")"),"Nenhum.")</f>
        <v>Nenhum.</v>
      </c>
      <c r="B54240" s="3">
        <v>1</v>
      </c>
    </row>
    <row r="54241" ht="15.75" customHeight="1" spans="1:2">
      <c r="A54241" s="3" t="str">
        <f>IFERROR(__xludf.DUMMYFUNCTION("GOOGLETRANSLATE(A54241,""en"",""pt"")"),"Deu Toshiba a má reputação que tanto merece.")</f>
        <v>Deu Toshiba a má reputação que tanto merece.</v>
      </c>
      <c r="B54241" s="3">
        <v>1</v>
      </c>
    </row>
    <row r="54242" ht="15.75" customHeight="1" spans="1:2">
      <c r="A54242" s="3" t="str">
        <f>IFERROR(__xludf.DUMMYFUNCTION("GOOGLETRANSLATE(A54242,""en"",""pt"")"),"Velocidade, grandes fotos ao ar livre.")</f>
        <v>Velocidade, grandes fotos ao ar livre.</v>
      </c>
      <c r="B54242" s="3">
        <v>1</v>
      </c>
    </row>
    <row r="54243" ht="15.75" customHeight="1" spans="1:2">
      <c r="A54243" s="3" t="str">
        <f>IFERROR(__xludf.DUMMYFUNCTION("GOOGLETRANSLATE(A54243,""en"",""pt"")"),"Excelentes fotos de qualidade, muito fácil de usar e minha primeira experiência com a fotografia digital.")</f>
        <v>Excelentes fotos de qualidade, muito fácil de usar e minha primeira experiência com a fotografia digital.</v>
      </c>
      <c r="B54243" s="3">
        <v>1</v>
      </c>
    </row>
    <row r="54244" ht="15.75" customHeight="1" spans="1:2">
      <c r="A54244" s="3" t="str">
        <f>IFERROR(__xludf.DUMMYFUNCTION("GOOGLETRANSLATE(A54244,""en"",""pt"")"),"usa SmartMedia, o modo de armazenamento removível USB, RCA para fora")</f>
        <v>usa SmartMedia, o modo de armazenamento removível USB, RCA para fora</v>
      </c>
      <c r="B54244" s="3">
        <v>1</v>
      </c>
    </row>
    <row r="54245" ht="15.75" customHeight="1" spans="1:2">
      <c r="A54245" s="3" t="str">
        <f>IFERROR(__xludf.DUMMYFUNCTION("GOOGLETRANSLATE(A54245,""en"",""pt"")"),"Tudo")</f>
        <v>Tudo</v>
      </c>
      <c r="B54245" s="3">
        <v>1</v>
      </c>
    </row>
    <row r="54246" ht="15.75" customHeight="1" spans="1:2">
      <c r="A54246" s="3" t="str">
        <f>IFERROR(__xludf.DUMMYFUNCTION("GOOGLETRANSLATE(A54246,""en"",""pt"")"),"Imagens de alta qualidade, fácil de usar, rápido")</f>
        <v>Imagens de alta qualidade, fácil de usar, rápido</v>
      </c>
      <c r="B54246" s="3">
        <v>1</v>
      </c>
    </row>
    <row r="54247" ht="15.75" customHeight="1" spans="1:2">
      <c r="A54247" s="3" t="str">
        <f>IFERROR(__xludf.DUMMYFUNCTION("GOOGLETRANSLATE(A54247,""en"",""pt"")"),"Facilidade de utilização, qualidade de fotos")</f>
        <v>Facilidade de utilização, qualidade de fotos</v>
      </c>
      <c r="B54247" s="3">
        <v>1</v>
      </c>
    </row>
    <row r="54248" ht="15.75" customHeight="1" spans="1:2">
      <c r="A54248" s="3" t="str">
        <f>IFERROR(__xludf.DUMMYFUNCTION("GOOGLETRANSLATE(A54248,""en"",""pt"")"),"bom preço, boa resolução, fácil de usar")</f>
        <v>bom preço, boa resolução, fácil de usar</v>
      </c>
      <c r="B54248" s="3">
        <v>1</v>
      </c>
    </row>
    <row r="54249" ht="15.75" customHeight="1" spans="1:2">
      <c r="A54249" s="3" t="str">
        <f>IFERROR(__xludf.DUMMYFUNCTION("GOOGLETRANSLATE(A54249,""en"",""pt"")"),"Lotes de características, de boa qualidade, bastante barato")</f>
        <v>Lotes de características, de boa qualidade, bastante barato</v>
      </c>
      <c r="B54249" s="3">
        <v>1</v>
      </c>
    </row>
    <row r="54250" ht="15.75" customHeight="1" spans="1:2">
      <c r="A54250" s="3" t="str">
        <f>IFERROR(__xludf.DUMMYFUNCTION("GOOGLETRANSLATE(A54250,""en"",""pt"")"),"operação simples, ótimo preço, excelente qualidade de imagem")</f>
        <v>operação simples, ótimo preço, excelente qualidade de imagem</v>
      </c>
      <c r="B54250" s="3">
        <v>1</v>
      </c>
    </row>
    <row r="54251" ht="15.75" customHeight="1" spans="1:2">
      <c r="A54251" s="3" t="str">
        <f>IFERROR(__xludf.DUMMYFUNCTION("GOOGLETRANSLATE(A54251,""en"",""pt"")"),"tamanho, fácil de aprender, fácil de usar, configurável, multi-flash e fotografia multi-quadro, curto tempo de espera entre as imagens")</f>
        <v>tamanho, fácil de aprender, fácil de usar, configurável, multi-flash e fotografia multi-quadro, curto tempo de espera entre as imagens</v>
      </c>
      <c r="B54251" s="3">
        <v>1</v>
      </c>
    </row>
    <row r="54252" ht="15.75" customHeight="1" spans="1:2">
      <c r="A54252" s="3" t="str">
        <f>IFERROR(__xludf.DUMMYFUNCTION("GOOGLETRANSLATE(A54252,""en"",""pt"")"),"Vem com tudo que você precisa, fácil de usar")</f>
        <v>Vem com tudo que você precisa, fácil de usar</v>
      </c>
      <c r="B54252" s="3">
        <v>1</v>
      </c>
    </row>
    <row r="54253" ht="15.75" customHeight="1" spans="1:2">
      <c r="A54253" s="3" t="str">
        <f>IFERROR(__xludf.DUMMYFUNCTION("GOOGLETRANSLATE(A54253,""en"",""pt"")"),"pequeno, elegante, imagem excelente e qualidade de cor, de baixo custo")</f>
        <v>pequeno, elegante, imagem excelente e qualidade de cor, de baixo custo</v>
      </c>
      <c r="B54253" s="3">
        <v>1</v>
      </c>
    </row>
    <row r="54254" ht="15.75" customHeight="1" spans="1:2">
      <c r="A54254" s="3" t="str">
        <f>IFERROR(__xludf.DUMMYFUNCTION("GOOGLETRANSLATE(A54254,""en"",""pt"")"),"Fácil de usar, pequeno, boa resolução, vem com o melhor software que já vimos")</f>
        <v>Fácil de usar, pequeno, boa resolução, vem com o melhor software que já vimos</v>
      </c>
      <c r="B54254" s="3">
        <v>1</v>
      </c>
    </row>
    <row r="54255" ht="15.75" customHeight="1" spans="1:2">
      <c r="A54255" s="3" t="str">
        <f>IFERROR(__xludf.DUMMYFUNCTION("GOOGLETRANSLATE(A54255,""en"",""pt"")"),"Fácil de usar e imagens nítidas")</f>
        <v>Fácil de usar e imagens nítidas</v>
      </c>
      <c r="B54255" s="3">
        <v>1</v>
      </c>
    </row>
    <row r="54256" ht="15.75" customHeight="1" spans="1:2">
      <c r="A54256" s="3" t="str">
        <f>IFERROR(__xludf.DUMMYFUNCTION("GOOGLETRANSLATE(A54256,""en"",""pt"")"),"modo de foto rápida explosão")</f>
        <v>modo de foto rápida explosão</v>
      </c>
      <c r="B54256" s="3">
        <v>1</v>
      </c>
    </row>
    <row r="54257" ht="15.75" customHeight="1" spans="1:2">
      <c r="A54257" s="3" t="str">
        <f>IFERROR(__xludf.DUMMYFUNCTION("GOOGLETRANSLATE(A54257,""en"",""pt"")"),"facilidade de utilização, imagens de alta qualidade, downloads rápidos via USB")</f>
        <v>facilidade de utilização, imagens de alta qualidade, downloads rápidos via USB</v>
      </c>
      <c r="B54257" s="3">
        <v>1</v>
      </c>
    </row>
    <row r="54258" ht="15.75" customHeight="1" spans="1:2">
      <c r="A54258" s="3" t="str">
        <f>IFERROR(__xludf.DUMMYFUNCTION("GOOGLETRANSLATE(A54258,""en"",""pt"")"),"baixo preço, de alta resolução, durável, nome Toshiba, siz bolso")</f>
        <v>baixo preço, de alta resolução, durável, nome Toshiba, siz bolso</v>
      </c>
      <c r="B54258" s="3">
        <v>1</v>
      </c>
    </row>
    <row r="54259" ht="15.75" customHeight="1" spans="1:2">
      <c r="A54259" s="3" t="str">
        <f>IFERROR(__xludf.DUMMYFUNCTION("GOOGLETRANSLATE(A54259,""en"",""pt"")"),"boa qualidade por um bom preço")</f>
        <v>boa qualidade por um bom preço</v>
      </c>
      <c r="B54259" s="3">
        <v>1</v>
      </c>
    </row>
    <row r="54260" ht="15.75" customHeight="1" spans="1:2">
      <c r="A54260" s="3" t="str">
        <f>IFERROR(__xludf.DUMMYFUNCTION("GOOGLETRANSLATE(A54260,""en"",""pt"")"),"Pequeno, leve")</f>
        <v>Pequeno, leve</v>
      </c>
      <c r="B54260" s="3">
        <v>1</v>
      </c>
    </row>
    <row r="54261" ht="15.75" customHeight="1" spans="1:2">
      <c r="A54261" s="3" t="str">
        <f>IFERROR(__xludf.DUMMYFUNCTION("GOOGLETRANSLATE(A54261,""en"",""pt"")"),"Facilidade de utilização, muitas características")</f>
        <v>Facilidade de utilização, muitas características</v>
      </c>
      <c r="B54261" s="3">
        <v>1</v>
      </c>
    </row>
    <row r="54262" ht="15.75" customHeight="1" spans="1:2">
      <c r="A54262" s="3" t="str">
        <f>IFERROR(__xludf.DUMMYFUNCTION("GOOGLETRANSLATE(A54262,""en"",""pt"")"),"Facilidade de uso, transferência rápida de fotos para o computador, de 2 megapixels, adaptador AC e bateria recarregável incluída")</f>
        <v>Facilidade de uso, transferência rápida de fotos para o computador, de 2 megapixels, adaptador AC e bateria recarregável incluída</v>
      </c>
      <c r="B54262" s="3">
        <v>1</v>
      </c>
    </row>
    <row r="54263" ht="15.75" customHeight="1" spans="1:2">
      <c r="A54263" s="3" t="str">
        <f>IFERROR(__xludf.DUMMYFUNCTION("GOOGLETRANSLATE(A54263,""en"",""pt"")"),"ótima câmera, ótimo preço, grandes recursos")</f>
        <v>ótima câmera, ótimo preço, grandes recursos</v>
      </c>
      <c r="B54263" s="3">
        <v>1</v>
      </c>
    </row>
    <row r="54264" ht="15.75" customHeight="1" spans="1:2">
      <c r="A54264" s="3" t="str">
        <f>IFERROR(__xludf.DUMMYFUNCTION("GOOGLETRANSLATE(A54264,""en"",""pt"")"),"Baratos, grandes fotos de qualidade")</f>
        <v>Baratos, grandes fotos de qualidade</v>
      </c>
      <c r="B54264" s="3">
        <v>1</v>
      </c>
    </row>
    <row r="54265" ht="15.75" customHeight="1" spans="1:2">
      <c r="A54265" s="3" t="str">
        <f>IFERROR(__xludf.DUMMYFUNCTION("GOOGLETRANSLATE(A54265,""en"",""pt"")"),"grandes imagens e interface de")</f>
        <v>grandes imagens e interface de</v>
      </c>
      <c r="B54265" s="3">
        <v>1</v>
      </c>
    </row>
    <row r="54266" ht="15.75" customHeight="1" spans="1:2">
      <c r="A54266" s="3" t="str">
        <f>IFERROR(__xludf.DUMMYFUNCTION("GOOGLETRANSLATE(A54266,""en"",""pt"")"),"Tamanho, qualidade, preço, facilidade de uso")</f>
        <v>Tamanho, qualidade, preço, facilidade de uso</v>
      </c>
      <c r="B54266" s="3">
        <v>1</v>
      </c>
    </row>
    <row r="54267" ht="15.75" customHeight="1" spans="1:2">
      <c r="A54267" s="3" t="str">
        <f>IFERROR(__xludf.DUMMYFUNCTION("GOOGLETRANSLATE(A54267,""en"",""pt"")"),"qualidade / velocidade de transferência de Imagem / arrancar")</f>
        <v>qualidade / velocidade de transferência de Imagem / arrancar</v>
      </c>
      <c r="B54267" s="3">
        <v>1</v>
      </c>
    </row>
    <row r="54268" ht="15.75" customHeight="1" spans="1:2">
      <c r="A54268" s="3" t="str">
        <f>IFERROR(__xludf.DUMMYFUNCTION("GOOGLETRANSLATE(A54268,""en"",""pt"")"),"poder-se rápida e simples de usar, controles fáceis.")</f>
        <v>poder-se rápida e simples de usar, controles fáceis.</v>
      </c>
      <c r="B54268" s="3">
        <v>1</v>
      </c>
    </row>
    <row r="54269" ht="15.75" customHeight="1" spans="1:2">
      <c r="A54269" s="3" t="str">
        <f>IFERROR(__xludf.DUMMYFUNCTION("GOOGLETRANSLATE(A54269,""en"",""pt"")"),"facilidade de uso, tamanho pequeno, fácil de transferir imagens para o computador.")</f>
        <v>facilidade de uso, tamanho pequeno, fácil de transferir imagens para o computador.</v>
      </c>
      <c r="B54269" s="3">
        <v>1</v>
      </c>
    </row>
    <row r="54270" ht="15.75" customHeight="1" spans="1:2">
      <c r="A54270" s="3" t="str">
        <f>IFERROR(__xludf.DUMMYFUNCTION("GOOGLETRANSLATE(A54270,""en"",""pt"")"),"fácil, cabe facilmente em uma bolsa ou alguns bolsos maiores, preço")</f>
        <v>fácil, cabe facilmente em uma bolsa ou alguns bolsos maiores, preço</v>
      </c>
      <c r="B54270" s="3">
        <v>1</v>
      </c>
    </row>
    <row r="54271" ht="15.75" customHeight="1" spans="1:2">
      <c r="A54271" s="3" t="str">
        <f>IFERROR(__xludf.DUMMYFUNCTION("GOOGLETRANSLATE(A54271,""en"",""pt"")"),"Compacto e caso resistente, Conexão USB, barato câmera de 2 megapixel")</f>
        <v>Compacto e caso resistente, Conexão USB, barato câmera de 2 megapixel</v>
      </c>
      <c r="B54271" s="3">
        <v>1</v>
      </c>
    </row>
    <row r="54272" ht="15.75" customHeight="1" spans="1:2">
      <c r="A54272" s="3" t="str">
        <f>IFERROR(__xludf.DUMMYFUNCTION("GOOGLETRANSLATE(A54272,""en"",""pt"")"),"Na câmara de recarga da bateria, a qualidade da imagem em 1600x1200, USB &amp; amp; amp; Serial, facilidade de uso.")</f>
        <v>Na câmara de recarga da bateria, a qualidade da imagem em 1600x1200, USB &amp; amp; amp; Serial, facilidade de uso.</v>
      </c>
      <c r="B54272" s="3">
        <v>1</v>
      </c>
    </row>
    <row r="54273" ht="15.75" customHeight="1" spans="1:2">
      <c r="A54273" s="3" t="str">
        <f>IFERROR(__xludf.DUMMYFUNCTION("GOOGLETRANSLATE(A54273,""en"",""pt"")"),"Pequeno, qualidade Fotos, barato, &amp; amp; amp; modular")</f>
        <v>Pequeno, qualidade Fotos, barato, &amp; amp; amp; modular</v>
      </c>
      <c r="B54273" s="3">
        <v>1</v>
      </c>
    </row>
    <row r="54274" ht="15.75" customHeight="1" spans="1:2">
      <c r="A54274" s="3" t="str">
        <f>IFERROR(__xludf.DUMMYFUNCTION("GOOGLETRANSLATE(A54274,""en"",""pt"")"),"Tamanho da câmera, tempo de carregamento da imagem, na câmera opções")</f>
        <v>Tamanho da câmera, tempo de carregamento da imagem, na câmera opções</v>
      </c>
      <c r="B54274" s="3">
        <v>1</v>
      </c>
    </row>
    <row r="54275" ht="15.75" customHeight="1" spans="1:2">
      <c r="A54275" s="3" t="str">
        <f>IFERROR(__xludf.DUMMYFUNCTION("GOOGLETRANSLATE(A54275,""en"",""pt"")"),"qualidade de imagem, tempo de inicialização, bateria recarregável de confiança, incluiu")</f>
        <v>qualidade de imagem, tempo de inicialização, bateria recarregável de confiança, incluiu</v>
      </c>
      <c r="B54275" s="3">
        <v>1</v>
      </c>
    </row>
    <row r="54276" ht="15.75" customHeight="1" spans="1:2">
      <c r="A54276" s="3" t="str">
        <f>IFERROR(__xludf.DUMMYFUNCTION("GOOGLETRANSLATE(A54276,""en"",""pt"")"),"conexão USB rápido, pode tirar &amp; amp; quot; rápida &amp; amp; quot; mover fotos, Instant Excluir")</f>
        <v>conexão USB rápido, pode tirar &amp; amp; quot; rápida &amp; amp; quot; mover fotos, Instant Excluir</v>
      </c>
      <c r="B54276" s="3">
        <v>1</v>
      </c>
    </row>
    <row r="54277" ht="15.75" customHeight="1" spans="1:2">
      <c r="A54277" s="3" t="str">
        <f>IFERROR(__xludf.DUMMYFUNCTION("GOOGLETRANSLATE(A54277,""en"",""pt"")"),"alta resolução, construído na bateria recarregável; fácil de usar")</f>
        <v>alta resolução, construído na bateria recarregável; fácil de usar</v>
      </c>
      <c r="B54277" s="3">
        <v>1</v>
      </c>
    </row>
    <row r="54278" ht="15.75" customHeight="1" spans="1:2">
      <c r="A54278" s="3" t="str">
        <f>IFERROR(__xludf.DUMMYFUNCTION("GOOGLETRANSLATE(A54278,""en"",""pt"")"),"pequeno, leve, sólido, rápido e versátil")</f>
        <v>pequeno, leve, sólido, rápido e versátil</v>
      </c>
      <c r="B54278" s="3">
        <v>1</v>
      </c>
    </row>
    <row r="54279" ht="15.75" customHeight="1" spans="1:2">
      <c r="A54279" s="3" t="str">
        <f>IFERROR(__xludf.DUMMYFUNCTION("GOOGLETRANSLATE(A54279,""en"",""pt"")"),", Quadro barato qualidade à luz do dia, 2 megpixels, rápido download")</f>
        <v>, Quadro barato qualidade à luz do dia, 2 megpixels, rápido download</v>
      </c>
      <c r="B54279" s="3">
        <v>1</v>
      </c>
    </row>
    <row r="54280" ht="15.75" customHeight="1" spans="1:2">
      <c r="A54280" s="3" t="str">
        <f>IFERROR(__xludf.DUMMYFUNCTION("GOOGLETRANSLATE(A54280,""en"",""pt"")"),"Bastante fácil configurar e usar.")</f>
        <v>Bastante fácil configurar e usar.</v>
      </c>
      <c r="B54280" s="3">
        <v>1</v>
      </c>
    </row>
    <row r="54281" ht="15.75" customHeight="1" spans="1:2">
      <c r="A54281" s="3" t="str">
        <f>IFERROR(__xludf.DUMMYFUNCTION("GOOGLETRANSLATE(A54281,""en"",""pt"")"),"Fácil de usar, bateria recarregável, modo de filme, foco automático.")</f>
        <v>Fácil de usar, bateria recarregável, modo de filme, foco automático.</v>
      </c>
      <c r="B54281" s="3">
        <v>1</v>
      </c>
    </row>
    <row r="54282" ht="15.75" customHeight="1" spans="1:2">
      <c r="A54282" s="3" t="str">
        <f>IFERROR(__xludf.DUMMYFUNCTION("GOOGLETRANSLATE(A54282,""en"",""pt"")"),"zoom, rápido, tamanho, design")</f>
        <v>zoom, rápido, tamanho, design</v>
      </c>
      <c r="B54282" s="3">
        <v>1</v>
      </c>
    </row>
    <row r="54283" ht="15.75" customHeight="1" spans="1:2">
      <c r="A54283" s="3" t="str">
        <f>IFERROR(__xludf.DUMMYFUNCTION("GOOGLETRANSLATE(A54283,""en"",""pt"")"),"usuário amigável, grandes fotos de computador, muitas opções de menu")</f>
        <v>usuário amigável, grandes fotos de computador, muitas opções de menu</v>
      </c>
      <c r="B54283" s="3">
        <v>1</v>
      </c>
    </row>
    <row r="54284" ht="15.75" customHeight="1" spans="1:2">
      <c r="A54284" s="3" t="str">
        <f>IFERROR(__xludf.DUMMYFUNCTION("GOOGLETRANSLATE(A54284,""en"",""pt"")"),"Excelente qualidade de imagem, bateria recarregável, monitor de visão")</f>
        <v>Excelente qualidade de imagem, bateria recarregável, monitor de visão</v>
      </c>
      <c r="B54284" s="3">
        <v>1</v>
      </c>
    </row>
    <row r="54285" ht="15.75" customHeight="1" spans="1:2">
      <c r="A54285" s="3" t="str">
        <f>IFERROR(__xludf.DUMMYFUNCTION("GOOGLETRANSLATE(A54285,""en"",""pt"")"),"Facilidade de uso, grande software empacotado")</f>
        <v>Facilidade de uso, grande software empacotado</v>
      </c>
      <c r="B54285" s="3">
        <v>1</v>
      </c>
    </row>
    <row r="54286" ht="15.75" customHeight="1" spans="1:2">
      <c r="A54286" s="3" t="str">
        <f>IFERROR(__xludf.DUMMYFUNCTION("GOOGLETRANSLATE(A54286,""en"",""pt"")"),"preço-fácil de usar-qualidade de imagem")</f>
        <v>preço-fácil de usar-qualidade de imagem</v>
      </c>
      <c r="B54286" s="3">
        <v>1</v>
      </c>
    </row>
    <row r="54287" ht="15.75" customHeight="1" spans="1:2">
      <c r="A54287" s="3" t="str">
        <f>IFERROR(__xludf.DUMMYFUNCTION("GOOGLETRANSLATE(A54287,""en"",""pt"")"),"Acessórios incluídos")</f>
        <v>Acessórios incluídos</v>
      </c>
      <c r="B54287" s="3">
        <v>1</v>
      </c>
    </row>
    <row r="54288" ht="15.75" customHeight="1" spans="1:2">
      <c r="A54288" s="3" t="str">
        <f>IFERROR(__xludf.DUMMYFUNCTION("GOOGLETRANSLATE(A54288,""en"",""pt"")"),"preço, 2.1 Mpixels, filmes, porta USB, memória interna,")</f>
        <v>preço, 2.1 Mpixels, filmes, porta USB, memória interna,</v>
      </c>
      <c r="B54288" s="3">
        <v>1</v>
      </c>
    </row>
    <row r="54289" ht="15.75" customHeight="1" spans="1:2">
      <c r="A54289" s="3" t="str">
        <f>IFERROR(__xludf.DUMMYFUNCTION("GOOGLETRANSLATE(A54289,""en"",""pt"")"),"bom preço, fotos decentes, muito fácil de usar")</f>
        <v>bom preço, fotos decentes, muito fácil de usar</v>
      </c>
      <c r="B54289" s="3">
        <v>1</v>
      </c>
    </row>
    <row r="54290" ht="15.75" customHeight="1" spans="1:2">
      <c r="A54290" s="3" t="str">
        <f>IFERROR(__xludf.DUMMYFUNCTION("GOOGLETRANSLATE(A54290,""en"",""pt"")"),"lotes de características, bateria extra, filmes registro pode")</f>
        <v>lotes de características, bateria extra, filmes registro pode</v>
      </c>
      <c r="B54290" s="3">
        <v>1</v>
      </c>
    </row>
    <row r="54291" ht="15.75" customHeight="1" spans="1:2">
      <c r="A54291" s="3" t="str">
        <f>IFERROR(__xludf.DUMMYFUNCTION("GOOGLETRANSLATE(A54291,""en"",""pt"")"),"Fácil de usar, fotos muito claras")</f>
        <v>Fácil de usar, fotos muito claras</v>
      </c>
      <c r="B54291" s="3">
        <v>1</v>
      </c>
    </row>
    <row r="54292" ht="15.75" customHeight="1" spans="1:2">
      <c r="A54292" s="3" t="str">
        <f>IFERROR(__xludf.DUMMYFUNCTION("GOOGLETRANSLATE(A54292,""en"",""pt"")"),"Fácil de usar &amp; amp; amp; impressionante imagens nítidas")</f>
        <v>Fácil de usar &amp; amp; amp; impressionante imagens nítidas</v>
      </c>
      <c r="B54292" s="3">
        <v>1</v>
      </c>
    </row>
    <row r="54293" ht="15.75" customHeight="1" spans="1:2">
      <c r="A54293" s="3" t="str">
        <f>IFERROR(__xludf.DUMMYFUNCTION("GOOGLETRANSLATE(A54293,""en"",""pt"")"),"peso leve, bom software.")</f>
        <v>peso leve, bom software.</v>
      </c>
      <c r="B54293" s="3">
        <v>1</v>
      </c>
    </row>
    <row r="54294" ht="15.75" customHeight="1" spans="1:2">
      <c r="A54294" s="3" t="str">
        <f>IFERROR(__xludf.DUMMYFUNCTION("GOOGLETRANSLATE(A54294,""en"",""pt"")"),"Download USB, muitos grandes recursos, fácil de operar, divertido")</f>
        <v>Download USB, muitos grandes recursos, fácil de operar, divertido</v>
      </c>
      <c r="B54294" s="3">
        <v>1</v>
      </c>
    </row>
    <row r="54295" ht="15.75" customHeight="1" spans="1:2">
      <c r="A54295" s="3" t="str">
        <f>IFERROR(__xludf.DUMMYFUNCTION("GOOGLETRANSLATE(A54295,""en"",""pt"")"),"bom valor .... sensação agradável .... versátil")</f>
        <v>bom valor .... sensação agradável .... versátil</v>
      </c>
      <c r="B54295" s="3">
        <v>1</v>
      </c>
    </row>
    <row r="54296" ht="15.75" customHeight="1" spans="1:2">
      <c r="A54296" s="3" t="str">
        <f>IFERROR(__xludf.DUMMYFUNCTION("GOOGLETRANSLATE(A54296,""en"",""pt"")"),"Quase tão rápido quanto filme, imagens de alta qualidade, fácil de usar software empacotado, forte construção durável, mais barato do que as câmeras comparáveis, marca Toshiba, e zoom da lente.")</f>
        <v>Quase tão rápido quanto filme, imagens de alta qualidade, fácil de usar software empacotado, forte construção durável, mais barato do que as câmeras comparáveis, marca Toshiba, e zoom da lente.</v>
      </c>
      <c r="B54296" s="3">
        <v>1</v>
      </c>
    </row>
    <row r="54297" ht="15.75" customHeight="1" spans="1:2">
      <c r="A54297" s="3" t="str">
        <f>IFERROR(__xludf.DUMMYFUNCTION("GOOGLETRANSLATE(A54297,""en"",""pt"")"),"imagens de alta qualidade, fácil de usar software")</f>
        <v>imagens de alta qualidade, fácil de usar software</v>
      </c>
      <c r="B54297" s="3">
        <v>1</v>
      </c>
    </row>
    <row r="54298" ht="15.75" customHeight="1" spans="1:2">
      <c r="A54298" s="3" t="str">
        <f>IFERROR(__xludf.DUMMYFUNCTION("GOOGLETRANSLATE(A54298,""en"",""pt"")"),"design elegante, acessórios, correio-in rebate")</f>
        <v>design elegante, acessórios, correio-in rebate</v>
      </c>
      <c r="B54298" s="3">
        <v>1</v>
      </c>
    </row>
    <row r="54299" ht="15.75" customHeight="1" spans="1:2">
      <c r="A54299" s="3" t="str">
        <f>IFERROR(__xludf.DUMMYFUNCTION("GOOGLETRANSLATE(A54299,""en"",""pt"")"),"easy-to-use, software de manipulação de imagem inteligente, imagens de boa qualidade")</f>
        <v>easy-to-use, software de manipulação de imagem inteligente, imagens de boa qualidade</v>
      </c>
      <c r="B54299" s="3">
        <v>1</v>
      </c>
    </row>
    <row r="54300" ht="15.75" customHeight="1" spans="1:2">
      <c r="A54300" s="3" t="str">
        <f>IFERROR(__xludf.DUMMYFUNCTION("GOOGLETRANSLATE(A54300,""en"",""pt"")"),"grande saída, facilidade de uso, preço justo")</f>
        <v>grande saída, facilidade de uso, preço justo</v>
      </c>
      <c r="B54300" s="3">
        <v>1</v>
      </c>
    </row>
    <row r="54301" ht="15.75" customHeight="1" spans="1:2">
      <c r="A54301" s="3" t="str">
        <f>IFERROR(__xludf.DUMMYFUNCTION("GOOGLETRANSLATE(A54301,""en"",""pt"")"),"valor imbatível")</f>
        <v>valor imbatível</v>
      </c>
      <c r="B54301" s="3">
        <v>1</v>
      </c>
    </row>
    <row r="54302" ht="15.75" customHeight="1" spans="1:2">
      <c r="A54302" s="3" t="str">
        <f>IFERROR(__xludf.DUMMYFUNCTION("GOOGLETRANSLATE(A54302,""en"",""pt"")"),"Boa resolução, grande zoom, fácil de usar, conexão USB, ótimo preço, capacidade de filme")</f>
        <v>Boa resolução, grande zoom, fácil de usar, conexão USB, ótimo preço, capacidade de filme</v>
      </c>
      <c r="B54302" s="3">
        <v>1</v>
      </c>
    </row>
    <row r="54303" ht="15.75" customHeight="1" spans="1:2">
      <c r="A54303" s="3" t="str">
        <f>IFERROR(__xludf.DUMMYFUNCTION("GOOGLETRANSLATE(A54303,""en"",""pt"")"),"facilidade de uso, qualidade de luz natural foto")</f>
        <v>facilidade de uso, qualidade de luz natural foto</v>
      </c>
      <c r="B54303" s="3">
        <v>1</v>
      </c>
    </row>
    <row r="54304" ht="15.75" customHeight="1" spans="1:2">
      <c r="A54304" s="3" t="str">
        <f>IFERROR(__xludf.DUMMYFUNCTION("GOOGLETRANSLATE(A54304,""en"",""pt"")"),"Fácil de usar.")</f>
        <v>Fácil de usar.</v>
      </c>
      <c r="B54304" s="3">
        <v>1</v>
      </c>
    </row>
    <row r="54305" ht="15.75" customHeight="1" spans="1:2">
      <c r="A54305" s="3" t="str">
        <f>IFERROR(__xludf.DUMMYFUNCTION("GOOGLETRANSLATE(A54305,""en"",""pt"")"),"zoom óptico, flash integrado")</f>
        <v>zoom óptico, flash integrado</v>
      </c>
      <c r="B54305" s="3">
        <v>1</v>
      </c>
    </row>
    <row r="54306" ht="15.75" customHeight="1" spans="1:2">
      <c r="A54306" s="3" t="str">
        <f>IFERROR(__xludf.DUMMYFUNCTION("GOOGLETRANSLATE(A54306,""en"",""pt"")"),"Boas fotos, fácil de usar")</f>
        <v>Boas fotos, fácil de usar</v>
      </c>
      <c r="B54306" s="3">
        <v>1</v>
      </c>
    </row>
    <row r="54307" ht="15.75" customHeight="1" spans="1:2">
      <c r="A54307" s="3" t="str">
        <f>IFERROR(__xludf.DUMMYFUNCTION("GOOGLETRANSLATE(A54307,""en"",""pt"")"),"Fácil de usar, boa qualidade")</f>
        <v>Fácil de usar, boa qualidade</v>
      </c>
      <c r="B54307" s="3">
        <v>1</v>
      </c>
    </row>
    <row r="54308" ht="15.75" customHeight="1" spans="1:2">
      <c r="A54308" s="3" t="str">
        <f>IFERROR(__xludf.DUMMYFUNCTION("GOOGLETRANSLATE(A54308,""en"",""pt"")"),"boas fotos, fácil de usar")</f>
        <v>boas fotos, fácil de usar</v>
      </c>
      <c r="B54308" s="3">
        <v>1</v>
      </c>
    </row>
    <row r="54309" ht="15.75" customHeight="1" spans="1:2">
      <c r="A54309" s="3" t="str">
        <f>IFERROR(__xludf.DUMMYFUNCTION("GOOGLETRANSLATE(A54309,""en"",""pt"")"),"De alta qualidade, o movimento de gravação completa MPEG, várias seleções de pixels foto bateria recarregável, super-forte")</f>
        <v>De alta qualidade, o movimento de gravação completa MPEG, várias seleções de pixels foto bateria recarregável, super-forte</v>
      </c>
      <c r="B54309" s="3">
        <v>1</v>
      </c>
    </row>
    <row r="54310" ht="15.75" customHeight="1" spans="1:2">
      <c r="A54310" s="3" t="str">
        <f>IFERROR(__xludf.DUMMYFUNCTION("GOOGLETRANSLATE(A54310,""en"",""pt"")"),"USB, bateria recarregável, ecrã LCD, faz vídeos curtos, grande software")</f>
        <v>USB, bateria recarregável, ecrã LCD, faz vídeos curtos, grande software</v>
      </c>
      <c r="B54310" s="3">
        <v>1</v>
      </c>
    </row>
    <row r="54311" ht="15.75" customHeight="1" spans="1:2">
      <c r="A54311" s="3" t="str">
        <f>IFERROR(__xludf.DUMMYFUNCTION("GOOGLETRANSLATE(A54311,""en"",""pt"")"),"Ótima câmera, meios baratos, imagens agradáveis, opções poderosas.")</f>
        <v>Ótima câmera, meios baratos, imagens agradáveis, opções poderosas.</v>
      </c>
      <c r="B54311" s="3">
        <v>1</v>
      </c>
    </row>
    <row r="54312" ht="15.75" customHeight="1" spans="1:2">
      <c r="A54312" s="3" t="str">
        <f>IFERROR(__xludf.DUMMYFUNCTION("GOOGLETRANSLATE(A54312,""en"",""pt"")"),"Menos câmera 2.3Mp caro disponível")</f>
        <v>Menos câmera 2.3Mp caro disponível</v>
      </c>
      <c r="B54312" s="3">
        <v>1</v>
      </c>
    </row>
    <row r="54313" ht="15.75" customHeight="1" spans="1:2">
      <c r="A54313" s="3" t="str">
        <f>IFERROR(__xludf.DUMMYFUNCTION("GOOGLETRANSLATE(A54313,""en"",""pt"")"),"excelente qualidade de imagem")</f>
        <v>excelente qualidade de imagem</v>
      </c>
      <c r="B54313" s="3">
        <v>1</v>
      </c>
    </row>
    <row r="54314" ht="15.75" customHeight="1" spans="1:2">
      <c r="A54314" s="3" t="str">
        <f>IFERROR(__xludf.DUMMYFUNCTION("GOOGLETRANSLATE(A54314,""en"",""pt"")"),"Decente qualidade de imagem, barato, USB, suporte 128 MB SmartMedia, LCD clara")</f>
        <v>Decente qualidade de imagem, barato, USB, suporte 128 MB SmartMedia, LCD clara</v>
      </c>
      <c r="B54314" s="3">
        <v>1</v>
      </c>
    </row>
    <row r="54315" ht="15.75" customHeight="1" spans="1:2">
      <c r="A54315" s="3" t="str">
        <f>IFERROR(__xludf.DUMMYFUNCTION("GOOGLETRANSLATE(A54315,""en"",""pt"")"),"Boa qualidade de imagem")</f>
        <v>Boa qualidade de imagem</v>
      </c>
      <c r="B54315" s="3">
        <v>1</v>
      </c>
    </row>
    <row r="54316" ht="15.75" customHeight="1" spans="1:2">
      <c r="A54316" s="3" t="str">
        <f>IFERROR(__xludf.DUMMYFUNCTION("GOOGLETRANSLATE(A54316,""en"",""pt"")"),"Fácil de operar, de boa qualidade fotos ao ar livre, deslizando a tampa da lente")</f>
        <v>Fácil de operar, de boa qualidade fotos ao ar livre, deslizando a tampa da lente</v>
      </c>
      <c r="B54316" s="3">
        <v>1</v>
      </c>
    </row>
    <row r="54317" ht="15.75" customHeight="1" spans="1:2">
      <c r="A54317" s="3" t="str">
        <f>IFERROR(__xludf.DUMMYFUNCTION("GOOGLETRANSLATE(A54317,""en"",""pt"")"),"Baixo custo, fácil de usar Macro Mode, menus simples")</f>
        <v>Baixo custo, fácil de usar Macro Mode, menus simples</v>
      </c>
      <c r="B54317" s="3">
        <v>1</v>
      </c>
    </row>
    <row r="54318" ht="15.75" customHeight="1" spans="1:2">
      <c r="A54318" s="3" t="str">
        <f>IFERROR(__xludf.DUMMYFUNCTION("GOOGLETRANSLATE(A54318,""en"",""pt"")"),"cores vívidas afiadas, o uso fácil")</f>
        <v>cores vívidas afiadas, o uso fácil</v>
      </c>
      <c r="B54318" s="3">
        <v>1</v>
      </c>
    </row>
    <row r="54319" ht="15.75" customHeight="1" spans="1:2">
      <c r="A54319" s="3" t="str">
        <f>IFERROR(__xludf.DUMMYFUNCTION("GOOGLETRANSLATE(A54319,""en"",""pt"")"),"Grandes pics, facilidade de uso, bom preço")</f>
        <v>Grandes pics, facilidade de uso, bom preço</v>
      </c>
      <c r="B54319" s="3">
        <v>1</v>
      </c>
    </row>
    <row r="54320" ht="15.75" customHeight="1" spans="1:2">
      <c r="A54320" s="3" t="str">
        <f>IFERROR(__xludf.DUMMYFUNCTION("GOOGLETRANSLATE(A54320,""en"",""pt"")"),"Sem todos os problemas, é muito fácil de usar")</f>
        <v>Sem todos os problemas, é muito fácil de usar</v>
      </c>
      <c r="B54320" s="3">
        <v>1</v>
      </c>
    </row>
    <row r="54321" ht="15.75" customHeight="1" spans="1:2">
      <c r="A54321" s="3" t="str">
        <f>IFERROR(__xludf.DUMMYFUNCTION("GOOGLETRANSLATE(A54321,""en"",""pt"")"),"Vai deixar você saber como o paciente estiver")</f>
        <v>Vai deixar você saber como o paciente estiver</v>
      </c>
      <c r="B54321" s="3">
        <v>1</v>
      </c>
    </row>
    <row r="54322" ht="15.75" customHeight="1" spans="1:2">
      <c r="A54322" s="3" t="str">
        <f>IFERROR(__xludf.DUMMYFUNCTION("GOOGLETRANSLATE(A54322,""en"",""pt"")"),"Funções rápida de imagem, facilidade de uso")</f>
        <v>Funções rápida de imagem, facilidade de uso</v>
      </c>
      <c r="B54322" s="3">
        <v>1</v>
      </c>
    </row>
    <row r="54323" ht="15.75" customHeight="1" spans="1:2">
      <c r="A54323" s="3" t="s">
        <v>288</v>
      </c>
      <c r="B54323" s="3">
        <v>1</v>
      </c>
    </row>
    <row r="54324" ht="15.75" customHeight="1" spans="1:2">
      <c r="A54324" s="3" t="str">
        <f>IFERROR(__xludf.DUMMYFUNCTION("GOOGLETRANSLATE(A54324,""en"",""pt"")"),"boas características, aparência, preço")</f>
        <v>boas características, aparência, preço</v>
      </c>
      <c r="B54324" s="3">
        <v>1</v>
      </c>
    </row>
    <row r="54325" ht="15.75" customHeight="1" spans="1:2">
      <c r="A54325" s="3" t="str">
        <f>IFERROR(__xludf.DUMMYFUNCTION("GOOGLETRANSLATE(A54325,""en"",""pt"")"),"Fácil de usar")</f>
        <v>Fácil de usar</v>
      </c>
      <c r="B54325" s="3">
        <v>1</v>
      </c>
    </row>
    <row r="54326" ht="15.75" customHeight="1" spans="1:2">
      <c r="A54326" s="3" t="str">
        <f>IFERROR(__xludf.DUMMYFUNCTION("GOOGLETRANSLATE(A54326,""en"",""pt"")"),"Excelente qualidade de imagem, grandes opções, preço fantástico relação qualidade /")</f>
        <v>Excelente qualidade de imagem, grandes opções, preço fantástico relação qualidade /</v>
      </c>
      <c r="B54326" s="3">
        <v>1</v>
      </c>
    </row>
    <row r="54327" ht="15.75" customHeight="1" spans="1:2">
      <c r="A54327" s="3" t="str">
        <f>IFERROR(__xludf.DUMMYFUNCTION("GOOGLETRANSLATE(A54327,""en"",""pt"")"),"Bom, fácil de usar")</f>
        <v>Bom, fácil de usar</v>
      </c>
      <c r="B54327" s="3">
        <v>1</v>
      </c>
    </row>
    <row r="54328" ht="15.75" customHeight="1" spans="1:2">
      <c r="A54328" s="3" t="str">
        <f>IFERROR(__xludf.DUMMYFUNCTION("GOOGLETRANSLATE(A54328,""en"",""pt"")"),"Baixo custo, boas especificações para o dinheiro.")</f>
        <v>Baixo custo, boas especificações para o dinheiro.</v>
      </c>
      <c r="B54328" s="3">
        <v>1</v>
      </c>
    </row>
    <row r="54329" ht="15.75" customHeight="1" spans="1:2">
      <c r="A54329" s="3" t="str">
        <f>IFERROR(__xludf.DUMMYFUNCTION("GOOGLETRANSLATE(A54329,""en"",""pt"")"),"Excelente qualidade, opções e facilidade de uso com um bom preço.")</f>
        <v>Excelente qualidade, opções e facilidade de uso com um bom preço.</v>
      </c>
      <c r="B54329" s="3">
        <v>1</v>
      </c>
    </row>
    <row r="54330" ht="15.75" customHeight="1" spans="1:2">
      <c r="A54330" s="3" t="str">
        <f>IFERROR(__xludf.DUMMYFUNCTION("GOOGLETRANSLATE(A54330,""en"",""pt"")"),"Excelente qualidade, facilidade de uso")</f>
        <v>Excelente qualidade, facilidade de uso</v>
      </c>
      <c r="B54330" s="3">
        <v>1</v>
      </c>
    </row>
    <row r="54331" ht="15.75" customHeight="1" spans="1:2">
      <c r="A54331" s="3" t="str">
        <f>IFERROR(__xludf.DUMMYFUNCTION("GOOGLETRANSLATE(A54331,""en"",""pt"")"),"Excelente qualidade de imagem")</f>
        <v>Excelente qualidade de imagem</v>
      </c>
      <c r="B54331" s="3">
        <v>1</v>
      </c>
    </row>
    <row r="54332" ht="15.75" customHeight="1" spans="1:2">
      <c r="A54332" s="3" t="str">
        <f>IFERROR(__xludf.DUMMYFUNCTION("GOOGLETRANSLATE(A54332,""en"",""pt"")"),"Ótimas fotos")</f>
        <v>Ótimas fotos</v>
      </c>
      <c r="B54332" s="3">
        <v>1</v>
      </c>
    </row>
    <row r="54333" ht="15.75" customHeight="1" spans="1:2">
      <c r="A54333" s="3" t="str">
        <f>IFERROR(__xludf.DUMMYFUNCTION("GOOGLETRANSLATE(A54333,""en"",""pt"")"),"Grandes Fotos - Terrific Preço")</f>
        <v>Grandes Fotos - Terrific Preço</v>
      </c>
      <c r="B54333" s="3">
        <v>1</v>
      </c>
    </row>
    <row r="54334" ht="15.75" customHeight="1" spans="1:2">
      <c r="A54334" s="3" t="str">
        <f>IFERROR(__xludf.DUMMYFUNCTION("GOOGLETRANSLATE(A54334,""en"",""pt"")"),"excelente qualidade de imagem, baixo preço")</f>
        <v>excelente qualidade de imagem, baixo preço</v>
      </c>
      <c r="B54334" s="3">
        <v>1</v>
      </c>
    </row>
    <row r="54335" ht="15.75" customHeight="1" spans="1:2">
      <c r="A54335" s="3" t="str">
        <f>IFERROR(__xludf.DUMMYFUNCTION("GOOGLETRANSLATE(A54335,""en"",""pt"")"),"qualidade de imagem surpreendente")</f>
        <v>qualidade de imagem surpreendente</v>
      </c>
      <c r="B54335" s="3">
        <v>1</v>
      </c>
    </row>
    <row r="54336" ht="15.75" customHeight="1" spans="1:2">
      <c r="A54336" s="3" t="str">
        <f>IFERROR(__xludf.DUMMYFUNCTION("GOOGLETRANSLATE(A54336,""en"",""pt"")"),"leve, ergonômico, excelente qualidade de imagem, usa cartão de memória de mídia inteligente")</f>
        <v>leve, ergonômico, excelente qualidade de imagem, usa cartão de memória de mídia inteligente</v>
      </c>
      <c r="B54336" s="3">
        <v>1</v>
      </c>
    </row>
    <row r="54337" ht="15.75" customHeight="1" spans="1:2">
      <c r="A54337" s="3" t="str">
        <f>IFERROR(__xludf.DUMMYFUNCTION("GOOGLETRANSLATE(A54337,""en"",""pt"")"),"Excelente qualidade de imagem, fácil de usar")</f>
        <v>Excelente qualidade de imagem, fácil de usar</v>
      </c>
      <c r="B54337" s="3">
        <v>1</v>
      </c>
    </row>
    <row r="54338" ht="15.75" customHeight="1" spans="1:2">
      <c r="A54338" s="3" t="str">
        <f>IFERROR(__xludf.DUMMYFUNCTION("GOOGLETRANSLATE(A54338,""en"",""pt"")"),"Barato, menos de US $ 425,00. Excelente qualidade, recursos abundantes, extremamente conveniente, rápido, bom software. &amp; Amp; # 13; &amp; amp; # 10; &amp; amp; # 13; &amp; amp; # 10; &amp; amp; # 13; &amp; amp; # 10; &amp; amp; # 13; &amp; amp; # 10; &amp; amp; # 13; &amp; amp; # 10; &amp; amp"&amp;"; # 13; &amp; amp; # 10; &amp; amp; # 13; &amp; amp; # 10; &amp; amp; # 13; &amp; amp; # 10;")</f>
        <v>Barato, menos de US $ 425,00. Excelente qualidade, recursos abundantes, extremamente conveniente, rápido, bom software. &amp; Amp; # 13; &amp; amp; # 10; &amp; amp; # 13; &amp; amp; # 10; &amp; amp; # 13; &amp; amp; # 10; &amp; amp; # 13; &amp; amp; # 10; &amp; amp; # 13; &amp; amp; # 10; &amp; amp; # 13; &amp; amp; # 10; &amp; amp; # 13; &amp; amp; # 10; &amp; amp; # 13; &amp; amp; # 10;</v>
      </c>
      <c r="B54338" s="3">
        <v>1</v>
      </c>
    </row>
    <row r="54339" ht="15.75" customHeight="1" spans="1:2">
      <c r="A54339" s="3" t="str">
        <f>IFERROR(__xludf.DUMMYFUNCTION("GOOGLETRANSLATE(A54339,""en"",""pt"")"),"Qualidade de imagem, recursos de conectividade USB, acessórios incluídos")</f>
        <v>Qualidade de imagem, recursos de conectividade USB, acessórios incluídos</v>
      </c>
      <c r="B54339" s="3">
        <v>1</v>
      </c>
    </row>
    <row r="54340" ht="15.75" customHeight="1" spans="1:2">
      <c r="A54340" s="3" t="str">
        <f>IFERROR(__xludf.DUMMYFUNCTION("GOOGLETRANSLATE(A54340,""en"",""pt"")"),"Qualidade de imagem, pacote completo, facilidade de uso")</f>
        <v>Qualidade de imagem, pacote completo, facilidade de uso</v>
      </c>
      <c r="B54340" s="3">
        <v>1</v>
      </c>
    </row>
    <row r="54341" ht="15.75" customHeight="1" spans="1:2">
      <c r="A54341" s="3" t="str">
        <f>IFERROR(__xludf.DUMMYFUNCTION("GOOGLETRANSLATE(A54341,""en"",""pt"")"),"Facilidade de uso, óptica, cheio lógica + temporizador + obturador + som + vídeo")</f>
        <v>Facilidade de uso, óptica, cheio lógica + temporizador + obturador + som + vídeo</v>
      </c>
      <c r="B54341" s="3">
        <v>1</v>
      </c>
    </row>
    <row r="54342" ht="15.75" customHeight="1" spans="1:2">
      <c r="A54342" s="3" t="str">
        <f>IFERROR(__xludf.DUMMYFUNCTION("GOOGLETRANSLATE(A54342,""en"",""pt"")"),"Uma câmera resistente que tomou uma surra real a partir de mim.")</f>
        <v>Uma câmera resistente que tomou uma surra real a partir de mim.</v>
      </c>
      <c r="B54342" s="3">
        <v>1</v>
      </c>
    </row>
    <row r="54343" ht="15.75" customHeight="1" spans="1:2">
      <c r="A54343" s="3" t="str">
        <f>IFERROR(__xludf.DUMMYFUNCTION("GOOGLETRANSLATE(A54343,""en"",""pt"")"),"qualidade de imagem, som w vídeo")</f>
        <v>qualidade de imagem, som w vídeo</v>
      </c>
      <c r="B54343" s="3">
        <v>1</v>
      </c>
    </row>
    <row r="54344" ht="15.75" customHeight="1" spans="1:2">
      <c r="A54344" s="3" t="str">
        <f>IFERROR(__xludf.DUMMYFUNCTION("GOOGLETRANSLATE(A54344,""en"",""pt"")"),"Grandes Imagens e Flexibilidade")</f>
        <v>Grandes Imagens e Flexibilidade</v>
      </c>
      <c r="B54344" s="3">
        <v>1</v>
      </c>
    </row>
    <row r="54345" ht="15.75" customHeight="1" spans="1:2">
      <c r="A54345" s="3" t="str">
        <f>IFERROR(__xludf.DUMMYFUNCTION("GOOGLETRANSLATE(A54345,""en"",""pt"")"),"Características, Preço, Flexibilidade, foto rápida tomada")</f>
        <v>Características, Preço, Flexibilidade, foto rápida tomada</v>
      </c>
      <c r="B54345" s="3">
        <v>1</v>
      </c>
    </row>
    <row r="54346" ht="15.75" customHeight="1" spans="1:2">
      <c r="A54346" s="3" t="str">
        <f>IFERROR(__xludf.DUMMYFUNCTION("GOOGLETRANSLATE(A54346,""en"",""pt"")"),"Fácil de usar, imagens de excelente qualidade")</f>
        <v>Fácil de usar, imagens de excelente qualidade</v>
      </c>
      <c r="B54346" s="3">
        <v>1</v>
      </c>
    </row>
    <row r="54347" ht="15.75" customHeight="1" spans="1:2">
      <c r="A54347" s="3" t="str">
        <f>IFERROR(__xludf.DUMMYFUNCTION("GOOGLETRANSLATE(A54347,""en"",""pt"")"),"Grandes fotos, fácil de usar, bom preço")</f>
        <v>Grandes fotos, fácil de usar, bom preço</v>
      </c>
      <c r="B54347" s="3">
        <v>1</v>
      </c>
    </row>
    <row r="54348" ht="15.75" customHeight="1" spans="1:2">
      <c r="A54348" s="3" t="str">
        <f>IFERROR(__xludf.DUMMYFUNCTION("GOOGLETRANSLATE(A54348,""en"",""pt"")"),"porta de sincronização do flash padrão e controles manuais completos!")</f>
        <v>porta de sincronização do flash padrão e controles manuais completos!</v>
      </c>
      <c r="B54348" s="3">
        <v>1</v>
      </c>
    </row>
    <row r="54349" ht="15.75" customHeight="1" spans="1:2">
      <c r="A54349" s="3" t="str">
        <f>IFERROR(__xludf.DUMMYFUNCTION("GOOGLETRANSLATE(A54349,""en"",""pt"")"),"sistema de grande AVI")</f>
        <v>sistema de grande AVI</v>
      </c>
      <c r="B54349" s="3">
        <v>1</v>
      </c>
    </row>
    <row r="54350" ht="15.75" customHeight="1" spans="1:2">
      <c r="A54350" s="3" t="str">
        <f>IFERROR(__xludf.DUMMYFUNCTION("GOOGLETRANSLATE(A54350,""en"",""pt"")"),"excelentes imagens, mesmo com pouca luz, rápido")</f>
        <v>excelentes imagens, mesmo com pouca luz, rápido</v>
      </c>
      <c r="B54350" s="3">
        <v>1</v>
      </c>
    </row>
    <row r="54351" ht="15.75" customHeight="1" spans="1:2">
      <c r="A54351" s="3" t="str">
        <f>IFERROR(__xludf.DUMMYFUNCTION("GOOGLETRANSLATE(A54351,""en"",""pt"")"),"Fácil de usar. Rápido. Lindo")</f>
        <v>Fácil de usar. Rápido. Lindo</v>
      </c>
      <c r="B54351" s="3">
        <v>1</v>
      </c>
    </row>
    <row r="54352" ht="15.75" customHeight="1" spans="1:2">
      <c r="A54352" s="3" t="str">
        <f>IFERROR(__xludf.DUMMYFUNCTION("GOOGLETRANSLATE(A54352,""en"",""pt"")"),"Facilidade de utilização, Crisp Pictures")</f>
        <v>Facilidade de utilização, Crisp Pictures</v>
      </c>
      <c r="B54352" s="3">
        <v>1</v>
      </c>
    </row>
    <row r="54353" ht="15.75" customHeight="1" spans="1:2">
      <c r="A54353" s="3" t="str">
        <f>IFERROR(__xludf.DUMMYFUNCTION("GOOGLETRANSLATE(A54353,""en"",""pt"")"),"Barato, câmera combinação / câmara de vídeo, software")</f>
        <v>Barato, câmera combinação / câmara de vídeo, software</v>
      </c>
      <c r="B54353" s="3">
        <v>1</v>
      </c>
    </row>
    <row r="54354" ht="15.75" customHeight="1" spans="1:2">
      <c r="A54354" s="3" t="str">
        <f>IFERROR(__xludf.DUMMYFUNCTION("GOOGLETRANSLATE(A54354,""en"",""pt"")"),"Excelente qualidade de cor, alta classificação pixel, faz filmes e muito mais!")</f>
        <v>Excelente qualidade de cor, alta classificação pixel, faz filmes e muito mais!</v>
      </c>
      <c r="B54354" s="3">
        <v>1</v>
      </c>
    </row>
    <row r="54355" ht="15.75" customHeight="1" spans="1:2">
      <c r="A54355" s="3" t="str">
        <f>IFERROR(__xludf.DUMMYFUNCTION("GOOGLETRANSLATE(A54355,""en"",""pt"")"),"Muitos modos de programa, recursos de cinema e animação")</f>
        <v>Muitos modos de programa, recursos de cinema e animação</v>
      </c>
      <c r="B54355" s="3">
        <v>1</v>
      </c>
    </row>
    <row r="54356" ht="15.75" customHeight="1" spans="1:2">
      <c r="A54356" s="3" t="str">
        <f>IFERROR(__xludf.DUMMYFUNCTION("GOOGLETRANSLATE(A54356,""en"",""pt"")"),"Menu dirigido, Sony CCD, lente Cannon, fácil conexão para computador, gravação de voz, filmes")</f>
        <v>Menu dirigido, Sony CCD, lente Cannon, fácil conexão para computador, gravação de voz, filmes</v>
      </c>
      <c r="B54356" s="3">
        <v>1</v>
      </c>
    </row>
    <row r="54357" ht="15.75" customHeight="1" spans="1:2">
      <c r="A54357" s="3" t="str">
        <f>IFERROR(__xludf.DUMMYFUNCTION("GOOGLETRANSLATE(A54357,""en"",""pt"")"),"A grande imagem, ótimas opções")</f>
        <v>A grande imagem, ótimas opções</v>
      </c>
      <c r="B54357" s="3">
        <v>1</v>
      </c>
    </row>
    <row r="54358" ht="15.75" customHeight="1" spans="1:2">
      <c r="A54358" s="3" t="str">
        <f>IFERROR(__xludf.DUMMYFUNCTION("GOOGLETRANSLATE(A54358,""en"",""pt"")"),"EXCELENTE QUALIDADE, fácil de usar, Imagens bonitas")</f>
        <v>EXCELENTE QUALIDADE, fácil de usar, Imagens bonitas</v>
      </c>
      <c r="B54358" s="3">
        <v>1</v>
      </c>
    </row>
    <row r="54359" ht="15.75" customHeight="1" spans="1:2">
      <c r="A54359" s="3" t="str">
        <f>IFERROR(__xludf.DUMMYFUNCTION("GOOGLETRANSLATE(A54359,""en"",""pt"")"),"qualidade geral")</f>
        <v>qualidade geral</v>
      </c>
      <c r="B54359" s="3">
        <v>1</v>
      </c>
    </row>
    <row r="54360" ht="15.75" customHeight="1" spans="1:2">
      <c r="A54360" s="3" t="str">
        <f>IFERROR(__xludf.DUMMYFUNCTION("GOOGLETRANSLATE(A54360,""en"",""pt"")"),"tempo rápido para a primeira fotografia; Boa qualidade de imagem; small &amp; amp; luz.")</f>
        <v>tempo rápido para a primeira fotografia; Boa qualidade de imagem; small &amp; amp; luz.</v>
      </c>
      <c r="B54360" s="3">
        <v>1</v>
      </c>
    </row>
    <row r="54361" ht="15.75" customHeight="1" spans="1:2">
      <c r="A54361" s="3" t="str">
        <f>IFERROR(__xludf.DUMMYFUNCTION("GOOGLETRANSLATE(A54361,""en"",""pt"")"),"Preço baixo. tamanho conveniente e forma.")</f>
        <v>Preço baixo. tamanho conveniente e forma.</v>
      </c>
      <c r="B54361" s="3">
        <v>1</v>
      </c>
    </row>
    <row r="54362" ht="15.75" customHeight="1" spans="1:2">
      <c r="A54362" s="3" t="str">
        <f>IFERROR(__xludf.DUMMYFUNCTION("GOOGLETRANSLATE(A54362,""en"",""pt"")"),"É barato, fácil conectividade USB, compacto e muito portátil.")</f>
        <v>É barato, fácil conectividade USB, compacto e muito portátil.</v>
      </c>
      <c r="B54362" s="3">
        <v>1</v>
      </c>
    </row>
    <row r="54363" ht="15.75" customHeight="1" spans="1:2">
      <c r="A54363" s="3" t="str">
        <f>IFERROR(__xludf.DUMMYFUNCTION("GOOGLETRANSLATE(A54363,""en"",""pt"")"),"barato, simples, bom pacote de software")</f>
        <v>barato, simples, bom pacote de software</v>
      </c>
      <c r="B54363" s="3">
        <v>1</v>
      </c>
    </row>
    <row r="54364" ht="15.75" customHeight="1" spans="1:2">
      <c r="A54364" s="3" t="str">
        <f>IFERROR(__xludf.DUMMYFUNCTION("GOOGLETRANSLATE(A54364,""en"",""pt"")"),"Boa cor, menor preço megapixels")</f>
        <v>Boa cor, menor preço megapixels</v>
      </c>
      <c r="B54364" s="3">
        <v>1</v>
      </c>
    </row>
    <row r="54365" ht="15.75" customHeight="1" spans="1:2">
      <c r="A54365" s="3" t="str">
        <f>IFERROR(__xludf.DUMMYFUNCTION("GOOGLETRANSLATE(A54365,""en"",""pt"")"),"Fácil de usar")</f>
        <v>Fácil de usar</v>
      </c>
      <c r="B54365" s="3">
        <v>1</v>
      </c>
    </row>
    <row r="54366" ht="15.75" customHeight="1" spans="1:2">
      <c r="A54366" s="3" t="str">
        <f>IFERROR(__xludf.DUMMYFUNCTION("GOOGLETRANSLATE(A54366,""en"",""pt"")"),"Fácil de usar")</f>
        <v>Fácil de usar</v>
      </c>
      <c r="B54366" s="3">
        <v>1</v>
      </c>
    </row>
    <row r="54367" ht="15.75" customHeight="1" spans="1:2">
      <c r="A54367" s="3" t="str">
        <f>IFERROR(__xludf.DUMMYFUNCTION("GOOGLETRANSLATE(A54367,""en"",""pt"")"),"divertido e fácil")</f>
        <v>divertido e fácil</v>
      </c>
      <c r="B54367" s="3">
        <v>1</v>
      </c>
    </row>
    <row r="54368" ht="15.75" customHeight="1" spans="1:2">
      <c r="A54368" s="3" t="str">
        <f>IFERROR(__xludf.DUMMYFUNCTION("GOOGLETRANSLATE(A54368,""en"",""pt"")"),"Pequeno, acessível")</f>
        <v>Pequeno, acessível</v>
      </c>
      <c r="B54368" s="3">
        <v>1</v>
      </c>
    </row>
    <row r="54369" ht="15.75" customHeight="1" spans="1:2">
      <c r="A54369" s="3" t="str">
        <f>IFERROR(__xludf.DUMMYFUNCTION("GOOGLETRANSLATE(A54369,""en"",""pt"")"),"Great todos em um pacote para uma câmera digital de arranque.")</f>
        <v>Great todos em um pacote para uma câmera digital de arranque.</v>
      </c>
      <c r="B54369" s="3">
        <v>1</v>
      </c>
    </row>
    <row r="54370" ht="15.75" customHeight="1" spans="1:2">
      <c r="A54370" s="3" t="str">
        <f>IFERROR(__xludf.DUMMYFUNCTION("GOOGLETRANSLATE(A54370,""en"",""pt"")"),"grandes fotos dos quartos, ótimo software")</f>
        <v>grandes fotos dos quartos, ótimo software</v>
      </c>
      <c r="B54370" s="3">
        <v>1</v>
      </c>
    </row>
    <row r="54371" ht="15.75" customHeight="1" spans="1:2">
      <c r="A54371" s="3" t="str">
        <f>IFERROR(__xludf.DUMMYFUNCTION("GOOGLETRANSLATE(A54371,""en"",""pt"")"),"Fácil conexão usb")</f>
        <v>Fácil conexão usb</v>
      </c>
      <c r="B54371" s="3">
        <v>1</v>
      </c>
    </row>
    <row r="54372" ht="15.75" customHeight="1" spans="1:2">
      <c r="A54372" s="3" t="str">
        <f>IFERROR(__xludf.DUMMYFUNCTION("GOOGLETRANSLATE(A54372,""en"",""pt"")"),"facilidade de uso, software, peso")</f>
        <v>facilidade de uso, software, peso</v>
      </c>
      <c r="B54372" s="3">
        <v>1</v>
      </c>
    </row>
    <row r="54373" ht="15.75" customHeight="1" spans="1:2">
      <c r="A54373" s="3" t="str">
        <f>IFERROR(__xludf.DUMMYFUNCTION("GOOGLETRANSLATE(A54373,""en"",""pt"")"),"Modelo 1800 1.3MP. Nice pics, Sony CCD, &amp; amp; # 13; &amp; amp; # 10; USB, mudança rápida SmartMedia. economia de bateria &amp; amp;. # 13; &amp; amp; # 10;")</f>
        <v>Modelo 1800 1.3MP. Nice pics, Sony CCD, &amp; amp; # 13; &amp; amp; # 10; USB, mudança rápida SmartMedia. economia de bateria &amp; amp;. # 13; &amp; amp; # 10;</v>
      </c>
      <c r="B54373" s="3">
        <v>1</v>
      </c>
    </row>
    <row r="54374" ht="15.75" customHeight="1" spans="1:2">
      <c r="A54374" s="3" t="str">
        <f>IFERROR(__xludf.DUMMYFUNCTION("GOOGLETRANSLATE(A54374,""en"",""pt"")"),"Modelo 1800 1.3MP. Nice pics, Sony CCD, &amp; amp; # 13; &amp; amp; # 10; USB, mudança rápida SmartMedia. economia de bateria &amp; amp;. # 13; &amp; amp; # 10;")</f>
        <v>Modelo 1800 1.3MP. Nice pics, Sony CCD, &amp; amp; # 13; &amp; amp; # 10; USB, mudança rápida SmartMedia. economia de bateria &amp; amp;. # 13; &amp; amp; # 10;</v>
      </c>
      <c r="B54374" s="3">
        <v>1</v>
      </c>
    </row>
    <row r="54375" ht="15.75" customHeight="1" spans="1:2">
      <c r="A54375" s="3" t="str">
        <f>IFERROR(__xludf.DUMMYFUNCTION("GOOGLETRANSLATE(A54375,""en"",""pt"")"),"Grande preço, Média qualidade de imagem, relativamente pequeno, USB Conectividade, 4MB de memória")</f>
        <v>Grande preço, Média qualidade de imagem, relativamente pequeno, USB Conectividade, 4MB de memória</v>
      </c>
      <c r="B54375" s="3">
        <v>1</v>
      </c>
    </row>
    <row r="54376" ht="15.75" customHeight="1" spans="1:2">
      <c r="A54376" s="3" t="str">
        <f>IFERROR(__xludf.DUMMYFUNCTION("GOOGLETRANSLATE(A54376,""en"",""pt"")"),"Barato, na verdade tira fotos.")</f>
        <v>Barato, na verdade tira fotos.</v>
      </c>
      <c r="B54376" s="3">
        <v>1</v>
      </c>
    </row>
    <row r="54377" ht="15.75" customHeight="1" spans="1:2">
      <c r="A54377" s="3" t="str">
        <f>IFERROR(__xludf.DUMMYFUNCTION("GOOGLETRANSLATE(A54377,""en"",""pt"")"),"Barato, fotos decentes, fácil de usar software.")</f>
        <v>Barato, fotos decentes, fácil de usar software.</v>
      </c>
      <c r="B54377" s="3">
        <v>1</v>
      </c>
    </row>
    <row r="54378" ht="15.75" customHeight="1" spans="1:2">
      <c r="A54378" s="3" t="str">
        <f>IFERROR(__xludf.DUMMYFUNCTION("GOOGLETRANSLATE(A54378,""en"",""pt"")"),"instruções fáceis e software. Compacto, durável e leve.")</f>
        <v>instruções fáceis e software. Compacto, durável e leve.</v>
      </c>
      <c r="B54378" s="3">
        <v>1</v>
      </c>
    </row>
    <row r="54379" ht="15.75" customHeight="1" spans="1:2">
      <c r="A54379" s="3" t="str">
        <f>IFERROR(__xludf.DUMMYFUNCTION("GOOGLETRANSLATE(A54379,""en"",""pt"")"),"Grande bang para o seu dinheirinho. Barato.")</f>
        <v>Grande bang para o seu dinheirinho. Barato.</v>
      </c>
      <c r="B54379" s="3">
        <v>1</v>
      </c>
    </row>
    <row r="54380" ht="15.75" customHeight="1" spans="1:2">
      <c r="A54380" s="3" t="str">
        <f>IFERROR(__xludf.DUMMYFUNCTION("GOOGLETRANSLATE(A54380,""en"",""pt"")"),"Câmera pequena Luz digital com grande programa")</f>
        <v>Câmera pequena Luz digital com grande programa</v>
      </c>
      <c r="B54380" s="3">
        <v>1</v>
      </c>
    </row>
    <row r="54381" ht="15.75" customHeight="1" spans="1:2">
      <c r="A54381" s="3" t="str">
        <f>IFERROR(__xludf.DUMMYFUNCTION("GOOGLETRANSLATE(A54381,""en"",""pt"")"),"Pequeno tamanho e preço, leva decentes diurnas fotos para e-mail.")</f>
        <v>Pequeno tamanho e preço, leva decentes diurnas fotos para e-mail.</v>
      </c>
      <c r="B54381" s="3">
        <v>1</v>
      </c>
    </row>
    <row r="54382" ht="15.75" customHeight="1" spans="1:2">
      <c r="A54382" s="3" t="str">
        <f>IFERROR(__xludf.DUMMYFUNCTION("GOOGLETRANSLATE(A54382,""en"",""pt"")"),"compacta, boa aparência. Bom preço. Isso é tudo que eu posso dizer")</f>
        <v>compacta, boa aparência. Bom preço. Isso é tudo que eu posso dizer</v>
      </c>
      <c r="B54382" s="3">
        <v>1</v>
      </c>
    </row>
    <row r="54383" ht="15.75" customHeight="1" spans="1:2">
      <c r="A54383" s="3" t="str">
        <f>IFERROR(__xludf.DUMMYFUNCTION("GOOGLETRANSLATE(A54383,""en"",""pt"")"),"Pequeno, barato, tem flash, boa qualidade de imagem por menos de $ 100.")</f>
        <v>Pequeno, barato, tem flash, boa qualidade de imagem por menos de $ 100.</v>
      </c>
      <c r="B54383" s="3">
        <v>1</v>
      </c>
    </row>
    <row r="54384" ht="15.75" customHeight="1" spans="1:2">
      <c r="A54384" s="3" t="str">
        <f>IFERROR(__xludf.DUMMYFUNCTION("GOOGLETRANSLATE(A54384,""en"",""pt"")"),"O peso leve, usa pilhas AA, Win XP compatível")</f>
        <v>O peso leve, usa pilhas AA, Win XP compatível</v>
      </c>
      <c r="B54384" s="3">
        <v>1</v>
      </c>
    </row>
    <row r="54385" ht="15.75" customHeight="1" spans="1:2">
      <c r="A54385" s="3" t="str">
        <f>IFERROR(__xludf.DUMMYFUNCTION("GOOGLETRANSLATE(A54385,""en"",""pt"")"),"NO filme requerida. Pequeno o suficiente para caber em um bolso da camisa ou no cinto.,")</f>
        <v>NO filme requerida. Pequeno o suficiente para caber em um bolso da camisa ou no cinto.,</v>
      </c>
      <c r="B54385" s="3">
        <v>1</v>
      </c>
    </row>
    <row r="54386" ht="15.75" customHeight="1" spans="1:2">
      <c r="A54386" s="3" t="str">
        <f>IFERROR(__xludf.DUMMYFUNCTION("GOOGLETRANSLATE(A54386,""en"",""pt"")"),"Leva 100 fotos")</f>
        <v>Leva 100 fotos</v>
      </c>
      <c r="B54386" s="3">
        <v>1</v>
      </c>
    </row>
    <row r="54387" ht="15.75" customHeight="1" spans="1:2">
      <c r="A54387" s="3" t="str">
        <f>IFERROR(__xludf.DUMMYFUNCTION("GOOGLETRANSLATE(A54387,""en"",""pt"")"),"Barato, leve e pequeno!")</f>
        <v>Barato, leve e pequeno!</v>
      </c>
      <c r="B54387" s="3">
        <v>1</v>
      </c>
    </row>
    <row r="54388" ht="15.75" customHeight="1" spans="1:2">
      <c r="A54388" s="3" t="str">
        <f>IFERROR(__xludf.DUMMYFUNCTION("GOOGLETRANSLATE(A54388,""en"",""pt"")"),"Pequeno, uma pressão para configurar e usar, com menos de 50 dólares.")</f>
        <v>Pequeno, uma pressão para configurar e usar, com menos de 50 dólares.</v>
      </c>
      <c r="B54388" s="3">
        <v>1</v>
      </c>
    </row>
    <row r="54389" ht="15.75" customHeight="1" spans="1:2">
      <c r="A54389" s="3" t="str">
        <f>IFERROR(__xludf.DUMMYFUNCTION("GOOGLETRANSLATE(A54389,""en"",""pt"")"),"Facilidade de uso, compacto, e mais importante, barato")</f>
        <v>Facilidade de uso, compacto, e mais importante, barato</v>
      </c>
      <c r="B54389" s="3">
        <v>1</v>
      </c>
    </row>
    <row r="54390" ht="15.75" customHeight="1" spans="1:2">
      <c r="A54390" s="3" t="str">
        <f>IFERROR(__xludf.DUMMYFUNCTION("GOOGLETRANSLATE(A54390,""en"",""pt"")"),"Grande autonomia da bateria !! mais de 1000 fotos até agora. Bom tamanho. durável")</f>
        <v>Grande autonomia da bateria !! mais de 1000 fotos até agora. Bom tamanho. durável</v>
      </c>
      <c r="B54390" s="3">
        <v>1</v>
      </c>
    </row>
    <row r="54391" ht="15.75" customHeight="1" spans="1:2">
      <c r="A54391" s="3" t="str">
        <f>IFERROR(__xludf.DUMMYFUNCTION("GOOGLETRANSLATE(A54391,""en"",""pt"")"),"Barato, bastante boa qualidade, trabalha como digicam e web cam")</f>
        <v>Barato, bastante boa qualidade, trabalha como digicam e web cam</v>
      </c>
      <c r="B54391" s="3">
        <v>1</v>
      </c>
    </row>
    <row r="54392" ht="15.75" customHeight="1" spans="1:2">
      <c r="A54392" s="3" t="str">
        <f>IFERROR(__xludf.DUMMYFUNCTION("GOOGLETRANSLATE(A54392,""en"",""pt"")"),"Não ruim para US $ 50, detém 70 pics, tira boas fotos, dependendo de onde você está.")</f>
        <v>Não ruim para US $ 50, detém 70 pics, tira boas fotos, dependendo de onde você está.</v>
      </c>
      <c r="B54392" s="3">
        <v>1</v>
      </c>
    </row>
    <row r="54393" ht="15.75" customHeight="1" spans="1:2">
      <c r="A54393" s="3" t="str">
        <f>IFERROR(__xludf.DUMMYFUNCTION("GOOGLETRANSLATE(A54393,""en"",""pt"")"),"Barato, durável, compacto")</f>
        <v>Barato, durável, compacto</v>
      </c>
      <c r="B54393" s="3">
        <v>1</v>
      </c>
    </row>
    <row r="54394" ht="15.75" customHeight="1" spans="1:2">
      <c r="A54394" s="3" t="str">
        <f>IFERROR(__xludf.DUMMYFUNCTION("GOOGLETRANSLATE(A54394,""en"",""pt"")"),"Pequeno, barato, alguns pix decente")</f>
        <v>Pequeno, barato, alguns pix decente</v>
      </c>
      <c r="B54394" s="3">
        <v>1</v>
      </c>
    </row>
    <row r="54395" ht="15.75" customHeight="1" spans="1:2">
      <c r="A54395" s="3" t="str">
        <f>IFERROR(__xludf.DUMMYFUNCTION("GOOGLETRANSLATE(A54395,""en"",""pt"")"),"Barato Pictures Digital")</f>
        <v>Barato Pictures Digital</v>
      </c>
      <c r="B54395" s="3">
        <v>1</v>
      </c>
    </row>
    <row r="54396" ht="15.75" customHeight="1" spans="1:2">
      <c r="A54396" s="3" t="str">
        <f>IFERROR(__xludf.DUMMYFUNCTION("GOOGLETRANSLATE(A54396,""en"",""pt"")"),"barato")</f>
        <v>barato</v>
      </c>
      <c r="B54396" s="3">
        <v>1</v>
      </c>
    </row>
    <row r="54397" ht="15.75" customHeight="1" spans="1:2">
      <c r="A54397" s="3" t="str">
        <f>IFERROR(__xludf.DUMMYFUNCTION("GOOGLETRANSLATE(A54397,""en"",""pt"")"),"Pequeno, leve, inclui um bom software")</f>
        <v>Pequeno, leve, inclui um bom software</v>
      </c>
      <c r="B54397" s="3">
        <v>1</v>
      </c>
    </row>
    <row r="54398" ht="15.75" customHeight="1" spans="1:2">
      <c r="A54398" s="3" t="str">
        <f>IFERROR(__xludf.DUMMYFUNCTION("GOOGLETRANSLATE(A54398,""en"",""pt"")"),"sujeira barato, a qualidade da imagem justo, bom para as crianças, parece bastante resistente")</f>
        <v>sujeira barato, a qualidade da imagem justo, bom para as crianças, parece bastante resistente</v>
      </c>
      <c r="B54398" s="3">
        <v>1</v>
      </c>
    </row>
    <row r="54399" ht="15.75" customHeight="1" spans="1:2">
      <c r="A54399" s="3" t="str">
        <f>IFERROR(__xludf.DUMMYFUNCTION("GOOGLETRANSLATE(A54399,""en"",""pt"")"),"price &amp; amp; estilo")</f>
        <v>price &amp; amp; estilo</v>
      </c>
      <c r="B54399" s="3">
        <v>1</v>
      </c>
    </row>
    <row r="54400" ht="15.75" customHeight="1" spans="1:2">
      <c r="A54400" s="3" t="str">
        <f>IFERROR(__xludf.DUMMYFUNCTION("GOOGLETRANSLATE(A54400,""en"",""pt"")"),"Bom preço, bastante fácil de usar e fazer o upload da foto para o computador, tem tela de LCD para visualização de fotos")</f>
        <v>Bom preço, bastante fácil de usar e fazer o upload da foto para o computador, tem tela de LCD para visualização de fotos</v>
      </c>
      <c r="B54400" s="3">
        <v>1</v>
      </c>
    </row>
    <row r="54401" ht="15.75" customHeight="1" spans="1:2">
      <c r="A54401" s="3" t="str">
        <f>IFERROR(__xludf.DUMMYFUNCTION("GOOGLETRANSLATE(A54401,""en"",""pt"")"),"barato display LCD, agradável com opções decentes")</f>
        <v>barato display LCD, agradável com opções decentes</v>
      </c>
      <c r="B54401" s="3">
        <v>1</v>
      </c>
    </row>
    <row r="54402" ht="15.75" customHeight="1" spans="1:2">
      <c r="A54402" s="3" t="str">
        <f>IFERROR(__xludf.DUMMYFUNCTION("GOOGLETRANSLATE(A54402,""en"",""pt"")"),"fácil de usar")</f>
        <v>fácil de usar</v>
      </c>
      <c r="B54402" s="3">
        <v>1</v>
      </c>
    </row>
    <row r="54403" ht="15.75" customHeight="1" spans="1:2">
      <c r="A54403" s="3" t="str">
        <f>IFERROR(__xludf.DUMMYFUNCTION("GOOGLETRANSLATE(A54403,""en"",""pt"")"),"Barato, digital, simples de usar")</f>
        <v>Barato, digital, simples de usar</v>
      </c>
      <c r="B54403" s="3">
        <v>1</v>
      </c>
    </row>
    <row r="54404" ht="15.75" customHeight="1" spans="1:2">
      <c r="A54404" s="3" t="str">
        <f>IFERROR(__xludf.DUMMYFUNCTION("GOOGLETRANSLATE(A54404,""en"",""pt"")"),"fácil de usar, software fácil de instalar")</f>
        <v>fácil de usar, software fácil de instalar</v>
      </c>
      <c r="B54404" s="3">
        <v>1</v>
      </c>
    </row>
    <row r="54405" ht="15.75" customHeight="1" spans="1:2">
      <c r="A54405" s="3" t="str">
        <f>IFERROR(__xludf.DUMMYFUNCTION("GOOGLETRANSLATE(A54405,""en"",""pt"")"),"Não muito caro")</f>
        <v>Não muito caro</v>
      </c>
      <c r="B54405" s="3">
        <v>1</v>
      </c>
    </row>
    <row r="54406" ht="15.75" customHeight="1" spans="1:2">
      <c r="A54406" s="3" t="str">
        <f>IFERROR(__xludf.DUMMYFUNCTION("GOOGLETRANSLATE(A54406,""en"",""pt"")"),"baixo custo")</f>
        <v>baixo custo</v>
      </c>
      <c r="B54406" s="3">
        <v>1</v>
      </c>
    </row>
    <row r="54407" ht="15.75" customHeight="1" spans="1:2">
      <c r="A54407" s="3" t="str">
        <f>IFERROR(__xludf.DUMMYFUNCTION("GOOGLETRANSLATE(A54407,""en"",""pt"")"),"Custo")</f>
        <v>Custo</v>
      </c>
      <c r="B54407" s="3">
        <v>1</v>
      </c>
    </row>
    <row r="54408" ht="15.75" customHeight="1" spans="1:2">
      <c r="A54408" s="3" t="str">
        <f>IFERROR(__xludf.DUMMYFUNCTION("GOOGLETRANSLATE(A54408,""en"",""pt"")"),"Fácil de usar, barato, visor (com opção para desativar), grande serviço ao cliente")</f>
        <v>Fácil de usar, barato, visor (com opção para desativar), grande serviço ao cliente</v>
      </c>
      <c r="B54408" s="3">
        <v>1</v>
      </c>
    </row>
    <row r="54409" ht="15.75" customHeight="1" spans="1:2">
      <c r="A54409" s="3" t="str">
        <f>IFERROR(__xludf.DUMMYFUNCTION("GOOGLETRANSLATE(A54409,""en"",""pt"")"),"NENHUM")</f>
        <v>NENHUM</v>
      </c>
      <c r="B54409" s="3">
        <v>1</v>
      </c>
    </row>
    <row r="54410" ht="15.75" customHeight="1" spans="1:2">
      <c r="A54410" s="3" t="str">
        <f>IFERROR(__xludf.DUMMYFUNCTION("GOOGLETRANSLATE(A54410,""en"",""pt"")"),"Boa câmera digital para o preço pago.")</f>
        <v>Boa câmera digital para o preço pago.</v>
      </c>
      <c r="B54410" s="3">
        <v>1</v>
      </c>
    </row>
    <row r="54411" ht="15.75" customHeight="1" spans="1:2">
      <c r="A54411" s="3" t="str">
        <f>IFERROR(__xludf.DUMMYFUNCTION("GOOGLETRANSLATE(A54411,""en"",""pt"")"),"Camera Grande Digital para iniciantes.")</f>
        <v>Camera Grande Digital para iniciantes.</v>
      </c>
      <c r="B54411" s="3">
        <v>1</v>
      </c>
    </row>
    <row r="54412" ht="15.75" customHeight="1" spans="1:2">
      <c r="A54412" s="3" t="str">
        <f>IFERROR(__xludf.DUMMYFUNCTION("GOOGLETRANSLATE(A54412,""en"",""pt"")"),"Boa câmera, boa embalagem, pequeno")</f>
        <v>Boa câmera, boa embalagem, pequeno</v>
      </c>
      <c r="B54412" s="3">
        <v>1</v>
      </c>
    </row>
    <row r="54413" ht="15.75" customHeight="1" spans="1:2">
      <c r="A54413" s="3" t="str">
        <f>IFERROR(__xludf.DUMMYFUNCTION("GOOGLETRANSLATE(A54413,""en"",""pt"")"),"Boa Pix em luz forte. Preço certo.")</f>
        <v>Boa Pix em luz forte. Preço certo.</v>
      </c>
      <c r="B54413" s="3">
        <v>1</v>
      </c>
    </row>
    <row r="54414" ht="15.75" customHeight="1" spans="1:2">
      <c r="A54414" s="3" t="str">
        <f>IFERROR(__xludf.DUMMYFUNCTION("GOOGLETRANSLATE(A54414,""en"",""pt"")"),"Excelente resolução e cor, muito amigável, muito pouco atraso do obturador.")</f>
        <v>Excelente resolução e cor, muito amigável, muito pouco atraso do obturador.</v>
      </c>
      <c r="B54414" s="3">
        <v>1</v>
      </c>
    </row>
    <row r="54415" ht="15.75" customHeight="1" spans="1:2">
      <c r="A54415" s="3" t="str">
        <f>IFERROR(__xludf.DUMMYFUNCTION("GOOGLETRANSLATE(A54415,""en"",""pt"")"),"imagens de boa qualidade e de vídeo .avi considerando resolução e contras!")</f>
        <v>imagens de boa qualidade e de vídeo .avi considerando resolução e contras!</v>
      </c>
      <c r="B54415" s="3">
        <v>1</v>
      </c>
    </row>
    <row r="54416" ht="15.75" customHeight="1" spans="1:2">
      <c r="A54416" s="3" t="str">
        <f>IFERROR(__xludf.DUMMYFUNCTION("GOOGLETRANSLATE(A54416,""en"",""pt"")"),"Grande cor e resolução, boa resolução em vídeo avi.")</f>
        <v>Grande cor e resolução, boa resolução em vídeo avi.</v>
      </c>
      <c r="B54416" s="3">
        <v>1</v>
      </c>
    </row>
    <row r="54417" ht="15.75" customHeight="1" spans="1:2">
      <c r="A54417" s="3" t="str">
        <f>IFERROR(__xludf.DUMMYFUNCTION("GOOGLETRANSLATE(A54417,""en"",""pt"")"),"Qualidade da imagem, Tamanho compacto, fácil de usar Menu")</f>
        <v>Qualidade da imagem, Tamanho compacto, fácil de usar Menu</v>
      </c>
      <c r="B54417" s="3">
        <v>1</v>
      </c>
    </row>
    <row r="54418" ht="15.75" customHeight="1" spans="1:2">
      <c r="A54418" s="3" t="str">
        <f>IFERROR(__xludf.DUMMYFUNCTION("GOOGLETRANSLATE(A54418,""en"",""pt"")"),"Facilidade de uso, imagens de alta qualidade, muito pequeno e atraente")</f>
        <v>Facilidade de uso, imagens de alta qualidade, muito pequeno e atraente</v>
      </c>
      <c r="B54418" s="3">
        <v>1</v>
      </c>
    </row>
    <row r="54419" ht="15.75" customHeight="1" spans="1:2">
      <c r="A54419" s="3" t="str">
        <f>IFERROR(__xludf.DUMMYFUNCTION("GOOGLETRANSLATE(A54419,""en"",""pt"")"),"MAC amigável !! Fácil de usar, pequeno e compacto, ótimo preço, ótimas fotos, o amor!")</f>
        <v>MAC amigável !! Fácil de usar, pequeno e compacto, ótimo preço, ótimas fotos, o amor!</v>
      </c>
      <c r="B54419" s="3">
        <v>1</v>
      </c>
    </row>
    <row r="54420" ht="15.75" customHeight="1" spans="1:2">
      <c r="A54420" s="3" t="str">
        <f>IFERROR(__xludf.DUMMYFUNCTION("GOOGLETRANSLATE(A54420,""en"",""pt"")"),"Barato, tem timer, caso agradável")</f>
        <v>Barato, tem timer, caso agradável</v>
      </c>
      <c r="B54420" s="3">
        <v>1</v>
      </c>
    </row>
    <row r="54421" ht="15.75" customHeight="1" spans="1:2">
      <c r="A54421" s="3" t="str">
        <f>IFERROR(__xludf.DUMMYFUNCTION("GOOGLETRANSLATE(A54421,""en"",""pt"")"),"Fácil de usar, leve, de boa qualidade de fotos. memória capaz.")</f>
        <v>Fácil de usar, leve, de boa qualidade de fotos. memória capaz.</v>
      </c>
      <c r="B54421" s="3">
        <v>1</v>
      </c>
    </row>
    <row r="54422" ht="15.75" customHeight="1" spans="1:2">
      <c r="A54422" s="3" t="str">
        <f>IFERROR(__xludf.DUMMYFUNCTION("GOOGLETRANSLATE(A54422,""en"",""pt"")"),"Fácil de usar. Fotos excelentes. recursos automáticos fazer um iniciante fotos olhar grande.")</f>
        <v>Fácil de usar. Fotos excelentes. recursos automáticos fazer um iniciante fotos olhar grande.</v>
      </c>
      <c r="B54422" s="3">
        <v>1</v>
      </c>
    </row>
    <row r="54423" ht="15.75" customHeight="1" spans="1:2">
      <c r="A54423" s="3" t="str">
        <f>IFERROR(__xludf.DUMMYFUNCTION("GOOGLETRANSLATE(A54423,""en"",""pt"")"),"nenhum filme, display digital, flash, boas fotos, divertido de usar, TV e computador compatível")</f>
        <v>nenhum filme, display digital, flash, boas fotos, divertido de usar, TV e computador compatível</v>
      </c>
      <c r="B54423" s="3">
        <v>1</v>
      </c>
    </row>
    <row r="54424" ht="15.75" customHeight="1" spans="1:2">
      <c r="A54424" s="3" t="str">
        <f>IFERROR(__xludf.DUMMYFUNCTION("GOOGLETRANSLATE(A54424,""en"",""pt"")"),"Divertido, fácil de usar")</f>
        <v>Divertido, fácil de usar</v>
      </c>
      <c r="B54424" s="3">
        <v>1</v>
      </c>
    </row>
    <row r="54425" ht="15.75" customHeight="1" spans="1:2">
      <c r="A54425" s="3" t="str">
        <f>IFERROR(__xludf.DUMMYFUNCTION("GOOGLETRANSLATE(A54425,""en"",""pt"")"),"Ótimo preço. Fácil de usar, e as imagens são grandes para uma câmera para a sua classe.")</f>
        <v>Ótimo preço. Fácil de usar, e as imagens são grandes para uma câmera para a sua classe.</v>
      </c>
      <c r="B54425" s="3">
        <v>1</v>
      </c>
    </row>
    <row r="54426" ht="15.75" customHeight="1" spans="1:2">
      <c r="A54426" s="3" t="s">
        <v>289</v>
      </c>
      <c r="B54426" s="3">
        <v>1</v>
      </c>
    </row>
    <row r="54427" ht="15.75" customHeight="1" spans="1:2">
      <c r="A54427" s="3" t="str">
        <f>IFERROR(__xludf.DUMMYFUNCTION("GOOGLETRANSLATE(A54427,""en"",""pt"")"),"Sua digital. tamanho LCD. apresenta Fair. Bom preço. Boas fotos. Use enquanto a alimentação AC conectado.")</f>
        <v>Sua digital. tamanho LCD. apresenta Fair. Bom preço. Boas fotos. Use enquanto a alimentação AC conectado.</v>
      </c>
      <c r="B54427" s="3">
        <v>1</v>
      </c>
    </row>
    <row r="54428" ht="15.75" customHeight="1" spans="1:2">
      <c r="A54428" s="3" t="str">
        <f>IFERROR(__xludf.DUMMYFUNCTION("GOOGLETRANSLATE(A54428,""en"",""pt"")"),"preço, qualidade de imagem, confiável")</f>
        <v>preço, qualidade de imagem, confiável</v>
      </c>
      <c r="B54428" s="3">
        <v>1</v>
      </c>
    </row>
    <row r="54429" ht="15.75" customHeight="1" spans="1:2">
      <c r="A54429" s="3" t="str">
        <f>IFERROR(__xludf.DUMMYFUNCTION("GOOGLETRANSLATE(A54429,""en"",""pt"")"),"Muito fácil de usar e não muito complicado")</f>
        <v>Muito fácil de usar e não muito complicado</v>
      </c>
      <c r="B54429" s="3">
        <v>1</v>
      </c>
    </row>
    <row r="54430" ht="15.75" customHeight="1" spans="1:2">
      <c r="A54430" s="3" t="str">
        <f>IFERROR(__xludf.DUMMYFUNCTION("GOOGLETRANSLATE(A54430,""en"",""pt"")"),"Ótimo preço. Ebay tem um monte deles.")</f>
        <v>Ótimo preço. Ebay tem um monte deles.</v>
      </c>
      <c r="B54430" s="3">
        <v>1</v>
      </c>
    </row>
    <row r="54431" ht="15.75" customHeight="1" spans="1:2">
      <c r="A54431" s="3" t="str">
        <f>IFERROR(__xludf.DUMMYFUNCTION("GOOGLETRANSLATE(A54431,""en"",""pt"")"),"Grande Pictures para o preço, fácil de carregar e usar")</f>
        <v>Grande Pictures para o preço, fácil de carregar e usar</v>
      </c>
      <c r="B54431" s="3">
        <v>1</v>
      </c>
    </row>
    <row r="54432" ht="15.75" customHeight="1" spans="1:2">
      <c r="A54432" s="3" t="str">
        <f>IFERROR(__xludf.DUMMYFUNCTION("GOOGLETRANSLATE(A54432,""en"",""pt"")"),"Parece que as imagens devem ser bom")</f>
        <v>Parece que as imagens devem ser bom</v>
      </c>
      <c r="B54432" s="3">
        <v>1</v>
      </c>
    </row>
    <row r="54433" ht="15.75" customHeight="1" spans="1:2">
      <c r="A54433" s="3" t="str">
        <f>IFERROR(__xludf.DUMMYFUNCTION("GOOGLETRANSLATE(A54433,""en"",""pt"")"),"LCD Display, T. V saídas")</f>
        <v>LCD Display, T. V saídas</v>
      </c>
      <c r="B54433" s="3">
        <v>1</v>
      </c>
    </row>
    <row r="54434" ht="15.75" customHeight="1" spans="1:2">
      <c r="A54434" s="3" t="str">
        <f>IFERROR(__xludf.DUMMYFUNCTION("GOOGLETRANSLATE(A54434,""en"",""pt"")"),"Boas impressões, trabalhos com XP")</f>
        <v>Boas impressões, trabalhos com XP</v>
      </c>
      <c r="B54434" s="3">
        <v>1</v>
      </c>
    </row>
    <row r="54435" ht="15.75" customHeight="1" spans="1:2">
      <c r="A54435" s="3" t="str">
        <f>IFERROR(__xludf.DUMMYFUNCTION("GOOGLETRANSLATE(A54435,""en"",""pt"")"),"Barato, fácil de usar, Slot de Memória CF, excelente qualidade na luz do dia")</f>
        <v>Barato, fácil de usar, Slot de Memória CF, excelente qualidade na luz do dia</v>
      </c>
      <c r="B54435" s="3">
        <v>1</v>
      </c>
    </row>
    <row r="54436" ht="15.75" customHeight="1" spans="1:2">
      <c r="A54436" s="3" t="str">
        <f>IFERROR(__xludf.DUMMYFUNCTION("GOOGLETRANSLATE(A54436,""en"",""pt"")"),"Grande Pictures, impressionante Flash, tamanho pequeno, fácil de usar, barato")</f>
        <v>Grande Pictures, impressionante Flash, tamanho pequeno, fácil de usar, barato</v>
      </c>
      <c r="B54436" s="3">
        <v>1</v>
      </c>
    </row>
    <row r="54437" ht="15.75" customHeight="1" spans="1:2">
      <c r="A54437" s="3" t="str">
        <f>IFERROR(__xludf.DUMMYFUNCTION("GOOGLETRANSLATE(A54437,""en"",""pt"")"),"Ótima câmera pelo preço!")</f>
        <v>Ótima câmera pelo preço!</v>
      </c>
      <c r="B54437" s="3">
        <v>1</v>
      </c>
    </row>
    <row r="54438" ht="15.75" customHeight="1" spans="1:2">
      <c r="A54438" s="3" t="str">
        <f>IFERROR(__xludf.DUMMYFUNCTION("GOOGLETRANSLATE(A54438,""en"",""pt"")"),"Boa Pictures, Flash, Software Photo Suite 4, Compacto, fácil de usar")</f>
        <v>Boa Pictures, Flash, Software Photo Suite 4, Compacto, fácil de usar</v>
      </c>
      <c r="B54438" s="3">
        <v>1</v>
      </c>
    </row>
    <row r="54439" ht="15.75" customHeight="1" spans="1:2">
      <c r="A54439" s="3" t="str">
        <f>IFERROR(__xludf.DUMMYFUNCTION("GOOGLETRANSLATE(A54439,""en"",""pt"")"),"Preço; tem uma lente muito melhor do que as câmeras descartáveis ​​ou câmeras de 35mm baratos.")</f>
        <v>Preço; tem uma lente muito melhor do que as câmeras descartáveis ​​ou câmeras de 35mm baratos.</v>
      </c>
      <c r="B54439" s="3">
        <v>1</v>
      </c>
    </row>
    <row r="54440" ht="15.75" customHeight="1" spans="1:2">
      <c r="A54440" s="3" t="str">
        <f>IFERROR(__xludf.DUMMYFUNCTION("GOOGLETRANSLATE(A54440,""en"",""pt"")"),"Compacto, fácil de transportar, imagens nítidas, muito fácil de operar, pode controlar o flash.")</f>
        <v>Compacto, fácil de transportar, imagens nítidas, muito fácil de operar, pode controlar o flash.</v>
      </c>
      <c r="B54440" s="3">
        <v>1</v>
      </c>
    </row>
    <row r="54441" ht="15.75" customHeight="1" spans="1:2">
      <c r="A54441" s="3" t="str">
        <f>IFERROR(__xludf.DUMMYFUNCTION("GOOGLETRANSLATE(A54441,""en"",""pt"")"),"Barato, compact flash compatível")</f>
        <v>Barato, compact flash compatível</v>
      </c>
      <c r="B54441" s="3">
        <v>1</v>
      </c>
    </row>
    <row r="54442" ht="15.75" customHeight="1" spans="1:2">
      <c r="A54442" s="3" t="str">
        <f>IFERROR(__xludf.DUMMYFUNCTION("GOOGLETRANSLATE(A54442,""en"",""pt"")"),"Fácil de tomar de fotos com. Boa qualidade da foto é para o preço.")</f>
        <v>Fácil de tomar de fotos com. Boa qualidade da foto é para o preço.</v>
      </c>
      <c r="B54442" s="3">
        <v>1</v>
      </c>
    </row>
    <row r="54443" ht="15.75" customHeight="1" spans="1:2">
      <c r="A54443" s="3" t="str">
        <f>IFERROR(__xludf.DUMMYFUNCTION("GOOGLETRANSLATE(A54443,""en"",""pt"")"),"Grande qualidade de imagem, fácil de usar.")</f>
        <v>Grande qualidade de imagem, fácil de usar.</v>
      </c>
      <c r="B54443" s="3">
        <v>1</v>
      </c>
    </row>
    <row r="54444" ht="15.75" customHeight="1" spans="1:2">
      <c r="A54444" s="3" t="str">
        <f>IFERROR(__xludf.DUMMYFUNCTION("GOOGLETRANSLATE(A54444,""en"",""pt"")"),"Excelente qualidade de imagem durante o dia e em boa iluminação. Excelente interface.")</f>
        <v>Excelente qualidade de imagem durante o dia e em boa iluminação. Excelente interface.</v>
      </c>
      <c r="B54444" s="3">
        <v>1</v>
      </c>
    </row>
    <row r="54445" ht="15.75" customHeight="1" spans="1:2">
      <c r="A54445" s="3" t="str">
        <f>IFERROR(__xludf.DUMMYFUNCTION("GOOGLETRANSLATE(A54445,""en"",""pt"")"),"Ótima câmera para o usuário avançado, bem como o novato.")</f>
        <v>Ótima câmera para o usuário avançado, bem como o novato.</v>
      </c>
      <c r="B54445" s="3">
        <v>1</v>
      </c>
    </row>
    <row r="54446" ht="15.75" customHeight="1" spans="1:2">
      <c r="A54446" s="3" t="str">
        <f>IFERROR(__xludf.DUMMYFUNCTION("GOOGLETRANSLATE(A54446,""en"",""pt"")"),"Ecrã LCD")</f>
        <v>Ecrã LCD</v>
      </c>
      <c r="B54446" s="3">
        <v>1</v>
      </c>
    </row>
    <row r="54447" ht="15.75" customHeight="1" spans="1:2">
      <c r="A54447" s="3" t="str">
        <f>IFERROR(__xludf.DUMMYFUNCTION("GOOGLETRANSLATE(A54447,""en"",""pt"")"),"Preço")</f>
        <v>Preço</v>
      </c>
      <c r="B54447" s="3">
        <v>1</v>
      </c>
    </row>
    <row r="54448" ht="15.75" customHeight="1" spans="1:2">
      <c r="A54448" s="3" t="str">
        <f>IFERROR(__xludf.DUMMYFUNCTION("GOOGLETRANSLATE(A54448,""en"",""pt"")"),"Bastante compacto, fácil de usar, expansíveis, fotos decentes")</f>
        <v>Bastante compacto, fácil de usar, expansíveis, fotos decentes</v>
      </c>
      <c r="B54448" s="3">
        <v>1</v>
      </c>
    </row>
    <row r="54449" ht="15.75" customHeight="1" spans="1:2">
      <c r="A54449" s="3" t="str">
        <f>IFERROR(__xludf.DUMMYFUNCTION("GOOGLETRANSLATE(A54449,""en"",""pt"")"),"Grandes características para o preço.")</f>
        <v>Grandes características para o preço.</v>
      </c>
      <c r="B54449" s="3">
        <v>1</v>
      </c>
    </row>
    <row r="54450" ht="15.75" customHeight="1" spans="1:2">
      <c r="A54450" s="3" t="str">
        <f>IFERROR(__xludf.DUMMYFUNCTION("GOOGLETRANSLATE(A54450,""en"",""pt"")"),"Fácil de usar, de foco automático, downloads rápidos para computador, imagens fantásticas, preço excelente")</f>
        <v>Fácil de usar, de foco automático, downloads rápidos para computador, imagens fantásticas, preço excelente</v>
      </c>
      <c r="B54450" s="3">
        <v>1</v>
      </c>
    </row>
    <row r="54451" ht="15.75" customHeight="1" spans="1:2">
      <c r="A54451" s="3" t="str">
        <f>IFERROR(__xludf.DUMMYFUNCTION("GOOGLETRANSLATE(A54451,""en"",""pt"")"),"4 CARTUCHOS DE TINTA, barato, GARANTIA")</f>
        <v>4 CARTUCHOS DE TINTA, barato, GARANTIA</v>
      </c>
      <c r="B54451" s="3">
        <v>1</v>
      </c>
    </row>
    <row r="54452" ht="15.75" customHeight="1" spans="1:2">
      <c r="A54452" s="3" t="str">
        <f>IFERROR(__xludf.DUMMYFUNCTION("GOOGLETRANSLATE(A54452,""en"",""pt"")"),"Preço, cartuchos de tinta separados")</f>
        <v>Preço, cartuchos de tinta separados</v>
      </c>
      <c r="B54452" s="3">
        <v>1</v>
      </c>
    </row>
    <row r="54453" ht="15.75" customHeight="1" spans="1:2">
      <c r="A54453" s="3" t="str">
        <f>IFERROR(__xludf.DUMMYFUNCTION("GOOGLETRANSLATE(A54453,""en"",""pt"")"),"Preço")</f>
        <v>Preço</v>
      </c>
      <c r="B54453" s="3">
        <v>1</v>
      </c>
    </row>
    <row r="54454" ht="15.75" customHeight="1" spans="1:2">
      <c r="A54454" s="3" t="str">
        <f>IFERROR(__xludf.DUMMYFUNCTION("GOOGLETRANSLATE(A54454,""en"",""pt"")"),"Custos, custos de tinta de substituição")</f>
        <v>Custos, custos de tinta de substituição</v>
      </c>
      <c r="B54454" s="3">
        <v>1</v>
      </c>
    </row>
    <row r="54455" ht="15.75" customHeight="1" spans="1:2">
      <c r="A54455" s="3" t="str">
        <f>IFERROR(__xludf.DUMMYFUNCTION("GOOGLETRANSLATE(A54455,""en"",""pt"")"),"muito fácil de usar, de grande qualidade para o preço")</f>
        <v>muito fácil de usar, de grande qualidade para o preço</v>
      </c>
      <c r="B54455" s="3">
        <v>1</v>
      </c>
    </row>
    <row r="54456" ht="15.75" customHeight="1" spans="1:2">
      <c r="A54456" s="3" t="str">
        <f>IFERROR(__xludf.DUMMYFUNCTION("GOOGLETRANSLATE(A54456,""en"",""pt"")"),"Nenhum")</f>
        <v>Nenhum</v>
      </c>
      <c r="B54456" s="3">
        <v>1</v>
      </c>
    </row>
    <row r="54457" ht="15.75" customHeight="1" spans="1:2">
      <c r="A54457" s="3" t="str">
        <f>IFERROR(__xludf.DUMMYFUNCTION("GOOGLETRANSLATE(A54457,""en"",""pt"")"),"tamanho e configuração conveniente; fácil configuração e instalação.")</f>
        <v>tamanho e configuração conveniente; fácil configuração e instalação.</v>
      </c>
      <c r="B54457" s="3">
        <v>1</v>
      </c>
    </row>
    <row r="54458" ht="15.75" customHeight="1" spans="1:2">
      <c r="A54458" s="3" t="str">
        <f>IFERROR(__xludf.DUMMYFUNCTION("GOOGLETRANSLATE(A54458,""en"",""pt"")"),"barato - US $ 50 / qualidade de impressão boa / cartuchos de cores individuais")</f>
        <v>barato - US $ 50 / qualidade de impressão boa / cartuchos de cores individuais</v>
      </c>
      <c r="B54458" s="3">
        <v>1</v>
      </c>
    </row>
    <row r="54459" ht="15.75" customHeight="1" spans="1:2">
      <c r="A54459" s="3" t="str">
        <f>IFERROR(__xludf.DUMMYFUNCTION("GOOGLETRANSLATE(A54459,""en"",""pt"")"),"Barato, impressão de boa qualidade")</f>
        <v>Barato, impressão de boa qualidade</v>
      </c>
      <c r="B54459" s="3">
        <v>1</v>
      </c>
    </row>
    <row r="54460" ht="15.75" customHeight="1" spans="1:2">
      <c r="A54460" s="3" t="str">
        <f>IFERROR(__xludf.DUMMYFUNCTION("GOOGLETRANSLATE(A54460,""en"",""pt"")"),"Preço.")</f>
        <v>Preço.</v>
      </c>
      <c r="B54460" s="3">
        <v>1</v>
      </c>
    </row>
    <row r="54461" ht="15.75" customHeight="1" spans="1:2">
      <c r="A54461" s="3" t="str">
        <f>IFERROR(__xludf.DUMMYFUNCTION("GOOGLETRANSLATE(A54461,""en"",""pt"")"),"pequeno, de boa qualidade, barato")</f>
        <v>pequeno, de boa qualidade, barato</v>
      </c>
      <c r="B54461" s="3">
        <v>1</v>
      </c>
    </row>
    <row r="54462" ht="15.75" customHeight="1" spans="1:2">
      <c r="A54462" s="3" t="str">
        <f>IFERROR(__xludf.DUMMYFUNCTION("GOOGLETRANSLATE(A54462,""en"",""pt"")"),"Great Value, economia de espaço, economia de tinta, de alta qualidade")</f>
        <v>Great Value, economia de espaço, economia de tinta, de alta qualidade</v>
      </c>
      <c r="B54462" s="3">
        <v>1</v>
      </c>
    </row>
    <row r="54463" ht="15.75" customHeight="1" spans="1:2">
      <c r="A54463" s="3" t="str">
        <f>IFERROR(__xludf.DUMMYFUNCTION("GOOGLETRANSLATE(A54463,""en"",""pt"")"),"impressão de alta qualidade, fácil de usar, cartuchos de tinta individuais e um preço muito baixo.")</f>
        <v>impressão de alta qualidade, fácil de usar, cartuchos de tinta individuais e um preço muito baixo.</v>
      </c>
      <c r="B54463" s="3">
        <v>1</v>
      </c>
    </row>
    <row r="54464" ht="15.75" customHeight="1" spans="1:2">
      <c r="A54464" s="3" t="str">
        <f>IFERROR(__xludf.DUMMYFUNCTION("GOOGLETRANSLATE(A54464,""en"",""pt"")"),"impressão rápida, boa qualidade de impressão de texto, confiável nome.")</f>
        <v>impressão rápida, boa qualidade de impressão de texto, confiável nome.</v>
      </c>
      <c r="B54464" s="3">
        <v>1</v>
      </c>
    </row>
    <row r="54465" ht="15.75" customHeight="1" spans="1:2">
      <c r="A54465" s="3" t="str">
        <f>IFERROR(__xludf.DUMMYFUNCTION("GOOGLETRANSLATE(A54465,""en"",""pt"")"),"clareza do texto, velocidade, acessibilidade, tamanho")</f>
        <v>clareza do texto, velocidade, acessibilidade, tamanho</v>
      </c>
      <c r="B54465" s="3">
        <v>1</v>
      </c>
    </row>
    <row r="54466" ht="15.75" customHeight="1" spans="1:2">
      <c r="A54466" s="3" t="str">
        <f>IFERROR(__xludf.DUMMYFUNCTION("GOOGLETRANSLATE(A54466,""en"",""pt"")"),"Boa qualidade,")</f>
        <v>Boa qualidade,</v>
      </c>
      <c r="B54466" s="3">
        <v>1</v>
      </c>
    </row>
    <row r="54467" ht="15.75" customHeight="1" spans="1:2">
      <c r="A54467" s="3" t="str">
        <f>IFERROR(__xludf.DUMMYFUNCTION("GOOGLETRANSLATE(A54467,""en"",""pt"")"),"Tamanho compacto")</f>
        <v>Tamanho compacto</v>
      </c>
      <c r="B54467" s="3">
        <v>1</v>
      </c>
    </row>
    <row r="54468" ht="15.75" customHeight="1" spans="1:2">
      <c r="A54468" s="3" t="str">
        <f>IFERROR(__xludf.DUMMYFUNCTION("GOOGLETRANSLATE(A54468,""en"",""pt"")"),"velozes")</f>
        <v>velozes</v>
      </c>
      <c r="B54468" s="3">
        <v>1</v>
      </c>
    </row>
    <row r="54469" ht="15.75" customHeight="1" spans="1:2">
      <c r="A54469" s="3" t="str">
        <f>IFERROR(__xludf.DUMMYFUNCTION("GOOGLETRANSLATE(A54469,""en"",""pt"")"),"Super barato, super rápido, marca.")</f>
        <v>Super barato, super rápido, marca.</v>
      </c>
      <c r="B54469" s="3">
        <v>1</v>
      </c>
    </row>
    <row r="54470" ht="15.75" customHeight="1" spans="1:2">
      <c r="A54470" s="3" t="str">
        <f>IFERROR(__xludf.DUMMYFUNCTION("GOOGLETRANSLATE(A54470,""en"",""pt"")"),"pegada pequena, bom suporte de software silenciosa")</f>
        <v>pegada pequena, bom suporte de software silenciosa</v>
      </c>
      <c r="B54470" s="3">
        <v>1</v>
      </c>
    </row>
    <row r="54471" ht="15.75" customHeight="1" spans="1:2">
      <c r="A54471" s="3" t="str">
        <f>IFERROR(__xludf.DUMMYFUNCTION("GOOGLETRANSLATE(A54471,""en"",""pt"")"),"Boa qualidade gráfica, boa velocidade, silencioso, ótimo preço")</f>
        <v>Boa qualidade gráfica, boa velocidade, silencioso, ótimo preço</v>
      </c>
      <c r="B54471" s="3">
        <v>1</v>
      </c>
    </row>
    <row r="54472" ht="15.75" customHeight="1" spans="1:2">
      <c r="A54472" s="3" t="str">
        <f>IFERROR(__xludf.DUMMYFUNCTION("GOOGLETRANSLATE(A54472,""en"",""pt"")"),"nome Xerox; baixo custo, razoavelmente rápido")</f>
        <v>nome Xerox; baixo custo, razoavelmente rápido</v>
      </c>
      <c r="B54472" s="3">
        <v>1</v>
      </c>
    </row>
    <row r="54473" ht="15.75" customHeight="1" spans="1:2">
      <c r="A54473" s="3" t="str">
        <f>IFERROR(__xludf.DUMMYFUNCTION("GOOGLETRANSLATE(A54473,""en"",""pt"")"),"tamanho, a velocidade, o ruído")</f>
        <v>tamanho, a velocidade, o ruído</v>
      </c>
      <c r="B54473" s="3">
        <v>1</v>
      </c>
    </row>
    <row r="54474" ht="15.75" customHeight="1" spans="1:2">
      <c r="A54474" s="3" t="str">
        <f>IFERROR(__xludf.DUMMYFUNCTION("GOOGLETRANSLATE(A54474,""en"",""pt"")"),"qualidade, tamanho, confiabilidade")</f>
        <v>qualidade, tamanho, confiabilidade</v>
      </c>
      <c r="B54474" s="3">
        <v>1</v>
      </c>
    </row>
    <row r="54475" ht="15.75" customHeight="1" spans="1:2">
      <c r="A54475" s="3" t="str">
        <f>IFERROR(__xludf.DUMMYFUNCTION("GOOGLETRANSLATE(A54475,""en"",""pt"")"),"Barato, pequeno footprint")</f>
        <v>Barato, pequeno footprint</v>
      </c>
      <c r="B54475" s="3">
        <v>1</v>
      </c>
    </row>
    <row r="54476" ht="15.75" customHeight="1" spans="1:2">
      <c r="A54476" s="3" t="str">
        <f>IFERROR(__xludf.DUMMYFUNCTION("GOOGLETRANSLATE(A54476,""en"",""pt"")"),"pegada pequena, grande capacidade de papel, que é construído na capacidade de anexar diretamente 2 computadores para compartilhamento, seu líder na indústria garantia de 3 anos, e sua marca de baixo custo isso ea impressora ideal quando combinada com um j"&amp;"ato de tinta para gráficos")</f>
        <v>pegada pequena, grande capacidade de papel, que é construído na capacidade de anexar diretamente 2 computadores para compartilhamento, seu líder na indústria garantia de 3 anos, e sua marca de baixo custo isso ea impressora ideal quando combinada com um jato de tinta para gráficos</v>
      </c>
      <c r="B54476" s="3">
        <v>1</v>
      </c>
    </row>
    <row r="54477" ht="15.75" customHeight="1" spans="1:2">
      <c r="A54477" s="3" t="str">
        <f>IFERROR(__xludf.DUMMYFUNCTION("GOOGLETRANSLATE(A54477,""en"",""pt"")"),"Nada")</f>
        <v>Nada</v>
      </c>
      <c r="B54477" s="3">
        <v>1</v>
      </c>
    </row>
    <row r="54478" ht="15.75" customHeight="1" spans="1:2">
      <c r="A54478" s="3" t="str">
        <f>IFERROR(__xludf.DUMMYFUNCTION("GOOGLETRANSLATE(A54478,""en"",""pt"")"),"tranquila, fácil, de grande qualidade, rápido")</f>
        <v>tranquila, fácil, de grande qualidade, rápido</v>
      </c>
      <c r="B54478" s="3">
        <v>1</v>
      </c>
    </row>
    <row r="54479" ht="15.75" customHeight="1" spans="1:2">
      <c r="A54479" s="3" t="str">
        <f>IFERROR(__xludf.DUMMYFUNCTION("GOOGLETRANSLATE(A54479,""en"",""pt"")"),"Valor para o dinheiro.")</f>
        <v>Valor para o dinheiro.</v>
      </c>
      <c r="B54479" s="3">
        <v>1</v>
      </c>
    </row>
    <row r="54480" ht="15.75" customHeight="1" spans="1:2">
      <c r="A54480" s="3" t="str">
        <f>IFERROR(__xludf.DUMMYFUNCTION("GOOGLETRANSLATE(A54480,""en"",""pt"")"),"preço de compra barata, tinta de baixo custo")</f>
        <v>preço de compra barata, tinta de baixo custo</v>
      </c>
      <c r="B54480" s="3">
        <v>1</v>
      </c>
    </row>
    <row r="54481" ht="15.75" customHeight="1" spans="1:2">
      <c r="A54481" s="3" t="str">
        <f>IFERROR(__xludf.DUMMYFUNCTION("GOOGLETRANSLATE(A54481,""en"",""pt"")"),"preço, qualidade, garantia")</f>
        <v>preço, qualidade, garantia</v>
      </c>
      <c r="B54481" s="3">
        <v>1</v>
      </c>
    </row>
    <row r="54482" ht="15.75" customHeight="1" spans="1:2">
      <c r="A54482" s="3" t="str">
        <f>IFERROR(__xludf.DUMMYFUNCTION("GOOGLETRANSLATE(A54482,""en"",""pt"")"),"Fácil carregamento, impressão de qualidade")</f>
        <v>Fácil carregamento, impressão de qualidade</v>
      </c>
      <c r="B54482" s="3">
        <v>1</v>
      </c>
    </row>
    <row r="54483" ht="15.75" customHeight="1" spans="1:2">
      <c r="A54483" s="3" t="str">
        <f>IFERROR(__xludf.DUMMYFUNCTION("GOOGLETRANSLATE(A54483,""en"",""pt"")"),"Como eu disse antes .. Ela imprime grande")</f>
        <v>Como eu disse antes .. Ela imprime grande</v>
      </c>
      <c r="B54483" s="3">
        <v>1</v>
      </c>
    </row>
    <row r="54484" ht="15.75" customHeight="1" spans="1:2">
      <c r="A54484" s="3" t="str">
        <f>IFERROR(__xludf.DUMMYFUNCTION("GOOGLETRANSLATE(A54484,""en"",""pt"")"),"Barato, boa qualidade de texto, fácil de usar")</f>
        <v>Barato, boa qualidade de texto, fácil de usar</v>
      </c>
      <c r="B54484" s="3">
        <v>1</v>
      </c>
    </row>
    <row r="54485" ht="15.75" customHeight="1" spans="1:2">
      <c r="A54485" s="3" t="str">
        <f>IFERROR(__xludf.DUMMYFUNCTION("GOOGLETRANSLATE(A54485,""en"",""pt"")"),"compactar")</f>
        <v>compactar</v>
      </c>
      <c r="B54485" s="3">
        <v>1</v>
      </c>
    </row>
    <row r="54486" ht="15.75" customHeight="1" spans="1:2">
      <c r="A54486" s="3" t="str">
        <f>IFERROR(__xludf.DUMMYFUNCTION("GOOGLETRANSLATE(A54486,""en"",""pt"")"),"Excelente garantia de uma excelente companhia")</f>
        <v>Excelente garantia de uma excelente companhia</v>
      </c>
      <c r="B54486" s="3">
        <v>1</v>
      </c>
    </row>
    <row r="54487" ht="15.75" customHeight="1" spans="1:2">
      <c r="A54487" s="3" t="str">
        <f>IFERROR(__xludf.DUMMYFUNCTION("GOOGLETRANSLATE(A54487,""en"",""pt"")"),"Preço, grande ajuda técnica")</f>
        <v>Preço, grande ajuda técnica</v>
      </c>
      <c r="B54487" s="3">
        <v>1</v>
      </c>
    </row>
    <row r="54488" ht="15.75" customHeight="1" spans="1:2">
      <c r="A54488" s="3" t="str">
        <f>IFERROR(__xludf.DUMMYFUNCTION("GOOGLETRANSLATE(A54488,""en"",""pt"")"),"Barato")</f>
        <v>Barato</v>
      </c>
      <c r="B54488" s="3">
        <v>1</v>
      </c>
    </row>
    <row r="54489" ht="15.75" customHeight="1" spans="1:2">
      <c r="A54489" s="3" t="str">
        <f>IFERROR(__xludf.DUMMYFUNCTION("GOOGLETRANSLATE(A54489,""en"",""pt"")"),"barato, garantia de 3 anos")</f>
        <v>barato, garantia de 3 anos</v>
      </c>
      <c r="B54489" s="3">
        <v>1</v>
      </c>
    </row>
    <row r="54490" ht="15.75" customHeight="1" spans="1:2">
      <c r="A54490" s="3" t="str">
        <f>IFERROR(__xludf.DUMMYFUNCTION("GOOGLETRANSLATE(A54490,""en"",""pt"")"),"bom software / instalação fácil / podem ser encontrados barato.")</f>
        <v>bom software / instalação fácil / podem ser encontrados barato.</v>
      </c>
      <c r="B54490" s="3">
        <v>1</v>
      </c>
    </row>
    <row r="54491" ht="15.75" customHeight="1" spans="1:2">
      <c r="A54491" s="3" t="str">
        <f>IFERROR(__xludf.DUMMYFUNCTION("GOOGLETRANSLATE(A54491,""en"",""pt"")"),"boa qualidade de impressão")</f>
        <v>boa qualidade de impressão</v>
      </c>
      <c r="B54491" s="3">
        <v>1</v>
      </c>
    </row>
    <row r="54492" ht="15.75" customHeight="1" spans="1:2">
      <c r="A54492" s="3" t="str">
        <f>IFERROR(__xludf.DUMMYFUNCTION("GOOGLETRANSLATE(A54492,""en"",""pt"")"),"barato,, poucas peças pequenas, fáceis")</f>
        <v>barato,, poucas peças pequenas, fáceis</v>
      </c>
      <c r="B54492" s="3">
        <v>1</v>
      </c>
    </row>
    <row r="54493" ht="15.75" customHeight="1" spans="1:2">
      <c r="A54493" s="3" t="str">
        <f>IFERROR(__xludf.DUMMYFUNCTION("GOOGLETRANSLATE(A54493,""en"",""pt"")"),"Rápido, prático, leve")</f>
        <v>Rápido, prático, leve</v>
      </c>
      <c r="B54493" s="3">
        <v>1</v>
      </c>
    </row>
    <row r="54494" ht="15.75" customHeight="1" spans="1:2">
      <c r="A54494" s="3" t="s">
        <v>102</v>
      </c>
      <c r="B54494" s="3">
        <v>1</v>
      </c>
    </row>
    <row r="54495" ht="15.75" customHeight="1" spans="1:2">
      <c r="A54495" s="3" t="str">
        <f>IFERROR(__xludf.DUMMYFUNCTION("GOOGLETRANSLATE(A54495,""en"",""pt"")"),"Jack of All Trades")</f>
        <v>Jack of All Trades</v>
      </c>
      <c r="B54495" s="3">
        <v>1</v>
      </c>
    </row>
    <row r="54496" ht="15.75" customHeight="1" spans="1:2">
      <c r="A54496" s="3" t="str">
        <f>IFERROR(__xludf.DUMMYFUNCTION("GOOGLETRANSLATE(A54496,""en"",""pt"")"),"Feito pela Xerox ... um americano baseado")</f>
        <v>Feito pela Xerox ... um americano baseado</v>
      </c>
      <c r="B54496" s="3">
        <v>1</v>
      </c>
    </row>
    <row r="54497" ht="15.75" customHeight="1" spans="1:2">
      <c r="A54497" s="3" t="str">
        <f>IFERROR(__xludf.DUMMYFUNCTION("GOOGLETRANSLATE(A54497,""en"",""pt"")"),"há prós")</f>
        <v>há prós</v>
      </c>
      <c r="B54497" s="3">
        <v>1</v>
      </c>
    </row>
    <row r="54498" ht="15.75" customHeight="1" spans="1:2">
      <c r="A54498" s="3" t="str">
        <f>IFERROR(__xludf.DUMMYFUNCTION("GOOGLETRANSLATE(A54498,""en"",""pt"")"),"Confiável, de boa qualidade")</f>
        <v>Confiável, de boa qualidade</v>
      </c>
      <c r="B54498" s="3">
        <v>1</v>
      </c>
    </row>
    <row r="54499" ht="15.75" customHeight="1" spans="1:2">
      <c r="A54499" s="3" t="str">
        <f>IFERROR(__xludf.DUMMYFUNCTION("GOOGLETRANSLATE(A54499,""en"",""pt"")"),"preço")</f>
        <v>preço</v>
      </c>
      <c r="B54499" s="3">
        <v>1</v>
      </c>
    </row>
    <row r="54500" ht="15.75" customHeight="1" spans="1:2">
      <c r="A54500" s="3" t="str">
        <f>IFERROR(__xludf.DUMMYFUNCTION("GOOGLETRANSLATE(A54500,""en"",""pt"")"),"Preço")</f>
        <v>Preço</v>
      </c>
      <c r="B54500" s="3">
        <v>1</v>
      </c>
    </row>
    <row r="54501" ht="15.75" customHeight="1" spans="1:2">
      <c r="A54501" s="3" t="str">
        <f>IFERROR(__xludf.DUMMYFUNCTION("GOOGLETRANSLATE(A54501,""en"",""pt"")"),"Grande máquina a um bom preço.")</f>
        <v>Grande máquina a um bom preço.</v>
      </c>
      <c r="B54501" s="3">
        <v>1</v>
      </c>
    </row>
    <row r="54502" ht="15.75" customHeight="1" spans="1:2">
      <c r="A54502" s="3" t="str">
        <f>IFERROR(__xludf.DUMMYFUNCTION("GOOGLETRANSLATE(A54502,""en"",""pt"")"),"tantas funções que todo grande trabalho")</f>
        <v>tantas funções que todo grande trabalho</v>
      </c>
      <c r="B54502" s="3">
        <v>1</v>
      </c>
    </row>
    <row r="54503" ht="15.75" customHeight="1" spans="1:2">
      <c r="A54503" s="3" t="str">
        <f>IFERROR(__xludf.DUMMYFUNCTION("GOOGLETRANSLATE(A54503,""en"",""pt"")"),"Faz tudo!")</f>
        <v>Faz tudo!</v>
      </c>
      <c r="B54503" s="3">
        <v>1</v>
      </c>
    </row>
    <row r="54504" ht="15.75" customHeight="1" spans="1:2">
      <c r="A54504" s="3" t="str">
        <f>IFERROR(__xludf.DUMMYFUNCTION("GOOGLETRANSLATE(A54504,""en"",""pt"")"),"Você começa uma impressora, copiadora, fax e scanner tudo em uma máquina!")</f>
        <v>Você começa uma impressora, copiadora, fax e scanner tudo em uma máquina!</v>
      </c>
      <c r="B54504" s="3">
        <v>1</v>
      </c>
    </row>
    <row r="54505" ht="15.75" customHeight="1" spans="1:2">
      <c r="A54505" s="3" t="str">
        <f>IFERROR(__xludf.DUMMYFUNCTION("GOOGLETRANSLATE(A54505,""en"",""pt"")"),"Esta máquina é um cavalo de trabalho, ele faz tudo!")</f>
        <v>Esta máquina é um cavalo de trabalho, ele faz tudo!</v>
      </c>
      <c r="B54505" s="3">
        <v>1</v>
      </c>
    </row>
    <row r="54506" ht="15.75" customHeight="1" spans="1:2">
      <c r="A54506" s="3" t="str">
        <f>IFERROR(__xludf.DUMMYFUNCTION("GOOGLETRANSLATE(A54506,""en"",""pt"")"),"Impressora, aparelho de fax, copiadora &amp; amp; Scanner")</f>
        <v>Impressora, aparelho de fax, copiadora &amp; amp; Scanner</v>
      </c>
      <c r="B54506" s="3">
        <v>1</v>
      </c>
    </row>
    <row r="54507" ht="15.75" customHeight="1" spans="1:2">
      <c r="A54507" s="3" t="str">
        <f>IFERROR(__xludf.DUMMYFUNCTION("GOOGLETRANSLATE(A54507,""en"",""pt"")"),"Barato vendendo atualmente por US $ 99")</f>
        <v>Barato vendendo atualmente por US $ 99</v>
      </c>
      <c r="B54507" s="3">
        <v>1</v>
      </c>
    </row>
    <row r="54508" ht="15.75" customHeight="1" spans="1:2">
      <c r="A54508" s="3" t="str">
        <f>IFERROR(__xludf.DUMMYFUNCTION("GOOGLETRANSLATE(A54508,""en"",""pt"")"),"Barato, rápido, fácil de usar, boa funcionalidade, fácil de substituir tinta")</f>
        <v>Barato, rápido, fácil de usar, boa funcionalidade, fácil de substituir tinta</v>
      </c>
      <c r="B54508" s="3">
        <v>1</v>
      </c>
    </row>
    <row r="54509" ht="15.75" customHeight="1" spans="1:2">
      <c r="A54509" s="3" t="str">
        <f>IFERROR(__xludf.DUMMYFUNCTION("GOOGLETRANSLATE(A54509,""en"",""pt"")"),"Fácil de usar - especialmente para o ""computador quase analfabeto!""")</f>
        <v>Fácil de usar - especialmente para o "computador quase analfabeto!"</v>
      </c>
      <c r="B54509" s="3">
        <v>1</v>
      </c>
    </row>
    <row r="54510" ht="15.75" customHeight="1" spans="1:2">
      <c r="A54510" s="3" t="str">
        <f>IFERROR(__xludf.DUMMYFUNCTION("GOOGLETRANSLATE(A54510,""en"",""pt"")"),"Facilidade de instalação, geral Qualidade de Impressão")</f>
        <v>Facilidade de instalação, geral Qualidade de Impressão</v>
      </c>
      <c r="B54510" s="3">
        <v>1</v>
      </c>
    </row>
    <row r="54511" ht="15.75" customHeight="1" spans="1:2">
      <c r="A54511" s="3" t="str">
        <f>IFERROR(__xludf.DUMMYFUNCTION("GOOGLETRANSLATE(A54511,""en"",""pt"")"),"Limpar impressão e qualidade da cópia")</f>
        <v>Limpar impressão e qualidade da cópia</v>
      </c>
      <c r="B54511" s="3">
        <v>1</v>
      </c>
    </row>
    <row r="54512" ht="15.75" customHeight="1" spans="1:2">
      <c r="A54512" s="3" t="str">
        <f>IFERROR(__xludf.DUMMYFUNCTION("GOOGLETRANSLATE(A54512,""en"",""pt"")"),"Boa multifunções, desempenho sólido - quando funciona")</f>
        <v>Boa multifunções, desempenho sólido - quando funciona</v>
      </c>
      <c r="B54512" s="3">
        <v>1</v>
      </c>
    </row>
    <row r="54513" ht="15.75" customHeight="1" spans="1:2">
      <c r="A54513" s="3" t="str">
        <f>IFERROR(__xludf.DUMMYFUNCTION("GOOGLETRANSLATE(A54513,""en"",""pt"")"),"Mais barato Flatbed-Scanner de Impressão")</f>
        <v>Mais barato Flatbed-Scanner de Impressão</v>
      </c>
      <c r="B54513" s="3">
        <v>1</v>
      </c>
    </row>
    <row r="54514" ht="15.75" customHeight="1" spans="1:2">
      <c r="A54514" s="3" t="str">
        <f>IFERROR(__xludf.DUMMYFUNCTION("GOOGLETRANSLATE(A54514,""en"",""pt"")"),"Nice design, faz cópias brilhantes")</f>
        <v>Nice design, faz cópias brilhantes</v>
      </c>
      <c r="B54514" s="3">
        <v>1</v>
      </c>
    </row>
    <row r="54515" ht="15.75" customHeight="1" spans="1:2">
      <c r="A54515" s="3" t="str">
        <f>IFERROR(__xludf.DUMMYFUNCTION("GOOGLETRANSLATE(A54515,""en"",""pt"")"),"A qualidade de impressão, software empacotado, qualidade Xerox, facilidade de utilização, versatilidade")</f>
        <v>A qualidade de impressão, software empacotado, qualidade Xerox, facilidade de utilização, versatilidade</v>
      </c>
      <c r="B54515" s="3">
        <v>1</v>
      </c>
    </row>
    <row r="54516" ht="15.75" customHeight="1" spans="1:2">
      <c r="A54516" s="3" t="str">
        <f>IFERROR(__xludf.DUMMYFUNCTION("GOOGLETRANSLATE(A54516,""en"",""pt"")"),"Útil quando se trabalha.")</f>
        <v>Útil quando se trabalha.</v>
      </c>
      <c r="B54516" s="3">
        <v>1</v>
      </c>
    </row>
    <row r="54517" ht="15.75" customHeight="1" spans="1:2">
      <c r="A54517" s="3" t="str">
        <f>IFERROR(__xludf.DUMMYFUNCTION("GOOGLETRANSLATE(A54517,""en"",""pt"")"),"Útil quando se trabalha")</f>
        <v>Útil quando se trabalha</v>
      </c>
      <c r="B54517" s="3">
        <v>1</v>
      </c>
    </row>
    <row r="54518" ht="15.75" customHeight="1" spans="1:2">
      <c r="A54518" s="3" t="str">
        <f>IFERROR(__xludf.DUMMYFUNCTION("GOOGLETRANSLATE(A54518,""en"",""pt"")"),"Impressora a laser e Legal Flatbed Copier")</f>
        <v>Impressora a laser e Legal Flatbed Copier</v>
      </c>
      <c r="B54518" s="3">
        <v>1</v>
      </c>
    </row>
    <row r="54519" ht="15.75" customHeight="1" spans="1:2">
      <c r="A54519" s="3" t="str">
        <f>IFERROR(__xludf.DUMMYFUNCTION("GOOGLETRANSLATE(A54519,""en"",""pt"")"),"Quando funciona, o que torna para uma impressora fina laser.")</f>
        <v>Quando funciona, o que torna para uma impressora fina laser.</v>
      </c>
      <c r="B54519" s="3">
        <v>1</v>
      </c>
    </row>
    <row r="54520" ht="15.75" customHeight="1" spans="1:2">
      <c r="A54520" s="3" t="str">
        <f>IFERROR(__xludf.DUMMYFUNCTION("GOOGLETRANSLATE(A54520,""en"",""pt"")"),"tamanho grande")</f>
        <v>tamanho grande</v>
      </c>
      <c r="B54520" s="3">
        <v>1</v>
      </c>
    </row>
    <row r="54521" ht="15.75" customHeight="1" spans="1:2">
      <c r="A54521" s="3" t="str">
        <f>IFERROR(__xludf.DUMMYFUNCTION("GOOGLETRANSLATE(A54521,""en"",""pt"")"),"Ótimo preço para um laser de mesa")</f>
        <v>Ótimo preço para um laser de mesa</v>
      </c>
      <c r="B54521" s="3">
        <v>1</v>
      </c>
    </row>
    <row r="54522" ht="15.75" customHeight="1" spans="1:2">
      <c r="A54522" s="3" t="str">
        <f>IFERROR(__xludf.DUMMYFUNCTION("GOOGLETRANSLATE(A54522,""en"",""pt"")"),"Garantia, bom preço, rápido")</f>
        <v>Garantia, bom preço, rápido</v>
      </c>
      <c r="B54522" s="3">
        <v>1</v>
      </c>
    </row>
    <row r="54523" ht="15.75" customHeight="1" spans="1:2">
      <c r="A54523" s="3" t="str">
        <f>IFERROR(__xludf.DUMMYFUNCTION("GOOGLETRANSLATE(A54523,""en"",""pt"")"),"barato inicial")</f>
        <v>barato inicial</v>
      </c>
      <c r="B54523" s="3">
        <v>1</v>
      </c>
    </row>
    <row r="54524" ht="15.75" customHeight="1" spans="1:2">
      <c r="A54524" s="3" t="str">
        <f>IFERROR(__xludf.DUMMYFUNCTION("GOOGLETRANSLATE(A54524,""en"",""pt"")"),"4 em 1, ótimo preço, pequeno, de boa qualidade")</f>
        <v>4 em 1, ótimo preço, pequeno, de boa qualidade</v>
      </c>
      <c r="B54524" s="3">
        <v>1</v>
      </c>
    </row>
    <row r="54525" ht="15.75" customHeight="1" spans="1:2">
      <c r="A54525" s="3" t="str">
        <f>IFERROR(__xludf.DUMMYFUNCTION("GOOGLETRANSLATE(A54525,""en"",""pt"")"),"me diz quando o toner está baixo. Scanner de mesa. fax de mesa. impressão rápida.")</f>
        <v>me diz quando o toner está baixo. Scanner de mesa. fax de mesa. impressão rápida.</v>
      </c>
      <c r="B54525" s="3">
        <v>1</v>
      </c>
    </row>
    <row r="54526" ht="15.75" customHeight="1" spans="1:2">
      <c r="A54526" s="3" t="str">
        <f>IFERROR(__xludf.DUMMYFUNCTION("GOOGLETRANSLATE(A54526,""en"",""pt"")"),"Bom tamanho. Bastante fácil de configurar. impressões de boa qualidade (quando funciona).")</f>
        <v>Bom tamanho. Bastante fácil de configurar. impressões de boa qualidade (quando funciona).</v>
      </c>
      <c r="B54526" s="3">
        <v>1</v>
      </c>
    </row>
    <row r="54527" ht="15.75" customHeight="1" spans="1:2">
      <c r="A54527" s="3" t="str">
        <f>IFERROR(__xludf.DUMMYFUNCTION("GOOGLETRANSLATE(A54527,""en"",""pt"")"),"Compacto, versátil, fácil de usar.")</f>
        <v>Compacto, versátil, fácil de usar.</v>
      </c>
      <c r="B54527" s="3">
        <v>1</v>
      </c>
    </row>
    <row r="54528" ht="15.75" customHeight="1" spans="1:2">
      <c r="A54528" s="3" t="str">
        <f>IFERROR(__xludf.DUMMYFUNCTION("GOOGLETRANSLATE(A54528,""en"",""pt"")"),"cópias coloridas olhar muito bom")</f>
        <v>cópias coloridas olhar muito bom</v>
      </c>
      <c r="B54528" s="3">
        <v>1</v>
      </c>
    </row>
    <row r="54529" ht="15.75" customHeight="1" spans="1:2">
      <c r="A54529" s="3" t="str">
        <f>IFERROR(__xludf.DUMMYFUNCTION("GOOGLETRANSLATE(A54529,""en"",""pt"")"),"Compacto, barato e confiável.")</f>
        <v>Compacto, barato e confiável.</v>
      </c>
      <c r="B54529" s="3">
        <v>1</v>
      </c>
    </row>
    <row r="54530" ht="15.75" customHeight="1" spans="1:2">
      <c r="A54530" s="3" t="str">
        <f>IFERROR(__xludf.DUMMYFUNCTION("GOOGLETRANSLATE(A54530,""en"",""pt"")"),"custo mais barato")</f>
        <v>custo mais barato</v>
      </c>
      <c r="B54530" s="3">
        <v>1</v>
      </c>
    </row>
    <row r="54531" ht="15.75" customHeight="1" spans="1:2">
      <c r="A54531" s="3" t="str">
        <f>IFERROR(__xludf.DUMMYFUNCTION("GOOGLETRANSLATE(A54531,""en"",""pt"")"),"grandes documentos com aparência, fácil de usar scanner de")</f>
        <v>grandes documentos com aparência, fácil de usar scanner de</v>
      </c>
      <c r="B54531" s="3">
        <v>1</v>
      </c>
    </row>
    <row r="54532" ht="15.75" customHeight="1" spans="1:2">
      <c r="A54532" s="3" t="str">
        <f>IFERROR(__xludf.DUMMYFUNCTION("GOOGLETRANSLATE(A54532,""en"",""pt"")"),"boa qualidade, copiadora (cor + B &amp; amp; W) / leitor / impressora")</f>
        <v>boa qualidade, copiadora (cor + B &amp; amp; W) / leitor / impressora</v>
      </c>
      <c r="B54532" s="3">
        <v>1</v>
      </c>
    </row>
    <row r="54533" ht="15.75" customHeight="1" spans="1:2">
      <c r="A54533" s="3" t="str">
        <f>IFERROR(__xludf.DUMMYFUNCTION("GOOGLETRANSLATE(A54533,""en"",""pt"")"),"Pacote decente para menos de US $ 200. (O preço agora provavelmente cair abaixo de US $ 150)")</f>
        <v>Pacote decente para menos de US $ 200. (O preço agora provavelmente cair abaixo de US $ 150)</v>
      </c>
      <c r="B54533" s="3">
        <v>1</v>
      </c>
    </row>
    <row r="54534" ht="15.75" customHeight="1" spans="1:2">
      <c r="A54534" s="3" t="str">
        <f>IFERROR(__xludf.DUMMYFUNCTION("GOOGLETRANSLATE(A54534,""en"",""pt"")"),"3 em 1 ,, bastante barato ,, fácil de usar")</f>
        <v>3 em 1 ,, bastante barato ,, fácil de usar</v>
      </c>
      <c r="B54534" s="3">
        <v>1</v>
      </c>
    </row>
    <row r="54535" ht="15.75" customHeight="1" spans="1:2">
      <c r="A54535" s="3" t="str">
        <f>IFERROR(__xludf.DUMMYFUNCTION("GOOGLETRANSLATE(A54535,""en"",""pt"")"),"características de baixo custo bons")</f>
        <v>características de baixo custo bons</v>
      </c>
      <c r="B54535" s="3">
        <v>1</v>
      </c>
    </row>
    <row r="54536" ht="15.75" customHeight="1" spans="1:2">
      <c r="A54536" s="3" t="str">
        <f>IFERROR(__xludf.DUMMYFUNCTION("GOOGLETRANSLATE(A54536,""en"",""pt"")"),"De alta qualidade, a conveniência de combinar vários periféricos, USB permite a colocação longe de seu PC.")</f>
        <v>De alta qualidade, a conveniência de combinar vários periféricos, USB permite a colocação longe de seu PC.</v>
      </c>
      <c r="B54536" s="3">
        <v>1</v>
      </c>
    </row>
    <row r="54537" ht="15.75" customHeight="1" spans="1:2">
      <c r="A54537" s="3" t="str">
        <f>IFERROR(__xludf.DUMMYFUNCTION("GOOGLETRANSLATE(A54537,""en"",""pt"")"),"Imprime, digitaliza, copia tudo em um")</f>
        <v>Imprime, digitaliza, copia tudo em um</v>
      </c>
      <c r="B54537" s="3">
        <v>1</v>
      </c>
    </row>
    <row r="54538" ht="15.75" customHeight="1" spans="1:2">
      <c r="A54538" s="3" t="str">
        <f>IFERROR(__xludf.DUMMYFUNCTION("GOOGLETRANSLATE(A54538,""en"",""pt"")"),"Simplicidade em operação, custo e qualidade de impressão")</f>
        <v>Simplicidade em operação, custo e qualidade de impressão</v>
      </c>
      <c r="B54538" s="3">
        <v>1</v>
      </c>
    </row>
    <row r="54539" ht="15.75" customHeight="1" spans="1:2">
      <c r="A54539" s="3" t="str">
        <f>IFERROR(__xludf.DUMMYFUNCTION("GOOGLETRANSLATE(A54539,""en"",""pt"")"),"tamanho pequeno, um bom software incluído gratuitamente com a unidade")</f>
        <v>tamanho pequeno, um bom software incluído gratuitamente com a unidade</v>
      </c>
      <c r="B54539" s="3">
        <v>1</v>
      </c>
    </row>
    <row r="54540" ht="15.75" customHeight="1" spans="1:2">
      <c r="A54540" s="3" t="s">
        <v>290</v>
      </c>
      <c r="B54540" s="3">
        <v>1</v>
      </c>
    </row>
    <row r="54541" ht="15.75" customHeight="1" spans="1:2">
      <c r="A54541" s="3" t="str">
        <f>IFERROR(__xludf.DUMMYFUNCTION("GOOGLETRANSLATE(A54541,""en"",""pt"")"),"Fair preço, muito boa impressão de fotos,")</f>
        <v>Fair preço, muito boa impressão de fotos,</v>
      </c>
      <c r="B54541" s="3">
        <v>1</v>
      </c>
    </row>
    <row r="54542" ht="15.75" customHeight="1" spans="1:2">
      <c r="A54542" s="3" t="str">
        <f>IFERROR(__xludf.DUMMYFUNCTION("GOOGLETRANSLATE(A54542,""en"",""pt"")"),"Boa capacidade de impressão")</f>
        <v>Boa capacidade de impressão</v>
      </c>
      <c r="B54542" s="3">
        <v>1</v>
      </c>
    </row>
    <row r="54543" ht="15.75" customHeight="1" spans="1:2">
      <c r="A54543" s="3" t="str">
        <f>IFERROR(__xludf.DUMMYFUNCTION("GOOGLETRANSLATE(A54543,""en"",""pt"")"),"Fácil de usar, poderoso, barato para a máquina da sua classe")</f>
        <v>Fácil de usar, poderoso, barato para a máquina da sua classe</v>
      </c>
      <c r="B54543" s="3">
        <v>1</v>
      </c>
    </row>
    <row r="54544" ht="15.75" customHeight="1" spans="1:2">
      <c r="A54544" s="3" t="str">
        <f>IFERROR(__xludf.DUMMYFUNCTION("GOOGLETRANSLATE(A54544,""en"",""pt"")"),"Um grande tudo-em-uma máquina!")</f>
        <v>Um grande tudo-em-uma máquina!</v>
      </c>
      <c r="B54544" s="3">
        <v>1</v>
      </c>
    </row>
    <row r="54545" ht="15.75" customHeight="1" spans="1:2">
      <c r="A54545" s="3" t="str">
        <f>IFERROR(__xludf.DUMMYFUNCTION("GOOGLETRANSLATE(A54545,""en"",""pt"")"),"qualidade de impressão, digitalização e cópia")</f>
        <v>qualidade de impressão, digitalização e cópia</v>
      </c>
      <c r="B54545" s="3">
        <v>1</v>
      </c>
    </row>
    <row r="54546" ht="15.75" customHeight="1" spans="1:2">
      <c r="A54546" s="3" t="str">
        <f>IFERROR(__xludf.DUMMYFUNCTION("GOOGLETRANSLATE(A54546,""en"",""pt"")"),"Funciona bem, muito calmo, muito melhor resolução, Pagis Pro software boa !!")</f>
        <v>Funciona bem, muito calmo, muito melhor resolução, Pagis Pro software boa !!</v>
      </c>
      <c r="B54546" s="3">
        <v>1</v>
      </c>
    </row>
    <row r="54547" ht="15.75" customHeight="1" spans="1:2">
      <c r="A54547" s="3" t="str">
        <f>IFERROR(__xludf.DUMMYFUNCTION("GOOGLETRANSLATE(A54547,""en"",""pt"")"),"Scanner de mesa")</f>
        <v>Scanner de mesa</v>
      </c>
      <c r="B54547" s="3">
        <v>1</v>
      </c>
    </row>
    <row r="54548" ht="15.75" customHeight="1" spans="1:2">
      <c r="A54548" s="3" t="str">
        <f>IFERROR(__xludf.DUMMYFUNCTION("GOOGLETRANSLATE(A54548,""en"",""pt"")"),"Excelente preço para uma máquina multi-tarefa; Tamanho compacto; qualidade de saída")</f>
        <v>Excelente preço para uma máquina multi-tarefa; Tamanho compacto; qualidade de saída</v>
      </c>
      <c r="B54548" s="3">
        <v>1</v>
      </c>
    </row>
    <row r="54549" ht="15.75" customHeight="1" spans="1:2">
      <c r="A54549" s="3" t="str">
        <f>IFERROR(__xludf.DUMMYFUNCTION("GOOGLETRANSLATE(A54549,""en"",""pt"")"),"Scanner / Copiadora / impressora, USB e porta paralela, Bom Software, todo bom pacote")</f>
        <v>Scanner / Copiadora / impressora, USB e porta paralela, Bom Software, todo bom pacote</v>
      </c>
      <c r="B54549" s="3">
        <v>1</v>
      </c>
    </row>
    <row r="54550" ht="15.75" customHeight="1" spans="1:2">
      <c r="A54550" s="3" t="str">
        <f>IFERROR(__xludf.DUMMYFUNCTION("GOOGLETRANSLATE(A54550,""en"",""pt"")"),"Preço desceu, casa a preços acessíveis / pequena empresa tudo-em-uma máquina.")</f>
        <v>Preço desceu, casa a preços acessíveis / pequena empresa tudo-em-uma máquina.</v>
      </c>
      <c r="B54550" s="3">
        <v>1</v>
      </c>
    </row>
    <row r="54551" ht="15.75" customHeight="1" spans="1:2">
      <c r="A54551" s="3" t="str">
        <f>IFERROR(__xludf.DUMMYFUNCTION("GOOGLETRANSLATE(A54551,""en"",""pt"")"),"telefone parece bom, fácil configuração, a maioria dos recursos necessários incluídos")</f>
        <v>telefone parece bom, fácil configuração, a maioria dos recursos necessários incluídos</v>
      </c>
      <c r="B54551" s="3">
        <v>1</v>
      </c>
    </row>
    <row r="54552" ht="15.75" customHeight="1" spans="1:2">
      <c r="A54552" s="3" t="str">
        <f>IFERROR(__xludf.DUMMYFUNCTION("GOOGLETRANSLATE(A54552,""en"",""pt"")"),"Excelente som do auricular; design elegante; belo (se não superlativo) ecrã")</f>
        <v>Excelente som do auricular; design elegante; belo (se não superlativo) ecrã</v>
      </c>
      <c r="B54552" s="3">
        <v>1</v>
      </c>
    </row>
    <row r="54553" ht="15.75" customHeight="1" spans="1:2">
      <c r="A54553" s="3" t="str">
        <f>IFERROR(__xludf.DUMMYFUNCTION("GOOGLETRANSLATE(A54553,""en"",""pt"")"),"Pequeno para um telefone flip, monitores LCD dupla, resistente, fácil de interface de uso, inclui fone de ouvido")</f>
        <v>Pequeno para um telefone flip, monitores LCD dupla, resistente, fácil de interface de uso, inclui fone de ouvido</v>
      </c>
      <c r="B54553" s="3">
        <v>1</v>
      </c>
    </row>
    <row r="54554" ht="15.75" customHeight="1" spans="1:2">
      <c r="A54554" s="3" t="str">
        <f>IFERROR(__xludf.DUMMYFUNCTION("GOOGLETRANSLATE(A54554,""en"",""pt"")"),"Grande telefone com um ótimo layout e design")</f>
        <v>Grande telefone com um ótimo layout e design</v>
      </c>
      <c r="B54554" s="3">
        <v>1</v>
      </c>
    </row>
    <row r="54555" ht="15.75" customHeight="1" spans="1:2">
      <c r="A54555" s="3" t="str">
        <f>IFERROR(__xludf.DUMMYFUNCTION("GOOGLETRANSLATE(A54555,""en"",""pt"")"),"Durável, elegante, Clear Screen, grande som")</f>
        <v>Durável, elegante, Clear Screen, grande som</v>
      </c>
      <c r="B54555" s="3">
        <v>1</v>
      </c>
    </row>
    <row r="54556" ht="15.75" customHeight="1" spans="1:2">
      <c r="A54556" s="3" t="str">
        <f>IFERROR(__xludf.DUMMYFUNCTION("GOOGLETRANSLATE(A54556,""en"",""pt"")"),"Dureza, facilidade de navegação")</f>
        <v>Dureza, facilidade de navegação</v>
      </c>
      <c r="B54556" s="3">
        <v>1</v>
      </c>
    </row>
    <row r="54557" ht="15.75" customHeight="1" spans="1:2">
      <c r="A54557" s="3" t="str">
        <f>IFERROR(__xludf.DUMMYFUNCTION("GOOGLETRANSLATE(A54557,""en"",""pt"")"),"Muito simples de usar, grande autonomia da bateria, muito durável, vem com a orelha com fio fone de ouvido.")</f>
        <v>Muito simples de usar, grande autonomia da bateria, muito durável, vem com a orelha com fio fone de ouvido.</v>
      </c>
      <c r="B54557" s="3">
        <v>1</v>
      </c>
    </row>
    <row r="54558" ht="15.75" customHeight="1" spans="1:2">
      <c r="A54558" s="3" t="str">
        <f>IFERROR(__xludf.DUMMYFUNCTION("GOOGLETRANSLATE(A54558,""en"",""pt"")"),"bateria de longa duração.")</f>
        <v>bateria de longa duração.</v>
      </c>
      <c r="B54558" s="3">
        <v>1</v>
      </c>
    </row>
    <row r="54559" ht="15.75" customHeight="1" spans="1:2">
      <c r="A54559" s="3" t="str">
        <f>IFERROR(__xludf.DUMMYFUNCTION("GOOGLETRANSLATE(A54559,""en"",""pt"")"),"Pequeno, elegante, display colorido vibrante, RECEPÇÃO IMPRESSIONANTE, monitor externo, ""voz"" som do teclado (o torna único)")</f>
        <v>Pequeno, elegante, display colorido vibrante, RECEPÇÃO IMPRESSIONANTE, monitor externo, "voz" som do teclado (o torna único)</v>
      </c>
      <c r="B54559" s="3">
        <v>1</v>
      </c>
    </row>
    <row r="54560" ht="15.75" customHeight="1" spans="1:2">
      <c r="A54560" s="3" t="str">
        <f>IFERROR(__xludf.DUMMYFUNCTION("GOOGLETRANSLATE(A54560,""en"",""pt"")"),"Parece legal, preço razoável.")</f>
        <v>Parece legal, preço razoável.</v>
      </c>
      <c r="B54560" s="3">
        <v>1</v>
      </c>
    </row>
    <row r="54561" ht="15.75" customHeight="1" spans="1:2">
      <c r="A54561" s="3" t="str">
        <f>IFERROR(__xludf.DUMMYFUNCTION("GOOGLETRANSLATE(A54561,""en"",""pt"")"),"agradável aleta, bonita,, toques bonitos coloridos,")</f>
        <v>agradável aleta, bonita,, toques bonitos coloridos,</v>
      </c>
      <c r="B54561" s="3">
        <v>1</v>
      </c>
    </row>
    <row r="54562" ht="15.75" customHeight="1" spans="1:2">
      <c r="A54562" s="3" t="str">
        <f>IFERROR(__xludf.DUMMYFUNCTION("GOOGLETRANSLATE(A54562,""en"",""pt"")"),"Parece bom (yahoo ...)")</f>
        <v>Parece bom (yahoo ...)</v>
      </c>
      <c r="B54562" s="3">
        <v>1</v>
      </c>
    </row>
    <row r="54563" ht="15.75" customHeight="1" spans="1:2">
      <c r="A54563" s="3" t="str">
        <f>IFERROR(__xludf.DUMMYFUNCTION("GOOGLETRANSLATE(A54563,""en"",""pt"")"),"Foi livre ... isso é tudo.")</f>
        <v>Foi livre ... isso é tudo.</v>
      </c>
      <c r="B54563" s="3">
        <v>1</v>
      </c>
    </row>
    <row r="54564" ht="15.75" customHeight="1" spans="1:2">
      <c r="A54564" s="3" t="str">
        <f>IFERROR(__xludf.DUMMYFUNCTION("GOOGLETRANSLATE(A54564,""en"",""pt"")"),"Veja acima")</f>
        <v>Veja acima</v>
      </c>
      <c r="B54564" s="3">
        <v>1</v>
      </c>
    </row>
    <row r="54565" ht="15.75" customHeight="1" spans="1:2">
      <c r="A54565" s="3" t="str">
        <f>IFERROR(__xludf.DUMMYFUNCTION("GOOGLETRANSLATE(A54565,""en"",""pt"")"),"Discussão / tempo de espera, software / memória apresenta, telas, Bluetooth e USB, modos de frequência Quatro GSM")</f>
        <v>Discussão / tempo de espera, software / memória apresenta, telas, Bluetooth e USB, modos de frequência Quatro GSM</v>
      </c>
      <c r="B54565" s="3">
        <v>1</v>
      </c>
    </row>
    <row r="54566" ht="15.75" customHeight="1" spans="1:2">
      <c r="A54566" s="3" t="s">
        <v>291</v>
      </c>
      <c r="B54566" s="3">
        <v>1</v>
      </c>
    </row>
    <row r="54567" ht="15.75" customHeight="1" spans="1:2">
      <c r="A54567" s="3" t="str">
        <f>IFERROR(__xludf.DUMMYFUNCTION("GOOGLETRANSLATE(A54567,""en"",""pt"")"),"É legal, viva-voz, opções, tamanho, bluetooth, som")</f>
        <v>É legal, viva-voz, opções, tamanho, bluetooth, som</v>
      </c>
      <c r="B54567" s="3">
        <v>1</v>
      </c>
    </row>
    <row r="54568" ht="15.75" customHeight="1" spans="1:2">
      <c r="A54568" s="3" t="str">
        <f>IFERROR(__xludf.DUMMYFUNCTION("GOOGLETRANSLATE(A54568,""en"",""pt"")"),"Elegante, bem construído, excelente interface / menus, grande funcionalidade, desempenho, tela grande")</f>
        <v>Elegante, bem construído, excelente interface / menus, grande funcionalidade, desempenho, tela grande</v>
      </c>
      <c r="B54568" s="3">
        <v>1</v>
      </c>
    </row>
    <row r="54569" ht="15.75" customHeight="1" spans="1:2">
      <c r="A54569" s="3" t="str">
        <f>IFERROR(__xludf.DUMMYFUNCTION("GOOGLETRANSLATE(A54569,""en"",""pt"")"),"grandes gráficos, imagens 4x, telefone magro")</f>
        <v>grandes gráficos, imagens 4x, telefone magro</v>
      </c>
      <c r="B54569" s="3">
        <v>1</v>
      </c>
    </row>
    <row r="54570" ht="15.75" customHeight="1" spans="1:2">
      <c r="A54570" s="3" t="str">
        <f>IFERROR(__xludf.DUMMYFUNCTION("GOOGLETRANSLATE(A54570,""en"",""pt"")"),"exibição agradável, grande lista telefónica, fácil de usar, design maravilhoso")</f>
        <v>exibição agradável, grande lista telefónica, fácil de usar, design maravilhoso</v>
      </c>
      <c r="B54570" s="3">
        <v>1</v>
      </c>
    </row>
    <row r="54571" ht="15.75" customHeight="1" spans="1:2">
      <c r="A54571" s="3" t="str">
        <f>IFERROR(__xludf.DUMMYFUNCTION("GOOGLETRANSLATE(A54571,""en"",""pt"")"),"design fino; À moda; recursos de personalização")</f>
        <v>design fino; À moda; recursos de personalização</v>
      </c>
      <c r="B54571" s="3">
        <v>1</v>
      </c>
    </row>
    <row r="54572" ht="15.75" customHeight="1" spans="1:2">
      <c r="A54572" s="3" t="str">
        <f>IFERROR(__xludf.DUMMYFUNCTION("GOOGLETRANSLATE(A54572,""en"",""pt"")"),"Cache máximo e recursos, incluindo blue tooth")</f>
        <v>Cache máximo e recursos, incluindo blue tooth</v>
      </c>
      <c r="B54572" s="3">
        <v>1</v>
      </c>
    </row>
    <row r="54573" ht="15.75" customHeight="1" spans="1:2">
      <c r="A54573" s="3" t="str">
        <f>IFERROR(__xludf.DUMMYFUNCTION("GOOGLETRANSLATE(A54573,""en"",""pt"")"),"Projeto, tamanho e peso, facilidade de uso de funções básicas, telas grandes e vibrantes.")</f>
        <v>Projeto, tamanho e peso, facilidade de uso de funções básicas, telas grandes e vibrantes.</v>
      </c>
      <c r="B54573" s="3">
        <v>1</v>
      </c>
    </row>
    <row r="54574" ht="15.75" customHeight="1" spans="1:2">
      <c r="A54574" s="3" t="str">
        <f>IFERROR(__xludf.DUMMYFUNCTION("GOOGLETRANSLATE(A54574,""en"",""pt"")"),"Fino e leve, excelente qualidade de som, elegante.")</f>
        <v>Fino e leve, excelente qualidade de som, elegante.</v>
      </c>
      <c r="B54574" s="3">
        <v>1</v>
      </c>
    </row>
    <row r="54575" ht="15.75" customHeight="1" spans="1:2">
      <c r="A54575" s="3" t="str">
        <f>IFERROR(__xludf.DUMMYFUNCTION("GOOGLETRANSLATE(A54575,""en"",""pt"")"),"Projeto brilhante, tela clara e nítida, a reprodução de MPEG4, suporte Quad band, Bluetooth")</f>
        <v>Projeto brilhante, tela clara e nítida, a reprodução de MPEG4, suporte Quad band, Bluetooth</v>
      </c>
      <c r="B54575" s="3">
        <v>1</v>
      </c>
    </row>
    <row r="54576" ht="15.75" customHeight="1" spans="1:2">
      <c r="A54576" s="3" t="str">
        <f>IFERROR(__xludf.DUMMYFUNCTION("GOOGLETRANSLATE(A54576,""en"",""pt"")"),"Solidamente construída, com uma série de características.")</f>
        <v>Solidamente construída, com uma série de características.</v>
      </c>
      <c r="B54576" s="3">
        <v>1</v>
      </c>
    </row>
    <row r="54577" ht="15.75" customHeight="1" spans="1:2">
      <c r="A54577" s="3" t="str">
        <f>IFERROR(__xludf.DUMMYFUNCTION("GOOGLETRANSLATE(A54577,""en"",""pt"")"),"aparência e design, capacidade Bluetooth, viva-voz, display brilhante")</f>
        <v>aparência e design, capacidade Bluetooth, viva-voz, display brilhante</v>
      </c>
      <c r="B54577" s="3">
        <v>1</v>
      </c>
    </row>
    <row r="54578" ht="15.75" customHeight="1" spans="1:2">
      <c r="A54578" s="3" t="str">
        <f>IFERROR(__xludf.DUMMYFUNCTION("GOOGLETRANSLATE(A54578,""en"",""pt"")"),"tela grande, bateria de longa duração, gravador de voz e temas")</f>
        <v>tela grande, bateria de longa duração, gravador de voz e temas</v>
      </c>
      <c r="B54578" s="3">
        <v>1</v>
      </c>
    </row>
    <row r="54579" ht="15.75" customHeight="1" spans="1:2">
      <c r="A54579" s="3" t="str">
        <f>IFERROR(__xludf.DUMMYFUNCTION("GOOGLETRANSLATE(A54579,""en"",""pt"")"),"Grande projeto, caso de alumínio, tela grande, alto-falante de telefone, ringtones MP3, conectividade USB padrão")</f>
        <v>Grande projeto, caso de alumínio, tela grande, alto-falante de telefone, ringtones MP3, conectividade USB padrão</v>
      </c>
      <c r="B54579" s="3">
        <v>1</v>
      </c>
    </row>
    <row r="54580" ht="15.75" customHeight="1" spans="1:2">
      <c r="A54580" s="3" t="str">
        <f>IFERROR(__xludf.DUMMYFUNCTION("GOOGLETRANSLATE(A54580,""en"",""pt"")"),"Excelente recepção e excelente vida útil da bateria")</f>
        <v>Excelente recepção e excelente vida útil da bateria</v>
      </c>
      <c r="B54580" s="3">
        <v>1</v>
      </c>
    </row>
    <row r="54581" ht="15.75" customHeight="1" spans="1:2">
      <c r="A54581" s="3" t="s">
        <v>292</v>
      </c>
      <c r="B54581" s="3">
        <v>1</v>
      </c>
    </row>
    <row r="54582" ht="15.75" customHeight="1" spans="1:2">
      <c r="A54582" s="3" t="str">
        <f>IFERROR(__xludf.DUMMYFUNCTION("GOOGLETRANSLATE(A54582,""en"",""pt"")"),"Boa recepção, sinal forte, teclado grande porte, boa recepção de chamadas, palestrante opção excelente.")</f>
        <v>Boa recepção, sinal forte, teclado grande porte, boa recepção de chamadas, palestrante opção excelente.</v>
      </c>
      <c r="B54582" s="3">
        <v>1</v>
      </c>
    </row>
    <row r="54583" ht="15.75" customHeight="1" spans="1:2">
      <c r="A54583" s="3" t="str">
        <f>IFERROR(__xludf.DUMMYFUNCTION("GOOGLETRANSLATE(A54583,""en"",""pt"")"),"Qualidade de topo, excelente recepção, câmera, quadro de alumínio, Bem thoughtout projeto")</f>
        <v>Qualidade de topo, excelente recepção, câmera, quadro de alumínio, Bem thoughtout projeto</v>
      </c>
      <c r="B54583" s="3">
        <v>1</v>
      </c>
    </row>
    <row r="54584" ht="15.75" customHeight="1" spans="1:2">
      <c r="A54584" s="3" t="str">
        <f>IFERROR(__xludf.DUMMYFUNCTION("GOOGLETRANSLATE(A54584,""en"",""pt"")"),"Luz na mão, alto no ouvido, fácil de usar funções")</f>
        <v>Luz na mão, alto no ouvido, fácil de usar funções</v>
      </c>
      <c r="B54584" s="3">
        <v>1</v>
      </c>
    </row>
    <row r="54585" ht="15.75" customHeight="1" spans="1:2">
      <c r="A54585" s="3" t="str">
        <f>IFERROR(__xludf.DUMMYFUNCTION("GOOGLETRANSLATE(A54585,""en"",""pt"")"),"a melhor câmera para o preço. flip telefone, elegante, resistente, altamente personalizável, bluetooth, mundo GSM.")</f>
        <v>a melhor câmera para o preço. flip telefone, elegante, resistente, altamente personalizável, bluetooth, mundo GSM.</v>
      </c>
      <c r="B54585" s="3">
        <v>1</v>
      </c>
    </row>
    <row r="54586" ht="15.75" customHeight="1" spans="1:2">
      <c r="A54586" s="3" t="str">
        <f>IFERROR(__xludf.DUMMYFUNCTION("GOOGLETRANSLATE(A54586,""en"",""pt"")"),"Fino")</f>
        <v>Fino</v>
      </c>
      <c r="B54586" s="3">
        <v>1</v>
      </c>
    </row>
    <row r="54587" ht="15.75" customHeight="1" spans="1:2">
      <c r="A54587" s="3" t="str">
        <f>IFERROR(__xludf.DUMMYFUNCTION("GOOGLETRANSLATE(A54587,""en"",""pt"")"),"wetdream um trendioid, gostosura em uma vara, luz")</f>
        <v>wetdream um trendioid, gostosura em uma vara, luz</v>
      </c>
      <c r="B54587" s="3">
        <v>1</v>
      </c>
    </row>
    <row r="54588" ht="15.75" customHeight="1" spans="1:2">
      <c r="A54588" s="3" t="str">
        <f>IFERROR(__xludf.DUMMYFUNCTION("GOOGLETRANSLATE(A54588,""en"",""pt"")"),"Looks, peso, durabilidade.")</f>
        <v>Looks, peso, durabilidade.</v>
      </c>
      <c r="B54588" s="3">
        <v>1</v>
      </c>
    </row>
    <row r="54589" ht="15.75" customHeight="1" spans="1:2">
      <c r="A54589" s="3" t="str">
        <f>IFERROR(__xludf.DUMMYFUNCTION("GOOGLETRANSLATE(A54589,""en"",""pt"")"),"projeto lindo, cor magenta e excelente recepção. emparelhamento Bluetooth fácil com um Mac.")</f>
        <v>projeto lindo, cor magenta e excelente recepção. emparelhamento Bluetooth fácil com um Mac.</v>
      </c>
      <c r="B54589" s="3">
        <v>1</v>
      </c>
    </row>
    <row r="54590" ht="15.75" customHeight="1" spans="1:2">
      <c r="A54590" s="3" t="str">
        <f>IFERROR(__xludf.DUMMYFUNCTION("GOOGLETRANSLATE(A54590,""en"",""pt"")"),"Awesome design, peso leve e fina, cheia de recursos, interface amigável")</f>
        <v>Awesome design, peso leve e fina, cheia de recursos, interface amigável</v>
      </c>
      <c r="B54590" s="3">
        <v>1</v>
      </c>
    </row>
    <row r="54591" ht="15.75" customHeight="1" spans="1:2">
      <c r="A54591" s="3" t="str">
        <f>IFERROR(__xludf.DUMMYFUNCTION("GOOGLETRANSLATE(A54591,""en"",""pt"")"),"design elegante, cores e gráficos atraentes e leve. bastante amigável, Bluetooth")</f>
        <v>design elegante, cores e gráficos atraentes e leve. bastante amigável, Bluetooth</v>
      </c>
      <c r="B54591" s="3">
        <v>1</v>
      </c>
    </row>
    <row r="54592" ht="15.75" customHeight="1" spans="1:2">
      <c r="A54592" s="3" t="str">
        <f>IFERROR(__xludf.DUMMYFUNCTION("GOOGLETRANSLATE(A54592,""en"",""pt"")"),"Sólido, sons boa, boa recepção, conjunto de recursos razoável, Bluetooth")</f>
        <v>Sólido, sons boa, boa recepção, conjunto de recursos razoável, Bluetooth</v>
      </c>
      <c r="B54592" s="3">
        <v>1</v>
      </c>
    </row>
    <row r="54593" ht="15.75" customHeight="1" spans="1:2">
      <c r="A54593" s="3" t="str">
        <f>IFERROR(__xludf.DUMMYFUNCTION("GOOGLETRANSLATE(A54593,""en"",""pt"")"),"É elegante, fino e elegante, mas não há onde parar.")</f>
        <v>É elegante, fino e elegante, mas não há onde parar.</v>
      </c>
      <c r="B54593" s="3">
        <v>1</v>
      </c>
    </row>
    <row r="54594" ht="15.75" customHeight="1" spans="1:2">
      <c r="A54594" s="3" t="str">
        <f>IFERROR(__xludf.DUMMYFUNCTION("GOOGLETRANSLATE(A54594,""en"",""pt"")"),"Arrefecer Fator vai para ""11""")</f>
        <v>Arrefecer Fator vai para "11"</v>
      </c>
      <c r="B54594" s="3">
        <v>1</v>
      </c>
    </row>
    <row r="54595" ht="15.75" customHeight="1" spans="1:2">
      <c r="A54595" s="3" t="str">
        <f>IFERROR(__xludf.DUMMYFUNCTION("GOOGLETRANSLATE(A54595,""en"",""pt"")"),"Fino, leve e elegante aparência.")</f>
        <v>Fino, leve e elegante aparência.</v>
      </c>
      <c r="B54595" s="3">
        <v>1</v>
      </c>
    </row>
    <row r="54596" ht="15.75" customHeight="1" spans="1:2">
      <c r="A54596" s="3" t="str">
        <f>IFERROR(__xludf.DUMMYFUNCTION("GOOGLETRANSLATE(A54596,""en"",""pt"")"),"Parece bom, fina")</f>
        <v>Parece bom, fina</v>
      </c>
      <c r="B54596" s="3">
        <v>1</v>
      </c>
    </row>
    <row r="54597" ht="15.75" customHeight="1" spans="1:2">
      <c r="A54597" s="3" t="str">
        <f>IFERROR(__xludf.DUMMYFUNCTION("GOOGLETRANSLATE(A54597,""en"",""pt"")"),"tamanho, aparência e características. Um vencedor.")</f>
        <v>tamanho, aparência e características. Um vencedor.</v>
      </c>
      <c r="B54597" s="3">
        <v>1</v>
      </c>
    </row>
    <row r="54598" ht="15.75" customHeight="1" spans="1:2">
      <c r="A54598" s="3" t="str">
        <f>IFERROR(__xludf.DUMMYFUNCTION("GOOGLETRANSLATE(A54598,""en"",""pt"")"),"legal, design elegante.")</f>
        <v>legal, design elegante.</v>
      </c>
      <c r="B54598" s="3">
        <v>1</v>
      </c>
    </row>
    <row r="54599" ht="15.75" customHeight="1" spans="1:2">
      <c r="A54599" s="3" t="str">
        <f>IFERROR(__xludf.DUMMYFUNCTION("GOOGLETRANSLATE(A54599,""en"",""pt"")"),"Fino, peso leve, boa recepção, som claro, grande viva-voz")</f>
        <v>Fino, peso leve, boa recepção, som claro, grande viva-voz</v>
      </c>
      <c r="B54599" s="3">
        <v>1</v>
      </c>
    </row>
    <row r="54600" ht="15.75" customHeight="1" spans="1:2">
      <c r="A54600" s="3" t="str">
        <f>IFERROR(__xludf.DUMMYFUNCTION("GOOGLETRANSLATE(A54600,""en"",""pt"")"),"Pure incrível, e que está vindo de um homem que odeia células.")</f>
        <v>Pure incrível, e que está vindo de um homem que odeia células.</v>
      </c>
      <c r="B54600" s="3">
        <v>1</v>
      </c>
    </row>
    <row r="54601" ht="15.75" customHeight="1" spans="1:2">
      <c r="A54601" s="3" t="str">
        <f>IFERROR(__xludf.DUMMYFUNCTION("GOOGLETRANSLATE(A54601,""en"",""pt"")"),"Ver abaixo")</f>
        <v>Ver abaixo</v>
      </c>
      <c r="B54601" s="3">
        <v>1</v>
      </c>
    </row>
    <row r="54602" ht="15.75" customHeight="1" spans="1:2">
      <c r="A54602" s="3" t="str">
        <f>IFERROR(__xludf.DUMMYFUNCTION("GOOGLETRANSLATE(A54602,""en"",""pt"")"),"tela grande, nova forma, metal, bluetooth")</f>
        <v>tela grande, nova forma, metal, bluetooth</v>
      </c>
      <c r="B54602" s="3">
        <v>1</v>
      </c>
    </row>
    <row r="54603" ht="15.75" customHeight="1" spans="1:2">
      <c r="A54603" s="3" t="str">
        <f>IFERROR(__xludf.DUMMYFUNCTION("GOOGLETRANSLATE(A54603,""en"",""pt"")"),"Fácil de usar, resistente, Bluetooth rochas!")</f>
        <v>Fácil de usar, resistente, Bluetooth rochas!</v>
      </c>
      <c r="B54603" s="3">
        <v>1</v>
      </c>
    </row>
    <row r="54604" ht="15.75" customHeight="1" spans="1:2">
      <c r="A54604" s="3" t="str">
        <f>IFERROR(__xludf.DUMMYFUNCTION("GOOGLETRANSLATE(A54604,""en"",""pt"")"),"perfil fino, tamanho pequeno, bem construído, a tela brilhante e boa qualidade de áudio.")</f>
        <v>perfil fino, tamanho pequeno, bem construído, a tela brilhante e boa qualidade de áudio.</v>
      </c>
      <c r="B54604" s="3">
        <v>1</v>
      </c>
    </row>
    <row r="54605" ht="15.75" customHeight="1" spans="1:2">
      <c r="A54605" s="3" t="str">
        <f>IFERROR(__xludf.DUMMYFUNCTION("GOOGLETRANSLATE(A54605,""en"",""pt"")"),"Tamanho, peso, grande display, elegante")</f>
        <v>Tamanho, peso, grande display, elegante</v>
      </c>
      <c r="B54605" s="3">
        <v>1</v>
      </c>
    </row>
    <row r="54606" ht="15.75" customHeight="1" spans="1:2">
      <c r="A54606" s="3" t="str">
        <f>IFERROR(__xludf.DUMMYFUNCTION("GOOGLETRANSLATE(A54606,""en"",""pt"")"),"Características, tamanho, Styling, Recepção")</f>
        <v>Características, tamanho, Styling, Recepção</v>
      </c>
      <c r="B54606" s="3">
        <v>1</v>
      </c>
    </row>
    <row r="54607" ht="15.75" customHeight="1" spans="1:2">
      <c r="A54607" s="3" t="str">
        <f>IFERROR(__xludf.DUMMYFUNCTION("GOOGLETRANSLATE(A54607,""en"",""pt"")"),"Magro, boa recepção, câmera decente, vista legal")</f>
        <v>Magro, boa recepção, câmera decente, vista legal</v>
      </c>
      <c r="B54607" s="3">
        <v>1</v>
      </c>
    </row>
    <row r="54608" ht="15.75" customHeight="1" spans="1:2">
      <c r="A54608" s="3" t="str">
        <f>IFERROR(__xludf.DUMMYFUNCTION("GOOGLETRANSLATE(A54608,""en"",""pt"")"),"Lotes de recursos inteligentes que não atendem à definição de um telefone inteligente.")</f>
        <v>Lotes de recursos inteligentes que não atendem à definição de um telefone inteligente.</v>
      </c>
      <c r="B54608" s="3">
        <v>1</v>
      </c>
    </row>
    <row r="54609" ht="15.75" customHeight="1" spans="1:2">
      <c r="A54609" s="3" t="str">
        <f>IFERROR(__xludf.DUMMYFUNCTION("GOOGLETRANSLATE(A54609,""en"",""pt"")"),"O design surpreendente, Brilhante Limpar Screen, ótima câmera, Grande Agenda")</f>
        <v>O design surpreendente, Brilhante Limpar Screen, ótima câmera, Grande Agenda</v>
      </c>
      <c r="B54609" s="3">
        <v>1</v>
      </c>
    </row>
    <row r="54610" ht="15.75" customHeight="1" spans="1:2">
      <c r="A54610" s="3" t="str">
        <f>IFERROR(__xludf.DUMMYFUNCTION("GOOGLETRANSLATE(A54610,""en"",""pt"")"),"Magro, enorme tela, auto temporizadores retrato, botões finos, neon olhando botão, extremamente elegante,")</f>
        <v>Magro, enorme tela, auto temporizadores retrato, botões finos, neon olhando botão, extremamente elegante,</v>
      </c>
      <c r="B54610" s="3">
        <v>1</v>
      </c>
    </row>
    <row r="54611" ht="15.75" customHeight="1" spans="1:2">
      <c r="A54611" s="3" t="str">
        <f>IFERROR(__xludf.DUMMYFUNCTION("GOOGLETRANSLATE(A54611,""en"",""pt"")"),"Grande som, potência do sinal, Displays em Circulação. A.O.K Verizon")</f>
        <v>Grande som, potência do sinal, Displays em Circulação. A.O.K Verizon</v>
      </c>
      <c r="B54611" s="3">
        <v>1</v>
      </c>
    </row>
    <row r="54612" ht="15.75" customHeight="1" spans="1:2">
      <c r="A54612" s="3" t="s">
        <v>293</v>
      </c>
      <c r="B54612" s="3">
        <v>1</v>
      </c>
    </row>
    <row r="54613" ht="15.75" customHeight="1" spans="1:2">
      <c r="A54613" s="3" t="str">
        <f>IFERROR(__xludf.DUMMYFUNCTION("GOOGLETRANSLATE(A54613,""en"",""pt"")"),"Elegante, leve, grande tela grande.")</f>
        <v>Elegante, leve, grande tela grande.</v>
      </c>
      <c r="B54613" s="3">
        <v>1</v>
      </c>
    </row>
    <row r="54614" ht="15.75" customHeight="1" spans="1:2">
      <c r="A54614" s="3" t="str">
        <f>IFERROR(__xludf.DUMMYFUNCTION("GOOGLETRANSLATE(A54614,""en"",""pt"")"),"Magro, amigável, boa bateria para o tamanho, som claro, e estilo mod único.")</f>
        <v>Magro, amigável, boa bateria para o tamanho, som claro, e estilo mod único.</v>
      </c>
      <c r="B54614" s="3">
        <v>1</v>
      </c>
    </row>
    <row r="54615" ht="15.75" customHeight="1" spans="1:2">
      <c r="A54615" s="3" t="str">
        <f>IFERROR(__xludf.DUMMYFUNCTION("GOOGLETRANSLATE(A54615,""en"",""pt"")"),"boa tela, câmera, todas as outras funções.")</f>
        <v>boa tela, câmera, todas as outras funções.</v>
      </c>
      <c r="B54615" s="3">
        <v>1</v>
      </c>
    </row>
    <row r="54616" ht="15.75" customHeight="1" spans="1:2">
      <c r="A54616" s="3" t="str">
        <f>IFERROR(__xludf.DUMMYFUNCTION("GOOGLETRANSLATE(A54616,""en"",""pt"")"),"Ele se encaixa em pequenas bolsas bem ...")</f>
        <v>Ele se encaixa em pequenas bolsas bem ...</v>
      </c>
      <c r="B54616" s="3">
        <v>1</v>
      </c>
    </row>
    <row r="54617" ht="15.75" customHeight="1" spans="1:2">
      <c r="A54617" s="3" t="str">
        <f>IFERROR(__xludf.DUMMYFUNCTION("GOOGLETRANSLATE(A54617,""en"",""pt"")"),"COMPACTO E THIN! TELEFONE BONITO! Tinha que ter isso! Grande orador!")</f>
        <v>COMPACTO E THIN! TELEFONE BONITO! Tinha que ter isso! Grande orador!</v>
      </c>
      <c r="B54617" s="3">
        <v>1</v>
      </c>
    </row>
    <row r="54618" ht="15.75" customHeight="1" spans="1:2">
      <c r="A54618" s="3" t="s">
        <v>294</v>
      </c>
      <c r="B54618" s="3">
        <v>1</v>
      </c>
    </row>
    <row r="54619" ht="15.75" customHeight="1" spans="1:2">
      <c r="A54619" s="3" t="str">
        <f>IFERROR(__xludf.DUMMYFUNCTION("GOOGLETRANSLATE(A54619,""en"",""pt"")"),"Big Agenda Capacidade, moderno e elegante, leve, tela brilhante, Bluetooth e viva-voz")</f>
        <v>Big Agenda Capacidade, moderno e elegante, leve, tela brilhante, Bluetooth e viva-voz</v>
      </c>
      <c r="B54619" s="3">
        <v>1</v>
      </c>
    </row>
    <row r="54620" ht="15.75" customHeight="1" spans="1:2">
      <c r="A54620" s="3" t="str">
        <f>IFERROR(__xludf.DUMMYFUNCTION("GOOGLETRANSLATE(A54620,""en"",""pt"")"),"telefone atraente, design exclusivo, muito portátil, tela grande, a qualidade da chamada nítida.")</f>
        <v>telefone atraente, design exclusivo, muito portátil, tela grande, a qualidade da chamada nítida.</v>
      </c>
      <c r="B54620" s="3">
        <v>1</v>
      </c>
    </row>
    <row r="54621" ht="15.75" customHeight="1" spans="1:2">
      <c r="A54621" s="3" t="str">
        <f>IFERROR(__xludf.DUMMYFUNCTION("GOOGLETRANSLATE(A54621,""en"",""pt"")"),"O visor LCD e funcionalidade tecla do teclado são excelentes.")</f>
        <v>O visor LCD e funcionalidade tecla do teclado são excelentes.</v>
      </c>
      <c r="B54621" s="3">
        <v>1</v>
      </c>
    </row>
    <row r="54622" ht="15.75" customHeight="1" spans="1:2">
      <c r="A54622" s="3" t="str">
        <f>IFERROR(__xludf.DUMMYFUNCTION("GOOGLETRANSLATE(A54622,""en"",""pt"")"),"design elegante, resistente. Bom som e alto-falante. Relativamente simples de usar.")</f>
        <v>design elegante, resistente. Bom som e alto-falante. Relativamente simples de usar.</v>
      </c>
      <c r="B54622" s="3">
        <v>1</v>
      </c>
    </row>
    <row r="54623" ht="15.75" customHeight="1" spans="1:2">
      <c r="A54623" s="3" t="str">
        <f>IFERROR(__xludf.DUMMYFUNCTION("GOOGLETRANSLATE(A54623,""en"",""pt"")"),"design sexy Super. tela bonita. Bluetooth.")</f>
        <v>design sexy Super. tela bonita. Bluetooth.</v>
      </c>
      <c r="B54623" s="3">
        <v>1</v>
      </c>
    </row>
    <row r="54624" ht="15.75" customHeight="1" spans="1:2">
      <c r="A54624" s="3" t="str">
        <f>IFERROR(__xludf.DUMMYFUNCTION("GOOGLETRANSLATE(A54624,""en"",""pt"")"),"Tamanho")</f>
        <v>Tamanho</v>
      </c>
      <c r="B54624" s="3">
        <v>1</v>
      </c>
    </row>
    <row r="54625" ht="15.75" customHeight="1" spans="1:2">
      <c r="A54625" s="3" t="str">
        <f>IFERROR(__xludf.DUMMYFUNCTION("GOOGLETRANSLATE(A54625,""en"",""pt"")"),"a qualidade da chamada; recepção; viva voz; tela; aestestic; vida útil da bateria; durabilidade; construir; teclado; experiência geral do usuário")</f>
        <v>a qualidade da chamada; recepção; viva voz; tela; aestestic; vida útil da bateria; durabilidade; construir; teclado; experiência geral do usuário</v>
      </c>
      <c r="B54625" s="3">
        <v>1</v>
      </c>
    </row>
    <row r="54626" ht="15.75" customHeight="1" spans="1:2">
      <c r="A54626" s="3" t="str">
        <f>IFERROR(__xludf.DUMMYFUNCTION("GOOGLETRANSLATE(A54626,""en"",""pt"")"),"Bonita. Elegante. Fino. Luz. Bluetooth.")</f>
        <v>Bonita. Elegante. Fino. Luz. Bluetooth.</v>
      </c>
      <c r="B54626" s="3">
        <v>1</v>
      </c>
    </row>
    <row r="54627" ht="15.75" customHeight="1" spans="1:2">
      <c r="A54627" s="3" t="str">
        <f>IFERROR(__xludf.DUMMYFUNCTION("GOOGLETRANSLATE(A54627,""en"",""pt"")"),"Design, Factor, Look &amp; Feel, funções de telefone, Bluetooth")</f>
        <v>Design, Factor, Look &amp; Feel, funções de telefone, Bluetooth</v>
      </c>
      <c r="B54627" s="3">
        <v>1</v>
      </c>
    </row>
    <row r="54628" ht="15.75" customHeight="1" spans="1:2">
      <c r="A54628" s="3" t="str">
        <f>IFERROR(__xludf.DUMMYFUNCTION("GOOGLETRANSLATE(A54628,""en"",""pt"")"),"olhar sexy, boa bateria, interface personalizável, bem trabalhando viva-voz.")</f>
        <v>olhar sexy, boa bateria, interface personalizável, bem trabalhando viva-voz.</v>
      </c>
      <c r="B54628" s="3">
        <v>1</v>
      </c>
    </row>
    <row r="54629" ht="15.75" customHeight="1" spans="1:2">
      <c r="A54629" s="3" t="str">
        <f>IFERROR(__xludf.DUMMYFUNCTION("GOOGLETRANSLATE(A54629,""en"",""pt"")"),"Bonita, grande recepção, Quad-band GSM.")</f>
        <v>Bonita, grande recepção, Quad-band GSM.</v>
      </c>
      <c r="B54629" s="3">
        <v>1</v>
      </c>
    </row>
    <row r="54630" ht="15.75" customHeight="1" spans="1:2">
      <c r="A54630" s="3" t="str">
        <f>IFERROR(__xludf.DUMMYFUNCTION("GOOGLETRANSLATE(A54630,""en"",""pt"")"),"Boa aparência, design slim, grande autonomia da bateria, grande display")</f>
        <v>Boa aparência, design slim, grande autonomia da bateria, grande display</v>
      </c>
      <c r="B54630" s="3">
        <v>1</v>
      </c>
    </row>
    <row r="54631" ht="15.75" customHeight="1" spans="1:2">
      <c r="A54631" s="3" t="str">
        <f>IFERROR(__xludf.DUMMYFUNCTION("GOOGLETRANSLATE(A54631,""en"",""pt"")"),"Qualidade, utilidade e Looks embrulhado em um telefone.")</f>
        <v>Qualidade, utilidade e Looks embrulhado em um telefone.</v>
      </c>
      <c r="B54631" s="3">
        <v>1</v>
      </c>
    </row>
    <row r="54632" ht="15.75" customHeight="1" spans="1:2">
      <c r="A54632" s="3" t="str">
        <f>IFERROR(__xludf.DUMMYFUNCTION("GOOGLETRANSLATE(A54632,""en"",""pt"")"),"design elegante, bluetooth, alto-falante, sons altos")</f>
        <v>design elegante, bluetooth, alto-falante, sons altos</v>
      </c>
      <c r="B54632" s="3">
        <v>1</v>
      </c>
    </row>
    <row r="54633" ht="15.75" customHeight="1" spans="1:2">
      <c r="A54633" s="3" t="str">
        <f>IFERROR(__xludf.DUMMYFUNCTION("GOOGLETRANSLATE(A54633,""en"",""pt"")"),"peso leve, tamanho de bolso, fácil de usar")</f>
        <v>peso leve, tamanho de bolso, fácil de usar</v>
      </c>
      <c r="B54633" s="3">
        <v>1</v>
      </c>
    </row>
    <row r="54634" ht="15.75" customHeight="1" spans="1:2">
      <c r="A54634" s="3" t="s">
        <v>295</v>
      </c>
      <c r="B54634" s="3">
        <v>1</v>
      </c>
    </row>
    <row r="54635" ht="15.75" customHeight="1" spans="1:2">
      <c r="A54635" s="3" t="str">
        <f>IFERROR(__xludf.DUMMYFUNCTION("GOOGLETRANSLATE(A54635,""en"",""pt"")"),"Excitado, fácil de transportar no bolso, invólucro de alumínio")</f>
        <v>Excitado, fácil de transportar no bolso, invólucro de alumínio</v>
      </c>
      <c r="B54635" s="3">
        <v>1</v>
      </c>
    </row>
    <row r="54636" ht="15.75" customHeight="1" spans="1:2">
      <c r="A54636" s="3" t="str">
        <f>IFERROR(__xludf.DUMMYFUNCTION("GOOGLETRANSLATE(A54636,""en"",""pt"")"),"Magro, Bateria (2 dias), muito melhor do que o habitual Motorolla de")</f>
        <v>Magro, Bateria (2 dias), muito melhor do que o habitual Motorolla de</v>
      </c>
      <c r="B54636" s="3">
        <v>1</v>
      </c>
    </row>
    <row r="54637" ht="15.75" customHeight="1" spans="1:2">
      <c r="A54637" s="3" t="str">
        <f>IFERROR(__xludf.DUMMYFUNCTION("GOOGLETRANSLATE(A54637,""en"",""pt"")"),"Looks spiffy, linhas limpas, pequeno e leve.")</f>
        <v>Looks spiffy, linhas limpas, pequeno e leve.</v>
      </c>
      <c r="B54637" s="3">
        <v>1</v>
      </c>
    </row>
    <row r="54638" ht="15.75" customHeight="1" spans="1:2">
      <c r="A54638" s="3" t="str">
        <f>IFERROR(__xludf.DUMMYFUNCTION("GOOGLETRANSLATE(A54638,""en"",""pt"")"),"design exterior muito agradável")</f>
        <v>design exterior muito agradável</v>
      </c>
      <c r="B54638" s="3">
        <v>1</v>
      </c>
    </row>
    <row r="54639" ht="15.75" customHeight="1" spans="1:2">
      <c r="A54639" s="3" t="str">
        <f>IFERROR(__xludf.DUMMYFUNCTION("GOOGLETRANSLATE(A54639,""en"",""pt"")"),"Tela, câmera, fácil de seguir menus, muito mais recursos do que eu provavelmente nunca vai usar.")</f>
        <v>Tela, câmera, fácil de seguir menus, muito mais recursos do que eu provavelmente nunca vai usar.</v>
      </c>
      <c r="B54639" s="3">
        <v>1</v>
      </c>
    </row>
    <row r="54640" ht="15.75" customHeight="1" spans="1:2">
      <c r="A54640" s="3" t="str">
        <f>IFERROR(__xludf.DUMMYFUNCTION("GOOGLETRANSLATE(A54640,""en"",""pt"")"),"Olhando agradável ornamento - olhar mais para serviço que não é CINGULAR.")</f>
        <v>Olhando agradável ornamento - olhar mais para serviço que não é CINGULAR.</v>
      </c>
      <c r="B54640" s="3">
        <v>1</v>
      </c>
    </row>
    <row r="54641" ht="15.75" customHeight="1" spans="1:2">
      <c r="A54641" s="3" t="str">
        <f>IFERROR(__xludf.DUMMYFUNCTION("GOOGLETRANSLATE(A54641,""en"",""pt"")"),"nunca cai chamadas, grande recepção")</f>
        <v>nunca cai chamadas, grande recepção</v>
      </c>
      <c r="B54641" s="3">
        <v>1</v>
      </c>
    </row>
    <row r="54642" ht="15.75" customHeight="1" spans="1:2">
      <c r="A54642" s="3" t="str">
        <f>IFERROR(__xludf.DUMMYFUNCTION("GOOGLETRANSLATE(A54642,""en"",""pt"")"),"Nenhum - dadas todas as grandes alternativas")</f>
        <v>Nenhum - dadas todas as grandes alternativas</v>
      </c>
      <c r="B54642" s="3">
        <v>1</v>
      </c>
    </row>
    <row r="54643" ht="15.75" customHeight="1" spans="1:2">
      <c r="A54643" s="3" t="str">
        <f>IFERROR(__xludf.DUMMYFUNCTION("GOOGLETRANSLATE(A54643,""en"",""pt"")"),"elegante, pequeno, durável")</f>
        <v>elegante, pequeno, durável</v>
      </c>
      <c r="B54643" s="3">
        <v>1</v>
      </c>
    </row>
    <row r="54644" ht="15.75" customHeight="1" spans="1:2">
      <c r="A54644" s="3" t="str">
        <f>IFERROR(__xludf.DUMMYFUNCTION("GOOGLETRANSLATE(A54644,""en"",""pt"")"),"Som, tato, peso, tela")</f>
        <v>Som, tato, peso, tela</v>
      </c>
      <c r="B54644" s="3">
        <v>1</v>
      </c>
    </row>
    <row r="54645" ht="15.75" customHeight="1" spans="1:2">
      <c r="A54645" s="3" t="str">
        <f>IFERROR(__xludf.DUMMYFUNCTION("GOOGLETRANSLATE(A54645,""en"",""pt"")"),"Fino. Lindo.")</f>
        <v>Fino. Lindo.</v>
      </c>
      <c r="B54645" s="3">
        <v>1</v>
      </c>
    </row>
    <row r="54646" ht="15.75" customHeight="1" spans="1:2">
      <c r="A54646" s="3" t="str">
        <f>IFERROR(__xludf.DUMMYFUNCTION("GOOGLETRANSLATE(A54646,""en"",""pt"")"),"design slim")</f>
        <v>design slim</v>
      </c>
      <c r="B54646" s="3">
        <v>1</v>
      </c>
    </row>
    <row r="54647" ht="15.75" customHeight="1" spans="1:2">
      <c r="A54647" s="3" t="str">
        <f>IFERROR(__xludf.DUMMYFUNCTION("GOOGLETRANSLATE(A54647,""en"",""pt"")"),"bolso tamanho, confiável, tela grande")</f>
        <v>bolso tamanho, confiável, tela grande</v>
      </c>
      <c r="B54647" s="3">
        <v>1</v>
      </c>
    </row>
    <row r="54648" ht="15.75" customHeight="1" spans="1:2">
      <c r="A54648" s="3" t="str">
        <f>IFERROR(__xludf.DUMMYFUNCTION("GOOGLETRANSLATE(A54648,""en"",""pt"")"),"Cabe no seu bolso, fácil de usar.")</f>
        <v>Cabe no seu bolso, fácil de usar.</v>
      </c>
      <c r="B54648" s="3">
        <v>1</v>
      </c>
    </row>
    <row r="54649" ht="15.75" customHeight="1" spans="1:2">
      <c r="A54649" s="3" t="str">
        <f>IFERROR(__xludf.DUMMYFUNCTION("GOOGLETRANSLATE(A54649,""en"",""pt"")"),"grande teclado, aleta, discagem por voz, estilo.")</f>
        <v>grande teclado, aleta, discagem por voz, estilo.</v>
      </c>
      <c r="B54649" s="3">
        <v>1</v>
      </c>
    </row>
    <row r="54650" ht="15.75" customHeight="1" spans="1:2">
      <c r="A54650" s="3" t="str">
        <f>IFERROR(__xludf.DUMMYFUNCTION("GOOGLETRANSLATE(A54650,""en"",""pt"")"),"Parece legal")</f>
        <v>Parece legal</v>
      </c>
      <c r="B54650" s="3">
        <v>1</v>
      </c>
    </row>
    <row r="54651" ht="15.75" customHeight="1" spans="1:2">
      <c r="A54651" s="3" t="str">
        <f>IFERROR(__xludf.DUMMYFUNCTION("GOOGLETRANSLATE(A54651,""en"",""pt"")"),"O tamanho pequeno, leve")</f>
        <v>O tamanho pequeno, leve</v>
      </c>
      <c r="B54651" s="3">
        <v>1</v>
      </c>
    </row>
    <row r="54652" ht="15.75" customHeight="1" spans="1:2">
      <c r="A54652" s="3" t="str">
        <f>IFERROR(__xludf.DUMMYFUNCTION("GOOGLETRANSLATE(A54652,""en"",""pt"")"),"Tela é brilhante. melhor câmera")</f>
        <v>Tela é brilhante. melhor câmera</v>
      </c>
      <c r="B54652" s="3">
        <v>1</v>
      </c>
    </row>
    <row r="54653" ht="15.75" customHeight="1" spans="1:2">
      <c r="A54653" s="3" t="str">
        <f>IFERROR(__xludf.DUMMYFUNCTION("GOOGLETRANSLATE(A54653,""en"",""pt"")"),"Parece bom")</f>
        <v>Parece bom</v>
      </c>
      <c r="B54653" s="3">
        <v>1</v>
      </c>
    </row>
    <row r="54654" ht="15.75" customHeight="1" spans="1:2">
      <c r="A54654" s="3" t="str">
        <f>IFERROR(__xludf.DUMMYFUNCTION("GOOGLETRANSLATE(A54654,""en"",""pt"")"),"Parece bom, muito conveniente.")</f>
        <v>Parece bom, muito conveniente.</v>
      </c>
      <c r="B54654" s="3">
        <v>1</v>
      </c>
    </row>
    <row r="54655" ht="15.75" customHeight="1" spans="1:2">
      <c r="A54655" s="3" t="str">
        <f>IFERROR(__xludf.DUMMYFUNCTION("GOOGLETRANSLATE(A54655,""en"",""pt"")"),"parece")</f>
        <v>parece</v>
      </c>
      <c r="B54655" s="3">
        <v>1</v>
      </c>
    </row>
    <row r="54656" ht="15.75" customHeight="1" spans="1:2">
      <c r="A54656" s="3" t="str">
        <f>IFERROR(__xludf.DUMMYFUNCTION("GOOGLETRANSLATE(A54656,""en"",""pt"")"),"Grande RF (melhor do que meus outros telefones), rico em recursos, design sólido / build, altivo, leve")</f>
        <v>Grande RF (melhor do que meus outros telefones), rico em recursos, design sólido / build, altivo, leve</v>
      </c>
      <c r="B54656" s="3">
        <v>1</v>
      </c>
    </row>
    <row r="54657" ht="15.75" customHeight="1" spans="1:2">
      <c r="A54657" s="3" t="s">
        <v>296</v>
      </c>
      <c r="B54657" s="3">
        <v>1</v>
      </c>
    </row>
    <row r="54658" ht="15.75" customHeight="1" spans="1:2">
      <c r="A54658" s="3" t="str">
        <f>IFERROR(__xludf.DUMMYFUNCTION("GOOGLETRANSLATE(A54658,""en"",""pt"")"),"Usando ferramentas de telefone celular, tomar qualquer canção e torná-lo seu toque.")</f>
        <v>Usando ferramentas de telefone celular, tomar qualquer canção e torná-lo seu toque.</v>
      </c>
      <c r="B54658" s="3">
        <v>1</v>
      </c>
    </row>
    <row r="54659" ht="15.75" customHeight="1" spans="1:2">
      <c r="A54659" s="3" t="str">
        <f>IFERROR(__xludf.DUMMYFUNCTION("GOOGLETRANSLATE(A54659,""en"",""pt"")"),"Looks, fácil de usar, durabilidade")</f>
        <v>Looks, fácil de usar, durabilidade</v>
      </c>
      <c r="B54659" s="3">
        <v>1</v>
      </c>
    </row>
    <row r="54660" ht="15.75" customHeight="1" spans="1:2">
      <c r="A54660" s="3" t="str">
        <f>IFERROR(__xludf.DUMMYFUNCTION("GOOGLETRANSLATE(A54660,""en"",""pt"")"),"Magro, telefone leve, boa recepção, ótimos gráficos e funções.")</f>
        <v>Magro, telefone leve, boa recepção, ótimos gráficos e funções.</v>
      </c>
      <c r="B54660" s="3">
        <v>1</v>
      </c>
    </row>
    <row r="54661" ht="15.75" customHeight="1" spans="1:2">
      <c r="A54661" s="3" t="str">
        <f>IFERROR(__xludf.DUMMYFUNCTION("GOOGLETRANSLATE(A54661,""en"",""pt"")"),"Tem Bluetooth capacidade.")</f>
        <v>Tem Bluetooth capacidade.</v>
      </c>
      <c r="B54661" s="3">
        <v>1</v>
      </c>
    </row>
    <row r="54662" ht="15.75" customHeight="1" spans="1:2">
      <c r="A54662" s="3" t="str">
        <f>IFERROR(__xludf.DUMMYFUNCTION("GOOGLETRANSLATE(A54662,""en"",""pt"")"),"Aqueles com baixa auto-estima pode se sentir populares de atenção este telefone fica.")</f>
        <v>Aqueles com baixa auto-estima pode se sentir populares de atenção este telefone fica.</v>
      </c>
      <c r="B54662" s="3">
        <v>1</v>
      </c>
    </row>
    <row r="54663" ht="15.75" customHeight="1" spans="1:2">
      <c r="A54663" s="3" t="str">
        <f>IFERROR(__xludf.DUMMYFUNCTION("GOOGLETRANSLATE(A54663,""en"",""pt"")"),"SEM FALHAS")</f>
        <v>SEM FALHAS</v>
      </c>
      <c r="B54663" s="3">
        <v>1</v>
      </c>
    </row>
    <row r="54664" ht="15.75" customHeight="1" spans="1:2">
      <c r="A54664" s="3" t="str">
        <f>IFERROR(__xludf.DUMMYFUNCTION("GOOGLETRANSLATE(A54664,""en"",""pt"")"),"Fino, grande ressonância, recursos extras, como vídeo, câmera, etc.")</f>
        <v>Fino, grande ressonância, recursos extras, como vídeo, câmera, etc.</v>
      </c>
      <c r="B54664" s="3">
        <v>1</v>
      </c>
    </row>
    <row r="54665" ht="15.75" customHeight="1" spans="1:2">
      <c r="A54665" s="3" t="str">
        <f>IFERROR(__xludf.DUMMYFUNCTION("GOOGLETRANSLATE(A54665,""en"",""pt"")"),"desenhar")</f>
        <v>desenhar</v>
      </c>
      <c r="B54665" s="3">
        <v>1</v>
      </c>
    </row>
    <row r="54666" ht="15.75" customHeight="1" spans="1:2">
      <c r="A54666" s="3" t="str">
        <f>IFERROR(__xludf.DUMMYFUNCTION("GOOGLETRANSLATE(A54666,""en"",""pt"")"),"Tamanho, apresenta. Tem os itens que eu quero em um telefone")</f>
        <v>Tamanho, apresenta. Tem os itens que eu quero em um telefone</v>
      </c>
      <c r="B54666" s="3">
        <v>1</v>
      </c>
    </row>
    <row r="54667" ht="15.75" customHeight="1" spans="1:2">
      <c r="A54667" s="3" t="str">
        <f>IFERROR(__xludf.DUMMYFUNCTION("GOOGLETRANSLATE(A54667,""en"",""pt"")"),"Melhor telefone desde Startac")</f>
        <v>Melhor telefone desde Startac</v>
      </c>
      <c r="B54667" s="3">
        <v>1</v>
      </c>
    </row>
    <row r="54668" ht="15.75" customHeight="1" spans="1:2">
      <c r="A54668" s="3" t="str">
        <f>IFERROR(__xludf.DUMMYFUNCTION("GOOGLETRANSLATE(A54668,""en"",""pt"")"),"O som no telefone é grande. Eu amo o viva-voz.")</f>
        <v>O som no telefone é grande. Eu amo o viva-voz.</v>
      </c>
      <c r="B54668" s="3">
        <v>1</v>
      </c>
    </row>
    <row r="54669" ht="15.75" customHeight="1" spans="1:2">
      <c r="A54669" s="3" t="str">
        <f>IFERROR(__xludf.DUMMYFUNCTION("GOOGLETRANSLATE(A54669,""en"",""pt"")"),"qualidade de voz, pode usá-lo em minhas férias ultramarinos de, excelente design e aparência, muito leve.")</f>
        <v>qualidade de voz, pode usá-lo em minhas férias ultramarinos de, excelente design e aparência, muito leve.</v>
      </c>
      <c r="B54669" s="3">
        <v>1</v>
      </c>
    </row>
    <row r="54670" ht="15.75" customHeight="1" spans="1:2">
      <c r="A54670" s="3" t="str">
        <f>IFERROR(__xludf.DUMMYFUNCTION("GOOGLETRANSLATE(A54670,""en"",""pt"")"),"projeto bonito")</f>
        <v>projeto bonito</v>
      </c>
      <c r="B54670" s="3">
        <v>1</v>
      </c>
    </row>
    <row r="54671" ht="15.75" customHeight="1" spans="1:2">
      <c r="A54671" s="3" t="str">
        <f>IFERROR(__xludf.DUMMYFUNCTION("GOOGLETRANSLATE(A54671,""en"",""pt"")"),"Slick procura, grande interface do menu, boas características, grande recepção em todos os lugares")</f>
        <v>Slick procura, grande interface do menu, boas características, grande recepção em todos os lugares</v>
      </c>
      <c r="B54671" s="3">
        <v>1</v>
      </c>
    </row>
    <row r="54672" ht="15.75" customHeight="1" spans="1:2">
      <c r="A54672" s="3" t="s">
        <v>297</v>
      </c>
      <c r="B54672" s="3">
        <v>1</v>
      </c>
    </row>
    <row r="54673" ht="15.75" customHeight="1" spans="1:2">
      <c r="A54673" s="3" t="str">
        <f>IFERROR(__xludf.DUMMYFUNCTION("GOOGLETRANSLATE(A54673,""en"",""pt"")"),"Colocá-lo em seu bolso e você nem vai perceber que ele está lá.")</f>
        <v>Colocá-lo em seu bolso e você nem vai perceber que ele está lá.</v>
      </c>
      <c r="B54673" s="3">
        <v>1</v>
      </c>
    </row>
    <row r="54674" ht="15.75" customHeight="1" spans="1:2">
      <c r="A54674" s="3" t="str">
        <f>IFERROR(__xludf.DUMMYFUNCTION("GOOGLETRANSLATE(A54674,""en"",""pt"")"),"Parece bom e vem em uma variedade de cores")</f>
        <v>Parece bom e vem em uma variedade de cores</v>
      </c>
      <c r="B54674" s="3">
        <v>1</v>
      </c>
    </row>
    <row r="54675" ht="15.75" customHeight="1" spans="1:2">
      <c r="A54675" s="3" t="str">
        <f>IFERROR(__xludf.DUMMYFUNCTION("GOOGLETRANSLATE(A54675,""en"",""pt"")"),"Bluetooth compatível, capaz de obter ringtones facilmente, e pequeno, mas resistente.")</f>
        <v>Bluetooth compatível, capaz de obter ringtones facilmente, e pequeno, mas resistente.</v>
      </c>
      <c r="B54675" s="3">
        <v>1</v>
      </c>
    </row>
    <row r="54676" ht="15.75" customHeight="1" spans="1:2">
      <c r="A54676" s="3" t="str">
        <f>IFERROR(__xludf.DUMMYFUNCTION("GOOGLETRANSLATE(A54676,""en"",""pt"")"),"Arrefecer toques, fácil de usar")</f>
        <v>Arrefecer toques, fácil de usar</v>
      </c>
      <c r="B54676" s="3">
        <v>1</v>
      </c>
    </row>
    <row r="54677" ht="15.75" customHeight="1" spans="1:2">
      <c r="A54677" s="3" t="str">
        <f>IFERROR(__xludf.DUMMYFUNCTION("GOOGLETRANSLATE(A54677,""en"",""pt"")"),"Alto Speakerphone, MP3 Toques, boa bateria")</f>
        <v>Alto Speakerphone, MP3 Toques, boa bateria</v>
      </c>
      <c r="B54677" s="3">
        <v>1</v>
      </c>
    </row>
    <row r="54678" ht="15.75" customHeight="1" spans="1:2">
      <c r="A54678" s="3" t="str">
        <f>IFERROR(__xludf.DUMMYFUNCTION("GOOGLETRANSLATE(A54678,""en"",""pt"")"),"Longa duração da bateria, fone de ouvido bluetooth, lotes de características.")</f>
        <v>Longa duração da bateria, fone de ouvido bluetooth, lotes de características.</v>
      </c>
      <c r="B54678" s="3">
        <v>1</v>
      </c>
    </row>
    <row r="54679" ht="15.75" customHeight="1" spans="1:2">
      <c r="A54679" s="3" t="str">
        <f>IFERROR(__xludf.DUMMYFUNCTION("GOOGLETRANSLATE(A54679,""en"",""pt"")"),"grandes aparência geral e usabilidade")</f>
        <v>grandes aparência geral e usabilidade</v>
      </c>
      <c r="B54679" s="3">
        <v>1</v>
      </c>
    </row>
    <row r="54680" ht="15.75" customHeight="1" spans="1:2">
      <c r="A54680" s="3" t="str">
        <f>IFERROR(__xludf.DUMMYFUNCTION("GOOGLETRANSLATE(A54680,""en"",""pt"")"),"Parece legal, super compacta, faz você se sentir como Bond, Bluetooth e toques MP3")</f>
        <v>Parece legal, super compacta, faz você se sentir como Bond, Bluetooth e toques MP3</v>
      </c>
      <c r="B54680" s="3">
        <v>1</v>
      </c>
    </row>
    <row r="54681" ht="15.75" customHeight="1" spans="1:2">
      <c r="A54681" s="3" t="str">
        <f>IFERROR(__xludf.DUMMYFUNCTION("GOOGLETRANSLATE(A54681,""en"",""pt"")"),"olhar bonito, de fácil navegação, magro")</f>
        <v>olhar bonito, de fácil navegação, magro</v>
      </c>
      <c r="B54681" s="3">
        <v>1</v>
      </c>
    </row>
    <row r="54682" ht="15.75" customHeight="1" spans="1:2">
      <c r="A54682" s="3" t="str">
        <f>IFERROR(__xludf.DUMMYFUNCTION("GOOGLETRANSLATE(A54682,""en"",""pt"")"),"Pequeno, boa câmera, vídeo (T-Mobile) tem tela LCD real. Lotes de armazenamento, viva-voz clara.")</f>
        <v>Pequeno, boa câmera, vídeo (T-Mobile) tem tela LCD real. Lotes de armazenamento, viva-voz clara.</v>
      </c>
      <c r="B54682" s="3">
        <v>1</v>
      </c>
    </row>
    <row r="54683" ht="15.75" customHeight="1" spans="1:2">
      <c r="A54683" s="3" t="str">
        <f>IFERROR(__xludf.DUMMYFUNCTION("GOOGLETRANSLATE(A54683,""en"",""pt"")"),"projeto puro")</f>
        <v>projeto puro</v>
      </c>
      <c r="B54683" s="3">
        <v>1</v>
      </c>
    </row>
    <row r="54684" ht="15.75" customHeight="1" spans="1:2">
      <c r="A54684" s="3" t="str">
        <f>IFERROR(__xludf.DUMMYFUNCTION("GOOGLETRANSLATE(A54684,""en"",""pt"")"),"Pequeno e elegante. Toma de vídeo e fotos. E tem um monte de arquivos.")</f>
        <v>Pequeno e elegante. Toma de vídeo e fotos. E tem um monte de arquivos.</v>
      </c>
      <c r="B54684" s="3">
        <v>1</v>
      </c>
    </row>
    <row r="54685" ht="15.75" customHeight="1" spans="1:2">
      <c r="A54685" s="3" t="str">
        <f>IFERROR(__xludf.DUMMYFUNCTION("GOOGLETRANSLATE(A54685,""en"",""pt"")"),"Muito alta qualidade, bons recursos e gadgets, excelente recepção de sinal")</f>
        <v>Muito alta qualidade, bons recursos e gadgets, excelente recepção de sinal</v>
      </c>
      <c r="B54685" s="3">
        <v>1</v>
      </c>
    </row>
    <row r="54686" ht="15.75" customHeight="1" spans="1:2">
      <c r="A54686" s="3" t="str">
        <f>IFERROR(__xludf.DUMMYFUNCTION("GOOGLETRANSLATE(A54686,""en"",""pt"")"),"elegante, ótimas opções, botões e tela grande.")</f>
        <v>elegante, ótimas opções, botões e tela grande.</v>
      </c>
      <c r="B54686" s="3">
        <v>1</v>
      </c>
    </row>
    <row r="54687" ht="15.75" customHeight="1" spans="1:2">
      <c r="A54687" s="3" t="str">
        <f>IFERROR(__xludf.DUMMYFUNCTION("GOOGLETRANSLATE(A54687,""en"",""pt"")"),"grande projeto")</f>
        <v>grande projeto</v>
      </c>
      <c r="B54687" s="3">
        <v>1</v>
      </c>
    </row>
    <row r="54688" ht="15.75" customHeight="1" spans="1:2">
      <c r="A54688" s="3" t="str">
        <f>IFERROR(__xludf.DUMMYFUNCTION("GOOGLETRANSLATE(A54688,""en"",""pt"")"),"Compactar")</f>
        <v>Compactar</v>
      </c>
      <c r="B54688" s="3">
        <v>1</v>
      </c>
    </row>
    <row r="54689" ht="15.75" customHeight="1" spans="1:2">
      <c r="A54689" s="3" t="str">
        <f>IFERROR(__xludf.DUMMYFUNCTION("GOOGLETRANSLATE(A54689,""en"",""pt"")"),"Magro, Luz, Grande Signal, fácil de usar")</f>
        <v>Magro, Luz, Grande Signal, fácil de usar</v>
      </c>
      <c r="B54689" s="3">
        <v>1</v>
      </c>
    </row>
    <row r="54690" ht="15.75" customHeight="1" spans="1:2">
      <c r="A54690" s="3" t="str">
        <f>IFERROR(__xludf.DUMMYFUNCTION("GOOGLETRANSLATE(A54690,""en"",""pt"")"),"Parece legal.")</f>
        <v>Parece legal.</v>
      </c>
      <c r="B54690" s="3">
        <v>1</v>
      </c>
    </row>
    <row r="54691" ht="15.75" customHeight="1" spans="1:2">
      <c r="A54691" s="3" t="str">
        <f>IFERROR(__xludf.DUMMYFUNCTION("GOOGLETRANSLATE(A54691,""en"",""pt"")"),"É o melhor telefone disponível no th mercado.")</f>
        <v>É o melhor telefone disponível no th mercado.</v>
      </c>
      <c r="B54691" s="3">
        <v>1</v>
      </c>
    </row>
    <row r="54692" ht="15.75" customHeight="1" spans="1:2">
      <c r="A54692" s="3" t="str">
        <f>IFERROR(__xludf.DUMMYFUNCTION("GOOGLETRANSLATE(A54692,""en"",""pt"")"),"Design fino, câmera, Bluetooth, antena interna, High Res Display.")</f>
        <v>Design fino, câmera, Bluetooth, antena interna, High Res Display.</v>
      </c>
      <c r="B54692" s="3">
        <v>1</v>
      </c>
    </row>
    <row r="54693" ht="15.75" customHeight="1" spans="1:2">
      <c r="A54693" s="3" t="str">
        <f>IFERROR(__xludf.DUMMYFUNCTION("GOOGLETRANSLATE(A54693,""en"",""pt"")"),"Olhando agradável.")</f>
        <v>Olhando agradável.</v>
      </c>
      <c r="B54693" s="3">
        <v>1</v>
      </c>
    </row>
    <row r="54694" ht="15.75" customHeight="1" spans="1:2">
      <c r="A54694" s="3" t="str">
        <f>IFERROR(__xludf.DUMMYFUNCTION("GOOGLETRANSLATE(A54694,""en"",""pt"")"),"câmera, funções do telefone, estilo")</f>
        <v>câmera, funções do telefone, estilo</v>
      </c>
      <c r="B54694" s="3">
        <v>1</v>
      </c>
    </row>
    <row r="54695" ht="15.75" customHeight="1" spans="1:2">
      <c r="A54695" s="3" t="str">
        <f>IFERROR(__xludf.DUMMYFUNCTION("GOOGLETRANSLATE(A54695,""en"",""pt"")"),"Slim e parece legal")</f>
        <v>Slim e parece legal</v>
      </c>
      <c r="B54695" s="3">
        <v>1</v>
      </c>
    </row>
    <row r="54696" ht="15.75" customHeight="1" spans="1:2">
      <c r="A54696" s="3" t="str">
        <f>IFERROR(__xludf.DUMMYFUNCTION("GOOGLETRANSLATE(A54696,""en"",""pt"")"),"olhar, tamanho, recepção")</f>
        <v>olhar, tamanho, recepção</v>
      </c>
      <c r="B54696" s="3">
        <v>1</v>
      </c>
    </row>
    <row r="54697" ht="15.75" customHeight="1" spans="1:2">
      <c r="A54697" s="3" t="str">
        <f>IFERROR(__xludf.DUMMYFUNCTION("GOOGLETRANSLATE(A54697,""en"",""pt"")"),"elegante durável")</f>
        <v>elegante durável</v>
      </c>
      <c r="B54697" s="3">
        <v>1</v>
      </c>
    </row>
    <row r="54698" ht="15.75" customHeight="1" spans="1:2">
      <c r="A54698" s="3" t="str">
        <f>IFERROR(__xludf.DUMMYFUNCTION("GOOGLETRANSLATE(A54698,""en"",""pt"")"),"Looks, Toques, ""pocket dimensionados""")</f>
        <v>Looks, Toques, "pocket dimensionados"</v>
      </c>
      <c r="B54698" s="3">
        <v>1</v>
      </c>
    </row>
    <row r="54699" ht="15.75" customHeight="1" spans="1:2">
      <c r="A54699" s="3" t="str">
        <f>IFERROR(__xludf.DUMMYFUNCTION("GOOGLETRANSLATE(A54699,""en"",""pt"")"),"Tudo")</f>
        <v>Tudo</v>
      </c>
      <c r="B54699" s="3">
        <v>1</v>
      </c>
    </row>
    <row r="54700" ht="15.75" customHeight="1" spans="1:2">
      <c r="A54700" s="3" t="str">
        <f>IFERROR(__xludf.DUMMYFUNCTION("GOOGLETRANSLATE(A54700,""en"",""pt"")"),"desenho do bordo de corte (não pun)")</f>
        <v>desenho do bordo de corte (não pun)</v>
      </c>
      <c r="B54700" s="3">
        <v>1</v>
      </c>
    </row>
    <row r="54701" ht="15.75" customHeight="1" spans="1:2">
      <c r="A54701" s="3" t="str">
        <f>IFERROR(__xludf.DUMMYFUNCTION("GOOGLETRANSLATE(A54701,""en"",""pt"")"),"Leve, compacto e fácil de usar")</f>
        <v>Leve, compacto e fácil de usar</v>
      </c>
      <c r="B54701" s="3">
        <v>1</v>
      </c>
    </row>
    <row r="54702" ht="15.75" customHeight="1" spans="1:2">
      <c r="A54702" s="3" t="str">
        <f>IFERROR(__xludf.DUMMYFUNCTION("GOOGLETRANSLATE(A54702,""en"",""pt"")"),"suficiente fina para colocar no pock, na moda, bateria de longa duração, armazena um monte de números")</f>
        <v>suficiente fina para colocar no pock, na moda, bateria de longa duração, armazena um monte de números</v>
      </c>
      <c r="B54702" s="3">
        <v>1</v>
      </c>
    </row>
    <row r="54703" ht="15.75" customHeight="1" spans="1:2">
      <c r="A54703" s="3" t="str">
        <f>IFERROR(__xludf.DUMMYFUNCTION("GOOGLETRANSLATE(A54703,""en"",""pt"")"),"Elegante, fino, conectividade USB, tela agradável, bom alto-falante")</f>
        <v>Elegante, fino, conectividade USB, tela agradável, bom alto-falante</v>
      </c>
      <c r="B54703" s="3">
        <v>1</v>
      </c>
    </row>
    <row r="54704" ht="15.75" customHeight="1" spans="1:2">
      <c r="A54704" s="3" t="str">
        <f>IFERROR(__xludf.DUMMYFUNCTION("GOOGLETRANSLATE(A54704,""en"",""pt"")"),"lustroso")</f>
        <v>lustroso</v>
      </c>
      <c r="B54704" s="3">
        <v>1</v>
      </c>
    </row>
    <row r="54705" ht="15.75" customHeight="1" spans="1:2">
      <c r="A54705" s="3" t="str">
        <f>IFERROR(__xludf.DUMMYFUNCTION("GOOGLETRANSLATE(A54705,""en"",""pt"")"),"Pequeno em tamanho")</f>
        <v>Pequeno em tamanho</v>
      </c>
      <c r="B54705" s="3">
        <v>1</v>
      </c>
    </row>
    <row r="54706" ht="15.75" customHeight="1" spans="1:2">
      <c r="A54706" s="3" t="str">
        <f>IFERROR(__xludf.DUMMYFUNCTION("GOOGLETRANSLATE(A54706,""en"",""pt"")"),"Elegante, elegante, a clareza é grande, toques agradáveis, grande orador ...")</f>
        <v>Elegante, elegante, a clareza é grande, toques agradáveis, grande orador ...</v>
      </c>
      <c r="B54706" s="3">
        <v>1</v>
      </c>
    </row>
    <row r="54707" ht="15.75" customHeight="1" spans="1:2">
      <c r="A54707" s="3" t="str">
        <f>IFERROR(__xludf.DUMMYFUNCTION("GOOGLETRANSLATE(A54707,""en"",""pt"")"),"bom design e de fácil navegação")</f>
        <v>bom design e de fácil navegação</v>
      </c>
      <c r="B54707" s="3">
        <v>1</v>
      </c>
    </row>
    <row r="54708" ht="15.75" customHeight="1" spans="1:2">
      <c r="A54708" s="3" t="str">
        <f>IFERROR(__xludf.DUMMYFUNCTION("GOOGLETRANSLATE(A54708,""en"",""pt"")"),"Finos, sexy, tela brilhante, todos os sinos e assobios")</f>
        <v>Finos, sexy, tela brilhante, todos os sinos e assobios</v>
      </c>
      <c r="B54708" s="3">
        <v>1</v>
      </c>
    </row>
    <row r="54709" ht="15.75" customHeight="1" spans="1:2">
      <c r="A54709" s="3" t="str">
        <f>IFERROR(__xludf.DUMMYFUNCTION("GOOGLETRANSLATE(A54709,""en"",""pt"")"),"Elegante, design fino e blueooth")</f>
        <v>Elegante, design fino e blueooth</v>
      </c>
      <c r="B54709" s="3">
        <v>1</v>
      </c>
    </row>
    <row r="54710" ht="15.75" customHeight="1" spans="1:2">
      <c r="A54710" s="3" t="str">
        <f>IFERROR(__xludf.DUMMYFUNCTION("GOOGLETRANSLATE(A54710,""en"",""pt"")"),"Bela aparência. Robusto. Boa duração da bateria. Dispositivos e aparelhos. viva-voz alto.")</f>
        <v>Bela aparência. Robusto. Boa duração da bateria. Dispositivos e aparelhos. viva-voz alto.</v>
      </c>
      <c r="B54710" s="3">
        <v>1</v>
      </c>
    </row>
    <row r="54711" ht="15.75" customHeight="1" spans="1:2">
      <c r="A54711" s="3" t="str">
        <f>IFERROR(__xludf.DUMMYFUNCTION("GOOGLETRANSLATE(A54711,""en"",""pt"")"),"Sentir, olhar, a vida da bateria, tem todas as opções disponíveis Sprint, durável interface, amigável, excelente telefone")</f>
        <v>Sentir, olhar, a vida da bateria, tem todas as opções disponíveis Sprint, durável interface, amigável, excelente telefone</v>
      </c>
      <c r="B54711" s="3">
        <v>1</v>
      </c>
    </row>
    <row r="54712" ht="15.75" customHeight="1" spans="1:2">
      <c r="A54712" s="3" t="str">
        <f>IFERROR(__xludf.DUMMYFUNCTION("GOOGLETRANSLATE(A54712,""en"",""pt"")"),"Looks, durabilidade, peso, recepção, telefone alto-falante, de volume, suporte API Java, azul botões retro-iluminado.")</f>
        <v>Looks, durabilidade, peso, recepção, telefone alto-falante, de volume, suporte API Java, azul botões retro-iluminado.</v>
      </c>
      <c r="B54712" s="3">
        <v>1</v>
      </c>
    </row>
    <row r="54713" ht="15.75" customHeight="1" spans="1:2">
      <c r="A54713" s="3" t="str">
        <f>IFERROR(__xludf.DUMMYFUNCTION("GOOGLETRANSLATE(A54713,""en"",""pt"")"),"Robusto e confiável. Zero e Dent resistente.")</f>
        <v>Robusto e confiável. Zero e Dent resistente.</v>
      </c>
      <c r="B54713" s="3">
        <v>1</v>
      </c>
    </row>
    <row r="54714" ht="15.75" customHeight="1" spans="1:2">
      <c r="A54714" s="3" t="str">
        <f>IFERROR(__xludf.DUMMYFUNCTION("GOOGLETRANSLATE(A54714,""en"",""pt"")"),"Grande produto todo ... atende às necessidades da maioria das pessoas ... para lazer ou negócios ...")</f>
        <v>Grande produto todo ... atende às necessidades da maioria das pessoas ... para lazer ou negócios ...</v>
      </c>
      <c r="B54714" s="3">
        <v>1</v>
      </c>
    </row>
    <row r="54715" ht="15.75" customHeight="1" spans="1:2">
      <c r="A54715" s="3" t="str">
        <f>IFERROR(__xludf.DUMMYFUNCTION("GOOGLETRANSLATE(A54715,""en"",""pt"")"),"Grande procura telefone, placas de cara mutáveis.")</f>
        <v>Grande procura telefone, placas de cara mutáveis.</v>
      </c>
      <c r="B54715" s="3">
        <v>1</v>
      </c>
    </row>
    <row r="54716" ht="15.75" customHeight="1" spans="1:2">
      <c r="A54716" s="3" t="str">
        <f>IFERROR(__xludf.DUMMYFUNCTION("GOOGLETRANSLATE(A54716,""en"",""pt"")"),"Viva-voz, muito fácil de usar.")</f>
        <v>Viva-voz, muito fácil de usar.</v>
      </c>
      <c r="B54716" s="3">
        <v>1</v>
      </c>
    </row>
    <row r="54717" ht="15.75" customHeight="1" spans="1:2">
      <c r="A54717" s="3" t="str">
        <f>IFERROR(__xludf.DUMMYFUNCTION("GOOGLETRANSLATE(A54717,""en"",""pt"")"),"boa selecção de ringtones, viva !, recurso hold")</f>
        <v>boa selecção de ringtones, viva !, recurso hold</v>
      </c>
      <c r="B54717" s="3">
        <v>1</v>
      </c>
    </row>
    <row r="54718" ht="15.75" customHeight="1" spans="1:2">
      <c r="A54718" s="3" t="str">
        <f>IFERROR(__xludf.DUMMYFUNCTION("GOOGLETRANSLATE(A54718,""en"",""pt"")"),"Boa bateria inicial, abundância de recursos básicos, os lotes de toques, de boa qualidade chamada")</f>
        <v>Boa bateria inicial, abundância de recursos básicos, os lotes de toques, de boa qualidade chamada</v>
      </c>
      <c r="B54718" s="3">
        <v>1</v>
      </c>
    </row>
    <row r="54719" ht="15.75" customHeight="1" spans="1:2">
      <c r="A54719" s="3" t="str">
        <f>IFERROR(__xludf.DUMMYFUNCTION("GOOGLETRANSLATE(A54719,""en"",""pt"")"),"muito durável. bom viva-voz. fácil de usar.")</f>
        <v>muito durável. bom viva-voz. fácil de usar.</v>
      </c>
      <c r="B54719" s="3">
        <v>1</v>
      </c>
    </row>
    <row r="54720" ht="15.75" customHeight="1" spans="1:2">
      <c r="A54720" s="3" t="str">
        <f>IFERROR(__xludf.DUMMYFUNCTION("GOOGLETRANSLATE(A54720,""en"",""pt"")"),"Limpar viva-voz, facilidade de uso, tamanho, parece chique, fator simplista, custo de propriedade")</f>
        <v>Limpar viva-voz, facilidade de uso, tamanho, parece chique, fator simplista, custo de propriedade</v>
      </c>
      <c r="B54720" s="3">
        <v>1</v>
      </c>
    </row>
    <row r="54721" ht="15.75" customHeight="1" spans="1:2">
      <c r="A54721" s="3" t="str">
        <f>IFERROR(__xludf.DUMMYFUNCTION("GOOGLETRANSLATE(A54721,""en"",""pt"")"),"pequeno, agradável luz de fundo azul, vários recursos")</f>
        <v>pequeno, agradável luz de fundo azul, vários recursos</v>
      </c>
      <c r="B54721" s="3">
        <v>1</v>
      </c>
    </row>
    <row r="54722" ht="15.75" customHeight="1" spans="1:2">
      <c r="A54722" s="3" t="str">
        <f>IFERROR(__xludf.DUMMYFUNCTION("GOOGLETRANSLATE(A54722,""en"",""pt"")"),"bom tamanho, tela de cor agradável, boa recepção")</f>
        <v>bom tamanho, tela de cor agradável, boa recepção</v>
      </c>
      <c r="B54722" s="3">
        <v>1</v>
      </c>
    </row>
    <row r="54723" ht="15.75" customHeight="1" spans="1:2">
      <c r="A54723" s="3" t="str">
        <f>IFERROR(__xludf.DUMMYFUNCTION("GOOGLETRANSLATE(A54723,""en"",""pt"")"),"Sólido; boa qualidade de som; bastante fácil de usar; boa vida útil da bateria; design flip")</f>
        <v>Sólido; boa qualidade de som; bastante fácil de usar; boa vida útil da bateria; design flip</v>
      </c>
      <c r="B54723" s="3">
        <v>1</v>
      </c>
    </row>
    <row r="54724" ht="15.75" customHeight="1" spans="1:2">
      <c r="A54724" s="3" t="str">
        <f>IFERROR(__xludf.DUMMYFUNCTION("GOOGLETRANSLATE(A54724,""en"",""pt"")"),"pequenos, qualidade de som, telas coloridas")</f>
        <v>pequenos, qualidade de som, telas coloridas</v>
      </c>
      <c r="B54724" s="3">
        <v>1</v>
      </c>
    </row>
    <row r="54725" ht="15.75" customHeight="1" spans="1:2">
      <c r="A54725" s="3" t="str">
        <f>IFERROR(__xludf.DUMMYFUNCTION("GOOGLETRANSLATE(A54725,""en"",""pt"")"),"fone de ouvido padrão.")</f>
        <v>fone de ouvido padrão.</v>
      </c>
      <c r="B54725" s="3">
        <v>1</v>
      </c>
    </row>
    <row r="54726" ht="15.75" customHeight="1" spans="1:2">
      <c r="A54726" s="3" t="str">
        <f>IFERROR(__xludf.DUMMYFUNCTION("GOOGLETRANSLATE(A54726,""en"",""pt"")"),"Peso")</f>
        <v>Peso</v>
      </c>
      <c r="B54726" s="3">
        <v>1</v>
      </c>
    </row>
    <row r="54727" ht="15.75" customHeight="1" spans="1:2">
      <c r="A54727" s="3" t="str">
        <f>IFERROR(__xludf.DUMMYFUNCTION("GOOGLETRANSLATE(A54727,""en"",""pt"")"),"AOL Instant Messenger, acesso à Internet, telefone com altifalante")</f>
        <v>AOL Instant Messenger, acesso à Internet, telefone com altifalante</v>
      </c>
      <c r="B54727" s="3">
        <v>1</v>
      </c>
    </row>
    <row r="54728" ht="15.75" customHeight="1" spans="1:2">
      <c r="A54728" s="3" t="str">
        <f>IFERROR(__xludf.DUMMYFUNCTION("GOOGLETRANSLATE(A54728,""en"",""pt"")"),"Excelente exibição e som, boa gama de recursos")</f>
        <v>Excelente exibição e som, boa gama de recursos</v>
      </c>
      <c r="B54728" s="3">
        <v>1</v>
      </c>
    </row>
    <row r="54729" ht="15.75" customHeight="1" spans="1:2">
      <c r="A54729" s="3" t="str">
        <f>IFERROR(__xludf.DUMMYFUNCTION("GOOGLETRANSLATE(A54729,""en"",""pt"")"),"capacidades de comunicação, toques MP3, amplo suporte de Sonyeric comunidade entusiasta, value4money.")</f>
        <v>capacidades de comunicação, toques MP3, amplo suporte de Sonyeric comunidade entusiasta, value4money.</v>
      </c>
      <c r="B54729" s="3">
        <v>1</v>
      </c>
    </row>
    <row r="54730" ht="15.75" customHeight="1" spans="1:2">
      <c r="A54730" s="3" t="str">
        <f>IFERROR(__xludf.DUMMYFUNCTION("GOOGLETRANSLATE(A54730,""en"",""pt"")"),"Inteligente, carregado com características, interface de usuário soberba, compactos e leves.")</f>
        <v>Inteligente, carregado com características, interface de usuário soberba, compactos e leves.</v>
      </c>
      <c r="B54730" s="3">
        <v>1</v>
      </c>
    </row>
    <row r="54731" ht="15.75" customHeight="1" spans="1:2">
      <c r="A54731" s="3" t="str">
        <f>IFERROR(__xludf.DUMMYFUNCTION("GOOGLETRANSLATE(A54731,""en"",""pt"")"),"MP3 Player, cores, Bluetooth, e ele vem com 41MB melhor do que a maioria dos telefones")</f>
        <v>MP3 Player, cores, Bluetooth, e ele vem com 41MB melhor do que a maioria dos telefones</v>
      </c>
      <c r="B54731" s="3">
        <v>1</v>
      </c>
    </row>
    <row r="54732" ht="15.75" customHeight="1" spans="1:2">
      <c r="A54732" s="3" t="str">
        <f>IFERROR(__xludf.DUMMYFUNCTION("GOOGLETRANSLATE(A54732,""en"",""pt"")"),"Áudio excelente, com bom aspecto, teclado razoável, tela muito agradável")</f>
        <v>Áudio excelente, com bom aspecto, teclado razoável, tela muito agradável</v>
      </c>
      <c r="B54732" s="3">
        <v>1</v>
      </c>
    </row>
    <row r="54733" ht="15.75" customHeight="1" spans="1:2">
      <c r="A54733" s="3" t="str">
        <f>IFERROR(__xludf.DUMMYFUNCTION("GOOGLETRANSLATE(A54733,""en"",""pt"")"),"Bluetooth, infravermelho, JAVA, compatível com aplicações, a preços acessíveis, MP3s jogo, MP4s, 3GPs, amrs, câmera")</f>
        <v>Bluetooth, infravermelho, JAVA, compatível com aplicações, a preços acessíveis, MP3s jogo, MP4s, 3GPs, amrs, câmera</v>
      </c>
      <c r="B54733" s="3">
        <v>1</v>
      </c>
    </row>
    <row r="54734" ht="15.75" customHeight="1" spans="1:2">
      <c r="A54734" s="3" t="str">
        <f>IFERROR(__xludf.DUMMYFUNCTION("GOOGLETRANSLATE(A54734,""en"",""pt"")"),"grande autonomia da bateria, antena escondida, ótima câmera, luz, baixo preço")</f>
        <v>grande autonomia da bateria, antena escondida, ótima câmera, luz, baixo preço</v>
      </c>
      <c r="B54734" s="3">
        <v>1</v>
      </c>
    </row>
    <row r="54735" ht="15.75" customHeight="1" spans="1:2">
      <c r="A54735" s="3" t="str">
        <f>IFERROR(__xludf.DUMMYFUNCTION("GOOGLETRANSLATE(A54735,""en"",""pt"")"),"clareza chamada, grande recepção, sensação de solidez, rápido e responsivo OS")</f>
        <v>clareza chamada, grande recepção, sensação de solidez, rápido e responsivo OS</v>
      </c>
      <c r="B54735" s="3">
        <v>1</v>
      </c>
    </row>
    <row r="54736" ht="15.75" customHeight="1" spans="1:2">
      <c r="A54736" s="3" t="str">
        <f>IFERROR(__xludf.DUMMYFUNCTION("GOOGLETRANSLATE(A54736,""en"",""pt"")"),"Fun, completamente customizável, funciona muito bem!")</f>
        <v>Fun, completamente customizável, funciona muito bem!</v>
      </c>
      <c r="B54736" s="3">
        <v>1</v>
      </c>
    </row>
    <row r="54737" ht="15.75" customHeight="1" spans="1:2">
      <c r="A54737" s="3" t="str">
        <f>IFERROR(__xludf.DUMMYFUNCTION("GOOGLETRANSLATE(A54737,""en"",""pt"")"),"Grande voz, recepção, alto tocando vibrando / acende simultaneamente, características agradáveis ​​do organizador, grande lista telefônica, display")</f>
        <v>Grande voz, recepção, alto tocando vibrando / acende simultaneamente, características agradáveis ​​do organizador, grande lista telefônica, display</v>
      </c>
      <c r="B54737" s="3">
        <v>1</v>
      </c>
    </row>
    <row r="54738" ht="15.75" customHeight="1" spans="1:2">
      <c r="A54738" s="3" t="str">
        <f>IFERROR(__xludf.DUMMYFUNCTION("GOOGLETRANSLATE(A54738,""en"",""pt"")"),"As luzes, a vida da bateria, as imagens.")</f>
        <v>As luzes, a vida da bateria, as imagens.</v>
      </c>
      <c r="B54738" s="3">
        <v>1</v>
      </c>
    </row>
    <row r="54739" ht="15.75" customHeight="1" spans="1:2">
      <c r="A54739" s="3" t="str">
        <f>IFERROR(__xludf.DUMMYFUNCTION("GOOGLETRANSLATE(A54739,""en"",""pt"")"),"Pequeno, grande volume de opções flexíveis. Amo o viva-voz")</f>
        <v>Pequeno, grande volume de opções flexíveis. Amo o viva-voz</v>
      </c>
      <c r="B54739" s="3">
        <v>1</v>
      </c>
    </row>
    <row r="54740" ht="15.75" customHeight="1" spans="1:2">
      <c r="A54740" s="3" t="str">
        <f>IFERROR(__xludf.DUMMYFUNCTION("GOOGLETRANSLATE(A54740,""en"",""pt"")"),"Clara e toques altos, tela colorida brilhante, bateria de longa duração")</f>
        <v>Clara e toques altos, tela colorida brilhante, bateria de longa duração</v>
      </c>
      <c r="B54740" s="3">
        <v>1</v>
      </c>
    </row>
    <row r="54741" ht="15.75" customHeight="1" spans="1:2">
      <c r="A54741" s="3" t="str">
        <f>IFERROR(__xludf.DUMMYFUNCTION("GOOGLETRANSLATE(A54741,""en"",""pt"")"),"Recepção, qualidade de som, toneladas de características, bem construído, fácil de usar interface do usuário")</f>
        <v>Recepção, qualidade de som, toneladas de características, bem construído, fácil de usar interface do usuário</v>
      </c>
      <c r="B54741" s="3">
        <v>1</v>
      </c>
    </row>
    <row r="54742" ht="15.75" customHeight="1" spans="1:2">
      <c r="A54742" s="3" t="str">
        <f>IFERROR(__xludf.DUMMYFUNCTION("GOOGLETRANSLATE(A54742,""en"",""pt"")"),"Boa duração da bateria, toques altos e alerta vibratório.")</f>
        <v>Boa duração da bateria, toques altos e alerta vibratório.</v>
      </c>
      <c r="B54742" s="3">
        <v>1</v>
      </c>
    </row>
    <row r="54743" ht="15.75" customHeight="1" spans="1:2">
      <c r="A54743" s="3" t="str">
        <f>IFERROR(__xludf.DUMMYFUNCTION("GOOGLETRANSLATE(A54743,""en"",""pt"")"),"Tamanho")</f>
        <v>Tamanho</v>
      </c>
      <c r="B54743" s="3">
        <v>1</v>
      </c>
    </row>
    <row r="54744" ht="15.75" customHeight="1" spans="1:2">
      <c r="A54744" s="3" t="str">
        <f>IFERROR(__xludf.DUMMYFUNCTION("GOOGLETRANSLATE(A54744,""en"",""pt"")"),"Excelente pequeno móvel com um adicional extra, um built-in Camera !!")</f>
        <v>Excelente pequeno móvel com um adicional extra, um built-in Camera !!</v>
      </c>
      <c r="B54744" s="3">
        <v>1</v>
      </c>
    </row>
    <row r="54745" ht="15.75" customHeight="1" spans="1:2">
      <c r="A54745" s="3" t="str">
        <f>IFERROR(__xludf.DUMMYFUNCTION("GOOGLETRANSLATE(A54745,""en"",""pt"")"),"Grande som. Pequeno e peso leve. Boas fotos.")</f>
        <v>Grande som. Pequeno e peso leve. Boas fotos.</v>
      </c>
      <c r="B54745" s="3">
        <v>1</v>
      </c>
    </row>
    <row r="54746" ht="15.75" customHeight="1" spans="1:2">
      <c r="A54746" s="3" t="str">
        <f>IFERROR(__xludf.DUMMYFUNCTION("GOOGLETRANSLATE(A54746,""en"",""pt"")"),"Este é um telefone divertido até que quebre.")</f>
        <v>Este é um telefone divertido até que quebre.</v>
      </c>
      <c r="B54746" s="3">
        <v>1</v>
      </c>
    </row>
    <row r="54747" ht="15.75" customHeight="1" spans="1:2">
      <c r="A54747" s="3" t="str">
        <f>IFERROR(__xludf.DUMMYFUNCTION("GOOGLETRANSLATE(A54747,""en"",""pt"")"),"Compacto, leve e fácil de usar ...")</f>
        <v>Compacto, leve e fácil de usar ...</v>
      </c>
      <c r="B54747" s="3">
        <v>1</v>
      </c>
    </row>
    <row r="54748" ht="15.75" customHeight="1" spans="1:2">
      <c r="A54748" s="3" t="str">
        <f>IFERROR(__xludf.DUMMYFUNCTION("GOOGLETRANSLATE(A54748,""en"",""pt"")"),"pequeno! parece bom! resistente!")</f>
        <v>pequeno! parece bom! resistente!</v>
      </c>
      <c r="B54748" s="3">
        <v>1</v>
      </c>
    </row>
    <row r="54749" ht="15.75" customHeight="1" spans="1:2">
      <c r="A54749" s="3" t="str">
        <f>IFERROR(__xludf.DUMMYFUNCTION("GOOGLETRANSLATE(A54749,""en"",""pt"")"),"câmera é fácil de usar")</f>
        <v>câmera é fácil de usar</v>
      </c>
      <c r="B54749" s="3">
        <v>1</v>
      </c>
    </row>
    <row r="54750" ht="15.75" customHeight="1" spans="1:2">
      <c r="A54750" s="3" t="str">
        <f>IFERROR(__xludf.DUMMYFUNCTION("GOOGLETRANSLATE(A54750,""en"",""pt"")"),"Fácil de usar, muitos recursos, compacto, bom som e vida útil da bateria")</f>
        <v>Fácil de usar, muitos recursos, compacto, bom som e vida útil da bateria</v>
      </c>
      <c r="B54750" s="3">
        <v>1</v>
      </c>
    </row>
    <row r="54751" ht="15.75" customHeight="1" spans="1:2">
      <c r="A54751" s="3" t="str">
        <f>IFERROR(__xludf.DUMMYFUNCTION("GOOGLETRANSLATE(A54751,""en"",""pt"")"),"Botões, tamanho, Look, qualidade de som")</f>
        <v>Botões, tamanho, Look, qualidade de som</v>
      </c>
      <c r="B54751" s="3">
        <v>1</v>
      </c>
    </row>
    <row r="54752" ht="15.75" customHeight="1" spans="1:2">
      <c r="A54752" s="3" t="str">
        <f>IFERROR(__xludf.DUMMYFUNCTION("GOOGLETRANSLATE(A54752,""en"",""pt"")"),"Boa clareza de voz de entrada, tela muito leve cor bom tamanho.")</f>
        <v>Boa clareza de voz de entrada, tela muito leve cor bom tamanho.</v>
      </c>
      <c r="B54752" s="3">
        <v>1</v>
      </c>
    </row>
    <row r="54753" ht="15.75" customHeight="1" spans="1:2">
      <c r="A54753" s="3" t="str">
        <f>IFERROR(__xludf.DUMMYFUNCTION("GOOGLETRANSLATE(A54753,""en"",""pt"")"),"faz todas as funções do telefone adequadamente")</f>
        <v>faz todas as funções do telefone adequadamente</v>
      </c>
      <c r="B54753" s="3">
        <v>1</v>
      </c>
    </row>
    <row r="54754" ht="15.75" customHeight="1" spans="1:2">
      <c r="A54754" s="3" t="str">
        <f>IFERROR(__xludf.DUMMYFUNCTION("GOOGLETRANSLATE(A54754,""en"",""pt"")"),"Boa Talk Time, câmera, compacta, telefone flip.")</f>
        <v>Boa Talk Time, câmera, compacta, telefone flip.</v>
      </c>
      <c r="B54754" s="3">
        <v>1</v>
      </c>
    </row>
    <row r="54755" ht="15.75" customHeight="1" spans="1:2">
      <c r="A54755" s="3" t="str">
        <f>IFERROR(__xludf.DUMMYFUNCTION("GOOGLETRANSLATE(A54755,""en"",""pt"")"),"Bonito, portátil; vibrar uma tecla; câmera, recursos de vídeo; sobrevive repetidas quedas")</f>
        <v>Bonito, portátil; vibrar uma tecla; câmera, recursos de vídeo; sobrevive repetidas quedas</v>
      </c>
      <c r="B54755" s="3">
        <v>1</v>
      </c>
    </row>
    <row r="54756" ht="15.75" customHeight="1" spans="1:2">
      <c r="A54756" s="3" t="str">
        <f>IFERROR(__xludf.DUMMYFUNCTION("GOOGLETRANSLATE(A54756,""en"",""pt"")"),"Leve, compacto e elegante, fácil de navegar e cheio de recursos")</f>
        <v>Leve, compacto e elegante, fácil de navegar e cheio de recursos</v>
      </c>
      <c r="B54756" s="3">
        <v>1</v>
      </c>
    </row>
    <row r="54757" ht="15.75" customHeight="1" spans="1:2">
      <c r="A54757" s="3" t="str">
        <f>IFERROR(__xludf.DUMMYFUNCTION("GOOGLETRANSLATE(A54757,""en"",""pt"")"),"design flip telefone, tamanho pequeno, telas de cores, câmera embutida e flash, capacidade de vídeo")</f>
        <v>design flip telefone, tamanho pequeno, telas de cores, câmera embutida e flash, capacidade de vídeo</v>
      </c>
      <c r="B54757" s="3">
        <v>1</v>
      </c>
    </row>
    <row r="54758" ht="15.75" customHeight="1" spans="1:2">
      <c r="A54758" s="3" t="str">
        <f>IFERROR(__xludf.DUMMYFUNCTION("GOOGLETRANSLATE(A54758,""en"",""pt"")"),"telefone flip, se encaixa facilmente em um bolso, fácil de usar, duráveis.")</f>
        <v>telefone flip, se encaixa facilmente em um bolso, fácil de usar, duráveis.</v>
      </c>
      <c r="B54758" s="3">
        <v>1</v>
      </c>
    </row>
    <row r="54759" ht="15.75" customHeight="1" spans="1:2">
      <c r="A54759" s="3" t="str">
        <f>IFERROR(__xludf.DUMMYFUNCTION("GOOGLETRANSLATE(A54759,""en"",""pt"")"),"telefone -Belos")</f>
        <v>telefone -Belos</v>
      </c>
      <c r="B54759" s="3">
        <v>1</v>
      </c>
    </row>
    <row r="54760" ht="15.75" customHeight="1" spans="1:2">
      <c r="A54760" s="3" t="str">
        <f>IFERROR(__xludf.DUMMYFUNCTION("GOOGLETRANSLATE(A54760,""en"",""pt"")"),"Tamanho, estilo, personalização.")</f>
        <v>Tamanho, estilo, personalização.</v>
      </c>
      <c r="B54760" s="3">
        <v>1</v>
      </c>
    </row>
    <row r="54761" ht="15.75" customHeight="1" spans="1:2">
      <c r="A54761" s="3" t="str">
        <f>IFERROR(__xludf.DUMMYFUNCTION("GOOGLETRANSLATE(A54761,""en"",""pt"")"),"Durável, fácil de usar")</f>
        <v>Durável, fácil de usar</v>
      </c>
      <c r="B54761" s="3">
        <v>1</v>
      </c>
    </row>
    <row r="54762" ht="15.75" customHeight="1" spans="1:2">
      <c r="A54762" s="3" t="str">
        <f>IFERROR(__xludf.DUMMYFUNCTION("GOOGLETRANSLATE(A54762,""en"",""pt"")"),"Fácil de usar")</f>
        <v>Fácil de usar</v>
      </c>
      <c r="B54762" s="3">
        <v>1</v>
      </c>
    </row>
    <row r="54763" ht="15.75" customHeight="1" spans="1:2">
      <c r="A54763" s="3" t="str">
        <f>IFERROR(__xludf.DUMMYFUNCTION("GOOGLETRANSLATE(A54763,""en"",""pt"")"),"Fácil de usar, pequeno, de boa qualidade")</f>
        <v>Fácil de usar, pequeno, de boa qualidade</v>
      </c>
      <c r="B54763" s="3">
        <v>1</v>
      </c>
    </row>
    <row r="54764" ht="15.75" customHeight="1" spans="1:2">
      <c r="A54764" s="3" t="str">
        <f>IFERROR(__xludf.DUMMYFUNCTION("GOOGLETRANSLATE(A54764,""en"",""pt"")"),"O tamanho pequeno, câmera, funcionou bem antes de quebrar")</f>
        <v>O tamanho pequeno, câmera, funcionou bem antes de quebrar</v>
      </c>
      <c r="B54764" s="3">
        <v>1</v>
      </c>
    </row>
    <row r="54765" ht="15.75" customHeight="1" spans="1:2">
      <c r="A54765" s="3" t="str">
        <f>IFERROR(__xludf.DUMMYFUNCTION("GOOGLETRANSLATE(A54765,""en"",""pt"")"),"Descida preço / bateria / câmera.")</f>
        <v>Descida preço / bateria / câmera.</v>
      </c>
      <c r="B54765" s="3">
        <v>1</v>
      </c>
    </row>
    <row r="54766" ht="15.75" customHeight="1" spans="1:2">
      <c r="A54766" s="3" t="str">
        <f>IFERROR(__xludf.DUMMYFUNCTION("GOOGLETRANSLATE(A54766,""en"",""pt"")"),"bateria de longa duração, discagem rápida, tela nítida")</f>
        <v>bateria de longa duração, discagem rápida, tela nítida</v>
      </c>
      <c r="B54766" s="3">
        <v>1</v>
      </c>
    </row>
    <row r="54767" ht="15.75" customHeight="1" spans="1:2">
      <c r="A54767" s="3" t="str">
        <f>IFERROR(__xludf.DUMMYFUNCTION("GOOGLETRANSLATE(A54767,""en"",""pt"")"),"tamanho, muitas maneiras de personalizar as definições, discagem por voz")</f>
        <v>tamanho, muitas maneiras de personalizar as definições, discagem por voz</v>
      </c>
      <c r="B54767" s="3">
        <v>1</v>
      </c>
    </row>
    <row r="54768" ht="15.75" customHeight="1" spans="1:2">
      <c r="A54768" s="3" t="str">
        <f>IFERROR(__xludf.DUMMYFUNCTION("GOOGLETRANSLATE(A54768,""en"",""pt"")"),"Grande recepção e vida útil da bateria, comece agora mesmo, estilo de menu fácil")</f>
        <v>Grande recepção e vida útil da bateria, comece agora mesmo, estilo de menu fácil</v>
      </c>
      <c r="B54768" s="3">
        <v>1</v>
      </c>
    </row>
    <row r="54769" ht="15.75" customHeight="1" spans="1:2">
      <c r="A54769" s="3" t="str">
        <f>IFERROR(__xludf.DUMMYFUNCTION("GOOGLETRANSLATE(A54769,""en"",""pt"")"),"Parece legal.")</f>
        <v>Parece legal.</v>
      </c>
      <c r="B54769" s="3">
        <v>1</v>
      </c>
    </row>
    <row r="54770" ht="15.75" customHeight="1" spans="1:2">
      <c r="A54770" s="3" t="str">
        <f>IFERROR(__xludf.DUMMYFUNCTION("GOOGLETRANSLATE(A54770,""en"",""pt"")"),"Extremamente durável, fácil de usar, muita memória e funções.")</f>
        <v>Extremamente durável, fácil de usar, muita memória e funções.</v>
      </c>
      <c r="B54770" s="3">
        <v>1</v>
      </c>
    </row>
    <row r="54771" ht="15.75" customHeight="1" spans="1:2">
      <c r="A54771" s="3" t="str">
        <f>IFERROR(__xludf.DUMMYFUNCTION("GOOGLETRANSLATE(A54771,""en"",""pt"")"),"Um bom telefone que sobreviveu a um ciclo de lavagem completa e secador quente.")</f>
        <v>Um bom telefone que sobreviveu a um ciclo de lavagem completa e secador quente.</v>
      </c>
      <c r="B54771" s="3">
        <v>1</v>
      </c>
    </row>
    <row r="54772" ht="15.75" customHeight="1" spans="1:2">
      <c r="A54772" s="3" t="str">
        <f>IFERROR(__xludf.DUMMYFUNCTION("GOOGLETRANSLATE(A54772,""en"",""pt"")"),"anel alto")</f>
        <v>anel alto</v>
      </c>
      <c r="B54772" s="3">
        <v>1</v>
      </c>
    </row>
    <row r="54773" ht="15.75" customHeight="1" spans="1:2">
      <c r="A54773" s="3" t="str">
        <f>IFERROR(__xludf.DUMMYFUNCTION("GOOGLETRANSLATE(A54773,""en"",""pt"")"),"telefone simples de usar.")</f>
        <v>telefone simples de usar.</v>
      </c>
      <c r="B54773" s="3">
        <v>1</v>
      </c>
    </row>
    <row r="54774" ht="15.75" customHeight="1" spans="1:2">
      <c r="A54774" s="3" t="str">
        <f>IFERROR(__xludf.DUMMYFUNCTION("GOOGLETRANSLATE(A54774,""en"",""pt"")"),"Bom preço, muito clara e grande tela colorida, entena extensível")</f>
        <v>Bom preço, muito clara e grande tela colorida, entena extensível</v>
      </c>
      <c r="B54774" s="3">
        <v>1</v>
      </c>
    </row>
    <row r="54775" ht="15.75" customHeight="1" spans="1:2">
      <c r="A54775" s="3" t="str">
        <f>IFERROR(__xludf.DUMMYFUNCTION("GOOGLETRANSLATE(A54775,""en"",""pt"")"),"loucamente durável. breaks Nunca. gráficos bastante, de queijo. acho flores e céu ensolarado.")</f>
        <v>loucamente durável. breaks Nunca. gráficos bastante, de queijo. acho flores e céu ensolarado.</v>
      </c>
      <c r="B54775" s="3">
        <v>1</v>
      </c>
    </row>
    <row r="54776" ht="15.75" customHeight="1" spans="1:2">
      <c r="A54776" s="3" t="str">
        <f>IFERROR(__xludf.DUMMYFUNCTION("GOOGLETRANSLATE(A54776,""en"",""pt"")"),"OBEX capaz Bluetooth, toques MP3, viva voz, mensagens de texto, imagem e E-mail fácil.")</f>
        <v>OBEX capaz Bluetooth, toques MP3, viva voz, mensagens de texto, imagem e E-mail fácil.</v>
      </c>
      <c r="B54776" s="3">
        <v>1</v>
      </c>
    </row>
    <row r="54777" ht="15.75" customHeight="1" spans="1:2">
      <c r="A54777" s="3" t="str">
        <f>IFERROR(__xludf.DUMMYFUNCTION("GOOGLETRANSLATE(A54777,""en"",""pt"")"),"Boa ideia")</f>
        <v>Boa ideia</v>
      </c>
      <c r="B54777" s="3">
        <v>1</v>
      </c>
    </row>
    <row r="54778" ht="15.75" customHeight="1" spans="1:2">
      <c r="A54778" s="3" t="str">
        <f>IFERROR(__xludf.DUMMYFUNCTION("GOOGLETRANSLATE(A54778,""en"",""pt"")"),"teclado QWERTY completo, tipagem dedo indicador, design candy bar se abre, Bluetooth.")</f>
        <v>teclado QWERTY completo, tipagem dedo indicador, design candy bar se abre, Bluetooth.</v>
      </c>
      <c r="B54778" s="3">
        <v>1</v>
      </c>
    </row>
    <row r="54779" ht="15.75" customHeight="1" spans="1:2">
      <c r="A54779" s="3" t="str">
        <f>IFERROR(__xludf.DUMMYFUNCTION("GOOGLETRANSLATE(A54779,""en"",""pt"")"),"teclado QWERTY, design puro")</f>
        <v>teclado QWERTY, design puro</v>
      </c>
      <c r="B54779" s="3">
        <v>1</v>
      </c>
    </row>
    <row r="54780" ht="15.75" customHeight="1" spans="1:2">
      <c r="A54780" s="3" t="str">
        <f>IFERROR(__xludf.DUMMYFUNCTION("GOOGLETRANSLATE(A54780,""en"",""pt"")"),"gerais aparência, teclado, câmera, mp3 ringtones")</f>
        <v>gerais aparência, teclado, câmera, mp3 ringtones</v>
      </c>
      <c r="B54780" s="3">
        <v>1</v>
      </c>
    </row>
    <row r="54781" ht="15.75" customHeight="1" spans="1:2">
      <c r="A54781" s="3" t="str">
        <f>IFERROR(__xludf.DUMMYFUNCTION("GOOGLETRANSLATE(A54781,""en"",""pt"")"),"Teclado QWERTY.")</f>
        <v>Teclado QWERTY.</v>
      </c>
      <c r="B54781" s="3">
        <v>1</v>
      </c>
    </row>
    <row r="54782" ht="15.75" customHeight="1" spans="1:2">
      <c r="A54782" s="3" t="str">
        <f>IFERROR(__xludf.DUMMYFUNCTION("GOOGLETRANSLATE(A54782,""en"",""pt"")"),"Elegante, grande fator de forma, tem um teclado")</f>
        <v>Elegante, grande fator de forma, tem um teclado</v>
      </c>
      <c r="B54782" s="3">
        <v>1</v>
      </c>
    </row>
    <row r="54783" ht="15.75" customHeight="1" spans="1:2">
      <c r="A54783" s="3" t="str">
        <f>IFERROR(__xludf.DUMMYFUNCTION("GOOGLETRANSLATE(A54783,""en"",""pt"")"),"câmera integrada; altifalante sólido; 65000-cor visor interno; Bluetooth; trabalha com PC e Mac.")</f>
        <v>câmera integrada; altifalante sólido; 65000-cor visor interno; Bluetooth; trabalha com PC e Mac.</v>
      </c>
      <c r="B54783" s="3">
        <v>1</v>
      </c>
    </row>
    <row r="54784" ht="15.75" customHeight="1" spans="1:2">
      <c r="A54784" s="3" t="str">
        <f>IFERROR(__xludf.DUMMYFUNCTION("GOOGLETRANSLATE(A54784,""en"",""pt"")"),"Lotes de funções")</f>
        <v>Lotes de funções</v>
      </c>
      <c r="B54784" s="3">
        <v>1</v>
      </c>
    </row>
    <row r="54785" ht="15.75" customHeight="1" spans="1:2">
      <c r="A54785" s="3" t="str">
        <f>IFERROR(__xludf.DUMMYFUNCTION("GOOGLETRANSLATE(A54785,""en"",""pt"")"),"design arrojado e durabilidade")</f>
        <v>design arrojado e durabilidade</v>
      </c>
      <c r="B54785" s="3">
        <v>1</v>
      </c>
    </row>
    <row r="54786" ht="15.75" customHeight="1" spans="1:2">
      <c r="A54786" s="3" t="str">
        <f>IFERROR(__xludf.DUMMYFUNCTION("GOOGLETRANSLATE(A54786,""en"",""pt"")"),"Grande procura e excelente qualidade de chamada")</f>
        <v>Grande procura e excelente qualidade de chamada</v>
      </c>
      <c r="B54786" s="3">
        <v>1</v>
      </c>
    </row>
    <row r="54787" ht="15.75" customHeight="1" spans="1:2">
      <c r="A54787" s="3" t="str">
        <f>IFERROR(__xludf.DUMMYFUNCTION("GOOGLETRANSLATE(A54787,""en"",""pt"")"),"Fácil de usar, boa câmera, bom orador telefone, não muito caro, bateria sólida")</f>
        <v>Fácil de usar, boa câmera, bom orador telefone, não muito caro, bateria sólida</v>
      </c>
      <c r="B54787" s="3">
        <v>1</v>
      </c>
    </row>
    <row r="54788" ht="15.75" customHeight="1" spans="1:2">
      <c r="A54788" s="3" t="str">
        <f>IFERROR(__xludf.DUMMYFUNCTION("GOOGLETRANSLATE(A54788,""en"",""pt"")"),"veja o comentário")</f>
        <v>veja o comentário</v>
      </c>
      <c r="B54788" s="3">
        <v>1</v>
      </c>
    </row>
    <row r="54789" ht="15.75" customHeight="1" spans="1:2">
      <c r="A54789" s="3" t="str">
        <f>IFERROR(__xludf.DUMMYFUNCTION("GOOGLETRANSLATE(A54789,""en"",""pt"")"),"Faz chamadas, leva pics, tem Bluetooth")</f>
        <v>Faz chamadas, leva pics, tem Bluetooth</v>
      </c>
      <c r="B54789" s="3">
        <v>1</v>
      </c>
    </row>
    <row r="54790" ht="15.75" customHeight="1" spans="1:2">
      <c r="A54790" s="3" t="str">
        <f>IFERROR(__xludf.DUMMYFUNCTION("GOOGLETRANSLATE(A54790,""en"",""pt"")"),"Estilo, qualidade, características, gráficos, capacidades, clareza")</f>
        <v>Estilo, qualidade, características, gráficos, capacidades, clareza</v>
      </c>
      <c r="B54790" s="3">
        <v>1</v>
      </c>
    </row>
    <row r="54791" ht="15.75" customHeight="1" spans="1:2">
      <c r="A54791" s="3" t="str">
        <f>IFERROR(__xludf.DUMMYFUNCTION("GOOGLETRANSLATE(A54791,""en"",""pt"")"),"Excelente tamanho e sensação. qualidade de som e recepção tem sido grande.")</f>
        <v>Excelente tamanho e sensação. qualidade de som e recepção tem sido grande.</v>
      </c>
      <c r="B54791" s="3">
        <v>1</v>
      </c>
    </row>
    <row r="54792" ht="15.75" customHeight="1" spans="1:2">
      <c r="A54792" s="3" t="str">
        <f>IFERROR(__xludf.DUMMYFUNCTION("GOOGLETRANSLATE(A54792,""en"",""pt"")"),"Grande estilo, sólida construída, fácil de navegar.")</f>
        <v>Grande estilo, sólida construída, fácil de navegar.</v>
      </c>
      <c r="B54792" s="3">
        <v>1</v>
      </c>
    </row>
    <row r="54793" ht="15.75" customHeight="1" spans="1:2">
      <c r="A54793" s="3" t="str">
        <f>IFERROR(__xludf.DUMMYFUNCTION("GOOGLETRANSLATE(A54793,""en"",""pt"")"),"-Camera e Vídeo")</f>
        <v>-Camera e Vídeo</v>
      </c>
      <c r="B54793" s="3">
        <v>1</v>
      </c>
    </row>
    <row r="54794" ht="15.75" customHeight="1" spans="1:2">
      <c r="A54794" s="3" t="str">
        <f>IFERROR(__xludf.DUMMYFUNCTION("GOOGLETRANSLATE(A54794,""en"",""pt"")"),"Pequenos, Nice aleta sólida, muitos recursos.")</f>
        <v>Pequenos, Nice aleta sólida, muitos recursos.</v>
      </c>
      <c r="B54794" s="3">
        <v>1</v>
      </c>
    </row>
    <row r="54795" ht="15.75" customHeight="1" spans="1:2">
      <c r="A54795" s="3" t="str">
        <f>IFERROR(__xludf.DUMMYFUNCTION("GOOGLETRANSLATE(A54795,""en"",""pt"")"),"Características, bastante compacto, inernational.")</f>
        <v>Características, bastante compacto, inernational.</v>
      </c>
      <c r="B54795" s="3">
        <v>1</v>
      </c>
    </row>
    <row r="54796" ht="15.75" customHeight="1" spans="1:2">
      <c r="A54796" s="3" t="str">
        <f>IFERROR(__xludf.DUMMYFUNCTION("GOOGLETRANSLATE(A54796,""en"",""pt"")"),"Excelente recepção, bluetooth funciona bem para os meus propósitos, o revestimento azul emborrachado é muito agradável")</f>
        <v>Excelente recepção, bluetooth funciona bem para os meus propósitos, o revestimento azul emborrachado é muito agradável</v>
      </c>
      <c r="B54796" s="3">
        <v>1</v>
      </c>
    </row>
    <row r="54797" ht="15.75" customHeight="1" spans="1:2">
      <c r="A54797" s="3" t="str">
        <f>IFERROR(__xludf.DUMMYFUNCTION("GOOGLETRANSLATE(A54797,""en"",""pt"")"),"Motorola reputação, telefone sólida, som claro")</f>
        <v>Motorola reputação, telefone sólida, som claro</v>
      </c>
      <c r="B54797" s="3">
        <v>1</v>
      </c>
    </row>
    <row r="54798" ht="15.75" customHeight="1" spans="1:2">
      <c r="A54798" s="3" t="str">
        <f>IFERROR(__xludf.DUMMYFUNCTION("GOOGLETRANSLATE(A54798,""en"",""pt"")"),"Características muito boas, divertido de usar, durável, sinal excelente, Bluetooth, tela grande capacidade e tamanho.")</f>
        <v>Características muito boas, divertido de usar, durável, sinal excelente, Bluetooth, tela grande capacidade e tamanho.</v>
      </c>
      <c r="B54798" s="3">
        <v>1</v>
      </c>
    </row>
    <row r="54799" ht="15.75" customHeight="1" spans="1:2">
      <c r="A54799" s="3" t="str">
        <f>IFERROR(__xludf.DUMMYFUNCTION("GOOGLETRANSLATE(A54799,""en"",""pt"")"),"tela grande, discagem por voz, Bluetooth compatível, câmera e capacidade de vídeo.")</f>
        <v>tela grande, discagem por voz, Bluetooth compatível, câmera e capacidade de vídeo.</v>
      </c>
      <c r="B54799" s="3">
        <v>1</v>
      </c>
    </row>
    <row r="54800" ht="15.75" customHeight="1" spans="1:2">
      <c r="A54800" s="3" t="str">
        <f>IFERROR(__xludf.DUMMYFUNCTION("GOOGLETRANSLATE(A54800,""en"",""pt"")"),"Looks boa, sólida, agradável exibição, boas fotos.")</f>
        <v>Looks boa, sólida, agradável exibição, boas fotos.</v>
      </c>
      <c r="B54800" s="3">
        <v>1</v>
      </c>
    </row>
    <row r="54801" ht="15.75" customHeight="1" spans="1:2">
      <c r="A54801" s="3" t="str">
        <f>IFERROR(__xludf.DUMMYFUNCTION("GOOGLETRANSLATE(A54801,""en"",""pt"")"),"ecrã a cores é excelente")</f>
        <v>ecrã a cores é excelente</v>
      </c>
      <c r="B54801" s="3">
        <v>1</v>
      </c>
    </row>
    <row r="54802" ht="15.75" customHeight="1" spans="1:2">
      <c r="A54802" s="3" t="str">
        <f>IFERROR(__xludf.DUMMYFUNCTION("GOOGLETRANSLATE(A54802,""en"",""pt"")"),"Robusto, alto-falante")</f>
        <v>Robusto, alto-falante</v>
      </c>
      <c r="B54802" s="3">
        <v>1</v>
      </c>
    </row>
    <row r="54803" ht="15.75" customHeight="1" spans="1:2">
      <c r="A54803" s="3" t="str">
        <f>IFERROR(__xludf.DUMMYFUNCTION("GOOGLETRANSLATE(A54803,""en"",""pt"")"),"Grande conjunto de recursos e recepção decente")</f>
        <v>Grande conjunto de recursos e recepção decente</v>
      </c>
      <c r="B54803" s="3">
        <v>1</v>
      </c>
    </row>
    <row r="54804" ht="15.75" customHeight="1" spans="1:2">
      <c r="A54804" s="3" t="str">
        <f>IFERROR(__xludf.DUMMYFUNCTION("GOOGLETRANSLATE(A54804,""en"",""pt"")"),"Estética, viva-voz, vida útil da bateria")</f>
        <v>Estética, viva-voz, vida útil da bateria</v>
      </c>
      <c r="B54804" s="3">
        <v>1</v>
      </c>
    </row>
    <row r="54805" ht="15.75" customHeight="1" spans="1:2">
      <c r="A54805" s="3" t="str">
        <f>IFERROR(__xludf.DUMMYFUNCTION("GOOGLETRANSLATE(A54805,""en"",""pt"")"),"GSM Quad band, PC Sync, Bluetooth, EDGE, a qualidade do sinal-voz.")</f>
        <v>GSM Quad band, PC Sync, Bluetooth, EDGE, a qualidade do sinal-voz.</v>
      </c>
      <c r="B54805" s="3">
        <v>1</v>
      </c>
    </row>
    <row r="54806" ht="15.75" customHeight="1" spans="1:2">
      <c r="A54806" s="3" t="str">
        <f>IFERROR(__xludf.DUMMYFUNCTION("GOOGLETRANSLATE(A54806,""en"",""pt"")"),"Grande qualidade de sinal, grande valor, boa vida útil da bateria, Boa durabilidade")</f>
        <v>Grande qualidade de sinal, grande valor, boa vida útil da bateria, Boa durabilidade</v>
      </c>
      <c r="B54806" s="3">
        <v>1</v>
      </c>
    </row>
    <row r="54807" ht="15.75" customHeight="1" spans="1:2">
      <c r="A54807" s="3" t="str">
        <f>IFERROR(__xludf.DUMMYFUNCTION("GOOGLETRANSLATE(A54807,""en"",""pt"")"),"Parece bom, boa qualidade de voz, boa bluetooth, câmera boa, agradável botões")</f>
        <v>Parece bom, boa qualidade de voz, boa bluetooth, câmera boa, agradável botões</v>
      </c>
      <c r="B54807" s="3">
        <v>1</v>
      </c>
    </row>
    <row r="54808" ht="15.75" customHeight="1" spans="1:2">
      <c r="A54808" s="3" t="str">
        <f>IFERROR(__xludf.DUMMYFUNCTION("GOOGLETRANSLATE(A54808,""en"",""pt"")"),"Tudo, eu amo esse telefone!")</f>
        <v>Tudo, eu amo esse telefone!</v>
      </c>
      <c r="B54808" s="3">
        <v>1</v>
      </c>
    </row>
    <row r="54809" ht="15.75" customHeight="1" spans="1:2">
      <c r="A54809" s="3" t="str">
        <f>IFERROR(__xludf.DUMMYFUNCTION("GOOGLETRANSLATE(A54809,""en"",""pt"")"),"rico conjunto recurso, bluetooth, câmera w / vídeo, sinal forte")</f>
        <v>rico conjunto recurso, bluetooth, câmera w / vídeo, sinal forte</v>
      </c>
      <c r="B54809" s="3">
        <v>1</v>
      </c>
    </row>
    <row r="54810" ht="15.75" customHeight="1" spans="1:2">
      <c r="A54810" s="3" t="str">
        <f>IFERROR(__xludf.DUMMYFUNCTION("GOOGLETRANSLATE(A54810,""en"",""pt"")"),"qualidade sólida, boa recepção, teclado bastante de tamanho, pode receber chamadas no escritório, em casa. Bom palestrante.")</f>
        <v>qualidade sólida, boa recepção, teclado bastante de tamanho, pode receber chamadas no escritório, em casa. Bom palestrante.</v>
      </c>
      <c r="B54810" s="3">
        <v>1</v>
      </c>
    </row>
    <row r="54811" ht="15.75" customHeight="1" spans="1:2">
      <c r="A54811" s="3" t="str">
        <f>IFERROR(__xludf.DUMMYFUNCTION("GOOGLETRANSLATE(A54811,""en"",""pt"")"),"Atraente, Bluetooth, câmera, habilitado para Web, MP3 Toques")</f>
        <v>Atraente, Bluetooth, câmera, habilitado para Web, MP3 Toques</v>
      </c>
      <c r="B54811" s="3">
        <v>1</v>
      </c>
    </row>
    <row r="54812" ht="15.75" customHeight="1" spans="1:2">
      <c r="A54812" s="3" t="str">
        <f>IFERROR(__xludf.DUMMYFUNCTION("GOOGLETRANSLATE(A54812,""en"",""pt"")"),"funções de câmera e vídeo")</f>
        <v>funções de câmera e vídeo</v>
      </c>
      <c r="B54812" s="3">
        <v>1</v>
      </c>
    </row>
    <row r="54813" ht="15.75" customHeight="1" spans="1:2">
      <c r="A54813" s="3" t="str">
        <f>IFERROR(__xludf.DUMMYFUNCTION("GOOGLETRANSLATE(A54813,""en"",""pt"")"),"Motorola, fácil de usar, volume, mp3 ringtones, câmera")</f>
        <v>Motorola, fácil de usar, volume, mp3 ringtones, câmera</v>
      </c>
      <c r="B54813" s="3">
        <v>1</v>
      </c>
    </row>
    <row r="54814" ht="15.75" customHeight="1" spans="1:2">
      <c r="A54814" s="3" t="str">
        <f>IFERROR(__xludf.DUMMYFUNCTION("GOOGLETRANSLATE(A54814,""en"",""pt"")"),"construção sólida. Um monte de recursos (a maioria eu nunca uso)")</f>
        <v>construção sólida. Um monte de recursos (a maioria eu nunca uso)</v>
      </c>
      <c r="B54814" s="3">
        <v>1</v>
      </c>
    </row>
    <row r="54815" ht="15.75" customHeight="1" spans="1:2">
      <c r="A54815" s="3" t="str">
        <f>IFERROR(__xludf.DUMMYFUNCTION("GOOGLETRANSLATE(A54815,""en"",""pt"")"),"Boa interface do usuário.")</f>
        <v>Boa interface do usuário.</v>
      </c>
      <c r="B54815" s="3">
        <v>1</v>
      </c>
    </row>
    <row r="54816" ht="15.75" customHeight="1" spans="1:2">
      <c r="A54816" s="3" t="str">
        <f>IFERROR(__xludf.DUMMYFUNCTION("GOOGLETRANSLATE(A54816,""en"",""pt"")"),"Excelente qualidade da chamada, bluetooth, garra form factor, rosto placa sexy.")</f>
        <v>Excelente qualidade da chamada, bluetooth, garra form factor, rosto placa sexy.</v>
      </c>
      <c r="B54816" s="3">
        <v>1</v>
      </c>
    </row>
    <row r="54817" ht="15.75" customHeight="1" spans="1:2">
      <c r="A54817" s="3" t="str">
        <f>IFERROR(__xludf.DUMMYFUNCTION("GOOGLETRANSLATE(A54817,""en"",""pt"")"),", fácil de usar, boas funções da agenda de confiança")</f>
        <v>, fácil de usar, boas funções da agenda de confiança</v>
      </c>
      <c r="B54817" s="3">
        <v>1</v>
      </c>
    </row>
    <row r="54818" ht="15.75" customHeight="1" spans="1:2">
      <c r="A54818" s="3" t="str">
        <f>IFERROR(__xludf.DUMMYFUNCTION("GOOGLETRANSLATE(A54818,""en"",""pt"")"),"flip telefone, transferência de arquivos bluetooth, mp3 capaz")</f>
        <v>flip telefone, transferência de arquivos bluetooth, mp3 capaz</v>
      </c>
      <c r="B54818" s="3">
        <v>1</v>
      </c>
    </row>
    <row r="54819" ht="15.75" customHeight="1" spans="1:2">
      <c r="A54819" s="3" t="str">
        <f>IFERROR(__xludf.DUMMYFUNCTION("GOOGLETRANSLATE(A54819,""en"",""pt"")"),"grande telefone geral")</f>
        <v>grande telefone geral</v>
      </c>
      <c r="B54819" s="3">
        <v>1</v>
      </c>
    </row>
    <row r="54820" ht="15.75" customHeight="1" spans="1:2">
      <c r="A54820" s="3" t="str">
        <f>IFERROR(__xludf.DUMMYFUNCTION("GOOGLETRANSLATE(A54820,""en"",""pt"")"),"conseguiu libertar da minha irmã insatisfeitos de-lei, agora vejo por que ela odiava.")</f>
        <v>conseguiu libertar da minha irmã insatisfeitos de-lei, agora vejo por que ela odiava.</v>
      </c>
      <c r="B54820" s="3">
        <v>1</v>
      </c>
    </row>
    <row r="54821" ht="15.75" customHeight="1" spans="1:2">
      <c r="A54821" s="3" t="str">
        <f>IFERROR(__xludf.DUMMYFUNCTION("GOOGLETRANSLATE(A54821,""en"",""pt"")"),"características mais queria a um preço acessível.")</f>
        <v>características mais queria a um preço acessível.</v>
      </c>
      <c r="B54821" s="3">
        <v>1</v>
      </c>
    </row>
    <row r="54822" ht="15.75" customHeight="1" spans="1:2">
      <c r="A54822" s="3" t="str">
        <f>IFERROR(__xludf.DUMMYFUNCTION("GOOGLETRANSLATE(A54822,""en"",""pt"")"),"É uma sensação boa, sólida, boa tela e fácil de usar")</f>
        <v>É uma sensação boa, sólida, boa tela e fácil de usar</v>
      </c>
      <c r="B54822" s="3">
        <v>1</v>
      </c>
    </row>
    <row r="54823" ht="15.75" customHeight="1" spans="1:2">
      <c r="A54823" s="3" t="str">
        <f>IFERROR(__xludf.DUMMYFUNCTION("GOOGLETRANSLATE(A54823,""en"",""pt"")"),"Tamanho, custo, câmera e vídeo")</f>
        <v>Tamanho, custo, câmera e vídeo</v>
      </c>
      <c r="B54823" s="3">
        <v>1</v>
      </c>
    </row>
    <row r="54824" ht="15.75" customHeight="1" spans="1:2">
      <c r="A54824" s="3" t="str">
        <f>IFERROR(__xludf.DUMMYFUNCTION("GOOGLETRANSLATE(A54824,""en"",""pt"")"),"clareza, ainda + câmera de vídeo, o excesso de toda a aparência do telefone, viva-voz, discagem ativada por voz")</f>
        <v>clareza, ainda + câmera de vídeo, o excesso de toda a aparência do telefone, viva-voz, discagem ativada por voz</v>
      </c>
      <c r="B54824" s="3">
        <v>1</v>
      </c>
    </row>
    <row r="54825" ht="15.75" customHeight="1" spans="1:2">
      <c r="A54825" s="3" t="str">
        <f>IFERROR(__xludf.DUMMYFUNCTION("GOOGLETRANSLATE(A54825,""en"",""pt"")"),"Boa câmera e outros melhoramentos.")</f>
        <v>Boa câmera e outros melhoramentos.</v>
      </c>
      <c r="B54825" s="3">
        <v>1</v>
      </c>
    </row>
    <row r="54826" ht="15.75" customHeight="1" spans="1:2">
      <c r="A54826" s="3" t="str">
        <f>IFERROR(__xludf.DUMMYFUNCTION("GOOGLETRANSLATE(A54826,""en"",""pt"")"),"ergonomia, muito")</f>
        <v>ergonomia, muito</v>
      </c>
      <c r="B54826" s="3">
        <v>1</v>
      </c>
    </row>
    <row r="54827" ht="15.75" customHeight="1" spans="1:2">
      <c r="A54827" s="3" t="str">
        <f>IFERROR(__xludf.DUMMYFUNCTION("GOOGLETRANSLATE(A54827,""en"",""pt"")"),"Bluetooth, viva voz, Big Address Book, Câmera e filmadora, LIVRE, parece ser telefone sólida.")</f>
        <v>Bluetooth, viva voz, Big Address Book, Câmera e filmadora, LIVRE, parece ser telefone sólida.</v>
      </c>
      <c r="B54827" s="3">
        <v>1</v>
      </c>
    </row>
    <row r="54828" ht="15.75" customHeight="1" spans="1:2">
      <c r="A54828" s="3" t="str">
        <f>IFERROR(__xludf.DUMMYFUNCTION("GOOGLETRANSLATE(A54828,""en"",""pt"")"),"Não é um mau telefone, com muitos bons recursos")</f>
        <v>Não é um mau telefone, com muitos bons recursos</v>
      </c>
      <c r="B54828" s="3">
        <v>1</v>
      </c>
    </row>
    <row r="54829" ht="15.75" customHeight="1" spans="1:2">
      <c r="A54829" s="3" t="str">
        <f>IFERROR(__xludf.DUMMYFUNCTION("GOOGLETRANSLATE(A54829,""en"",""pt"")"),"Nada de bom para dizer a todos")</f>
        <v>Nada de bom para dizer a todos</v>
      </c>
      <c r="B54829" s="3">
        <v>1</v>
      </c>
    </row>
    <row r="54830" ht="15.75" customHeight="1" spans="1:2">
      <c r="A54830" s="3" t="str">
        <f>IFERROR(__xludf.DUMMYFUNCTION("GOOGLETRANSLATE(A54830,""en"",""pt"")"),"vida útil da bateria, barato, motorola, pode cair de mais de 6 pés e não vai quebrar")</f>
        <v>vida útil da bateria, barato, motorola, pode cair de mais de 6 pés e não vai quebrar</v>
      </c>
      <c r="B54830" s="3">
        <v>1</v>
      </c>
    </row>
    <row r="54831" ht="15.75" customHeight="1" spans="1:2">
      <c r="A54831" s="3" t="str">
        <f>IFERROR(__xludf.DUMMYFUNCTION("GOOGLETRANSLATE(A54831,""en"",""pt"")"),"Pequeno, leve")</f>
        <v>Pequeno, leve</v>
      </c>
      <c r="B54831" s="3">
        <v>1</v>
      </c>
    </row>
    <row r="54832" ht="15.75" customHeight="1" spans="1:2">
      <c r="A54832" s="3" t="str">
        <f>IFERROR(__xludf.DUMMYFUNCTION("GOOGLETRANSLATE(A54832,""en"",""pt"")"),"Nenhum")</f>
        <v>Nenhum</v>
      </c>
      <c r="B54832" s="3">
        <v>1</v>
      </c>
    </row>
    <row r="54833" ht="15.75" customHeight="1" spans="1:2">
      <c r="A54833" s="3" t="str">
        <f>IFERROR(__xludf.DUMMYFUNCTION("GOOGLETRANSLATE(A54833,""en"",""pt"")"),"Clareza é excelente e mantém-se ao uso pesado.")</f>
        <v>Clareza é excelente e mantém-se ao uso pesado.</v>
      </c>
      <c r="B54833" s="3">
        <v>1</v>
      </c>
    </row>
    <row r="54834" ht="15.75" customHeight="1" spans="1:2">
      <c r="A54834" s="3" t="str">
        <f>IFERROR(__xludf.DUMMYFUNCTION("GOOGLETRANSLATE(A54834,""en"",""pt"")"),"Fácil de usar, mensagens de texto, telefone com câmera")</f>
        <v>Fácil de usar, mensagens de texto, telefone com câmera</v>
      </c>
      <c r="B54834" s="3">
        <v>1</v>
      </c>
    </row>
    <row r="54835" ht="15.75" customHeight="1" spans="1:2">
      <c r="A54835" s="3" t="str">
        <f>IFERROR(__xludf.DUMMYFUNCTION("GOOGLETRANSLATE(A54835,""en"",""pt"")"),"O Bluetooth e conectividade é excelente.")</f>
        <v>O Bluetooth e conectividade é excelente.</v>
      </c>
      <c r="B54835" s="3">
        <v>1</v>
      </c>
    </row>
    <row r="54836" ht="15.75" customHeight="1" spans="1:2">
      <c r="A54836" s="3" t="str">
        <f>IFERROR(__xludf.DUMMYFUNCTION("GOOGLETRANSLATE(A54836,""en"",""pt"")"),"cor azul agradável.")</f>
        <v>cor azul agradável.</v>
      </c>
      <c r="B54836" s="3">
        <v>1</v>
      </c>
    </row>
    <row r="54837" ht="15.75" customHeight="1" spans="1:2">
      <c r="A54837" s="3" t="str">
        <f>IFERROR(__xludf.DUMMYFUNCTION("GOOGLETRANSLATE(A54837,""en"",""pt"")"),"Recursos")</f>
        <v>Recursos</v>
      </c>
      <c r="B54837" s="3">
        <v>1</v>
      </c>
    </row>
    <row r="54838" ht="15.75" customHeight="1" spans="1:2">
      <c r="A54838" s="3" t="str">
        <f>IFERROR(__xludf.DUMMYFUNCTION("GOOGLETRANSLATE(A54838,""en"",""pt"")"),"tamanho, câmera, flip estilo, fácil de ler / navegar.")</f>
        <v>tamanho, câmera, flip estilo, fácil de ler / navegar.</v>
      </c>
      <c r="B54838" s="3">
        <v>1</v>
      </c>
    </row>
    <row r="54839" ht="15.75" customHeight="1" spans="1:2">
      <c r="A54839" s="3" t="str">
        <f>IFERROR(__xludf.DUMMYFUNCTION("GOOGLETRANSLATE(A54839,""en"",""pt"")"),"pequeno")</f>
        <v>pequeno</v>
      </c>
      <c r="B54839" s="3">
        <v>1</v>
      </c>
    </row>
    <row r="54840" ht="15.75" customHeight="1" spans="1:2">
      <c r="A54840" s="3" t="str">
        <f>IFERROR(__xludf.DUMMYFUNCTION("GOOGLETRANSLATE(A54840,""en"",""pt"")"),"Flip telefones são uma coisa boa")</f>
        <v>Flip telefones são uma coisa boa</v>
      </c>
      <c r="B54840" s="3">
        <v>1</v>
      </c>
    </row>
    <row r="54841" ht="15.75" customHeight="1" spans="1:2">
      <c r="A54841" s="3" t="str">
        <f>IFERROR(__xludf.DUMMYFUNCTION("GOOGLETRANSLATE(A54841,""en"",""pt"")"),"tamanho e peso")</f>
        <v>tamanho e peso</v>
      </c>
      <c r="B54841" s="3">
        <v>1</v>
      </c>
    </row>
    <row r="54842" ht="15.75" customHeight="1" spans="1:2">
      <c r="A54842" s="3" t="str">
        <f>IFERROR(__xludf.DUMMYFUNCTION("GOOGLETRANSLATE(A54842,""en"",""pt"")"),"Peso, Volume, Bluetooth, sincronização com Outlook, Port Antena Externa")</f>
        <v>Peso, Volume, Bluetooth, sincronização com Outlook, Port Antena Externa</v>
      </c>
      <c r="B54842" s="3">
        <v>1</v>
      </c>
    </row>
    <row r="54843" ht="15.75" customHeight="1" spans="1:2">
      <c r="A54843" s="3" t="str">
        <f>IFERROR(__xludf.DUMMYFUNCTION("GOOGLETRANSLATE(A54843,""en"",""pt"")"),"É excelente a toda a volta ...... quando ele está funcionando corretamente.")</f>
        <v>É excelente a toda a volta ...... quando ele está funcionando corretamente.</v>
      </c>
      <c r="B54843" s="3">
        <v>1</v>
      </c>
    </row>
    <row r="54844" ht="15.75" customHeight="1" spans="1:2">
      <c r="A54844" s="3" t="str">
        <f>IFERROR(__xludf.DUMMYFUNCTION("GOOGLETRANSLATE(A54844,""en"",""pt"")"),"Não consigo pensar em nenhum.")</f>
        <v>Não consigo pensar em nenhum.</v>
      </c>
      <c r="B54844" s="3">
        <v>1</v>
      </c>
    </row>
    <row r="54845" ht="15.75" customHeight="1" spans="1:2">
      <c r="A54845" s="3" t="str">
        <f>IFERROR(__xludf.DUMMYFUNCTION("GOOGLETRANSLATE(A54845,""en"",""pt"")"),"Bluetooth é bom, agradável UI")</f>
        <v>Bluetooth é bom, agradável UI</v>
      </c>
      <c r="B54845" s="3">
        <v>1</v>
      </c>
    </row>
    <row r="54846" ht="15.75" customHeight="1" spans="1:2">
      <c r="A54846" s="3" t="str">
        <f>IFERROR(__xludf.DUMMYFUNCTION("GOOGLETRANSLATE(A54846,""en"",""pt"")"),"tamanho &amp; estilo")</f>
        <v>tamanho &amp; estilo</v>
      </c>
      <c r="B54846" s="3">
        <v>1</v>
      </c>
    </row>
    <row r="54847" ht="15.75" customHeight="1" spans="1:2">
      <c r="A54847" s="3" t="str">
        <f>IFERROR(__xludf.DUMMYFUNCTION("GOOGLETRANSLATE(A54847,""en"",""pt"")"),"tela, câmera / vídeo, recepção OK brilhante")</f>
        <v>tela, câmera / vídeo, recepção OK brilhante</v>
      </c>
      <c r="B54847" s="3">
        <v>1</v>
      </c>
    </row>
    <row r="54848" ht="15.75" customHeight="1" spans="1:2">
      <c r="A54848" s="3" t="str">
        <f>IFERROR(__xludf.DUMMYFUNCTION("GOOGLETRANSLATE(A54848,""en"",""pt"")"),"???")</f>
        <v>???</v>
      </c>
      <c r="B54848" s="3">
        <v>1</v>
      </c>
    </row>
    <row r="54849" ht="15.75" customHeight="1" spans="1:2">
      <c r="A54849" s="3" t="str">
        <f>IFERROR(__xludf.DUMMYFUNCTION("GOOGLETRANSLATE(A54849,""en"",""pt"")"),"Grandes recursos, tela grande, boa câmera e vídeo.")</f>
        <v>Grandes recursos, tela grande, boa câmera e vídeo.</v>
      </c>
      <c r="B54849" s="3">
        <v>1</v>
      </c>
    </row>
    <row r="54850" ht="15.75" customHeight="1" spans="1:2">
      <c r="A54850" s="3" t="str">
        <f>IFERROR(__xludf.DUMMYFUNCTION("GOOGLETRANSLATE(A54850,""en"",""pt"")"),"um telefone olhando muito elegante")</f>
        <v>um telefone olhando muito elegante</v>
      </c>
      <c r="B54850" s="3">
        <v>1</v>
      </c>
    </row>
    <row r="54851" ht="15.75" customHeight="1" spans="1:2">
      <c r="A54851" s="3" t="str">
        <f>IFERROR(__xludf.DUMMYFUNCTION("GOOGLETRANSLATE(A54851,""en"",""pt"")"),"Bluetooth, viva-voz, EDGE, peles, mp3 tons.")</f>
        <v>Bluetooth, viva-voz, EDGE, peles, mp3 tons.</v>
      </c>
      <c r="B54851" s="3">
        <v>1</v>
      </c>
    </row>
    <row r="54852" ht="15.75" customHeight="1" spans="1:2">
      <c r="A54852" s="3" t="str">
        <f>IFERROR(__xludf.DUMMYFUNCTION("GOOGLETRANSLATE(A54852,""en"",""pt"")"),"A câmera não é ruim ... leva vídeos curtos adequadas ... tempo de conversação suficiente.")</f>
        <v>A câmera não é ruim ... leva vídeos curtos adequadas ... tempo de conversação suficiente.</v>
      </c>
      <c r="B54852" s="3">
        <v>1</v>
      </c>
    </row>
    <row r="54853" ht="15.75" customHeight="1" spans="1:2">
      <c r="A54853" s="3" t="str">
        <f>IFERROR(__xludf.DUMMYFUNCTION("GOOGLETRANSLATE(A54853,""en"",""pt"")"),"Ainda olhando")</f>
        <v>Ainda olhando</v>
      </c>
      <c r="B54853" s="3">
        <v>1</v>
      </c>
    </row>
    <row r="54854" ht="15.75" customHeight="1" spans="1:2">
      <c r="A54854" s="3" t="str">
        <f>IFERROR(__xludf.DUMMYFUNCTION("GOOGLETRANSLATE(A54854,""en"",""pt"")"),"É azul.")</f>
        <v>É azul.</v>
      </c>
      <c r="B54854" s="3">
        <v>1</v>
      </c>
    </row>
    <row r="54855" ht="15.75" customHeight="1" spans="1:2">
      <c r="A54855" s="3" t="str">
        <f>IFERROR(__xludf.DUMMYFUNCTION("GOOGLETRANSLATE(A54855,""en"",""pt"")"),"clareza de voz, facilidade de uso")</f>
        <v>clareza de voz, facilidade de uso</v>
      </c>
      <c r="B54855" s="3">
        <v>1</v>
      </c>
    </row>
    <row r="54856" ht="15.75" customHeight="1" spans="1:2">
      <c r="A54856" s="3" t="str">
        <f>IFERROR(__xludf.DUMMYFUNCTION("GOOGLETRANSLATE(A54856,""en"",""pt"")"),"vida útil da bateria, sensação de solidez, teclas iluminadas, câmera razoável, viva-voz")</f>
        <v>vida útil da bateria, sensação de solidez, teclas iluminadas, câmera razoável, viva-voz</v>
      </c>
      <c r="B54856" s="3">
        <v>1</v>
      </c>
    </row>
    <row r="54857" ht="15.75" customHeight="1" spans="1:2">
      <c r="A54857" s="3" t="str">
        <f>IFERROR(__xludf.DUMMYFUNCTION("GOOGLETRANSLATE(A54857,""en"",""pt"")"),"Boa recepção. Parece bonito.")</f>
        <v>Boa recepção. Parece bonito.</v>
      </c>
      <c r="B54857" s="3">
        <v>1</v>
      </c>
    </row>
    <row r="54858" ht="15.75" customHeight="1" spans="1:2">
      <c r="A54858" s="3" t="str">
        <f>IFERROR(__xludf.DUMMYFUNCTION("GOOGLETRANSLATE(A54858,""en"",""pt"")"),"Os recursos são arrefecer eu acho.")</f>
        <v>Os recursos são arrefecer eu acho.</v>
      </c>
      <c r="B54858" s="3">
        <v>1</v>
      </c>
    </row>
    <row r="54859" ht="15.75" customHeight="1" spans="1:2">
      <c r="A54859" s="3" t="str">
        <f>IFERROR(__xludf.DUMMYFUNCTION("GOOGLETRANSLATE(A54859,""en"",""pt"")"),"telefone / câmera Flip; Caller-ID; Obtê-lo agora!; Arrefecer tons de toque; texto amigável; carrega rapidamente.")</f>
        <v>telefone / câmera Flip; Caller-ID; Obtê-lo agora!; Arrefecer tons de toque; texto amigável; carrega rapidamente.</v>
      </c>
      <c r="B54859" s="3">
        <v>1</v>
      </c>
    </row>
    <row r="54860" ht="15.75" customHeight="1" spans="1:2">
      <c r="A54860" s="3" t="str">
        <f>IFERROR(__xludf.DUMMYFUNCTION("GOOGLETRANSLATE(A54860,""en"",""pt"")"),"vibrante tela, a qualidade da imagem é incrível, telefone barato")</f>
        <v>vibrante tela, a qualidade da imagem é incrível, telefone barato</v>
      </c>
      <c r="B54860" s="3">
        <v>1</v>
      </c>
    </row>
    <row r="54861" ht="15.75" customHeight="1" spans="1:2">
      <c r="A54861" s="3" t="str">
        <f>IFERROR(__xludf.DUMMYFUNCTION("GOOGLETRANSLATE(A54861,""en"",""pt"")"),"Muitos recursos, câmera VGA com tampa da lente, viva-voz, comandos de voz deslizantes")</f>
        <v>Muitos recursos, câmera VGA com tampa da lente, viva-voz, comandos de voz deslizantes</v>
      </c>
      <c r="B54861" s="3">
        <v>1</v>
      </c>
    </row>
    <row r="54862" ht="15.75" customHeight="1" spans="1:2">
      <c r="A54862" s="3" t="str">
        <f>IFERROR(__xludf.DUMMYFUNCTION("GOOGLETRANSLATE(A54862,""en"",""pt"")"),"A vida da bateria, alto-falante, tampa da lente da câmera, ea facilidade para personalizar o telefone")</f>
        <v>A vida da bateria, alto-falante, tampa da lente da câmera, ea facilidade para personalizar o telefone</v>
      </c>
      <c r="B54862" s="3">
        <v>1</v>
      </c>
    </row>
    <row r="54863" ht="15.75" customHeight="1" spans="1:2">
      <c r="A54863" s="3" t="str">
        <f>IFERROR(__xludf.DUMMYFUNCTION("GOOGLETRANSLATE(A54863,""en"",""pt"")"),"Valor fixado o preço para recursos")</f>
        <v>Valor fixado o preço para recursos</v>
      </c>
      <c r="B54863" s="3">
        <v>1</v>
      </c>
    </row>
    <row r="54864" ht="15.75" customHeight="1" spans="1:2">
      <c r="A54864" s="3" t="str">
        <f>IFERROR(__xludf.DUMMYFUNCTION("GOOGLETRANSLATE(A54864,""en"",""pt"")"),"Grandes recursos, capacidade tri-mode, confiável.")</f>
        <v>Grandes recursos, capacidade tri-mode, confiável.</v>
      </c>
      <c r="B54864" s="3">
        <v>1</v>
      </c>
    </row>
    <row r="54865" ht="15.75" customHeight="1" spans="1:2">
      <c r="A54865" s="3" t="str">
        <f>IFERROR(__xludf.DUMMYFUNCTION("GOOGLETRANSLATE(A54865,""en"",""pt"")"),"Leve, bom orador telefone, agradável interface do usuário, boa bateria")</f>
        <v>Leve, bom orador telefone, agradável interface do usuário, boa bateria</v>
      </c>
      <c r="B54865" s="3">
        <v>1</v>
      </c>
    </row>
    <row r="54866" ht="15.75" customHeight="1" spans="1:2">
      <c r="A54866" s="3" t="str">
        <f>IFERROR(__xludf.DUMMYFUNCTION("GOOGLETRANSLATE(A54866,""en"",""pt"")"),"Muito durável, longa vida de bateria, Grande Signal, câmera, tela colorida, viva-voz, Good Design")</f>
        <v>Muito durável, longa vida de bateria, Grande Signal, câmera, tela colorida, viva-voz, Good Design</v>
      </c>
      <c r="B54866" s="3">
        <v>1</v>
      </c>
    </row>
    <row r="54867" ht="15.75" customHeight="1" spans="1:2">
      <c r="A54867" s="3" t="str">
        <f>IFERROR(__xludf.DUMMYFUNCTION("GOOGLETRANSLATE(A54867,""en"",""pt"")"),"Mensagens de texto botões, layout do menu bom, bom sistema de contato")</f>
        <v>Mensagens de texto botões, layout do menu bom, bom sistema de contato</v>
      </c>
      <c r="B54867" s="3">
        <v>1</v>
      </c>
    </row>
    <row r="54868" ht="15.75" customHeight="1" spans="1:2">
      <c r="A54868" s="3" t="str">
        <f>IFERROR(__xludf.DUMMYFUNCTION("GOOGLETRANSLATE(A54868,""en"",""pt"")"),"Apresentam variedade, bateria, durabilidade, preço.")</f>
        <v>Apresentam variedade, bateria, durabilidade, preço.</v>
      </c>
      <c r="B54868" s="3">
        <v>1</v>
      </c>
    </row>
    <row r="54869" ht="15.75" customHeight="1" spans="1:2">
      <c r="A54869" s="3" t="str">
        <f>IFERROR(__xludf.DUMMYFUNCTION("GOOGLETRANSLATE(A54869,""en"",""pt"")"),"Câmera, viva-voz, comandos de voz, tela grande, a Verizon tem um grande serviço.")</f>
        <v>Câmera, viva-voz, comandos de voz, tela grande, a Verizon tem um grande serviço.</v>
      </c>
      <c r="B54869" s="3">
        <v>1</v>
      </c>
    </row>
    <row r="54870" ht="15.75" customHeight="1" spans="1:2">
      <c r="A54870" s="3" t="str">
        <f>IFERROR(__xludf.DUMMYFUNCTION("GOOGLETRANSLATE(A54870,""en"",""pt"")"),"Barato, fácil de usar se ater ao básico, tela colorida, a vida da bateria, áudio")</f>
        <v>Barato, fácil de usar se ater ao básico, tela colorida, a vida da bateria, áudio</v>
      </c>
      <c r="B54870" s="3">
        <v>1</v>
      </c>
    </row>
    <row r="54871" ht="15.75" customHeight="1" spans="1:2">
      <c r="A54871" s="3" t="str">
        <f>IFERROR(__xludf.DUMMYFUNCTION("GOOGLETRANSLATE(A54871,""en"",""pt"")"),"ESTÁ BEM. se livre com serviço ou menos de US $ 10,00. Boa clareza nas chamadas.")</f>
        <v>ESTÁ BEM. se livre com serviço ou menos de US $ 10,00. Boa clareza nas chamadas.</v>
      </c>
      <c r="B54871" s="3">
        <v>1</v>
      </c>
    </row>
    <row r="54872" ht="15.75" customHeight="1" spans="1:2">
      <c r="A54872" s="3" t="str">
        <f>IFERROR(__xludf.DUMMYFUNCTION("GOOGLETRANSLATE(A54872,""en"",""pt"")"),"Grande câmera, telefone Speaker é clara, leve, tampa da lente, uma boa recepção e bateria")</f>
        <v>Grande câmera, telefone Speaker é clara, leve, tampa da lente, uma boa recepção e bateria</v>
      </c>
      <c r="B54872" s="3">
        <v>1</v>
      </c>
    </row>
    <row r="54873" ht="15.75" customHeight="1" spans="1:2">
      <c r="A54873" s="3" t="str">
        <f>IFERROR(__xludf.DUMMYFUNCTION("GOOGLETRANSLATE(A54873,""en"",""pt"")"),"Ter deixado cair um monte de vezes, sem reparos necessários")</f>
        <v>Ter deixado cair um monte de vezes, sem reparos necessários</v>
      </c>
      <c r="B54873" s="3">
        <v>1</v>
      </c>
    </row>
    <row r="54874" ht="15.75" customHeight="1" spans="1:2">
      <c r="A54874" s="3" t="str">
        <f>IFERROR(__xludf.DUMMYFUNCTION("GOOGLETRANSLATE(A54874,""en"",""pt"")"),"características")</f>
        <v>características</v>
      </c>
      <c r="B54874" s="3">
        <v>1</v>
      </c>
    </row>
    <row r="54875" ht="15.75" customHeight="1" spans="1:2">
      <c r="A54875" s="3" t="str">
        <f>IFERROR(__xludf.DUMMYFUNCTION("GOOGLETRANSLATE(A54875,""en"",""pt"")"),"tamanho, fator legal, tela grande, recursos")</f>
        <v>tamanho, fator legal, tela grande, recursos</v>
      </c>
      <c r="B54875" s="3">
        <v>1</v>
      </c>
    </row>
    <row r="54876" ht="15.75" customHeight="1" spans="1:2">
      <c r="A54876" s="3" t="str">
        <f>IFERROR(__xludf.DUMMYFUNCTION("GOOGLETRANSLATE(A54876,""en"",""pt"")"),"Ótima câmera, uma boa recepção para chamadas de voz ativado para quando você está dirigindo")</f>
        <v>Ótima câmera, uma boa recepção para chamadas de voz ativado para quando você está dirigindo</v>
      </c>
      <c r="B54876" s="3">
        <v>1</v>
      </c>
    </row>
    <row r="54877" ht="15.75" customHeight="1" spans="1:2">
      <c r="A54877" s="3" t="str">
        <f>IFERROR(__xludf.DUMMYFUNCTION("GOOGLETRANSLATE(A54877,""en"",""pt"")"),"CONS supera qualquer prós este telefone tinha.")</f>
        <v>CONS supera qualquer prós este telefone tinha.</v>
      </c>
      <c r="B54877" s="3">
        <v>1</v>
      </c>
    </row>
    <row r="54878" ht="15.75" customHeight="1" spans="1:2">
      <c r="A54878" s="3" t="str">
        <f>IFERROR(__xludf.DUMMYFUNCTION("GOOGLETRANSLATE(A54878,""en"",""pt"")"),"Funcional (Vibrar e modo de alta, etc.)")</f>
        <v>Funcional (Vibrar e modo de alta, etc.)</v>
      </c>
      <c r="B54878" s="3">
        <v>1</v>
      </c>
    </row>
    <row r="54879" ht="15.75" customHeight="1" spans="1:2">
      <c r="A54879" s="3" t="str">
        <f>IFERROR(__xludf.DUMMYFUNCTION("GOOGLETRANSLATE(A54879,""en"",""pt"")"),"preço barato, Pretty durável, vida útil da bateria decente")</f>
        <v>preço barato, Pretty durável, vida útil da bateria decente</v>
      </c>
      <c r="B54879" s="3">
        <v>1</v>
      </c>
    </row>
    <row r="54880" ht="15.75" customHeight="1" spans="1:2">
      <c r="A54880" s="3" t="str">
        <f>IFERROR(__xludf.DUMMYFUNCTION("GOOGLETRANSLATE(A54880,""en"",""pt"")"),"Amigo do usuário")</f>
        <v>Amigo do usuário</v>
      </c>
      <c r="B54880" s="3">
        <v>1</v>
      </c>
    </row>
    <row r="54881" ht="15.75" customHeight="1" spans="1:2">
      <c r="A54881" s="3" t="str">
        <f>IFERROR(__xludf.DUMMYFUNCTION("GOOGLETRANSLATE(A54881,""en"",""pt"")"),"Era barato com a rebate")</f>
        <v>Era barato com a rebate</v>
      </c>
      <c r="B54881" s="3">
        <v>1</v>
      </c>
    </row>
    <row r="54882" ht="15.75" customHeight="1" spans="1:2">
      <c r="A54882" s="3" t="str">
        <f>IFERROR(__xludf.DUMMYFUNCTION("GOOGLETRANSLATE(A54882,""en"",""pt"")"),"Seleção de papéis de parede, tela brilhante, alto-falante")</f>
        <v>Seleção de papéis de parede, tela brilhante, alto-falante</v>
      </c>
      <c r="B54882" s="3">
        <v>1</v>
      </c>
    </row>
    <row r="54883" ht="15.75" customHeight="1" spans="1:2">
      <c r="A54883" s="3" t="str">
        <f>IFERROR(__xludf.DUMMYFUNCTION("GOOGLETRANSLATE(A54883,""en"",""pt"")"),"Um telefone decente básico, boa capacidade de memória para contatos, câmera básica decente.")</f>
        <v>Um telefone decente básico, boa capacidade de memória para contatos, câmera básica decente.</v>
      </c>
      <c r="B54883" s="3">
        <v>1</v>
      </c>
    </row>
    <row r="54884" ht="15.75" customHeight="1" spans="1:2">
      <c r="A54884" s="3" t="str">
        <f>IFERROR(__xludf.DUMMYFUNCTION("GOOGLETRANSLATE(A54884,""en"",""pt"")"),"compacto, fácil de usar, bom conjunto de recursos")</f>
        <v>compacto, fácil de usar, bom conjunto de recursos</v>
      </c>
      <c r="B54884" s="3">
        <v>1</v>
      </c>
    </row>
    <row r="54885" ht="15.75" customHeight="1" spans="1:2">
      <c r="A54885" s="3" t="str">
        <f>IFERROR(__xludf.DUMMYFUNCTION("GOOGLETRANSLATE(A54885,""en"",""pt"")"),"Triband, user-friendly")</f>
        <v>Triband, user-friendly</v>
      </c>
      <c r="B54885" s="3">
        <v>1</v>
      </c>
    </row>
    <row r="54886" ht="15.75" customHeight="1" spans="1:2">
      <c r="A54886" s="3" t="str">
        <f>IFERROR(__xludf.DUMMYFUNCTION("GOOGLETRANSLATE(A54886,""en"",""pt"")"),"características interessantes.")</f>
        <v>características interessantes.</v>
      </c>
      <c r="B54886" s="3">
        <v>1</v>
      </c>
    </row>
    <row r="54887" ht="15.75" customHeight="1" spans="1:2">
      <c r="A54887" s="3" t="str">
        <f>IFERROR(__xludf.DUMMYFUNCTION("GOOGLETRANSLATE(A54887,""en"",""pt"")"),"Muito durável, leva razoavelmente boas fotos, preço razoável. não cair chamadas.")</f>
        <v>Muito durável, leva razoavelmente boas fotos, preço razoável. não cair chamadas.</v>
      </c>
      <c r="B54887" s="3">
        <v>1</v>
      </c>
    </row>
    <row r="54888" ht="15.75" customHeight="1" spans="1:2">
      <c r="A54888" s="3" t="str">
        <f>IFERROR(__xludf.DUMMYFUNCTION("GOOGLETRANSLATE(A54888,""en"",""pt"")"),"força do sinal, facilidade de uso, display colorido, câmera, funções de anel, estilo")</f>
        <v>força do sinal, facilidade de uso, display colorido, câmera, funções de anel, estilo</v>
      </c>
      <c r="B54888" s="3">
        <v>1</v>
      </c>
    </row>
    <row r="54889" ht="15.75" customHeight="1" spans="1:2">
      <c r="A54889" s="3" t="str">
        <f>IFERROR(__xludf.DUMMYFUNCTION("GOOGLETRANSLATE(A54889,""en"",""pt"")"),"Os comandos de voz são muito úteis durante a condução.")</f>
        <v>Os comandos de voz são muito úteis durante a condução.</v>
      </c>
      <c r="B54889" s="3">
        <v>1</v>
      </c>
    </row>
    <row r="54890" ht="15.75" customHeight="1" spans="1:2">
      <c r="A54890" s="3" t="str">
        <f>IFERROR(__xludf.DUMMYFUNCTION("GOOGLETRANSLATE(A54890,""en"",""pt"")"),"tela colorida é bom, menus de fácil navegação.")</f>
        <v>tela colorida é bom, menus de fácil navegação.</v>
      </c>
      <c r="B54890" s="3">
        <v>1</v>
      </c>
    </row>
    <row r="54891" ht="15.75" customHeight="1" spans="1:2">
      <c r="A54891" s="3" t="str">
        <f>IFERROR(__xludf.DUMMYFUNCTION("GOOGLETRANSLATE(A54891,""en"",""pt"")"),"Muitos recursos, boa bateria, câmera, alto-falante, Cheap")</f>
        <v>Muitos recursos, boa bateria, câmera, alto-falante, Cheap</v>
      </c>
      <c r="B54891" s="3">
        <v>1</v>
      </c>
    </row>
    <row r="54892" ht="15.75" customHeight="1" spans="1:2">
      <c r="A54892" s="3" t="str">
        <f>IFERROR(__xludf.DUMMYFUNCTION("GOOGLETRANSLATE(A54892,""en"",""pt"")"),"fácil de ligar ...")</f>
        <v>fácil de ligar ...</v>
      </c>
      <c r="B54892" s="3">
        <v>1</v>
      </c>
    </row>
    <row r="54893" ht="15.75" customHeight="1" spans="1:2">
      <c r="A54893" s="3" t="str">
        <f>IFERROR(__xludf.DUMMYFUNCTION("GOOGLETRANSLATE(A54893,""en"",""pt"")"),"Duráveis, grandes cores, opções de diversão")</f>
        <v>Duráveis, grandes cores, opções de diversão</v>
      </c>
      <c r="B54893" s="3">
        <v>1</v>
      </c>
    </row>
    <row r="54894" ht="15.75" customHeight="1" spans="1:2">
      <c r="A54894" s="3" t="str">
        <f>IFERROR(__xludf.DUMMYFUNCTION("GOOGLETRANSLATE(A54894,""en"",""pt"")"),"Tira boas fotos, câmera do telefone da aleta")</f>
        <v>Tira boas fotos, câmera do telefone da aleta</v>
      </c>
      <c r="B54894" s="3">
        <v>1</v>
      </c>
    </row>
    <row r="54895" ht="15.75" customHeight="1" spans="1:2">
      <c r="A54895" s="3" t="str">
        <f>IFERROR(__xludf.DUMMYFUNCTION("GOOGLETRANSLATE(A54895,""en"",""pt"")"),"recepção / câmera")</f>
        <v>recepção / câmera</v>
      </c>
      <c r="B54895" s="3">
        <v>1</v>
      </c>
    </row>
    <row r="54896" ht="15.75" customHeight="1" spans="1:2">
      <c r="A54896" s="3" t="str">
        <f>IFERROR(__xludf.DUMMYFUNCTION("GOOGLETRANSLATE(A54896,""en"",""pt"")"),"Excelente recepção, a vida da bateria longa, Foto e vídeo capacidades, câmera rotativa lense")</f>
        <v>Excelente recepção, a vida da bateria longa, Foto e vídeo capacidades, câmera rotativa lense</v>
      </c>
      <c r="B54896" s="3">
        <v>1</v>
      </c>
    </row>
    <row r="54897" ht="15.75" customHeight="1" spans="1:2">
      <c r="A54897" s="3" t="str">
        <f>IFERROR(__xludf.DUMMYFUNCTION("GOOGLETRANSLATE(A54897,""en"",""pt"")"),"grande som, fácil de usar, bom função de câmera de um telefone")</f>
        <v>grande som, fácil de usar, bom função de câmera de um telefone</v>
      </c>
      <c r="B54897" s="3">
        <v>1</v>
      </c>
    </row>
    <row r="54898" ht="15.75" customHeight="1" spans="1:2">
      <c r="A54898" s="3" t="str">
        <f>IFERROR(__xludf.DUMMYFUNCTION("GOOGLETRANSLATE(A54898,""en"",""pt"")"),"Boa qualidade de áudio, a duração da bateria, teclado - Foto / Vídeo / Internet, 2 telas, grande memória, a configuração avançada possível.")</f>
        <v>Boa qualidade de áudio, a duração da bateria, teclado - Foto / Vídeo / Internet, 2 telas, grande memória, a configuração avançada possível.</v>
      </c>
      <c r="B54898" s="3">
        <v>1</v>
      </c>
    </row>
    <row r="54899" ht="15.75" customHeight="1" spans="1:2">
      <c r="A54899" s="3" t="str">
        <f>IFERROR(__xludf.DUMMYFUNCTION("GOOGLETRANSLATE(A54899,""en"",""pt"")"),"Fácil de usar. Câmera fotográfica e câmera de vídeo. Grande tempo de conversação.")</f>
        <v>Fácil de usar. Câmera fotográfica e câmera de vídeo. Grande tempo de conversação.</v>
      </c>
      <c r="B54899" s="3">
        <v>1</v>
      </c>
    </row>
    <row r="54900" ht="15.75" customHeight="1" spans="1:2">
      <c r="A54900" s="3" t="str">
        <f>IFERROR(__xludf.DUMMYFUNCTION("GOOGLETRANSLATE(A54900,""en"",""pt"")"),"bateria de longa duração, muitos recursos, toques de música reais, pequeno")</f>
        <v>bateria de longa duração, muitos recursos, toques de música reais, pequeno</v>
      </c>
      <c r="B54900" s="3">
        <v>1</v>
      </c>
    </row>
    <row r="54901" ht="15.75" customHeight="1" spans="1:2">
      <c r="A54901" s="3" t="str">
        <f>IFERROR(__xludf.DUMMYFUNCTION("GOOGLETRANSLATE(A54901,""en"",""pt"")"),"O design surpreendente, interface elegante, câmera, planejador, áudio, vídeo, 500 lista de contatos, navegador de internet, cam guinada")</f>
        <v>O design surpreendente, interface elegante, câmera, planejador, áudio, vídeo, 500 lista de contatos, navegador de internet, cam guinada</v>
      </c>
      <c r="B54901" s="3">
        <v>1</v>
      </c>
    </row>
    <row r="54902" ht="15.75" customHeight="1" spans="1:2">
      <c r="A54902" s="3" t="str">
        <f>IFERROR(__xludf.DUMMYFUNCTION("GOOGLETRANSLATE(A54902,""en"",""pt"")"),"Grande memória, Grande Pictures, bela exibição Crisp, múltiplas funções, Great Service")</f>
        <v>Grande memória, Grande Pictures, bela exibição Crisp, múltiplas funções, Great Service</v>
      </c>
      <c r="B54902" s="3">
        <v>1</v>
      </c>
    </row>
    <row r="54903" ht="15.75" customHeight="1" spans="1:2">
      <c r="A54903" s="3" t="str">
        <f>IFERROR(__xludf.DUMMYFUNCTION("GOOGLETRANSLATE(A54903,""en"",""pt"")"),"A construção, resistente, resistente, câmera rotativa, grande lcd interior")</f>
        <v>A construção, resistente, resistente, câmera rotativa, grande lcd interior</v>
      </c>
      <c r="B54903" s="3">
        <v>1</v>
      </c>
    </row>
    <row r="54904" ht="15.75" customHeight="1" spans="1:2">
      <c r="A54904" s="3" t="str">
        <f>IFERROR(__xludf.DUMMYFUNCTION("GOOGLETRANSLATE(A54904,""en"",""pt"")"),"Boa qualidade de som, display Grande, Openwave web móvel compatível, vídeo / máquina fotográfica")</f>
        <v>Boa qualidade de som, display Grande, Openwave web móvel compatível, vídeo / máquina fotográfica</v>
      </c>
      <c r="B54904" s="3">
        <v>1</v>
      </c>
    </row>
    <row r="54905" ht="15.75" customHeight="1" spans="1:2">
      <c r="A54905" s="3" t="str">
        <f>IFERROR(__xludf.DUMMYFUNCTION("GOOGLETRANSLATE(A54905,""en"",""pt"")"),"câmera incrível, muito durável, fácil de usar.")</f>
        <v>câmera incrível, muito durável, fácil de usar.</v>
      </c>
      <c r="B54905" s="3">
        <v>1</v>
      </c>
    </row>
    <row r="54906" ht="15.75" customHeight="1" spans="1:2">
      <c r="A54906" s="3" t="str">
        <f>IFERROR(__xludf.DUMMYFUNCTION("GOOGLETRANSLATE(A54906,""en"",""pt"")"),"Rico em recursos, fácil de aprender e operar, grande clareza chamada, grande autonomia da bateria.")</f>
        <v>Rico em recursos, fácil de aprender e operar, grande clareza chamada, grande autonomia da bateria.</v>
      </c>
      <c r="B54906" s="3">
        <v>1</v>
      </c>
    </row>
    <row r="54907" ht="15.75" customHeight="1" spans="1:2">
      <c r="A54907" s="3" t="str">
        <f>IFERROR(__xludf.DUMMYFUNCTION("GOOGLETRANSLATE(A54907,""en"",""pt"")"),"Qualidade de imagem e som, espaço de armazenamento, durável, flash,")</f>
        <v>Qualidade de imagem e som, espaço de armazenamento, durável, flash,</v>
      </c>
      <c r="B54907" s="3">
        <v>1</v>
      </c>
    </row>
    <row r="54908" ht="15.75" customHeight="1" spans="1:2">
      <c r="A54908" s="3" t="str">
        <f>IFERROR(__xludf.DUMMYFUNCTION("GOOGLETRANSLATE(A54908,""en"",""pt"")"),"Fácil de usar / A vida da bateria / câmera e vídeo.")</f>
        <v>Fácil de usar / A vida da bateria / câmera e vídeo.</v>
      </c>
      <c r="B54908" s="3">
        <v>1</v>
      </c>
    </row>
    <row r="54909" ht="15.75" customHeight="1" spans="1:2">
      <c r="A54909" s="3" t="str">
        <f>IFERROR(__xludf.DUMMYFUNCTION("GOOGLETRANSLATE(A54909,""en"",""pt"")"),"boa bateria. construído como um tanque.")</f>
        <v>boa bateria. construído como um tanque.</v>
      </c>
      <c r="B54909" s="3">
        <v>1</v>
      </c>
    </row>
    <row r="54910" ht="15.75" customHeight="1" spans="1:2">
      <c r="A54910" s="3" t="str">
        <f>IFERROR(__xludf.DUMMYFUNCTION("GOOGLETRANSLATE(A54910,""en"",""pt"")"),"Grande exibição, bom conjunto de recursos, desempenho sólido em geral.")</f>
        <v>Grande exibição, bom conjunto de recursos, desempenho sólido em geral.</v>
      </c>
      <c r="B54910" s="3">
        <v>1</v>
      </c>
    </row>
    <row r="54911" ht="15.75" customHeight="1" spans="1:2">
      <c r="A54911" s="3" t="str">
        <f>IFERROR(__xludf.DUMMYFUNCTION("GOOGLETRANSLATE(A54911,""en"",""pt"")"),"Nice design, fácil de usar, adicione toques e jogos. quadro externo identificador de chamadas")</f>
        <v>Nice design, fácil de usar, adicione toques e jogos. quadro externo identificador de chamadas</v>
      </c>
      <c r="B54911" s="3">
        <v>1</v>
      </c>
    </row>
    <row r="54912" ht="15.75" customHeight="1" spans="1:2">
      <c r="A54912" s="3" t="str">
        <f>IFERROR(__xludf.DUMMYFUNCTION("GOOGLETRANSLATE(A54912,""en"",""pt"")"),"Funcionalidade, internet capaz, design")</f>
        <v>Funcionalidade, internet capaz, design</v>
      </c>
      <c r="B54912" s="3">
        <v>1</v>
      </c>
    </row>
    <row r="54913" ht="15.75" customHeight="1" spans="1:2">
      <c r="A54913" s="3" t="str">
        <f>IFERROR(__xludf.DUMMYFUNCTION("GOOGLETRANSLATE(A54913,""en"",""pt"")"),"grande vídeo digital, câmera, alto-falante, e muito boa recepção.")</f>
        <v>grande vídeo digital, câmera, alto-falante, e muito boa recepção.</v>
      </c>
      <c r="B54913" s="3">
        <v>1</v>
      </c>
    </row>
    <row r="54914" ht="15.75" customHeight="1" spans="1:2">
      <c r="A54914" s="3" t="str">
        <f>IFERROR(__xludf.DUMMYFUNCTION("GOOGLETRANSLATE(A54914,""en"",""pt"")"),"Capacidades de vídeo, reversível Camera Lens, grandes telas coloridas, bom sinal de áudio.")</f>
        <v>Capacidades de vídeo, reversível Camera Lens, grandes telas coloridas, bom sinal de áudio.</v>
      </c>
      <c r="B54914" s="3">
        <v>1</v>
      </c>
    </row>
    <row r="54915" ht="15.75" customHeight="1" spans="1:2">
      <c r="A54915" s="3" t="str">
        <f>IFERROR(__xludf.DUMMYFUNCTION("GOOGLETRANSLATE(A54915,""en"",""pt"")"),"teclado iluminado QWERTY, ainda e câmera de vídeo, mensagens móveis, porta IR e mais")</f>
        <v>teclado iluminado QWERTY, ainda e câmera de vídeo, mensagens móveis, porta IR e mais</v>
      </c>
      <c r="B54915" s="3">
        <v>1</v>
      </c>
    </row>
    <row r="54916" ht="15.75" customHeight="1" spans="1:2">
      <c r="A54916" s="3" t="str">
        <f>IFERROR(__xludf.DUMMYFUNCTION("GOOGLETRANSLATE(A54916,""en"",""pt"")"),"A vida da bateria, Bluetooth, PC Suite, Características")</f>
        <v>A vida da bateria, Bluetooth, PC Suite, Características</v>
      </c>
      <c r="B54916" s="3">
        <v>1</v>
      </c>
    </row>
    <row r="54917" ht="15.75" customHeight="1" spans="1:2">
      <c r="A54917" s="3" t="str">
        <f>IFERROR(__xludf.DUMMYFUNCTION("GOOGLETRANSLATE(A54917,""en"",""pt"")"),"Grandes recursos, boa vida útil da bateria.")</f>
        <v>Grandes recursos, boa vida útil da bateria.</v>
      </c>
      <c r="B54917" s="3">
        <v>1</v>
      </c>
    </row>
    <row r="54918" ht="15.75" customHeight="1" spans="1:2">
      <c r="A54918" s="3" t="str">
        <f>IFERROR(__xludf.DUMMYFUNCTION("GOOGLETRANSLATE(A54918,""en"",""pt"")"),"Pequeno, tem teclado QWERTY, capabilites internet, durável.")</f>
        <v>Pequeno, tem teclado QWERTY, capabilites internet, durável.</v>
      </c>
      <c r="B54918" s="3">
        <v>1</v>
      </c>
    </row>
    <row r="54919" ht="15.75" customHeight="1" spans="1:2">
      <c r="A54919" s="3" t="str">
        <f>IFERROR(__xludf.DUMMYFUNCTION("GOOGLETRANSLATE(A54919,""en"",""pt"")"),", Bom teclado iluminado, suporte Bluetooth confiável")</f>
        <v>, Bom teclado iluminado, suporte Bluetooth confiável</v>
      </c>
      <c r="B54919" s="3">
        <v>1</v>
      </c>
    </row>
    <row r="54920" ht="15.75" customHeight="1" spans="1:2">
      <c r="A54920" s="3" t="str">
        <f>IFERROR(__xludf.DUMMYFUNCTION("GOOGLETRANSLATE(A54920,""en"",""pt"")"),"teclado, vídeo, câmera")</f>
        <v>teclado, vídeo, câmera</v>
      </c>
      <c r="B54920" s="3">
        <v>1</v>
      </c>
    </row>
    <row r="54921" ht="15.75" customHeight="1" spans="1:2">
      <c r="A54921" s="3" t="str">
        <f>IFERROR(__xludf.DUMMYFUNCTION("GOOGLETRANSLATE(A54921,""en"",""pt"")"),"fácil de usar, sensível, teclado completo")</f>
        <v>fácil de usar, sensível, teclado completo</v>
      </c>
      <c r="B54921" s="3">
        <v>1</v>
      </c>
    </row>
    <row r="54922" ht="15.75" customHeight="1" spans="1:2">
      <c r="A54922" s="3" t="str">
        <f>IFERROR(__xludf.DUMMYFUNCTION("GOOGLETRANSLATE(A54922,""en"",""pt"")"),"O teclado é realmente a única coisa boa.")</f>
        <v>O teclado é realmente a única coisa boa.</v>
      </c>
      <c r="B54922" s="3">
        <v>1</v>
      </c>
    </row>
    <row r="54923" ht="15.75" customHeight="1" spans="1:2">
      <c r="A54923" s="3" t="str">
        <f>IFERROR(__xludf.DUMMYFUNCTION("GOOGLETRANSLATE(A54923,""en"",""pt"")"),"Diferentes opções de conectividade. Compactar. Extremamente prático. serviço AIM. Quad Band.")</f>
        <v>Diferentes opções de conectividade. Compactar. Extremamente prático. serviço AIM. Quad Band.</v>
      </c>
      <c r="B54923" s="3">
        <v>1</v>
      </c>
    </row>
    <row r="54924" ht="15.75" customHeight="1" spans="1:2">
      <c r="A54924" s="3" t="str">
        <f>IFERROR(__xludf.DUMMYFUNCTION("GOOGLETRANSLATE(A54924,""en"",""pt"")"),"Limpar recepção, tela colorida, viva-voz")</f>
        <v>Limpar recepção, tela colorida, viva-voz</v>
      </c>
      <c r="B54924" s="3">
        <v>1</v>
      </c>
    </row>
    <row r="54925" ht="15.75" customHeight="1" spans="1:2">
      <c r="A54925" s="3" t="str">
        <f>IFERROR(__xludf.DUMMYFUNCTION("GOOGLETRANSLATE(A54925,""en"",""pt"")"),"Boa tela colorida, atraente cor azul, teclado agradável")</f>
        <v>Boa tela colorida, atraente cor azul, teclado agradável</v>
      </c>
      <c r="B54925" s="3">
        <v>1</v>
      </c>
    </row>
    <row r="54926" ht="15.75" customHeight="1" spans="1:2">
      <c r="A54926" s="3" t="str">
        <f>IFERROR(__xludf.DUMMYFUNCTION("GOOGLETRANSLATE(A54926,""en"",""pt"")"),"Grande autonomia da bateria, olhar agradável, durável e agradável olhando LCD a cores.")</f>
        <v>Grande autonomia da bateria, olhar agradável, durável e agradável olhando LCD a cores.</v>
      </c>
      <c r="B54926" s="3">
        <v>1</v>
      </c>
    </row>
    <row r="54927" ht="15.75" customHeight="1" spans="1:2">
      <c r="A54927" s="3" t="s">
        <v>298</v>
      </c>
      <c r="B54927" s="3">
        <v>1</v>
      </c>
    </row>
    <row r="54928" ht="15.75" customHeight="1" spans="1:2">
      <c r="A54928" s="3" t="str">
        <f>IFERROR(__xludf.DUMMYFUNCTION("GOOGLETRANSLATE(A54928,""en"",""pt"")"),"Pequeno, leve, longa vida")</f>
        <v>Pequeno, leve, longa vida</v>
      </c>
      <c r="B54928" s="3">
        <v>1</v>
      </c>
    </row>
    <row r="54929" ht="15.75" customHeight="1" spans="1:2">
      <c r="A54929" s="3" t="str">
        <f>IFERROR(__xludf.DUMMYFUNCTION("GOOGLETRANSLATE(A54929,""en"",""pt"")"),"Muito duráveis, bons toques estoque. bateria de longa duração")</f>
        <v>Muito duráveis, bons toques estoque. bateria de longa duração</v>
      </c>
      <c r="B54929" s="3">
        <v>1</v>
      </c>
    </row>
    <row r="54930" ht="15.75" customHeight="1" spans="1:2">
      <c r="A54930" s="3" t="str">
        <f>IFERROR(__xludf.DUMMYFUNCTION("GOOGLETRANSLATE(A54930,""en"",""pt"")"),"Grande telefone quando ele funciona. Durable vida boa bateria")</f>
        <v>Grande telefone quando ele funciona. Durable vida boa bateria</v>
      </c>
      <c r="B54930" s="3">
        <v>1</v>
      </c>
    </row>
    <row r="54931" ht="15.75" customHeight="1" spans="1:2">
      <c r="A54931" s="3" t="str">
        <f>IFERROR(__xludf.DUMMYFUNCTION("GOOGLETRANSLATE(A54931,""en"",""pt"")"),"robusto, bateria de longa duração, fácil de usar, boa qualidade de som, construído em viva-voz")</f>
        <v>robusto, bateria de longa duração, fácil de usar, boa qualidade de som, construído em viva-voz</v>
      </c>
      <c r="B54931" s="3">
        <v>1</v>
      </c>
    </row>
    <row r="54932" ht="15.75" customHeight="1" spans="1:2">
      <c r="A54932" s="3" t="str">
        <f>IFERROR(__xludf.DUMMYFUNCTION("GOOGLETRANSLATE(A54932,""en"",""pt"")"),"Tem necessidade de tudo I em um telefone e mais")</f>
        <v>Tem necessidade de tudo I em um telefone e mais</v>
      </c>
      <c r="B54932" s="3">
        <v>1</v>
      </c>
    </row>
    <row r="54933" ht="15.75" customHeight="1" spans="1:2">
      <c r="A54933" s="3" t="str">
        <f>IFERROR(__xludf.DUMMYFUNCTION("GOOGLETRANSLATE(A54933,""en"",""pt"")"),"Boa sensação em minhas mãos. Eu gosto do tamanho também.")</f>
        <v>Boa sensação em minhas mãos. Eu gosto do tamanho também.</v>
      </c>
      <c r="B54933" s="3">
        <v>1</v>
      </c>
    </row>
    <row r="54934" ht="15.75" customHeight="1" spans="1:2">
      <c r="A54934" s="3" t="str">
        <f>IFERROR(__xludf.DUMMYFUNCTION("GOOGLETRANSLATE(A54934,""en"",""pt"")"),"tela colorida agradável, barato, bom para uso básico")</f>
        <v>tela colorida agradável, barato, bom para uso básico</v>
      </c>
      <c r="B54934" s="3">
        <v>1</v>
      </c>
    </row>
    <row r="54935" ht="15.75" customHeight="1" spans="1:2">
      <c r="A54935" s="3" t="str">
        <f>IFERROR(__xludf.DUMMYFUNCTION("GOOGLETRANSLATE(A54935,""en"",""pt"")"),"Bom celular de qualidade a um preço muito razoável")</f>
        <v>Bom celular de qualidade a um preço muito razoável</v>
      </c>
      <c r="B54935" s="3">
        <v>1</v>
      </c>
    </row>
    <row r="54936" ht="15.75" customHeight="1" spans="1:2">
      <c r="A54936" s="3" t="str">
        <f>IFERROR(__xludf.DUMMYFUNCTION("GOOGLETRANSLATE(A54936,""en"",""pt"")"),"Grandes botões; preço baixo; campainha alto; boa recepção; grande visor; sistema de menu bom")</f>
        <v>Grandes botões; preço baixo; campainha alto; boa recepção; grande visor; sistema de menu bom</v>
      </c>
      <c r="B54936" s="3">
        <v>1</v>
      </c>
    </row>
    <row r="54937" ht="15.75" customHeight="1" spans="1:2">
      <c r="A54937" s="3" t="str">
        <f>IFERROR(__xludf.DUMMYFUNCTION("GOOGLETRANSLATE(A54937,""en"",""pt"")"),"Robusto, construção sólida; Simples de usar, boas características básicas do telefone, boa tela.")</f>
        <v>Robusto, construção sólida; Simples de usar, boas características básicas do telefone, boa tela.</v>
      </c>
      <c r="B54937" s="3">
        <v>1</v>
      </c>
    </row>
    <row r="54938" ht="15.75" customHeight="1" spans="1:2">
      <c r="A54938" s="3" t="str">
        <f>IFERROR(__xludf.DUMMYFUNCTION("GOOGLETRANSLATE(A54938,""en"",""pt"")"),"Simples de usar, parece sólido, muito durável.")</f>
        <v>Simples de usar, parece sólido, muito durável.</v>
      </c>
      <c r="B54938" s="3">
        <v>1</v>
      </c>
    </row>
    <row r="54939" ht="15.75" customHeight="1" spans="1:2">
      <c r="A54939" s="3" t="str">
        <f>IFERROR(__xludf.DUMMYFUNCTION("GOOGLETRANSLATE(A54939,""en"",""pt"")"),"Bom celular com características modernas, mas não um monte de dores de cabeça.")</f>
        <v>Bom celular com características modernas, mas não um monte de dores de cabeça.</v>
      </c>
      <c r="B54939" s="3">
        <v>1</v>
      </c>
    </row>
    <row r="54940" ht="15.75" customHeight="1" spans="1:2">
      <c r="A54940" s="3" t="str">
        <f>IFERROR(__xludf.DUMMYFUNCTION("GOOGLETRANSLATE(A54940,""en"",""pt"")"),"- menus fáceis")</f>
        <v>- menus fáceis</v>
      </c>
      <c r="B54940" s="3">
        <v>1</v>
      </c>
    </row>
    <row r="54941" ht="15.75" customHeight="1" spans="1:2">
      <c r="A54941" s="3" t="str">
        <f>IFERROR(__xludf.DUMMYFUNCTION("GOOGLETRANSLATE(A54941,""en"",""pt"")"),"tempo de conversação longa")</f>
        <v>tempo de conversação longa</v>
      </c>
      <c r="B54941" s="3">
        <v>1</v>
      </c>
    </row>
    <row r="54942" ht="15.75" customHeight="1" spans="1:2">
      <c r="A54942" s="3" t="str">
        <f>IFERROR(__xludf.DUMMYFUNCTION("GOOGLETRANSLATE(A54942,""en"",""pt"")"),"A vida da bateria, tela agradável, bons princípios gerais, relativamente baratos.")</f>
        <v>A vida da bateria, tela agradável, bons princípios gerais, relativamente baratos.</v>
      </c>
      <c r="B54942" s="3">
        <v>1</v>
      </c>
    </row>
    <row r="54943" ht="15.75" customHeight="1" spans="1:2">
      <c r="A54943" s="3" t="str">
        <f>IFERROR(__xludf.DUMMYFUNCTION("GOOGLETRANSLATE(A54943,""en"",""pt"")"),"Estudo, bateria de longa duração, boa recepção, bons menus Nokia")</f>
        <v>Estudo, bateria de longa duração, boa recepção, bons menus Nokia</v>
      </c>
      <c r="B54943" s="3">
        <v>1</v>
      </c>
    </row>
    <row r="54944" ht="15.75" customHeight="1" spans="1:2">
      <c r="A54944" s="3" t="str">
        <f>IFERROR(__xludf.DUMMYFUNCTION("GOOGLETRANSLATE(A54944,""en"",""pt"")"),"confiável e robusto")</f>
        <v>confiável e robusto</v>
      </c>
      <c r="B54944" s="3">
        <v>1</v>
      </c>
    </row>
    <row r="54945" ht="15.75" customHeight="1" spans="1:2">
      <c r="A54945" s="3" t="str">
        <f>IFERROR(__xludf.DUMMYFUNCTION("GOOGLETRANSLATE(A54945,""en"",""pt"")"),"Fácil de usar, ótimo som, livre e um desconto")</f>
        <v>Fácil de usar, ótimo som, livre e um desconto</v>
      </c>
      <c r="B54945" s="3">
        <v>1</v>
      </c>
    </row>
    <row r="54946" ht="15.75" customHeight="1" spans="1:2">
      <c r="A54946" s="3" t="str">
        <f>IFERROR(__xludf.DUMMYFUNCTION("GOOGLETRANSLATE(A54946,""en"",""pt"")"),"Resistente, telefone básico. Preço baixo. Otima qualidade.")</f>
        <v>Resistente, telefone básico. Preço baixo. Otima qualidade.</v>
      </c>
      <c r="B54946" s="3">
        <v>1</v>
      </c>
    </row>
    <row r="54947" ht="15.75" customHeight="1" spans="1:2">
      <c r="A54947" s="3" t="str">
        <f>IFERROR(__xludf.DUMMYFUNCTION("GOOGLETRANSLATE(A54947,""en"",""pt"")"),"Apenas um telefone, mais durável do que a maioria, bom tamanho da tela, boa vida útil da bateria")</f>
        <v>Apenas um telefone, mais durável do que a maioria, bom tamanho da tela, boa vida útil da bateria</v>
      </c>
      <c r="B54947" s="3">
        <v>1</v>
      </c>
    </row>
    <row r="54948" ht="15.75" customHeight="1" spans="1:2">
      <c r="A54948" s="3" t="str">
        <f>IFERROR(__xludf.DUMMYFUNCTION("GOOGLETRANSLATE(A54948,""en"",""pt"")"),"almofadas de borracha manteve-lo de voar fora de meu carro quando saiu na capa acidentalmente.")</f>
        <v>almofadas de borracha manteve-lo de voar fora de meu carro quando saiu na capa acidentalmente.</v>
      </c>
      <c r="B54948" s="3">
        <v>1</v>
      </c>
    </row>
    <row r="54949" ht="15.75" customHeight="1" spans="1:2">
      <c r="A54949" s="3" t="str">
        <f>IFERROR(__xludf.DUMMYFUNCTION("GOOGLETRANSLATE(A54949,""en"",""pt"")"),"tela colorida, grande autonomia da bateria, jogos impressionantes, recepção muito boa,")</f>
        <v>tela colorida, grande autonomia da bateria, jogos impressionantes, recepção muito boa,</v>
      </c>
      <c r="B54949" s="3">
        <v>1</v>
      </c>
    </row>
    <row r="54950" ht="15.75" customHeight="1" spans="1:2">
      <c r="A54950" s="3" t="str">
        <f>IFERROR(__xludf.DUMMYFUNCTION("GOOGLETRANSLATE(A54950,""en"",""pt"")"),"Acho que é melhor do que outros")</f>
        <v>Acho que é melhor do que outros</v>
      </c>
      <c r="B54950" s="3">
        <v>1</v>
      </c>
    </row>
    <row r="54951" ht="15.75" customHeight="1" spans="1:2">
      <c r="A54951" s="3" t="str">
        <f>IFERROR(__xludf.DUMMYFUNCTION("GOOGLETRANSLATE(A54951,""en"",""pt"")"),"sinal, bateria, papel de parede, design")</f>
        <v>sinal, bateria, papel de parede, design</v>
      </c>
      <c r="B54951" s="3">
        <v>1</v>
      </c>
    </row>
    <row r="54952" ht="15.75" customHeight="1" spans="1:2">
      <c r="A54952" s="3" t="str">
        <f>IFERROR(__xludf.DUMMYFUNCTION("GOOGLETRANSLATE(A54952,""en"",""pt"")"),"Boa anel alto, tamanho e tela de Nice")</f>
        <v>Boa anel alto, tamanho e tela de Nice</v>
      </c>
      <c r="B54952" s="3">
        <v>1</v>
      </c>
    </row>
    <row r="54953" ht="15.75" customHeight="1" spans="1:2">
      <c r="A54953" s="3" t="str">
        <f>IFERROR(__xludf.DUMMYFUNCTION("GOOGLETRANSLATE(A54953,""en"",""pt"")"),"Super durável. melhor recepção que eu vi com grande clareza de voz. A equipa o telefone funcionando.")</f>
        <v>Super durável. melhor recepção que eu vi com grande clareza de voz. A equipa o telefone funcionando.</v>
      </c>
      <c r="B54953" s="3">
        <v>1</v>
      </c>
    </row>
    <row r="54954" ht="15.75" customHeight="1" spans="1:2">
      <c r="A54954" s="3" t="str">
        <f>IFERROR(__xludf.DUMMYFUNCTION("GOOGLETRANSLATE(A54954,""en"",""pt"")"),"Robusto, possui um bom sinal, ringtones são altos.")</f>
        <v>Robusto, possui um bom sinal, ringtones são altos.</v>
      </c>
      <c r="B54954" s="3">
        <v>1</v>
      </c>
    </row>
    <row r="54955" ht="15.75" customHeight="1" spans="1:2">
      <c r="A54955" s="3" t="str">
        <f>IFERROR(__xludf.DUMMYFUNCTION("GOOGLETRANSLATE(A54955,""en"",""pt"")"),"Recepção, clareza, fácil de configurar e usar")</f>
        <v>Recepção, clareza, fácil de configurar e usar</v>
      </c>
      <c r="B54955" s="3">
        <v>1</v>
      </c>
    </row>
    <row r="54956" ht="15.75" customHeight="1" spans="1:2">
      <c r="A54956" s="3" t="str">
        <f>IFERROR(__xludf.DUMMYFUNCTION("GOOGLETRANSLATE(A54956,""en"",""pt"")"),"Fácil de usar, boa bateria, uma boa recepção")</f>
        <v>Fácil de usar, boa bateria, uma boa recepção</v>
      </c>
      <c r="B54956" s="3">
        <v>1</v>
      </c>
    </row>
    <row r="54957" ht="15.75" customHeight="1" spans="1:2">
      <c r="A54957" s="3" t="str">
        <f>IFERROR(__xludf.DUMMYFUNCTION("GOOGLETRANSLATE(A54957,""en"",""pt"")"),"Mais recursos do que eu esperava.")</f>
        <v>Mais recursos do que eu esperava.</v>
      </c>
      <c r="B54957" s="3">
        <v>1</v>
      </c>
    </row>
    <row r="54958" ht="15.75" customHeight="1" spans="1:2">
      <c r="A54958" s="3" t="str">
        <f>IFERROR(__xludf.DUMMYFUNCTION("GOOGLETRANSLATE(A54958,""en"",""pt"")"),"Sensação agradável em minhas mãos e muito durável.")</f>
        <v>Sensação agradável em minhas mãos e muito durável.</v>
      </c>
      <c r="B54958" s="3">
        <v>1</v>
      </c>
    </row>
    <row r="54959" ht="15.75" customHeight="1" spans="1:2">
      <c r="A54959" s="3" t="str">
        <f>IFERROR(__xludf.DUMMYFUNCTION("GOOGLETRANSLATE(A54959,""en"",""pt"")"),"Bom tamanho, grande recepção")</f>
        <v>Bom tamanho, grande recepção</v>
      </c>
      <c r="B54959" s="3">
        <v>1</v>
      </c>
    </row>
    <row r="54960" ht="15.75" customHeight="1" spans="1:2">
      <c r="A54960" s="3" t="str">
        <f>IFERROR(__xludf.DUMMYFUNCTION("GOOGLETRANSLATE(A54960,""en"",""pt"")"),"Recebe um sinal em que a maioria dos telefones não pode.")</f>
        <v>Recebe um sinal em que a maioria dos telefones não pode.</v>
      </c>
      <c r="B54960" s="3">
        <v>1</v>
      </c>
    </row>
    <row r="54961" ht="15.75" customHeight="1" spans="1:2">
      <c r="A54961" s="3" t="str">
        <f>IFERROR(__xludf.DUMMYFUNCTION("GOOGLETRANSLATE(A54961,""en"",""pt"")"),"Boa simples telefone Básico")</f>
        <v>Boa simples telefone Básico</v>
      </c>
      <c r="B54961" s="3">
        <v>1</v>
      </c>
    </row>
    <row r="54962" ht="15.75" customHeight="1" spans="1:2">
      <c r="A54962" s="3" t="str">
        <f>IFERROR(__xludf.DUMMYFUNCTION("GOOGLETRANSLATE(A54962,""en"",""pt"")"),"qualidades femininas. Design atraente. Limpar, tela colorida.")</f>
        <v>qualidades femininas. Design atraente. Limpar, tela colorida.</v>
      </c>
      <c r="B54962" s="3">
        <v>1</v>
      </c>
    </row>
    <row r="54963" ht="15.75" customHeight="1" spans="1:2">
      <c r="A54963" s="3" t="str">
        <f>IFERROR(__xludf.DUMMYFUNCTION("GOOGLETRANSLATE(A54963,""en"",""pt"")"),"durável, compacto, boa vida útil da bateria")</f>
        <v>durável, compacto, boa vida útil da bateria</v>
      </c>
      <c r="B54963" s="3">
        <v>1</v>
      </c>
    </row>
    <row r="54964" ht="15.75" customHeight="1" spans="1:2">
      <c r="A54964" s="3" t="str">
        <f>IFERROR(__xludf.DUMMYFUNCTION("GOOGLETRANSLATE(A54964,""en"",""pt"")"),"- $ 100 custo !!!, leve, pequeno, sonoridade clara, possuem telefone ricos")</f>
        <v>- $ 100 custo !!!, leve, pequeno, sonoridade clara, possuem telefone ricos</v>
      </c>
      <c r="B54964" s="3">
        <v>1</v>
      </c>
    </row>
    <row r="54965" ht="15.75" customHeight="1" spans="1:2">
      <c r="A54965" s="3" t="str">
        <f>IFERROR(__xludf.DUMMYFUNCTION("GOOGLETRANSLATE(A54965,""en"",""pt"")"),"Boa discagem de voz")</f>
        <v>Boa discagem de voz</v>
      </c>
      <c r="B54965" s="3">
        <v>1</v>
      </c>
    </row>
    <row r="54966" ht="15.75" customHeight="1" spans="1:2">
      <c r="A54966" s="3" t="str">
        <f>IFERROR(__xludf.DUMMYFUNCTION("GOOGLETRANSLATE(A54966,""en"",""pt"")"),"Grande reconhecimento de voz, viva-voz, e funcionalidade.")</f>
        <v>Grande reconhecimento de voz, viva-voz, e funcionalidade.</v>
      </c>
      <c r="B54966" s="3">
        <v>1</v>
      </c>
    </row>
    <row r="54967" ht="15.75" customHeight="1" spans="1:2">
      <c r="A54967" s="3" t="str">
        <f>IFERROR(__xludf.DUMMYFUNCTION("GOOGLETRANSLATE(A54967,""en"",""pt"")"),"discagem por voz / interface de comando")</f>
        <v>discagem por voz / interface de comando</v>
      </c>
      <c r="B54967" s="3">
        <v>1</v>
      </c>
    </row>
    <row r="54968" ht="15.75" customHeight="1" spans="1:2">
      <c r="A54968" s="3" t="str">
        <f>IFERROR(__xludf.DUMMYFUNCTION("GOOGLETRANSLATE(A54968,""en"",""pt"")"),"comando de voz, viva-voz, home page personalizado")</f>
        <v>comando de voz, viva-voz, home page personalizado</v>
      </c>
      <c r="B54968" s="3">
        <v>1</v>
      </c>
    </row>
    <row r="54969" ht="15.75" customHeight="1" spans="1:2">
      <c r="A54969" s="3" t="str">
        <f>IFERROR(__xludf.DUMMYFUNCTION("GOOGLETRANSLATE(A54969,""en"",""pt"")"),"Grande como um telefone. Excelente som, clareza, força do sinal, volume. Desistências.")</f>
        <v>Grande como um telefone. Excelente som, clareza, força do sinal, volume. Desistências.</v>
      </c>
      <c r="B54969" s="3">
        <v>1</v>
      </c>
    </row>
    <row r="54970" ht="15.75" customHeight="1" spans="1:2">
      <c r="A54970" s="3" t="str">
        <f>IFERROR(__xludf.DUMMYFUNCTION("GOOGLETRANSLATE(A54970,""en"",""pt"")"),"Boa conectividade e som, bom teclado. Uma sólida escolha se você quer um celular no-nonsense.")</f>
        <v>Boa conectividade e som, bom teclado. Uma sólida escolha se você quer um celular no-nonsense.</v>
      </c>
      <c r="B54970" s="3">
        <v>1</v>
      </c>
    </row>
    <row r="54971" ht="15.75" customHeight="1" spans="1:2">
      <c r="A54971" s="3" t="str">
        <f>IFERROR(__xludf.DUMMYFUNCTION("GOOGLETRANSLATE(A54971,""en"",""pt"")"),"- Compact")</f>
        <v>- Compact</v>
      </c>
      <c r="B54971" s="3">
        <v>1</v>
      </c>
    </row>
    <row r="54972" ht="15.75" customHeight="1" spans="1:2">
      <c r="A54972" s="3" t="str">
        <f>IFERROR(__xludf.DUMMYFUNCTION("GOOGLETRANSLATE(A54972,""en"",""pt"")"),"Fácil de usar, ótimo preço, boa qualidade de som")</f>
        <v>Fácil de usar, ótimo preço, boa qualidade de som</v>
      </c>
      <c r="B54972" s="3">
        <v>1</v>
      </c>
    </row>
    <row r="54973" ht="15.75" customHeight="1" spans="1:2">
      <c r="A54973" s="3" t="str">
        <f>IFERROR(__xludf.DUMMYFUNCTION("GOOGLETRANSLATE(A54973,""en"",""pt"")"),"telefone grande orador. Grande Voz função de marcação. Fácil de usar.")</f>
        <v>telefone grande orador. Grande Voz função de marcação. Fácil de usar.</v>
      </c>
      <c r="B54973" s="3">
        <v>1</v>
      </c>
    </row>
    <row r="54974" ht="15.75" customHeight="1" spans="1:2">
      <c r="A54974" s="3" t="str">
        <f>IFERROR(__xludf.DUMMYFUNCTION("GOOGLETRANSLATE(A54974,""en"",""pt"")"),"telefone -camera")</f>
        <v>telefone -camera</v>
      </c>
      <c r="B54974" s="3">
        <v>1</v>
      </c>
    </row>
    <row r="54975" ht="15.75" customHeight="1" spans="1:2">
      <c r="A54975" s="3" t="str">
        <f>IFERROR(__xludf.DUMMYFUNCTION("GOOGLETRANSLATE(A54975,""en"",""pt"")"),"Marcação por voz e reconhecimento é excepcional")</f>
        <v>Marcação por voz e reconhecimento é excepcional</v>
      </c>
      <c r="B54975" s="3">
        <v>1</v>
      </c>
    </row>
    <row r="54976" ht="15.75" customHeight="1" spans="1:2">
      <c r="A54976" s="3" t="str">
        <f>IFERROR(__xludf.DUMMYFUNCTION("GOOGLETRANSLATE(A54976,""en"",""pt"")"),"Durável e decente olhando")</f>
        <v>Durável e decente olhando</v>
      </c>
      <c r="B54976" s="3">
        <v>1</v>
      </c>
    </row>
    <row r="54977" ht="15.75" customHeight="1" spans="1:2">
      <c r="A54977" s="3" t="str">
        <f>IFERROR(__xludf.DUMMYFUNCTION("GOOGLETRANSLATE(A54977,""en"",""pt"")"),"discagem por voz, discagem por nome - não há dificuldade em reconhecer a fala")</f>
        <v>discagem por voz, discagem por nome - não há dificuldade em reconhecer a fala</v>
      </c>
      <c r="B54977" s="3">
        <v>1</v>
      </c>
    </row>
    <row r="54978" ht="15.75" customHeight="1" spans="1:2">
      <c r="A54978" s="3" t="str">
        <f>IFERROR(__xludf.DUMMYFUNCTION("GOOGLETRANSLATE(A54978,""en"",""pt"")"),"excelente Camera")</f>
        <v>excelente Camera</v>
      </c>
      <c r="B54978" s="3">
        <v>1</v>
      </c>
    </row>
    <row r="54979" ht="15.75" customHeight="1" spans="1:2">
      <c r="A54979" s="3" t="str">
        <f>IFERROR(__xludf.DUMMYFUNCTION("GOOGLETRANSLATE(A54979,""en"",""pt"")"),"Ive listados os prós na minha análise")</f>
        <v>Ive listados os prós na minha análise</v>
      </c>
      <c r="B54979" s="3">
        <v>1</v>
      </c>
    </row>
    <row r="54980" ht="15.75" customHeight="1" spans="1:2">
      <c r="A54980" s="3" t="str">
        <f>IFERROR(__xludf.DUMMYFUNCTION("GOOGLETRANSLATE(A54980,""en"",""pt"")"),"luz, olhando-cool, câmera, acesso à internet, alto-falante, calendário, alarme, texto / mensagens pic, GPS")</f>
        <v>luz, olhando-cool, câmera, acesso à internet, alto-falante, calendário, alarme, texto / mensagens pic, GPS</v>
      </c>
      <c r="B54980" s="3">
        <v>1</v>
      </c>
    </row>
    <row r="54981" ht="15.75" customHeight="1" spans="1:2">
      <c r="A54981" s="3" t="str">
        <f>IFERROR(__xludf.DUMMYFUNCTION("GOOGLETRANSLATE(A54981,""en"",""pt"")"),"Estava livre quando se inscreveu.")</f>
        <v>Estava livre quando se inscreveu.</v>
      </c>
      <c r="B54981" s="3">
        <v>1</v>
      </c>
    </row>
    <row r="54982" ht="15.75" customHeight="1" spans="1:2">
      <c r="A54982" s="3" t="str">
        <f>IFERROR(__xludf.DUMMYFUNCTION("GOOGLETRANSLATE(A54982,""en"",""pt"")"),"Não muito.")</f>
        <v>Não muito.</v>
      </c>
      <c r="B54982" s="3">
        <v>1</v>
      </c>
    </row>
    <row r="54983" ht="15.75" customHeight="1" spans="1:2">
      <c r="A54983" s="3" t="str">
        <f>IFERROR(__xludf.DUMMYFUNCTION("GOOGLETRANSLATE(A54983,""en"",""pt"")"),"Relógio funciona bem.")</f>
        <v>Relógio funciona bem.</v>
      </c>
      <c r="B54983" s="3">
        <v>1</v>
      </c>
    </row>
    <row r="54984" ht="15.75" customHeight="1" spans="1:2">
      <c r="A54984" s="3" t="str">
        <f>IFERROR(__xludf.DUMMYFUNCTION("GOOGLETRANSLATE(A54984,""en"",""pt"")"),"Bons volumes de som e alto-falante funciona bem. Real infeliz sobre a situação da bateria.")</f>
        <v>Bons volumes de som e alto-falante funciona bem. Real infeliz sobre a situação da bateria.</v>
      </c>
      <c r="B54984" s="3">
        <v>1</v>
      </c>
    </row>
    <row r="54985" ht="15.75" customHeight="1" spans="1:2">
      <c r="A54985" s="3" t="str">
        <f>IFERROR(__xludf.DUMMYFUNCTION("GOOGLETRANSLATE(A54985,""en"",""pt"")"),"Tri-mode")</f>
        <v>Tri-mode</v>
      </c>
      <c r="B54985" s="3">
        <v>1</v>
      </c>
    </row>
    <row r="54986" ht="15.75" customHeight="1" spans="1:2">
      <c r="A54986" s="3" t="str">
        <f>IFERROR(__xludf.DUMMYFUNCTION("GOOGLETRANSLATE(A54986,""en"",""pt"")"),"Confiável, bom celular")</f>
        <v>Confiável, bom celular</v>
      </c>
      <c r="B54986" s="3">
        <v>1</v>
      </c>
    </row>
    <row r="54987" ht="15.75" customHeight="1" spans="1:2">
      <c r="A54987" s="3" t="str">
        <f>IFERROR(__xludf.DUMMYFUNCTION("GOOGLETRANSLATE(A54987,""en"",""pt"")"),"Sólido, confiável, grande qualidade de som, e barato.")</f>
        <v>Sólido, confiável, grande qualidade de som, e barato.</v>
      </c>
      <c r="B54987" s="3">
        <v>1</v>
      </c>
    </row>
    <row r="54988" ht="15.75" customHeight="1" spans="1:2">
      <c r="A54988" s="3" t="str">
        <f>IFERROR(__xludf.DUMMYFUNCTION("GOOGLETRANSLATE(A54988,""en"",""pt"")"),"Resistente, compacto, estilo, facilidade de uso")</f>
        <v>Resistente, compacto, estilo, facilidade de uso</v>
      </c>
      <c r="B54988" s="3">
        <v>1</v>
      </c>
    </row>
    <row r="54989" ht="15.75" customHeight="1" spans="1:2">
      <c r="A54989" s="3" t="str">
        <f>IFERROR(__xludf.DUMMYFUNCTION("GOOGLETRANSLATE(A54989,""en"",""pt"")"),"Excelente cobertura, telefone sólida, de boa qualidade AM-rádio.")</f>
        <v>Excelente cobertura, telefone sólida, de boa qualidade AM-rádio.</v>
      </c>
      <c r="B54989" s="3">
        <v>1</v>
      </c>
    </row>
    <row r="54990" ht="15.75" customHeight="1" spans="1:2">
      <c r="A54990" s="3" t="str">
        <f>IFERROR(__xludf.DUMMYFUNCTION("GOOGLETRANSLATE(A54990,""en"",""pt"")"),"Durável, características padrão, walkie-talkie, cor")</f>
        <v>Durável, características padrão, walkie-talkie, cor</v>
      </c>
      <c r="B54990" s="3">
        <v>1</v>
      </c>
    </row>
    <row r="54991" ht="15.75" customHeight="1" spans="1:2">
      <c r="A54991" s="3" t="str">
        <f>IFERROR(__xludf.DUMMYFUNCTION("GOOGLETRANSLATE(A54991,""en"",""pt"")"),"É mais capaz do que alguns telefones mais baratos, mas a durabilidade é o principal ponto de venda.")</f>
        <v>É mais capaz do que alguns telefones mais baratos, mas a durabilidade é o principal ponto de venda.</v>
      </c>
      <c r="B54991" s="3">
        <v>1</v>
      </c>
    </row>
    <row r="54992" ht="15.75" customHeight="1" spans="1:2">
      <c r="A54992" s="3" t="str">
        <f>IFERROR(__xludf.DUMMYFUNCTION("GOOGLETRANSLATE(A54992,""en"",""pt"")"),"Motorola sempre produz produtos sólidos bem construído ... mas ...")</f>
        <v>Motorola sempre produz produtos sólidos bem construído ... mas ...</v>
      </c>
      <c r="B54992" s="3">
        <v>1</v>
      </c>
    </row>
    <row r="54993" ht="15.75" customHeight="1" spans="1:2">
      <c r="A54993" s="3" t="str">
        <f>IFERROR(__xludf.DUMMYFUNCTION("GOOGLETRANSLATE(A54993,""en"",""pt"")"),"Telefone agradável, sente durável.")</f>
        <v>Telefone agradável, sente durável.</v>
      </c>
      <c r="B54993" s="3">
        <v>1</v>
      </c>
    </row>
    <row r="54994" ht="15.75" customHeight="1" spans="1:2">
      <c r="A54994" s="3" t="str">
        <f>IFERROR(__xludf.DUMMYFUNCTION("GOOGLETRANSLATE(A54994,""en"",""pt"")"),"pode Direct Connect facilmente, resistente")</f>
        <v>pode Direct Connect facilmente, resistente</v>
      </c>
      <c r="B54994" s="3">
        <v>1</v>
      </c>
    </row>
    <row r="54995" ht="15.75" customHeight="1" spans="1:2">
      <c r="A54995" s="3" t="str">
        <f>IFERROR(__xludf.DUMMYFUNCTION("GOOGLETRANSLATE(A54995,""en"",""pt"")"),"Durabilidade / Atendimento ao Cliente")</f>
        <v>Durabilidade / Atendimento ao Cliente</v>
      </c>
      <c r="B54995" s="3">
        <v>1</v>
      </c>
    </row>
    <row r="54996" ht="15.75" customHeight="1" spans="1:2">
      <c r="A54996" s="3" t="str">
        <f>IFERROR(__xludf.DUMMYFUNCTION("GOOGLETRANSLATE(A54996,""en"",""pt"")"),"cor brilhante é facilmente encontrado, fácil de responder a Direct Connect, compacto e robusto")</f>
        <v>cor brilhante é facilmente encontrado, fácil de responder a Direct Connect, compacto e robusto</v>
      </c>
      <c r="B54996" s="3">
        <v>1</v>
      </c>
    </row>
    <row r="54997" ht="15.75" customHeight="1" spans="1:2">
      <c r="A54997" s="3" t="str">
        <f>IFERROR(__xludf.DUMMYFUNCTION("GOOGLETRANSLATE(A54997,""en"",""pt"")"),"design muito forte, facilidade de uso, exibição clara.")</f>
        <v>design muito forte, facilidade de uso, exibição clara.</v>
      </c>
      <c r="B54997" s="3">
        <v>1</v>
      </c>
    </row>
    <row r="54998" ht="15.75" customHeight="1" spans="1:2">
      <c r="A54998" s="3" t="str">
        <f>IFERROR(__xludf.DUMMYFUNCTION("GOOGLETRANSLATE(A54998,""en"",""pt"")"),"caso robusto, Capability PTT")</f>
        <v>caso robusto, Capability PTT</v>
      </c>
      <c r="B54998" s="3">
        <v>1</v>
      </c>
    </row>
    <row r="54999" ht="15.75" customHeight="1" spans="1:2">
      <c r="A54999" s="3" t="str">
        <f>IFERROR(__xludf.DUMMYFUNCTION("GOOGLETRANSLATE(A54999,""en"",""pt"")"),"você pode jogá-lo againts uma parede e ele ainda funciona {tipo de}")</f>
        <v>você pode jogá-lo againts uma parede e ele ainda funciona {tipo de}</v>
      </c>
      <c r="B54999" s="3">
        <v>1</v>
      </c>
    </row>
    <row r="55000" ht="15.75" customHeight="1" spans="1:2">
      <c r="A55000" s="3" t="str">
        <f>IFERROR(__xludf.DUMMYFUNCTION("GOOGLETRANSLATE(A55000,""en"",""pt"")"),"Áspero")</f>
        <v>Áspero</v>
      </c>
      <c r="B55000" s="3">
        <v>1</v>
      </c>
    </row>
    <row r="55001" ht="15.75" customHeight="1" spans="1:2">
      <c r="A55001" s="3" t="str">
        <f>IFERROR(__xludf.DUMMYFUNCTION("GOOGLETRANSLATE(A55001,""en"",""pt"")"),"peso leve, colorido, durável, ótimo serviço, há chamadas perdidas")</f>
        <v>peso leve, colorido, durável, ótimo serviço, há chamadas perdidas</v>
      </c>
      <c r="B55001" s="3">
        <v>1</v>
      </c>
    </row>
    <row r="55002" ht="15.75" customHeight="1" spans="1:2">
      <c r="A55002" s="3" t="str">
        <f>IFERROR(__xludf.DUMMYFUNCTION("GOOGLETRANSLATE(A55002,""en"",""pt"")"),"Lightweight. À moda. Conexão direta. Alto-falante externo. Nextel. Feito.")</f>
        <v>Lightweight. À moda. Conexão direta. Alto-falante externo. Nextel. Feito.</v>
      </c>
      <c r="B55002" s="3">
        <v>1</v>
      </c>
    </row>
    <row r="55003" ht="15.75" customHeight="1" spans="1:2">
      <c r="A55003" s="3" t="str">
        <f>IFERROR(__xludf.DUMMYFUNCTION("GOOGLETRANSLATE(A55003,""en"",""pt"")"),"capacidade de PTT, caixa robusta, borracha agarra no lado")</f>
        <v>capacidade de PTT, caixa robusta, borracha agarra no lado</v>
      </c>
      <c r="B55003" s="3">
        <v>1</v>
      </c>
    </row>
    <row r="55004" ht="15.75" customHeight="1" spans="1:2">
      <c r="A55004" s="3" t="str">
        <f>IFERROR(__xludf.DUMMYFUNCTION("GOOGLETRANSLATE(A55004,""en"",""pt"")"),"Muito bom telefone")</f>
        <v>Muito bom telefone</v>
      </c>
      <c r="B55004" s="3">
        <v>1</v>
      </c>
    </row>
    <row r="55005" ht="15.75" customHeight="1" spans="1:2">
      <c r="A55005" s="3" t="str">
        <f>IFERROR(__xludf.DUMMYFUNCTION("GOOGLETRANSLATE(A55005,""en"",""pt"")"),"Excelente clareza, fotos nítidas, vídeo w / som, fácil de usar, durável")</f>
        <v>Excelente clareza, fotos nítidas, vídeo w / som, fácil de usar, durável</v>
      </c>
      <c r="B55005" s="3">
        <v>1</v>
      </c>
    </row>
    <row r="55006" ht="15.75" customHeight="1" spans="1:2">
      <c r="A55006" s="3" t="str">
        <f>IFERROR(__xludf.DUMMYFUNCTION("GOOGLETRANSLATE(A55006,""en"",""pt"")"),"Fá-lo muito")</f>
        <v>Fá-lo muito</v>
      </c>
      <c r="B55006" s="3">
        <v>1</v>
      </c>
    </row>
    <row r="55007" ht="15.75" customHeight="1" spans="1:2">
      <c r="A55007" s="3" t="str">
        <f>IFERROR(__xludf.DUMMYFUNCTION("GOOGLETRANSLATE(A55007,""en"",""pt"")"),"Um bom telefone geral. Excelente recepção, toques altos, bela exibição interior.")</f>
        <v>Um bom telefone geral. Excelente recepção, toques altos, bela exibição interior.</v>
      </c>
      <c r="B55007" s="3">
        <v>1</v>
      </c>
    </row>
    <row r="55008" ht="15.75" customHeight="1" spans="1:2">
      <c r="A55008" s="3" t="str">
        <f>IFERROR(__xludf.DUMMYFUNCTION("GOOGLETRANSLATE(A55008,""en"",""pt"")"),"menus de botões intuitiva, software texto t9Word, 2 grandes belas telas de cores, câmera com flash")</f>
        <v>menus de botões intuitiva, software texto t9Word, 2 grandes belas telas de cores, câmera com flash</v>
      </c>
      <c r="B55008" s="3">
        <v>1</v>
      </c>
    </row>
    <row r="55009" ht="15.75" customHeight="1" spans="1:2">
      <c r="A55009" s="3" t="str">
        <f>IFERROR(__xludf.DUMMYFUNCTION("GOOGLETRANSLATE(A55009,""en"",""pt"")"),"características matérias, interface bastante bem construído")</f>
        <v>características matérias, interface bastante bem construído</v>
      </c>
      <c r="B55009" s="3">
        <v>1</v>
      </c>
    </row>
    <row r="55010" ht="15.75" customHeight="1" spans="1:2">
      <c r="A55010" s="3" t="str">
        <f>IFERROR(__xludf.DUMMYFUNCTION("GOOGLETRANSLATE(A55010,""en"",""pt"")"),"Tela cor / viva-voz / som Clarity / GPS")</f>
        <v>Tela cor / viva-voz / som Clarity / GPS</v>
      </c>
      <c r="B55010" s="3">
        <v>1</v>
      </c>
    </row>
    <row r="55011" ht="15.75" customHeight="1" spans="1:2">
      <c r="A55011" s="3" t="str">
        <f>IFERROR(__xludf.DUMMYFUNCTION("GOOGLETRANSLATE(A55011,""en"",""pt"")"),"muito boa aparência, internet habilitada, viva-voz")</f>
        <v>muito boa aparência, internet habilitada, viva-voz</v>
      </c>
      <c r="B55011" s="3">
        <v>1</v>
      </c>
    </row>
    <row r="55012" ht="15.75" customHeight="1" spans="1:2">
      <c r="A55012" s="3" t="str">
        <f>IFERROR(__xludf.DUMMYFUNCTION("GOOGLETRANSLATE(A55012,""en"",""pt"")"),"! Unbreakable Boa recepção e fácil de usar.")</f>
        <v>! Unbreakable Boa recepção e fácil de usar.</v>
      </c>
      <c r="B55012" s="3">
        <v>1</v>
      </c>
    </row>
    <row r="55013" ht="15.75" customHeight="1" spans="1:2">
      <c r="A55013" s="3" t="str">
        <f>IFERROR(__xludf.DUMMYFUNCTION("GOOGLETRANSLATE(A55013,""en"",""pt"")"),"ecrã a cores, ok serviço.")</f>
        <v>ecrã a cores, ok serviço.</v>
      </c>
      <c r="B55013" s="3">
        <v>1</v>
      </c>
    </row>
    <row r="55014" ht="15.75" customHeight="1" spans="1:2">
      <c r="A55014" s="3" t="str">
        <f>IFERROR(__xludf.DUMMYFUNCTION("GOOGLETRANSLATE(A55014,""en"",""pt"")"),"É um telefone flip grande negócio.")</f>
        <v>É um telefone flip grande negócio.</v>
      </c>
      <c r="B55014" s="3">
        <v>1</v>
      </c>
    </row>
    <row r="55015" ht="15.75" customHeight="1" spans="1:2">
      <c r="A55015" s="3" t="str">
        <f>IFERROR(__xludf.DUMMYFUNCTION("GOOGLETRANSLATE(A55015,""en"",""pt"")"),"serviço de walkie talkie")</f>
        <v>serviço de walkie talkie</v>
      </c>
      <c r="B55015" s="3">
        <v>1</v>
      </c>
    </row>
    <row r="55016" ht="15.75" customHeight="1" spans="1:2">
      <c r="A55016" s="3" t="str">
        <f>IFERROR(__xludf.DUMMYFUNCTION("GOOGLETRANSLATE(A55016,""en"",""pt"")"),"em poucas palavras: brilho, glamour, sass")</f>
        <v>em poucas palavras: brilho, glamour, sass</v>
      </c>
      <c r="B55016" s="3">
        <v>1</v>
      </c>
    </row>
    <row r="55017" ht="15.75" customHeight="1" spans="1:2">
      <c r="A55017" s="3" t="str">
        <f>IFERROR(__xludf.DUMMYFUNCTION("GOOGLETRANSLATE(A55017,""en"",""pt"")"),"construção durável, toneladas de opções, menus sensíveis, grande recepção")</f>
        <v>construção durável, toneladas de opções, menus sensíveis, grande recepção</v>
      </c>
      <c r="B55017" s="3">
        <v>1</v>
      </c>
    </row>
    <row r="55018" ht="15.75" customHeight="1" spans="1:2">
      <c r="A55018" s="3" t="str">
        <f>IFERROR(__xludf.DUMMYFUNCTION("GOOGLETRANSLATE(A55018,""en"",""pt"")"),"Bluetooth conectividade, alta qualidade viva-voz, Tri-Mode, Large Display, recurso ObeyMoto")</f>
        <v>Bluetooth conectividade, alta qualidade viva-voz, Tri-Mode, Large Display, recurso ObeyMoto</v>
      </c>
      <c r="B55018" s="3">
        <v>1</v>
      </c>
    </row>
    <row r="55019" ht="15.75" customHeight="1" spans="1:2">
      <c r="A55019" s="3" t="str">
        <f>IFERROR(__xludf.DUMMYFUNCTION("GOOGLETRANSLATE(A55019,""en"",""pt"")"),"confortável de usar, muitas características desenvolvidas poços")</f>
        <v>confortável de usar, muitas características desenvolvidas poços</v>
      </c>
      <c r="B55019" s="3">
        <v>1</v>
      </c>
    </row>
    <row r="55020" ht="15.75" customHeight="1" spans="1:2">
      <c r="A55020" s="3" t="str">
        <f>IFERROR(__xludf.DUMMYFUNCTION("GOOGLETRANSLATE(A55020,""en"",""pt"")"),"A melhor recepção que eu já tive. Tantos recursos.")</f>
        <v>A melhor recepção que eu já tive. Tantos recursos.</v>
      </c>
      <c r="B55020" s="3">
        <v>1</v>
      </c>
    </row>
    <row r="55021" ht="15.75" customHeight="1" spans="1:2">
      <c r="A55021" s="3" t="str">
        <f>IFERROR(__xludf.DUMMYFUNCTION("GOOGLETRANSLATE(A55021,""en"",""pt"")"),"recepção surpreendente, excelente viva-voz, discagem por voz muito agradável.")</f>
        <v>recepção surpreendente, excelente viva-voz, discagem por voz muito agradável.</v>
      </c>
      <c r="B55021" s="3">
        <v>1</v>
      </c>
    </row>
    <row r="55022" ht="15.75" customHeight="1" spans="1:2">
      <c r="A55022" s="3" t="str">
        <f>IFERROR(__xludf.DUMMYFUNCTION("GOOGLETRANSLATE(A55022,""en"",""pt"")"),"Grande voz, reconhecimento de voz, display, recepção")</f>
        <v>Grande voz, reconhecimento de voz, display, recepção</v>
      </c>
      <c r="B55022" s="3">
        <v>1</v>
      </c>
    </row>
    <row r="55023" ht="15.75" customHeight="1" spans="1:2">
      <c r="A55023" s="3" t="str">
        <f>IFERROR(__xludf.DUMMYFUNCTION("GOOGLETRANSLATE(A55023,""en"",""pt"")"),"A recepção é ótimo!")</f>
        <v>A recepção é ótimo!</v>
      </c>
      <c r="B55023" s="3">
        <v>1</v>
      </c>
    </row>
    <row r="55024" ht="15.75" customHeight="1" spans="1:2">
      <c r="A55024" s="3" t="str">
        <f>IFERROR(__xludf.DUMMYFUNCTION("GOOGLETRANSLATE(A55024,""en"",""pt"")"),"Resistente, boa recepção, tamanho decente.")</f>
        <v>Resistente, boa recepção, tamanho decente.</v>
      </c>
      <c r="B55024" s="3">
        <v>1</v>
      </c>
    </row>
    <row r="55025" ht="15.75" customHeight="1" spans="1:2">
      <c r="A55025" s="3" t="str">
        <f>IFERROR(__xludf.DUMMYFUNCTION("GOOGLETRANSLATE(A55025,""en"",""pt"")"),"tela grande, grande som, fácil de usar, sólida")</f>
        <v>tela grande, grande som, fácil de usar, sólida</v>
      </c>
      <c r="B55025" s="3">
        <v>1</v>
      </c>
    </row>
    <row r="55026" ht="15.75" customHeight="1" spans="1:2">
      <c r="A55026" s="3" t="str">
        <f>IFERROR(__xludf.DUMMYFUNCTION("GOOGLETRANSLATE(A55026,""en"",""pt"")"),"Limpar, tela brilhante, fácil de usar.")</f>
        <v>Limpar, tela brilhante, fácil de usar.</v>
      </c>
      <c r="B55026" s="3">
        <v>1</v>
      </c>
    </row>
    <row r="55027" ht="15.75" customHeight="1" spans="1:2">
      <c r="A55027" s="3" t="str">
        <f>IFERROR(__xludf.DUMMYFUNCTION("GOOGLETRANSLATE(A55027,""en"",""pt"")"),"Bluetooth, viva-voz")</f>
        <v>Bluetooth, viva-voz</v>
      </c>
      <c r="B55027" s="3">
        <v>1</v>
      </c>
    </row>
    <row r="55028" ht="15.75" customHeight="1" spans="1:2">
      <c r="A55028" s="3" t="str">
        <f>IFERROR(__xludf.DUMMYFUNCTION("GOOGLETRANSLATE(A55028,""en"",""pt"")"),"Altamente versátil e poderoso.")</f>
        <v>Altamente versátil e poderoso.</v>
      </c>
      <c r="B55028" s="3">
        <v>1</v>
      </c>
    </row>
    <row r="55029" ht="15.75" customHeight="1" spans="1:2">
      <c r="A55029" s="3" t="str">
        <f>IFERROR(__xludf.DUMMYFUNCTION("GOOGLETRANSLATE(A55029,""en"",""pt"")"),"Ei! A calculadora funciona!")</f>
        <v>Ei! A calculadora funciona!</v>
      </c>
      <c r="B55029" s="3">
        <v>1</v>
      </c>
    </row>
    <row r="55030" ht="15.75" customHeight="1" spans="1:2">
      <c r="A55030" s="3" t="str">
        <f>IFERROR(__xludf.DUMMYFUNCTION("GOOGLETRANSLATE(A55030,""en"",""pt"")"),"MP3 toques programáveis, memória TransFlash")</f>
        <v>MP3 toques programáveis, memória TransFlash</v>
      </c>
      <c r="B55030" s="3">
        <v>1</v>
      </c>
    </row>
    <row r="55031" ht="15.75" customHeight="1" spans="1:2">
      <c r="A55031" s="3" t="str">
        <f>IFERROR(__xludf.DUMMYFUNCTION("GOOGLETRANSLATE(A55031,""en"",""pt"")"),"Big, tela brilhante. Alta velocidade. Grandes oradores. Camera, câmera de vídeo e luz. A vida da bateria.")</f>
        <v>Big, tela brilhante. Alta velocidade. Grandes oradores. Camera, câmera de vídeo e luz. A vida da bateria.</v>
      </c>
      <c r="B55031" s="3">
        <v>1</v>
      </c>
    </row>
    <row r="55032" ht="15.75" customHeight="1" spans="1:2">
      <c r="A55032" s="3" t="str">
        <f>IFERROR(__xludf.DUMMYFUNCTION("GOOGLETRANSLATE(A55032,""en"",""pt"")"),"Grande o suficiente que você poderia quebrar a janela do carro com ele se estivesse preso?")</f>
        <v>Grande o suficiente que você poderia quebrar a janela do carro com ele se estivesse preso?</v>
      </c>
      <c r="B55032" s="3">
        <v>1</v>
      </c>
    </row>
    <row r="55033" ht="15.75" customHeight="1" spans="1:2">
      <c r="A55033" s="3" t="str">
        <f>IFERROR(__xludf.DUMMYFUNCTION("GOOGLETRANSLATE(A55033,""en"",""pt"")"),"Beefy de construção, bastante alto para ser ouvido, tela decente, layout de teclado decente.")</f>
        <v>Beefy de construção, bastante alto para ser ouvido, tela decente, layout de teclado decente.</v>
      </c>
      <c r="B55033" s="3">
        <v>1</v>
      </c>
    </row>
    <row r="55034" ht="15.75" customHeight="1" spans="1:2">
      <c r="A55034" s="3" t="str">
        <f>IFERROR(__xludf.DUMMYFUNCTION("GOOGLETRANSLATE(A55034,""en"",""pt"")"),"ergonomia, teclado sensação, boa recepção, display é muito bom")</f>
        <v>ergonomia, teclado sensação, boa recepção, display é muito bom</v>
      </c>
      <c r="B55034" s="3">
        <v>1</v>
      </c>
    </row>
    <row r="55035" ht="15.75" customHeight="1" spans="1:2">
      <c r="A55035" s="3" t="str">
        <f>IFERROR(__xludf.DUMMYFUNCTION("GOOGLETRANSLATE(A55035,""en"",""pt"")"),"Grande LCD clara, viva-voz alto, bluetooth, boa recepção")</f>
        <v>Grande LCD clara, viva-voz alto, bluetooth, boa recepção</v>
      </c>
      <c r="B55035" s="3">
        <v>1</v>
      </c>
    </row>
    <row r="55036" ht="15.75" customHeight="1" spans="1:2">
      <c r="A55036" s="3" t="str">
        <f>IFERROR(__xludf.DUMMYFUNCTION("GOOGLETRANSLATE(A55036,""en"",""pt"")"),"Recepção, bluetooth, viva-voz, ObeyMeMoto reconhecimento de voz.")</f>
        <v>Recepção, bluetooth, viva-voz, ObeyMeMoto reconhecimento de voz.</v>
      </c>
      <c r="B55036" s="3">
        <v>1</v>
      </c>
    </row>
    <row r="55037" ht="15.75" customHeight="1" spans="1:2">
      <c r="A55037" s="3" t="str">
        <f>IFERROR(__xludf.DUMMYFUNCTION("GOOGLETRANSLATE(A55037,""en"",""pt"")"),"Bluetooth, 1.2 megapixels, display grande e claro, leitor de MP3, cartão de dados Transflash")</f>
        <v>Bluetooth, 1.2 megapixels, display grande e claro, leitor de MP3, cartão de dados Transflash</v>
      </c>
      <c r="B55037" s="3">
        <v>1</v>
      </c>
    </row>
    <row r="55038" ht="15.75" customHeight="1" spans="1:2">
      <c r="A55038" s="3" t="str">
        <f>IFERROR(__xludf.DUMMYFUNCTION("GOOGLETRANSLATE(A55038,""en"",""pt"")"),"boa tela")</f>
        <v>boa tela</v>
      </c>
      <c r="B55038" s="3">
        <v>1</v>
      </c>
    </row>
    <row r="55039" ht="15.75" customHeight="1" spans="1:2">
      <c r="A55039" s="3" t="str">
        <f>IFERROR(__xludf.DUMMYFUNCTION("GOOGLETRANSLATE(A55039,""en"",""pt"")"),"Bonito, profissional, e tem muitos recursos!")</f>
        <v>Bonito, profissional, e tem muitos recursos!</v>
      </c>
      <c r="B55039" s="3">
        <v>1</v>
      </c>
    </row>
    <row r="55040" ht="15.75" customHeight="1" spans="1:2">
      <c r="A55040" s="3" t="str">
        <f>IFERROR(__xludf.DUMMYFUNCTION("GOOGLETRANSLATE(A55040,""en"",""pt"")"),"Excelente recepção! Lotes das características! FÁCIL DE USAR! A ++++")</f>
        <v>Excelente recepção! Lotes das características! FÁCIL DE USAR! A ++++</v>
      </c>
      <c r="B55040" s="3">
        <v>1</v>
      </c>
    </row>
    <row r="55041" ht="15.75" customHeight="1" spans="1:2">
      <c r="A55041" s="3" t="str">
        <f>IFERROR(__xludf.DUMMYFUNCTION("GOOGLETRANSLATE(A55041,""en"",""pt"")"),"-Bluetooth headset incluído")</f>
        <v>-Bluetooth headset incluído</v>
      </c>
      <c r="B55041" s="3">
        <v>1</v>
      </c>
    </row>
    <row r="55042" ht="15.75" customHeight="1" spans="1:2">
      <c r="A55042" s="3" t="str">
        <f>IFERROR(__xludf.DUMMYFUNCTION("GOOGLETRANSLATE(A55042,""en"",""pt"")"),"Grande telefone, cheio de recursos. ecrã fantástico.")</f>
        <v>Grande telefone, cheio de recursos. ecrã fantástico.</v>
      </c>
      <c r="B55042" s="3">
        <v>1</v>
      </c>
    </row>
    <row r="55043" ht="15.75" customHeight="1" spans="1:2">
      <c r="A55043" s="3" t="str">
        <f>IFERROR(__xludf.DUMMYFUNCTION("GOOGLETRANSLATE(A55043,""en"",""pt"")"),"Qualidade de som &lt;p&gt; Facilidade de Uso &lt;p&gt; Quality Camera")</f>
        <v>Qualidade de som &lt;p&gt; Facilidade de Uso &lt;p&gt; Quality Camera</v>
      </c>
      <c r="B55043" s="3">
        <v>1</v>
      </c>
    </row>
    <row r="55044" ht="15.75" customHeight="1" spans="1:2">
      <c r="A55044" s="3" t="str">
        <f>IFERROR(__xludf.DUMMYFUNCTION("GOOGLETRANSLATE(A55044,""en"",""pt"")"),"força incrível sinal, agradável LCD e fácil emparelhamento BT.")</f>
        <v>força incrível sinal, agradável LCD e fácil emparelhamento BT.</v>
      </c>
      <c r="B55044" s="3">
        <v>1</v>
      </c>
    </row>
    <row r="55045" ht="15.75" customHeight="1" spans="1:2">
      <c r="A55045" s="3" t="str">
        <f>IFERROR(__xludf.DUMMYFUNCTION("GOOGLETRANSLATE(A55045,""en"",""pt"")"),"Ótima aparência, boas características, memória incrível transferência, o recurso de discagem por voz legal")</f>
        <v>Ótima aparência, boas características, memória incrível transferência, o recurso de discagem por voz legal</v>
      </c>
      <c r="B55045" s="3">
        <v>1</v>
      </c>
    </row>
    <row r="55046" ht="15.75" customHeight="1" spans="1:2">
      <c r="A55046" s="3" t="str">
        <f>IFERROR(__xludf.DUMMYFUNCTION("GOOGLETRANSLATE(A55046,""en"",""pt"")"),"Bluetooth")</f>
        <v>Bluetooth</v>
      </c>
      <c r="B55046" s="3">
        <v>1</v>
      </c>
    </row>
    <row r="55047" ht="15.75" customHeight="1" spans="1:2">
      <c r="A55047" s="3" t="str">
        <f>IFERROR(__xludf.DUMMYFUNCTION("GOOGLETRANSLATE(A55047,""en"",""pt"")"),"Boa sensibilidade. Boa qualidade de som. Boa duração da bateria")</f>
        <v>Boa sensibilidade. Boa qualidade de som. Boa duração da bateria</v>
      </c>
      <c r="B55047" s="3">
        <v>1</v>
      </c>
    </row>
    <row r="55048" ht="15.75" customHeight="1" spans="1:2">
      <c r="A55048" s="3" t="str">
        <f>IFERROR(__xludf.DUMMYFUNCTION("GOOGLETRANSLATE(A55048,""en"",""pt"")"),"Grande recepção e boa vida útil da bateria")</f>
        <v>Grande recepção e boa vida útil da bateria</v>
      </c>
      <c r="B55048" s="3">
        <v>1</v>
      </c>
    </row>
    <row r="55049" ht="15.75" customHeight="1" spans="1:2">
      <c r="A55049" s="3" t="str">
        <f>IFERROR(__xludf.DUMMYFUNCTION("GOOGLETRANSLATE(A55049,""en"",""pt"")"),"incrível peça de tecnologia desenvolvida pela Motorola")</f>
        <v>incrível peça de tecnologia desenvolvida pela Motorola</v>
      </c>
      <c r="B55049" s="3">
        <v>1</v>
      </c>
    </row>
    <row r="55050" ht="15.75" customHeight="1" spans="1:2">
      <c r="A55050" s="3" t="str">
        <f>IFERROR(__xludf.DUMMYFUNCTION("GOOGLETRANSLATE(A55050,""en"",""pt"")"),"caixa de metal, triband")</f>
        <v>caixa de metal, triband</v>
      </c>
      <c r="B55050" s="3">
        <v>1</v>
      </c>
    </row>
    <row r="55051" ht="15.75" customHeight="1" spans="1:2">
      <c r="A55051" s="3" t="str">
        <f>IFERROR(__xludf.DUMMYFUNCTION("GOOGLETRANSLATE(A55051,""en"",""pt"")"),"Compacto, funciona em modo flip.")</f>
        <v>Compacto, funciona em modo flip.</v>
      </c>
      <c r="B55051" s="3">
        <v>1</v>
      </c>
    </row>
    <row r="55052" ht="15.75" customHeight="1" spans="1:2">
      <c r="A55052" s="3" t="str">
        <f>IFERROR(__xludf.DUMMYFUNCTION("GOOGLETRANSLATE(A55052,""en"",""pt"")"),"wide screen, construção durável")</f>
        <v>wide screen, construção durável</v>
      </c>
      <c r="B55052" s="3">
        <v>1</v>
      </c>
    </row>
    <row r="55053" ht="15.75" customHeight="1" spans="1:2">
      <c r="A55053" s="3" t="str">
        <f>IFERROR(__xludf.DUMMYFUNCTION("GOOGLETRANSLATE(A55053,""en"",""pt"")"),"Puxe antena, discagem por voz, tela de fácil leitura, a poeira cobre para slots para cartão de fone de ouvido / memória.")</f>
        <v>Puxe antena, discagem por voz, tela de fácil leitura, a poeira cobre para slots para cartão de fone de ouvido / memória.</v>
      </c>
      <c r="B55053" s="3">
        <v>1</v>
      </c>
    </row>
    <row r="55054" ht="15.75" customHeight="1" spans="1:2">
      <c r="A55054" s="3" t="str">
        <f>IFERROR(__xludf.DUMMYFUNCTION("GOOGLETRANSLATE(A55054,""en"",""pt"")"),"Sound, cartão de memória, Bluetooth")</f>
        <v>Sound, cartão de memória, Bluetooth</v>
      </c>
      <c r="B55054" s="3">
        <v>1</v>
      </c>
    </row>
    <row r="55055" ht="15.75" customHeight="1" spans="1:2">
      <c r="A55055" s="3" t="str">
        <f>IFERROR(__xludf.DUMMYFUNCTION("GOOGLETRANSLATE(A55055,""en"",""pt"")"),"Melhor recepção, design compacto e leve, 65K exibição de cores.")</f>
        <v>Melhor recepção, design compacto e leve, 65K exibição de cores.</v>
      </c>
      <c r="B55055" s="3">
        <v>1</v>
      </c>
    </row>
    <row r="55056" ht="15.75" customHeight="1" spans="1:2">
      <c r="A55056" s="3" t="str">
        <f>IFERROR(__xludf.DUMMYFUNCTION("GOOGLETRANSLATE(A55056,""en"",""pt"")"),"O tamanho pequeno, vida útil da bateria, ecrã a cores")</f>
        <v>O tamanho pequeno, vida útil da bateria, ecrã a cores</v>
      </c>
      <c r="B55056" s="3">
        <v>1</v>
      </c>
    </row>
    <row r="55057" ht="15.75" customHeight="1" spans="1:2">
      <c r="A55057" s="3" t="str">
        <f>IFERROR(__xludf.DUMMYFUNCTION("GOOGLETRANSLATE(A55057,""en"",""pt"")"),"Luz de fundo, uma recepção clara, menos chamadas abandonadas, excelente exibição")</f>
        <v>Luz de fundo, uma recepção clara, menos chamadas abandonadas, excelente exibição</v>
      </c>
      <c r="B55057" s="3">
        <v>1</v>
      </c>
    </row>
    <row r="55058" ht="15.75" customHeight="1" spans="1:2">
      <c r="A55058" s="3" t="str">
        <f>IFERROR(__xludf.DUMMYFUNCTION("GOOGLETRANSLATE(A55058,""en"",""pt"")"),"pequeno tamanho, tela colorida brilhante, e bateria de longa duração")</f>
        <v>pequeno tamanho, tela colorida brilhante, e bateria de longa duração</v>
      </c>
      <c r="B55058" s="3">
        <v>1</v>
      </c>
    </row>
    <row r="55059" ht="15.75" customHeight="1" spans="1:2">
      <c r="A55059" s="3" t="str">
        <f>IFERROR(__xludf.DUMMYFUNCTION("GOOGLETRANSLATE(A55059,""en"",""pt"")"),"Boas funções, fácil de usar, papéis de parede divertido.")</f>
        <v>Boas funções, fácil de usar, papéis de parede divertido.</v>
      </c>
      <c r="B55059" s="3">
        <v>1</v>
      </c>
    </row>
    <row r="55060" ht="15.75" customHeight="1" spans="1:2">
      <c r="A55060" s="3" t="str">
        <f>IFERROR(__xludf.DUMMYFUNCTION("GOOGLETRANSLATE(A55060,""en"",""pt"")"),"tela colorida, parece legal, sistema de menu, pequeno.")</f>
        <v>tela colorida, parece legal, sistema de menu, pequeno.</v>
      </c>
      <c r="B55060" s="3">
        <v>1</v>
      </c>
    </row>
    <row r="55061" ht="15.75" customHeight="1" spans="1:2">
      <c r="A55061" s="3" t="str">
        <f>IFERROR(__xludf.DUMMYFUNCTION("GOOGLETRANSLATE(A55061,""en"",""pt"")"),"Suponho que é ""bonito"" para um telefone.")</f>
        <v>Suponho que é "bonito" para um telefone.</v>
      </c>
      <c r="B55061" s="3">
        <v>1</v>
      </c>
    </row>
    <row r="55062" ht="15.75" customHeight="1" spans="1:2">
      <c r="A55062" s="3" t="str">
        <f>IFERROR(__xludf.DUMMYFUNCTION("GOOGLETRANSLATE(A55062,""en"",""pt"")"),"Small Size, ecrã a cores, toques altos, fácil de usar")</f>
        <v>Small Size, ecrã a cores, toques altos, fácil de usar</v>
      </c>
      <c r="B55062" s="3">
        <v>1</v>
      </c>
    </row>
    <row r="55063" ht="15.75" customHeight="1" spans="1:2">
      <c r="A55063" s="3" t="str">
        <f>IFERROR(__xludf.DUMMYFUNCTION("GOOGLETRANSLATE(A55063,""en"",""pt"")"),"grande qualidade de som, excelentes características, aparência elegante, pequeno e compacto, durável")</f>
        <v>grande qualidade de som, excelentes características, aparência elegante, pequeno e compacto, durável</v>
      </c>
      <c r="B55063" s="3">
        <v>1</v>
      </c>
    </row>
    <row r="55064" ht="15.75" customHeight="1" spans="1:2">
      <c r="A55064" s="3" t="str">
        <f>IFERROR(__xludf.DUMMYFUNCTION("GOOGLETRANSLATE(A55064,""en"",""pt"")"),", Tela colorida leve, grande qualidade de som e diversão!")</f>
        <v>, Tela colorida leve, grande qualidade de som e diversão!</v>
      </c>
      <c r="B55064" s="3">
        <v>1</v>
      </c>
    </row>
    <row r="55065" ht="15.75" customHeight="1" spans="1:2">
      <c r="A55065" s="3" t="str">
        <f>IFERROR(__xludf.DUMMYFUNCTION("GOOGLETRANSLATE(A55065,""en"",""pt"")"),"qualidade da cor é boa navegações, fácil através de menus.")</f>
        <v>qualidade da cor é boa navegações, fácil através de menus.</v>
      </c>
      <c r="B55065" s="3">
        <v>1</v>
      </c>
    </row>
    <row r="55066" ht="15.75" customHeight="1" spans="1:2">
      <c r="A55066" s="3" t="str">
        <f>IFERROR(__xludf.DUMMYFUNCTION("GOOGLETRANSLATE(A55066,""en"",""pt"")"),"Boa recepção, imagem nítida, muito pequeno.")</f>
        <v>Boa recepção, imagem nítida, muito pequeno.</v>
      </c>
      <c r="B55066" s="3">
        <v>1</v>
      </c>
    </row>
    <row r="55067" ht="15.75" customHeight="1" spans="1:2">
      <c r="A55067" s="3" t="str">
        <f>IFERROR(__xludf.DUMMYFUNCTION("GOOGLETRANSLATE(A55067,""en"",""pt"")"),"Fácil de usar, ótimo sistema de navegação, tela colorida grande, exibição fora, elegante e elegante")</f>
        <v>Fácil de usar, ótimo sistema de navegação, tela colorida grande, exibição fora, elegante e elegante</v>
      </c>
      <c r="B55067" s="3">
        <v>1</v>
      </c>
    </row>
    <row r="55068" ht="15.75" customHeight="1" spans="1:2">
      <c r="A55068" s="3" t="str">
        <f>IFERROR(__xludf.DUMMYFUNCTION("GOOGLETRANSLATE(A55068,""en"",""pt"")"),"Tamanho, display, controles fáceis")</f>
        <v>Tamanho, display, controles fáceis</v>
      </c>
      <c r="B55068" s="3">
        <v>1</v>
      </c>
    </row>
    <row r="55069" ht="15.75" customHeight="1" spans="1:2">
      <c r="A55069" s="3" t="str">
        <f>IFERROR(__xludf.DUMMYFUNCTION("GOOGLETRANSLATE(A55069,""en"",""pt"")"),"concepção global, display colorido e luzes, backlit tela LCD externa é uma obrigação.")</f>
        <v>concepção global, display colorido e luzes, backlit tela LCD externa é uma obrigação.</v>
      </c>
      <c r="B55069" s="3">
        <v>1</v>
      </c>
    </row>
    <row r="55070" ht="15.75" customHeight="1" spans="1:2">
      <c r="A55070" s="3" t="str">
        <f>IFERROR(__xludf.DUMMYFUNCTION("GOOGLETRANSLATE(A55070,""en"",""pt"")"),"pequeno, durável, banda dupla, construído em recursos de calendário e AOL IM,")</f>
        <v>pequeno, durável, banda dupla, construído em recursos de calendário e AOL IM,</v>
      </c>
      <c r="B55070" s="3">
        <v>1</v>
      </c>
    </row>
    <row r="55071" ht="15.75" customHeight="1" spans="1:2">
      <c r="A55071" s="3" t="str">
        <f>IFERROR(__xludf.DUMMYFUNCTION("GOOGLETRANSLATE(A55071,""en"",""pt"")"),"pequeno, compacto, leve, tela bonita")</f>
        <v>pequeno, compacto, leve, tela bonita</v>
      </c>
      <c r="B55071" s="3">
        <v>1</v>
      </c>
    </row>
    <row r="55072" ht="15.75" customHeight="1" spans="1:2">
      <c r="A55072" s="3" t="str">
        <f>IFERROR(__xludf.DUMMYFUNCTION("GOOGLETRANSLATE(A55072,""en"",""pt"")"),"tela Neat cor, toques e papel de parede. Além disso, o serviço é grande.")</f>
        <v>tela Neat cor, toques e papel de parede. Além disso, o serviço é grande.</v>
      </c>
      <c r="B55072" s="3">
        <v>1</v>
      </c>
    </row>
    <row r="55073" ht="15.75" customHeight="1" spans="1:2">
      <c r="A55073" s="3" t="str">
        <f>IFERROR(__xludf.DUMMYFUNCTION("GOOGLETRANSLATE(A55073,""en"",""pt"")"),"Grande qualidade de som, a vida da bateria")</f>
        <v>Grande qualidade de som, a vida da bateria</v>
      </c>
      <c r="B55073" s="3">
        <v>1</v>
      </c>
    </row>
    <row r="55074" ht="15.75" customHeight="1" spans="1:2">
      <c r="A55074" s="3" t="str">
        <f>IFERROR(__xludf.DUMMYFUNCTION("GOOGLETRANSLATE(A55074,""en"",""pt"")"),"Vista fresco, mesmo quando ele não funciona")</f>
        <v>Vista fresco, mesmo quando ele não funciona</v>
      </c>
      <c r="B55074" s="3">
        <v>1</v>
      </c>
    </row>
    <row r="55075" ht="15.75" customHeight="1" spans="1:2">
      <c r="A55075" s="3" t="str">
        <f>IFERROR(__xludf.DUMMYFUNCTION("GOOGLETRANSLATE(A55075,""en"",""pt"")"),"elegante, bateria durável, muito")</f>
        <v>elegante, bateria durável, muito</v>
      </c>
      <c r="B55075" s="3">
        <v>1</v>
      </c>
    </row>
    <row r="55076" ht="15.75" customHeight="1" spans="1:2">
      <c r="A55076" s="3" t="str">
        <f>IFERROR(__xludf.DUMMYFUNCTION("GOOGLETRANSLATE(A55076,""en"",""pt"")"),"tela colorida. telefone flip.")</f>
        <v>tela colorida. telefone flip.</v>
      </c>
      <c r="B55076" s="3">
        <v>1</v>
      </c>
    </row>
    <row r="55077" ht="15.75" customHeight="1" spans="1:2">
      <c r="A55077" s="3" t="str">
        <f>IFERROR(__xludf.DUMMYFUNCTION("GOOGLETRANSLATE(A55077,""en"",""pt"")"),"Durável, leve, fácil de usar")</f>
        <v>Durável, leve, fácil de usar</v>
      </c>
      <c r="B55077" s="3">
        <v>1</v>
      </c>
    </row>
    <row r="55078" ht="15.75" customHeight="1" spans="1:2">
      <c r="A55078" s="3" t="str">
        <f>IFERROR(__xludf.DUMMYFUNCTION("GOOGLETRANSLATE(A55078,""en"",""pt"")"),"Infra-vermelho, ecrã a cores, toques polifônicos, GPRS")</f>
        <v>Infra-vermelho, ecrã a cores, toques polifônicos, GPRS</v>
      </c>
      <c r="B55078" s="3">
        <v>1</v>
      </c>
    </row>
    <row r="55079" ht="15.75" customHeight="1" spans="1:2">
      <c r="A55079" s="3" t="str">
        <f>IFERROR(__xludf.DUMMYFUNCTION("GOOGLETRANSLATE(A55079,""en"",""pt"")"),"Limpar tela, grande tela externa, fácil de usar, fácil de botões de imprensa, grande recepção!")</f>
        <v>Limpar tela, grande tela externa, fácil de usar, fácil de botões de imprensa, grande recepção!</v>
      </c>
      <c r="B55079" s="3">
        <v>1</v>
      </c>
    </row>
    <row r="55080" ht="15.75" customHeight="1" spans="1:2">
      <c r="A55080" s="3" t="str">
        <f>IFERROR(__xludf.DUMMYFUNCTION("GOOGLETRANSLATE(A55080,""en"",""pt"")"),", Bateria de longa duração, tela clara compacto")</f>
        <v>, Bateria de longa duração, tela clara compacto</v>
      </c>
      <c r="B55080" s="3">
        <v>1</v>
      </c>
    </row>
    <row r="55081" ht="15.75" customHeight="1" spans="1:2">
      <c r="A55081" s="3" t="str">
        <f>IFERROR(__xludf.DUMMYFUNCTION("GOOGLETRANSLATE(A55081,""en"",""pt"")"),"A tela é grande e bee-yoo-T-ful! A qualidade da imagem é surpreendentemente impressionante para um telefone celular.")</f>
        <v>A tela é grande e bee-yoo-T-ful! A qualidade da imagem é surpreendentemente impressionante para um telefone celular.</v>
      </c>
      <c r="B55081" s="3">
        <v>1</v>
      </c>
    </row>
    <row r="55082" ht="15.75" customHeight="1" spans="1:2">
      <c r="A55082" s="3" t="str">
        <f>IFERROR(__xludf.DUMMYFUNCTION("GOOGLETRANSLATE(A55082,""en"",""pt"")"),"Desliza suavemente.")</f>
        <v>Desliza suavemente.</v>
      </c>
      <c r="B55082" s="3">
        <v>1</v>
      </c>
    </row>
    <row r="55083" ht="15.75" customHeight="1" spans="1:2">
      <c r="A55083" s="3" t="str">
        <f>IFERROR(__xludf.DUMMYFUNCTION("GOOGLETRANSLATE(A55083,""en"",""pt"")"),"Recepção, lista de contatos, Tri-Mode")</f>
        <v>Recepção, lista de contatos, Tri-Mode</v>
      </c>
      <c r="B55083" s="3">
        <v>1</v>
      </c>
    </row>
    <row r="55084" ht="15.75" customHeight="1" spans="1:2">
      <c r="A55084" s="3" t="str">
        <f>IFERROR(__xludf.DUMMYFUNCTION("GOOGLETRANSLATE(A55084,""en"",""pt"")"),"Recepção, recepção (duas antenas), dados capacidades, apoio Nokia")</f>
        <v>Recepção, recepção (duas antenas), dados capacidades, apoio Nokia</v>
      </c>
      <c r="B55084" s="3">
        <v>1</v>
      </c>
    </row>
    <row r="55085" ht="15.75" customHeight="1" spans="1:2">
      <c r="A55085" s="3" t="str">
        <f>IFERROR(__xludf.DUMMYFUNCTION("GOOGLETRANSLATE(A55085,""en"",""pt"")"),"Listados na revisão")</f>
        <v>Listados na revisão</v>
      </c>
      <c r="B55085" s="3">
        <v>1</v>
      </c>
    </row>
    <row r="55086" ht="15.75" customHeight="1" spans="1:2">
      <c r="A55086" s="3" t="str">
        <f>IFERROR(__xludf.DUMMYFUNCTION("GOOGLETRANSLATE(A55086,""en"",""pt"")"),"- boa recepção. I parecem para obter um sinal com este telefone onde muitos outros usuários da Verizon obter nenhum. Este  ...")</f>
        <v>- boa recepção. I parecem para obter um sinal com este telefone onde muitos outros usuários da Verizon obter nenhum. Este  ...</v>
      </c>
      <c r="B55086" s="3">
        <v>1</v>
      </c>
    </row>
    <row r="55087" ht="15.75" customHeight="1" spans="1:2">
      <c r="A55087" s="3" t="str">
        <f>IFERROR(__xludf.DUMMYFUNCTION("GOOGLETRANSLATE(A55087,""en"",""pt"")"),"Impressionante recepção, Recursos extras, acende por telefone, um ótimo celular para qualquer um!")</f>
        <v>Impressionante recepção, Recursos extras, acende por telefone, um ótimo celular para qualquer um!</v>
      </c>
      <c r="B55087" s="3">
        <v>1</v>
      </c>
    </row>
    <row r="55088" ht="15.75" customHeight="1" spans="1:2">
      <c r="A55088" s="3" t="str">
        <f>IFERROR(__xludf.DUMMYFUNCTION("GOOGLETRANSLATE(A55088,""en"",""pt"")"),"Recepção! Recepção! Recepção! interface simples. Grande antena. Barato.")</f>
        <v>Recepção! Recepção! Recepção! interface simples. Grande antena. Barato.</v>
      </c>
      <c r="B55088" s="3">
        <v>1</v>
      </c>
    </row>
    <row r="55089" ht="15.75" customHeight="1" spans="1:2">
      <c r="A55089" s="3" t="str">
        <f>IFERROR(__xludf.DUMMYFUNCTION("GOOGLETRANSLATE(A55089,""en"",""pt"")"),"Recepção e durabilidade fazer esta Nokia 3589i o melhor que a Nokia tem feito até à data.")</f>
        <v>Recepção e durabilidade fazer esta Nokia 3589i o melhor que a Nokia tem feito até à data.</v>
      </c>
      <c r="B55089" s="3">
        <v>1</v>
      </c>
    </row>
    <row r="55090" ht="15.75" customHeight="1" spans="1:2">
      <c r="A55090" s="3" t="str">
        <f>IFERROR(__xludf.DUMMYFUNCTION("GOOGLETRANSLATE(A55090,""en"",""pt"")"),"Ele tem uma eficiência de recepção do sinal maravilhoso que o torna melhor")</f>
        <v>Ele tem uma eficiência de recepção do sinal maravilhoso que o torna melhor</v>
      </c>
      <c r="B55090" s="3">
        <v>1</v>
      </c>
    </row>
    <row r="55091" ht="15.75" customHeight="1" spans="1:2">
      <c r="A55091" s="3" t="str">
        <f>IFERROR(__xludf.DUMMYFUNCTION("GOOGLETRANSLATE(A55091,""en"",""pt"")"),"Belas recepção com sinais fracos e durabilidade surpreendente!")</f>
        <v>Belas recepção com sinais fracos e durabilidade surpreendente!</v>
      </c>
      <c r="B55091" s="3">
        <v>1</v>
      </c>
    </row>
    <row r="55092" ht="15.75" customHeight="1" spans="1:2">
      <c r="A55092" s="3" t="str">
        <f>IFERROR(__xludf.DUMMYFUNCTION("GOOGLETRANSLATE(A55092,""en"",""pt"")"),"Recepção, a vida da bateria, ecrã a cores, recursos para download .... I pode ir sobre e sobre ....")</f>
        <v>Recepção, a vida da bateria, ecrã a cores, recursos para download .... I pode ir sobre e sobre ....</v>
      </c>
      <c r="B55092" s="3">
        <v>1</v>
      </c>
    </row>
    <row r="55093" ht="15.75" customHeight="1" spans="1:2">
      <c r="A55093" s="3" t="str">
        <f>IFERROR(__xludf.DUMMYFUNCTION("GOOGLETRANSLATE(A55093,""en"",""pt"")"),"Boa recepção, brilhante tela grande, boa iluminação, sensação resistente, olhar moderno")</f>
        <v>Boa recepção, brilhante tela grande, boa iluminação, sensação resistente, olhar moderno</v>
      </c>
      <c r="B55093" s="3">
        <v>1</v>
      </c>
    </row>
    <row r="55094" ht="15.75" customHeight="1" spans="1:2">
      <c r="A55094" s="3" t="str">
        <f>IFERROR(__xludf.DUMMYFUNCTION("GOOGLETRANSLATE(A55094,""en"",""pt"")"),"Bonito, pequeno telefone. Grande, tela colorida. Boa viva-voz. cabe facilmente em pequena bolsa ou bolso.")</f>
        <v>Bonito, pequeno telefone. Grande, tela colorida. Boa viva-voz. cabe facilmente em pequena bolsa ou bolso.</v>
      </c>
      <c r="B55094" s="3">
        <v>1</v>
      </c>
    </row>
    <row r="55095" ht="15.75" customHeight="1" spans="1:2">
      <c r="A55095" s="3" t="str">
        <f>IFERROR(__xludf.DUMMYFUNCTION("GOOGLETRANSLATE(A55095,""en"",""pt"")"),"é pequena. aparentemente indestrutível. sinal decente. câmera VGA em um telefone.")</f>
        <v>é pequena. aparentemente indestrutível. sinal decente. câmera VGA em um telefone.</v>
      </c>
      <c r="B55095" s="3">
        <v>1</v>
      </c>
    </row>
    <row r="55096" ht="15.75" customHeight="1" spans="1:2">
      <c r="A55096" s="3" t="str">
        <f>IFERROR(__xludf.DUMMYFUNCTION("GOOGLETRANSLATE(A55096,""en"",""pt"")"),"rico em recursos, web-enabled, visual elegante, alto-falante de telefone")</f>
        <v>rico em recursos, web-enabled, visual elegante, alto-falante de telefone</v>
      </c>
      <c r="B55096" s="3">
        <v>1</v>
      </c>
    </row>
    <row r="55097" ht="15.75" customHeight="1" spans="1:2">
      <c r="A55097" s="3" t="str">
        <f>IFERROR(__xludf.DUMMYFUNCTION("GOOGLETRANSLATE(A55097,""en"",""pt"")"),"pequeno, elegante aparência, atraente, simples")</f>
        <v>pequeno, elegante aparência, atraente, simples</v>
      </c>
      <c r="B55097" s="3">
        <v>1</v>
      </c>
    </row>
    <row r="55098" ht="15.75" customHeight="1" spans="1:2">
      <c r="A55098" s="3" t="str">
        <f>IFERROR(__xludf.DUMMYFUNCTION("GOOGLETRANSLATE(A55098,""en"",""pt"")"),"viva-voz, leves e muito pequenos, toques altos")</f>
        <v>viva-voz, leves e muito pequenos, toques altos</v>
      </c>
      <c r="B55098" s="3">
        <v>1</v>
      </c>
    </row>
    <row r="55099" ht="15.75" customHeight="1" spans="1:2">
      <c r="A55099" s="3" t="str">
        <f>IFERROR(__xludf.DUMMYFUNCTION("GOOGLETRANSLATE(A55099,""en"",""pt"")"),"Pequeno, como uma rocha, design, através da T-Mobile!")</f>
        <v>Pequeno, como uma rocha, design, através da T-Mobile!</v>
      </c>
      <c r="B55099" s="3">
        <v>1</v>
      </c>
    </row>
    <row r="55100" ht="15.75" customHeight="1" spans="1:2">
      <c r="A55100" s="3" t="str">
        <f>IFERROR(__xludf.DUMMYFUNCTION("GOOGLETRANSLATE(A55100,""en"",""pt"")"),"Pequeno, peso leve, você pode carregar ring-tones, fotos, navegar na web.")</f>
        <v>Pequeno, peso leve, você pode carregar ring-tones, fotos, navegar na web.</v>
      </c>
      <c r="B55100" s="3">
        <v>1</v>
      </c>
    </row>
    <row r="55101" ht="15.75" customHeight="1" spans="1:2">
      <c r="A55101" s="3" t="str">
        <f>IFERROR(__xludf.DUMMYFUNCTION("GOOGLETRANSLATE(A55101,""en"",""pt"")"),"telefone mais barato para comprar com uma câmera e reproduz toques legais")</f>
        <v>telefone mais barato para comprar com uma câmera e reproduz toques legais</v>
      </c>
      <c r="B55101" s="3">
        <v>1</v>
      </c>
    </row>
    <row r="55102" ht="15.75" customHeight="1" spans="1:2">
      <c r="A55102" s="3" t="str">
        <f>IFERROR(__xludf.DUMMYFUNCTION("GOOGLETRANSLATE(A55102,""en"",""pt"")"),"Você pode misturar seus próprios ringtones. Boa cobertura, e rocha sólida.")</f>
        <v>Você pode misturar seus próprios ringtones. Boa cobertura, e rocha sólida.</v>
      </c>
      <c r="B55102" s="3">
        <v>1</v>
      </c>
    </row>
    <row r="55103" ht="15.75" customHeight="1" spans="1:2">
      <c r="A55103" s="3" t="str">
        <f>IFERROR(__xludf.DUMMYFUNCTION("GOOGLETRANSLATE(A55103,""en"",""pt"")"),"Câmera, vídeo, botão abre aleta, holofote, identificação com foto, telas de cores enorme, parece à prova de riscos.")</f>
        <v>Câmera, vídeo, botão abre aleta, holofote, identificação com foto, telas de cores enorme, parece à prova de riscos.</v>
      </c>
      <c r="B55103" s="3">
        <v>1</v>
      </c>
    </row>
    <row r="55104" ht="15.75" customHeight="1" spans="1:2">
      <c r="A55104" s="3" t="str">
        <f>IFERROR(__xludf.DUMMYFUNCTION("GOOGLETRANSLATE(A55104,""en"",""pt"")"),"Elegante, luz, cheia de recursos, enorme tela")</f>
        <v>Elegante, luz, cheia de recursos, enorme tela</v>
      </c>
      <c r="B55104" s="3">
        <v>1</v>
      </c>
    </row>
    <row r="55105" ht="15.75" customHeight="1" spans="1:2">
      <c r="A55105" s="3" t="str">
        <f>IFERROR(__xludf.DUMMYFUNCTION("GOOGLETRANSLATE(A55105,""en"",""pt"")"),"Câmera, monitor externo, Grande display interno, Speakerphone, grava vídeo, Button Virar")</f>
        <v>Câmera, monitor externo, Grande display interno, Speakerphone, grava vídeo, Button Virar</v>
      </c>
      <c r="B55105" s="3">
        <v>1</v>
      </c>
    </row>
    <row r="55106" ht="15.75" customHeight="1" spans="1:2">
      <c r="A55106" s="3" t="str">
        <f>IFERROR(__xludf.DUMMYFUNCTION("GOOGLETRANSLATE(A55106,""en"",""pt"")"),"GPS de navegação é grande (taxa extra); tamanho pequeno")</f>
        <v>GPS de navegação é grande (taxa extra); tamanho pequeno</v>
      </c>
      <c r="B55106" s="3">
        <v>1</v>
      </c>
    </row>
    <row r="55107" ht="15.75" customHeight="1" spans="1:2">
      <c r="A55107" s="3" t="str">
        <f>IFERROR(__xludf.DUMMYFUNCTION("GOOGLETRANSLATE(A55107,""en"",""pt"")"),"Todos os recursos de chamada habituais e aparência. Leva uma surra. média de vida da bateria.")</f>
        <v>Todos os recursos de chamada habituais e aparência. Leva uma surra. média de vida da bateria.</v>
      </c>
      <c r="B55107" s="3">
        <v>1</v>
      </c>
    </row>
    <row r="55108" ht="15.75" customHeight="1" spans="1:2">
      <c r="A55108" s="3" t="str">
        <f>IFERROR(__xludf.DUMMYFUNCTION("GOOGLETRANSLATE(A55108,""en"",""pt"")"),"Um de seus melhores telefones, menor com recurso de câmera.")</f>
        <v>Um de seus melhores telefones, menor com recurso de câmera.</v>
      </c>
      <c r="B55108" s="3">
        <v>1</v>
      </c>
    </row>
    <row r="55109" ht="15.75" customHeight="1" spans="1:2">
      <c r="A55109" s="3" t="str">
        <f>IFERROR(__xludf.DUMMYFUNCTION("GOOGLETRANSLATE(A55109,""en"",""pt"")"),"Câmera, Spotlight, Picture Caller I.D, Huge_internal_screen, apenas sobre everything_on_this_phone_is custimizilebe, button_opens_flip, Great_speaker_phone.")</f>
        <v>Câmera, Spotlight, Picture Caller I.D, Huge_internal_screen, apenas sobre everything_on_this_phone_is custimizilebe, button_opens_flip, Great_speaker_phone.</v>
      </c>
      <c r="B55109" s="3">
        <v>1</v>
      </c>
    </row>
    <row r="55110" ht="15.75" customHeight="1" spans="1:2">
      <c r="A55110" s="3" t="str">
        <f>IFERROR(__xludf.DUMMYFUNCTION("GOOGLETRANSLATE(A55110,""en"",""pt"")"),"Facilidade de uso, interface gráfica, olhar, sentir, peso, versatilidade, custo, Nokia reputação e qualidade")</f>
        <v>Facilidade de uso, interface gráfica, olhar, sentir, peso, versatilidade, custo, Nokia reputação e qualidade</v>
      </c>
      <c r="B55110" s="3">
        <v>1</v>
      </c>
    </row>
    <row r="55111" ht="15.75" customHeight="1" spans="1:2">
      <c r="A55111" s="3" t="str">
        <f>IFERROR(__xludf.DUMMYFUNCTION("GOOGLETRANSLATE(A55111,""en"",""pt"")"),"Limpar, display bem iluminado; funcionalidade; Tamanho; volume de anel; bateria de longa duração.")</f>
        <v>Limpar, display bem iluminado; funcionalidade; Tamanho; volume de anel; bateria de longa duração.</v>
      </c>
      <c r="B55111" s="3">
        <v>1</v>
      </c>
    </row>
    <row r="55112" ht="15.75" customHeight="1" spans="1:2">
      <c r="A55112" s="3" t="str">
        <f>IFERROR(__xludf.DUMMYFUNCTION("GOOGLETRANSLATE(A55112,""en"",""pt"")"),"Qualidade, custo, durabilidade, tamanho e peso")</f>
        <v>Qualidade, custo, durabilidade, tamanho e peso</v>
      </c>
      <c r="B55112" s="3">
        <v>1</v>
      </c>
    </row>
    <row r="55113" ht="15.75" customHeight="1" spans="1:2">
      <c r="A55113" s="3" t="str">
        <f>IFERROR(__xludf.DUMMYFUNCTION("GOOGLETRANSLATE(A55113,""en"",""pt"")"),"Recepção, clareza, tamanho pequeno, alto-falante, sistema de menu Nokia")</f>
        <v>Recepção, clareza, tamanho pequeno, alto-falante, sistema de menu Nokia</v>
      </c>
      <c r="B55113" s="3">
        <v>1</v>
      </c>
    </row>
    <row r="55114" ht="15.75" customHeight="1" spans="1:2">
      <c r="A55114" s="3" t="str">
        <f>IFERROR(__xludf.DUMMYFUNCTION("GOOGLETRANSLATE(A55114,""en"",""pt"")"),"pesa 3,5 onças, leve, fácil de usar teclas, equipados com mensagens instantâneas AOL")</f>
        <v>pesa 3,5 onças, leve, fácil de usar teclas, equipados com mensagens instantâneas AOL</v>
      </c>
      <c r="B55114" s="3">
        <v>1</v>
      </c>
    </row>
    <row r="55115" ht="15.75" customHeight="1" spans="1:2">
      <c r="A55115" s="3" t="str">
        <f>IFERROR(__xludf.DUMMYFUNCTION("GOOGLETRANSLATE(A55115,""en"",""pt"")"),"Boa viva-voz e recepção, boa vida útil da bateria")</f>
        <v>Boa viva-voz e recepção, boa vida útil da bateria</v>
      </c>
      <c r="B55115" s="3">
        <v>1</v>
      </c>
    </row>
    <row r="55116" ht="15.75" customHeight="1" spans="1:2">
      <c r="A55116" s="3" t="str">
        <f>IFERROR(__xludf.DUMMYFUNCTION("GOOGLETRANSLATE(A55116,""en"",""pt"")"),"Ótimo para funções básicas, mensagens de texto bom")</f>
        <v>Ótimo para funções básicas, mensagens de texto bom</v>
      </c>
      <c r="B55116" s="3">
        <v>1</v>
      </c>
    </row>
    <row r="55117" ht="15.75" customHeight="1" spans="1:2">
      <c r="A55117" s="3" t="str">
        <f>IFERROR(__xludf.DUMMYFUNCTION("GOOGLETRANSLATE(A55117,""en"",""pt"")"),"Pequeno")</f>
        <v>Pequeno</v>
      </c>
      <c r="B55117" s="3">
        <v>1</v>
      </c>
    </row>
    <row r="55118" ht="15.75" customHeight="1" spans="1:2">
      <c r="A55118" s="3" t="str">
        <f>IFERROR(__xludf.DUMMYFUNCTION("GOOGLETRANSLATE(A55118,""en"",""pt"")"),"Simples, pequeno, grande recepção.")</f>
        <v>Simples, pequeno, grande recepção.</v>
      </c>
      <c r="B55118" s="3">
        <v>1</v>
      </c>
    </row>
    <row r="55119" ht="15.75" customHeight="1" spans="1:2">
      <c r="A55119" s="3" t="str">
        <f>IFERROR(__xludf.DUMMYFUNCTION("GOOGLETRANSLATE(A55119,""en"",""pt"")"),"* Tamanho")</f>
        <v>* Tamanho</v>
      </c>
      <c r="B55119" s="3">
        <v>1</v>
      </c>
    </row>
    <row r="55120" ht="15.75" customHeight="1" spans="1:2">
      <c r="A55120" s="3" t="str">
        <f>IFERROR(__xludf.DUMMYFUNCTION("GOOGLETRANSLATE(A55120,""en"",""pt"")"),"Cor, AIM, uma boa recepção")</f>
        <v>Cor, AIM, uma boa recepção</v>
      </c>
      <c r="B55120" s="3">
        <v>1</v>
      </c>
    </row>
    <row r="55121" ht="15.75" customHeight="1" spans="1:2">
      <c r="A55121" s="3" t="str">
        <f>IFERROR(__xludf.DUMMYFUNCTION("GOOGLETRANSLATE(A55121,""en"",""pt"")"),"Menus são muito bem desenhados, viva-voz, tela colorida grande, pequeno, durável.")</f>
        <v>Menus são muito bem desenhados, viva-voz, tela colorida grande, pequeno, durável.</v>
      </c>
      <c r="B55121" s="3">
        <v>1</v>
      </c>
    </row>
    <row r="55122" ht="15.75" customHeight="1" spans="1:2">
      <c r="A55122" s="3" t="str">
        <f>IFERROR(__xludf.DUMMYFUNCTION("GOOGLETRANSLATE(A55122,""en"",""pt"")"),"Grande autonomia da bateria, uma boa recepção, viva-voz excelente, ele s um Nokia !!!!")</f>
        <v>Grande autonomia da bateria, uma boa recepção, viva-voz excelente, ele s um Nokia !!!!</v>
      </c>
      <c r="B55122" s="3">
        <v>1</v>
      </c>
    </row>
    <row r="55123" ht="15.75" customHeight="1" spans="1:2">
      <c r="A55123" s="3" t="str">
        <f>IFERROR(__xludf.DUMMYFUNCTION("GOOGLETRANSLATE(A55123,""en"",""pt"")"),"Alguns bom recurso")</f>
        <v>Alguns bom recurso</v>
      </c>
      <c r="B55123" s="3">
        <v>1</v>
      </c>
    </row>
    <row r="55124" ht="15.75" customHeight="1" spans="1:2">
      <c r="A55124" s="3" t="str">
        <f>IFERROR(__xludf.DUMMYFUNCTION("GOOGLETRANSLATE(A55124,""en"",""pt"")"),"telefone imagem, carregamento rápido, câmera fácil de usar, durou 2 anos")</f>
        <v>telefone imagem, carregamento rápido, câmera fácil de usar, durou 2 anos</v>
      </c>
      <c r="B55124" s="3">
        <v>1</v>
      </c>
    </row>
    <row r="55125" ht="15.75" customHeight="1" spans="1:2">
      <c r="A55125" s="3" t="str">
        <f>IFERROR(__xludf.DUMMYFUNCTION("GOOGLETRANSLATE(A55125,""en"",""pt"")"),"Viva-voz, facilidade de uso, tamanho pequeno, câmera, durável")</f>
        <v>Viva-voz, facilidade de uso, tamanho pequeno, câmera, durável</v>
      </c>
      <c r="B55125" s="3">
        <v>1</v>
      </c>
    </row>
    <row r="55126" ht="15.75" customHeight="1" spans="1:2">
      <c r="A55126" s="3" t="str">
        <f>IFERROR(__xludf.DUMMYFUNCTION("GOOGLETRANSLATE(A55126,""en"",""pt"")"),"Confiável, acessível, ótimo Bateria")</f>
        <v>Confiável, acessível, ótimo Bateria</v>
      </c>
      <c r="B55126" s="3">
        <v>1</v>
      </c>
    </row>
    <row r="55127" ht="15.75" customHeight="1" spans="1:2">
      <c r="A55127" s="3" t="str">
        <f>IFERROR(__xludf.DUMMYFUNCTION("GOOGLETRANSLATE(A55127,""en"",""pt"")"),"Ele vem em uma variedade de cores")</f>
        <v>Ele vem em uma variedade de cores</v>
      </c>
      <c r="B55127" s="3">
        <v>1</v>
      </c>
    </row>
    <row r="55128" ht="15.75" customHeight="1" spans="1:2">
      <c r="A55128" s="3" t="str">
        <f>IFERROR(__xludf.DUMMYFUNCTION("GOOGLETRANSLATE(A55128,""en"",""pt"")"),"bastante durável, em relação aos produtos descartáveis-américa lá fora hoje em dia ...")</f>
        <v>bastante durável, em relação aos produtos descartáveis-américa lá fora hoje em dia ...</v>
      </c>
      <c r="B55128" s="3">
        <v>1</v>
      </c>
    </row>
    <row r="55129" ht="15.75" customHeight="1" spans="1:2">
      <c r="A55129" s="3" t="str">
        <f>IFERROR(__xludf.DUMMYFUNCTION("GOOGLETRANSLATE(A55129,""en"",""pt"")"),"Tem câmera, mensagens de texto, Digital &amp; Band analógico capaz, Gravação Memo de voz.")</f>
        <v>Tem câmera, mensagens de texto, Digital &amp; Band analógico capaz, Gravação Memo de voz.</v>
      </c>
      <c r="B55129" s="3">
        <v>1</v>
      </c>
    </row>
    <row r="55130" ht="15.75" customHeight="1" spans="1:2">
      <c r="A55130" s="3" t="str">
        <f>IFERROR(__xludf.DUMMYFUNCTION("GOOGLETRANSLATE(A55130,""en"",""pt"")"),"qualidade de voz, fácil de tirar fotos, tamanho pequeno, bom alto-falante")</f>
        <v>qualidade de voz, fácil de tirar fotos, tamanho pequeno, bom alto-falante</v>
      </c>
      <c r="B55130" s="3">
        <v>1</v>
      </c>
    </row>
    <row r="55131" ht="15.75" customHeight="1" spans="1:2">
      <c r="A55131" s="3" t="str">
        <f>IFERROR(__xludf.DUMMYFUNCTION("GOOGLETRANSLATE(A55131,""en"",""pt"")"),"Viva voz")</f>
        <v>Viva voz</v>
      </c>
      <c r="B55131" s="3">
        <v>1</v>
      </c>
    </row>
    <row r="55132" ht="15.75" customHeight="1" spans="1:2">
      <c r="A55132" s="3" t="str">
        <f>IFERROR(__xludf.DUMMYFUNCTION("GOOGLETRANSLATE(A55132,""en"",""pt"")"),"Facilidade de uso - orador telefone clareza e um muito útil serviço ao cliente Sprint.")</f>
        <v>Facilidade de uso - orador telefone clareza e um muito útil serviço ao cliente Sprint.</v>
      </c>
      <c r="B55132" s="3">
        <v>1</v>
      </c>
    </row>
    <row r="55133" ht="15.75" customHeight="1" spans="1:2">
      <c r="A55133" s="3" t="str">
        <f>IFERROR(__xludf.DUMMYFUNCTION("GOOGLETRANSLATE(A55133,""en"",""pt"")"),"facilidade de uso, a vida da bateria, boa marca, bom preço!")</f>
        <v>facilidade de uso, a vida da bateria, boa marca, bom preço!</v>
      </c>
      <c r="B55133" s="3">
        <v>1</v>
      </c>
    </row>
    <row r="55134" ht="15.75" customHeight="1" spans="1:2">
      <c r="A55134" s="3" t="str">
        <f>IFERROR(__xludf.DUMMYFUNCTION("GOOGLETRANSLATE(A55134,""en"",""pt"")"),"O tempo de carga é rápida, viva-voz")</f>
        <v>O tempo de carga é rápida, viva-voz</v>
      </c>
      <c r="B55134" s="3">
        <v>1</v>
      </c>
    </row>
    <row r="55135" ht="15.75" customHeight="1" spans="1:2">
      <c r="A55135" s="3" t="str">
        <f>IFERROR(__xludf.DUMMYFUNCTION("GOOGLETRANSLATE(A55135,""en"",""pt"")"),"luzes Cuteness fator-cute multicoloridas saltando na frente, calculadora de ponta, o suficiente alto")</f>
        <v>luzes Cuteness fator-cute multicoloridas saltando na frente, calculadora de ponta, o suficiente alto</v>
      </c>
      <c r="B55135" s="3">
        <v>1</v>
      </c>
    </row>
    <row r="55136" ht="15.75" customHeight="1" spans="1:2">
      <c r="A55136" s="3" t="str">
        <f>IFERROR(__xludf.DUMMYFUNCTION("GOOGLETRANSLATE(A55136,""en"",""pt"")"),"Chamada de Qualidade, fone de ouvido eo volume Handfree, Picture Camera, Lentes de aplicativos robusto, câmera embutida")</f>
        <v>Chamada de Qualidade, fone de ouvido eo volume Handfree, Picture Camera, Lentes de aplicativos robusto, câmera embutida</v>
      </c>
      <c r="B55136" s="3">
        <v>1</v>
      </c>
    </row>
    <row r="55137" ht="15.75" customHeight="1" spans="1:2">
      <c r="A55137" s="3" t="str">
        <f>IFERROR(__xludf.DUMMYFUNCTION("GOOGLETRANSLATE(A55137,""en"",""pt"")"),"Boa qualidade de som e chamadas abandonadas raros, bastante simples de Programa")</f>
        <v>Boa qualidade de som e chamadas abandonadas raros, bastante simples de Programa</v>
      </c>
      <c r="B55137" s="3">
        <v>1</v>
      </c>
    </row>
    <row r="55138" ht="15.75" customHeight="1" spans="1:2">
      <c r="A55138" s="3" t="str">
        <f>IFERROR(__xludf.DUMMYFUNCTION("GOOGLETRANSLATE(A55138,""en"",""pt"")"),"compacto, antena arrebitado, bom som, display colorido, câmera embutida, olhando agradável telefone")</f>
        <v>compacto, antena arrebitado, bom som, display colorido, câmera embutida, olhando agradável telefone</v>
      </c>
      <c r="B55138" s="3">
        <v>1</v>
      </c>
    </row>
    <row r="55139" ht="15.75" customHeight="1" spans="1:2">
      <c r="A55139" s="3" t="str">
        <f>IFERROR(__xludf.DUMMYFUNCTION("GOOGLETRANSLATE(A55139,""en"",""pt"")"),"mais de cameraphone adequada, bom serviço")</f>
        <v>mais de cameraphone adequada, bom serviço</v>
      </c>
      <c r="B55139" s="3">
        <v>1</v>
      </c>
    </row>
    <row r="55140" ht="15.75" customHeight="1" spans="1:2">
      <c r="A55140" s="3" t="str">
        <f>IFERROR(__xludf.DUMMYFUNCTION("GOOGLETRANSLATE(A55140,""en"",""pt"")"),"Características, Display Cor Viva, Get It Now, Reputação LG")</f>
        <v>Características, Display Cor Viva, Get It Now, Reputação LG</v>
      </c>
      <c r="B55140" s="3">
        <v>1</v>
      </c>
    </row>
    <row r="55141" ht="15.75" customHeight="1" spans="1:2">
      <c r="A55141" s="3" t="str">
        <f>IFERROR(__xludf.DUMMYFUNCTION("GOOGLETRANSLATE(A55141,""en"",""pt"")"),"Pequeno, calendário, tela exterior, de um toque silêncio, rápido / controle de volume simples, com fechadura")</f>
        <v>Pequeno, calendário, tela exterior, de um toque silêncio, rápido / controle de volume simples, com fechadura</v>
      </c>
      <c r="B55141" s="3">
        <v>1</v>
      </c>
    </row>
    <row r="55142" ht="15.75" customHeight="1" spans="1:2">
      <c r="A55142" s="3" t="str">
        <f>IFERROR(__xludf.DUMMYFUNCTION("GOOGLETRANSLATE(A55142,""en"",""pt"")"),"Compact flip-telefone com tela cor agradável e boa qualidade de voz digital.")</f>
        <v>Compact flip-telefone com tela cor agradável e boa qualidade de voz digital.</v>
      </c>
      <c r="B55142" s="3">
        <v>1</v>
      </c>
    </row>
    <row r="55143" ht="15.75" customHeight="1" spans="1:2">
      <c r="A55143" s="3" t="str">
        <f>IFERROR(__xludf.DUMMYFUNCTION("GOOGLETRANSLATE(A55143,""en"",""pt"")"),"Grandes e avançadas funcionalidades de telefone Livro, Câmera, bateria, olha, cor de exibição, infinitas funções")</f>
        <v>Grandes e avançadas funcionalidades de telefone Livro, Câmera, bateria, olha, cor de exibição, infinitas funções</v>
      </c>
      <c r="B55143" s="3">
        <v>1</v>
      </c>
    </row>
    <row r="55144" ht="15.75" customHeight="1" spans="1:2">
      <c r="A55144" s="3" t="str">
        <f>IFERROR(__xludf.DUMMYFUNCTION("GOOGLETRANSLATE(A55144,""en"",""pt"")"),"Excelente recepção, câmera é fácil de usar, muito confiável")</f>
        <v>Excelente recepção, câmera é fácil de usar, muito confiável</v>
      </c>
      <c r="B55144" s="3">
        <v>1</v>
      </c>
    </row>
    <row r="55145" ht="15.75" customHeight="1" spans="1:2">
      <c r="A55145" s="3" t="str">
        <f>IFERROR(__xludf.DUMMYFUNCTION("GOOGLETRANSLATE(A55145,""en"",""pt"")"),"alto, uma recepção clara, olhares altivos, câmera fria e características impressionantes.")</f>
        <v>alto, uma recepção clara, olhares altivos, câmera fria e características impressionantes.</v>
      </c>
      <c r="B55145" s="3">
        <v>1</v>
      </c>
    </row>
    <row r="55146" ht="15.75" customHeight="1" spans="1:2">
      <c r="A55146" s="3" t="str">
        <f>IFERROR(__xludf.DUMMYFUNCTION("GOOGLETRANSLATE(A55146,""en"",""pt"")"),"Acesso à Internet, câmera bastante útil, bom estilo, bem desenhado recurso de inversão, e atraente.")</f>
        <v>Acesso à Internet, câmera bastante útil, bom estilo, bem desenhado recurso de inversão, e atraente.</v>
      </c>
      <c r="B55146" s="3">
        <v>1</v>
      </c>
    </row>
    <row r="55147" ht="15.75" customHeight="1" spans="1:2">
      <c r="A55147" s="3" t="str">
        <f>IFERROR(__xludf.DUMMYFUNCTION("GOOGLETRANSLATE(A55147,""en"",""pt"")"),"cores frias e luzes, fácil ignorar, grande volume anéis e fone de ouvido")</f>
        <v>cores frias e luzes, fácil ignorar, grande volume anéis e fone de ouvido</v>
      </c>
      <c r="B55147" s="3">
        <v>1</v>
      </c>
    </row>
    <row r="55148" ht="15.75" customHeight="1" spans="1:2">
      <c r="A55148" s="3" t="str">
        <f>IFERROR(__xludf.DUMMYFUNCTION("GOOGLETRANSLATE(A55148,""en"",""pt"")"),"A vida da bateria, durabilidade, boa qualidade de fotos para o ano em que foi feita, mensagens de texto T9")</f>
        <v>A vida da bateria, durabilidade, boa qualidade de fotos para o ano em que foi feita, mensagens de texto T9</v>
      </c>
      <c r="B55148" s="3">
        <v>1</v>
      </c>
    </row>
    <row r="55149" ht="15.75" customHeight="1" spans="1:2">
      <c r="A55149" s="3" t="str">
        <f>IFERROR(__xludf.DUMMYFUNCTION("GOOGLETRANSLATE(A55149,""en"",""pt"")"),"Fácil de usar, construção sólida.")</f>
        <v>Fácil de usar, construção sólida.</v>
      </c>
      <c r="B55149" s="3">
        <v>1</v>
      </c>
    </row>
    <row r="55150" ht="15.75" customHeight="1" spans="1:2">
      <c r="A55150" s="3" t="str">
        <f>IFERROR(__xludf.DUMMYFUNCTION("GOOGLETRANSLATE(A55150,""en"",""pt"")"),"Design, características, qualidade de chamadas, força do sinal, câmera, volume da campainha, Web")</f>
        <v>Design, características, qualidade de chamadas, força do sinal, câmera, volume da campainha, Web</v>
      </c>
      <c r="B55150" s="3">
        <v>1</v>
      </c>
    </row>
    <row r="55151" ht="15.75" customHeight="1" spans="1:2">
      <c r="A55151" s="3" t="str">
        <f>IFERROR(__xludf.DUMMYFUNCTION("GOOGLETRANSLATE(A55151,""en"",""pt"")"),"Compacto, boa claridade, fácil de usar.")</f>
        <v>Compacto, boa claridade, fácil de usar.</v>
      </c>
      <c r="B55151" s="3">
        <v>1</v>
      </c>
    </row>
    <row r="55152" ht="15.75" customHeight="1" spans="1:2">
      <c r="A55152" s="3" t="str">
        <f>IFERROR(__xludf.DUMMYFUNCTION("GOOGLETRANSLATE(A55152,""en"",""pt"")"),"Pequeno, grande recepção, boa tela, boa bateria")</f>
        <v>Pequeno, grande recepção, boa tela, boa bateria</v>
      </c>
      <c r="B55152" s="3">
        <v>1</v>
      </c>
    </row>
    <row r="55153" ht="15.75" customHeight="1" spans="1:2">
      <c r="A55153" s="3" t="str">
        <f>IFERROR(__xludf.DUMMYFUNCTION("GOOGLETRANSLATE(A55153,""en"",""pt"")"),"design bonito e boa qualidade de som, bateria de longa duração")</f>
        <v>design bonito e boa qualidade de som, bateria de longa duração</v>
      </c>
      <c r="B55153" s="3">
        <v>1</v>
      </c>
    </row>
    <row r="55154" ht="15.75" customHeight="1" spans="1:2">
      <c r="A55154" s="3" t="str">
        <f>IFERROR(__xludf.DUMMYFUNCTION("GOOGLETRANSLATE(A55154,""en"",""pt"")"),"anel LOUD, de fácil navegação, geral do usuário bastante amigável, bonito olhar")</f>
        <v>anel LOUD, de fácil navegação, geral do usuário bastante amigável, bonito olhar</v>
      </c>
      <c r="B55154" s="3">
        <v>1</v>
      </c>
    </row>
    <row r="55155" ht="15.75" customHeight="1" spans="1:2">
      <c r="A55155" s="3" t="str">
        <f>IFERROR(__xludf.DUMMYFUNCTION("GOOGLETRANSLATE(A55155,""en"",""pt"")"),"design agradável, campainha alto, bom controle de volume")</f>
        <v>design agradável, campainha alto, bom controle de volume</v>
      </c>
      <c r="B55155" s="3">
        <v>1</v>
      </c>
    </row>
    <row r="55156" ht="15.75" customHeight="1" spans="1:2">
      <c r="A55156" s="3" t="str">
        <f>IFERROR(__xludf.DUMMYFUNCTION("GOOGLETRANSLATE(A55156,""en"",""pt"")"),"Pequeno, durável, de grande recepção, gráficos claros.")</f>
        <v>Pequeno, durável, de grande recepção, gráficos claros.</v>
      </c>
      <c r="B55156" s="3">
        <v>1</v>
      </c>
    </row>
    <row r="55157" ht="15.75" customHeight="1" spans="1:2">
      <c r="A55157" s="3" t="str">
        <f>IFERROR(__xludf.DUMMYFUNCTION("GOOGLETRANSLATE(A55157,""en"",""pt"")"),"telefone pequeno, boa vida útil da bateria.")</f>
        <v>telefone pequeno, boa vida útil da bateria.</v>
      </c>
      <c r="B55157" s="3">
        <v>1</v>
      </c>
    </row>
    <row r="55158" ht="15.75" customHeight="1" spans="1:2">
      <c r="A55158" s="3" t="str">
        <f>IFERROR(__xludf.DUMMYFUNCTION("GOOGLETRANSLATE(A55158,""en"",""pt"")"),"Tela colorida, câmera, chamada de Qualidade")</f>
        <v>Tela colorida, câmera, chamada de Qualidade</v>
      </c>
      <c r="B55158" s="3">
        <v>1</v>
      </c>
    </row>
    <row r="55159" ht="15.75" customHeight="1" spans="1:2">
      <c r="A55159" s="3" t="str">
        <f>IFERROR(__xludf.DUMMYFUNCTION("GOOGLETRANSLATE(A55159,""en"",""pt"")"),"Display é grande. bom tamanho. antena estacionária. botões laterais agradáveis. Menus de navegação fácil.")</f>
        <v>Display é grande. bom tamanho. antena estacionária. botões laterais agradáveis. Menus de navegação fácil.</v>
      </c>
      <c r="B55159" s="3">
        <v>1</v>
      </c>
    </row>
    <row r="55160" ht="15.75" customHeight="1" spans="1:2">
      <c r="A55160" s="3" t="str">
        <f>IFERROR(__xludf.DUMMYFUNCTION("GOOGLETRANSLATE(A55160,""en"",""pt"")"),"fácil de texto ou enviar fotos para e-mail ou telefone")</f>
        <v>fácil de texto ou enviar fotos para e-mail ou telefone</v>
      </c>
      <c r="B55160" s="3">
        <v>1</v>
      </c>
    </row>
    <row r="55161" ht="15.75" customHeight="1" spans="1:2">
      <c r="A55161" s="3" t="str">
        <f>IFERROR(__xludf.DUMMYFUNCTION("GOOGLETRANSLATE(A55161,""en"",""pt"")"),"Recursos, clareza de voz, recepção, câmera, durabilidade")</f>
        <v>Recursos, clareza de voz, recepção, câmera, durabilidade</v>
      </c>
      <c r="B55161" s="3">
        <v>1</v>
      </c>
    </row>
    <row r="55162" ht="15.75" customHeight="1" spans="1:2">
      <c r="A55162" s="3" t="str">
        <f>IFERROR(__xludf.DUMMYFUNCTION("GOOGLETRANSLATE(A55162,""en"",""pt"")"),"grande projeto")</f>
        <v>grande projeto</v>
      </c>
      <c r="B55162" s="3">
        <v>1</v>
      </c>
    </row>
    <row r="55163" ht="15.75" customHeight="1" spans="1:2">
      <c r="A55163" s="3" t="str">
        <f>IFERROR(__xludf.DUMMYFUNCTION("GOOGLETRANSLATE(A55163,""en"",""pt"")"),"Fácil de usar. Grandes, menus intuitivos. design robusto, resistente.")</f>
        <v>Fácil de usar. Grandes, menus intuitivos. design robusto, resistente.</v>
      </c>
      <c r="B55163" s="3">
        <v>1</v>
      </c>
    </row>
    <row r="55164" ht="15.75" customHeight="1" spans="1:2">
      <c r="A55164" s="3" t="str">
        <f>IFERROR(__xludf.DUMMYFUNCTION("GOOGLETRANSLATE(A55164,""en"",""pt"")"),"telefone Overall Nice")</f>
        <v>telefone Overall Nice</v>
      </c>
      <c r="B55164" s="3">
        <v>1</v>
      </c>
    </row>
    <row r="55165" ht="15.75" customHeight="1" spans="1:2">
      <c r="A55165" s="3" t="str">
        <f>IFERROR(__xludf.DUMMYFUNCTION("GOOGLETRANSLATE(A55165,""en"",""pt"")"),"Grande ecrã a cores, câmera integrada, a qualidade da chamada")</f>
        <v>Grande ecrã a cores, câmera integrada, a qualidade da chamada</v>
      </c>
      <c r="B55165" s="3">
        <v>1</v>
      </c>
    </row>
    <row r="55166" ht="15.75" customHeight="1" spans="1:2">
      <c r="A55166" s="3" t="str">
        <f>IFERROR(__xludf.DUMMYFUNCTION("GOOGLETRANSLATE(A55166,""en"",""pt"")"),"fotos e im")</f>
        <v>fotos e im</v>
      </c>
      <c r="B55166" s="3">
        <v>1</v>
      </c>
    </row>
    <row r="55167" ht="15.75" customHeight="1" spans="1:2">
      <c r="A55167" s="3" t="str">
        <f>IFERROR(__xludf.DUMMYFUNCTION("GOOGLETRANSLATE(A55167,""en"",""pt"")"),"bom tamanho para os recursos disponíveis.")</f>
        <v>bom tamanho para os recursos disponíveis.</v>
      </c>
      <c r="B55167" s="3">
        <v>1</v>
      </c>
    </row>
    <row r="55168" ht="15.75" customHeight="1" spans="1:2">
      <c r="A55168" s="3" t="str">
        <f>IFERROR(__xludf.DUMMYFUNCTION("GOOGLETRANSLATE(A55168,""en"",""pt"")"),"Umm ... as luzes pouco coloridas piscando no LCD da frente?")</f>
        <v>Umm ... as luzes pouco coloridas piscando no LCD da frente?</v>
      </c>
      <c r="B55168" s="3">
        <v>1</v>
      </c>
    </row>
    <row r="55169" ht="15.75" customHeight="1" spans="1:2">
      <c r="A55169" s="3" t="str">
        <f>IFERROR(__xludf.DUMMYFUNCTION("GOOGLETRANSLATE(A55169,""en"",""pt"")"),"Eles pararam tornando-os.")</f>
        <v>Eles pararam tornando-os.</v>
      </c>
      <c r="B55169" s="3">
        <v>1</v>
      </c>
    </row>
    <row r="55170" ht="15.75" customHeight="1" spans="1:2">
      <c r="A55170" s="3" t="str">
        <f>IFERROR(__xludf.DUMMYFUNCTION("GOOGLETRANSLATE(A55170,""en"",""pt"")"),"Durabilidade, sinal, a qualidade do som, câmera, tamanho, fotos e-mail para si mesmo.")</f>
        <v>Durabilidade, sinal, a qualidade do som, câmera, tamanho, fotos e-mail para si mesmo.</v>
      </c>
      <c r="B55170" s="3">
        <v>1</v>
      </c>
    </row>
    <row r="55171" ht="15.75" customHeight="1" spans="1:2">
      <c r="A55171" s="3" t="str">
        <f>IFERROR(__xludf.DUMMYFUNCTION("GOOGLETRANSLATE(A55171,""en"",""pt"")"),"Algum projeto que atraente.")</f>
        <v>Algum projeto que atraente.</v>
      </c>
      <c r="B55171" s="3">
        <v>1</v>
      </c>
    </row>
    <row r="55172" ht="15.75" customHeight="1" spans="1:2">
      <c r="A55172" s="3" t="str">
        <f>IFERROR(__xludf.DUMMYFUNCTION("GOOGLETRANSLATE(A55172,""en"",""pt"")"),"Pequeno, peso leve, tira fotos")</f>
        <v>Pequeno, peso leve, tira fotos</v>
      </c>
      <c r="B55172" s="3">
        <v>1</v>
      </c>
    </row>
    <row r="55173" ht="15.75" customHeight="1" spans="1:2">
      <c r="A55173" s="3" t="str">
        <f>IFERROR(__xludf.DUMMYFUNCTION("GOOGLETRANSLATE(A55173,""en"",""pt"")"),"calculadora de ponta")</f>
        <v>calculadora de ponta</v>
      </c>
      <c r="B55173" s="3">
        <v>1</v>
      </c>
    </row>
    <row r="55174" ht="15.75" customHeight="1" spans="1:2">
      <c r="A55174" s="3" t="str">
        <f>IFERROR(__xludf.DUMMYFUNCTION("GOOGLETRANSLATE(A55174,""en"",""pt"")"),"Ultra leve e compacto, fácil de usar e clareza incrível.")</f>
        <v>Ultra leve e compacto, fácil de usar e clareza incrível.</v>
      </c>
      <c r="B55174" s="3">
        <v>1</v>
      </c>
    </row>
    <row r="55175" ht="15.75" customHeight="1" spans="1:2">
      <c r="A55175" s="3" t="str">
        <f>IFERROR(__xludf.DUMMYFUNCTION("GOOGLETRANSLATE(A55175,""en"",""pt"")"),"ringtones polifônicos")</f>
        <v>ringtones polifônicos</v>
      </c>
      <c r="B55175" s="3">
        <v>1</v>
      </c>
    </row>
    <row r="55176" ht="15.75" customHeight="1" spans="1:2">
      <c r="A55176" s="3" t="str">
        <f>IFERROR(__xludf.DUMMYFUNCTION("GOOGLETRANSLATE(A55176,""en"",""pt"")"),"Styling, interface do usuário, a vida da bateria, comunicação infra-vermelho, alto-falante integrado.")</f>
        <v>Styling, interface do usuário, a vida da bateria, comunicação infra-vermelho, alto-falante integrado.</v>
      </c>
      <c r="B55176" s="3">
        <v>1</v>
      </c>
    </row>
    <row r="55177" ht="15.75" customHeight="1" spans="1:2">
      <c r="A55177" s="3" t="str">
        <f>IFERROR(__xludf.DUMMYFUNCTION("GOOGLETRANSLATE(A55177,""en"",""pt"")"),"Extremamente pequeno e leve, tela colorida brilhante, grande qualidade de som e bateria de full-featured")</f>
        <v>Extremamente pequeno e leve, tela colorida brilhante, grande qualidade de som e bateria de full-featured</v>
      </c>
      <c r="B55177" s="3">
        <v>1</v>
      </c>
    </row>
    <row r="55178" ht="15.75" customHeight="1" spans="1:2">
      <c r="A55178" s="3" t="str">
        <f>IFERROR(__xludf.DUMMYFUNCTION("GOOGLETRANSLATE(A55178,""en"",""pt"")"),"Grande exibição, ótimo sinal, design agradável, GPRS, infravermelho, Java")</f>
        <v>Grande exibição, ótimo sinal, design agradável, GPRS, infravermelho, Java</v>
      </c>
      <c r="B55178" s="3">
        <v>1</v>
      </c>
    </row>
    <row r="55179" ht="15.75" customHeight="1" spans="1:2">
      <c r="A55179" s="3" t="str">
        <f>IFERROR(__xludf.DUMMYFUNCTION("GOOGLETRANSLATE(A55179,""en"",""pt"")"),"vida útil da bateria, tamanho / peso")</f>
        <v>vida útil da bateria, tamanho / peso</v>
      </c>
      <c r="B55179" s="3">
        <v>1</v>
      </c>
    </row>
    <row r="55180" ht="15.75" customHeight="1" spans="1:2">
      <c r="A55180" s="3" t="str">
        <f>IFERROR(__xludf.DUMMYFUNCTION("GOOGLETRANSLATE(A55180,""en"",""pt"")"),"realmente pequeno e sexy")</f>
        <v>realmente pequeno e sexy</v>
      </c>
      <c r="B55180" s="3">
        <v>1</v>
      </c>
    </row>
    <row r="55181" ht="15.75" customHeight="1" spans="1:2">
      <c r="A55181" s="3" t="str">
        <f>IFERROR(__xludf.DUMMYFUNCTION("GOOGLETRANSLATE(A55181,""en"",""pt"")"),"design de uma peça, formato arredondado, desempenho, menus são intuitivos, acidentado.")</f>
        <v>design de uma peça, formato arredondado, desempenho, menus são intuitivos, acidentado.</v>
      </c>
      <c r="B55181" s="3">
        <v>1</v>
      </c>
    </row>
    <row r="55182" ht="15.75" customHeight="1" spans="1:2">
      <c r="A55182" s="3" t="str">
        <f>IFERROR(__xludf.DUMMYFUNCTION("GOOGLETRANSLATE(A55182,""en"",""pt"")"),"Tamanho e peso, características, qualidade da tela")</f>
        <v>Tamanho e peso, características, qualidade da tela</v>
      </c>
      <c r="B55182" s="3">
        <v>1</v>
      </c>
    </row>
    <row r="55183" ht="15.75" customHeight="1" spans="1:2">
      <c r="A55183" s="3" t="str">
        <f>IFERROR(__xludf.DUMMYFUNCTION("GOOGLETRANSLATE(A55183,""en"",""pt"")"),"Pequeno, tela brilhante, parece legal e profissional, muita memória para sincronizar com o MS Outlook")</f>
        <v>Pequeno, tela brilhante, parece legal e profissional, muita memória para sincronizar com o MS Outlook</v>
      </c>
      <c r="B55183" s="3">
        <v>1</v>
      </c>
    </row>
    <row r="55184" ht="15.75" customHeight="1" spans="1:2">
      <c r="A55184" s="3" t="str">
        <f>IFERROR(__xludf.DUMMYFUNCTION("GOOGLETRANSLATE(A55184,""en"",""pt"")"),"Pequeno, bonito, confiável")</f>
        <v>Pequeno, bonito, confiável</v>
      </c>
      <c r="B55184" s="3">
        <v>1</v>
      </c>
    </row>
    <row r="55185" ht="15.75" customHeight="1" spans="1:2">
      <c r="A55185" s="3" t="str">
        <f>IFERROR(__xludf.DUMMYFUNCTION("GOOGLETRANSLATE(A55185,""en"",""pt"")"),"ecrã a cores, poli e mono tons, aplicativo java ou jogos, IrDA, MMS ...")</f>
        <v>ecrã a cores, poli e mono tons, aplicativo java ou jogos, IrDA, MMS ...</v>
      </c>
      <c r="B55185" s="3">
        <v>1</v>
      </c>
    </row>
    <row r="55186" ht="15.75" customHeight="1" spans="1:2">
      <c r="A55186" s="3" t="str">
        <f>IFERROR(__xludf.DUMMYFUNCTION("GOOGLETRANSLATE(A55186,""en"",""pt"")"),"Cheep, de boa qualidade, boa vida da bateria")</f>
        <v>Cheep, de boa qualidade, boa vida da bateria</v>
      </c>
      <c r="B55186" s="3">
        <v>1</v>
      </c>
    </row>
    <row r="55187" ht="15.75" customHeight="1" spans="1:2">
      <c r="A55187" s="3" t="str">
        <f>IFERROR(__xludf.DUMMYFUNCTION("GOOGLETRANSLATE(A55187,""en"",""pt"")"),"muitas características interessantes, tela colorida, e eu fumo maconha fora dele")</f>
        <v>muitas características interessantes, tela colorida, e eu fumo maconha fora dele</v>
      </c>
      <c r="B55187" s="3">
        <v>1</v>
      </c>
    </row>
    <row r="55188" ht="15.75" customHeight="1" spans="1:2">
      <c r="A55188" s="3" t="str">
        <f>IFERROR(__xludf.DUMMYFUNCTION("GOOGLETRANSLATE(A55188,""en"",""pt"")"),"Magro, simples, boas características, boa bateria, boa qualidade.")</f>
        <v>Magro, simples, boas características, boa bateria, boa qualidade.</v>
      </c>
      <c r="B55188" s="3">
        <v>1</v>
      </c>
    </row>
    <row r="55189" ht="15.75" customHeight="1" spans="1:2">
      <c r="A55189" s="3" t="str">
        <f>IFERROR(__xludf.DUMMYFUNCTION("GOOGLETRANSLATE(A55189,""en"",""pt"")"),"durável, leve e fácil de usar")</f>
        <v>durável, leve e fácil de usar</v>
      </c>
      <c r="B55189" s="3">
        <v>1</v>
      </c>
    </row>
    <row r="55190" ht="15.75" customHeight="1" spans="1:2">
      <c r="A55190" s="3" t="str">
        <f>IFERROR(__xludf.DUMMYFUNCTION("GOOGLETRANSLATE(A55190,""en"",""pt"")"),"tela colorida, design legal do tecla do teclado, built-in papel de parede com personalização disponíveis")</f>
        <v>tela colorida, design legal do tecla do teclado, built-in papel de parede com personalização disponíveis</v>
      </c>
      <c r="B55190" s="3">
        <v>1</v>
      </c>
    </row>
    <row r="55191" ht="15.75" customHeight="1" spans="1:2">
      <c r="A55191" s="3" t="str">
        <f>IFERROR(__xludf.DUMMYFUNCTION("GOOGLETRANSLATE(A55191,""en"",""pt"")"),"Leve, durável, bateria de longa duração")</f>
        <v>Leve, durável, bateria de longa duração</v>
      </c>
      <c r="B55191" s="3">
        <v>1</v>
      </c>
    </row>
    <row r="55192" ht="15.75" customHeight="1" spans="1:2">
      <c r="A55192" s="3" t="str">
        <f>IFERROR(__xludf.DUMMYFUNCTION("GOOGLETRANSLATE(A55192,""en"",""pt"")"),"Grandes recursos para o dinheiro.")</f>
        <v>Grandes recursos para o dinheiro.</v>
      </c>
      <c r="B55192" s="3">
        <v>1</v>
      </c>
    </row>
    <row r="55193" ht="15.75" customHeight="1" spans="1:2">
      <c r="A55193" s="3" t="str">
        <f>IFERROR(__xludf.DUMMYFUNCTION("GOOGLETRANSLATE(A55193,""en"",""pt"")"),"Muito resistente, toques coloridos e agradáveis, com preços moderados e boa vida útil da bateria")</f>
        <v>Muito resistente, toques coloridos e agradáveis, com preços moderados e boa vida útil da bateria</v>
      </c>
      <c r="B55193" s="3">
        <v>1</v>
      </c>
    </row>
    <row r="55194" ht="15.75" customHeight="1" spans="1:2">
      <c r="A55194" s="3" t="str">
        <f>IFERROR(__xludf.DUMMYFUNCTION("GOOGLETRANSLATE(A55194,""en"",""pt"")"),"Tamanho pequeno, grande vida útil da bateria, boa qualidade de som")</f>
        <v>Tamanho pequeno, grande vida útil da bateria, boa qualidade de som</v>
      </c>
      <c r="B55194" s="3">
        <v>1</v>
      </c>
    </row>
    <row r="55195" ht="15.75" customHeight="1" spans="1:2">
      <c r="A55195" s="3" t="str">
        <f>IFERROR(__xludf.DUMMYFUNCTION("GOOGLETRANSLATE(A55195,""en"",""pt"")"),"excelente qualidade de som e vida útil da bateria, os lotes de características úteis, jogos divertidos")</f>
        <v>excelente qualidade de som e vida útil da bateria, os lotes de características úteis, jogos divertidos</v>
      </c>
      <c r="B55195" s="3">
        <v>1</v>
      </c>
    </row>
    <row r="55196" ht="15.75" customHeight="1" spans="1:2">
      <c r="A55196" s="3" t="str">
        <f>IFERROR(__xludf.DUMMYFUNCTION("GOOGLETRANSLATE(A55196,""en"",""pt"")"),"design atraente, satisfazendo características, a luz de fundo!")</f>
        <v>design atraente, satisfazendo características, a luz de fundo!</v>
      </c>
      <c r="B55196" s="3">
        <v>1</v>
      </c>
    </row>
    <row r="55197" ht="15.75" customHeight="1" spans="1:2">
      <c r="A55197" s="3" t="str">
        <f>IFERROR(__xludf.DUMMYFUNCTION("GOOGLETRANSLATE(A55197,""en"",""pt"")"),"Grandes telas coloridas e cheia de recursos")</f>
        <v>Grandes telas coloridas e cheia de recursos</v>
      </c>
      <c r="B55197" s="3">
        <v>1</v>
      </c>
    </row>
    <row r="55198" ht="15.75" customHeight="1" spans="1:2">
      <c r="A55198" s="3" t="str">
        <f>IFERROR(__xludf.DUMMYFUNCTION("GOOGLETRANSLATE(A55198,""en"",""pt"")"),"pequeno e leve. Robusto e confiável.")</f>
        <v>pequeno e leve. Robusto e confiável.</v>
      </c>
      <c r="B55198" s="3">
        <v>1</v>
      </c>
    </row>
    <row r="55199" ht="15.75" customHeight="1" spans="1:2">
      <c r="A55199" s="3" t="str">
        <f>IFERROR(__xludf.DUMMYFUNCTION("GOOGLETRANSLATE(A55199,""en"",""pt"")"),"Tela cor, jogos, navegador WAP, Polyphonic toques, Price.")</f>
        <v>Tela cor, jogos, navegador WAP, Polyphonic toques, Price.</v>
      </c>
      <c r="B55199" s="3">
        <v>1</v>
      </c>
    </row>
    <row r="55200" ht="15.75" customHeight="1" spans="1:2">
      <c r="A55200" s="3" t="str">
        <f>IFERROR(__xludf.DUMMYFUNCTION("GOOGLETRANSLATE(A55200,""en"",""pt"")"),"Barato, fácil de usar, tela colorida, faceplate mutável")</f>
        <v>Barato, fácil de usar, tela colorida, faceplate mutável</v>
      </c>
      <c r="B55200" s="3">
        <v>1</v>
      </c>
    </row>
    <row r="55201" ht="15.75" customHeight="1" spans="1:2">
      <c r="A55201" s="3" t="str">
        <f>IFERROR(__xludf.DUMMYFUNCTION("GOOGLETRANSLATE(A55201,""en"",""pt"")"),"Tela cor, Small / Elegante Tamanho, Personalização, Faceplates coloridos, muitos recursos, barato! $$")</f>
        <v>Tela cor, Small / Elegante Tamanho, Personalização, Faceplates coloridos, muitos recursos, barato! $$</v>
      </c>
      <c r="B55201" s="3">
        <v>1</v>
      </c>
    </row>
    <row r="55202" ht="15.75" customHeight="1" spans="1:2">
      <c r="A55202" s="3" t="str">
        <f>IFERROR(__xludf.DUMMYFUNCTION("GOOGLETRANSLATE(A55202,""en"",""pt"")"),"Excelente vida útil da bateria.")</f>
        <v>Excelente vida útil da bateria.</v>
      </c>
      <c r="B55202" s="3">
        <v>1</v>
      </c>
    </row>
    <row r="55203" ht="15.75" customHeight="1" spans="1:2">
      <c r="A55203" s="3" t="str">
        <f>IFERROR(__xludf.DUMMYFUNCTION("GOOGLETRANSLATE(A55203,""en"",""pt"")"),"Telefone agradável, anéis estereofônico, tela colorida")</f>
        <v>Telefone agradável, anéis estereofônico, tela colorida</v>
      </c>
      <c r="B55203" s="3">
        <v>1</v>
      </c>
    </row>
    <row r="55204" ht="15.75" customHeight="1" spans="1:2">
      <c r="A55204" s="3" t="str">
        <f>IFERROR(__xludf.DUMMYFUNCTION("GOOGLETRANSLATE(A55204,""en"",""pt"")"),"ecrã a cores, excelente vida útil da bateria, características infinitas")</f>
        <v>ecrã a cores, excelente vida útil da bateria, características infinitas</v>
      </c>
      <c r="B55204" s="3">
        <v>1</v>
      </c>
    </row>
    <row r="55205" ht="15.75" customHeight="1" spans="1:2">
      <c r="A55205" s="3" t="str">
        <f>IFERROR(__xludf.DUMMYFUNCTION("GOOGLETRANSLATE(A55205,""en"",""pt"")"),"Polyphonic Ring Tones, ecrã a cores, capacidades de correio electrónico")</f>
        <v>Polyphonic Ring Tones, ecrã a cores, capacidades de correio electrónico</v>
      </c>
      <c r="B55205" s="3">
        <v>1</v>
      </c>
    </row>
    <row r="55206" ht="15.75" customHeight="1" spans="1:2">
      <c r="A55206" s="3" t="str">
        <f>IFERROR(__xludf.DUMMYFUNCTION("GOOGLETRANSLATE(A55206,""en"",""pt"")"),"Conveniência.")</f>
        <v>Conveniência.</v>
      </c>
      <c r="B55206" s="3">
        <v>1</v>
      </c>
    </row>
    <row r="55207" ht="15.75" customHeight="1" spans="1:2">
      <c r="A55207" s="3" t="str">
        <f>IFERROR(__xludf.DUMMYFUNCTION("GOOGLETRANSLATE(A55207,""en"",""pt"")"),"Tela barato !, a cores, Vida útil da bateria, toques polifônicos")</f>
        <v>Tela barato !, a cores, Vida útil da bateria, toques polifônicos</v>
      </c>
      <c r="B55207" s="3">
        <v>1</v>
      </c>
    </row>
    <row r="55208" ht="15.75" customHeight="1" spans="1:2">
      <c r="A55208" s="3" t="str">
        <f>IFERROR(__xludf.DUMMYFUNCTION("GOOGLETRANSLATE(A55208,""en"",""pt"")"),"tela de cor, tamanho, clareza, bom sinal")</f>
        <v>tela de cor, tamanho, clareza, bom sinal</v>
      </c>
      <c r="B55208" s="3">
        <v>1</v>
      </c>
    </row>
    <row r="55209" ht="15.75" customHeight="1" spans="1:2">
      <c r="A55209" s="3" t="str">
        <f>IFERROR(__xludf.DUMMYFUNCTION("GOOGLETRANSLATE(A55209,""en"",""pt"")"),"ecrã a cores, toques polifônicos")</f>
        <v>ecrã a cores, toques polifônicos</v>
      </c>
      <c r="B55209" s="3">
        <v>1</v>
      </c>
    </row>
    <row r="55210" ht="15.75" customHeight="1" spans="1:2">
      <c r="A55210" s="3" t="str">
        <f>IFERROR(__xludf.DUMMYFUNCTION("GOOGLETRANSLATE(A55210,""en"",""pt"")"),"Compactar")</f>
        <v>Compactar</v>
      </c>
      <c r="B55210" s="3">
        <v>1</v>
      </c>
    </row>
    <row r="55211" ht="15.75" customHeight="1" spans="1:2">
      <c r="A55211" s="3" t="str">
        <f>IFERROR(__xludf.DUMMYFUNCTION("GOOGLETRANSLATE(A55211,""en"",""pt"")"),"ecrã a cores, de fácil manuseio, como a sua forma")</f>
        <v>ecrã a cores, de fácil manuseio, como a sua forma</v>
      </c>
      <c r="B55211" s="3">
        <v>1</v>
      </c>
    </row>
    <row r="55212" ht="15.75" customHeight="1" spans="1:2">
      <c r="A55212" s="3" t="str">
        <f>IFERROR(__xludf.DUMMYFUNCTION("GOOGLETRANSLATE(A55212,""en"",""pt"")"),"Fácil de usar, bom serviço, arrefecer características")</f>
        <v>Fácil de usar, bom serviço, arrefecer características</v>
      </c>
      <c r="B55212" s="3">
        <v>1</v>
      </c>
    </row>
    <row r="55213" ht="15.75" customHeight="1" spans="1:2">
      <c r="A55213" s="3" t="str">
        <f>IFERROR(__xludf.DUMMYFUNCTION("GOOGLETRANSLATE(A55213,""en"",""pt"")"),"excelente recepção, resistente, e peso leve")</f>
        <v>excelente recepção, resistente, e peso leve</v>
      </c>
      <c r="B55213" s="3">
        <v>1</v>
      </c>
    </row>
    <row r="55214" ht="15.75" customHeight="1" spans="1:2">
      <c r="A55214" s="3" t="str">
        <f>IFERROR(__xludf.DUMMYFUNCTION("GOOGLETRANSLATE(A55214,""en"",""pt"")"),"recepção, discagem por voz, fácil de usar, sem livro")</f>
        <v>recepção, discagem por voz, fácil de usar, sem livro</v>
      </c>
      <c r="B55214" s="3">
        <v>1</v>
      </c>
    </row>
    <row r="55215" ht="15.75" customHeight="1" spans="1:2">
      <c r="A55215" s="3" t="str">
        <f>IFERROR(__xludf.DUMMYFUNCTION("GOOGLETRANSLATE(A55215,""en"",""pt"")"),"vida útil da bateria e qualidade da chamada.")</f>
        <v>vida útil da bateria e qualidade da chamada.</v>
      </c>
      <c r="B55215" s="3">
        <v>1</v>
      </c>
    </row>
    <row r="55216" ht="15.75" customHeight="1" spans="1:2">
      <c r="A55216" s="3" t="str">
        <f>IFERROR(__xludf.DUMMYFUNCTION("GOOGLETRANSLATE(A55216,""en"",""pt"")"),"Boas características quando ele trabalhou")</f>
        <v>Boas características quando ele trabalhou</v>
      </c>
      <c r="B55216" s="3">
        <v>1</v>
      </c>
    </row>
    <row r="55217" ht="15.75" customHeight="1" spans="1:2">
      <c r="A55217" s="3" t="str">
        <f>IFERROR(__xludf.DUMMYFUNCTION("GOOGLETRANSLATE(A55217,""en"",""pt"")"),"Preço, discagem por voz, recepção")</f>
        <v>Preço, discagem por voz, recepção</v>
      </c>
      <c r="B55217" s="3">
        <v>1</v>
      </c>
    </row>
    <row r="55218" ht="15.75" customHeight="1" spans="1:2">
      <c r="A55218" s="3" t="str">
        <f>IFERROR(__xludf.DUMMYFUNCTION("GOOGLETRANSLATE(A55218,""en"",""pt"")"),"Excelente recepção. Fácil de usar. Intuitivo. Boa qualidade de voz - construído em equalizador. Não é feio.")</f>
        <v>Excelente recepção. Fácil de usar. Intuitivo. Boa qualidade de voz - construído em equalizador. Não é feio.</v>
      </c>
      <c r="B55218" s="3">
        <v>1</v>
      </c>
    </row>
    <row r="55219" ht="15.75" customHeight="1" spans="1:2">
      <c r="A55219" s="3" t="str">
        <f>IFERROR(__xludf.DUMMYFUNCTION("GOOGLETRANSLATE(A55219,""en"",""pt"")"),"WAP, Pictures, Games, Downloadable Content")</f>
        <v>WAP, Pictures, Games, Downloadable Content</v>
      </c>
      <c r="B55219" s="3">
        <v>1</v>
      </c>
    </row>
    <row r="55220" ht="15.75" customHeight="1" spans="1:2">
      <c r="A55220" s="3" t="str">
        <f>IFERROR(__xludf.DUMMYFUNCTION("GOOGLETRANSLATE(A55220,""en"",""pt"")"),"realmente não encontrei nenhuma que eu pudesse dizer")</f>
        <v>realmente não encontrei nenhuma que eu pudesse dizer</v>
      </c>
      <c r="B55220" s="3">
        <v>1</v>
      </c>
    </row>
    <row r="55221" ht="15.75" customHeight="1" spans="1:2">
      <c r="A55221" s="3" t="str">
        <f>IFERROR(__xludf.DUMMYFUNCTION("GOOGLETRANSLATE(A55221,""en"",""pt"")"),"Preço, Camera w / flash, controles razoavelmente intuitivos, viva-voz, muitos outros recursos")</f>
        <v>Preço, Camera w / flash, controles razoavelmente intuitivos, viva-voz, muitos outros recursos</v>
      </c>
      <c r="B55221" s="3">
        <v>1</v>
      </c>
    </row>
    <row r="55222" ht="15.75" customHeight="1" spans="1:2">
      <c r="A55222" s="3" t="str">
        <f>IFERROR(__xludf.DUMMYFUNCTION("GOOGLETRANSLATE(A55222,""en"",""pt"")"),"Não é um mau câmera para o dinheiro, algumas características são agradáveis. telefone bonito.")</f>
        <v>Não é um mau câmera para o dinheiro, algumas características são agradáveis. telefone bonito.</v>
      </c>
      <c r="B55222" s="3">
        <v>1</v>
      </c>
    </row>
    <row r="55223" ht="15.75" customHeight="1" spans="1:2">
      <c r="A55223" s="3" t="str">
        <f>IFERROR(__xludf.DUMMYFUNCTION("GOOGLETRANSLATE(A55223,""en"",""pt"")"),"Preço, funcionalidade, câmera.")</f>
        <v>Preço, funcionalidade, câmera.</v>
      </c>
      <c r="B55223" s="3">
        <v>1</v>
      </c>
    </row>
    <row r="55224" ht="15.75" customHeight="1" spans="1:2">
      <c r="A55224" s="3" t="str">
        <f>IFERROR(__xludf.DUMMYFUNCTION("GOOGLETRANSLATE(A55224,""en"",""pt"")"),"barato")</f>
        <v>barato</v>
      </c>
      <c r="B55224" s="3">
        <v>1</v>
      </c>
    </row>
    <row r="55225" ht="15.75" customHeight="1" spans="1:2">
      <c r="A55225" s="3" t="str">
        <f>IFERROR(__xludf.DUMMYFUNCTION("GOOGLETRANSLATE(A55225,""en"",""pt"")"),"pequeno o suficiente para caber no bolso de moedas da maioria dos jeans.")</f>
        <v>pequeno o suficiente para caber no bolso de moedas da maioria dos jeans.</v>
      </c>
      <c r="B55225" s="3">
        <v>1</v>
      </c>
    </row>
    <row r="55226" ht="15.75" customHeight="1" spans="1:2">
      <c r="A55226" s="3" t="str">
        <f>IFERROR(__xludf.DUMMYFUNCTION("GOOGLETRANSLATE(A55226,""en"",""pt"")"),"Barato, simples, fácil de usar, tem uma câmera se precisar")</f>
        <v>Barato, simples, fácil de usar, tem uma câmera se precisar</v>
      </c>
      <c r="B55226" s="3">
        <v>1</v>
      </c>
    </row>
    <row r="55227" ht="15.75" customHeight="1" spans="1:2">
      <c r="A55227" s="3" t="str">
        <f>IFERROR(__xludf.DUMMYFUNCTION("GOOGLETRANSLATE(A55227,""en"",""pt"")"),"Estilo e facilidade de uso, quando ele funciona.")</f>
        <v>Estilo e facilidade de uso, quando ele funciona.</v>
      </c>
      <c r="B55227" s="3">
        <v>1</v>
      </c>
    </row>
    <row r="55228" ht="15.75" customHeight="1" spans="1:2">
      <c r="A55228" s="3" t="str">
        <f>IFERROR(__xludf.DUMMYFUNCTION("GOOGLETRANSLATE(A55228,""en"",""pt"")"),"-Pequeno")</f>
        <v>-Pequeno</v>
      </c>
      <c r="B55228" s="3">
        <v>1</v>
      </c>
    </row>
    <row r="55229" ht="15.75" customHeight="1" spans="1:2">
      <c r="A55229" s="3" t="str">
        <f>IFERROR(__xludf.DUMMYFUNCTION("GOOGLETRANSLATE(A55229,""en"",""pt"")"),"Boa câmera, viva-voz e software de reconhecimento de voz são um plus.")</f>
        <v>Boa câmera, viva-voz e software de reconhecimento de voz são um plus.</v>
      </c>
      <c r="B55229" s="3">
        <v>1</v>
      </c>
    </row>
    <row r="55230" ht="15.75" customHeight="1" spans="1:2">
      <c r="A55230" s="3" t="str">
        <f>IFERROR(__xludf.DUMMYFUNCTION("GOOGLETRANSLATE(A55230,""en"",""pt"")"),"Viva voz")</f>
        <v>Viva voz</v>
      </c>
      <c r="B55230" s="3">
        <v>1</v>
      </c>
    </row>
    <row r="55231" ht="15.75" customHeight="1" spans="1:2">
      <c r="A55231" s="3" t="str">
        <f>IFERROR(__xludf.DUMMYFUNCTION("GOOGLETRANSLATE(A55231,""en"",""pt"")"),"Melhor localização da câmara do que o 8900, tira boas fotos em 640x480")</f>
        <v>Melhor localização da câmara do que o 8900, tira boas fotos em 640x480</v>
      </c>
      <c r="B55231" s="3">
        <v>1</v>
      </c>
    </row>
    <row r="55232" ht="15.75" customHeight="1" spans="1:2">
      <c r="A55232" s="3" t="str">
        <f>IFERROR(__xludf.DUMMYFUNCTION("GOOGLETRANSLATE(A55232,""en"",""pt"")"),"Alarme, cronômetro, ect.")</f>
        <v>Alarme, cronômetro, ect.</v>
      </c>
      <c r="B55232" s="3">
        <v>1</v>
      </c>
    </row>
    <row r="55233" ht="15.75" customHeight="1" spans="1:2">
      <c r="A55233" s="3" t="str">
        <f>IFERROR(__xludf.DUMMYFUNCTION("GOOGLETRANSLATE(A55233,""en"",""pt"")"),"Boa recepção quase em qualquer lugar")</f>
        <v>Boa recepção quase em qualquer lugar</v>
      </c>
      <c r="B55233" s="3">
        <v>1</v>
      </c>
    </row>
    <row r="55234" ht="15.75" customHeight="1" spans="1:2">
      <c r="A55234" s="3" t="str">
        <f>IFERROR(__xludf.DUMMYFUNCTION("GOOGLETRANSLATE(A55234,""en"",""pt"")"),"boa câmera")</f>
        <v>boa câmera</v>
      </c>
      <c r="B55234" s="3">
        <v>1</v>
      </c>
    </row>
    <row r="55235" ht="15.75" customHeight="1" spans="1:2">
      <c r="A55235" s="3" t="str">
        <f>IFERROR(__xludf.DUMMYFUNCTION("GOOGLETRANSLATE(A55235,""en"",""pt"")"),"A câmera está bem")</f>
        <v>A câmera está bem</v>
      </c>
      <c r="B55235" s="3">
        <v>1</v>
      </c>
    </row>
    <row r="55236" ht="15.75" customHeight="1" spans="1:2">
      <c r="A55236" s="3" t="str">
        <f>IFERROR(__xludf.DUMMYFUNCTION("GOOGLETRANSLATE(A55236,""en"",""pt"")"),"Você tem uma escolha de como o tempo é exibido na parte frontal do telefone.")</f>
        <v>Você tem uma escolha de como o tempo é exibido na parte frontal do telefone.</v>
      </c>
      <c r="B55236" s="3">
        <v>1</v>
      </c>
    </row>
    <row r="55237" ht="15.75" customHeight="1" spans="1:2">
      <c r="A55237" s="3" t="str">
        <f>IFERROR(__xludf.DUMMYFUNCTION("GOOGLETRANSLATE(A55237,""en"",""pt"")"),"Barato. Boa Layout.")</f>
        <v>Barato. Boa Layout.</v>
      </c>
      <c r="B55237" s="3">
        <v>1</v>
      </c>
    </row>
    <row r="55238" ht="15.75" customHeight="1" spans="1:2">
      <c r="A55238" s="3" t="str">
        <f>IFERROR(__xludf.DUMMYFUNCTION("GOOGLETRANSLATE(A55238,""en"",""pt"")"),"As imagens da câmera são melhores do que outros telefones com câmera.")</f>
        <v>As imagens da câmera são melhores do que outros telefones com câmera.</v>
      </c>
      <c r="B55238" s="3">
        <v>1</v>
      </c>
    </row>
    <row r="55239" ht="15.75" customHeight="1" spans="1:2">
      <c r="A55239" s="3" t="str">
        <f>IFERROR(__xludf.DUMMYFUNCTION("GOOGLETRANSLATE(A55239,""en"",""pt"")"),"Grande porteiro aleta e Plano de Mobilidade da Virgin")</f>
        <v>Grande porteiro aleta e Plano de Mobilidade da Virgin</v>
      </c>
      <c r="B55239" s="3">
        <v>1</v>
      </c>
    </row>
    <row r="55240" ht="15.75" customHeight="1" spans="1:2">
      <c r="A55240" s="3" t="str">
        <f>IFERROR(__xludf.DUMMYFUNCTION("GOOGLETRANSLATE(A55240,""en"",""pt"")"),"Alto-falante de telefone, fácil de usar")</f>
        <v>Alto-falante de telefone, fácil de usar</v>
      </c>
      <c r="B55240" s="3">
        <v>1</v>
      </c>
    </row>
    <row r="55241" ht="15.75" customHeight="1" spans="1:2">
      <c r="A55241" s="3" t="str">
        <f>IFERROR(__xludf.DUMMYFUNCTION("GOOGLETRANSLATE(A55241,""en"",""pt"")"),"Tamanho é agradável, fácil de usar todos e todos um bom celular.")</f>
        <v>Tamanho é agradável, fácil de usar todos e todos um bom celular.</v>
      </c>
      <c r="B55241" s="3">
        <v>1</v>
      </c>
    </row>
    <row r="55242" ht="15.75" customHeight="1" spans="1:2">
      <c r="A55242" s="3" t="str">
        <f>IFERROR(__xludf.DUMMYFUNCTION("GOOGLETRANSLATE(A55242,""en"",""pt"")"),"Eu amo o livro de telefone e muitos recursos no telefone")</f>
        <v>Eu amo o livro de telefone e muitos recursos no telefone</v>
      </c>
      <c r="B55242" s="3">
        <v>1</v>
      </c>
    </row>
    <row r="55243" ht="15.75" customHeight="1" spans="1:2">
      <c r="A55243" s="3" t="str">
        <f>IFERROR(__xludf.DUMMYFUNCTION("GOOGLETRANSLATE(A55243,""en"",""pt"")"),"Bom telefone celular compacto!")</f>
        <v>Bom telefone celular compacto!</v>
      </c>
      <c r="B55243" s="3">
        <v>1</v>
      </c>
    </row>
    <row r="55244" ht="15.75" customHeight="1" spans="1:2">
      <c r="A55244" s="3" t="str">
        <f>IFERROR(__xludf.DUMMYFUNCTION("GOOGLETRANSLATE(A55244,""en"",""pt"")"),"nova tecnologia que você pode usá-lo em 120 países, muito pequeno, opções de voz globais.")</f>
        <v>nova tecnologia que você pode usá-lo em 120 países, muito pequeno, opções de voz globais.</v>
      </c>
      <c r="B55244" s="3">
        <v>1</v>
      </c>
    </row>
    <row r="55245" ht="15.75" customHeight="1" spans="1:2">
      <c r="A55245" s="3" t="str">
        <f>IFERROR(__xludf.DUMMYFUNCTION("GOOGLETRANSLATE(A55245,""en"",""pt"")"),"Grande para o homem de negócios global")</f>
        <v>Grande para o homem de negócios global</v>
      </c>
      <c r="B55245" s="3">
        <v>1</v>
      </c>
    </row>
    <row r="55246" ht="15.75" customHeight="1" spans="1:2">
      <c r="A55246" s="3" t="str">
        <f>IFERROR(__xludf.DUMMYFUNCTION("GOOGLETRANSLATE(A55246,""en"",""pt"")"),"Constante Signal Não importa onde eu estou")</f>
        <v>Constante Signal Não importa onde eu estou</v>
      </c>
      <c r="B55246" s="3">
        <v>1</v>
      </c>
    </row>
    <row r="55247" ht="15.75" customHeight="1" spans="1:2">
      <c r="A55247" s="3" t="str">
        <f>IFERROR(__xludf.DUMMYFUNCTION("GOOGLETRANSLATE(A55247,""en"",""pt"")"),"Sexy telefone, funciona em qualquer lugar do mundo, PEQUENO!")</f>
        <v>Sexy telefone, funciona em qualquer lugar do mundo, PEQUENO!</v>
      </c>
      <c r="B55247" s="3">
        <v>1</v>
      </c>
    </row>
    <row r="55248" ht="15.75" customHeight="1" spans="1:2">
      <c r="A55248" s="3" t="str">
        <f>IFERROR(__xludf.DUMMYFUNCTION("GOOGLETRANSLATE(A55248,""en"",""pt"")"),"grande UI, tamanho minúsculo, design agradável, antena interna, infravermelho, alerta vibratório, 2-way SMS / e-mail")</f>
        <v>grande UI, tamanho minúsculo, design agradável, antena interna, infravermelho, alerta vibratório, 2-way SMS / e-mail</v>
      </c>
      <c r="B55248" s="3">
        <v>1</v>
      </c>
    </row>
    <row r="55249" ht="15.75" customHeight="1" spans="1:2">
      <c r="A55249" s="3" t="str">
        <f>IFERROR(__xludf.DUMMYFUNCTION("GOOGLETRANSLATE(A55249,""en"",""pt"")"),"Fácil de usar menus e navegação, lindo backlighting !!")</f>
        <v>Fácil de usar menus e navegação, lindo backlighting !!</v>
      </c>
      <c r="B55249" s="3">
        <v>1</v>
      </c>
    </row>
    <row r="55250" ht="15.75" customHeight="1" spans="1:2">
      <c r="A55250" s="3" t="str">
        <f>IFERROR(__xludf.DUMMYFUNCTION("GOOGLETRANSLATE(A55250,""en"",""pt"")"),"pequeno tamanho, a bateria dura e dura, menus simples")</f>
        <v>pequeno tamanho, a bateria dura e dura, menus simples</v>
      </c>
      <c r="B55250" s="3">
        <v>1</v>
      </c>
    </row>
    <row r="55251" ht="15.75" customHeight="1" spans="1:2">
      <c r="A55251" s="3" t="str">
        <f>IFERROR(__xludf.DUMMYFUNCTION("GOOGLETRANSLATE(A55251,""en"",""pt"")"),"Elegante, com muitos recursos.")</f>
        <v>Elegante, com muitos recursos.</v>
      </c>
      <c r="B55251" s="3">
        <v>1</v>
      </c>
    </row>
    <row r="55252" ht="15.75" customHeight="1" spans="1:2">
      <c r="A55252" s="3" t="str">
        <f>IFERROR(__xludf.DUMMYFUNCTION("GOOGLETRANSLATE(A55252,""en"",""pt"")"),"Pequeno, leve, fresco, a capacidade de discagem por voz, entrada de texto preditivo")</f>
        <v>Pequeno, leve, fresco, a capacidade de discagem por voz, entrada de texto preditivo</v>
      </c>
      <c r="B55252" s="3">
        <v>1</v>
      </c>
    </row>
    <row r="55253" ht="15.75" customHeight="1" spans="1:2">
      <c r="A55253" s="3" t="str">
        <f>IFERROR(__xludf.DUMMYFUNCTION("GOOGLETRANSLATE(A55253,""en"",""pt"")"),"pequeno, elegante, dualband GSM para uso em todo o mundo")</f>
        <v>pequeno, elegante, dualband GSM para uso em todo o mundo</v>
      </c>
      <c r="B55253" s="3">
        <v>1</v>
      </c>
    </row>
    <row r="55254" ht="15.75" customHeight="1" spans="1:2">
      <c r="A55254" s="3" t="str">
        <f>IFERROR(__xludf.DUMMYFUNCTION("GOOGLETRANSLATE(A55254,""en"",""pt"")"),"tamanho minúsculo, a cobertura de todo o mundo, SMS e mensagens multimídia. Grande sistema de menu")</f>
        <v>tamanho minúsculo, a cobertura de todo o mundo, SMS e mensagens multimídia. Grande sistema de menu</v>
      </c>
      <c r="B55254" s="3">
        <v>1</v>
      </c>
    </row>
    <row r="55255" ht="15.75" customHeight="1" spans="1:2">
      <c r="A55255" s="3" t="str">
        <f>IFERROR(__xludf.DUMMYFUNCTION("GOOGLETRANSLATE(A55255,""en"",""pt"")"),"O tamanho pequeno, extremamente elegante e fresco, oi tech")</f>
        <v>O tamanho pequeno, extremamente elegante e fresco, oi tech</v>
      </c>
      <c r="B55255" s="3">
        <v>1</v>
      </c>
    </row>
    <row r="55256" ht="15.75" customHeight="1" spans="1:2">
      <c r="A55256" s="3" t="str">
        <f>IFERROR(__xludf.DUMMYFUNCTION("GOOGLETRANSLATE(A55256,""en"",""pt"")"),"Small Size, GSM World Phone, Design elegante")</f>
        <v>Small Size, GSM World Phone, Design elegante</v>
      </c>
      <c r="B55256" s="3">
        <v>1</v>
      </c>
    </row>
    <row r="55257" ht="15.75" customHeight="1" spans="1:2">
      <c r="A55257" s="3" t="str">
        <f>IFERROR(__xludf.DUMMYFUNCTION("GOOGLETRANSLATE(A55257,""en"",""pt"")"),"Muito elegante, bem-feito, muito pequeno e leve, e global (900/1900)")</f>
        <v>Muito elegante, bem-feito, muito pequeno e leve, e global (900/1900)</v>
      </c>
      <c r="B55257" s="3">
        <v>1</v>
      </c>
    </row>
    <row r="55258" ht="15.75" customHeight="1" spans="1:2">
      <c r="A55258" s="3" t="str">
        <f>IFERROR(__xludf.DUMMYFUNCTION("GOOGLETRANSLATE(A55258,""en"",""pt"")"),"Aparência agradável, excelente tecnologia e características impressionantes")</f>
        <v>Aparência agradável, excelente tecnologia e características impressionantes</v>
      </c>
      <c r="B55258" s="3">
        <v>1</v>
      </c>
    </row>
    <row r="55259" ht="15.75" customHeight="1" spans="1:2">
      <c r="A55259" s="3" t="str">
        <f>IFERROR(__xludf.DUMMYFUNCTION("GOOGLETRANSLATE(A55259,""en"",""pt"")"),"muito pequeno, muito leve, muito legal, muito conveniente")</f>
        <v>muito pequeno, muito leve, muito legal, muito conveniente</v>
      </c>
      <c r="B55259" s="3">
        <v>1</v>
      </c>
    </row>
    <row r="55260" ht="15.75" customHeight="1" spans="1:2">
      <c r="A55260" s="3" t="str">
        <f>IFERROR(__xludf.DUMMYFUNCTION("GOOGLETRANSLATE(A55260,""en"",""pt"")"),"realmente compacto, muito elegante, discagem por voz, bela luz de fundo, suporte global")</f>
        <v>realmente compacto, muito elegante, discagem por voz, bela luz de fundo, suporte global</v>
      </c>
      <c r="B55260" s="3">
        <v>1</v>
      </c>
    </row>
    <row r="55261" ht="15.75" customHeight="1" spans="1:2">
      <c r="A55261" s="3" t="str">
        <f>IFERROR(__xludf.DUMMYFUNCTION("GOOGLETRANSLATE(A55261,""en"",""pt"")"),"discagem por voz, entrada de texto previsto, tamanho pequeno, facilidade de uso.")</f>
        <v>discagem por voz, entrada de texto previsto, tamanho pequeno, facilidade de uso.</v>
      </c>
      <c r="B55261" s="3">
        <v>1</v>
      </c>
    </row>
    <row r="55262" ht="15.75" customHeight="1" spans="1:2">
      <c r="A55262" s="3" t="str">
        <f>IFERROR(__xludf.DUMMYFUNCTION("GOOGLETRANSLATE(A55262,""en"",""pt"")"),"Elegante e pequeno")</f>
        <v>Elegante e pequeno</v>
      </c>
      <c r="B55262" s="3">
        <v>1</v>
      </c>
    </row>
    <row r="55263" ht="15.75" customHeight="1" spans="1:2">
      <c r="A55263" s="3" t="str">
        <f>IFERROR(__xludf.DUMMYFUNCTION("GOOGLETRANSLATE(A55263,""en"",""pt"")"),"Pequeno, elegante e simplesmente legal")</f>
        <v>Pequeno, elegante e simplesmente legal</v>
      </c>
      <c r="B55263" s="3">
        <v>1</v>
      </c>
    </row>
    <row r="55264" ht="15.75" customHeight="1" spans="1:2">
      <c r="A55264" s="3" t="str">
        <f>IFERROR(__xludf.DUMMYFUNCTION("GOOGLETRANSLATE(A55264,""en"",""pt"")"),"Compatível com mais de 123 países, Bateria de Longa Duração, grande recepção")</f>
        <v>Compatível com mais de 123 países, Bateria de Longa Duração, grande recepção</v>
      </c>
      <c r="B55264" s="3">
        <v>1</v>
      </c>
    </row>
    <row r="55265" ht="15.75" customHeight="1" spans="1:2">
      <c r="A55265" s="3" t="str">
        <f>IFERROR(__xludf.DUMMYFUNCTION("GOOGLETRANSLATE(A55265,""en"",""pt"")"),"Preciso dizer mais")</f>
        <v>Preciso dizer mais</v>
      </c>
      <c r="B55265" s="3">
        <v>1</v>
      </c>
    </row>
    <row r="55266" ht="15.75" customHeight="1" spans="1:2">
      <c r="A55266" s="3" t="str">
        <f>IFERROR(__xludf.DUMMYFUNCTION("GOOGLETRANSLATE(A55266,""en"",""pt"")"),"O melhor telefone olhando lá fora.")</f>
        <v>O melhor telefone olhando lá fora.</v>
      </c>
      <c r="B55266" s="3">
        <v>1</v>
      </c>
    </row>
    <row r="55267" ht="15.75" customHeight="1" spans="1:2">
      <c r="A55267" s="3" t="str">
        <f>IFERROR(__xludf.DUMMYFUNCTION("GOOGLETRANSLATE(A55267,""en"",""pt"")"),"Desempenho Superior, incrivelmente pequeno, elegante Styling, característica embalada")</f>
        <v>Desempenho Superior, incrivelmente pequeno, elegante Styling, característica embalada</v>
      </c>
      <c r="B55267" s="3">
        <v>1</v>
      </c>
    </row>
    <row r="55268" ht="15.75" customHeight="1" spans="1:2">
      <c r="A55268" s="3" t="str">
        <f>IFERROR(__xludf.DUMMYFUNCTION("GOOGLETRANSLATE(A55268,""en"",""pt"")"),"Honestamente, o melhor celular que já possuía. Discagem por voz!")</f>
        <v>Honestamente, o melhor celular que já possuía. Discagem por voz!</v>
      </c>
      <c r="B55268" s="3">
        <v>1</v>
      </c>
    </row>
    <row r="55269" ht="15.75" customHeight="1" spans="1:2">
      <c r="A55269" s="3" t="str">
        <f>IFERROR(__xludf.DUMMYFUNCTION("GOOGLETRANSLATE(A55269,""en"",""pt"")"),"retroiluminado branco, slides ativado, etiqueta de voz")</f>
        <v>retroiluminado branco, slides ativado, etiqueta de voz</v>
      </c>
      <c r="B55269" s="3">
        <v>1</v>
      </c>
    </row>
    <row r="55270" ht="15.75" customHeight="1" spans="1:2">
      <c r="A55270" s="3" t="str">
        <f>IFERROR(__xludf.DUMMYFUNCTION("GOOGLETRANSLATE(A55270,""en"",""pt"")"),"Inteligente, fácil de usar, o telefone do 'estilo de vida' ultimate")</f>
        <v>Inteligente, fácil de usar, o telefone do 'estilo de vida' ultimate</v>
      </c>
      <c r="B55270" s="3">
        <v>1</v>
      </c>
    </row>
    <row r="55271" ht="15.75" customHeight="1" spans="1:2">
      <c r="A55271" s="3" t="str">
        <f>IFERROR(__xludf.DUMMYFUNCTION("GOOGLETRANSLATE(A55271,""en"",""pt"")"),"Aparência elegante contra minha bochecha")</f>
        <v>Aparência elegante contra minha bochecha</v>
      </c>
      <c r="B55271" s="3">
        <v>1</v>
      </c>
    </row>
    <row r="55272" ht="15.75" customHeight="1" spans="1:2">
      <c r="A55272" s="3" t="str">
        <f>IFERROR(__xludf.DUMMYFUNCTION("GOOGLETRANSLATE(A55272,""en"",""pt"")"),"características infravermelhos, design agradável, agradável ergonomia, bom classe")</f>
        <v>características infravermelhos, design agradável, agradável ergonomia, bom classe</v>
      </c>
      <c r="B55272" s="3">
        <v>1</v>
      </c>
    </row>
    <row r="55273" ht="15.75" customHeight="1" spans="1:2">
      <c r="A55273" s="3" t="str">
        <f>IFERROR(__xludf.DUMMYFUNCTION("GOOGLETRANSLATE(A55273,""en"",""pt"")"),"O telefone mais bonito que eu já vi")</f>
        <v>O telefone mais bonito que eu já vi</v>
      </c>
      <c r="B55273" s="3">
        <v>1</v>
      </c>
    </row>
    <row r="55274" ht="15.75" customHeight="1" spans="1:2">
      <c r="A55274" s="3" t="str">
        <f>IFERROR(__xludf.DUMMYFUNCTION("GOOGLETRANSLATE(A55274,""en"",""pt"")"),"acesso global")</f>
        <v>acesso global</v>
      </c>
      <c r="B55274" s="3">
        <v>1</v>
      </c>
    </row>
    <row r="55275" ht="15.75" customHeight="1" spans="1:2">
      <c r="A55275" s="3" t="str">
        <f>IFERROR(__xludf.DUMMYFUNCTION("GOOGLETRANSLATE(A55275,""en"",""pt"")"),"A vida da bateria, design elegante, arrefecer luzes azuis, extremamente fácil de usar, bom tamanho, Nice carregador")</f>
        <v>A vida da bateria, design elegante, arrefecer luzes azuis, extremamente fácil de usar, bom tamanho, Nice carregador</v>
      </c>
      <c r="B55275" s="3">
        <v>1</v>
      </c>
    </row>
    <row r="55276" ht="15.75" customHeight="1" spans="1:2">
      <c r="A55276" s="3" t="str">
        <f>IFERROR(__xludf.DUMMYFUNCTION("GOOGLETRANSLATE(A55276,""en"",""pt"")"),"Design elegante, telefone do mundo, sensação de corpo sólido.")</f>
        <v>Design elegante, telefone do mundo, sensação de corpo sólido.</v>
      </c>
      <c r="B55276" s="3">
        <v>1</v>
      </c>
    </row>
    <row r="55277" ht="15.75" customHeight="1" spans="1:2">
      <c r="A55277" s="3" t="str">
        <f>IFERROR(__xludf.DUMMYFUNCTION("GOOGLETRANSLATE(A55277,""en"",""pt"")"),"Looks muito bom ...")</f>
        <v>Looks muito bom ...</v>
      </c>
      <c r="B55277" s="3">
        <v>1</v>
      </c>
    </row>
    <row r="55278" ht="15.75" customHeight="1" spans="1:2">
      <c r="A55278" s="3" t="str">
        <f>IFERROR(__xludf.DUMMYFUNCTION("GOOGLETRANSLATE(A55278,""en"",""pt"")"),"Slick, pequeno, fácil de transportar, opera ultramarino")</f>
        <v>Slick, pequeno, fácil de transportar, opera ultramarino</v>
      </c>
      <c r="B55278" s="3">
        <v>1</v>
      </c>
    </row>
    <row r="55279" ht="15.75" customHeight="1" spans="1:2">
      <c r="A55279" s="3" t="str">
        <f>IFERROR(__xludf.DUMMYFUNCTION("GOOGLETRANSLATE(A55279,""en"",""pt"")"),"Tudo!!! Tem classe, estilo, função, durabilidade, portabilidade !!")</f>
        <v>Tudo!!! Tem classe, estilo, função, durabilidade, portabilidade !!</v>
      </c>
      <c r="B55279" s="3">
        <v>1</v>
      </c>
    </row>
    <row r="55280" ht="15.75" customHeight="1" spans="1:2">
      <c r="A55280" s="3" t="str">
        <f>IFERROR(__xludf.DUMMYFUNCTION("GOOGLETRANSLATE(A55280,""en"",""pt"")"),"Tamanho, aparência, IR Modem, Roaming Global, duração da bateria, discagem por voz, Interface de Usuário")</f>
        <v>Tamanho, aparência, IR Modem, Roaming Global, duração da bateria, discagem por voz, Interface de Usuário</v>
      </c>
      <c r="B55280" s="3">
        <v>1</v>
      </c>
    </row>
    <row r="55281" ht="15.75" customHeight="1" spans="1:2">
      <c r="A55281" s="3" t="str">
        <f>IFERROR(__xludf.DUMMYFUNCTION("GOOGLETRANSLATE(A55281,""en"",""pt"")"),"Em todo o mundo GSM, &amp; # 13; &amp; # 10; tamanho Ultracompact, &amp; # 13; &amp; # 10; atrativa invólucro-alumínio escovado, modem de Infravermelhos &amp; # 13; &amp; # 10;")</f>
        <v>Em todo o mundo GSM, &amp; # 13; &amp; # 10; tamanho Ultracompact, &amp; # 13; &amp; # 10; atrativa invólucro-alumínio escovado, modem de Infravermelhos &amp; # 13; &amp; # 10;</v>
      </c>
      <c r="B55281" s="3">
        <v>1</v>
      </c>
    </row>
    <row r="55282" ht="15.75" customHeight="1" spans="1:2">
      <c r="A55282" s="3" t="str">
        <f>IFERROR(__xludf.DUMMYFUNCTION("GOOGLETRANSLATE(A55282,""en"",""pt"")"),"O tamanho pequeno, a qualidade da chamada, intensidade do sinal, qualidade estética")</f>
        <v>O tamanho pequeno, a qualidade da chamada, intensidade do sinal, qualidade estética</v>
      </c>
      <c r="B55282" s="3">
        <v>1</v>
      </c>
    </row>
    <row r="55283" ht="15.75" customHeight="1" spans="1:2">
      <c r="A55283" s="3" t="str">
        <f>IFERROR(__xludf.DUMMYFUNCTION("GOOGLETRANSLATE(A55283,""en"",""pt"")"),"tamanho, peso")</f>
        <v>tamanho, peso</v>
      </c>
      <c r="B55283" s="3">
        <v>1</v>
      </c>
    </row>
    <row r="55284" ht="15.75" customHeight="1" spans="1:2">
      <c r="A55284" s="3" t="str">
        <f>IFERROR(__xludf.DUMMYFUNCTION("GOOGLETRANSLATE(A55284,""en"",""pt"")"),"Peso leve &amp; # 13; &amp; # 10; Sexy &amp; # 13; &amp; # 10; rara &amp; # 13; &amp; # 10; brilha bem")</f>
        <v>Peso leve &amp; # 13; &amp; # 10; Sexy &amp; # 13; &amp; # 10; rara &amp; # 13; &amp; # 10; brilha bem</v>
      </c>
      <c r="B55284" s="3">
        <v>1</v>
      </c>
    </row>
    <row r="55285" ht="15.75" customHeight="1" spans="1:2">
      <c r="A55285" s="3" t="str">
        <f>IFERROR(__xludf.DUMMYFUNCTION("GOOGLETRANSLATE(A55285,""en"",""pt"")"),"Características, design, olhe, tamanho, durável, Antena, de custo para recursos.")</f>
        <v>Características, design, olhe, tamanho, durável, Antena, de custo para recursos.</v>
      </c>
      <c r="B55285" s="3">
        <v>1</v>
      </c>
    </row>
    <row r="55286" ht="15.75" customHeight="1" spans="1:2">
      <c r="A55286" s="3" t="str">
        <f>IFERROR(__xludf.DUMMYFUNCTION("GOOGLETRANSLATE(A55286,""en"",""pt"")"),"Elegante, pequeno, confortável, Professional.")</f>
        <v>Elegante, pequeno, confortável, Professional.</v>
      </c>
      <c r="B55286" s="3">
        <v>1</v>
      </c>
    </row>
    <row r="55287" ht="15.75" customHeight="1" spans="1:2">
      <c r="A55287" s="3" t="str">
        <f>IFERROR(__xludf.DUMMYFUNCTION("GOOGLETRANSLATE(A55287,""en"",""pt"")"),"Acesso todo o mundo, grandes características, tamanho pequeno.")</f>
        <v>Acesso todo o mundo, grandes características, tamanho pequeno.</v>
      </c>
      <c r="B55287" s="3">
        <v>1</v>
      </c>
    </row>
    <row r="55288" ht="15.75" customHeight="1" spans="1:2">
      <c r="A55288" s="3" t="str">
        <f>IFERROR(__xludf.DUMMYFUNCTION("GOOGLETRANSLATE(A55288,""en"",""pt"")"),"Leve, pode usar em 120 países, de voz ativado.")</f>
        <v>Leve, pode usar em 120 países, de voz ativado.</v>
      </c>
      <c r="B55288" s="3">
        <v>1</v>
      </c>
    </row>
    <row r="55289" ht="15.75" customHeight="1" spans="1:2">
      <c r="A55289" s="3" t="str">
        <f>IFERROR(__xludf.DUMMYFUNCTION("GOOGLETRANSLATE(A55289,""en"",""pt"")"),"tamanho, aparência, interface clássica")</f>
        <v>tamanho, aparência, interface clássica</v>
      </c>
      <c r="B55289" s="3">
        <v>1</v>
      </c>
    </row>
    <row r="55290" ht="15.75" customHeight="1" spans="1:2">
      <c r="A55290" s="3" t="str">
        <f>IFERROR(__xludf.DUMMYFUNCTION("GOOGLETRANSLATE(A55290,""en"",""pt"")"),"Pequeno, elegante, elegante, muito fácil usar e bem vale o dinheiro.")</f>
        <v>Pequeno, elegante, elegante, muito fácil usar e bem vale o dinheiro.</v>
      </c>
      <c r="B55290" s="3">
        <v>1</v>
      </c>
    </row>
    <row r="55291" ht="15.75" customHeight="1" spans="1:2">
      <c r="A55291" s="3" t="str">
        <f>IFERROR(__xludf.DUMMYFUNCTION("GOOGLETRANSLATE(A55291,""en"",""pt"")"),"Lotes de gama")</f>
        <v>Lotes de gama</v>
      </c>
      <c r="B55291" s="3">
        <v>1</v>
      </c>
    </row>
    <row r="55292" ht="15.75" customHeight="1" spans="1:2">
      <c r="A55292" s="3" t="str">
        <f>IFERROR(__xludf.DUMMYFUNCTION("GOOGLETRANSLATE(A55292,""en"",""pt"")"),"RESISTENTE, bonito, elegante, funciona muito bem em casa (Hawaii) e quando eu estou na Europa, o amor!")</f>
        <v>RESISTENTE, bonito, elegante, funciona muito bem em casa (Hawaii) e quando eu estou na Europa, o amor!</v>
      </c>
      <c r="B55292" s="3">
        <v>1</v>
      </c>
    </row>
    <row r="55293" ht="15.75" customHeight="1" spans="1:2">
      <c r="A55293" s="3" t="str">
        <f>IFERROR(__xludf.DUMMYFUNCTION("GOOGLETRANSLATE(A55293,""en"",""pt"")"),"design, peso, recepção")</f>
        <v>design, peso, recepção</v>
      </c>
      <c r="B55293" s="3">
        <v>1</v>
      </c>
    </row>
    <row r="55294" ht="15.75" customHeight="1" spans="1:2">
      <c r="A55294" s="3" t="str">
        <f>IFERROR(__xludf.DUMMYFUNCTION("GOOGLETRANSLATE(A55294,""en"",""pt"")"),"Eu amei todos os 3 eu tinha no primeiro ano")</f>
        <v>Eu amei todos os 3 eu tinha no primeiro ano</v>
      </c>
      <c r="B55294" s="3">
        <v>1</v>
      </c>
    </row>
    <row r="55295" ht="15.75" customHeight="1" spans="1:2">
      <c r="A55295" s="3" t="str">
        <f>IFERROR(__xludf.DUMMYFUNCTION("GOOGLETRANSLATE(A55295,""en"",""pt"")"),"Leve, pode usar em 120 países, de voz ativado.")</f>
        <v>Leve, pode usar em 120 países, de voz ativado.</v>
      </c>
      <c r="B55295" s="3">
        <v>1</v>
      </c>
    </row>
    <row r="55296" ht="15.75" customHeight="1" spans="1:2">
      <c r="A55296" s="3" t="str">
        <f>IFERROR(__xludf.DUMMYFUNCTION("GOOGLETRANSLATE(A55296,""en"",""pt"")"),"pode ser usado em mais de 120 países, luz, discagem por voz, legal olha")</f>
        <v>pode ser usado em mais de 120 países, luz, discagem por voz, legal olha</v>
      </c>
      <c r="B55296" s="3">
        <v>1</v>
      </c>
    </row>
    <row r="55297" ht="15.75" customHeight="1" spans="1:2">
      <c r="A55297" s="3" t="str">
        <f>IFERROR(__xludf.DUMMYFUNCTION("GOOGLETRANSLATE(A55297,""en"",""pt"")"),"Luz, faceplates mutável")</f>
        <v>Luz, faceplates mutável</v>
      </c>
      <c r="B55297" s="3">
        <v>1</v>
      </c>
    </row>
    <row r="55298" ht="15.75" customHeight="1" spans="1:2">
      <c r="A55298" s="3" t="str">
        <f>IFERROR(__xludf.DUMMYFUNCTION("GOOGLETRANSLATE(A55298,""en"",""pt"")"),"pequeno e compacetstyling")</f>
        <v>pequeno e compacetstyling</v>
      </c>
      <c r="B55298" s="3">
        <v>1</v>
      </c>
    </row>
    <row r="55299" ht="15.75" customHeight="1" spans="1:2">
      <c r="A55299" s="3" t="str">
        <f>IFERROR(__xludf.DUMMYFUNCTION("GOOGLETRANSLATE(A55299,""en"",""pt"")"),"Compactar")</f>
        <v>Compactar</v>
      </c>
      <c r="B55299" s="3">
        <v>1</v>
      </c>
    </row>
    <row r="55300" ht="15.75" customHeight="1" spans="1:2">
      <c r="A55300" s="3" t="str">
        <f>IFERROR(__xludf.DUMMYFUNCTION("GOOGLETRANSLATE(A55300,""en"",""pt"")"),"Parece ótimo")</f>
        <v>Parece ótimo</v>
      </c>
      <c r="B55300" s="3">
        <v>1</v>
      </c>
    </row>
    <row r="55301" ht="15.75" customHeight="1" spans="1:2">
      <c r="A55301" s="3" t="str">
        <f>IFERROR(__xludf.DUMMYFUNCTION("GOOGLETRANSLATE(A55301,""en"",""pt"")"),"cor fria, luz de iluminação, tamanho, peso")</f>
        <v>cor fria, luz de iluminação, tamanho, peso</v>
      </c>
      <c r="B55301" s="3">
        <v>1</v>
      </c>
    </row>
    <row r="55302" ht="15.75" customHeight="1" spans="1:2">
      <c r="A55302" s="3" t="str">
        <f>IFERROR(__xludf.DUMMYFUNCTION("GOOGLETRANSLATE(A55302,""en"",""pt"")"),"Um telefone muito sólido com uma grande procura &amp; # 13; &amp; # 10; fácil de usar")</f>
        <v>Um telefone muito sólido com uma grande procura &amp; # 13; &amp; # 10; fácil de usar</v>
      </c>
      <c r="B55302" s="3">
        <v>1</v>
      </c>
    </row>
    <row r="55303" ht="15.75" customHeight="1" spans="1:2">
      <c r="A55303" s="3" t="str">
        <f>IFERROR(__xludf.DUMMYFUNCTION("GOOGLETRANSLATE(A55303,""en"",""pt"")"),"Tudo")</f>
        <v>Tudo</v>
      </c>
      <c r="B55303" s="3">
        <v>1</v>
      </c>
    </row>
    <row r="55304" ht="15.75" customHeight="1" spans="1:2">
      <c r="A55304" s="3" t="str">
        <f>IFERROR(__xludf.DUMMYFUNCTION("GOOGLETRANSLATE(A55304,""en"",""pt"")"),"Peso leve, elegante, Alluminum acabamento de pintura")</f>
        <v>Peso leve, elegante, Alluminum acabamento de pintura</v>
      </c>
      <c r="B55304" s="3">
        <v>1</v>
      </c>
    </row>
    <row r="55305" ht="15.75" customHeight="1" spans="1:2">
      <c r="A55305" s="3" t="str">
        <f>IFERROR(__xludf.DUMMYFUNCTION("GOOGLETRANSLATE(A55305,""en"",""pt"")"),"estilo elegante e funcionalidade intuitiva")</f>
        <v>estilo elegante e funcionalidade intuitiva</v>
      </c>
      <c r="B55305" s="3">
        <v>1</v>
      </c>
    </row>
    <row r="55306" ht="15.75" customHeight="1" spans="1:2">
      <c r="A55306" s="3" t="str">
        <f>IFERROR(__xludf.DUMMYFUNCTION("GOOGLETRANSLATE(A55306,""en"",""pt"")"),"O tamanho pequeno, luz de fundo fresco, agradável um slide HANDED, chamariz")</f>
        <v>O tamanho pequeno, luz de fundo fresco, agradável um slide HANDED, chamariz</v>
      </c>
      <c r="B55306" s="3">
        <v>1</v>
      </c>
    </row>
    <row r="55307" ht="15.75" customHeight="1" spans="1:2">
      <c r="A55307" s="3" t="str">
        <f>IFERROR(__xludf.DUMMYFUNCTION("GOOGLETRANSLATE(A55307,""en"",""pt"")"),"Muito elegante, peso leve, durável, antena externa para melhorar o sinal.")</f>
        <v>Muito elegante, peso leve, durável, antena externa para melhorar o sinal.</v>
      </c>
      <c r="B55307" s="3">
        <v>1</v>
      </c>
    </row>
    <row r="55308" ht="15.75" customHeight="1" spans="1:2">
      <c r="A55308" s="3" t="str">
        <f>IFERROR(__xludf.DUMMYFUNCTION("GOOGLETRANSLATE(A55308,""en"",""pt"")"),"Metal Build, design da forma alta, grande recepção, bom sinal de áudio, design simples")</f>
        <v>Metal Build, design da forma alta, grande recepção, bom sinal de áudio, design simples</v>
      </c>
      <c r="B55308" s="3">
        <v>1</v>
      </c>
    </row>
    <row r="55309" ht="15.75" customHeight="1" spans="1:2">
      <c r="A55309" s="3" t="str">
        <f>IFERROR(__xludf.DUMMYFUNCTION("GOOGLETRANSLATE(A55309,""en"",""pt"")"),"Este Nokia mantém o set-up user-friendly além da conveniência de um telefone em todo o mundo.")</f>
        <v>Este Nokia mantém o set-up user-friendly além da conveniência de um telefone em todo o mundo.</v>
      </c>
      <c r="B55309" s="3">
        <v>1</v>
      </c>
    </row>
    <row r="55310" ht="15.75" customHeight="1" spans="1:2">
      <c r="A55310" s="3" t="str">
        <f>IFERROR(__xludf.DUMMYFUNCTION("GOOGLETRANSLATE(A55310,""en"",""pt"")"),"pequeno, elegante, bateria de longa duração")</f>
        <v>pequeno, elegante, bateria de longa duração</v>
      </c>
      <c r="B55310" s="3">
        <v>1</v>
      </c>
    </row>
    <row r="55311" ht="15.75" customHeight="1" spans="1:2">
      <c r="A55311" s="3" t="str">
        <f>IFERROR(__xludf.DUMMYFUNCTION("GOOGLETRANSLATE(A55311,""en"",""pt"")"),"Fácil de usar; Compacto e leve; Sem antena; Tela de cor com animação!")</f>
        <v>Fácil de usar; Compacto e leve; Sem antena; Tela de cor com animação!</v>
      </c>
      <c r="B55311" s="3">
        <v>1</v>
      </c>
    </row>
    <row r="55312" ht="15.75" customHeight="1" spans="1:2">
      <c r="A55312" s="3" t="str">
        <f>IFERROR(__xludf.DUMMYFUNCTION("GOOGLETRANSLATE(A55312,""en"",""pt"")"),"Muito parecido com o meu velho Nokia 3360 que eu era feliz com ele. Grandes novidades também!")</f>
        <v>Muito parecido com o meu velho Nokia 3360 que eu era feliz com ele. Grandes novidades também!</v>
      </c>
      <c r="B55312" s="3">
        <v>1</v>
      </c>
    </row>
    <row r="55313" ht="15.75" customHeight="1" spans="1:2">
      <c r="A55313" s="3" t="str">
        <f>IFERROR(__xludf.DUMMYFUNCTION("GOOGLETRANSLATE(A55313,""en"",""pt"")"),"Pequeno, compacto e leve!")</f>
        <v>Pequeno, compacto e leve!</v>
      </c>
      <c r="B55313" s="3">
        <v>1</v>
      </c>
    </row>
    <row r="55314" ht="15.75" customHeight="1" spans="1:2">
      <c r="A55314" s="3" t="str">
        <f>IFERROR(__xludf.DUMMYFUNCTION("GOOGLETRANSLATE(A55314,""en"",""pt"")"),"Cores, cores, cores. Vida útil da bateria e grande recepção.")</f>
        <v>Cores, cores, cores. Vida útil da bateria e grande recepção.</v>
      </c>
      <c r="B55314" s="3">
        <v>1</v>
      </c>
    </row>
    <row r="55315" ht="15.75" customHeight="1" spans="1:2">
      <c r="A55315" s="3" t="str">
        <f>IFERROR(__xludf.DUMMYFUNCTION("GOOGLETRANSLATE(A55315,""en"",""pt"")"),"LIVRE !, recepção fantástica, grande bateria, ecrã a cores, toques polifônicos, jogos Java")</f>
        <v>LIVRE !, recepção fantástica, grande bateria, ecrã a cores, toques polifônicos, jogos Java</v>
      </c>
      <c r="B55315" s="3">
        <v>1</v>
      </c>
    </row>
    <row r="55316" ht="15.75" customHeight="1" spans="1:2">
      <c r="A55316" s="3" t="str">
        <f>IFERROR(__xludf.DUMMYFUNCTION("GOOGLETRANSLATE(A55316,""en"",""pt"")"),"Elegante, embalado com características, luz sobre fluff")</f>
        <v>Elegante, embalado com características, luz sobre fluff</v>
      </c>
      <c r="B55316" s="3">
        <v>1</v>
      </c>
    </row>
    <row r="55317" ht="15.75" customHeight="1" spans="1:2">
      <c r="A55317" s="3" t="str">
        <f>IFERROR(__xludf.DUMMYFUNCTION("GOOGLETRANSLATE(A55317,""en"",""pt"")"),"Leve, de grande qualidade, nenhuma antena, tela colorida, grande bateria, preço barato")</f>
        <v>Leve, de grande qualidade, nenhuma antena, tela colorida, grande bateria, preço barato</v>
      </c>
      <c r="B55317" s="3">
        <v>1</v>
      </c>
    </row>
    <row r="55318" ht="15.75" customHeight="1" spans="1:2">
      <c r="A55318" s="3" t="str">
        <f>IFERROR(__xludf.DUMMYFUNCTION("GOOGLETRANSLATE(A55318,""en"",""pt"")"),"tela colorida, ótimo preço (gratuito),, toques polifônicos bastante elegantes")</f>
        <v>tela colorida, ótimo preço (gratuito),, toques polifônicos bastante elegantes</v>
      </c>
      <c r="B55318" s="3">
        <v>1</v>
      </c>
    </row>
    <row r="55319" ht="15.75" customHeight="1" spans="1:2">
      <c r="A55319" s="3" t="str">
        <f>IFERROR(__xludf.DUMMYFUNCTION("GOOGLETRANSLATE(A55319,""en"",""pt"")"),"Bastante fiável; excelente vida útil da bateria; fácil de usar")</f>
        <v>Bastante fiável; excelente vida útil da bateria; fácil de usar</v>
      </c>
      <c r="B55319" s="3">
        <v>1</v>
      </c>
    </row>
    <row r="55320" ht="15.75" customHeight="1" spans="1:2">
      <c r="A55320" s="3" t="str">
        <f>IFERROR(__xludf.DUMMYFUNCTION("GOOGLETRANSLATE(A55320,""en"",""pt"")"),"Boa recepção / durabilidade, tela colorida, excelente vida útil da bateria")</f>
        <v>Boa recepção / durabilidade, tela colorida, excelente vida útil da bateria</v>
      </c>
      <c r="B55320" s="3">
        <v>1</v>
      </c>
    </row>
    <row r="55321" ht="15.75" customHeight="1" spans="1:2">
      <c r="A55321" s="3" t="str">
        <f>IFERROR(__xludf.DUMMYFUNCTION("GOOGLETRANSLATE(A55321,""en"",""pt"")"),"vida útil da bateria, jogos, preço (livre), inter-face")</f>
        <v>vida útil da bateria, jogos, preço (livre), inter-face</v>
      </c>
      <c r="B55321" s="3">
        <v>1</v>
      </c>
    </row>
    <row r="55322" ht="15.75" customHeight="1" spans="1:2">
      <c r="A55322" s="3" t="str">
        <f>IFERROR(__xludf.DUMMYFUNCTION("GOOGLETRANSLATE(A55322,""en"",""pt"")"),"Como todos os Nokias, colorido, botões (eu gostava deles)")</f>
        <v>Como todos os Nokias, colorido, botões (eu gostava deles)</v>
      </c>
      <c r="B55322" s="3">
        <v>1</v>
      </c>
    </row>
    <row r="55323" ht="15.75" customHeight="1" spans="1:2">
      <c r="A55323" s="3" t="str">
        <f>IFERROR(__xludf.DUMMYFUNCTION("GOOGLETRANSLATE(A55323,""en"",""pt"")"),"Treinar tom de mensagem apito, animação da cor, facilidade de uso")</f>
        <v>Treinar tom de mensagem apito, animação da cor, facilidade de uso</v>
      </c>
      <c r="B55323" s="3">
        <v>1</v>
      </c>
    </row>
    <row r="55324" ht="15.75" customHeight="1" spans="1:2">
      <c r="A55324" s="3" t="str">
        <f>IFERROR(__xludf.DUMMYFUNCTION("GOOGLETRANSLATE(A55324,""en"",""pt"")"),"Elegante, moderno e compacto, leve")</f>
        <v>Elegante, moderno e compacto, leve</v>
      </c>
      <c r="B55324" s="3">
        <v>1</v>
      </c>
    </row>
    <row r="55325" ht="15.75" customHeight="1" spans="1:2">
      <c r="A55325" s="3" t="str">
        <f>IFERROR(__xludf.DUMMYFUNCTION("GOOGLETRANSLATE(A55325,""en"",""pt"")"),"Carregado com características, agradável e telefone durável para o preço baixo.")</f>
        <v>Carregado com características, agradável e telefone durável para o preço baixo.</v>
      </c>
      <c r="B55325" s="3">
        <v>1</v>
      </c>
    </row>
    <row r="55326" ht="15.75" customHeight="1" spans="1:2">
      <c r="A55326" s="3" t="str">
        <f>IFERROR(__xludf.DUMMYFUNCTION("GOOGLETRANSLATE(A55326,""en"",""pt"")"),"Tela cor, Interessante teclado, Seleção Ringer e Som")</f>
        <v>Tela cor, Interessante teclado, Seleção Ringer e Som</v>
      </c>
      <c r="B55326" s="3">
        <v>1</v>
      </c>
    </row>
    <row r="55327" ht="15.75" customHeight="1" spans="1:2">
      <c r="A55327" s="3" t="str">
        <f>IFERROR(__xludf.DUMMYFUNCTION("GOOGLETRANSLATE(A55327,""en"",""pt"")"),"Grande tela colorida, grande autonomia da bateria")</f>
        <v>Grande tela colorida, grande autonomia da bateria</v>
      </c>
      <c r="B55327" s="3">
        <v>1</v>
      </c>
    </row>
    <row r="55328" ht="15.75" customHeight="1" spans="1:2">
      <c r="A55328" s="3" t="str">
        <f>IFERROR(__xludf.DUMMYFUNCTION("GOOGLETRANSLATE(A55328,""en"",""pt"")"),"tela colorida, a vida da bateria, organizador")</f>
        <v>tela colorida, a vida da bateria, organizador</v>
      </c>
      <c r="B55328" s="3">
        <v>1</v>
      </c>
    </row>
    <row r="55329" ht="15.75" customHeight="1" spans="1:2">
      <c r="A55329" s="3" t="str">
        <f>IFERROR(__xludf.DUMMYFUNCTION("GOOGLETRANSLATE(A55329,""en"",""pt"")"),"Boa duração da bateria, tela grande, teclado é fácil de usar.")</f>
        <v>Boa duração da bateria, tela grande, teclado é fácil de usar.</v>
      </c>
      <c r="B55329" s="3">
        <v>1</v>
      </c>
    </row>
    <row r="55330" ht="15.75" customHeight="1" spans="1:2">
      <c r="A55330" s="3" t="str">
        <f>IFERROR(__xludf.DUMMYFUNCTION("GOOGLETRANSLATE(A55330,""en"",""pt"")"),"Display, funcionalidade, recepção ... a lista continua ...")</f>
        <v>Display, funcionalidade, recepção ... a lista continua ...</v>
      </c>
      <c r="B55330" s="3">
        <v>1</v>
      </c>
    </row>
    <row r="55331" ht="15.75" customHeight="1" spans="1:2">
      <c r="A55331" s="3" t="str">
        <f>IFERROR(__xludf.DUMMYFUNCTION("GOOGLETRANSLATE(A55331,""en"",""pt"")"),"robusto corpo")</f>
        <v>robusto corpo</v>
      </c>
      <c r="B55331" s="3">
        <v>1</v>
      </c>
    </row>
    <row r="55332" ht="15.75" customHeight="1" spans="1:2">
      <c r="A55332" s="3" t="str">
        <f>IFERROR(__xludf.DUMMYFUNCTION("GOOGLETRANSLATE(A55332,""en"",""pt"")"),"Durável, boa exibição, boa recepção, nenhuma antena, bom som,")</f>
        <v>Durável, boa exibição, boa recepção, nenhuma antena, bom som,</v>
      </c>
      <c r="B55332" s="3">
        <v>1</v>
      </c>
    </row>
    <row r="55333" ht="15.75" customHeight="1" spans="1:2">
      <c r="A55333" s="3" t="str">
        <f>IFERROR(__xludf.DUMMYFUNCTION("GOOGLETRANSLATE(A55333,""en"",""pt"")"),"gráficos de cor, som, vida útil da bateria")</f>
        <v>gráficos de cor, som, vida útil da bateria</v>
      </c>
      <c r="B55333" s="3">
        <v>1</v>
      </c>
    </row>
    <row r="55334" ht="15.75" customHeight="1" spans="1:2">
      <c r="A55334" s="3" t="str">
        <f>IFERROR(__xludf.DUMMYFUNCTION("GOOGLETRANSLATE(A55334,""en"",""pt"")"),"A vida da bateria, qualidade de som, display")</f>
        <v>A vida da bateria, qualidade de som, display</v>
      </c>
      <c r="B55334" s="3">
        <v>1</v>
      </c>
    </row>
    <row r="55335" ht="15.75" customHeight="1" spans="1:2">
      <c r="A55335" s="3" t="str">
        <f>IFERROR(__xludf.DUMMYFUNCTION("GOOGLETRANSLATE(A55335,""en"",""pt"")"),"vida útil da bateria, serviço, duráveis ​​(caiu muitas vezes), excelentes características, fácil de usar.")</f>
        <v>vida útil da bateria, serviço, duráveis ​​(caiu muitas vezes), excelentes características, fácil de usar.</v>
      </c>
      <c r="B55335" s="3">
        <v>1</v>
      </c>
    </row>
    <row r="55336" ht="15.75" customHeight="1" spans="1:2">
      <c r="A55336" s="3" t="str">
        <f>IFERROR(__xludf.DUMMYFUNCTION("GOOGLETRANSLATE(A55336,""en"",""pt"")"),"Grátis com a T-Mobile")</f>
        <v>Grátis com a T-Mobile</v>
      </c>
      <c r="B55336" s="3">
        <v>1</v>
      </c>
    </row>
    <row r="55337" ht="15.75" customHeight="1" spans="1:2">
      <c r="A55337" s="3" t="str">
        <f>IFERROR(__xludf.DUMMYFUNCTION("GOOGLETRANSLATE(A55337,""en"",""pt"")"),"Jogos, design, NO ANTENA!, Tela colorida")</f>
        <v>Jogos, design, NO ANTENA!, Tela colorida</v>
      </c>
      <c r="B55337" s="3">
        <v>1</v>
      </c>
    </row>
    <row r="55338" ht="15.75" customHeight="1" spans="1:2">
      <c r="A55338" s="3" t="str">
        <f>IFERROR(__xludf.DUMMYFUNCTION("GOOGLETRANSLATE(A55338,""en"",""pt"")"),"tela colorida, longa carga na bateria, under-the-capa da antena.")</f>
        <v>tela colorida, longa carga na bateria, under-the-capa da antena.</v>
      </c>
      <c r="B55338" s="3">
        <v>1</v>
      </c>
    </row>
    <row r="55339" ht="15.75" customHeight="1" spans="1:2">
      <c r="A55339" s="3" t="str">
        <f>IFERROR(__xludf.DUMMYFUNCTION("GOOGLETRANSLATE(A55339,""en"",""pt"")"),"Durabilidade e qualidade de chamadas")</f>
        <v>Durabilidade e qualidade de chamadas</v>
      </c>
      <c r="B55339" s="3">
        <v>1</v>
      </c>
    </row>
    <row r="55340" ht="15.75" customHeight="1" spans="1:2">
      <c r="A55340" s="3" t="str">
        <f>IFERROR(__xludf.DUMMYFUNCTION("GOOGLETRANSLATE(A55340,""en"",""pt"")"),"Ele é imune a água ?, parece legal, fácil de usar,")</f>
        <v>Ele é imune a água ?, parece legal, fácil de usar,</v>
      </c>
      <c r="B55340" s="3">
        <v>1</v>
      </c>
    </row>
    <row r="55341" ht="15.75" customHeight="1" spans="1:2">
      <c r="A55341" s="3" t="str">
        <f>IFERROR(__xludf.DUMMYFUNCTION("GOOGLETRANSLATE(A55341,""en"",""pt"")"),"display colorido, jogos, web-browser, tudo o resto.")</f>
        <v>display colorido, jogos, web-browser, tudo o resto.</v>
      </c>
      <c r="B55341" s="3">
        <v>1</v>
      </c>
    </row>
    <row r="55342" ht="15.75" customHeight="1" spans="1:2">
      <c r="A55342" s="3" t="str">
        <f>IFERROR(__xludf.DUMMYFUNCTION("GOOGLETRANSLATE(A55342,""en"",""pt"")"),"ajuste agradável na mão e uma tela brilhante agradável.")</f>
        <v>ajuste agradável na mão e uma tela brilhante agradável.</v>
      </c>
      <c r="B55342" s="3">
        <v>1</v>
      </c>
    </row>
    <row r="55343" ht="15.75" customHeight="1" spans="1:2">
      <c r="A55343" s="3" t="str">
        <f>IFERROR(__xludf.DUMMYFUNCTION("GOOGLETRANSLATE(A55343,""en"",""pt"")"),"estilo básico é-olhando agradável e grande sentimento, e ele tem um ecrã a cores!")</f>
        <v>estilo básico é-olhando agradável e grande sentimento, e ele tem um ecrã a cores!</v>
      </c>
      <c r="B55343" s="3">
        <v>1</v>
      </c>
    </row>
    <row r="55344" ht="15.75" customHeight="1" spans="1:2">
      <c r="A55344" s="3" t="str">
        <f>IFERROR(__xludf.DUMMYFUNCTION("GOOGLETRANSLATE(A55344,""en"",""pt"")"),"variedade de tons de toque, papéis de parede, e efeitos visuais-audíveis; luz de fundo; espaço de armazenamento; recursos completos")</f>
        <v>variedade de tons de toque, papéis de parede, e efeitos visuais-audíveis; luz de fundo; espaço de armazenamento; recursos completos</v>
      </c>
      <c r="B55344" s="3">
        <v>1</v>
      </c>
    </row>
    <row r="55345" ht="15.75" customHeight="1" spans="1:2">
      <c r="A55345" s="3" t="str">
        <f>IFERROR(__xludf.DUMMYFUNCTION("GOOGLETRANSLATE(A55345,""en"",""pt"")"),"Pequeno, leve, tela a cores, Boa Massa Vida")</f>
        <v>Pequeno, leve, tela a cores, Boa Massa Vida</v>
      </c>
      <c r="B55345" s="3">
        <v>1</v>
      </c>
    </row>
    <row r="55346" ht="15.75" customHeight="1" spans="1:2">
      <c r="A55346" s="3" t="str">
        <f>IFERROR(__xludf.DUMMYFUNCTION("GOOGLETRANSLATE(A55346,""en"",""pt"")"),"leve, fácil de transportar, boas características, user-friendly")</f>
        <v>leve, fácil de transportar, boas características, user-friendly</v>
      </c>
      <c r="B55346" s="3">
        <v>1</v>
      </c>
    </row>
    <row r="55347" ht="15.75" customHeight="1" spans="1:2">
      <c r="A55347" s="3" t="str">
        <f>IFERROR(__xludf.DUMMYFUNCTION("GOOGLETRANSLATE(A55347,""en"",""pt"")"),"O tamanho pequeno, vibrante tela, bateria de longa duração, uma peça sólida, boas ligações claras")</f>
        <v>O tamanho pequeno, vibrante tela, bateria de longa duração, uma peça sólida, boas ligações claras</v>
      </c>
      <c r="B55347" s="3">
        <v>1</v>
      </c>
    </row>
    <row r="55348" ht="15.75" customHeight="1" spans="1:2">
      <c r="A55348" s="3" t="str">
        <f>IFERROR(__xludf.DUMMYFUNCTION("GOOGLETRANSLATE(A55348,""en"",""pt"")"),"interface padrão, tela de cores nítidas e características interessantes, clareza e boa variedade")</f>
        <v>interface padrão, tela de cores nítidas e características interessantes, clareza e boa variedade</v>
      </c>
      <c r="B55348" s="3">
        <v>1</v>
      </c>
    </row>
    <row r="55349" ht="15.75" customHeight="1" spans="1:2">
      <c r="A55349" s="3" t="str">
        <f>IFERROR(__xludf.DUMMYFUNCTION("GOOGLETRANSLATE(A55349,""en"",""pt"")"),"robusto")</f>
        <v>robusto</v>
      </c>
      <c r="B55349" s="3">
        <v>1</v>
      </c>
    </row>
    <row r="55350" ht="15.75" customHeight="1" spans="1:2">
      <c r="A55350" s="3" t="str">
        <f>IFERROR(__xludf.DUMMYFUNCTION("GOOGLETRANSLATE(A55350,""en"",""pt"")"),"compactar; leve; fácil de usar; características modernas")</f>
        <v>compactar; leve; fácil de usar; características modernas</v>
      </c>
      <c r="B55350" s="3">
        <v>1</v>
      </c>
    </row>
    <row r="55351" ht="15.75" customHeight="1" spans="1:2">
      <c r="A55351" s="3" t="str">
        <f>IFERROR(__xludf.DUMMYFUNCTION("GOOGLETRANSLATE(A55351,""en"",""pt"")"),"Muitas opções, boa recepção e leve.")</f>
        <v>Muitas opções, boa recepção e leve.</v>
      </c>
      <c r="B55351" s="3">
        <v>1</v>
      </c>
    </row>
    <row r="55352" ht="15.75" customHeight="1" spans="1:2">
      <c r="A55352" s="3" t="str">
        <f>IFERROR(__xludf.DUMMYFUNCTION("GOOGLETRANSLATE(A55352,""en"",""pt"")"),"Boa recepção geralmente, muito fácil de usar, funciona na maioria das vezes.")</f>
        <v>Boa recepção geralmente, muito fácil de usar, funciona na maioria das vezes.</v>
      </c>
      <c r="B55352" s="3">
        <v>1</v>
      </c>
    </row>
    <row r="55353" ht="15.75" customHeight="1" spans="1:2">
      <c r="A55353" s="3" t="str">
        <f>IFERROR(__xludf.DUMMYFUNCTION("GOOGLETRANSLATE(A55353,""en"",""pt"")"),"Um bom design; arrefecer recursos extras, como viva-voz, conectividade USB, e AIM")</f>
        <v>Um bom design; arrefecer recursos extras, como viva-voz, conectividade USB, e AIM</v>
      </c>
      <c r="B55353" s="3">
        <v>1</v>
      </c>
    </row>
    <row r="55354" ht="15.75" customHeight="1" spans="1:2">
      <c r="A55354" s="3" t="str">
        <f>IFERROR(__xludf.DUMMYFUNCTION("GOOGLETRANSLATE(A55354,""en"",""pt"")"),"Parece bom, tela nítida e qualidade de som muito claro, grande autonomia da bateria")</f>
        <v>Parece bom, tela nítida e qualidade de som muito claro, grande autonomia da bateria</v>
      </c>
      <c r="B55354" s="3">
        <v>1</v>
      </c>
    </row>
    <row r="55355" ht="15.75" customHeight="1" spans="1:2">
      <c r="A55355" s="3" t="str">
        <f>IFERROR(__xludf.DUMMYFUNCTION("GOOGLETRANSLATE(A55355,""en"",""pt"")"),"Viva-voz, teclas azuis, toques de ações e de tela cores.")</f>
        <v>Viva-voz, teclas azuis, toques de ações e de tela cores.</v>
      </c>
      <c r="B55355" s="3">
        <v>1</v>
      </c>
    </row>
    <row r="55356" ht="15.75" customHeight="1" spans="1:2">
      <c r="A55356" s="3" t="str">
        <f>IFERROR(__xludf.DUMMYFUNCTION("GOOGLETRANSLATE(A55356,""en"",""pt"")"),"Se você está recebendo este telefone de graça, ele vai atender às suas expectativas.")</f>
        <v>Se você está recebendo este telefone de graça, ele vai atender às suas expectativas.</v>
      </c>
      <c r="B55356" s="3">
        <v>1</v>
      </c>
    </row>
    <row r="55357" ht="15.75" customHeight="1" spans="1:2">
      <c r="A55357" s="3" t="str">
        <f>IFERROR(__xludf.DUMMYFUNCTION("GOOGLETRANSLATE(A55357,""en"",""pt"")"),"Compacto, porta USB, MP3 Ringtones, Full Web Surfing, viva-voz.")</f>
        <v>Compacto, porta USB, MP3 Ringtones, Full Web Surfing, viva-voz.</v>
      </c>
      <c r="B55357" s="3">
        <v>1</v>
      </c>
    </row>
    <row r="55358" ht="15.75" customHeight="1" spans="1:2">
      <c r="A55358" s="3" t="str">
        <f>IFERROR(__xludf.DUMMYFUNCTION("GOOGLETRANSLATE(A55358,""en"",""pt"")"),"Parece legal, facilidade de uso, impressionante vista de frente do painel, aleta, confortável, viva-voz")</f>
        <v>Parece legal, facilidade de uso, impressionante vista de frente do painel, aleta, confortável, viva-voz</v>
      </c>
      <c r="B55358" s="3">
        <v>1</v>
      </c>
    </row>
    <row r="55359" ht="15.75" customHeight="1" spans="1:2">
      <c r="A55359" s="3" t="str">
        <f>IFERROR(__xludf.DUMMYFUNCTION("GOOGLETRANSLATE(A55359,""en"",""pt"")"),"Pequeno, arranjo chave agradável, tri-band")</f>
        <v>Pequeno, arranjo chave agradável, tri-band</v>
      </c>
      <c r="B55359" s="3">
        <v>1</v>
      </c>
    </row>
    <row r="55360" ht="15.75" customHeight="1" spans="1:2">
      <c r="A55360" s="3" t="str">
        <f>IFERROR(__xludf.DUMMYFUNCTION("GOOGLETRANSLATE(A55360,""en"",""pt"")"),"Tamanho e peso, clareza, bateria decente, uma tonelada de recursos")</f>
        <v>Tamanho e peso, clareza, bateria decente, uma tonelada de recursos</v>
      </c>
      <c r="B55360" s="3">
        <v>1</v>
      </c>
    </row>
    <row r="55361" ht="15.75" customHeight="1" spans="1:2">
      <c r="A55361" s="3" t="str">
        <f>IFERROR(__xludf.DUMMYFUNCTION("GOOGLETRANSLATE(A55361,""en"",""pt"")"),"peso leve, bateria de longa duração, pequeno, muito barato")</f>
        <v>peso leve, bateria de longa duração, pequeno, muito barato</v>
      </c>
      <c r="B55361" s="3">
        <v>1</v>
      </c>
    </row>
    <row r="55362" ht="15.75" customHeight="1" spans="1:2">
      <c r="A55362" s="3" t="str">
        <f>IFERROR(__xludf.DUMMYFUNCTION("GOOGLETRANSLATE(A55362,""en"",""pt"")"),"Does telefone tudo o que um é suposto fazer, excelentemente.")</f>
        <v>Does telefone tudo o que um é suposto fazer, excelentemente.</v>
      </c>
      <c r="B55362" s="3">
        <v>1</v>
      </c>
    </row>
    <row r="55363" ht="15.75" customHeight="1" spans="1:2">
      <c r="A55363" s="3" t="str">
        <f>IFERROR(__xludf.DUMMYFUNCTION("GOOGLETRANSLATE(A55363,""en"",""pt"")"),"uma discagem rápida, funcionalidade alto-falante auto-on")</f>
        <v>uma discagem rápida, funcionalidade alto-falante auto-on</v>
      </c>
      <c r="B55363" s="3">
        <v>1</v>
      </c>
    </row>
    <row r="55364" ht="15.75" customHeight="1" spans="1:2">
      <c r="A55364" s="3" t="str">
        <f>IFERROR(__xludf.DUMMYFUNCTION("GOOGLETRANSLATE(A55364,""en"",""pt"")"),"fone de ouvido alto, anéis de mp3, jogos, viva-voz, a duração da bateria")</f>
        <v>fone de ouvido alto, anéis de mp3, jogos, viva-voz, a duração da bateria</v>
      </c>
      <c r="B55364" s="3">
        <v>1</v>
      </c>
    </row>
    <row r="55365" ht="15.75" customHeight="1" spans="1:2">
      <c r="A55365" s="3" t="str">
        <f>IFERROR(__xludf.DUMMYFUNCTION("GOOGLETRANSLATE(A55365,""en"",""pt"")"),"viva-voz, display fora, display colorido no interior")</f>
        <v>viva-voz, display fora, display colorido no interior</v>
      </c>
      <c r="B55365" s="3">
        <v>1</v>
      </c>
    </row>
    <row r="55366" ht="15.75" customHeight="1" spans="1:2">
      <c r="A55366" s="3" t="str">
        <f>IFERROR(__xludf.DUMMYFUNCTION("GOOGLETRANSLATE(A55366,""en"",""pt"")"),"Recepção aceitável. Bom para internacional. boa bateria.")</f>
        <v>Recepção aceitável. Bom para internacional. boa bateria.</v>
      </c>
      <c r="B55366" s="3">
        <v>1</v>
      </c>
    </row>
    <row r="55367" ht="15.75" customHeight="1" spans="1:2">
      <c r="A55367" s="3" t="str">
        <f>IFERROR(__xludf.DUMMYFUNCTION("GOOGLETRANSLATE(A55367,""en"",""pt"")"),"Faz um peso de papel decente durante uma leve brisa")</f>
        <v>Faz um peso de papel decente durante uma leve brisa</v>
      </c>
      <c r="B55367" s="3">
        <v>1</v>
      </c>
    </row>
    <row r="55368" ht="15.75" customHeight="1" spans="1:2">
      <c r="A55368" s="3" t="str">
        <f>IFERROR(__xludf.DUMMYFUNCTION("GOOGLETRANSLATE(A55368,""en"",""pt"")"),"Boa interface, é bonito e tem muitos recursos.")</f>
        <v>Boa interface, é bonito e tem muitos recursos.</v>
      </c>
      <c r="B55368" s="3">
        <v>1</v>
      </c>
    </row>
    <row r="55369" ht="15.75" customHeight="1" spans="1:2">
      <c r="A55369" s="3" t="str">
        <f>IFERROR(__xludf.DUMMYFUNCTION("GOOGLETRANSLATE(A55369,""en"",""pt"")"),"Boa aparência, preço baixo")</f>
        <v>Boa aparência, preço baixo</v>
      </c>
      <c r="B55369" s="3">
        <v>1</v>
      </c>
    </row>
    <row r="55370" ht="15.75" customHeight="1" spans="1:2">
      <c r="A55370" s="3" t="str">
        <f>IFERROR(__xludf.DUMMYFUNCTION("GOOGLETRANSLATE(A55370,""en"",""pt"")"),"muitos recursos, embora supérflua")</f>
        <v>muitos recursos, embora supérflua</v>
      </c>
      <c r="B55370" s="3">
        <v>1</v>
      </c>
    </row>
    <row r="55371" ht="15.75" customHeight="1" spans="1:2">
      <c r="A55371" s="3" t="str">
        <f>IFERROR(__xludf.DUMMYFUNCTION("GOOGLETRANSLATE(A55371,""en"",""pt"")"),"Eu queria um projeto básico clamshell e gostei da sensação e facilidade de uso.")</f>
        <v>Eu queria um projeto básico clamshell e gostei da sensação e facilidade de uso.</v>
      </c>
      <c r="B55371" s="3">
        <v>1</v>
      </c>
    </row>
    <row r="55372" ht="15.75" customHeight="1" spans="1:2">
      <c r="A55372" s="3" t="str">
        <f>IFERROR(__xludf.DUMMYFUNCTION("GOOGLETRANSLATE(A55372,""en"",""pt"")"),"Agradável e compacto")</f>
        <v>Agradável e compacto</v>
      </c>
      <c r="B55372" s="3">
        <v>1</v>
      </c>
    </row>
    <row r="55373" ht="15.75" customHeight="1" spans="1:2">
      <c r="A55373" s="3" t="str">
        <f>IFERROR(__xludf.DUMMYFUNCTION("GOOGLETRANSLATE(A55373,""en"",""pt"")"),"Pequeno, design elegante")</f>
        <v>Pequeno, design elegante</v>
      </c>
      <c r="B55373" s="3">
        <v>1</v>
      </c>
    </row>
    <row r="55374" ht="15.75" customHeight="1" spans="1:2">
      <c r="A55374" s="3" t="str">
        <f>IFERROR(__xludf.DUMMYFUNCTION("GOOGLETRANSLATE(A55374,""en"",""pt"")"),"NADA!!!!!")</f>
        <v>NADA!!!!!</v>
      </c>
      <c r="B55374" s="3">
        <v>1</v>
      </c>
    </row>
    <row r="55375" ht="15.75" customHeight="1" spans="1:2">
      <c r="A55375" s="3" t="str">
        <f>IFERROR(__xludf.DUMMYFUNCTION("GOOGLETRANSLATE(A55375,""en"",""pt"")"),"Parece bom")</f>
        <v>Parece bom</v>
      </c>
      <c r="B55375" s="3">
        <v>1</v>
      </c>
    </row>
    <row r="55376" ht="15.75" customHeight="1" spans="1:2">
      <c r="A55376" s="3" t="str">
        <f>IFERROR(__xludf.DUMMYFUNCTION("GOOGLETRANSLATE(A55376,""en"",""pt"")"),"Parece legal, sistema de menu agradável, grande ecrã a cores.")</f>
        <v>Parece legal, sistema de menu agradável, grande ecrã a cores.</v>
      </c>
      <c r="B55376" s="3">
        <v>1</v>
      </c>
    </row>
    <row r="55377" ht="15.75" customHeight="1" spans="1:2">
      <c r="A55377" s="3" t="str">
        <f>IFERROR(__xludf.DUMMYFUNCTION("GOOGLETRANSLATE(A55377,""en"",""pt"")"),"Cor da tela / TELA EXTERIOR / viva-voz")</f>
        <v>Cor da tela / TELA EXTERIOR / viva-voz</v>
      </c>
      <c r="B55377" s="3">
        <v>1</v>
      </c>
    </row>
    <row r="55378" ht="15.75" customHeight="1" spans="1:2">
      <c r="A55378" s="3" t="str">
        <f>IFERROR(__xludf.DUMMYFUNCTION("GOOGLETRANSLATE(A55378,""en"",""pt"")"),"pode adicionar fotos, música e muito mais !!")</f>
        <v>pode adicionar fotos, música e muito mais !!</v>
      </c>
      <c r="B55378" s="3">
        <v>1</v>
      </c>
    </row>
    <row r="55379" ht="15.75" customHeight="1" spans="1:2">
      <c r="A55379" s="3" t="str">
        <f>IFERROR(__xludf.DUMMYFUNCTION("GOOGLETRANSLATE(A55379,""en"",""pt"")"),"O peso leve.")</f>
        <v>O peso leve.</v>
      </c>
      <c r="B55379" s="3">
        <v>1</v>
      </c>
    </row>
    <row r="55380" ht="15.75" customHeight="1" spans="1:2">
      <c r="A55380" s="3" t="str">
        <f>IFERROR(__xludf.DUMMYFUNCTION("GOOGLETRANSLATE(A55380,""en"",""pt"")"),"Fácil de usar. Menu assesable rápido, e hotkeys.")</f>
        <v>Fácil de usar. Menu assesable rápido, e hotkeys.</v>
      </c>
      <c r="B55380" s="3">
        <v>1</v>
      </c>
    </row>
    <row r="55381" ht="15.75" customHeight="1" spans="1:2">
      <c r="A55381" s="3" t="str">
        <f>IFERROR(__xludf.DUMMYFUNCTION("GOOGLETRANSLATE(A55381,""en"",""pt"")"),"Longo, longo e eu realmente quero dizer bateria de longa duração, pequeno, boa recepção.")</f>
        <v>Longo, longo e eu realmente quero dizer bateria de longa duração, pequeno, boa recepção.</v>
      </c>
      <c r="B55381" s="3">
        <v>1</v>
      </c>
    </row>
    <row r="55382" ht="15.75" customHeight="1" spans="1:2">
      <c r="A55382" s="3" t="str">
        <f>IFERROR(__xludf.DUMMYFUNCTION("GOOGLETRANSLATE(A55382,""en"",""pt"")"),"Speaker Phone, tem uma sensação agradável")</f>
        <v>Speaker Phone, tem uma sensação agradável</v>
      </c>
      <c r="B55382" s="3">
        <v>1</v>
      </c>
    </row>
    <row r="55383" ht="15.75" customHeight="1" spans="1:2">
      <c r="A55383" s="3" t="str">
        <f>IFERROR(__xludf.DUMMYFUNCTION("GOOGLETRANSLATE(A55383,""en"",""pt"")"),"Pequeno, fácil de usar")</f>
        <v>Pequeno, fácil de usar</v>
      </c>
      <c r="B55383" s="3">
        <v>1</v>
      </c>
    </row>
    <row r="55384" ht="15.75" customHeight="1" spans="1:2">
      <c r="A55384" s="3" t="str">
        <f>IFERROR(__xludf.DUMMYFUNCTION("GOOGLETRANSLATE(A55384,""en"",""pt"")"),"Tamanho, facilidade de uso, a capacidade de ligação ao PC para backup e fax.")</f>
        <v>Tamanho, facilidade de uso, a capacidade de ligação ao PC para backup e fax.</v>
      </c>
      <c r="B55384" s="3">
        <v>1</v>
      </c>
    </row>
    <row r="55385" ht="15.75" customHeight="1" spans="1:2">
      <c r="A55385" s="3" t="str">
        <f>IFERROR(__xludf.DUMMYFUNCTION("GOOGLETRANSLATE(A55385,""en"",""pt"")"),"Você pode ouvir bem, fácil de operar, toques altos, boa recepção")</f>
        <v>Você pode ouvir bem, fácil de operar, toques altos, boa recepção</v>
      </c>
      <c r="B55385" s="3">
        <v>1</v>
      </c>
    </row>
    <row r="55386" ht="15.75" customHeight="1" spans="1:2">
      <c r="A55386" s="3" t="str">
        <f>IFERROR(__xludf.DUMMYFUNCTION("GOOGLETRANSLATE(A55386,""en"",""pt"")"),"Ele tem viva-voz, mensagens de texto e um ecrã a cores")</f>
        <v>Ele tem viva-voz, mensagens de texto e um ecrã a cores</v>
      </c>
      <c r="B55386" s="3">
        <v>1</v>
      </c>
    </row>
    <row r="55387" ht="15.75" customHeight="1" spans="1:2">
      <c r="A55387" s="3" t="str">
        <f>IFERROR(__xludf.DUMMYFUNCTION("GOOGLETRANSLATE(A55387,""en"",""pt"")"),"Pequeno, olhar fresco, mas nada mais sobre este telefone é bom")</f>
        <v>Pequeno, olhar fresco, mas nada mais sobre este telefone é bom</v>
      </c>
      <c r="B55387" s="3">
        <v>1</v>
      </c>
    </row>
    <row r="55388" ht="15.75" customHeight="1" spans="1:2">
      <c r="A55388" s="3" t="str">
        <f>IFERROR(__xludf.DUMMYFUNCTION("GOOGLETRANSLATE(A55388,""en"",""pt"")"),"Parece legal")</f>
        <v>Parece legal</v>
      </c>
      <c r="B55388" s="3">
        <v>1</v>
      </c>
    </row>
    <row r="55389" ht="15.75" customHeight="1" spans="1:2">
      <c r="A55389" s="3" t="str">
        <f>IFERROR(__xludf.DUMMYFUNCTION("GOOGLETRANSLATE(A55389,""en"",""pt"")"),"I got it livre com um desconto de Cingular.")</f>
        <v>I got it livre com um desconto de Cingular.</v>
      </c>
      <c r="B55389" s="3">
        <v>1</v>
      </c>
    </row>
    <row r="55390" ht="15.75" customHeight="1" spans="1:2">
      <c r="A55390" s="3" t="str">
        <f>IFERROR(__xludf.DUMMYFUNCTION("GOOGLETRANSLATE(A55390,""en"",""pt"")"),"pequeno, identificador de chamadas / relógio na parte externa, durável")</f>
        <v>pequeno, identificador de chamadas / relógio na parte externa, durável</v>
      </c>
      <c r="B55390" s="3">
        <v>1</v>
      </c>
    </row>
    <row r="55391" ht="15.75" customHeight="1" spans="1:2">
      <c r="A55391" s="3" t="str">
        <f>IFERROR(__xludf.DUMMYFUNCTION("GOOGLETRANSLATE(A55391,""en"",""pt"")"),"pequeno, leve e carregado")</f>
        <v>pequeno, leve e carregado</v>
      </c>
      <c r="B55391" s="3">
        <v>1</v>
      </c>
    </row>
    <row r="55392" ht="15.75" customHeight="1" spans="1:2">
      <c r="A55392" s="3" t="str">
        <f>IFERROR(__xludf.DUMMYFUNCTION("GOOGLETRANSLATE(A55392,""en"",""pt"")"),"design elegante, capas de mudança de cor, leve e compacto, características impressionantes, bateria de longa duração")</f>
        <v>design elegante, capas de mudança de cor, leve e compacto, características impressionantes, bateria de longa duração</v>
      </c>
      <c r="B55392" s="3">
        <v>1</v>
      </c>
    </row>
    <row r="55393" ht="15.75" customHeight="1" spans="1:2">
      <c r="A55393" s="3" t="str">
        <f>IFERROR(__xludf.DUMMYFUNCTION("GOOGLETRANSLATE(A55393,""en"",""pt"")"),"moda, mercado forte")</f>
        <v>moda, mercado forte</v>
      </c>
      <c r="B55393" s="3">
        <v>1</v>
      </c>
    </row>
    <row r="55394" ht="15.75" customHeight="1" spans="1:2">
      <c r="A55394" s="3" t="str">
        <f>IFERROR(__xludf.DUMMYFUNCTION("GOOGLETRANSLATE(A55394,""en"",""pt"")"),"tamanho minúsculo, customizável, imita um PDA, ainda muito &amp; quot; hip &amp; quot;")</f>
        <v>tamanho minúsculo, customizável, imita um PDA, ainda muito &amp; quot; hip &amp; quot;</v>
      </c>
      <c r="B55394" s="3">
        <v>1</v>
      </c>
    </row>
    <row r="55395" ht="15.75" customHeight="1" spans="1:2">
      <c r="A55395" s="3" t="str">
        <f>IFERROR(__xludf.DUMMYFUNCTION("GOOGLETRANSLATE(A55395,""en"",""pt"")"),"Tamanho, a vida da bateria, apresenta.")</f>
        <v>Tamanho, a vida da bateria, apresenta.</v>
      </c>
      <c r="B55395" s="3">
        <v>1</v>
      </c>
    </row>
    <row r="55396" ht="15.75" customHeight="1" spans="1:2">
      <c r="A55396" s="3" t="str">
        <f>IFERROR(__xludf.DUMMYFUNCTION("GOOGLETRANSLATE(A55396,""en"",""pt"")"),"Pequeno, eu disse Small? Como uma pequena 6190")</f>
        <v>Pequeno, eu disse Small? Como uma pequena 6190</v>
      </c>
      <c r="B55396" s="3">
        <v>1</v>
      </c>
    </row>
    <row r="55397" ht="15.75" customHeight="1" spans="1:2">
      <c r="A55397" s="3" t="str">
        <f>IFERROR(__xludf.DUMMYFUNCTION("GOOGLETRANSLATE(A55397,""en"",""pt"")"),"um telefone confiável e robusto, com muitos recursos avançados")</f>
        <v>um telefone confiável e robusto, com muitos recursos avançados</v>
      </c>
      <c r="B55397" s="3">
        <v>1</v>
      </c>
    </row>
    <row r="55398" ht="15.75" customHeight="1" spans="1:2">
      <c r="A55398" s="3" t="str">
        <f>IFERROR(__xludf.DUMMYFUNCTION("GOOGLETRANSLATE(A55398,""en"",""pt"")"),"O tamanho pequeno, personalização com faceplates.")</f>
        <v>O tamanho pequeno, personalização com faceplates.</v>
      </c>
      <c r="B55398" s="3">
        <v>1</v>
      </c>
    </row>
    <row r="55399" ht="15.75" customHeight="1" spans="1:2">
      <c r="A55399" s="3" t="str">
        <f>IFERROR(__xludf.DUMMYFUNCTION("GOOGLETRANSLATE(A55399,""en"",""pt"")"),"O tamanho pequeno, grande projeto, faceplates intercambiáveis")</f>
        <v>O tamanho pequeno, grande projeto, faceplates intercambiáveis</v>
      </c>
      <c r="B55399" s="3">
        <v>1</v>
      </c>
    </row>
    <row r="55400" ht="15.75" customHeight="1" spans="1:2">
      <c r="A55400" s="3" t="str">
        <f>IFERROR(__xludf.DUMMYFUNCTION("GOOGLETRANSLATE(A55400,""en"",""pt"")"),"Leve, Pop off rostos, Infra-vermelho")</f>
        <v>Leve, Pop off rostos, Infra-vermelho</v>
      </c>
      <c r="B55400" s="3">
        <v>1</v>
      </c>
    </row>
    <row r="55401" ht="15.75" customHeight="1" spans="1:2">
      <c r="A55401" s="3" t="str">
        <f>IFERROR(__xludf.DUMMYFUNCTION("GOOGLETRANSLATE(A55401,""en"",""pt"")"),"Pequena o suficiente para transportar no bolso")</f>
        <v>Pequena o suficiente para transportar no bolso</v>
      </c>
      <c r="B55401" s="3">
        <v>1</v>
      </c>
    </row>
    <row r="55402" ht="15.75" customHeight="1" spans="1:2">
      <c r="A55402" s="3" t="str">
        <f>IFERROR(__xludf.DUMMYFUNCTION("GOOGLETRANSLATE(A55402,""en"",""pt"")"),"Muito pequeno e peso leve")</f>
        <v>Muito pequeno e peso leve</v>
      </c>
      <c r="B55402" s="3">
        <v>1</v>
      </c>
    </row>
    <row r="55403" ht="15.75" customHeight="1" spans="1:2">
      <c r="A55403" s="3" t="str">
        <f>IFERROR(__xludf.DUMMYFUNCTION("GOOGLETRANSLATE(A55403,""en"",""pt"")"),"Vai em qualquer lugar. vida útil da bateria de Nice, e embalado com características poderosas.")</f>
        <v>Vai em qualquer lugar. vida útil da bateria de Nice, e embalado com características poderosas.</v>
      </c>
      <c r="B55403" s="3">
        <v>1</v>
      </c>
    </row>
    <row r="55404" ht="15.75" customHeight="1" spans="1:2">
      <c r="A55404" s="3" t="str">
        <f>IFERROR(__xludf.DUMMYFUNCTION("GOOGLETRANSLATE(A55404,""en"",""pt"")"),"Fácil de usar e espera, grandes novidades da web, bateria de longa duração, grande qualidade de som")</f>
        <v>Fácil de usar e espera, grandes novidades da web, bateria de longa duração, grande qualidade de som</v>
      </c>
      <c r="B55404" s="3">
        <v>1</v>
      </c>
    </row>
    <row r="55405" ht="15.75" customHeight="1" spans="1:2">
      <c r="A55405" s="3" t="str">
        <f>IFERROR(__xludf.DUMMYFUNCTION("GOOGLETRANSLATE(A55405,""en"",""pt"")"),"Pequena, características de activação de voz, a porta de infravermelhos activa")</f>
        <v>Pequena, características de activação de voz, a porta de infravermelhos activa</v>
      </c>
      <c r="B55405" s="3">
        <v>1</v>
      </c>
    </row>
    <row r="55406" ht="15.75" customHeight="1" spans="1:2">
      <c r="A55406" s="3" t="str">
        <f>IFERROR(__xludf.DUMMYFUNCTION("GOOGLETRANSLATE(A55406,""en"",""pt"")"),"Tão elegante, features incríveis !!")</f>
        <v>Tão elegante, features incríveis !!</v>
      </c>
      <c r="B55406" s="3">
        <v>1</v>
      </c>
    </row>
    <row r="55407" ht="15.75" customHeight="1" spans="1:2">
      <c r="A55407" s="3" t="str">
        <f>IFERROR(__xludf.DUMMYFUNCTION("GOOGLETRANSLATE(A55407,""en"",""pt"")"),"pequeno tamanho, a bateria dura e dura, menus simples")</f>
        <v>pequeno tamanho, a bateria dura e dura, menus simples</v>
      </c>
      <c r="B55407" s="3">
        <v>1</v>
      </c>
    </row>
    <row r="55408" ht="15.75" customHeight="1" spans="1:2">
      <c r="A55408" s="3" t="str">
        <f>IFERROR(__xludf.DUMMYFUNCTION("GOOGLETRANSLATE(A55408,""en"",""pt"")"),"grande procura, boa recepção, toneladas de opções para escolher.")</f>
        <v>grande procura, boa recepção, toneladas de opções para escolher.</v>
      </c>
      <c r="B55408" s="3">
        <v>1</v>
      </c>
    </row>
    <row r="55409" ht="15.75" customHeight="1" spans="1:2">
      <c r="A55409" s="3" t="str">
        <f>IFERROR(__xludf.DUMMYFUNCTION("GOOGLETRANSLATE(A55409,""en"",""pt"")"),"Realmente pequeno, fácil de usar, boa claridade quando há recepção")</f>
        <v>Realmente pequeno, fácil de usar, boa claridade quando há recepção</v>
      </c>
      <c r="B55409" s="3">
        <v>1</v>
      </c>
    </row>
    <row r="55410" ht="15.75" customHeight="1" spans="1:2">
      <c r="A55410" s="3" t="str">
        <f>IFERROR(__xludf.DUMMYFUNCTION("GOOGLETRANSLATE(A55410,""en"",""pt"")"),"nome pequeno, elegante, marca bem conhecida, muitas funções &amp; # 13; &amp; # 10;")</f>
        <v>nome pequeno, elegante, marca bem conhecida, muitas funções &amp; # 13; &amp; # 10;</v>
      </c>
      <c r="B55410" s="3">
        <v>1</v>
      </c>
    </row>
    <row r="55411" ht="15.75" customHeight="1" spans="1:2">
      <c r="A55411" s="3" t="str">
        <f>IFERROR(__xludf.DUMMYFUNCTION("GOOGLETRANSLATE(A55411,""en"",""pt"")"),"tamanho pequeno e portabilidade")</f>
        <v>tamanho pequeno e portabilidade</v>
      </c>
      <c r="B55411" s="3">
        <v>1</v>
      </c>
    </row>
    <row r="55412" ht="15.75" customHeight="1" spans="1:2">
      <c r="A55412" s="3" t="str">
        <f>IFERROR(__xludf.DUMMYFUNCTION("GOOGLETRANSLATE(A55412,""en"",""pt"")"),"Pequeno, leve, antena interna, discagem por voz")</f>
        <v>Pequeno, leve, antena interna, discagem por voz</v>
      </c>
      <c r="B55412" s="3">
        <v>1</v>
      </c>
    </row>
    <row r="55413" ht="15.75" customHeight="1" spans="1:2">
      <c r="A55413" s="3" t="str">
        <f>IFERROR(__xludf.DUMMYFUNCTION("GOOGLETRANSLATE(A55413,""en"",""pt"")"),"grande UI, tamanho minúsculo, design agradável, antena interna, infravermelho, alerta vibratório, 2-way SMS / e-mail")</f>
        <v>grande UI, tamanho minúsculo, design agradável, antena interna, infravermelho, alerta vibratório, 2-way SMS / e-mail</v>
      </c>
      <c r="B55413" s="3">
        <v>1</v>
      </c>
    </row>
    <row r="55414" ht="15.75" customHeight="1" spans="1:2">
      <c r="A55414" s="3" t="str">
        <f>IFERROR(__xludf.DUMMYFUNCTION("GOOGLETRANSLATE(A55414,""en"",""pt"")"),"Pequeno, acessível, pequeno, discagem por voz, PEQUENO!")</f>
        <v>Pequeno, acessível, pequeno, discagem por voz, PEQUENO!</v>
      </c>
      <c r="B55414" s="3">
        <v>1</v>
      </c>
    </row>
    <row r="55415" ht="15.75" customHeight="1" spans="1:2">
      <c r="A55415" s="3" t="str">
        <f>IFERROR(__xludf.DUMMYFUNCTION("GOOGLETRANSLATE(A55415,""en"",""pt"")"),"Tamanho, customizável, Clear LCD Screen")</f>
        <v>Tamanho, customizável, Clear LCD Screen</v>
      </c>
      <c r="B55415" s="3">
        <v>1</v>
      </c>
    </row>
    <row r="55416" ht="15.75" customHeight="1" spans="1:2">
      <c r="A55416" s="3" t="str">
        <f>IFERROR(__xludf.DUMMYFUNCTION("GOOGLETRANSLATE(A55416,""en"",""pt"")"),"um aspecto elegante")</f>
        <v>um aspecto elegante</v>
      </c>
      <c r="B55416" s="3">
        <v>1</v>
      </c>
    </row>
    <row r="55417" ht="15.75" customHeight="1" spans="1:2">
      <c r="A55417" s="3" t="str">
        <f>IFERROR(__xludf.DUMMYFUNCTION("GOOGLETRANSLATE(A55417,""en"",""pt"")"),"Transbordando com recursos. Pequeno e compacto, quase esquecer que você tem.")</f>
        <v>Transbordando com recursos. Pequeno e compacto, quase esquecer que você tem.</v>
      </c>
      <c r="B55417" s="3">
        <v>1</v>
      </c>
    </row>
    <row r="55418" ht="15.75" customHeight="1" spans="1:2">
      <c r="A55418" s="3" t="str">
        <f>IFERROR(__xludf.DUMMYFUNCTION("GOOGLETRANSLATE(A55418,""en"",""pt"")"),"Luz, característica embalada, customizável, cabe facilmente no bolso")</f>
        <v>Luz, característica embalada, customizável, cabe facilmente no bolso</v>
      </c>
      <c r="B55418" s="3">
        <v>1</v>
      </c>
    </row>
    <row r="55419" ht="15.75" customHeight="1" spans="1:2">
      <c r="A55419" s="3" t="str">
        <f>IFERROR(__xludf.DUMMYFUNCTION("GOOGLETRANSLATE(A55419,""en"",""pt"")"),"alta potência, compacto, estilo")</f>
        <v>alta potência, compacto, estilo</v>
      </c>
      <c r="B55419" s="3">
        <v>1</v>
      </c>
    </row>
    <row r="55420" ht="15.75" customHeight="1" spans="1:2">
      <c r="A55420" s="3" t="str">
        <f>IFERROR(__xludf.DUMMYFUNCTION("GOOGLETRANSLATE(A55420,""en"",""pt"")"),"O tamanho, as características, o estilo")</f>
        <v>O tamanho, as características, o estilo</v>
      </c>
      <c r="B55420" s="3">
        <v>1</v>
      </c>
    </row>
    <row r="55421" ht="15.75" customHeight="1" spans="1:2">
      <c r="A55421" s="3" t="str">
        <f>IFERROR(__xludf.DUMMYFUNCTION("GOOGLETRANSLATE(A55421,""en"",""pt"")"),"perfeitamente portátil")</f>
        <v>perfeitamente portátil</v>
      </c>
      <c r="B55421" s="3">
        <v>1</v>
      </c>
    </row>
    <row r="55422" ht="15.75" customHeight="1" spans="1:2">
      <c r="A55422" s="3" t="str">
        <f>IFERROR(__xludf.DUMMYFUNCTION("GOOGLETRANSLATE(A55422,""en"",""pt"")"),"elegante, personalize o, tamanho único para qualquer lugar")</f>
        <v>elegante, personalize o, tamanho único para qualquer lugar</v>
      </c>
      <c r="B55422" s="3">
        <v>1</v>
      </c>
    </row>
    <row r="55423" ht="15.75" customHeight="1" spans="1:2">
      <c r="A55423" s="3" t="str">
        <f>IFERROR(__xludf.DUMMYFUNCTION("GOOGLETRANSLATE(A55423,""en"",""pt"")"),"Pequeno, entrada de texto leve, T9")</f>
        <v>Pequeno, entrada de texto leve, T9</v>
      </c>
      <c r="B55423" s="3">
        <v>1</v>
      </c>
    </row>
    <row r="55424" ht="15.75" customHeight="1" spans="1:2">
      <c r="A55424" s="3" t="str">
        <f>IFERROR(__xludf.DUMMYFUNCTION("GOOGLETRANSLATE(A55424,""en"",""pt"")"),"Grande seleção de recursos, amigável e elegante.")</f>
        <v>Grande seleção de recursos, amigável e elegante.</v>
      </c>
      <c r="B55424" s="3">
        <v>1</v>
      </c>
    </row>
    <row r="55425" ht="15.75" customHeight="1" spans="1:2">
      <c r="A55425" s="3" t="str">
        <f>IFERROR(__xludf.DUMMYFUNCTION("GOOGLETRANSLATE(A55425,""en"",""pt"")"),"Clara e fácil de usar")</f>
        <v>Clara e fácil de usar</v>
      </c>
      <c r="B55425" s="3">
        <v>1</v>
      </c>
    </row>
    <row r="55426" ht="15.75" customHeight="1" spans="1:2">
      <c r="A55426" s="3" t="str">
        <f>IFERROR(__xludf.DUMMYFUNCTION("GOOGLETRANSLATE(A55426,""en"",""pt"")"),"Minúsculo, toneladas de recursos, você pode personalizá-lo, o usuário amigável.")</f>
        <v>Minúsculo, toneladas de recursos, você pode personalizá-lo, o usuário amigável.</v>
      </c>
      <c r="B55426" s="3">
        <v>1</v>
      </c>
    </row>
    <row r="55427" ht="15.75" customHeight="1" spans="1:2">
      <c r="A55427" s="3" t="str">
        <f>IFERROR(__xludf.DUMMYFUNCTION("GOOGLETRANSLATE(A55427,""en"",""pt"")"),"Praticamente todos os recursos.")</f>
        <v>Praticamente todos os recursos.</v>
      </c>
      <c r="B55427" s="3">
        <v>1</v>
      </c>
    </row>
    <row r="55428" ht="15.75" customHeight="1" spans="1:2">
      <c r="A55428" s="3" t="str">
        <f>IFERROR(__xludf.DUMMYFUNCTION("GOOGLETRANSLATE(A55428,""en"",""pt"")"),"minúsculo, pode usar 6190 casa e carro carregadores, vem w / fone de ouvido")</f>
        <v>minúsculo, pode usar 6190 casa e carro carregadores, vem w / fone de ouvido</v>
      </c>
      <c r="B55428" s="3">
        <v>1</v>
      </c>
    </row>
    <row r="55429" ht="15.75" customHeight="1" spans="1:2">
      <c r="A55429" s="3" t="str">
        <f>IFERROR(__xludf.DUMMYFUNCTION("GOOGLETRANSLATE(A55429,""en"",""pt"")"),"Leve, de voz ativado, pequeno, bateria de longa duração")</f>
        <v>Leve, de voz ativado, pequeno, bateria de longa duração</v>
      </c>
      <c r="B55429" s="3">
        <v>1</v>
      </c>
    </row>
    <row r="55430" ht="15.75" customHeight="1" spans="1:2">
      <c r="A55430" s="3" t="str">
        <f>IFERROR(__xludf.DUMMYFUNCTION("GOOGLETRANSLATE(A55430,""en"",""pt"")"),"Qualidade de Som, Recepção e características.")</f>
        <v>Qualidade de Som, Recepção e características.</v>
      </c>
      <c r="B55430" s="3">
        <v>1</v>
      </c>
    </row>
    <row r="55431" ht="15.75" customHeight="1" spans="1:2">
      <c r="A55431" s="3" t="str">
        <f>IFERROR(__xludf.DUMMYFUNCTION("GOOGLETRANSLATE(A55431,""en"",""pt"")"),"Muito pequeno, portátil")</f>
        <v>Muito pequeno, portátil</v>
      </c>
      <c r="B55431" s="3">
        <v>1</v>
      </c>
    </row>
    <row r="55432" ht="15.75" customHeight="1" spans="1:2">
      <c r="A55432" s="3" t="str">
        <f>IFERROR(__xludf.DUMMYFUNCTION("GOOGLETRANSLATE(A55432,""en"",""pt"")"),"Tamanho, aparecimento, porta de infravermelho")</f>
        <v>Tamanho, aparecimento, porta de infravermelho</v>
      </c>
      <c r="B55432" s="3">
        <v>1</v>
      </c>
    </row>
    <row r="55433" ht="15.75" customHeight="1" spans="1:2">
      <c r="A55433" s="3" t="str">
        <f>IFERROR(__xludf.DUMMYFUNCTION("GOOGLETRANSLATE(A55433,""en"",""pt"")"),"tamanho, tampas mutáveis, características, a vida da bateria, anéis personalizados, infravermelho")</f>
        <v>tamanho, tampas mutáveis, características, a vida da bateria, anéis personalizados, infravermelho</v>
      </c>
      <c r="B55433" s="3">
        <v>1</v>
      </c>
    </row>
    <row r="55434" ht="15.75" customHeight="1" spans="1:2">
      <c r="A55434" s="3" t="str">
        <f>IFERROR(__xludf.DUMMYFUNCTION("GOOGLETRANSLATE(A55434,""en"",""pt"")"),"Portabilidade, opções extras, denominando.")</f>
        <v>Portabilidade, opções extras, denominando.</v>
      </c>
      <c r="B55434" s="3">
        <v>1</v>
      </c>
    </row>
    <row r="55435" ht="15.75" customHeight="1" spans="1:2">
      <c r="A55435" s="3" t="str">
        <f>IFERROR(__xludf.DUMMYFUNCTION("GOOGLETRANSLATE(A55435,""en"",""pt"")"),"O tamanho pequeno, de interface inteligente, porta IR, mutável tela tampas faceplate")</f>
        <v>O tamanho pequeno, de interface inteligente, porta IR, mutável tela tampas faceplate</v>
      </c>
      <c r="B55435" s="3">
        <v>1</v>
      </c>
    </row>
    <row r="55436" ht="15.75" customHeight="1" spans="1:2">
      <c r="A55436" s="3" t="str">
        <f>IFERROR(__xludf.DUMMYFUNCTION("GOOGLETRANSLATE(A55436,""en"",""pt"")"),"pequeno, carregado com novas funcionalidades, bom tempo de conversação / standby")</f>
        <v>pequeno, carregado com novas funcionalidades, bom tempo de conversação / standby</v>
      </c>
      <c r="B55436" s="3">
        <v>1</v>
      </c>
    </row>
    <row r="55437" ht="15.75" customHeight="1" spans="1:2">
      <c r="A55437" s="3" t="str">
        <f>IFERROR(__xludf.DUMMYFUNCTION("GOOGLETRANSLATE(A55437,""en"",""pt"")"),"grande recepção")</f>
        <v>grande recepção</v>
      </c>
      <c r="B55437" s="3">
        <v>1</v>
      </c>
    </row>
    <row r="55438" ht="15.75" customHeight="1" spans="1:2">
      <c r="A55438" s="3" t="str">
        <f>IFERROR(__xludf.DUMMYFUNCTION("GOOGLETRANSLATE(A55438,""en"",""pt"")"),"Tamanho, tempo de conversação, Features, durável, elegante e fácil de modificar, etc.")</f>
        <v>Tamanho, tempo de conversação, Features, durável, elegante e fácil de modificar, etc.</v>
      </c>
      <c r="B55438" s="3">
        <v>1</v>
      </c>
    </row>
    <row r="55439" ht="15.75" customHeight="1" spans="1:2">
      <c r="A55439" s="3" t="str">
        <f>IFERROR(__xludf.DUMMYFUNCTION("GOOGLETRANSLATE(A55439,""en"",""pt"")"),"robustos, pequenos, parece legal, faceplates mutável")</f>
        <v>robustos, pequenos, parece legal, faceplates mutável</v>
      </c>
      <c r="B55439" s="3">
        <v>1</v>
      </c>
    </row>
    <row r="55440" ht="15.75" customHeight="1" spans="1:2">
      <c r="A55440" s="3" t="str">
        <f>IFERROR(__xludf.DUMMYFUNCTION("GOOGLETRANSLATE(A55440,""en"",""pt"")"),"Muito leve e boa recepção")</f>
        <v>Muito leve e boa recepção</v>
      </c>
      <c r="B55440" s="3">
        <v>1</v>
      </c>
    </row>
    <row r="55441" ht="15.75" customHeight="1" spans="1:2">
      <c r="A55441" s="3" t="str">
        <f>IFERROR(__xludf.DUMMYFUNCTION("GOOGLETRANSLATE(A55441,""en"",""pt"")"),"Extremamente compacto, característica embalada, design intuitivo, resistente como pregos &amp; # 9;")</f>
        <v>Extremamente compacto, característica embalada, design intuitivo, resistente como pregos &amp; # 9;</v>
      </c>
      <c r="B55441" s="3">
        <v>1</v>
      </c>
    </row>
    <row r="55442" ht="15.75" customHeight="1" spans="1:2">
      <c r="A55442" s="3" t="str">
        <f>IFERROR(__xludf.DUMMYFUNCTION("GOOGLETRANSLATE(A55442,""en"",""pt"")"),"Elegante, pequeno, de longa duração de bateria, tampas intercambiáveis, boa qualidade de voz, Não irritante Pull Up Antenna")</f>
        <v>Elegante, pequeno, de longa duração de bateria, tampas intercambiáveis, boa qualidade de voz, Não irritante Pull Up Antenna</v>
      </c>
      <c r="B55442" s="3">
        <v>1</v>
      </c>
    </row>
    <row r="55443" ht="15.75" customHeight="1" spans="1:2">
      <c r="A55443" s="3" t="str">
        <f>IFERROR(__xludf.DUMMYFUNCTION("GOOGLETRANSLATE(A55443,""en"",""pt"")"),"Numerosos &amp; quot; Kool &amp; quot; características! Embalado com guloseimas! O peso leve e barato!")</f>
        <v>Numerosos &amp; quot; Kool &amp; quot; características! Embalado com guloseimas! O peso leve e barato!</v>
      </c>
      <c r="B55443" s="3">
        <v>1</v>
      </c>
    </row>
    <row r="55444" ht="15.75" customHeight="1" spans="1:2">
      <c r="A55444" s="3" t="str">
        <f>IFERROR(__xludf.DUMMYFUNCTION("GOOGLETRANSLATE(A55444,""en"",""pt"")"),"Pequeno, bateria de longa duração, faceplates mutável, características GSM")</f>
        <v>Pequeno, bateria de longa duração, faceplates mutável, características GSM</v>
      </c>
      <c r="B55444" s="3">
        <v>1</v>
      </c>
    </row>
    <row r="55445" ht="15.75" customHeight="1" spans="1:2">
      <c r="A55445" s="3" t="str">
        <f>IFERROR(__xludf.DUMMYFUNCTION("GOOGLETRANSLATE(A55445,""en"",""pt"")"),"MUUUUITO Sexy! vida muito longa da bateria, tamanho perfeito, jogos, capas intercambiáveis, tantos recursos")</f>
        <v>MUUUUITO Sexy! vida muito longa da bateria, tamanho perfeito, jogos, capas intercambiáveis, tantos recursos</v>
      </c>
      <c r="B55445" s="3">
        <v>1</v>
      </c>
    </row>
    <row r="55446" ht="15.75" customHeight="1" spans="1:2">
      <c r="A55446" s="3" t="str">
        <f>IFERROR(__xludf.DUMMYFUNCTION("GOOGLETRANSLATE(A55446,""en"",""pt"")"),"tamanho compacto, durável")</f>
        <v>tamanho compacto, durável</v>
      </c>
      <c r="B55446" s="3">
        <v>1</v>
      </c>
    </row>
    <row r="55447" ht="15.75" customHeight="1" spans="1:2">
      <c r="A55447" s="3" t="str">
        <f>IFERROR(__xludf.DUMMYFUNCTION("GOOGLETRANSLATE(A55447,""en"",""pt"")"),"tamanho pequeno, muito bacana, sistema de menu excelente e interface com o usuário, a vida incrível da bateria, discagem ativada por voz")</f>
        <v>tamanho pequeno, muito bacana, sistema de menu excelente e interface com o usuário, a vida incrível da bateria, discagem ativada por voz</v>
      </c>
      <c r="B55447" s="3">
        <v>1</v>
      </c>
    </row>
    <row r="55448" ht="15.75" customHeight="1" spans="1:2">
      <c r="A55448" s="3" t="str">
        <f>IFERROR(__xludf.DUMMYFUNCTION("GOOGLETRANSLATE(A55448,""en"",""pt"")"),"Pequeno, leve, fácil de usar")</f>
        <v>Pequeno, leve, fácil de usar</v>
      </c>
      <c r="B55448" s="3">
        <v>1</v>
      </c>
    </row>
    <row r="55449" ht="15.75" customHeight="1" spans="1:2">
      <c r="A55449" s="3" t="str">
        <f>IFERROR(__xludf.DUMMYFUNCTION("GOOGLETRANSLATE(A55449,""en"",""pt"")"),"Pequeno, leve, na moda, muitos botões, a previsão de texto, muitas faceplates, INFARED")</f>
        <v>Pequeno, leve, na moda, muitos botões, a previsão de texto, muitas faceplates, INFARED</v>
      </c>
      <c r="B55449" s="3">
        <v>1</v>
      </c>
    </row>
    <row r="55450" ht="15.75" customHeight="1" spans="1:2">
      <c r="A55450" s="3" t="str">
        <f>IFERROR(__xludf.DUMMYFUNCTION("GOOGLETRANSLATE(A55450,""en"",""pt"")"),"pequeno, muito fácil de navegar! AMOR texto previsto!")</f>
        <v>pequeno, muito fácil de navegar! AMOR texto previsto!</v>
      </c>
      <c r="B55450" s="3">
        <v>1</v>
      </c>
    </row>
    <row r="55451" ht="15.75" customHeight="1" spans="1:2">
      <c r="A55451" s="3" t="str">
        <f>IFERROR(__xludf.DUMMYFUNCTION("GOOGLETRANSLATE(A55451,""en"",""pt"")"),"ITS A NOKIA")</f>
        <v>ITS A NOKIA</v>
      </c>
      <c r="B55451" s="3">
        <v>1</v>
      </c>
    </row>
    <row r="55452" ht="15.75" customHeight="1" spans="1:2">
      <c r="A55452" s="3" t="str">
        <f>IFERROR(__xludf.DUMMYFUNCTION("GOOGLETRANSLATE(A55452,""en"",""pt"")"),"muito leves, capas de mudança de cor, boa vida útil da bateria, jogos e outros recursos")</f>
        <v>muito leves, capas de mudança de cor, boa vida útil da bateria, jogos e outros recursos</v>
      </c>
      <c r="B55452" s="3">
        <v>1</v>
      </c>
    </row>
    <row r="55453" ht="15.75" customHeight="1" spans="1:2">
      <c r="A55453" s="3" t="str">
        <f>IFERROR(__xludf.DUMMYFUNCTION("GOOGLETRANSLATE(A55453,""en"",""pt"")"),"O tamanho pequeno, UI, Features, a vida da bateria")</f>
        <v>O tamanho pequeno, UI, Features, a vida da bateria</v>
      </c>
      <c r="B55453" s="3">
        <v>1</v>
      </c>
    </row>
    <row r="55454" ht="15.75" customHeight="1" spans="1:2">
      <c r="A55454" s="3" t="str">
        <f>IFERROR(__xludf.DUMMYFUNCTION("GOOGLETRANSLATE(A55454,""en"",""pt"")"),"Grande tamanho, funcionalidade e fácil sistema de menu uso.")</f>
        <v>Grande tamanho, funcionalidade e fácil sistema de menu uso.</v>
      </c>
      <c r="B55454" s="3">
        <v>1</v>
      </c>
    </row>
    <row r="55455" ht="15.75" customHeight="1" spans="1:2">
      <c r="A55455" s="3" t="str">
        <f>IFERROR(__xludf.DUMMYFUNCTION("GOOGLETRANSLATE(A55455,""en"",""pt"")"),"Pequeno, elegante, olhar mutável, sujeira barato e excelente recepção")</f>
        <v>Pequeno, elegante, olhar mutável, sujeira barato e excelente recepção</v>
      </c>
      <c r="B55455" s="3">
        <v>1</v>
      </c>
    </row>
    <row r="55456" ht="15.75" customHeight="1" spans="1:2">
      <c r="A55456" s="3" t="str">
        <f>IFERROR(__xludf.DUMMYFUNCTION("GOOGLETRANSLATE(A55456,""en"",""pt"")"),"impressionante bonita")</f>
        <v>impressionante bonita</v>
      </c>
      <c r="B55456" s="3">
        <v>1</v>
      </c>
    </row>
    <row r="55457" ht="15.75" customHeight="1" spans="1:2">
      <c r="A55457" s="3" t="str">
        <f>IFERROR(__xludf.DUMMYFUNCTION("GOOGLETRANSLATE(A55457,""en"",""pt"")"),"O tamanho pequeno, boas características, aparência personalizada")</f>
        <v>O tamanho pequeno, boas características, aparência personalizada</v>
      </c>
      <c r="B55457" s="3">
        <v>1</v>
      </c>
    </row>
    <row r="55458" ht="15.75" customHeight="1" spans="1:2">
      <c r="A55458" s="3" t="str">
        <f>IFERROR(__xludf.DUMMYFUNCTION("GOOGLETRANSLATE(A55458,""en"",""pt"")"),"pequeno, frio e companheiro perfeito para pessoas sem fio")</f>
        <v>pequeno, frio e companheiro perfeito para pessoas sem fio</v>
      </c>
      <c r="B55458" s="3">
        <v>1</v>
      </c>
    </row>
    <row r="55459" ht="15.75" customHeight="1" spans="1:2">
      <c r="A55459" s="3" t="str">
        <f>IFERROR(__xludf.DUMMYFUNCTION("GOOGLETRANSLATE(A55459,""en"",""pt"")"),"tamanho, peso, qualidade de construção, qualidade de som")</f>
        <v>tamanho, peso, qualidade de construção, qualidade de som</v>
      </c>
      <c r="B55459" s="3">
        <v>1</v>
      </c>
    </row>
    <row r="55460" ht="15.75" customHeight="1" spans="1:2">
      <c r="A55460" s="3" t="str">
        <f>IFERROR(__xludf.DUMMYFUNCTION("GOOGLETRANSLATE(A55460,""en"",""pt"")"),"Menos caro, ele aprende RESPONSABILIDADE, cores mudam com placas de cara, PAGAMENTOS CHANGE tipo de conta para mensal MAIS TARDE")</f>
        <v>Menos caro, ele aprende RESPONSABILIDADE, cores mudam com placas de cara, PAGAMENTOS CHANGE tipo de conta para mensal MAIS TARDE</v>
      </c>
      <c r="B55460" s="3">
        <v>1</v>
      </c>
    </row>
    <row r="55461" ht="15.75" customHeight="1" spans="1:2">
      <c r="A55461" s="3" t="str">
        <f>IFERROR(__xludf.DUMMYFUNCTION("GOOGLETRANSLATE(A55461,""en"",""pt"")"),"Pequena, características de activação de voz, a porta de infravermelhos activa")</f>
        <v>Pequena, características de activação de voz, a porta de infravermelhos activa</v>
      </c>
      <c r="B55461" s="3">
        <v>1</v>
      </c>
    </row>
    <row r="55462" ht="15.75" customHeight="1" spans="1:2">
      <c r="A55462" s="3" t="str">
        <f>IFERROR(__xludf.DUMMYFUNCTION("GOOGLETRANSLATE(A55462,""en"",""pt"")"),"O tamanho pequeno, recurso de vibração, antena interna")</f>
        <v>O tamanho pequeno, recurso de vibração, antena interna</v>
      </c>
      <c r="B55462" s="3">
        <v>1</v>
      </c>
    </row>
    <row r="55463" ht="15.75" customHeight="1" spans="1:2">
      <c r="A55463" s="3" t="str">
        <f>IFERROR(__xludf.DUMMYFUNCTION("GOOGLETRANSLATE(A55463,""en"",""pt"")"),"pequeno, leve, capaz de dados, porta de IV, a entrada de texto T9, placa dianteira changable")</f>
        <v>pequeno, leve, capaz de dados, porta de IV, a entrada de texto T9, placa dianteira changable</v>
      </c>
      <c r="B55463" s="3">
        <v>1</v>
      </c>
    </row>
    <row r="55464" ht="15.75" customHeight="1" spans="1:2">
      <c r="A55464" s="3" t="str">
        <f>IFERROR(__xludf.DUMMYFUNCTION("GOOGLETRANSLATE(A55464,""en"",""pt"")"),"Tamanho, estilo, headset")</f>
        <v>Tamanho, estilo, headset</v>
      </c>
      <c r="B55464" s="3">
        <v>1</v>
      </c>
    </row>
    <row r="55465" ht="15.75" customHeight="1" spans="1:2">
      <c r="A55465" s="3" t="str">
        <f>IFERROR(__xludf.DUMMYFUNCTION("GOOGLETRANSLATE(A55465,""en"",""pt"")"),"O tamanho pequeno, calendário, bateria de longa duração, e mais importante, o olhar nas caras dos seus amigos.")</f>
        <v>O tamanho pequeno, calendário, bateria de longa duração, e mais importante, o olhar nas caras dos seus amigos.</v>
      </c>
      <c r="B55465" s="3">
        <v>1</v>
      </c>
    </row>
    <row r="55466" ht="15.75" customHeight="1" spans="1:2">
      <c r="A55466" s="3" t="str">
        <f>IFERROR(__xludf.DUMMYFUNCTION("GOOGLETRANSLATE(A55466,""en"",""pt"")"),"Tamanho, Porta de infravermelhos, T9 texto preditivo")</f>
        <v>Tamanho, Porta de infravermelhos, T9 texto preditivo</v>
      </c>
      <c r="B55466" s="3">
        <v>1</v>
      </c>
    </row>
    <row r="55467" ht="15.75" customHeight="1" spans="1:2">
      <c r="A55467" s="3" t="str">
        <f>IFERROR(__xludf.DUMMYFUNCTION("GOOGLETRANSLATE(A55467,""en"",""pt"")"),"Tudo, clareza ... etc ...")</f>
        <v>Tudo, clareza ... etc ...</v>
      </c>
      <c r="B55467" s="3">
        <v>1</v>
      </c>
    </row>
    <row r="55468" ht="15.75" customHeight="1" spans="1:2">
      <c r="A55468" s="3" t="str">
        <f>IFERROR(__xludf.DUMMYFUNCTION("GOOGLETRANSLATE(A55468,""en"",""pt"")"),"tamanho pequeno, de pouco peso, diminuição das emissões de radiação")</f>
        <v>tamanho pequeno, de pouco peso, diminuição das emissões de radiação</v>
      </c>
      <c r="B55468" s="3">
        <v>1</v>
      </c>
    </row>
    <row r="55469" ht="15.75" customHeight="1" spans="1:2">
      <c r="A55469" s="3" t="str">
        <f>IFERROR(__xludf.DUMMYFUNCTION("GOOGLETRANSLATE(A55469,""en"",""pt"")"),"É um Nokia")</f>
        <v>É um Nokia</v>
      </c>
      <c r="B55469" s="3">
        <v>1</v>
      </c>
    </row>
    <row r="55470" ht="15.75" customHeight="1" spans="1:2">
      <c r="A55470" s="3" t="str">
        <f>IFERROR(__xludf.DUMMYFUNCTION("GOOGLETRANSLATE(A55470,""en"",""pt"")"),"Bateria de Longa Duração, cobre grandes Cor")</f>
        <v>Bateria de Longa Duração, cobre grandes Cor</v>
      </c>
      <c r="B55470" s="3">
        <v>1</v>
      </c>
    </row>
    <row r="55471" ht="15.75" customHeight="1" spans="1:2">
      <c r="A55471" s="3" t="str">
        <f>IFERROR(__xludf.DUMMYFUNCTION("GOOGLETRANSLATE(A55471,""en"",""pt"")"),"minúsculos, os lotes de recursos, grande clareza")</f>
        <v>minúsculos, os lotes de recursos, grande clareza</v>
      </c>
      <c r="B55471" s="3">
        <v>1</v>
      </c>
    </row>
    <row r="55472" ht="15.75" customHeight="1" spans="1:2">
      <c r="A55472" s="3" t="str">
        <f>IFERROR(__xludf.DUMMYFUNCTION("GOOGLETRANSLATE(A55472,""en"",""pt"")"),"Pequeno, peso leve telefone")</f>
        <v>Pequeno, peso leve telefone</v>
      </c>
      <c r="B55472" s="3">
        <v>1</v>
      </c>
    </row>
    <row r="55473" ht="15.75" customHeight="1" spans="1:2">
      <c r="A55473" s="3" t="str">
        <f>IFERROR(__xludf.DUMMYFUNCTION("GOOGLETRANSLATE(A55473,""en"",""pt"")"),"Pequeno, elegante, portátil, funcional, fácil de usar ...")</f>
        <v>Pequeno, elegante, portátil, funcional, fácil de usar ...</v>
      </c>
      <c r="B55473" s="3">
        <v>1</v>
      </c>
    </row>
    <row r="55474" ht="15.75" customHeight="1" spans="1:2">
      <c r="A55474" s="3" t="str">
        <f>IFERROR(__xludf.DUMMYFUNCTION("GOOGLETRANSLATE(A55474,""en"",""pt"")"),"O tamanho pequeno, fácil de usar, elegante")</f>
        <v>O tamanho pequeno, fácil de usar, elegante</v>
      </c>
      <c r="B55474" s="3">
        <v>1</v>
      </c>
    </row>
    <row r="55475" ht="15.75" customHeight="1" spans="1:2">
      <c r="A55475" s="3" t="str">
        <f>IFERROR(__xludf.DUMMYFUNCTION("GOOGLETRANSLATE(A55475,""en"",""pt"")"),"Minúsculo, confiável e intuitiva.")</f>
        <v>Minúsculo, confiável e intuitiva.</v>
      </c>
      <c r="B55475" s="3">
        <v>1</v>
      </c>
    </row>
    <row r="55476" ht="15.75" customHeight="1" spans="1:2">
      <c r="A55476" s="3" t="str">
        <f>IFERROR(__xludf.DUMMYFUNCTION("GOOGLETRANSLATE(A55476,""en"",""pt"")"),"uma peça muito útil")</f>
        <v>uma peça muito útil</v>
      </c>
      <c r="B55476" s="3">
        <v>1</v>
      </c>
    </row>
    <row r="55477" ht="15.75" customHeight="1" spans="1:2">
      <c r="A55477" s="3" t="str">
        <f>IFERROR(__xludf.DUMMYFUNCTION("GOOGLETRANSLATE(A55477,""en"",""pt"")"),"Tamanho pequeno")</f>
        <v>Tamanho pequeno</v>
      </c>
      <c r="B55477" s="3">
        <v>1</v>
      </c>
    </row>
    <row r="55478" ht="15.75" customHeight="1" spans="1:2">
      <c r="A55478" s="3" t="str">
        <f>IFERROR(__xludf.DUMMYFUNCTION("GOOGLETRANSLATE(A55478,""en"",""pt"")"),"pequeno, fácil de usar, barato")</f>
        <v>pequeno, fácil de usar, barato</v>
      </c>
      <c r="B55478" s="3">
        <v>1</v>
      </c>
    </row>
    <row r="55479" ht="15.75" customHeight="1" spans="1:2">
      <c r="A55479" s="3" t="str">
        <f>IFERROR(__xludf.DUMMYFUNCTION("GOOGLETRANSLATE(A55479,""en"",""pt"")"),"IR Porto, &amp; quot; Wearability &amp; quot;")</f>
        <v>IR Porto, &amp; quot; Wearability &amp; quot;</v>
      </c>
      <c r="B55479" s="3">
        <v>1</v>
      </c>
    </row>
    <row r="55480" ht="15.75" customHeight="1" spans="1:2">
      <c r="A55480" s="3" t="str">
        <f>IFERROR(__xludf.DUMMYFUNCTION("GOOGLETRANSLATE(A55480,""en"",""pt"")"),"Signal, Features, tudo!")</f>
        <v>Signal, Features, tudo!</v>
      </c>
      <c r="B55480" s="3">
        <v>1</v>
      </c>
    </row>
    <row r="55481" ht="15.75" customHeight="1" spans="1:2">
      <c r="A55481" s="3" t="str">
        <f>IFERROR(__xludf.DUMMYFUNCTION("GOOGLETRANSLATE(A55481,""en"",""pt"")"),"Pequenas, muitas funções")</f>
        <v>Pequenas, muitas funções</v>
      </c>
      <c r="B55481" s="3">
        <v>1</v>
      </c>
    </row>
    <row r="55482" ht="15.75" customHeight="1" spans="1:2">
      <c r="A55482" s="3" t="str">
        <f>IFERROR(__xludf.DUMMYFUNCTION("GOOGLETRANSLATE(A55482,""en"",""pt"")"),"peso, compacto, fácil de usar, características, recepção")</f>
        <v>peso, compacto, fácil de usar, características, recepção</v>
      </c>
      <c r="B55482" s="3">
        <v>1</v>
      </c>
    </row>
    <row r="55483" ht="15.75" customHeight="1" spans="1:2">
      <c r="A55483" s="3" t="str">
        <f>IFERROR(__xludf.DUMMYFUNCTION("GOOGLETRANSLATE(A55483,""en"",""pt"")"),"Pequeno, luz, muitos recursos, fácil de usar, bateria de longa duração")</f>
        <v>Pequeno, luz, muitos recursos, fácil de usar, bateria de longa duração</v>
      </c>
      <c r="B55483" s="3">
        <v>1</v>
      </c>
    </row>
    <row r="55484" ht="15.75" customHeight="1" spans="1:2">
      <c r="A55484" s="3" t="str">
        <f>IFERROR(__xludf.DUMMYFUNCTION("GOOGLETRANSLATE(A55484,""en"",""pt"")"),"Elegante, minúsculo, e pode mudar ao seu gosto")</f>
        <v>Elegante, minúsculo, e pode mudar ao seu gosto</v>
      </c>
      <c r="B55484" s="3">
        <v>1</v>
      </c>
    </row>
    <row r="55485" ht="15.75" customHeight="1" spans="1:2">
      <c r="A55485" s="3" t="str">
        <f>IFERROR(__xludf.DUMMYFUNCTION("GOOGLETRANSLATE(A55485,""en"",""pt"")"),"Excelentes características, compacto, muito user-friendly")</f>
        <v>Excelentes características, compacto, muito user-friendly</v>
      </c>
      <c r="B55485" s="3">
        <v>1</v>
      </c>
    </row>
    <row r="55486" ht="15.75" customHeight="1" spans="1:2">
      <c r="A55486" s="3" t="str">
        <f>IFERROR(__xludf.DUMMYFUNCTION("GOOGLETRANSLATE(A55486,""en"",""pt"")"),"único, fácil de transportar")</f>
        <v>único, fácil de transportar</v>
      </c>
      <c r="B55486" s="3">
        <v>1</v>
      </c>
    </row>
    <row r="55487" ht="15.75" customHeight="1" spans="1:2">
      <c r="A55487" s="3" t="str">
        <f>IFERROR(__xludf.DUMMYFUNCTION("GOOGLETRANSLATE(A55487,""en"",""pt"")"),"Pequeno, leve, vida útil da bateria")</f>
        <v>Pequeno, leve, vida útil da bateria</v>
      </c>
      <c r="B55487" s="3">
        <v>1</v>
      </c>
    </row>
    <row r="55488" ht="15.75" customHeight="1" spans="1:2">
      <c r="A55488" s="3" t="str">
        <f>IFERROR(__xludf.DUMMYFUNCTION("GOOGLETRANSLATE(A55488,""en"",""pt"")"),"Pequeno, extremamente portátil, elegante, muitos recursos")</f>
        <v>Pequeno, extremamente portátil, elegante, muitos recursos</v>
      </c>
      <c r="B55488" s="3">
        <v>1</v>
      </c>
    </row>
    <row r="55489" ht="15.75" customHeight="1" spans="1:2">
      <c r="A55489" s="3" t="str">
        <f>IFERROR(__xludf.DUMMYFUNCTION("GOOGLETRANSLATE(A55489,""en"",""pt"")"),"Tamanho pequeno")</f>
        <v>Tamanho pequeno</v>
      </c>
      <c r="B55489" s="3">
        <v>1</v>
      </c>
    </row>
    <row r="55490" ht="15.75" customHeight="1" spans="1:2">
      <c r="A55490" s="3" t="str">
        <f>IFERROR(__xludf.DUMMYFUNCTION("GOOGLETRANSLATE(A55490,""en"",""pt"")"),"Tamanho, tempo de conversação, Features, durável, elegante e fácil de modificar, etc.")</f>
        <v>Tamanho, tempo de conversação, Features, durável, elegante e fácil de modificar, etc.</v>
      </c>
      <c r="B55490" s="3">
        <v>1</v>
      </c>
    </row>
    <row r="55491" ht="15.75" customHeight="1" spans="1:2">
      <c r="A55491" s="3" t="str">
        <f>IFERROR(__xludf.DUMMYFUNCTION("GOOGLETRANSLATE(A55491,""en"",""pt"")"),"Boa")</f>
        <v>Boa</v>
      </c>
      <c r="B55491" s="3">
        <v>1</v>
      </c>
    </row>
    <row r="55492" ht="15.75" customHeight="1" spans="1:2">
      <c r="A55492" s="3" t="str">
        <f>IFERROR(__xludf.DUMMYFUNCTION("GOOGLETRANSLATE(A55492,""en"",""pt"")"),"Pequeno e leve. Todas as características que você realmente precisa de um telefone celular.")</f>
        <v>Pequeno e leve. Todas as características que você realmente precisa de um telefone celular.</v>
      </c>
      <c r="B55492" s="3">
        <v>1</v>
      </c>
    </row>
    <row r="55493" ht="15.75" customHeight="1" spans="1:2">
      <c r="A55493" s="3" t="str">
        <f>IFERROR(__xludf.DUMMYFUNCTION("GOOGLETRANSLATE(A55493,""en"",""pt"")"),"pequena, bonita, cargas de características e acessórios")</f>
        <v>pequena, bonita, cargas de características e acessórios</v>
      </c>
      <c r="B55493" s="3">
        <v>1</v>
      </c>
    </row>
    <row r="55494" ht="15.75" customHeight="1" spans="1:2">
      <c r="A55494" s="3" t="str">
        <f>IFERROR(__xludf.DUMMYFUNCTION("GOOGLETRANSLATE(A55494,""en"",""pt"")"),"tamanho pequeno, fresco olhar, headset")</f>
        <v>tamanho pequeno, fresco olhar, headset</v>
      </c>
      <c r="B55494" s="3">
        <v>1</v>
      </c>
    </row>
    <row r="55495" ht="15.75" customHeight="1" spans="1:2">
      <c r="A55495" s="3" t="str">
        <f>IFERROR(__xludf.DUMMYFUNCTION("GOOGLETRANSLATE(A55495,""en"",""pt"")"),"peso leve, discagem por voz, vibre, porta IR ativa, fácil de usar, e muito mais!")</f>
        <v>peso leve, discagem por voz, vibre, porta IR ativa, fácil de usar, e muito mais!</v>
      </c>
      <c r="B55495" s="3">
        <v>1</v>
      </c>
    </row>
    <row r="55496" ht="15.75" customHeight="1" spans="1:2">
      <c r="A55496" s="3" t="str">
        <f>IFERROR(__xludf.DUMMYFUNCTION("GOOGLETRANSLATE(A55496,""en"",""pt"")"),"Pequeno, extremamente leve, de boa qualidade de voz, uma boa recepção")</f>
        <v>Pequeno, extremamente leve, de boa qualidade de voz, uma boa recepção</v>
      </c>
      <c r="B55496" s="3">
        <v>1</v>
      </c>
    </row>
    <row r="55497" ht="15.75" customHeight="1" spans="1:2">
      <c r="A55497" s="3" t="str">
        <f>IFERROR(__xludf.DUMMYFUNCTION("GOOGLETRANSLATE(A55497,""en"",""pt"")"),"Pequeno, leve, fácil de usar, excelente recepção")</f>
        <v>Pequeno, leve, fácil de usar, excelente recepção</v>
      </c>
      <c r="B55497" s="3">
        <v>1</v>
      </c>
    </row>
    <row r="55498" ht="15.75" customHeight="1" spans="1:2">
      <c r="A55498" s="3" t="str">
        <f>IFERROR(__xludf.DUMMYFUNCTION("GOOGLETRANSLATE(A55498,""en"",""pt"")"),"Carrega rapidamente, pequeno e fácil de usar")</f>
        <v>Carrega rapidamente, pequeno e fácil de usar</v>
      </c>
      <c r="B55498" s="3">
        <v>1</v>
      </c>
    </row>
    <row r="55499" ht="15.75" customHeight="1" spans="1:2">
      <c r="A55499" s="3" t="str">
        <f>IFERROR(__xludf.DUMMYFUNCTION("GOOGLETRANSLATE(A55499,""en"",""pt"")"),"peso muito leve")</f>
        <v>peso muito leve</v>
      </c>
      <c r="B55499" s="3">
        <v>1</v>
      </c>
    </row>
    <row r="55500" ht="15.75" customHeight="1" spans="1:2">
      <c r="A55500" s="3" t="str">
        <f>IFERROR(__xludf.DUMMYFUNCTION("GOOGLETRANSLATE(A55500,""en"",""pt"")"),"Tamanho compacto, nenhuma antena externa, blt-in vibração")</f>
        <v>Tamanho compacto, nenhuma antena externa, blt-in vibração</v>
      </c>
      <c r="B55500" s="3">
        <v>1</v>
      </c>
    </row>
    <row r="55501" ht="15.75" customHeight="1" spans="1:2">
      <c r="A55501" s="3" t="str">
        <f>IFERROR(__xludf.DUMMYFUNCTION("GOOGLETRANSLATE(A55501,""en"",""pt"")"),"tamanho pequeno, nenhuma antena irritante, inclui bateria vibrando")</f>
        <v>tamanho pequeno, nenhuma antena irritante, inclui bateria vibrando</v>
      </c>
      <c r="B55501" s="3">
        <v>1</v>
      </c>
    </row>
    <row r="55502" ht="15.75" customHeight="1" spans="1:2">
      <c r="A55502" s="3" t="str">
        <f>IFERROR(__xludf.DUMMYFUNCTION("GOOGLETRANSLATE(A55502,""en"",""pt"")"),"luz,, reconhecimento de voz, a vida boa bateria pequena")</f>
        <v>luz,, reconhecimento de voz, a vida boa bateria pequena</v>
      </c>
      <c r="B55502" s="3">
        <v>1</v>
      </c>
    </row>
    <row r="55503" ht="15.75" customHeight="1" spans="1:2">
      <c r="A55503" s="3" t="str">
        <f>IFERROR(__xludf.DUMMYFUNCTION("GOOGLETRANSLATE(A55503,""en"",""pt"")"),"O tamanho pequeno fácil para os homens para transportar no seu bolso.")</f>
        <v>O tamanho pequeno fácil para os homens para transportar no seu bolso.</v>
      </c>
      <c r="B55503" s="3">
        <v>1</v>
      </c>
    </row>
    <row r="55504" ht="15.75" customHeight="1" spans="1:2">
      <c r="A55504" s="3" t="str">
        <f>IFERROR(__xludf.DUMMYFUNCTION("GOOGLETRANSLATE(A55504,""en"",""pt"")"),"Tamanho, características, causas olhares =)")</f>
        <v>Tamanho, características, causas olhares =)</v>
      </c>
      <c r="B55504" s="3">
        <v>1</v>
      </c>
    </row>
    <row r="55505" ht="15.75" customHeight="1" spans="1:2">
      <c r="A55505" s="3" t="str">
        <f>IFERROR(__xludf.DUMMYFUNCTION("GOOGLETRANSLATE(A55505,""en"",""pt"")"),"Pequeno, elegante e eficaz. Grande autonomia da bateria.")</f>
        <v>Pequeno, elegante e eficaz. Grande autonomia da bateria.</v>
      </c>
      <c r="B55505" s="3">
        <v>1</v>
      </c>
    </row>
    <row r="55506" ht="15.75" customHeight="1" spans="1:2">
      <c r="A55506" s="3" t="str">
        <f>IFERROR(__xludf.DUMMYFUNCTION("GOOGLETRANSLATE(A55506,""en"",""pt"")"),"Este telefone pode fazer mais truques do que um ato mágico!")</f>
        <v>Este telefone pode fazer mais truques do que um ato mágico!</v>
      </c>
      <c r="B55506" s="3">
        <v>1</v>
      </c>
    </row>
    <row r="55507" ht="15.75" customHeight="1" spans="1:2">
      <c r="A55507" s="3" t="str">
        <f>IFERROR(__xludf.DUMMYFUNCTION("GOOGLETRANSLATE(A55507,""en"",""pt"")"),"bonito, pequeno, pode mudar a aparência, mais opções de anel")</f>
        <v>bonito, pequeno, pode mudar a aparência, mais opções de anel</v>
      </c>
      <c r="B55507" s="3">
        <v>1</v>
      </c>
    </row>
    <row r="55508" ht="15.75" customHeight="1" spans="1:2">
      <c r="A55508" s="3" t="str">
        <f>IFERROR(__xludf.DUMMYFUNCTION("GOOGLETRANSLATE(A55508,""en"",""pt"")"),"grande Tamanho")</f>
        <v>grande Tamanho</v>
      </c>
      <c r="B55508" s="3">
        <v>1</v>
      </c>
    </row>
    <row r="55509" ht="15.75" customHeight="1" spans="1:2">
      <c r="A55509" s="3" t="str">
        <f>IFERROR(__xludf.DUMMYFUNCTION("GOOGLETRANSLATE(A55509,""en"",""pt"")"),"tamanho minúsculo, excelente cobertura nacional, muito barato, grandes recursos sms")</f>
        <v>tamanho minúsculo, excelente cobertura nacional, muito barato, grandes recursos sms</v>
      </c>
      <c r="B55509" s="3">
        <v>1</v>
      </c>
    </row>
    <row r="55510" ht="15.75" customHeight="1" spans="1:2">
      <c r="A55510" s="3" t="str">
        <f>IFERROR(__xludf.DUMMYFUNCTION("GOOGLETRANSLATE(A55510,""en"",""pt"")"),"Tamanho, tempo de conversação, Features, durável, elegante e fácil de modificar, etc.")</f>
        <v>Tamanho, tempo de conversação, Features, durável, elegante e fácil de modificar, etc.</v>
      </c>
      <c r="B55510" s="3">
        <v>1</v>
      </c>
    </row>
    <row r="55511" ht="15.75" customHeight="1" spans="1:2">
      <c r="A55511" s="3" t="str">
        <f>IFERROR(__xludf.DUMMYFUNCTION("GOOGLETRANSLATE(A55511,""en"",""pt"")"),"Baratos entre 8000 series")</f>
        <v>Baratos entre 8000 series</v>
      </c>
      <c r="B55511" s="3">
        <v>1</v>
      </c>
    </row>
    <row r="55512" ht="15.75" customHeight="1" spans="1:2">
      <c r="A55512" s="3" t="str">
        <f>IFERROR(__xludf.DUMMYFUNCTION("GOOGLETRANSLATE(A55512,""en"",""pt"")"),"Este telefone é tão tecnologicamente avançado, que tudo nele é um Pro!")</f>
        <v>Este telefone é tão tecnologicamente avançado, que tudo nele é um Pro!</v>
      </c>
      <c r="B55512" s="3">
        <v>1</v>
      </c>
    </row>
    <row r="55513" ht="15.75" customHeight="1" spans="1:2">
      <c r="A55513" s="3" t="str">
        <f>IFERROR(__xludf.DUMMYFUNCTION("GOOGLETRANSLATE(A55513,""en"",""pt"")"),"Pequeno e leve")</f>
        <v>Pequeno e leve</v>
      </c>
      <c r="B55513" s="3">
        <v>1</v>
      </c>
    </row>
    <row r="55514" ht="15.75" customHeight="1" spans="1:2">
      <c r="A55514" s="3" t="str">
        <f>IFERROR(__xludf.DUMMYFUNCTION("GOOGLETRANSLATE(A55514,""en"",""pt"")"),"ele se encaixa em qualquer lugar")</f>
        <v>ele se encaixa em qualquer lugar</v>
      </c>
      <c r="B55514" s="3">
        <v>1</v>
      </c>
    </row>
    <row r="55515" ht="15.75" customHeight="1" spans="1:2">
      <c r="A55515" s="3" t="str">
        <f>IFERROR(__xludf.DUMMYFUNCTION("GOOGLETRANSLATE(A55515,""en"",""pt"")"),"minúsculos, tampas mutáveis, menus animados, discagem por voz, INFARED")</f>
        <v>minúsculos, tampas mutáveis, menus animados, discagem por voz, INFARED</v>
      </c>
      <c r="B55515" s="3">
        <v>1</v>
      </c>
    </row>
    <row r="55516" ht="15.75" customHeight="1" spans="1:2">
      <c r="A55516" s="3" t="str">
        <f>IFERROR(__xludf.DUMMYFUNCTION("GOOGLETRANSLATE(A55516,""en"",""pt"")"),"Leve, pequeno e fácil de usar.")</f>
        <v>Leve, pequeno e fácil de usar.</v>
      </c>
      <c r="B55516" s="3">
        <v>1</v>
      </c>
    </row>
    <row r="55517" ht="15.75" customHeight="1" spans="1:2">
      <c r="A55517" s="3" t="str">
        <f>IFERROR(__xludf.DUMMYFUNCTION("GOOGLETRANSLATE(A55517,""en"",""pt"")"),"brinquedo divertido real, e bonito também")</f>
        <v>brinquedo divertido real, e bonito também</v>
      </c>
      <c r="B55517" s="3">
        <v>1</v>
      </c>
    </row>
    <row r="55518" ht="15.75" customHeight="1" spans="1:2">
      <c r="A55518" s="3" t="str">
        <f>IFERROR(__xludf.DUMMYFUNCTION("GOOGLETRANSLATE(A55518,""en"",""pt"")"),"Embalado com grande informação e software")</f>
        <v>Embalado com grande informação e software</v>
      </c>
      <c r="B55518" s="3">
        <v>1</v>
      </c>
    </row>
    <row r="55519" ht="15.75" customHeight="1" spans="1:2">
      <c r="A55519" s="3" t="str">
        <f>IFERROR(__xludf.DUMMYFUNCTION("GOOGLETRANSLATE(A55519,""en"",""pt"")"),"Luz, Sexy")</f>
        <v>Luz, Sexy</v>
      </c>
      <c r="B55519" s="3">
        <v>1</v>
      </c>
    </row>
    <row r="55520" ht="15.75" customHeight="1" spans="1:2">
      <c r="A55520" s="3" t="str">
        <f>IFERROR(__xludf.DUMMYFUNCTION("GOOGLETRANSLATE(A55520,""en"",""pt"")"),"Pequeno, repleto de recursos, alta &amp; quot; sex appeal &amp; quot;")</f>
        <v>Pequeno, repleto de recursos, alta &amp; quot; sex appeal &amp; quot;</v>
      </c>
      <c r="B55520" s="3">
        <v>1</v>
      </c>
    </row>
    <row r="55521" ht="15.75" customHeight="1" spans="1:2">
      <c r="A55521" s="3" t="str">
        <f>IFERROR(__xludf.DUMMYFUNCTION("GOOGLETRANSLATE(A55521,""en"",""pt"")"),"tamanho minúsculo, muito leve, grande tela, Nokia, uma boa recepção ...")</f>
        <v>tamanho minúsculo, muito leve, grande tela, Nokia, uma boa recepção ...</v>
      </c>
      <c r="B55521" s="3">
        <v>1</v>
      </c>
    </row>
    <row r="55522" ht="15.75" customHeight="1" spans="1:2">
      <c r="A55522" s="3" t="str">
        <f>IFERROR(__xludf.DUMMYFUNCTION("GOOGLETRANSLATE(A55522,""en"",""pt"")"),"claro, a escala, o custo, o tamanho")</f>
        <v>claro, a escala, o custo, o tamanho</v>
      </c>
      <c r="B55522" s="3">
        <v>1</v>
      </c>
    </row>
    <row r="55523" ht="15.75" customHeight="1" spans="1:2">
      <c r="A55523" s="3" t="str">
        <f>IFERROR(__xludf.DUMMYFUNCTION("GOOGLETRANSLATE(A55523,""en"",""pt"")"),"Pequeno, Carregado com características, fácil de usar, divertido para brincar")</f>
        <v>Pequeno, Carregado com características, fácil de usar, divertido para brincar</v>
      </c>
      <c r="B55523" s="3">
        <v>1</v>
      </c>
    </row>
    <row r="55524" ht="15.75" customHeight="1" spans="1:2">
      <c r="A55524" s="3" t="str">
        <f>IFERROR(__xludf.DUMMYFUNCTION("GOOGLETRANSLATE(A55524,""en"",""pt"")"),"Leve, pequeno, mais de 5 dias de vida da bateria.")</f>
        <v>Leve, pequeno, mais de 5 dias de vida da bateria.</v>
      </c>
      <c r="B55524" s="3">
        <v>1</v>
      </c>
    </row>
    <row r="55525" ht="15.75" customHeight="1" spans="1:2">
      <c r="A55525" s="3" t="str">
        <f>IFERROR(__xludf.DUMMYFUNCTION("GOOGLETRANSLATE(A55525,""en"",""pt"")"),"Grande tamanho, muito conveniente, extremamente amigável,")</f>
        <v>Grande tamanho, muito conveniente, extremamente amigável,</v>
      </c>
      <c r="B55525" s="3">
        <v>1</v>
      </c>
    </row>
    <row r="55526" ht="15.75" customHeight="1" spans="1:2">
      <c r="A55526" s="3" t="str">
        <f>IFERROR(__xludf.DUMMYFUNCTION("GOOGLETRANSLATE(A55526,""en"",""pt"")"),"Agradável!")</f>
        <v>Agradável!</v>
      </c>
      <c r="B55526" s="3">
        <v>1</v>
      </c>
    </row>
    <row r="55527" ht="15.75" customHeight="1" spans="1:2">
      <c r="A55527" s="3" t="str">
        <f>IFERROR(__xludf.DUMMYFUNCTION("GOOGLETRANSLATE(A55527,""en"",""pt"")"),"menor tamanho, grande funcionalidade, grande recepção, SMS e de texto preditivo uma brisa, boa vida útil da bateria.")</f>
        <v>menor tamanho, grande funcionalidade, grande recepção, SMS e de texto preditivo uma brisa, boa vida útil da bateria.</v>
      </c>
      <c r="B55527" s="3">
        <v>1</v>
      </c>
    </row>
    <row r="55528" ht="15.75" customHeight="1" spans="1:2">
      <c r="A55528" s="3" t="str">
        <f>IFERROR(__xludf.DUMMYFUNCTION("GOOGLETRANSLATE(A55528,""en"",""pt"")"),"O tamanho, muitos recursos, Lotes de toques")</f>
        <v>O tamanho, muitos recursos, Lotes de toques</v>
      </c>
      <c r="B55528" s="3">
        <v>1</v>
      </c>
    </row>
    <row r="55529" ht="15.75" customHeight="1" spans="1:2">
      <c r="A55529" s="3" t="str">
        <f>IFERROR(__xludf.DUMMYFUNCTION("GOOGLETRANSLATE(A55529,""en"",""pt"")"),"telefone muito bom")</f>
        <v>telefone muito bom</v>
      </c>
      <c r="B55529" s="3">
        <v>1</v>
      </c>
    </row>
    <row r="55530" ht="15.75" customHeight="1" spans="1:2">
      <c r="A55530" s="3" t="str">
        <f>IFERROR(__xludf.DUMMYFUNCTION("GOOGLETRANSLATE(A55530,""en"",""pt"")"),"Leve,, tempo de conversação longa pequeno e tempo de espera")</f>
        <v>Leve,, tempo de conversação longa pequeno e tempo de espera</v>
      </c>
      <c r="B55530" s="3">
        <v>1</v>
      </c>
    </row>
    <row r="55531" ht="15.75" customHeight="1" spans="1:2">
      <c r="A55531" s="3" t="s">
        <v>299</v>
      </c>
      <c r="B55531" s="3">
        <v>1</v>
      </c>
    </row>
    <row r="55532" ht="15.75" customHeight="1" spans="1:2">
      <c r="A55532" s="3" t="str">
        <f>IFERROR(__xludf.DUMMYFUNCTION("GOOGLETRANSLATE(A55532,""en"",""pt"")"),"TINY, boa bateria, preço decente, menus excelentes, qualidade de construção, faceplates")</f>
        <v>TINY, boa bateria, preço decente, menus excelentes, qualidade de construção, faceplates</v>
      </c>
      <c r="B55532" s="3">
        <v>1</v>
      </c>
    </row>
    <row r="55533" ht="15.75" customHeight="1" spans="1:2">
      <c r="A55533" s="3" t="str">
        <f>IFERROR(__xludf.DUMMYFUNCTION("GOOGLETRANSLATE(A55533,""en"",""pt"")"),"Leves, ótimos 007 impersonations")</f>
        <v>Leves, ótimos 007 impersonations</v>
      </c>
      <c r="B55533" s="3">
        <v>1</v>
      </c>
    </row>
    <row r="55534" ht="15.75" customHeight="1" spans="1:2">
      <c r="A55534" s="3" t="str">
        <f>IFERROR(__xludf.DUMMYFUNCTION("GOOGLETRANSLATE(A55534,""en"",""pt"")"),"tamanho, características, qualidade")</f>
        <v>tamanho, características, qualidade</v>
      </c>
      <c r="B55534" s="3">
        <v>1</v>
      </c>
    </row>
    <row r="55535" ht="15.75" customHeight="1" spans="1:2">
      <c r="A55535" s="3" t="str">
        <f>IFERROR(__xludf.DUMMYFUNCTION("GOOGLETRANSLATE(A55535,""en"",""pt"")"),"tons especiais")</f>
        <v>tons especiais</v>
      </c>
      <c r="B55535" s="3">
        <v>1</v>
      </c>
    </row>
    <row r="55536" ht="15.75" customHeight="1" spans="1:2">
      <c r="A55536" s="3" t="str">
        <f>IFERROR(__xludf.DUMMYFUNCTION("GOOGLETRANSLATE(A55536,""en"",""pt"")"),"o cooliest")</f>
        <v>o cooliest</v>
      </c>
      <c r="B55536" s="3">
        <v>1</v>
      </c>
    </row>
    <row r="55537" ht="15.75" customHeight="1" spans="1:2">
      <c r="A55537" s="3" t="str">
        <f>IFERROR(__xludf.DUMMYFUNCTION("GOOGLETRANSLATE(A55537,""en"",""pt"")"),"parece grande, pequeno")</f>
        <v>parece grande, pequeno</v>
      </c>
      <c r="B55537" s="3">
        <v>1</v>
      </c>
    </row>
    <row r="55538" ht="15.75" customHeight="1" spans="1:2">
      <c r="A55538" s="3" t="str">
        <f>IFERROR(__xludf.DUMMYFUNCTION("GOOGLETRANSLATE(A55538,""en"",""pt"")"),"Confiável, compacto, elegante, vários recursos realmente úteis ...")</f>
        <v>Confiável, compacto, elegante, vários recursos realmente úteis ...</v>
      </c>
      <c r="B55538" s="3">
        <v>1</v>
      </c>
    </row>
    <row r="55539" ht="15.75" customHeight="1" spans="1:2">
      <c r="A55539" s="3" t="str">
        <f>IFERROR(__xludf.DUMMYFUNCTION("GOOGLETRANSLATE(A55539,""en"",""pt"")"),"Elegante, Pequeno, casos mutáveis")</f>
        <v>Elegante, Pequeno, casos mutáveis</v>
      </c>
      <c r="B55539" s="3">
        <v>1</v>
      </c>
    </row>
    <row r="55540" ht="15.75" customHeight="1" spans="1:2">
      <c r="A55540" s="3" t="str">
        <f>IFERROR(__xludf.DUMMYFUNCTION("GOOGLETRANSLATE(A55540,""en"",""pt"")"),"ranhura Memorystick Duo, câmera digital, tela grande, PC sincronia, leitor de MP3, botão jog dial, Bluetooth.")</f>
        <v>ranhura Memorystick Duo, câmera digital, tela grande, PC sincronia, leitor de MP3, botão jog dial, Bluetooth.</v>
      </c>
      <c r="B55540" s="3">
        <v>1</v>
      </c>
    </row>
    <row r="55541" ht="15.75" customHeight="1" spans="1:2">
      <c r="A55541" s="3" t="str">
        <f>IFERROR(__xludf.DUMMYFUNCTION("GOOGLETRANSLATE(A55541,""en"",""pt"")"),"Design, Symbian OS 7.0, Câmera, Qualidade, teclado, Memory Stick Duo, tudo mais ...")</f>
        <v>Design, Symbian OS 7.0, Câmera, Qualidade, teclado, Memory Stick Duo, tudo mais ...</v>
      </c>
      <c r="B55541" s="3">
        <v>1</v>
      </c>
    </row>
    <row r="55542" ht="15.75" customHeight="1" spans="1:2">
      <c r="A55542" s="3" t="str">
        <f>IFERROR(__xludf.DUMMYFUNCTION("GOOGLETRANSLATE(A55542,""en"",""pt"")"),"fator de forma, PDA possui, acesso à Internet")</f>
        <v>fator de forma, PDA possui, acesso à Internet</v>
      </c>
      <c r="B55542" s="3">
        <v>1</v>
      </c>
    </row>
    <row r="55543" ht="15.75" customHeight="1" spans="1:2">
      <c r="A55543" s="3" t="str">
        <f>IFERROR(__xludf.DUMMYFUNCTION("GOOGLETRANSLATE(A55543,""en"",""pt"")"),"PDA, cores, Bluetooth, GPRS, câmera")</f>
        <v>PDA, cores, Bluetooth, GPRS, câmera</v>
      </c>
      <c r="B55543" s="3">
        <v>1</v>
      </c>
    </row>
    <row r="55544" ht="15.75" customHeight="1" spans="1:2">
      <c r="A55544" s="3" t="str">
        <f>IFERROR(__xludf.DUMMYFUNCTION("GOOGLETRANSLATE(A55544,""en"",""pt"")"),"dispositivo avançado com câmera e telefone Tri-band.")</f>
        <v>dispositivo avançado com câmera e telefone Tri-band.</v>
      </c>
      <c r="B55544" s="3">
        <v>1</v>
      </c>
    </row>
    <row r="55545" ht="15.75" customHeight="1" spans="1:2">
      <c r="A55545" s="3" t="str">
        <f>IFERROR(__xludf.DUMMYFUNCTION("GOOGLETRANSLATE(A55545,""en"",""pt"")"),"puro carregador, bateria, cartões de memória, jogos, internet, teclado, câmera, todas as outras características ...")</f>
        <v>puro carregador, bateria, cartões de memória, jogos, internet, teclado, câmera, todas as outras características ...</v>
      </c>
      <c r="B55545" s="3">
        <v>1</v>
      </c>
    </row>
    <row r="55546" ht="15.75" customHeight="1" spans="1:2">
      <c r="A55546" s="3" t="str">
        <f>IFERROR(__xludf.DUMMYFUNCTION("GOOGLETRANSLATE(A55546,""en"",""pt"")"),"Excelente PDA e funções do telefone, design agradável, muito confiável.")</f>
        <v>Excelente PDA e funções do telefone, design agradável, muito confiável.</v>
      </c>
      <c r="B55546" s="3">
        <v>1</v>
      </c>
    </row>
    <row r="55547" ht="15.75" customHeight="1" spans="1:2">
      <c r="A55547" s="3" t="str">
        <f>IFERROR(__xludf.DUMMYFUNCTION("GOOGLETRANSLATE(A55547,""en"",""pt"")"),"Toneladas de funcionalidades / recursos para o seu tamanho médio.")</f>
        <v>Toneladas de funcionalidades / recursos para o seu tamanho médio.</v>
      </c>
      <c r="B55547" s="3">
        <v>1</v>
      </c>
    </row>
    <row r="55548" ht="15.75" customHeight="1" spans="1:2">
      <c r="A55548" s="3" t="str">
        <f>IFERROR(__xludf.DUMMYFUNCTION("GOOGLETRANSLATE(A55548,""en"",""pt"")"),"Relativamente pequeno fator de forma para a classe. características muito abrangente.")</f>
        <v>Relativamente pequeno fator de forma para a classe. características muito abrangente.</v>
      </c>
      <c r="B55548" s="3">
        <v>1</v>
      </c>
    </row>
    <row r="55549" ht="15.75" customHeight="1" spans="1:2">
      <c r="A55549" s="3" t="str">
        <f>IFERROR(__xludf.DUMMYFUNCTION("GOOGLETRANSLATE(A55549,""en"",""pt"")"),"PDA com World Phone, excelente conectividade (IR, Bluetooth, GPRS, WAP)")</f>
        <v>PDA com World Phone, excelente conectividade (IR, Bluetooth, GPRS, WAP)</v>
      </c>
      <c r="B55549" s="3">
        <v>1</v>
      </c>
    </row>
    <row r="55550" ht="15.75" customHeight="1" spans="1:2">
      <c r="A55550" s="3" t="str">
        <f>IFERROR(__xludf.DUMMYFUNCTION("GOOGLETRANSLATE(A55550,""en"",""pt"")"),"câmera digital, tela grande, colorido")</f>
        <v>câmera digital, tela grande, colorido</v>
      </c>
      <c r="B55550" s="3">
        <v>1</v>
      </c>
    </row>
    <row r="55551" ht="15.75" customHeight="1" spans="1:2">
      <c r="A55551" s="3" t="str">
        <f>IFERROR(__xludf.DUMMYFUNCTION("GOOGLETRANSLATE(A55551,""en"",""pt"")"),"Telefone, PDA, câmera, Acesso à Internet - tudo em um único dispositivo.")</f>
        <v>Telefone, PDA, câmera, Acesso à Internet - tudo em um único dispositivo.</v>
      </c>
      <c r="B55551" s="3">
        <v>1</v>
      </c>
    </row>
    <row r="55552" ht="15.75" customHeight="1" spans="1:2">
      <c r="A55552" s="3" t="str">
        <f>IFERROR(__xludf.DUMMYFUNCTION("GOOGLETRANSLATE(A55552,""en"",""pt"")"),"Alta tecnologia, pequeno, grande garantia")</f>
        <v>Alta tecnologia, pequeno, grande garantia</v>
      </c>
      <c r="B55552" s="3">
        <v>1</v>
      </c>
    </row>
    <row r="55553" ht="15.75" customHeight="1" spans="1:2">
      <c r="A55553" s="3" t="str">
        <f>IFERROR(__xludf.DUMMYFUNCTION("GOOGLETRANSLATE(A55553,""en"",""pt"")"),"Vasta gama de funcionalidades incluídas")</f>
        <v>Vasta gama de funcionalidades incluídas</v>
      </c>
      <c r="B55553" s="3">
        <v>1</v>
      </c>
    </row>
    <row r="55554" ht="15.75" customHeight="1" spans="1:2">
      <c r="A55554" s="3" t="str">
        <f>IFERROR(__xludf.DUMMYFUNCTION("GOOGLETRANSLATE(A55554,""en"",""pt"")"),"Barato")</f>
        <v>Barato</v>
      </c>
      <c r="B55554" s="3">
        <v>1</v>
      </c>
    </row>
    <row r="55555" ht="15.75" customHeight="1" spans="1:2">
      <c r="A55555" s="3" t="str">
        <f>IFERROR(__xludf.DUMMYFUNCTION("GOOGLETRANSLATE(A55555,""en"",""pt"")"),"tempo de conversação longa; exibição agradável; Bom som e comandos")</f>
        <v>tempo de conversação longa; exibição agradável; Bom som e comandos</v>
      </c>
      <c r="B55555" s="3">
        <v>1</v>
      </c>
    </row>
    <row r="55556" ht="15.75" customHeight="1" spans="1:2">
      <c r="A55556" s="3" t="str">
        <f>IFERROR(__xludf.DUMMYFUNCTION("GOOGLETRANSLATE(A55556,""en"",""pt"")"),"Elegante, melhorou de 4400, maior duração da bateria, boa tela, cinto melhorou")</f>
        <v>Elegante, melhorou de 4400, maior duração da bateria, boa tela, cinto melhorou</v>
      </c>
      <c r="B55556" s="3">
        <v>1</v>
      </c>
    </row>
    <row r="55557" ht="15.75" customHeight="1" spans="1:2">
      <c r="A55557" s="3" t="str">
        <f>IFERROR(__xludf.DUMMYFUNCTION("GOOGLETRANSLATE(A55557,""en"",""pt"")"),"Tamanho, clareza de vozes de viva-voz, ecrã a cores nítidas.")</f>
        <v>Tamanho, clareza de vozes de viva-voz, ecrã a cores nítidas.</v>
      </c>
      <c r="B55557" s="3">
        <v>1</v>
      </c>
    </row>
    <row r="55558" ht="15.75" customHeight="1" spans="1:2">
      <c r="A55558" s="3" t="str">
        <f>IFERROR(__xludf.DUMMYFUNCTION("GOOGLETRANSLATE(A55558,""en"",""pt"")"),"tecnologia de ativação de voz é grande; qualidade alto-falante é excelente.")</f>
        <v>tecnologia de ativação de voz é grande; qualidade alto-falante é excelente.</v>
      </c>
      <c r="B55558" s="3">
        <v>1</v>
      </c>
    </row>
    <row r="55559" ht="15.75" customHeight="1" spans="1:2">
      <c r="A55559" s="3" t="str">
        <f>IFERROR(__xludf.DUMMYFUNCTION("GOOGLETRANSLATE(A55559,""en"",""pt"")"),"ativação de voz, tela grande, boa aparência, boa recepção")</f>
        <v>ativação de voz, tela grande, boa aparência, boa recepção</v>
      </c>
      <c r="B55559" s="3">
        <v>1</v>
      </c>
    </row>
    <row r="55560" ht="15.75" customHeight="1" spans="1:2">
      <c r="A55560" s="3" t="str">
        <f>IFERROR(__xludf.DUMMYFUNCTION("GOOGLETRANSLATE(A55560,""en"",""pt"")"),"Parece legal.")</f>
        <v>Parece legal.</v>
      </c>
      <c r="B55560" s="3">
        <v>1</v>
      </c>
    </row>
    <row r="55561" ht="15.75" customHeight="1" spans="1:2">
      <c r="A55561" s="3" t="str">
        <f>IFERROR(__xludf.DUMMYFUNCTION("GOOGLETRANSLATE(A55561,""en"",""pt"")"),"Grande voz, dois de LCD, aplicativos para download, a abundância de ringtones.")</f>
        <v>Grande voz, dois de LCD, aplicativos para download, a abundância de ringtones.</v>
      </c>
      <c r="B55561" s="3">
        <v>1</v>
      </c>
    </row>
    <row r="55562" ht="15.75" customHeight="1" spans="1:2">
      <c r="A55562" s="3" t="str">
        <f>IFERROR(__xludf.DUMMYFUNCTION("GOOGLETRANSLATE(A55562,""en"",""pt"")"),"reconhecimento fantástica voz, comandos de voz, recepção, clareza, tamanho.")</f>
        <v>reconhecimento fantástica voz, comandos de voz, recepção, clareza, tamanho.</v>
      </c>
      <c r="B55562" s="3">
        <v>1</v>
      </c>
    </row>
    <row r="55563" ht="15.75" customHeight="1" spans="1:2">
      <c r="A55563" s="3" t="str">
        <f>IFERROR(__xludf.DUMMYFUNCTION("GOOGLETRANSLATE(A55563,""en"",""pt"")"),"Grande qualidade das chamadas e recepção. Eu amo o modo de condução !!")</f>
        <v>Grande qualidade das chamadas e recepção. Eu amo o modo de condução !!</v>
      </c>
      <c r="B55563" s="3">
        <v>1</v>
      </c>
    </row>
    <row r="55564" ht="15.75" customHeight="1" spans="1:2">
      <c r="A55564" s="3" t="str">
        <f>IFERROR(__xludf.DUMMYFUNCTION("GOOGLETRANSLATE(A55564,""en"",""pt"")"),"construção sólida, grandes botões bem espaçados, grande voz, som de qualidade telefone fixo, campainha alto")</f>
        <v>construção sólida, grandes botões bem espaçados, grande voz, som de qualidade telefone fixo, campainha alto</v>
      </c>
      <c r="B55564" s="3">
        <v>1</v>
      </c>
    </row>
    <row r="55565" ht="15.75" customHeight="1" spans="1:2">
      <c r="A55565" s="3" t="str">
        <f>IFERROR(__xludf.DUMMYFUNCTION("GOOGLETRANSLATE(A55565,""en"",""pt"")"),"viva-voz de alta qualidade, tecnologia de comando de voz reconhecimento, Get-It-Now habilitado")</f>
        <v>viva-voz de alta qualidade, tecnologia de comando de voz reconhecimento, Get-It-Now habilitado</v>
      </c>
      <c r="B55565" s="3">
        <v>1</v>
      </c>
    </row>
    <row r="55566" ht="15.75" customHeight="1" spans="1:2">
      <c r="A55566" s="3" t="str">
        <f>IFERROR(__xludf.DUMMYFUNCTION("GOOGLETRANSLATE(A55566,""en"",""pt"")"),"grande telefone")</f>
        <v>grande telefone</v>
      </c>
      <c r="B55566" s="3">
        <v>1</v>
      </c>
    </row>
    <row r="55567" ht="15.75" customHeight="1" spans="1:2">
      <c r="A55567" s="3" t="str">
        <f>IFERROR(__xludf.DUMMYFUNCTION("GOOGLETRANSLATE(A55567,""en"",""pt"")"),"Todos os recursos precisam i para a comunicação cotidiana")</f>
        <v>Todos os recursos precisam i para a comunicação cotidiana</v>
      </c>
      <c r="B55567" s="3">
        <v>1</v>
      </c>
    </row>
    <row r="55568" ht="15.75" customHeight="1" spans="1:2">
      <c r="A55568" s="3" t="str">
        <f>IFERROR(__xludf.DUMMYFUNCTION("GOOGLETRANSLATE(A55568,""en"",""pt"")"),"Leve, fino, bom conjunto de recursos, boa tela clareza")</f>
        <v>Leve, fino, bom conjunto de recursos, boa tela clareza</v>
      </c>
      <c r="B55568" s="3">
        <v>1</v>
      </c>
    </row>
    <row r="55569" ht="15.75" customHeight="1" spans="1:2">
      <c r="A55569" s="3" t="str">
        <f>IFERROR(__xludf.DUMMYFUNCTION("GOOGLETRANSLATE(A55569,""en"",""pt"")"),"Nice apresenta, bem pensado")</f>
        <v>Nice apresenta, bem pensado</v>
      </c>
      <c r="B55569" s="3">
        <v>1</v>
      </c>
    </row>
    <row r="55570" ht="15.75" customHeight="1" spans="1:2">
      <c r="A55570" s="3" t="str">
        <f>IFERROR(__xludf.DUMMYFUNCTION("GOOGLETRANSLATE(A55570,""en"",""pt"")"),"alto-falante, campainha alto, vários números de telefone para cada contato")</f>
        <v>alto-falante, campainha alto, vários números de telefone para cada contato</v>
      </c>
      <c r="B55570" s="3">
        <v>1</v>
      </c>
    </row>
    <row r="55571" ht="15.75" customHeight="1" spans="1:2">
      <c r="A55571" s="3" t="str">
        <f>IFERROR(__xludf.DUMMYFUNCTION("GOOGLETRANSLATE(A55571,""en"",""pt"")"),"Grande básico do telefone - Serviço de Verizon e de sinal")</f>
        <v>Grande básico do telefone - Serviço de Verizon e de sinal</v>
      </c>
      <c r="B55571" s="3">
        <v>1</v>
      </c>
    </row>
    <row r="55572" ht="15.75" customHeight="1" spans="1:2">
      <c r="A55572" s="3" t="str">
        <f>IFERROR(__xludf.DUMMYFUNCTION("GOOGLETRANSLATE(A55572,""en"",""pt"")"),"Bonito - viva-voz pura.")</f>
        <v>Bonito - viva-voz pura.</v>
      </c>
      <c r="B55572" s="3">
        <v>1</v>
      </c>
    </row>
    <row r="55573" ht="15.75" customHeight="1" spans="1:2">
      <c r="A55573" s="3" t="str">
        <f>IFERROR(__xludf.DUMMYFUNCTION("GOOGLETRANSLATE(A55573,""en"",""pt"")"),"telefone atraente, com cargas de recursos.")</f>
        <v>telefone atraente, com cargas de recursos.</v>
      </c>
      <c r="B55573" s="3">
        <v>1</v>
      </c>
    </row>
    <row r="55574" ht="15.75" customHeight="1" spans="1:2">
      <c r="A55574" s="3" t="str">
        <f>IFERROR(__xludf.DUMMYFUNCTION("GOOGLETRANSLATE(A55574,""en"",""pt"")"),"viva-voz, a qualidade de voz, operação intuitiva")</f>
        <v>viva-voz, a qualidade de voz, operação intuitiva</v>
      </c>
      <c r="B55574" s="3">
        <v>1</v>
      </c>
    </row>
    <row r="55575" ht="15.75" customHeight="1" spans="1:2">
      <c r="A55575" s="3" t="str">
        <f>IFERROR(__xludf.DUMMYFUNCTION("GOOGLETRANSLATE(A55575,""en"",""pt"")"),", Tela clara simples de usar")</f>
        <v>, Tela clara simples de usar</v>
      </c>
      <c r="B55575" s="3">
        <v>1</v>
      </c>
    </row>
    <row r="55576" ht="15.75" customHeight="1" spans="1:2">
      <c r="A55576" s="3" t="str">
        <f>IFERROR(__xludf.DUMMYFUNCTION("GOOGLETRANSLATE(A55576,""en"",""pt"")"),"excelente viva-voz, durabilidade, fácil de usar")</f>
        <v>excelente viva-voz, durabilidade, fácil de usar</v>
      </c>
      <c r="B55576" s="3">
        <v>1</v>
      </c>
    </row>
    <row r="55577" ht="15.75" customHeight="1" spans="1:2">
      <c r="A55577" s="3" t="str">
        <f>IFERROR(__xludf.DUMMYFUNCTION("GOOGLETRANSLATE(A55577,""en"",""pt"")"),"campainha alto, alto-falante, ícones bonitos para chamadores")</f>
        <v>campainha alto, alto-falante, ícones bonitos para chamadores</v>
      </c>
      <c r="B55577" s="3">
        <v>1</v>
      </c>
    </row>
    <row r="55578" ht="15.75" customHeight="1" spans="1:2">
      <c r="A55578" s="3" t="str">
        <f>IFERROR(__xludf.DUMMYFUNCTION("GOOGLETRANSLATE(A55578,""en"",""pt"")"),"construção de qualidade, boa forma e sensação. livro de endereços decente. Boa viva-voz.")</f>
        <v>construção de qualidade, boa forma e sensação. livro de endereços decente. Boa viva-voz.</v>
      </c>
      <c r="B55578" s="3">
        <v>1</v>
      </c>
    </row>
    <row r="55579" ht="15.75" customHeight="1" spans="1:2">
      <c r="A55579" s="3" t="str">
        <f>IFERROR(__xludf.DUMMYFUNCTION("GOOGLETRANSLATE(A55579,""en"",""pt"")"),"viva-voz, identificador de chamadas, pequeno no tamanho, cada um chamador tem próprio ringtone")</f>
        <v>viva-voz, identificador de chamadas, pequeno no tamanho, cada um chamador tem próprio ringtone</v>
      </c>
      <c r="B55579" s="3">
        <v>1</v>
      </c>
    </row>
    <row r="55580" ht="15.75" customHeight="1" spans="1:2">
      <c r="A55580" s="3" t="str">
        <f>IFERROR(__xludf.DUMMYFUNCTION("GOOGLETRANSLATE(A55580,""en"",""pt"")"),"Nenhum!")</f>
        <v>Nenhum!</v>
      </c>
      <c r="B55580" s="3">
        <v>1</v>
      </c>
    </row>
    <row r="55581" ht="15.75" customHeight="1" spans="1:2">
      <c r="A55581" s="3" t="str">
        <f>IFERROR(__xludf.DUMMYFUNCTION("GOOGLETRANSLATE(A55581,""en"",""pt"")"),"Estilo, cor, peso e SERVIÇO")</f>
        <v>Estilo, cor, peso e SERVIÇO</v>
      </c>
      <c r="B55581" s="3">
        <v>1</v>
      </c>
    </row>
    <row r="55582" ht="15.75" customHeight="1" spans="1:2">
      <c r="A55582" s="3" t="str">
        <f>IFERROR(__xludf.DUMMYFUNCTION("GOOGLETRANSLATE(A55582,""en"",""pt"")"),"Viva-voz, bom preço, peso leve")</f>
        <v>Viva-voz, bom preço, peso leve</v>
      </c>
      <c r="B55582" s="3">
        <v>1</v>
      </c>
    </row>
    <row r="55583" ht="15.75" customHeight="1" spans="1:2">
      <c r="A55583" s="3" t="str">
        <f>IFERROR(__xludf.DUMMYFUNCTION("GOOGLETRANSLATE(A55583,""en"",""pt"")"),"Big Keys, tela nítida, fácil de usar, tudo!")</f>
        <v>Big Keys, tela nítida, fácil de usar, tudo!</v>
      </c>
      <c r="B55583" s="3">
        <v>1</v>
      </c>
    </row>
    <row r="55584" ht="15.75" customHeight="1" spans="1:2">
      <c r="A55584" s="3" t="str">
        <f>IFERROR(__xludf.DUMMYFUNCTION("GOOGLETRANSLATE(A55584,""en"",""pt"")"),"viva-voz alto, recursos de personalização, user friendly, parece ser bom.")</f>
        <v>viva-voz alto, recursos de personalização, user friendly, parece ser bom.</v>
      </c>
      <c r="B55584" s="3">
        <v>1</v>
      </c>
    </row>
    <row r="55585" ht="15.75" customHeight="1" spans="1:2">
      <c r="A55585" s="3" t="str">
        <f>IFERROR(__xludf.DUMMYFUNCTION("GOOGLETRANSLATE(A55585,""en"",""pt"")"),"Grande voz, reconhecimento de voz maravilhosa.")</f>
        <v>Grande voz, reconhecimento de voz maravilhosa.</v>
      </c>
      <c r="B55585" s="3">
        <v>1</v>
      </c>
    </row>
    <row r="55586" ht="15.75" customHeight="1" spans="1:2">
      <c r="A55586" s="3" t="str">
        <f>IFERROR(__xludf.DUMMYFUNCTION("GOOGLETRANSLATE(A55586,""en"",""pt"")"),"tela colorida agradável com simples menu fácil de usar.")</f>
        <v>tela colorida agradável com simples menu fácil de usar.</v>
      </c>
      <c r="B55586" s="3">
        <v>1</v>
      </c>
    </row>
    <row r="55587" ht="15.75" customHeight="1" spans="1:2">
      <c r="A55587" s="3" t="str">
        <f>IFERROR(__xludf.DUMMYFUNCTION("GOOGLETRANSLATE(A55587,""en"",""pt"")"),"Faz chamadas.")</f>
        <v>Faz chamadas.</v>
      </c>
      <c r="B55587" s="3">
        <v>1</v>
      </c>
    </row>
    <row r="55588" ht="15.75" customHeight="1" spans="1:2">
      <c r="A55588" s="3" t="str">
        <f>IFERROR(__xludf.DUMMYFUNCTION("GOOGLETRANSLATE(A55588,""en"",""pt"")"),"4.096 cores de exibição,")</f>
        <v>4.096 cores de exibição,</v>
      </c>
      <c r="B55588" s="3">
        <v>1</v>
      </c>
    </row>
    <row r="55589" ht="15.75" customHeight="1" spans="1:2">
      <c r="A55589" s="3" t="str">
        <f>IFERROR(__xludf.DUMMYFUNCTION("GOOGLETRANSLATE(A55589,""en"",""pt"")"),"recepção, a vida da bateria, viva-voz")</f>
        <v>recepção, a vida da bateria, viva-voz</v>
      </c>
      <c r="B55589" s="3">
        <v>1</v>
      </c>
    </row>
    <row r="55590" ht="15.75" customHeight="1" spans="1:2">
      <c r="A55590" s="3" t="str">
        <f>IFERROR(__xludf.DUMMYFUNCTION("GOOGLETRANSLATE(A55590,""en"",""pt"")"),"Durabilidade, Clareza, a vida da bateria")</f>
        <v>Durabilidade, Clareza, a vida da bateria</v>
      </c>
      <c r="B55590" s="3">
        <v>1</v>
      </c>
    </row>
    <row r="55591" ht="15.75" customHeight="1" spans="1:2">
      <c r="A55591" s="3" t="str">
        <f>IFERROR(__xludf.DUMMYFUNCTION("GOOGLETRANSLATE(A55591,""en"",""pt"")"),"Recepção, a vida da bateria, Speaker, User Friendly")</f>
        <v>Recepção, a vida da bateria, Speaker, User Friendly</v>
      </c>
      <c r="B55591" s="3">
        <v>1</v>
      </c>
    </row>
    <row r="55592" ht="15.75" customHeight="1" spans="1:2">
      <c r="A55592" s="3" t="str">
        <f>IFERROR(__xludf.DUMMYFUNCTION("GOOGLETRANSLATE(A55592,""en"",""pt"")"),"O telefone tem trabalhado super e é relativamente fácil de usar!")</f>
        <v>O telefone tem trabalhado super e é relativamente fácil de usar!</v>
      </c>
      <c r="B55592" s="3">
        <v>1</v>
      </c>
    </row>
    <row r="55593" ht="15.75" customHeight="1" spans="1:2">
      <c r="A55593" s="3" t="str">
        <f>IFERROR(__xludf.DUMMYFUNCTION("GOOGLETRANSLATE(A55593,""en"",""pt"")"),"RECEPÇÃO!!! Visibilidade, tamanho")</f>
        <v>RECEPÇÃO!!! Visibilidade, tamanho</v>
      </c>
      <c r="B55593" s="3">
        <v>1</v>
      </c>
    </row>
    <row r="55594" ht="15.75" customHeight="1" spans="1:2">
      <c r="A55594" s="3" t="str">
        <f>IFERROR(__xludf.DUMMYFUNCTION("GOOGLETRANSLATE(A55594,""en"",""pt"")"),"Bateria, tela grande, roda navagation,")</f>
        <v>Bateria, tela grande, roda navagation,</v>
      </c>
      <c r="B55594" s="3">
        <v>1</v>
      </c>
    </row>
    <row r="55595" ht="15.75" customHeight="1" spans="1:2">
      <c r="A55595" s="3" t="str">
        <f>IFERROR(__xludf.DUMMYFUNCTION("GOOGLETRANSLATE(A55595,""en"",""pt"")"),"Sinal mais forte de qualquer telefone Sprint!")</f>
        <v>Sinal mais forte de qualquer telefone Sprint!</v>
      </c>
      <c r="B55595" s="3">
        <v>1</v>
      </c>
    </row>
    <row r="55596" ht="15.75" customHeight="1" spans="1:2">
      <c r="A55596" s="3" t="str">
        <f>IFERROR(__xludf.DUMMYFUNCTION("GOOGLETRANSLATE(A55596,""en"",""pt"")"),"O tamanho pequeno, bem construído, alto-res tela, rádio FM")</f>
        <v>O tamanho pequeno, bem construído, alto-res tela, rádio FM</v>
      </c>
      <c r="B55596" s="3">
        <v>1</v>
      </c>
    </row>
    <row r="55597" ht="15.75" customHeight="1" spans="1:2">
      <c r="A55597" s="3" t="str">
        <f>IFERROR(__xludf.DUMMYFUNCTION("GOOGLETRANSLATE(A55597,""en"",""pt"")"),"Pequeno, peso leve, arrefecer tela azul, tela de alta resolução, bem construído, e olhar de negócios.")</f>
        <v>Pequeno, peso leve, arrefecer tela azul, tela de alta resolução, bem construído, e olhar de negócios.</v>
      </c>
      <c r="B55597" s="3">
        <v>1</v>
      </c>
    </row>
    <row r="55598" ht="15.75" customHeight="1" spans="1:2">
      <c r="A55598" s="3" t="str">
        <f>IFERROR(__xludf.DUMMYFUNCTION("GOOGLETRANSLATE(A55598,""en"",""pt"")"),"luz, minúsculo, bem construído, o carregamento rápido, tela de alta res")</f>
        <v>luz, minúsculo, bem construído, o carregamento rápido, tela de alta res</v>
      </c>
      <c r="B55598" s="3">
        <v>1</v>
      </c>
    </row>
    <row r="55599" ht="15.75" customHeight="1" spans="1:2">
      <c r="A55599" s="3" t="str">
        <f>IFERROR(__xludf.DUMMYFUNCTION("GOOGLETRANSLATE(A55599,""en"",""pt"")"),"Pequeno, leve, cheio de recursos, grande autonomia da bateria.")</f>
        <v>Pequeno, leve, cheio de recursos, grande autonomia da bateria.</v>
      </c>
      <c r="B55599" s="3">
        <v>1</v>
      </c>
    </row>
    <row r="55600" ht="15.75" customHeight="1" spans="1:2">
      <c r="A55600" s="3" t="str">
        <f>IFERROR(__xludf.DUMMYFUNCTION("GOOGLETRANSLATE(A55600,""en"",""pt"")"),"Tamanho, Nokia UserInterface, recursos")</f>
        <v>Tamanho, Nokia UserInterface, recursos</v>
      </c>
      <c r="B55600" s="3">
        <v>1</v>
      </c>
    </row>
    <row r="55601" ht="15.75" customHeight="1" spans="1:2">
      <c r="A55601" s="3" t="str">
        <f>IFERROR(__xludf.DUMMYFUNCTION("GOOGLETRANSLATE(A55601,""en"",""pt"")"),"lotes de características, tamanho compacto")</f>
        <v>lotes de características, tamanho compacto</v>
      </c>
      <c r="B55601" s="3">
        <v>1</v>
      </c>
    </row>
    <row r="55602" ht="15.75" customHeight="1" spans="1:2">
      <c r="A55602" s="3" t="str">
        <f>IFERROR(__xludf.DUMMYFUNCTION("GOOGLETRANSLATE(A55602,""en"",""pt"")"),"Pequeno, leve, fácil de usar")</f>
        <v>Pequeno, leve, fácil de usar</v>
      </c>
      <c r="B55602" s="3">
        <v>1</v>
      </c>
    </row>
    <row r="55603" ht="15.75" customHeight="1" spans="1:2">
      <c r="A55603" s="3" t="str">
        <f>IFERROR(__xludf.DUMMYFUNCTION("GOOGLETRANSLATE(A55603,""en"",""pt"")"),"compacto, elegante, muitas características como web sem fio, jogos, sms e muito mais.")</f>
        <v>compacto, elegante, muitas características como web sem fio, jogos, sms e muito mais.</v>
      </c>
      <c r="B55603" s="3">
        <v>1</v>
      </c>
    </row>
    <row r="55604" ht="15.75" customHeight="1" spans="1:2">
      <c r="A55604" s="3" t="str">
        <f>IFERROR(__xludf.DUMMYFUNCTION("GOOGLETRANSLATE(A55604,""en"",""pt"")"),"tela de alta resolução.")</f>
        <v>tela de alta resolução.</v>
      </c>
      <c r="B55604" s="3">
        <v>1</v>
      </c>
    </row>
    <row r="55605" ht="15.75" customHeight="1" spans="1:2">
      <c r="A55605" s="3" t="str">
        <f>IFERROR(__xludf.DUMMYFUNCTION("GOOGLETRANSLATE(A55605,""en"",""pt"")"),", Design resistente extremamente elegante; oi-res tela.")</f>
        <v>, Design resistente extremamente elegante; oi-res tela.</v>
      </c>
      <c r="B55605" s="3">
        <v>1</v>
      </c>
    </row>
    <row r="55606" ht="15.75" customHeight="1" spans="1:2">
      <c r="A55606" s="3" t="str">
        <f>IFERROR(__xludf.DUMMYFUNCTION("GOOGLETRANSLATE(A55606,""en"",""pt"")"),"Nokia sabe como construir telefones celulares sólidos")</f>
        <v>Nokia sabe como construir telefones celulares sólidos</v>
      </c>
      <c r="B55606" s="3">
        <v>1</v>
      </c>
    </row>
    <row r="55607" ht="15.75" customHeight="1" spans="1:2">
      <c r="A55607" s="3" t="str">
        <f>IFERROR(__xludf.DUMMYFUNCTION("GOOGLETRANSLATE(A55607,""en"",""pt"")"),"Pequeno, grandes recursos")</f>
        <v>Pequeno, grandes recursos</v>
      </c>
      <c r="B55607" s="3">
        <v>1</v>
      </c>
    </row>
    <row r="55608" ht="15.75" customHeight="1" spans="1:2">
      <c r="A55608" s="3" t="str">
        <f>IFERROR(__xludf.DUMMYFUNCTION("GOOGLETRANSLATE(A55608,""en"",""pt"")"),"Tamanho, a vida da bateria, Rádio, fácil de usar")</f>
        <v>Tamanho, a vida da bateria, Rádio, fácil de usar</v>
      </c>
      <c r="B55608" s="3">
        <v>1</v>
      </c>
    </row>
    <row r="55609" ht="15.75" customHeight="1" spans="1:2">
      <c r="A55609" s="3" t="str">
        <f>IFERROR(__xludf.DUMMYFUNCTION("GOOGLETRANSLATE(A55609,""en"",""pt"")"),"Lotes de tempo de conversação; Menor telefone eu encontrei; GSM; construção sólida")</f>
        <v>Lotes de tempo de conversação; Menor telefone eu encontrei; GSM; construção sólida</v>
      </c>
      <c r="B55609" s="3">
        <v>1</v>
      </c>
    </row>
    <row r="55610" ht="15.75" customHeight="1" spans="1:2">
      <c r="A55610" s="3" t="str">
        <f>IFERROR(__xludf.DUMMYFUNCTION("GOOGLETRANSLATE(A55610,""en"",""pt"")"),"doce e pequena")</f>
        <v>doce e pequena</v>
      </c>
      <c r="B55610" s="3">
        <v>1</v>
      </c>
    </row>
    <row r="55611" ht="15.75" customHeight="1" spans="1:2">
      <c r="A55611" s="3" t="str">
        <f>IFERROR(__xludf.DUMMYFUNCTION("GOOGLETRANSLATE(A55611,""en"",""pt"")"),"Excelente recepção, compacto, intuitivo, toda a Nokia apresenta sabemos e amor.")</f>
        <v>Excelente recepção, compacto, intuitivo, toda a Nokia apresenta sabemos e amor.</v>
      </c>
      <c r="B55611" s="3">
        <v>1</v>
      </c>
    </row>
    <row r="55612" ht="15.75" customHeight="1" spans="1:2">
      <c r="A55612" s="3" t="str">
        <f>IFERROR(__xludf.DUMMYFUNCTION("GOOGLETRANSLATE(A55612,""en"",""pt"")"),"Veja acima.")</f>
        <v>Veja acima.</v>
      </c>
      <c r="B55612" s="3">
        <v>1</v>
      </c>
    </row>
    <row r="55613" ht="15.75" customHeight="1" spans="1:2">
      <c r="A55613" s="3" t="str">
        <f>IFERROR(__xludf.DUMMYFUNCTION("GOOGLETRANSLATE(A55613,""en"",""pt"")"),"Acidentada, boa aparência, boa bateria, excelente recepção.")</f>
        <v>Acidentada, boa aparência, boa bateria, excelente recepção.</v>
      </c>
      <c r="B55613" s="3">
        <v>1</v>
      </c>
    </row>
    <row r="55614" ht="15.75" customHeight="1" spans="1:2">
      <c r="A55614" s="3" t="str">
        <f>IFERROR(__xludf.DUMMYFUNCTION("GOOGLETRANSLATE(A55614,""en"",""pt"")"),"Bom desempenho de RF.")</f>
        <v>Bom desempenho de RF.</v>
      </c>
      <c r="B55614" s="3">
        <v>1</v>
      </c>
    </row>
    <row r="55615" ht="15.75" customHeight="1" spans="1:2">
      <c r="A55615" s="3" t="str">
        <f>IFERROR(__xludf.DUMMYFUNCTION("GOOGLETRANSLATE(A55615,""en"",""pt"")"),"Super durável, carga de bateria rápida, grandes cores e resolução de tela, a variabilidade do volume")</f>
        <v>Super durável, carga de bateria rápida, grandes cores e resolução de tela, a variabilidade do volume</v>
      </c>
      <c r="B55615" s="3">
        <v>1</v>
      </c>
    </row>
    <row r="55616" ht="15.75" customHeight="1" spans="1:2">
      <c r="A55616" s="3" t="str">
        <f>IFERROR(__xludf.DUMMYFUNCTION("GOOGLETRANSLATE(A55616,""en"",""pt"")"),"revestimento de borracha / aperto, altifalante, monitor fora")</f>
        <v>revestimento de borracha / aperto, altifalante, monitor fora</v>
      </c>
      <c r="B55616" s="3">
        <v>1</v>
      </c>
    </row>
    <row r="55617" ht="15.75" customHeight="1" spans="1:2">
      <c r="A55617" s="3" t="str">
        <f>IFERROR(__xludf.DUMMYFUNCTION("GOOGLETRANSLATE(A55617,""en"",""pt"")"),"Acidentada, visual arrojado. Boa mensagens de texto.")</f>
        <v>Acidentada, visual arrojado. Boa mensagens de texto.</v>
      </c>
      <c r="B55617" s="3">
        <v>1</v>
      </c>
    </row>
    <row r="55618" ht="15.75" customHeight="1" spans="1:2">
      <c r="A55618" s="3" t="str">
        <f>IFERROR(__xludf.DUMMYFUNCTION("GOOGLETRANSLATE(A55618,""en"",""pt"")"),"lados duráveis ​​(de borracha) e um design elegante.")</f>
        <v>lados duráveis ​​(de borracha) e um design elegante.</v>
      </c>
      <c r="B55618" s="3">
        <v>1</v>
      </c>
    </row>
    <row r="55619" ht="15.75" customHeight="1" spans="1:2">
      <c r="A55619" s="3" t="str">
        <f>IFERROR(__xludf.DUMMYFUNCTION("GOOGLETRANSLATE(A55619,""en"",""pt"")"),"Eu não consigo pensar em nenhum.")</f>
        <v>Eu não consigo pensar em nenhum.</v>
      </c>
      <c r="B55619" s="3">
        <v>1</v>
      </c>
    </row>
    <row r="55620" ht="15.75" customHeight="1" spans="1:2">
      <c r="A55620" s="3" t="str">
        <f>IFERROR(__xludf.DUMMYFUNCTION("GOOGLETRANSLATE(A55620,""en"",""pt"")"),"vida útil da bateria, funciona ok com os locais centric web mais de telefone, viva-voz decente.")</f>
        <v>vida útil da bateria, funciona ok com os locais centric web mais de telefone, viva-voz decente.</v>
      </c>
      <c r="B55620" s="3">
        <v>1</v>
      </c>
    </row>
    <row r="55621" ht="15.75" customHeight="1" spans="1:2">
      <c r="A55621" s="3" t="str">
        <f>IFERROR(__xludf.DUMMYFUNCTION("GOOGLETRANSLATE(A55621,""en"",""pt"")"),"Fácil de usar e navegar. Este telefone é um grande trunfo")</f>
        <v>Fácil de usar e navegar. Este telefone é um grande trunfo</v>
      </c>
      <c r="B55621" s="3">
        <v>1</v>
      </c>
    </row>
    <row r="55622" ht="15.75" customHeight="1" spans="1:2">
      <c r="A55622" s="3" t="str">
        <f>IFERROR(__xludf.DUMMYFUNCTION("GOOGLETRANSLATE(A55622,""en"",""pt"")"),"O tamanho pequeno, fácil de usar, opção de câmera, recursos de email, boa bateria")</f>
        <v>O tamanho pequeno, fácil de usar, opção de câmera, recursos de email, boa bateria</v>
      </c>
      <c r="B55622" s="3">
        <v>1</v>
      </c>
    </row>
    <row r="55623" ht="15.75" customHeight="1" spans="1:2">
      <c r="A55623" s="3" t="str">
        <f>IFERROR(__xludf.DUMMYFUNCTION("GOOGLETRANSLATE(A55623,""en"",""pt"")"),"Qualidade toques polifônicos, câmera decente, uma boa recepção.")</f>
        <v>Qualidade toques polifônicos, câmera decente, uma boa recepção.</v>
      </c>
      <c r="B55623" s="3">
        <v>1</v>
      </c>
    </row>
    <row r="55624" ht="15.75" customHeight="1" spans="1:2">
      <c r="A55624" s="3" t="str">
        <f>IFERROR(__xludf.DUMMYFUNCTION("GOOGLETRANSLATE(A55624,""en"",""pt"")"),"Elegante, pequeno, facilidade de uso")</f>
        <v>Elegante, pequeno, facilidade de uso</v>
      </c>
      <c r="B55624" s="3">
        <v>1</v>
      </c>
    </row>
    <row r="55625" ht="15.75" customHeight="1" spans="1:2">
      <c r="A55625" s="3" t="str">
        <f>IFERROR(__xludf.DUMMYFUNCTION("GOOGLETRANSLATE(A55625,""en"",""pt"")"),"Pequeno, lisos olhando, grande dentro da tela")</f>
        <v>Pequeno, lisos olhando, grande dentro da tela</v>
      </c>
      <c r="B55625" s="3">
        <v>1</v>
      </c>
    </row>
    <row r="55626" ht="15.75" customHeight="1" spans="1:2">
      <c r="A55626" s="3" t="str">
        <f>IFERROR(__xludf.DUMMYFUNCTION("GOOGLETRANSLATE(A55626,""en"",""pt"")"),"características quase ilimitadas em um minúsculo, telefone colorido câmera!")</f>
        <v>características quase ilimitadas em um minúsculo, telefone colorido câmera!</v>
      </c>
      <c r="B55626" s="3">
        <v>1</v>
      </c>
    </row>
    <row r="55627" ht="15.75" customHeight="1" spans="1:2">
      <c r="A55627" s="3" t="str">
        <f>IFERROR(__xludf.DUMMYFUNCTION("GOOGLETRANSLATE(A55627,""en"",""pt"")"),"Screen, Bluetooth, tamanho, preço")</f>
        <v>Screen, Bluetooth, tamanho, preço</v>
      </c>
      <c r="B55627" s="3">
        <v>1</v>
      </c>
    </row>
    <row r="55628" ht="15.75" customHeight="1" spans="1:2">
      <c r="A55628" s="3" t="str">
        <f>IFERROR(__xludf.DUMMYFUNCTION("GOOGLETRANSLATE(A55628,""en"",""pt"")"),"Bateria, tela, câmera, organizador")</f>
        <v>Bateria, tela, câmera, organizador</v>
      </c>
      <c r="B55628" s="3">
        <v>1</v>
      </c>
    </row>
    <row r="55629" ht="15.75" customHeight="1" spans="1:2">
      <c r="A55629" s="3" t="str">
        <f>IFERROR(__xludf.DUMMYFUNCTION("GOOGLETRANSLATE(A55629,""en"",""pt"")"),"Design, qualidade de construção, tudo o que recursos")</f>
        <v>Design, qualidade de construção, tudo o que recursos</v>
      </c>
      <c r="B55629" s="3">
        <v>1</v>
      </c>
    </row>
    <row r="55630" ht="15.75" customHeight="1" spans="1:2">
      <c r="A55630" s="3" t="str">
        <f>IFERROR(__xludf.DUMMYFUNCTION("GOOGLETRANSLATE(A55630,""en"",""pt"")"),"Design, qualidade, tela de cor, tamanho, chamadas em conferência, preço, notas 'stickies', copie SIM, conectibilidade USB")</f>
        <v>Design, qualidade, tela de cor, tamanho, chamadas em conferência, preço, notas 'stickies', copie SIM, conectibilidade USB</v>
      </c>
      <c r="B55630" s="3">
        <v>1</v>
      </c>
    </row>
    <row r="55631" ht="15.75" customHeight="1" spans="1:2">
      <c r="A55631" s="3" t="str">
        <f>IFERROR(__xludf.DUMMYFUNCTION("GOOGLETRANSLATE(A55631,""en"",""pt"")"),"Câmera, livro de telefone, jogos, 'internet'")</f>
        <v>Câmera, livro de telefone, jogos, 'internet'</v>
      </c>
      <c r="B55631" s="3">
        <v>1</v>
      </c>
    </row>
    <row r="55632" ht="15.75" customHeight="1" spans="1:2">
      <c r="A55632" s="3" t="str">
        <f>IFERROR(__xludf.DUMMYFUNCTION("GOOGLETRANSLATE(A55632,""en"",""pt"")"),"Elegante, construção sólida, beaucoups funcionalidade.")</f>
        <v>Elegante, construção sólida, beaucoups funcionalidade.</v>
      </c>
      <c r="B55632" s="3">
        <v>1</v>
      </c>
    </row>
    <row r="55633" ht="15.75" customHeight="1" spans="1:2">
      <c r="A55633" s="3" t="str">
        <f>IFERROR(__xludf.DUMMYFUNCTION("GOOGLETRANSLATE(A55633,""en"",""pt"")"),"sistema de menu rápido e fácil, tela bem grande, toneladas de recursos")</f>
        <v>sistema de menu rápido e fácil, tela bem grande, toneladas de recursos</v>
      </c>
      <c r="B55633" s="3">
        <v>1</v>
      </c>
    </row>
    <row r="55634" ht="15.75" customHeight="1" spans="1:2">
      <c r="A55634" s="3" t="str">
        <f>IFERROR(__xludf.DUMMYFUNCTION("GOOGLETRANSLATE(A55634,""en"",""pt"")"),"Crisp, tela brilhante / excelente som / Bluetooth / excelente funcionalidade")</f>
        <v>Crisp, tela brilhante / excelente som / Bluetooth / excelente funcionalidade</v>
      </c>
      <c r="B55634" s="3">
        <v>1</v>
      </c>
    </row>
    <row r="55635" ht="15.75" customHeight="1" spans="1:2">
      <c r="A55635" s="3" t="str">
        <f>IFERROR(__xludf.DUMMYFUNCTION("GOOGLETRANSLATE(A55635,""en"",""pt"")"),"Muitos recursos, câmera, tamanho muito pequeno.")</f>
        <v>Muitos recursos, câmera, tamanho muito pequeno.</v>
      </c>
      <c r="B55635" s="3">
        <v>1</v>
      </c>
    </row>
    <row r="55636" ht="15.75" customHeight="1" spans="1:2">
      <c r="A55636" s="3" t="str">
        <f>IFERROR(__xludf.DUMMYFUNCTION("GOOGLETRANSLATE(A55636,""en"",""pt"")"),"tela linda, design legal corpo, muito fácil de câmera uso, IMAP / cliente de e-mail POP.")</f>
        <v>tela linda, design legal corpo, muito fácil de câmera uso, IMAP / cliente de e-mail POP.</v>
      </c>
      <c r="B55636" s="3">
        <v>1</v>
      </c>
    </row>
    <row r="55637" ht="15.75" customHeight="1" spans="1:2">
      <c r="A55637" s="3" t="str">
        <f>IFERROR(__xludf.DUMMYFUNCTION("GOOGLETRANSLATE(A55637,""en"",""pt"")"),"elegante, fácil de carregar, grande exibição, muitos recursos, construção robusta")</f>
        <v>elegante, fácil de carregar, grande exibição, muitos recursos, construção robusta</v>
      </c>
      <c r="B55637" s="3">
        <v>1</v>
      </c>
    </row>
    <row r="55638" ht="15.75" customHeight="1" spans="1:2">
      <c r="A55638" s="3" t="str">
        <f>IFERROR(__xludf.DUMMYFUNCTION("GOOGLETRANSLATE(A55638,""en"",""pt"")"),"Característica embalada, jog dial é muito útil, excelente grande e visor colorido LCD")</f>
        <v>Característica embalada, jog dial é muito útil, excelente grande e visor colorido LCD</v>
      </c>
      <c r="B55638" s="3">
        <v>1</v>
      </c>
    </row>
    <row r="55639" ht="15.75" customHeight="1" spans="1:2">
      <c r="A55639" s="3" t="str">
        <f>IFERROR(__xludf.DUMMYFUNCTION("GOOGLETRANSLATE(A55639,""en"",""pt"")"),"O tamanho pequeno, 65.536 tela, bluetooth, ect")</f>
        <v>O tamanho pequeno, 65.536 tela, bluetooth, ect</v>
      </c>
      <c r="B55639" s="3">
        <v>1</v>
      </c>
    </row>
    <row r="55640" ht="15.75" customHeight="1" spans="1:2">
      <c r="A55640" s="3" t="str">
        <f>IFERROR(__xludf.DUMMYFUNCTION("GOOGLETRANSLATE(A55640,""en"",""pt"")"),"menus intuitivos, design elegante, bom equilíbrio de recursos")</f>
        <v>menus intuitivos, design elegante, bom equilíbrio de recursos</v>
      </c>
      <c r="B55640" s="3">
        <v>1</v>
      </c>
    </row>
    <row r="55641" ht="15.75" customHeight="1" spans="1:2">
      <c r="A55641" s="3" t="str">
        <f>IFERROR(__xludf.DUMMYFUNCTION("GOOGLETRANSLATE(A55641,""en"",""pt"")"),"Imagem função proporciona, tem a função de alarme alto o suficiente para me acordar de manhã")</f>
        <v>Imagem função proporciona, tem a função de alarme alto o suficiente para me acordar de manhã</v>
      </c>
      <c r="B55641" s="3">
        <v>1</v>
      </c>
    </row>
    <row r="55642" ht="15.75" customHeight="1" spans="1:2">
      <c r="A55642" s="3" t="str">
        <f>IFERROR(__xludf.DUMMYFUNCTION("GOOGLETRANSLATE(A55642,""en"",""pt"")"),"Sexy e bem feita. Longa longa bateria de longa duração. Parece bom.")</f>
        <v>Sexy e bem feita. Longa longa bateria de longa duração. Parece bom.</v>
      </c>
      <c r="B55642" s="3">
        <v>1</v>
      </c>
    </row>
    <row r="55643" ht="15.75" customHeight="1" spans="1:2">
      <c r="A55643" s="3" t="str">
        <f>IFERROR(__xludf.DUMMYFUNCTION("GOOGLETRANSLATE(A55643,""en"",""pt"")"),"O tamanho pequeno, boa bateria durável, controle de voz.")</f>
        <v>O tamanho pequeno, boa bateria durável, controle de voz.</v>
      </c>
      <c r="B55643" s="3">
        <v>1</v>
      </c>
    </row>
    <row r="55644" ht="15.75" customHeight="1" spans="1:2">
      <c r="A55644" s="3" t="str">
        <f>IFERROR(__xludf.DUMMYFUNCTION("GOOGLETRANSLATE(A55644,""en"",""pt"")"),"bonito, lotes de guloseimas, pode transferir fotografias para o computador Bluetooth em um piscar de olhos")</f>
        <v>bonito, lotes de guloseimas, pode transferir fotografias para o computador Bluetooth em um piscar de olhos</v>
      </c>
      <c r="B55644" s="3">
        <v>1</v>
      </c>
    </row>
    <row r="55645" ht="15.75" customHeight="1" spans="1:2">
      <c r="A55645" s="3" t="str">
        <f>IFERROR(__xludf.DUMMYFUNCTION("GOOGLETRANSLATE(A55645,""en"",""pt"")"),"Relativa durabilidade, estética, tamanho, conectividade, características, câmera")</f>
        <v>Relativa durabilidade, estética, tamanho, conectividade, características, câmera</v>
      </c>
      <c r="B55645" s="3">
        <v>1</v>
      </c>
    </row>
    <row r="55646" ht="15.75" customHeight="1" spans="1:2">
      <c r="A55646" s="3" t="str">
        <f>IFERROR(__xludf.DUMMYFUNCTION("GOOGLETRANSLATE(A55646,""en"",""pt"")"),"Conectividade através Bluetooth / infravermelho; O design elegante, sexy; A vida da bateria; strenth e sinal de chamada de volume; Bonita.")</f>
        <v>Conectividade através Bluetooth / infravermelho; O design elegante, sexy; A vida da bateria; strenth e sinal de chamada de volume; Bonita.</v>
      </c>
      <c r="B55646" s="3">
        <v>1</v>
      </c>
    </row>
    <row r="55647" ht="15.75" customHeight="1" spans="1:2">
      <c r="A55647" s="3" t="str">
        <f>IFERROR(__xludf.DUMMYFUNCTION("GOOGLETRANSLATE(A55647,""en"",""pt"")"),"acabamento de qualidade e solidamente construído, interface de grande atraente, bateria dura tempo loooong")</f>
        <v>acabamento de qualidade e solidamente construído, interface de grande atraente, bateria dura tempo loooong</v>
      </c>
      <c r="B55647" s="3">
        <v>1</v>
      </c>
    </row>
    <row r="55648" ht="15.75" customHeight="1" spans="1:2">
      <c r="A55648" s="3" t="str">
        <f>IFERROR(__xludf.DUMMYFUNCTION("GOOGLETRANSLATE(A55648,""en"",""pt"")"),"Câmera, gravador de áudio, calendário, notas, temas customizados, boa recepção, áudio claro")</f>
        <v>Câmera, gravador de áudio, calendário, notas, temas customizados, boa recepção, áudio claro</v>
      </c>
      <c r="B55648" s="3">
        <v>1</v>
      </c>
    </row>
    <row r="55649" ht="15.75" customHeight="1" spans="1:2">
      <c r="A55649" s="3" t="str">
        <f>IFERROR(__xludf.DUMMYFUNCTION("GOOGLETRANSLATE(A55649,""en"",""pt"")"),"Durabilidade. Design de interface.")</f>
        <v>Durabilidade. Design de interface.</v>
      </c>
      <c r="B55649" s="3">
        <v>1</v>
      </c>
    </row>
    <row r="55650" ht="15.75" customHeight="1" spans="1:2">
      <c r="A55650" s="3" t="str">
        <f>IFERROR(__xludf.DUMMYFUNCTION("GOOGLETRANSLATE(A55650,""en"",""pt"")"),"gráficos, câmera quality.size. qualidade de cor. Bons toques e volume. Muitos recursos.")</f>
        <v>gráficos, câmera quality.size. qualidade de cor. Bons toques e volume. Muitos recursos.</v>
      </c>
      <c r="B55650" s="3">
        <v>1</v>
      </c>
    </row>
    <row r="55651" ht="15.75" customHeight="1" spans="1:2">
      <c r="A55651" s="3" t="str">
        <f>IFERROR(__xludf.DUMMYFUNCTION("GOOGLETRANSLATE(A55651,""en"",""pt"")"),"Fone de ouvido de volume, a duração da bateria, fator whizzy gee")</f>
        <v>Fone de ouvido de volume, a duração da bateria, fator whizzy gee</v>
      </c>
      <c r="B55651" s="3">
        <v>1</v>
      </c>
    </row>
    <row r="55652" ht="15.75" customHeight="1" spans="1:2">
      <c r="A55652" s="3" t="str">
        <f>IFERROR(__xludf.DUMMYFUNCTION("GOOGLETRANSLATE(A55652,""en"",""pt"")"),"projeto do escudo, vibrante tela, Bluetooth, câmera, Swiss-Army como características.")</f>
        <v>projeto do escudo, vibrante tela, Bluetooth, câmera, Swiss-Army como características.</v>
      </c>
      <c r="B55652" s="3">
        <v>1</v>
      </c>
    </row>
    <row r="55653" ht="15.75" customHeight="1" spans="1:2">
      <c r="A55653" s="3" t="str">
        <f>IFERROR(__xludf.DUMMYFUNCTION("GOOGLETRANSLATE(A55653,""en"",""pt"")"),"Muito leve, características úteis, excelente qualidade.")</f>
        <v>Muito leve, características úteis, excelente qualidade.</v>
      </c>
      <c r="B55653" s="3">
        <v>1</v>
      </c>
    </row>
    <row r="55654" ht="15.75" customHeight="1" spans="1:2">
      <c r="A55654" s="3" t="str">
        <f>IFERROR(__xludf.DUMMYFUNCTION("GOOGLETRANSLATE(A55654,""en"",""pt"")"),"aparência incrivelmente elegante, compacto e robusto, câmera, bateria boa, grande som")</f>
        <v>aparência incrivelmente elegante, compacto e robusto, câmera, bateria boa, grande som</v>
      </c>
      <c r="B55654" s="3">
        <v>1</v>
      </c>
    </row>
    <row r="55655" ht="15.75" customHeight="1" spans="1:2">
      <c r="A55655" s="3" t="str">
        <f>IFERROR(__xludf.DUMMYFUNCTION("GOOGLETRANSLATE(A55655,""en"",""pt"")"),"Pequeno, fácil de usar, características agradáveis, fácil e conectividade flexível para PC etc.")</f>
        <v>Pequeno, fácil de usar, características agradáveis, fácil e conectividade flexível para PC etc.</v>
      </c>
      <c r="B55655" s="3">
        <v>1</v>
      </c>
    </row>
    <row r="55656" ht="15.75" customHeight="1" spans="1:2">
      <c r="A55656" s="3" t="str">
        <f>IFERROR(__xludf.DUMMYFUNCTION("GOOGLETRANSLATE(A55656,""en"",""pt"")"),"características superiores, Bluetooth, câmera, chamada qualidade, design e tamanho pequeno, com tela grande.")</f>
        <v>características superiores, Bluetooth, câmera, chamada qualidade, design e tamanho pequeno, com tela grande.</v>
      </c>
      <c r="B55656" s="3">
        <v>1</v>
      </c>
    </row>
    <row r="55657" ht="15.75" customHeight="1" spans="1:2">
      <c r="A55657" s="3" t="str">
        <f>IFERROR(__xludf.DUMMYFUNCTION("GOOGLETRANSLATE(A55657,""en"",""pt"")"),"Tela, Recursos, Qualidade")</f>
        <v>Tela, Recursos, Qualidade</v>
      </c>
      <c r="B55657" s="3">
        <v>1</v>
      </c>
    </row>
    <row r="55658" ht="15.75" customHeight="1" spans="1:2">
      <c r="A55658" s="3" t="str">
        <f>IFERROR(__xludf.DUMMYFUNCTION("GOOGLETRANSLATE(A55658,""en"",""pt"")"),"características jam-embalados; Barato")</f>
        <v>características jam-embalados; Barato</v>
      </c>
      <c r="B55658" s="3">
        <v>1</v>
      </c>
    </row>
    <row r="55659" ht="15.75" customHeight="1" spans="1:2">
      <c r="A55659" s="3" t="str">
        <f>IFERROR(__xludf.DUMMYFUNCTION("GOOGLETRANSLATE(A55659,""en"",""pt"")"),"O tamanho pequeno, discagem por voz, grandes opções, bluetooth, livre da AT &amp; Twireless.com")</f>
        <v>O tamanho pequeno, discagem por voz, grandes opções, bluetooth, livre da AT &amp; Twireless.com</v>
      </c>
      <c r="B55659" s="3">
        <v>1</v>
      </c>
    </row>
    <row r="55660" ht="15.75" customHeight="1" spans="1:2">
      <c r="A55660" s="3" t="str">
        <f>IFERROR(__xludf.DUMMYFUNCTION("GOOGLETRANSLATE(A55660,""en"",""pt"")"),"Fino e elegante, câmera interna, boa clareza do som, bluetooth, clássico Sony apresenta.")</f>
        <v>Fino e elegante, câmera interna, boa clareza do som, bluetooth, clássico Sony apresenta.</v>
      </c>
      <c r="B55660" s="3">
        <v>1</v>
      </c>
    </row>
    <row r="55661" ht="15.75" customHeight="1" spans="1:2">
      <c r="A55661" s="3" t="str">
        <f>IFERROR(__xludf.DUMMYFUNCTION("GOOGLETRANSLATE(A55661,""en"",""pt"")"),"Durabilidade, Big Screen, Bluetooth, infravermelho para muitos lista também!")</f>
        <v>Durabilidade, Big Screen, Bluetooth, infravermelho para muitos lista também!</v>
      </c>
      <c r="B55661" s="3">
        <v>1</v>
      </c>
    </row>
    <row r="55662" ht="15.75" customHeight="1" spans="1:2">
      <c r="A55662" s="3" t="str">
        <f>IFERROR(__xludf.DUMMYFUNCTION("GOOGLETRANSLATE(A55662,""en"",""pt"")"),"intuitivo sistema operacional, fácil de usar, boa vida útil da bateria.")</f>
        <v>intuitivo sistema operacional, fácil de usar, boa vida útil da bateria.</v>
      </c>
      <c r="B55662" s="3">
        <v>1</v>
      </c>
    </row>
    <row r="55663" ht="15.75" customHeight="1" spans="1:2">
      <c r="A55663" s="3" t="str">
        <f>IFERROR(__xludf.DUMMYFUNCTION("GOOGLETRANSLATE(A55663,""en"",""pt"")"),"tamanho, bluetooth")</f>
        <v>tamanho, bluetooth</v>
      </c>
      <c r="B55663" s="3">
        <v>1</v>
      </c>
    </row>
    <row r="55664" ht="15.75" customHeight="1" spans="1:2">
      <c r="A55664" s="3" t="str">
        <f>IFERROR(__xludf.DUMMYFUNCTION("GOOGLETRANSLATE(A55664,""en"",""pt"")"),"Boa aparência, menu de fácil utilização, lotes de características, boa fast-carregamento da bateria.")</f>
        <v>Boa aparência, menu de fácil utilização, lotes de características, boa fast-carregamento da bateria.</v>
      </c>
      <c r="B55664" s="3">
        <v>1</v>
      </c>
    </row>
    <row r="55665" ht="15.75" customHeight="1" spans="1:2">
      <c r="A55665" s="3" t="str">
        <f>IFERROR(__xludf.DUMMYFUNCTION("GOOGLETRANSLATE(A55665,""en"",""pt"")"),"Compactos - boa câmera - botões acessíveis - parece ser bom.")</f>
        <v>Compactos - boa câmera - botões acessíveis - parece ser bom.</v>
      </c>
      <c r="B55665" s="3">
        <v>1</v>
      </c>
    </row>
    <row r="55666" ht="15.75" customHeight="1" spans="1:2">
      <c r="A55666" s="3" t="str">
        <f>IFERROR(__xludf.DUMMYFUNCTION("GOOGLETRANSLATE(A55666,""en"",""pt"")"),"aparência legal")</f>
        <v>aparência legal</v>
      </c>
      <c r="B55666" s="3">
        <v>1</v>
      </c>
    </row>
    <row r="55667" ht="15.75" customHeight="1" spans="1:2">
      <c r="A55667" s="3" t="str">
        <f>IFERROR(__xludf.DUMMYFUNCTION("GOOGLETRANSLATE(A55667,""en"",""pt"")"),"Pequeno, boa tela a cores, parece legal.")</f>
        <v>Pequeno, boa tela a cores, parece legal.</v>
      </c>
      <c r="B55667" s="3">
        <v>1</v>
      </c>
    </row>
    <row r="55668" ht="15.75" customHeight="1" spans="1:2">
      <c r="A55668" s="3" t="str">
        <f>IFERROR(__xludf.DUMMYFUNCTION("GOOGLETRANSLATE(A55668,""en"",""pt"")"),"sensação de qualidade, user-interface, a facilidade de utilização, qualidade da câmera")</f>
        <v>sensação de qualidade, user-interface, a facilidade de utilização, qualidade da câmera</v>
      </c>
      <c r="B55668" s="3">
        <v>1</v>
      </c>
    </row>
    <row r="55669" ht="15.75" customHeight="1" spans="1:2">
      <c r="A55669" s="3" t="str">
        <f>IFERROR(__xludf.DUMMYFUNCTION("GOOGLETRANSLATE(A55669,""en"",""pt"")"),"Design, qualidade de construção, a vida da bateria, a qualidade do som")</f>
        <v>Design, qualidade de construção, a vida da bateria, a qualidade do som</v>
      </c>
      <c r="B55669" s="3">
        <v>1</v>
      </c>
    </row>
    <row r="55670" ht="15.75" customHeight="1" spans="1:2">
      <c r="A55670" s="3" t="str">
        <f>IFERROR(__xludf.DUMMYFUNCTION("GOOGLETRANSLATE(A55670,""en"",""pt"")"),"Pequeno, boa câmera, BT, browser WAP agradável, controle de joystick, excelente RF, boa tela, telefone do mundo")</f>
        <v>Pequeno, boa câmera, BT, browser WAP agradável, controle de joystick, excelente RF, boa tela, telefone do mundo</v>
      </c>
      <c r="B55670" s="3">
        <v>1</v>
      </c>
    </row>
    <row r="55671" ht="15.75" customHeight="1" spans="1:2">
      <c r="A55671" s="3" t="str">
        <f>IFERROR(__xludf.DUMMYFUNCTION("GOOGLETRANSLATE(A55671,""en"",""pt"")"),"Pequeno e peso leve, boa câmera, tela / cor afiada, toneladas de características, bom joystick")</f>
        <v>Pequeno e peso leve, boa câmera, tela / cor afiada, toneladas de características, bom joystick</v>
      </c>
      <c r="B55671" s="3">
        <v>1</v>
      </c>
    </row>
    <row r="55672" ht="15.75" customHeight="1" spans="1:2">
      <c r="A55672" s="3" t="str">
        <f>IFERROR(__xludf.DUMMYFUNCTION("GOOGLETRANSLATE(A55672,""en"",""pt"")"),"Altamente personalizável, excelente conjunto de recursos, tamanho compacto.")</f>
        <v>Altamente personalizável, excelente conjunto de recursos, tamanho compacto.</v>
      </c>
      <c r="B55672" s="3">
        <v>1</v>
      </c>
    </row>
    <row r="55673" ht="15.75" customHeight="1" spans="1:2">
      <c r="A55673" s="3" t="str">
        <f>IFERROR(__xludf.DUMMYFUNCTION("GOOGLETRANSLATE(A55673,""en"",""pt"")"),"Pequeno, cor, energia da bateria")</f>
        <v>Pequeno, cor, energia da bateria</v>
      </c>
      <c r="B55673" s="3">
        <v>1</v>
      </c>
    </row>
    <row r="55674" ht="15.75" customHeight="1" spans="1:2">
      <c r="A55674" s="3" t="str">
        <f>IFERROR(__xludf.DUMMYFUNCTION("GOOGLETRANSLATE(A55674,""en"",""pt"")"),"-boa aparência")</f>
        <v>-boa aparência</v>
      </c>
      <c r="B55674" s="3">
        <v>1</v>
      </c>
    </row>
    <row r="55675" ht="15.75" customHeight="1" spans="1:2">
      <c r="A55675" s="3" t="str">
        <f>IFERROR(__xludf.DUMMYFUNCTION("GOOGLETRANSLATE(A55675,""en"",""pt"")"),"características generosas, alta resolução de tela, câmera fácil de usar.")</f>
        <v>características generosas, alta resolução de tela, câmera fácil de usar.</v>
      </c>
      <c r="B55675" s="3">
        <v>1</v>
      </c>
    </row>
    <row r="55676" ht="15.75" customHeight="1" spans="1:2">
      <c r="A55676" s="3" t="str">
        <f>IFERROR(__xludf.DUMMYFUNCTION("GOOGLETRANSLATE(A55676,""en"",""pt"")"),"pequeno, liso olhar, boa bateria, fácil de usar")</f>
        <v>pequeno, liso olhar, boa bateria, fácil de usar</v>
      </c>
      <c r="B55676" s="3">
        <v>1</v>
      </c>
    </row>
    <row r="55677" ht="15.75" customHeight="1" spans="1:2">
      <c r="A55677" s="3" t="str">
        <f>IFERROR(__xludf.DUMMYFUNCTION("GOOGLETRANSLATE(A55677,""en"",""pt"")"),"Pequeno. Câmera é fácil de usar. Bluetooth incluído. tela colorida.")</f>
        <v>Pequeno. Câmera é fácil de usar. Bluetooth incluído. tela colorida.</v>
      </c>
      <c r="B55677" s="3">
        <v>1</v>
      </c>
    </row>
    <row r="55678" ht="15.75" customHeight="1" spans="1:2">
      <c r="A55678" s="3" t="str">
        <f>IFERROR(__xludf.DUMMYFUNCTION("GOOGLETRANSLATE(A55678,""en"",""pt"")"),"O tamanho pequeno, apresenta.")</f>
        <v>O tamanho pequeno, apresenta.</v>
      </c>
      <c r="B55678" s="3">
        <v>1</v>
      </c>
    </row>
    <row r="55679" ht="15.75" customHeight="1" spans="1:2">
      <c r="A55679" s="3" t="str">
        <f>IFERROR(__xludf.DUMMYFUNCTION("GOOGLETRANSLATE(A55679,""en"",""pt"")"),"aparência, tamanho, câmera, 65K tela, GSM América")</f>
        <v>aparência, tamanho, câmera, 65K tela, GSM América</v>
      </c>
      <c r="B55679" s="3">
        <v>1</v>
      </c>
    </row>
    <row r="55680" ht="15.75" customHeight="1" spans="1:2">
      <c r="A55680" s="3" t="str">
        <f>IFERROR(__xludf.DUMMYFUNCTION("GOOGLETRANSLATE(A55680,""en"",""pt"")"),"Bluetooth, built-in infravermelho, câmera embutida, compacto, internet, bateria de longa duração")</f>
        <v>Bluetooth, built-in infravermelho, câmera embutida, compacto, internet, bateria de longa duração</v>
      </c>
      <c r="B55680" s="3">
        <v>1</v>
      </c>
    </row>
    <row r="55681" ht="15.75" customHeight="1" spans="1:2">
      <c r="A55681" s="3" t="str">
        <f>IFERROR(__xludf.DUMMYFUNCTION("GOOGLETRANSLATE(A55681,""en"",""pt"")"),"Design moderno, todos os recursos, é que a vida ficar melhor?")</f>
        <v>Design moderno, todos os recursos, é que a vida ficar melhor?</v>
      </c>
      <c r="B55681" s="3">
        <v>1</v>
      </c>
    </row>
    <row r="55682" ht="15.75" customHeight="1" spans="1:2">
      <c r="A55682" s="3" t="str">
        <f>IFERROR(__xludf.DUMMYFUNCTION("GOOGLETRANSLATE(A55682,""en"",""pt"")"),"Um dos poucos remanescentes aparelhos high-end que ainda é apenas um telefone móvel.")</f>
        <v>Um dos poucos remanescentes aparelhos high-end que ainda é apenas um telefone móvel.</v>
      </c>
      <c r="B55682" s="3">
        <v>1</v>
      </c>
    </row>
    <row r="55683" ht="15.75" customHeight="1" spans="1:2">
      <c r="A55683" s="3" t="str">
        <f>IFERROR(__xludf.DUMMYFUNCTION("GOOGLETRANSLATE(A55683,""en"",""pt"")"),"Tri-Band, Pequeno, Magro, de pouco peso, excelente interface, Bluetooth, WAP, GPRS, vida da bateria excelente, altamente expansível")</f>
        <v>Tri-Band, Pequeno, Magro, de pouco peso, excelente interface, Bluetooth, WAP, GPRS, vida da bateria excelente, altamente expansível</v>
      </c>
      <c r="B55683" s="3">
        <v>1</v>
      </c>
    </row>
    <row r="55684" ht="15.75" customHeight="1" spans="1:2">
      <c r="A55684" s="3" t="str">
        <f>IFERROR(__xludf.DUMMYFUNCTION("GOOGLETRANSLATE(A55684,""en"",""pt"")"),"Amplos recursos, opções e acessórios")</f>
        <v>Amplos recursos, opções e acessórios</v>
      </c>
      <c r="B55684" s="3">
        <v>1</v>
      </c>
    </row>
    <row r="55685" ht="15.75" customHeight="1" spans="1:2">
      <c r="A55685" s="3" t="str">
        <f>IFERROR(__xludf.DUMMYFUNCTION("GOOGLETRANSLATE(A55685,""en"",""pt"")"),"Menus são fáceis de navegar. Tem Bluetooth capacidades e é a partir de final dos anos 90!")</f>
        <v>Menus são fáceis de navegar. Tem Bluetooth capacidades e é a partir de final dos anos 90!</v>
      </c>
      <c r="B55685" s="3">
        <v>1</v>
      </c>
    </row>
    <row r="55686" ht="15.75" customHeight="1" spans="1:2">
      <c r="A55686" s="3" t="str">
        <f>IFERROR(__xludf.DUMMYFUNCTION("GOOGLETRANSLATE(A55686,""en"",""pt"")"),"Todas as características das necessidades do usuário médio, tela de cor agradável, faceplates mutável")</f>
        <v>Todas as características das necessidades do usuário médio, tela de cor agradável, faceplates mutável</v>
      </c>
      <c r="B55686" s="3">
        <v>1</v>
      </c>
    </row>
    <row r="55687" ht="15.75" customHeight="1" spans="1:2">
      <c r="A55687" s="3" t="str">
        <f>IFERROR(__xludf.DUMMYFUNCTION("GOOGLETRANSLATE(A55687,""en"",""pt"")"),"Design elegante, Aceitável toques")</f>
        <v>Design elegante, Aceitável toques</v>
      </c>
      <c r="B55687" s="3">
        <v>1</v>
      </c>
    </row>
    <row r="55688" ht="15.75" customHeight="1" spans="1:2">
      <c r="A55688" s="3" t="str">
        <f>IFERROR(__xludf.DUMMYFUNCTION("GOOGLETRANSLATE(A55688,""en"",""pt"")"),"celular básico agradável, com excelente recepção e vida útil da bateria")</f>
        <v>celular básico agradável, com excelente recepção e vida útil da bateria</v>
      </c>
      <c r="B55688" s="3">
        <v>1</v>
      </c>
    </row>
    <row r="55689" ht="15.75" customHeight="1" spans="1:2">
      <c r="A55689" s="3" t="str">
        <f>IFERROR(__xludf.DUMMYFUNCTION("GOOGLETRANSLATE(A55689,""en"",""pt"")"),"aparelho de baixo custo que tem boa bateria e qualidade claro apelo.")</f>
        <v>aparelho de baixo custo que tem boa bateria e qualidade claro apelo.</v>
      </c>
      <c r="B55689" s="3">
        <v>1</v>
      </c>
    </row>
    <row r="55690" ht="15.75" customHeight="1" spans="1:2">
      <c r="A55690" s="3" t="str">
        <f>IFERROR(__xludf.DUMMYFUNCTION("GOOGLETRANSLATE(A55690,""en"",""pt"")"),"durável, bonito, agradável sem frescuras telefone")</f>
        <v>durável, bonito, agradável sem frescuras telefone</v>
      </c>
      <c r="B55690" s="3">
        <v>1</v>
      </c>
    </row>
    <row r="55691" ht="15.75" customHeight="1" spans="1:2">
      <c r="A55691" s="3" t="str">
        <f>IFERROR(__xludf.DUMMYFUNCTION("GOOGLETRANSLATE(A55691,""en"",""pt"")"),"Durabilidade, simplicidade de uso")</f>
        <v>Durabilidade, simplicidade de uso</v>
      </c>
      <c r="B55691" s="3">
        <v>1</v>
      </c>
    </row>
    <row r="55692" ht="15.75" customHeight="1" spans="1:2">
      <c r="A55692" s="3" t="str">
        <f>IFERROR(__xludf.DUMMYFUNCTION("GOOGLETRANSLATE(A55692,""en"",""pt"")"),"Relativamente fácil de usar, livre com contrato")</f>
        <v>Relativamente fácil de usar, livre com contrato</v>
      </c>
      <c r="B55692" s="3">
        <v>1</v>
      </c>
    </row>
    <row r="55693" ht="15.75" customHeight="1" spans="1:2">
      <c r="A55693" s="3" t="str">
        <f>IFERROR(__xludf.DUMMYFUNCTION("GOOGLETRANSLATE(A55693,""en"",""pt"")"),"Display, tamanho total. Arrefecer luz do teclado azul.")</f>
        <v>Display, tamanho total. Arrefecer luz do teclado azul.</v>
      </c>
      <c r="B55693" s="3">
        <v>1</v>
      </c>
    </row>
    <row r="55694" ht="15.75" customHeight="1" spans="1:2">
      <c r="A55694" s="3" t="str">
        <f>IFERROR(__xludf.DUMMYFUNCTION("GOOGLETRANSLATE(A55694,""en"",""pt"")"),"boa recepção de longa distância, agradável exibição, barato")</f>
        <v>boa recepção de longa distância, agradável exibição, barato</v>
      </c>
      <c r="B55694" s="3">
        <v>1</v>
      </c>
    </row>
    <row r="55695" ht="15.75" customHeight="1" spans="1:2">
      <c r="A55695" s="3" t="str">
        <f>IFERROR(__xludf.DUMMYFUNCTION("GOOGLETRANSLATE(A55695,""en"",""pt"")"),"Bloqueio de teclas, grande volume, a boa vida útil da bateria")</f>
        <v>Bloqueio de teclas, grande volume, a boa vida útil da bateria</v>
      </c>
      <c r="B55695" s="3">
        <v>1</v>
      </c>
    </row>
    <row r="55696" ht="15.75" customHeight="1" spans="1:2">
      <c r="A55696" s="3" t="str">
        <f>IFERROR(__xludf.DUMMYFUNCTION("GOOGLETRANSLATE(A55696,""en"",""pt"")"),"Excelente design ergonômico, confiável e eficiente.")</f>
        <v>Excelente design ergonômico, confiável e eficiente.</v>
      </c>
      <c r="B55696" s="3">
        <v>1</v>
      </c>
    </row>
    <row r="55697" ht="15.75" customHeight="1" spans="1:2">
      <c r="A55697" s="3" t="str">
        <f>IFERROR(__xludf.DUMMYFUNCTION("GOOGLETRANSLATE(A55697,""en"",""pt"")"),"Compacto, acessível.")</f>
        <v>Compacto, acessível.</v>
      </c>
      <c r="B55697" s="3">
        <v>1</v>
      </c>
    </row>
    <row r="55698" ht="15.75" customHeight="1" spans="1:2">
      <c r="A55698" s="3" t="str">
        <f>IFERROR(__xludf.DUMMYFUNCTION("GOOGLETRANSLATE(A55698,""en"",""pt"")"),"Infelizmente, a coisa mais útil sobre este telefone é a funcionalidade Ferramentas (timer, cronômetro, etc).")</f>
        <v>Infelizmente, a coisa mais útil sobre este telefone é a funcionalidade Ferramentas (timer, cronômetro, etc).</v>
      </c>
      <c r="B55698" s="3">
        <v>1</v>
      </c>
    </row>
    <row r="55699" ht="15.75" customHeight="1" spans="1:2">
      <c r="A55699" s="3" t="str">
        <f>IFERROR(__xludf.DUMMYFUNCTION("GOOGLETRANSLATE(A55699,""en"",""pt"")"),"Parece bom")</f>
        <v>Parece bom</v>
      </c>
      <c r="B55699" s="3">
        <v>1</v>
      </c>
    </row>
    <row r="55700" ht="15.75" customHeight="1" spans="1:2">
      <c r="A55700" s="3" t="str">
        <f>IFERROR(__xludf.DUMMYFUNCTION("GOOGLETRANSLATE(A55700,""en"",""pt"")"),"Cor da exposição, jogar jogos, verifique seu e-mail!")</f>
        <v>Cor da exposição, jogar jogos, verifique seu e-mail!</v>
      </c>
      <c r="B55700" s="3">
        <v>1</v>
      </c>
    </row>
    <row r="55701" ht="15.75" customHeight="1" spans="1:2">
      <c r="A55701" s="3" t="str">
        <f>IFERROR(__xludf.DUMMYFUNCTION("GOOGLETRANSLATE(A55701,""en"",""pt"")"),"Grande autonomia da bateria, telefone bom orador")</f>
        <v>Grande autonomia da bateria, telefone bom orador</v>
      </c>
      <c r="B55701" s="3">
        <v>1</v>
      </c>
    </row>
    <row r="55702" ht="15.75" customHeight="1" spans="1:2">
      <c r="A55702" s="3" t="str">
        <f>IFERROR(__xludf.DUMMYFUNCTION("GOOGLETRANSLATE(A55702,""en"",""pt"")"),"Elegante, elegante telefone de estilo candybar com grande recepção, lotes de tempo de conversação e cargas de recursos!")</f>
        <v>Elegante, elegante telefone de estilo candybar com grande recepção, lotes de tempo de conversação e cargas de recursos!</v>
      </c>
      <c r="B55702" s="3">
        <v>1</v>
      </c>
    </row>
    <row r="55703" ht="15.75" customHeight="1" spans="1:2">
      <c r="A55703" s="3" t="str">
        <f>IFERROR(__xludf.DUMMYFUNCTION("GOOGLETRANSLATE(A55703,""en"",""pt"")"),"Incrível vida útil da bateria e qualidade de chamada")</f>
        <v>Incrível vida útil da bateria e qualidade de chamada</v>
      </c>
      <c r="B55703" s="3">
        <v>1</v>
      </c>
    </row>
    <row r="55704" ht="15.75" customHeight="1" spans="1:2">
      <c r="A55704" s="3" t="str">
        <f>IFERROR(__xludf.DUMMYFUNCTION("GOOGLETRANSLATE(A55704,""en"",""pt"")"),"Ele tem cores brilhantes, acesso à Internet, 300 nome do telefone livro")</f>
        <v>Ele tem cores brilhantes, acesso à Internet, 300 nome do telefone livro</v>
      </c>
      <c r="B55704" s="3">
        <v>1</v>
      </c>
    </row>
    <row r="55705" ht="15.75" customHeight="1" spans="1:2">
      <c r="A55705" s="3" t="str">
        <f>IFERROR(__xludf.DUMMYFUNCTION("GOOGLETRANSLATE(A55705,""en"",""pt"")"),"Vida útil da bateria, potência do sinal, espaçamento de botões, a qualidade do som")</f>
        <v>Vida útil da bateria, potência do sinal, espaçamento de botões, a qualidade do som</v>
      </c>
      <c r="B55705" s="3">
        <v>1</v>
      </c>
    </row>
    <row r="55706" ht="15.75" customHeight="1" spans="1:2">
      <c r="A55706" s="3" t="str">
        <f>IFERROR(__xludf.DUMMYFUNCTION("GOOGLETRANSLATE(A55706,""en"",""pt"")"),"Grande autonomia da bateria. recepções de chamadas muito melhorado ao longo do meu outro telefone.")</f>
        <v>Grande autonomia da bateria. recepções de chamadas muito melhorado ao longo do meu outro telefone.</v>
      </c>
      <c r="B55706" s="3">
        <v>1</v>
      </c>
    </row>
    <row r="55707" ht="15.75" customHeight="1" spans="1:2">
      <c r="A55707" s="3" t="str">
        <f>IFERROR(__xludf.DUMMYFUNCTION("GOOGLETRANSLATE(A55707,""en"",""pt"")"),"Boa duração da bateria, agradável exibição, alto e viva-voz clara")</f>
        <v>Boa duração da bateria, agradável exibição, alto e viva-voz clara</v>
      </c>
      <c r="B55707" s="3">
        <v>1</v>
      </c>
    </row>
    <row r="55708" ht="15.75" customHeight="1" spans="1:2">
      <c r="A55708" s="3" t="str">
        <f>IFERROR(__xludf.DUMMYFUNCTION("GOOGLETRANSLATE(A55708,""en"",""pt"")"),"Altivo / moda novos recursos, grande tela colorida, filtragem de chamadas")</f>
        <v>Altivo / moda novos recursos, grande tela colorida, filtragem de chamadas</v>
      </c>
      <c r="B55708" s="3">
        <v>1</v>
      </c>
    </row>
    <row r="55709" ht="15.75" customHeight="1" spans="1:2">
      <c r="A55709" s="3" t="str">
        <f>IFERROR(__xludf.DUMMYFUNCTION("GOOGLETRANSLATE(A55709,""en"",""pt"")"),"Muitos recursos, cor, bateria de longa duração, reforçada agenda / log telefone, a gravação instantânea")</f>
        <v>Muitos recursos, cor, bateria de longa duração, reforçada agenda / log telefone, a gravação instantânea</v>
      </c>
      <c r="B55709" s="3">
        <v>1</v>
      </c>
    </row>
    <row r="55710" ht="15.75" customHeight="1" spans="1:2">
      <c r="A55710" s="3" t="str">
        <f>IFERROR(__xludf.DUMMYFUNCTION("GOOGLETRANSLATE(A55710,""en"",""pt"")"),"recepção fantástica; a vida da bateria muito longo; cheia de recursos; viva voz; fácil de usar menu intuitivo.")</f>
        <v>recepção fantástica; a vida da bateria muito longo; cheia de recursos; viva voz; fácil de usar menu intuitivo.</v>
      </c>
      <c r="B55710" s="3">
        <v>1</v>
      </c>
    </row>
    <row r="55711" ht="15.75" customHeight="1" spans="1:2">
      <c r="A55711" s="3" t="str">
        <f>IFERROR(__xludf.DUMMYFUNCTION("GOOGLETRANSLATE(A55711,""en"",""pt"")"),"ecrã a cores, boa recepção, boa vida da bateria")</f>
        <v>ecrã a cores, boa recepção, boa vida da bateria</v>
      </c>
      <c r="B55711" s="3">
        <v>1</v>
      </c>
    </row>
    <row r="55712" ht="15.75" customHeight="1" spans="1:2">
      <c r="A55712" s="3" t="str">
        <f>IFERROR(__xludf.DUMMYFUNCTION("GOOGLETRANSLATE(A55712,""en"",""pt"")"),"ecrã a cores, excelente vida útil da bateria, anéis polifônicos, tela grande")</f>
        <v>ecrã a cores, excelente vida útil da bateria, anéis polifônicos, tela grande</v>
      </c>
      <c r="B55712" s="3">
        <v>1</v>
      </c>
    </row>
    <row r="55713" ht="15.75" customHeight="1" spans="1:2">
      <c r="A55713" s="3" t="str">
        <f>IFERROR(__xludf.DUMMYFUNCTION("GOOGLETRANSLATE(A55713,""en"",""pt"")"),"Capacidade para agarrar sinal ... :)")</f>
        <v>Capacidade para agarrar sinal ... :)</v>
      </c>
      <c r="B55713" s="3">
        <v>1</v>
      </c>
    </row>
    <row r="55714" ht="15.75" customHeight="1" spans="1:2">
      <c r="A55714" s="3" t="str">
        <f>IFERROR(__xludf.DUMMYFUNCTION("GOOGLETRANSLATE(A55714,""en"",""pt"")"),"Recursos interessantes, grande recepção, bateria de longa duração")</f>
        <v>Recursos interessantes, grande recepção, bateria de longa duração</v>
      </c>
      <c r="B55714" s="3">
        <v>1</v>
      </c>
    </row>
    <row r="55715" ht="15.75" customHeight="1" spans="1:2">
      <c r="A55715" s="3" t="str">
        <f>IFERROR(__xludf.DUMMYFUNCTION("GOOGLETRANSLATE(A55715,""en"",""pt"")"),"vida útil da bateria impressionante, viva-voz integrado, display colorido")</f>
        <v>vida útil da bateria impressionante, viva-voz integrado, display colorido</v>
      </c>
      <c r="B55715" s="3">
        <v>1</v>
      </c>
    </row>
    <row r="55716" ht="15.75" customHeight="1" spans="1:2">
      <c r="A55716" s="3" t="str">
        <f>IFERROR(__xludf.DUMMYFUNCTION("GOOGLETRANSLATE(A55716,""en"",""pt"")"),"vida útil da bateria, exposição de cor, clareza")</f>
        <v>vida útil da bateria, exposição de cor, clareza</v>
      </c>
      <c r="B55716" s="3">
        <v>1</v>
      </c>
    </row>
    <row r="55717" ht="15.75" customHeight="1" spans="1:2">
      <c r="A55717" s="3" t="str">
        <f>IFERROR(__xludf.DUMMYFUNCTION("GOOGLETRANSLATE(A55717,""en"",""pt"")"),"peso, duração da bateria, fácil de usar, pode ser usado como modem, discagem por voz, viva-voz,")</f>
        <v>peso, duração da bateria, fácil de usar, pode ser usado como modem, discagem por voz, viva-voz,</v>
      </c>
      <c r="B55717" s="3">
        <v>1</v>
      </c>
    </row>
    <row r="55718" ht="15.75" customHeight="1" spans="1:2">
      <c r="A55718" s="3" t="str">
        <f>IFERROR(__xludf.DUMMYFUNCTION("GOOGLETRANSLATE(A55718,""en"",""pt"")"),"Excelente recepção, menu intuitivo, viva-voz, excelente recurso de discagem por voz.")</f>
        <v>Excelente recepção, menu intuitivo, viva-voz, excelente recurso de discagem por voz.</v>
      </c>
      <c r="B55718" s="3">
        <v>1</v>
      </c>
    </row>
    <row r="55719" ht="15.75" customHeight="1" spans="1:2">
      <c r="A55719" s="3" t="str">
        <f>IFERROR(__xludf.DUMMYFUNCTION("GOOGLETRANSLATE(A55719,""en"",""pt"")"),"Tela cor, preço")</f>
        <v>Tela cor, preço</v>
      </c>
      <c r="B55719" s="3">
        <v>1</v>
      </c>
    </row>
    <row r="55720" ht="15.75" customHeight="1" spans="1:2">
      <c r="A55720" s="3" t="str">
        <f>IFERROR(__xludf.DUMMYFUNCTION("GOOGLETRANSLATE(A55720,""en"",""pt"")"),"tela colorida de excelente, a vida da bateria e qualidade de recepção.")</f>
        <v>tela colorida de excelente, a vida da bateria e qualidade de recepção.</v>
      </c>
      <c r="B55720" s="3">
        <v>1</v>
      </c>
    </row>
    <row r="55721" ht="15.75" customHeight="1" spans="1:2">
      <c r="A55721" s="3" t="str">
        <f>IFERROR(__xludf.DUMMYFUNCTION("GOOGLETRANSLATE(A55721,""en"",""pt"")"),"bateria de longa duração, tela brilhante, soa muito bem, boa variedade")</f>
        <v>bateria de longa duração, tela brilhante, soa muito bem, boa variedade</v>
      </c>
      <c r="B55721" s="3">
        <v>1</v>
      </c>
    </row>
    <row r="55722" ht="15.75" customHeight="1" spans="1:2">
      <c r="A55722" s="3" t="str">
        <f>IFERROR(__xludf.DUMMYFUNCTION("GOOGLETRANSLATE(A55722,""en"",""pt"")"),"Recepção, Lite carregador,")</f>
        <v>Recepção, Lite carregador,</v>
      </c>
      <c r="B55722" s="3">
        <v>1</v>
      </c>
    </row>
    <row r="55723" ht="15.75" customHeight="1" spans="1:2">
      <c r="A55723" s="3" t="str">
        <f>IFERROR(__xludf.DUMMYFUNCTION("GOOGLETRANSLATE(A55723,""en"",""pt"")"),"Cor, bateria de longa duração, parece bastante compacto para mim")</f>
        <v>Cor, bateria de longa duração, parece bastante compacto para mim</v>
      </c>
      <c r="B55723" s="3">
        <v>1</v>
      </c>
    </row>
    <row r="55724" ht="15.75" customHeight="1" spans="1:2">
      <c r="A55724" s="3" t="str">
        <f>IFERROR(__xludf.DUMMYFUNCTION("GOOGLETRANSLATE(A55724,""en"",""pt"")"),"Grande autonomia da bateria")</f>
        <v>Grande autonomia da bateria</v>
      </c>
      <c r="B55724" s="3">
        <v>1</v>
      </c>
    </row>
    <row r="55725" ht="15.75" customHeight="1" spans="1:2">
      <c r="A55725" s="3" t="str">
        <f>IFERROR(__xludf.DUMMYFUNCTION("GOOGLETRANSLATE(A55725,""en"",""pt"")"),"grande bateria, parece puro e tem um monte de recursos legais")</f>
        <v>grande bateria, parece puro e tem um monte de recursos legais</v>
      </c>
      <c r="B55725" s="3">
        <v>1</v>
      </c>
    </row>
    <row r="55726" ht="15.75" customHeight="1" spans="1:2">
      <c r="A55726" s="3" t="str">
        <f>IFERROR(__xludf.DUMMYFUNCTION("GOOGLETRANSLATE(A55726,""en"",""pt"")"),"boa tela a cores, backlit, do menu de navegação, a vida da bateria, lotes de características.")</f>
        <v>boa tela a cores, backlit, do menu de navegação, a vida da bateria, lotes de características.</v>
      </c>
      <c r="B55726" s="3">
        <v>1</v>
      </c>
    </row>
    <row r="55727" ht="15.75" customHeight="1" spans="1:2">
      <c r="A55727" s="3" t="str">
        <f>IFERROR(__xludf.DUMMYFUNCTION("GOOGLETRANSLATE(A55727,""en"",""pt"")"),"1) life..it bateria surpreendente corre e corre ...")</f>
        <v>1) life..it bateria surpreendente corre e corre ...</v>
      </c>
      <c r="B55727" s="3">
        <v>1</v>
      </c>
    </row>
    <row r="55728" ht="15.75" customHeight="1" spans="1:2">
      <c r="A55728" s="3" t="str">
        <f>IFERROR(__xludf.DUMMYFUNCTION("GOOGLETRANSLATE(A55728,""en"",""pt"")"),"Recepção, recepção, recepção !!!")</f>
        <v>Recepção, recepção, recepção !!!</v>
      </c>
      <c r="B55728" s="3">
        <v>1</v>
      </c>
    </row>
    <row r="55729" ht="15.75" customHeight="1" spans="1:2">
      <c r="A55729" s="3" t="str">
        <f>IFERROR(__xludf.DUMMYFUNCTION("GOOGLETRANSLATE(A55729,""en"",""pt"")"),"tela colorida")</f>
        <v>tela colorida</v>
      </c>
      <c r="B55729" s="3">
        <v>1</v>
      </c>
    </row>
    <row r="55730" ht="15.75" customHeight="1" spans="1:2">
      <c r="A55730" s="3" t="str">
        <f>IFERROR(__xludf.DUMMYFUNCTION("GOOGLETRANSLATE(A55730,""en"",""pt"")"),"Tela cor, vida útil da bateria, segura a um sinal! Viva voz!")</f>
        <v>Tela cor, vida útil da bateria, segura a um sinal! Viva voz!</v>
      </c>
      <c r="B55730" s="3">
        <v>1</v>
      </c>
    </row>
    <row r="55731" ht="15.75" customHeight="1" spans="1:2">
      <c r="A55731" s="3" t="str">
        <f>IFERROR(__xludf.DUMMYFUNCTION("GOOGLETRANSLATE(A55731,""en"",""pt"")"),"Vida útil da bateria, Clarity, Preço, tela colorida, Durabilidade")</f>
        <v>Vida útil da bateria, Clarity, Preço, tela colorida, Durabilidade</v>
      </c>
      <c r="B55731" s="3">
        <v>1</v>
      </c>
    </row>
    <row r="55732" ht="15.75" customHeight="1" spans="1:2">
      <c r="A55732" s="3" t="str">
        <f>IFERROR(__xludf.DUMMYFUNCTION("GOOGLETRANSLATE(A55732,""en"",""pt"")"),"Grande sinal, boas características, fácil de usar.")</f>
        <v>Grande sinal, boas características, fácil de usar.</v>
      </c>
      <c r="B55732" s="3">
        <v>1</v>
      </c>
    </row>
    <row r="55733" ht="15.75" customHeight="1" spans="1:2">
      <c r="A55733" s="3" t="str">
        <f>IFERROR(__xludf.DUMMYFUNCTION("GOOGLETRANSLATE(A55733,""en"",""pt"")"),"Grande sinal, grandes recursos, ringtones, conexão de computador")</f>
        <v>Grande sinal, grandes recursos, ringtones, conexão de computador</v>
      </c>
      <c r="B55733" s="3">
        <v>1</v>
      </c>
    </row>
    <row r="55734" ht="15.75" customHeight="1" spans="1:2">
      <c r="A55734" s="3" t="str">
        <f>IFERROR(__xludf.DUMMYFUNCTION("GOOGLETRANSLATE(A55734,""en"",""pt"")"),"A vida da bateria, ecrã a cores, facilidade de uso, Peso")</f>
        <v>A vida da bateria, ecrã a cores, facilidade de uso, Peso</v>
      </c>
      <c r="B55734" s="3">
        <v>1</v>
      </c>
    </row>
    <row r="55735" ht="15.75" customHeight="1" spans="1:2">
      <c r="A55735" s="3" t="str">
        <f>IFERROR(__xludf.DUMMYFUNCTION("GOOGLETRANSLATE(A55735,""en"",""pt"")"),"ecrã a cores, novos jogos, toques, internet.")</f>
        <v>ecrã a cores, novos jogos, toques, internet.</v>
      </c>
      <c r="B55735" s="3">
        <v>1</v>
      </c>
    </row>
    <row r="55736" ht="15.75" customHeight="1" spans="1:2">
      <c r="A55736" s="3" t="str">
        <f>IFERROR(__xludf.DUMMYFUNCTION("GOOGLETRANSLATE(A55736,""en"",""pt"")"),"A vida da bateria, capacidade de manter um sinal, preço de promoção, tela colorida, viva-voz")</f>
        <v>A vida da bateria, capacidade de manter um sinal, preço de promoção, tela colorida, viva-voz</v>
      </c>
      <c r="B55736" s="3">
        <v>1</v>
      </c>
    </row>
    <row r="55737" ht="15.75" customHeight="1" spans="1:2">
      <c r="A55737" s="3" t="str">
        <f>IFERROR(__xludf.DUMMYFUNCTION("GOOGLETRANSLATE(A55737,""en"",""pt"")"),"Durável. Atualizações de firmware fácil. recepção de qualidade e som. Inúmeros acessórios disponíveis a partir de fornecedores de web.")</f>
        <v>Durável. Atualizações de firmware fácil. recepção de qualidade e som. Inúmeros acessórios disponíveis a partir de fornecedores de web.</v>
      </c>
      <c r="B55737" s="3">
        <v>1</v>
      </c>
    </row>
    <row r="55738" ht="15.75" customHeight="1" spans="1:2">
      <c r="A55738" s="3" t="str">
        <f>IFERROR(__xludf.DUMMYFUNCTION("GOOGLETRANSLATE(A55738,""en"",""pt"")"),"Grande autonomia da bateria e conveniência de viva-voz")</f>
        <v>Grande autonomia da bateria e conveniência de viva-voz</v>
      </c>
      <c r="B55738" s="3">
        <v>1</v>
      </c>
    </row>
    <row r="55739" ht="15.75" customHeight="1" spans="1:2">
      <c r="A55739" s="3" t="str">
        <f>IFERROR(__xludf.DUMMYFUNCTION("GOOGLETRANSLATE(A55739,""en"",""pt"")"),"Todo bom telefone, fácil de usar, agradável exibição, boa recepção")</f>
        <v>Todo bom telefone, fácil de usar, agradável exibição, boa recepção</v>
      </c>
      <c r="B55739" s="3">
        <v>1</v>
      </c>
    </row>
    <row r="55740" ht="15.75" customHeight="1" spans="1:2">
      <c r="A55740" s="3" t="str">
        <f>IFERROR(__xludf.DUMMYFUNCTION("GOOGLETRANSLATE(A55740,""en"",""pt"")"),"Excelente vida útil da bateria, ecrã a cores, e os sinais de recepção forte.")</f>
        <v>Excelente vida útil da bateria, ecrã a cores, e os sinais de recepção forte.</v>
      </c>
      <c r="B55740" s="3">
        <v>1</v>
      </c>
    </row>
    <row r="55741" ht="15.75" customHeight="1" spans="1:2">
      <c r="A55741" s="3" t="str">
        <f>IFERROR(__xludf.DUMMYFUNCTION("GOOGLETRANSLATE(A55741,""en"",""pt"")"),"Características, recepção cristalina, tv-como tela, clareza, é como ter um telefone, Gameboy, PDA em um!")</f>
        <v>Características, recepção cristalina, tv-como tela, clareza, é como ter um telefone, Gameboy, PDA em um!</v>
      </c>
      <c r="B55741" s="3">
        <v>1</v>
      </c>
    </row>
    <row r="55742" ht="15.75" customHeight="1" spans="1:2">
      <c r="A55742" s="3" t="str">
        <f>IFERROR(__xludf.DUMMYFUNCTION("GOOGLETRANSLATE(A55742,""en"",""pt"")"),"Grande interface, grande recepção, muitos recursos, conectividade PC.")</f>
        <v>Grande interface, grande recepção, muitos recursos, conectividade PC.</v>
      </c>
      <c r="B55742" s="3">
        <v>1</v>
      </c>
    </row>
    <row r="55743" ht="15.75" customHeight="1" spans="1:2">
      <c r="A55743" s="3" t="str">
        <f>IFERROR(__xludf.DUMMYFUNCTION("GOOGLETRANSLATE(A55743,""en"",""pt"")"),"A vida da bateria, viva-voz, durabilidade, recepção, chamadas de voz")</f>
        <v>A vida da bateria, viva-voz, durabilidade, recepção, chamadas de voz</v>
      </c>
      <c r="B55743" s="3">
        <v>1</v>
      </c>
    </row>
    <row r="55744" ht="15.75" customHeight="1" spans="1:2">
      <c r="A55744" s="3" t="str">
        <f>IFERROR(__xludf.DUMMYFUNCTION("GOOGLETRANSLATE(A55744,""en"",""pt"")"),"teclado QWERTY, viva-voz, rádio FM, listas de distribuição, discagem por voz.")</f>
        <v>teclado QWERTY, viva-voz, rádio FM, listas de distribuição, discagem por voz.</v>
      </c>
      <c r="B55744" s="3">
        <v>1</v>
      </c>
    </row>
    <row r="55745" ht="15.75" customHeight="1" spans="1:2">
      <c r="A55745" s="3" t="str">
        <f>IFERROR(__xludf.DUMMYFUNCTION("GOOGLETRANSLATE(A55745,""en"",""pt"")"),"Muitos recursos, teclado, display colorido, excelente qualidade de som, desempenho e design.")</f>
        <v>Muitos recursos, teclado, display colorido, excelente qualidade de som, desempenho e design.</v>
      </c>
      <c r="B55745" s="3">
        <v>1</v>
      </c>
    </row>
    <row r="55746" ht="15.75" customHeight="1" spans="1:2">
      <c r="A55746" s="3" t="str">
        <f>IFERROR(__xludf.DUMMYFUNCTION("GOOGLETRANSLATE(A55746,""en"",""pt"")"),"teclado QWERTY completo e viva-voz.")</f>
        <v>teclado QWERTY completo e viva-voz.</v>
      </c>
      <c r="B55746" s="3">
        <v>1</v>
      </c>
    </row>
    <row r="55747" ht="15.75" customHeight="1" spans="1:2">
      <c r="A55747" s="3" t="str">
        <f>IFERROR(__xludf.DUMMYFUNCTION("GOOGLETRANSLATE(A55747,""en"",""pt"")"),"teclado QWERTY completo w / tamanho mínimo. Toneladas de opções de personalização.")</f>
        <v>teclado QWERTY completo w / tamanho mínimo. Toneladas de opções de personalização.</v>
      </c>
      <c r="B55747" s="3">
        <v>1</v>
      </c>
    </row>
    <row r="55748" ht="15.75" customHeight="1" spans="1:2">
      <c r="A55748" s="3" t="str">
        <f>IFERROR(__xludf.DUMMYFUNCTION("GOOGLETRANSLATE(A55748,""en"",""pt"")"),"Inovador flip-out polegar-board, tela colorida, rádio FM integrado, cliente de e-mail, alto fator de gadgets")</f>
        <v>Inovador flip-out polegar-board, tela colorida, rádio FM integrado, cliente de e-mail, alto fator de gadgets</v>
      </c>
      <c r="B55748" s="3">
        <v>1</v>
      </c>
    </row>
    <row r="55749" ht="15.75" customHeight="1" spans="1:2">
      <c r="A55749" s="3" t="str">
        <f>IFERROR(__xludf.DUMMYFUNCTION("GOOGLETRANSLATE(A55749,""en"",""pt"")"),"teclado iluminado, tela grande, fácil de teclado numérico.")</f>
        <v>teclado iluminado, tela grande, fácil de teclado numérico.</v>
      </c>
      <c r="B55749" s="3">
        <v>1</v>
      </c>
    </row>
    <row r="55750" ht="15.75" customHeight="1" spans="1:2">
      <c r="A55750" s="3" t="str">
        <f>IFERROR(__xludf.DUMMYFUNCTION("GOOGLETRANSLATE(A55750,""en"",""pt"")"),"O primeiro telefone para combinar uma kickin conjunto de características com design orientado para o utilizador.")</f>
        <v>O primeiro telefone para combinar uma kickin conjunto de características com design orientado para o utilizador.</v>
      </c>
      <c r="B55750" s="3">
        <v>1</v>
      </c>
    </row>
    <row r="55751" ht="15.75" customHeight="1" spans="1:2">
      <c r="A55751" s="3" t="str">
        <f>IFERROR(__xludf.DUMMYFUNCTION("GOOGLETRANSLATE(A55751,""en"",""pt"")"),"Recursos, visualização, opção de sintonizador, formam vs função, TUDO")</f>
        <v>Recursos, visualização, opção de sintonizador, formam vs função, TUDO</v>
      </c>
      <c r="B55751" s="3">
        <v>1</v>
      </c>
    </row>
    <row r="55752" ht="15.75" customHeight="1" spans="1:2">
      <c r="A55752" s="3" t="str">
        <f>IFERROR(__xludf.DUMMYFUNCTION("GOOGLETRANSLATE(A55752,""en"",""pt"")"),"teclado completo, a vida da bateria exstensive, toneladas de recursos")</f>
        <v>teclado completo, a vida da bateria exstensive, toneladas de recursos</v>
      </c>
      <c r="B55752" s="3">
        <v>1</v>
      </c>
    </row>
    <row r="55753" ht="15.75" customHeight="1" spans="1:2">
      <c r="A55753" s="3" t="str">
        <f>IFERROR(__xludf.DUMMYFUNCTION("GOOGLETRANSLATE(A55753,""en"",""pt"")"),"Durável, viva-voz e grande qualidade")</f>
        <v>Durável, viva-voz e grande qualidade</v>
      </c>
      <c r="B55753" s="3">
        <v>1</v>
      </c>
    </row>
    <row r="55754" ht="15.75" customHeight="1" spans="1:2">
      <c r="A55754" s="3" t="str">
        <f>IFERROR(__xludf.DUMMYFUNCTION("GOOGLETRANSLATE(A55754,""en"",""pt"")"),"projeto surpreendente permite flip para um teclado completo ""QWERTY"". Isso permite que mensagens de texto fácil.")</f>
        <v>projeto surpreendente permite flip para um teclado completo "QWERTY". Isso permite que mensagens de texto fácil.</v>
      </c>
      <c r="B55754" s="3">
        <v>1</v>
      </c>
    </row>
    <row r="55755" ht="15.75" customHeight="1" spans="1:2">
      <c r="A55755" s="3" t="str">
        <f>IFERROR(__xludf.DUMMYFUNCTION("GOOGLETRANSLATE(A55755,""en"",""pt"")"),"Dobre teclado, boa exibição")</f>
        <v>Dobre teclado, boa exibição</v>
      </c>
      <c r="B55755" s="3">
        <v>1</v>
      </c>
    </row>
    <row r="55756" ht="15.75" customHeight="1" spans="1:2">
      <c r="A55756" s="3" t="str">
        <f>IFERROR(__xludf.DUMMYFUNCTION("GOOGLETRANSLATE(A55756,""en"",""pt"")"),"teclado QWERTY, ecrã a cores, gravação de nota de voz")</f>
        <v>teclado QWERTY, ecrã a cores, gravação de nota de voz</v>
      </c>
      <c r="B55756" s="3">
        <v>1</v>
      </c>
    </row>
    <row r="55757" ht="15.75" customHeight="1" spans="1:2">
      <c r="A55757" s="3" t="str">
        <f>IFERROR(__xludf.DUMMYFUNCTION("GOOGLETRANSLATE(A55757,""en"",""pt"")"),"Teclado, características, preço,")</f>
        <v>Teclado, características, preço,</v>
      </c>
      <c r="B55757" s="3">
        <v>1</v>
      </c>
    </row>
    <row r="55758" ht="15.75" customHeight="1" spans="1:2">
      <c r="A55758" s="3" t="str">
        <f>IFERROR(__xludf.DUMMYFUNCTION("GOOGLETRANSLATE(A55758,""en"",""pt"")"),"desdobrável teclado, alto-falante e rádio ... e tudo o mais um telefone Nokia sempre oferecer.")</f>
        <v>desdobrável teclado, alto-falante e rádio ... e tudo o mais um telefone Nokia sempre oferecer.</v>
      </c>
      <c r="B55758" s="3">
        <v>1</v>
      </c>
    </row>
    <row r="55759" ht="15.75" customHeight="1" spans="1:2">
      <c r="A55759" s="3" t="str">
        <f>IFERROR(__xludf.DUMMYFUNCTION("GOOGLETRANSLATE(A55759,""en"",""pt"")"),"design, tela colorida, polifônicos, almofada QWERTY, bateria, luz, / botão de navegação de rolagem, alto-falante")</f>
        <v>design, tela colorida, polifônicos, almofada QWERTY, bateria, luz, / botão de navegação de rolagem, alto-falante</v>
      </c>
      <c r="B55759" s="3">
        <v>1</v>
      </c>
    </row>
    <row r="55760" ht="15.75" customHeight="1" spans="1:2">
      <c r="A55760" s="3" t="str">
        <f>IFERROR(__xludf.DUMMYFUNCTION("GOOGLETRANSLATE(A55760,""en"",""pt"")"),"Teclado QWERTY, Nokia durabilidade, bateria de longa duração, fácil de operar.")</f>
        <v>Teclado QWERTY, Nokia durabilidade, bateria de longa duração, fácil de operar.</v>
      </c>
      <c r="B55760" s="3">
        <v>1</v>
      </c>
    </row>
    <row r="55761" ht="15.75" customHeight="1" spans="1:2">
      <c r="A55761" s="3" t="str">
        <f>IFERROR(__xludf.DUMMYFUNCTION("GOOGLETRANSLATE(A55761,""en"",""pt"")"),"Teclado, luz de fundo.")</f>
        <v>Teclado, luz de fundo.</v>
      </c>
      <c r="B55761" s="3">
        <v>1</v>
      </c>
    </row>
    <row r="55762" ht="15.75" customHeight="1" spans="1:2">
      <c r="A55762" s="3" t="str">
        <f>IFERROR(__xludf.DUMMYFUNCTION("GOOGLETRANSLATE(A55762,""en"",""pt"")"),"messaging, wow factor, sincronização com o Outlook, interface de nokia")</f>
        <v>messaging, wow factor, sincronização com o Outlook, interface de nokia</v>
      </c>
      <c r="B55762" s="3">
        <v>1</v>
      </c>
    </row>
    <row r="55763" ht="15.75" customHeight="1" spans="1:2">
      <c r="A55763" s="3" t="str">
        <f>IFERROR(__xludf.DUMMYFUNCTION("GOOGLETRANSLATE(A55763,""en"",""pt"")"),"Excelente clareza,")</f>
        <v>Excelente clareza,</v>
      </c>
      <c r="B55763" s="3">
        <v>1</v>
      </c>
    </row>
    <row r="55764" ht="15.75" customHeight="1" spans="1:2">
      <c r="A55764" s="3" t="str">
        <f>IFERROR(__xludf.DUMMYFUNCTION("GOOGLETRANSLATE(A55764,""en"",""pt"")"),"Teclado QWERTY")</f>
        <v>Teclado QWERTY</v>
      </c>
      <c r="B55764" s="3">
        <v>1</v>
      </c>
    </row>
    <row r="55765" ht="15.75" customHeight="1" spans="1:2">
      <c r="A55765" s="3" t="str">
        <f>IFERROR(__xludf.DUMMYFUNCTION("GOOGLETRANSLATE(A55765,""en"",""pt"")"),"Grande design compacto, teclado apenas o tamanho certo, muitas características!")</f>
        <v>Grande design compacto, teclado apenas o tamanho certo, muitas características!</v>
      </c>
      <c r="B55765" s="3">
        <v>1</v>
      </c>
    </row>
    <row r="55766" ht="15.75" customHeight="1" spans="1:2">
      <c r="A55766" s="3" t="str">
        <f>IFERROR(__xludf.DUMMYFUNCTION("GOOGLETRANSLATE(A55766,""en"",""pt"")"),"placa chave, softwate sincronização livre, porta IR, software do telefone, tela ...")</f>
        <v>placa chave, softwate sincronização livre, porta IR, software do telefone, tela ...</v>
      </c>
      <c r="B55766" s="3">
        <v>1</v>
      </c>
    </row>
    <row r="55767" ht="15.75" customHeight="1" spans="1:2">
      <c r="A55767" s="3" t="str">
        <f>IFERROR(__xludf.DUMMYFUNCTION("GOOGLETRANSLATE(A55767,""en"",""pt"")"),"Facilidade de uso, customizável, teclado QWERTY, java capaz")</f>
        <v>Facilidade de uso, customizável, teclado QWERTY, java capaz</v>
      </c>
      <c r="B55767" s="3">
        <v>1</v>
      </c>
    </row>
    <row r="55768" ht="15.75" customHeight="1" spans="1:2">
      <c r="A55768" s="3" t="str">
        <f>IFERROR(__xludf.DUMMYFUNCTION("GOOGLETRANSLATE(A55768,""en"",""pt"")"),"Grande voz, teclado SMS, exposição de cor brilhante, grande bateria.")</f>
        <v>Grande voz, teclado SMS, exposição de cor brilhante, grande bateria.</v>
      </c>
      <c r="B55768" s="3">
        <v>1</v>
      </c>
    </row>
    <row r="55769" ht="15.75" customHeight="1" spans="1:2">
      <c r="A55769" s="3" t="str">
        <f>IFERROR(__xludf.DUMMYFUNCTION("GOOGLETRANSLATE(A55769,""en"",""pt"")"),"grande teclado")</f>
        <v>grande teclado</v>
      </c>
      <c r="B55769" s="3">
        <v>1</v>
      </c>
    </row>
    <row r="55770" ht="15.75" customHeight="1" spans="1:2">
      <c r="A55770" s="3" t="str">
        <f>IFERROR(__xludf.DUMMYFUNCTION("GOOGLETRANSLATE(A55770,""en"",""pt"")"),"qualidade de voz, rádio FM, alto-falante, teclado mensagem de texto")</f>
        <v>qualidade de voz, rádio FM, alto-falante, teclado mensagem de texto</v>
      </c>
      <c r="B55770" s="3">
        <v>1</v>
      </c>
    </row>
    <row r="55771" ht="15.75" customHeight="1" spans="1:2">
      <c r="A55771" s="3" t="str">
        <f>IFERROR(__xludf.DUMMYFUNCTION("GOOGLETRANSLATE(A55771,""en"",""pt"")"),"características, funcionalidades, características, grande apoio, software")</f>
        <v>características, funcionalidades, características, grande apoio, software</v>
      </c>
      <c r="B55771" s="3">
        <v>1</v>
      </c>
    </row>
    <row r="55772" ht="15.75" customHeight="1" spans="1:2">
      <c r="A55772" s="3" t="str">
        <f>IFERROR(__xludf.DUMMYFUNCTION("GOOGLETRANSLATE(A55772,""en"",""pt"")"),"grande qualidade de som, GPRS parece exteremely rápido, toneladas de características, as rochas do teclado!")</f>
        <v>grande qualidade de som, GPRS parece exteremely rápido, toneladas de características, as rochas do teclado!</v>
      </c>
      <c r="B55772" s="3">
        <v>1</v>
      </c>
    </row>
    <row r="55773" ht="15.75" customHeight="1" spans="1:2">
      <c r="A55773" s="3" t="str">
        <f>IFERROR(__xludf.DUMMYFUNCTION("GOOGLETRANSLATE(A55773,""en"",""pt"")"),"Bom teclado, boa exibição cargas de recursos")</f>
        <v>Bom teclado, boa exibição cargas de recursos</v>
      </c>
      <c r="B55773" s="3">
        <v>1</v>
      </c>
    </row>
    <row r="55774" ht="15.75" customHeight="1" spans="1:2">
      <c r="A55774" s="3" t="str">
        <f>IFERROR(__xludf.DUMMYFUNCTION("GOOGLETRANSLATE(A55774,""en"",""pt"")"),"Dobre teclado para msging texto, grande display.")</f>
        <v>Dobre teclado para msging texto, grande display.</v>
      </c>
      <c r="B55774" s="3">
        <v>1</v>
      </c>
    </row>
    <row r="55775" ht="15.75" customHeight="1" spans="1:2">
      <c r="A55775" s="3" t="str">
        <f>IFERROR(__xludf.DUMMYFUNCTION("GOOGLETRANSLATE(A55775,""en"",""pt"")"),"bastante fácil de usar, confiáveis, grandes recursos, bastante durável")</f>
        <v>bastante fácil de usar, confiáveis, grandes recursos, bastante durável</v>
      </c>
      <c r="B55775" s="3">
        <v>1</v>
      </c>
    </row>
    <row r="55776" ht="15.75" customHeight="1" spans="1:2">
      <c r="A55776" s="3" t="str">
        <f>IFERROR(__xludf.DUMMYFUNCTION("GOOGLETRANSLATE(A55776,""en"",""pt"")"),"KEYBOARDDDDDD !!!!!!!!!!!!!!!!")</f>
        <v>KEYBOARDDDDDD !!!!!!!!!!!!!!!!</v>
      </c>
      <c r="B55776" s="3">
        <v>1</v>
      </c>
    </row>
    <row r="55777" ht="15.75" customHeight="1" spans="1:2">
      <c r="A55777" s="3" t="str">
        <f>IFERROR(__xludf.DUMMYFUNCTION("GOOGLETRANSLATE(A55777,""en"",""pt"")"),"Teclado, menus personalizáveis, telefone alto-falante, rádio, discagem por voz, fácil calendário / planner")</f>
        <v>Teclado, menus personalizáveis, telefone alto-falante, rádio, discagem por voz, fácil calendário / planner</v>
      </c>
      <c r="B55777" s="3">
        <v>1</v>
      </c>
    </row>
    <row r="55778" ht="15.75" customHeight="1" spans="1:2">
      <c r="A55778" s="3" t="str">
        <f>IFERROR(__xludf.DUMMYFUNCTION("GOOGLETRANSLATE(A55778,""en"",""pt"")"),"tela colorida, grande bateria, conveniente teclado QWERTY.")</f>
        <v>tela colorida, grande bateria, conveniente teclado QWERTY.</v>
      </c>
      <c r="B55778" s="3">
        <v>1</v>
      </c>
    </row>
    <row r="55779" ht="15.75" customHeight="1" spans="1:2">
      <c r="A55779" s="3" t="str">
        <f>IFERROR(__xludf.DUMMYFUNCTION("GOOGLETRANSLATE(A55779,""en"",""pt"")"),"teclado QWERTY e mensagens de texto")</f>
        <v>teclado QWERTY e mensagens de texto</v>
      </c>
      <c r="B55779" s="3">
        <v>1</v>
      </c>
    </row>
    <row r="55780" ht="15.75" customHeight="1" spans="1:2">
      <c r="A55780" s="3" t="str">
        <f>IFERROR(__xludf.DUMMYFUNCTION("GOOGLETRANSLATE(A55780,""en"",""pt"")"),"Teclado QWERTY, 4 clientes IM, boa bateria, rádio FM, meu telefone favorito ...")</f>
        <v>Teclado QWERTY, 4 clientes IM, boa bateria, rádio FM, meu telefone favorito ...</v>
      </c>
      <c r="B55780" s="3">
        <v>1</v>
      </c>
    </row>
    <row r="55781" ht="15.75" customHeight="1" spans="1:2">
      <c r="A55781" s="3" t="str">
        <f>IFERROR(__xludf.DUMMYFUNCTION("GOOGLETRANSLATE(A55781,""en"",""pt"")"),"Cor, fácil de usar, teclado, programas, galeria")</f>
        <v>Cor, fácil de usar, teclado, programas, galeria</v>
      </c>
      <c r="B55781" s="3">
        <v>1</v>
      </c>
    </row>
    <row r="55782" ht="15.75" customHeight="1" spans="1:2">
      <c r="A55782" s="3" t="str">
        <f>IFERROR(__xludf.DUMMYFUNCTION("GOOGLETRANSLATE(A55782,""en"",""pt"")"),"teclado, teclado, teclado, comandos de voz, e uma boa vida da bateria em comparação com telefones destaque semelhantes")</f>
        <v>teclado, teclado, teclado, comandos de voz, e uma boa vida da bateria em comparação com telefones destaque semelhantes</v>
      </c>
      <c r="B55782" s="3">
        <v>1</v>
      </c>
    </row>
    <row r="55783" ht="15.75" customHeight="1" spans="1:2">
      <c r="A55783" s="3" t="str">
        <f>IFERROR(__xludf.DUMMYFUNCTION("GOOGLETRANSLATE(A55783,""en"",""pt"")"),"é colorido e tem toques polifônicos")</f>
        <v>é colorido e tem toques polifônicos</v>
      </c>
      <c r="B55783" s="3">
        <v>1</v>
      </c>
    </row>
    <row r="55784" ht="15.75" customHeight="1" spans="1:2">
      <c r="A55784" s="3" t="str">
        <f>IFERROR(__xludf.DUMMYFUNCTION("GOOGLETRANSLATE(A55784,""en"",""pt"")"),"rico em recursos, bateria de longa duração, recepção forte, útil, durável")</f>
        <v>rico em recursos, bateria de longa duração, recepção forte, útil, durável</v>
      </c>
      <c r="B55784" s="3">
        <v>1</v>
      </c>
    </row>
    <row r="55785" ht="15.75" customHeight="1" spans="1:2">
      <c r="A55785" s="3" t="str">
        <f>IFERROR(__xludf.DUMMYFUNCTION("GOOGLETRANSLATE(A55785,""en"",""pt"")"),"Leve, grande agenda, calendário, antena interna")</f>
        <v>Leve, grande agenda, calendário, antena interna</v>
      </c>
      <c r="B55785" s="3">
        <v>1</v>
      </c>
    </row>
    <row r="55786" ht="15.75" customHeight="1" spans="1:2">
      <c r="A55786" s="3" t="str">
        <f>IFERROR(__xludf.DUMMYFUNCTION("GOOGLETRANSLATE(A55786,""en"",""pt"")"),"Reconhecimento de voz, anel vibratório, conectividade IR w / PDA, Perfis Anel")</f>
        <v>Reconhecimento de voz, anel vibratório, conectividade IR w / PDA, Perfis Anel</v>
      </c>
      <c r="B55786" s="3">
        <v>1</v>
      </c>
    </row>
    <row r="55787" ht="15.75" customHeight="1" spans="1:2">
      <c r="A55787" s="3" t="str">
        <f>IFERROR(__xludf.DUMMYFUNCTION("GOOGLETRANSLATE(A55787,""en"",""pt"")"),"Excelente recepção, bom tamanho e peso, a abundância de recursos úteis")</f>
        <v>Excelente recepção, bom tamanho e peso, a abundância de recursos úteis</v>
      </c>
      <c r="B55787" s="3">
        <v>1</v>
      </c>
    </row>
    <row r="55788" ht="15.75" customHeight="1" spans="1:2">
      <c r="A55788" s="3" t="str">
        <f>IFERROR(__xludf.DUMMYFUNCTION("GOOGLETRANSLATE(A55788,""en"",""pt"")"),"A vida da bateria incrível e excelente recepção")</f>
        <v>A vida da bateria incrível e excelente recepção</v>
      </c>
      <c r="B55788" s="3">
        <v>1</v>
      </c>
    </row>
    <row r="55789" ht="15.75" customHeight="1" spans="1:2">
      <c r="A55789" s="3" t="str">
        <f>IFERROR(__xludf.DUMMYFUNCTION("GOOGLETRANSLATE(A55789,""en"",""pt"")"),"Discagem por voz, facilidade de uso, tamanho e peso")</f>
        <v>Discagem por voz, facilidade de uso, tamanho e peso</v>
      </c>
      <c r="B55789" s="3">
        <v>1</v>
      </c>
    </row>
    <row r="55790" ht="15.75" customHeight="1" spans="1:2">
      <c r="A55790" s="3" t="str">
        <f>IFERROR(__xludf.DUMMYFUNCTION("GOOGLETRANSLATE(A55790,""en"",""pt"")"),"A vida da bateria, recepção, boas características úteis")</f>
        <v>A vida da bateria, recepção, boas características úteis</v>
      </c>
      <c r="B55790" s="3">
        <v>1</v>
      </c>
    </row>
    <row r="55791" ht="15.75" customHeight="1" spans="1:2">
      <c r="A55791" s="3" t="str">
        <f>IFERROR(__xludf.DUMMYFUNCTION("GOOGLETRANSLATE(A55791,""en"",""pt"")"),"sistema de recepção, excelente sincronização infravermelho, filtragem de ruído, vida útil da bateria, operando (menu).")</f>
        <v>sistema de recepção, excelente sincronização infravermelho, filtragem de ruído, vida útil da bateria, operando (menu).</v>
      </c>
      <c r="B55791" s="3">
        <v>1</v>
      </c>
    </row>
    <row r="55792" ht="15.75" customHeight="1" spans="1:2">
      <c r="A55792" s="3" t="str">
        <f>IFERROR(__xludf.DUMMYFUNCTION("GOOGLETRANSLATE(A55792,""en"",""pt"")"),"Digital, grande display retroiluminado e botões, carregado, ACCS disponível em hipermercados")</f>
        <v>Digital, grande display retroiluminado e botões, carregado, ACCS disponível em hipermercados</v>
      </c>
      <c r="B55792" s="3">
        <v>1</v>
      </c>
    </row>
    <row r="55793" ht="15.75" customHeight="1" spans="1:2">
      <c r="A55793" s="3" t="str">
        <f>IFERROR(__xludf.DUMMYFUNCTION("GOOGLETRANSLATE(A55793,""en"",""pt"")"),"construção sólida, versátil, de grande recepção e clareza, manual abrangente")</f>
        <v>construção sólida, versátil, de grande recepção e clareza, manual abrangente</v>
      </c>
      <c r="B55793" s="3">
        <v>1</v>
      </c>
    </row>
    <row r="55794" ht="15.75" customHeight="1" spans="1:2">
      <c r="A55794" s="3" t="str">
        <f>IFERROR(__xludf.DUMMYFUNCTION("GOOGLETRANSLATE(A55794,""en"",""pt"")"),"Durável! Lotes de grandes opções como gravador de voz e lembretes infared e chamada.")</f>
        <v>Durável! Lotes de grandes opções como gravador de voz e lembretes infared e chamada.</v>
      </c>
      <c r="B55794" s="3">
        <v>1</v>
      </c>
    </row>
    <row r="55795" ht="15.75" customHeight="1" spans="1:2">
      <c r="A55795" s="3" t="str">
        <f>IFERROR(__xludf.DUMMYFUNCTION("GOOGLETRANSLATE(A55795,""en"",""pt"")"),"características adicionais, peso leve")</f>
        <v>características adicionais, peso leve</v>
      </c>
      <c r="B55795" s="3">
        <v>1</v>
      </c>
    </row>
    <row r="55796" ht="15.75" customHeight="1" spans="1:2">
      <c r="A55796" s="3" t="str">
        <f>IFERROR(__xludf.DUMMYFUNCTION("GOOGLETRANSLATE(A55796,""en"",""pt"")"),"elegante e fácil de usar, peso leve.")</f>
        <v>elegante e fácil de usar, peso leve.</v>
      </c>
      <c r="B55796" s="3">
        <v>1</v>
      </c>
    </row>
    <row r="55797" ht="15.75" customHeight="1" spans="1:2">
      <c r="A55797" s="3" t="str">
        <f>IFERROR(__xludf.DUMMYFUNCTION("GOOGLETRANSLATE(A55797,""en"",""pt"")"),"Excelente recepção, a vida da bateria, apresenta.")</f>
        <v>Excelente recepção, a vida da bateria, apresenta.</v>
      </c>
      <c r="B55797" s="3">
        <v>1</v>
      </c>
    </row>
    <row r="55798" ht="15.75" customHeight="1" spans="1:2">
      <c r="A55798" s="3" t="str">
        <f>IFERROR(__xludf.DUMMYFUNCTION("GOOGLETRANSLATE(A55798,""en"",""pt"")"),"Grande Nokia fácil de usar e aprender software, tela maior, muitos recursos")</f>
        <v>Grande Nokia fácil de usar e aprender software, tela maior, muitos recursos</v>
      </c>
      <c r="B55798" s="3">
        <v>1</v>
      </c>
    </row>
    <row r="55799" ht="15.75" customHeight="1" spans="1:2">
      <c r="A55799" s="3" t="str">
        <f>IFERROR(__xludf.DUMMYFUNCTION("GOOGLETRANSLATE(A55799,""en"",""pt"")"),"Pequeno, compacto e leve, rico em recursos, olhar fresco")</f>
        <v>Pequeno, compacto e leve, rico em recursos, olhar fresco</v>
      </c>
      <c r="B55799" s="3">
        <v>1</v>
      </c>
    </row>
    <row r="55800" ht="15.75" customHeight="1" spans="1:2">
      <c r="A55800" s="3" t="str">
        <f>IFERROR(__xludf.DUMMYFUNCTION("GOOGLETRANSLATE(A55800,""en"",""pt"")"),"vida útil da bateria excelente, aparência elegante, amigável, caso sólida")</f>
        <v>vida útil da bateria excelente, aparência elegante, amigável, caso sólida</v>
      </c>
      <c r="B55800" s="3">
        <v>1</v>
      </c>
    </row>
    <row r="55801" ht="15.75" customHeight="1" spans="1:2">
      <c r="A55801" s="3" t="str">
        <f>IFERROR(__xludf.DUMMYFUNCTION("GOOGLETRANSLATE(A55801,""en"",""pt"")"),"elegante telefone leve que usa mesmos acessórios como 6162 modelo")</f>
        <v>elegante telefone leve que usa mesmos acessórios como 6162 modelo</v>
      </c>
      <c r="B55801" s="3">
        <v>1</v>
      </c>
    </row>
    <row r="55802" ht="15.75" customHeight="1" spans="1:2">
      <c r="A55802" s="3" t="str">
        <f>IFERROR(__xludf.DUMMYFUNCTION("GOOGLETRANSLATE(A55802,""en"",""pt"")"),"qualidade de áudio forte e bateria de longa duração.")</f>
        <v>qualidade de áudio forte e bateria de longa duração.</v>
      </c>
      <c r="B55802" s="3">
        <v>1</v>
      </c>
    </row>
    <row r="55803" ht="15.75" customHeight="1" spans="1:2">
      <c r="A55803" s="3" t="str">
        <f>IFERROR(__xludf.DUMMYFUNCTION("GOOGLETRANSLATE(A55803,""en"",""pt"")"),"toques, muitas opções de menu, discagem por voz, alto e estridente")</f>
        <v>toques, muitas opções de menu, discagem por voz, alto e estridente</v>
      </c>
      <c r="B55803" s="3">
        <v>1</v>
      </c>
    </row>
    <row r="55804" ht="15.75" customHeight="1" spans="1:2">
      <c r="A55804" s="3" t="str">
        <f>IFERROR(__xludf.DUMMYFUNCTION("GOOGLETRANSLATE(A55804,""en"",""pt"")"),"3 minutos gravador de voz, funções de voz, tela grande, vários perfis, boa calculadora.")</f>
        <v>3 minutos gravador de voz, funções de voz, tela grande, vários perfis, boa calculadora.</v>
      </c>
      <c r="B55804" s="3">
        <v>1</v>
      </c>
    </row>
    <row r="55805" ht="15.75" customHeight="1" spans="1:2">
      <c r="A55805" s="3" t="str">
        <f>IFERROR(__xludf.DUMMYFUNCTION("GOOGLETRANSLATE(A55805,""en"",""pt"")"),"suporte Infrared")</f>
        <v>suporte Infrared</v>
      </c>
      <c r="B55805" s="3">
        <v>1</v>
      </c>
    </row>
    <row r="55806" ht="15.75" customHeight="1" spans="1:2">
      <c r="A55806" s="3" t="str">
        <f>IFERROR(__xludf.DUMMYFUNCTION("GOOGLETRANSLATE(A55806,""en"",""pt"")"),"Bom celular no geral, com menus fáceis de navegar")</f>
        <v>Bom celular no geral, com menus fáceis de navegar</v>
      </c>
      <c r="B55806" s="3">
        <v>1</v>
      </c>
    </row>
    <row r="55807" ht="15.75" customHeight="1" spans="1:2">
      <c r="A55807" s="3" t="str">
        <f>IFERROR(__xludf.DUMMYFUNCTION("GOOGLETRANSLATE(A55807,""en"",""pt"")"),"Calendário com conectividade PC!")</f>
        <v>Calendário com conectividade PC!</v>
      </c>
      <c r="B55807" s="3">
        <v>1</v>
      </c>
    </row>
    <row r="55808" ht="15.75" customHeight="1" spans="1:2">
      <c r="A55808" s="3" t="str">
        <f>IFERROR(__xludf.DUMMYFUNCTION("GOOGLETRANSLATE(A55808,""en"",""pt"")"),"Discagem por voz / Commands")</f>
        <v>Discagem por voz / Commands</v>
      </c>
      <c r="B55808" s="3">
        <v>1</v>
      </c>
    </row>
    <row r="55809" ht="15.75" customHeight="1" spans="1:2">
      <c r="A55809" s="3" t="str">
        <f>IFERROR(__xludf.DUMMYFUNCTION("GOOGLETRANSLATE(A55809,""en"",""pt"")"),"Minúsculo, extremamente leve, característica-embalada")</f>
        <v>Minúsculo, extremamente leve, característica-embalada</v>
      </c>
      <c r="B55809" s="3">
        <v>1</v>
      </c>
    </row>
    <row r="55810" ht="15.75" customHeight="1" spans="1:2">
      <c r="A55810" s="3" t="str">
        <f>IFERROR(__xludf.DUMMYFUNCTION("GOOGLETRANSLATE(A55810,""en"",""pt"")"),"reconhecimento de voz, hardware, &amp; quot; PIM &amp; quot; características")</f>
        <v>reconhecimento de voz, hardware, &amp; quot; PIM &amp; quot; características</v>
      </c>
      <c r="B55810" s="3">
        <v>1</v>
      </c>
    </row>
    <row r="55811" ht="15.75" customHeight="1" spans="1:2">
      <c r="A55811" s="3" t="str">
        <f>IFERROR(__xludf.DUMMYFUNCTION("GOOGLETRANSLATE(A55811,""en"",""pt"")"),"portabilidade, facilidade de uso, a discagem por voz")</f>
        <v>portabilidade, facilidade de uso, a discagem por voz</v>
      </c>
      <c r="B55811" s="3">
        <v>1</v>
      </c>
    </row>
    <row r="55812" ht="15.75" customHeight="1" spans="1:2">
      <c r="A55812" s="3" t="str">
        <f>IFERROR(__xludf.DUMMYFUNCTION("GOOGLETRANSLATE(A55812,""en"",""pt"")"),"Bom recurso, luz")</f>
        <v>Bom recurso, luz</v>
      </c>
      <c r="B55812" s="3">
        <v>1</v>
      </c>
    </row>
    <row r="55813" ht="15.75" customHeight="1" spans="1:2">
      <c r="A55813" s="3" t="str">
        <f>IFERROR(__xludf.DUMMYFUNCTION("GOOGLETRANSLATE(A55813,""en"",""pt"")"),"Slick, Leve, elefantes são atraídas a ele")</f>
        <v>Slick, Leve, elefantes são atraídas a ele</v>
      </c>
      <c r="B55813" s="3">
        <v>1</v>
      </c>
    </row>
    <row r="55814" ht="15.75" customHeight="1" spans="1:2">
      <c r="A55814" s="3" t="str">
        <f>IFERROR(__xludf.DUMMYFUNCTION("GOOGLETRANSLATE(A55814,""en"",""pt"")"),"tamanho, boa recepção")</f>
        <v>tamanho, boa recepção</v>
      </c>
      <c r="B55814" s="3">
        <v>1</v>
      </c>
    </row>
    <row r="55815" ht="15.75" customHeight="1" spans="1:2">
      <c r="A55815" s="3" t="str">
        <f>IFERROR(__xludf.DUMMYFUNCTION("GOOGLETRANSLATE(A55815,""en"",""pt"")"),"grandes recursos")</f>
        <v>grandes recursos</v>
      </c>
      <c r="B55815" s="3">
        <v>1</v>
      </c>
    </row>
    <row r="55816" ht="15.75" customHeight="1" spans="1:2">
      <c r="A55816" s="3" t="str">
        <f>IFERROR(__xludf.DUMMYFUNCTION("GOOGLETRANSLATE(A55816,""en"",""pt"")"),"tamanho conveniente, muito fácil de usar, web wireless")</f>
        <v>tamanho conveniente, muito fácil de usar, web wireless</v>
      </c>
      <c r="B55816" s="3">
        <v>1</v>
      </c>
    </row>
    <row r="55817" ht="15.75" customHeight="1" spans="1:2">
      <c r="A55817" s="3" t="str">
        <f>IFERROR(__xludf.DUMMYFUNCTION("GOOGLETRANSLATE(A55817,""en"",""pt"")"),"Leve, tamanho pequeno, construção sólida, facilidade de uso.")</f>
        <v>Leve, tamanho pequeno, construção sólida, facilidade de uso.</v>
      </c>
      <c r="B55817" s="3">
        <v>1</v>
      </c>
    </row>
    <row r="55818" ht="15.75" customHeight="1" spans="1:2">
      <c r="A55818" s="3" t="str">
        <f>IFERROR(__xludf.DUMMYFUNCTION("GOOGLETRANSLATE(A55818,""en"",""pt"")"),"Durável; resiste ""desgaste"". Permite ir em linha !!")</f>
        <v>Durável; resiste "desgaste". Permite ir em linha !!</v>
      </c>
      <c r="B55818" s="3">
        <v>1</v>
      </c>
    </row>
    <row r="55819" ht="15.75" customHeight="1" spans="1:2">
      <c r="A55819" s="3" t="str">
        <f>IFERROR(__xludf.DUMMYFUNCTION("GOOGLETRANSLATE(A55819,""en"",""pt"")"),"Construção durável significa que não estará quebrando um presente")</f>
        <v>Construção durável significa que não estará quebrando um presente</v>
      </c>
      <c r="B55819" s="3">
        <v>1</v>
      </c>
    </row>
    <row r="55820" ht="15.75" customHeight="1" spans="1:2">
      <c r="A55820" s="3" t="str">
        <f>IFERROR(__xludf.DUMMYFUNCTION("GOOGLETRANSLATE(A55820,""en"",""pt"")"),"Pequeno, leve, construção sólida")</f>
        <v>Pequeno, leve, construção sólida</v>
      </c>
      <c r="B55820" s="3">
        <v>1</v>
      </c>
    </row>
    <row r="55821" ht="15.75" customHeight="1" spans="1:2">
      <c r="A55821" s="3" t="str">
        <f>IFERROR(__xludf.DUMMYFUNCTION("GOOGLETRANSLATE(A55821,""en"",""pt"")"),"Pequeno, fácil de usar, muita clareza")</f>
        <v>Pequeno, fácil de usar, muita clareza</v>
      </c>
      <c r="B55821" s="3">
        <v>1</v>
      </c>
    </row>
    <row r="55822" ht="15.75" customHeight="1" spans="1:2">
      <c r="A55822" s="3" t="str">
        <f>IFERROR(__xludf.DUMMYFUNCTION("GOOGLETRANSLATE(A55822,""en"",""pt"")"),"Tamanho, capacidade de discagem por voz, acessórios")</f>
        <v>Tamanho, capacidade de discagem por voz, acessórios</v>
      </c>
      <c r="B55822" s="3">
        <v>1</v>
      </c>
    </row>
    <row r="55823" ht="15.75" customHeight="1" spans="1:2">
      <c r="A55823" s="3" t="str">
        <f>IFERROR(__xludf.DUMMYFUNCTION("GOOGLETRANSLATE(A55823,""en"",""pt"")"),"Sprint Holster -boa para a realização de telefone, Jabra auricular fio w / -boa microfone")</f>
        <v>Sprint Holster -boa para a realização de telefone, Jabra auricular fio w / -boa microfone</v>
      </c>
      <c r="B55823" s="3">
        <v>1</v>
      </c>
    </row>
    <row r="55824" ht="15.75" customHeight="1" spans="1:2">
      <c r="A55824" s="3" t="str">
        <f>IFERROR(__xludf.DUMMYFUNCTION("GOOGLETRANSLATE(A55824,""en"",""pt"")"),"Pequeno, leve, muito bem feito, grande estilo")</f>
        <v>Pequeno, leve, muito bem feito, grande estilo</v>
      </c>
      <c r="B55824" s="3">
        <v>1</v>
      </c>
    </row>
    <row r="55825" ht="15.75" customHeight="1" spans="1:2">
      <c r="A55825" s="3" t="str">
        <f>IFERROR(__xludf.DUMMYFUNCTION("GOOGLETRANSLATE(A55825,""en"",""pt"")"),"A vida da bateria, leve e fino, Bluetooth!")</f>
        <v>A vida da bateria, leve e fino, Bluetooth!</v>
      </c>
      <c r="B55825" s="3">
        <v>1</v>
      </c>
    </row>
    <row r="55826" ht="15.75" customHeight="1" spans="1:2">
      <c r="A55826" s="3" t="str">
        <f>IFERROR(__xludf.DUMMYFUNCTION("GOOGLETRANSLATE(A55826,""en"",""pt"")"),"Bluetooth, GPRS, Tri-band, cliente de email, grande recepção, vida útil da bateria decente.")</f>
        <v>Bluetooth, GPRS, Tri-band, cliente de email, grande recepção, vida útil da bateria decente.</v>
      </c>
      <c r="B55826" s="3">
        <v>1</v>
      </c>
    </row>
    <row r="55827" ht="15.75" customHeight="1" spans="1:2">
      <c r="A55827" s="3" t="str">
        <f>IFERROR(__xludf.DUMMYFUNCTION("GOOGLETRANSLATE(A55827,""en"",""pt"")"),"GPRS, WAP, HSCSD, Bluetooth, IrDA, design pequeno / elegante, ampla memória da agenda, características e MAIS RECURSOS")</f>
        <v>GPRS, WAP, HSCSD, Bluetooth, IrDA, design pequeno / elegante, ampla memória da agenda, características e MAIS RECURSOS</v>
      </c>
      <c r="B55827" s="3">
        <v>1</v>
      </c>
    </row>
    <row r="55828" ht="15.75" customHeight="1" spans="1:2">
      <c r="A55828" s="3" t="str">
        <f>IFERROR(__xludf.DUMMYFUNCTION("GOOGLETRANSLATE(A55828,""en"",""pt"")"),"BlueTooth, tamanho, duração da bateria, design")</f>
        <v>BlueTooth, tamanho, duração da bateria, design</v>
      </c>
      <c r="B55828" s="3">
        <v>1</v>
      </c>
    </row>
    <row r="55829" ht="15.75" customHeight="1" spans="1:2">
      <c r="A55829" s="3" t="str">
        <f>IFERROR(__xludf.DUMMYFUNCTION("GOOGLETRANSLATE(A55829,""en"",""pt"")"),"minúsculo, leve, de boa aparência, bem construído, bem caracterizado, um excelente telefone.")</f>
        <v>minúsculo, leve, de boa aparência, bem construído, bem caracterizado, um excelente telefone.</v>
      </c>
      <c r="B55829" s="3">
        <v>1</v>
      </c>
    </row>
    <row r="55830" ht="15.75" customHeight="1" spans="1:2">
      <c r="A55830" s="3" t="str">
        <f>IFERROR(__xludf.DUMMYFUNCTION("GOOGLETRANSLATE(A55830,""en"",""pt"")"),"Pequeno, elegante, discreta.")</f>
        <v>Pequeno, elegante, discreta.</v>
      </c>
      <c r="B55830" s="3">
        <v>1</v>
      </c>
    </row>
    <row r="55831" ht="15.75" customHeight="1" spans="1:2">
      <c r="A55831" s="3" t="str">
        <f>IFERROR(__xludf.DUMMYFUNCTION("GOOGLETRANSLATE(A55831,""en"",""pt"")"),"capacidades web, boas críticas, preços moderados, fone de ouvido sem fio (btooth)")</f>
        <v>capacidades web, boas críticas, preços moderados, fone de ouvido sem fio (btooth)</v>
      </c>
      <c r="B55831" s="3">
        <v>1</v>
      </c>
    </row>
    <row r="55832" ht="15.75" customHeight="1" spans="1:2">
      <c r="A55832" s="3" t="str">
        <f>IFERROR(__xludf.DUMMYFUNCTION("GOOGLETRANSLATE(A55832,""en"",""pt"")"),"pequeno tamanho, peso leve, bluetooth, WAP, POP3, GPRS, e assim por diante ...")</f>
        <v>pequeno tamanho, peso leve, bluetooth, WAP, POP3, GPRS, e assim por diante ...</v>
      </c>
      <c r="B55832" s="3">
        <v>1</v>
      </c>
    </row>
    <row r="55833" ht="15.75" customHeight="1" spans="1:2">
      <c r="A55833" s="3" t="str">
        <f>IFERROR(__xludf.DUMMYFUNCTION("GOOGLETRANSLATE(A55833,""en"",""pt"")"),"Definitivamente prova de futuro!")</f>
        <v>Definitivamente prova de futuro!</v>
      </c>
      <c r="B55833" s="3">
        <v>1</v>
      </c>
    </row>
    <row r="55834" ht="15.75" customHeight="1" spans="1:2">
      <c r="A55834" s="3" t="str">
        <f>IFERROR(__xludf.DUMMYFUNCTION("GOOGLETRANSLATE(A55834,""en"",""pt"")"),"luz boa recepção")</f>
        <v>luz boa recepção</v>
      </c>
      <c r="B55834" s="3">
        <v>1</v>
      </c>
    </row>
    <row r="55835" ht="15.75" customHeight="1" spans="1:2">
      <c r="A55835" s="3" t="str">
        <f>IFERROR(__xludf.DUMMYFUNCTION("GOOGLETRANSLATE(A55835,""en"",""pt"")"),"Luz, Bem equipado, de boa aparência, confiável, Battery Superior, Good Signal")</f>
        <v>Luz, Bem equipado, de boa aparência, confiável, Battery Superior, Good Signal</v>
      </c>
      <c r="B55835" s="3">
        <v>1</v>
      </c>
    </row>
    <row r="55836" ht="15.75" customHeight="1" spans="1:2">
      <c r="A55836" s="3" t="str">
        <f>IFERROR(__xludf.DUMMYFUNCTION("GOOGLETRANSLATE(A55836,""en"",""pt"")"),"Pequeno, elegante, muito boa bateria, pronto para o futuro, telefone do mundo")</f>
        <v>Pequeno, elegante, muito boa bateria, pronto para o futuro, telefone do mundo</v>
      </c>
      <c r="B55836" s="3">
        <v>1</v>
      </c>
    </row>
    <row r="55837" ht="15.75" customHeight="1" spans="1:2">
      <c r="A55837" s="3" t="str">
        <f>IFERROR(__xludf.DUMMYFUNCTION("GOOGLETRANSLATE(A55837,""en"",""pt"")"),"pequeno e leve, mas não frágil, interface simples e intuitiva, som e recepção")</f>
        <v>pequeno e leve, mas não frágil, interface simples e intuitiva, som e recepção</v>
      </c>
      <c r="B55837" s="3">
        <v>1</v>
      </c>
    </row>
    <row r="55838" ht="15.75" customHeight="1" spans="1:2">
      <c r="A55838" s="3" t="str">
        <f>IFERROR(__xludf.DUMMYFUNCTION("GOOGLETRANSLATE(A55838,""en"",""pt"")"),"Tri-band, Bluetooth, GPRS, tamanho, capacidade da bateria, sinal vibratório")</f>
        <v>Tri-band, Bluetooth, GPRS, tamanho, capacidade da bateria, sinal vibratório</v>
      </c>
      <c r="B55838" s="3">
        <v>1</v>
      </c>
    </row>
    <row r="55839" ht="15.75" customHeight="1" spans="1:2">
      <c r="A55839" s="3" t="str">
        <f>IFERROR(__xludf.DUMMYFUNCTION("GOOGLETRANSLATE(A55839,""en"",""pt"")"),"capacidade de telefone mundo, GPRS, design melhorado, Bluetooth, Ultra-light, ultra-fino.")</f>
        <v>capacidade de telefone mundo, GPRS, design melhorado, Bluetooth, Ultra-light, ultra-fino.</v>
      </c>
      <c r="B55839" s="3">
        <v>1</v>
      </c>
    </row>
    <row r="55840" ht="15.75" customHeight="1" spans="1:2">
      <c r="A55840" s="3" t="str">
        <f>IFERROR(__xludf.DUMMYFUNCTION("GOOGLETRANSLATE(A55840,""en"",""pt"")"),"O telefone celular primeiro COLORIDA !!!")</f>
        <v>O telefone celular primeiro COLORIDA !!!</v>
      </c>
      <c r="B55840" s="3">
        <v>1</v>
      </c>
    </row>
    <row r="55841" ht="15.75" customHeight="1" spans="1:2">
      <c r="A55841" s="3" t="str">
        <f>IFERROR(__xludf.DUMMYFUNCTION("GOOGLETRANSLATE(A55841,""en"",""pt"")"),"browser WAP, tamanho, peso, características, a vida da bateria")</f>
        <v>browser WAP, tamanho, peso, características, a vida da bateria</v>
      </c>
      <c r="B55841" s="3">
        <v>1</v>
      </c>
    </row>
    <row r="55842" ht="15.75" customHeight="1" spans="1:2">
      <c r="A55842" s="3" t="str">
        <f>IFERROR(__xludf.DUMMYFUNCTION("GOOGLETRANSLATE(A55842,""en"",""pt"")"),"muito boa recepção ou seja a intensidade do sinal. Muito boa bateria")</f>
        <v>muito boa recepção ou seja a intensidade do sinal. Muito boa bateria</v>
      </c>
      <c r="B55842" s="3">
        <v>1</v>
      </c>
    </row>
    <row r="55843" ht="15.75" customHeight="1" spans="1:2">
      <c r="A55843" s="3" t="str">
        <f>IFERROR(__xludf.DUMMYFUNCTION("GOOGLETRANSLATE(A55843,""en"",""pt"")"),"grandes características, tamanho pequeno")</f>
        <v>grandes características, tamanho pequeno</v>
      </c>
      <c r="B55843" s="3">
        <v>1</v>
      </c>
    </row>
    <row r="55844" ht="15.75" customHeight="1" spans="1:2">
      <c r="A55844" s="3" t="str">
        <f>IFERROR(__xludf.DUMMYFUNCTION("GOOGLETRANSLATE(A55844,""en"",""pt"")"),"Direto! Atraente! Grande ""Display""! Durável! Preço baixo! Uma barganha!")</f>
        <v>Direto! Atraente! Grande "Display"! Durável! Preço baixo! Uma barganha!</v>
      </c>
      <c r="B55844" s="3">
        <v>1</v>
      </c>
    </row>
    <row r="55845" ht="15.75" customHeight="1" spans="1:2">
      <c r="A55845" s="3" t="str">
        <f>IFERROR(__xludf.DUMMYFUNCTION("GOOGLETRANSLATE(A55845,""en"",""pt"")"),"Pequeno, muitas opções, boa bateria, muito conveniente")</f>
        <v>Pequeno, muitas opções, boa bateria, muito conveniente</v>
      </c>
      <c r="B55845" s="3">
        <v>1</v>
      </c>
    </row>
    <row r="55846" ht="15.75" customHeight="1" spans="1:2">
      <c r="A55846" s="3" t="str">
        <f>IFERROR(__xludf.DUMMYFUNCTION("GOOGLETRANSLATE(A55846,""en"",""pt"")"),"Boa qualidade de som, bateria de longa duração, agradável aparência e extenso conjunto de funcionalidades")</f>
        <v>Boa qualidade de som, bateria de longa duração, agradável aparência e extenso conjunto de funcionalidades</v>
      </c>
      <c r="B55846" s="3">
        <v>1</v>
      </c>
    </row>
    <row r="55847" ht="15.75" customHeight="1" spans="1:2">
      <c r="A55847" s="3" t="str">
        <f>IFERROR(__xludf.DUMMYFUNCTION("GOOGLETRANSLATE(A55847,""en"",""pt"")"),"recepção soberba, facilidade de uso, longa vida de bateria extra.")</f>
        <v>recepção soberba, facilidade de uso, longa vida de bateria extra.</v>
      </c>
      <c r="B55847" s="3">
        <v>1</v>
      </c>
    </row>
    <row r="55848" ht="15.75" customHeight="1" spans="1:2">
      <c r="A55848" s="3" t="str">
        <f>IFERROR(__xludf.DUMMYFUNCTION("GOOGLETRANSLATE(A55848,""en"",""pt"")"),"características, portabilidade")</f>
        <v>características, portabilidade</v>
      </c>
      <c r="B55848" s="3">
        <v>1</v>
      </c>
    </row>
    <row r="55849" ht="15.75" customHeight="1" spans="1:2">
      <c r="A55849" s="3" t="str">
        <f>IFERROR(__xludf.DUMMYFUNCTION("GOOGLETRANSLATE(A55849,""en"",""pt"")"),"O tamanho pequeno, vida útil da bateria, a qualidade do som")</f>
        <v>O tamanho pequeno, vida útil da bateria, a qualidade do som</v>
      </c>
      <c r="B55849" s="3">
        <v>1</v>
      </c>
    </row>
    <row r="55850" ht="15.75" customHeight="1" spans="1:2">
      <c r="A55850" s="3" t="str">
        <f>IFERROR(__xludf.DUMMYFUNCTION("GOOGLETRANSLATE(A55850,""en"",""pt"")"),"Compactar; carregado com características; grande autonomia da bateria")</f>
        <v>Compactar; carregado com características; grande autonomia da bateria</v>
      </c>
      <c r="B55850" s="3">
        <v>1</v>
      </c>
    </row>
    <row r="55851" ht="15.75" customHeight="1" spans="1:2">
      <c r="A55851" s="3" t="str">
        <f>IFERROR(__xludf.DUMMYFUNCTION("GOOGLETRANSLATE(A55851,""en"",""pt"")"),"Então, compacto e elegante aparência")</f>
        <v>Então, compacto e elegante aparência</v>
      </c>
      <c r="B55851" s="3">
        <v>1</v>
      </c>
    </row>
    <row r="55852" ht="15.75" customHeight="1" spans="1:2">
      <c r="A55852" s="3" t="str">
        <f>IFERROR(__xludf.DUMMYFUNCTION("GOOGLETRANSLATE(A55852,""en"",""pt"")"),"Tamanho e peso - sem necessidade de realizar ajustes etc. clipe no bolso da frente.")</f>
        <v>Tamanho e peso - sem necessidade de realizar ajustes etc. clipe no bolso da frente.</v>
      </c>
      <c r="B55852" s="3">
        <v>1</v>
      </c>
    </row>
    <row r="55853" ht="15.75" customHeight="1" spans="1:2">
      <c r="A55853" s="3" t="str">
        <f>IFERROR(__xludf.DUMMYFUNCTION("GOOGLETRANSLATE(A55853,""en"",""pt"")"),"tamanho, estética, facilidade de uso e duração de bateria")</f>
        <v>tamanho, estética, facilidade de uso e duração de bateria</v>
      </c>
      <c r="B55853" s="3">
        <v>1</v>
      </c>
    </row>
    <row r="55854" ht="15.75" customHeight="1" spans="1:2">
      <c r="A55854" s="3" t="str">
        <f>IFERROR(__xludf.DUMMYFUNCTION("GOOGLETRANSLATE(A55854,""en"",""pt"")"),"Dimensões, Características")</f>
        <v>Dimensões, Características</v>
      </c>
      <c r="B55854" s="3">
        <v>1</v>
      </c>
    </row>
    <row r="55855" ht="15.75" customHeight="1" spans="1:2">
      <c r="A55855" s="3" t="str">
        <f>IFERROR(__xludf.DUMMYFUNCTION("GOOGLETRANSLATE(A55855,""en"",""pt"")"),"Tamanho, peso, características, customizability")</f>
        <v>Tamanho, peso, características, customizability</v>
      </c>
      <c r="B55855" s="3">
        <v>1</v>
      </c>
    </row>
    <row r="55856" ht="15.75" customHeight="1" spans="1:2">
      <c r="A55856" s="3" t="str">
        <f>IFERROR(__xludf.DUMMYFUNCTION("GOOGLETRANSLATE(A55856,""en"",""pt"")"),"Por que eu queria comprar outro NOKIA, é que é um dos melhores telefones celulares")</f>
        <v>Por que eu queria comprar outro NOKIA, é que é um dos melhores telefones celulares</v>
      </c>
      <c r="B55856" s="3">
        <v>1</v>
      </c>
    </row>
    <row r="55857" ht="15.75" customHeight="1" spans="1:2">
      <c r="A55857" s="3" t="str">
        <f>IFERROR(__xludf.DUMMYFUNCTION("GOOGLETRANSLATE(A55857,""en"",""pt"")"),"Tamanho, Qualidade")</f>
        <v>Tamanho, Qualidade</v>
      </c>
      <c r="B55857" s="3">
        <v>1</v>
      </c>
    </row>
    <row r="55858" ht="15.75" customHeight="1" spans="1:2">
      <c r="A55858" s="3" t="str">
        <f>IFERROR(__xludf.DUMMYFUNCTION("GOOGLETRANSLATE(A55858,""en"",""pt"")"),"Pequeno, elegante, toneladas de recursos")</f>
        <v>Pequeno, elegante, toneladas de recursos</v>
      </c>
      <c r="B55858" s="3">
        <v>1</v>
      </c>
    </row>
    <row r="55859" ht="15.75" customHeight="1" spans="1:2">
      <c r="A55859" s="3" t="str">
        <f>IFERROR(__xludf.DUMMYFUNCTION("GOOGLETRANSLATE(A55859,""en"",""pt"")"),"Pequeno, leve, novas funcionalidades, e muito se refrescar que procuram")</f>
        <v>Pequeno, leve, novas funcionalidades, e muito se refrescar que procuram</v>
      </c>
      <c r="B55859" s="3">
        <v>1</v>
      </c>
    </row>
    <row r="55860" ht="15.75" customHeight="1" spans="1:2">
      <c r="A55860" s="3" t="str">
        <f>IFERROR(__xludf.DUMMYFUNCTION("GOOGLETRANSLATE(A55860,""en"",""pt"")"),"Tamanho, construção sólida, aparência, desempenho, recursos")</f>
        <v>Tamanho, construção sólida, aparência, desempenho, recursos</v>
      </c>
      <c r="B55860" s="3">
        <v>1</v>
      </c>
    </row>
    <row r="55861" ht="15.75" customHeight="1" spans="1:2">
      <c r="A55861" s="3" t="str">
        <f>IFERROR(__xludf.DUMMYFUNCTION("GOOGLETRANSLATE(A55861,""en"",""pt"")"),"Elegante e sexy. Grande lista de recursos. invólucro metal bonito.")</f>
        <v>Elegante e sexy. Grande lista de recursos. invólucro metal bonito.</v>
      </c>
      <c r="B55861" s="3">
        <v>1</v>
      </c>
    </row>
    <row r="55862" ht="15.75" customHeight="1" spans="1:2">
      <c r="A55862" s="3" t="str">
        <f>IFERROR(__xludf.DUMMYFUNCTION("GOOGLETRANSLATE(A55862,""en"",""pt"")"),"A grande procura, característica cheia telefone.")</f>
        <v>A grande procura, característica cheia telefone.</v>
      </c>
      <c r="B55862" s="3">
        <v>1</v>
      </c>
    </row>
    <row r="55863" ht="15.75" customHeight="1" spans="1:2">
      <c r="A55863" s="3" t="str">
        <f>IFERROR(__xludf.DUMMYFUNCTION("GOOGLETRANSLATE(A55863,""en"",""pt"")"),"Tamanho, características, aparência")</f>
        <v>Tamanho, características, aparência</v>
      </c>
      <c r="B55863" s="3">
        <v>1</v>
      </c>
    </row>
    <row r="55864" ht="15.75" customHeight="1" spans="1:2">
      <c r="A55864" s="3" t="str">
        <f>IFERROR(__xludf.DUMMYFUNCTION("GOOGLETRANSLATE(A55864,""en"",""pt"")"),"Afiado, pequenos, grandes ergonomia e repleto de guloseimas ...")</f>
        <v>Afiado, pequenos, grandes ergonomia e repleto de guloseimas ...</v>
      </c>
      <c r="B55864" s="3">
        <v>1</v>
      </c>
    </row>
    <row r="55865" ht="15.75" customHeight="1" spans="1:2">
      <c r="A55865" s="3" t="str">
        <f>IFERROR(__xludf.DUMMYFUNCTION("GOOGLETRANSLATE(A55865,""en"",""pt"")"),"tantos recursos, funciona bem para mim")</f>
        <v>tantos recursos, funciona bem para mim</v>
      </c>
      <c r="B55865" s="3">
        <v>1</v>
      </c>
    </row>
    <row r="55866" ht="15.75" customHeight="1" spans="1:2">
      <c r="A55866" s="3" t="str">
        <f>IFERROR(__xludf.DUMMYFUNCTION("GOOGLETRANSLATE(A55866,""en"",""pt"")"),"tamanho minúsculo, clipe bom, agradável variedade de recursos, grande autonomia da bateria.")</f>
        <v>tamanho minúsculo, clipe bom, agradável variedade de recursos, grande autonomia da bateria.</v>
      </c>
      <c r="B55866" s="3">
        <v>1</v>
      </c>
    </row>
    <row r="55867" ht="15.75" customHeight="1" spans="1:2">
      <c r="A55867" s="3" t="str">
        <f>IFERROR(__xludf.DUMMYFUNCTION("GOOGLETRANSLATE(A55867,""en"",""pt"")"),"Pequeno, elegante, boa vida útil da bateria, velocidade e marcação por voz")</f>
        <v>Pequeno, elegante, boa vida útil da bateria, velocidade e marcação por voz</v>
      </c>
      <c r="B55867" s="3">
        <v>1</v>
      </c>
    </row>
    <row r="55868" ht="15.75" customHeight="1" spans="1:2">
      <c r="A55868" s="3" t="str">
        <f>IFERROR(__xludf.DUMMYFUNCTION("GOOGLETRANSLATE(A55868,""en"",""pt"")"),"atrativo, exposição externa, notas de voz")</f>
        <v>atrativo, exposição externa, notas de voz</v>
      </c>
      <c r="B55868" s="3">
        <v>1</v>
      </c>
    </row>
    <row r="55869" ht="15.75" customHeight="1" spans="1:2">
      <c r="A55869" s="3" t="str">
        <f>IFERROR(__xludf.DUMMYFUNCTION("GOOGLETRANSLATE(A55869,""en"",""pt"")"),"LCD frontal, botões laterais, clareza")</f>
        <v>LCD frontal, botões laterais, clareza</v>
      </c>
      <c r="B55869" s="3">
        <v>1</v>
      </c>
    </row>
    <row r="55870" ht="15.75" customHeight="1" spans="1:2">
      <c r="A55870" s="3" t="str">
        <f>IFERROR(__xludf.DUMMYFUNCTION("GOOGLETRANSLATE(A55870,""en"",""pt"")"),"menus de fácil navegação, Caixa do metal, Stylish, Recepção melhorar os recursos")</f>
        <v>menus de fácil navegação, Caixa do metal, Stylish, Recepção melhorar os recursos</v>
      </c>
      <c r="B55870" s="3">
        <v>1</v>
      </c>
    </row>
    <row r="55871" ht="15.75" customHeight="1" spans="1:2">
      <c r="A55871" s="3" t="str">
        <f>IFERROR(__xludf.DUMMYFUNCTION("GOOGLETRANSLATE(A55871,""en"",""pt"")"),"olhar sexy. Grande Menus. luz Indiglo é o melhor! Tamanho pequeno.")</f>
        <v>olhar sexy. Grande Menus. luz Indiglo é o melhor! Tamanho pequeno.</v>
      </c>
      <c r="B55871" s="3">
        <v>1</v>
      </c>
    </row>
    <row r="55872" ht="15.75" customHeight="1" spans="1:2">
      <c r="A55872" s="3" t="str">
        <f>IFERROR(__xludf.DUMMYFUNCTION("GOOGLETRANSLATE(A55872,""en"",""pt"")"),"Excelente qualidade de voz, construção e função.")</f>
        <v>Excelente qualidade de voz, construção e função.</v>
      </c>
      <c r="B55872" s="3">
        <v>1</v>
      </c>
    </row>
    <row r="55873" ht="15.75" customHeight="1" spans="1:2">
      <c r="A55873" s="3" t="str">
        <f>IFERROR(__xludf.DUMMYFUNCTION("GOOGLETRANSLATE(A55873,""en"",""pt"")"),"visual futurista. Atrair atenção. características interessantes. há o melhor.")</f>
        <v>visual futurista. Atrair atenção. características interessantes. há o melhor.</v>
      </c>
      <c r="B55873" s="3">
        <v>1</v>
      </c>
    </row>
    <row r="55874" ht="15.75" customHeight="1" spans="1:2">
      <c r="A55874" s="3" t="str">
        <f>IFERROR(__xludf.DUMMYFUNCTION("GOOGLETRANSLATE(A55874,""en"",""pt"")"),"Tamanho compacto, lotes de características, design elegante")</f>
        <v>Tamanho compacto, lotes de características, design elegante</v>
      </c>
      <c r="B55874" s="3">
        <v>1</v>
      </c>
    </row>
    <row r="55875" ht="15.75" customHeight="1" spans="1:2">
      <c r="A55875" s="3" t="str">
        <f>IFERROR(__xludf.DUMMYFUNCTION("GOOGLETRANSLATE(A55875,""en"",""pt"")"),"Tamanho, peso, fresco olhar, sente durável, grande som")</f>
        <v>Tamanho, peso, fresco olhar, sente durável, grande som</v>
      </c>
      <c r="B55875" s="3">
        <v>1</v>
      </c>
    </row>
    <row r="55876" ht="15.75" customHeight="1" spans="1:2">
      <c r="A55876" s="3" t="str">
        <f>IFERROR(__xludf.DUMMYFUNCTION("GOOGLETRANSLATE(A55876,""en"",""pt"")"),"design de concha, grande recepção, boa aparência, fácil de sistema de menu uso, pontuação baixa SAR")</f>
        <v>design de concha, grande recepção, boa aparência, fácil de sistema de menu uso, pontuação baixa SAR</v>
      </c>
      <c r="B55876" s="3">
        <v>1</v>
      </c>
    </row>
    <row r="55877" ht="15.75" customHeight="1" spans="1:2">
      <c r="A55877" s="3" t="str">
        <f>IFERROR(__xludf.DUMMYFUNCTION("GOOGLETRANSLATE(A55877,""en"",""pt"")"),"Pequeno, resistente enganosamente, menus intuitivos, grande recepção")</f>
        <v>Pequeno, resistente enganosamente, menus intuitivos, grande recepção</v>
      </c>
      <c r="B55877" s="3">
        <v>1</v>
      </c>
    </row>
    <row r="55878" ht="15.75" customHeight="1" spans="1:2">
      <c r="A55878" s="3" t="str">
        <f>IFERROR(__xludf.DUMMYFUNCTION("GOOGLETRANSLATE(A55878,""en"",""pt"")"),"caixa de metal elegante, muito compacto, som excelente e recepção")</f>
        <v>caixa de metal elegante, muito compacto, som excelente e recepção</v>
      </c>
      <c r="B55878" s="3">
        <v>1</v>
      </c>
    </row>
    <row r="55879" ht="15.75" customHeight="1" spans="1:2">
      <c r="A55879" s="3" t="str">
        <f>IFERROR(__xludf.DUMMYFUNCTION("GOOGLETRANSLATE(A55879,""en"",""pt"")"),"Identificador de chamadas externo, discagem por voz, rádio FM estéreo, VoiceNote voz Recorder, Compactness")</f>
        <v>Identificador de chamadas externo, discagem por voz, rádio FM estéreo, VoiceNote voz Recorder, Compactness</v>
      </c>
      <c r="B55879" s="3">
        <v>1</v>
      </c>
    </row>
    <row r="55880" ht="15.75" customHeight="1" spans="1:2">
      <c r="A55880" s="3" t="str">
        <f>IFERROR(__xludf.DUMMYFUNCTION("GOOGLETRANSLATE(A55880,""en"",""pt"")"),"A aparência do telefone são impressionantes. Simpático e pequeno.")</f>
        <v>A aparência do telefone são impressionantes. Simpático e pequeno.</v>
      </c>
      <c r="B55880" s="3">
        <v>1</v>
      </c>
    </row>
    <row r="55881" ht="15.75" customHeight="1" spans="1:2">
      <c r="A55881" s="3" t="str">
        <f>IFERROR(__xludf.DUMMYFUNCTION("GOOGLETRANSLATE(A55881,""en"",""pt"")"),"WorkHorse disfarçado como um brinquedo legal techie")</f>
        <v>WorkHorse disfarçado como um brinquedo legal techie</v>
      </c>
      <c r="B55881" s="3">
        <v>1</v>
      </c>
    </row>
    <row r="55882" ht="15.75" customHeight="1" spans="1:2">
      <c r="A55882" s="3" t="str">
        <f>IFERROR(__xludf.DUMMYFUNCTION("GOOGLETRANSLATE(A55882,""en"",""pt"")"),"Tamanho, design, teclado, arranhar metal resistente à.")</f>
        <v>Tamanho, design, teclado, arranhar metal resistente à.</v>
      </c>
      <c r="B55882" s="3">
        <v>1</v>
      </c>
    </row>
    <row r="55883" ht="15.75" customHeight="1" spans="1:2">
      <c r="A55883" s="3" t="str">
        <f>IFERROR(__xludf.DUMMYFUNCTION("GOOGLETRANSLATE(A55883,""en"",""pt"")"),"Um bem construído, confiável ferramenta, profissional.")</f>
        <v>Um bem construído, confiável ferramenta, profissional.</v>
      </c>
      <c r="B55883" s="3">
        <v>1</v>
      </c>
    </row>
    <row r="55884" ht="15.75" customHeight="1" spans="1:2">
      <c r="A55884" s="3" t="str">
        <f>IFERROR(__xludf.DUMMYFUNCTION("GOOGLETRANSLATE(A55884,""en"",""pt"")"),"tamanho, durabilidade, características e muito amigável")</f>
        <v>tamanho, durabilidade, características e muito amigável</v>
      </c>
      <c r="B55884" s="3">
        <v>1</v>
      </c>
    </row>
    <row r="55885" ht="15.75" customHeight="1" spans="1:2">
      <c r="A55885" s="3" t="str">
        <f>IFERROR(__xludf.DUMMYFUNCTION("GOOGLETRANSLATE(A55885,""en"",""pt"")"),"pequeno, leve, grande recepção, muitos recursos")</f>
        <v>pequeno, leve, grande recepção, muitos recursos</v>
      </c>
      <c r="B55885" s="3">
        <v>1</v>
      </c>
    </row>
    <row r="55886" ht="15.75" customHeight="1" spans="1:2">
      <c r="A55886" s="3" t="str">
        <f>IFERROR(__xludf.DUMMYFUNCTION("GOOGLETRANSLATE(A55886,""en"",""pt"")"),"Pequeno, telefone sexy. Grande recepção e qualidade de som.")</f>
        <v>Pequeno, telefone sexy. Grande recepção e qualidade de som.</v>
      </c>
      <c r="B55886" s="3">
        <v>1</v>
      </c>
    </row>
    <row r="55887" ht="15.75" customHeight="1" spans="1:2">
      <c r="A55887" s="3" t="str">
        <f>IFERROR(__xludf.DUMMYFUNCTION("GOOGLETRANSLATE(A55887,""en"",""pt"")"),"tamanho pequeno, fácil de usar, grandes recursos")</f>
        <v>tamanho pequeno, fácil de usar, grandes recursos</v>
      </c>
      <c r="B55887" s="3">
        <v>1</v>
      </c>
    </row>
    <row r="55888" ht="15.75" customHeight="1" spans="1:2">
      <c r="A55888" s="3" t="str">
        <f>IFERROR(__xludf.DUMMYFUNCTION("GOOGLETRANSLATE(A55888,""en"",""pt"")"),"Grande tamanho e recepção.")</f>
        <v>Grande tamanho e recepção.</v>
      </c>
      <c r="B55888" s="3">
        <v>1</v>
      </c>
    </row>
    <row r="55889" ht="15.75" customHeight="1" spans="1:2">
      <c r="A55889" s="3" t="str">
        <f>IFERROR(__xludf.DUMMYFUNCTION("GOOGLETRANSLATE(A55889,""en"",""pt"")"),"Pequeno, leve, cabe facilmente no bolso!")</f>
        <v>Pequeno, leve, cabe facilmente no bolso!</v>
      </c>
      <c r="B55889" s="3">
        <v>1</v>
      </c>
    </row>
    <row r="55890" ht="15.75" customHeight="1" spans="1:2">
      <c r="A55890" s="3" t="str">
        <f>IFERROR(__xludf.DUMMYFUNCTION("GOOGLETRANSLATE(A55890,""en"",""pt"")"),"Super na moda, legal acabamento metálico, grandes recursos")</f>
        <v>Super na moda, legal acabamento metálico, grandes recursos</v>
      </c>
      <c r="B55890" s="3">
        <v>1</v>
      </c>
    </row>
    <row r="55891" ht="15.75" customHeight="1" spans="1:2">
      <c r="A55891" s="3" t="str">
        <f>IFERROR(__xludf.DUMMYFUNCTION("GOOGLETRANSLATE(A55891,""en"",""pt"")"),"design elegante, tamanho compacto, muitas características interessantes, tri-mode muito durável.")</f>
        <v>design elegante, tamanho compacto, muitas características interessantes, tri-mode muito durável.</v>
      </c>
      <c r="B55891" s="3">
        <v>1</v>
      </c>
    </row>
    <row r="55892" ht="15.75" customHeight="1" spans="1:2">
      <c r="A55892" s="3" t="str">
        <f>IFERROR(__xludf.DUMMYFUNCTION("GOOGLETRANSLATE(A55892,""en"",""pt"")"),"Grande procura; lotes de características; digno de confiança nome; 400 nome da lista telefónica.")</f>
        <v>Grande procura; lotes de características; digno de confiança nome; 400 nome da lista telefónica.</v>
      </c>
      <c r="B55892" s="3">
        <v>1</v>
      </c>
    </row>
    <row r="55893" ht="15.75" customHeight="1" spans="1:2">
      <c r="A55893" s="3" t="str">
        <f>IFERROR(__xludf.DUMMYFUNCTION("GOOGLETRANSLATE(A55893,""en"",""pt"")"),"design compacto, caso resistente a riscos, discagem ativada por voz")</f>
        <v>design compacto, caso resistente a riscos, discagem ativada por voz</v>
      </c>
      <c r="B55893" s="3">
        <v>1</v>
      </c>
    </row>
    <row r="55894" ht="15.75" customHeight="1" spans="1:2">
      <c r="A55894" s="3" t="str">
        <f>IFERROR(__xludf.DUMMYFUNCTION("GOOGLETRANSLATE(A55894,""en"",""pt"")"),"exibição Indiglo, dial-pad, menu, monitor externo, agenda, discagem por voz e gravador digital.")</f>
        <v>exibição Indiglo, dial-pad, menu, monitor externo, agenda, discagem por voz e gravador digital.</v>
      </c>
      <c r="B55894" s="3">
        <v>1</v>
      </c>
    </row>
    <row r="55895" ht="15.75" customHeight="1" spans="1:2">
      <c r="A55895" s="3" t="str">
        <f>IFERROR(__xludf.DUMMYFUNCTION("GOOGLETRANSLATE(A55895,""en"",""pt"")"),"Tamanho, estilo, características")</f>
        <v>Tamanho, estilo, características</v>
      </c>
      <c r="B55895" s="3">
        <v>1</v>
      </c>
    </row>
    <row r="55896" ht="15.75" customHeight="1" spans="1:2">
      <c r="A55896" s="3" t="str">
        <f>IFERROR(__xludf.DUMMYFUNCTION("GOOGLETRANSLATE(A55896,""en"",""pt"")"),"Pequeno, grande recepção e qualidade de som, confortável de usar, pode sincronizar contatos")</f>
        <v>Pequeno, grande recepção e qualidade de som, confortável de usar, pode sincronizar contatos</v>
      </c>
      <c r="B55896" s="3">
        <v>1</v>
      </c>
    </row>
    <row r="55897" ht="15.75" customHeight="1" spans="1:2">
      <c r="A55897" s="3" t="str">
        <f>IFERROR(__xludf.DUMMYFUNCTION("GOOGLETRANSLATE(A55897,""en"",""pt"")"),"Pequeno, leve, ótimo desempenho durável, - você não vai se decepcionar")</f>
        <v>Pequeno, leve, ótimo desempenho durável, - você não vai se decepcionar</v>
      </c>
      <c r="B55897" s="3">
        <v>1</v>
      </c>
    </row>
    <row r="55898" ht="15.75" customHeight="1" spans="1:2">
      <c r="A55898" s="3" t="str">
        <f>IFERROR(__xludf.DUMMYFUNCTION("GOOGLETRANSLATE(A55898,""en"",""pt"")"),"Tem todas as características, pequeno design elegante e confiáveis.")</f>
        <v>Tem todas as características, pequeno design elegante e confiáveis.</v>
      </c>
      <c r="B55898" s="3">
        <v>1</v>
      </c>
    </row>
    <row r="55899" ht="15.75" customHeight="1" spans="1:2">
      <c r="A55899" s="3" t="str">
        <f>IFERROR(__xludf.DUMMYFUNCTION("GOOGLETRANSLATE(A55899,""en"",""pt"")"),"Pequeno, leve e elegante, menus intuitivos,, display rico em recursos externos LCD, sensação de solidez, grande livro de telefone, bem construído.")</f>
        <v>Pequeno, leve e elegante, menus intuitivos,, display rico em recursos externos LCD, sensação de solidez, grande livro de telefone, bem construído.</v>
      </c>
      <c r="B55899" s="3">
        <v>1</v>
      </c>
    </row>
    <row r="55900" ht="15.75" customHeight="1" spans="1:2">
      <c r="A55900" s="3" t="str">
        <f>IFERROR(__xludf.DUMMYFUNCTION("GOOGLETRANSLATE(A55900,""en"",""pt"")"),"Tamanho, recurso de reconhecimento de voz, estilo")</f>
        <v>Tamanho, recurso de reconhecimento de voz, estilo</v>
      </c>
      <c r="B55900" s="3">
        <v>1</v>
      </c>
    </row>
    <row r="55901" ht="15.75" customHeight="1" spans="1:2">
      <c r="A55901" s="3" t="str">
        <f>IFERROR(__xludf.DUMMYFUNCTION("GOOGLETRANSLATE(A55901,""en"",""pt"")"),"design muito elegante, display LCD externo")</f>
        <v>design muito elegante, display LCD externo</v>
      </c>
      <c r="B55901" s="3">
        <v>1</v>
      </c>
    </row>
    <row r="55902" ht="15.75" customHeight="1" spans="1:2">
      <c r="A55902" s="3" t="str">
        <f>IFERROR(__xludf.DUMMYFUNCTION("GOOGLETRANSLATE(A55902,""en"",""pt"")"),"Muito pequenos grandes recursos, incrível vida útil da bateria, fácil de usar,")</f>
        <v>Muito pequenos grandes recursos, incrível vida útil da bateria, fácil de usar,</v>
      </c>
      <c r="B55902" s="3">
        <v>1</v>
      </c>
    </row>
    <row r="55903" ht="15.75" customHeight="1" spans="1:2">
      <c r="A55903" s="3" t="str">
        <f>IFERROR(__xludf.DUMMYFUNCTION("GOOGLETRANSLATE(A55903,""en"",""pt"")"),"Elegante, compacto, muitos recursos.")</f>
        <v>Elegante, compacto, muitos recursos.</v>
      </c>
      <c r="B55903" s="3">
        <v>1</v>
      </c>
    </row>
    <row r="55904" ht="15.75" customHeight="1" spans="1:2">
      <c r="A55904" s="3" t="str">
        <f>IFERROR(__xludf.DUMMYFUNCTION("GOOGLETRANSLATE(A55904,""en"",""pt"")"),"Design atraente")</f>
        <v>Design atraente</v>
      </c>
      <c r="B55904" s="3">
        <v>1</v>
      </c>
    </row>
    <row r="55905" ht="15.75" customHeight="1" spans="1:2">
      <c r="A55905" s="3" t="str">
        <f>IFERROR(__xludf.DUMMYFUNCTION("GOOGLETRANSLATE(A55905,""en"",""pt"")"),"Vista muito agradável, símbolo de status, mais tons de toque, monitor externo")</f>
        <v>Vista muito agradável, símbolo de status, mais tons de toque, monitor externo</v>
      </c>
      <c r="B55905" s="3">
        <v>1</v>
      </c>
    </row>
    <row r="55906" ht="15.75" customHeight="1" spans="1:2">
      <c r="A55906" s="3" t="str">
        <f>IFERROR(__xludf.DUMMYFUNCTION("GOOGLETRANSLATE(A55906,""en"",""pt"")"),"Recepção / qualidade, tamanho, e procurar")</f>
        <v>Recepção / qualidade, tamanho, e procurar</v>
      </c>
      <c r="B55906" s="3">
        <v>1</v>
      </c>
    </row>
    <row r="55907" ht="15.75" customHeight="1" spans="1:2">
      <c r="A55907" s="3" t="str">
        <f>IFERROR(__xludf.DUMMYFUNCTION("GOOGLETRANSLATE(A55907,""en"",""pt"")"),"Recepção, clareza de voz, tamanho e ele simplesmente parece ser bom!")</f>
        <v>Recepção, clareza de voz, tamanho e ele simplesmente parece ser bom!</v>
      </c>
      <c r="B55907" s="3">
        <v>1</v>
      </c>
    </row>
    <row r="55908" ht="15.75" customHeight="1" spans="1:2">
      <c r="A55908" s="3" t="str">
        <f>IFERROR(__xludf.DUMMYFUNCTION("GOOGLETRANSLATE(A55908,""en"",""pt"")"),"Muito pequeno e leve telefone! Grandes recursos, facilidade de uso.")</f>
        <v>Muito pequeno e leve telefone! Grandes recursos, facilidade de uso.</v>
      </c>
      <c r="B55908" s="3">
        <v>1</v>
      </c>
    </row>
    <row r="55909" ht="15.75" customHeight="1" spans="1:2">
      <c r="A55909" s="3" t="str">
        <f>IFERROR(__xludf.DUMMYFUNCTION("GOOGLETRANSLATE(A55909,""en"",""pt"")"),"Tamanho, a vida da bateria, display aleta fora")</f>
        <v>Tamanho, a vida da bateria, display aleta fora</v>
      </c>
      <c r="B55909" s="3">
        <v>1</v>
      </c>
    </row>
    <row r="55910" ht="15.75" customHeight="1" spans="1:2">
      <c r="A55910" s="3" t="str">
        <f>IFERROR(__xludf.DUMMYFUNCTION("GOOGLETRANSLATE(A55910,""en"",""pt"")"),"Tamanho, características, design elegante, identificador de chamadas externo.")</f>
        <v>Tamanho, características, design elegante, identificador de chamadas externo.</v>
      </c>
      <c r="B55910" s="3">
        <v>1</v>
      </c>
    </row>
    <row r="55911" ht="15.75" customHeight="1" spans="1:2">
      <c r="A55911" s="3" t="str">
        <f>IFERROR(__xludf.DUMMYFUNCTION("GOOGLETRANSLATE(A55911,""en"",""pt"")"),"Tamanho, aparência, características, design inteligente.")</f>
        <v>Tamanho, aparência, características, design inteligente.</v>
      </c>
      <c r="B55911" s="3">
        <v>1</v>
      </c>
    </row>
    <row r="55912" ht="15.75" customHeight="1" spans="1:2">
      <c r="A55912" s="3" t="str">
        <f>IFERROR(__xludf.DUMMYFUNCTION("GOOGLETRANSLATE(A55912,""en"",""pt"")"),"PIM livro de telefone estilo, proteção por senha")</f>
        <v>PIM livro de telefone estilo, proteção por senha</v>
      </c>
      <c r="B55912" s="3">
        <v>1</v>
      </c>
    </row>
    <row r="55913" ht="15.75" customHeight="1" spans="1:2">
      <c r="A55913" s="3" t="str">
        <f>IFERROR(__xludf.DUMMYFUNCTION("GOOGLETRANSLATE(A55913,""en"",""pt"")"),"Looks, pequeno, elegante, leve Wieght, boa vida útil da bateria, e durável")</f>
        <v>Looks, pequeno, elegante, leve Wieght, boa vida útil da bateria, e durável</v>
      </c>
      <c r="B55913" s="3">
        <v>1</v>
      </c>
    </row>
    <row r="55914" ht="15.75" customHeight="1" spans="1:2">
      <c r="A55914" s="3" t="str">
        <f>IFERROR(__xludf.DUMMYFUNCTION("GOOGLETRANSLATE(A55914,""en"",""pt"")"),"Elegante e compacto, fácil de usar, e muito durável")</f>
        <v>Elegante e compacto, fácil de usar, e muito durável</v>
      </c>
      <c r="B55914" s="3">
        <v>1</v>
      </c>
    </row>
    <row r="55915" ht="15.75" customHeight="1" spans="1:2">
      <c r="A55915" s="3" t="str">
        <f>IFERROR(__xludf.DUMMYFUNCTION("GOOGLETRANSLATE(A55915,""en"",""pt"")"),"Looks, Very Light")</f>
        <v>Looks, Very Light</v>
      </c>
      <c r="B55915" s="3">
        <v>1</v>
      </c>
    </row>
    <row r="55916" ht="15.75" customHeight="1" spans="1:2">
      <c r="A55916" s="3" t="str">
        <f>IFERROR(__xludf.DUMMYFUNCTION("GOOGLETRANSLATE(A55916,""en"",""pt"")"),"Tamanho, identificador de chamadas no exterior, geral nice procura telefone")</f>
        <v>Tamanho, identificador de chamadas no exterior, geral nice procura telefone</v>
      </c>
      <c r="B55916" s="3">
        <v>1</v>
      </c>
    </row>
    <row r="55917" ht="15.75" customHeight="1" spans="1:2">
      <c r="A55917" s="3" t="str">
        <f>IFERROR(__xludf.DUMMYFUNCTION("GOOGLETRANSLATE(A55917,""en"",""pt"")"),"Grande som, melhor recepção, fácil de usar, muito legal, dados capazes")</f>
        <v>Grande som, melhor recepção, fácil de usar, muito legal, dados capazes</v>
      </c>
      <c r="B55917" s="3">
        <v>1</v>
      </c>
    </row>
    <row r="55918" ht="15.75" customHeight="1" spans="1:2">
      <c r="A55918" s="3" t="str">
        <f>IFERROR(__xludf.DUMMYFUNCTION("GOOGLETRANSLATE(A55918,""en"",""pt"")"),"Excelente clareza de som, poderosa antena, Stylish")</f>
        <v>Excelente clareza de som, poderosa antena, Stylish</v>
      </c>
      <c r="B55918" s="3">
        <v>1</v>
      </c>
    </row>
    <row r="55919" ht="15.75" customHeight="1" spans="1:2">
      <c r="A55919" s="3" t="str">
        <f>IFERROR(__xludf.DUMMYFUNCTION("GOOGLETRANSLATE(A55919,""en"",""pt"")"),"Tamanho, a vida da bateria, conforto, facilidade de uso, estilo, peso.")</f>
        <v>Tamanho, a vida da bateria, conforto, facilidade de uso, estilo, peso.</v>
      </c>
      <c r="B55919" s="3">
        <v>1</v>
      </c>
    </row>
    <row r="55920" ht="15.75" customHeight="1" spans="1:2">
      <c r="A55920" s="3" t="str">
        <f>IFERROR(__xludf.DUMMYFUNCTION("GOOGLETRANSLATE(A55920,""en"",""pt"")"),"Leve, muito móvel, e bastante simples de usar.")</f>
        <v>Leve, muito móvel, e bastante simples de usar.</v>
      </c>
      <c r="B55920" s="3">
        <v>1</v>
      </c>
    </row>
    <row r="55921" ht="15.75" customHeight="1" spans="1:2">
      <c r="A55921" s="3" t="str">
        <f>IFERROR(__xludf.DUMMYFUNCTION("GOOGLETRANSLATE(A55921,""en"",""pt"")"),"pequeno tamanho, clareza, aparência, botões grandes, os menus bastante simples, leve, discagem por voz")</f>
        <v>pequeno tamanho, clareza, aparência, botões grandes, os menus bastante simples, leve, discagem por voz</v>
      </c>
      <c r="B55921" s="3">
        <v>1</v>
      </c>
    </row>
    <row r="55922" ht="15.75" customHeight="1" spans="1:2">
      <c r="A55922" s="3" t="str">
        <f>IFERROR(__xludf.DUMMYFUNCTION("GOOGLETRANSLATE(A55922,""en"",""pt"")"),"Pequeno, durável, muito clara, muito na moda.")</f>
        <v>Pequeno, durável, muito clara, muito na moda.</v>
      </c>
      <c r="B55922" s="3">
        <v>1</v>
      </c>
    </row>
    <row r="55923" ht="15.75" customHeight="1" spans="1:2">
      <c r="A55923" s="3" t="str">
        <f>IFERROR(__xludf.DUMMYFUNCTION("GOOGLETRANSLATE(A55923,""en"",""pt"")"),"design compacto (elegante e sexy!), grande recepção")</f>
        <v>design compacto (elegante e sexy!), grande recepção</v>
      </c>
      <c r="B55923" s="3">
        <v>1</v>
      </c>
    </row>
    <row r="55924" ht="15.75" customHeight="1" spans="1:2">
      <c r="A55924" s="3" t="str">
        <f>IFERROR(__xludf.DUMMYFUNCTION("GOOGLETRANSLATE(A55924,""en"",""pt"")"),"Metalizado-futurista estilo, tamanho diminuta, tela dupla, tipo flip-aberto, boa tela")</f>
        <v>Metalizado-futurista estilo, tamanho diminuta, tela dupla, tipo flip-aberto, boa tela</v>
      </c>
      <c r="B55924" s="3">
        <v>1</v>
      </c>
    </row>
    <row r="55925" ht="15.75" customHeight="1" spans="1:2">
      <c r="A55925" s="3" t="str">
        <f>IFERROR(__xludf.DUMMYFUNCTION("GOOGLETRANSLATE(A55925,""en"",""pt"")"),"tamanho compacto, facilidade de utilização, funcionalidades")</f>
        <v>tamanho compacto, facilidade de utilização, funcionalidades</v>
      </c>
      <c r="B55925" s="3">
        <v>1</v>
      </c>
    </row>
    <row r="55926" ht="15.75" customHeight="1" spans="1:2">
      <c r="A55926" s="3" t="str">
        <f>IFERROR(__xludf.DUMMYFUNCTION("GOOGLETRANSLATE(A55926,""en"",""pt"")"),"Tamanho / peso, Ligações para computador, voz de discagem, facilidade de uso")</f>
        <v>Tamanho / peso, Ligações para computador, voz de discagem, facilidade de uso</v>
      </c>
      <c r="B55926" s="3">
        <v>1</v>
      </c>
    </row>
    <row r="55927" ht="15.75" customHeight="1" spans="1:2">
      <c r="A55927" s="3" t="str">
        <f>IFERROR(__xludf.DUMMYFUNCTION("GOOGLETRANSLATE(A55927,""en"",""pt"")"),"O tamanho pequeno, boa recepção, notas de voz")</f>
        <v>O tamanho pequeno, boa recepção, notas de voz</v>
      </c>
      <c r="B55927" s="3">
        <v>1</v>
      </c>
    </row>
    <row r="55928" ht="15.75" customHeight="1" spans="1:2">
      <c r="A55928" s="3" t="str">
        <f>IFERROR(__xludf.DUMMYFUNCTION("GOOGLETRANSLATE(A55928,""en"",""pt"")"),"Pequeno, leve, empresa respeitável, a vida da bateria decente, carregado w / recursos")</f>
        <v>Pequeno, leve, empresa respeitável, a vida da bateria decente, carregado w / recursos</v>
      </c>
      <c r="B55928" s="3">
        <v>1</v>
      </c>
    </row>
    <row r="55929" ht="15.75" customHeight="1" spans="1:2">
      <c r="A55929" s="3" t="str">
        <f>IFERROR(__xludf.DUMMYFUNCTION("GOOGLETRANSLATE(A55929,""en"",""pt"")"),"Bem parecido, dual LCDs, Voz-Active, WAP, Atalhos Menus, toque-compositor")</f>
        <v>Bem parecido, dual LCDs, Voz-Active, WAP, Atalhos Menus, toque-compositor</v>
      </c>
      <c r="B55929" s="3">
        <v>1</v>
      </c>
    </row>
    <row r="55930" ht="15.75" customHeight="1" spans="1:2">
      <c r="A55930" s="3" t="str">
        <f>IFERROR(__xludf.DUMMYFUNCTION("GOOGLETRANSLATE(A55930,""en"",""pt"")"),"Elegante, funcional, telefone doce!")</f>
        <v>Elegante, funcional, telefone doce!</v>
      </c>
      <c r="B55930" s="3">
        <v>1</v>
      </c>
    </row>
    <row r="55931" ht="15.75" customHeight="1" spans="1:2">
      <c r="A55931" s="3" t="str">
        <f>IFERROR(__xludf.DUMMYFUNCTION("GOOGLETRANSLATE(A55931,""en"",""pt"")"),"Em toda a seriedade, eu não posso listar um único atributo positivo para este telefone.")</f>
        <v>Em toda a seriedade, eu não posso listar um único atributo positivo para este telefone.</v>
      </c>
      <c r="B55931" s="3">
        <v>1</v>
      </c>
    </row>
    <row r="55932" ht="15.75" customHeight="1" spans="1:2">
      <c r="A55932" s="3" t="str">
        <f>IFERROR(__xludf.DUMMYFUNCTION("GOOGLETRANSLATE(A55932,""en"",""pt"")"),"Use com freqüência, grande telefone!")</f>
        <v>Use com freqüência, grande telefone!</v>
      </c>
      <c r="B55932" s="3">
        <v>1</v>
      </c>
    </row>
    <row r="55933" ht="15.75" customHeight="1" spans="1:2">
      <c r="A55933" s="3" t="str">
        <f>IFERROR(__xludf.DUMMYFUNCTION("GOOGLETRANSLATE(A55933,""en"",""pt"")"),"Grande qualidade da chamada &amp; # 13; &amp; # 10; agradável fator de forma &amp; # 13; &amp; # 10; A marcação por voz funciona muito bem")</f>
        <v>Grande qualidade da chamada &amp; # 13; &amp; # 10; agradável fator de forma &amp; # 13; &amp; # 10; A marcação por voz funciona muito bem</v>
      </c>
      <c r="B55933" s="3">
        <v>1</v>
      </c>
    </row>
    <row r="55934" ht="15.75" customHeight="1" spans="1:2">
      <c r="A55934" s="3" t="str">
        <f>IFERROR(__xludf.DUMMYFUNCTION("GOOGLETRANSLATE(A55934,""en"",""pt"")"),"Estilo, tamanho, facilidade de uso, simples sensação pura dele.")</f>
        <v>Estilo, tamanho, facilidade de uso, simples sensação pura dele.</v>
      </c>
      <c r="B55934" s="3">
        <v>1</v>
      </c>
    </row>
    <row r="55935" ht="15.75" customHeight="1" spans="1:2">
      <c r="A55935" s="3" t="str">
        <f>IFERROR(__xludf.DUMMYFUNCTION("GOOGLETRANSLATE(A55935,""en"",""pt"")"),"Tamanho, peso, clareza, recepção, baixa SAR")</f>
        <v>Tamanho, peso, clareza, recepção, baixa SAR</v>
      </c>
      <c r="B55935" s="3">
        <v>1</v>
      </c>
    </row>
    <row r="55936" ht="15.75" customHeight="1" spans="1:2">
      <c r="A55936" s="3" t="str">
        <f>IFERROR(__xludf.DUMMYFUNCTION("GOOGLETRANSLATE(A55936,""en"",""pt"")"),"Bonito, grande recepção, funções simples e compacto")</f>
        <v>Bonito, grande recepção, funções simples e compacto</v>
      </c>
      <c r="B55936" s="3">
        <v>1</v>
      </c>
    </row>
    <row r="55937" ht="15.75" customHeight="1" spans="1:2">
      <c r="A55937" s="3" t="str">
        <f>IFERROR(__xludf.DUMMYFUNCTION("GOOGLETRANSLATE(A55937,""en"",""pt"")"),"amigável, excelente qualidade de som pequeno usuário e recepção")</f>
        <v>amigável, excelente qualidade de som pequeno usuário e recepção</v>
      </c>
      <c r="B55937" s="3">
        <v>1</v>
      </c>
    </row>
    <row r="55938" ht="15.75" customHeight="1" spans="1:2">
      <c r="A55938" s="3" t="str">
        <f>IFERROR(__xludf.DUMMYFUNCTION("GOOGLETRANSLATE(A55938,""en"",""pt"")"),"Ergonomia; Qualidade de som; Recepção; Esteticamente agradável; Interface de usuário; Trimode CDMA")</f>
        <v>Ergonomia; Qualidade de som; Recepção; Esteticamente agradável; Interface de usuário; Trimode CDMA</v>
      </c>
      <c r="B55938" s="3">
        <v>1</v>
      </c>
    </row>
    <row r="55939" ht="15.75" customHeight="1" spans="1:2">
      <c r="A55939" s="3" t="str">
        <f>IFERROR(__xludf.DUMMYFUNCTION("GOOGLETRANSLATE(A55939,""en"",""pt"")"),"Recepção, Battert Vida, Styling, ativação por voz, Low Radiation")</f>
        <v>Recepção, Battert Vida, Styling, ativação por voz, Low Radiation</v>
      </c>
      <c r="B55939" s="3">
        <v>1</v>
      </c>
    </row>
    <row r="55940" ht="15.75" customHeight="1" spans="1:2">
      <c r="A55940" s="3" t="str">
        <f>IFERROR(__xludf.DUMMYFUNCTION("GOOGLETRANSLATE(A55940,""en"",""pt"")"),"luz, bela exibição azul, compacto")</f>
        <v>luz, bela exibição azul, compacto</v>
      </c>
      <c r="B55940" s="3">
        <v>1</v>
      </c>
    </row>
    <row r="55941" ht="15.75" customHeight="1" spans="1:2">
      <c r="A55941" s="3" t="str">
        <f>IFERROR(__xludf.DUMMYFUNCTION("GOOGLETRANSLATE(A55941,""en"",""pt"")"),"display externo")</f>
        <v>display externo</v>
      </c>
      <c r="B55941" s="3">
        <v>1</v>
      </c>
    </row>
    <row r="55942" ht="15.75" customHeight="1" spans="1:2">
      <c r="A55942" s="3" t="str">
        <f>IFERROR(__xludf.DUMMYFUNCTION("GOOGLETRANSLATE(A55942,""en"",""pt"")"),"pequeno, arrefecer, sólida, fácil de usar")</f>
        <v>pequeno, arrefecer, sólida, fácil de usar</v>
      </c>
      <c r="B55942" s="3">
        <v>1</v>
      </c>
    </row>
    <row r="55943" ht="15.75" customHeight="1" spans="1:2">
      <c r="A55943" s="3" t="str">
        <f>IFERROR(__xludf.DUMMYFUNCTION("GOOGLETRANSLATE(A55943,""en"",""pt"")"),"boa qualidade de som, recepção, design agradável, ultra elegante, pequeno.")</f>
        <v>boa qualidade de som, recepção, design agradável, ultra elegante, pequeno.</v>
      </c>
      <c r="B55943" s="3">
        <v>1</v>
      </c>
    </row>
    <row r="55944" ht="15.75" customHeight="1" spans="1:2">
      <c r="A55944" s="3" t="str">
        <f>IFERROR(__xludf.DUMMYFUNCTION("GOOGLETRANSLATE(A55944,""en"",""pt"")"),"Compacto, elegante e robusto. características inovadoras.")</f>
        <v>Compacto, elegante e robusto. características inovadoras.</v>
      </c>
      <c r="B55944" s="3">
        <v>1</v>
      </c>
    </row>
    <row r="55945" ht="15.75" customHeight="1" spans="1:2">
      <c r="A55945" s="3" t="str">
        <f>IFERROR(__xludf.DUMMYFUNCTION("GOOGLETRANSLATE(A55945,""en"",""pt"")"),"O telefone para seu!")</f>
        <v>O telefone para seu!</v>
      </c>
      <c r="B55945" s="3">
        <v>1</v>
      </c>
    </row>
    <row r="55946" ht="15.75" customHeight="1" spans="1:2">
      <c r="A55946" s="3" t="str">
        <f>IFERROR(__xludf.DUMMYFUNCTION("GOOGLETRANSLATE(A55946,""en"",""pt"")"),"Star-trekky olhar coloca você no meio da multidão 'cool'")</f>
        <v>Star-trekky olhar coloca você no meio da multidão 'cool'</v>
      </c>
      <c r="B55946" s="3">
        <v>1</v>
      </c>
    </row>
    <row r="55947" ht="15.75" customHeight="1" spans="1:2">
      <c r="A55947" s="3" t="str">
        <f>IFERROR(__xludf.DUMMYFUNCTION("GOOGLETRANSLATE(A55947,""en"",""pt"")"),"elegante, de alta tecnologia procurando, pequeno")</f>
        <v>elegante, de alta tecnologia procurando, pequeno</v>
      </c>
      <c r="B55947" s="3">
        <v>1</v>
      </c>
    </row>
    <row r="55948" ht="15.75" customHeight="1" spans="1:2">
      <c r="A55948" s="3" t="str">
        <f>IFERROR(__xludf.DUMMYFUNCTION("GOOGLETRANSLATE(A55948,""en"",""pt"")"),"Estilo, características, tamanho, Signal / Recepção")</f>
        <v>Estilo, características, tamanho, Signal / Recepção</v>
      </c>
      <c r="B55948" s="3">
        <v>1</v>
      </c>
    </row>
    <row r="55949" ht="15.75" customHeight="1" spans="1:2">
      <c r="A55949" s="3" t="str">
        <f>IFERROR(__xludf.DUMMYFUNCTION("GOOGLETRANSLATE(A55949,""en"",""pt"")"),"Pequeno, leve, boa recepção")</f>
        <v>Pequeno, leve, boa recepção</v>
      </c>
      <c r="B55949" s="3">
        <v>1</v>
      </c>
    </row>
    <row r="55950" ht="15.75" customHeight="1" spans="1:2">
      <c r="A55950" s="3" t="str">
        <f>IFERROR(__xludf.DUMMYFUNCTION("GOOGLETRANSLATE(A55950,""en"",""pt"")"),"Parece ótimo, funciona muito bem, fácil de usar")</f>
        <v>Parece ótimo, funciona muito bem, fácil de usar</v>
      </c>
      <c r="B55950" s="3">
        <v>1</v>
      </c>
    </row>
    <row r="55951" ht="15.75" customHeight="1" spans="1:2">
      <c r="A55951" s="3" t="str">
        <f>IFERROR(__xludf.DUMMYFUNCTION("GOOGLETRANSLATE(A55951,""en"",""pt"")"),"A qualidade do som é grande, tamanho é perfeito, menus são fáceis de entender")</f>
        <v>A qualidade do som é grande, tamanho é perfeito, menus são fáceis de entender</v>
      </c>
      <c r="B55951" s="3">
        <v>1</v>
      </c>
    </row>
    <row r="55952" ht="15.75" customHeight="1" spans="1:2">
      <c r="A55952" s="3" t="str">
        <f>IFERROR(__xludf.DUMMYFUNCTION("GOOGLETRANSLATE(A55952,""en"",""pt"")"),"Motorola i90c para Nextel é mais barato com o mesmo estilo de corpo e mais recursos úteis")</f>
        <v>Motorola i90c para Nextel é mais barato com o mesmo estilo de corpo e mais recursos úteis</v>
      </c>
      <c r="B55952" s="3">
        <v>1</v>
      </c>
    </row>
    <row r="55953" ht="15.75" customHeight="1" spans="1:2">
      <c r="A55953" s="3" t="str">
        <f>IFERROR(__xludf.DUMMYFUNCTION("GOOGLETRANSLATE(A55953,""en"",""pt"")"),"melhor ive telefone já teve")</f>
        <v>melhor ive telefone já teve</v>
      </c>
      <c r="B55953" s="3">
        <v>1</v>
      </c>
    </row>
    <row r="55954" ht="15.75" customHeight="1" spans="1:2">
      <c r="A55954" s="3" t="str">
        <f>IFERROR(__xludf.DUMMYFUNCTION("GOOGLETRANSLATE(A55954,""en"",""pt"")"),"Pequeno, Sexy")</f>
        <v>Pequeno, Sexy</v>
      </c>
      <c r="B55954" s="3">
        <v>1</v>
      </c>
    </row>
    <row r="55955" ht="15.75" customHeight="1" spans="1:2">
      <c r="A55955" s="3" t="str">
        <f>IFERROR(__xludf.DUMMYFUNCTION("GOOGLETRANSLATE(A55955,""en"",""pt"")"),"Discagem por voz")</f>
        <v>Discagem por voz</v>
      </c>
      <c r="B55955" s="3">
        <v>1</v>
      </c>
    </row>
    <row r="55956" ht="15.75" customHeight="1" spans="1:2">
      <c r="A55956" s="3" t="str">
        <f>IFERROR(__xludf.DUMMYFUNCTION("GOOGLETRANSLATE(A55956,""en"",""pt"")"),"tamanho pequeno, boa menus")</f>
        <v>tamanho pequeno, boa menus</v>
      </c>
      <c r="B55956" s="3">
        <v>1</v>
      </c>
    </row>
    <row r="55957" ht="15.75" customHeight="1" spans="1:2">
      <c r="A55957" s="3" t="str">
        <f>IFERROR(__xludf.DUMMYFUNCTION("GOOGLETRANSLATE(A55957,""en"",""pt"")"),"Este telefone é leve.")</f>
        <v>Este telefone é leve.</v>
      </c>
      <c r="B55957" s="3">
        <v>1</v>
      </c>
    </row>
    <row r="55958" ht="15.75" customHeight="1" spans="1:2">
      <c r="A55958" s="3" t="str">
        <f>IFERROR(__xludf.DUMMYFUNCTION("GOOGLETRANSLATE(A55958,""en"",""pt"")"),"Pequenas e surpreendentemente pesado!")</f>
        <v>Pequenas e surpreendentemente pesado!</v>
      </c>
      <c r="B55958" s="3">
        <v>1</v>
      </c>
    </row>
    <row r="55959" ht="15.75" customHeight="1" spans="1:2">
      <c r="A55959" s="3" t="str">
        <f>IFERROR(__xludf.DUMMYFUNCTION("GOOGLETRANSLATE(A55959,""en"",""pt"")"),"Boa aparência. Lightweight. Telefone do momento!")</f>
        <v>Boa aparência. Lightweight. Telefone do momento!</v>
      </c>
      <c r="B55959" s="3">
        <v>1</v>
      </c>
    </row>
    <row r="55960" ht="15.75" customHeight="1" spans="1:2">
      <c r="A55960" s="3" t="str">
        <f>IFERROR(__xludf.DUMMYFUNCTION("GOOGLETRANSLATE(A55960,""en"",""pt"")"),"Tamanho, aparência, qualidade de som")</f>
        <v>Tamanho, aparência, qualidade de som</v>
      </c>
      <c r="B55960" s="3">
        <v>1</v>
      </c>
    </row>
    <row r="55961" ht="15.75" customHeight="1" spans="1:2">
      <c r="A55961" s="3" t="str">
        <f>IFERROR(__xludf.DUMMYFUNCTION("GOOGLETRANSLATE(A55961,""en"",""pt"")"),"Design, identificação de chamadas no exterior, Tamanho")</f>
        <v>Design, identificação de chamadas no exterior, Tamanho</v>
      </c>
      <c r="B55961" s="3">
        <v>1</v>
      </c>
    </row>
    <row r="55962" ht="15.75" customHeight="1" spans="1:2">
      <c r="A55962" s="3" t="str">
        <f>IFERROR(__xludf.DUMMYFUNCTION("GOOGLETRANSLATE(A55962,""en"",""pt"")"),"leve e pequeno, grande qualidade de som, fácil de usar, parece ótimo")</f>
        <v>leve e pequeno, grande qualidade de som, fácil de usar, parece ótimo</v>
      </c>
      <c r="B55962" s="3">
        <v>1</v>
      </c>
    </row>
    <row r="55963" ht="15.75" customHeight="1" spans="1:2">
      <c r="A55963" s="3" t="str">
        <f>IFERROR(__xludf.DUMMYFUNCTION("GOOGLETRANSLATE(A55963,""en"",""pt"")"),"olhando agradável e é isso!")</f>
        <v>olhando agradável e é isso!</v>
      </c>
      <c r="B55963" s="3">
        <v>1</v>
      </c>
    </row>
    <row r="55964" ht="15.75" customHeight="1" spans="1:2">
      <c r="A55964" s="3" t="str">
        <f>IFERROR(__xludf.DUMMYFUNCTION("GOOGLETRANSLATE(A55964,""en"",""pt"")"),"Olhando agradável, pequeno, leve")</f>
        <v>Olhando agradável, pequeno, leve</v>
      </c>
      <c r="B55964" s="3">
        <v>1</v>
      </c>
    </row>
    <row r="55965" ht="15.75" customHeight="1" spans="1:2">
      <c r="A55965" s="3" t="str">
        <f>IFERROR(__xludf.DUMMYFUNCTION("GOOGLETRANSLATE(A55965,""en"",""pt"")"),"Elegante, sexy, legal")</f>
        <v>Elegante, sexy, legal</v>
      </c>
      <c r="B55965" s="3">
        <v>1</v>
      </c>
    </row>
    <row r="55966" ht="15.75" customHeight="1" spans="1:2">
      <c r="A55966" s="3" t="str">
        <f>IFERROR(__xludf.DUMMYFUNCTION("GOOGLETRANSLATE(A55966,""en"",""pt"")"),"Muitos recursos e funções, fácil de usar, telefone flip, de excelente qualidade")</f>
        <v>Muitos recursos e funções, fácil de usar, telefone flip, de excelente qualidade</v>
      </c>
      <c r="B55966" s="3">
        <v>1</v>
      </c>
    </row>
    <row r="55967" ht="15.75" customHeight="1" spans="1:2">
      <c r="A55967" s="3" t="str">
        <f>IFERROR(__xludf.DUMMYFUNCTION("GOOGLETRANSLATE(A55967,""en"",""pt"")"),"Leve, compacto, simples, durável e atraente.")</f>
        <v>Leve, compacto, simples, durável e atraente.</v>
      </c>
      <c r="B55967" s="3">
        <v>1</v>
      </c>
    </row>
    <row r="55968" ht="15.75" customHeight="1" spans="1:2">
      <c r="A55968" s="3" t="str">
        <f>IFERROR(__xludf.DUMMYFUNCTION("GOOGLETRANSLATE(A55968,""en"",""pt"")"),"pequeno e ela se dobra")</f>
        <v>pequeno e ela se dobra</v>
      </c>
      <c r="B55968" s="3">
        <v>1</v>
      </c>
    </row>
    <row r="55969" ht="15.75" customHeight="1" spans="1:2">
      <c r="A55969" s="3" t="str">
        <f>IFERROR(__xludf.DUMMYFUNCTION("GOOGLETRANSLATE(A55969,""en"",""pt"")"),"Legal")</f>
        <v>Legal</v>
      </c>
      <c r="B55969" s="3">
        <v>1</v>
      </c>
    </row>
    <row r="55970" ht="15.75" customHeight="1" spans="1:2">
      <c r="A55970" s="3" t="str">
        <f>IFERROR(__xludf.DUMMYFUNCTION("GOOGLETRANSLATE(A55970,""en"",""pt"")"),"telefone olhando agradável")</f>
        <v>telefone olhando agradável</v>
      </c>
      <c r="B55970" s="3">
        <v>1</v>
      </c>
    </row>
    <row r="55971" ht="15.75" customHeight="1" spans="1:2">
      <c r="A55971" s="3" t="str">
        <f>IFERROR(__xludf.DUMMYFUNCTION("GOOGLETRANSLATE(A55971,""en"",""pt"")"),"É um Motorola, tri-band, menus personalizados, novo software, eu mencionei é um Motorola!")</f>
        <v>É um Motorola, tri-band, menus personalizados, novo software, eu mencionei é um Motorola!</v>
      </c>
      <c r="B55971" s="3">
        <v>1</v>
      </c>
    </row>
    <row r="55972" ht="15.75" customHeight="1" spans="1:2">
      <c r="A55972" s="3" t="str">
        <f>IFERROR(__xludf.DUMMYFUNCTION("GOOGLETRANSLATE(A55972,""en"",""pt"")"),"caso Titanium indestrutível um enrugamento novo em uma indústria de telefone de outra forma placa a lágrimas.")</f>
        <v>caso Titanium indestrutível um enrugamento novo em uma indústria de telefone de outra forma placa a lágrimas.</v>
      </c>
      <c r="B55972" s="3">
        <v>1</v>
      </c>
    </row>
    <row r="55973" ht="15.75" customHeight="1" spans="1:2">
      <c r="A55973" s="3" t="str">
        <f>IFERROR(__xludf.DUMMYFUNCTION("GOOGLETRANSLATE(A55973,""en"",""pt"")"),"3,5 oz, Caller ID exterior / interior, extremamente claro, elegante e moderno")</f>
        <v>3,5 oz, Caller ID exterior / interior, extremamente claro, elegante e moderno</v>
      </c>
      <c r="B55973" s="3">
        <v>1</v>
      </c>
    </row>
    <row r="55974" ht="15.75" customHeight="1" spans="1:2">
      <c r="A55974" s="3" t="str">
        <f>IFERROR(__xludf.DUMMYFUNCTION("GOOGLETRANSLATE(A55974,""en"",""pt"")"),"telefone muito bom e bateria")</f>
        <v>telefone muito bom e bateria</v>
      </c>
      <c r="B55974" s="3">
        <v>1</v>
      </c>
    </row>
    <row r="55975" ht="15.75" customHeight="1" spans="1:2">
      <c r="A55975" s="3" t="str">
        <f>IFERROR(__xludf.DUMMYFUNCTION("GOOGLETRANSLATE(A55975,""en"",""pt"")"),"corpo compacto e metálico.")</f>
        <v>corpo compacto e metálico.</v>
      </c>
      <c r="B55975" s="3">
        <v>1</v>
      </c>
    </row>
    <row r="55976" ht="15.75" customHeight="1" spans="1:2">
      <c r="A55976" s="3" t="str">
        <f>IFERROR(__xludf.DUMMYFUNCTION("GOOGLETRANSLATE(A55976,""en"",""pt"")"),"Pequeno, peso leve")</f>
        <v>Pequeno, peso leve</v>
      </c>
      <c r="B55976" s="3">
        <v>1</v>
      </c>
    </row>
    <row r="55977" ht="15.75" customHeight="1" spans="1:2">
      <c r="A55977" s="3" t="str">
        <f>IFERROR(__xludf.DUMMYFUNCTION("GOOGLETRANSLATE(A55977,""en"",""pt"")"),"Grande tamanho e estilo.")</f>
        <v>Grande tamanho e estilo.</v>
      </c>
      <c r="B55977" s="3">
        <v>1</v>
      </c>
    </row>
    <row r="55978" ht="15.75" customHeight="1" spans="1:2">
      <c r="A55978" s="3" t="str">
        <f>IFERROR(__xludf.DUMMYFUNCTION("GOOGLETRANSLATE(A55978,""en"",""pt"")"),"Preço alto faz você olhar como você tem um monte de dinheiro para golpe")</f>
        <v>Preço alto faz você olhar como você tem um monte de dinheiro para golpe</v>
      </c>
      <c r="B55978" s="3">
        <v>1</v>
      </c>
    </row>
    <row r="55979" ht="15.75" customHeight="1" spans="1:2">
      <c r="A55979" s="3" t="str">
        <f>IFERROR(__xludf.DUMMYFUNCTION("GOOGLETRANSLATE(A55979,""en"",""pt"")"),"Sente grande na mão, parece bonito, grande qualidade palestra, exibição clara")</f>
        <v>Sente grande na mão, parece bonito, grande qualidade palestra, exibição clara</v>
      </c>
      <c r="B55979" s="3">
        <v>1</v>
      </c>
    </row>
    <row r="55980" ht="15.75" customHeight="1" spans="1:2">
      <c r="A55980" s="3" t="str">
        <f>IFERROR(__xludf.DUMMYFUNCTION("GOOGLETRANSLATE(A55980,""en"",""pt"")"),"Design, funcionalidade e curta curva de aprendizagem")</f>
        <v>Design, funcionalidade e curta curva de aprendizagem</v>
      </c>
      <c r="B55980" s="3">
        <v>1</v>
      </c>
    </row>
    <row r="55981" ht="15.75" customHeight="1" spans="1:2">
      <c r="A55981" s="3" t="str">
        <f>IFERROR(__xludf.DUMMYFUNCTION("GOOGLETRANSLATE(A55981,""en"",""pt"")"),"Tamanho, peso, Link para o seu comp.")</f>
        <v>Tamanho, peso, Link para o seu comp.</v>
      </c>
      <c r="B55981" s="3">
        <v>1</v>
      </c>
    </row>
    <row r="55982" ht="15.75" customHeight="1" spans="1:2">
      <c r="A55982" s="3" t="str">
        <f>IFERROR(__xludf.DUMMYFUNCTION("GOOGLETRANSLATE(A55982,""en"",""pt"")"),"Confiável, Stylish")</f>
        <v>Confiável, Stylish</v>
      </c>
      <c r="B55982" s="3">
        <v>1</v>
      </c>
    </row>
    <row r="55983" ht="15.75" customHeight="1" spans="1:2">
      <c r="A55983" s="3" t="str">
        <f>IFERROR(__xludf.DUMMYFUNCTION("GOOGLETRANSLATE(A55983,""en"",""pt"")"),"qualidade de chamada excepcional, tamanho conveniente Pequeno, Lotes das características")</f>
        <v>qualidade de chamada excepcional, tamanho conveniente Pequeno, Lotes das características</v>
      </c>
      <c r="B55983" s="3">
        <v>1</v>
      </c>
    </row>
    <row r="55984" ht="15.75" customHeight="1" spans="1:2">
      <c r="A55984" s="3" t="str">
        <f>IFERROR(__xludf.DUMMYFUNCTION("GOOGLETRANSLATE(A55984,""en"",""pt"")"),"Nice looking")</f>
        <v>Nice looking</v>
      </c>
      <c r="B55984" s="3">
        <v>1</v>
      </c>
    </row>
    <row r="55985" ht="15.75" customHeight="1" spans="1:2">
      <c r="A55985" s="3" t="str">
        <f>IFERROR(__xludf.DUMMYFUNCTION("GOOGLETRANSLATE(A55985,""en"",""pt"")"),"Aparência legal")</f>
        <v>Aparência legal</v>
      </c>
      <c r="B55985" s="3">
        <v>1</v>
      </c>
    </row>
    <row r="55986" ht="15.75" customHeight="1" spans="1:2">
      <c r="A55986" s="3" t="str">
        <f>IFERROR(__xludf.DUMMYFUNCTION("GOOGLETRANSLATE(A55986,""en"",""pt"")"),"design elegante, fator de forma pequeno, boa recepção e vida útil da bateria")</f>
        <v>design elegante, fator de forma pequeno, boa recepção e vida útil da bateria</v>
      </c>
      <c r="B55986" s="3">
        <v>1</v>
      </c>
    </row>
    <row r="55987" ht="15.75" customHeight="1" spans="1:2">
      <c r="A55987" s="3" t="str">
        <f>IFERROR(__xludf.DUMMYFUNCTION("GOOGLETRANSLATE(A55987,""en"",""pt"")"),"Pequeno, cobertura decente. Não vale o preço.")</f>
        <v>Pequeno, cobertura decente. Não vale o preço.</v>
      </c>
      <c r="B55987" s="3">
        <v>1</v>
      </c>
    </row>
    <row r="55988" ht="15.75" customHeight="1" spans="1:2">
      <c r="A55988" s="3" t="str">
        <f>IFERROR(__xludf.DUMMYFUNCTION("GOOGLETRANSLATE(A55988,""en"",""pt"")"),"Tamanho, estilo, discagem por voz.")</f>
        <v>Tamanho, estilo, discagem por voz.</v>
      </c>
      <c r="B55988" s="3">
        <v>1</v>
      </c>
    </row>
    <row r="55989" ht="15.75" customHeight="1" spans="1:2">
      <c r="A55989" s="3" t="str">
        <f>IFERROR(__xludf.DUMMYFUNCTION("GOOGLETRANSLATE(A55989,""en"",""pt"")"),"Pequeno, leve")</f>
        <v>Pequeno, leve</v>
      </c>
      <c r="B55989" s="3">
        <v>1</v>
      </c>
    </row>
    <row r="55990" ht="15.75" customHeight="1" spans="1:2">
      <c r="A55990" s="3" t="str">
        <f>IFERROR(__xludf.DUMMYFUNCTION("GOOGLETRANSLATE(A55990,""en"",""pt"")"),"design elegante e ergonómico")</f>
        <v>design elegante e ergonómico</v>
      </c>
      <c r="B55990" s="3">
        <v>1</v>
      </c>
    </row>
    <row r="55991" ht="15.75" customHeight="1" spans="1:2">
      <c r="A55991" s="3" t="str">
        <f>IFERROR(__xludf.DUMMYFUNCTION("GOOGLETRANSLATE(A55991,""en"",""pt"")"),"Pequeno. Luz. Recurso / Função embalado.")</f>
        <v>Pequeno. Luz. Recurso / Função embalado.</v>
      </c>
      <c r="B55991" s="3">
        <v>1</v>
      </c>
    </row>
    <row r="55992" ht="15.75" customHeight="1" spans="1:2">
      <c r="A55992" s="3" t="str">
        <f>IFERROR(__xludf.DUMMYFUNCTION("GOOGLETRANSLATE(A55992,""en"",""pt"")"),"tamanho, estrutura metálica, grande espera, identificador de chamadas fora e tela de informações, tri-band GSM, GPRS")</f>
        <v>tamanho, estrutura metálica, grande espera, identificador de chamadas fora e tela de informações, tri-band GSM, GPRS</v>
      </c>
      <c r="B55992" s="3">
        <v>1</v>
      </c>
    </row>
    <row r="55993" ht="15.75" customHeight="1" spans="1:2">
      <c r="A55993" s="3" t="str">
        <f>IFERROR(__xludf.DUMMYFUNCTION("GOOGLETRANSLATE(A55993,""en"",""pt"")"),"O tamanho pequeno, incrivelmente resistente, data externa, hora e identificador de chamadas, bateria de longa duração, alarme.")</f>
        <v>O tamanho pequeno, incrivelmente resistente, data externa, hora e identificador de chamadas, bateria de longa duração, alarme.</v>
      </c>
      <c r="B55993" s="3">
        <v>1</v>
      </c>
    </row>
    <row r="55994" ht="15.75" customHeight="1" spans="1:2">
      <c r="A55994" s="3" t="str">
        <f>IFERROR(__xludf.DUMMYFUNCTION("GOOGLETRANSLATE(A55994,""en"",""pt"")"),"Extremamente durável (Máquina de lavar roupa seguro aparentemente)")</f>
        <v>Extremamente durável (Máquina de lavar roupa seguro aparentemente)</v>
      </c>
      <c r="B55994" s="3">
        <v>1</v>
      </c>
    </row>
    <row r="55995" ht="15.75" customHeight="1" spans="1:2">
      <c r="A55995" s="3" t="str">
        <f>IFERROR(__xludf.DUMMYFUNCTION("GOOGLETRANSLATE(A55995,""en"",""pt"")"),"Antena fixa, construção sólida, agradável viva-voz")</f>
        <v>Antena fixa, construção sólida, agradável viva-voz</v>
      </c>
      <c r="B55995" s="3">
        <v>1</v>
      </c>
    </row>
    <row r="55996" ht="15.75" customHeight="1" spans="1:2">
      <c r="A55996" s="3" t="str">
        <f>IFERROR(__xludf.DUMMYFUNCTION("GOOGLETRANSLATE(A55996,""en"",""pt"")"),"Preço em queda livre, barato se você pode encontrar um. Um telefone celular realmente bom.")</f>
        <v>Preço em queda livre, barato se você pode encontrar um. Um telefone celular realmente bom.</v>
      </c>
      <c r="B55996" s="3">
        <v>1</v>
      </c>
    </row>
    <row r="55997" ht="15.75" customHeight="1" spans="1:2">
      <c r="A55997" s="3" t="str">
        <f>IFERROR(__xludf.DUMMYFUNCTION("GOOGLETRANSLATE(A55997,""en"",""pt"")"),"Você pode obter um para barato agora com a mail-in rebate.")</f>
        <v>Você pode obter um para barato agora com a mail-in rebate.</v>
      </c>
      <c r="B55997" s="3">
        <v>1</v>
      </c>
    </row>
    <row r="55998" ht="15.75" customHeight="1" spans="1:2">
      <c r="A55998" s="3" t="str">
        <f>IFERROR(__xludf.DUMMYFUNCTION("GOOGLETRANSLATE(A55998,""en"",""pt"")"),"Tamanho, a vida da bateria")</f>
        <v>Tamanho, a vida da bateria</v>
      </c>
      <c r="B55998" s="3">
        <v>1</v>
      </c>
    </row>
    <row r="55999" ht="15.75" customHeight="1" spans="1:2">
      <c r="A55999" s="3" t="str">
        <f>IFERROR(__xludf.DUMMYFUNCTION("GOOGLETRANSLATE(A55999,""en"",""pt"")"),"Compacto, leve e bonito.")</f>
        <v>Compacto, leve e bonito.</v>
      </c>
      <c r="B55999" s="3">
        <v>1</v>
      </c>
    </row>
    <row r="56000" ht="15.75" customHeight="1" spans="1:2">
      <c r="A56000" s="3" t="str">
        <f>IFERROR(__xludf.DUMMYFUNCTION("GOOGLETRANSLATE(A56000,""en"",""pt"")"),"Toneladas de recursos, câmera, rádio, sistema de menu bem projetado")</f>
        <v>Toneladas de recursos, câmera, rádio, sistema de menu bem projetado</v>
      </c>
      <c r="B56000" s="3">
        <v>1</v>
      </c>
    </row>
    <row r="56001" ht="15.75" customHeight="1" spans="1:2">
      <c r="A56001" s="3" t="str">
        <f>IFERROR(__xludf.DUMMYFUNCTION("GOOGLETRANSLATE(A56001,""en"",""pt"")"),"Recursos em abundância, personalização, excelente autonomia.")</f>
        <v>Recursos em abundância, personalização, excelente autonomia.</v>
      </c>
      <c r="B56001" s="3">
        <v>1</v>
      </c>
    </row>
    <row r="56002" ht="15.75" customHeight="1" spans="1:2">
      <c r="A56002" s="3" t="str">
        <f>IFERROR(__xludf.DUMMYFUNCTION("GOOGLETRANSLATE(A56002,""en"",""pt"")"),"Rádio, câmera, jogos, customizável, refrigeram o design!")</f>
        <v>Rádio, câmera, jogos, customizável, refrigeram o design!</v>
      </c>
      <c r="B56002" s="3">
        <v>1</v>
      </c>
    </row>
    <row r="56003" ht="15.75" customHeight="1" spans="1:2">
      <c r="A56003" s="3" t="str">
        <f>IFERROR(__xludf.DUMMYFUNCTION("GOOGLETRANSLATE(A56003,""en"",""pt"")"),"O tamanho pequeno e Calendário com características opção de lembrete são grandes,")</f>
        <v>O tamanho pequeno e Calendário com características opção de lembrete são grandes,</v>
      </c>
      <c r="B56003" s="3">
        <v>1</v>
      </c>
    </row>
    <row r="56004" ht="15.75" customHeight="1" spans="1:2">
      <c r="A56004" s="3" t="str">
        <f>IFERROR(__xludf.DUMMYFUNCTION("GOOGLETRANSLATE(A56004,""en"",""pt"")"),"viva-voz, câmera, rádio FM, lanterna, durável")</f>
        <v>viva-voz, câmera, rádio FM, lanterna, durável</v>
      </c>
      <c r="B56004" s="3">
        <v>1</v>
      </c>
    </row>
    <row r="56005" ht="15.75" customHeight="1" spans="1:2">
      <c r="A56005" s="3" t="str">
        <f>IFERROR(__xludf.DUMMYFUNCTION("GOOGLETRANSLATE(A56005,""en"",""pt"")"),"A vida da bateria, design na moda, fácil de usar, excelente pós-venda")</f>
        <v>A vida da bateria, design na moda, fácil de usar, excelente pós-venda</v>
      </c>
      <c r="B56005" s="3">
        <v>1</v>
      </c>
    </row>
    <row r="56006" ht="15.75" customHeight="1" spans="1:2">
      <c r="A56006" s="3" t="str">
        <f>IFERROR(__xludf.DUMMYFUNCTION("GOOGLETRANSLATE(A56006,""en"",""pt"")"),"acessíveis, rádio FM bom, amo a função de luz de tochas.")</f>
        <v>acessíveis, rádio FM bom, amo a função de luz de tochas.</v>
      </c>
      <c r="B56006" s="3">
        <v>1</v>
      </c>
    </row>
    <row r="56007" ht="15.75" customHeight="1" spans="1:2">
      <c r="A56007" s="3" t="str">
        <f>IFERROR(__xludf.DUMMYFUNCTION("GOOGLETRANSLATE(A56007,""en"",""pt"")"),"Câmera")</f>
        <v>Câmera</v>
      </c>
      <c r="B56007" s="3">
        <v>1</v>
      </c>
    </row>
    <row r="56008" ht="15.75" customHeight="1" spans="1:2">
      <c r="A56008" s="3" t="str">
        <f>IFERROR(__xludf.DUMMYFUNCTION("GOOGLETRANSLATE(A56008,""en"",""pt"")"),"muitos recursos")</f>
        <v>muitos recursos</v>
      </c>
      <c r="B56008" s="3">
        <v>1</v>
      </c>
    </row>
    <row r="56009" ht="15.75" customHeight="1" spans="1:2">
      <c r="A56009" s="3" t="str">
        <f>IFERROR(__xludf.DUMMYFUNCTION("GOOGLETRANSLATE(A56009,""en"",""pt"")"),"viva-voz, rádio FM, pequeno e leve")</f>
        <v>viva-voz, rádio FM, pequeno e leve</v>
      </c>
      <c r="B56009" s="3">
        <v>1</v>
      </c>
    </row>
    <row r="56010" ht="15.75" customHeight="1" spans="1:2">
      <c r="A56010" s="3" t="str">
        <f>IFERROR(__xludf.DUMMYFUNCTION("GOOGLETRANSLATE(A56010,""en"",""pt"")"),"lanterna, rádio, alto-falante, bateria dura para sempre")</f>
        <v>lanterna, rádio, alto-falante, bateria dura para sempre</v>
      </c>
      <c r="B56010" s="3">
        <v>1</v>
      </c>
    </row>
    <row r="56011" ht="15.75" customHeight="1" spans="1:2">
      <c r="A56011" s="3" t="str">
        <f>IFERROR(__xludf.DUMMYFUNCTION("GOOGLETRANSLATE(A56011,""en"",""pt"")"),"Parece legal. bem construído. Boa recepção. É um Nokia.")</f>
        <v>Parece legal. bem construído. Boa recepção. É um Nokia.</v>
      </c>
      <c r="B56011" s="3">
        <v>1</v>
      </c>
    </row>
    <row r="56012" ht="15.75" customHeight="1" spans="1:2">
      <c r="A56012" s="3" t="str">
        <f>IFERROR(__xludf.DUMMYFUNCTION("GOOGLETRANSLATE(A56012,""en"",""pt"")"),"A vida da bateria, recepção, tamanho perfeito (para mim, pelo menos), e revestimento emborrachado para fácil aderência")</f>
        <v>A vida da bateria, recepção, tamanho perfeito (para mim, pelo menos), e revestimento emborrachado para fácil aderência</v>
      </c>
      <c r="B56012" s="3">
        <v>1</v>
      </c>
    </row>
    <row r="56013" ht="15.75" customHeight="1" spans="1:2">
      <c r="A56013" s="3" t="str">
        <f>IFERROR(__xludf.DUMMYFUNCTION("GOOGLETRANSLATE(A56013,""en"",""pt"")"),"Durabilidade e tamanho pequeno")</f>
        <v>Durabilidade e tamanho pequeno</v>
      </c>
      <c r="B56013" s="3">
        <v>1</v>
      </c>
    </row>
    <row r="56014" ht="15.75" customHeight="1" spans="1:2">
      <c r="A56014" s="3" t="str">
        <f>IFERROR(__xludf.DUMMYFUNCTION("GOOGLETRANSLATE(A56014,""en"",""pt"")"),"Forte e durável")</f>
        <v>Forte e durável</v>
      </c>
      <c r="B56014" s="3">
        <v>1</v>
      </c>
    </row>
    <row r="56015" ht="15.75" customHeight="1" spans="1:2">
      <c r="A56015" s="3" t="str">
        <f>IFERROR(__xludf.DUMMYFUNCTION("GOOGLETRANSLATE(A56015,""en"",""pt"")"),"Borracha de revestimento, prolongado a vida da bateria em comparação com TX210")</f>
        <v>Borracha de revestimento, prolongado a vida da bateria em comparação com TX210</v>
      </c>
      <c r="B56015" s="3">
        <v>1</v>
      </c>
    </row>
    <row r="56016" ht="15.75" customHeight="1" spans="1:2">
      <c r="A56016" s="3" t="str">
        <f>IFERROR(__xludf.DUMMYFUNCTION("GOOGLETRANSLATE(A56016,""en"",""pt"")"),"aparência elegante e bonito, bem borracha, back-iluminação dupla")</f>
        <v>aparência elegante e bonito, bem borracha, back-iluminação dupla</v>
      </c>
      <c r="B56016" s="3">
        <v>1</v>
      </c>
    </row>
    <row r="56017" ht="15.75" customHeight="1" spans="1:2">
      <c r="A56017" s="3" t="str">
        <f>IFERROR(__xludf.DUMMYFUNCTION("GOOGLETRANSLATE(A56017,""en"",""pt"")"),"A vida da bateria, recepção, durabilidade, chaves sólidos")</f>
        <v>A vida da bateria, recepção, durabilidade, chaves sólidos</v>
      </c>
      <c r="B56017" s="3">
        <v>1</v>
      </c>
    </row>
    <row r="56018" ht="15.75" customHeight="1" spans="1:2">
      <c r="A56018" s="3" t="str">
        <f>IFERROR(__xludf.DUMMYFUNCTION("GOOGLETRANSLATE(A56018,""en"",""pt"")"),"extremamente robusto, boa funcionalidade de contato, mensagens")</f>
        <v>extremamente robusto, boa funcionalidade de contato, mensagens</v>
      </c>
      <c r="B56018" s="3">
        <v>1</v>
      </c>
    </row>
    <row r="56019" ht="15.75" customHeight="1" spans="1:2">
      <c r="A56019" s="3" t="str">
        <f>IFERROR(__xludf.DUMMYFUNCTION("GOOGLETRANSLATE(A56019,""en"",""pt"")"),"O peso leve, revestimento durável, fácil de usar e, acima de tudo recepção")</f>
        <v>O peso leve, revestimento durável, fácil de usar e, acima de tudo recepção</v>
      </c>
      <c r="B56019" s="3">
        <v>1</v>
      </c>
    </row>
    <row r="56020" ht="15.75" customHeight="1" spans="1:2">
      <c r="A56020" s="3" t="str">
        <f>IFERROR(__xludf.DUMMYFUNCTION("GOOGLETRANSLATE(A56020,""en"",""pt"")"),"Grande telefone,, telefone viva-duráveis")</f>
        <v>Grande telefone,, telefone viva-duráveis</v>
      </c>
      <c r="B56020" s="3">
        <v>1</v>
      </c>
    </row>
    <row r="56021" ht="15.75" customHeight="1" spans="1:2">
      <c r="A56021" s="3" t="str">
        <f>IFERROR(__xludf.DUMMYFUNCTION("GOOGLETRANSLATE(A56021,""en"",""pt"")"),"Pequeno, bonito, luz fácil de usar e programa, lotes e lotes de características.")</f>
        <v>Pequeno, bonito, luz fácil de usar e programa, lotes e lotes de características.</v>
      </c>
      <c r="B56021" s="3">
        <v>1</v>
      </c>
    </row>
    <row r="56022" ht="15.75" customHeight="1" spans="1:2">
      <c r="A56022" s="3" t="str">
        <f>IFERROR(__xludf.DUMMYFUNCTION("GOOGLETRANSLATE(A56022,""en"",""pt"")"),"* Aperto resistente emborrachado")</f>
        <v>* Aperto resistente emborrachado</v>
      </c>
      <c r="B56022" s="3">
        <v>1</v>
      </c>
    </row>
    <row r="56023" ht="15.75" customHeight="1" spans="1:2">
      <c r="A56023" s="3" t="str">
        <f>IFERROR(__xludf.DUMMYFUNCTION("GOOGLETRANSLATE(A56023,""en"",""pt"")"),"O tamanho pequeno, grande autonomia da bateria, built-in função de vibração, iluminação dupla, a abordagem de memória intuitiva.")</f>
        <v>O tamanho pequeno, grande autonomia da bateria, built-in função de vibração, iluminação dupla, a abordagem de memória intuitiva.</v>
      </c>
      <c r="B56023" s="3">
        <v>1</v>
      </c>
    </row>
    <row r="56024" ht="15.75" customHeight="1" spans="1:2">
      <c r="A56024" s="3" t="str">
        <f>IFERROR(__xludf.DUMMYFUNCTION("GOOGLETRANSLATE(A56024,""en"",""pt"")"),"Extremamente duráveis ​​- especificações militares.")</f>
        <v>Extremamente duráveis ​​- especificações militares.</v>
      </c>
      <c r="B56024" s="3">
        <v>1</v>
      </c>
    </row>
    <row r="56025" ht="15.75" customHeight="1" spans="1:2">
      <c r="A56025" s="3" t="str">
        <f>IFERROR(__xludf.DUMMYFUNCTION("GOOGLETRANSLATE(A56025,""en"",""pt"")"),"Vida útil da bateria, Durabilidade, livro de telefone (da maneira que armazena entradas), luz Display, clareza de som")</f>
        <v>Vida útil da bateria, Durabilidade, livro de telefone (da maneira que armazena entradas), luz Display, clareza de som</v>
      </c>
      <c r="B56025" s="3">
        <v>1</v>
      </c>
    </row>
    <row r="56026" ht="15.75" customHeight="1" spans="1:2">
      <c r="A56026" s="3" t="str">
        <f>IFERROR(__xludf.DUMMYFUNCTION("GOOGLETRANSLATE(A56026,""en"",""pt"")"),"Quase inquebrável, apenas o tamanho certo, emborrachada, excelente display LCD")</f>
        <v>Quase inquebrável, apenas o tamanho certo, emborrachada, excelente display LCD</v>
      </c>
      <c r="B56026" s="3">
        <v>1</v>
      </c>
    </row>
    <row r="56027" ht="15.75" customHeight="1" spans="1:2">
      <c r="A56027" s="3" t="str">
        <f>IFERROR(__xludf.DUMMYFUNCTION("GOOGLETRANSLATE(A56027,""en"",""pt"")"),"Durável, longa vida útil da bateria, barato esta lista continua ...")</f>
        <v>Durável, longa vida útil da bateria, barato esta lista continua ...</v>
      </c>
      <c r="B56027" s="3">
        <v>1</v>
      </c>
    </row>
    <row r="56028" ht="15.75" customHeight="1" spans="1:2">
      <c r="A56028" s="3" t="str">
        <f>IFERROR(__xludf.DUMMYFUNCTION("GOOGLETRANSLATE(A56028,""en"",""pt"")"),"Som claro, peso leve, diretório de pesquisa fácil, ótimo recurso viva-voz durável e botões resistentes.")</f>
        <v>Som claro, peso leve, diretório de pesquisa fácil, ótimo recurso viva-voz durável e botões resistentes.</v>
      </c>
      <c r="B56028" s="3">
        <v>1</v>
      </c>
    </row>
    <row r="56029" ht="15.75" customHeight="1" spans="1:2">
      <c r="A56029" s="3" t="str">
        <f>IFERROR(__xludf.DUMMYFUNCTION("GOOGLETRANSLATE(A56029,""en"",""pt"")"),"vida útil da bateria, a capacidade de inserir vários números para uma pessoa, durabilidade, display")</f>
        <v>vida útil da bateria, a capacidade de inserir vários números para uma pessoa, durabilidade, display</v>
      </c>
      <c r="B56029" s="3">
        <v>1</v>
      </c>
    </row>
    <row r="56030" ht="15.75" customHeight="1" spans="1:2">
      <c r="A56030" s="3" t="str">
        <f>IFERROR(__xludf.DUMMYFUNCTION("GOOGLETRANSLATE(A56030,""en"",""pt"")"),"muito leve e pequeno")</f>
        <v>muito leve e pequeno</v>
      </c>
      <c r="B56030" s="3">
        <v>1</v>
      </c>
    </row>
    <row r="56031" ht="15.75" customHeight="1" spans="1:2">
      <c r="A56031" s="3" t="str">
        <f>IFERROR(__xludf.DUMMYFUNCTION("GOOGLETRANSLATE(A56031,""en"",""pt"")"),"este telefone é tudo isso e muito mais! Ele faz tudo o que eu preciso que ele faça")</f>
        <v>este telefone é tudo isso e muito mais! Ele faz tudo o que eu preciso que ele faça</v>
      </c>
      <c r="B56031" s="3">
        <v>1</v>
      </c>
    </row>
    <row r="56032" ht="15.75" customHeight="1" spans="1:2">
      <c r="A56032" s="3" t="str">
        <f>IFERROR(__xludf.DUMMYFUNCTION("GOOGLETRANSLATE(A56032,""en"",""pt"")"),"caso resistente e sinais estáveis.")</f>
        <v>caso resistente e sinais estáveis.</v>
      </c>
      <c r="B56032" s="3">
        <v>1</v>
      </c>
    </row>
    <row r="56033" ht="15.75" customHeight="1" spans="1:2">
      <c r="A56033" s="3" t="str">
        <f>IFERROR(__xludf.DUMMYFUNCTION("GOOGLETRANSLATE(A56033,""en"",""pt"")"),"robustez, a autonomia da bateria, a operação multi-banda, operação lógica")</f>
        <v>robustez, a autonomia da bateria, a operação multi-banda, operação lógica</v>
      </c>
      <c r="B56033" s="3">
        <v>1</v>
      </c>
    </row>
    <row r="56034" ht="15.75" customHeight="1" spans="1:2">
      <c r="A56034" s="3" t="str">
        <f>IFERROR(__xludf.DUMMYFUNCTION("GOOGLETRANSLATE(A56034,""en"",""pt"")"),"características surpreendentes que são maravilhas tecnológicas, um bom celular,")</f>
        <v>características surpreendentes que são maravilhas tecnológicas, um bom celular,</v>
      </c>
      <c r="B56034" s="3">
        <v>1</v>
      </c>
    </row>
    <row r="56035" ht="15.75" customHeight="1" spans="1:2">
      <c r="A56035" s="3" t="str">
        <f>IFERROR(__xludf.DUMMYFUNCTION("GOOGLETRANSLATE(A56035,""en"",""pt"")"),"Leve, parece ótimo, mãos livres")</f>
        <v>Leve, parece ótimo, mãos livres</v>
      </c>
      <c r="B56035" s="3">
        <v>1</v>
      </c>
    </row>
    <row r="56036" ht="15.75" customHeight="1" spans="1:2">
      <c r="A56036" s="3" t="str">
        <f>IFERROR(__xludf.DUMMYFUNCTION("GOOGLETRANSLATE(A56036,""en"",""pt"")"),"Gobs o' recursos, incluindo viva-voz e discagem por voz. parece super legal, excelente qualidade, fácil navegação.")</f>
        <v>Gobs o' recursos, incluindo viva-voz e discagem por voz. parece super legal, excelente qualidade, fácil navegação.</v>
      </c>
      <c r="B56036" s="3">
        <v>1</v>
      </c>
    </row>
    <row r="56037" ht="15.75" customHeight="1" spans="1:2">
      <c r="A56037" s="3" t="str">
        <f>IFERROR(__xludf.DUMMYFUNCTION("GOOGLETRANSLATE(A56037,""en"",""pt"")"),"O viva-voz e discagem por voz características são grandes para as pessoas sempre em movimento.")</f>
        <v>O viva-voz e discagem por voz características são grandes para as pessoas sempre em movimento.</v>
      </c>
      <c r="B56037" s="3">
        <v>1</v>
      </c>
    </row>
    <row r="56038" ht="15.75" customHeight="1" spans="1:2">
      <c r="A56038" s="3" t="str">
        <f>IFERROR(__xludf.DUMMYFUNCTION("GOOGLETRANSLATE(A56038,""en"",""pt"")"),"Elegante, leve, viva-voz, protecção do teclado, uma boa recepção, muitas outras funcionalidades!")</f>
        <v>Elegante, leve, viva-voz, protecção do teclado, uma boa recepção, muitas outras funcionalidades!</v>
      </c>
      <c r="B56038" s="3">
        <v>1</v>
      </c>
    </row>
    <row r="56039" ht="15.75" customHeight="1" spans="1:2">
      <c r="A56039" s="3" t="str">
        <f>IFERROR(__xludf.DUMMYFUNCTION("GOOGLETRANSLATE(A56039,""en"",""pt"")"),"Elegante e sexy, alto desempenho")</f>
        <v>Elegante e sexy, alto desempenho</v>
      </c>
      <c r="B56039" s="3">
        <v>1</v>
      </c>
    </row>
    <row r="56040" ht="15.75" customHeight="1" spans="1:2">
      <c r="A56040" s="3" t="str">
        <f>IFERROR(__xludf.DUMMYFUNCTION("GOOGLETRANSLATE(A56040,""en"",""pt"")"),"Dual-band, alto-falante embutido, característica-embalada")</f>
        <v>Dual-band, alto-falante embutido, característica-embalada</v>
      </c>
      <c r="B56040" s="3">
        <v>1</v>
      </c>
    </row>
    <row r="56041" ht="15.75" customHeight="1" spans="1:2">
      <c r="A56041" s="3" t="str">
        <f>IFERROR(__xludf.DUMMYFUNCTION("GOOGLETRANSLATE(A56041,""en"",""pt"")"),"Toneladas de recursos, viva-voz, discagem por voz.")</f>
        <v>Toneladas de recursos, viva-voz, discagem por voz.</v>
      </c>
      <c r="B56041" s="3">
        <v>1</v>
      </c>
    </row>
    <row r="56042" ht="15.75" customHeight="1" spans="1:2">
      <c r="A56042" s="3" t="str">
        <f>IFERROR(__xludf.DUMMYFUNCTION("GOOGLETRANSLATE(A56042,""en"",""pt"")"),"recursos ilimitados e leve como uma pluma.")</f>
        <v>recursos ilimitados e leve como uma pluma.</v>
      </c>
      <c r="B56042" s="3">
        <v>1</v>
      </c>
    </row>
    <row r="56043" ht="15.75" customHeight="1" spans="1:2">
      <c r="A56043" s="3" t="str">
        <f>IFERROR(__xludf.DUMMYFUNCTION("GOOGLETRANSLATE(A56043,""en"",""pt"")"),"Ummm nenhum?")</f>
        <v>Ummm nenhum?</v>
      </c>
      <c r="B56043" s="3">
        <v>1</v>
      </c>
    </row>
    <row r="56044" ht="15.75" customHeight="1" spans="1:2">
      <c r="A56044" s="3" t="str">
        <f>IFERROR(__xludf.DUMMYFUNCTION("GOOGLETRANSLATE(A56044,""en"",""pt"")"),"Speaker Telefone, toneladas de Gadgets")</f>
        <v>Speaker Telefone, toneladas de Gadgets</v>
      </c>
      <c r="B56044" s="3">
        <v>1</v>
      </c>
    </row>
    <row r="56045" ht="15.75" customHeight="1" spans="1:2">
      <c r="A56045" s="3" t="str">
        <f>IFERROR(__xludf.DUMMYFUNCTION("GOOGLETRANSLATE(A56045,""en"",""pt"")"),"tamanho, bateria, discagem por voz, viva-voz")</f>
        <v>tamanho, bateria, discagem por voz, viva-voz</v>
      </c>
      <c r="B56045" s="3">
        <v>1</v>
      </c>
    </row>
    <row r="56046" ht="15.75" customHeight="1" spans="1:2">
      <c r="A56046" s="3" t="str">
        <f>IFERROR(__xludf.DUMMYFUNCTION("GOOGLETRANSLATE(A56046,""en"",""pt"")"),"Excelente qualidade de voz, a vida da bateria excelente, qualidade de construção")</f>
        <v>Excelente qualidade de voz, a vida da bateria excelente, qualidade de construção</v>
      </c>
      <c r="B56046" s="3">
        <v>1</v>
      </c>
    </row>
    <row r="56047" ht="15.75" customHeight="1" spans="1:2">
      <c r="A56047" s="3" t="str">
        <f>IFERROR(__xludf.DUMMYFUNCTION("GOOGLETRANSLATE(A56047,""en"",""pt"")"),"tamanho, estilo, características, durabilidade")</f>
        <v>tamanho, estilo, características, durabilidade</v>
      </c>
      <c r="B56047" s="3">
        <v>1</v>
      </c>
    </row>
    <row r="56048" ht="15.75" customHeight="1" spans="1:2">
      <c r="A56048" s="3" t="str">
        <f>IFERROR(__xludf.DUMMYFUNCTION("GOOGLETRANSLATE(A56048,""en"",""pt"")"),"Embalado com características úteis, LCD legal backlit, bem construído")</f>
        <v>Embalado com características úteis, LCD legal backlit, bem construído</v>
      </c>
      <c r="B56048" s="3">
        <v>1</v>
      </c>
    </row>
    <row r="56049" ht="15.75" customHeight="1" spans="1:2">
      <c r="A56049" s="3" t="str">
        <f>IFERROR(__xludf.DUMMYFUNCTION("GOOGLETRANSLATE(A56049,""en"",""pt"")"),"Recursos, recursos, recursos")</f>
        <v>Recursos, recursos, recursos</v>
      </c>
      <c r="B56049" s="3">
        <v>1</v>
      </c>
    </row>
    <row r="56050" ht="15.75" customHeight="1" spans="1:2">
      <c r="A56050" s="3" t="str">
        <f>IFERROR(__xludf.DUMMYFUNCTION("GOOGLETRANSLATE(A56050,""en"",""pt"")"),"backlight brilhante, entrada de texto intuitivo, PIM, discagem por voz, atendimento automático, viva-voz")</f>
        <v>backlight brilhante, entrada de texto intuitivo, PIM, discagem por voz, atendimento automático, viva-voz</v>
      </c>
      <c r="B56050" s="3">
        <v>1</v>
      </c>
    </row>
    <row r="56051" ht="15.75" customHeight="1" spans="1:2">
      <c r="A56051" s="3" t="str">
        <f>IFERROR(__xludf.DUMMYFUNCTION("GOOGLETRANSLATE(A56051,""en"",""pt"")"),"Aparência / Features")</f>
        <v>Aparência / Features</v>
      </c>
      <c r="B56051" s="3">
        <v>1</v>
      </c>
    </row>
    <row r="56052" ht="15.75" customHeight="1" spans="1:2">
      <c r="A56052" s="3" t="str">
        <f>IFERROR(__xludf.DUMMYFUNCTION("GOOGLETRANSLATE(A56052,""en"",""pt"")"),"viva-voz, discagem ativada por voz, longa vida da bateria, acessível, design elegante.")</f>
        <v>viva-voz, discagem ativada por voz, longa vida da bateria, acessível, design elegante.</v>
      </c>
      <c r="B56052" s="3">
        <v>1</v>
      </c>
    </row>
    <row r="56053" ht="15.75" customHeight="1" spans="1:2">
      <c r="A56053" s="3" t="str">
        <f>IFERROR(__xludf.DUMMYFUNCTION("GOOGLETRANSLATE(A56053,""en"",""pt"")"),"Tantos recursos, ainda mais recursos, clareza, Preço, viva voz, etc ...")</f>
        <v>Tantos recursos, ainda mais recursos, clareza, Preço, viva voz, etc ...</v>
      </c>
      <c r="B56053" s="3">
        <v>1</v>
      </c>
    </row>
    <row r="56054" ht="15.75" customHeight="1" spans="1:2">
      <c r="A56054" s="3" t="str">
        <f>IFERROR(__xludf.DUMMYFUNCTION("GOOGLETRANSLATE(A56054,""en"",""pt"")"),"discagem por voz, vida útil da bateria excelente, grande recepção!")</f>
        <v>discagem por voz, vida útil da bateria excelente, grande recepção!</v>
      </c>
      <c r="B56054" s="3">
        <v>1</v>
      </c>
    </row>
    <row r="56055" ht="15.75" customHeight="1" spans="1:2">
      <c r="A56055" s="3" t="str">
        <f>IFERROR(__xludf.DUMMYFUNCTION("GOOGLETRANSLATE(A56055,""en"",""pt"")"),"Discagem ativada por voz, viva-voz, Qualidades ótima interface, Longest Battery Life to Date")</f>
        <v>Discagem ativada por voz, viva-voz, Qualidades ótima interface, Longest Battery Life to Date</v>
      </c>
      <c r="B56055" s="3">
        <v>1</v>
      </c>
    </row>
    <row r="56056" ht="15.75" customHeight="1" spans="1:2">
      <c r="A56056" s="3" t="str">
        <f>IFERROR(__xludf.DUMMYFUNCTION("GOOGLETRANSLATE(A56056,""en"",""pt"")"),"telefone sólida com menus altamente utilizáveis ​​e grande qualidade")</f>
        <v>telefone sólida com menus altamente utilizáveis ​​e grande qualidade</v>
      </c>
      <c r="B56056" s="3">
        <v>1</v>
      </c>
    </row>
    <row r="56057" ht="15.75" customHeight="1" spans="1:2">
      <c r="A56057" s="3" t="str">
        <f>IFERROR(__xludf.DUMMYFUNCTION("GOOGLETRANSLATE(A56057,""en"",""pt"")"),"alto-falante, fone de ouvido, luz, tela azul, carga da bateria, aparência")</f>
        <v>alto-falante, fone de ouvido, luz, tela azul, carga da bateria, aparência</v>
      </c>
      <c r="B56057" s="3">
        <v>1</v>
      </c>
    </row>
    <row r="56058" ht="15.75" customHeight="1" spans="1:2">
      <c r="A56058" s="3" t="str">
        <f>IFERROR(__xludf.DUMMYFUNCTION("GOOGLETRANSLATE(A56058,""en"",""pt"")"),"Lotes das características, os lotes de vida útil da bateria")</f>
        <v>Lotes das características, os lotes de vida útil da bateria</v>
      </c>
      <c r="B56058" s="3">
        <v>1</v>
      </c>
    </row>
    <row r="56059" ht="15.75" customHeight="1" spans="1:2">
      <c r="A56059" s="3" t="str">
        <f>IFERROR(__xludf.DUMMYFUNCTION("GOOGLETRANSLATE(A56059,""en"",""pt"")"),"funções e clareza")</f>
        <v>funções e clareza</v>
      </c>
      <c r="B56059" s="3">
        <v>1</v>
      </c>
    </row>
    <row r="56060" ht="15.75" customHeight="1" spans="1:2">
      <c r="A56060" s="3" t="str">
        <f>IFERROR(__xludf.DUMMYFUNCTION("GOOGLETRANSLATE(A56060,""en"",""pt"")"),"Clareza, viva-voz, lista telefónica, marcação por voz e Ring, a vida da bateria, tamanho")</f>
        <v>Clareza, viva-voz, lista telefónica, marcação por voz e Ring, a vida da bateria, tamanho</v>
      </c>
      <c r="B56060" s="3">
        <v>1</v>
      </c>
    </row>
    <row r="56061" ht="15.75" customHeight="1" spans="1:2">
      <c r="A56061" s="3" t="str">
        <f>IFERROR(__xludf.DUMMYFUNCTION("GOOGLETRANSLATE(A56061,""en"",""pt"")"),"Bateria de Longa Duração, Indiglo, Non-Flip-Style, carregador de viagem, cheia de recursos")</f>
        <v>Bateria de Longa Duração, Indiglo, Non-Flip-Style, carregador de viagem, cheia de recursos</v>
      </c>
      <c r="B56061" s="3">
        <v>1</v>
      </c>
    </row>
    <row r="56062" ht="15.75" customHeight="1" spans="1:2">
      <c r="A56062" s="3" t="str">
        <f>IFERROR(__xludf.DUMMYFUNCTION("GOOGLETRANSLATE(A56062,""en"",""pt"")"),"Limpar recepção, a marcação por viva-voz, Voice-Activated, correio de voz, tela backlit, Memos / Calendário")</f>
        <v>Limpar recepção, a marcação por viva-voz, Voice-Activated, correio de voz, tela backlit, Memos / Calendário</v>
      </c>
      <c r="B56062" s="3">
        <v>1</v>
      </c>
    </row>
    <row r="56063" ht="15.75" customHeight="1" spans="1:2">
      <c r="A56063" s="3" t="str">
        <f>IFERROR(__xludf.DUMMYFUNCTION("GOOGLETRANSLATE(A56063,""en"",""pt"")"),"SMALL, lustroso, fresco, e ele funciona bem.")</f>
        <v>SMALL, lustroso, fresco, e ele funciona bem.</v>
      </c>
      <c r="B56063" s="3">
        <v>1</v>
      </c>
    </row>
    <row r="56064" ht="15.75" customHeight="1" spans="1:2">
      <c r="A56064" s="3" t="str">
        <f>IFERROR(__xludf.DUMMYFUNCTION("GOOGLETRANSLATE(A56064,""en"",""pt"")"),"Recepção; Qualidade de som; Viva voz; Exibição; Tempo de espera")</f>
        <v>Recepção; Qualidade de som; Viva voz; Exibição; Tempo de espera</v>
      </c>
      <c r="B56064" s="3">
        <v>1</v>
      </c>
    </row>
    <row r="56065" ht="15.75" customHeight="1" spans="1:2">
      <c r="A56065" s="3" t="str">
        <f>IFERROR(__xludf.DUMMYFUNCTION("GOOGLETRANSLATE(A56065,""en"",""pt"")"),"Carregado com características, ea bateria dura para sempre.")</f>
        <v>Carregado com características, ea bateria dura para sempre.</v>
      </c>
      <c r="B56065" s="3">
        <v>1</v>
      </c>
    </row>
    <row r="56066" ht="15.75" customHeight="1" spans="1:2">
      <c r="A56066" s="3" t="str">
        <f>IFERROR(__xludf.DUMMYFUNCTION("GOOGLETRANSLATE(A56066,""en"",""pt"")"),"pequeno, leve, teclado luminated")</f>
        <v>pequeno, leve, teclado luminated</v>
      </c>
      <c r="B56066" s="3">
        <v>1</v>
      </c>
    </row>
    <row r="56067" ht="15.75" customHeight="1" spans="1:2">
      <c r="A56067" s="3" t="str">
        <f>IFERROR(__xludf.DUMMYFUNCTION("GOOGLETRANSLATE(A56067,""en"",""pt"")"),"Leve ainda duráveis, características muito boas e excelente vida útil da bateria!")</f>
        <v>Leve ainda duráveis, características muito boas e excelente vida útil da bateria!</v>
      </c>
      <c r="B56067" s="3">
        <v>1</v>
      </c>
    </row>
    <row r="56068" ht="15.75" customHeight="1" spans="1:2">
      <c r="A56068" s="3" t="str">
        <f>IFERROR(__xludf.DUMMYFUNCTION("GOOGLETRANSLATE(A56068,""en"",""pt"")"),"discagem por voz, alto número capacidade de retenção")</f>
        <v>discagem por voz, alto número capacidade de retenção</v>
      </c>
      <c r="B56068" s="3">
        <v>1</v>
      </c>
    </row>
    <row r="56069" ht="15.75" customHeight="1" spans="1:2">
      <c r="A56069" s="3" t="str">
        <f>IFERROR(__xludf.DUMMYFUNCTION("GOOGLETRANSLATE(A56069,""en"",""pt"")"),"campainha de voz, tela brilhante, muitos conjuntos de recursos, as colocações botão inteligente, pesquisas da agenda rápidas")</f>
        <v>campainha de voz, tela brilhante, muitos conjuntos de recursos, as colocações botão inteligente, pesquisas da agenda rápidas</v>
      </c>
      <c r="B56069" s="3">
        <v>1</v>
      </c>
    </row>
    <row r="56070" ht="15.75" customHeight="1" spans="1:2">
      <c r="A56070" s="3" t="str">
        <f>IFERROR(__xludf.DUMMYFUNCTION("GOOGLETRANSLATE(A56070,""en"",""pt"")"),"Exibição, vida da bateria, menus")</f>
        <v>Exibição, vida da bateria, menus</v>
      </c>
      <c r="B56070" s="3">
        <v>1</v>
      </c>
    </row>
    <row r="56071" ht="15.75" customHeight="1" spans="1:2">
      <c r="A56071" s="3" t="str">
        <f>IFERROR(__xludf.DUMMYFUNCTION("GOOGLETRANSLATE(A56071,""en"",""pt"")"),"backlight Indiglo exibição, design elegante, recursos sólidos, viva-voz.")</f>
        <v>backlight Indiglo exibição, design elegante, recursos sólidos, viva-voz.</v>
      </c>
      <c r="B56071" s="3">
        <v>1</v>
      </c>
    </row>
    <row r="56072" ht="15.75" customHeight="1" spans="1:2">
      <c r="A56072" s="3" t="str">
        <f>IFERROR(__xludf.DUMMYFUNCTION("GOOGLETRANSLATE(A56072,""en"",""pt"")"),"estilo, muitos recursos interessantes")</f>
        <v>estilo, muitos recursos interessantes</v>
      </c>
      <c r="B56072" s="3">
        <v>1</v>
      </c>
    </row>
    <row r="56073" ht="15.75" customHeight="1" spans="1:2">
      <c r="A56073" s="3" t="str">
        <f>IFERROR(__xludf.DUMMYFUNCTION("GOOGLETRANSLATE(A56073,""en"",""pt"")"),"Excelente recepção, muito elegante, bateria de longa duração.")</f>
        <v>Excelente recepção, muito elegante, bateria de longa duração.</v>
      </c>
      <c r="B56073" s="3">
        <v>1</v>
      </c>
    </row>
    <row r="56074" ht="15.75" customHeight="1" spans="1:2">
      <c r="A56074" s="3" t="str">
        <f>IFERROR(__xludf.DUMMYFUNCTION("GOOGLETRANSLATE(A56074,""en"",""pt"")"),"características funcionais, palestrante, ativação de voz, tela azul bonita e legível.")</f>
        <v>características funcionais, palestrante, ativação de voz, tela azul bonita e legível.</v>
      </c>
      <c r="B56074" s="3">
        <v>1</v>
      </c>
    </row>
    <row r="56075" ht="15.75" customHeight="1" spans="1:2">
      <c r="A56075" s="3" t="str">
        <f>IFERROR(__xludf.DUMMYFUNCTION("GOOGLETRANSLATE(A56075,""en"",""pt"")"),"Pequeno, leve,, orador do telefone bonito")</f>
        <v>Pequeno, leve,, orador do telefone bonito</v>
      </c>
      <c r="B56075" s="3">
        <v>1</v>
      </c>
    </row>
    <row r="56076" ht="15.75" customHeight="1" spans="1:2">
      <c r="A56076" s="3" t="str">
        <f>IFERROR(__xludf.DUMMYFUNCTION("GOOGLETRANSLATE(A56076,""en"",""pt"")"),"Leve, lote de fresco caracteriza por um ótimo preço!")</f>
        <v>Leve, lote de fresco caracteriza por um ótimo preço!</v>
      </c>
      <c r="B56076" s="3">
        <v>1</v>
      </c>
    </row>
    <row r="56077" ht="15.75" customHeight="1" spans="1:2">
      <c r="A56077" s="3" t="str">
        <f>IFERROR(__xludf.DUMMYFUNCTION("GOOGLETRANSLATE(A56077,""en"",""pt"")"),"Mais fácil de telefone para uso, uma vez aprendida &amp; # 13;. &amp; # 10; Awsome qualidade, durabilidade e bateria.")</f>
        <v>Mais fácil de telefone para uso, uma vez aprendida &amp; # 13;. &amp; # 10; Awsome qualidade, durabilidade e bateria.</v>
      </c>
      <c r="B56077" s="3">
        <v>1</v>
      </c>
    </row>
    <row r="56078" ht="15.75" customHeight="1" spans="1:2">
      <c r="A56078" s="3" t="str">
        <f>IFERROR(__xludf.DUMMYFUNCTION("GOOGLETRANSLATE(A56078,""en"",""pt"")"),"Novas Opções: viva-voz, discagem por voz e um sinal mais forte")</f>
        <v>Novas Opções: viva-voz, discagem por voz e um sinal mais forte</v>
      </c>
      <c r="B56078" s="3">
        <v>1</v>
      </c>
    </row>
    <row r="56079" ht="15.75" customHeight="1" spans="1:2">
      <c r="A56079" s="3" t="str">
        <f>IFERROR(__xludf.DUMMYFUNCTION("GOOGLETRANSLATE(A56079,""en"",""pt"")"),"Arrefecer Styling, viva-voz, gravação de voz")</f>
        <v>Arrefecer Styling, viva-voz, gravação de voz</v>
      </c>
      <c r="B56079" s="3">
        <v>1</v>
      </c>
    </row>
    <row r="56080" ht="15.75" customHeight="1" spans="1:2">
      <c r="A56080" s="3" t="str">
        <f>IFERROR(__xludf.DUMMYFUNCTION("GOOGLETRANSLATE(A56080,""en"",""pt"")"),"tamanho, qualidade de som, peso.")</f>
        <v>tamanho, qualidade de som, peso.</v>
      </c>
      <c r="B56080" s="3">
        <v>1</v>
      </c>
    </row>
    <row r="56081" ht="15.75" customHeight="1" spans="1:2">
      <c r="A56081" s="3" t="str">
        <f>IFERROR(__xludf.DUMMYFUNCTION("GOOGLETRANSLATE(A56081,""en"",""pt"")"),"Fun e Funcional")</f>
        <v>Fun e Funcional</v>
      </c>
      <c r="B56081" s="3">
        <v>1</v>
      </c>
    </row>
    <row r="56082" ht="15.75" customHeight="1" spans="1:2">
      <c r="A56082" s="3" t="str">
        <f>IFERROR(__xludf.DUMMYFUNCTION("GOOGLETRANSLATE(A56082,""en"",""pt"")"),"Grande não-flip, telefone bem caracterizado com outras tecnologias mais recentes seguirá.")</f>
        <v>Grande não-flip, telefone bem caracterizado com outras tecnologias mais recentes seguirá.</v>
      </c>
      <c r="B56082" s="3">
        <v>1</v>
      </c>
    </row>
    <row r="56083" ht="15.75" customHeight="1" spans="1:2">
      <c r="A56083" s="3" t="str">
        <f>IFERROR(__xludf.DUMMYFUNCTION("GOOGLETRANSLATE(A56083,""en"",""pt"")"),"leve, versátil, atraente, magro, toneladas de recursos")</f>
        <v>leve, versátil, atraente, magro, toneladas de recursos</v>
      </c>
      <c r="B56083" s="3">
        <v>1</v>
      </c>
    </row>
    <row r="56084" ht="15.75" customHeight="1" spans="1:2">
      <c r="A56084" s="3" t="str">
        <f>IFERROR(__xludf.DUMMYFUNCTION("GOOGLETRANSLATE(A56084,""en"",""pt"")"),"Grande luz de fundo, recepção e fácil de usar.")</f>
        <v>Grande luz de fundo, recepção e fácil de usar.</v>
      </c>
      <c r="B56084" s="3">
        <v>1</v>
      </c>
    </row>
    <row r="56085" ht="15.75" customHeight="1" spans="1:2">
      <c r="A56085" s="3" t="str">
        <f>IFERROR(__xludf.DUMMYFUNCTION("GOOGLETRANSLATE(A56085,""en"",""pt"")"),"Teclado, leve e de fácil navegação.")</f>
        <v>Teclado, leve e de fácil navegação.</v>
      </c>
      <c r="B56085" s="3">
        <v>1</v>
      </c>
    </row>
    <row r="56086" ht="15.75" customHeight="1" spans="1:2">
      <c r="A56086" s="3" t="str">
        <f>IFERROR(__xludf.DUMMYFUNCTION("GOOGLETRANSLATE(A56086,""en"",""pt"")"),"Nada como minha esposa.")</f>
        <v>Nada como minha esposa.</v>
      </c>
      <c r="B56086" s="3">
        <v>1</v>
      </c>
    </row>
    <row r="56087" ht="15.75" customHeight="1" spans="1:2">
      <c r="A56087" s="3" t="str">
        <f>IFERROR(__xludf.DUMMYFUNCTION("GOOGLETRANSLATE(A56087,""en"",""pt"")"),"fantástica vida da bateria, viva-voz, display de alto contraste, carregador.")</f>
        <v>fantástica vida da bateria, viva-voz, display de alto contraste, carregador.</v>
      </c>
      <c r="B56087" s="3">
        <v>1</v>
      </c>
    </row>
    <row r="56088" ht="15.75" customHeight="1" spans="1:2">
      <c r="A56088" s="3" t="str">
        <f>IFERROR(__xludf.DUMMYFUNCTION("GOOGLETRANSLATE(A56088,""en"",""pt"")"),"bateria de longa duração. Handsfree via fone de viva-voz. Gravador de voz.")</f>
        <v>bateria de longa duração. Handsfree via fone de viva-voz. Gravador de voz.</v>
      </c>
      <c r="B56088" s="3">
        <v>1</v>
      </c>
    </row>
    <row r="56089" ht="15.75" customHeight="1" spans="1:2">
      <c r="A56089" s="3" t="str">
        <f>IFERROR(__xludf.DUMMYFUNCTION("GOOGLETRANSLATE(A56089,""en"",""pt"")"),"Speaker, ativação de voz, tamanho da tela, web wireless")</f>
        <v>Speaker, ativação de voz, tamanho da tela, web wireless</v>
      </c>
      <c r="B56089" s="3">
        <v>1</v>
      </c>
    </row>
    <row r="56090" ht="15.75" customHeight="1" spans="1:2">
      <c r="A56090" s="3" t="str">
        <f>IFERROR(__xludf.DUMMYFUNCTION("GOOGLETRANSLATE(A56090,""en"",""pt"")"),"Viva-voz, Indiglo")</f>
        <v>Viva-voz, Indiglo</v>
      </c>
      <c r="B56090" s="3">
        <v>1</v>
      </c>
    </row>
    <row r="56091" ht="15.75" customHeight="1" spans="1:2">
      <c r="A56091" s="3" t="str">
        <f>IFERROR(__xludf.DUMMYFUNCTION("GOOGLETRANSLATE(A56091,""en"",""pt"")"),"Viva-voz, Display, Campainhas, Características em Geral")</f>
        <v>Viva-voz, Display, Campainhas, Características em Geral</v>
      </c>
      <c r="B56091" s="3">
        <v>1</v>
      </c>
    </row>
    <row r="56092" ht="15.75" customHeight="1" spans="1:2">
      <c r="A56092" s="3" t="str">
        <f>IFERROR(__xludf.DUMMYFUNCTION("GOOGLETRANSLATE(A56092,""en"",""pt"")"),"iluminação traseira indiglo")</f>
        <v>iluminação traseira indiglo</v>
      </c>
      <c r="B56092" s="3">
        <v>1</v>
      </c>
    </row>
    <row r="56093" ht="15.75" customHeight="1" spans="1:2">
      <c r="A56093" s="3" t="str">
        <f>IFERROR(__xludf.DUMMYFUNCTION("GOOGLETRANSLATE(A56093,""en"",""pt"")"),"vida útil da bateria insano, gobs o' características, vista legal de telefone, muito mais")</f>
        <v>vida útil da bateria insano, gobs o' características, vista legal de telefone, muito mais</v>
      </c>
      <c r="B56093" s="3">
        <v>1</v>
      </c>
    </row>
    <row r="56094" ht="15.75" customHeight="1" spans="1:2">
      <c r="A56094" s="3" t="str">
        <f>IFERROR(__xludf.DUMMYFUNCTION("GOOGLETRANSLATE(A56094,""en"",""pt"")"),"Boa bateria e exibição agradável")</f>
        <v>Boa bateria e exibição agradável</v>
      </c>
      <c r="B56094" s="3">
        <v>1</v>
      </c>
    </row>
    <row r="56095" ht="15.75" customHeight="1" spans="1:2">
      <c r="A56095" s="3" t="str">
        <f>IFERROR(__xludf.DUMMYFUNCTION("GOOGLETRANSLATE(A56095,""en"",""pt"")"),"Novas características")</f>
        <v>Novas características</v>
      </c>
      <c r="B56095" s="3">
        <v>1</v>
      </c>
    </row>
    <row r="56096" ht="15.75" customHeight="1" spans="1:2">
      <c r="A56096" s="3" t="str">
        <f>IFERROR(__xludf.DUMMYFUNCTION("GOOGLETRANSLATE(A56096,""en"",""pt"")"),"Toneladas de recursos, internet wireless.")</f>
        <v>Toneladas de recursos, internet wireless.</v>
      </c>
      <c r="B56096" s="3">
        <v>1</v>
      </c>
    </row>
    <row r="56097" ht="15.75" customHeight="1" spans="1:2">
      <c r="A56097" s="3" t="str">
        <f>IFERROR(__xludf.DUMMYFUNCTION("GOOGLETRANSLATE(A56097,""en"",""pt"")"),"Viva-voz, brilhante tela, menus agradáveis. Escolha perfeita.")</f>
        <v>Viva-voz, brilhante tela, menus agradáveis. Escolha perfeita.</v>
      </c>
      <c r="B56097" s="3">
        <v>1</v>
      </c>
    </row>
    <row r="56098" ht="15.75" customHeight="1" spans="1:2">
      <c r="A56098" s="3" t="str">
        <f>IFERROR(__xludf.DUMMYFUNCTION("GOOGLETRANSLATE(A56098,""en"",""pt"")"),"Viva voz. Toneladas de recursos.")</f>
        <v>Viva voz. Toneladas de recursos.</v>
      </c>
      <c r="B56098" s="3">
        <v>1</v>
      </c>
    </row>
    <row r="56099" ht="15.75" customHeight="1" spans="1:2">
      <c r="A56099" s="3" t="str">
        <f>IFERROR(__xludf.DUMMYFUNCTION("GOOGLETRANSLATE(A56099,""en"",""pt"")"),"Excelente recepção! Grande orador do telefone! Muito claro e muito durável!")</f>
        <v>Excelente recepção! Grande orador do telefone! Muito claro e muito durável!</v>
      </c>
      <c r="B56099" s="3">
        <v>1</v>
      </c>
    </row>
    <row r="56100" ht="15.75" customHeight="1" spans="1:2">
      <c r="A56100" s="3" t="str">
        <f>IFERROR(__xludf.DUMMYFUNCTION("GOOGLETRANSLATE(A56100,""en"",""pt"")"),"telefone puro alto-falante, grandes botões, um som excelente, incrível vida útil da bateria.")</f>
        <v>telefone puro alto-falante, grandes botões, um som excelente, incrível vida útil da bateria.</v>
      </c>
      <c r="B56100" s="3">
        <v>1</v>
      </c>
    </row>
    <row r="56101" ht="15.75" customHeight="1" spans="1:2">
      <c r="A56101" s="3" t="str">
        <f>IFERROR(__xludf.DUMMYFUNCTION("GOOGLETRANSLATE(A56101,""en"",""pt"")"),"viva-voz, jogos, muitos anéis diferentes, calculadora, etc.")</f>
        <v>viva-voz, jogos, muitos anéis diferentes, calculadora, etc.</v>
      </c>
      <c r="B56101" s="3">
        <v>1</v>
      </c>
    </row>
    <row r="56102" ht="15.75" customHeight="1" spans="1:2">
      <c r="A56102" s="3" t="str">
        <f>IFERROR(__xludf.DUMMYFUNCTION("GOOGLETRANSLATE(A56102,""en"",""pt"")"),"clareza chamada, a duração da bateria, viva-voz, discagem por voz, internet")</f>
        <v>clareza chamada, a duração da bateria, viva-voz, discagem por voz, internet</v>
      </c>
      <c r="B56102" s="3">
        <v>1</v>
      </c>
    </row>
    <row r="56103" ht="15.75" customHeight="1" spans="1:2">
      <c r="A56103" s="3" t="str">
        <f>IFERROR(__xludf.DUMMYFUNCTION("GOOGLETRANSLATE(A56103,""en"",""pt"")"),"Excelente orador telefone, campainha de voz, toques")</f>
        <v>Excelente orador telefone, campainha de voz, toques</v>
      </c>
      <c r="B56103" s="3">
        <v>1</v>
      </c>
    </row>
    <row r="56104" ht="15.75" customHeight="1" spans="1:2">
      <c r="A56104" s="3" t="str">
        <f>IFERROR(__xludf.DUMMYFUNCTION("GOOGLETRANSLATE(A56104,""en"",""pt"")"),"Rico em recursos, facilidade de uso, duração da bateria")</f>
        <v>Rico em recursos, facilidade de uso, duração da bateria</v>
      </c>
      <c r="B56104" s="3">
        <v>1</v>
      </c>
    </row>
    <row r="56105" ht="15.75" customHeight="1" spans="1:2">
      <c r="A56105" s="3" t="str">
        <f>IFERROR(__xludf.DUMMYFUNCTION("GOOGLETRANSLATE(A56105,""en"",""pt"")"),"Tamanho &amp; amp; Tecnologia")</f>
        <v>Tamanho &amp; amp; Tecnologia</v>
      </c>
      <c r="B56105" s="3">
        <v>1</v>
      </c>
    </row>
    <row r="56106" ht="15.75" customHeight="1" spans="1:2">
      <c r="A56106" s="3" t="str">
        <f>IFERROR(__xludf.DUMMYFUNCTION("GOOGLETRANSLATE(A56106,""en"",""pt"")"),"grandes recursos")</f>
        <v>grandes recursos</v>
      </c>
      <c r="B56106" s="3">
        <v>1</v>
      </c>
    </row>
    <row r="56107" ht="15.75" customHeight="1" spans="1:2">
      <c r="A56107" s="3" t="str">
        <f>IFERROR(__xludf.DUMMYFUNCTION("GOOGLETRANSLATE(A56107,""en"",""pt"")"),"Tamanho, qualidade de som e aparência")</f>
        <v>Tamanho, qualidade de som e aparência</v>
      </c>
      <c r="B56107" s="3">
        <v>1</v>
      </c>
    </row>
    <row r="56108" ht="15.75" customHeight="1" spans="1:2">
      <c r="A56108" s="3" t="str">
        <f>IFERROR(__xludf.DUMMYFUNCTION("GOOGLETRANSLATE(A56108,""en"",""pt"")"),"Tem todas as características que você poderia querer.")</f>
        <v>Tem todas as características que você poderia querer.</v>
      </c>
      <c r="B56108" s="3">
        <v>1</v>
      </c>
    </row>
    <row r="56109" ht="15.75" customHeight="1" spans="1:2">
      <c r="A56109" s="3" t="str">
        <f>IFERROR(__xludf.DUMMYFUNCTION("GOOGLETRANSLATE(A56109,""en"",""pt"")"),"Sinos e assobios, bateria de longa duração, boa recepção")</f>
        <v>Sinos e assobios, bateria de longa duração, boa recepção</v>
      </c>
      <c r="B56109" s="3">
        <v>1</v>
      </c>
    </row>
    <row r="56110" ht="15.75" customHeight="1" spans="1:2">
      <c r="A56110" s="3" t="str">
        <f>IFERROR(__xludf.DUMMYFUNCTION("GOOGLETRANSLATE(A56110,""en"",""pt"")"),"Grande clareza, construído em viva-voz, parece afiada, fácil de usar, e muito legal")</f>
        <v>Grande clareza, construído em viva-voz, parece afiada, fácil de usar, e muito legal</v>
      </c>
      <c r="B56110" s="3">
        <v>1</v>
      </c>
    </row>
    <row r="56111" ht="15.75" customHeight="1" spans="1:2">
      <c r="A56111" s="3" t="str">
        <f>IFERROR(__xludf.DUMMYFUNCTION("GOOGLETRANSLATE(A56111,""en"",""pt"")"),",, Grande qualidade de som pequena luz")</f>
        <v>,, Grande qualidade de som pequena luz</v>
      </c>
      <c r="B56111" s="3">
        <v>1</v>
      </c>
    </row>
    <row r="56112" ht="15.75" customHeight="1" spans="1:2">
      <c r="A56112" s="3" t="str">
        <f>IFERROR(__xludf.DUMMYFUNCTION("GOOGLETRANSLATE(A56112,""en"",""pt"")"),"Bom som através do telefone")</f>
        <v>Bom som através do telefone</v>
      </c>
      <c r="B56112" s="3">
        <v>1</v>
      </c>
    </row>
    <row r="56113" ht="15.75" customHeight="1" spans="1:2">
      <c r="A56113" s="3" t="str">
        <f>IFERROR(__xludf.DUMMYFUNCTION("GOOGLETRANSLATE(A56113,""en"",""pt"")"),"Fácil de usar. Tamanho pequeno. Abundância de recursos")</f>
        <v>Fácil de usar. Tamanho pequeno. Abundância de recursos</v>
      </c>
      <c r="B56113" s="3">
        <v>1</v>
      </c>
    </row>
    <row r="56114" ht="15.75" customHeight="1" spans="1:2">
      <c r="A56114" s="3" t="str">
        <f>IFERROR(__xludf.DUMMYFUNCTION("GOOGLETRANSLATE(A56114,""en"",""pt"")"),"Limpar, sólidas, sem um telefone flip, características robustas, Web, telefone Spkr")</f>
        <v>Limpar, sólidas, sem um telefone flip, características robustas, Web, telefone Spkr</v>
      </c>
      <c r="B56114" s="3">
        <v>1</v>
      </c>
    </row>
    <row r="56115" ht="15.75" customHeight="1" spans="1:2">
      <c r="A56115" s="3" t="str">
        <f>IFERROR(__xludf.DUMMYFUNCTION("GOOGLETRANSLATE(A56115,""en"",""pt"")"),"Full Duplex orador do telefone (FUNCIONA!) Com um toque SPEAKER à ativação VOZ discagem ativada")</f>
        <v>Full Duplex orador do telefone (FUNCIONA!) Com um toque SPEAKER à ativação VOZ discagem ativada</v>
      </c>
      <c r="B56115" s="3">
        <v>1</v>
      </c>
    </row>
    <row r="56116" ht="15.75" customHeight="1" spans="1:2">
      <c r="A56116" s="3" t="str">
        <f>IFERROR(__xludf.DUMMYFUNCTION("GOOGLETRANSLATE(A56116,""en"",""pt"")"),"Boa tela, viva-voz, bateria de longa duração, muitos recursos.")</f>
        <v>Boa tela, viva-voz, bateria de longa duração, muitos recursos.</v>
      </c>
      <c r="B56116" s="3">
        <v>1</v>
      </c>
    </row>
    <row r="56117" ht="15.75" customHeight="1" spans="1:2">
      <c r="A56117" s="3" t="str">
        <f>IFERROR(__xludf.DUMMYFUNCTION("GOOGLETRANSLATE(A56117,""en"",""pt"")"),"Excelentes características. viva-voz quase perfeita. Durabilidade. A vida da bateria. fone de ouvido padrão.")</f>
        <v>Excelentes características. viva-voz quase perfeita. Durabilidade. A vida da bateria. fone de ouvido padrão.</v>
      </c>
      <c r="B56117" s="3">
        <v>1</v>
      </c>
    </row>
    <row r="56118" ht="15.75" customHeight="1" spans="1:2">
      <c r="A56118" s="3" t="str">
        <f>IFERROR(__xludf.DUMMYFUNCTION("GOOGLETRANSLATE(A56118,""en"",""pt"")"),"viva-voz, durável, a vida da bateria")</f>
        <v>viva-voz, durável, a vida da bateria</v>
      </c>
      <c r="B56118" s="3">
        <v>1</v>
      </c>
    </row>
    <row r="56119" ht="15.75" customHeight="1" spans="1:2">
      <c r="A56119" s="3" t="str">
        <f>IFERROR(__xludf.DUMMYFUNCTION("GOOGLETRANSLATE(A56119,""en"",""pt"")"),"Lotes das características promissor, mas ...")</f>
        <v>Lotes das características promissor, mas ...</v>
      </c>
      <c r="B56119" s="3">
        <v>1</v>
      </c>
    </row>
    <row r="56120" ht="15.75" customHeight="1" spans="1:2">
      <c r="A56120" s="3" t="str">
        <f>IFERROR(__xludf.DUMMYFUNCTION("GOOGLETRANSLATE(A56120,""en"",""pt"")"),"tudo é fácil de usar e os funtions são grandes")</f>
        <v>tudo é fácil de usar e os funtions são grandes</v>
      </c>
      <c r="B56120" s="3">
        <v>1</v>
      </c>
    </row>
    <row r="56121" ht="15.75" customHeight="1" spans="1:2">
      <c r="A56121" s="3" t="str">
        <f>IFERROR(__xludf.DUMMYFUNCTION("GOOGLETRANSLATE(A56121,""en"",""pt"")"),"resistente, menus, pesquisa lista telefónica")</f>
        <v>resistente, menus, pesquisa lista telefónica</v>
      </c>
      <c r="B56121" s="3">
        <v>1</v>
      </c>
    </row>
    <row r="56122" ht="15.75" customHeight="1" spans="1:2">
      <c r="A56122" s="3" t="str">
        <f>IFERROR(__xludf.DUMMYFUNCTION("GOOGLETRANSLATE(A56122,""en"",""pt"")"),"Muito elegante com características impressionantes. ecrã retroiluminado é bom.")</f>
        <v>Muito elegante com características impressionantes. ecrã retroiluminado é bom.</v>
      </c>
      <c r="B56122" s="3">
        <v>1</v>
      </c>
    </row>
    <row r="56123" ht="15.75" customHeight="1" spans="1:2">
      <c r="A56123" s="3" t="str">
        <f>IFERROR(__xludf.DUMMYFUNCTION("GOOGLETRANSLATE(A56123,""en"",""pt"")"),"Limpar conexão, bateria de longa duração, atraente.")</f>
        <v>Limpar conexão, bateria de longa duração, atraente.</v>
      </c>
      <c r="B56123" s="3">
        <v>1</v>
      </c>
    </row>
    <row r="56124" ht="15.75" customHeight="1" spans="1:2">
      <c r="A56124" s="3" t="str">
        <f>IFERROR(__xludf.DUMMYFUNCTION("GOOGLETRANSLATE(A56124,""en"",""pt"")"),"Rico em recursos &amp; # 13; &amp; # 10; Bastante durável &amp; # 13; &amp; # 10; Boa duração da bateria")</f>
        <v>Rico em recursos &amp; # 13; &amp; # 10; Bastante durável &amp; # 13; &amp; # 10; Boa duração da bateria</v>
      </c>
      <c r="B56124" s="3">
        <v>1</v>
      </c>
    </row>
    <row r="56125" ht="15.75" customHeight="1" spans="1:2">
      <c r="A56125" s="3" t="str">
        <f>IFERROR(__xludf.DUMMYFUNCTION("GOOGLETRANSLATE(A56125,""en"",""pt"")"),"tamanho perfeito para um telefone não-flip. Menu fácil de navegar. Grande orador telefone.")</f>
        <v>tamanho perfeito para um telefone não-flip. Menu fácil de navegar. Grande orador telefone.</v>
      </c>
      <c r="B56125" s="3">
        <v>1</v>
      </c>
    </row>
    <row r="56126" ht="15.75" customHeight="1" spans="1:2">
      <c r="A56126" s="3" t="str">
        <f>IFERROR(__xludf.DUMMYFUNCTION("GOOGLETRANSLATE(A56126,""en"",""pt"")"),"carregado com funções, campainha voz e vida útil da bateria")</f>
        <v>carregado com funções, campainha voz e vida útil da bateria</v>
      </c>
      <c r="B56126" s="3">
        <v>1</v>
      </c>
    </row>
    <row r="56127" ht="15.75" customHeight="1" spans="1:2">
      <c r="A56127" s="3" t="str">
        <f>IFERROR(__xludf.DUMMYFUNCTION("GOOGLETRANSLATE(A56127,""en"",""pt"")"),"Brilhante luz de fundo, recepção, viva-voz, excelente qualidade e confiável")</f>
        <v>Brilhante luz de fundo, recepção, viva-voz, excelente qualidade e confiável</v>
      </c>
      <c r="B56127" s="3">
        <v>1</v>
      </c>
    </row>
    <row r="56128" ht="15.75" customHeight="1" spans="1:2">
      <c r="A56128" s="3" t="str">
        <f>IFERROR(__xludf.DUMMYFUNCTION("GOOGLETRANSLATE(A56128,""en"",""pt"")"),"viva-voz, a qualidade do som")</f>
        <v>viva-voz, a qualidade do som</v>
      </c>
      <c r="B56128" s="3">
        <v>1</v>
      </c>
    </row>
    <row r="56129" ht="15.75" customHeight="1" spans="1:2">
      <c r="A56129" s="3" t="str">
        <f>IFERROR(__xludf.DUMMYFUNCTION("GOOGLETRANSLATE(A56129,""en"",""pt"")"),"Forte construção, durável, tem todas as guloseimas")</f>
        <v>Forte construção, durável, tem todas as guloseimas</v>
      </c>
      <c r="B56129" s="3">
        <v>1</v>
      </c>
    </row>
    <row r="56130" ht="15.75" customHeight="1" spans="1:2">
      <c r="A56130" s="3" t="str">
        <f>IFERROR(__xludf.DUMMYFUNCTION("GOOGLETRANSLATE(A56130,""en"",""pt"")"),"Pequeno, bateria de longa duração, muitos recursos")</f>
        <v>Pequeno, bateria de longa duração, muitos recursos</v>
      </c>
      <c r="B56130" s="3">
        <v>1</v>
      </c>
    </row>
    <row r="56131" ht="15.75" customHeight="1" spans="1:2">
      <c r="A56131" s="3" t="str">
        <f>IFERROR(__xludf.DUMMYFUNCTION("GOOGLETRANSLATE(A56131,""en"",""pt"")"),"campainha Vibrar, discagem por voz, viva-voz, a qualidade da chamada, tamanho compacto, a vida da bateria, internet sem fio.")</f>
        <v>campainha Vibrar, discagem por voz, viva-voz, a qualidade da chamada, tamanho compacto, a vida da bateria, internet sem fio.</v>
      </c>
      <c r="B56131" s="3">
        <v>1</v>
      </c>
    </row>
    <row r="56132" ht="15.75" customHeight="1" spans="1:2">
      <c r="A56132" s="3" t="str">
        <f>IFERROR(__xludf.DUMMYFUNCTION("GOOGLETRANSLATE(A56132,""en"",""pt"")"),"olha grande, magro e estilista!")</f>
        <v>olha grande, magro e estilista!</v>
      </c>
      <c r="B56132" s="3">
        <v>1</v>
      </c>
    </row>
    <row r="56133" ht="15.75" customHeight="1" spans="1:2">
      <c r="A56133" s="3" t="str">
        <f>IFERROR(__xludf.DUMMYFUNCTION("GOOGLETRANSLATE(A56133,""en"",""pt"")"),"Muitas, muitas características &amp; # 13; &amp; # 10; chamada grande qualidade")</f>
        <v>Muitas, muitas características &amp; # 13; &amp; # 10; chamada grande qualidade</v>
      </c>
      <c r="B56133" s="3">
        <v>1</v>
      </c>
    </row>
    <row r="56134" ht="15.75" customHeight="1" spans="1:2">
      <c r="A56134" s="3" t="str">
        <f>IFERROR(__xludf.DUMMYFUNCTION("GOOGLETRANSLATE(A56134,""en"",""pt"")"),"Viva-voz, Cool Tela Indiglo, discagem por voz, Web Access")</f>
        <v>Viva-voz, Cool Tela Indiglo, discagem por voz, Web Access</v>
      </c>
      <c r="B56134" s="3">
        <v>1</v>
      </c>
    </row>
    <row r="56135" ht="15.75" customHeight="1" spans="1:2">
      <c r="A56135" s="3" t="str">
        <f>IFERROR(__xludf.DUMMYFUNCTION("GOOGLETRANSLATE(A56135,""en"",""pt"")"),"Extremamente prático, mas muito legal!")</f>
        <v>Extremamente prático, mas muito legal!</v>
      </c>
      <c r="B56135" s="3">
        <v>1</v>
      </c>
    </row>
    <row r="56136" ht="15.75" customHeight="1" spans="1:2">
      <c r="A56136" s="3" t="str">
        <f>IFERROR(__xludf.DUMMYFUNCTION("GOOGLETRANSLATE(A56136,""en"",""pt"")"),"A melhor Phone Out lá tão longe!")</f>
        <v>A melhor Phone Out lá tão longe!</v>
      </c>
      <c r="B56136" s="3">
        <v>1</v>
      </c>
    </row>
    <row r="56137" ht="15.75" customHeight="1" spans="1:2">
      <c r="A56137" s="3" t="str">
        <f>IFERROR(__xludf.DUMMYFUNCTION("GOOGLETRANSLATE(A56137,""en"",""pt"")"),"Crisp e voz clara, cargas de recursos, tela super, ele fala para mim!")</f>
        <v>Crisp e voz clara, cargas de recursos, tela super, ele fala para mim!</v>
      </c>
      <c r="B56137" s="3">
        <v>1</v>
      </c>
    </row>
    <row r="56138" ht="15.75" customHeight="1" spans="1:2">
      <c r="A56138" s="3" t="str">
        <f>IFERROR(__xludf.DUMMYFUNCTION("GOOGLETRANSLATE(A56138,""en"",""pt"")"),"Bateria dura para sempre. Pode fazer tudo, exceto a dos pratos.")</f>
        <v>Bateria dura para sempre. Pode fazer tudo, exceto a dos pratos.</v>
      </c>
      <c r="B56138" s="3">
        <v>1</v>
      </c>
    </row>
    <row r="56139" ht="15.75" customHeight="1" spans="1:2">
      <c r="A56139" s="3" t="str">
        <f>IFERROR(__xludf.DUMMYFUNCTION("GOOGLETRANSLATE(A56139,""en"",""pt"")"),"peso leve, durável, pequena.")</f>
        <v>peso leve, durável, pequena.</v>
      </c>
      <c r="B56139" s="3">
        <v>1</v>
      </c>
    </row>
    <row r="56140" ht="15.75" customHeight="1" spans="1:2">
      <c r="A56140" s="3" t="str">
        <f>IFERROR(__xludf.DUMMYFUNCTION("GOOGLETRANSLATE(A56140,""en"",""pt"")"),"Características, iluminação, durabilidade, fácil de usar")</f>
        <v>Características, iluminação, durabilidade, fácil de usar</v>
      </c>
      <c r="B56140" s="3">
        <v>1</v>
      </c>
    </row>
    <row r="56141" ht="15.75" customHeight="1" spans="1:2">
      <c r="A56141" s="3" t="str">
        <f>IFERROR(__xludf.DUMMYFUNCTION("GOOGLETRANSLATE(A56141,""en"",""pt"")"),"Básico telefone bem funcionou para .... $ 7,00! Sim $ 7,00")</f>
        <v>Básico telefone bem funcionou para .... $ 7,00! Sim $ 7,00</v>
      </c>
      <c r="B56141" s="3">
        <v>1</v>
      </c>
    </row>
    <row r="56142" ht="15.75" customHeight="1" spans="1:2">
      <c r="A56142" s="3" t="str">
        <f>IFERROR(__xludf.DUMMYFUNCTION("GOOGLETRANSLATE(A56142,""en"",""pt"")"),"Grande telefone, Speakerphone é muito útil")</f>
        <v>Grande telefone, Speakerphone é muito útil</v>
      </c>
      <c r="B56142" s="3">
        <v>1</v>
      </c>
    </row>
    <row r="56143" ht="15.75" customHeight="1" spans="1:2">
      <c r="A56143" s="3" t="str">
        <f>IFERROR(__xludf.DUMMYFUNCTION("GOOGLETRANSLATE(A56143,""en"",""pt"")"),"Claro, fácil e maravilhosa")</f>
        <v>Claro, fácil e maravilhosa</v>
      </c>
      <c r="B56143" s="3">
        <v>1</v>
      </c>
    </row>
    <row r="56144" ht="15.75" customHeight="1" spans="1:2">
      <c r="A56144" s="3" t="str">
        <f>IFERROR(__xludf.DUMMYFUNCTION("GOOGLETRANSLATE(A56144,""en"",""pt"")"),"design atraente")</f>
        <v>design atraente</v>
      </c>
      <c r="B56144" s="3">
        <v>1</v>
      </c>
    </row>
    <row r="56145" ht="15.75" customHeight="1" spans="1:2">
      <c r="A56145" s="3" t="str">
        <f>IFERROR(__xludf.DUMMYFUNCTION("GOOGLETRANSLATE(A56145,""en"",""pt"")"),"tela grande, menus fáceis, bom sinal")</f>
        <v>tela grande, menus fáceis, bom sinal</v>
      </c>
      <c r="B56145" s="3">
        <v>1</v>
      </c>
    </row>
    <row r="56146" ht="15.75" customHeight="1" spans="1:2">
      <c r="A56146" s="3" t="str">
        <f>IFERROR(__xludf.DUMMYFUNCTION("GOOGLETRANSLATE(A56146,""en"",""pt"")"),"Durável, pode ser descartado &amp; # 13;. &amp; # 10; impressionante alto-falante, som excelente &amp; # 13;. &amp; # 10; Boa recepção &amp; # 13;. &amp; # 10; boa colocação botão.")</f>
        <v>Durável, pode ser descartado &amp; # 13;. &amp; # 10; impressionante alto-falante, som excelente &amp; # 13;. &amp; # 10; Boa recepção &amp; # 13;. &amp; # 10; boa colocação botão.</v>
      </c>
      <c r="B56146" s="3">
        <v>1</v>
      </c>
    </row>
    <row r="56147" ht="15.75" customHeight="1" spans="1:2">
      <c r="A56147" s="3" t="str">
        <f>IFERROR(__xludf.DUMMYFUNCTION("GOOGLETRANSLATE(A56147,""en"",""pt"")"),"Compacto, Indiglo, Característica Evironment")</f>
        <v>Compacto, Indiglo, Característica Evironment</v>
      </c>
      <c r="B56147" s="3">
        <v>1</v>
      </c>
    </row>
    <row r="56148" ht="15.75" customHeight="1" spans="1:2">
      <c r="A56148" s="3" t="str">
        <f>IFERROR(__xludf.DUMMYFUNCTION("GOOGLETRANSLATE(A56148,""en"",""pt"")"),"Divertido enquanto dura, até que você solte-o muitas vezes")</f>
        <v>Divertido enquanto dura, até que você solte-o muitas vezes</v>
      </c>
      <c r="B56148" s="3">
        <v>1</v>
      </c>
    </row>
    <row r="56149" ht="15.75" customHeight="1" spans="1:2">
      <c r="A56149" s="3" t="str">
        <f>IFERROR(__xludf.DUMMYFUNCTION("GOOGLETRANSLATE(A56149,""en"",""pt"")"),"Compacto, Indiglo, Característica Evironment")</f>
        <v>Compacto, Indiglo, Característica Evironment</v>
      </c>
      <c r="B56149" s="3">
        <v>1</v>
      </c>
    </row>
    <row r="56150" ht="15.75" customHeight="1" spans="1:2">
      <c r="A56150" s="3" t="str">
        <f>IFERROR(__xludf.DUMMYFUNCTION("GOOGLETRANSLATE(A56150,""en"",""pt"")"),"Telefone agradável, fácil de usar, boa recepção")</f>
        <v>Telefone agradável, fácil de usar, boa recepção</v>
      </c>
      <c r="B56150" s="3">
        <v>1</v>
      </c>
    </row>
    <row r="56151" ht="15.75" customHeight="1" spans="1:2">
      <c r="A56151" s="3" t="str">
        <f>IFERROR(__xludf.DUMMYFUNCTION("GOOGLETRANSLATE(A56151,""en"",""pt"")"),"Viva-voz, discagem por voz, arrefecer luz azul.")</f>
        <v>Viva-voz, discagem por voz, arrefecer luz azul.</v>
      </c>
      <c r="B56151" s="3">
        <v>1</v>
      </c>
    </row>
    <row r="56152" ht="15.75" customHeight="1" spans="1:2">
      <c r="A56152" s="3" t="str">
        <f>IFERROR(__xludf.DUMMYFUNCTION("GOOGLETRANSLATE(A56152,""en"",""pt"")"),"Tamanho, viva-voz, Qualidade")</f>
        <v>Tamanho, viva-voz, Qualidade</v>
      </c>
      <c r="B56152" s="3">
        <v>1</v>
      </c>
    </row>
    <row r="56153" ht="15.75" customHeight="1" spans="1:2">
      <c r="A56153" s="3" t="str">
        <f>IFERROR(__xludf.DUMMYFUNCTION("GOOGLETRANSLATE(A56153,""en"",""pt"")"),"Grande autonomia da bateria, grande recepção, boas características.")</f>
        <v>Grande autonomia da bateria, grande recepção, boas características.</v>
      </c>
      <c r="B56153" s="3">
        <v>1</v>
      </c>
    </row>
    <row r="56154" ht="15.75" customHeight="1" spans="1:2">
      <c r="A56154" s="3" t="str">
        <f>IFERROR(__xludf.DUMMYFUNCTION("GOOGLETRANSLATE(A56154,""en"",""pt"")"),"Este é o telefone celular para ter para aqueles em fuga.")</f>
        <v>Este é o telefone celular para ter para aqueles em fuga.</v>
      </c>
      <c r="B56154" s="3">
        <v>1</v>
      </c>
    </row>
    <row r="56155" ht="15.75" customHeight="1" spans="1:2">
      <c r="A56155" s="3" t="str">
        <f>IFERROR(__xludf.DUMMYFUNCTION("GOOGLETRANSLATE(A56155,""en"",""pt"")"),"Voz vocação e promting, peso leve e parece durável")</f>
        <v>Voz vocação e promting, peso leve e parece durável</v>
      </c>
      <c r="B56155" s="3">
        <v>1</v>
      </c>
    </row>
    <row r="56156" ht="15.75" customHeight="1" spans="1:2">
      <c r="A56156" s="3" t="str">
        <f>IFERROR(__xludf.DUMMYFUNCTION("GOOGLETRANSLATE(A56156,""en"",""pt"")"),"Grande telefone, super grande opções vale a compra")</f>
        <v>Grande telefone, super grande opções vale a compra</v>
      </c>
      <c r="B56156" s="3">
        <v>1</v>
      </c>
    </row>
    <row r="56157" ht="15.75" customHeight="1" spans="1:2">
      <c r="A56157" s="3" t="str">
        <f>IFERROR(__xludf.DUMMYFUNCTION("GOOGLETRANSLATE(A56157,""en"",""pt"")"),"veja a revisão")</f>
        <v>veja a revisão</v>
      </c>
      <c r="B56157" s="3">
        <v>1</v>
      </c>
    </row>
    <row r="56158" ht="15.75" customHeight="1" spans="1:2">
      <c r="A56158" s="3" t="str">
        <f>IFERROR(__xludf.DUMMYFUNCTION("GOOGLETRANSLATE(A56158,""en"",""pt"")"),"Bateria, Ergonomia")</f>
        <v>Bateria, Ergonomia</v>
      </c>
      <c r="B56158" s="3">
        <v>1</v>
      </c>
    </row>
    <row r="56159" ht="15.75" customHeight="1" spans="1:2">
      <c r="A56159" s="3" t="str">
        <f>IFERROR(__xludf.DUMMYFUNCTION("GOOGLETRANSLATE(A56159,""en"",""pt"")"),"Grande telefone!")</f>
        <v>Grande telefone!</v>
      </c>
      <c r="B56159" s="3">
        <v>1</v>
      </c>
    </row>
    <row r="56160" ht="15.75" customHeight="1" spans="1:2">
      <c r="A56160" s="3" t="str">
        <f>IFERROR(__xludf.DUMMYFUNCTION("GOOGLETRANSLATE(A56160,""en"",""pt"")"),"facilidade de uso e características agradáveis")</f>
        <v>facilidade de uso e características agradáveis</v>
      </c>
      <c r="B56160" s="3">
        <v>1</v>
      </c>
    </row>
    <row r="56161" ht="15.75" customHeight="1" spans="1:2">
      <c r="A56161" s="3" t="str">
        <f>IFERROR(__xludf.DUMMYFUNCTION("GOOGLETRANSLATE(A56161,""en"",""pt"")"),"Muitos para listar")</f>
        <v>Muitos para listar</v>
      </c>
      <c r="B56161" s="3">
        <v>1</v>
      </c>
    </row>
    <row r="56162" ht="15.75" customHeight="1" spans="1:2">
      <c r="A56162" s="3" t="str">
        <f>IFERROR(__xludf.DUMMYFUNCTION("GOOGLETRANSLATE(A56162,""en"",""pt"")"),"Uau, por onde começar? Clareza, funcionalidade, Bluetooth, IR, vida útil da bateria superior.")</f>
        <v>Uau, por onde começar? Clareza, funcionalidade, Bluetooth, IR, vida útil da bateria superior.</v>
      </c>
      <c r="B56162" s="3">
        <v>1</v>
      </c>
    </row>
    <row r="56163" ht="15.75" customHeight="1" spans="1:2">
      <c r="A56163" s="3" t="str">
        <f>IFERROR(__xludf.DUMMYFUNCTION("GOOGLETRANSLATE(A56163,""en"",""pt"")"),"Toneladas de grandes recursos, fácil de usar, Bluetooth, qualidade de som, a vida da bateria")</f>
        <v>Toneladas de grandes recursos, fácil de usar, Bluetooth, qualidade de som, a vida da bateria</v>
      </c>
      <c r="B56163" s="3">
        <v>1</v>
      </c>
    </row>
    <row r="56164" ht="15.75" customHeight="1" spans="1:2">
      <c r="A56164" s="3" t="str">
        <f>IFERROR(__xludf.DUMMYFUNCTION("GOOGLETRANSLATE(A56164,""en"",""pt"")"),"Um telefone fantástico. Amo cada minuto dela. Simples, mas cheio de uma só vez.")</f>
        <v>Um telefone fantástico. Amo cada minuto dela. Simples, mas cheio de uma só vez.</v>
      </c>
      <c r="B56164" s="3">
        <v>1</v>
      </c>
    </row>
    <row r="56165" ht="15.75" customHeight="1" spans="1:2">
      <c r="A56165" s="3" t="str">
        <f>IFERROR(__xludf.DUMMYFUNCTION("GOOGLETRANSLATE(A56165,""en"",""pt"")"),"Simples. Poderoso.")</f>
        <v>Simples. Poderoso.</v>
      </c>
      <c r="B56165" s="3">
        <v>1</v>
      </c>
    </row>
    <row r="56166" ht="15.75" customHeight="1" spans="1:2">
      <c r="A56166" s="3" t="str">
        <f>IFERROR(__xludf.DUMMYFUNCTION("GOOGLETRANSLATE(A56166,""en"",""pt"")"),"Standby, Bluetooth, GPRS, peso, tudo o resto")</f>
        <v>Standby, Bluetooth, GPRS, peso, tudo o resto</v>
      </c>
      <c r="B56166" s="3">
        <v>1</v>
      </c>
    </row>
    <row r="56167" ht="15.75" customHeight="1" spans="1:2">
      <c r="A56167" s="3" t="str">
        <f>IFERROR(__xludf.DUMMYFUNCTION("GOOGLETRANSLATE(A56167,""en"",""pt"")"),"durável, robusto, rico em recursos, padrão-ouro.")</f>
        <v>durável, robusto, rico em recursos, padrão-ouro.</v>
      </c>
      <c r="B56167" s="3">
        <v>1</v>
      </c>
    </row>
    <row r="56168" ht="15.75" customHeight="1" spans="1:2">
      <c r="A56168" s="3" t="str">
        <f>IFERROR(__xludf.DUMMYFUNCTION("GOOGLETRANSLATE(A56168,""en"",""pt"")"),"* Excelente * A vida útil da bateria, leve, dimensionado de forma sensata, sistema de menu fácil, java")</f>
        <v>* Excelente * A vida útil da bateria, leve, dimensionado de forma sensata, sistema de menu fácil, java</v>
      </c>
      <c r="B56168" s="3">
        <v>1</v>
      </c>
    </row>
    <row r="56169" ht="15.75" customHeight="1" spans="1:2">
      <c r="A56169" s="3" t="str">
        <f>IFERROR(__xludf.DUMMYFUNCTION("GOOGLETRANSLATE(A56169,""en"",""pt"")"),"Tela Azul Excelente qualidade de voz, Flexible.GPRS, Bluetooth e Software")</f>
        <v>Tela Azul Excelente qualidade de voz, Flexible.GPRS, Bluetooth e Software</v>
      </c>
      <c r="B56169" s="3">
        <v>1</v>
      </c>
    </row>
    <row r="56170" ht="15.75" customHeight="1" spans="1:2">
      <c r="A56170" s="3" t="str">
        <f>IFERROR(__xludf.DUMMYFUNCTION("GOOGLETRANSLATE(A56170,""en"",""pt"")"),"A vida da bateria, usabilidade, som")</f>
        <v>A vida da bateria, usabilidade, som</v>
      </c>
      <c r="B56170" s="3">
        <v>1</v>
      </c>
    </row>
    <row r="56171" ht="15.75" customHeight="1" spans="1:2">
      <c r="A56171" s="3" t="str">
        <f>IFERROR(__xludf.DUMMYFUNCTION("GOOGLETRANSLATE(A56171,""en"",""pt"")"),"GPRS, Bluetooth, capacidade de carregar programas em Java, grande recepção e vida útil da bateria, bom menu, sólida")</f>
        <v>GPRS, Bluetooth, capacidade de carregar programas em Java, grande recepção e vida útil da bateria, bom menu, sólida</v>
      </c>
      <c r="B56171" s="3">
        <v>1</v>
      </c>
    </row>
    <row r="56172" ht="15.75" customHeight="1" spans="1:2">
      <c r="A56172" s="3" t="str">
        <f>IFERROR(__xludf.DUMMYFUNCTION("GOOGLETRANSLATE(A56172,""en"",""pt"")"),"Confiável, luz, longo tempo de bateria")</f>
        <v>Confiável, luz, longo tempo de bateria</v>
      </c>
      <c r="B56172" s="3">
        <v>1</v>
      </c>
    </row>
    <row r="56173" ht="15.75" customHeight="1" spans="1:2">
      <c r="A56173" s="3" t="str">
        <f>IFERROR(__xludf.DUMMYFUNCTION("GOOGLETRANSLATE(A56173,""en"",""pt"")"),"Durabilidade, tamanho, menus")</f>
        <v>Durabilidade, tamanho, menus</v>
      </c>
      <c r="B56173" s="3">
        <v>1</v>
      </c>
    </row>
    <row r="56174" ht="15.75" customHeight="1" spans="1:2">
      <c r="A56174" s="3" t="str">
        <f>IFERROR(__xludf.DUMMYFUNCTION("GOOGLETRANSLATE(A56174,""en"",""pt"")"),"robusto")</f>
        <v>robusto</v>
      </c>
      <c r="B56174" s="3">
        <v>1</v>
      </c>
    </row>
    <row r="56175" ht="15.75" customHeight="1" spans="1:2">
      <c r="A56175" s="3" t="str">
        <f>IFERROR(__xludf.DUMMYFUNCTION("GOOGLETRANSLATE(A56175,""en"",""pt"")"),"Boa duração da bateria, teclas agradáveis, bluetooth")</f>
        <v>Boa duração da bateria, teclas agradáveis, bluetooth</v>
      </c>
      <c r="B56175" s="3">
        <v>1</v>
      </c>
    </row>
    <row r="56176" ht="15.75" customHeight="1" spans="1:2">
      <c r="A56176" s="3" t="str">
        <f>IFERROR(__xludf.DUMMYFUNCTION("GOOGLETRANSLATE(A56176,""en"",""pt"")"),"GSM e TDMA.")</f>
        <v>GSM e TDMA.</v>
      </c>
      <c r="B56176" s="3">
        <v>1</v>
      </c>
    </row>
    <row r="56177" ht="15.75" customHeight="1" spans="1:2">
      <c r="A56177" s="3" t="str">
        <f>IFERROR(__xludf.DUMMYFUNCTION("GOOGLETRANSLATE(A56177,""en"",""pt"")"),"interface, compatibilidade com modelos anteriores")</f>
        <v>interface, compatibilidade com modelos anteriores</v>
      </c>
      <c r="B56177" s="3">
        <v>1</v>
      </c>
    </row>
    <row r="56178" ht="15.75" customHeight="1" spans="1:2">
      <c r="A56178" s="3" t="str">
        <f>IFERROR(__xludf.DUMMYFUNCTION("GOOGLETRANSLATE(A56178,""en"",""pt"")"),"Pequeno, leve, tira fotos, bom som, grandes funções, jogos.")</f>
        <v>Pequeno, leve, tira fotos, bom som, grandes funções, jogos.</v>
      </c>
      <c r="B56178" s="3">
        <v>1</v>
      </c>
    </row>
    <row r="56179" ht="15.75" customHeight="1" spans="1:2">
      <c r="A56179" s="3" t="str">
        <f>IFERROR(__xludf.DUMMYFUNCTION("GOOGLETRANSLATE(A56179,""en"",""pt"")"),"brilhante exibição principal, um bom design e estilo, câmera giratória conveniente, layout intuitivo.")</f>
        <v>brilhante exibição principal, um bom design e estilo, câmera giratória conveniente, layout intuitivo.</v>
      </c>
      <c r="B56179" s="3">
        <v>1</v>
      </c>
    </row>
    <row r="56180" ht="15.75" customHeight="1" spans="1:2">
      <c r="A56180" s="3" t="str">
        <f>IFERROR(__xludf.DUMMYFUNCTION("GOOGLETRANSLATE(A56180,""en"",""pt"")"),"grande tela clara")</f>
        <v>grande tela clara</v>
      </c>
      <c r="B56180" s="3">
        <v>1</v>
      </c>
    </row>
    <row r="56181" ht="15.75" customHeight="1" spans="1:2">
      <c r="A56181" s="3" t="str">
        <f>IFERROR(__xludf.DUMMYFUNCTION("GOOGLETRANSLATE(A56181,""en"",""pt"")"),"Câmera, câmera, câmera. Variedade de recursos, menus sensíveis, sensação de solidez, eu mencionei a câmera?")</f>
        <v>Câmera, câmera, câmera. Variedade de recursos, menus sensíveis, sensação de solidez, eu mencionei a câmera?</v>
      </c>
      <c r="B56181" s="3">
        <v>1</v>
      </c>
    </row>
    <row r="56182" ht="15.75" customHeight="1" spans="1:2">
      <c r="A56182" s="3" t="str">
        <f>IFERROR(__xludf.DUMMYFUNCTION("GOOGLETRANSLATE(A56182,""en"",""pt"")"),"Grande clareza, fácil de usar, câmera legal, grandes toques sonantes, grande tela de 65.000 cores.")</f>
        <v>Grande clareza, fácil de usar, câmera legal, grandes toques sonantes, grande tela de 65.000 cores.</v>
      </c>
      <c r="B56182" s="3">
        <v>1</v>
      </c>
    </row>
    <row r="56183" ht="15.75" customHeight="1" spans="1:2">
      <c r="A56183" s="3" t="str">
        <f>IFERROR(__xludf.DUMMYFUNCTION("GOOGLETRANSLATE(A56183,""en"",""pt"")"),"Um excelente telefone embalado com o que o usuário precisa de um telefone móvel.")</f>
        <v>Um excelente telefone embalado com o que o usuário precisa de um telefone móvel.</v>
      </c>
      <c r="B56183" s="3">
        <v>1</v>
      </c>
    </row>
    <row r="56184" ht="15.75" customHeight="1" spans="1:2">
      <c r="A56184" s="3" t="str">
        <f>IFERROR(__xludf.DUMMYFUNCTION("GOOGLETRANSLATE(A56184,""en"",""pt"")"),"Built-in câmera digital, 65.000 cores TFD exibição principal, t-zonas internet, modelos SMS capazes")</f>
        <v>Built-in câmera digital, 65.000 cores TFD exibição principal, t-zonas internet, modelos SMS capazes</v>
      </c>
      <c r="B56184" s="3">
        <v>1</v>
      </c>
    </row>
    <row r="56185" ht="15.75" customHeight="1" spans="1:2">
      <c r="A56185" s="3" t="str">
        <f>IFERROR(__xludf.DUMMYFUNCTION("GOOGLETRANSLATE(A56185,""en"",""pt"")"),"LCD a cores, telefone de imagem, 40 toques polifônicos")</f>
        <v>LCD a cores, telefone de imagem, 40 toques polifônicos</v>
      </c>
      <c r="B56185" s="3">
        <v>1</v>
      </c>
    </row>
    <row r="56186" ht="15.75" customHeight="1" spans="1:2">
      <c r="A56186" s="3" t="str">
        <f>IFERROR(__xludf.DUMMYFUNCTION("GOOGLETRANSLATE(A56186,""en"",""pt"")"),"Luz e elegante, construído em câmera, cor e um telefone todo o mundo!")</f>
        <v>Luz e elegante, construído em câmera, cor e um telefone todo o mundo!</v>
      </c>
      <c r="B56186" s="3">
        <v>1</v>
      </c>
    </row>
    <row r="56187" ht="15.75" customHeight="1" spans="1:2">
      <c r="A56187" s="3" t="str">
        <f>IFERROR(__xludf.DUMMYFUNCTION("GOOGLETRANSLATE(A56187,""en"",""pt"")"),"construção sólida, muito confiável, possui carga bem, câmera à mão, fácil de usar.")</f>
        <v>construção sólida, muito confiável, possui carga bem, câmera à mão, fácil de usar.</v>
      </c>
      <c r="B56187" s="3">
        <v>1</v>
      </c>
    </row>
    <row r="56188" ht="15.75" customHeight="1" spans="1:2">
      <c r="A56188" s="3" t="str">
        <f>IFERROR(__xludf.DUMMYFUNCTION("GOOGLETRANSLATE(A56188,""en"",""pt"")"),"próxima melhor coisa para um olhar fresco telefone celular não-expostas ao teclado")</f>
        <v>próxima melhor coisa para um olhar fresco telefone celular não-expostas ao teclado</v>
      </c>
      <c r="B56188" s="3">
        <v>1</v>
      </c>
    </row>
    <row r="56189" ht="15.75" customHeight="1" spans="1:2">
      <c r="A56189" s="3" t="str">
        <f>IFERROR(__xludf.DUMMYFUNCTION("GOOGLETRANSLATE(A56189,""en"",""pt"")"),"Muito pequeno, leve, câmera é built-in.")</f>
        <v>Muito pequeno, leve, câmera é built-in.</v>
      </c>
      <c r="B56189" s="3">
        <v>1</v>
      </c>
    </row>
    <row r="56190" ht="15.75" customHeight="1" spans="1:2">
      <c r="A56190" s="3" t="str">
        <f>IFERROR(__xludf.DUMMYFUNCTION("GOOGLETRANSLATE(A56190,""en"",""pt"")"),"Sente, toques agradáveis ​​sólidos, tela brilhante.")</f>
        <v>Sente, toques agradáveis ​​sólidos, tela brilhante.</v>
      </c>
      <c r="B56190" s="3">
        <v>1</v>
      </c>
    </row>
    <row r="56191" ht="15.75" customHeight="1" spans="1:2">
      <c r="A56191" s="3" t="str">
        <f>IFERROR(__xludf.DUMMYFUNCTION("GOOGLETRANSLATE(A56191,""en"",""pt"")"),"Muito atraente, toques polifónicos, fácil de usar")</f>
        <v>Muito atraente, toques polifónicos, fácil de usar</v>
      </c>
      <c r="B56191" s="3">
        <v>1</v>
      </c>
    </row>
    <row r="56192" ht="15.75" customHeight="1" spans="1:2">
      <c r="A56192" s="3" t="str">
        <f>IFERROR(__xludf.DUMMYFUNCTION("GOOGLETRANSLATE(A56192,""en"",""pt"")"),"Peso / forma equilibrada. LCD Superior. Utilizável (não junk) Características. Conectividade versátil.")</f>
        <v>Peso / forma equilibrada. LCD Superior. Utilizável (não junk) Características. Conectividade versátil.</v>
      </c>
      <c r="B56192" s="3">
        <v>1</v>
      </c>
    </row>
    <row r="56193" ht="15.75" customHeight="1" spans="1:2">
      <c r="A56193" s="3" t="str">
        <f>IFERROR(__xludf.DUMMYFUNCTION("GOOGLETRANSLATE(A56193,""en"",""pt"")"),"Lightweight, as imagens são decente.")</f>
        <v>Lightweight, as imagens são decente.</v>
      </c>
      <c r="B56193" s="3">
        <v>1</v>
      </c>
    </row>
    <row r="56194" ht="15.75" customHeight="1" spans="1:2">
      <c r="A56194" s="3" t="str">
        <f>IFERROR(__xludf.DUMMYFUNCTION("GOOGLETRANSLATE(A56194,""en"",""pt"")"),"Clareza, ringtones, telefone acoplado, peso, tamanho, vida útil da bateria.")</f>
        <v>Clareza, ringtones, telefone acoplado, peso, tamanho, vida útil da bateria.</v>
      </c>
      <c r="B56194" s="3">
        <v>1</v>
      </c>
    </row>
    <row r="56195" ht="15.75" customHeight="1" spans="1:2">
      <c r="A56195" s="3" t="str">
        <f>IFERROR(__xludf.DUMMYFUNCTION("GOOGLETRANSLATE(A56195,""en"",""pt"")"),"projeto fresco e boa qualidade de som em polyphonics (MMF).")</f>
        <v>projeto fresco e boa qualidade de som em polyphonics (MMF).</v>
      </c>
      <c r="B56195" s="3">
        <v>1</v>
      </c>
    </row>
    <row r="56196" ht="15.75" customHeight="1" spans="1:2">
      <c r="A56196" s="3" t="str">
        <f>IFERROR(__xludf.DUMMYFUNCTION("GOOGLETRANSLATE(A56196,""en"",""pt"")"),"compacta ... clareza ...")</f>
        <v>compacta ... clareza ...</v>
      </c>
      <c r="B56196" s="3">
        <v>1</v>
      </c>
    </row>
    <row r="56197" ht="15.75" customHeight="1" spans="1:2">
      <c r="A56197" s="3" t="str">
        <f>IFERROR(__xludf.DUMMYFUNCTION("GOOGLETRANSLATE(A56197,""en"",""pt"")"),"Barato, portátil e muito fácil de usar.")</f>
        <v>Barato, portátil e muito fácil de usar.</v>
      </c>
      <c r="B56197" s="3">
        <v>1</v>
      </c>
    </row>
    <row r="56198" ht="15.75" customHeight="1" spans="1:2">
      <c r="A56198" s="3" t="str">
        <f>IFERROR(__xludf.DUMMYFUNCTION("GOOGLETRANSLATE(A56198,""en"",""pt"")"),"design slim Nice; sem antena visível; visor grande; mensagens de imagem; EMS; WAP; Preço barato.")</f>
        <v>design slim Nice; sem antena visível; visor grande; mensagens de imagem; EMS; WAP; Preço barato.</v>
      </c>
      <c r="B56198" s="3">
        <v>1</v>
      </c>
    </row>
    <row r="56199" ht="15.75" customHeight="1" spans="1:2">
      <c r="A56199" s="3" t="str">
        <f>IFERROR(__xludf.DUMMYFUNCTION("GOOGLETRANSLATE(A56199,""en"",""pt"")"),"visual elegante e fino, excelente vida útil da bateria, uma boa recepção.")</f>
        <v>visual elegante e fino, excelente vida útil da bateria, uma boa recepção.</v>
      </c>
      <c r="B56199" s="3">
        <v>1</v>
      </c>
    </row>
    <row r="56200" ht="15.75" customHeight="1" spans="1:2">
      <c r="A56200" s="3" t="str">
        <f>IFERROR(__xludf.DUMMYFUNCTION("GOOGLETRANSLATE(A56200,""en"",""pt"")"),"Deslizante telefone tampa, computador e Palm Pilot, tudo em um!")</f>
        <v>Deslizante telefone tampa, computador e Palm Pilot, tudo em um!</v>
      </c>
      <c r="B56200" s="3">
        <v>1</v>
      </c>
    </row>
    <row r="56201" ht="15.75" customHeight="1" spans="1:2">
      <c r="A56201" s="3" t="str">
        <f>IFERROR(__xludf.DUMMYFUNCTION("GOOGLETRANSLATE(A56201,""en"",""pt"")"),"Grande memória, bateria boa, vem com todos os componentes necessários")</f>
        <v>Grande memória, bateria boa, vem com todos os componentes necessários</v>
      </c>
      <c r="B56201" s="3">
        <v>1</v>
      </c>
    </row>
    <row r="56202" ht="15.75" customHeight="1" spans="1:2">
      <c r="A56202" s="3" t="str">
        <f>IFERROR(__xludf.DUMMYFUNCTION("GOOGLETRANSLATE(A56202,""en"",""pt"")"),"Faz tudo. Depois de um tempo você não vai saber como você conseguiu viver sem ele.")</f>
        <v>Faz tudo. Depois de um tempo você não vai saber como você conseguiu viver sem ele.</v>
      </c>
      <c r="B56202" s="3">
        <v>1</v>
      </c>
    </row>
    <row r="56203" ht="15.75" customHeight="1" spans="1:2">
      <c r="A56203" s="3" t="str">
        <f>IFERROR(__xludf.DUMMYFUNCTION("GOOGLETRANSLATE(A56203,""en"",""pt"")"),"Características, Tamanho da tela, Scroll Button, tampa deslizante")</f>
        <v>Características, Tamanho da tela, Scroll Button, tampa deslizante</v>
      </c>
      <c r="B56203" s="3">
        <v>1</v>
      </c>
    </row>
    <row r="56204" ht="15.75" customHeight="1" spans="1:2">
      <c r="A56204" s="3" t="str">
        <f>IFERROR(__xludf.DUMMYFUNCTION("GOOGLETRANSLATE(A56204,""en"",""pt"")"),"Modelo mais avançado em standard, um conjunto de voz, cabo e fone de ouvido em um pacote")</f>
        <v>Modelo mais avançado em standard, um conjunto de voz, cabo e fone de ouvido em um pacote</v>
      </c>
      <c r="B56204" s="3">
        <v>1</v>
      </c>
    </row>
    <row r="56205" ht="15.75" customHeight="1" spans="1:2">
      <c r="A56205" s="3" t="str">
        <f>IFERROR(__xludf.DUMMYFUNCTION("GOOGLETRANSLATE(A56205,""en"",""pt"")"),"tela grande, tamanho / peso, grande organizador, grande recepção, NaviRoller, discagem por voz, bateria de longa duração, características puras")</f>
        <v>tela grande, tamanho / peso, grande organizador, grande recepção, NaviRoller, discagem por voz, bateria de longa duração, características puras</v>
      </c>
      <c r="B56205" s="3">
        <v>1</v>
      </c>
    </row>
    <row r="56206" ht="15.75" customHeight="1" spans="1:2">
      <c r="A56206" s="3" t="str">
        <f>IFERROR(__xludf.DUMMYFUNCTION("GOOGLETRANSLATE(A56206,""en"",""pt"")"),"Nice grande ecrã. bateria de longa duração. Lotes de características. Grande organizador. bem construído")</f>
        <v>Nice grande ecrã. bateria de longa duração. Lotes de características. Grande organizador. bem construído</v>
      </c>
      <c r="B56206" s="3">
        <v>1</v>
      </c>
    </row>
    <row r="56207" ht="15.75" customHeight="1" spans="1:2">
      <c r="A56207" s="3" t="str">
        <f>IFERROR(__xludf.DUMMYFUNCTION("GOOGLETRANSLATE(A56207,""en"",""pt"")"),"Compatibilidade, facilidade de uso, a vida batery, força do sinal, aparência")</f>
        <v>Compatibilidade, facilidade de uso, a vida batery, força do sinal, aparência</v>
      </c>
      <c r="B56207" s="3">
        <v>1</v>
      </c>
    </row>
    <row r="56208" ht="15.75" customHeight="1" spans="1:2">
      <c r="A56208" s="3" t="str">
        <f>IFERROR(__xludf.DUMMYFUNCTION("GOOGLETRANSLATE(A56208,""en"",""pt"")"),"Tampa deslizante que não precisa usado; NaviRoller; memória grande")</f>
        <v>Tampa deslizante que não precisa usado; NaviRoller; memória grande</v>
      </c>
      <c r="B56208" s="3">
        <v>1</v>
      </c>
    </row>
    <row r="56209" ht="15.75" customHeight="1" spans="1:2">
      <c r="A56209" s="3" t="str">
        <f>IFERROR(__xludf.DUMMYFUNCTION("GOOGLETRANSLATE(A56209,""en"",""pt"")"),"Tela e tamanho da fonte e recursos.")</f>
        <v>Tela e tamanho da fonte e recursos.</v>
      </c>
      <c r="B56209" s="3">
        <v>1</v>
      </c>
    </row>
    <row r="56210" ht="15.75" customHeight="1" spans="1:2">
      <c r="A56210" s="3" t="str">
        <f>IFERROR(__xludf.DUMMYFUNCTION("GOOGLETRANSLATE(A56210,""en"",""pt"")"),"Atua como PDA, fácil de ler a tela, digitação preditiva, Othello / Reversi jogo, discagem por voz")</f>
        <v>Atua como PDA, fácil de ler a tela, digitação preditiva, Othello / Reversi jogo, discagem por voz</v>
      </c>
      <c r="B56210" s="3">
        <v>1</v>
      </c>
    </row>
    <row r="56211" ht="15.75" customHeight="1" spans="1:2">
      <c r="A56211" s="3" t="str">
        <f>IFERROR(__xludf.DUMMYFUNCTION("GOOGLETRANSLATE(A56211,""en"",""pt"")"),"Tela grande; coisa rolo; Belo design; boa vida útil da bateria; Entrada de texto preditiva; etiquetas de voz")</f>
        <v>Tela grande; coisa rolo; Belo design; boa vida útil da bateria; Entrada de texto preditiva; etiquetas de voz</v>
      </c>
      <c r="B56211" s="3">
        <v>1</v>
      </c>
    </row>
    <row r="56212" ht="15.75" customHeight="1" spans="1:2">
      <c r="A56212" s="3" t="str">
        <f>IFERROR(__xludf.DUMMYFUNCTION("GOOGLETRANSLATE(A56212,""en"",""pt"")"),"Slick, Stylish, Features, tampa do teclado")</f>
        <v>Slick, Stylish, Features, tampa do teclado</v>
      </c>
      <c r="B56212" s="3">
        <v>1</v>
      </c>
    </row>
    <row r="56213" ht="15.75" customHeight="1" spans="1:2">
      <c r="A56213" s="3" t="str">
        <f>IFERROR(__xludf.DUMMYFUNCTION("GOOGLETRANSLATE(A56213,""en"",""pt"")"),"Boas características e tela grande.")</f>
        <v>Boas características e tela grande.</v>
      </c>
      <c r="B56213" s="3">
        <v>1</v>
      </c>
    </row>
    <row r="56214" ht="15.75" customHeight="1" spans="1:2">
      <c r="A56214" s="3" t="str">
        <f>IFERROR(__xludf.DUMMYFUNCTION("GOOGLETRANSLATE(A56214,""en"",""pt"")"),"As mensagens de texto, de navegação-rolo, tampa deslizante, a um Nokia")</f>
        <v>As mensagens de texto, de navegação-rolo, tampa deslizante, a um Nokia</v>
      </c>
      <c r="B56214" s="3">
        <v>1</v>
      </c>
    </row>
    <row r="56215" ht="15.75" customHeight="1" spans="1:2">
      <c r="A56215" s="3" t="str">
        <f>IFERROR(__xludf.DUMMYFUNCTION("GOOGLETRANSLATE(A56215,""en"",""pt"")"),"tela grande, a vida da bateria, tampa deslizante, calendário, calculadora. forma curva se encaixa o seu quadril.")</f>
        <v>tela grande, a vida da bateria, tampa deslizante, calendário, calculadora. forma curva se encaixa o seu quadril.</v>
      </c>
      <c r="B56215" s="3">
        <v>1</v>
      </c>
    </row>
    <row r="56216" ht="15.75" customHeight="1" spans="1:2">
      <c r="A56216" s="3" t="str">
        <f>IFERROR(__xludf.DUMMYFUNCTION("GOOGLETRANSLATE(A56216,""en"",""pt"")"),"Grande exibição, toneladas de características, Direct Connect para o Palm e PC sem um modem.")</f>
        <v>Grande exibição, toneladas de características, Direct Connect para o Palm e PC sem um modem.</v>
      </c>
      <c r="B56216" s="3">
        <v>1</v>
      </c>
    </row>
    <row r="56217" ht="15.75" customHeight="1" spans="1:2">
      <c r="A56217" s="3" t="str">
        <f>IFERROR(__xludf.DUMMYFUNCTION("GOOGLETRANSLATE(A56217,""en"",""pt"")"),"Tudo a partir de Estilo de Funcionalidade")</f>
        <v>Tudo a partir de Estilo de Funcionalidade</v>
      </c>
      <c r="B56217" s="3">
        <v>1</v>
      </c>
    </row>
    <row r="56218" ht="15.75" customHeight="1" spans="1:2">
      <c r="A56218" s="3" t="str">
        <f>IFERROR(__xludf.DUMMYFUNCTION("GOOGLETRANSLATE(A56218,""en"",""pt"")"),"Fácil de usar. Similaridade com o 7110")</f>
        <v>Fácil de usar. Similaridade com o 7110</v>
      </c>
      <c r="B56218" s="3">
        <v>1</v>
      </c>
    </row>
    <row r="56219" ht="15.75" customHeight="1" spans="1:2">
      <c r="A56219" s="3" t="str">
        <f>IFERROR(__xludf.DUMMYFUNCTION("GOOGLETRANSLATE(A56219,""en"",""pt"")"),"Funcional, design elegante e fácil de usar, e fácil de ler a tela")</f>
        <v>Funcional, design elegante e fácil de usar, e fácil de ler a tela</v>
      </c>
      <c r="B56219" s="3">
        <v>1</v>
      </c>
    </row>
    <row r="56220" ht="15.75" customHeight="1" spans="1:2">
      <c r="A56220" s="3" t="str">
        <f>IFERROR(__xludf.DUMMYFUNCTION("GOOGLETRANSLATE(A56220,""en"",""pt"")"),"Armazenar 1.000 nomes no telefone ... Sua luz para transportar cerca de ....")</f>
        <v>Armazenar 1.000 nomes no telefone ... Sua luz para transportar cerca de ....</v>
      </c>
      <c r="B56220" s="3">
        <v>1</v>
      </c>
    </row>
    <row r="56221" ht="15.75" customHeight="1" spans="1:2">
      <c r="A56221" s="3" t="str">
        <f>IFERROR(__xludf.DUMMYFUNCTION("GOOGLETRANSLATE(A56221,""en"",""pt"")"),"ótimo celular para um preço baixo!")</f>
        <v>ótimo celular para um preço baixo!</v>
      </c>
      <c r="B56221" s="3">
        <v>1</v>
      </c>
    </row>
    <row r="56222" ht="15.75" customHeight="1" spans="1:2">
      <c r="A56222" s="3" t="str">
        <f>IFERROR(__xludf.DUMMYFUNCTION("GOOGLETRANSLATE(A56222,""en"",""pt"")"),"Eu gosto do slide para cima recurso porque meu marido está sempre batendo algo")</f>
        <v>Eu gosto do slide para cima recurso porque meu marido está sempre batendo algo</v>
      </c>
      <c r="B56222" s="3">
        <v>1</v>
      </c>
    </row>
    <row r="56223" ht="15.75" customHeight="1" spans="1:2">
      <c r="A56223" s="3" t="str">
        <f>IFERROR(__xludf.DUMMYFUNCTION("GOOGLETRANSLATE(A56223,""en"",""pt"")"),"olhar impressionante, sensação e design")</f>
        <v>olhar impressionante, sensação e design</v>
      </c>
      <c r="B56223" s="3">
        <v>1</v>
      </c>
    </row>
    <row r="56224" ht="15.75" customHeight="1" spans="1:2">
      <c r="A56224" s="3" t="str">
        <f>IFERROR(__xludf.DUMMYFUNCTION("GOOGLETRANSLATE(A56224,""en"",""pt"")"),"Muitos recursos, jogos e conectividade, boa bateria")</f>
        <v>Muitos recursos, jogos e conectividade, boa bateria</v>
      </c>
      <c r="B56224" s="3">
        <v>1</v>
      </c>
    </row>
    <row r="56225" ht="15.75" customHeight="1" spans="1:2">
      <c r="A56225" s="3" t="str">
        <f>IFERROR(__xludf.DUMMYFUNCTION("GOOGLETRANSLATE(A56225,""en"",""pt"")"),"Bateria de Longa Duração, Large Display, Digital / Dados Compatível")</f>
        <v>Bateria de Longa Duração, Large Display, Digital / Dados Compatível</v>
      </c>
      <c r="B56225" s="3">
        <v>1</v>
      </c>
    </row>
    <row r="56226" ht="15.75" customHeight="1" spans="1:2">
      <c r="A56226" s="3" t="str">
        <f>IFERROR(__xludf.DUMMYFUNCTION("GOOGLETRANSLATE(A56226,""en"",""pt"")"),"A vida da bateria, internet e e-mail capacidades, e popularidade")</f>
        <v>A vida da bateria, internet e e-mail capacidades, e popularidade</v>
      </c>
      <c r="B56226" s="3">
        <v>1</v>
      </c>
    </row>
    <row r="56227" ht="15.75" customHeight="1" spans="1:2">
      <c r="A56227" s="3" t="str">
        <f>IFERROR(__xludf.DUMMYFUNCTION("GOOGLETRANSLATE(A56227,""en"",""pt"")"),"O 7160 tem menos chamadas abandonadas quando vs. 6160 ou 6161.")</f>
        <v>O 7160 tem menos chamadas abandonadas quando vs. 6160 ou 6161.</v>
      </c>
      <c r="B56227" s="3">
        <v>1</v>
      </c>
    </row>
    <row r="56228" ht="15.75" customHeight="1" spans="1:2">
      <c r="A56228" s="3" t="str">
        <f>IFERROR(__xludf.DUMMYFUNCTION("GOOGLETRANSLATE(A56228,""en"",""pt"")"),"Styling, desempenho e características, externa Caller ID")</f>
        <v>Styling, desempenho e características, externa Caller ID</v>
      </c>
      <c r="B56228" s="3">
        <v>1</v>
      </c>
    </row>
    <row r="56229" ht="15.75" customHeight="1" spans="1:2">
      <c r="A56229" s="3" t="str">
        <f>IFERROR(__xludf.DUMMYFUNCTION("GOOGLETRANSLATE(A56229,""en"",""pt"")"),"Compacto e elegante, atraente, campainha alta")</f>
        <v>Compacto e elegante, atraente, campainha alta</v>
      </c>
      <c r="B56229" s="3">
        <v>1</v>
      </c>
    </row>
    <row r="56230" ht="15.75" customHeight="1" spans="1:2">
      <c r="A56230" s="3" t="str">
        <f>IFERROR(__xludf.DUMMYFUNCTION("GOOGLETRANSLATE(A56230,""en"",""pt"")"),"Afiado, minúsculos, excelente ergonomia, repleto de recursos, melhor ANTENA")</f>
        <v>Afiado, minúsculos, excelente ergonomia, repleto de recursos, melhor ANTENA</v>
      </c>
      <c r="B56230" s="3">
        <v>1</v>
      </c>
    </row>
    <row r="56231" ht="15.75" customHeight="1" spans="1:2">
      <c r="A56231" s="3" t="str">
        <f>IFERROR(__xludf.DUMMYFUNCTION("GOOGLETRANSLATE(A56231,""en"",""pt"")"),"características interessantes, conveniência aleta, recepção forte.")</f>
        <v>características interessantes, conveniência aleta, recepção forte.</v>
      </c>
      <c r="B56231" s="3">
        <v>1</v>
      </c>
    </row>
    <row r="56232" ht="15.75" customHeight="1" spans="1:2">
      <c r="A56232" s="3" t="str">
        <f>IFERROR(__xludf.DUMMYFUNCTION("GOOGLETRANSLATE(A56232,""en"",""pt"")"),"Pequeno, inteligente, Tough-Descascar e uma bateria de longa duração.")</f>
        <v>Pequeno, inteligente, Tough-Descascar e uma bateria de longa duração.</v>
      </c>
      <c r="B56232" s="3">
        <v>1</v>
      </c>
    </row>
    <row r="56233" ht="15.75" customHeight="1" spans="1:2">
      <c r="A56233" s="3" t="str">
        <f>IFERROR(__xludf.DUMMYFUNCTION("GOOGLETRANSLATE(A56233,""en"",""pt"")"),"bateria de longa duração, fácil de usar, excelente tamanho.")</f>
        <v>bateria de longa duração, fácil de usar, excelente tamanho.</v>
      </c>
      <c r="B56233" s="3">
        <v>1</v>
      </c>
    </row>
    <row r="56234" ht="15.75" customHeight="1" spans="1:2">
      <c r="A56234" s="3" t="str">
        <f>IFERROR(__xludf.DUMMYFUNCTION("GOOGLETRANSLATE(A56234,""en"",""pt"")"),"TUDO")</f>
        <v>TUDO</v>
      </c>
      <c r="B56234" s="3">
        <v>1</v>
      </c>
    </row>
    <row r="56235" ht="15.75" customHeight="1" spans="1:2">
      <c r="A56235" s="3" t="str">
        <f>IFERROR(__xludf.DUMMYFUNCTION("GOOGLETRANSLATE(A56235,""en"",""pt"")"),"Compacto, elegante, boa botões, grande clareza tela, janela externa")</f>
        <v>Compacto, elegante, boa botões, grande clareza tela, janela externa</v>
      </c>
      <c r="B56235" s="3">
        <v>1</v>
      </c>
    </row>
    <row r="56236" ht="15.75" customHeight="1" spans="1:2">
      <c r="A56236" s="3" t="str">
        <f>IFERROR(__xludf.DUMMYFUNCTION("GOOGLETRANSLATE(A56236,""en"",""pt"")"),"Muito pequeno, resistente e característica cheia")</f>
        <v>Muito pequeno, resistente e característica cheia</v>
      </c>
      <c r="B56236" s="3">
        <v>1</v>
      </c>
    </row>
    <row r="56237" ht="15.75" customHeight="1" spans="1:2">
      <c r="A56237" s="3" t="str">
        <f>IFERROR(__xludf.DUMMYFUNCTION("GOOGLETRANSLATE(A56237,""en"",""pt"")"),"Melhor pequeno telefone uma vez que o Nokia 262!")</f>
        <v>Melhor pequeno telefone uma vez que o Nokia 262!</v>
      </c>
      <c r="B56237" s="3">
        <v>1</v>
      </c>
    </row>
    <row r="56238" ht="15.75" customHeight="1" spans="1:2">
      <c r="A56238" s="3" t="str">
        <f>IFERROR(__xludf.DUMMYFUNCTION("GOOGLETRANSLATE(A56238,""en"",""pt"")"),"Elegante, pequeno, leve, grande recepção, conveniente tela Caller ID, Limpar ch")</f>
        <v>Elegante, pequeno, leve, grande recepção, conveniente tela Caller ID, Limpar ch</v>
      </c>
      <c r="B56238" s="3">
        <v>1</v>
      </c>
    </row>
    <row r="56239" ht="15.75" customHeight="1" spans="1:2">
      <c r="A56239" s="3" t="str">
        <f>IFERROR(__xludf.DUMMYFUNCTION("GOOGLETRANSLATE(A56239,""en"",""pt"")"),"sofisticado, elegante, pequeno mas bom tamanho")</f>
        <v>sofisticado, elegante, pequeno mas bom tamanho</v>
      </c>
      <c r="B56239" s="3">
        <v>1</v>
      </c>
    </row>
    <row r="56240" ht="15.75" customHeight="1" spans="1:2">
      <c r="A56240" s="3" t="str">
        <f>IFERROR(__xludf.DUMMYFUNCTION("GOOGLETRANSLATE(A56240,""en"",""pt"")"),"Ultra compacto, durável e elegante!")</f>
        <v>Ultra compacto, durável e elegante!</v>
      </c>
      <c r="B56240" s="3">
        <v>1</v>
      </c>
    </row>
    <row r="56241" ht="15.75" customHeight="1" spans="1:2">
      <c r="A56241" s="3" t="str">
        <f>IFERROR(__xludf.DUMMYFUNCTION("GOOGLETRANSLATE(A56241,""en"",""pt"")"),"pequeno tamanho, facilidade de uso, os controles simplificados")</f>
        <v>pequeno tamanho, facilidade de uso, os controles simplificados</v>
      </c>
      <c r="B56241" s="3">
        <v>1</v>
      </c>
    </row>
    <row r="56242" ht="15.75" customHeight="1" spans="1:2">
      <c r="A56242" s="3" t="str">
        <f>IFERROR(__xludf.DUMMYFUNCTION("GOOGLETRANSLATE(A56242,""en"",""pt"")"),"design confortável, botões grandes, pequenos e leves")</f>
        <v>design confortável, botões grandes, pequenos e leves</v>
      </c>
      <c r="B56242" s="3">
        <v>1</v>
      </c>
    </row>
    <row r="56243" ht="15.75" customHeight="1" spans="1:2">
      <c r="A56243" s="3" t="str">
        <f>IFERROR(__xludf.DUMMYFUNCTION("GOOGLETRANSLATE(A56243,""en"",""pt"")"),"elegante, discagem ativada por voz")</f>
        <v>elegante, discagem ativada por voz</v>
      </c>
      <c r="B56243" s="3">
        <v>1</v>
      </c>
    </row>
    <row r="56244" ht="15.75" customHeight="1" spans="1:2">
      <c r="A56244" s="3" t="str">
        <f>IFERROR(__xludf.DUMMYFUNCTION("GOOGLETRANSLATE(A56244,""en"",""pt"")"),"telefone pouco difícil. Fácil de ouvir conversas. Boa VOZ")</f>
        <v>telefone pouco difícil. Fácil de ouvir conversas. Boa VOZ</v>
      </c>
      <c r="B56244" s="3">
        <v>1</v>
      </c>
    </row>
    <row r="56245" ht="15.75" customHeight="1" spans="1:2">
      <c r="A56245" s="3" t="str">
        <f>IFERROR(__xludf.DUMMYFUNCTION("GOOGLETRANSLATE(A56245,""en"",""pt"")"),"Tudo")</f>
        <v>Tudo</v>
      </c>
      <c r="B56245" s="3">
        <v>1</v>
      </c>
    </row>
    <row r="56246" ht="15.75" customHeight="1" spans="1:2">
      <c r="A56246" s="3" t="str">
        <f>IFERROR(__xludf.DUMMYFUNCTION("GOOGLETRANSLATE(A56246,""en"",""pt"")"),"Pequeno, muitos recursos, grande recepção.")</f>
        <v>Pequeno, muitos recursos, grande recepção.</v>
      </c>
      <c r="B56246" s="3">
        <v>1</v>
      </c>
    </row>
    <row r="56247" ht="15.75" customHeight="1" spans="1:2">
      <c r="A56247" s="3" t="str">
        <f>IFERROR(__xludf.DUMMYFUNCTION("GOOGLETRANSLATE(A56247,""en"",""pt"")"),"design elegante e funções intuitivas, cargas de opções")</f>
        <v>design elegante e funções intuitivas, cargas de opções</v>
      </c>
      <c r="B56247" s="3">
        <v>1</v>
      </c>
    </row>
    <row r="56248" ht="15.75" customHeight="1" spans="1:2">
      <c r="A56248" s="3" t="str">
        <f>IFERROR(__xludf.DUMMYFUNCTION("GOOGLETRANSLATE(A56248,""en"",""pt"")"),"Pode levar um pouco de abuso, parece muito profissional")</f>
        <v>Pode levar um pouco de abuso, parece muito profissional</v>
      </c>
      <c r="B56248" s="3">
        <v>1</v>
      </c>
    </row>
    <row r="56249" ht="15.75" customHeight="1" spans="1:2">
      <c r="A56249" s="3" t="str">
        <f>IFERROR(__xludf.DUMMYFUNCTION("GOOGLETRANSLATE(A56249,""en"",""pt"")"),"A vida da bateria, a recepção do sinal, mensagens PCS, livro de endereços, reconhecimento de voz")</f>
        <v>A vida da bateria, a recepção do sinal, mensagens PCS, livro de endereços, reconhecimento de voz</v>
      </c>
      <c r="B56249" s="3">
        <v>1</v>
      </c>
    </row>
    <row r="56250" ht="15.75" customHeight="1" spans="1:2">
      <c r="A56250" s="3" t="str">
        <f>IFERROR(__xludf.DUMMYFUNCTION("GOOGLETRANSLATE(A56250,""en"",""pt"")"),"Tela externa Caller ID")</f>
        <v>Tela externa Caller ID</v>
      </c>
      <c r="B56250" s="3">
        <v>1</v>
      </c>
    </row>
    <row r="56251" ht="15.75" customHeight="1" spans="1:2">
      <c r="A56251" s="3" t="str">
        <f>IFERROR(__xludf.DUMMYFUNCTION("GOOGLETRANSLATE(A56251,""en"",""pt"")"),"-Clareza")</f>
        <v>-Clareza</v>
      </c>
      <c r="B56251" s="3">
        <v>1</v>
      </c>
    </row>
    <row r="56252" ht="15.75" customHeight="1" spans="1:2">
      <c r="A56252" s="3" t="str">
        <f>IFERROR(__xludf.DUMMYFUNCTION("GOOGLETRANSLATE(A56252,""en"",""pt"")"),"Olha grande, pequeno")</f>
        <v>Olha grande, pequeno</v>
      </c>
      <c r="B56252" s="3">
        <v>1</v>
      </c>
    </row>
    <row r="56253" ht="15.75" customHeight="1" spans="1:2">
      <c r="A56253" s="3" t="str">
        <f>IFERROR(__xludf.DUMMYFUNCTION("GOOGLETRANSLATE(A56253,""en"",""pt"")"),"Grande telefone ao redor.")</f>
        <v>Grande telefone ao redor.</v>
      </c>
      <c r="B56253" s="3">
        <v>1</v>
      </c>
    </row>
    <row r="56254" ht="15.75" customHeight="1" spans="1:2">
      <c r="A56254" s="3" t="str">
        <f>IFERROR(__xludf.DUMMYFUNCTION("GOOGLETRANSLATE(A56254,""en"",""pt"")"),"A Motorola V60t é compacto e elegante.")</f>
        <v>A Motorola V60t é compacto e elegante.</v>
      </c>
      <c r="B56254" s="3">
        <v>1</v>
      </c>
    </row>
    <row r="56255" ht="15.75" customHeight="1" spans="1:2">
      <c r="A56255" s="3" t="str">
        <f>IFERROR(__xludf.DUMMYFUNCTION("GOOGLETRANSLATE(A56255,""en"",""pt"")"),"fácil de usar")</f>
        <v>fácil de usar</v>
      </c>
      <c r="B56255" s="3">
        <v>1</v>
      </c>
    </row>
    <row r="56256" ht="15.75" customHeight="1" spans="1:2">
      <c r="A56256" s="3" t="str">
        <f>IFERROR(__xludf.DUMMYFUNCTION("GOOGLETRANSLATE(A56256,""en"",""pt"")"),"prática e agradável!")</f>
        <v>prática e agradável!</v>
      </c>
      <c r="B56256" s="3">
        <v>1</v>
      </c>
    </row>
    <row r="56257" ht="15.75" customHeight="1" spans="1:2">
      <c r="A56257" s="3" t="str">
        <f>IFERROR(__xludf.DUMMYFUNCTION("GOOGLETRANSLATE(A56257,""en"",""pt"")"),"Excelente qualidade de som, recepção, boa bateria, w.features carregados ... discagem por voz, etc")</f>
        <v>Excelente qualidade de som, recepção, boa bateria, w.features carregados ... discagem por voz, etc</v>
      </c>
      <c r="B56257" s="3">
        <v>1</v>
      </c>
    </row>
    <row r="56258" ht="15.75" customHeight="1" spans="1:2">
      <c r="A56258" s="3" t="str">
        <f>IFERROR(__xludf.DUMMYFUNCTION("GOOGLETRANSLATE(A56258,""en"",""pt"")"),"Muito pequeno, muito clara, grandes recursos, muito fácil de usar")</f>
        <v>Muito pequeno, muito clara, grandes recursos, muito fácil de usar</v>
      </c>
      <c r="B56258" s="3">
        <v>1</v>
      </c>
    </row>
    <row r="56259" ht="15.75" customHeight="1" spans="1:2">
      <c r="A56259" s="3" t="str">
        <f>IFERROR(__xludf.DUMMYFUNCTION("GOOGLETRANSLATE(A56259,""en"",""pt"")"),"muito pequeno, muito leve, muito legal")</f>
        <v>muito pequeno, muito leve, muito legal</v>
      </c>
      <c r="B56259" s="3">
        <v>1</v>
      </c>
    </row>
    <row r="56260" ht="15.75" customHeight="1" spans="1:2">
      <c r="A56260" s="3" t="str">
        <f>IFERROR(__xludf.DUMMYFUNCTION("GOOGLETRANSLATE(A56260,""en"",""pt"")"),"Excelente recepção, internet capaz, tamanho,")</f>
        <v>Excelente recepção, internet capaz, tamanho,</v>
      </c>
      <c r="B56260" s="3">
        <v>1</v>
      </c>
    </row>
    <row r="56261" ht="15.75" customHeight="1" spans="1:2">
      <c r="A56261" s="3" t="str">
        <f>IFERROR(__xludf.DUMMYFUNCTION("GOOGLETRANSLATE(A56261,""en"",""pt"")"),"O tamanho pequeno, se sentir confortável, interface de ""cool"" design, easy-to-use.")</f>
        <v>O tamanho pequeno, se sentir confortável, interface de "cool" design, easy-to-use.</v>
      </c>
      <c r="B56261" s="3">
        <v>1</v>
      </c>
    </row>
    <row r="56262" ht="15.75" customHeight="1" spans="1:2">
      <c r="A56262" s="3" t="str">
        <f>IFERROR(__xludf.DUMMYFUNCTION("GOOGLETRANSLATE(A56262,""en"",""pt"")"),"Pequeno, New Screen Display")</f>
        <v>Pequeno, New Screen Display</v>
      </c>
      <c r="B56262" s="3">
        <v>1</v>
      </c>
    </row>
    <row r="56263" ht="15.75" customHeight="1" spans="1:2">
      <c r="A56263" s="3" t="str">
        <f>IFERROR(__xludf.DUMMYFUNCTION("GOOGLETRANSLATE(A56263,""en"",""pt"")"),"Recepção e tamanho")</f>
        <v>Recepção e tamanho</v>
      </c>
      <c r="B56263" s="3">
        <v>1</v>
      </c>
    </row>
    <row r="56264" ht="15.75" customHeight="1" spans="1:2">
      <c r="A56264" s="3" t="str">
        <f>IFERROR(__xludf.DUMMYFUNCTION("GOOGLETRANSLATE(A56264,""en"",""pt"")"),"Pequeno")</f>
        <v>Pequeno</v>
      </c>
      <c r="B56264" s="3">
        <v>1</v>
      </c>
    </row>
    <row r="56265" ht="15.75" customHeight="1" spans="1:2">
      <c r="A56265" s="3" t="str">
        <f>IFERROR(__xludf.DUMMYFUNCTION("GOOGLETRANSLATE(A56265,""en"",""pt"")"),"Menor disponíveis, grande função")</f>
        <v>Menor disponíveis, grande função</v>
      </c>
      <c r="B56265" s="3">
        <v>1</v>
      </c>
    </row>
    <row r="56266" ht="15.75" customHeight="1" spans="1:2">
      <c r="A56266" s="3" t="str">
        <f>IFERROR(__xludf.DUMMYFUNCTION("GOOGLETRANSLATE(A56266,""en"",""pt"")"),"Pequeno, elegante, Web sem fio")</f>
        <v>Pequeno, elegante, Web sem fio</v>
      </c>
      <c r="B56266" s="3">
        <v>1</v>
      </c>
    </row>
    <row r="56267" ht="15.75" customHeight="1" spans="1:2">
      <c r="A56267" s="3" t="str">
        <f>IFERROR(__xludf.DUMMYFUNCTION("GOOGLETRANSLATE(A56267,""en"",""pt"")"),"Muito pequeno, muito ""legal"", grande recepção")</f>
        <v>Muito pequeno, muito "legal", grande recepção</v>
      </c>
      <c r="B56267" s="3">
        <v>1</v>
      </c>
    </row>
    <row r="56268" ht="15.75" customHeight="1" spans="1:2">
      <c r="A56268" s="3" t="str">
        <f>IFERROR(__xludf.DUMMYFUNCTION("GOOGLETRANSLATE(A56268,""en"",""pt"")"),"Inovador, discagem por voz, internet")</f>
        <v>Inovador, discagem por voz, internet</v>
      </c>
      <c r="B56268" s="3">
        <v>1</v>
      </c>
    </row>
    <row r="56269" ht="15.75" customHeight="1" spans="1:2">
      <c r="A56269" s="3" t="str">
        <f>IFERROR(__xludf.DUMMYFUNCTION("GOOGLETRANSLATE(A56269,""en"",""pt"")"),"Parece uma nave espacial. Bastante durável. não pode vê-lo a menos que usando um microscópio.")</f>
        <v>Parece uma nave espacial. Bastante durável. não pode vê-lo a menos que usando um microscópio.</v>
      </c>
      <c r="B56269" s="3">
        <v>1</v>
      </c>
    </row>
    <row r="56270" ht="15.75" customHeight="1" spans="1:2">
      <c r="A56270" s="3" t="str">
        <f>IFERROR(__xludf.DUMMYFUNCTION("GOOGLETRANSLATE(A56270,""en"",""pt"")"),"Pequeno, leve, bonito usar Fácil")</f>
        <v>Pequeno, leve, bonito usar Fácil</v>
      </c>
      <c r="B56270" s="3">
        <v>1</v>
      </c>
    </row>
    <row r="56271" ht="15.75" customHeight="1" spans="1:2">
      <c r="A56271" s="3" t="str">
        <f>IFERROR(__xludf.DUMMYFUNCTION("GOOGLETRANSLATE(A56271,""en"",""pt"")"),"Pequeno")</f>
        <v>Pequeno</v>
      </c>
      <c r="B56271" s="3">
        <v>1</v>
      </c>
    </row>
    <row r="56272" ht="15.75" customHeight="1" spans="1:2">
      <c r="A56272" s="3" t="str">
        <f>IFERROR(__xludf.DUMMYFUNCTION("GOOGLETRANSLATE(A56272,""en"",""pt"")"),"Pequeno, clareza conveniente")</f>
        <v>Pequeno, clareza conveniente</v>
      </c>
      <c r="B56272" s="3">
        <v>1</v>
      </c>
    </row>
    <row r="56273" ht="15.75" customHeight="1" spans="1:2">
      <c r="A56273" s="3" t="str">
        <f>IFERROR(__xludf.DUMMYFUNCTION("GOOGLETRANSLATE(A56273,""en"",""pt"")"),"tamanho, bateria, internet")</f>
        <v>tamanho, bateria, internet</v>
      </c>
      <c r="B56273" s="3">
        <v>1</v>
      </c>
    </row>
    <row r="56274" ht="15.75" customHeight="1" spans="1:2">
      <c r="A56274" s="3" t="str">
        <f>IFERROR(__xludf.DUMMYFUNCTION("GOOGLETRANSLATE(A56274,""en"",""pt"")"),"Tamanho")</f>
        <v>Tamanho</v>
      </c>
      <c r="B56274" s="3">
        <v>1</v>
      </c>
    </row>
    <row r="56275" ht="15.75" customHeight="1" spans="1:2">
      <c r="A56275" s="3" t="str">
        <f>IFERROR(__xludf.DUMMYFUNCTION("GOOGLETRANSLATE(A56275,""en"",""pt"")"),"Leve, resistente, boa qualidade de som, acesso à Internet.")</f>
        <v>Leve, resistente, boa qualidade de som, acesso à Internet.</v>
      </c>
      <c r="B56275" s="3">
        <v>1</v>
      </c>
    </row>
    <row r="56276" ht="15.75" customHeight="1" spans="1:2">
      <c r="A56276" s="3" t="str">
        <f>IFERROR(__xludf.DUMMYFUNCTION("GOOGLETRANSLATE(A56276,""en"",""pt"")"),"durável, pequena. clareza")</f>
        <v>durável, pequena. clareza</v>
      </c>
      <c r="B56276" s="3">
        <v>1</v>
      </c>
    </row>
    <row r="56277" ht="15.75" customHeight="1" spans="1:2">
      <c r="A56277" s="3" t="str">
        <f>IFERROR(__xludf.DUMMYFUNCTION("GOOGLETRANSLATE(A56277,""en"",""pt"")"),"tamanho, tamanho e tamanho, simplicidade, durabilidade, clareza.")</f>
        <v>tamanho, tamanho e tamanho, simplicidade, durabilidade, clareza.</v>
      </c>
      <c r="B56277" s="3">
        <v>1</v>
      </c>
    </row>
    <row r="56278" ht="15.75" customHeight="1" spans="1:2">
      <c r="A56278" s="3" t="str">
        <f>IFERROR(__xludf.DUMMYFUNCTION("GOOGLETRANSLATE(A56278,""en"",""pt"")"),"Funciona bem, bonito, lotes de características")</f>
        <v>Funciona bem, bonito, lotes de características</v>
      </c>
      <c r="B56278" s="3">
        <v>1</v>
      </c>
    </row>
    <row r="56279" ht="15.75" customHeight="1" spans="1:2">
      <c r="A56279" s="3" t="str">
        <f>IFERROR(__xludf.DUMMYFUNCTION("GOOGLETRANSLATE(A56279,""en"",""pt"")"),"pequeno, leve e muito versátil telefone com grande som e funcionalidade.")</f>
        <v>pequeno, leve e muito versátil telefone com grande som e funcionalidade.</v>
      </c>
      <c r="B56279" s="3">
        <v>1</v>
      </c>
    </row>
    <row r="56280" ht="15.75" customHeight="1" spans="1:2">
      <c r="A56280" s="3" t="str">
        <f>IFERROR(__xludf.DUMMYFUNCTION("GOOGLETRANSLATE(A56280,""en"",""pt"")"),"bateria de longa duração. Tamanho compacto. tela de cor agradável.")</f>
        <v>bateria de longa duração. Tamanho compacto. tela de cor agradável.</v>
      </c>
      <c r="B56280" s="3">
        <v>1</v>
      </c>
    </row>
    <row r="56281" ht="15.75" customHeight="1" spans="1:2">
      <c r="A56281" s="3" t="str">
        <f>IFERROR(__xludf.DUMMYFUNCTION("GOOGLETRANSLATE(A56281,""en"",""pt"")"),"Peso leve e intuitiva, atraente, acessível")</f>
        <v>Peso leve e intuitiva, atraente, acessível</v>
      </c>
      <c r="B56281" s="3">
        <v>1</v>
      </c>
    </row>
    <row r="56282" ht="15.75" customHeight="1" spans="1:2">
      <c r="A56282" s="3" t="str">
        <f>IFERROR(__xludf.DUMMYFUNCTION("GOOGLETRANSLATE(A56282,""en"",""pt"")"),"Bonito, peso leve, tela de exibição compacto decente")</f>
        <v>Bonito, peso leve, tela de exibição compacto decente</v>
      </c>
      <c r="B56282" s="3">
        <v>1</v>
      </c>
    </row>
    <row r="56283" ht="15.75" customHeight="1" spans="1:2">
      <c r="A56283" s="3" t="str">
        <f>IFERROR(__xludf.DUMMYFUNCTION("GOOGLETRANSLATE(A56283,""en"",""pt"")"),"tela grande, recepção bem, muito pequeno telefone.")</f>
        <v>tela grande, recepção bem, muito pequeno telefone.</v>
      </c>
      <c r="B56283" s="3">
        <v>1</v>
      </c>
    </row>
    <row r="56284" ht="15.75" customHeight="1" spans="1:2">
      <c r="A56284" s="3" t="str">
        <f>IFERROR(__xludf.DUMMYFUNCTION("GOOGLETRANSLATE(A56284,""en"",""pt"")"),"qualidade geral do som, durabilidade, tamanho, duração da bateria, características, qualidade, preço")</f>
        <v>qualidade geral do som, durabilidade, tamanho, duração da bateria, características, qualidade, preço</v>
      </c>
      <c r="B56284" s="3">
        <v>1</v>
      </c>
    </row>
    <row r="56285" ht="15.75" customHeight="1" spans="1:2">
      <c r="A56285" s="3" t="str">
        <f>IFERROR(__xludf.DUMMYFUNCTION("GOOGLETRANSLATE(A56285,""en"",""pt"")"),"Tamanho, peso, tela excelente, facilidade de uso, acesso menu rápido, abundância de recursos.")</f>
        <v>Tamanho, peso, tela excelente, facilidade de uso, acesso menu rápido, abundância de recursos.</v>
      </c>
      <c r="B56285" s="3">
        <v>1</v>
      </c>
    </row>
    <row r="56286" ht="15.75" customHeight="1" spans="1:2">
      <c r="A56286" s="3" t="str">
        <f>IFERROR(__xludf.DUMMYFUNCTION("GOOGLETRANSLATE(A56286,""en"",""pt"")"),"Animação do telefone foi legal")</f>
        <v>Animação do telefone foi legal</v>
      </c>
      <c r="B56286" s="3">
        <v>1</v>
      </c>
    </row>
    <row r="56287" ht="15.75" customHeight="1" spans="1:2">
      <c r="A56287" s="3" t="str">
        <f>IFERROR(__xludf.DUMMYFUNCTION("GOOGLETRANSLATE(A56287,""en"",""pt"")"),"Estilo")</f>
        <v>Estilo</v>
      </c>
      <c r="B56287" s="3">
        <v>1</v>
      </c>
    </row>
    <row r="56288" ht="15.75" customHeight="1" spans="1:2">
      <c r="A56288" s="3" t="str">
        <f>IFERROR(__xludf.DUMMYFUNCTION("GOOGLETRANSLATE(A56288,""en"",""pt"")"),"Em geral, esta é uma luz, confiável, telefone barato sem frescuras. Boa qualidade de áudio e recepção.")</f>
        <v>Em geral, esta é uma luz, confiável, telefone barato sem frescuras. Boa qualidade de áudio e recepção.</v>
      </c>
      <c r="B56288" s="3">
        <v>1</v>
      </c>
    </row>
    <row r="56289" ht="15.75" customHeight="1" spans="1:2">
      <c r="A56289" s="3" t="str">
        <f>IFERROR(__xludf.DUMMYFUNCTION("GOOGLETRANSLATE(A56289,""en"",""pt"")"),"perfil fino, leve e grande display colorido, vívido. Limpar áudio e fácil de usar.")</f>
        <v>perfil fino, leve e grande display colorido, vívido. Limpar áudio e fácil de usar.</v>
      </c>
      <c r="B56289" s="3">
        <v>1</v>
      </c>
    </row>
    <row r="56290" ht="15.75" customHeight="1" spans="1:2">
      <c r="A56290" s="3" t="str">
        <f>IFERROR(__xludf.DUMMYFUNCTION("GOOGLETRANSLATE(A56290,""en"",""pt"")"),"tamanho pequeno Ultra, muito leve. Bom conjunto de funcionalidades para um pequeno telefone.")</f>
        <v>tamanho pequeno Ultra, muito leve. Bom conjunto de funcionalidades para um pequeno telefone.</v>
      </c>
      <c r="B56290" s="3">
        <v>1</v>
      </c>
    </row>
    <row r="56291" ht="15.75" customHeight="1" spans="1:2">
      <c r="A56291" s="3" t="str">
        <f>IFERROR(__xludf.DUMMYFUNCTION("GOOGLETRANSLATE(A56291,""en"",""pt"")"),"Leve, design agradável, exibição clara")</f>
        <v>Leve, design agradável, exibição clara</v>
      </c>
      <c r="B56291" s="3">
        <v>1</v>
      </c>
    </row>
    <row r="56292" ht="15.75" customHeight="1" spans="1:2">
      <c r="A56292" s="3" t="str">
        <f>IFERROR(__xludf.DUMMYFUNCTION("GOOGLETRANSLATE(A56292,""en"",""pt"")"),"Luz")</f>
        <v>Luz</v>
      </c>
      <c r="B56292" s="3">
        <v>1</v>
      </c>
    </row>
    <row r="56293" ht="15.75" customHeight="1" spans="1:2">
      <c r="A56293" s="3" t="str">
        <f>IFERROR(__xludf.DUMMYFUNCTION("GOOGLETRANSLATE(A56293,""en"",""pt"")"),"seu fresco e bonito")</f>
        <v>seu fresco e bonito</v>
      </c>
      <c r="B56293" s="3">
        <v>1</v>
      </c>
    </row>
    <row r="56294" ht="15.75" customHeight="1" spans="1:2">
      <c r="A56294" s="3" t="str">
        <f>IFERROR(__xludf.DUMMYFUNCTION("GOOGLETRANSLATE(A56294,""en"",""pt"")"),"Recepção, menu, Memória, Organizer, Handsfree Porto, luz de serviço")</f>
        <v>Recepção, menu, Memória, Organizer, Handsfree Porto, luz de serviço</v>
      </c>
      <c r="B56294" s="3">
        <v>1</v>
      </c>
    </row>
    <row r="56295" ht="15.75" customHeight="1" spans="1:2">
      <c r="A56295" s="3" t="str">
        <f>IFERROR(__xludf.DUMMYFUNCTION("GOOGLETRANSLATE(A56295,""en"",""pt"")"),"O telefone em si é legal. bons toques, pequeno, elegante.")</f>
        <v>O telefone em si é legal. bons toques, pequeno, elegante.</v>
      </c>
      <c r="B56295" s="3">
        <v>1</v>
      </c>
    </row>
    <row r="56296" ht="15.75" customHeight="1" spans="1:2">
      <c r="A56296" s="3" t="str">
        <f>IFERROR(__xludf.DUMMYFUNCTION("GOOGLETRANSLATE(A56296,""en"",""pt"")"),"Tamanho, a portabilidade, a caixa de metal, estilo, vida útil da bateria, jogos, qualidade da tela, durabilidade * *")</f>
        <v>Tamanho, a portabilidade, a caixa de metal, estilo, vida útil da bateria, jogos, qualidade da tela, durabilidade * *</v>
      </c>
      <c r="B56296" s="3">
        <v>1</v>
      </c>
    </row>
    <row r="56297" ht="15.75" customHeight="1" spans="1:2">
      <c r="A56297" s="3" t="str">
        <f>IFERROR(__xludf.DUMMYFUNCTION("GOOGLETRANSLATE(A56297,""en"",""pt"")"),"telefone bonita, um monte de recursos, tanto quanto fazer o telefone parecer bom.")</f>
        <v>telefone bonita, um monte de recursos, tanto quanto fazer o telefone parecer bom.</v>
      </c>
      <c r="B56297" s="3">
        <v>1</v>
      </c>
    </row>
    <row r="56298" ht="15.75" customHeight="1" spans="1:2">
      <c r="A56298" s="3" t="str">
        <f>IFERROR(__xludf.DUMMYFUNCTION("GOOGLETRANSLATE(A56298,""en"",""pt"")"),"Bonito, elegante, não tão caro")</f>
        <v>Bonito, elegante, não tão caro</v>
      </c>
      <c r="B56298" s="3">
        <v>1</v>
      </c>
    </row>
    <row r="56299" ht="15.75" customHeight="1" spans="1:2">
      <c r="A56299" s="3" t="str">
        <f>IFERROR(__xludf.DUMMYFUNCTION("GOOGLETRANSLATE(A56299,""en"",""pt"")"),"Leve, compacto, fácil de usar, a tela cor agradável")</f>
        <v>Leve, compacto, fácil de usar, a tela cor agradável</v>
      </c>
      <c r="B56299" s="3">
        <v>1</v>
      </c>
    </row>
    <row r="56300" ht="15.75" customHeight="1" spans="1:2">
      <c r="A56300" s="3" t="str">
        <f>IFERROR(__xludf.DUMMYFUNCTION("GOOGLETRANSLATE(A56300,""en"",""pt"")"),"Pequeno, tela colorida, (alto) toques poli, pega grande.")</f>
        <v>Pequeno, tela colorida, (alto) toques poli, pega grande.</v>
      </c>
      <c r="B56300" s="3">
        <v>1</v>
      </c>
    </row>
    <row r="56301" ht="15.75" customHeight="1" spans="1:2">
      <c r="A56301" s="3" t="str">
        <f>IFERROR(__xludf.DUMMYFUNCTION("GOOGLETRANSLATE(A56301,""en"",""pt"")"),"pequeno, elegante, leve, tela colorida")</f>
        <v>pequeno, elegante, leve, tela colorida</v>
      </c>
      <c r="B56301" s="3">
        <v>1</v>
      </c>
    </row>
    <row r="56302" ht="15.75" customHeight="1" spans="1:2">
      <c r="A56302" s="3" t="str">
        <f>IFERROR(__xludf.DUMMYFUNCTION("GOOGLETRANSLATE(A56302,""en"",""pt"")"),"Olhando agradável, tela clara.")</f>
        <v>Olhando agradável, tela clara.</v>
      </c>
      <c r="B56302" s="3">
        <v>1</v>
      </c>
    </row>
    <row r="56303" ht="15.75" customHeight="1" spans="1:2">
      <c r="A56303" s="3" t="str">
        <f>IFERROR(__xludf.DUMMYFUNCTION("GOOGLETRANSLATE(A56303,""en"",""pt"")"),"Funky, sexy, fácil de usar")</f>
        <v>Funky, sexy, fácil de usar</v>
      </c>
      <c r="B56303" s="3">
        <v>1</v>
      </c>
    </row>
    <row r="56304" ht="15.75" customHeight="1" spans="1:2">
      <c r="A56304" s="3" t="str">
        <f>IFERROR(__xludf.DUMMYFUNCTION("GOOGLETRANSLATE(A56304,""en"",""pt"")"),"Boa aparência")</f>
        <v>Boa aparência</v>
      </c>
      <c r="B56304" s="3">
        <v>1</v>
      </c>
    </row>
    <row r="56305" ht="15.75" customHeight="1" spans="1:2">
      <c r="A56305" s="3" t="str">
        <f>IFERROR(__xludf.DUMMYFUNCTION("GOOGLETRANSLATE(A56305,""en"",""pt"")"),"Rádio. cobertura global. Câmera. Ótima aparência. Grande tamanho.")</f>
        <v>Rádio. cobertura global. Câmera. Ótima aparência. Grande tamanho.</v>
      </c>
      <c r="B56305" s="3">
        <v>1</v>
      </c>
    </row>
    <row r="56306" ht="15.75" customHeight="1" spans="1:2">
      <c r="A56306" s="3" t="str">
        <f>IFERROR(__xludf.DUMMYFUNCTION("GOOGLETRANSLATE(A56306,""en"",""pt"")"),"Looks, Conveniência, Tela")</f>
        <v>Looks, Conveniência, Tela</v>
      </c>
      <c r="B56306" s="3">
        <v>1</v>
      </c>
    </row>
    <row r="56307" ht="15.75" customHeight="1" spans="1:2">
      <c r="A56307" s="3" t="str">
        <f>IFERROR(__xludf.DUMMYFUNCTION("GOOGLETRANSLATE(A56307,""en"",""pt"")"),"tela colorida, construído em câmera, olha, tri-band elegante e MMS capazes")</f>
        <v>tela colorida, construído em câmera, olha, tri-band elegante e MMS capazes</v>
      </c>
      <c r="B56307" s="3">
        <v>1</v>
      </c>
    </row>
    <row r="56308" ht="15.75" customHeight="1" spans="1:2">
      <c r="A56308" s="3" t="str">
        <f>IFERROR(__xludf.DUMMYFUNCTION("GOOGLETRANSLATE(A56308,""en"",""pt"")"),"atalhos do menu tailorable, alto-falante para a opção livre mãos rápidas")</f>
        <v>atalhos do menu tailorable, alto-falante para a opção livre mãos rápidas</v>
      </c>
      <c r="B56308" s="3">
        <v>1</v>
      </c>
    </row>
    <row r="56309" ht="15.75" customHeight="1" spans="1:2">
      <c r="A56309" s="3" t="str">
        <f>IFERROR(__xludf.DUMMYFUNCTION("GOOGLETRANSLATE(A56309,""en"",""pt"")"),"Pequenas mudanças do 7210/6610 fazem deste um telefone muito bom.")</f>
        <v>Pequenas mudanças do 7210/6610 fazem deste um telefone muito bom.</v>
      </c>
      <c r="B56309" s="3">
        <v>1</v>
      </c>
    </row>
    <row r="56310" ht="15.75" customHeight="1" spans="1:2">
      <c r="A56310" s="3" t="str">
        <f>IFERROR(__xludf.DUMMYFUNCTION("GOOGLETRANSLATE(A56310,""en"",""pt"")"),"Tela de cores, toques polifônicos, câmera, jogos")</f>
        <v>Tela de cores, toques polifônicos, câmera, jogos</v>
      </c>
      <c r="B56310" s="3">
        <v>1</v>
      </c>
    </row>
    <row r="56311" ht="15.75" customHeight="1" spans="1:2">
      <c r="A56311" s="3" t="str">
        <f>IFERROR(__xludf.DUMMYFUNCTION("GOOGLETRANSLATE(A56311,""en"",""pt"")"),"um sólido atraente fácil de usar compacto telefone totalmente spec'd fora")</f>
        <v>um sólido atraente fácil de usar compacto telefone totalmente spec'd fora</v>
      </c>
      <c r="B56311" s="3">
        <v>1</v>
      </c>
    </row>
    <row r="56312" ht="15.75" customHeight="1" spans="1:2">
      <c r="A56312" s="3" t="str">
        <f>IFERROR(__xludf.DUMMYFUNCTION("GOOGLETRANSLATE(A56312,""en"",""pt"")"),"Muito, muito sólido. Bastante leve e pequeno. Parece tipo de funk.")</f>
        <v>Muito, muito sólido. Bastante leve e pequeno. Parece tipo de funk.</v>
      </c>
      <c r="B56312" s="3">
        <v>1</v>
      </c>
    </row>
    <row r="56313" ht="15.75" customHeight="1" spans="1:2">
      <c r="A56313" s="3" t="str">
        <f>IFERROR(__xludf.DUMMYFUNCTION("GOOGLETRANSLATE(A56313,""en"",""pt"")"),"Na moda, resistente e única")</f>
        <v>Na moda, resistente e única</v>
      </c>
      <c r="B56313" s="3">
        <v>1</v>
      </c>
    </row>
    <row r="56314" ht="15.75" customHeight="1" spans="1:2">
      <c r="A56314" s="3" t="str">
        <f>IFERROR(__xludf.DUMMYFUNCTION("GOOGLETRANSLATE(A56314,""en"",""pt"")"),"Capas diferentes, prova de choque, bom som claro")</f>
        <v>Capas diferentes, prova de choque, bom som claro</v>
      </c>
      <c r="B56314" s="3">
        <v>1</v>
      </c>
    </row>
    <row r="56315" ht="15.75" customHeight="1" spans="1:2">
      <c r="A56315" s="3" t="str">
        <f>IFERROR(__xludf.DUMMYFUNCTION("GOOGLETRANSLATE(A56315,""en"",""pt"")"),"Pequeno e compacto.")</f>
        <v>Pequeno e compacto.</v>
      </c>
      <c r="B56315" s="3">
        <v>1</v>
      </c>
    </row>
    <row r="56316" ht="15.75" customHeight="1" spans="1:2">
      <c r="A56316" s="3" t="str">
        <f>IFERROR(__xludf.DUMMYFUNCTION("GOOGLETRANSLATE(A56316,""en"",""pt"")"),"todas as características")</f>
        <v>todas as características</v>
      </c>
      <c r="B56316" s="3">
        <v>1</v>
      </c>
    </row>
    <row r="56317" ht="15.75" customHeight="1" spans="1:2">
      <c r="A56317" s="3" t="str">
        <f>IFERROR(__xludf.DUMMYFUNCTION("GOOGLETRANSLATE(A56317,""en"",""pt"")"),"claro, pequeno e leve")</f>
        <v>claro, pequeno e leve</v>
      </c>
      <c r="B56317" s="3">
        <v>1</v>
      </c>
    </row>
    <row r="56318" ht="15.75" customHeight="1" spans="1:2">
      <c r="A56318" s="3" t="str">
        <f>IFERROR(__xludf.DUMMYFUNCTION("GOOGLETRANSLATE(A56318,""en"",""pt"")"),"Toneladas de recursos, bons em todos os lugares, bateria de longa duração, e jogos para quando você ficar entediado.")</f>
        <v>Toneladas de recursos, bons em todos os lugares, bateria de longa duração, e jogos para quando você ficar entediado.</v>
      </c>
      <c r="B56318" s="3">
        <v>1</v>
      </c>
    </row>
    <row r="56319" ht="15.75" customHeight="1" spans="1:2">
      <c r="A56319" s="3" t="str">
        <f>IFERROR(__xludf.DUMMYFUNCTION("GOOGLETRANSLATE(A56319,""en"",""pt"")"),"Muitos recursos úteis")</f>
        <v>Muitos recursos úteis</v>
      </c>
      <c r="B56319" s="3">
        <v>1</v>
      </c>
    </row>
    <row r="56320" ht="15.75" customHeight="1" spans="1:2">
      <c r="A56320" s="3" t="str">
        <f>IFERROR(__xludf.DUMMYFUNCTION("GOOGLETRANSLATE(A56320,""en"",""pt"")"),"o tamanho, o custo, a utilidade")</f>
        <v>o tamanho, o custo, a utilidade</v>
      </c>
      <c r="B56320" s="3">
        <v>1</v>
      </c>
    </row>
    <row r="56321" ht="15.75" customHeight="1" spans="1:2">
      <c r="A56321" s="3" t="str">
        <f>IFERROR(__xludf.DUMMYFUNCTION("GOOGLETRANSLATE(A56321,""en"",""pt"")"),"pequeno, som claro, a vida boa massa")</f>
        <v>pequeno, som claro, a vida boa massa</v>
      </c>
      <c r="B56321" s="3">
        <v>1</v>
      </c>
    </row>
    <row r="56322" ht="15.75" customHeight="1" spans="1:2">
      <c r="A56322" s="3" t="str">
        <f>IFERROR(__xludf.DUMMYFUNCTION("GOOGLETRANSLATE(A56322,""en"",""pt"")"),"burro de carga que não desiste")</f>
        <v>burro de carga que não desiste</v>
      </c>
      <c r="B56322" s="3">
        <v>1</v>
      </c>
    </row>
    <row r="56323" ht="15.75" customHeight="1" spans="1:2">
      <c r="A56323" s="3" t="str">
        <f>IFERROR(__xludf.DUMMYFUNCTION("GOOGLETRANSLATE(A56323,""en"",""pt"")"),"Muito leve, fácil de usar, state-of-the-art vida útil da bateria")</f>
        <v>Muito leve, fácil de usar, state-of-the-art vida útil da bateria</v>
      </c>
      <c r="B56323" s="3">
        <v>1</v>
      </c>
    </row>
    <row r="56324" ht="15.75" customHeight="1" spans="1:2">
      <c r="A56324" s="3" t="str">
        <f>IFERROR(__xludf.DUMMYFUNCTION("GOOGLETRANSLATE(A56324,""en"",""pt"")"),"Vida útil da bateria, durável")</f>
        <v>Vida útil da bateria, durável</v>
      </c>
      <c r="B56324" s="3">
        <v>1</v>
      </c>
    </row>
    <row r="56325" ht="15.75" customHeight="1" spans="1:2">
      <c r="A56325" s="3" t="str">
        <f>IFERROR(__xludf.DUMMYFUNCTION("GOOGLETRANSLATE(A56325,""en"",""pt"")"),"Excelente qualidade de som, longa espera e tempo de conversação, peso leve, trabalha em digital e analógico")</f>
        <v>Excelente qualidade de som, longa espera e tempo de conversação, peso leve, trabalha em digital e analógico</v>
      </c>
      <c r="B56325" s="3">
        <v>1</v>
      </c>
    </row>
    <row r="56326" ht="15.75" customHeight="1" spans="1:2">
      <c r="A56326" s="3" t="str">
        <f>IFERROR(__xludf.DUMMYFUNCTION("GOOGLETRANSLATE(A56326,""en"",""pt"")"),"Leve, compacto, boas características, sinal geralmente forte e grande raio de chamada.")</f>
        <v>Leve, compacto, boas características, sinal geralmente forte e grande raio de chamada.</v>
      </c>
      <c r="B56326" s="3">
        <v>1</v>
      </c>
    </row>
    <row r="56327" ht="15.75" customHeight="1" spans="1:2">
      <c r="A56327" s="3" t="str">
        <f>IFERROR(__xludf.DUMMYFUNCTION("GOOGLETRANSLATE(A56327,""en"",""pt"")"),"Grandes opções, muito poucas chamadas de queda")</f>
        <v>Grandes opções, muito poucas chamadas de queda</v>
      </c>
      <c r="B56327" s="3">
        <v>1</v>
      </c>
    </row>
    <row r="56328" ht="15.75" customHeight="1" spans="1:2">
      <c r="A56328" s="3" t="str">
        <f>IFERROR(__xludf.DUMMYFUNCTION("GOOGLETRANSLATE(A56328,""en"",""pt"")"),"Um plano de tarifas compatíveis, dual band dual mode telefone, I.D. chamada chamada em espera")</f>
        <v>Um plano de tarifas compatíveis, dual band dual mode telefone, I.D. chamada chamada em espera</v>
      </c>
      <c r="B56328" s="3">
        <v>1</v>
      </c>
    </row>
    <row r="56329" ht="15.75" customHeight="1" spans="1:2">
      <c r="A56329" s="3" t="str">
        <f>IFERROR(__xludf.DUMMYFUNCTION("GOOGLETRANSLATE(A56329,""en"",""pt"")"),"Muitas opções e tamanho pequeno")</f>
        <v>Muitas opções e tamanho pequeno</v>
      </c>
      <c r="B56329" s="3">
        <v>1</v>
      </c>
    </row>
    <row r="56330" ht="15.75" customHeight="1" spans="1:2">
      <c r="A56330" s="3" t="str">
        <f>IFERROR(__xludf.DUMMYFUNCTION("GOOGLETRANSLATE(A56330,""en"",""pt"")"),"Qualidade, design, durabilidade, características, Valor")</f>
        <v>Qualidade, design, durabilidade, características, Valor</v>
      </c>
      <c r="B56330" s="3">
        <v>1</v>
      </c>
    </row>
    <row r="56331" ht="15.75" customHeight="1" spans="1:2">
      <c r="A56331" s="3" t="str">
        <f>IFERROR(__xludf.DUMMYFUNCTION("GOOGLETRANSLATE(A56331,""en"",""pt"")"),"Uma infinidade de opções")</f>
        <v>Uma infinidade de opções</v>
      </c>
      <c r="B56331" s="3">
        <v>1</v>
      </c>
    </row>
    <row r="56332" ht="15.75" customHeight="1" spans="1:2">
      <c r="A56332" s="3" t="str">
        <f>IFERROR(__xludf.DUMMYFUNCTION("GOOGLETRANSLATE(A56332,""en"",""pt"")"),"Tem jogos, um calendário e uma memória 199-número tem.")</f>
        <v>Tem jogos, um calendário e uma memória 199-número tem.</v>
      </c>
      <c r="B56332" s="3">
        <v>1</v>
      </c>
    </row>
    <row r="56333" ht="15.75" customHeight="1" spans="1:2">
      <c r="A56333" s="3" t="str">
        <f>IFERROR(__xludf.DUMMYFUNCTION("GOOGLETRANSLATE(A56333,""en"",""pt"")"),"Pequenas, ótimo som, muitos recursos")</f>
        <v>Pequenas, ótimo som, muitos recursos</v>
      </c>
      <c r="B56333" s="3">
        <v>1</v>
      </c>
    </row>
    <row r="56334" ht="15.75" customHeight="1" spans="1:2">
      <c r="A56334" s="3" t="str">
        <f>IFERROR(__xludf.DUMMYFUNCTION("GOOGLETRANSLATE(A56334,""en"",""pt"")"),"pequeno, leve, grande som, livro de telefone, calendário, muito a lista!")</f>
        <v>pequeno, leve, grande som, livro de telefone, calendário, muito a lista!</v>
      </c>
      <c r="B56334" s="3">
        <v>1</v>
      </c>
    </row>
    <row r="56335" ht="15.75" customHeight="1" spans="1:2">
      <c r="A56335" s="3" t="str">
        <f>IFERROR(__xludf.DUMMYFUNCTION("GOOGLETRANSLATE(A56335,""en"",""pt"")"),"Pequeno, leve, atraente, a vida da bateria")</f>
        <v>Pequeno, leve, atraente, a vida da bateria</v>
      </c>
      <c r="B56335" s="3">
        <v>1</v>
      </c>
    </row>
    <row r="56336" ht="15.75" customHeight="1" spans="1:2">
      <c r="A56336" s="3" t="str">
        <f>IFERROR(__xludf.DUMMYFUNCTION("GOOGLETRANSLATE(A56336,""en"",""pt"")"),"Pequeno. leves, grande recepção, tantos recursos")</f>
        <v>Pequeno. leves, grande recepção, tantos recursos</v>
      </c>
      <c r="B56336" s="3">
        <v>1</v>
      </c>
    </row>
    <row r="56337" ht="15.75" customHeight="1" spans="1:2">
      <c r="A56337" s="3" t="str">
        <f>IFERROR(__xludf.DUMMYFUNCTION("GOOGLETRANSLATE(A56337,""en"",""pt"")"),"Grande projeto, sólida, placa de cara swappable")</f>
        <v>Grande projeto, sólida, placa de cara swappable</v>
      </c>
      <c r="B56337" s="3">
        <v>1</v>
      </c>
    </row>
    <row r="56338" ht="15.75" customHeight="1" spans="1:2">
      <c r="A56338" s="3" t="str">
        <f>IFERROR(__xludf.DUMMYFUNCTION("GOOGLETRANSLATE(A56338,""en"",""pt"")"),"A vida da bateria, durabilidade, qualidade de som")</f>
        <v>A vida da bateria, durabilidade, qualidade de som</v>
      </c>
      <c r="B56338" s="3">
        <v>1</v>
      </c>
    </row>
    <row r="56339" ht="15.75" customHeight="1" spans="1:2">
      <c r="A56339" s="3" t="str">
        <f>IFERROR(__xludf.DUMMYFUNCTION("GOOGLETRANSLATE(A56339,""en"",""pt"")"),"características múltiplas, bateria de longa duração")</f>
        <v>características múltiplas, bateria de longa duração</v>
      </c>
      <c r="B56339" s="3">
        <v>1</v>
      </c>
    </row>
    <row r="56340" ht="15.75" customHeight="1" spans="1:2">
      <c r="A56340" s="3" t="str">
        <f>IFERROR(__xludf.DUMMYFUNCTION("GOOGLETRANSLATE(A56340,""en"",""pt"")"),"Estilo, Características.")</f>
        <v>Estilo, Características.</v>
      </c>
      <c r="B56340" s="3">
        <v>1</v>
      </c>
    </row>
    <row r="56341" ht="15.75" customHeight="1" spans="1:2">
      <c r="A56341" s="3" t="str">
        <f>IFERROR(__xludf.DUMMYFUNCTION("GOOGLETRANSLATE(A56341,""en"",""pt"")"),"tempo de conversação, tempo de espera, robusto")</f>
        <v>tempo de conversação, tempo de espera, robusto</v>
      </c>
      <c r="B56341" s="3">
        <v>1</v>
      </c>
    </row>
    <row r="56342" ht="15.75" customHeight="1" spans="1:2">
      <c r="A56342" s="3" t="str">
        <f>IFERROR(__xludf.DUMMYFUNCTION("GOOGLETRANSLATE(A56342,""en"",""pt"")"),"inúmeras funções, boa claridade, configurações personalizadas, bateria de longa duração.")</f>
        <v>inúmeras funções, boa claridade, configurações personalizadas, bateria de longa duração.</v>
      </c>
      <c r="B56342" s="3">
        <v>1</v>
      </c>
    </row>
    <row r="56343" ht="15.75" customHeight="1" spans="1:2">
      <c r="A56343" s="3" t="str">
        <f>IFERROR(__xludf.DUMMYFUNCTION("GOOGLETRANSLATE(A56343,""en"",""pt"")"),"Fácil de usar, numerosos fácil de usar recursos, placas de cor mutável")</f>
        <v>Fácil de usar, numerosos fácil de usar recursos, placas de cor mutável</v>
      </c>
      <c r="B56343" s="3">
        <v>1</v>
      </c>
    </row>
    <row r="56344" ht="15.75" customHeight="1" spans="1:2">
      <c r="A56344" s="3" t="str">
        <f>IFERROR(__xludf.DUMMYFUNCTION("GOOGLETRANSLATE(A56344,""en"",""pt"")"),"Boa duração da bateria")</f>
        <v>Boa duração da bateria</v>
      </c>
      <c r="B56344" s="3">
        <v>1</v>
      </c>
    </row>
    <row r="56345" ht="15.75" customHeight="1" spans="1:2">
      <c r="A56345" s="3" t="str">
        <f>IFERROR(__xludf.DUMMYFUNCTION("GOOGLETRANSLATE(A56345,""en"",""pt"")"),"a vida da bateria incrível, excelente facilidade de utilização")</f>
        <v>a vida da bateria incrível, excelente facilidade de utilização</v>
      </c>
      <c r="B56345" s="3">
        <v>1</v>
      </c>
    </row>
    <row r="56346" ht="15.75" customHeight="1" spans="1:2">
      <c r="A56346" s="3" t="str">
        <f>IFERROR(__xludf.DUMMYFUNCTION("GOOGLETRANSLATE(A56346,""en"",""pt"")"),"Clareza, Mobilidade")</f>
        <v>Clareza, Mobilidade</v>
      </c>
      <c r="B56346" s="3">
        <v>1</v>
      </c>
    </row>
    <row r="56347" ht="15.75" customHeight="1" spans="1:2">
      <c r="A56347" s="3" t="str">
        <f>IFERROR(__xludf.DUMMYFUNCTION("GOOGLETRANSLATE(A56347,""en"",""pt"")"),"bom software, muitos acessórios")</f>
        <v>bom software, muitos acessórios</v>
      </c>
      <c r="B56347" s="3">
        <v>1</v>
      </c>
    </row>
    <row r="56348" ht="15.75" customHeight="1" spans="1:2">
      <c r="A56348" s="3" t="str">
        <f>IFERROR(__xludf.DUMMYFUNCTION("GOOGLETRANSLATE(A56348,""en"",""pt"")"),"GSM, preço, características")</f>
        <v>GSM, preço, características</v>
      </c>
      <c r="B56348" s="3">
        <v>1</v>
      </c>
    </row>
    <row r="56349" ht="15.75" customHeight="1" spans="1:2">
      <c r="A56349" s="3" t="str">
        <f>IFERROR(__xludf.DUMMYFUNCTION("GOOGLETRANSLATE(A56349,""en"",""pt"")"),"peso-leve, bom armazenamento de informação, after-market forte, bom estilo e tamanho")</f>
        <v>peso-leve, bom armazenamento de informação, after-market forte, bom estilo e tamanho</v>
      </c>
      <c r="B56349" s="3">
        <v>1</v>
      </c>
    </row>
    <row r="56350" ht="15.75" customHeight="1" spans="1:2">
      <c r="A56350" s="3" t="str">
        <f>IFERROR(__xludf.DUMMYFUNCTION("GOOGLETRANSLATE(A56350,""en"",""pt"")"),"Grande telefone geral - fácil de usar e muitos acessórios disponíveis")</f>
        <v>Grande telefone geral - fácil de usar e muitos acessórios disponíveis</v>
      </c>
      <c r="B56350" s="3">
        <v>1</v>
      </c>
    </row>
    <row r="56351" ht="15.75" customHeight="1" spans="1:2">
      <c r="A56351" s="3" t="str">
        <f>IFERROR(__xludf.DUMMYFUNCTION("GOOGLETRANSLATE(A56351,""en"",""pt"")"),"A vida da bateria, qualidade de som, facilidade de uso")</f>
        <v>A vida da bateria, qualidade de som, facilidade de uso</v>
      </c>
      <c r="B56351" s="3">
        <v>1</v>
      </c>
    </row>
    <row r="56352" ht="15.75" customHeight="1" spans="1:2">
      <c r="A56352" s="3" t="str">
        <f>IFERROR(__xludf.DUMMYFUNCTION("GOOGLETRANSLATE(A56352,""en"",""pt"")"),"A vida da bateria, qualidade de construção, tamanho pequeno")</f>
        <v>A vida da bateria, qualidade de construção, tamanho pequeno</v>
      </c>
      <c r="B56352" s="3">
        <v>1</v>
      </c>
    </row>
    <row r="56353" ht="15.75" customHeight="1" spans="1:2">
      <c r="A56353" s="3" t="str">
        <f>IFERROR(__xludf.DUMMYFUNCTION("GOOGLETRANSLATE(A56353,""en"",""pt"")"),"Muito portátil, muito longa vida útil da bateria, fácil de usar.")</f>
        <v>Muito portátil, muito longa vida útil da bateria, fácil de usar.</v>
      </c>
      <c r="B56353" s="3">
        <v>1</v>
      </c>
    </row>
    <row r="56354" ht="15.75" customHeight="1" spans="1:2">
      <c r="A56354" s="3" t="str">
        <f>IFERROR(__xludf.DUMMYFUNCTION("GOOGLETRANSLATE(A56354,""en"",""pt"")"),"Funciona como anunciado")</f>
        <v>Funciona como anunciado</v>
      </c>
      <c r="B56354" s="3">
        <v>1</v>
      </c>
    </row>
    <row r="56355" ht="15.75" customHeight="1" spans="1:2">
      <c r="A56355" s="3" t="str">
        <f>IFERROR(__xludf.DUMMYFUNCTION("GOOGLETRANSLATE(A56355,""en"",""pt"")"),"telefone de boa qualidade com abundância de recursos")</f>
        <v>telefone de boa qualidade com abundância de recursos</v>
      </c>
      <c r="B56355" s="3">
        <v>1</v>
      </c>
    </row>
    <row r="56356" ht="15.75" customHeight="1" spans="1:2">
      <c r="A56356" s="3" t="str">
        <f>IFERROR(__xludf.DUMMYFUNCTION("GOOGLETRANSLATE(A56356,""en"",""pt"")"),"todo bom celular")</f>
        <v>todo bom celular</v>
      </c>
      <c r="B56356" s="3">
        <v>1</v>
      </c>
    </row>
    <row r="56357" ht="15.75" customHeight="1" spans="1:2">
      <c r="A56357" s="3" t="str">
        <f>IFERROR(__xludf.DUMMYFUNCTION("GOOGLETRANSLATE(A56357,""en"",""pt"")"),"confiável e leve")</f>
        <v>confiável e leve</v>
      </c>
      <c r="B56357" s="3">
        <v>1</v>
      </c>
    </row>
    <row r="56358" ht="15.75" customHeight="1" spans="1:2">
      <c r="A56358" s="3" t="str">
        <f>IFERROR(__xludf.DUMMYFUNCTION("GOOGLETRANSLATE(A56358,""en"",""pt"")"),"Clara, simples, sólido e bateria de longa duração")</f>
        <v>Clara, simples, sólido e bateria de longa duração</v>
      </c>
      <c r="B56358" s="3">
        <v>1</v>
      </c>
    </row>
    <row r="56359" ht="15.75" customHeight="1" spans="1:2">
      <c r="A56359" s="3" t="str">
        <f>IFERROR(__xludf.DUMMYFUNCTION("GOOGLETRANSLATE(A56359,""en"",""pt"")"),"Bom tamanho, duráveis, muitos acessórios, longa conversação")</f>
        <v>Bom tamanho, duráveis, muitos acessórios, longa conversação</v>
      </c>
      <c r="B56359" s="3">
        <v>1</v>
      </c>
    </row>
    <row r="56360" ht="15.75" customHeight="1" spans="1:2">
      <c r="A56360" s="3" t="str">
        <f>IFERROR(__xludf.DUMMYFUNCTION("GOOGLETRANSLATE(A56360,""en"",""pt"")"),"Excelente qualidade de som, durabilidade, e opções")</f>
        <v>Excelente qualidade de som, durabilidade, e opções</v>
      </c>
      <c r="B56360" s="3">
        <v>1</v>
      </c>
    </row>
    <row r="56361" ht="15.75" customHeight="1" spans="1:2">
      <c r="A56361" s="3" t="str">
        <f>IFERROR(__xludf.DUMMYFUNCTION("GOOGLETRANSLATE(A56361,""en"",""pt"")"),"Tamanho, clareza de som, digitais")</f>
        <v>Tamanho, clareza de som, digitais</v>
      </c>
      <c r="B56361" s="3">
        <v>1</v>
      </c>
    </row>
    <row r="56362" ht="15.75" customHeight="1" spans="1:2">
      <c r="A56362" s="3" t="str">
        <f>IFERROR(__xludf.DUMMYFUNCTION("GOOGLETRANSLATE(A56362,""en"",""pt"")"),"muitas opções, sons limpar, fácil de usar")</f>
        <v>muitas opções, sons limpar, fácil de usar</v>
      </c>
      <c r="B56362" s="3">
        <v>1</v>
      </c>
    </row>
    <row r="56363" ht="15.75" customHeight="1" spans="1:2">
      <c r="A56363" s="3" t="str">
        <f>IFERROR(__xludf.DUMMYFUNCTION("GOOGLETRANSLATE(A56363,""en"",""pt"")"),"Fácil de usar, duráveis, fresco Tunes!")</f>
        <v>Fácil de usar, duráveis, fresco Tunes!</v>
      </c>
      <c r="B56363" s="3">
        <v>1</v>
      </c>
    </row>
    <row r="56364" ht="15.75" customHeight="1" spans="1:2">
      <c r="A56364" s="3" t="str">
        <f>IFERROR(__xludf.DUMMYFUNCTION("GOOGLETRANSLATE(A56364,""en"",""pt"")"),"qualidade de construção, facilidade de uso, a vida da bateria")</f>
        <v>qualidade de construção, facilidade de uso, a vida da bateria</v>
      </c>
      <c r="B56364" s="3">
        <v>1</v>
      </c>
    </row>
    <row r="56365" ht="15.75" customHeight="1" spans="1:2">
      <c r="A56365" s="3" t="str">
        <f>IFERROR(__xludf.DUMMYFUNCTION("GOOGLETRANSLATE(A56365,""en"",""pt"")"),"Cobra é um divertido lotta")</f>
        <v>Cobra é um divertido lotta</v>
      </c>
      <c r="B56365" s="3">
        <v>1</v>
      </c>
    </row>
    <row r="56366" ht="15.75" customHeight="1" spans="1:2">
      <c r="A56366" s="3" t="str">
        <f>IFERROR(__xludf.DUMMYFUNCTION("GOOGLETRANSLATE(A56366,""en"",""pt"")"),"Boa conversação, Lotta apresenta.")</f>
        <v>Boa conversação, Lotta apresenta.</v>
      </c>
      <c r="B56366" s="3">
        <v>1</v>
      </c>
    </row>
    <row r="56367" ht="15.75" customHeight="1" spans="1:2">
      <c r="A56367" s="3" t="str">
        <f>IFERROR(__xludf.DUMMYFUNCTION("GOOGLETRANSLATE(A56367,""en"",""pt"")"),"Tamanho e qualidade digital")</f>
        <v>Tamanho e qualidade digital</v>
      </c>
      <c r="B56367" s="3">
        <v>1</v>
      </c>
    </row>
    <row r="56368" ht="15.75" customHeight="1" spans="1:2">
      <c r="A56368" s="3" t="str">
        <f>IFERROR(__xludf.DUMMYFUNCTION("GOOGLETRANSLATE(A56368,""en"",""pt"")"),"Boa telefone celular")</f>
        <v>Boa telefone celular</v>
      </c>
      <c r="B56368" s="3">
        <v>1</v>
      </c>
    </row>
    <row r="56369" ht="15.75" customHeight="1" spans="1:2">
      <c r="A56369" s="3" t="str">
        <f>IFERROR(__xludf.DUMMYFUNCTION("GOOGLETRANSLATE(A56369,""en"",""pt"")"),"Telefone grandes # memória. Marcação simples.")</f>
        <v>Telefone grandes # memória. Marcação simples.</v>
      </c>
      <c r="B56369" s="3">
        <v>1</v>
      </c>
    </row>
    <row r="56370" ht="15.75" customHeight="1" spans="1:2">
      <c r="A56370" s="3" t="str">
        <f>IFERROR(__xludf.DUMMYFUNCTION("GOOGLETRANSLATE(A56370,""en"",""pt"")"),"Excelente tempo de conversação, a duração da bateria e interface do menu")</f>
        <v>Excelente tempo de conversação, a duração da bateria e interface do menu</v>
      </c>
      <c r="B56370" s="3">
        <v>1</v>
      </c>
    </row>
    <row r="56371" ht="15.75" customHeight="1" spans="1:2">
      <c r="A56371" s="3" t="str">
        <f>IFERROR(__xludf.DUMMYFUNCTION("GOOGLETRANSLATE(A56371,""en"",""pt"")"),"Você pode fazer uma chamada, geralmente.")</f>
        <v>Você pode fazer uma chamada, geralmente.</v>
      </c>
      <c r="B56371" s="3">
        <v>1</v>
      </c>
    </row>
    <row r="56372" ht="15.75" customHeight="1" spans="1:2">
      <c r="A56372" s="3" t="str">
        <f>IFERROR(__xludf.DUMMYFUNCTION("GOOGLETRANSLATE(A56372,""en"",""pt"")"),"Tamanho, a vida da bateria, software")</f>
        <v>Tamanho, a vida da bateria, software</v>
      </c>
      <c r="B56372" s="3">
        <v>1</v>
      </c>
    </row>
    <row r="56373" ht="15.75" customHeight="1" spans="1:2">
      <c r="A56373" s="3" t="str">
        <f>IFERROR(__xludf.DUMMYFUNCTION("GOOGLETRANSLATE(A56373,""en"",""pt"")"),"compacta, várias seleções de anel, a vida excelente da bateria")</f>
        <v>compacta, várias seleções de anel, a vida excelente da bateria</v>
      </c>
      <c r="B56373" s="3">
        <v>1</v>
      </c>
    </row>
    <row r="56374" ht="15.75" customHeight="1" spans="1:2">
      <c r="A56374" s="3" t="str">
        <f>IFERROR(__xludf.DUMMYFUNCTION("GOOGLETRANSLATE(A56374,""en"",""pt"")"),"uso em todo o país.")</f>
        <v>uso em todo o país.</v>
      </c>
      <c r="B56374" s="3">
        <v>1</v>
      </c>
    </row>
    <row r="56375" ht="15.75" customHeight="1" spans="1:2">
      <c r="A56375" s="3" t="str">
        <f>IFERROR(__xludf.DUMMYFUNCTION("GOOGLETRANSLATE(A56375,""en"",""pt"")"),"rico em recursos (calendário, calculadora, jogos, tipos de campainha)")</f>
        <v>rico em recursos (calendário, calculadora, jogos, tipos de campainha)</v>
      </c>
      <c r="B56375" s="3">
        <v>1</v>
      </c>
    </row>
    <row r="56376" ht="15.75" customHeight="1" spans="1:2">
      <c r="A56376" s="3" t="str">
        <f>IFERROR(__xludf.DUMMYFUNCTION("GOOGLETRANSLATE(A56376,""en"",""pt"")"),"Peso, tamanho, bateria, antena, shell")</f>
        <v>Peso, tamanho, bateria, antena, shell</v>
      </c>
      <c r="B56376" s="3">
        <v>1</v>
      </c>
    </row>
    <row r="56377" ht="15.75" customHeight="1" spans="1:2">
      <c r="A56377" s="3" t="str">
        <f>IFERROR(__xludf.DUMMYFUNCTION("GOOGLETRANSLATE(A56377,""en"",""pt"")"),"forma, peso, placas frontais coloridas impressionante forma factor--")</f>
        <v>forma, peso, placas frontais coloridas impressionante forma factor--</v>
      </c>
      <c r="B56377" s="3">
        <v>1</v>
      </c>
    </row>
    <row r="56378" ht="15.75" customHeight="1" spans="1:2">
      <c r="A56378" s="3" t="str">
        <f>IFERROR(__xludf.DUMMYFUNCTION("GOOGLETRANSLATE(A56378,""en"",""pt"")"),"pequeno, customizável")</f>
        <v>pequeno, customizável</v>
      </c>
      <c r="B56378" s="3">
        <v>1</v>
      </c>
    </row>
    <row r="56379" ht="15.75" customHeight="1" spans="1:2">
      <c r="A56379" s="3" t="str">
        <f>IFERROR(__xludf.DUMMYFUNCTION("GOOGLETRANSLATE(A56379,""en"",""pt"")"),"excelentes características")</f>
        <v>excelentes características</v>
      </c>
      <c r="B56379" s="3">
        <v>1</v>
      </c>
    </row>
    <row r="56380" ht="15.75" customHeight="1" spans="1:2">
      <c r="A56380" s="3" t="str">
        <f>IFERROR(__xludf.DUMMYFUNCTION("GOOGLETRANSLATE(A56380,""en"",""pt"")"),"armazenamento de memória é enorme")</f>
        <v>armazenamento de memória é enorme</v>
      </c>
      <c r="B56380" s="3">
        <v>1</v>
      </c>
    </row>
    <row r="56381" ht="15.75" customHeight="1" spans="1:2">
      <c r="A56381" s="3" t="str">
        <f>IFERROR(__xludf.DUMMYFUNCTION("GOOGLETRANSLATE(A56381,""en"",""pt"")"),"recurso-carregada; aparência adaptável; muito portátil; recepção decente na maioria dos tipos de serviços")</f>
        <v>recurso-carregada; aparência adaptável; muito portátil; recepção decente na maioria dos tipos de serviços</v>
      </c>
      <c r="B56381" s="3">
        <v>1</v>
      </c>
    </row>
    <row r="56382" ht="15.75" customHeight="1" spans="1:2">
      <c r="A56382" s="3" t="str">
        <f>IFERROR(__xludf.DUMMYFUNCTION("GOOGLETRANSLATE(A56382,""en"",""pt"")"),"Relativamente bom em tamanho e estilo; equipado com o conjunto-em útil características; pode decorar com muitos topos de cores diferentes, janela de plástico e botões.")</f>
        <v>Relativamente bom em tamanho e estilo; equipado com o conjunto-em útil características; pode decorar com muitos topos de cores diferentes, janela de plástico e botões.</v>
      </c>
      <c r="B56382" s="3">
        <v>1</v>
      </c>
    </row>
    <row r="56383" ht="15.75" customHeight="1" spans="1:2">
      <c r="A56383" s="3" t="str">
        <f>IFERROR(__xludf.DUMMYFUNCTION("GOOGLETRANSLATE(A56383,""en"",""pt"")"),"calculadora, alarme datado, excelente suporte técnico")</f>
        <v>calculadora, alarme datado, excelente suporte técnico</v>
      </c>
      <c r="B56383" s="3">
        <v>1</v>
      </c>
    </row>
    <row r="56384" ht="15.75" customHeight="1" spans="1:2">
      <c r="A56384" s="3" t="str">
        <f>IFERROR(__xludf.DUMMYFUNCTION("GOOGLETRANSLATE(A56384,""en"",""pt"")"),"Robusto, pequeno e confiável, com características agradáveis")</f>
        <v>Robusto, pequeno e confiável, com características agradáveis</v>
      </c>
      <c r="B56384" s="3">
        <v>1</v>
      </c>
    </row>
    <row r="56385" ht="15.75" customHeight="1" spans="1:2">
      <c r="A56385" s="3" t="str">
        <f>IFERROR(__xludf.DUMMYFUNCTION("GOOGLETRANSLATE(A56385,""en"",""pt"")"),"completo com pager")</f>
        <v>completo com pager</v>
      </c>
      <c r="B56385" s="3">
        <v>1</v>
      </c>
    </row>
    <row r="56386" ht="15.75" customHeight="1" spans="1:2">
      <c r="A56386" s="3" t="str">
        <f>IFERROR(__xludf.DUMMYFUNCTION("GOOGLETRANSLATE(A56386,""en"",""pt"")"),"elegante, super bateria de longa duração, excelente UI de menu")</f>
        <v>elegante, super bateria de longa duração, excelente UI de menu</v>
      </c>
      <c r="B56386" s="3">
        <v>1</v>
      </c>
    </row>
    <row r="56387" ht="15.75" customHeight="1" spans="1:2">
      <c r="A56387" s="3" t="str">
        <f>IFERROR(__xludf.DUMMYFUNCTION("GOOGLETRANSLATE(A56387,""en"",""pt"")"),"Design, recepção digital, tamanho e peso")</f>
        <v>Design, recepção digital, tamanho e peso</v>
      </c>
      <c r="B56387" s="3">
        <v>1</v>
      </c>
    </row>
    <row r="56388" ht="15.75" customHeight="1" spans="1:2">
      <c r="A56388" s="3" t="str">
        <f>IFERROR(__xludf.DUMMYFUNCTION("GOOGLETRANSLATE(A56388,""en"",""pt"")"),"Tempo prolongado de bateria, calculadora, calendário, memória do telefone, pequeno tamanho e peso")</f>
        <v>Tempo prolongado de bateria, calculadora, calendário, memória do telefone, pequeno tamanho e peso</v>
      </c>
      <c r="B56388" s="3">
        <v>1</v>
      </c>
    </row>
    <row r="56389" ht="15.75" customHeight="1" spans="1:2">
      <c r="A56389" s="3" t="str">
        <f>IFERROR(__xludf.DUMMYFUNCTION("GOOGLETRANSLATE(A56389,""en"",""pt"")"),"características techie")</f>
        <v>características techie</v>
      </c>
      <c r="B56389" s="3">
        <v>1</v>
      </c>
    </row>
    <row r="56390" ht="15.75" customHeight="1" spans="1:2">
      <c r="A56390" s="3" t="str">
        <f>IFERROR(__xludf.DUMMYFUNCTION("GOOGLETRANSLATE(A56390,""en"",""pt"")"),"Muitas opções, grande projeto")</f>
        <v>Muitas opções, grande projeto</v>
      </c>
      <c r="B56390" s="3">
        <v>1</v>
      </c>
    </row>
    <row r="56391" ht="15.75" customHeight="1" spans="1:2">
      <c r="A56391" s="3" t="str">
        <f>IFERROR(__xludf.DUMMYFUNCTION("GOOGLETRANSLATE(A56391,""en"",""pt"")"),"Leve, durável, bateria de longa duração, muitas características,")</f>
        <v>Leve, durável, bateria de longa duração, muitas características,</v>
      </c>
      <c r="B56391" s="3">
        <v>1</v>
      </c>
    </row>
    <row r="56392" ht="15.75" customHeight="1" spans="1:2">
      <c r="A56392" s="3" t="str">
        <f>IFERROR(__xludf.DUMMYFUNCTION("GOOGLETRANSLATE(A56392,""en"",""pt"")"),"baixas emissões de ELF")</f>
        <v>baixas emissões de ELF</v>
      </c>
      <c r="B56392" s="3">
        <v>1</v>
      </c>
    </row>
    <row r="56393" ht="15.75" customHeight="1" spans="1:2">
      <c r="A56393" s="3" t="str">
        <f>IFERROR(__xludf.DUMMYFUNCTION("GOOGLETRANSLATE(A56393,""en"",""pt"")"),"Simples, pacote de estilo")</f>
        <v>Simples, pacote de estilo</v>
      </c>
      <c r="B56393" s="3">
        <v>1</v>
      </c>
    </row>
    <row r="56394" ht="15.75" customHeight="1" spans="1:2">
      <c r="A56394" s="3" t="str">
        <f>IFERROR(__xludf.DUMMYFUNCTION("GOOGLETRANSLATE(A56394,""en"",""pt"")"),"Pequena o suficiente para lidar facilmente")</f>
        <v>Pequena o suficiente para lidar facilmente</v>
      </c>
      <c r="B56394" s="3">
        <v>1</v>
      </c>
    </row>
    <row r="56395" ht="15.75" customHeight="1" spans="1:2">
      <c r="A56395" s="3" t="str">
        <f>IFERROR(__xludf.DUMMYFUNCTION("GOOGLETRANSLATE(A56395,""en"",""pt"")"),"User Friendly, fácil de usar, Long espera &amp; amp; hora de conversar")</f>
        <v>User Friendly, fácil de usar, Long espera &amp; amp; hora de conversar</v>
      </c>
      <c r="B56395" s="3">
        <v>1</v>
      </c>
    </row>
    <row r="56396" ht="15.75" customHeight="1" spans="1:2">
      <c r="A56396" s="3" t="str">
        <f>IFERROR(__xludf.DUMMYFUNCTION("GOOGLETRANSLATE(A56396,""en"",""pt"")"),"Recepção, duração da bateria, menus")</f>
        <v>Recepção, duração da bateria, menus</v>
      </c>
      <c r="B56396" s="3">
        <v>1</v>
      </c>
    </row>
    <row r="56397" ht="15.75" customHeight="1" spans="1:2">
      <c r="A56397" s="3" t="str">
        <f>IFERROR(__xludf.DUMMYFUNCTION("GOOGLETRANSLATE(A56397,""en"",""pt"")"),"tudo sobre ele")</f>
        <v>tudo sobre ele</v>
      </c>
      <c r="B56397" s="3">
        <v>1</v>
      </c>
    </row>
    <row r="56398" ht="15.75" customHeight="1" spans="1:2">
      <c r="A56398" s="3" t="str">
        <f>IFERROR(__xludf.DUMMYFUNCTION("GOOGLETRANSLATE(A56398,""en"",""pt"")"),"olhar fresco, grandes recursos")</f>
        <v>olhar fresco, grandes recursos</v>
      </c>
      <c r="B56398" s="3">
        <v>1</v>
      </c>
    </row>
    <row r="56399" ht="15.75" customHeight="1" spans="1:2">
      <c r="A56399" s="3" t="str">
        <f>IFERROR(__xludf.DUMMYFUNCTION("GOOGLETRANSLATE(A56399,""en"",""pt"")"),"Grande qualidade de som, muito pouca ou nenhuma estático, design elegante")</f>
        <v>Grande qualidade de som, muito pouca ou nenhuma estático, design elegante</v>
      </c>
      <c r="B56399" s="3">
        <v>1</v>
      </c>
    </row>
    <row r="56400" ht="15.75" customHeight="1" spans="1:2">
      <c r="A56400" s="3" t="str">
        <f>IFERROR(__xludf.DUMMYFUNCTION("GOOGLETRANSLATE(A56400,""en"",""pt"")"),"Pequeno, acessível")</f>
        <v>Pequeno, acessível</v>
      </c>
      <c r="B56400" s="3">
        <v>1</v>
      </c>
    </row>
    <row r="56401" ht="15.75" customHeight="1" spans="1:2">
      <c r="A56401" s="3" t="str">
        <f>IFERROR(__xludf.DUMMYFUNCTION("GOOGLETRANSLATE(A56401,""en"",""pt"")"),"pequenos e leves, muitas características")</f>
        <v>pequenos e leves, muitas características</v>
      </c>
      <c r="B56401" s="3">
        <v>1</v>
      </c>
    </row>
    <row r="56402" ht="15.75" customHeight="1" spans="1:2">
      <c r="A56402" s="3" t="str">
        <f>IFERROR(__xludf.DUMMYFUNCTION("GOOGLETRANSLATE(A56402,""en"",""pt"")"),"Handi e bom ter")</f>
        <v>Handi e bom ter</v>
      </c>
      <c r="B56402" s="3">
        <v>1</v>
      </c>
    </row>
    <row r="56403" ht="15.75" customHeight="1" spans="1:2">
      <c r="A56403" s="3" t="str">
        <f>IFERROR(__xludf.DUMMYFUNCTION("GOOGLETRANSLATE(A56403,""en"",""pt"")"),"LOOOONG vida da bateria e grande recepção com muitos recursos de chamada.")</f>
        <v>LOOOONG vida da bateria e grande recepção com muitos recursos de chamada.</v>
      </c>
      <c r="B56403" s="3">
        <v>1</v>
      </c>
    </row>
    <row r="56404" ht="15.75" customHeight="1" spans="1:2">
      <c r="A56404" s="3" t="str">
        <f>IFERROR(__xludf.DUMMYFUNCTION("GOOGLETRANSLATE(A56404,""en"",""pt"")"),"Segurança")</f>
        <v>Segurança</v>
      </c>
      <c r="B56404" s="3">
        <v>1</v>
      </c>
    </row>
    <row r="56405" ht="15.75" customHeight="1" spans="1:2">
      <c r="A56405" s="3" t="str">
        <f>IFERROR(__xludf.DUMMYFUNCTION("GOOGLETRANSLATE(A56405,""en"",""pt"")"),"Tamanho, forma, cheiro, gosto, sensação")</f>
        <v>Tamanho, forma, cheiro, gosto, sensação</v>
      </c>
      <c r="B56405" s="3">
        <v>1</v>
      </c>
    </row>
    <row r="56406" ht="15.75" customHeight="1" spans="1:2">
      <c r="A56406" s="3" t="str">
        <f>IFERROR(__xludf.DUMMYFUNCTION("GOOGLETRANSLATE(A56406,""en"",""pt"")"),"Boa claridade, facilidade de uso, e muito bem concebido.")</f>
        <v>Boa claridade, facilidade de uso, e muito bem concebido.</v>
      </c>
      <c r="B56406" s="3">
        <v>1</v>
      </c>
    </row>
    <row r="56407" ht="15.75" customHeight="1" spans="1:2">
      <c r="A56407" s="3" t="str">
        <f>IFERROR(__xludf.DUMMYFUNCTION("GOOGLETRANSLATE(A56407,""en"",""pt"")"),"Preço Baixo, Connections, Hands Free, identificador de chamadas")</f>
        <v>Preço Baixo, Connections, Hands Free, identificador de chamadas</v>
      </c>
      <c r="B56407" s="3">
        <v>1</v>
      </c>
    </row>
    <row r="56408" ht="15.75" customHeight="1" spans="1:2">
      <c r="A56408" s="3" t="str">
        <f>IFERROR(__xludf.DUMMYFUNCTION("GOOGLETRANSLATE(A56408,""en"",""pt"")"),"O peso leve, grande qualidade de som, a vida incrível da bateria")</f>
        <v>O peso leve, grande qualidade de som, a vida incrível da bateria</v>
      </c>
      <c r="B56408" s="3">
        <v>1</v>
      </c>
    </row>
    <row r="56409" ht="15.75" customHeight="1" spans="1:2">
      <c r="A56409" s="3" t="str">
        <f>IFERROR(__xludf.DUMMYFUNCTION("GOOGLETRANSLATE(A56409,""en"",""pt"")"),"Clareza")</f>
        <v>Clareza</v>
      </c>
      <c r="B56409" s="3">
        <v>1</v>
      </c>
    </row>
    <row r="56410" ht="15.75" customHeight="1" spans="1:2">
      <c r="A56410" s="3" t="str">
        <f>IFERROR(__xludf.DUMMYFUNCTION("GOOGLETRANSLATE(A56410,""en"",""pt"")"),"bateria de longa duração, pode ser embalada no ombro")</f>
        <v>bateria de longa duração, pode ser embalada no ombro</v>
      </c>
      <c r="B56410" s="3">
        <v>1</v>
      </c>
    </row>
    <row r="56411" ht="15.75" customHeight="1" spans="1:2">
      <c r="A56411" s="3" t="str">
        <f>IFERROR(__xludf.DUMMYFUNCTION("GOOGLETRANSLATE(A56411,""en"",""pt"")"),"Elegante Styling, Memory")</f>
        <v>Elegante Styling, Memory</v>
      </c>
      <c r="B56411" s="3">
        <v>1</v>
      </c>
    </row>
    <row r="56412" ht="15.75" customHeight="1" spans="1:2">
      <c r="A56412" s="3" t="str">
        <f>IFERROR(__xludf.DUMMYFUNCTION("GOOGLETRANSLATE(A56412,""en"",""pt"")"),"pode mudar a placa de face")</f>
        <v>pode mudar a placa de face</v>
      </c>
      <c r="B56412" s="3">
        <v>1</v>
      </c>
    </row>
    <row r="56413" ht="15.75" customHeight="1" spans="1:2">
      <c r="A56413" s="3" t="str">
        <f>IFERROR(__xludf.DUMMYFUNCTION("GOOGLETRANSLATE(A56413,""en"",""pt"")"),"engenharia Soild, tentou-e-verdadeiro telefone")</f>
        <v>engenharia Soild, tentou-e-verdadeiro telefone</v>
      </c>
      <c r="B56413" s="3">
        <v>1</v>
      </c>
    </row>
    <row r="56414" ht="15.75" customHeight="1" spans="1:2">
      <c r="A56414" s="3" t="str">
        <f>IFERROR(__xludf.DUMMYFUNCTION("GOOGLETRANSLATE(A56414,""en"",""pt"")"),"bateria de longa duração")</f>
        <v>bateria de longa duração</v>
      </c>
      <c r="B56414" s="3">
        <v>1</v>
      </c>
    </row>
    <row r="56415" ht="15.75" customHeight="1" spans="1:2">
      <c r="A56415" s="3" t="str">
        <f>IFERROR(__xludf.DUMMYFUNCTION("GOOGLETRANSLATE(A56415,""en"",""pt"")"),"Grandes recursos, pequeno pacote")</f>
        <v>Grandes recursos, pequeno pacote</v>
      </c>
      <c r="B56415" s="3">
        <v>1</v>
      </c>
    </row>
    <row r="56416" ht="15.75" customHeight="1" spans="1:2">
      <c r="A56416" s="3" t="str">
        <f>IFERROR(__xludf.DUMMYFUNCTION("GOOGLETRANSLATE(A56416,""en"",""pt"")"),"Grandes características, design slim, bons acessórios disponíveis")</f>
        <v>Grandes características, design slim, bons acessórios disponíveis</v>
      </c>
      <c r="B56416" s="3">
        <v>1</v>
      </c>
    </row>
    <row r="56417" ht="15.75" customHeight="1" spans="1:2">
      <c r="A56417" s="3" t="str">
        <f>IFERROR(__xludf.DUMMYFUNCTION("GOOGLETRANSLATE(A56417,""en"",""pt"")"),"Boa claridade, construção sólida, grandes características, tamanho decente")</f>
        <v>Boa claridade, construção sólida, grandes características, tamanho decente</v>
      </c>
      <c r="B56417" s="3">
        <v>1</v>
      </c>
    </row>
    <row r="56418" ht="15.75" customHeight="1" spans="1:2">
      <c r="A56418" s="3" t="str">
        <f>IFERROR(__xludf.DUMMYFUNCTION("GOOGLETRANSLATE(A56418,""en"",""pt"")"),"É uma grande Telefone")</f>
        <v>É uma grande Telefone</v>
      </c>
      <c r="B56418" s="3">
        <v>1</v>
      </c>
    </row>
    <row r="56419" ht="15.75" customHeight="1" spans="1:2">
      <c r="A56419" s="3" t="str">
        <f>IFERROR(__xludf.DUMMYFUNCTION("GOOGLETRANSLATE(A56419,""en"",""pt"")"),"Jogos, anéis especiais")</f>
        <v>Jogos, anéis especiais</v>
      </c>
      <c r="B56419" s="3">
        <v>1</v>
      </c>
    </row>
    <row r="56420" ht="15.75" customHeight="1" spans="1:2">
      <c r="A56420" s="3" t="str">
        <f>IFERROR(__xludf.DUMMYFUNCTION("GOOGLETRANSLATE(A56420,""en"",""pt"")"),"bom celular")</f>
        <v>bom celular</v>
      </c>
      <c r="B56420" s="3">
        <v>1</v>
      </c>
    </row>
    <row r="56421" ht="15.75" customHeight="1" spans="1:2">
      <c r="A56421" s="3" t="str">
        <f>IFERROR(__xludf.DUMMYFUNCTION("GOOGLETRANSLATE(A56421,""en"",""pt"")"),"Recursos, tempo de conversação")</f>
        <v>Recursos, tempo de conversação</v>
      </c>
      <c r="B56421" s="3">
        <v>1</v>
      </c>
    </row>
    <row r="56422" ht="15.75" customHeight="1" spans="1:2">
      <c r="A56422" s="3" t="str">
        <f>IFERROR(__xludf.DUMMYFUNCTION("GOOGLETRANSLATE(A56422,""en"",""pt"")"),"Sólido, boa recepção")</f>
        <v>Sólido, boa recepção</v>
      </c>
      <c r="B56422" s="3">
        <v>1</v>
      </c>
    </row>
    <row r="56423" ht="15.75" customHeight="1" spans="1:2">
      <c r="A56423" s="3" t="str">
        <f>IFERROR(__xludf.DUMMYFUNCTION("GOOGLETRANSLATE(A56423,""en"",""pt"")"),"tamanho, aparência e &amp; quot; todos os dias &amp; quot; características")</f>
        <v>tamanho, aparência e &amp; quot; todos os dias &amp; quot; características</v>
      </c>
      <c r="B56423" s="3">
        <v>1</v>
      </c>
    </row>
    <row r="56424" ht="15.75" customHeight="1" spans="1:2">
      <c r="A56424" s="3" t="str">
        <f>IFERROR(__xludf.DUMMYFUNCTION("GOOGLETRANSLATE(A56424,""en"",""pt"")"),"small &amp; amp; luz")</f>
        <v>small &amp; amp; luz</v>
      </c>
      <c r="B56424" s="3">
        <v>1</v>
      </c>
    </row>
    <row r="56425" ht="15.75" customHeight="1" spans="1:2">
      <c r="A56425" s="3" t="str">
        <f>IFERROR(__xludf.DUMMYFUNCTION("GOOGLETRANSLATE(A56425,""en"",""pt"")"),"O telefone é maravilhoso, tudo em um pacote pequeno !!!")</f>
        <v>O telefone é maravilhoso, tudo em um pacote pequeno !!!</v>
      </c>
      <c r="B56425" s="3">
        <v>1</v>
      </c>
    </row>
    <row r="56426" ht="15.75" customHeight="1" spans="1:2">
      <c r="A56426" s="3" t="str">
        <f>IFERROR(__xludf.DUMMYFUNCTION("GOOGLETRANSLATE(A56426,""en"",""pt"")"),"recursos e mais recursos, durabilidade")</f>
        <v>recursos e mais recursos, durabilidade</v>
      </c>
      <c r="B56426" s="3">
        <v>1</v>
      </c>
    </row>
    <row r="56427" ht="15.75" customHeight="1" spans="1:2">
      <c r="A56427" s="3" t="str">
        <f>IFERROR(__xludf.DUMMYFUNCTION("GOOGLETRANSLATE(A56427,""en"",""pt"")"),"Leve, características, aparência")</f>
        <v>Leve, características, aparência</v>
      </c>
      <c r="B56427" s="3">
        <v>1</v>
      </c>
    </row>
    <row r="56428" ht="15.75" customHeight="1" spans="1:2">
      <c r="A56428" s="3" t="str">
        <f>IFERROR(__xludf.DUMMYFUNCTION("GOOGLETRANSLATE(A56428,""en"",""pt"")"),"som nítido, jogos divertidos, excelente vida útil da bateria")</f>
        <v>som nítido, jogos divertidos, excelente vida útil da bateria</v>
      </c>
      <c r="B56428" s="3">
        <v>1</v>
      </c>
    </row>
    <row r="56429" ht="15.75" customHeight="1" spans="1:2">
      <c r="A56429" s="3" t="str">
        <f>IFERROR(__xludf.DUMMYFUNCTION("GOOGLETRANSLATE(A56429,""en"",""pt"")"),"pequeno, grande recepção, simples")</f>
        <v>pequeno, grande recepção, simples</v>
      </c>
      <c r="B56429" s="3">
        <v>1</v>
      </c>
    </row>
    <row r="56430" ht="15.75" customHeight="1" spans="1:2">
      <c r="A56430" s="3" t="str">
        <f>IFERROR(__xludf.DUMMYFUNCTION("GOOGLETRANSLATE(A56430,""en"",""pt"")"),"Durável, bom tamanho, bateria de longa duração.")</f>
        <v>Durável, bom tamanho, bateria de longa duração.</v>
      </c>
      <c r="B56430" s="3">
        <v>1</v>
      </c>
    </row>
    <row r="56431" ht="15.75" customHeight="1" spans="1:2">
      <c r="A56431" s="3" t="str">
        <f>IFERROR(__xludf.DUMMYFUNCTION("GOOGLETRANSLATE(A56431,""en"",""pt"")"),"recursos, peso-leve, a vida da bateria em modo de espera")</f>
        <v>recursos, peso-leve, a vida da bateria em modo de espera</v>
      </c>
      <c r="B56431" s="3">
        <v>1</v>
      </c>
    </row>
    <row r="56432" ht="15.75" customHeight="1" spans="1:2">
      <c r="A56432" s="3" t="str">
        <f>IFERROR(__xludf.DUMMYFUNCTION("GOOGLETRANSLATE(A56432,""en"",""pt"")"),"serviços, suporte digital")</f>
        <v>serviços, suporte digital</v>
      </c>
      <c r="B56432" s="3">
        <v>1</v>
      </c>
    </row>
    <row r="56433" ht="15.75" customHeight="1" spans="1:2">
      <c r="A56433" s="3" t="str">
        <f>IFERROR(__xludf.DUMMYFUNCTION("GOOGLETRANSLATE(A56433,""en"",""pt"")"),"Excelente recepção, excelente vida útil da bateria, características de conveniência bem considerados")</f>
        <v>Excelente recepção, excelente vida útil da bateria, características de conveniência bem considerados</v>
      </c>
      <c r="B56433" s="3">
        <v>1</v>
      </c>
    </row>
    <row r="56434" ht="15.75" customHeight="1" spans="1:2">
      <c r="A56434" s="3" t="str">
        <f>IFERROR(__xludf.DUMMYFUNCTION("GOOGLETRANSLATE(A56434,""en"",""pt"")"),"grande telefone elegante")</f>
        <v>grande telefone elegante</v>
      </c>
      <c r="B56434" s="3">
        <v>1</v>
      </c>
    </row>
    <row r="56435" ht="15.75" customHeight="1" spans="1:2">
      <c r="A56435" s="3" t="str">
        <f>IFERROR(__xludf.DUMMYFUNCTION("GOOGLETRANSLATE(A56435,""en"",""pt"")"),"Durabilidade, Acessórios, vida útil da bateria")</f>
        <v>Durabilidade, Acessórios, vida útil da bateria</v>
      </c>
      <c r="B56435" s="3">
        <v>1</v>
      </c>
    </row>
    <row r="56436" ht="15.75" customHeight="1" spans="1:2">
      <c r="A56436" s="3" t="str">
        <f>IFERROR(__xludf.DUMMYFUNCTION("GOOGLETRANSLATE(A56436,""en"",""pt"")"),"Leve, durável, vem com 4 jogos, muitas opções de toque diferentes, fácil de interface de uso")</f>
        <v>Leve, durável, vem com 4 jogos, muitas opções de toque diferentes, fácil de interface de uso</v>
      </c>
      <c r="B56436" s="3">
        <v>1</v>
      </c>
    </row>
    <row r="56437" ht="15.75" customHeight="1" spans="1:2">
      <c r="A56437" s="3" t="s">
        <v>300</v>
      </c>
      <c r="B56437" s="3">
        <v>1</v>
      </c>
    </row>
    <row r="56438" ht="15.75" customHeight="1" spans="1:2">
      <c r="A56438" s="3" t="str">
        <f>IFERROR(__xludf.DUMMYFUNCTION("GOOGLETRANSLATE(A56438,""en"",""pt"")"),"pequeno o suficiente para levar com você")</f>
        <v>pequeno o suficiente para levar com você</v>
      </c>
      <c r="B56438" s="3">
        <v>1</v>
      </c>
    </row>
    <row r="56439" ht="15.75" customHeight="1" spans="1:2">
      <c r="A56439" s="3" t="str">
        <f>IFERROR(__xludf.DUMMYFUNCTION("GOOGLETRANSLATE(A56439,""en"",""pt"")"),"Fácil de usar, portátil, eficiente &amp; amp; divertido")</f>
        <v>Fácil de usar, portátil, eficiente &amp; amp; divertido</v>
      </c>
      <c r="B56439" s="3">
        <v>1</v>
      </c>
    </row>
    <row r="56440" ht="15.75" customHeight="1" spans="1:2">
      <c r="A56440" s="3" t="str">
        <f>IFERROR(__xludf.DUMMYFUNCTION("GOOGLETRANSLATE(A56440,""en"",""pt"")"),"Facilidade de uso, confiável e durável")</f>
        <v>Facilidade de uso, confiável e durável</v>
      </c>
      <c r="B56440" s="3">
        <v>1</v>
      </c>
    </row>
    <row r="56441" ht="15.75" customHeight="1" spans="1:2">
      <c r="A56441" s="3" t="str">
        <f>IFERROR(__xludf.DUMMYFUNCTION("GOOGLETRANSLATE(A56441,""en"",""pt"")"),"grande tamanho, fácil de usar, bateria de longa duração")</f>
        <v>grande tamanho, fácil de usar, bateria de longa duração</v>
      </c>
      <c r="B56441" s="3">
        <v>1</v>
      </c>
    </row>
    <row r="56442" ht="15.75" customHeight="1" spans="1:2">
      <c r="A56442" s="3" t="str">
        <f>IFERROR(__xludf.DUMMYFUNCTION("GOOGLETRANSLATE(A56442,""en"",""pt"")"),"Sua desperdício de recursos de tempo")</f>
        <v>Sua desperdício de recursos de tempo</v>
      </c>
      <c r="B56442" s="3">
        <v>1</v>
      </c>
    </row>
    <row r="56443" ht="15.75" customHeight="1" spans="1:2">
      <c r="A56443" s="3" t="str">
        <f>IFERROR(__xludf.DUMMYFUNCTION("GOOGLETRANSLATE(A56443,""en"",""pt"")"),"grande autonomia da bateria")</f>
        <v>grande autonomia da bateria</v>
      </c>
      <c r="B56443" s="3">
        <v>1</v>
      </c>
    </row>
    <row r="56444" ht="15.75" customHeight="1" spans="1:2">
      <c r="A56444" s="3" t="str">
        <f>IFERROR(__xludf.DUMMYFUNCTION("GOOGLETRANSLATE(A56444,""en"",""pt"")"),"Clareza e som")</f>
        <v>Clareza e som</v>
      </c>
      <c r="B56444" s="3">
        <v>1</v>
      </c>
    </row>
    <row r="56445" ht="15.75" customHeight="1" spans="1:2">
      <c r="A56445" s="3" t="str">
        <f>IFERROR(__xludf.DUMMYFUNCTION("GOOGLETRANSLATE(A56445,""en"",""pt"")"),"seguros, fortes, confiáveis, alterando as cores, recursos extras, o mais longo tempo de conversação e de espera na indústria.")</f>
        <v>seguros, fortes, confiáveis, alterando as cores, recursos extras, o mais longo tempo de conversação e de espera na indústria.</v>
      </c>
      <c r="B56445" s="3">
        <v>1</v>
      </c>
    </row>
    <row r="56446" ht="15.75" customHeight="1" spans="1:2">
      <c r="A56446" s="3" t="str">
        <f>IFERROR(__xludf.DUMMYFUNCTION("GOOGLETRANSLATE(A56446,""en"",""pt"")"),"funções lotes, bom preço, boa aparência, bom tamanho ... você começa o ponto.")</f>
        <v>funções lotes, bom preço, boa aparência, bom tamanho ... você começa o ponto.</v>
      </c>
      <c r="B56446" s="3">
        <v>1</v>
      </c>
    </row>
    <row r="56447" ht="15.75" customHeight="1" spans="1:2">
      <c r="A56447" s="3" t="str">
        <f>IFERROR(__xludf.DUMMYFUNCTION("GOOGLETRANSLATE(A56447,""en"",""pt"")"),"Chique, elegante ... pode caber no seu bolso, bolsa de etc..Colorful ..")</f>
        <v>Chique, elegante ... pode caber no seu bolso, bolsa de etc..Colorful ..</v>
      </c>
      <c r="B56447" s="3">
        <v>1</v>
      </c>
    </row>
    <row r="56448" ht="15.75" customHeight="1" spans="1:2">
      <c r="A56448" s="3" t="str">
        <f>IFERROR(__xludf.DUMMYFUNCTION("GOOGLETRANSLATE(A56448,""en"",""pt"")"),"Pequeno, fácil de usar")</f>
        <v>Pequeno, fácil de usar</v>
      </c>
      <c r="B56448" s="3">
        <v>1</v>
      </c>
    </row>
    <row r="56449" ht="15.75" customHeight="1" spans="1:2">
      <c r="A56449" s="3" t="str">
        <f>IFERROR(__xludf.DUMMYFUNCTION("GOOGLETRANSLATE(A56449,""en"",""pt"")"),"Tudo, incluindo a duração da bateria, clareza chamada, tamanho e peso, e facilidade de uso")</f>
        <v>Tudo, incluindo a duração da bateria, clareza chamada, tamanho e peso, e facilidade de uso</v>
      </c>
      <c r="B56449" s="3">
        <v>1</v>
      </c>
    </row>
    <row r="56450" ht="15.75" customHeight="1" spans="1:2">
      <c r="A56450" s="3" t="str">
        <f>IFERROR(__xludf.DUMMYFUNCTION("GOOGLETRANSLATE(A56450,""en"",""pt"")"),"bateria de longa duração, fácil de usar")</f>
        <v>bateria de longa duração, fácil de usar</v>
      </c>
      <c r="B56450" s="3">
        <v>1</v>
      </c>
    </row>
    <row r="56451" ht="15.75" customHeight="1" spans="1:2">
      <c r="A56451" s="3" t="str">
        <f>IFERROR(__xludf.DUMMYFUNCTION("GOOGLETRANSLATE(A56451,""en"",""pt"")"),"Fácil de manusear, nenhuma frente aleta!")</f>
        <v>Fácil de manusear, nenhuma frente aleta!</v>
      </c>
      <c r="B56451" s="3">
        <v>1</v>
      </c>
    </row>
    <row r="56452" ht="15.75" customHeight="1" spans="1:2">
      <c r="A56452" s="3" t="str">
        <f>IFERROR(__xludf.DUMMYFUNCTION("GOOGLETRANSLATE(A56452,""en"",""pt"")"),"Compacto e fácil de usar")</f>
        <v>Compacto e fácil de usar</v>
      </c>
      <c r="B56452" s="3">
        <v>1</v>
      </c>
    </row>
    <row r="56453" ht="15.75" customHeight="1" spans="1:2">
      <c r="A56453" s="3" t="str">
        <f>IFERROR(__xludf.DUMMYFUNCTION("GOOGLETRANSLATE(A56453,""en"",""pt"")"),"Grandes recursos, recepção, confiabilidade")</f>
        <v>Grandes recursos, recepção, confiabilidade</v>
      </c>
      <c r="B56453" s="3">
        <v>1</v>
      </c>
    </row>
    <row r="56454" ht="15.75" customHeight="1" spans="1:2">
      <c r="A56454" s="3" t="str">
        <f>IFERROR(__xludf.DUMMYFUNCTION("GOOGLETRANSLATE(A56454,""en"",""pt"")"),"Cheio de recursos, tem tudo e um pouco.")</f>
        <v>Cheio de recursos, tem tudo e um pouco.</v>
      </c>
      <c r="B56454" s="3">
        <v>1</v>
      </c>
    </row>
    <row r="56455" ht="15.75" customHeight="1" spans="1:2">
      <c r="A56455" s="3" t="str">
        <f>IFERROR(__xludf.DUMMYFUNCTION("GOOGLETRANSLATE(A56455,""en"",""pt"")"),"Boa duração da bateria, preço, bom desempenho geral.")</f>
        <v>Boa duração da bateria, preço, bom desempenho geral.</v>
      </c>
      <c r="B56455" s="3">
        <v>1</v>
      </c>
    </row>
    <row r="56456" ht="15.75" customHeight="1" spans="1:2">
      <c r="A56456" s="3" t="str">
        <f>IFERROR(__xludf.DUMMYFUNCTION("GOOGLETRANSLATE(A56456,""en"",""pt"")"),"blocos de tarifas de roaming, boa aparência, antena resistente")</f>
        <v>blocos de tarifas de roaming, boa aparência, antena resistente</v>
      </c>
      <c r="B56456" s="3">
        <v>1</v>
      </c>
    </row>
    <row r="56457" ht="15.75" customHeight="1" spans="1:2">
      <c r="A56457" s="3" t="str">
        <f>IFERROR(__xludf.DUMMYFUNCTION("GOOGLETRANSLATE(A56457,""en"",""pt"")"),"Tudo")</f>
        <v>Tudo</v>
      </c>
      <c r="B56457" s="3">
        <v>1</v>
      </c>
    </row>
    <row r="56458" ht="15.75" customHeight="1" spans="1:2">
      <c r="A56458" s="3" t="str">
        <f>IFERROR(__xludf.DUMMYFUNCTION("GOOGLETRANSLATE(A56458,""en"",""pt"")"),"pequeno, elegante e fácil de entender menus")</f>
        <v>pequeno, elegante e fácil de entender menus</v>
      </c>
      <c r="B56458" s="3">
        <v>1</v>
      </c>
    </row>
    <row r="56459" ht="15.75" customHeight="1" spans="1:2">
      <c r="A56459" s="3" t="str">
        <f>IFERROR(__xludf.DUMMYFUNCTION("GOOGLETRANSLATE(A56459,""en"",""pt"")"),"Grande telefone, bom tamanho, clareza, etc.")</f>
        <v>Grande telefone, bom tamanho, clareza, etc.</v>
      </c>
      <c r="B56459" s="3">
        <v>1</v>
      </c>
    </row>
    <row r="56460" ht="15.75" customHeight="1" spans="1:2">
      <c r="A56460" s="3" t="str">
        <f>IFERROR(__xludf.DUMMYFUNCTION("GOOGLETRANSLATE(A56460,""en"",""pt"")"),"telefone bem equilibrada")</f>
        <v>telefone bem equilibrada</v>
      </c>
      <c r="B56460" s="3">
        <v>1</v>
      </c>
    </row>
    <row r="56461" ht="15.75" customHeight="1" spans="1:2">
      <c r="A56461" s="3" t="str">
        <f>IFERROR(__xludf.DUMMYFUNCTION("GOOGLETRANSLATE(A56461,""en"",""pt"")"),"Boa e durável")</f>
        <v>Boa e durável</v>
      </c>
      <c r="B56461" s="3">
        <v>1</v>
      </c>
    </row>
    <row r="56462" ht="15.75" customHeight="1" spans="1:2">
      <c r="A56462" s="3" t="str">
        <f>IFERROR(__xludf.DUMMYFUNCTION("GOOGLETRANSLATE(A56462,""en"",""pt"")"),"completa, não é caro, forma, funcional, fácil")</f>
        <v>completa, não é caro, forma, funcional, fácil</v>
      </c>
      <c r="B56462" s="3">
        <v>1</v>
      </c>
    </row>
    <row r="56463" ht="15.75" customHeight="1" spans="1:2">
      <c r="A56463" s="3" t="str">
        <f>IFERROR(__xludf.DUMMYFUNCTION("GOOGLETRANSLATE(A56463,""en"",""pt"")"),"blocos de tarifas de roaming, boa aparência, antena resistente")</f>
        <v>blocos de tarifas de roaming, boa aparência, antena resistente</v>
      </c>
      <c r="B56463" s="3">
        <v>1</v>
      </c>
    </row>
    <row r="56464" ht="15.75" customHeight="1" spans="1:2">
      <c r="A56464" s="3" t="str">
        <f>IFERROR(__xludf.DUMMYFUNCTION("GOOGLETRANSLATE(A56464,""en"",""pt"")"),"agradáveis ​​jogos, tamanho certo, a vida da bateria decente, diferentes do 5160")</f>
        <v>agradáveis ​​jogos, tamanho certo, a vida da bateria decente, diferentes do 5160</v>
      </c>
      <c r="B56464" s="3">
        <v>1</v>
      </c>
    </row>
    <row r="56465" ht="15.75" customHeight="1" spans="1:2">
      <c r="A56465" s="3" t="str">
        <f>IFERROR(__xludf.DUMMYFUNCTION("GOOGLETRANSLATE(A56465,""en"",""pt"")"),"Simples de usar, boa som")</f>
        <v>Simples de usar, boa som</v>
      </c>
      <c r="B56465" s="3">
        <v>1</v>
      </c>
    </row>
    <row r="56466" ht="15.75" customHeight="1" spans="1:2">
      <c r="A56466" s="3" t="str">
        <f>IFERROR(__xludf.DUMMYFUNCTION("GOOGLETRANSLATE(A56466,""en"",""pt"")"),"bateria de longa duração")</f>
        <v>bateria de longa duração</v>
      </c>
      <c r="B56466" s="3">
        <v>1</v>
      </c>
    </row>
    <row r="56467" ht="15.75" customHeight="1" spans="1:2">
      <c r="A56467" s="3" t="str">
        <f>IFERROR(__xludf.DUMMYFUNCTION("GOOGLETRANSLATE(A56467,""en"",""pt"")"),"muito")</f>
        <v>muito</v>
      </c>
      <c r="B56467" s="3">
        <v>1</v>
      </c>
    </row>
    <row r="56468" ht="15.75" customHeight="1" spans="1:2">
      <c r="A56468" s="3" t="str">
        <f>IFERROR(__xludf.DUMMYFUNCTION("GOOGLETRANSLATE(A56468,""en"",""pt"")"),"bateria de longa duração, alto e claro.")</f>
        <v>bateria de longa duração, alto e claro.</v>
      </c>
      <c r="B56468" s="3">
        <v>1</v>
      </c>
    </row>
    <row r="56469" ht="15.75" customHeight="1" spans="1:2">
      <c r="A56469" s="3" t="str">
        <f>IFERROR(__xludf.DUMMYFUNCTION("GOOGLETRANSLATE(A56469,""en"",""pt"")"),"3")</f>
        <v>3</v>
      </c>
      <c r="B56469" s="3">
        <v>1</v>
      </c>
    </row>
    <row r="56470" ht="15.75" customHeight="1" spans="1:2">
      <c r="A56470" s="3" t="str">
        <f>IFERROR(__xludf.DUMMYFUNCTION("GOOGLETRANSLATE(A56470,""en"",""pt"")"),"Melhor telefone celular no mercado")</f>
        <v>Melhor telefone celular no mercado</v>
      </c>
      <c r="B56470" s="3">
        <v>1</v>
      </c>
    </row>
    <row r="56471" ht="15.75" customHeight="1" spans="1:2">
      <c r="A56471" s="3" t="str">
        <f>IFERROR(__xludf.DUMMYFUNCTION("GOOGLETRANSLATE(A56471,""en"",""pt"")"),"maravilha tecnológica")</f>
        <v>maravilha tecnológica</v>
      </c>
      <c r="B56471" s="3">
        <v>1</v>
      </c>
    </row>
    <row r="56472" ht="15.75" customHeight="1" spans="1:2">
      <c r="A56472" s="3" t="str">
        <f>IFERROR(__xludf.DUMMYFUNCTION("GOOGLETRANSLATE(A56472,""en"",""pt"")"),"vários recursos")</f>
        <v>vários recursos</v>
      </c>
      <c r="B56472" s="3">
        <v>1</v>
      </c>
    </row>
    <row r="56473" ht="15.75" customHeight="1" spans="1:2">
      <c r="A56473" s="3" t="str">
        <f>IFERROR(__xludf.DUMMYFUNCTION("GOOGLETRANSLATE(A56473,""en"",""pt"")"),"Tamanho, duração da bateria, use-capacidade")</f>
        <v>Tamanho, duração da bateria, use-capacidade</v>
      </c>
      <c r="B56473" s="3">
        <v>1</v>
      </c>
    </row>
    <row r="56474" ht="15.75" customHeight="1" spans="1:2">
      <c r="A56474" s="3" t="str">
        <f>IFERROR(__xludf.DUMMYFUNCTION("GOOGLETRANSLATE(A56474,""en"",""pt"")"),"Qualidade, características")</f>
        <v>Qualidade, características</v>
      </c>
      <c r="B56474" s="3">
        <v>1</v>
      </c>
    </row>
    <row r="56475" ht="15.75" customHeight="1" spans="1:2">
      <c r="A56475" s="3" t="str">
        <f>IFERROR(__xludf.DUMMYFUNCTION("GOOGLETRANSLATE(A56475,""en"",""pt"")"),"Preço, produto")</f>
        <v>Preço, produto</v>
      </c>
      <c r="B56475" s="3">
        <v>1</v>
      </c>
    </row>
    <row r="56476" ht="15.75" customHeight="1" spans="1:2">
      <c r="A56476" s="3" t="str">
        <f>IFERROR(__xludf.DUMMYFUNCTION("GOOGLETRANSLATE(A56476,""en"",""pt"")"),"fácil de usar, trava no clipe de cinto bem")</f>
        <v>fácil de usar, trava no clipe de cinto bem</v>
      </c>
      <c r="B56476" s="3">
        <v>1</v>
      </c>
    </row>
    <row r="56477" ht="15.75" customHeight="1" spans="1:2">
      <c r="A56477" s="3" t="str">
        <f>IFERROR(__xludf.DUMMYFUNCTION("GOOGLETRANSLATE(A56477,""en"",""pt"")"),"Grandes características, tamanho conveniente")</f>
        <v>Grandes características, tamanho conveniente</v>
      </c>
      <c r="B56477" s="3">
        <v>1</v>
      </c>
    </row>
    <row r="56478" ht="15.75" customHeight="1" spans="1:2">
      <c r="A56478" s="3" t="str">
        <f>IFERROR(__xludf.DUMMYFUNCTION("GOOGLETRANSLATE(A56478,""en"",""pt"")"),"Pequeno, tamanho leve, Features, chamada incrível clareza")</f>
        <v>Pequeno, tamanho leve, Features, chamada incrível clareza</v>
      </c>
      <c r="B56478" s="3">
        <v>1</v>
      </c>
    </row>
    <row r="56479" ht="15.75" customHeight="1" spans="1:2">
      <c r="A56479" s="3" t="str">
        <f>IFERROR(__xludf.DUMMYFUNCTION("GOOGLETRANSLATE(A56479,""en"",""pt"")"),"Tamanho, transmissão e recepção de chamadas")</f>
        <v>Tamanho, transmissão e recepção de chamadas</v>
      </c>
      <c r="B56479" s="3">
        <v>1</v>
      </c>
    </row>
    <row r="56480" ht="15.75" customHeight="1" spans="1:2">
      <c r="A56480" s="3" t="str">
        <f>IFERROR(__xludf.DUMMYFUNCTION("GOOGLETRANSLATE(A56480,""en"",""pt"")"),"Recursos, Qualidade de Som")</f>
        <v>Recursos, Qualidade de Som</v>
      </c>
      <c r="B56480" s="3">
        <v>1</v>
      </c>
    </row>
    <row r="56481" ht="15.75" customHeight="1" spans="1:2">
      <c r="A56481" s="3" t="str">
        <f>IFERROR(__xludf.DUMMYFUNCTION("GOOGLETRANSLATE(A56481,""en"",""pt"")"),"um ótimo telefone na maioria das vezes")</f>
        <v>um ótimo telefone na maioria das vezes</v>
      </c>
      <c r="B56481" s="3">
        <v>1</v>
      </c>
    </row>
    <row r="56482" ht="15.75" customHeight="1" spans="1:2">
      <c r="A56482" s="3" t="str">
        <f>IFERROR(__xludf.DUMMYFUNCTION("GOOGLETRANSLATE(A56482,""en"",""pt"")"),"Perfis, grande livro de endereços, confiáveis")</f>
        <v>Perfis, grande livro de endereços, confiáveis</v>
      </c>
      <c r="B56482" s="3">
        <v>1</v>
      </c>
    </row>
    <row r="56483" ht="15.75" customHeight="1" spans="1:2">
      <c r="A56483" s="3" t="str">
        <f>IFERROR(__xludf.DUMMYFUNCTION("GOOGLETRANSLATE(A56483,""en"",""pt"")"),"Grande autonomia da bateria")</f>
        <v>Grande autonomia da bateria</v>
      </c>
      <c r="B56483" s="3">
        <v>1</v>
      </c>
    </row>
    <row r="56484" ht="15.75" customHeight="1" spans="1:2">
      <c r="A56484" s="3" t="str">
        <f>IFERROR(__xludf.DUMMYFUNCTION("GOOGLETRANSLATE(A56484,""en"",""pt"")"),"Características pessoais, tamanho e preço")</f>
        <v>Características pessoais, tamanho e preço</v>
      </c>
      <c r="B56484" s="3">
        <v>1</v>
      </c>
    </row>
    <row r="56485" ht="15.75" customHeight="1" spans="1:2">
      <c r="A56485" s="3" t="str">
        <f>IFERROR(__xludf.DUMMYFUNCTION("GOOGLETRANSLATE(A56485,""en"",""pt"")"),"Tudo")</f>
        <v>Tudo</v>
      </c>
      <c r="B56485" s="3">
        <v>1</v>
      </c>
    </row>
    <row r="56486" ht="15.75" customHeight="1" spans="1:2">
      <c r="A56486" s="3" t="str">
        <f>IFERROR(__xludf.DUMMYFUNCTION("GOOGLETRANSLATE(A56486,""en"",""pt"")"),"Fácil de usar, Luz, Longa duração da bateria")</f>
        <v>Fácil de usar, Luz, Longa duração da bateria</v>
      </c>
      <c r="B56486" s="3">
        <v>1</v>
      </c>
    </row>
    <row r="56487" ht="15.75" customHeight="1" spans="1:2">
      <c r="A56487" s="3" t="str">
        <f>IFERROR(__xludf.DUMMYFUNCTION("GOOGLETRANSLATE(A56487,""en"",""pt"")"),"bateria de longa duração, design extremamente bom produto")</f>
        <v>bateria de longa duração, design extremamente bom produto</v>
      </c>
      <c r="B56487" s="3">
        <v>1</v>
      </c>
    </row>
    <row r="56488" ht="15.75" customHeight="1" spans="1:2">
      <c r="A56488" s="3" t="str">
        <f>IFERROR(__xludf.DUMMYFUNCTION("GOOGLETRANSLATE(A56488,""en"",""pt"")"),"Tamanho, características, cobertura.")</f>
        <v>Tamanho, características, cobertura.</v>
      </c>
      <c r="B56488" s="3">
        <v>1</v>
      </c>
    </row>
    <row r="56489" ht="15.75" customHeight="1" spans="1:2">
      <c r="A56489" s="3" t="str">
        <f>IFERROR(__xludf.DUMMYFUNCTION("GOOGLETRANSLATE(A56489,""en"",""pt"")"),"grandes recursos")</f>
        <v>grandes recursos</v>
      </c>
      <c r="B56489" s="3">
        <v>1</v>
      </c>
    </row>
    <row r="56490" ht="15.75" customHeight="1" spans="1:2">
      <c r="A56490" s="3" t="str">
        <f>IFERROR(__xludf.DUMMYFUNCTION("GOOGLETRANSLATE(A56490,""en"",""pt"")"),"grande autonomia da bateria, fácil de usar menus, grande qualidade")</f>
        <v>grande autonomia da bateria, fácil de usar menus, grande qualidade</v>
      </c>
      <c r="B56490" s="3">
        <v>1</v>
      </c>
    </row>
    <row r="56491" ht="15.75" customHeight="1" spans="1:2">
      <c r="A56491" s="3" t="str">
        <f>IFERROR(__xludf.DUMMYFUNCTION("GOOGLETRANSLATE(A56491,""en"",""pt"")"),"tudo acima")</f>
        <v>tudo acima</v>
      </c>
      <c r="B56491" s="3">
        <v>1</v>
      </c>
    </row>
    <row r="56492" ht="15.75" customHeight="1" spans="1:2">
      <c r="A56492" s="3" t="str">
        <f>IFERROR(__xludf.DUMMYFUNCTION("GOOGLETRANSLATE(A56492,""en"",""pt"")"),"vida útil da bateria, recepção, recursos")</f>
        <v>vida útil da bateria, recepção, recursos</v>
      </c>
      <c r="B56492" s="3">
        <v>1</v>
      </c>
    </row>
    <row r="56493" ht="15.75" customHeight="1" spans="1:2">
      <c r="A56493" s="3" t="str">
        <f>IFERROR(__xludf.DUMMYFUNCTION("GOOGLETRANSLATE(A56493,""en"",""pt"")"),"Luz, pequeno, poderoso")</f>
        <v>Luz, pequeno, poderoso</v>
      </c>
      <c r="B56493" s="3">
        <v>1</v>
      </c>
    </row>
    <row r="56494" ht="15.75" customHeight="1" spans="1:2">
      <c r="A56494" s="3" t="str">
        <f>IFERROR(__xludf.DUMMYFUNCTION("GOOGLETRANSLATE(A56494,""en"",""pt"")"),"é muito bom")</f>
        <v>é muito bom</v>
      </c>
      <c r="B56494" s="3">
        <v>1</v>
      </c>
    </row>
    <row r="56495" ht="15.75" customHeight="1" spans="1:2">
      <c r="A56495" s="3" t="str">
        <f>IFERROR(__xludf.DUMMYFUNCTION("GOOGLETRANSLATE(A56495,""en"",""pt"")"),"Muito fácil de usar, boa bateria, excelente recepção.")</f>
        <v>Muito fácil de usar, boa bateria, excelente recepção.</v>
      </c>
      <c r="B56495" s="3">
        <v>1</v>
      </c>
    </row>
    <row r="56496" ht="15.75" customHeight="1" spans="1:2">
      <c r="A56496" s="3" t="str">
        <f>IFERROR(__xludf.DUMMYFUNCTION("GOOGLETRANSLATE(A56496,""en"",""pt"")"),"Tudo")</f>
        <v>Tudo</v>
      </c>
      <c r="B56496" s="3">
        <v>1</v>
      </c>
    </row>
    <row r="56497" ht="15.75" customHeight="1" spans="1:2">
      <c r="A56497" s="3" t="str">
        <f>IFERROR(__xludf.DUMMYFUNCTION("GOOGLETRANSLATE(A56497,""en"",""pt"")"),"topo da linha")</f>
        <v>topo da linha</v>
      </c>
      <c r="B56497" s="3">
        <v>1</v>
      </c>
    </row>
    <row r="56498" ht="15.75" customHeight="1" spans="1:2">
      <c r="A56498" s="3" t="str">
        <f>IFERROR(__xludf.DUMMYFUNCTION("GOOGLETRANSLATE(A56498,""en"",""pt"")"),"design agradável, fácil de usar")</f>
        <v>design agradável, fácil de usar</v>
      </c>
      <c r="B56498" s="3">
        <v>1</v>
      </c>
    </row>
    <row r="56499" ht="15.75" customHeight="1" spans="1:2">
      <c r="A56499" s="3" t="str">
        <f>IFERROR(__xludf.DUMMYFUNCTION("GOOGLETRANSLATE(A56499,""en"",""pt"")"),"Resistente, de boa aparência, fácil de usar, características úteis")</f>
        <v>Resistente, de boa aparência, fácil de usar, características úteis</v>
      </c>
      <c r="B56499" s="3">
        <v>1</v>
      </c>
    </row>
    <row r="56500" ht="15.75" customHeight="1" spans="1:2">
      <c r="A56500" s="3" t="str">
        <f>IFERROR(__xludf.DUMMYFUNCTION("GOOGLETRANSLATE(A56500,""en"",""pt"")"),"pouco agradável e telefone durável")</f>
        <v>pouco agradável e telefone durável</v>
      </c>
      <c r="B56500" s="3">
        <v>1</v>
      </c>
    </row>
    <row r="56501" ht="15.75" customHeight="1" spans="1:2">
      <c r="A56501" s="3" t="str">
        <f>IFERROR(__xludf.DUMMYFUNCTION("GOOGLETRANSLATE(A56501,""en"",""pt"")"),"fácil de usar")</f>
        <v>fácil de usar</v>
      </c>
      <c r="B56501" s="3">
        <v>1</v>
      </c>
    </row>
    <row r="56502" ht="15.75" customHeight="1" spans="1:2">
      <c r="A56502" s="3" t="str">
        <f>IFERROR(__xludf.DUMMYFUNCTION("GOOGLETRANSLATE(A56502,""en"",""pt"")"),"Pequenos e leves, ótimos recursos")</f>
        <v>Pequenos e leves, ótimos recursos</v>
      </c>
      <c r="B56502" s="3">
        <v>1</v>
      </c>
    </row>
    <row r="56503" ht="15.75" customHeight="1" spans="1:2">
      <c r="A56503" s="3" t="str">
        <f>IFERROR(__xludf.DUMMYFUNCTION("GOOGLETRANSLATE(A56503,""en"",""pt"")"),"Pequeno, aleta, colorido!")</f>
        <v>Pequeno, aleta, colorido!</v>
      </c>
      <c r="B56503" s="3">
        <v>1</v>
      </c>
    </row>
    <row r="56504" ht="15.75" customHeight="1" spans="1:2">
      <c r="A56504" s="3" t="str">
        <f>IFERROR(__xludf.DUMMYFUNCTION("GOOGLETRANSLATE(A56504,""en"",""pt"")"),"Chamadas nítidas, excelente recepção, ""cool"" fator, boa bateria")</f>
        <v>Chamadas nítidas, excelente recepção, "cool" fator, boa bateria</v>
      </c>
      <c r="B56504" s="3">
        <v>1</v>
      </c>
    </row>
    <row r="56505" ht="15.75" customHeight="1" spans="1:2">
      <c r="A56505" s="3" t="str">
        <f>IFERROR(__xludf.DUMMYFUNCTION("GOOGLETRANSLATE(A56505,""en"",""pt"")"),"Tela colorida de 65k, Features, peso, força do sinal, a vida da bateria")</f>
        <v>Tela colorida de 65k, Features, peso, força do sinal, a vida da bateria</v>
      </c>
      <c r="B56505" s="3">
        <v>1</v>
      </c>
    </row>
    <row r="56506" ht="15.75" customHeight="1" spans="1:2">
      <c r="A56506" s="3" t="str">
        <f>IFERROR(__xludf.DUMMYFUNCTION("GOOGLETRANSLATE(A56506,""en"",""pt"")"),"tela colorida de excelente, a vida da bateria OEM decente (para um telefone cor)")</f>
        <v>tela colorida de excelente, a vida da bateria OEM decente (para um telefone cor)</v>
      </c>
      <c r="B56506" s="3">
        <v>1</v>
      </c>
    </row>
    <row r="56507" ht="15.75" customHeight="1" spans="1:2">
      <c r="A56507" s="3" t="str">
        <f>IFERROR(__xludf.DUMMYFUNCTION("GOOGLETRANSLATE(A56507,""en"",""pt"")"),"Tela, tamanho e vida útil da bateria.")</f>
        <v>Tela, tamanho e vida útil da bateria.</v>
      </c>
      <c r="B56507" s="3">
        <v>1</v>
      </c>
    </row>
    <row r="56508" ht="15.75" customHeight="1" spans="1:2">
      <c r="A56508" s="3" t="str">
        <f>IFERROR(__xludf.DUMMYFUNCTION("GOOGLETRANSLATE(A56508,""en"",""pt"")"),"MELHOR BATERIA! Melhor chamar QUALIDADE!")</f>
        <v>MELHOR BATERIA! Melhor chamar QUALIDADE!</v>
      </c>
      <c r="B56508" s="3">
        <v>1</v>
      </c>
    </row>
    <row r="56509" ht="15.75" customHeight="1" spans="1:2">
      <c r="A56509" s="3" t="str">
        <f>IFERROR(__xludf.DUMMYFUNCTION("GOOGLETRANSLATE(A56509,""en"",""pt"")"),"Característica embalada telefone que faz quase tudo que se possa imaginar.")</f>
        <v>Característica embalada telefone que faz quase tudo que se possa imaginar.</v>
      </c>
      <c r="B56509" s="3">
        <v>1</v>
      </c>
    </row>
    <row r="56510" ht="15.75" customHeight="1" spans="1:2">
      <c r="A56510" s="3" t="str">
        <f>IFERROR(__xludf.DUMMYFUNCTION("GOOGLETRANSLATE(A56510,""en"",""pt"")"),"Tela, Verizon-downloads gratuitos, estilo, qualidade, características, GPS")</f>
        <v>Tela, Verizon-downloads gratuitos, estilo, qualidade, características, GPS</v>
      </c>
      <c r="B56510" s="3">
        <v>1</v>
      </c>
    </row>
    <row r="56511" ht="15.75" customHeight="1" spans="1:2">
      <c r="A56511" s="3" t="str">
        <f>IFERROR(__xludf.DUMMYFUNCTION("GOOGLETRANSLATE(A56511,""en"",""pt"")"),"ecrã a cores, qualidade da linha, ringtones, características despertador, elegante e moderno telefone!")</f>
        <v>ecrã a cores, qualidade da linha, ringtones, características despertador, elegante e moderno telefone!</v>
      </c>
      <c r="B56511" s="3">
        <v>1</v>
      </c>
    </row>
    <row r="56512" ht="15.75" customHeight="1" spans="1:2">
      <c r="A56512" s="3" t="str">
        <f>IFERROR(__xludf.DUMMYFUNCTION("GOOGLETRANSLATE(A56512,""en"",""pt"")"),"Tela LCD brilhante, LCD Externo, clara e toques bonitos")</f>
        <v>Tela LCD brilhante, LCD Externo, clara e toques bonitos</v>
      </c>
      <c r="B56512" s="3">
        <v>1</v>
      </c>
    </row>
    <row r="56513" ht="15.75" customHeight="1" spans="1:2">
      <c r="A56513" s="3" t="str">
        <f>IFERROR(__xludf.DUMMYFUNCTION("GOOGLETRANSLATE(A56513,""en"",""pt"")"),"Pequeno, leve, tela colorida incrível e muitos recursos")</f>
        <v>Pequeno, leve, tela colorida incrível e muitos recursos</v>
      </c>
      <c r="B56513" s="3">
        <v>1</v>
      </c>
    </row>
    <row r="56514" ht="15.75" customHeight="1" spans="1:2">
      <c r="A56514" s="3" t="str">
        <f>IFERROR(__xludf.DUMMYFUNCTION("GOOGLETRANSLATE(A56514,""en"",""pt"")"),"qualidade de voz, discagem por voz, tela colorida, interface, tamanho")</f>
        <v>qualidade de voz, discagem por voz, tela colorida, interface, tamanho</v>
      </c>
      <c r="B56514" s="3">
        <v>1</v>
      </c>
    </row>
    <row r="56515" ht="15.75" customHeight="1" spans="1:2">
      <c r="A56515" s="3" t="str">
        <f>IFERROR(__xludf.DUMMYFUNCTION("GOOGLETRANSLATE(A56515,""en"",""pt"")"),"recepção excelente, fácil de usar.")</f>
        <v>recepção excelente, fácil de usar.</v>
      </c>
      <c r="B56515" s="3">
        <v>1</v>
      </c>
    </row>
    <row r="56516" ht="15.75" customHeight="1" spans="1:2">
      <c r="A56516" s="3" t="str">
        <f>IFERROR(__xludf.DUMMYFUNCTION("GOOGLETRANSLATE(A56516,""en"",""pt"")"),"tela colorida, design flip telefone,")</f>
        <v>tela colorida, design flip telefone,</v>
      </c>
      <c r="B56516" s="3">
        <v>1</v>
      </c>
    </row>
    <row r="56517" ht="15.75" customHeight="1" spans="1:2">
      <c r="A56517" s="3" t="str">
        <f>IFERROR(__xludf.DUMMYFUNCTION("GOOGLETRANSLATE(A56517,""en"",""pt"")"),"pequeno, tela brilhante, grande recepção, discagem por voz")</f>
        <v>pequeno, tela brilhante, grande recepção, discagem por voz</v>
      </c>
      <c r="B56517" s="3">
        <v>1</v>
      </c>
    </row>
    <row r="56518" ht="15.75" customHeight="1" spans="1:2">
      <c r="A56518" s="3" t="str">
        <f>IFERROR(__xludf.DUMMYFUNCTION("GOOGLETRANSLATE(A56518,""en"",""pt"")"),"Excelente telefone com grande recepção e ergonomia e simples de usar.")</f>
        <v>Excelente telefone com grande recepção e ergonomia e simples de usar.</v>
      </c>
      <c r="B56518" s="3">
        <v>1</v>
      </c>
    </row>
    <row r="56519" ht="15.75" customHeight="1" spans="1:2">
      <c r="A56519" s="3" t="str">
        <f>IFERROR(__xludf.DUMMYFUNCTION("GOOGLETRANSLATE(A56519,""en"",""pt"")"),"Bom, a tela de fácil leitura, uma boa recepção, cuidadosamente concebido, discagem por voz fáceis e precisos")</f>
        <v>Bom, a tela de fácil leitura, uma boa recepção, cuidadosamente concebido, discagem por voz fáceis e precisos</v>
      </c>
      <c r="B56519" s="3">
        <v>1</v>
      </c>
    </row>
    <row r="56520" ht="15.75" customHeight="1" spans="1:2">
      <c r="A56520" s="3" t="str">
        <f>IFERROR(__xludf.DUMMYFUNCTION("GOOGLETRANSLATE(A56520,""en"",""pt"")"),"a qualidade da chamada, o tamanho e peso, estilo, facilidade de uso, LCD externo, bem construído")</f>
        <v>a qualidade da chamada, o tamanho e peso, estilo, facilidade de uso, LCD externo, bem construído</v>
      </c>
      <c r="B56520" s="3">
        <v>1</v>
      </c>
    </row>
    <row r="56521" ht="15.75" customHeight="1" spans="1:2">
      <c r="A56521" s="3" t="str">
        <f>IFERROR(__xludf.DUMMYFUNCTION("GOOGLETRANSLATE(A56521,""en"",""pt"")"),"Tem uma cor grande ecrã LCD interno.")</f>
        <v>Tem uma cor grande ecrã LCD interno.</v>
      </c>
      <c r="B56521" s="3">
        <v>1</v>
      </c>
    </row>
    <row r="56522" ht="15.75" customHeight="1" spans="1:2">
      <c r="A56522" s="3" t="str">
        <f>IFERROR(__xludf.DUMMYFUNCTION("GOOGLETRANSLATE(A56522,""en"",""pt"")"),"display colorido bonito e gráficos; disposição legal; bom tamanho e formato")</f>
        <v>display colorido bonito e gráficos; disposição legal; bom tamanho e formato</v>
      </c>
      <c r="B56522" s="3">
        <v>1</v>
      </c>
    </row>
    <row r="56523" ht="15.75" customHeight="1" spans="1:2">
      <c r="A56523" s="3" t="str">
        <f>IFERROR(__xludf.DUMMYFUNCTION("GOOGLETRANSLATE(A56523,""en"",""pt"")"),"Quase tudo! Excelente recepção, tela de cor fria, sem problemas até agora.")</f>
        <v>Quase tudo! Excelente recepção, tela de cor fria, sem problemas até agora.</v>
      </c>
      <c r="B56523" s="3">
        <v>1</v>
      </c>
    </row>
    <row r="56524" ht="15.75" customHeight="1" spans="1:2">
      <c r="A56524" s="3" t="str">
        <f>IFERROR(__xludf.DUMMYFUNCTION("GOOGLETRANSLATE(A56524,""en"",""pt"")"),", Reconhecimento de voz colorido")</f>
        <v>, Reconhecimento de voz colorido</v>
      </c>
      <c r="B56524" s="3">
        <v>1</v>
      </c>
    </row>
    <row r="56525" ht="15.75" customHeight="1" spans="1:2">
      <c r="A56525" s="3" t="str">
        <f>IFERROR(__xludf.DUMMYFUNCTION("GOOGLETRANSLATE(A56525,""en"",""pt"")"),"Limpar exibição, som alto e bom som, menus intuitivos")</f>
        <v>Limpar exibição, som alto e bom som, menus intuitivos</v>
      </c>
      <c r="B56525" s="3">
        <v>1</v>
      </c>
    </row>
    <row r="56526" ht="15.75" customHeight="1" spans="1:2">
      <c r="A56526" s="3" t="str">
        <f>IFERROR(__xludf.DUMMYFUNCTION("GOOGLETRANSLATE(A56526,""en"",""pt"")"),"Muito boa clareza de voz")</f>
        <v>Muito boa clareza de voz</v>
      </c>
      <c r="B56526" s="3">
        <v>1</v>
      </c>
    </row>
    <row r="56527" ht="15.75" customHeight="1" spans="1:2">
      <c r="A56527" s="3" t="str">
        <f>IFERROR(__xludf.DUMMYFUNCTION("GOOGLETRANSLATE(A56527,""en"",""pt"")"),"Pequeno, mas não muito pequena, muito amigável, bateria não se esgota, Grandes cores")</f>
        <v>Pequeno, mas não muito pequena, muito amigável, bateria não se esgota, Grandes cores</v>
      </c>
      <c r="B56527" s="3">
        <v>1</v>
      </c>
    </row>
    <row r="56528" ht="15.75" customHeight="1" spans="1:2">
      <c r="A56528" s="3" t="str">
        <f>IFERROR(__xludf.DUMMYFUNCTION("GOOGLETRANSLATE(A56528,""en"",""pt"")"),"Excelente recepção, tela colorida bonito, grande nível de volume (se não um pouco alto demais, por vezes).")</f>
        <v>Excelente recepção, tela colorida bonito, grande nível de volume (se não um pouco alto demais, por vezes).</v>
      </c>
      <c r="B56528" s="3">
        <v>1</v>
      </c>
    </row>
    <row r="56529" ht="15.75" customHeight="1" spans="1:2">
      <c r="A56529" s="3" t="str">
        <f>IFERROR(__xludf.DUMMYFUNCTION("GOOGLETRANSLATE(A56529,""en"",""pt"")"),"Durabilidade, aparência, tela colorida, Características.")</f>
        <v>Durabilidade, aparência, tela colorida, Características.</v>
      </c>
      <c r="B56529" s="3">
        <v>1</v>
      </c>
    </row>
    <row r="56530" ht="15.75" customHeight="1" spans="1:2">
      <c r="A56530" s="3" t="str">
        <f>IFERROR(__xludf.DUMMYFUNCTION("GOOGLETRANSLATE(A56530,""en"",""pt"")"),"exibição, design, recursos")</f>
        <v>exibição, design, recursos</v>
      </c>
      <c r="B56530" s="3">
        <v>1</v>
      </c>
    </row>
    <row r="56531" ht="15.75" customHeight="1" spans="1:2">
      <c r="A56531" s="3" t="str">
        <f>IFERROR(__xludf.DUMMYFUNCTION("GOOGLETRANSLATE(A56531,""en"",""pt"")"),"Grandes opções, construído forte, aparência agradável, boa claridade.")</f>
        <v>Grandes opções, construído forte, aparência agradável, boa claridade.</v>
      </c>
      <c r="B56531" s="3">
        <v>1</v>
      </c>
    </row>
    <row r="56532" ht="15.75" customHeight="1" spans="1:2">
      <c r="A56532" s="3" t="str">
        <f>IFERROR(__xludf.DUMMYFUNCTION("GOOGLETRANSLATE(A56532,""en"",""pt"")"),"GPS 911, grande som, toque alto, compacto")</f>
        <v>GPS 911, grande som, toque alto, compacto</v>
      </c>
      <c r="B56532" s="3">
        <v>1</v>
      </c>
    </row>
    <row r="56533" ht="15.75" customHeight="1" spans="1:2">
      <c r="A56533" s="3" t="str">
        <f>IFERROR(__xludf.DUMMYFUNCTION("GOOGLETRANSLATE(A56533,""en"",""pt"")"),"vida útil da bateria, teclas numéricas, anéis altos, tri-mode,")</f>
        <v>vida útil da bateria, teclas numéricas, anéis altos, tri-mode,</v>
      </c>
      <c r="B56533" s="3">
        <v>1</v>
      </c>
    </row>
    <row r="56534" ht="15.75" customHeight="1" spans="1:2">
      <c r="A56534" s="3" t="str">
        <f>IFERROR(__xludf.DUMMYFUNCTION("GOOGLETRANSLATE(A56534,""en"",""pt"")"),"Clareza, recepção, tamanho, qualidade global.")</f>
        <v>Clareza, recepção, tamanho, qualidade global.</v>
      </c>
      <c r="B56534" s="3">
        <v>1</v>
      </c>
    </row>
    <row r="56535" ht="15.75" customHeight="1" spans="1:2">
      <c r="A56535" s="3" t="str">
        <f>IFERROR(__xludf.DUMMYFUNCTION("GOOGLETRANSLATE(A56535,""en"",""pt"")"),"Boa recepção, fácil de ler teclado e visor, boa bateria, estilo atraente")</f>
        <v>Boa recepção, fácil de ler teclado e visor, boa bateria, estilo atraente</v>
      </c>
      <c r="B56535" s="3">
        <v>1</v>
      </c>
    </row>
    <row r="56536" ht="15.75" customHeight="1" spans="1:2">
      <c r="A56536" s="3" t="str">
        <f>IFERROR(__xludf.DUMMYFUNCTION("GOOGLETRANSLATE(A56536,""en"",""pt"")"),"tela colorida lindo, grande autonomia da bateria")</f>
        <v>tela colorida lindo, grande autonomia da bateria</v>
      </c>
      <c r="B56536" s="3">
        <v>1</v>
      </c>
    </row>
    <row r="56537" ht="15.75" customHeight="1" spans="1:2">
      <c r="A56537" s="3" t="str">
        <f>IFERROR(__xludf.DUMMYFUNCTION("GOOGLETRANSLATE(A56537,""en"",""pt"")"),"tela de cor agradável, boa bateria para o telefone tela colorida")</f>
        <v>tela de cor agradável, boa bateria para o telefone tela colorida</v>
      </c>
      <c r="B56537" s="3">
        <v>1</v>
      </c>
    </row>
    <row r="56538" ht="15.75" customHeight="1" spans="1:2">
      <c r="A56538" s="3" t="str">
        <f>IFERROR(__xludf.DUMMYFUNCTION("GOOGLETRANSLATE(A56538,""en"",""pt"")"),"Excelente recepção, clareza de chamadas, tela colorida, basicamente um telefone muito divertido pouco.")</f>
        <v>Excelente recepção, clareza de chamadas, tela colorida, basicamente um telefone muito divertido pouco.</v>
      </c>
      <c r="B56538" s="3">
        <v>1</v>
      </c>
    </row>
    <row r="56539" ht="15.75" customHeight="1" spans="1:2">
      <c r="A56539" s="3" t="str">
        <f>IFERROR(__xludf.DUMMYFUNCTION("GOOGLETRANSLATE(A56539,""en"",""pt"")"),"Características, interface de usuário, qualidade de construção, a vida da bateria,")</f>
        <v>Características, interface de usuário, qualidade de construção, a vida da bateria,</v>
      </c>
      <c r="B56539" s="3">
        <v>1</v>
      </c>
    </row>
    <row r="56540" ht="15.75" customHeight="1" spans="1:2">
      <c r="A56540" s="3" t="str">
        <f>IFERROR(__xludf.DUMMYFUNCTION("GOOGLETRANSLATE(A56540,""en"",""pt"")"),"Melhor do que a qualidade da voz média")</f>
        <v>Melhor do que a qualidade da voz média</v>
      </c>
      <c r="B56540" s="3">
        <v>1</v>
      </c>
    </row>
    <row r="56541" ht="15.75" customHeight="1" spans="1:2">
      <c r="A56541" s="3" t="str">
        <f>IFERROR(__xludf.DUMMYFUNCTION("GOOGLETRANSLATE(A56541,""en"",""pt"")"),"toques padrão agradáveis; Eu gosto do estilo flip telefone")</f>
        <v>toques padrão agradáveis; Eu gosto do estilo flip telefone</v>
      </c>
      <c r="B56541" s="3">
        <v>1</v>
      </c>
    </row>
    <row r="56542" ht="15.75" customHeight="1" spans="1:2">
      <c r="A56542" s="3" t="str">
        <f>IFERROR(__xludf.DUMMYFUNCTION("GOOGLETRANSLATE(A56542,""en"",""pt"")"),"vida útil da bateria")</f>
        <v>vida útil da bateria</v>
      </c>
      <c r="B56542" s="3">
        <v>1</v>
      </c>
    </row>
    <row r="56543" ht="15.75" customHeight="1" spans="1:2">
      <c r="A56543" s="3" t="str">
        <f>IFERROR(__xludf.DUMMYFUNCTION("GOOGLETRANSLATE(A56543,""en"",""pt"")"),"caso sólido. Boa exibição. Big, espaçadas teclas numéricas.")</f>
        <v>caso sólido. Boa exibição. Big, espaçadas teclas numéricas.</v>
      </c>
      <c r="B56543" s="3">
        <v>1</v>
      </c>
    </row>
    <row r="56544" ht="15.75" customHeight="1" spans="1:2">
      <c r="A56544" s="3" t="str">
        <f>IFERROR(__xludf.DUMMYFUNCTION("GOOGLETRANSLATE(A56544,""en"",""pt"")"),"monitor externo, capacidade de toques atribuir e fotos para chamadores, fator chique, teclado, voz-ativação")</f>
        <v>monitor externo, capacidade de toques atribuir e fotos para chamadores, fator chique, teclado, voz-ativação</v>
      </c>
      <c r="B56544" s="3">
        <v>1</v>
      </c>
    </row>
    <row r="56545" ht="15.75" customHeight="1" spans="1:2">
      <c r="A56545" s="3" t="str">
        <f>IFERROR(__xludf.DUMMYFUNCTION("GOOGLETRANSLATE(A56545,""en"",""pt"")"),"Apenas sobre tudo.")</f>
        <v>Apenas sobre tudo.</v>
      </c>
      <c r="B56545" s="3">
        <v>1</v>
      </c>
    </row>
    <row r="56546" ht="15.75" customHeight="1" spans="1:2">
      <c r="A56546" s="3" t="str">
        <f>IFERROR(__xludf.DUMMYFUNCTION("GOOGLETRANSLATE(A56546,""en"",""pt"")"),"Facilidade de uso, opções, conforto para os olhos")</f>
        <v>Facilidade de uso, opções, conforto para os olhos</v>
      </c>
      <c r="B56546" s="3">
        <v>1</v>
      </c>
    </row>
    <row r="56547" ht="15.75" customHeight="1" spans="1:2">
      <c r="A56547" s="3" t="str">
        <f>IFERROR(__xludf.DUMMYFUNCTION("GOOGLETRANSLATE(A56547,""en"",""pt"")"),"Tela cor, discagem por voz")</f>
        <v>Tela cor, discagem por voz</v>
      </c>
      <c r="B56547" s="3">
        <v>1</v>
      </c>
    </row>
    <row r="56548" ht="15.75" customHeight="1" spans="1:2">
      <c r="A56548" s="3" t="str">
        <f>IFERROR(__xludf.DUMMYFUNCTION("GOOGLETRANSLATE(A56548,""en"",""pt"")"),"Vibrante Display, excelente qualidade de som")</f>
        <v>Vibrante Display, excelente qualidade de som</v>
      </c>
      <c r="B56548" s="3">
        <v>1</v>
      </c>
    </row>
    <row r="56549" ht="15.75" customHeight="1" spans="1:2">
      <c r="A56549" s="3" t="str">
        <f>IFERROR(__xludf.DUMMYFUNCTION("GOOGLETRANSLATE(A56549,""en"",""pt"")"),"Pequeno, compacto, grande ecrã")</f>
        <v>Pequeno, compacto, grande ecrã</v>
      </c>
      <c r="B56549" s="3">
        <v>1</v>
      </c>
    </row>
    <row r="56550" ht="15.75" customHeight="1" spans="1:2">
      <c r="A56550" s="3" t="str">
        <f>IFERROR(__xludf.DUMMYFUNCTION("GOOGLETRANSLATE(A56550,""en"",""pt"")"),"Da bateria, qualidade de som, Features, tela")</f>
        <v>Da bateria, qualidade de som, Features, tela</v>
      </c>
      <c r="B56550" s="3">
        <v>1</v>
      </c>
    </row>
    <row r="56551" ht="15.75" customHeight="1" spans="1:2">
      <c r="A56551" s="3" t="str">
        <f>IFERROR(__xludf.DUMMYFUNCTION("GOOGLETRANSLATE(A56551,""en"",""pt"")"),"grande Telefone")</f>
        <v>grande Telefone</v>
      </c>
      <c r="B56551" s="3">
        <v>1</v>
      </c>
    </row>
    <row r="56552" ht="15.75" customHeight="1" spans="1:2">
      <c r="A56552" s="3" t="str">
        <f>IFERROR(__xludf.DUMMYFUNCTION("GOOGLETRANSLATE(A56552,""en"",""pt"")"),"Facilidade de uso ... grande cor, tamanho .... facilidade de menu ... facilidade de download ... Get It Now ... bateria, até agora.")</f>
        <v>Facilidade de uso ... grande cor, tamanho .... facilidade de menu ... facilidade de download ... Get It Now ... bateria, até agora.</v>
      </c>
      <c r="B56552" s="3">
        <v>1</v>
      </c>
    </row>
    <row r="56553" ht="15.75" customHeight="1" spans="1:2">
      <c r="A56553" s="3" t="str">
        <f>IFERROR(__xludf.DUMMYFUNCTION("GOOGLETRANSLATE(A56553,""en"",""pt"")"),"display colorido, user-friendly, alta tecnologia, menus rápidos, grande funcionalidade.")</f>
        <v>display colorido, user-friendly, alta tecnologia, menus rápidos, grande funcionalidade.</v>
      </c>
      <c r="B56553" s="3">
        <v>1</v>
      </c>
    </row>
    <row r="56554" ht="15.75" customHeight="1" spans="1:2">
      <c r="A56554" s="3" t="str">
        <f>IFERROR(__xludf.DUMMYFUNCTION("GOOGLETRANSLATE(A56554,""en"",""pt"")"),"Grandes características ... display colorido, discagem por voz, grandes anéis ........ preço baixo.")</f>
        <v>Grandes características ... display colorido, discagem por voz, grandes anéis ........ preço baixo.</v>
      </c>
      <c r="B56554" s="3">
        <v>1</v>
      </c>
    </row>
    <row r="56555" ht="15.75" customHeight="1" spans="1:2">
      <c r="A56555" s="3" t="str">
        <f>IFERROR(__xludf.DUMMYFUNCTION("GOOGLETRANSLATE(A56555,""en"",""pt"")"),"Boa recepção, luz de fundo, menus fáceis, discagem por voz")</f>
        <v>Boa recepção, luz de fundo, menus fáceis, discagem por voz</v>
      </c>
      <c r="B56555" s="3">
        <v>1</v>
      </c>
    </row>
    <row r="56556" ht="15.75" customHeight="1" spans="1:2">
      <c r="A56556" s="3" t="str">
        <f>IFERROR(__xludf.DUMMYFUNCTION("GOOGLETRANSLATE(A56556,""en"",""pt"")"),"Pequeno, cores, Excelente recepção, fundos mutável, e ringtones. Games. Caro!!")</f>
        <v>Pequeno, cores, Excelente recepção, fundos mutável, e ringtones. Games. Caro!!</v>
      </c>
      <c r="B56556" s="3">
        <v>1</v>
      </c>
    </row>
    <row r="56557" ht="15.75" customHeight="1" spans="1:2">
      <c r="A56557" s="3" t="str">
        <f>IFERROR(__xludf.DUMMYFUNCTION("GOOGLETRANSLATE(A56557,""en"",""pt"")"),"Display, aparência, vida útil da bateria")</f>
        <v>Display, aparência, vida útil da bateria</v>
      </c>
      <c r="B56557" s="3">
        <v>1</v>
      </c>
    </row>
    <row r="56558" ht="15.75" customHeight="1" spans="1:2">
      <c r="A56558" s="3" t="str">
        <f>IFERROR(__xludf.DUMMYFUNCTION("GOOGLETRANSLATE(A56558,""en"",""pt"")"),"tela colorida. Agradáveis ​​acessórios básicos. Fácil de navegar, e para soletrar nomes. Jogos divertidos.")</f>
        <v>tela colorida. Agradáveis ​​acessórios básicos. Fácil de navegar, e para soletrar nomes. Jogos divertidos.</v>
      </c>
      <c r="B56558" s="3">
        <v>1</v>
      </c>
    </row>
    <row r="56559" ht="15.75" customHeight="1" spans="1:2">
      <c r="A56559" s="3" t="str">
        <f>IFERROR(__xludf.DUMMYFUNCTION("GOOGLETRANSLATE(A56559,""en"",""pt"")"),"fiável como Parreira, características úteis, agradável aparência, VERIZON")</f>
        <v>fiável como Parreira, características úteis, agradável aparência, VERIZON</v>
      </c>
      <c r="B56559" s="3">
        <v>1</v>
      </c>
    </row>
    <row r="56560" ht="15.75" customHeight="1" spans="1:2">
      <c r="A56560" s="3" t="str">
        <f>IFERROR(__xludf.DUMMYFUNCTION("GOOGLETRANSLATE(A56560,""en"",""pt"")"),"Tela, volume da campainha, a clareza, a cobertura, tons de toque, antena")</f>
        <v>Tela, volume da campainha, a clareza, a cobertura, tons de toque, antena</v>
      </c>
      <c r="B56560" s="3">
        <v>1</v>
      </c>
    </row>
    <row r="56561" ht="15.75" customHeight="1" spans="1:2">
      <c r="A56561" s="3" t="str">
        <f>IFERROR(__xludf.DUMMYFUNCTION("GOOGLETRANSLATE(A56561,""en"",""pt"")"),"peso leve, muitos recursos")</f>
        <v>peso leve, muitos recursos</v>
      </c>
      <c r="B56561" s="3">
        <v>1</v>
      </c>
    </row>
    <row r="56562" ht="15.75" customHeight="1" spans="1:2">
      <c r="A56562" s="3" t="str">
        <f>IFERROR(__xludf.DUMMYFUNCTION("GOOGLETRANSLATE(A56562,""en"",""pt"")"),"tela colorida bonita e muitas opções. Amor as teclas iluminadas azuis.")</f>
        <v>tela colorida bonita e muitas opções. Amor as teclas iluminadas azuis.</v>
      </c>
      <c r="B56562" s="3">
        <v>1</v>
      </c>
    </row>
    <row r="56563" ht="15.75" customHeight="1" spans="1:2">
      <c r="A56563" s="3" t="str">
        <f>IFERROR(__xludf.DUMMYFUNCTION("GOOGLETRANSLATE(A56563,""en"",""pt"")"),"Menus são uma brisa para navegar. Bom sinal claro. qualidade de som impressionante.")</f>
        <v>Menus são uma brisa para navegar. Bom sinal claro. qualidade de som impressionante.</v>
      </c>
      <c r="B56563" s="3">
        <v>1</v>
      </c>
    </row>
    <row r="56564" ht="15.75" customHeight="1" spans="1:2">
      <c r="A56564" s="3" t="str">
        <f>IFERROR(__xludf.DUMMYFUNCTION("GOOGLETRANSLATE(A56564,""en"",""pt"")"),"GREAT Volume, botões, vida útil da bateria, telas brilhantes (dentro e fora).")</f>
        <v>GREAT Volume, botões, vida útil da bateria, telas brilhantes (dentro e fora).</v>
      </c>
      <c r="B56564" s="3">
        <v>1</v>
      </c>
    </row>
    <row r="56565" ht="15.75" customHeight="1" spans="1:2">
      <c r="A56565" s="3" t="str">
        <f>IFERROR(__xludf.DUMMYFUNCTION("GOOGLETRANSLATE(A56565,""en"",""pt"")"),"tela brilhante, características agradáveis")</f>
        <v>tela brilhante, características agradáveis</v>
      </c>
      <c r="B56565" s="3">
        <v>1</v>
      </c>
    </row>
    <row r="56566" ht="15.75" customHeight="1" spans="1:2">
      <c r="A56566" s="3" t="str">
        <f>IFERROR(__xludf.DUMMYFUNCTION("GOOGLETRANSLATE(A56566,""en"",""pt"")"),"Tela, bateria, sons,")</f>
        <v>Tela, bateria, sons,</v>
      </c>
      <c r="B56566" s="3">
        <v>1</v>
      </c>
    </row>
    <row r="56567" ht="15.75" customHeight="1" spans="1:2">
      <c r="A56567" s="3" t="str">
        <f>IFERROR(__xludf.DUMMYFUNCTION("GOOGLETRANSLATE(A56567,""en"",""pt"")"),"Leve, chamadas nítidas")</f>
        <v>Leve, chamadas nítidas</v>
      </c>
      <c r="B56567" s="3">
        <v>1</v>
      </c>
    </row>
    <row r="56568" ht="15.75" customHeight="1" spans="1:2">
      <c r="A56568" s="3" t="str">
        <f>IFERROR(__xludf.DUMMYFUNCTION("GOOGLETRANSLATE(A56568,""en"",""pt"")"),"preço, desempenho, bettery")</f>
        <v>preço, desempenho, bettery</v>
      </c>
      <c r="B56568" s="3">
        <v>1</v>
      </c>
    </row>
    <row r="56569" ht="15.75" customHeight="1" spans="1:2">
      <c r="A56569" s="3" t="str">
        <f>IFERROR(__xludf.DUMMYFUNCTION("GOOGLETRANSLATE(A56569,""en"",""pt"")"),"Boa qualidade de voz, características agradáveis ​​de firmware, perfil pequeno, boa vida útil da bateria.")</f>
        <v>Boa qualidade de voz, características agradáveis ​​de firmware, perfil pequeno, boa vida útil da bateria.</v>
      </c>
      <c r="B56569" s="3">
        <v>1</v>
      </c>
    </row>
    <row r="56570" ht="15.75" customHeight="1" spans="1:2">
      <c r="A56570" s="3" t="str">
        <f>IFERROR(__xludf.DUMMYFUNCTION("GOOGLETRANSLATE(A56570,""en"",""pt"")"),"Tamanho, opções, durabilidade")</f>
        <v>Tamanho, opções, durabilidade</v>
      </c>
      <c r="B56570" s="3">
        <v>1</v>
      </c>
    </row>
    <row r="56571" ht="15.75" customHeight="1" spans="1:2">
      <c r="A56571" s="3" t="str">
        <f>IFERROR(__xludf.DUMMYFUNCTION("GOOGLETRANSLATE(A56571,""en"",""pt"")"),"Recursos interessantes.")</f>
        <v>Recursos interessantes.</v>
      </c>
      <c r="B56571" s="3">
        <v>1</v>
      </c>
    </row>
    <row r="56572" ht="15.75" customHeight="1" spans="1:2">
      <c r="A56572" s="3" t="str">
        <f>IFERROR(__xludf.DUMMYFUNCTION("GOOGLETRANSLATE(A56572,""en"",""pt"")"),"Kewl anéis. A capacidade de alterar cores de tela externa.")</f>
        <v>Kewl anéis. A capacidade de alterar cores de tela externa.</v>
      </c>
      <c r="B56572" s="3">
        <v>1</v>
      </c>
    </row>
    <row r="56573" ht="15.75" customHeight="1" spans="1:2">
      <c r="A56573" s="3" t="str">
        <f>IFERROR(__xludf.DUMMYFUNCTION("GOOGLETRANSLATE(A56573,""en"",""pt"")"),"ótima interface")</f>
        <v>ótima interface</v>
      </c>
      <c r="B56573" s="3">
        <v>1</v>
      </c>
    </row>
    <row r="56574" ht="15.75" customHeight="1" spans="1:2">
      <c r="A56574" s="3" t="str">
        <f>IFERROR(__xludf.DUMMYFUNCTION("GOOGLETRANSLATE(A56574,""en"",""pt"")"),"exposição de cor rica.")</f>
        <v>exposição de cor rica.</v>
      </c>
      <c r="B56574" s="3">
        <v>1</v>
      </c>
    </row>
    <row r="56575" ht="15.75" customHeight="1" spans="1:2">
      <c r="A56575" s="3" t="str">
        <f>IFERROR(__xludf.DUMMYFUNCTION("GOOGLETRANSLATE(A56575,""en"",""pt"")"),"Qualidade geral")</f>
        <v>Qualidade geral</v>
      </c>
      <c r="B56575" s="3">
        <v>1</v>
      </c>
    </row>
    <row r="56576" ht="15.75" customHeight="1" spans="1:2">
      <c r="A56576" s="3" t="str">
        <f>IFERROR(__xludf.DUMMYFUNCTION("GOOGLETRANSLATE(A56576,""en"",""pt"")"),"exterior futurista prateado")</f>
        <v>exterior futurista prateado</v>
      </c>
      <c r="B56576" s="3">
        <v>1</v>
      </c>
    </row>
    <row r="56577" ht="15.75" customHeight="1" spans="1:2">
      <c r="A56577" s="3" t="str">
        <f>IFERROR(__xludf.DUMMYFUNCTION("GOOGLETRANSLATE(A56577,""en"",""pt"")"),"Grande ecrã a cores, bom volume, bom tamanho.")</f>
        <v>Grande ecrã a cores, bom volume, bom tamanho.</v>
      </c>
      <c r="B56577" s="3">
        <v>1</v>
      </c>
    </row>
    <row r="56578" ht="15.75" customHeight="1" spans="1:2">
      <c r="A56578" s="3" t="str">
        <f>IFERROR(__xludf.DUMMYFUNCTION("GOOGLETRANSLATE(A56578,""en"",""pt"")"),"Great Service,, vida útil da bateria decente muito colorido para um telefone, muitos recursos")</f>
        <v>Great Service,, vida útil da bateria decente muito colorido para um telefone, muitos recursos</v>
      </c>
      <c r="B56578" s="3">
        <v>1</v>
      </c>
    </row>
    <row r="56579" ht="15.75" customHeight="1" spans="1:2">
      <c r="A56579" s="3" t="str">
        <f>IFERROR(__xludf.DUMMYFUNCTION("GOOGLETRANSLATE(A56579,""en"",""pt"")"),"É de cor, eu consegui libertar depois de descontos no Verizon. tem características")</f>
        <v>É de cor, eu consegui libertar depois de descontos no Verizon. tem características</v>
      </c>
      <c r="B56579" s="3">
        <v>1</v>
      </c>
    </row>
    <row r="56580" ht="15.75" customHeight="1" spans="1:2">
      <c r="A56580" s="3" t="str">
        <f>IFERROR(__xludf.DUMMYFUNCTION("GOOGLETRANSLATE(A56580,""en"",""pt"")"),"Grande tela e características")</f>
        <v>Grande tela e características</v>
      </c>
      <c r="B56580" s="3">
        <v>1</v>
      </c>
    </row>
    <row r="56581" ht="15.75" customHeight="1" spans="1:2">
      <c r="A56581" s="3" t="str">
        <f>IFERROR(__xludf.DUMMYFUNCTION("GOOGLETRANSLATE(A56581,""en"",""pt"")"),"Identificador de chamadas externo. É sobre isso.")</f>
        <v>Identificador de chamadas externo. É sobre isso.</v>
      </c>
      <c r="B56581" s="3">
        <v>1</v>
      </c>
    </row>
    <row r="56582" ht="15.75" customHeight="1" spans="1:2">
      <c r="A56582" s="3" t="str">
        <f>IFERROR(__xludf.DUMMYFUNCTION("GOOGLETRANSLATE(A56582,""en"",""pt"")"),"Interface de usuário; ecrã a cores; teclas azuis")</f>
        <v>Interface de usuário; ecrã a cores; teclas azuis</v>
      </c>
      <c r="B56582" s="3">
        <v>1</v>
      </c>
    </row>
    <row r="56583" ht="15.75" customHeight="1" spans="1:2">
      <c r="A56583" s="3" t="str">
        <f>IFERROR(__xludf.DUMMYFUNCTION("GOOGLETRANSLATE(A56583,""en"",""pt"")"),"Ele tem uma câmera, vem às vezes livres com um contrato assinado.")</f>
        <v>Ele tem uma câmera, vem às vezes livres com um contrato assinado.</v>
      </c>
      <c r="B56583" s="3">
        <v>1</v>
      </c>
    </row>
    <row r="56584" ht="15.75" customHeight="1" spans="1:2">
      <c r="A56584" s="3" t="str">
        <f>IFERROR(__xludf.DUMMYFUNCTION("GOOGLETRANSLATE(A56584,""en"",""pt"")"),"Impressionante olhar, ringtones impressionante, toneladas de recursos, 'get-it-now' habilitado.")</f>
        <v>Impressionante olhar, ringtones impressionante, toneladas de recursos, 'get-it-now' habilitado.</v>
      </c>
      <c r="B56584" s="3">
        <v>1</v>
      </c>
    </row>
    <row r="56585" ht="15.75" customHeight="1" spans="1:2">
      <c r="A56585" s="3" t="str">
        <f>IFERROR(__xludf.DUMMYFUNCTION("GOOGLETRANSLATE(A56585,""en"",""pt"")"),"QUALQUER QUE SEJA NONE")</f>
        <v>QUALQUER QUE SEJA NONE</v>
      </c>
      <c r="B56585" s="3">
        <v>1</v>
      </c>
    </row>
    <row r="56586" ht="15.75" customHeight="1" spans="1:2">
      <c r="A56586" s="3" t="str">
        <f>IFERROR(__xludf.DUMMYFUNCTION("GOOGLETRANSLATE(A56586,""en"",""pt"")"),"Durabilidade, interface, bateria.")</f>
        <v>Durabilidade, interface, bateria.</v>
      </c>
      <c r="B56586" s="3">
        <v>1</v>
      </c>
    </row>
    <row r="56587" ht="15.75" customHeight="1" spans="1:2">
      <c r="A56587" s="3" t="str">
        <f>IFERROR(__xludf.DUMMYFUNCTION("GOOGLETRANSLATE(A56587,""en"",""pt"")"),"Fácil de usar, web, cor, durável,")</f>
        <v>Fácil de usar, web, cor, durável,</v>
      </c>
      <c r="B56587" s="3">
        <v>1</v>
      </c>
    </row>
    <row r="56588" ht="15.75" customHeight="1" spans="1:2">
      <c r="A56588" s="3" t="str">
        <f>IFERROR(__xludf.DUMMYFUNCTION("GOOGLETRANSLATE(A56588,""en"",""pt"")"),"telefone cor, fácil agenda, mensagens de texto, web (fácil de usar), Você começa um download ringtone livre, fácil de personalizar, muito poucas chamadas perdidas, pode levar uma surra (jogou-o ao redor como chaves do meu carro), pode baixar qualquer canç"&amp;"ão você quer com Get it Now (ringtones, papéis de parede), discagem por voz, fácil de descobrir todas as opções, serviço bom,")</f>
        <v>telefone cor, fácil agenda, mensagens de texto, web (fácil de usar), Você começa um download ringtone livre, fácil de personalizar, muito poucas chamadas perdidas, pode levar uma surra (jogou-o ao redor como chaves do meu carro), pode baixar qualquer canção você quer com Get it Now (ringtones, papéis de parede), discagem por voz, fácil de descobrir todas as opções, serviço bom,</v>
      </c>
      <c r="B56588" s="3">
        <v>1</v>
      </c>
    </row>
    <row r="56589" ht="15.75" customHeight="1" spans="1:2">
      <c r="A56589" s="3" t="str">
        <f>IFERROR(__xludf.DUMMYFUNCTION("GOOGLETRANSLATE(A56589,""en"",""pt"")"),"Livre com alguns planos")</f>
        <v>Livre com alguns planos</v>
      </c>
      <c r="B56589" s="3">
        <v>1</v>
      </c>
    </row>
    <row r="56590" ht="15.75" customHeight="1" spans="1:2">
      <c r="A56590" s="3" t="str">
        <f>IFERROR(__xludf.DUMMYFUNCTION("GOOGLETRANSLATE(A56590,""en"",""pt"")"),"Pequeno, telefone flip, fácil de usar")</f>
        <v>Pequeno, telefone flip, fácil de usar</v>
      </c>
      <c r="B56590" s="3">
        <v>1</v>
      </c>
    </row>
    <row r="56591" ht="15.75" customHeight="1" spans="1:2">
      <c r="A56591" s="3" t="str">
        <f>IFERROR(__xludf.DUMMYFUNCTION("GOOGLETRANSLATE(A56591,""en"",""pt"")"),"fotos; vídeo; teste; números de serviço adicional")</f>
        <v>fotos; vídeo; teste; números de serviço adicional</v>
      </c>
      <c r="B56591" s="3">
        <v>1</v>
      </c>
    </row>
    <row r="56592" ht="15.75" customHeight="1" spans="1:2">
      <c r="A56592" s="3" t="str">
        <f>IFERROR(__xludf.DUMMYFUNCTION("GOOGLETRANSLATE(A56592,""en"",""pt"")"),"ecrã a cores, menu de fácil")</f>
        <v>ecrã a cores, menu de fácil</v>
      </c>
      <c r="B56592" s="3">
        <v>1</v>
      </c>
    </row>
    <row r="56593" ht="15.75" customHeight="1" spans="1:2">
      <c r="A56593" s="3" t="str">
        <f>IFERROR(__xludf.DUMMYFUNCTION("GOOGLETRANSLATE(A56593,""en"",""pt"")"),"bateria de longa duração, durável, carrega rápido")</f>
        <v>bateria de longa duração, durável, carrega rápido</v>
      </c>
      <c r="B56593" s="3">
        <v>1</v>
      </c>
    </row>
    <row r="56594" ht="15.75" customHeight="1" spans="1:2">
      <c r="A56594" s="3" t="str">
        <f>IFERROR(__xludf.DUMMYFUNCTION("GOOGLETRANSLATE(A56594,""en"",""pt"")"),"snappy pouco telefone, eu como a tela de cor, eu realmente gosto da discagem por voz.")</f>
        <v>snappy pouco telefone, eu como a tela de cor, eu realmente gosto da discagem por voz.</v>
      </c>
      <c r="B56594" s="3">
        <v>1</v>
      </c>
    </row>
    <row r="56595" ht="15.75" customHeight="1" spans="1:2">
      <c r="A56595" s="3" t="str">
        <f>IFERROR(__xludf.DUMMYFUNCTION("GOOGLETRANSLATE(A56595,""en"",""pt"")"),"Boas características, operacionalmente som, boa vida útil da bateria")</f>
        <v>Boas características, operacionalmente som, boa vida útil da bateria</v>
      </c>
      <c r="B56595" s="3">
        <v>1</v>
      </c>
    </row>
    <row r="56596" ht="15.75" customHeight="1" spans="1:2">
      <c r="A56596" s="3" t="str">
        <f>IFERROR(__xludf.DUMMYFUNCTION("GOOGLETRANSLATE(A56596,""en"",""pt"")"),"Grande telefone, excelente recepção")</f>
        <v>Grande telefone, excelente recepção</v>
      </c>
      <c r="B56596" s="3">
        <v>1</v>
      </c>
    </row>
    <row r="56597" ht="15.75" customHeight="1" spans="1:2">
      <c r="A56597" s="3" t="str">
        <f>IFERROR(__xludf.DUMMYFUNCTION("GOOGLETRANSLATE(A56597,""en"",""pt"")"),"É 99,9% perfeita")</f>
        <v>É 99,9% perfeita</v>
      </c>
      <c r="B56597" s="3">
        <v>1</v>
      </c>
    </row>
    <row r="56598" ht="15.75" customHeight="1" spans="1:2">
      <c r="A56598" s="3" t="str">
        <f>IFERROR(__xludf.DUMMYFUNCTION("GOOGLETRANSLATE(A56598,""en"",""pt"")"),"Você não pode matá-lo")</f>
        <v>Você não pode matá-lo</v>
      </c>
      <c r="B56598" s="3">
        <v>1</v>
      </c>
    </row>
    <row r="56599" ht="15.75" customHeight="1" spans="1:2">
      <c r="A56599" s="3" t="str">
        <f>IFERROR(__xludf.DUMMYFUNCTION("GOOGLETRANSLATE(A56599,""en"",""pt"")"),"tela colorida, boa recepção, boa bateria, anéis de diversão")</f>
        <v>tela colorida, boa recepção, boa bateria, anéis de diversão</v>
      </c>
      <c r="B56599" s="3">
        <v>1</v>
      </c>
    </row>
    <row r="56600" ht="15.75" customHeight="1" spans="1:2">
      <c r="A56600" s="3" t="str">
        <f>IFERROR(__xludf.DUMMYFUNCTION("GOOGLETRANSLATE(A56600,""en"",""pt"")"),"tela de cor agradável. tamanho pequeno. pode baixar tons diferentes, fotos, etc.")</f>
        <v>tela de cor agradável. tamanho pequeno. pode baixar tons diferentes, fotos, etc.</v>
      </c>
      <c r="B56600" s="3">
        <v>1</v>
      </c>
    </row>
    <row r="56601" ht="15.75" customHeight="1" spans="1:2">
      <c r="A56601" s="3" t="str">
        <f>IFERROR(__xludf.DUMMYFUNCTION("GOOGLETRANSLATE(A56601,""en"",""pt"")"),"Grandes displays, teclas iluminadas, a vida da bateria razoável, se sentir confortável e substancial na mão.")</f>
        <v>Grandes displays, teclas iluminadas, a vida da bateria razoável, se sentir confortável e substancial na mão.</v>
      </c>
      <c r="B56601" s="3">
        <v>1</v>
      </c>
    </row>
    <row r="56602" ht="15.75" customHeight="1" spans="1:2">
      <c r="A56602" s="3" t="str">
        <f>IFERROR(__xludf.DUMMYFUNCTION("GOOGLETRANSLATE(A56602,""en"",""pt"")"),"características agradáveis")</f>
        <v>características agradáveis</v>
      </c>
      <c r="B56602" s="3">
        <v>1</v>
      </c>
    </row>
    <row r="56603" ht="15.75" customHeight="1" spans="1:2">
      <c r="A56603" s="3" t="str">
        <f>IFERROR(__xludf.DUMMYFUNCTION("GOOGLETRANSLATE(A56603,""en"",""pt"")"),"Diferentes escolhas e imagens a cores. Ativada por voz, discagem rápida, pequena.")</f>
        <v>Diferentes escolhas e imagens a cores. Ativada por voz, discagem rápida, pequena.</v>
      </c>
      <c r="B56603" s="3">
        <v>1</v>
      </c>
    </row>
    <row r="56604" ht="15.75" customHeight="1" spans="1:2">
      <c r="A56604" s="3" t="str">
        <f>IFERROR(__xludf.DUMMYFUNCTION("GOOGLETRANSLATE(A56604,""en"",""pt"")"),"Durabilidade")</f>
        <v>Durabilidade</v>
      </c>
      <c r="B56604" s="3">
        <v>1</v>
      </c>
    </row>
    <row r="56605" ht="15.75" customHeight="1" spans="1:2">
      <c r="A56605" s="3" t="str">
        <f>IFERROR(__xludf.DUMMYFUNCTION("GOOGLETRANSLATE(A56605,""en"",""pt"")"),"flip telefone, menus fáceis, atraentes, jogos")</f>
        <v>flip telefone, menus fáceis, atraentes, jogos</v>
      </c>
      <c r="B56605" s="3">
        <v>1</v>
      </c>
    </row>
    <row r="56606" ht="15.75" customHeight="1" spans="1:2">
      <c r="A56606" s="3" t="str">
        <f>IFERROR(__xludf.DUMMYFUNCTION("GOOGLETRANSLATE(A56606,""en"",""pt"")"),"características agradáveis ​​simples de mensagens, excelente exposição de cor, vida útil da bateria razoável")</f>
        <v>características agradáveis ​​simples de mensagens, excelente exposição de cor, vida útil da bateria razoável</v>
      </c>
      <c r="B56606" s="3">
        <v>1</v>
      </c>
    </row>
    <row r="56607" ht="15.75" customHeight="1" spans="1:2">
      <c r="A56607" s="3" t="str">
        <f>IFERROR(__xludf.DUMMYFUNCTION("GOOGLETRANSLATE(A56607,""en"",""pt"")"),"tudo é bom, exceto para a bateria.")</f>
        <v>tudo é bom, exceto para a bateria.</v>
      </c>
      <c r="B56607" s="3">
        <v>1</v>
      </c>
    </row>
    <row r="56608" ht="15.75" customHeight="1" spans="1:2">
      <c r="A56608" s="3" t="str">
        <f>IFERROR(__xludf.DUMMYFUNCTION("GOOGLETRANSLATE(A56608,""en"",""pt"")"),"Leve, grande resolutoin tela, menu de lógica e de navegação.")</f>
        <v>Leve, grande resolutoin tela, menu de lógica e de navegação.</v>
      </c>
      <c r="B56608" s="3">
        <v>1</v>
      </c>
    </row>
    <row r="56609" ht="15.75" customHeight="1" spans="1:2">
      <c r="A56609" s="3" t="str">
        <f>IFERROR(__xludf.DUMMYFUNCTION("GOOGLETRANSLATE(A56609,""en"",""pt"")"),"bom tamanho, tela clara.")</f>
        <v>bom tamanho, tela clara.</v>
      </c>
      <c r="B56609" s="3">
        <v>1</v>
      </c>
    </row>
    <row r="56610" ht="15.75" customHeight="1" spans="1:2">
      <c r="A56610" s="3" t="str">
        <f>IFERROR(__xludf.DUMMYFUNCTION("GOOGLETRANSLATE(A56610,""en"",""pt"")"),"Grande qualidade de som, características surpreendentes")</f>
        <v>Grande qualidade de som, características surpreendentes</v>
      </c>
      <c r="B56610" s="3">
        <v>1</v>
      </c>
    </row>
    <row r="56611" ht="15.75" customHeight="1" spans="1:2">
      <c r="A56611" s="3" t="str">
        <f>IFERROR(__xludf.DUMMYFUNCTION("GOOGLETRANSLATE(A56611,""en"",""pt"")"),"recursos avançados, cor")</f>
        <v>recursos avançados, cor</v>
      </c>
      <c r="B56611" s="3">
        <v>1</v>
      </c>
    </row>
    <row r="56612" ht="15.75" customHeight="1" spans="1:2">
      <c r="A56612" s="3" t="str">
        <f>IFERROR(__xludf.DUMMYFUNCTION("GOOGLETRANSLATE(A56612,""en"",""pt"")"),"A preços razoáveis, grande qualidade e som.")</f>
        <v>A preços razoáveis, grande qualidade e som.</v>
      </c>
      <c r="B56612" s="3">
        <v>1</v>
      </c>
    </row>
    <row r="56613" ht="15.75" customHeight="1" spans="1:2">
      <c r="A56613" s="3" t="str">
        <f>IFERROR(__xludf.DUMMYFUNCTION("GOOGLETRANSLATE(A56613,""en"",""pt"")"),"Preço (livre com contrato), a qualidade do som, características, personalização disponíveis")</f>
        <v>Preço (livre com contrato), a qualidade do som, características, personalização disponíveis</v>
      </c>
      <c r="B56613" s="3">
        <v>1</v>
      </c>
    </row>
    <row r="56614" ht="15.75" customHeight="1" spans="1:2">
      <c r="A56614" s="3" t="str">
        <f>IFERROR(__xludf.DUMMYFUNCTION("GOOGLETRANSLATE(A56614,""en"",""pt"")"),"Muitos recursos para um telefone ""barato"".")</f>
        <v>Muitos recursos para um telefone "barato".</v>
      </c>
      <c r="B56614" s="3">
        <v>1</v>
      </c>
    </row>
    <row r="56615" ht="15.75" customHeight="1" spans="1:2">
      <c r="A56615" s="3" t="str">
        <f>IFERROR(__xludf.DUMMYFUNCTION("GOOGLETRANSLATE(A56615,""en"",""pt"")"),"Tem tudo que você precisa e muito mais.")</f>
        <v>Tem tudo que você precisa e muito mais.</v>
      </c>
      <c r="B56615" s="3">
        <v>1</v>
      </c>
    </row>
    <row r="56616" ht="15.75" customHeight="1" spans="1:2">
      <c r="A56616" s="3" t="str">
        <f>IFERROR(__xludf.DUMMYFUNCTION("GOOGLETRANSLATE(A56616,""en"",""pt"")"),"Muito fácil de usar, barato. Jam-embalados com características impressionantes e jogos.")</f>
        <v>Muito fácil de usar, barato. Jam-embalados com características impressionantes e jogos.</v>
      </c>
      <c r="B56616" s="3">
        <v>1</v>
      </c>
    </row>
    <row r="56617" ht="15.75" customHeight="1" spans="1:2">
      <c r="A56617" s="3" t="str">
        <f>IFERROR(__xludf.DUMMYFUNCTION("GOOGLETRANSLATE(A56617,""en"",""pt"")"),"Bom celular barato")</f>
        <v>Bom celular barato</v>
      </c>
      <c r="B56617" s="3">
        <v>1</v>
      </c>
    </row>
    <row r="56618" ht="15.75" customHeight="1" spans="1:2">
      <c r="A56618" s="3" t="str">
        <f>IFERROR(__xludf.DUMMYFUNCTION("GOOGLETRANSLATE(A56618,""en"",""pt"")"),"pequeno, sem antenas externas, não aleta, grandes recursos")</f>
        <v>pequeno, sem antenas externas, não aleta, grandes recursos</v>
      </c>
      <c r="B56618" s="3">
        <v>1</v>
      </c>
    </row>
    <row r="56619" ht="15.75" customHeight="1" spans="1:2">
      <c r="A56619" s="3" t="str">
        <f>IFERROR(__xludf.DUMMYFUNCTION("GOOGLETRANSLATE(A56619,""en"",""pt"")"),"Tem um monte de recursos fáceis de usar, excelente recepção, muito portátil")</f>
        <v>Tem um monte de recursos fáceis de usar, excelente recepção, muito portátil</v>
      </c>
      <c r="B56619" s="3">
        <v>1</v>
      </c>
    </row>
    <row r="56620" ht="15.75" customHeight="1" spans="1:2">
      <c r="A56620" s="3" t="str">
        <f>IFERROR(__xludf.DUMMYFUNCTION("GOOGLETRANSLATE(A56620,""en"",""pt"")"),"O peso leve, boa recepção, boa aparência, fácil de usar.")</f>
        <v>O peso leve, boa recepção, boa aparência, fácil de usar.</v>
      </c>
      <c r="B56620" s="3">
        <v>1</v>
      </c>
    </row>
    <row r="56621" ht="15.75" customHeight="1" spans="1:2">
      <c r="A56621" s="3" t="str">
        <f>IFERROR(__xludf.DUMMYFUNCTION("GOOGLETRANSLATE(A56621,""en"",""pt"")"),"Boa qualidade, preço razoável, muito fácil de usar.")</f>
        <v>Boa qualidade, preço razoável, muito fácil de usar.</v>
      </c>
      <c r="B56621" s="3">
        <v>1</v>
      </c>
    </row>
    <row r="56622" ht="15.75" customHeight="1" spans="1:2">
      <c r="A56622" s="3" t="str">
        <f>IFERROR(__xludf.DUMMYFUNCTION("GOOGLETRANSLATE(A56622,""en"",""pt"")"),"antena intergrated, tampas intercambiáveis, agradável aparência, boa recepção, lotes de características, tamanho pequeno.")</f>
        <v>antena intergrated, tampas intercambiáveis, agradável aparência, boa recepção, lotes de características, tamanho pequeno.</v>
      </c>
      <c r="B56622" s="3">
        <v>1</v>
      </c>
    </row>
    <row r="56623" ht="15.75" customHeight="1" spans="1:2">
      <c r="A56623" s="3" t="str">
        <f>IFERROR(__xludf.DUMMYFUNCTION("GOOGLETRANSLATE(A56623,""en"",""pt"")"),"A abundância de tampas personalizáveis; grandes jogos; de voz e discagem de um toque; durável; alerta vibratório; antena interna")</f>
        <v>A abundância de tampas personalizáveis; grandes jogos; de voz e discagem de um toque; durável; alerta vibratório; antena interna</v>
      </c>
      <c r="B56623" s="3">
        <v>1</v>
      </c>
    </row>
    <row r="56624" ht="15.75" customHeight="1" spans="1:2">
      <c r="A56624" s="3" t="str">
        <f>IFERROR(__xludf.DUMMYFUNCTION("GOOGLETRANSLATE(A56624,""en"",""pt"")"),"Boas características, durável, elegante.")</f>
        <v>Boas características, durável, elegante.</v>
      </c>
      <c r="B56624" s="3">
        <v>1</v>
      </c>
    </row>
    <row r="56625" ht="15.75" customHeight="1" spans="1:2">
      <c r="A56625" s="3" t="str">
        <f>IFERROR(__xludf.DUMMYFUNCTION("GOOGLETRANSLATE(A56625,""en"",""pt"")"),"Elegante, elegante e desportivo, se você quiser que ele seja. recepção forte, peso leve.")</f>
        <v>Elegante, elegante e desportivo, se você quiser que ele seja. recepção forte, peso leve.</v>
      </c>
      <c r="B56625" s="3">
        <v>1</v>
      </c>
    </row>
    <row r="56626" ht="15.75" customHeight="1" spans="1:2">
      <c r="A56626" s="3" t="str">
        <f>IFERROR(__xludf.DUMMYFUNCTION("GOOGLETRANSLATE(A56626,""en"",""pt"")"),"telefone pequeno, grandes recursos, uma boa recepção")</f>
        <v>telefone pequeno, grandes recursos, uma boa recepção</v>
      </c>
      <c r="B56626" s="3">
        <v>1</v>
      </c>
    </row>
    <row r="56627" ht="15.75" customHeight="1" spans="1:2">
      <c r="A56627" s="3" t="str">
        <f>IFERROR(__xludf.DUMMYFUNCTION("GOOGLETRANSLATE(A56627,""en"",""pt"")"),"Boa recepção, nenhuma antena.")</f>
        <v>Boa recepção, nenhuma antena.</v>
      </c>
      <c r="B56627" s="3">
        <v>1</v>
      </c>
    </row>
    <row r="56628" ht="15.75" customHeight="1" spans="1:2">
      <c r="A56628" s="3" t="str">
        <f>IFERROR(__xludf.DUMMYFUNCTION("GOOGLETRANSLATE(A56628,""en"",""pt"")"),"Pequeno, leve, nenhuma antena, grande despertador, vibrador.")</f>
        <v>Pequeno, leve, nenhuma antena, grande despertador, vibrador.</v>
      </c>
      <c r="B56628" s="3">
        <v>1</v>
      </c>
    </row>
    <row r="56629" ht="15.75" customHeight="1" spans="1:2">
      <c r="A56629" s="3" t="str">
        <f>IFERROR(__xludf.DUMMYFUNCTION("GOOGLETRANSLATE(A56629,""en"",""pt"")"),"Pequeno, telefone bonito, customizável. Tem a maioria das características de qualquer telefone nos EUA!")</f>
        <v>Pequeno, telefone bonito, customizável. Tem a maioria das características de qualquer telefone nos EUA!</v>
      </c>
      <c r="B56629" s="3">
        <v>1</v>
      </c>
    </row>
    <row r="56630" ht="15.75" customHeight="1" spans="1:2">
      <c r="A56630" s="3" t="str">
        <f>IFERROR(__xludf.DUMMYFUNCTION("GOOGLETRANSLATE(A56630,""en"",""pt"")"),"pequeno, leve, faceplates legais, reconhecimento de voz, barato")</f>
        <v>pequeno, leve, faceplates legais, reconhecimento de voz, barato</v>
      </c>
      <c r="B56630" s="3">
        <v>1</v>
      </c>
    </row>
    <row r="56631" ht="15.75" customHeight="1" spans="1:2">
      <c r="A56631" s="3" t="str">
        <f>IFERROR(__xludf.DUMMYFUNCTION("GOOGLETRANSLATE(A56631,""en"",""pt"")"),"Nice e compactos características, calço o completo', resistente para o seu tamanho, e vibrando!")</f>
        <v>Nice e compactos características, calço o completo', resistente para o seu tamanho, e vibrando!</v>
      </c>
      <c r="B56631" s="3">
        <v>1</v>
      </c>
    </row>
    <row r="56632" ht="15.75" customHeight="1" spans="1:2">
      <c r="A56632" s="3" t="str">
        <f>IFERROR(__xludf.DUMMYFUNCTION("GOOGLETRANSLATE(A56632,""en"",""pt"")"),"Fácil de usar, fácil opções, guias de votos")</f>
        <v>Fácil de usar, fácil opções, guias de votos</v>
      </c>
      <c r="B56632" s="3">
        <v>1</v>
      </c>
    </row>
    <row r="56633" ht="15.75" customHeight="1" spans="1:2">
      <c r="A56633" s="3" t="str">
        <f>IFERROR(__xludf.DUMMYFUNCTION("GOOGLETRANSLATE(A56633,""en"",""pt"")"),"O peso leve, claro qualidade de som, cargas de outros recursos")</f>
        <v>O peso leve, claro qualidade de som, cargas de outros recursos</v>
      </c>
      <c r="B56633" s="3">
        <v>1</v>
      </c>
    </row>
    <row r="56634" ht="15.75" customHeight="1" spans="1:2">
      <c r="A56634" s="3" t="str">
        <f>IFERROR(__xludf.DUMMYFUNCTION("GOOGLETRANSLATE(A56634,""en"",""pt"")"),"Pequeno, com um som claro e bela tela.")</f>
        <v>Pequeno, com um som claro e bela tela.</v>
      </c>
      <c r="B56634" s="3">
        <v>1</v>
      </c>
    </row>
    <row r="56635" ht="15.75" customHeight="1" spans="1:2">
      <c r="A56635" s="3" t="str">
        <f>IFERROR(__xludf.DUMMYFUNCTION("GOOGLETRANSLATE(A56635,""en"",""pt"")"),"Pequeno, Sounds Grande, grande vida útil da bateria, fácil de ""ficar a conhecer"" !!!")</f>
        <v>Pequeno, Sounds Grande, grande vida útil da bateria, fácil de "ficar a conhecer" !!!</v>
      </c>
      <c r="B56635" s="3">
        <v>1</v>
      </c>
    </row>
    <row r="56636" ht="15.75" customHeight="1" spans="1:2">
      <c r="A56636" s="3" t="str">
        <f>IFERROR(__xludf.DUMMYFUNCTION("GOOGLETRANSLATE(A56636,""en"",""pt"")"),"Boas características e a nitidez do som, enquanto você tem um sinal bom. Muito acidentado!")</f>
        <v>Boas características e a nitidez do som, enquanto você tem um sinal bom. Muito acidentado!</v>
      </c>
      <c r="B56636" s="3">
        <v>1</v>
      </c>
    </row>
    <row r="56637" ht="15.75" customHeight="1" spans="1:2">
      <c r="A56637" s="3" t="str">
        <f>IFERROR(__xludf.DUMMYFUNCTION("GOOGLETRANSLATE(A56637,""en"",""pt"")"),"Preço, qualidade de som, artesanato, características, customizável")</f>
        <v>Preço, qualidade de som, artesanato, características, customizável</v>
      </c>
      <c r="B56637" s="3">
        <v>1</v>
      </c>
    </row>
    <row r="56638" ht="15.75" customHeight="1" spans="1:2">
      <c r="A56638" s="3" t="str">
        <f>IFERROR(__xludf.DUMMYFUNCTION("GOOGLETRANSLATE(A56638,""en"",""pt"")"),"Grandes recursos, muito leve, mas não muito pequeno.")</f>
        <v>Grandes recursos, muito leve, mas não muito pequeno.</v>
      </c>
      <c r="B56638" s="3">
        <v>1</v>
      </c>
    </row>
    <row r="56639" ht="15.75" customHeight="1" spans="1:2">
      <c r="A56639" s="3" t="str">
        <f>IFERROR(__xludf.DUMMYFUNCTION("GOOGLETRANSLATE(A56639,""en"",""pt"")"),"O telefone é pequeno, claro, durável (eu deixei cair ...), e fácil de usar.")</f>
        <v>O telefone é pequeno, claro, durável (eu deixei cair ...), e fácil de usar.</v>
      </c>
      <c r="B56639" s="3">
        <v>1</v>
      </c>
    </row>
    <row r="56640" ht="15.75" customHeight="1" spans="1:2">
      <c r="A56640" s="3" t="str">
        <f>IFERROR(__xludf.DUMMYFUNCTION("GOOGLETRANSLATE(A56640,""en"",""pt"")"),"Muito pequeno; toneladas de recursos; nenhuma bateria especial necessário para modo de vibração.")</f>
        <v>Muito pequeno; toneladas de recursos; nenhuma bateria especial necessário para modo de vibração.</v>
      </c>
      <c r="B56640" s="3">
        <v>1</v>
      </c>
    </row>
    <row r="56641" ht="15.75" customHeight="1" spans="1:2">
      <c r="A56641" s="3" t="str">
        <f>IFERROR(__xludf.DUMMYFUNCTION("GOOGLETRANSLATE(A56641,""en"",""pt"")"),"Sem Attenna, pequeno / leve, Recepção sinal bom, cabe em qualquer lugar!")</f>
        <v>Sem Attenna, pequeno / leve, Recepção sinal bom, cabe em qualquer lugar!</v>
      </c>
      <c r="B56641" s="3">
        <v>1</v>
      </c>
    </row>
    <row r="56642" ht="15.75" customHeight="1" spans="1:2">
      <c r="A56642" s="3" t="str">
        <f>IFERROR(__xludf.DUMMYFUNCTION("GOOGLETRANSLATE(A56642,""en"",""pt"")"),"Pequeno, boa bateria, intuitivo de usar.")</f>
        <v>Pequeno, boa bateria, intuitivo de usar.</v>
      </c>
      <c r="B56642" s="3">
        <v>1</v>
      </c>
    </row>
    <row r="56643" ht="15.75" customHeight="1" spans="1:2">
      <c r="A56643" s="3" t="str">
        <f>IFERROR(__xludf.DUMMYFUNCTION("GOOGLETRANSLATE(A56643,""en"",""pt"")"),"Características, menu, ringtones download e logótipo do operador, boa RF e qualidade da voz.")</f>
        <v>Características, menu, ringtones download e logótipo do operador, boa RF e qualidade da voz.</v>
      </c>
      <c r="B56643" s="3">
        <v>1</v>
      </c>
    </row>
    <row r="56644" ht="15.75" customHeight="1" spans="1:2">
      <c r="A56644" s="3" t="str">
        <f>IFERROR(__xludf.DUMMYFUNCTION("GOOGLETRANSLATE(A56644,""en"",""pt"")"),"jogos divertidos, muitas características!")</f>
        <v>jogos divertidos, muitas características!</v>
      </c>
      <c r="B56644" s="3">
        <v>1</v>
      </c>
    </row>
    <row r="56645" ht="15.75" customHeight="1" spans="1:2">
      <c r="A56645" s="3" t="str">
        <f>IFERROR(__xludf.DUMMYFUNCTION("GOOGLETRANSLATE(A56645,""en"",""pt"")"),"Tamanho e fácil acesso aos números ao contrário de telefones menores. Não é um telefone flip-up")</f>
        <v>Tamanho e fácil acesso aos números ao contrário de telefones menores. Não é um telefone flip-up</v>
      </c>
      <c r="B56645" s="3">
        <v>1</v>
      </c>
    </row>
    <row r="56646" ht="15.75" customHeight="1" spans="1:2">
      <c r="A56646" s="3" t="str">
        <f>IFERROR(__xludf.DUMMYFUNCTION("GOOGLETRANSLATE(A56646,""en"",""pt"")"),"elegante leve e fácil de usar.")</f>
        <v>elegante leve e fácil de usar.</v>
      </c>
      <c r="B56646" s="3">
        <v>1</v>
      </c>
    </row>
    <row r="56647" ht="15.75" customHeight="1" spans="1:2">
      <c r="A56647" s="3" t="str">
        <f>IFERROR(__xludf.DUMMYFUNCTION("GOOGLETRANSLATE(A56647,""en"",""pt"")"),"Lotes de recursos personalizáveis, jogos e é um Nokia.")</f>
        <v>Lotes de recursos personalizáveis, jogos e é um Nokia.</v>
      </c>
      <c r="B56647" s="3">
        <v>1</v>
      </c>
    </row>
    <row r="56648" ht="15.75" customHeight="1" spans="1:2">
      <c r="A56648" s="3" t="str">
        <f>IFERROR(__xludf.DUMMYFUNCTION("GOOGLETRANSLATE(A56648,""en"",""pt"")"),"pequeno, leve")</f>
        <v>pequeno, leve</v>
      </c>
      <c r="B56648" s="3">
        <v>1</v>
      </c>
    </row>
    <row r="56649" ht="15.75" customHeight="1" spans="1:2">
      <c r="A56649" s="3" t="s">
        <v>301</v>
      </c>
      <c r="B56649" s="3">
        <v>1</v>
      </c>
    </row>
    <row r="56650" ht="15.75" customHeight="1" spans="1:2">
      <c r="A56650" s="3" t="str">
        <f>IFERROR(__xludf.DUMMYFUNCTION("GOOGLETRANSLATE(A56650,""en"",""pt"")"),"tamanho compacto, escondido antenas, jogos, calendário e calculadora,")</f>
        <v>tamanho compacto, escondido antenas, jogos, calendário e calculadora,</v>
      </c>
      <c r="B56650" s="3">
        <v>1</v>
      </c>
    </row>
    <row r="56651" ht="15.75" customHeight="1" spans="1:2">
      <c r="A56651" s="3" t="str">
        <f>IFERROR(__xludf.DUMMYFUNCTION("GOOGLETRANSLATE(A56651,""en"",""pt"")"),"pequeno e muito portátil, vibração, toque compositor")</f>
        <v>pequeno e muito portátil, vibração, toque compositor</v>
      </c>
      <c r="B56651" s="3">
        <v>1</v>
      </c>
    </row>
    <row r="56652" ht="15.75" customHeight="1" spans="1:2">
      <c r="A56652" s="3" t="str">
        <f>IFERROR(__xludf.DUMMYFUNCTION("GOOGLETRANSLATE(A56652,""en"",""pt"")"),"Pequeno, Antena Interna, customizável")</f>
        <v>Pequeno, Antena Interna, customizável</v>
      </c>
      <c r="B56652" s="3">
        <v>1</v>
      </c>
    </row>
    <row r="56653" ht="15.75" customHeight="1" spans="1:2">
      <c r="A56653" s="3" t="str">
        <f>IFERROR(__xludf.DUMMYFUNCTION("GOOGLETRANSLATE(A56653,""en"",""pt"")"),"Pequeno, leve, faceplates mutável, ringtones download, simples, fácil de usar")</f>
        <v>Pequeno, leve, faceplates mutável, ringtones download, simples, fácil de usar</v>
      </c>
      <c r="B56653" s="3">
        <v>1</v>
      </c>
    </row>
    <row r="56654" ht="15.75" customHeight="1" spans="1:2">
      <c r="A56654" s="3" t="str">
        <f>IFERROR(__xludf.DUMMYFUNCTION("GOOGLETRANSLATE(A56654,""en"",""pt"")"),"é fácil de usar e é ótimas opções")</f>
        <v>é fácil de usar e é ótimas opções</v>
      </c>
      <c r="B56654" s="3">
        <v>1</v>
      </c>
    </row>
    <row r="56655" ht="15.75" customHeight="1" spans="1:2">
      <c r="A56655" s="3" t="str">
        <f>IFERROR(__xludf.DUMMYFUNCTION("GOOGLETRANSLATE(A56655,""en"",""pt"")"),"Baixo preço, excelente recepção, totalmente customizável")</f>
        <v>Baixo preço, excelente recepção, totalmente customizável</v>
      </c>
      <c r="B56655" s="3">
        <v>1</v>
      </c>
    </row>
    <row r="56656" ht="15.75" customHeight="1" spans="1:2">
      <c r="A56656" s="3" t="str">
        <f>IFERROR(__xludf.DUMMYFUNCTION("GOOGLETRANSLATE(A56656,""en"",""pt"")"),"Luz, muito portátil.")</f>
        <v>Luz, muito portátil.</v>
      </c>
      <c r="B56656" s="3">
        <v>1</v>
      </c>
    </row>
    <row r="56657" ht="15.75" customHeight="1" spans="1:2">
      <c r="A56657" s="3" t="str">
        <f>IFERROR(__xludf.DUMMYFUNCTION("GOOGLETRANSLATE(A56657,""en"",""pt"")"),"Pequeno, anel alto, barato para o novo usuário")</f>
        <v>Pequeno, anel alto, barato para o novo usuário</v>
      </c>
      <c r="B56657" s="3">
        <v>1</v>
      </c>
    </row>
    <row r="56658" ht="15.75" customHeight="1" spans="1:2">
      <c r="A56658" s="3" t="str">
        <f>IFERROR(__xludf.DUMMYFUNCTION("GOOGLETRANSLATE(A56658,""en"",""pt"")"),"Pequenas; lotes de características; customizáveis ​​completo; preço imbatível")</f>
        <v>Pequenas; lotes de características; customizáveis ​​completo; preço imbatível</v>
      </c>
      <c r="B56658" s="3">
        <v>1</v>
      </c>
    </row>
    <row r="56659" ht="15.75" customHeight="1" spans="1:2">
      <c r="A56659" s="3" t="str">
        <f>IFERROR(__xludf.DUMMYFUNCTION("GOOGLETRANSLATE(A56659,""en"",""pt"")"),"Pequeno, barato - na verdade, é livre com alguns fornecedores.")</f>
        <v>Pequeno, barato - na verdade, é livre com alguns fornecedores.</v>
      </c>
      <c r="B56659" s="3">
        <v>1</v>
      </c>
    </row>
    <row r="56660" ht="15.75" customHeight="1" spans="1:2">
      <c r="A56660" s="3" t="str">
        <f>IFERROR(__xludf.DUMMYFUNCTION("GOOGLETRANSLATE(A56660,""en"",""pt"")"),"screensavers Cool, ringtones bonito, antenas interior")</f>
        <v>screensavers Cool, ringtones bonito, antenas interior</v>
      </c>
      <c r="B56660" s="3">
        <v>1</v>
      </c>
    </row>
    <row r="56661" ht="15.75" customHeight="1" spans="1:2">
      <c r="A56661" s="3" t="str">
        <f>IFERROR(__xludf.DUMMYFUNCTION("GOOGLETRANSLATE(A56661,""en"",""pt"")"),"tamanho pequeno, com grande som tamanho")</f>
        <v>tamanho pequeno, com grande som tamanho</v>
      </c>
      <c r="B56661" s="3">
        <v>1</v>
      </c>
    </row>
    <row r="56662" ht="15.75" customHeight="1" spans="1:2">
      <c r="A56662" s="3" t="str">
        <f>IFERROR(__xludf.DUMMYFUNCTION("GOOGLETRANSLATE(A56662,""en"",""pt"")"),"Pequeno e leve, e ainda durável.")</f>
        <v>Pequeno e leve, e ainda durável.</v>
      </c>
      <c r="B56662" s="3">
        <v>1</v>
      </c>
    </row>
    <row r="56663" ht="15.75" customHeight="1" spans="1:2">
      <c r="A56663" s="3" t="s">
        <v>302</v>
      </c>
      <c r="B56663" s="3">
        <v>1</v>
      </c>
    </row>
    <row r="56664" ht="15.75" customHeight="1" spans="1:2">
      <c r="A56664" s="3" t="str">
        <f>IFERROR(__xludf.DUMMYFUNCTION("GOOGLETRANSLATE(A56664,""en"",""pt"")"),"O que você quer em um celular, Nokia 3390 tem tudo para você.")</f>
        <v>O que você quer em um celular, Nokia 3390 tem tudo para você.</v>
      </c>
      <c r="B56664" s="3">
        <v>1</v>
      </c>
    </row>
    <row r="56665" ht="15.75" customHeight="1" spans="1:2">
      <c r="A56665" s="3" t="str">
        <f>IFERROR(__xludf.DUMMYFUNCTION("GOOGLETRANSLATE(A56665,""en"",""pt"")"),"tamanho compacto, peso leve, características poderosas, fácil de usar")</f>
        <v>tamanho compacto, peso leve, características poderosas, fácil de usar</v>
      </c>
      <c r="B56665" s="3">
        <v>1</v>
      </c>
    </row>
    <row r="56666" ht="15.75" customHeight="1" spans="1:2">
      <c r="A56666" s="3" t="str">
        <f>IFERROR(__xludf.DUMMYFUNCTION("GOOGLETRANSLATE(A56666,""en"",""pt"")"),"Pequeno, Luz, Características, a vida da bateria, fone de ouvido livre e bateria vibrando")</f>
        <v>Pequeno, Luz, Características, a vida da bateria, fone de ouvido livre e bateria vibrando</v>
      </c>
      <c r="B56666" s="3">
        <v>1</v>
      </c>
    </row>
    <row r="56667" ht="15.75" customHeight="1" spans="1:2">
      <c r="A56667" s="3" t="str">
        <f>IFERROR(__xludf.DUMMYFUNCTION("GOOGLETRANSLATE(A56667,""en"",""pt"")"),"É ótimo e fácil")</f>
        <v>É ótimo e fácil</v>
      </c>
      <c r="B56667" s="3">
        <v>1</v>
      </c>
    </row>
    <row r="56668" ht="15.75" customHeight="1" spans="1:2">
      <c r="A56668" s="3" t="str">
        <f>IFERROR(__xludf.DUMMYFUNCTION("GOOGLETRANSLATE(A56668,""en"",""pt"")"),"poderoso antenas, fácil de usar, toques compor")</f>
        <v>poderoso antenas, fácil de usar, toques compor</v>
      </c>
      <c r="B56668" s="3">
        <v>1</v>
      </c>
    </row>
    <row r="56669" ht="15.75" customHeight="1" spans="1:2">
      <c r="A56669" s="3" t="s">
        <v>303</v>
      </c>
      <c r="B56669" s="3">
        <v>1</v>
      </c>
    </row>
    <row r="56670" ht="15.75" customHeight="1" spans="1:2">
      <c r="A56670" s="3" t="str">
        <f>IFERROR(__xludf.DUMMYFUNCTION("GOOGLETRANSLATE(A56670,""en"",""pt"")"),"Pequeno, recurso avançado, novo telefone borda que as pontuações arrefecer pontos.")</f>
        <v>Pequeno, recurso avançado, novo telefone borda que as pontuações arrefecer pontos.</v>
      </c>
      <c r="B56670" s="3">
        <v>1</v>
      </c>
    </row>
    <row r="56671" ht="15.75" customHeight="1" spans="1:2">
      <c r="A56671" s="3" t="str">
        <f>IFERROR(__xludf.DUMMYFUNCTION("GOOGLETRANSLATE(A56671,""en"",""pt"")"),"Grande preço, bom tamanho, abundância de recursos, Clear, qualidade de som")</f>
        <v>Grande preço, bom tamanho, abundância de recursos, Clear, qualidade de som</v>
      </c>
      <c r="B56671" s="3">
        <v>1</v>
      </c>
    </row>
    <row r="56672" ht="15.75" customHeight="1" spans="1:2">
      <c r="A56672" s="3" t="str">
        <f>IFERROR(__xludf.DUMMYFUNCTION("GOOGLETRANSLATE(A56672,""en"",""pt"")"),"Sem antena externa, bom tamanho da chave, os lotes de características úteis")</f>
        <v>Sem antena externa, bom tamanho da chave, os lotes de características úteis</v>
      </c>
      <c r="B56672" s="3">
        <v>1</v>
      </c>
    </row>
    <row r="56673" ht="15.75" customHeight="1" spans="1:2">
      <c r="A56673" s="3" t="str">
        <f>IFERROR(__xludf.DUMMYFUNCTION("GOOGLETRANSLATE(A56673,""en"",""pt"")"),"pequena, compacta, durável, elegante")</f>
        <v>pequena, compacta, durável, elegante</v>
      </c>
      <c r="B56673" s="3">
        <v>1</v>
      </c>
    </row>
    <row r="56674" ht="15.75" customHeight="1" spans="1:2">
      <c r="A56674" s="3" t="str">
        <f>IFERROR(__xludf.DUMMYFUNCTION("GOOGLETRANSLATE(A56674,""en"",""pt"")"),"mais opções do que os modelos anteriores interface amigável-,, cartão SIM")</f>
        <v>mais opções do que os modelos anteriores interface amigável-,, cartão SIM</v>
      </c>
      <c r="B56674" s="3">
        <v>1</v>
      </c>
    </row>
    <row r="56675" ht="15.75" customHeight="1" spans="1:2">
      <c r="A56675" s="3" t="str">
        <f>IFERROR(__xludf.DUMMYFUNCTION("GOOGLETRANSLATE(A56675,""en"",""pt"")"),"Livre, durável, customizável, boa bateria, AIM, discagem por voz, e de fácil navegação.")</f>
        <v>Livre, durável, customizável, boa bateria, AIM, discagem por voz, e de fácil navegação.</v>
      </c>
      <c r="B56675" s="3">
        <v>1</v>
      </c>
    </row>
    <row r="56676" ht="15.75" customHeight="1" spans="1:2">
      <c r="A56676" s="3" t="str">
        <f>IFERROR(__xludf.DUMMYFUNCTION("GOOGLETRANSLATE(A56676,""en"",""pt"")"),"Bom tamanho, fácil de usar")</f>
        <v>Bom tamanho, fácil de usar</v>
      </c>
      <c r="B56676" s="3">
        <v>1</v>
      </c>
    </row>
    <row r="56677" ht="15.75" customHeight="1" spans="1:2">
      <c r="A56677" s="3" t="str">
        <f>IFERROR(__xludf.DUMMYFUNCTION("GOOGLETRANSLATE(A56677,""en"",""pt"")"),"Elegante e funcional, relativamente barato, cheio de gadgets-como características! :-D")</f>
        <v>Elegante e funcional, relativamente barato, cheio de gadgets-como características! :-D</v>
      </c>
      <c r="B56677" s="3">
        <v>1</v>
      </c>
    </row>
    <row r="56678" ht="15.75" customHeight="1" spans="1:2">
      <c r="A56678" s="3" t="str">
        <f>IFERROR(__xludf.DUMMYFUNCTION("GOOGLETRANSLATE(A56678,""en"",""pt"")"),"Peso leve, tamanho perfeito, grande recepção, e grande força da bateria")</f>
        <v>Peso leve, tamanho perfeito, grande recepção, e grande força da bateria</v>
      </c>
      <c r="B56678" s="3">
        <v>1</v>
      </c>
    </row>
    <row r="56679" ht="15.75" customHeight="1" spans="1:2">
      <c r="A56679" s="3" t="str">
        <f>IFERROR(__xludf.DUMMYFUNCTION("GOOGLETRANSLATE(A56679,""en"",""pt"")"),"styling bonito, bons jogos, grande clareza (VoiceStream), opções de personalização")</f>
        <v>styling bonito, bons jogos, grande clareza (VoiceStream), opções de personalização</v>
      </c>
      <c r="B56679" s="3">
        <v>1</v>
      </c>
    </row>
    <row r="56680" ht="15.75" customHeight="1" spans="1:2">
      <c r="A56680" s="3" t="str">
        <f>IFERROR(__xludf.DUMMYFUNCTION("GOOGLETRANSLATE(A56680,""en"",""pt"")"),"Muitos grandes funções com tela grande e botões.")</f>
        <v>Muitos grandes funções com tela grande e botões.</v>
      </c>
      <c r="B56680" s="3">
        <v>1</v>
      </c>
    </row>
    <row r="56681" ht="15.75" customHeight="1" spans="1:2">
      <c r="A56681" s="3" t="str">
        <f>IFERROR(__xludf.DUMMYFUNCTION("GOOGLETRANSLATE(A56681,""en"",""pt"")"),"pequeno, disponível, na moda, tampas dianteiras e traseiras substituíveis, compositor de música, muito mais")</f>
        <v>pequeno, disponível, na moda, tampas dianteiras e traseiras substituíveis, compositor de música, muito mais</v>
      </c>
      <c r="B56681" s="3">
        <v>1</v>
      </c>
    </row>
    <row r="56682" ht="15.75" customHeight="1" spans="1:2">
      <c r="A56682" s="3" t="str">
        <f>IFERROR(__xludf.DUMMYFUNCTION("GOOGLETRANSLATE(A56682,""en"",""pt"")"),"Faceplates coloridos, grande recepção, fácil de interface de uso")</f>
        <v>Faceplates coloridos, grande recepção, fácil de interface de uso</v>
      </c>
      <c r="B56682" s="3">
        <v>1</v>
      </c>
    </row>
    <row r="56683" ht="15.75" customHeight="1" spans="1:2">
      <c r="A56683" s="3" t="str">
        <f>IFERROR(__xludf.DUMMYFUNCTION("GOOGLETRANSLATE(A56683,""en"",""pt"")"),"preço elegante e boa")</f>
        <v>preço elegante e boa</v>
      </c>
      <c r="B56683" s="3">
        <v>1</v>
      </c>
    </row>
    <row r="56684" ht="15.75" customHeight="1" spans="1:2">
      <c r="A56684" s="3" t="str">
        <f>IFERROR(__xludf.DUMMYFUNCTION("GOOGLETRANSLATE(A56684,""en"",""pt"")"),"Duráveis, facilmente portáteis, leves, claras, características, Nice telefone!")</f>
        <v>Duráveis, facilmente portáteis, leves, claras, características, Nice telefone!</v>
      </c>
      <c r="B56684" s="3">
        <v>1</v>
      </c>
    </row>
    <row r="56685" ht="15.75" customHeight="1" spans="1:2">
      <c r="A56685" s="3" t="str">
        <f>IFERROR(__xludf.DUMMYFUNCTION("GOOGLETRANSLATE(A56685,""en"",""pt"")"),"Fácil de usar, resistente")</f>
        <v>Fácil de usar, resistente</v>
      </c>
      <c r="B56685" s="3">
        <v>1</v>
      </c>
    </row>
    <row r="56686" ht="15.75" customHeight="1" spans="1:2">
      <c r="A56686" s="3" t="str">
        <f>IFERROR(__xludf.DUMMYFUNCTION("GOOGLETRANSLATE(A56686,""en"",""pt"")"),"curto, compacto atraente e barato")</f>
        <v>curto, compacto atraente e barato</v>
      </c>
      <c r="B56686" s="3">
        <v>1</v>
      </c>
    </row>
    <row r="56687" ht="15.75" customHeight="1" spans="1:2">
      <c r="A56687" s="3" t="str">
        <f>IFERROR(__xludf.DUMMYFUNCTION("GOOGLETRANSLATE(A56687,""en"",""pt"")"),"Pequeno, intuitivo, vida boa bateria de fácil utilização")</f>
        <v>Pequeno, intuitivo, vida boa bateria de fácil utilização</v>
      </c>
      <c r="B56687" s="3">
        <v>1</v>
      </c>
    </row>
    <row r="56688" ht="15.75" customHeight="1" spans="1:2">
      <c r="A56688" s="3" t="str">
        <f>IFERROR(__xludf.DUMMYFUNCTION("GOOGLETRANSLATE(A56688,""en"",""pt"")"),"Compacto, cabe no bolso, durável, fácil de usar")</f>
        <v>Compacto, cabe no bolso, durável, fácil de usar</v>
      </c>
      <c r="B56688" s="3">
        <v>1</v>
      </c>
    </row>
    <row r="56689" ht="15.75" customHeight="1" spans="1:2">
      <c r="A56689" s="3" t="str">
        <f>IFERROR(__xludf.DUMMYFUNCTION("GOOGLETRANSLATE(A56689,""en"",""pt"")"),"Tamanho e peso, Profiles")</f>
        <v>Tamanho e peso, Profiles</v>
      </c>
      <c r="B56689" s="3">
        <v>1</v>
      </c>
    </row>
    <row r="56690" ht="15.75" customHeight="1" spans="1:2">
      <c r="A56690" s="3" t="str">
        <f>IFERROR(__xludf.DUMMYFUNCTION("GOOGLETRANSLATE(A56690,""en"",""pt"")"),"Pequeno, fácil de usar, clareza, arrefecer configurações")</f>
        <v>Pequeno, fácil de usar, clareza, arrefecer configurações</v>
      </c>
      <c r="B56690" s="3">
        <v>1</v>
      </c>
    </row>
    <row r="56691" ht="15.75" customHeight="1" spans="1:2">
      <c r="A56691" s="3" t="str">
        <f>IFERROR(__xludf.DUMMYFUNCTION("GOOGLETRANSLATE(A56691,""en"",""pt"")"),"Grande vida útil da bateria, jogos fantásticos, compacto e durável &amp; # 9;. &amp; # 9; &amp; # 9; &amp; # 9; &amp; # 9; &amp; # 9; &amp; # 9; &amp; # 9;")</f>
        <v>Grande vida útil da bateria, jogos fantásticos, compacto e durável &amp; # 9;. &amp; # 9; &amp; # 9; &amp; # 9; &amp; # 9; &amp; # 9; &amp; # 9; &amp; # 9;</v>
      </c>
      <c r="B56691" s="3">
        <v>1</v>
      </c>
    </row>
    <row r="56692" ht="15.75" customHeight="1" spans="1:2">
      <c r="A56692" s="3" t="str">
        <f>IFERROR(__xludf.DUMMYFUNCTION("GOOGLETRANSLATE(A56692,""en"",""pt"")"),"Design Doces nice, muito de destaque")</f>
        <v>Design Doces nice, muito de destaque</v>
      </c>
      <c r="B56692" s="3">
        <v>1</v>
      </c>
    </row>
    <row r="56693" ht="15.75" customHeight="1" spans="1:2">
      <c r="A56693" s="3" t="str">
        <f>IFERROR(__xludf.DUMMYFUNCTION("GOOGLETRANSLATE(A56693,""en"",""pt"")"),"Tamanho e peso &amp; # 13; &amp; # 10; Recursos e, NO ANTENA!")</f>
        <v>Tamanho e peso &amp; # 13; &amp; # 10; Recursos e, NO ANTENA!</v>
      </c>
      <c r="B56693" s="3">
        <v>1</v>
      </c>
    </row>
    <row r="56694" ht="15.75" customHeight="1" spans="1:2">
      <c r="A56694" s="3" t="str">
        <f>IFERROR(__xludf.DUMMYFUNCTION("GOOGLETRANSLATE(A56694,""en"",""pt"")"),"Grande tamanho compacto (não muito pequena), leves, toneladas de características, costas e faceplates mutável da frente")</f>
        <v>Grande tamanho compacto (não muito pequena), leves, toneladas de características, costas e faceplates mutável da frente</v>
      </c>
      <c r="B56694" s="3">
        <v>1</v>
      </c>
    </row>
    <row r="56695" ht="15.75" customHeight="1" spans="1:2">
      <c r="A56695" s="3" t="str">
        <f>IFERROR(__xludf.DUMMYFUNCTION("GOOGLETRANSLATE(A56695,""en"",""pt"")"),"pequeno, fácil de usar, boa recepção, a antena não externo a pausa")</f>
        <v>pequeno, fácil de usar, boa recepção, a antena não externo a pausa</v>
      </c>
      <c r="B56695" s="3">
        <v>1</v>
      </c>
    </row>
    <row r="56696" ht="15.75" customHeight="1" spans="1:2">
      <c r="A56696" s="3" t="str">
        <f>IFERROR(__xludf.DUMMYFUNCTION("GOOGLETRANSLATE(A56696,""en"",""pt"")"),"barato, fácil de usar, bom som / sinal pessoal")</f>
        <v>barato, fácil de usar, bom som / sinal pessoal</v>
      </c>
      <c r="B56696" s="3">
        <v>1</v>
      </c>
    </row>
    <row r="56697" ht="15.75" customHeight="1" spans="1:2">
      <c r="A56697" s="3" t="str">
        <f>IFERROR(__xludf.DUMMYFUNCTION("GOOGLETRANSLATE(A56697,""en"",""pt"")"),"Bom, bom tamanho, jogos divertidos, grandes recursos")</f>
        <v>Bom, bom tamanho, jogos divertidos, grandes recursos</v>
      </c>
      <c r="B56697" s="3">
        <v>1</v>
      </c>
    </row>
    <row r="56698" ht="15.75" customHeight="1" spans="1:2">
      <c r="A56698" s="3" t="str">
        <f>IFERROR(__xludf.DUMMYFUNCTION("GOOGLETRANSLATE(A56698,""en"",""pt"")"),"Muitos grandes promoções para este telefone")</f>
        <v>Muitos grandes promoções para este telefone</v>
      </c>
      <c r="B56698" s="3">
        <v>1</v>
      </c>
    </row>
    <row r="56699" ht="15.75" customHeight="1" spans="1:2">
      <c r="A56699" s="3" t="str">
        <f>IFERROR(__xludf.DUMMYFUNCTION("GOOGLETRANSLATE(A56699,""en"",""pt"")"),"É muito acessível, é pequeno e cabe em qualquer lugar que significa que você pode levá-lo em qualquer lugar.")</f>
        <v>É muito acessível, é pequeno e cabe em qualquer lugar que significa que você pode levá-lo em qualquer lugar.</v>
      </c>
      <c r="B56699" s="3">
        <v>1</v>
      </c>
    </row>
    <row r="56700" ht="15.75" customHeight="1" spans="1:2">
      <c r="A56700" s="3" t="str">
        <f>IFERROR(__xludf.DUMMYFUNCTION("GOOGLETRANSLATE(A56700,""en"",""pt"")"),"Eu amo este telefone! Ele tem uma grande, caso resistente, e muitos recursos.")</f>
        <v>Eu amo este telefone! Ele tem uma grande, caso resistente, e muitos recursos.</v>
      </c>
      <c r="B56700" s="3">
        <v>1</v>
      </c>
    </row>
    <row r="56701" ht="15.75" customHeight="1" spans="1:2">
      <c r="A56701" s="3" t="str">
        <f>IFERROR(__xludf.DUMMYFUNCTION("GOOGLETRANSLATE(A56701,""en"",""pt"")"),"Fofa. Pequeno. Sem antena irritante de fora.")</f>
        <v>Fofa. Pequeno. Sem antena irritante de fora.</v>
      </c>
      <c r="B56701" s="3">
        <v>1</v>
      </c>
    </row>
    <row r="56702" ht="15.75" customHeight="1" spans="1:2">
      <c r="A56702" s="3" t="str">
        <f>IFERROR(__xludf.DUMMYFUNCTION("GOOGLETRANSLATE(A56702,""en"",""pt"")"),"Eu posso personalizar meu telefone tanto quanto eu quero.")</f>
        <v>Eu posso personalizar meu telefone tanto quanto eu quero.</v>
      </c>
      <c r="B56702" s="3">
        <v>1</v>
      </c>
    </row>
    <row r="56703" ht="15.75" customHeight="1" spans="1:2">
      <c r="A56703" s="3" t="str">
        <f>IFERROR(__xludf.DUMMYFUNCTION("GOOGLETRANSLATE(A56703,""en"",""pt"")"),"bom serviço, etiquetas de voz, toques atribuídos")</f>
        <v>bom serviço, etiquetas de voz, toques atribuídos</v>
      </c>
      <c r="B56703" s="3">
        <v>1</v>
      </c>
    </row>
    <row r="56704" ht="15.75" customHeight="1" spans="1:2">
      <c r="A56704" s="3" t="str">
        <f>IFERROR(__xludf.DUMMYFUNCTION("GOOGLETRANSLATE(A56704,""en"",""pt"")"),"Pequeno")</f>
        <v>Pequeno</v>
      </c>
      <c r="B56704" s="3">
        <v>1</v>
      </c>
    </row>
    <row r="56705" ht="15.75" customHeight="1" spans="1:2">
      <c r="A56705" s="3" t="str">
        <f>IFERROR(__xludf.DUMMYFUNCTION("GOOGLETRANSLATE(A56705,""en"",""pt"")"),"Tamanho pequeno, excelente clareza")</f>
        <v>Tamanho pequeno, excelente clareza</v>
      </c>
      <c r="B56705" s="3">
        <v>1</v>
      </c>
    </row>
    <row r="56706" ht="15.75" customHeight="1" spans="1:2">
      <c r="A56706" s="3" t="str">
        <f>IFERROR(__xludf.DUMMYFUNCTION("GOOGLETRANSLATE(A56706,""en"",""pt"")"),"muito lite, não ocupa muito espaço")</f>
        <v>muito lite, não ocupa muito espaço</v>
      </c>
      <c r="B56706" s="3">
        <v>1</v>
      </c>
    </row>
    <row r="56707" ht="15.75" customHeight="1" spans="1:2">
      <c r="A56707" s="3" t="str">
        <f>IFERROR(__xludf.DUMMYFUNCTION("GOOGLETRANSLATE(A56707,""en"",""pt"")"),"Discagem por voz, navegação em menus durante uma chamada, e um tom compositor Ring.")</f>
        <v>Discagem por voz, navegação em menus durante uma chamada, e um tom compositor Ring.</v>
      </c>
      <c r="B56707" s="3">
        <v>1</v>
      </c>
    </row>
    <row r="56708" ht="15.75" customHeight="1" spans="1:2">
      <c r="A56708" s="3" t="str">
        <f>IFERROR(__xludf.DUMMYFUNCTION("GOOGLETRANSLATE(A56708,""en"",""pt"")"),"Elegante, compacto, elegante, muitos recursos")</f>
        <v>Elegante, compacto, elegante, muitos recursos</v>
      </c>
      <c r="B56708" s="3">
        <v>1</v>
      </c>
    </row>
    <row r="56709" ht="15.75" customHeight="1" spans="1:2">
      <c r="A56709" s="3" t="str">
        <f>IFERROR(__xludf.DUMMYFUNCTION("GOOGLETRANSLATE(A56709,""en"",""pt"")"),"Seu pequeno e compacto com grandes recursos.")</f>
        <v>Seu pequeno e compacto com grandes recursos.</v>
      </c>
      <c r="B56709" s="3">
        <v>1</v>
      </c>
    </row>
    <row r="56710" ht="15.75" customHeight="1" spans="1:2">
      <c r="A56710" s="3" t="str">
        <f>IFERROR(__xludf.DUMMYFUNCTION("GOOGLETRANSLATE(A56710,""en"",""pt"")"),"compacta, herda as características da família Nokia, cor agradável, multi-funções")</f>
        <v>compacta, herda as características da família Nokia, cor agradável, multi-funções</v>
      </c>
      <c r="B56710" s="3">
        <v>1</v>
      </c>
    </row>
    <row r="56711" ht="15.75" customHeight="1" spans="1:2">
      <c r="A56711" s="3" t="str">
        <f>IFERROR(__xludf.DUMMYFUNCTION("GOOGLETRANSLATE(A56711,""en"",""pt"")"),"mensagem de texto, até 2 horas e 40 minutos de tempo de conversação")</f>
        <v>mensagem de texto, até 2 horas e 40 minutos de tempo de conversação</v>
      </c>
      <c r="B56711" s="3">
        <v>1</v>
      </c>
    </row>
    <row r="56712" ht="15.75" customHeight="1" spans="1:2">
      <c r="A56712" s="3" t="str">
        <f>IFERROR(__xludf.DUMMYFUNCTION("GOOGLETRANSLATE(A56712,""en"",""pt"")"),"Muitas opções / peso leve / Jogos / lojas 99 nomes / números")</f>
        <v>Muitas opções / peso leve / Jogos / lojas 99 nomes / números</v>
      </c>
      <c r="B56712" s="3">
        <v>1</v>
      </c>
    </row>
    <row r="56713" ht="15.75" customHeight="1" spans="1:2">
      <c r="A56713" s="3" t="s">
        <v>304</v>
      </c>
      <c r="B56713" s="3">
        <v>1</v>
      </c>
    </row>
    <row r="56714" ht="15.75" customHeight="1" spans="1:2">
      <c r="A56714" s="3" t="str">
        <f>IFERROR(__xludf.DUMMYFUNCTION("GOOGLETRANSLATE(A56714,""en"",""pt"")"),"Muitos grandes recursos")</f>
        <v>Muitos grandes recursos</v>
      </c>
      <c r="B56714" s="3">
        <v>1</v>
      </c>
    </row>
    <row r="56715" ht="15.75" customHeight="1" spans="1:2">
      <c r="A56715" s="3" t="str">
        <f>IFERROR(__xludf.DUMMYFUNCTION("GOOGLETRANSLATE(A56715,""en"",""pt"")"),"Eu consegui-lo para barato, boa bateria e boa recepção.")</f>
        <v>Eu consegui-lo para barato, boa bateria e boa recepção.</v>
      </c>
      <c r="B56715" s="3">
        <v>1</v>
      </c>
    </row>
    <row r="56716" ht="15.75" customHeight="1" spans="1:2">
      <c r="A56716" s="3" t="str">
        <f>IFERROR(__xludf.DUMMYFUNCTION("GOOGLETRANSLATE(A56716,""en"",""pt"")"),"peso leve, portabilidade, muitos não tem, a preços acessíveis, qualidade, facilidade de uso")</f>
        <v>peso leve, portabilidade, muitos não tem, a preços acessíveis, qualidade, facilidade de uso</v>
      </c>
      <c r="B56716" s="3">
        <v>1</v>
      </c>
    </row>
    <row r="56717" ht="15.75" customHeight="1" spans="1:2">
      <c r="A56717" s="3" t="str">
        <f>IFERROR(__xludf.DUMMYFUNCTION("GOOGLETRANSLATE(A56717,""en"",""pt"")"),"Grandes características em um pequeno telefone.")</f>
        <v>Grandes características em um pequeno telefone.</v>
      </c>
      <c r="B56717" s="3">
        <v>1</v>
      </c>
    </row>
    <row r="56718" ht="15.75" customHeight="1" spans="1:2">
      <c r="A56718" s="3" t="str">
        <f>IFERROR(__xludf.DUMMYFUNCTION("GOOGLETRANSLATE(A56718,""en"",""pt"")"),"Pequeno Compact Versátil celular")</f>
        <v>Pequeno Compact Versátil celular</v>
      </c>
      <c r="B56718" s="3">
        <v>1</v>
      </c>
    </row>
    <row r="56719" ht="15.75" customHeight="1" spans="1:2">
      <c r="A56719" s="3" t="str">
        <f>IFERROR(__xludf.DUMMYFUNCTION("GOOGLETRANSLATE(A56719,""en"",""pt"")"),"Rico em recursos, bom desempenho, excelente vida útil da bateria, grande valor global.")</f>
        <v>Rico em recursos, bom desempenho, excelente vida útil da bateria, grande valor global.</v>
      </c>
      <c r="B56719" s="3">
        <v>1</v>
      </c>
    </row>
    <row r="56720" ht="15.75" customHeight="1" spans="1:2">
      <c r="A56720" s="3" t="str">
        <f>IFERROR(__xludf.DUMMYFUNCTION("GOOGLETRANSLATE(A56720,""en"",""pt"")"),"antena interna, discagem por voz, preço, faceplates personalizados, durabilidade, prontamente acessórios disponíveis em lojas locais.")</f>
        <v>antena interna, discagem por voz, preço, faceplates personalizados, durabilidade, prontamente acessórios disponíveis em lojas locais.</v>
      </c>
      <c r="B56720" s="3">
        <v>1</v>
      </c>
    </row>
    <row r="56721" ht="15.75" customHeight="1" spans="1:2">
      <c r="A56721" s="3" t="str">
        <f>IFERROR(__xludf.DUMMYFUNCTION("GOOGLETRANSLATE(A56721,""en"",""pt"")"),"Muito simples de usar, tamanho pequeno agradável.")</f>
        <v>Muito simples de usar, tamanho pequeno agradável.</v>
      </c>
      <c r="B56721" s="3">
        <v>1</v>
      </c>
    </row>
    <row r="56722" ht="15.75" customHeight="1" spans="1:2">
      <c r="A56722" s="3" t="str">
        <f>IFERROR(__xludf.DUMMYFUNCTION("GOOGLETRANSLATE(A56722,""en"",""pt"")"),"sistema operacional novo é incrível.")</f>
        <v>sistema operacional novo é incrível.</v>
      </c>
      <c r="B56722" s="3">
        <v>1</v>
      </c>
    </row>
    <row r="56723" ht="15.75" customHeight="1" spans="1:2">
      <c r="A56723" s="3" t="str">
        <f>IFERROR(__xludf.DUMMYFUNCTION("GOOGLETRANSLATE(A56723,""en"",""pt"")"),"Grande estilo! Muito fácil de usar! Leve!")</f>
        <v>Grande estilo! Muito fácil de usar! Leve!</v>
      </c>
      <c r="B56723" s="3">
        <v>1</v>
      </c>
    </row>
    <row r="56724" ht="15.75" customHeight="1" spans="1:2">
      <c r="A56724" s="3" t="str">
        <f>IFERROR(__xludf.DUMMYFUNCTION("GOOGLETRANSLATE(A56724,""en"",""pt"")"),"Grande preço e valor")</f>
        <v>Grande preço e valor</v>
      </c>
      <c r="B56724" s="3">
        <v>1</v>
      </c>
    </row>
    <row r="56725" ht="15.75" customHeight="1" spans="1:2">
      <c r="A56725" s="3" t="str">
        <f>IFERROR(__xludf.DUMMYFUNCTION("GOOGLETRANSLATE(A56725,""en"",""pt"")"),"intuitivo de usar, fácil de funções de acesso.")</f>
        <v>intuitivo de usar, fácil de funções de acesso.</v>
      </c>
      <c r="B56725" s="3">
        <v>1</v>
      </c>
    </row>
    <row r="56726" ht="15.75" customHeight="1" spans="1:2">
      <c r="A56726" s="3" t="str">
        <f>IFERROR(__xludf.DUMMYFUNCTION("GOOGLETRANSLATE(A56726,""en"",""pt"")"),"Pequeno o suficiente para caber no seu bolso")</f>
        <v>Pequeno o suficiente para caber no seu bolso</v>
      </c>
      <c r="B56726" s="3">
        <v>1</v>
      </c>
    </row>
    <row r="56727" ht="15.75" customHeight="1" spans="1:2">
      <c r="A56727" s="3" t="str">
        <f>IFERROR(__xludf.DUMMYFUNCTION("GOOGLETRANSLATE(A56727,""en"",""pt"")"),"Pequeno, tantos acessórios que é difícil escolher um :)")</f>
        <v>Pequeno, tantos acessórios que é difícil escolher um :)</v>
      </c>
      <c r="B56727" s="3">
        <v>1</v>
      </c>
    </row>
    <row r="56728" ht="15.75" customHeight="1" spans="1:2">
      <c r="A56728" s="3" t="str">
        <f>IFERROR(__xludf.DUMMYFUNCTION("GOOGLETRANSLATE(A56728,""en"",""pt"")"),"bom celular")</f>
        <v>bom celular</v>
      </c>
      <c r="B56728" s="3">
        <v>1</v>
      </c>
    </row>
    <row r="56729" ht="15.75" customHeight="1" spans="1:2">
      <c r="A56729" s="3" t="str">
        <f>IFERROR(__xludf.DUMMYFUNCTION("GOOGLETRANSLATE(A56729,""en"",""pt"")"),"pequena mas maior do que 8260, &amp; # 13; &amp; # 10; bom feedback botão, &amp; # 13; &amp; # 10; fácil de ler tela, grande som")</f>
        <v>pequena mas maior do que 8260, &amp; # 13; &amp; # 10; bom feedback botão, &amp; # 13; &amp; # 10; fácil de ler tela, grande som</v>
      </c>
      <c r="B56729" s="3">
        <v>1</v>
      </c>
    </row>
    <row r="56730" ht="15.75" customHeight="1" spans="1:2">
      <c r="A56730" s="3" t="str">
        <f>IFERROR(__xludf.DUMMYFUNCTION("GOOGLETRANSLATE(A56730,""en"",""pt"")"),"Pequeno, coberturas extras são baratos, o acesso AIM")</f>
        <v>Pequeno, coberturas extras são baratos, o acesso AIM</v>
      </c>
      <c r="B56730" s="3">
        <v>1</v>
      </c>
    </row>
    <row r="56731" ht="15.75" customHeight="1" spans="1:2">
      <c r="A56731" s="3" t="str">
        <f>IFERROR(__xludf.DUMMYFUNCTION("GOOGLETRANSLATE(A56731,""en"",""pt"")"),"Som e alarme")</f>
        <v>Som e alarme</v>
      </c>
      <c r="B56731" s="3">
        <v>1</v>
      </c>
    </row>
    <row r="56732" ht="15.75" customHeight="1" spans="1:2">
      <c r="A56732" s="3" t="str">
        <f>IFERROR(__xludf.DUMMYFUNCTION("GOOGLETRANSLATE(A56732,""en"",""pt"")"),"recepção melhor do que os modelos anteriores &amp; # 13; &amp; # 10; Menos flatlines &amp; # 13; &amp; # 10; Cheap &amp; # 13; &amp; # 10; Compact &amp; # 13; &amp; # 10; Lightweight &amp; # 13; &amp; # 10; Fácil de usar &amp; # 13 ; &amp; # 10; Os jogos mais recentes")</f>
        <v>recepção melhor do que os modelos anteriores &amp; # 13; &amp; # 10; Menos flatlines &amp; # 13; &amp; # 10; Cheap &amp; # 13; &amp; # 10; Compact &amp; # 13; &amp; # 10; Lightweight &amp; # 13; &amp; # 10; Fácil de usar &amp; # 13 ; &amp; # 10; Os jogos mais recentes</v>
      </c>
      <c r="B56732" s="3">
        <v>1</v>
      </c>
    </row>
    <row r="56733" ht="15.75" customHeight="1" spans="1:2">
      <c r="A56733" s="3" t="str">
        <f>IFERROR(__xludf.DUMMYFUNCTION("GOOGLETRANSLATE(A56733,""en"",""pt"")"),"Great little telefone, elegante e funcional")</f>
        <v>Great little telefone, elegante e funcional</v>
      </c>
      <c r="B56733" s="3">
        <v>1</v>
      </c>
    </row>
    <row r="56734" ht="15.75" customHeight="1" spans="1:2">
      <c r="A56734" s="3" t="str">
        <f>IFERROR(__xludf.DUMMYFUNCTION("GOOGLETRANSLATE(A56734,""en"",""pt"")"),"telefone sólida. Fácil, divertido, não muito caro.")</f>
        <v>telefone sólida. Fácil, divertido, não muito caro.</v>
      </c>
      <c r="B56734" s="3">
        <v>1</v>
      </c>
    </row>
    <row r="56735" ht="15.75" customHeight="1" spans="1:2">
      <c r="A56735" s="3" t="str">
        <f>IFERROR(__xludf.DUMMYFUNCTION("GOOGLETRANSLATE(A56735,""en"",""pt"")"),"Muitas opções, digitais, bastante fácil de usar")</f>
        <v>Muitas opções, digitais, bastante fácil de usar</v>
      </c>
      <c r="B56735" s="3">
        <v>1</v>
      </c>
    </row>
    <row r="56736" ht="15.75" customHeight="1" spans="1:2">
      <c r="A56736" s="3" t="str">
        <f>IFERROR(__xludf.DUMMYFUNCTION("GOOGLETRANSLATE(A56736,""en"",""pt"")"),"Muito pequenas, luz ponderada, faceplates mutável")</f>
        <v>Muito pequenas, luz ponderada, faceplates mutável</v>
      </c>
      <c r="B56736" s="3">
        <v>1</v>
      </c>
    </row>
    <row r="56737" ht="15.75" customHeight="1" spans="1:2">
      <c r="A56737" s="3" t="str">
        <f>IFERROR(__xludf.DUMMYFUNCTION("GOOGLETRANSLATE(A56737,""en"",""pt"")"),"Você não pode quebrar este telefone. Período.")</f>
        <v>Você não pode quebrar este telefone. Período.</v>
      </c>
      <c r="B56737" s="3">
        <v>1</v>
      </c>
    </row>
    <row r="56738" ht="15.75" customHeight="1" spans="1:2">
      <c r="A56738" s="3" t="str">
        <f>IFERROR(__xludf.DUMMYFUNCTION("GOOGLETRANSLATE(A56738,""en"",""pt"")"),"recepção, qualidade de som, compor seu próprio anel, fácil msging txt, preço")</f>
        <v>recepção, qualidade de som, compor seu próprio anel, fácil msging txt, preço</v>
      </c>
      <c r="B56738" s="3">
        <v>1</v>
      </c>
    </row>
    <row r="56739" ht="15.75" customHeight="1" spans="1:2">
      <c r="A56739" s="3" t="str">
        <f>IFERROR(__xludf.DUMMYFUNCTION("GOOGLETRANSLATE(A56739,""en"",""pt"")"),"E-mail, identificador de chamadas, correio de voz, e aol instant messenger.")</f>
        <v>E-mail, identificador de chamadas, correio de voz, e aol instant messenger.</v>
      </c>
      <c r="B56739" s="3">
        <v>1</v>
      </c>
    </row>
    <row r="56740" ht="15.75" customHeight="1" spans="1:2">
      <c r="A56740" s="3" t="str">
        <f>IFERROR(__xludf.DUMMYFUNCTION("GOOGLETRANSLATE(A56740,""en"",""pt"")"),"TUDO")</f>
        <v>TUDO</v>
      </c>
      <c r="B56740" s="3">
        <v>1</v>
      </c>
    </row>
    <row r="56741" ht="15.75" customHeight="1" spans="1:2">
      <c r="A56741" s="3" t="str">
        <f>IFERROR(__xludf.DUMMYFUNCTION("GOOGLETRANSLATE(A56741,""en"",""pt"")"),"funciona bem")</f>
        <v>funciona bem</v>
      </c>
      <c r="B56741" s="3">
        <v>1</v>
      </c>
    </row>
    <row r="56742" ht="15.75" customHeight="1" spans="1:2">
      <c r="A56742" s="3" t="str">
        <f>IFERROR(__xludf.DUMMYFUNCTION("GOOGLETRANSLATE(A56742,""en"",""pt"")"),"mensagens de texto, protetores de tela,,, o tamanho perfeito durável barato.")</f>
        <v>mensagens de texto, protetores de tela,,, o tamanho perfeito durável barato.</v>
      </c>
      <c r="B56742" s="3">
        <v>1</v>
      </c>
    </row>
    <row r="56743" ht="15.75" customHeight="1" spans="1:2">
      <c r="A56743" s="3" t="str">
        <f>IFERROR(__xludf.DUMMYFUNCTION("GOOGLETRANSLATE(A56743,""en"",""pt"")"),"bom serviço chamado, boas características, mais jogos, bons gráficos")</f>
        <v>bom serviço chamado, boas características, mais jogos, bons gráficos</v>
      </c>
      <c r="B56743" s="3">
        <v>1</v>
      </c>
    </row>
    <row r="56744" ht="15.75" customHeight="1" spans="1:2">
      <c r="A56744" s="3" t="str">
        <f>IFERROR(__xludf.DUMMYFUNCTION("GOOGLETRANSLATE(A56744,""en"",""pt"")"),"Pequeno e compacto, boa bateria, durável, discagem por voz")</f>
        <v>Pequeno e compacto, boa bateria, durável, discagem por voz</v>
      </c>
      <c r="B56744" s="3">
        <v>1</v>
      </c>
    </row>
    <row r="56745" ht="15.75" customHeight="1" spans="1:2">
      <c r="A56745" s="3" t="str">
        <f>IFERROR(__xludf.DUMMYFUNCTION("GOOGLETRANSLATE(A56745,""en"",""pt"")"),"interface fácil, tempo de bateria decente")</f>
        <v>interface fácil, tempo de bateria decente</v>
      </c>
      <c r="B56745" s="3">
        <v>1</v>
      </c>
    </row>
    <row r="56746" ht="15.75" customHeight="1" spans="1:2">
      <c r="A56746" s="3" t="str">
        <f>IFERROR(__xludf.DUMMYFUNCTION("GOOGLETRANSLATE(A56746,""en"",""pt"")"),"telefone fino, parece realmente bom, grande recepção")</f>
        <v>telefone fino, parece realmente bom, grande recepção</v>
      </c>
      <c r="B56746" s="3">
        <v>1</v>
      </c>
    </row>
    <row r="56747" ht="15.75" customHeight="1" spans="1:2">
      <c r="A56747" s="3" t="str">
        <f>IFERROR(__xludf.DUMMYFUNCTION("GOOGLETRANSLATE(A56747,""en"",""pt"")"),"Excelente telefone com toneladas de recursos.")</f>
        <v>Excelente telefone com toneladas de recursos.</v>
      </c>
      <c r="B56747" s="3">
        <v>1</v>
      </c>
    </row>
    <row r="56748" ht="15.75" customHeight="1" spans="1:2">
      <c r="A56748" s="3" t="str">
        <f>IFERROR(__xludf.DUMMYFUNCTION("GOOGLETRANSLATE(A56748,""en"",""pt"")"),"Ainda funciona bem.")</f>
        <v>Ainda funciona bem.</v>
      </c>
      <c r="B56748" s="3">
        <v>1</v>
      </c>
    </row>
    <row r="56749" ht="15.75" customHeight="1" spans="1:2">
      <c r="A56749" s="3" t="str">
        <f>IFERROR(__xludf.DUMMYFUNCTION("GOOGLETRANSLATE(A56749,""en"",""pt"")"),"Excelente som e bateria, preço (mina era livre), recepção")</f>
        <v>Excelente som e bateria, preço (mina era livre), recepção</v>
      </c>
      <c r="B56749" s="3">
        <v>1</v>
      </c>
    </row>
    <row r="56750" ht="15.75" customHeight="1" spans="1:2">
      <c r="A56750" s="3" t="str">
        <f>IFERROR(__xludf.DUMMYFUNCTION("GOOGLETRANSLATE(A56750,""en"",""pt"")"),"boa recepção, a abundância de recursos")</f>
        <v>boa recepção, a abundância de recursos</v>
      </c>
      <c r="B56750" s="3">
        <v>1</v>
      </c>
    </row>
    <row r="56751" ht="15.75" customHeight="1" spans="1:2">
      <c r="A56751" s="3" t="str">
        <f>IFERROR(__xludf.DUMMYFUNCTION("GOOGLETRANSLATE(A56751,""en"",""pt"")"),"mais elegante, muitos acessórios, mensagens de texto, recursos de personalização")</f>
        <v>mais elegante, muitos acessórios, mensagens de texto, recursos de personalização</v>
      </c>
      <c r="B56751" s="3">
        <v>1</v>
      </c>
    </row>
    <row r="56752" ht="15.75" customHeight="1" spans="1:2">
      <c r="A56752" s="3" t="str">
        <f>IFERROR(__xludf.DUMMYFUNCTION("GOOGLETRANSLATE(A56752,""en"",""pt"")"),"Caller ID, despertador, Amor a escolha de placas de cara")</f>
        <v>Caller ID, despertador, Amor a escolha de placas de cara</v>
      </c>
      <c r="B56752" s="3">
        <v>1</v>
      </c>
    </row>
    <row r="56753" ht="15.75" customHeight="1" spans="1:2">
      <c r="A56753" s="3" t="str">
        <f>IFERROR(__xludf.DUMMYFUNCTION("GOOGLETRANSLATE(A56753,""en"",""pt"")"),"Fator de forma agradável, longa vida da bateria, uma boa recepção, muitos acessórios")</f>
        <v>Fator de forma agradável, longa vida da bateria, uma boa recepção, muitos acessórios</v>
      </c>
      <c r="B56753" s="3">
        <v>1</v>
      </c>
    </row>
    <row r="56754" ht="15.75" customHeight="1" spans="1:2">
      <c r="A56754" s="3" t="str">
        <f>IFERROR(__xludf.DUMMYFUNCTION("GOOGLETRANSLATE(A56754,""en"",""pt"")"),"excelente telefone")</f>
        <v>excelente telefone</v>
      </c>
      <c r="B56754" s="3">
        <v>1</v>
      </c>
    </row>
    <row r="56755" ht="15.75" customHeight="1" spans="1:2">
      <c r="A56755" s="3" t="str">
        <f>IFERROR(__xludf.DUMMYFUNCTION("GOOGLETRANSLATE(A56755,""en"",""pt"")"),"Fácil de usar, toneladas de opções, conexão imediata com a família e amigos")</f>
        <v>Fácil de usar, toneladas de opções, conexão imediata com a família e amigos</v>
      </c>
      <c r="B56755" s="3">
        <v>1</v>
      </c>
    </row>
    <row r="56756" ht="15.75" customHeight="1" spans="1:2">
      <c r="A56756" s="3" t="str">
        <f>IFERROR(__xludf.DUMMYFUNCTION("GOOGLETRANSLATE(A56756,""en"",""pt"")"),"Longa Duração da bateria, divertido de usar!")</f>
        <v>Longa Duração da bateria, divertido de usar!</v>
      </c>
      <c r="B56756" s="3">
        <v>1</v>
      </c>
    </row>
    <row r="56757" ht="15.75" customHeight="1" spans="1:2">
      <c r="A56757" s="3" t="str">
        <f>IFERROR(__xludf.DUMMYFUNCTION("GOOGLETRANSLATE(A56757,""en"",""pt"")"),"Sólida, confiável e rica em recursos, fácil de usar.")</f>
        <v>Sólida, confiável e rica em recursos, fácil de usar.</v>
      </c>
      <c r="B56757" s="3">
        <v>1</v>
      </c>
    </row>
    <row r="56758" ht="15.75" customHeight="1" spans="1:2">
      <c r="A56758" s="3" t="str">
        <f>IFERROR(__xludf.DUMMYFUNCTION("GOOGLETRANSLATE(A56758,""en"",""pt"")"),"Luz, user friendly, uma tecla de chamada, envio e desconexão.")</f>
        <v>Luz, user friendly, uma tecla de chamada, envio e desconexão.</v>
      </c>
      <c r="B56758" s="3">
        <v>1</v>
      </c>
    </row>
    <row r="56759" ht="15.75" customHeight="1" spans="1:2">
      <c r="A56759" s="3" t="str">
        <f>IFERROR(__xludf.DUMMYFUNCTION("GOOGLETRANSLATE(A56759,""en"",""pt"")"),"Boa qualidade de som digital e vida útil da bateria")</f>
        <v>Boa qualidade de som digital e vida útil da bateria</v>
      </c>
      <c r="B56759" s="3">
        <v>1</v>
      </c>
    </row>
    <row r="56760" ht="15.75" customHeight="1" spans="1:2">
      <c r="A56760" s="3" t="str">
        <f>IFERROR(__xludf.DUMMYFUNCTION("GOOGLETRANSLATE(A56760,""en"",""pt"")"),"Pequeno, peso leve, muito portátil, grande poder, de longa duração, muitos recursos")</f>
        <v>Pequeno, peso leve, muito portátil, grande poder, de longa duração, muitos recursos</v>
      </c>
      <c r="B56760" s="3">
        <v>1</v>
      </c>
    </row>
    <row r="56761" ht="15.75" customHeight="1" spans="1:2">
      <c r="A56761" s="3" t="str">
        <f>IFERROR(__xludf.DUMMYFUNCTION("GOOGLETRANSLATE(A56761,""en"",""pt"")"),"A tecnologia moderna, grandes recursos")</f>
        <v>A tecnologia moderna, grandes recursos</v>
      </c>
      <c r="B56761" s="3">
        <v>1</v>
      </c>
    </row>
    <row r="56762" ht="15.75" customHeight="1" spans="1:2">
      <c r="A56762" s="3" t="str">
        <f>IFERROR(__xludf.DUMMYFUNCTION("GOOGLETRANSLATE(A56762,""en"",""pt"")"),", Tamanho perfeito confiável, todo grande telefone")</f>
        <v>, Tamanho perfeito confiável, todo grande telefone</v>
      </c>
      <c r="B56762" s="3">
        <v>1</v>
      </c>
    </row>
    <row r="56763" ht="15.75" customHeight="1" spans="1:2">
      <c r="A56763" s="3" t="str">
        <f>IFERROR(__xludf.DUMMYFUNCTION("GOOGLETRANSLATE(A56763,""en"",""pt"")"),"faceplates inter-mutável, barata mas de alta qualidade, muitos recursos")</f>
        <v>faceplates inter-mutável, barata mas de alta qualidade, muitos recursos</v>
      </c>
      <c r="B56763" s="3">
        <v>1</v>
      </c>
    </row>
    <row r="56764" ht="15.75" customHeight="1" spans="1:2">
      <c r="A56764" s="3" t="str">
        <f>IFERROR(__xludf.DUMMYFUNCTION("GOOGLETRANSLATE(A56764,""en"",""pt"")"),"Telefone Digital, com capacidade de enviar mensagens SMS e e-mail")</f>
        <v>Telefone Digital, com capacidade de enviar mensagens SMS e e-mail</v>
      </c>
      <c r="B56764" s="3">
        <v>1</v>
      </c>
    </row>
    <row r="56765" ht="15.75" customHeight="1" spans="1:2">
      <c r="A56765" s="3" t="str">
        <f>IFERROR(__xludf.DUMMYFUNCTION("GOOGLETRANSLATE(A56765,""en"",""pt"")"),"FÁCIL DE USAR!! Muito grande seleção de características, qualidade e preço! ACESSÓRIOS!")</f>
        <v>FÁCIL DE USAR!! Muito grande seleção de características, qualidade e preço! ACESSÓRIOS!</v>
      </c>
      <c r="B56765" s="3">
        <v>1</v>
      </c>
    </row>
    <row r="56766" ht="15.75" customHeight="1" spans="1:2">
      <c r="A56766" s="3" t="str">
        <f>IFERROR(__xludf.DUMMYFUNCTION("GOOGLETRANSLATE(A56766,""en"",""pt"")"),"Customizável, boa bateria, leva uma surra")</f>
        <v>Customizável, boa bateria, leva uma surra</v>
      </c>
      <c r="B56766" s="3">
        <v>1</v>
      </c>
    </row>
    <row r="56767" ht="15.75" customHeight="1" spans="1:2">
      <c r="A56767" s="3" t="s">
        <v>305</v>
      </c>
      <c r="B56767" s="3">
        <v>1</v>
      </c>
    </row>
    <row r="56768" ht="15.75" customHeight="1" spans="1:2">
      <c r="A56768" s="3" t="str">
        <f>IFERROR(__xludf.DUMMYFUNCTION("GOOGLETRANSLATE(A56768,""en"",""pt"")"),"SMS, fácil de usar")</f>
        <v>SMS, fácil de usar</v>
      </c>
      <c r="B56768" s="3">
        <v>1</v>
      </c>
    </row>
    <row r="56769" ht="15.75" customHeight="1" spans="1:2">
      <c r="A56769" s="3" t="str">
        <f>IFERROR(__xludf.DUMMYFUNCTION("GOOGLETRANSLATE(A56769,""en"",""pt"")"),"Preço, download de toques, mensagens de texto e e-mail")</f>
        <v>Preço, download de toques, mensagens de texto e e-mail</v>
      </c>
      <c r="B56769" s="3">
        <v>1</v>
      </c>
    </row>
    <row r="56770" ht="15.75" customHeight="1" spans="1:2">
      <c r="A56770" s="3" t="str">
        <f>IFERROR(__xludf.DUMMYFUNCTION("GOOGLETRANSLATE(A56770,""en"",""pt"")"),"Mais styling, em seguida, 5160, &amp; amp; tem T-9 Predictive Capability Texto")</f>
        <v>Mais styling, em seguida, 5160, &amp; amp; tem T-9 Predictive Capability Texto</v>
      </c>
      <c r="B56770" s="3">
        <v>1</v>
      </c>
    </row>
    <row r="56771" ht="15.75" customHeight="1" spans="1:2">
      <c r="A56771" s="3" t="str">
        <f>IFERROR(__xludf.DUMMYFUNCTION("GOOGLETRANSLATE(A56771,""en"",""pt"")"),"Simples; fácil de usar; construído como um tanque (mas apenas 14 oz)")</f>
        <v>Simples; fácil de usar; construído como um tanque (mas apenas 14 oz)</v>
      </c>
      <c r="B56771" s="3">
        <v>1</v>
      </c>
    </row>
    <row r="56772" ht="15.75" customHeight="1" spans="1:2">
      <c r="A56772" s="3" t="str">
        <f>IFERROR(__xludf.DUMMYFUNCTION("GOOGLETRANSLATE(A56772,""en"",""pt"")"),"Razoavelmente bem caracterizado")</f>
        <v>Razoavelmente bem caracterizado</v>
      </c>
      <c r="B56772" s="3">
        <v>1</v>
      </c>
    </row>
    <row r="56773" ht="15.75" customHeight="1" spans="1:2">
      <c r="A56773" s="3" t="str">
        <f>IFERROR(__xludf.DUMMYFUNCTION("GOOGLETRANSLATE(A56773,""en"",""pt"")"),"Leve e divertido!")</f>
        <v>Leve e divertido!</v>
      </c>
      <c r="B56773" s="3">
        <v>1</v>
      </c>
    </row>
    <row r="56774" ht="15.75" customHeight="1" spans="1:2">
      <c r="A56774" s="3" t="str">
        <f>IFERROR(__xludf.DUMMYFUNCTION("GOOGLETRANSLATE(A56774,""en"",""pt"")"),"Boa claridade, muitos recursos de personalização, e boa exibição tamanho.")</f>
        <v>Boa claridade, muitos recursos de personalização, e boa exibição tamanho.</v>
      </c>
      <c r="B56774" s="3">
        <v>1</v>
      </c>
    </row>
    <row r="56775" ht="15.75" customHeight="1" spans="1:2">
      <c r="A56775" s="3" t="str">
        <f>IFERROR(__xludf.DUMMYFUNCTION("GOOGLETRANSLATE(A56775,""en"",""pt"")"),"Facilidade de uso, funciona com muitos serviços pré-pagos, baixo preço.")</f>
        <v>Facilidade de uso, funciona com muitos serviços pré-pagos, baixo preço.</v>
      </c>
      <c r="B56775" s="3">
        <v>1</v>
      </c>
    </row>
    <row r="56776" ht="15.75" customHeight="1" spans="1:2">
      <c r="A56776" s="3" t="str">
        <f>IFERROR(__xludf.DUMMYFUNCTION("GOOGLETRANSLATE(A56776,""en"",""pt"")"),"fácil de usar, e-mail, mensagens, despertador, etc.")</f>
        <v>fácil de usar, e-mail, mensagens, despertador, etc.</v>
      </c>
      <c r="B56776" s="3">
        <v>1</v>
      </c>
    </row>
    <row r="56777" ht="15.75" customHeight="1" spans="1:2">
      <c r="A56777" s="3" t="str">
        <f>IFERROR(__xludf.DUMMYFUNCTION("GOOGLETRANSLATE(A56777,""en"",""pt"")"),"Baixo custo, simplicidade, recursos extras.")</f>
        <v>Baixo custo, simplicidade, recursos extras.</v>
      </c>
      <c r="B56777" s="3">
        <v>1</v>
      </c>
    </row>
    <row r="56778" ht="15.75" customHeight="1" spans="1:2">
      <c r="A56778" s="3" t="str">
        <f>IFERROR(__xludf.DUMMYFUNCTION("GOOGLETRANSLATE(A56778,""en"",""pt"")"),"grande variedade de placas de cara, fácil de usar, não muito grande, toneladas de recursos")</f>
        <v>grande variedade de placas de cara, fácil de usar, não muito grande, toneladas de recursos</v>
      </c>
      <c r="B56778" s="3">
        <v>1</v>
      </c>
    </row>
    <row r="56779" ht="15.75" customHeight="1" spans="1:2">
      <c r="A56779" s="3" t="str">
        <f>IFERROR(__xludf.DUMMYFUNCTION("GOOGLETRANSLATE(A56779,""en"",""pt"")"),"Extremamente personalizável; excelente som; grandes recursos; jogos divertidos; barato.")</f>
        <v>Extremamente personalizável; excelente som; grandes recursos; jogos divertidos; barato.</v>
      </c>
      <c r="B56779" s="3">
        <v>1</v>
      </c>
    </row>
    <row r="56780" ht="15.75" customHeight="1" spans="1:2">
      <c r="A56780" s="3" t="str">
        <f>IFERROR(__xludf.DUMMYFUNCTION("GOOGLETRANSLATE(A56780,""en"",""pt"")"),"qualidade Nokia típica, fácil de usar, características decente para o dinheiro, arrefecer novos olhares")</f>
        <v>qualidade Nokia típica, fácil de usar, características decente para o dinheiro, arrefecer novos olhares</v>
      </c>
      <c r="B56780" s="3">
        <v>1</v>
      </c>
    </row>
    <row r="56781" ht="15.75" customHeight="1" spans="1:2">
      <c r="A56781" s="3" t="str">
        <f>IFERROR(__xludf.DUMMYFUNCTION("GOOGLETRANSLATE(A56781,""en"",""pt"")"),"Fácil de usar, pode mudar as cores em tons de rosto e de download")</f>
        <v>Fácil de usar, pode mudar as cores em tons de rosto e de download</v>
      </c>
      <c r="B56781" s="3">
        <v>1</v>
      </c>
    </row>
    <row r="56782" ht="15.75" customHeight="1" spans="1:2">
      <c r="A56782" s="3" t="str">
        <f>IFERROR(__xludf.DUMMYFUNCTION("GOOGLETRANSLATE(A56782,""en"",""pt"")"),"bom tamanho e peso, boa seleção de características, valor")</f>
        <v>bom tamanho e peso, boa seleção de características, valor</v>
      </c>
      <c r="B56782" s="3">
        <v>1</v>
      </c>
    </row>
    <row r="56783" ht="15.75" customHeight="1" spans="1:2">
      <c r="A56783" s="3" t="str">
        <f>IFERROR(__xludf.DUMMYFUNCTION("GOOGLETRANSLATE(A56783,""en"",""pt"")"),"Leve e elegante, muita clareza, durável")</f>
        <v>Leve e elegante, muita clareza, durável</v>
      </c>
      <c r="B56783" s="3">
        <v>1</v>
      </c>
    </row>
    <row r="56784" ht="15.75" customHeight="1" spans="1:2">
      <c r="A56784" s="3" t="str">
        <f>IFERROR(__xludf.DUMMYFUNCTION("GOOGLETRANSLATE(A56784,""en"",""pt"")"),"standard, boa bateria, boa qualidade de som, toques personalizados, coberturas opcionais")</f>
        <v>standard, boa bateria, boa qualidade de som, toques personalizados, coberturas opcionais</v>
      </c>
      <c r="B56784" s="3">
        <v>1</v>
      </c>
    </row>
    <row r="56785" ht="15.75" customHeight="1" spans="1:2">
      <c r="A56785" s="3" t="str">
        <f>IFERROR(__xludf.DUMMYFUNCTION("GOOGLETRANSLATE(A56785,""en"",""pt"")"),"Grande sensação, extremamente fácil de usar, intuitivo, bateria de longa duração, muitas opções")</f>
        <v>Grande sensação, extremamente fácil de usar, intuitivo, bateria de longa duração, muitas opções</v>
      </c>
      <c r="B56785" s="3">
        <v>1</v>
      </c>
    </row>
    <row r="56786" ht="15.75" customHeight="1" spans="1:2">
      <c r="A56786" s="3" t="str">
        <f>IFERROR(__xludf.DUMMYFUNCTION("GOOGLETRANSLATE(A56786,""en"",""pt"")"),"O Honda Civic de telefones celulares!")</f>
        <v>O Honda Civic de telefones celulares!</v>
      </c>
      <c r="B56786" s="3">
        <v>1</v>
      </c>
    </row>
    <row r="56787" ht="15.75" customHeight="1" spans="1:2">
      <c r="A56787" s="3" t="str">
        <f>IFERROR(__xludf.DUMMYFUNCTION("GOOGLETRANSLATE(A56787,""en"",""pt"")"),"Pequeno, fácil de usar, claro como um sino, opção de armazenamento de número legal")</f>
        <v>Pequeno, fácil de usar, claro como um sino, opção de armazenamento de número legal</v>
      </c>
      <c r="B56787" s="3">
        <v>1</v>
      </c>
    </row>
    <row r="56788" ht="15.75" customHeight="1" spans="1:2">
      <c r="A56788" s="3" t="str">
        <f>IFERROR(__xludf.DUMMYFUNCTION("GOOGLETRANSLATE(A56788,""en"",""pt"")"),"Resistentes, boa bateria, placas dianteiras.")</f>
        <v>Resistentes, boa bateria, placas dianteiras.</v>
      </c>
      <c r="B56788" s="3">
        <v>1</v>
      </c>
    </row>
    <row r="56789" ht="15.75" customHeight="1" spans="1:2">
      <c r="A56789" s="3" t="str">
        <f>IFERROR(__xludf.DUMMYFUNCTION("GOOGLETRANSLATE(A56789,""en"",""pt"")"),"capas de cor variável. correio de voz, identificador de chamadas, bateria de longa duração")</f>
        <v>capas de cor variável. correio de voz, identificador de chamadas, bateria de longa duração</v>
      </c>
      <c r="B56789" s="3">
        <v>1</v>
      </c>
    </row>
    <row r="56790" ht="15.75" customHeight="1" spans="1:2">
      <c r="A56790" s="3" t="str">
        <f>IFERROR(__xludf.DUMMYFUNCTION("GOOGLETRANSLATE(A56790,""en"",""pt"")"),"Durável, fácil de usar, econômico, boa procura telefone, muitos recursos extras")</f>
        <v>Durável, fácil de usar, econômico, boa procura telefone, muitos recursos extras</v>
      </c>
      <c r="B56790" s="3">
        <v>1</v>
      </c>
    </row>
    <row r="56791" ht="15.75" customHeight="1" spans="1:2">
      <c r="A56791" s="3" t="str">
        <f>IFERROR(__xludf.DUMMYFUNCTION("GOOGLETRANSLATE(A56791,""en"",""pt"")"),"Boa recepção / recursos / bateria / tamanho")</f>
        <v>Boa recepção / recursos / bateria / tamanho</v>
      </c>
      <c r="B56791" s="3">
        <v>1</v>
      </c>
    </row>
    <row r="56792" ht="15.75" customHeight="1" spans="1:2">
      <c r="A56792" s="3" t="str">
        <f>IFERROR(__xludf.DUMMYFUNCTION("GOOGLETRANSLATE(A56792,""en"",""pt"")"),"Economia, muitos recursos, tampas substituíveis.")</f>
        <v>Economia, muitos recursos, tampas substituíveis.</v>
      </c>
      <c r="B56792" s="3">
        <v>1</v>
      </c>
    </row>
    <row r="56793" ht="15.75" customHeight="1" spans="1:2">
      <c r="A56793" s="3" t="str">
        <f>IFERROR(__xludf.DUMMYFUNCTION("GOOGLETRANSLATE(A56793,""en"",""pt"")"),"Fácil de usar, Decent Life Battery, barato")</f>
        <v>Fácil de usar, Decent Life Battery, barato</v>
      </c>
      <c r="B56793" s="3">
        <v>1</v>
      </c>
    </row>
    <row r="56794" ht="15.75" customHeight="1" spans="1:2">
      <c r="A56794" s="3" t="str">
        <f>IFERROR(__xludf.DUMMYFUNCTION("GOOGLETRANSLATE(A56794,""en"",""pt"")"),"Ele tem grandes músicas, jogos ....")</f>
        <v>Ele tem grandes músicas, jogos ....</v>
      </c>
      <c r="B56794" s="3">
        <v>1</v>
      </c>
    </row>
    <row r="56795" ht="15.75" customHeight="1" spans="1:2">
      <c r="A56795" s="3" t="str">
        <f>IFERROR(__xludf.DUMMYFUNCTION("GOOGLETRANSLATE(A56795,""en"",""pt"")"),"Fácil de usar e durável")</f>
        <v>Fácil de usar e durável</v>
      </c>
      <c r="B56795" s="3">
        <v>1</v>
      </c>
    </row>
    <row r="56796" ht="15.75" customHeight="1" spans="1:2">
      <c r="A56796" s="3" t="str">
        <f>IFERROR(__xludf.DUMMYFUNCTION("GOOGLETRANSLATE(A56796,""en"",""pt"")"),"tamanho, preço")</f>
        <v>tamanho, preço</v>
      </c>
      <c r="B56796" s="3">
        <v>1</v>
      </c>
    </row>
    <row r="56797" ht="15.75" customHeight="1" spans="1:2">
      <c r="A56797" s="3" t="str">
        <f>IFERROR(__xludf.DUMMYFUNCTION("GOOGLETRANSLATE(A56797,""en"",""pt"")"),"Leve, par de jogos, despertador. Telefone agradável para o fanfarrão.")</f>
        <v>Leve, par de jogos, despertador. Telefone agradável para o fanfarrão.</v>
      </c>
      <c r="B56797" s="3">
        <v>1</v>
      </c>
    </row>
    <row r="56798" ht="15.75" customHeight="1" spans="1:2">
      <c r="A56798" s="3" t="str">
        <f>IFERROR(__xludf.DUMMYFUNCTION("GOOGLETRANSLATE(A56798,""en"",""pt"")"),"telefone simples de usar. não precisa dos sinos e assobios como outros.")</f>
        <v>telefone simples de usar. não precisa dos sinos e assobios como outros.</v>
      </c>
      <c r="B56798" s="3">
        <v>1</v>
      </c>
    </row>
    <row r="56799" ht="15.75" customHeight="1" spans="1:2">
      <c r="A56799" s="3" t="str">
        <f>IFERROR(__xludf.DUMMYFUNCTION("GOOGLETRANSLATE(A56799,""en"",""pt"")"),"Grandes recursos, olhar Kewler de 5100 séries.")</f>
        <v>Grandes recursos, olhar Kewler de 5100 séries.</v>
      </c>
      <c r="B56799" s="3">
        <v>1</v>
      </c>
    </row>
    <row r="56800" ht="15.75" customHeight="1" spans="1:2">
      <c r="A56800" s="3" t="str">
        <f>IFERROR(__xludf.DUMMYFUNCTION("GOOGLETRANSLATE(A56800,""en"",""pt"")"),"inúmeros acessórios genéricos disponíveis, tons disponíveis para transferência a partir do web")</f>
        <v>inúmeros acessórios genéricos disponíveis, tons disponíveis para transferência a partir do web</v>
      </c>
      <c r="B56800" s="3">
        <v>1</v>
      </c>
    </row>
    <row r="56801" ht="15.75" customHeight="1" spans="1:2">
      <c r="A56801" s="3" t="str">
        <f>IFERROR(__xludf.DUMMYFUNCTION("GOOGLETRANSLATE(A56801,""en"",""pt"")"),"boa recepção, fácil de usar")</f>
        <v>boa recepção, fácil de usar</v>
      </c>
      <c r="B56801" s="3">
        <v>1</v>
      </c>
    </row>
    <row r="56802" ht="15.75" customHeight="1" spans="1:2">
      <c r="A56802" s="3" t="str">
        <f>IFERROR(__xludf.DUMMYFUNCTION("GOOGLETRANSLATE(A56802,""en"",""pt"")"),"fácil de usar, muitos toques disponíveis")</f>
        <v>fácil de usar, muitos toques disponíveis</v>
      </c>
      <c r="B56802" s="3">
        <v>1</v>
      </c>
    </row>
    <row r="56803" ht="15.75" customHeight="1" spans="1:2">
      <c r="A56803" s="3" t="str">
        <f>IFERROR(__xludf.DUMMYFUNCTION("GOOGLETRANSLATE(A56803,""en"",""pt"")"),"Preço: Muitas vezes ""livre"" com um plano multi-ano; equilibrar de recursos, confiabilidade.")</f>
        <v>Preço: Muitas vezes "livre" com um plano multi-ano; equilibrar de recursos, confiabilidade.</v>
      </c>
      <c r="B56803" s="3">
        <v>1</v>
      </c>
    </row>
    <row r="56804" ht="15.75" customHeight="1" spans="1:2">
      <c r="A56804" s="3" t="str">
        <f>IFERROR(__xludf.DUMMYFUNCTION("GOOGLETRANSLATE(A56804,""en"",""pt"")"),"forma agradável, usado por muitas pessoas, caller ID, placas de cara personalizada")</f>
        <v>forma agradável, usado por muitas pessoas, caller ID, placas de cara personalizada</v>
      </c>
      <c r="B56804" s="3">
        <v>1</v>
      </c>
    </row>
    <row r="56805" ht="15.75" customHeight="1" spans="1:2">
      <c r="A56805" s="3" t="str">
        <f>IFERROR(__xludf.DUMMYFUNCTION("GOOGLETRANSLATE(A56805,""en"",""pt"")"),"excelente design, ergonomia, boa bateria, menu bem projetado.")</f>
        <v>excelente design, ergonomia, boa bateria, menu bem projetado.</v>
      </c>
      <c r="B56805" s="3">
        <v>1</v>
      </c>
    </row>
    <row r="56806" ht="15.75" customHeight="1" spans="1:2">
      <c r="A56806" s="3" t="str">
        <f>IFERROR(__xludf.DUMMYFUNCTION("GOOGLETRANSLATE(A56806,""en"",""pt"")"),"Amigo do usuário")</f>
        <v>Amigo do usuário</v>
      </c>
      <c r="B56806" s="3">
        <v>1</v>
      </c>
    </row>
    <row r="56807" ht="15.75" customHeight="1" spans="1:2">
      <c r="A56807" s="3" t="str">
        <f>IFERROR(__xludf.DUMMYFUNCTION("GOOGLETRANSLATE(A56807,""en"",""pt"")"),"a face azul significava que eu não tinha necessidade de gastar US $ 20 mais em uma placa de face")</f>
        <v>a face azul significava que eu não tinha necessidade de gastar US $ 20 mais em uma placa de face</v>
      </c>
      <c r="B56807" s="3">
        <v>1</v>
      </c>
    </row>
    <row r="56808" ht="15.75" customHeight="1" spans="1:2">
      <c r="A56808" s="3" t="str">
        <f>IFERROR(__xludf.DUMMYFUNCTION("GOOGLETRANSLATE(A56808,""en"",""pt"")"),"Boa styling &amp; # 13; &amp; # 10; faceplates mutável &amp; # 13; &amp; # 10; IMPRESSIONANTE vida útil da bateria &amp; # 13; &amp; # 10; keyguard")</f>
        <v>Boa styling &amp; # 13; &amp; # 10; faceplates mutável &amp; # 13; &amp; # 10; IMPRESSIONANTE vida útil da bateria &amp; # 13; &amp; # 10; keyguard</v>
      </c>
      <c r="B56808" s="3">
        <v>1</v>
      </c>
    </row>
    <row r="56809" ht="15.75" customHeight="1" spans="1:2">
      <c r="A56809" s="3" t="str">
        <f>IFERROR(__xludf.DUMMYFUNCTION("GOOGLETRANSLATE(A56809,""en"",""pt"")"),"boa unidade")</f>
        <v>boa unidade</v>
      </c>
      <c r="B56809" s="3">
        <v>1</v>
      </c>
    </row>
    <row r="56810" ht="15.75" customHeight="1" spans="1:2">
      <c r="A56810" s="3" t="str">
        <f>IFERROR(__xludf.DUMMYFUNCTION("GOOGLETRANSLATE(A56810,""en"",""pt"")"),"Atraente, multi telefone função")</f>
        <v>Atraente, multi telefone função</v>
      </c>
      <c r="B56810" s="3">
        <v>1</v>
      </c>
    </row>
    <row r="56811" ht="15.75" customHeight="1" spans="1:2">
      <c r="A56811" s="3" t="str">
        <f>IFERROR(__xludf.DUMMYFUNCTION("GOOGLETRANSLATE(A56811,""en"",""pt"")"),"No-nonsense telefone pouco sólida.")</f>
        <v>No-nonsense telefone pouco sólida.</v>
      </c>
      <c r="B56811" s="3">
        <v>1</v>
      </c>
    </row>
    <row r="56812" ht="15.75" customHeight="1" spans="1:2">
      <c r="A56812" s="3" t="str">
        <f>IFERROR(__xludf.DUMMYFUNCTION("GOOGLETRANSLATE(A56812,""en"",""pt"")"),"bateria de longa duração, correio de voz, identificador de chamadas, jogos e um menu muito fácil de usar.")</f>
        <v>bateria de longa duração, correio de voz, identificador de chamadas, jogos e um menu muito fácil de usar.</v>
      </c>
      <c r="B56812" s="3">
        <v>1</v>
      </c>
    </row>
    <row r="56813" ht="15.75" customHeight="1" spans="1:2">
      <c r="A56813" s="3" t="str">
        <f>IFERROR(__xludf.DUMMYFUNCTION("GOOGLETRANSLATE(A56813,""en"",""pt"")"),"O telefone é confortável e fácil de usar bateria de longa duração")</f>
        <v>O telefone é confortável e fácil de usar bateria de longa duração</v>
      </c>
      <c r="B56813" s="3">
        <v>1</v>
      </c>
    </row>
    <row r="56814" ht="15.75" customHeight="1" spans="1:2">
      <c r="A56814" s="3" t="str">
        <f>IFERROR(__xludf.DUMMYFUNCTION("GOOGLETRANSLATE(A56814,""en"",""pt"")"),"Fácil de faceplates mudança, fácil de usar")</f>
        <v>Fácil de faceplates mudança, fácil de usar</v>
      </c>
      <c r="B56814" s="3">
        <v>1</v>
      </c>
    </row>
    <row r="56815" ht="15.75" customHeight="1" spans="1:2">
      <c r="A56815" s="3" t="str">
        <f>IFERROR(__xludf.DUMMYFUNCTION("GOOGLETRANSLATE(A56815,""en"",""pt"")"),"Pequeno o suficiente para caber em um bolso, mas não tão pequeno que é facilmente quebrado.")</f>
        <v>Pequeno o suficiente para caber em um bolso, mas não tão pequeno que é facilmente quebrado.</v>
      </c>
      <c r="B56815" s="3">
        <v>1</v>
      </c>
    </row>
    <row r="56816" ht="15.75" customHeight="1" spans="1:2">
      <c r="A56816" s="3" t="str">
        <f>IFERROR(__xludf.DUMMYFUNCTION("GOOGLETRANSLATE(A56816,""en"",""pt"")"),"Trimode (Analógico / Digital / PCS), fácil de usar, perfeito para estudantes de escola / faculdade")</f>
        <v>Trimode (Analógico / Digital / PCS), fácil de usar, perfeito para estudantes de escola / faculdade</v>
      </c>
      <c r="B56816" s="3">
        <v>1</v>
      </c>
    </row>
    <row r="56817" ht="15.75" customHeight="1" spans="1:2">
      <c r="A56817" s="3" t="str">
        <f>IFERROR(__xludf.DUMMYFUNCTION("GOOGLETRANSLATE(A56817,""en"",""pt"")"),"útil, prático, os jogos são puro.")</f>
        <v>útil, prático, os jogos são puro.</v>
      </c>
      <c r="B56817" s="3">
        <v>1</v>
      </c>
    </row>
    <row r="56818" ht="15.75" customHeight="1" spans="1:2">
      <c r="A56818" s="3" t="str">
        <f>IFERROR(__xludf.DUMMYFUNCTION("GOOGLETRANSLATE(A56818,""en"",""pt"")"),"lotes de características, barato, grandes acessórios, fácil de usar")</f>
        <v>lotes de características, barato, grandes acessórios, fácil de usar</v>
      </c>
      <c r="B56818" s="3">
        <v>1</v>
      </c>
    </row>
    <row r="56819" ht="15.75" customHeight="1" spans="1:2">
      <c r="A56819" s="3" t="str">
        <f>IFERROR(__xludf.DUMMYFUNCTION("GOOGLETRANSLATE(A56819,""en"",""pt"")"),"clareza, a facilidade de utilização, arrefecer ""meio"" novo visual")</f>
        <v>clareza, a facilidade de utilização, arrefecer "meio" novo visual</v>
      </c>
      <c r="B56819" s="3">
        <v>1</v>
      </c>
    </row>
    <row r="56820" ht="15.75" customHeight="1" spans="1:2">
      <c r="A56820" s="3" t="str">
        <f>IFERROR(__xludf.DUMMYFUNCTION("GOOGLETRANSLATE(A56820,""en"",""pt"")"),"Incrível vida útil da bateria. tamanho perfeito, não grande não a pequenas. Grande recepção!")</f>
        <v>Incrível vida útil da bateria. tamanho perfeito, não grande não a pequenas. Grande recepção!</v>
      </c>
      <c r="B56820" s="3">
        <v>1</v>
      </c>
    </row>
    <row r="56821" ht="15.75" customHeight="1" spans="1:2">
      <c r="A56821" s="3" t="str">
        <f>IFERROR(__xludf.DUMMYFUNCTION("GOOGLETRANSLATE(A56821,""en"",""pt"")"),"Vida útil da bateria, grande recepção de telefone, fácil de usar")</f>
        <v>Vida útil da bateria, grande recepção de telefone, fácil de usar</v>
      </c>
      <c r="B56821" s="3">
        <v>1</v>
      </c>
    </row>
    <row r="56822" ht="15.75" customHeight="1" spans="1:2">
      <c r="A56822" s="3" t="str">
        <f>IFERROR(__xludf.DUMMYFUNCTION("GOOGLETRANSLATE(A56822,""en"",""pt"")"),"placas de cara intercambiáveis, Acessórios em todos os lugares, qualidade, durável.")</f>
        <v>placas de cara intercambiáveis, Acessórios em todos os lugares, qualidade, durável.</v>
      </c>
      <c r="B56822" s="3">
        <v>1</v>
      </c>
    </row>
    <row r="56823" ht="15.75" customHeight="1" spans="1:2">
      <c r="A56823" s="3" t="str">
        <f>IFERROR(__xludf.DUMMYFUNCTION("GOOGLETRANSLATE(A56823,""en"",""pt"")"),"Confortável para falar sobre, capas a cores, preço certo")</f>
        <v>Confortável para falar sobre, capas a cores, preço certo</v>
      </c>
      <c r="B56823" s="3">
        <v>1</v>
      </c>
    </row>
    <row r="56824" ht="15.75" customHeight="1" spans="1:2">
      <c r="A56824" s="3" t="str">
        <f>IFERROR(__xludf.DUMMYFUNCTION("GOOGLETRANSLATE(A56824,""en"",""pt"")"),"Seu pequeno, versátil e acessível.")</f>
        <v>Seu pequeno, versátil e acessível.</v>
      </c>
      <c r="B56824" s="3">
        <v>1</v>
      </c>
    </row>
    <row r="56825" ht="15.75" customHeight="1" spans="1:2">
      <c r="A56825" s="3" t="str">
        <f>IFERROR(__xludf.DUMMYFUNCTION("GOOGLETRANSLATE(A56825,""en"",""pt"")"),"Lotes das características, soa como um telefone regular, adorável, compacto e divertido")</f>
        <v>Lotes das características, soa como um telefone regular, adorável, compacto e divertido</v>
      </c>
      <c r="B56825" s="3">
        <v>1</v>
      </c>
    </row>
    <row r="56826" ht="15.75" customHeight="1" spans="1:2">
      <c r="A56826" s="3" t="str">
        <f>IFERROR(__xludf.DUMMYFUNCTION("GOOGLETRANSLATE(A56826,""en"",""pt"")"),"executa telefone muito bem.")</f>
        <v>executa telefone muito bem.</v>
      </c>
      <c r="B56826" s="3">
        <v>1</v>
      </c>
    </row>
    <row r="56827" ht="15.75" customHeight="1" spans="1:2">
      <c r="A56827" s="3" t="str">
        <f>IFERROR(__xludf.DUMMYFUNCTION("GOOGLETRANSLATE(A56827,""en"",""pt"")"),"Parece bom, parece bom, é bom")</f>
        <v>Parece bom, parece bom, é bom</v>
      </c>
      <c r="B56827" s="3">
        <v>1</v>
      </c>
    </row>
    <row r="56828" ht="15.75" customHeight="1" spans="1:2">
      <c r="A56828" s="3" t="str">
        <f>IFERROR(__xludf.DUMMYFUNCTION("GOOGLETRANSLATE(A56828,""en"",""pt"")"),"Facilidade de uso, grandes recursos, clareza de voz excelente")</f>
        <v>Facilidade de uso, grandes recursos, clareza de voz excelente</v>
      </c>
      <c r="B56828" s="3">
        <v>1</v>
      </c>
    </row>
    <row r="56829" ht="15.75" customHeight="1" spans="1:2">
      <c r="A56829" s="3" t="str">
        <f>IFERROR(__xludf.DUMMYFUNCTION("GOOGLETRANSLATE(A56829,""en"",""pt"")"),"é um telefone wieght luz com muitas opções")</f>
        <v>é um telefone wieght luz com muitas opções</v>
      </c>
      <c r="B56829" s="3">
        <v>1</v>
      </c>
    </row>
    <row r="56830" ht="15.75" customHeight="1" spans="1:2">
      <c r="A56830" s="3" t="str">
        <f>IFERROR(__xludf.DUMMYFUNCTION("GOOGLETRANSLATE(A56830,""en"",""pt"")"),"Relativamente pequeno, confiável.")</f>
        <v>Relativamente pequeno, confiável.</v>
      </c>
      <c r="B56830" s="3">
        <v>1</v>
      </c>
    </row>
    <row r="56831" ht="15.75" customHeight="1" spans="1:2">
      <c r="A56831" s="3" t="str">
        <f>IFERROR(__xludf.DUMMYFUNCTION("GOOGLETRANSLATE(A56831,""en"",""pt"")"),"Fácil de usar, opções de preço barato, e-mail, opções de mensagens instantâneas, etc.")</f>
        <v>Fácil de usar, opções de preço barato, e-mail, opções de mensagens instantâneas, etc.</v>
      </c>
      <c r="B56831" s="3">
        <v>1</v>
      </c>
    </row>
    <row r="56832" ht="15.75" customHeight="1" spans="1:2">
      <c r="A56832" s="3" t="str">
        <f>IFERROR(__xludf.DUMMYFUNCTION("GOOGLETRANSLATE(A56832,""en"",""pt"")"),"Grandes recursos, fácil de usar, grande recepção, durável")</f>
        <v>Grandes recursos, fácil de usar, grande recepção, durável</v>
      </c>
      <c r="B56832" s="3">
        <v>1</v>
      </c>
    </row>
    <row r="56833" ht="15.75" customHeight="1" spans="1:2">
      <c r="A56833" s="3" t="str">
        <f>IFERROR(__xludf.DUMMYFUNCTION("GOOGLETRANSLATE(A56833,""en"",""pt"")"),"fácil de usar")</f>
        <v>fácil de usar</v>
      </c>
      <c r="B56833" s="3">
        <v>1</v>
      </c>
    </row>
    <row r="56834" ht="15.75" customHeight="1" spans="1:2">
      <c r="A56834" s="3" t="str">
        <f>IFERROR(__xludf.DUMMYFUNCTION("GOOGLETRANSLATE(A56834,""en"",""pt"")"),"Boa recepção e sólido.")</f>
        <v>Boa recepção e sólido.</v>
      </c>
      <c r="B56834" s="3">
        <v>1</v>
      </c>
    </row>
    <row r="56835" ht="15.75" customHeight="1" spans="1:2">
      <c r="A56835" s="3" t="str">
        <f>IFERROR(__xludf.DUMMYFUNCTION("GOOGLETRANSLATE(A56835,""en"",""pt"")"),"Durável, sexy!")</f>
        <v>Durável, sexy!</v>
      </c>
      <c r="B56835" s="3">
        <v>1</v>
      </c>
    </row>
    <row r="56836" ht="15.75" customHeight="1" spans="1:2">
      <c r="A56836" s="3" t="str">
        <f>IFERROR(__xludf.DUMMYFUNCTION("GOOGLETRANSLATE(A56836,""en"",""pt"")"),"agradáveis ​​faceplates, discagem 1 toque, muito espaço para números")</f>
        <v>agradáveis ​​faceplates, discagem 1 toque, muito espaço para números</v>
      </c>
      <c r="B56836" s="3">
        <v>1</v>
      </c>
    </row>
    <row r="56837" ht="15.75" customHeight="1" spans="1:2">
      <c r="A56837" s="3" t="str">
        <f>IFERROR(__xludf.DUMMYFUNCTION("GOOGLETRANSLATE(A56837,""en"",""pt"")"),"Barato, boa qualidade de som")</f>
        <v>Barato, boa qualidade de som</v>
      </c>
      <c r="B56837" s="3">
        <v>1</v>
      </c>
    </row>
    <row r="56838" ht="15.75" customHeight="1" spans="1:2">
      <c r="A56838" s="3" t="str">
        <f>IFERROR(__xludf.DUMMYFUNCTION("GOOGLETRANSLATE(A56838,""en"",""pt"")"),"Confiável, grande controle de volume, confortável na mão, durável, muitos faceplates produzidos, carga da bateria dura.")</f>
        <v>Confiável, grande controle de volume, confortável na mão, durável, muitos faceplates produzidos, carga da bateria dura.</v>
      </c>
      <c r="B56838" s="3">
        <v>1</v>
      </c>
    </row>
    <row r="56839" ht="15.75" customHeight="1" spans="1:2">
      <c r="A56839" s="3" t="str">
        <f>IFERROR(__xludf.DUMMYFUNCTION("GOOGLETRANSLATE(A56839,""en"",""pt"")"),"O dia em que o devolveu à minha empresa de telefonia celular")</f>
        <v>O dia em que o devolveu à minha empresa de telefonia celular</v>
      </c>
      <c r="B56839" s="3">
        <v>1</v>
      </c>
    </row>
    <row r="56840" ht="15.75" customHeight="1" spans="1:2">
      <c r="A56840" s="3" t="str">
        <f>IFERROR(__xludf.DUMMYFUNCTION("GOOGLETRANSLATE(A56840,""en"",""pt"")"),"Melhor do que o 5160")</f>
        <v>Melhor do que o 5160</v>
      </c>
      <c r="B56840" s="3">
        <v>1</v>
      </c>
    </row>
    <row r="56841" ht="15.75" customHeight="1" spans="1:2">
      <c r="A56841" s="3" t="str">
        <f>IFERROR(__xludf.DUMMYFUNCTION("GOOGLETRANSLATE(A56841,""en"",""pt"")"),"Grande autonomia da bateria, excelente recepção, boa agenda")</f>
        <v>Grande autonomia da bateria, excelente recepção, boa agenda</v>
      </c>
      <c r="B56841" s="3">
        <v>1</v>
      </c>
    </row>
    <row r="56842" ht="15.75" customHeight="1" spans="1:2">
      <c r="A56842" s="3" t="str">
        <f>IFERROR(__xludf.DUMMYFUNCTION("GOOGLETRANSLATE(A56842,""en"",""pt"")"),"toneladas de recursos, incluindo um alarme. bateria de longa duração!")</f>
        <v>toneladas de recursos, incluindo um alarme. bateria de longa duração!</v>
      </c>
      <c r="B56842" s="3">
        <v>1</v>
      </c>
    </row>
    <row r="56843" ht="15.75" customHeight="1" spans="1:2">
      <c r="A56843" s="3" t="str">
        <f>IFERROR(__xludf.DUMMYFUNCTION("GOOGLETRANSLATE(A56843,""en"",""pt"")"),"Acessíveis, muitos acessórios, básico para os compradores de primeira vez.")</f>
        <v>Acessíveis, muitos acessórios, básico para os compradores de primeira vez.</v>
      </c>
      <c r="B56843" s="3">
        <v>1</v>
      </c>
    </row>
    <row r="56844" ht="15.75" customHeight="1" spans="1:2">
      <c r="A56844" s="3" t="str">
        <f>IFERROR(__xludf.DUMMYFUNCTION("GOOGLETRANSLATE(A56844,""en"",""pt"")"),"Vasta gama de acessórios, mensagens de texto e toques personalizados.")</f>
        <v>Vasta gama de acessórios, mensagens de texto e toques personalizados.</v>
      </c>
      <c r="B56844" s="3">
        <v>1</v>
      </c>
    </row>
    <row r="56845" ht="15.75" customHeight="1" spans="1:2">
      <c r="A56845" s="3" t="str">
        <f>IFERROR(__xludf.DUMMYFUNCTION("GOOGLETRANSLATE(A56845,""en"",""pt"")"),"Grande telefone compacto, muita vida nele.")</f>
        <v>Grande telefone compacto, muita vida nele.</v>
      </c>
      <c r="B56845" s="3">
        <v>1</v>
      </c>
    </row>
    <row r="56846" ht="15.75" customHeight="1" spans="1:2">
      <c r="A56846" s="3" t="str">
        <f>IFERROR(__xludf.DUMMYFUNCTION("GOOGLETRANSLATE(A56846,""en"",""pt"")"),"99 de memória de número, boa qualidade de voz, e um inferno de um jogo de cobra")</f>
        <v>99 de memória de número, boa qualidade de voz, e um inferno de um jogo de cobra</v>
      </c>
      <c r="B56846" s="3">
        <v>1</v>
      </c>
    </row>
    <row r="56847" ht="15.75" customHeight="1" spans="1:2">
      <c r="A56847" s="3" t="str">
        <f>IFERROR(__xludf.DUMMYFUNCTION("GOOGLETRANSLATE(A56847,""en"",""pt"")"),"Grandes recursos, amo a capacidade de placas mudança de rosto")</f>
        <v>Grandes recursos, amo a capacidade de placas mudança de rosto</v>
      </c>
      <c r="B56847" s="3">
        <v>1</v>
      </c>
    </row>
    <row r="56848" ht="15.75" customHeight="1" spans="1:2">
      <c r="A56848" s="3" t="str">
        <f>IFERROR(__xludf.DUMMYFUNCTION("GOOGLETRANSLATE(A56848,""en"",""pt"")"),"É grátis!")</f>
        <v>É grátis!</v>
      </c>
      <c r="B56848" s="3">
        <v>1</v>
      </c>
    </row>
    <row r="56849" ht="15.75" customHeight="1" spans="1:2">
      <c r="A56849" s="3" t="str">
        <f>IFERROR(__xludf.DUMMYFUNCTION("GOOGLETRANSLATE(A56849,""en"",""pt"")"),"solidamente construída, boa bateria, bom som")</f>
        <v>solidamente construída, boa bateria, bom som</v>
      </c>
      <c r="B56849" s="3">
        <v>1</v>
      </c>
    </row>
    <row r="56850" ht="15.75" customHeight="1" spans="1:2">
      <c r="A56850" s="3" t="str">
        <f>IFERROR(__xludf.DUMMYFUNCTION("GOOGLETRANSLATE(A56850,""en"",""pt"")"),"Multi-Function Botão Centro")</f>
        <v>Multi-Function Botão Centro</v>
      </c>
      <c r="B56850" s="3">
        <v>1</v>
      </c>
    </row>
    <row r="56851" ht="15.75" customHeight="1" spans="1:2">
      <c r="A56851" s="3" t="str">
        <f>IFERROR(__xludf.DUMMYFUNCTION("GOOGLETRANSLATE(A56851,""en"",""pt"")"),"Pequeno, user-friendly, versátil")</f>
        <v>Pequeno, user-friendly, versátil</v>
      </c>
      <c r="B56851" s="3">
        <v>1</v>
      </c>
    </row>
    <row r="56852" ht="15.75" customHeight="1" spans="1:2">
      <c r="A56852" s="3" t="str">
        <f>IFERROR(__xludf.DUMMYFUNCTION("GOOGLETRANSLATE(A56852,""en"",""pt"")"),"Placas mutável rosto, pequeno o suficiente para caber no bolso ou na bolsa pequena")</f>
        <v>Placas mutável rosto, pequeno o suficiente para caber no bolso ou na bolsa pequena</v>
      </c>
      <c r="B56852" s="3">
        <v>1</v>
      </c>
    </row>
    <row r="56853" ht="15.75" customHeight="1" spans="1:2">
      <c r="A56853" s="3" t="str">
        <f>IFERROR(__xludf.DUMMYFUNCTION("GOOGLETRANSLATE(A56853,""en"",""pt"")"),"dispositivo Speedy recarga, grande recepção, e divertidos anéis.")</f>
        <v>dispositivo Speedy recarga, grande recepção, e divertidos anéis.</v>
      </c>
      <c r="B56853" s="3">
        <v>1</v>
      </c>
    </row>
    <row r="56854" ht="15.75" customHeight="1" spans="1:2">
      <c r="A56854" s="3" t="str">
        <f>IFERROR(__xludf.DUMMYFUNCTION("GOOGLETRANSLATE(A56854,""en"",""pt"")"),"Atraente, bom tamanho, boa bateria, muito durável.")</f>
        <v>Atraente, bom tamanho, boa bateria, muito durável.</v>
      </c>
      <c r="B56854" s="3">
        <v>1</v>
      </c>
    </row>
    <row r="56855" ht="15.75" customHeight="1" spans="1:2">
      <c r="A56855" s="3" t="str">
        <f>IFERROR(__xludf.DUMMYFUNCTION("GOOGLETRANSLATE(A56855,""en"",""pt"")"),"Grandes recursos, boa bateria, barato.")</f>
        <v>Grandes recursos, boa bateria, barato.</v>
      </c>
      <c r="B56855" s="3">
        <v>1</v>
      </c>
    </row>
    <row r="56856" ht="15.75" customHeight="1" spans="1:2">
      <c r="A56856" s="3" t="str">
        <f>IFERROR(__xludf.DUMMYFUNCTION("GOOGLETRANSLATE(A56856,""en"",""pt"")"),"Nada, Nada, NONE")</f>
        <v>Nada, Nada, NONE</v>
      </c>
      <c r="B56856" s="3">
        <v>1</v>
      </c>
    </row>
    <row r="56857" ht="15.75" customHeight="1" spans="1:2">
      <c r="A56857" s="3" t="str">
        <f>IFERROR(__xludf.DUMMYFUNCTION("GOOGLETRANSLATE(A56857,""en"",""pt"")"),"Aparência agradável, não muito pesado, barato, bateria de longa duração, bons serviços de atendimento ao cliente!")</f>
        <v>Aparência agradável, não muito pesado, barato, bateria de longa duração, bons serviços de atendimento ao cliente!</v>
      </c>
      <c r="B56857" s="3">
        <v>1</v>
      </c>
    </row>
    <row r="56858" ht="15.75" customHeight="1" spans="1:2">
      <c r="A56858" s="3" t="str">
        <f>IFERROR(__xludf.DUMMYFUNCTION("GOOGLETRANSLATE(A56858,""en"",""pt"")"),"Leves, jogos, Tones")</f>
        <v>Leves, jogos, Tones</v>
      </c>
      <c r="B56858" s="3">
        <v>1</v>
      </c>
    </row>
    <row r="56859" ht="15.75" customHeight="1" spans="1:2">
      <c r="A56859" s="3" t="str">
        <f>IFERROR(__xludf.DUMMYFUNCTION("GOOGLETRANSLATE(A56859,""en"",""pt"")"),"real clear")</f>
        <v>real clear</v>
      </c>
      <c r="B56859" s="3">
        <v>1</v>
      </c>
    </row>
    <row r="56860" ht="15.75" customHeight="1" spans="1:2">
      <c r="A56860" s="3" t="str">
        <f>IFERROR(__xludf.DUMMYFUNCTION("GOOGLETRANSLATE(A56860,""en"",""pt"")"),"livro de endereços é acessível com seta do cursor. a tecla de navegação é uma ""função disponível atual""")</f>
        <v>livro de endereços é acessível com seta do cursor. a tecla de navegação é uma "função disponível atual"</v>
      </c>
      <c r="B56860" s="3">
        <v>1</v>
      </c>
    </row>
    <row r="56861" ht="15.75" customHeight="1" spans="1:2">
      <c r="A56861" s="3" t="str">
        <f>IFERROR(__xludf.DUMMYFUNCTION("GOOGLETRANSLATE(A56861,""en"",""pt"")"),"Grande telefone, toneladas de recursos, fácil de usar")</f>
        <v>Grande telefone, toneladas de recursos, fácil de usar</v>
      </c>
      <c r="B56861" s="3">
        <v>1</v>
      </c>
    </row>
    <row r="56862" ht="15.75" customHeight="1" spans="1:2">
      <c r="A56862" s="3" t="str">
        <f>IFERROR(__xludf.DUMMYFUNCTION("GOOGLETRANSLATE(A56862,""en"",""pt"")"),"Fácil de usar, durável, de grande recepção, ótimo preço, Muitos acessórios")</f>
        <v>Fácil de usar, durável, de grande recepção, ótimo preço, Muitos acessórios</v>
      </c>
      <c r="B56862" s="3">
        <v>1</v>
      </c>
    </row>
    <row r="56863" ht="15.75" customHeight="1" spans="1:2">
      <c r="A56863" s="3" t="str">
        <f>IFERROR(__xludf.DUMMYFUNCTION("GOOGLETRANSLATE(A56863,""en"",""pt"")"),"E-mail é útil. Do meu computador, eu e-mail a minha lista de compras para mim mesmo.")</f>
        <v>E-mail é útil. Do meu computador, eu e-mail a minha lista de compras para mim mesmo.</v>
      </c>
      <c r="B56863" s="3">
        <v>1</v>
      </c>
    </row>
    <row r="56864" ht="15.75" customHeight="1" spans="1:2">
      <c r="A56864" s="3" t="str">
        <f>IFERROR(__xludf.DUMMYFUNCTION("GOOGLETRANSLATE(A56864,""en"",""pt"")"),"Acessível e funcional")</f>
        <v>Acessível e funcional</v>
      </c>
      <c r="B56864" s="3">
        <v>1</v>
      </c>
    </row>
    <row r="56865" ht="15.75" customHeight="1" spans="1:2">
      <c r="A56865" s="3" t="str">
        <f>IFERROR(__xludf.DUMMYFUNCTION("GOOGLETRANSLATE(A56865,""en"",""pt"")"),"Toneladas de recursos. Simples de usar!")</f>
        <v>Toneladas de recursos. Simples de usar!</v>
      </c>
      <c r="B56865" s="3">
        <v>1</v>
      </c>
    </row>
    <row r="56866" ht="15.75" customHeight="1" spans="1:2">
      <c r="A56866" s="3" t="str">
        <f>IFERROR(__xludf.DUMMYFUNCTION("GOOGLETRANSLATE(A56866,""en"",""pt"")"),"Um monte de recursos, foi livre com o meu plano de celular.")</f>
        <v>Um monte de recursos, foi livre com o meu plano de celular.</v>
      </c>
      <c r="B56866" s="3">
        <v>1</v>
      </c>
    </row>
    <row r="56867" ht="15.75" customHeight="1" spans="1:2">
      <c r="A56867" s="3" t="str">
        <f>IFERROR(__xludf.DUMMYFUNCTION("GOOGLETRANSLATE(A56867,""en"",""pt"")"),"Durável, confiável, boa recepção, áudio claro, bateria de longa duração, acessórios baratos.")</f>
        <v>Durável, confiável, boa recepção, áudio claro, bateria de longa duração, acessórios baratos.</v>
      </c>
      <c r="B56867" s="3">
        <v>1</v>
      </c>
    </row>
    <row r="56868" ht="15.75" customHeight="1" spans="1:2">
      <c r="A56868" s="3" t="str">
        <f>IFERROR(__xludf.DUMMYFUNCTION("GOOGLETRANSLATE(A56868,""en"",""pt"")"),"grande recepção, o som, é confiável, ea bateria dura muito tempo.")</f>
        <v>grande recepção, o som, é confiável, ea bateria dura muito tempo.</v>
      </c>
      <c r="B56868" s="3">
        <v>1</v>
      </c>
    </row>
    <row r="56869" ht="15.75" customHeight="1" spans="1:2">
      <c r="A56869" s="3" t="str">
        <f>IFERROR(__xludf.DUMMYFUNCTION("GOOGLETRANSLATE(A56869,""en"",""pt"")"),"Boa recepção.")</f>
        <v>Boa recepção.</v>
      </c>
      <c r="B56869" s="3">
        <v>1</v>
      </c>
    </row>
    <row r="56870" ht="15.75" customHeight="1" spans="1:2">
      <c r="A56870" s="3" t="str">
        <f>IFERROR(__xludf.DUMMYFUNCTION("GOOGLETRANSLATE(A56870,""en"",""pt"")"),"Textos, volume de som, mudança fácil faceplate, duráveis")</f>
        <v>Textos, volume de som, mudança fácil faceplate, duráveis</v>
      </c>
      <c r="B56870" s="3">
        <v>1</v>
      </c>
    </row>
    <row r="56871" ht="15.75" customHeight="1" spans="1:2">
      <c r="A56871" s="3" t="str">
        <f>IFERROR(__xludf.DUMMYFUNCTION("GOOGLETRANSLATE(A56871,""en"",""pt"")"),"Grande recepção!")</f>
        <v>Grande recepção!</v>
      </c>
      <c r="B56871" s="3">
        <v>1</v>
      </c>
    </row>
    <row r="56872" ht="15.75" customHeight="1" spans="1:2">
      <c r="A56872" s="3" t="str">
        <f>IFERROR(__xludf.DUMMYFUNCTION("GOOGLETRANSLATE(A56872,""en"",""pt"")"),"easy-to-use, durável")</f>
        <v>easy-to-use, durável</v>
      </c>
      <c r="B56872" s="3">
        <v>1</v>
      </c>
    </row>
    <row r="56873" ht="15.75" customHeight="1" spans="1:2">
      <c r="A56873" s="3" t="str">
        <f>IFERROR(__xludf.DUMMYFUNCTION("GOOGLETRANSLATE(A56873,""en"",""pt"")"),"Acessórios fora a **, download de toques, mensagens &amp; basic e-mail")</f>
        <v>Acessórios fora a **, download de toques, mensagens &amp; basic e-mail</v>
      </c>
      <c r="B56873" s="3">
        <v>1</v>
      </c>
    </row>
    <row r="56874" ht="15.75" customHeight="1" spans="1:2">
      <c r="A56874" s="3" t="str">
        <f>IFERROR(__xludf.DUMMYFUNCTION("GOOGLETRANSLATE(A56874,""en"",""pt"")"),"Pequeno, grande recepção, discagem por voz, navegador, indiglo azul LCD, tela de ID externa, alerta vibratório variável")</f>
        <v>Pequeno, grande recepção, discagem por voz, navegador, indiglo azul LCD, tela de ID externa, alerta vibratório variável</v>
      </c>
      <c r="B56874" s="3">
        <v>1</v>
      </c>
    </row>
    <row r="56875" ht="15.75" customHeight="1" spans="1:2">
      <c r="A56875" s="3" t="str">
        <f>IFERROR(__xludf.DUMMYFUNCTION("GOOGLETRANSLATE(A56875,""en"",""pt"")"),"Extravagante, Compact, claro, excelente Telefone")</f>
        <v>Extravagante, Compact, claro, excelente Telefone</v>
      </c>
      <c r="B56875" s="3">
        <v>1</v>
      </c>
    </row>
    <row r="56876" ht="15.75" customHeight="1" spans="1:2">
      <c r="A56876" s="3" t="str">
        <f>IFERROR(__xludf.DUMMYFUNCTION("GOOGLETRANSLATE(A56876,""en"",""pt"")"),"Barato, parece que a Motorola V60c, rico em recursos.")</f>
        <v>Barato, parece que a Motorola V60c, rico em recursos.</v>
      </c>
      <c r="B56876" s="3">
        <v>1</v>
      </c>
    </row>
    <row r="56877" ht="15.75" customHeight="1" spans="1:2">
      <c r="A56877" s="3" t="str">
        <f>IFERROR(__xludf.DUMMYFUNCTION("GOOGLETRANSLATE(A56877,""en"",""pt"")"),"Tamanho grande, boa bateria, toca ou vibra.")</f>
        <v>Tamanho grande, boa bateria, toca ou vibra.</v>
      </c>
      <c r="B56877" s="3">
        <v>1</v>
      </c>
    </row>
    <row r="56878" ht="15.75" customHeight="1" spans="1:2">
      <c r="A56878" s="3" t="str">
        <f>IFERROR(__xludf.DUMMYFUNCTION("GOOGLETRANSLATE(A56878,""en"",""pt"")"),"vários recursos, display LCD frontal, novas tecnologias")</f>
        <v>vários recursos, display LCD frontal, novas tecnologias</v>
      </c>
      <c r="B56878" s="3">
        <v>1</v>
      </c>
    </row>
    <row r="56879" ht="15.75" customHeight="1" spans="1:2">
      <c r="A56879" s="3" t="str">
        <f>IFERROR(__xludf.DUMMYFUNCTION("GOOGLETRANSLATE(A56879,""en"",""pt"")"),"Compacto, incrivelmente cheio de recurso, grande som. . . atirar o telefone da linha terrestre !!")</f>
        <v>Compacto, incrivelmente cheio de recurso, grande som. . . atirar o telefone da linha terrestre !!</v>
      </c>
      <c r="B56879" s="3">
        <v>1</v>
      </c>
    </row>
    <row r="56880" ht="15.75" customHeight="1" spans="1:2">
      <c r="A56880" s="3" t="str">
        <f>IFERROR(__xludf.DUMMYFUNCTION("GOOGLETRANSLATE(A56880,""en"",""pt"")"),"Tri-Mode, display LCD frontal.")</f>
        <v>Tri-Mode, display LCD frontal.</v>
      </c>
      <c r="B56880" s="3">
        <v>1</v>
      </c>
    </row>
    <row r="56881" ht="15.75" customHeight="1" spans="1:2">
      <c r="A56881" s="3" t="str">
        <f>IFERROR(__xludf.DUMMYFUNCTION("GOOGLETRANSLATE(A56881,""en"",""pt"")"),"SMALL, BATERIA, JOGOS, calculadora, tela frontal")</f>
        <v>SMALL, BATERIA, JOGOS, calculadora, tela frontal</v>
      </c>
      <c r="B56881" s="3">
        <v>1</v>
      </c>
    </row>
    <row r="56882" ht="15.75" customHeight="1" spans="1:2">
      <c r="A56882" s="3" t="str">
        <f>IFERROR(__xludf.DUMMYFUNCTION("GOOGLETRANSLATE(A56882,""en"",""pt"")"),"tamanho pequeno; grande autonomia da bateria; construção robusta; à moda; menus são intuitivos")</f>
        <v>tamanho pequeno; grande autonomia da bateria; construção robusta; à moda; menus são intuitivos</v>
      </c>
      <c r="B56882" s="3">
        <v>1</v>
      </c>
    </row>
    <row r="56883" ht="15.75" customHeight="1" spans="1:2">
      <c r="A56883" s="3" t="str">
        <f>IFERROR(__xludf.DUMMYFUNCTION("GOOGLETRANSLATE(A56883,""en"",""pt"")"),"o tamanho, o peso, a força do sinal, a clareza, a durabilidade, fora identificador de chamadas")</f>
        <v>o tamanho, o peso, a força do sinal, a clareza, a durabilidade, fora identificador de chamadas</v>
      </c>
      <c r="B56883" s="3">
        <v>1</v>
      </c>
    </row>
    <row r="56884" ht="15.75" customHeight="1" spans="1:2">
      <c r="A56884" s="3" t="str">
        <f>IFERROR(__xludf.DUMMYFUNCTION("GOOGLETRANSLATE(A56884,""en"",""pt"")"),"Boa qualidade de voz e recepção, alto fator de gadget para baixo preço")</f>
        <v>Boa qualidade de voz e recepção, alto fator de gadget para baixo preço</v>
      </c>
      <c r="B56884" s="3">
        <v>1</v>
      </c>
    </row>
    <row r="56885" ht="15.75" customHeight="1" spans="1:2">
      <c r="A56885" s="3" t="str">
        <f>IFERROR(__xludf.DUMMYFUNCTION("GOOGLETRANSLATE(A56885,""en"",""pt"")"),"O peso leve, bateria de longa duração, discagem ativada por voz.")</f>
        <v>O peso leve, bateria de longa duração, discagem ativada por voz.</v>
      </c>
      <c r="B56885" s="3">
        <v>1</v>
      </c>
    </row>
    <row r="56886" ht="15.75" customHeight="1" spans="1:2">
      <c r="A56886" s="3" t="str">
        <f>IFERROR(__xludf.DUMMYFUNCTION("GOOGLETRANSLATE(A56886,""en"",""pt"")"),"Excelente recepção / transmissão. , Tri-mode muito pequeno, exterior LCD, SMS, vibrar + anel.")</f>
        <v>Excelente recepção / transmissão. , Tri-mode muito pequeno, exterior LCD, SMS, vibrar + anel.</v>
      </c>
      <c r="B56886" s="3">
        <v>1</v>
      </c>
    </row>
    <row r="56887" ht="15.75" customHeight="1" spans="1:2">
      <c r="A56887" s="3" t="str">
        <f>IFERROR(__xludf.DUMMYFUNCTION("GOOGLETRANSLATE(A56887,""en"",""pt"")"),"À MODA! Elegante aparência oi-tech,, luz, bateria de longa duração compacta, durável, apresentam completo.")</f>
        <v>À MODA! Elegante aparência oi-tech,, luz, bateria de longa duração compacta, durável, apresentam completo.</v>
      </c>
      <c r="B56887" s="3">
        <v>1</v>
      </c>
    </row>
    <row r="56888" ht="15.75" customHeight="1" spans="1:2">
      <c r="A56888" s="3" t="str">
        <f>IFERROR(__xludf.DUMMYFUNCTION("GOOGLETRANSLATE(A56888,""en"",""pt"")"),"Compacto, incrivelmente cheio de recurso, grande som. . . atirar o telefone da linha terrestre !!")</f>
        <v>Compacto, incrivelmente cheio de recurso, grande som. . . atirar o telefone da linha terrestre !!</v>
      </c>
      <c r="B56888" s="3">
        <v>1</v>
      </c>
    </row>
    <row r="56889" ht="15.75" customHeight="1" spans="1:2">
      <c r="A56889" s="3" t="str">
        <f>IFERROR(__xludf.DUMMYFUNCTION("GOOGLETRANSLATE(A56889,""en"",""pt"")"),"O tamanho pequeno e muitos recursos")</f>
        <v>O tamanho pequeno e muitos recursos</v>
      </c>
      <c r="B56889" s="3">
        <v>1</v>
      </c>
    </row>
    <row r="56890" ht="15.75" customHeight="1" spans="1:2">
      <c r="A56890" s="3" t="str">
        <f>IFERROR(__xludf.DUMMYFUNCTION("GOOGLETRANSLATE(A56890,""en"",""pt"")"),"O tamanho pequeno, grande recepção, design ergonómico, carregado com características.")</f>
        <v>O tamanho pequeno, grande recepção, design ergonómico, carregado com características.</v>
      </c>
      <c r="B56890" s="3">
        <v>1</v>
      </c>
    </row>
    <row r="56891" ht="15.75" customHeight="1" spans="1:2">
      <c r="A56891" s="3" t="str">
        <f>IFERROR(__xludf.DUMMYFUNCTION("GOOGLETRANSLATE(A56891,""en"",""pt"")"),"O tamanho pequeno, boa aparência, discagem por voz, boa claridade e o volume, a duração da bateria decente.")</f>
        <v>O tamanho pequeno, boa aparência, discagem por voz, boa claridade e o volume, a duração da bateria decente.</v>
      </c>
      <c r="B56891" s="3">
        <v>1</v>
      </c>
    </row>
    <row r="56892" ht="15.75" customHeight="1" spans="1:2">
      <c r="A56892" s="3" t="str">
        <f>IFERROR(__xludf.DUMMYFUNCTION("GOOGLETRANSLATE(A56892,""en"",""pt"")"),"grande exibição, interior e exterior, com a cor índigo, recepção decente")</f>
        <v>grande exibição, interior e exterior, com a cor índigo, recepção decente</v>
      </c>
      <c r="B56892" s="3">
        <v>1</v>
      </c>
    </row>
    <row r="56893" ht="15.75" customHeight="1" spans="1:2">
      <c r="A56893" s="3" t="str">
        <f>IFERROR(__xludf.DUMMYFUNCTION("GOOGLETRANSLATE(A56893,""en"",""pt"")"),"Pequeno, grande autonomia da bateria, Clear recepção, Fácil 1 Discagem rápida, display Caller ID Fora")</f>
        <v>Pequeno, grande autonomia da bateria, Clear recepção, Fácil 1 Discagem rápida, display Caller ID Fora</v>
      </c>
      <c r="B56893" s="3">
        <v>1</v>
      </c>
    </row>
    <row r="56894" ht="15.75" customHeight="1" spans="1:2">
      <c r="A56894" s="3" t="str">
        <f>IFERROR(__xludf.DUMMYFUNCTION("GOOGLETRANSLATE(A56894,""en"",""pt"")"),"Pequeno, tri-mode, full-featured, LCD exterior, SMS, vibrar + anel, discagem ativada por voz.")</f>
        <v>Pequeno, tri-mode, full-featured, LCD exterior, SMS, vibrar + anel, discagem ativada por voz.</v>
      </c>
      <c r="B56894" s="3">
        <v>1</v>
      </c>
    </row>
    <row r="56895" ht="15.75" customHeight="1" spans="1:2">
      <c r="A56895" s="3" t="str">
        <f>IFERROR(__xludf.DUMMYFUNCTION("GOOGLETRANSLATE(A56895,""en"",""pt"")"),"Lotes das características e qualidade para o dinheiro.")</f>
        <v>Lotes das características e qualidade para o dinheiro.</v>
      </c>
      <c r="B56895" s="3">
        <v>1</v>
      </c>
    </row>
    <row r="56896" ht="15.75" customHeight="1" spans="1:2">
      <c r="A56896" s="3" t="str">
        <f>IFERROR(__xludf.DUMMYFUNCTION("GOOGLETRANSLATE(A56896,""en"",""pt"")"),"monitor externo, tamanho")</f>
        <v>monitor externo, tamanho</v>
      </c>
      <c r="B56896" s="3">
        <v>1</v>
      </c>
    </row>
    <row r="56897" ht="15.75" customHeight="1" spans="1:2">
      <c r="A56897" s="3" t="str">
        <f>IFERROR(__xludf.DUMMYFUNCTION("GOOGLETRANSLATE(A56897,""en"",""pt"")"),"Clareza, tamanho")</f>
        <v>Clareza, tamanho</v>
      </c>
      <c r="B56897" s="3">
        <v>1</v>
      </c>
    </row>
    <row r="56898" ht="15.75" customHeight="1" spans="1:2">
      <c r="A56898" s="3" t="str">
        <f>IFERROR(__xludf.DUMMYFUNCTION("GOOGLETRANSLATE(A56898,""en"",""pt"")"),"grande lista telefónica, de pouco peso, boa quantidade de recursos")</f>
        <v>grande lista telefónica, de pouco peso, boa quantidade de recursos</v>
      </c>
      <c r="B56898" s="3">
        <v>1</v>
      </c>
    </row>
    <row r="56899" ht="15.75" customHeight="1" spans="1:2">
      <c r="A56899" s="3" t="str">
        <f>IFERROR(__xludf.DUMMYFUNCTION("GOOGLETRANSLATE(A56899,""en"",""pt"")"),"Muito pequeno e leve, identificador de chamadas externo, os dados-capaz, reconhecimento de voz.")</f>
        <v>Muito pequeno e leve, identificador de chamadas externo, os dados-capaz, reconhecimento de voz.</v>
      </c>
      <c r="B56899" s="3">
        <v>1</v>
      </c>
    </row>
    <row r="56900" ht="15.75" customHeight="1" spans="1:2">
      <c r="A56900" s="3" t="str">
        <f>IFERROR(__xludf.DUMMYFUNCTION("GOOGLETRANSLATE(A56900,""en"",""pt"")"),"monitor externo com bateria / sinal / tamanho cid, custo")</f>
        <v>monitor externo com bateria / sinal / tamanho cid, custo</v>
      </c>
      <c r="B56900" s="3">
        <v>1</v>
      </c>
    </row>
    <row r="56901" ht="15.75" customHeight="1" spans="1:2">
      <c r="A56901" s="3" t="str">
        <f>IFERROR(__xludf.DUMMYFUNCTION("GOOGLETRANSLATE(A56901,""en"",""pt"")"),"pequeno tamanho, características state-of-the-art, visor duplo, excelente qualidade de som, construção robusta, de boa aparência, bom valor.")</f>
        <v>pequeno tamanho, características state-of-the-art, visor duplo, excelente qualidade de som, construção robusta, de boa aparência, bom valor.</v>
      </c>
      <c r="B56901" s="3">
        <v>1</v>
      </c>
    </row>
    <row r="56902" ht="15.75" customHeight="1" spans="1:2">
      <c r="A56902" s="3" t="str">
        <f>IFERROR(__xludf.DUMMYFUNCTION("GOOGLETRANSLATE(A56902,""en"",""pt"")"),"tela externa LCD, boa recepção, embalagem resistente, tri-mode.")</f>
        <v>tela externa LCD, boa recepção, embalagem resistente, tri-mode.</v>
      </c>
      <c r="B56902" s="3">
        <v>1</v>
      </c>
    </row>
    <row r="56903" ht="15.75" customHeight="1" spans="1:2">
      <c r="A56903" s="3" t="str">
        <f>IFERROR(__xludf.DUMMYFUNCTION("GOOGLETRANSLATE(A56903,""en"",""pt"")"),"Tamanho, qualidade de construção, a vida da bateria, características LCD, clareza!")</f>
        <v>Tamanho, qualidade de construção, a vida da bateria, características LCD, clareza!</v>
      </c>
      <c r="B56903" s="3">
        <v>1</v>
      </c>
    </row>
    <row r="56904" ht="15.75" customHeight="1" spans="1:2">
      <c r="A56904" s="3" t="str">
        <f>IFERROR(__xludf.DUMMYFUNCTION("GOOGLETRANSLATE(A56904,""en"",""pt"")"),"Tamanho, cor, Outer LCD, discagem por voz, agenda, Recepção, planos de serviço!")</f>
        <v>Tamanho, cor, Outer LCD, discagem por voz, agenda, Recepção, planos de serviço!</v>
      </c>
      <c r="B56904" s="3">
        <v>1</v>
      </c>
    </row>
    <row r="56905" ht="15.75" customHeight="1" spans="1:2">
      <c r="A56905" s="3" t="str">
        <f>IFERROR(__xludf.DUMMYFUNCTION("GOOGLETRANSLATE(A56905,""en"",""pt"")"),"Tamanho, Recepção, ""Teclas de atalho"", Features")</f>
        <v>Tamanho, Recepção, "Teclas de atalho", Features</v>
      </c>
      <c r="B56905" s="3">
        <v>1</v>
      </c>
    </row>
    <row r="56906" ht="15.75" customHeight="1" spans="1:2">
      <c r="A56906" s="3" t="str">
        <f>IFERROR(__xludf.DUMMYFUNCTION("GOOGLETRANSLATE(A56906,""en"",""pt"")"),"Pequeno, boa chamada clareza, fora útil mini display")</f>
        <v>Pequeno, boa chamada clareza, fora útil mini display</v>
      </c>
      <c r="B56906" s="3">
        <v>1</v>
      </c>
    </row>
    <row r="56907" ht="15.75" customHeight="1" spans="1:2">
      <c r="A56907" s="3" t="str">
        <f>IFERROR(__xludf.DUMMYFUNCTION("GOOGLETRANSLATE(A56907,""en"",""pt"")"),"grande recepção")</f>
        <v>grande recepção</v>
      </c>
      <c r="B56907" s="3">
        <v>1</v>
      </c>
    </row>
    <row r="56908" ht="15.75" customHeight="1" spans="1:2">
      <c r="A56908" s="3" t="str">
        <f>IFERROR(__xludf.DUMMYFUNCTION("GOOGLETRANSLATE(A56908,""en"",""pt"")"),"Rico em recursos, uma boa recepção, elegante")</f>
        <v>Rico em recursos, uma boa recepção, elegante</v>
      </c>
      <c r="B56908" s="3">
        <v>1</v>
      </c>
    </row>
    <row r="56909" ht="15.75" customHeight="1" spans="1:2">
      <c r="A56909" s="3" t="str">
        <f>IFERROR(__xludf.DUMMYFUNCTION("GOOGLETRANSLATE(A56909,""en"",""pt"")"),"Pequenos, duráveis, muitos recursos")</f>
        <v>Pequenos, duráveis, muitos recursos</v>
      </c>
      <c r="B56909" s="3">
        <v>1</v>
      </c>
    </row>
    <row r="56910" ht="15.75" customHeight="1" spans="1:2">
      <c r="A56910" s="3" t="str">
        <f>IFERROR(__xludf.DUMMYFUNCTION("GOOGLETRANSLATE(A56910,""en"",""pt"")"),"clareza da fala. Grande exibição. Excelente backlight. Discagem por voz. Conectividade.")</f>
        <v>clareza da fala. Grande exibição. Excelente backlight. Discagem por voz. Conectividade.</v>
      </c>
      <c r="B56910" s="3">
        <v>1</v>
      </c>
    </row>
    <row r="56911" ht="15.75" customHeight="1" spans="1:2">
      <c r="A56911" s="3" t="str">
        <f>IFERROR(__xludf.DUMMYFUNCTION("GOOGLETRANSLATE(A56911,""en"",""pt"")"),"Pequeno &amp; # 13; &amp; # 10; exibição agradável")</f>
        <v>Pequeno &amp; # 13; &amp; # 10; exibição agradável</v>
      </c>
      <c r="B56911" s="3">
        <v>1</v>
      </c>
    </row>
    <row r="56912" ht="15.75" customHeight="1" spans="1:2">
      <c r="A56912" s="3" t="str">
        <f>IFERROR(__xludf.DUMMYFUNCTION("GOOGLETRANSLATE(A56912,""en"",""pt"")"),"tamanho pequeno")</f>
        <v>tamanho pequeno</v>
      </c>
      <c r="B56912" s="3">
        <v>1</v>
      </c>
    </row>
    <row r="56913" ht="15.75" customHeight="1" spans="1:2">
      <c r="A56913" s="3" t="str">
        <f>IFERROR(__xludf.DUMMYFUNCTION("GOOGLETRANSLATE(A56913,""en"",""pt"")"),"Compacto, LCD externo")</f>
        <v>Compacto, LCD externo</v>
      </c>
      <c r="B56913" s="3">
        <v>1</v>
      </c>
    </row>
    <row r="56914" ht="15.75" customHeight="1" spans="1:2">
      <c r="A56914" s="3" t="str">
        <f>IFERROR(__xludf.DUMMYFUNCTION("GOOGLETRANSLATE(A56914,""en"",""pt"")"),"Pequeno, wearable cinto, boa recepção, software bom, modo de vibração, 'fora' levou.")</f>
        <v>Pequeno, wearable cinto, boa recepção, software bom, modo de vibração, 'fora' levou.</v>
      </c>
      <c r="B56914" s="3">
        <v>1</v>
      </c>
    </row>
    <row r="56915" ht="15.75" customHeight="1" spans="1:2">
      <c r="A56915" s="3" t="str">
        <f>IFERROR(__xludf.DUMMYFUNCTION("GOOGLETRANSLATE(A56915,""en"",""pt"")"),"Design elegante, teclas grandes para um pequeno telefone, de baixo custo em comparação com modelos comparáveis")</f>
        <v>Design elegante, teclas grandes para um pequeno telefone, de baixo custo em comparação com modelos comparáveis</v>
      </c>
      <c r="B56915" s="3">
        <v>1</v>
      </c>
    </row>
    <row r="56916" ht="15.75" customHeight="1" spans="1:2">
      <c r="A56916" s="3" t="str">
        <f>IFERROR(__xludf.DUMMYFUNCTION("GOOGLETRANSLATE(A56916,""en"",""pt"")"),"display LCD exterior, design confortável e compacto, Tri-Mode, discagem por voz")</f>
        <v>display LCD exterior, design confortável e compacto, Tri-Mode, discagem por voz</v>
      </c>
      <c r="B56916" s="3">
        <v>1</v>
      </c>
    </row>
    <row r="56917" ht="15.75" customHeight="1" spans="1:2">
      <c r="A56917" s="3" t="str">
        <f>IFERROR(__xludf.DUMMYFUNCTION("GOOGLETRANSLATE(A56917,""en"",""pt"")"),"Ótimo telefone pouco com muito mais recursos, em seguida, outros telefones com a Verizon.")</f>
        <v>Ótimo telefone pouco com muito mais recursos, em seguida, outros telefones com a Verizon.</v>
      </c>
      <c r="B56917" s="3">
        <v>1</v>
      </c>
    </row>
    <row r="56918" ht="15.75" customHeight="1" spans="1:2">
      <c r="A56918" s="3" t="str">
        <f>IFERROR(__xludf.DUMMYFUNCTION("GOOGLETRANSLATE(A56918,""en"",""pt"")"),"Afiada telefone tri-mode compacto carregado com guloseimas.")</f>
        <v>Afiada telefone tri-mode compacto carregado com guloseimas.</v>
      </c>
      <c r="B56918" s="3">
        <v>1</v>
      </c>
    </row>
    <row r="56919" ht="15.75" customHeight="1" spans="1:2">
      <c r="A56919" s="3" t="str">
        <f>IFERROR(__xludf.DUMMYFUNCTION("GOOGLETRANSLATE(A56919,""en"",""pt"")"),"Tamanho; Qualidade de som; Caller ID display externo; Trimode; Aparência")</f>
        <v>Tamanho; Qualidade de som; Caller ID display externo; Trimode; Aparência</v>
      </c>
      <c r="B56919" s="3">
        <v>1</v>
      </c>
    </row>
    <row r="56920" ht="15.75" customHeight="1" spans="1:2">
      <c r="A56920" s="3" t="str">
        <f>IFERROR(__xludf.DUMMYFUNCTION("GOOGLETRANSLATE(A56920,""en"",""pt"")"),"tamanho, clareza, lcd externo, mensagens de texto, modo de vibração, preço")</f>
        <v>tamanho, clareza, lcd externo, mensagens de texto, modo de vibração, preço</v>
      </c>
      <c r="B56920" s="3">
        <v>1</v>
      </c>
    </row>
    <row r="56921" ht="15.75" customHeight="1" spans="1:2">
      <c r="A56921" s="3" t="str">
        <f>IFERROR(__xludf.DUMMYFUNCTION("GOOGLETRANSLATE(A56921,""en"",""pt"")"),"clareza da fala. Grande exibição. Excelente backlight. Discagem por voz. Conectividade.")</f>
        <v>clareza da fala. Grande exibição. Excelente backlight. Discagem por voz. Conectividade.</v>
      </c>
      <c r="B56921" s="3">
        <v>1</v>
      </c>
    </row>
    <row r="56922" ht="15.75" customHeight="1" spans="1:2">
      <c r="A56922" s="3" t="str">
        <f>IFERROR(__xludf.DUMMYFUNCTION("GOOGLETRANSLATE(A56922,""en"",""pt"")"),"Tamanho, qualidade de som")</f>
        <v>Tamanho, qualidade de som</v>
      </c>
      <c r="B56922" s="3">
        <v>1</v>
      </c>
    </row>
    <row r="56923" ht="15.75" customHeight="1" spans="1:2">
      <c r="A56923" s="3" t="str">
        <f>IFERROR(__xludf.DUMMYFUNCTION("GOOGLETRANSLATE(A56923,""en"",""pt"")"),"Tamanho, preço, discagem por voz")</f>
        <v>Tamanho, preço, discagem por voz</v>
      </c>
      <c r="B56923" s="3">
        <v>1</v>
      </c>
    </row>
    <row r="56924" ht="15.75" customHeight="1" spans="1:2">
      <c r="A56924" s="3" t="str">
        <f>IFERROR(__xludf.DUMMYFUNCTION("GOOGLETRANSLATE(A56924,""en"",""pt"")"),"exibição fora, grande display interno,, tri-mode elegante")</f>
        <v>exibição fora, grande display interno,, tri-mode elegante</v>
      </c>
      <c r="B56924" s="3">
        <v>1</v>
      </c>
    </row>
    <row r="56925" ht="15.75" customHeight="1" spans="1:2">
      <c r="A56925" s="3" t="str">
        <f>IFERROR(__xludf.DUMMYFUNCTION("GOOGLETRANSLATE(A56925,""en"",""pt"")"),"discagem por voz, atendedor de chamadas, agenda, pequeno, e-mail de envio / recepção, altamente visível dia e noite, tri-mode, boa claridade")</f>
        <v>discagem por voz, atendedor de chamadas, agenda, pequeno, e-mail de envio / recepção, altamente visível dia e noite, tri-mode, boa claridade</v>
      </c>
      <c r="B56925" s="3">
        <v>1</v>
      </c>
    </row>
    <row r="56926" ht="15.75" customHeight="1" spans="1:2">
      <c r="A56926" s="3" t="str">
        <f>IFERROR(__xludf.DUMMYFUNCTION("GOOGLETRANSLATE(A56926,""en"",""pt"")"),"Excelente recepção, retroiluminado display LCD, o modo de vibração")</f>
        <v>Excelente recepção, retroiluminado display LCD, o modo de vibração</v>
      </c>
      <c r="B56926" s="3">
        <v>1</v>
      </c>
    </row>
    <row r="56927" ht="15.75" customHeight="1" spans="1:2">
      <c r="A56927" s="3" t="s">
        <v>306</v>
      </c>
      <c r="B56927" s="3">
        <v>1</v>
      </c>
    </row>
    <row r="56928" ht="15.75" customHeight="1" spans="1:2">
      <c r="A56928" s="3" t="str">
        <f>IFERROR(__xludf.DUMMYFUNCTION("GOOGLETRANSLATE(A56928,""en"",""pt"")"),"Externa Caller ID, discagem por voz, Modo Manner")</f>
        <v>Externa Caller ID, discagem por voz, Modo Manner</v>
      </c>
      <c r="B56928" s="3">
        <v>1</v>
      </c>
    </row>
    <row r="56929" ht="15.75" customHeight="1" spans="1:2">
      <c r="A56929" s="3" t="str">
        <f>IFERROR(__xludf.DUMMYFUNCTION("GOOGLETRANSLATE(A56929,""en"",""pt"")"),"Pequeno, se encaixa de qualquer maneira, fácil de ouvir, tela LCD externa, muitas opções")</f>
        <v>Pequeno, se encaixa de qualquer maneira, fácil de ouvir, tela LCD externa, muitas opções</v>
      </c>
      <c r="B56929" s="3">
        <v>1</v>
      </c>
    </row>
    <row r="56930" ht="15.75" customHeight="1" spans="1:2">
      <c r="A56930" s="3" t="str">
        <f>IFERROR(__xludf.DUMMYFUNCTION("GOOGLETRANSLATE(A56930,""en"",""pt"")"),"O tamanho pequeno, grandes recursos, de boa qualidade")</f>
        <v>O tamanho pequeno, grandes recursos, de boa qualidade</v>
      </c>
      <c r="B56930" s="3">
        <v>1</v>
      </c>
    </row>
    <row r="56931" ht="15.75" customHeight="1" spans="1:2">
      <c r="A56931" s="3" t="str">
        <f>IFERROR(__xludf.DUMMYFUNCTION("GOOGLETRANSLATE(A56931,""en"",""pt"")"),"Compacta, durável para o tamanho, grande recepção.")</f>
        <v>Compacta, durável para o tamanho, grande recepção.</v>
      </c>
      <c r="B56931" s="3">
        <v>1</v>
      </c>
    </row>
    <row r="56932" ht="15.75" customHeight="1" spans="1:2">
      <c r="A56932" s="3" t="str">
        <f>IFERROR(__xludf.DUMMYFUNCTION("GOOGLETRANSLATE(A56932,""en"",""pt"")"),"Pequeno. tela LCD externa. Reconhecimento de voz. Grande tela LCD dentro. robusto")</f>
        <v>Pequeno. tela LCD externa. Reconhecimento de voz. Grande tela LCD dentro. robusto</v>
      </c>
      <c r="B56932" s="3">
        <v>1</v>
      </c>
    </row>
    <row r="56933" ht="15.75" customHeight="1" spans="1:2">
      <c r="A56933" s="3" t="str">
        <f>IFERROR(__xludf.DUMMYFUNCTION("GOOGLETRANSLATE(A56933,""en"",""pt"")"),"O tamanho pequeno, design flip, discagem ativada por voz")</f>
        <v>O tamanho pequeno, design flip, discagem ativada por voz</v>
      </c>
      <c r="B56933" s="3">
        <v>1</v>
      </c>
    </row>
    <row r="56934" ht="15.75" customHeight="1" spans="1:2">
      <c r="A56934" s="3" t="str">
        <f>IFERROR(__xludf.DUMMYFUNCTION("GOOGLETRANSLATE(A56934,""en"",""pt"")"),"pequeno, identificador de chamadas no exterior do telefone, tri-mode")</f>
        <v>pequeno, identificador de chamadas no exterior do telefone, tri-mode</v>
      </c>
      <c r="B56934" s="3">
        <v>1</v>
      </c>
    </row>
    <row r="56935" ht="15.75" customHeight="1" spans="1:2">
      <c r="A56935" s="3" t="str">
        <f>IFERROR(__xludf.DUMMYFUNCTION("GOOGLETRANSLATE(A56935,""en"",""pt"")"),"muito pequeno")</f>
        <v>muito pequeno</v>
      </c>
      <c r="B56935" s="3">
        <v>1</v>
      </c>
    </row>
    <row r="56936" ht="15.75" customHeight="1" spans="1:2">
      <c r="A56936" s="3" t="str">
        <f>IFERROR(__xludf.DUMMYFUNCTION("GOOGLETRANSLATE(A56936,""en"",""pt"")"),"Ultra-compacto, cargas de recursos interessantes")</f>
        <v>Ultra-compacto, cargas de recursos interessantes</v>
      </c>
      <c r="B56936" s="3">
        <v>1</v>
      </c>
    </row>
    <row r="56937" ht="15.75" customHeight="1" spans="1:2">
      <c r="A56937" s="3" t="str">
        <f>IFERROR(__xludf.DUMMYFUNCTION("GOOGLETRANSLATE(A56937,""en"",""pt"")"),"ecrã LCD externo, espaço livro 199 telefone")</f>
        <v>ecrã LCD externo, espaço livro 199 telefone</v>
      </c>
      <c r="B56937" s="3">
        <v>1</v>
      </c>
    </row>
    <row r="56938" ht="15.75" customHeight="1" spans="1:2">
      <c r="A56938" s="3" t="str">
        <f>IFERROR(__xludf.DUMMYFUNCTION("GOOGLETRANSLATE(A56938,""en"",""pt"")"),"Pequeno, mas muito resistente; Grande sensação para os botões; discagem por voz incrível")</f>
        <v>Pequeno, mas muito resistente; Grande sensação para os botões; discagem por voz incrível</v>
      </c>
      <c r="B56938" s="3">
        <v>1</v>
      </c>
    </row>
    <row r="56939" ht="15.75" customHeight="1" spans="1:2">
      <c r="A56939" s="3" t="str">
        <f>IFERROR(__xludf.DUMMYFUNCTION("GOOGLETRANSLATE(A56939,""en"",""pt"")"),"Muito pequenas, muitas feautures, monitor externo de identificador de chamadas")</f>
        <v>Muito pequenas, muitas feautures, monitor externo de identificador de chamadas</v>
      </c>
      <c r="B56939" s="3">
        <v>1</v>
      </c>
    </row>
    <row r="56940" ht="15.75" customHeight="1" spans="1:2">
      <c r="A56940" s="3" t="str">
        <f>IFERROR(__xludf.DUMMYFUNCTION("GOOGLETRANSLATE(A56940,""en"",""pt"")"),"muito boa aparência")</f>
        <v>muito boa aparência</v>
      </c>
      <c r="B56940" s="3">
        <v>1</v>
      </c>
    </row>
    <row r="56941" ht="15.75" customHeight="1" spans="1:2">
      <c r="A56941" s="3" t="str">
        <f>IFERROR(__xludf.DUMMYFUNCTION("GOOGLETRANSLATE(A56941,""en"",""pt"")"),"Boa intensidade do sinal, ativação de voz, tamanho pequeno.")</f>
        <v>Boa intensidade do sinal, ativação de voz, tamanho pequeno.</v>
      </c>
      <c r="B56941" s="3">
        <v>1</v>
      </c>
    </row>
    <row r="56942" ht="15.75" customHeight="1" spans="1:2">
      <c r="A56942" s="3" t="str">
        <f>IFERROR(__xludf.DUMMYFUNCTION("GOOGLETRANSLATE(A56942,""en"",""pt"")"),"qualidade de construção, tamanho, discagem por voz")</f>
        <v>qualidade de construção, tamanho, discagem por voz</v>
      </c>
      <c r="B56942" s="3">
        <v>1</v>
      </c>
    </row>
    <row r="56943" ht="15.75" customHeight="1" spans="1:2">
      <c r="A56943" s="3" t="str">
        <f>IFERROR(__xludf.DUMMYFUNCTION("GOOGLETRANSLATE(A56943,""en"",""pt"")"),"resistente, boa qualidade de áudio")</f>
        <v>resistente, boa qualidade de áudio</v>
      </c>
      <c r="B56943" s="3">
        <v>1</v>
      </c>
    </row>
    <row r="56944" ht="15.75" customHeight="1" spans="1:2">
      <c r="A56944" s="3" t="str">
        <f>IFERROR(__xludf.DUMMYFUNCTION("GOOGLETRANSLATE(A56944,""en"",""pt"")"),"bom tamanho, excelente recepção, discagem por voz")</f>
        <v>bom tamanho, excelente recepção, discagem por voz</v>
      </c>
      <c r="B56944" s="3">
        <v>1</v>
      </c>
    </row>
    <row r="56945" ht="15.75" customHeight="1" spans="1:2">
      <c r="A56945" s="3" t="str">
        <f>IFERROR(__xludf.DUMMYFUNCTION("GOOGLETRANSLATE(A56945,""en"",""pt"")"),"Tamanho, design clamshell, coldre")</f>
        <v>Tamanho, design clamshell, coldre</v>
      </c>
      <c r="B56945" s="3">
        <v>1</v>
      </c>
    </row>
    <row r="56946" ht="15.75" customHeight="1" spans="1:2">
      <c r="A56946" s="3" t="str">
        <f>IFERROR(__xludf.DUMMYFUNCTION("GOOGLETRANSLATE(A56946,""en"",""pt"")"),"boas opções,, grande autonomia da bateria pequena")</f>
        <v>boas opções,, grande autonomia da bateria pequena</v>
      </c>
      <c r="B56946" s="3">
        <v>1</v>
      </c>
    </row>
    <row r="56947" ht="15.75" customHeight="1" spans="1:2">
      <c r="A56947" s="3" t="str">
        <f>IFERROR(__xludf.DUMMYFUNCTION("GOOGLETRANSLATE(A56947,""en"",""pt"")"),"Pequeno, compacto, fácil de transportar, e boa procura telefone.")</f>
        <v>Pequeno, compacto, fácil de transportar, e boa procura telefone.</v>
      </c>
      <c r="B56947" s="3">
        <v>1</v>
      </c>
    </row>
    <row r="56948" ht="15.75" customHeight="1" spans="1:2">
      <c r="A56948" s="3" t="str">
        <f>IFERROR(__xludf.DUMMYFUNCTION("GOOGLETRANSLATE(A56948,""en"",""pt"")"),"Grande força do sinal, grande ajuda, menu fácil de usar, anéis diversão, diversão aleta, discagem por voz.")</f>
        <v>Grande força do sinal, grande ajuda, menu fácil de usar, anéis diversão, diversão aleta, discagem por voz.</v>
      </c>
      <c r="B56948" s="3">
        <v>1</v>
      </c>
    </row>
    <row r="56949" ht="15.75" customHeight="1" spans="1:2">
      <c r="A56949" s="3" t="str">
        <f>IFERROR(__xludf.DUMMYFUNCTION("GOOGLETRANSLATE(A56949,""en"",""pt"")"),"Pequeno, grande recepção, tela ID exterior, alerta variável vibrar &amp; # 13; &amp; # 10;")</f>
        <v>Pequeno, grande recepção, tela ID exterior, alerta variável vibrar &amp; # 13; &amp; # 10;</v>
      </c>
      <c r="B56949" s="3">
        <v>1</v>
      </c>
    </row>
    <row r="56950" ht="15.75" customHeight="1" spans="1:2">
      <c r="A56950" s="3" t="str">
        <f>IFERROR(__xludf.DUMMYFUNCTION("GOOGLETRANSLATE(A56950,""en"",""pt"")"),"Pequeno, linhas 5 de texto para web, bem construído, de baixo custo, vida útil da bateria decente, grande valor completo.")</f>
        <v>Pequeno, linhas 5 de texto para web, bem construído, de baixo custo, vida útil da bateria decente, grande valor completo.</v>
      </c>
      <c r="B56950" s="3">
        <v>1</v>
      </c>
    </row>
    <row r="56951" ht="15.75" customHeight="1" spans="1:2">
      <c r="A56951" s="3" t="str">
        <f>IFERROR(__xludf.DUMMYFUNCTION("GOOGLETRANSLATE(A56951,""en"",""pt"")"),"A próxima geração, todas as características, preço bom")</f>
        <v>A próxima geração, todas as características, preço bom</v>
      </c>
      <c r="B56951" s="3">
        <v>1</v>
      </c>
    </row>
    <row r="56952" ht="15.75" customHeight="1" spans="1:2">
      <c r="A56952" s="3" t="str">
        <f>IFERROR(__xludf.DUMMYFUNCTION("GOOGLETRANSLATE(A56952,""en"",""pt"")"),"Robusto e completo")</f>
        <v>Robusto e completo</v>
      </c>
      <c r="B56952" s="3">
        <v>1</v>
      </c>
    </row>
    <row r="56953" ht="15.75" customHeight="1" spans="1:2">
      <c r="A56953" s="3" t="str">
        <f>IFERROR(__xludf.DUMMYFUNCTION("GOOGLETRANSLATE(A56953,""en"",""pt"")"),"2 Way SMS, tamanho, discagem por voz, calendário, calculadora - muitos prós")</f>
        <v>2 Way SMS, tamanho, discagem por voz, calendário, calculadora - muitos prós</v>
      </c>
      <c r="B56953" s="3">
        <v>1</v>
      </c>
    </row>
    <row r="56954" ht="15.75" customHeight="1" spans="1:2">
      <c r="A56954" s="3" t="str">
        <f>IFERROR(__xludf.DUMMYFUNCTION("GOOGLETRANSLATE(A56954,""en"",""pt"")"),"É olhar bonito e é pequeno o suficiente para caber na minha bolsa.")</f>
        <v>É olhar bonito e é pequeno o suficiente para caber na minha bolsa.</v>
      </c>
      <c r="B56954" s="3">
        <v>1</v>
      </c>
    </row>
    <row r="56955" ht="15.75" customHeight="1" spans="1:2">
      <c r="A56955" s="3" t="str">
        <f>IFERROR(__xludf.DUMMYFUNCTION("GOOGLETRANSLATE(A56955,""en"",""pt"")"),"Painel frontal LCD, ""sentir a mão"", tela grande")</f>
        <v>Painel frontal LCD, "sentir a mão", tela grande</v>
      </c>
      <c r="B56955" s="3">
        <v>1</v>
      </c>
    </row>
    <row r="56956" ht="15.75" customHeight="1" spans="1:2">
      <c r="A56956" s="3" t="str">
        <f>IFERROR(__xludf.DUMMYFUNCTION("GOOGLETRANSLATE(A56956,""en"",""pt"")"),"LCD na frente &amp; # 13; &amp; # 10; Very small &amp; # 13; &amp; # 10; muitos recursos")</f>
        <v>LCD na frente &amp; # 13; &amp; # 10; Very small &amp; # 13; &amp; # 10; muitos recursos</v>
      </c>
      <c r="B56956" s="3">
        <v>1</v>
      </c>
    </row>
    <row r="56957" ht="15.75" customHeight="1" spans="1:2">
      <c r="A56957" s="3" t="str">
        <f>IFERROR(__xludf.DUMMYFUNCTION("GOOGLETRANSLATE(A56957,""en"",""pt"")"),"Equipado com recursos a um custo menor do que o Motorola")</f>
        <v>Equipado com recursos a um custo menor do que o Motorola</v>
      </c>
      <c r="B56957" s="3">
        <v>1</v>
      </c>
    </row>
    <row r="56958" ht="15.75" customHeight="1" spans="1:2">
      <c r="A56958" s="3" t="str">
        <f>IFERROR(__xludf.DUMMYFUNCTION("GOOGLETRANSLATE(A56958,""en"",""pt"")"),"Tamanho, grande recepção, aparência, ecrã LCD exterior, azul tela LCD dentro, alerta vibratório")</f>
        <v>Tamanho, grande recepção, aparência, ecrã LCD exterior, azul tela LCD dentro, alerta vibratório</v>
      </c>
      <c r="B56958" s="3">
        <v>1</v>
      </c>
    </row>
    <row r="56959" ht="15.75" customHeight="1" spans="1:2">
      <c r="A56959" s="3" t="str">
        <f>IFERROR(__xludf.DUMMYFUNCTION("GOOGLETRANSLATE(A56959,""en"",""pt"")"),"Boa telefone quando ele não quebrado.")</f>
        <v>Boa telefone quando ele não quebrado.</v>
      </c>
      <c r="B56959" s="3">
        <v>1</v>
      </c>
    </row>
    <row r="56960" ht="15.75" customHeight="1" spans="1:2">
      <c r="A56960" s="3" t="str">
        <f>IFERROR(__xludf.DUMMYFUNCTION("GOOGLETRANSLATE(A56960,""en"",""pt"")"),"Verizon Telefone primeira realmente elegante, tamanho grande, discagem ativada por voz, opções de vibração e anel")</f>
        <v>Verizon Telefone primeira realmente elegante, tamanho grande, discagem ativada por voz, opções de vibração e anel</v>
      </c>
      <c r="B56960" s="3">
        <v>1</v>
      </c>
    </row>
    <row r="56961" ht="15.75" customHeight="1" spans="1:2">
      <c r="A56961" s="3" t="str">
        <f>IFERROR(__xludf.DUMMYFUNCTION("GOOGLETRANSLATE(A56961,""en"",""pt"")"),"Pequeno, eu gosto disso")</f>
        <v>Pequeno, eu gosto disso</v>
      </c>
      <c r="B56961" s="3">
        <v>1</v>
      </c>
    </row>
    <row r="56962" ht="15.75" customHeight="1" spans="1:2">
      <c r="A56962" s="3" t="str">
        <f>IFERROR(__xludf.DUMMYFUNCTION("GOOGLETRANSLATE(A56962,""en"",""pt"")"),"Fino e compacto, exibição fora")</f>
        <v>Fino e compacto, exibição fora</v>
      </c>
      <c r="B56962" s="3">
        <v>1</v>
      </c>
    </row>
    <row r="56963" ht="15.75" customHeight="1" spans="1:2">
      <c r="A56963" s="3" t="str">
        <f>IFERROR(__xludf.DUMMYFUNCTION("GOOGLETRANSLATE(A56963,""en"",""pt"")"),"estilo Flip, ativação por voz")</f>
        <v>estilo Flip, ativação por voz</v>
      </c>
      <c r="B56963" s="3">
        <v>1</v>
      </c>
    </row>
    <row r="56964" ht="15.75" customHeight="1" spans="1:2">
      <c r="A56964" s="3" t="str">
        <f>IFERROR(__xludf.DUMMYFUNCTION("GOOGLETRANSLATE(A56964,""en"",""pt"")"),"Tamanho, preço, duração da bateria, Estilo")</f>
        <v>Tamanho, preço, duração da bateria, Estilo</v>
      </c>
      <c r="B56964" s="3">
        <v>1</v>
      </c>
    </row>
    <row r="56965" ht="15.75" customHeight="1" spans="1:2">
      <c r="A56965" s="3" t="str">
        <f>IFERROR(__xludf.DUMMYFUNCTION("GOOGLETRANSLATE(A56965,""en"",""pt"")"),"pequeno tamanho, LCD externo w ID / chamador, em dois sentidos SMS, discagem por voz, resistente")</f>
        <v>pequeno tamanho, LCD externo w ID / chamador, em dois sentidos SMS, discagem por voz, resistente</v>
      </c>
      <c r="B56965" s="3">
        <v>1</v>
      </c>
    </row>
    <row r="56966" ht="15.75" customHeight="1" spans="1:2">
      <c r="A56966" s="3" t="s">
        <v>307</v>
      </c>
      <c r="B56966" s="3">
        <v>1</v>
      </c>
    </row>
    <row r="56967" ht="15.75" customHeight="1" spans="1:2">
      <c r="A56967" s="3" t="str">
        <f>IFERROR(__xludf.DUMMYFUNCTION("GOOGLETRANSLATE(A56967,""en"",""pt"")"),"Pequeno, Elegante, Features, Display, Fora Caso Caller ID, Recepção impressionante")</f>
        <v>Pequeno, Elegante, Features, Display, Fora Caso Caller ID, Recepção impressionante</v>
      </c>
      <c r="B56967" s="3">
        <v>1</v>
      </c>
    </row>
    <row r="56968" ht="15.75" customHeight="1" spans="1:2">
      <c r="A56968" s="3" t="str">
        <f>IFERROR(__xludf.DUMMYFUNCTION("GOOGLETRANSLATE(A56968,""en"",""pt"")"),"Lotes de recursos, Dual Display LCD, tamanho, Styling, Tri-Mode, discagem por voz")</f>
        <v>Lotes de recursos, Dual Display LCD, tamanho, Styling, Tri-Mode, discagem por voz</v>
      </c>
      <c r="B56968" s="3">
        <v>1</v>
      </c>
    </row>
    <row r="56969" ht="15.75" customHeight="1" spans="1:2">
      <c r="A56969" s="3" t="str">
        <f>IFERROR(__xludf.DUMMYFUNCTION("GOOGLETRANSLATE(A56969,""en"",""pt"")"),"exibição fora,, discagem por voz pequena, agradável luz de fundo azul, bom menu")</f>
        <v>exibição fora,, discagem por voz pequena, agradável luz de fundo azul, bom menu</v>
      </c>
      <c r="B56969" s="3">
        <v>1</v>
      </c>
    </row>
    <row r="56970" ht="15.75" customHeight="1" spans="1:2">
      <c r="A56970" s="3" t="str">
        <f>IFERROR(__xludf.DUMMYFUNCTION("GOOGLETRANSLATE(A56970,""en"",""pt"")"),"Leve e compacto")</f>
        <v>Leve e compacto</v>
      </c>
      <c r="B56970" s="3">
        <v>1</v>
      </c>
    </row>
    <row r="56971" ht="15.75" customHeight="1" spans="1:2">
      <c r="A56971" s="3" t="str">
        <f>IFERROR(__xludf.DUMMYFUNCTION("GOOGLETRANSLATE(A56971,""en"",""pt"")"),"pequeno tamanho, coloração prata, interface fácil de usar, excelente vida útil da bateria e tempos de carga curtos")</f>
        <v>pequeno tamanho, coloração prata, interface fácil de usar, excelente vida útil da bateria e tempos de carga curtos</v>
      </c>
      <c r="B56971" s="3">
        <v>1</v>
      </c>
    </row>
    <row r="56972" ht="15.75" customHeight="1" spans="1:2">
      <c r="A56972" s="3" t="str">
        <f>IFERROR(__xludf.DUMMYFUNCTION("GOOGLETRANSLATE(A56972,""en"",""pt"")"),"pequeno, compacto, bonito, durável, botões programáveis")</f>
        <v>pequeno, compacto, bonito, durável, botões programáveis</v>
      </c>
      <c r="B56972" s="3">
        <v>1</v>
      </c>
    </row>
    <row r="56973" ht="15.75" customHeight="1" spans="1:2">
      <c r="A56973" s="3" t="str">
        <f>IFERROR(__xludf.DUMMYFUNCTION("GOOGLETRANSLATE(A56973,""en"",""pt"")"),"COMPACT, leve, forte intensidade do sinal, discagem ativada por voz")</f>
        <v>COMPACT, leve, forte intensidade do sinal, discagem ativada por voz</v>
      </c>
      <c r="B56973" s="3">
        <v>1</v>
      </c>
    </row>
    <row r="56974" ht="15.75" customHeight="1" spans="1:2">
      <c r="A56974" s="3" t="str">
        <f>IFERROR(__xludf.DUMMYFUNCTION("GOOGLETRANSLATE(A56974,""en"",""pt"")"),"Elegante, razoável quantidade de recursos, Melody Composer, One Touch Internet, Luz, de grande qualidade, conexão para computador")</f>
        <v>Elegante, razoável quantidade de recursos, Melody Composer, One Touch Internet, Luz, de grande qualidade, conexão para computador</v>
      </c>
      <c r="B56974" s="3">
        <v>1</v>
      </c>
    </row>
    <row r="56975" ht="15.75" customHeight="1" spans="1:2">
      <c r="A56975" s="3" t="str">
        <f>IFERROR(__xludf.DUMMYFUNCTION("GOOGLETRANSLATE(A56975,""en"",""pt"")"),"Grande display; vida útil da bateria decente; funciona em redes de dados GPRS; toques descarregáveis.")</f>
        <v>Grande display; vida útil da bateria decente; funciona em redes de dados GPRS; toques descarregáveis.</v>
      </c>
      <c r="B56975" s="3">
        <v>1</v>
      </c>
    </row>
    <row r="56976" ht="15.75" customHeight="1" spans="1:2">
      <c r="A56976" s="3" t="str">
        <f>IFERROR(__xludf.DUMMYFUNCTION("GOOGLETRANSLATE(A56976,""en"",""pt"")"),"Som claro, bateria de longa duração, simples de usar, tamanho pequeno")</f>
        <v>Som claro, bateria de longa duração, simples de usar, tamanho pequeno</v>
      </c>
      <c r="B56976" s="3">
        <v>1</v>
      </c>
    </row>
    <row r="56977" ht="15.75" customHeight="1" spans="1:2">
      <c r="A56977" s="3" t="str">
        <f>IFERROR(__xludf.DUMMYFUNCTION("GOOGLETRANSLATE(A56977,""en"",""pt"")"),"Pequeno, durável, fácil de personalizar, fácil de operar")</f>
        <v>Pequeno, durável, fácil de personalizar, fácil de operar</v>
      </c>
      <c r="B56977" s="3">
        <v>1</v>
      </c>
    </row>
    <row r="56978" ht="15.75" customHeight="1" spans="1:2">
      <c r="A56978" s="3" t="str">
        <f>IFERROR(__xludf.DUMMYFUNCTION("GOOGLETRANSLATE(A56978,""en"",""pt"")"),"pequeno, grande recepção, viva!")</f>
        <v>pequeno, grande recepção, viva!</v>
      </c>
      <c r="B56978" s="3">
        <v>1</v>
      </c>
    </row>
    <row r="56979" ht="15.75" customHeight="1" spans="1:2">
      <c r="A56979" s="3" t="str">
        <f>IFERROR(__xludf.DUMMYFUNCTION("GOOGLETRANSLATE(A56979,""en"",""pt"")"),"Muito pequeno e leve, fácil de ler chaves, excelente recepção, viva-voz")</f>
        <v>Muito pequeno e leve, fácil de ler chaves, excelente recepção, viva-voz</v>
      </c>
      <c r="B56979" s="3">
        <v>1</v>
      </c>
    </row>
    <row r="56980" ht="15.75" customHeight="1" spans="1:2">
      <c r="A56980" s="3" t="str">
        <f>IFERROR(__xludf.DUMMYFUNCTION("GOOGLETRANSLATE(A56980,""en"",""pt"")"),"Pequeno, viva-voz puro, agradável ringtones, boa recepção")</f>
        <v>Pequeno, viva-voz puro, agradável ringtones, boa recepção</v>
      </c>
      <c r="B56980" s="3">
        <v>1</v>
      </c>
    </row>
    <row r="56981" ht="15.75" customHeight="1" spans="1:2">
      <c r="A56981" s="3" t="str">
        <f>IFERROR(__xludf.DUMMYFUNCTION("GOOGLETRANSLATE(A56981,""en"",""pt"")"),"footprint pequeno, alto-falante embutido, GPRS, toques polifônicos, fácil de ver a tela, Java, bateria de longa duração")</f>
        <v>footprint pequeno, alto-falante embutido, GPRS, toques polifônicos, fácil de ver a tela, Java, bateria de longa duração</v>
      </c>
      <c r="B56981" s="3">
        <v>1</v>
      </c>
    </row>
    <row r="56982" ht="15.75" customHeight="1" spans="1:2">
      <c r="A56982" s="3" t="str">
        <f>IFERROR(__xludf.DUMMYFUNCTION("GOOGLETRANSLATE(A56982,""en"",""pt"")"),",, Som claro leve e portátil")</f>
        <v>,, Som claro leve e portátil</v>
      </c>
      <c r="B56982" s="3">
        <v>1</v>
      </c>
    </row>
    <row r="56983" ht="15.75" customHeight="1" spans="1:2">
      <c r="A56983" s="3" t="str">
        <f>IFERROR(__xludf.DUMMYFUNCTION("GOOGLETRANSLATE(A56983,""en"",""pt"")"),"Tamanho compacto, viva-voz.")</f>
        <v>Tamanho compacto, viva-voz.</v>
      </c>
      <c r="B56983" s="3">
        <v>1</v>
      </c>
    </row>
    <row r="56984" ht="15.75" customHeight="1" spans="1:2">
      <c r="A56984" s="3" t="str">
        <f>IFERROR(__xludf.DUMMYFUNCTION("GOOGLETRANSLATE(A56984,""en"",""pt"")"),"pequeno,, tela de luz âmbar")</f>
        <v>pequeno,, tela de luz âmbar</v>
      </c>
      <c r="B56984" s="3">
        <v>1</v>
      </c>
    </row>
    <row r="56985" ht="15.75" customHeight="1" spans="1:2">
      <c r="A56985" s="3" t="str">
        <f>IFERROR(__xludf.DUMMYFUNCTION("GOOGLETRANSLATE(A56985,""en"",""pt"")"),"pequeno, fácil de usar")</f>
        <v>pequeno, fácil de usar</v>
      </c>
      <c r="B56985" s="3">
        <v>1</v>
      </c>
    </row>
    <row r="56986" ht="15.75" customHeight="1" spans="1:2">
      <c r="A56986" s="3" t="str">
        <f>IFERROR(__xludf.DUMMYFUNCTION("GOOGLETRANSLATE(A56986,""en"",""pt"")"),"Small Size, Projeto fresco.")</f>
        <v>Small Size, Projeto fresco.</v>
      </c>
      <c r="B56986" s="3">
        <v>1</v>
      </c>
    </row>
    <row r="56987" ht="15.75" customHeight="1" spans="1:2">
      <c r="A56987" s="3" t="str">
        <f>IFERROR(__xludf.DUMMYFUNCTION("GOOGLETRANSLATE(A56987,""en"",""pt"")"),"tamanho grande pequeno, fácil de usar.")</f>
        <v>tamanho grande pequeno, fácil de usar.</v>
      </c>
      <c r="B56987" s="3">
        <v>1</v>
      </c>
    </row>
    <row r="56988" ht="15.75" customHeight="1" spans="1:2">
      <c r="A56988" s="3" t="str">
        <f>IFERROR(__xludf.DUMMYFUNCTION("GOOGLETRANSLATE(A56988,""en"",""pt"")"),"Facilidade de uso, leve incrivelmente, comandos de voz que o trabalho, recepção excelente.")</f>
        <v>Facilidade de uso, leve incrivelmente, comandos de voz que o trabalho, recepção excelente.</v>
      </c>
      <c r="B56988" s="3">
        <v>1</v>
      </c>
    </row>
    <row r="56989" ht="15.75" customHeight="1" spans="1:2">
      <c r="A56989" s="3" t="str">
        <f>IFERROR(__xludf.DUMMYFUNCTION("GOOGLETRANSLATE(A56989,""en"",""pt"")"),"tela melhor, melhor voz, melhor bateria, gravação de voz")</f>
        <v>tela melhor, melhor voz, melhor bateria, gravação de voz</v>
      </c>
      <c r="B56989" s="3">
        <v>1</v>
      </c>
    </row>
    <row r="56990" ht="15.75" customHeight="1" spans="1:2">
      <c r="A56990" s="3" t="str">
        <f>IFERROR(__xludf.DUMMYFUNCTION("GOOGLETRANSLATE(A56990,""en"",""pt"")"),"Pequeno, elegante, Custo, Grande Agenda, repleto de Feature, Marca de Confiança")</f>
        <v>Pequeno, elegante, Custo, Grande Agenda, repleto de Feature, Marca de Confiança</v>
      </c>
      <c r="B56990" s="3">
        <v>1</v>
      </c>
    </row>
    <row r="56991" ht="15.75" customHeight="1" spans="1:2">
      <c r="A56991" s="3" t="str">
        <f>IFERROR(__xludf.DUMMYFUNCTION("GOOGLETRANSLATE(A56991,""en"",""pt"")"),"Leve, bateria de longa duração, excelente potência do sinal")</f>
        <v>Leve, bateria de longa duração, excelente potência do sinal</v>
      </c>
      <c r="B56991" s="3">
        <v>1</v>
      </c>
    </row>
    <row r="56992" ht="15.75" customHeight="1" spans="1:2">
      <c r="A56992" s="3" t="str">
        <f>IFERROR(__xludf.DUMMYFUNCTION("GOOGLETRANSLATE(A56992,""en"",""pt"")"),"bela aparência, conveniência de mensagens curtas, peso leve, anéis desejáveis ​​e preço não é caro")</f>
        <v>bela aparência, conveniência de mensagens curtas, peso leve, anéis desejáveis ​​e preço não é caro</v>
      </c>
      <c r="B56992" s="3">
        <v>1</v>
      </c>
    </row>
    <row r="56993" ht="15.75" customHeight="1" spans="1:2">
      <c r="A56993" s="3" t="str">
        <f>IFERROR(__xludf.DUMMYFUNCTION("GOOGLETRANSLATE(A56993,""en"",""pt"")"),"O peso leve, grande qualidade do sinal, toques impressionante, conector de fone de ouvido, conectividade PC, alto-falante")</f>
        <v>O peso leve, grande qualidade do sinal, toques impressionante, conector de fone de ouvido, conectividade PC, alto-falante</v>
      </c>
      <c r="B56993" s="3">
        <v>1</v>
      </c>
    </row>
    <row r="56994" ht="15.75" customHeight="1" spans="1:2">
      <c r="A56994" s="3" t="str">
        <f>IFERROR(__xludf.DUMMYFUNCTION("GOOGLETRANSLATE(A56994,""en"",""pt"")"),"Tri-modo, anéis normais")</f>
        <v>Tri-modo, anéis normais</v>
      </c>
      <c r="B56994" s="3">
        <v>1</v>
      </c>
    </row>
    <row r="56995" ht="15.75" customHeight="1" spans="1:2">
      <c r="A56995" s="3" t="str">
        <f>IFERROR(__xludf.DUMMYFUNCTION("GOOGLETRANSLATE(A56995,""en"",""pt"")"),"Muito leve, Kewl Características, telefone excelente ... Tudo superam os contras &amp; # 13; &amp; # 10;")</f>
        <v>Muito leve, Kewl Características, telefone excelente ... Tudo superam os contras &amp; # 13; &amp; # 10;</v>
      </c>
      <c r="B56995" s="3">
        <v>1</v>
      </c>
    </row>
    <row r="56996" ht="15.75" customHeight="1" spans="1:2">
      <c r="A56996" s="3" t="str">
        <f>IFERROR(__xludf.DUMMYFUNCTION("GOOGLETRANSLATE(A56996,""en"",""pt"")"),"Leve, sólida, ampla agenda, ativação de voz, tamanho pequeno, características puras (ver comentário)")</f>
        <v>Leve, sólida, ampla agenda, ativação de voz, tamanho pequeno, características puras (ver comentário)</v>
      </c>
      <c r="B56996" s="3">
        <v>1</v>
      </c>
    </row>
    <row r="56997" ht="15.75" customHeight="1" spans="1:2">
      <c r="A56997" s="3" t="str">
        <f>IFERROR(__xludf.DUMMYFUNCTION("GOOGLETRANSLATE(A56997,""en"",""pt"")"),"alguns recursos extras agradáveis, excelente recepção, agenda bem organizado, gravação de voz")</f>
        <v>alguns recursos extras agradáveis, excelente recepção, agenda bem organizado, gravação de voz</v>
      </c>
      <c r="B56997" s="3">
        <v>1</v>
      </c>
    </row>
    <row r="56998" ht="15.75" customHeight="1" spans="1:2">
      <c r="A56998" s="3" t="str">
        <f>IFERROR(__xludf.DUMMYFUNCTION("GOOGLETRANSLATE(A56998,""en"",""pt"")"),"Um som anel acutal, display decente, pequeno / leve, boa quantidade de recursos.")</f>
        <v>Um som anel acutal, display decente, pequeno / leve, boa quantidade de recursos.</v>
      </c>
      <c r="B56998" s="3">
        <v>1</v>
      </c>
    </row>
    <row r="56999" ht="15.75" customHeight="1" spans="1:2">
      <c r="A56999" s="3" t="str">
        <f>IFERROR(__xludf.DUMMYFUNCTION("GOOGLETRANSLATE(A56999,""en"",""pt"")"),"Tamanho e peso, duração da bateria, características frescas")</f>
        <v>Tamanho e peso, duração da bateria, características frescas</v>
      </c>
      <c r="B56999" s="3">
        <v>1</v>
      </c>
    </row>
    <row r="57000" ht="15.75" customHeight="1" spans="1:2">
      <c r="A57000" s="3" t="str">
        <f>IFERROR(__xludf.DUMMYFUNCTION("GOOGLETRANSLATE(A57000,""en"",""pt"")"),"veja http://www.epinions.com/content_48058371716&amp;#13;&amp;#10;")</f>
        <v>veja http://www.epinions.com/content_48058371716&amp;#13;&amp;#10;</v>
      </c>
      <c r="B57000" s="3">
        <v>1</v>
      </c>
    </row>
    <row r="57001" ht="15.75" customHeight="1" spans="1:2">
      <c r="A57001" s="3" t="str">
        <f>IFERROR(__xludf.DUMMYFUNCTION("GOOGLETRANSLATE(A57001,""en"",""pt"")"),"Pequeno, leve, muitos recursos")</f>
        <v>Pequeno, leve, muitos recursos</v>
      </c>
      <c r="B57001" s="3">
        <v>1</v>
      </c>
    </row>
    <row r="57002" ht="15.75" customHeight="1" spans="1:2">
      <c r="A57002" s="3" t="str">
        <f>IFERROR(__xludf.DUMMYFUNCTION("GOOGLETRANSLATE(A57002,""en"",""pt"")"),"elegantes e agradáveis ​​características, de fácil leitura de tela, configurações personalizadas")</f>
        <v>elegantes e agradáveis ​​características, de fácil leitura de tela, configurações personalizadas</v>
      </c>
      <c r="B57002" s="3">
        <v>1</v>
      </c>
    </row>
    <row r="57003" ht="15.75" customHeight="1" spans="1:2">
      <c r="A57003" s="3" t="str">
        <f>IFERROR(__xludf.DUMMYFUNCTION("GOOGLETRANSLATE(A57003,""en"",""pt"")"),"Um dos telefones mais leves no mercado hoje. Embalado com características. incluindo comandos de voz.")</f>
        <v>Um dos telefones mais leves no mercado hoje. Embalado com características. incluindo comandos de voz.</v>
      </c>
      <c r="B57003" s="3">
        <v>1</v>
      </c>
    </row>
    <row r="57004" ht="15.75" customHeight="1" spans="1:2">
      <c r="A57004" s="3" t="str">
        <f>IFERROR(__xludf.DUMMYFUNCTION("GOOGLETRANSLATE(A57004,""en"",""pt"")"),"agradável vida da bateria, elegante, leve")</f>
        <v>agradável vida da bateria, elegante, leve</v>
      </c>
      <c r="B57004" s="3">
        <v>1</v>
      </c>
    </row>
    <row r="57005" ht="15.75" customHeight="1" spans="1:2">
      <c r="A57005" s="3" t="str">
        <f>IFERROR(__xludf.DUMMYFUNCTION("GOOGLETRANSLATE(A57005,""en"",""pt"")"),"fino, leve, bom som, boa recepção, viva-voz, muito bem feito.")</f>
        <v>fino, leve, bom som, boa recepção, viva-voz, muito bem feito.</v>
      </c>
      <c r="B57005" s="3">
        <v>1</v>
      </c>
    </row>
    <row r="57006" ht="15.75" customHeight="1" spans="1:2">
      <c r="A57006" s="3" t="str">
        <f>IFERROR(__xludf.DUMMYFUNCTION("GOOGLETRANSLATE(A57006,""en"",""pt"")"),"elegante e leve, fácil de usar, gama completa de personalização")</f>
        <v>elegante e leve, fácil de usar, gama completa de personalização</v>
      </c>
      <c r="B57006" s="3">
        <v>1</v>
      </c>
    </row>
    <row r="57007" ht="15.75" customHeight="1" spans="1:2">
      <c r="A57007" s="3" t="str">
        <f>IFERROR(__xludf.DUMMYFUNCTION("GOOGLETRANSLATE(A57007,""en"",""pt"")"),"sinal impressionante, vida da bateria excepcional, peso leve, pequeno, &amp; fun fun fun")</f>
        <v>sinal impressionante, vida da bateria excepcional, peso leve, pequeno, &amp; fun fun fun</v>
      </c>
      <c r="B57007" s="3">
        <v>1</v>
      </c>
    </row>
    <row r="57008" ht="15.75" customHeight="1" spans="1:2">
      <c r="A57008" s="3" t="str">
        <f>IFERROR(__xludf.DUMMYFUNCTION("GOOGLETRANSLATE(A57008,""en"",""pt"")"),"Muitos recursos, fácil de usar, elegante")</f>
        <v>Muitos recursos, fácil de usar, elegante</v>
      </c>
      <c r="B57008" s="3">
        <v>1</v>
      </c>
    </row>
    <row r="57009" ht="15.75" customHeight="1" spans="1:2">
      <c r="A57009" s="3" t="str">
        <f>IFERROR(__xludf.DUMMYFUNCTION("GOOGLETRANSLATE(A57009,""en"",""pt"")"),"display multi cor, cheia de recursos, pequeno, leve e elegante, excelente sinal")</f>
        <v>display multi cor, cheia de recursos, pequeno, leve e elegante, excelente sinal</v>
      </c>
      <c r="B57009" s="3">
        <v>1</v>
      </c>
    </row>
    <row r="57010" ht="15.75" customHeight="1" spans="1:2">
      <c r="A57010" s="3" t="str">
        <f>IFERROR(__xludf.DUMMYFUNCTION("GOOGLETRANSLATE(A57010,""en"",""pt"")"),"Bom sinal, leve")</f>
        <v>Bom sinal, leve</v>
      </c>
      <c r="B57010" s="3">
        <v>1</v>
      </c>
    </row>
    <row r="57011" ht="15.75" customHeight="1" spans="1:2">
      <c r="A57011" s="3" t="str">
        <f>IFERROR(__xludf.DUMMYFUNCTION("GOOGLETRANSLATE(A57011,""en"",""pt"")"),"Minúsculo, muitos extras, mãos livres construído em")</f>
        <v>Minúsculo, muitos extras, mãos livres construído em</v>
      </c>
      <c r="B57011" s="3">
        <v>1</v>
      </c>
    </row>
    <row r="57012" ht="15.75" customHeight="1" spans="1:2">
      <c r="A57012" s="3" t="str">
        <f>IFERROR(__xludf.DUMMYFUNCTION("GOOGLETRANSLATE(A57012,""en"",""pt"")"),"Lustroso, luz, vibrações, etc.")</f>
        <v>Lustroso, luz, vibrações, etc.</v>
      </c>
      <c r="B57012" s="3">
        <v>1</v>
      </c>
    </row>
    <row r="57013" ht="15.75" customHeight="1" spans="1:2">
      <c r="A57013" s="3" t="str">
        <f>IFERROR(__xludf.DUMMYFUNCTION("GOOGLETRANSLATE(A57013,""en"",""pt"")"),"Tamanho, peso, opções")</f>
        <v>Tamanho, peso, opções</v>
      </c>
      <c r="B57013" s="3">
        <v>1</v>
      </c>
    </row>
    <row r="57014" ht="15.75" customHeight="1" spans="1:2">
      <c r="A57014" s="3" t="str">
        <f>IFERROR(__xludf.DUMMYFUNCTION("GOOGLETRANSLATE(A57014,""en"",""pt"")"),"baixo custo, tamanho fino e funciona melhor do que todos os outros telefones que eu tinha")</f>
        <v>baixo custo, tamanho fino e funciona melhor do que todos os outros telefones que eu tinha</v>
      </c>
      <c r="B57014" s="3">
        <v>1</v>
      </c>
    </row>
    <row r="57015" ht="15.75" customHeight="1" spans="1:2">
      <c r="A57015" s="3" t="str">
        <f>IFERROR(__xludf.DUMMYFUNCTION("GOOGLETRANSLATE(A57015,""en"",""pt"")"),"peso leve, tamanho pequeno, viva-voz, grande lista telefónica, a qualidade do som é boa, muito durável")</f>
        <v>peso leve, tamanho pequeno, viva-voz, grande lista telefónica, a qualidade do som é boa, muito durável</v>
      </c>
      <c r="B57015" s="3">
        <v>1</v>
      </c>
    </row>
    <row r="57016" ht="15.75" customHeight="1" spans="1:2">
      <c r="A57016" s="3" t="str">
        <f>IFERROR(__xludf.DUMMYFUNCTION("GOOGLETRANSLATE(A57016,""en"",""pt"")"),"pequeno, leve, construído em viva-voz")</f>
        <v>pequeno, leve, construído em viva-voz</v>
      </c>
      <c r="B57016" s="3">
        <v>1</v>
      </c>
    </row>
    <row r="57017" ht="15.75" customHeight="1" spans="1:2">
      <c r="A57017" s="3" t="str">
        <f>IFERROR(__xludf.DUMMYFUNCTION("GOOGLETRANSLATE(A57017,""en"",""pt"")"),"leve Super. anéis Super personalizáveis. Muitas cores de luz de fundo. Viva-voz embutido. o modo de vibração.")</f>
        <v>leve Super. anéis Super personalizáveis. Muitas cores de luz de fundo. Viva-voz embutido. o modo de vibração.</v>
      </c>
      <c r="B57017" s="3">
        <v>1</v>
      </c>
    </row>
    <row r="57018" ht="15.75" customHeight="1" spans="1:2">
      <c r="A57018" s="3" t="str">
        <f>IFERROR(__xludf.DUMMYFUNCTION("GOOGLETRANSLATE(A57018,""en"",""pt"")"),"Pequeno e leve, quantidade descida de opções, grande lista telefónica, confiável")</f>
        <v>Pequeno e leve, quantidade descida de opções, grande lista telefónica, confiável</v>
      </c>
      <c r="B57018" s="3">
        <v>1</v>
      </c>
    </row>
    <row r="57019" ht="15.75" customHeight="1" spans="1:2">
      <c r="A57019" s="3" t="str">
        <f>IFERROR(__xludf.DUMMYFUNCTION("GOOGLETRANSLATE(A57019,""en"",""pt"")"),"Extremamente leve, bonito e sempre tem um sinal!")</f>
        <v>Extremamente leve, bonito e sempre tem um sinal!</v>
      </c>
      <c r="B57019" s="3">
        <v>1</v>
      </c>
    </row>
    <row r="57020" ht="15.75" customHeight="1" spans="1:2">
      <c r="A57020" s="3" t="str">
        <f>IFERROR(__xludf.DUMMYFUNCTION("GOOGLETRANSLATE(A57020,""en"",""pt"")"),"leve, durável, ótimo som e toques, viva-voz é bom recurso, bem")</f>
        <v>leve, durável, ótimo som e toques, viva-voz é bom recurso, bem</v>
      </c>
      <c r="B57020" s="3">
        <v>1</v>
      </c>
    </row>
    <row r="57021" ht="15.75" customHeight="1" spans="1:2">
      <c r="A57021" s="3" t="str">
        <f>IFERROR(__xludf.DUMMYFUNCTION("GOOGLETRANSLATE(A57021,""en"",""pt"")"),"DOR DE CABEÇA DOADOR!")</f>
        <v>DOR DE CABEÇA DOADOR!</v>
      </c>
      <c r="B57021" s="3">
        <v>1</v>
      </c>
    </row>
    <row r="57022" ht="15.75" customHeight="1" spans="1:2">
      <c r="A57022" s="3" t="str">
        <f>IFERROR(__xludf.DUMMYFUNCTION("GOOGLETRANSLATE(A57022,""en"",""pt"")"),"Tamanho, peso, boa escolha de tons de toque, durável e recurso memorando também é muito útil.")</f>
        <v>Tamanho, peso, boa escolha de tons de toque, durável e recurso memorando também é muito útil.</v>
      </c>
      <c r="B57022" s="3">
        <v>1</v>
      </c>
    </row>
    <row r="57023" ht="15.75" customHeight="1" spans="1:2">
      <c r="A57023" s="3" t="str">
        <f>IFERROR(__xludf.DUMMYFUNCTION("GOOGLETRANSLATE(A57023,""en"",""pt"")"),"Leve, agradável agenda, imagens de fundo, viva-voz")</f>
        <v>Leve, agradável agenda, imagens de fundo, viva-voz</v>
      </c>
      <c r="B57023" s="3">
        <v>1</v>
      </c>
    </row>
    <row r="57024" ht="15.75" customHeight="1" spans="1:2">
      <c r="A57024" s="3" t="str">
        <f>IFERROR(__xludf.DUMMYFUNCTION("GOOGLETRANSLATE(A57024,""en"",""pt"")"),"display colorido impressionante. caso atrativo. 8MB de memória. Boa telefone possui.")</f>
        <v>display colorido impressionante. caso atrativo. 8MB de memória. Boa telefone possui.</v>
      </c>
      <c r="B57024" s="3">
        <v>1</v>
      </c>
    </row>
    <row r="57025" ht="15.75" customHeight="1" spans="1:2">
      <c r="A57025" s="3" t="str">
        <f>IFERROR(__xludf.DUMMYFUNCTION("GOOGLETRANSLATE(A57025,""en"",""pt"")"),"Mais palma de telefone, ecrã a cores, de design ergonómico. Muito legal")</f>
        <v>Mais palma de telefone, ecrã a cores, de design ergonómico. Muito legal</v>
      </c>
      <c r="B57025" s="3">
        <v>1</v>
      </c>
    </row>
    <row r="57026" ht="15.75" customHeight="1" spans="1:2">
      <c r="A57026" s="3" t="str">
        <f>IFERROR(__xludf.DUMMYFUNCTION("GOOGLETRANSLATE(A57026,""en"",""pt"")"),"É um Palm cor! Nítida, lotes de características.")</f>
        <v>É um Palm cor! Nítida, lotes de características.</v>
      </c>
      <c r="B57026" s="3">
        <v>1</v>
      </c>
    </row>
    <row r="57027" ht="15.75" customHeight="1" spans="1:2">
      <c r="A57027" s="3" t="str">
        <f>IFERROR(__xludf.DUMMYFUNCTION("GOOGLETRANSLATE(A57027,""en"",""pt"")"),"telefone converge e PDA - não mais carregar dois dispositivos, viva-voz, excelente qualidade de som.")</f>
        <v>telefone converge e PDA - não mais carregar dois dispositivos, viva-voz, excelente qualidade de som.</v>
      </c>
      <c r="B57027" s="3">
        <v>1</v>
      </c>
    </row>
    <row r="57028" ht="15.75" customHeight="1" spans="1:2">
      <c r="A57028" s="3" t="str">
        <f>IFERROR(__xludf.DUMMYFUNCTION("GOOGLETRANSLATE(A57028,""en"",""pt"")"),"Tudo em um dispositivo, 2 baterias, tela colorida, bom navegador, software Palm.")</f>
        <v>Tudo em um dispositivo, 2 baterias, tela colorida, bom navegador, software Palm.</v>
      </c>
      <c r="B57028" s="3">
        <v>1</v>
      </c>
    </row>
    <row r="57029" ht="15.75" customHeight="1" spans="1:2">
      <c r="A57029" s="3" t="str">
        <f>IFERROR(__xludf.DUMMYFUNCTION("GOOGLETRANSLATE(A57029,""en"",""pt"")"),"1 Dispositivo para tudo")</f>
        <v>1 Dispositivo para tudo</v>
      </c>
      <c r="B57029" s="3">
        <v>1</v>
      </c>
    </row>
    <row r="57030" ht="15.75" customHeight="1" spans="1:2">
      <c r="A57030" s="3" t="str">
        <f>IFERROR(__xludf.DUMMYFUNCTION("GOOGLETRANSLATE(A57030,""en"",""pt"")"),"Excelente fusão de 2 tecnologias em um único produto legal.")</f>
        <v>Excelente fusão de 2 tecnologias em um único produto legal.</v>
      </c>
      <c r="B57030" s="3">
        <v>1</v>
      </c>
    </row>
    <row r="57031" ht="15.75" customHeight="1" spans="1:2">
      <c r="A57031" s="3" t="str">
        <f>IFERROR(__xludf.DUMMYFUNCTION("GOOGLETRANSLATE(A57031,""en"",""pt"")"),"Muito alto na ""cool!"" escala; combinação PDA realmente funciona; bem construído.")</f>
        <v>Muito alto na "cool!" escala; combinação PDA realmente funciona; bem construído.</v>
      </c>
      <c r="B57031" s="3">
        <v>1</v>
      </c>
    </row>
    <row r="57032" ht="15.75" customHeight="1" spans="1:2">
      <c r="A57032" s="3" t="str">
        <f>IFERROR(__xludf.DUMMYFUNCTION("GOOGLETRANSLATE(A57032,""en"",""pt"")"),"Palm Pilot e telefone em uma unidade,")</f>
        <v>Palm Pilot e telefone em uma unidade,</v>
      </c>
      <c r="B57032" s="3">
        <v>1</v>
      </c>
    </row>
    <row r="57033" ht="15.75" customHeight="1" spans="1:2">
      <c r="A57033" s="3" t="str">
        <f>IFERROR(__xludf.DUMMYFUNCTION("GOOGLETRANSLATE(A57033,""en"",""pt"")"),"Small - leve como o m505. Bem pensado design e funcionalidade. Vale cada centavo.")</f>
        <v>Small - leve como o m505. Bem pensado design e funcionalidade. Vale cada centavo.</v>
      </c>
      <c r="B57033" s="3">
        <v>1</v>
      </c>
    </row>
    <row r="57034" ht="15.75" customHeight="1" spans="1:2">
      <c r="A57034" s="3" t="str">
        <f>IFERROR(__xludf.DUMMYFUNCTION("GOOGLETRANSLATE(A57034,""en"",""pt"")"),"tela legível, grande touch pad com função completa Palm OS, e telefone digital de alta qualidade.")</f>
        <v>tela legível, grande touch pad com função completa Palm OS, e telefone digital de alta qualidade.</v>
      </c>
      <c r="B57034" s="3">
        <v>1</v>
      </c>
    </row>
    <row r="57035" ht="15.75" customHeight="1" spans="1:2">
      <c r="A57035" s="3" t="str">
        <f>IFERROR(__xludf.DUMMYFUNCTION("GOOGLETRANSLATE(A57035,""en"",""pt"")"),"Excelente recepção - cor grande")</f>
        <v>Excelente recepção - cor grande</v>
      </c>
      <c r="B57035" s="3">
        <v>1</v>
      </c>
    </row>
    <row r="57036" ht="15.75" customHeight="1" spans="1:2">
      <c r="A57036" s="3" t="str">
        <f>IFERROR(__xludf.DUMMYFUNCTION("GOOGLETRANSLATE(A57036,""en"",""pt"")"),"Barato! Bom suporte de mesa!")</f>
        <v>Barato! Bom suporte de mesa!</v>
      </c>
      <c r="B57036" s="3">
        <v>1</v>
      </c>
    </row>
    <row r="57037" ht="15.75" customHeight="1" spans="1:2">
      <c r="A57037" s="3" t="str">
        <f>IFERROR(__xludf.DUMMYFUNCTION("GOOGLETRANSLATE(A57037,""en"",""pt"")"),"Tudo em um dispositivo, Marcar a partir do livro de endereços, aplicativos e jogos em movimento")</f>
        <v>Tudo em um dispositivo, Marcar a partir do livro de endereços, aplicativos e jogos em movimento</v>
      </c>
      <c r="B57037" s="3">
        <v>1</v>
      </c>
    </row>
    <row r="57038" ht="15.75" customHeight="1" spans="1:2">
      <c r="A57038" s="3" t="str">
        <f>IFERROR(__xludf.DUMMYFUNCTION("GOOGLETRANSLATE(A57038,""en"",""pt"")"),"Melhor celular / PDA que você poderia pedir - é a melhor tecnologia pode oferecer!")</f>
        <v>Melhor celular / PDA que você poderia pedir - é a melhor tecnologia pode oferecer!</v>
      </c>
      <c r="B57038" s="3">
        <v>1</v>
      </c>
    </row>
    <row r="57039" ht="15.75" customHeight="1" spans="1:2">
      <c r="A57039" s="3" t="str">
        <f>IFERROR(__xludf.DUMMYFUNCTION("GOOGLETRANSLATE(A57039,""en"",""pt"")"),"All-in-1, magro, grande voz, 8 MB e cor, OS 3.5.1")</f>
        <v>All-in-1, magro, grande voz, 8 MB e cor, OS 3.5.1</v>
      </c>
      <c r="B57039" s="3">
        <v>1</v>
      </c>
    </row>
    <row r="57040" ht="15.75" customHeight="1" spans="1:2">
      <c r="A57040" s="3" t="str">
        <f>IFERROR(__xludf.DUMMYFUNCTION("GOOGLETRANSLATE(A57040,""en"",""pt"")"),"Um item menos para transportar; é um tema de conversa.")</f>
        <v>Um item menos para transportar; é um tema de conversa.</v>
      </c>
      <c r="B57040" s="3">
        <v>1</v>
      </c>
    </row>
    <row r="57041" ht="15.75" customHeight="1" spans="1:2">
      <c r="A57041" s="3" t="str">
        <f>IFERROR(__xludf.DUMMYFUNCTION("GOOGLETRANSLATE(A57041,""en"",""pt"")"),"Combina palma e dispositivos de telefone celular também. Fácil de usar, vem com duas baterias")</f>
        <v>Combina palma e dispositivos de telefone celular também. Fácil de usar, vem com duas baterias</v>
      </c>
      <c r="B57041" s="3">
        <v>1</v>
      </c>
    </row>
    <row r="57042" ht="15.75" customHeight="1" spans="1:2">
      <c r="A57042" s="3" t="str">
        <f>IFERROR(__xludf.DUMMYFUNCTION("GOOGLETRANSLATE(A57042,""en"",""pt"")"),"telefone celular tri-mode, cor Palm Pilot, web e e-mail em um pacote pequeno, sincronização do Outlook")</f>
        <v>telefone celular tri-mode, cor Palm Pilot, web e e-mail em um pacote pequeno, sincronização do Outlook</v>
      </c>
      <c r="B57042" s="3">
        <v>1</v>
      </c>
    </row>
    <row r="57043" ht="15.75" customHeight="1" spans="1:2">
      <c r="A57043" s="3" t="str">
        <f>IFERROR(__xludf.DUMMYFUNCTION("GOOGLETRANSLATE(A57043,""en"",""pt"")"),"Luz, uma boa recepção, boa implementação do Palm OS e telefone celular")</f>
        <v>Luz, uma boa recepção, boa implementação do Palm OS e telefone celular</v>
      </c>
      <c r="B57043" s="3">
        <v>1</v>
      </c>
    </row>
    <row r="57044" ht="15.75" customHeight="1" spans="1:2">
      <c r="A57044" s="3" t="str">
        <f>IFERROR(__xludf.DUMMYFUNCTION("GOOGLETRANSLATE(A57044,""en"",""pt"")"),"Verdadeira multitarefa maravilha. Durable quando caiu. Boa exibição visibilidade / clareza. Compacto e conveniente. Keylock minimiza erros.")</f>
        <v>Verdadeira multitarefa maravilha. Durable quando caiu. Boa exibição visibilidade / clareza. Compacto e conveniente. Keylock minimiza erros.</v>
      </c>
      <c r="B57044" s="3">
        <v>1</v>
      </c>
    </row>
    <row r="57045" ht="15.75" customHeight="1" spans="1:2">
      <c r="A57045" s="3" t="str">
        <f>IFERROR(__xludf.DUMMYFUNCTION("GOOGLETRANSLATE(A57045,""en"",""pt"")"),"A forte integração entre Palma e telefone")</f>
        <v>A forte integração entre Palma e telefone</v>
      </c>
      <c r="B57045" s="3">
        <v>1</v>
      </c>
    </row>
    <row r="57046" ht="15.75" customHeight="1" spans="1:2">
      <c r="A57046" s="3" t="str">
        <f>IFERROR(__xludf.DUMMYFUNCTION("GOOGLETRANSLATE(A57046,""en"",""pt"")"),"Grande execução e usabilidade. À moda.")</f>
        <v>Grande execução e usabilidade. À moda.</v>
      </c>
      <c r="B57046" s="3">
        <v>1</v>
      </c>
    </row>
    <row r="57047" ht="15.75" customHeight="1" spans="1:2">
      <c r="A57047" s="3" t="str">
        <f>IFERROR(__xludf.DUMMYFUNCTION("GOOGLETRANSLATE(A57047,""en"",""pt"")"),"Tudo em uma solução * &amp; # 13; &amp; # 10; Impressione seus amigos!")</f>
        <v>Tudo em uma solução * &amp; # 13; &amp; # 10; Impressione seus amigos!</v>
      </c>
      <c r="B57047" s="3">
        <v>1</v>
      </c>
    </row>
    <row r="57048" ht="15.75" customHeight="1" spans="1:2">
      <c r="A57048" s="3" t="str">
        <f>IFERROR(__xludf.DUMMYFUNCTION("GOOGLETRANSLATE(A57048,""en"",""pt"")"),"Excelente recepção, grande Palm OS PDA, grande convergência de um telefone e PDA")</f>
        <v>Excelente recepção, grande Palm OS PDA, grande convergência de um telefone e PDA</v>
      </c>
      <c r="B57048" s="3">
        <v>1</v>
      </c>
    </row>
    <row r="57049" ht="15.75" customHeight="1" spans="1:2">
      <c r="A57049" s="3" t="str">
        <f>IFERROR(__xludf.DUMMYFUNCTION("GOOGLETRANSLATE(A57049,""en"",""pt"")"),"Um bom integrado telefone e dispositivo de palma com muitos recursos interessantes.")</f>
        <v>Um bom integrado telefone e dispositivo de palma com muitos recursos interessantes.</v>
      </c>
      <c r="B57049" s="3">
        <v>1</v>
      </c>
    </row>
    <row r="57050" ht="15.75" customHeight="1" spans="1:2">
      <c r="A57050" s="3" t="str">
        <f>IFERROR(__xludf.DUMMYFUNCTION("GOOGLETRANSLATE(A57050,""en"",""pt"")"),"tudo-em-um dispositivo, tamanho, tela colorida")</f>
        <v>tudo-em-um dispositivo, tamanho, tela colorida</v>
      </c>
      <c r="B57050" s="3">
        <v>1</v>
      </c>
    </row>
    <row r="57051" ht="15.75" customHeight="1" spans="1:2">
      <c r="A57051" s="3" t="str">
        <f>IFERROR(__xludf.DUMMYFUNCTION("GOOGLETRANSLATE(A57051,""en"",""pt"")"),"Combina cores de palma e de telefone celular, navegação na Web completo e de acesso de e-mail")</f>
        <v>Combina cores de palma e de telefone celular, navegação na Web completo e de acesso de e-mail</v>
      </c>
      <c r="B57051" s="3">
        <v>1</v>
      </c>
    </row>
    <row r="57052" ht="15.75" customHeight="1" spans="1:2">
      <c r="A57052" s="3" t="str">
        <f>IFERROR(__xludf.DUMMYFUNCTION("GOOGLETRANSLATE(A57052,""en"",""pt"")"),"Palma no telefone celular em um!")</f>
        <v>Palma no telefone celular em um!</v>
      </c>
      <c r="B57052" s="3">
        <v>1</v>
      </c>
    </row>
    <row r="57053" ht="15.75" customHeight="1" spans="1:2">
      <c r="A57053" s="3" t="str">
        <f>IFERROR(__xludf.DUMMYFUNCTION("GOOGLETRANSLATE(A57053,""en"",""pt"")"),"Seu mundo ao seu alcance; Dial a partir do livro de endereços; discagem por voz; PDA enquanto no viva-voz")</f>
        <v>Seu mundo ao seu alcance; Dial a partir do livro de endereços; discagem por voz; PDA enquanto no viva-voz</v>
      </c>
      <c r="B57053" s="3">
        <v>1</v>
      </c>
    </row>
    <row r="57054" ht="15.75" customHeight="1" spans="1:2">
      <c r="A57054" s="3" t="str">
        <f>IFERROR(__xludf.DUMMYFUNCTION("GOOGLETRANSLATE(A57054,""en"",""pt"")"),"Compacto, elegante, telefone bem contructed. Bateria de Longa Duração")</f>
        <v>Compacto, elegante, telefone bem contructed. Bateria de Longa Duração</v>
      </c>
      <c r="B57054" s="3">
        <v>1</v>
      </c>
    </row>
    <row r="57055" ht="15.75" customHeight="1" spans="1:2">
      <c r="A57055" s="3" t="str">
        <f>IFERROR(__xludf.DUMMYFUNCTION("GOOGLETRANSLATE(A57055,""en"",""pt"")"),"Finalmente! Um casamento bem-sucedido de um Palm e telefone celular.")</f>
        <v>Finalmente! Um casamento bem-sucedido de um Palm e telefone celular.</v>
      </c>
      <c r="B57055" s="3">
        <v>1</v>
      </c>
    </row>
    <row r="57056" ht="15.75" customHeight="1" spans="1:2">
      <c r="A57056" s="3" t="str">
        <f>IFERROR(__xludf.DUMMYFUNCTION("GOOGLETRANSLATE(A57056,""en"",""pt"")"),"Bem projetado, fácil de navegar, uma boa recepção, a plena implementação do Palm OS.")</f>
        <v>Bem projetado, fácil de navegar, uma boa recepção, a plena implementação do Palm OS.</v>
      </c>
      <c r="B57056" s="3">
        <v>1</v>
      </c>
    </row>
    <row r="57057" ht="15.75" customHeight="1" spans="1:2">
      <c r="A57057" s="3" t="str">
        <f>IFERROR(__xludf.DUMMYFUNCTION("GOOGLETRANSLATE(A57057,""en"",""pt"")"),"Compact como a palma da mão, e com preço, boa qualidade de som")</f>
        <v>Compact como a palma da mão, e com preço, boa qualidade de som</v>
      </c>
      <c r="B57057" s="3">
        <v>1</v>
      </c>
    </row>
    <row r="57058" ht="15.75" customHeight="1" spans="1:2">
      <c r="A57058" s="3" t="str">
        <f>IFERROR(__xludf.DUMMYFUNCTION("GOOGLETRANSLATE(A57058,""en"",""pt"")"),"analógico / digital, vem com o segundo batedor, cradle, caso")</f>
        <v>analógico / digital, vem com o segundo batedor, cradle, caso</v>
      </c>
      <c r="B57058" s="3">
        <v>1</v>
      </c>
    </row>
    <row r="57059" ht="15.75" customHeight="1" spans="1:2">
      <c r="A57059" s="3" t="str">
        <f>IFERROR(__xludf.DUMMYFUNCTION("GOOGLETRANSLATE(A57059,""en"",""pt"")"),"Nenhum")</f>
        <v>Nenhum</v>
      </c>
      <c r="B57059" s="3">
        <v>1</v>
      </c>
    </row>
    <row r="57060" ht="15.75" customHeight="1" spans="1:2">
      <c r="A57060" s="3" t="str">
        <f>IFERROR(__xludf.DUMMYFUNCTION("GOOGLETRANSLATE(A57060,""en"",""pt"")"),"Pequeno (relativamente), elegante e leve - um torneiro de olho real")</f>
        <v>Pequeno (relativamente), elegante e leve - um torneiro de olho real</v>
      </c>
      <c r="B57060" s="3">
        <v>1</v>
      </c>
    </row>
    <row r="57061" ht="15.75" customHeight="1" spans="1:2">
      <c r="A57061" s="3" t="str">
        <f>IFERROR(__xludf.DUMMYFUNCTION("GOOGLETRANSLATE(A57061,""en"",""pt"")"),"Palm / telefone, Speakerphone, Lotes de software disponíveis")</f>
        <v>Palm / telefone, Speakerphone, Lotes de software disponíveis</v>
      </c>
      <c r="B57061" s="3">
        <v>1</v>
      </c>
    </row>
    <row r="57062" ht="15.75" customHeight="1" spans="1:2">
      <c r="A57062" s="3" t="str">
        <f>IFERROR(__xludf.DUMMYFUNCTION("GOOGLETRANSLATE(A57062,""en"",""pt"")"),"tela sensível ao toque, navegação na web, identificador de chamadas, opções do programa.")</f>
        <v>tela sensível ao toque, navegação na web, identificador de chamadas, opções do programa.</v>
      </c>
      <c r="B57062" s="3">
        <v>1</v>
      </c>
    </row>
    <row r="57063" ht="15.75" customHeight="1" spans="1:2">
      <c r="A57063" s="3" t="str">
        <f>IFERROR(__xludf.DUMMYFUNCTION("GOOGLETRANSLATE(A57063,""en"",""pt"")"),"Excelente combinação de um telefone celular, navegador de internet móvel e PDA full-featured.")</f>
        <v>Excelente combinação de um telefone celular, navegador de internet móvel e PDA full-featured.</v>
      </c>
      <c r="B57063" s="3">
        <v>1</v>
      </c>
    </row>
    <row r="57064" ht="15.75" customHeight="1" spans="1:2">
      <c r="A57064" s="3" t="str">
        <f>IFERROR(__xludf.DUMMYFUNCTION("GOOGLETRANSLATE(A57064,""en"",""pt"")"),"Preço baixo, grande combinação de PDA e telefone.")</f>
        <v>Preço baixo, grande combinação de PDA e telefone.</v>
      </c>
      <c r="B57064" s="3">
        <v>1</v>
      </c>
    </row>
    <row r="57065" ht="15.75" customHeight="1" spans="1:2">
      <c r="A57065" s="3" t="str">
        <f>IFERROR(__xludf.DUMMYFUNCTION("GOOGLETRANSLATE(A57065,""en"",""pt"")"),"Nice, construção e design. Grande registo de chamadas, o cliente de e-mail. a qualidade da chamada fantástica")</f>
        <v>Nice, construção e design. Grande registo de chamadas, o cliente de e-mail. a qualidade da chamada fantástica</v>
      </c>
      <c r="B57065" s="3">
        <v>1</v>
      </c>
    </row>
    <row r="57066" ht="15.75" customHeight="1" spans="1:2">
      <c r="A57066" s="3" t="str">
        <f>IFERROR(__xludf.DUMMYFUNCTION("GOOGLETRANSLATE(A57066,""en"",""pt"")"),"funcionalidade PDA, toneladas de recursos")</f>
        <v>funcionalidade PDA, toneladas de recursos</v>
      </c>
      <c r="B57066" s="3">
        <v>1</v>
      </c>
    </row>
    <row r="57067" ht="15.75" customHeight="1" spans="1:2">
      <c r="A57067" s="3" t="str">
        <f>IFERROR(__xludf.DUMMYFUNCTION("GOOGLETRANSLATE(A57067,""en"",""pt"")"),"Inúmeros recursos, manual excelente")</f>
        <v>Inúmeros recursos, manual excelente</v>
      </c>
      <c r="B57067" s="3">
        <v>1</v>
      </c>
    </row>
    <row r="57068" ht="15.75" customHeight="1" spans="1:2">
      <c r="A57068" s="3" t="str">
        <f>IFERROR(__xludf.DUMMYFUNCTION("GOOGLETRANSLATE(A57068,""en"",""pt"")"),"Sinos e assobios em abundância, fácil de usar, produto de qualidade, conveniente")</f>
        <v>Sinos e assobios em abundância, fácil de usar, produto de qualidade, conveniente</v>
      </c>
      <c r="B57068" s="3">
        <v>1</v>
      </c>
    </row>
    <row r="57069" ht="15.75" customHeight="1" spans="1:2">
      <c r="A57069" s="3" t="str">
        <f>IFERROR(__xludf.DUMMYFUNCTION("GOOGLETRANSLATE(A57069,""en"",""pt"")"),"Câmera, memória interna, fácil de usar, substituição bom para o meu PDA")</f>
        <v>Câmera, memória interna, fácil de usar, substituição bom para o meu PDA</v>
      </c>
      <c r="B57069" s="3">
        <v>1</v>
      </c>
    </row>
    <row r="57070" ht="15.75" customHeight="1" spans="1:2">
      <c r="A57070" s="3" t="str">
        <f>IFERROR(__xludf.DUMMYFUNCTION("GOOGLETRANSLATE(A57070,""en"",""pt"")"),"Menos telefone equipado Bluetooth caro. grande viva-voz. Camera bom o suficiente para e-mail.")</f>
        <v>Menos telefone equipado Bluetooth caro. grande viva-voz. Camera bom o suficiente para e-mail.</v>
      </c>
      <c r="B57070" s="3">
        <v>1</v>
      </c>
    </row>
    <row r="57071" ht="15.75" customHeight="1" spans="1:2">
      <c r="A57071" s="3" t="str">
        <f>IFERROR(__xludf.DUMMYFUNCTION("GOOGLETRANSLATE(A57071,""en"",""pt"")"),"Grande telefone, fácil de usar, tem grandes figuras.")</f>
        <v>Grande telefone, fácil de usar, tem grandes figuras.</v>
      </c>
      <c r="B57071" s="3">
        <v>1</v>
      </c>
    </row>
    <row r="57072" ht="15.75" customHeight="1" spans="1:2">
      <c r="A57072" s="3" t="str">
        <f>IFERROR(__xludf.DUMMYFUNCTION("GOOGLETRANSLATE(A57072,""en"",""pt"")"),"Tamanho, peso, facilidade de uso, apresenta (mãos-livres, etc.)")</f>
        <v>Tamanho, peso, facilidade de uso, apresenta (mãos-livres, etc.)</v>
      </c>
      <c r="B57072" s="3">
        <v>1</v>
      </c>
    </row>
    <row r="57073" ht="15.75" customHeight="1" spans="1:2">
      <c r="A57073" s="3" t="str">
        <f>IFERROR(__xludf.DUMMYFUNCTION("GOOGLETRANSLATE(A57073,""en"",""pt"")"),"Preço, Qualidade e Capacidade")</f>
        <v>Preço, Qualidade e Capacidade</v>
      </c>
      <c r="B57073" s="3">
        <v>1</v>
      </c>
    </row>
    <row r="57074" ht="15.75" customHeight="1" spans="1:2">
      <c r="A57074" s="3" t="str">
        <f>IFERROR(__xludf.DUMMYFUNCTION("GOOGLETRANSLATE(A57074,""en"",""pt"")"),"Grande Tamanho / Great Armazenamento")</f>
        <v>Grande Tamanho / Great Armazenamento</v>
      </c>
      <c r="B57074" s="3">
        <v>1</v>
      </c>
    </row>
    <row r="57075" ht="15.75" customHeight="1" spans="1:2">
      <c r="A57075" s="3" t="str">
        <f>IFERROR(__xludf.DUMMYFUNCTION("GOOGLETRANSLATE(A57075,""en"",""pt"")"),"Pequeno, leve, bateria de longa duração.")</f>
        <v>Pequeno, leve, bateria de longa duração.</v>
      </c>
      <c r="B57075" s="3">
        <v>1</v>
      </c>
    </row>
    <row r="57076" ht="15.75" customHeight="1" spans="1:2">
      <c r="A57076" s="3" t="str">
        <f>IFERROR(__xludf.DUMMYFUNCTION("GOOGLETRANSLATE(A57076,""en"",""pt"")"),"Pequeno, peso leve, lotes de características.")</f>
        <v>Pequeno, peso leve, lotes de características.</v>
      </c>
      <c r="B57076" s="3">
        <v>1</v>
      </c>
    </row>
    <row r="57077" ht="15.75" customHeight="1" spans="1:2">
      <c r="A57077" s="3" t="str">
        <f>IFERROR(__xludf.DUMMYFUNCTION("GOOGLETRANSLATE(A57077,""en"",""pt"")"),"pequeno, jogos, grande vida da bateria")</f>
        <v>pequeno, jogos, grande vida da bateria</v>
      </c>
      <c r="B57077" s="3">
        <v>1</v>
      </c>
    </row>
    <row r="57078" ht="15.75" customHeight="1" spans="1:2">
      <c r="A57078" s="3" t="str">
        <f>IFERROR(__xludf.DUMMYFUNCTION("GOOGLETRANSLATE(A57078,""en"",""pt"")"),"tamanho pequeno para um telefone não dobrável, boa bateria, intuitiva O / S.")</f>
        <v>tamanho pequeno para um telefone não dobrável, boa bateria, intuitiva O / S.</v>
      </c>
      <c r="B57078" s="3">
        <v>1</v>
      </c>
    </row>
    <row r="57079" ht="15.75" customHeight="1" spans="1:2">
      <c r="A57079" s="3" t="str">
        <f>IFERROR(__xludf.DUMMYFUNCTION("GOOGLETRANSLATE(A57079,""en"",""pt"")"),"Características, facilidade de uso")</f>
        <v>Características, facilidade de uso</v>
      </c>
      <c r="B57079" s="3">
        <v>1</v>
      </c>
    </row>
    <row r="57080" ht="15.75" customHeight="1" spans="1:2">
      <c r="A57080" s="3" t="str">
        <f>IFERROR(__xludf.DUMMYFUNCTION("GOOGLETRANSLATE(A57080,""en"",""pt"")"),"tamanho pequeno, fácil de usar, muito boa qualidade de som de transmissão e recepção, pode enviar e receber e-mail")</f>
        <v>tamanho pequeno, fácil de usar, muito boa qualidade de som de transmissão e recepção, pode enviar e receber e-mail</v>
      </c>
      <c r="B57080" s="3">
        <v>1</v>
      </c>
    </row>
    <row r="57081" ht="15.75" customHeight="1" spans="1:2">
      <c r="A57081" s="3" t="str">
        <f>IFERROR(__xludf.DUMMYFUNCTION("GOOGLETRANSLATE(A57081,""en"",""pt"")"),"Solidamente construído, telefone funcional, com algumas características interessantes.")</f>
        <v>Solidamente construído, telefone funcional, com algumas características interessantes.</v>
      </c>
      <c r="B57081" s="3">
        <v>1</v>
      </c>
    </row>
    <row r="57082" ht="15.75" customHeight="1" spans="1:2">
      <c r="A57082" s="3" t="str">
        <f>IFERROR(__xludf.DUMMYFUNCTION("GOOGLETRANSLATE(A57082,""en"",""pt"")"),"Baratos, muitos recursos")</f>
        <v>Baratos, muitos recursos</v>
      </c>
      <c r="B57082" s="3">
        <v>1</v>
      </c>
    </row>
    <row r="57083" ht="15.75" customHeight="1" spans="1:2">
      <c r="A57083" s="3" t="str">
        <f>IFERROR(__xludf.DUMMYFUNCTION("GOOGLETRANSLATE(A57083,""en"",""pt"")"),"Grande qualidade de som; Toneladas de Recursos; Compactar; Fácil de usar; Confiável")</f>
        <v>Grande qualidade de som; Toneladas de Recursos; Compactar; Fácil de usar; Confiável</v>
      </c>
      <c r="B57083" s="3">
        <v>1</v>
      </c>
    </row>
    <row r="57084" ht="15.75" customHeight="1" spans="1:2">
      <c r="A57084" s="3" t="str">
        <f>IFERROR(__xludf.DUMMYFUNCTION("GOOGLETRANSLATE(A57084,""en"",""pt"")"),"Fácil de usar, inquebrável, boa aparência, luz, características agradáveis, a abundância de acessórios disponíveis")</f>
        <v>Fácil de usar, inquebrável, boa aparência, luz, características agradáveis, a abundância de acessórios disponíveis</v>
      </c>
      <c r="B57084" s="3">
        <v>1</v>
      </c>
    </row>
    <row r="57085" ht="15.75" customHeight="1" spans="1:2">
      <c r="A57085" s="3" t="str">
        <f>IFERROR(__xludf.DUMMYFUNCTION("GOOGLETRANSLATE(A57085,""en"",""pt"")"),"design agradável, todos os recursos básicos incluídos, som claro")</f>
        <v>design agradável, todos os recursos básicos incluídos, som claro</v>
      </c>
      <c r="B57085" s="3">
        <v>1</v>
      </c>
    </row>
    <row r="57086" ht="15.75" customHeight="1" spans="1:2">
      <c r="A57086" s="3" t="str">
        <f>IFERROR(__xludf.DUMMYFUNCTION("GOOGLETRANSLATE(A57086,""en"",""pt"")"),"Compacto, customizável, barato, se você sabe onde olhar")</f>
        <v>Compacto, customizável, barato, se você sabe onde olhar</v>
      </c>
      <c r="B57086" s="3">
        <v>1</v>
      </c>
    </row>
    <row r="57087" ht="15.75" customHeight="1" spans="1:2">
      <c r="A57087" s="3" t="str">
        <f>IFERROR(__xludf.DUMMYFUNCTION("GOOGLETRANSLATE(A57087,""en"",""pt"")"),"Altamente personalizável, de aparência física para toques, longo tempo de espera; Muito, muito resistente.")</f>
        <v>Altamente personalizável, de aparência física para toques, longo tempo de espera; Muito, muito resistente.</v>
      </c>
      <c r="B57087" s="3">
        <v>1</v>
      </c>
    </row>
    <row r="57088" ht="15.75" customHeight="1" spans="1:2">
      <c r="A57088" s="3" t="str">
        <f>IFERROR(__xludf.DUMMYFUNCTION("GOOGLETRANSLATE(A57088,""en"",""pt"")"),"conveniência, a preços acessíveis")</f>
        <v>conveniência, a preços acessíveis</v>
      </c>
      <c r="B57088" s="3">
        <v>1</v>
      </c>
    </row>
    <row r="57089" ht="15.75" customHeight="1" spans="1:2">
      <c r="A57089" s="3" t="str">
        <f>IFERROR(__xludf.DUMMYFUNCTION("GOOGLETRANSLATE(A57089,""en"",""pt"")"),"Barato (livre com serviço), user friendly, confortável de usar.")</f>
        <v>Barato (livre com serviço), user friendly, confortável de usar.</v>
      </c>
      <c r="B57089" s="3">
        <v>1</v>
      </c>
    </row>
    <row r="57090" ht="15.75" customHeight="1" spans="1:2">
      <c r="A57090" s="3" t="str">
        <f>IFERROR(__xludf.DUMMYFUNCTION("GOOGLETRANSLATE(A57090,""en"",""pt"")"),"Pequeno, fácil de personalizar, seguro")</f>
        <v>Pequeno, fácil de personalizar, seguro</v>
      </c>
      <c r="B57090" s="3">
        <v>1</v>
      </c>
    </row>
    <row r="57091" ht="15.75" customHeight="1" spans="1:2">
      <c r="A57091" s="3" t="str">
        <f>IFERROR(__xludf.DUMMYFUNCTION("GOOGLETRANSLATE(A57091,""en"",""pt"")"),"Tamanho pequeno")</f>
        <v>Tamanho pequeno</v>
      </c>
      <c r="B57091" s="3">
        <v>1</v>
      </c>
    </row>
    <row r="57092" ht="15.75" customHeight="1" spans="1:2">
      <c r="A57092" s="3" t="str">
        <f>IFERROR(__xludf.DUMMYFUNCTION("GOOGLETRANSLATE(A57092,""en"",""pt"")"),"Foi livre; lotes de toques; jogos e outros recursos interessantes")</f>
        <v>Foi livre; lotes de toques; jogos e outros recursos interessantes</v>
      </c>
      <c r="B57092" s="3">
        <v>1</v>
      </c>
    </row>
    <row r="57093" ht="15.75" customHeight="1" spans="1:2">
      <c r="A57093" s="3" t="str">
        <f>IFERROR(__xludf.DUMMYFUNCTION("GOOGLETRANSLATE(A57093,""en"",""pt"")"),"Durável, leve e fácil de usar.")</f>
        <v>Durável, leve e fácil de usar.</v>
      </c>
      <c r="B57093" s="3">
        <v>1</v>
      </c>
    </row>
    <row r="57094" ht="15.75" customHeight="1" spans="1:2">
      <c r="A57094" s="3" t="str">
        <f>IFERROR(__xludf.DUMMYFUNCTION("GOOGLETRANSLATE(A57094,""en"",""pt"")"),"lista telefônica, opções de toque, na tela exibe")</f>
        <v>lista telefônica, opções de toque, na tela exibe</v>
      </c>
      <c r="B57094" s="3">
        <v>1</v>
      </c>
    </row>
    <row r="57095" ht="15.75" customHeight="1" spans="1:2">
      <c r="A57095" s="3" t="str">
        <f>IFERROR(__xludf.DUMMYFUNCTION("GOOGLETRANSLATE(A57095,""en"",""pt"")"),"tão fácil e intuitivo de usar")</f>
        <v>tão fácil e intuitivo de usar</v>
      </c>
      <c r="B57095" s="3">
        <v>1</v>
      </c>
    </row>
    <row r="57096" ht="15.75" customHeight="1" spans="1:2">
      <c r="A57096" s="3" t="str">
        <f>IFERROR(__xludf.DUMMYFUNCTION("GOOGLETRANSLATE(A57096,""en"",""pt"")"),"barato (gratuito), facilidade de uso")</f>
        <v>barato (gratuito), facilidade de uso</v>
      </c>
      <c r="B57096" s="3">
        <v>1</v>
      </c>
    </row>
    <row r="57097" ht="15.75" customHeight="1" spans="1:2">
      <c r="A57097" s="3" t="str">
        <f>IFERROR(__xludf.DUMMYFUNCTION("GOOGLETRANSLATE(A57097,""en"",""pt"")"),"É claro, há tarifas de roaming, &amp; amp; muitos acessórios")</f>
        <v>É claro, há tarifas de roaming, &amp; amp; muitos acessórios</v>
      </c>
      <c r="B57097" s="3">
        <v>1</v>
      </c>
    </row>
    <row r="57098" ht="15.75" customHeight="1" spans="1:2">
      <c r="A57098" s="3" t="str">
        <f>IFERROR(__xludf.DUMMYFUNCTION("GOOGLETRANSLATE(A57098,""en"",""pt"")"),"Peso leve, barato, Jogos")</f>
        <v>Peso leve, barato, Jogos</v>
      </c>
      <c r="B57098" s="3">
        <v>1</v>
      </c>
    </row>
    <row r="57099" ht="15.75" customHeight="1" spans="1:2">
      <c r="A57099" s="3" t="str">
        <f>IFERROR(__xludf.DUMMYFUNCTION("GOOGLETRANSLATE(A57099,""en"",""pt"")"),"Preço muito baixo")</f>
        <v>Preço muito baixo</v>
      </c>
      <c r="B57099" s="3">
        <v>1</v>
      </c>
    </row>
    <row r="57100" ht="15.75" customHeight="1" spans="1:2">
      <c r="A57100" s="3" t="str">
        <f>IFERROR(__xludf.DUMMYFUNCTION("GOOGLETRANSLATE(A57100,""en"",""pt"")"),"É fácil de transportar, não precisa ser cobrado por dia, e mais importante faz você olhar fresco")</f>
        <v>É fácil de transportar, não precisa ser cobrado por dia, e mais importante faz você olhar fresco</v>
      </c>
      <c r="B57100" s="3">
        <v>1</v>
      </c>
    </row>
    <row r="57101" ht="15.75" customHeight="1" spans="1:2">
      <c r="A57101" s="3" t="str">
        <f>IFERROR(__xludf.DUMMYFUNCTION("GOOGLETRANSLATE(A57101,""en"",""pt"")"),"Funcionalidade, durável, de baixo custo, fácil de usar")</f>
        <v>Funcionalidade, durável, de baixo custo, fácil de usar</v>
      </c>
      <c r="B57101" s="3">
        <v>1</v>
      </c>
    </row>
    <row r="57102" ht="15.75" customHeight="1" spans="1:2">
      <c r="A57102" s="3" t="str">
        <f>IFERROR(__xludf.DUMMYFUNCTION("GOOGLETRANSLATE(A57102,""en"",""pt"")"),"construção sólida")</f>
        <v>construção sólida</v>
      </c>
      <c r="B57102" s="3">
        <v>1</v>
      </c>
    </row>
    <row r="57103" ht="15.75" customHeight="1" spans="1:2">
      <c r="A57103" s="3" t="str">
        <f>IFERROR(__xludf.DUMMYFUNCTION("GOOGLETRANSLATE(A57103,""en"",""pt"")"),"A abundância de acessórios e cobre a face, sistema de menu agradável, durável")</f>
        <v>A abundância de acessórios e cobre a face, sistema de menu agradável, durável</v>
      </c>
      <c r="B57103" s="3">
        <v>1</v>
      </c>
    </row>
    <row r="57104" ht="15.75" customHeight="1" spans="1:2">
      <c r="A57104" s="3" t="str">
        <f>IFERROR(__xludf.DUMMYFUNCTION("GOOGLETRANSLATE(A57104,""en"",""pt"")"),"muito discreto, durável, barato")</f>
        <v>muito discreto, durável, barato</v>
      </c>
      <c r="B57104" s="3">
        <v>1</v>
      </c>
    </row>
    <row r="57105" ht="15.75" customHeight="1" spans="1:2">
      <c r="A57105" s="3" t="str">
        <f>IFERROR(__xludf.DUMMYFUNCTION("GOOGLETRANSLATE(A57105,""en"",""pt"")"),"Ele veio livre com o serviço")</f>
        <v>Ele veio livre com o serviço</v>
      </c>
      <c r="B57105" s="3">
        <v>1</v>
      </c>
    </row>
    <row r="57106" ht="15.75" customHeight="1" spans="1:2">
      <c r="A57106" s="3" t="str">
        <f>IFERROR(__xludf.DUMMYFUNCTION("GOOGLETRANSLATE(A57106,""en"",""pt"")"),"customizáveis, portátil, durável")</f>
        <v>customizáveis, portátil, durável</v>
      </c>
      <c r="B57106" s="3">
        <v>1</v>
      </c>
    </row>
    <row r="57107" ht="15.75" customHeight="1" spans="1:2">
      <c r="A57107" s="3" t="str">
        <f>IFERROR(__xludf.DUMMYFUNCTION("GOOGLETRANSLATE(A57107,""en"",""pt"")"),"Grandes recursos, leve")</f>
        <v>Grandes recursos, leve</v>
      </c>
      <c r="B57107" s="3">
        <v>1</v>
      </c>
    </row>
    <row r="57108" ht="15.75" customHeight="1" spans="1:2">
      <c r="A57108" s="3" t="str">
        <f>IFERROR(__xludf.DUMMYFUNCTION("GOOGLETRANSLATE(A57108,""en"",""pt"")"),"Elegante, capaz de personalizar ao seu gosto, recepção, Nokia qualidade.")</f>
        <v>Elegante, capaz de personalizar ao seu gosto, recepção, Nokia qualidade.</v>
      </c>
      <c r="B57108" s="3">
        <v>1</v>
      </c>
    </row>
    <row r="57109" ht="15.75" customHeight="1" spans="1:2">
      <c r="A57109" s="3" t="str">
        <f>IFERROR(__xludf.DUMMYFUNCTION("GOOGLETRANSLATE(A57109,""en"",""pt"")"),"Compacto, leve muitos recursos")</f>
        <v>Compacto, leve muitos recursos</v>
      </c>
      <c r="B57109" s="3">
        <v>1</v>
      </c>
    </row>
    <row r="57110" ht="15.75" customHeight="1" spans="1:2">
      <c r="A57110" s="3" t="str">
        <f>IFERROR(__xludf.DUMMYFUNCTION("GOOGLETRANSLATE(A57110,""en"",""pt"")"),"Preço, características, tamanho, compatibilidade, durabilidade, customizável.")</f>
        <v>Preço, características, tamanho, compatibilidade, durabilidade, customizável.</v>
      </c>
      <c r="B57110" s="3">
        <v>1</v>
      </c>
    </row>
    <row r="57111" ht="15.75" customHeight="1" spans="1:2">
      <c r="A57111" s="3" t="str">
        <f>IFERROR(__xludf.DUMMYFUNCTION("GOOGLETRANSLATE(A57111,""en"",""pt"")"),"Boa básicos do telefone, GSM, SMS")</f>
        <v>Boa básicos do telefone, GSM, SMS</v>
      </c>
      <c r="B57111" s="3">
        <v>1</v>
      </c>
    </row>
    <row r="57112" ht="15.75" customHeight="1" spans="1:2">
      <c r="A57112" s="3" t="str">
        <f>IFERROR(__xludf.DUMMYFUNCTION("GOOGLETRANSLATE(A57112,""en"",""pt"")"),"Pequeno, fácil de usar, o lote de cores!")</f>
        <v>Pequeno, fácil de usar, o lote de cores!</v>
      </c>
      <c r="B57112" s="3">
        <v>1</v>
      </c>
    </row>
    <row r="57113" ht="15.75" customHeight="1" spans="1:2">
      <c r="A57113" s="3" t="str">
        <f>IFERROR(__xludf.DUMMYFUNCTION("GOOGLETRANSLATE(A57113,""en"",""pt"")"),"pequeno, confiável e você pode mudar as cores para caber qualquer humor!")</f>
        <v>pequeno, confiável e você pode mudar as cores para caber qualquer humor!</v>
      </c>
      <c r="B57113" s="3">
        <v>1</v>
      </c>
    </row>
    <row r="57114" ht="15.75" customHeight="1" spans="1:2">
      <c r="A57114" s="3" t="str">
        <f>IFERROR(__xludf.DUMMYFUNCTION("GOOGLETRANSLATE(A57114,""en"",""pt"")"),"Fácil de usar, confiável, durável, bastante barato")</f>
        <v>Fácil de usar, confiável, durável, bastante barato</v>
      </c>
      <c r="B57114" s="3">
        <v>1</v>
      </c>
    </row>
    <row r="57115" ht="15.75" customHeight="1" spans="1:2">
      <c r="A57115" s="3" t="str">
        <f>IFERROR(__xludf.DUMMYFUNCTION("GOOGLETRANSLATE(A57115,""en"",""pt"")"),"Excelente facilidade de uso, visível, teclado tátil, estrutura de menus simples")</f>
        <v>Excelente facilidade de uso, visível, teclado tátil, estrutura de menus simples</v>
      </c>
      <c r="B57115" s="3">
        <v>1</v>
      </c>
    </row>
    <row r="57116" ht="15.75" customHeight="1" spans="1:2">
      <c r="A57116" s="3" t="str">
        <f>IFERROR(__xludf.DUMMYFUNCTION("GOOGLETRANSLATE(A57116,""en"",""pt"")"),"O tamanho pequeno, o tempo de espera fenomenal, recurso PIN")</f>
        <v>O tamanho pequeno, o tempo de espera fenomenal, recurso PIN</v>
      </c>
      <c r="B57116" s="3">
        <v>1</v>
      </c>
    </row>
    <row r="57117" ht="15.75" customHeight="1" spans="1:2">
      <c r="A57117" s="3" t="str">
        <f>IFERROR(__xludf.DUMMYFUNCTION("GOOGLETRANSLATE(A57117,""en"",""pt"")"),"Leve, personalizable")</f>
        <v>Leve, personalizable</v>
      </c>
      <c r="B57117" s="3">
        <v>1</v>
      </c>
    </row>
    <row r="57118" ht="15.75" customHeight="1" spans="1:2">
      <c r="A57118" s="3" t="str">
        <f>IFERROR(__xludf.DUMMYFUNCTION("GOOGLETRANSLATE(A57118,""en"",""pt"")"),"Muitas características boas e aparência personalizada")</f>
        <v>Muitas características boas e aparência personalizada</v>
      </c>
      <c r="B57118" s="3">
        <v>1</v>
      </c>
    </row>
    <row r="57119" ht="15.75" customHeight="1" spans="1:2">
      <c r="A57119" s="3" t="str">
        <f>IFERROR(__xludf.DUMMYFUNCTION("GOOGLETRANSLATE(A57119,""en"",""pt"")"),"tecnicamente, um telefone gratuito")</f>
        <v>tecnicamente, um telefone gratuito</v>
      </c>
      <c r="B57119" s="3">
        <v>1</v>
      </c>
    </row>
    <row r="57120" ht="15.75" customHeight="1" spans="1:2">
      <c r="A57120" s="3" t="str">
        <f>IFERROR(__xludf.DUMMYFUNCTION("GOOGLETRANSLATE(A57120,""en"",""pt"")"),"ótimas opções")</f>
        <v>ótimas opções</v>
      </c>
      <c r="B57120" s="3">
        <v>1</v>
      </c>
    </row>
    <row r="57121" ht="15.75" customHeight="1" spans="1:2">
      <c r="A57121" s="3" t="str">
        <f>IFERROR(__xludf.DUMMYFUNCTION("GOOGLETRANSLATE(A57121,""en"",""pt"")"),"É ótimo para fins de emergência e viajar. É bonito olhar ea recepção é clara na maioria das vezes.")</f>
        <v>É ótimo para fins de emergência e viajar. É bonito olhar ea recepção é clara na maioria das vezes.</v>
      </c>
      <c r="B57121" s="3">
        <v>1</v>
      </c>
    </row>
    <row r="57122" ht="15.75" customHeight="1" spans="1:2">
      <c r="A57122" s="3" t="str">
        <f>IFERROR(__xludf.DUMMYFUNCTION("GOOGLETRANSLATE(A57122,""en"",""pt"")"),"Olha, tela, bateria, microfone, recursos")</f>
        <v>Olha, tela, bateria, microfone, recursos</v>
      </c>
      <c r="B57122" s="3">
        <v>1</v>
      </c>
    </row>
    <row r="57123" ht="15.75" customHeight="1" spans="1:2">
      <c r="A57123" s="3" t="str">
        <f>IFERROR(__xludf.DUMMYFUNCTION("GOOGLETRANSLATE(A57123,""en"",""pt"")"),"5190")</f>
        <v>5190</v>
      </c>
      <c r="B57123" s="3">
        <v>1</v>
      </c>
    </row>
    <row r="57124" ht="15.75" customHeight="1" spans="1:2">
      <c r="A57124" s="3" t="str">
        <f>IFERROR(__xludf.DUMMYFUNCTION("GOOGLETRANSLATE(A57124,""en"",""pt"")"),"Tudo sobre ele")</f>
        <v>Tudo sobre ele</v>
      </c>
      <c r="B57124" s="3">
        <v>1</v>
      </c>
    </row>
    <row r="57125" ht="15.75" customHeight="1" spans="1:2">
      <c r="A57125" s="3" t="str">
        <f>IFERROR(__xludf.DUMMYFUNCTION("GOOGLETRANSLATE(A57125,""en"",""pt"")"),"arrefecer gadgets e boa confiabilidade")</f>
        <v>arrefecer gadgets e boa confiabilidade</v>
      </c>
      <c r="B57125" s="3">
        <v>1</v>
      </c>
    </row>
    <row r="57126" ht="15.75" customHeight="1" spans="1:2">
      <c r="A57126" s="3" t="str">
        <f>IFERROR(__xludf.DUMMYFUNCTION("GOOGLETRANSLATE(A57126,""en"",""pt"")"),"Barato (no preço) confiável")</f>
        <v>Barato (no preço) confiável</v>
      </c>
      <c r="B57126" s="3">
        <v>1</v>
      </c>
    </row>
    <row r="57127" ht="15.75" customHeight="1" spans="1:2">
      <c r="A57127" s="3" t="str">
        <f>IFERROR(__xludf.DUMMYFUNCTION("GOOGLETRANSLATE(A57127,""en"",""pt"")"),"1. Fácil de usar 2.lots de tons variedade 3.Large de placas de cara")</f>
        <v>1. Fácil de usar 2.lots de tons variedade 3.Large de placas de cara</v>
      </c>
      <c r="B57127" s="3">
        <v>1</v>
      </c>
    </row>
    <row r="57128" ht="15.75" customHeight="1" spans="1:2">
      <c r="A57128" s="3" t="str">
        <f>IFERROR(__xludf.DUMMYFUNCTION("GOOGLETRANSLATE(A57128,""en"",""pt"")"),"Livre com contrato de 1 ano com a Cingular Wireless")</f>
        <v>Livre com contrato de 1 ano com a Cingular Wireless</v>
      </c>
      <c r="B57128" s="3">
        <v>1</v>
      </c>
    </row>
    <row r="57129" ht="15.75" customHeight="1" spans="1:2">
      <c r="A57129" s="3" t="str">
        <f>IFERROR(__xludf.DUMMYFUNCTION("GOOGLETRANSLATE(A57129,""en"",""pt"")"),"Tom grande!")</f>
        <v>Tom grande!</v>
      </c>
      <c r="B57129" s="3">
        <v>1</v>
      </c>
    </row>
    <row r="57130" ht="15.75" customHeight="1" spans="1:2">
      <c r="A57130" s="3" t="str">
        <f>IFERROR(__xludf.DUMMYFUNCTION("GOOGLETRANSLATE(A57130,""en"",""pt"")"),"Arrefecer tampas mutáveis")</f>
        <v>Arrefecer tampas mutáveis</v>
      </c>
      <c r="B57130" s="3">
        <v>1</v>
      </c>
    </row>
    <row r="57131" ht="15.75" customHeight="1" spans="1:2">
      <c r="A57131" s="3" t="str">
        <f>IFERROR(__xludf.DUMMYFUNCTION("GOOGLETRANSLATE(A57131,""en"",""pt"")"),"rostos intercambiáveis ​​para combinar com a decoração")</f>
        <v>rostos intercambiáveis ​​para combinar com a decoração</v>
      </c>
      <c r="B57131" s="3">
        <v>1</v>
      </c>
    </row>
    <row r="57132" ht="15.75" customHeight="1" spans="1:2">
      <c r="A57132" s="3" t="str">
        <f>IFERROR(__xludf.DUMMYFUNCTION("GOOGLETRANSLATE(A57132,""en"",""pt"")"),"acessível, prático, fácil de usar, fácil de personalizar")</f>
        <v>acessível, prático, fácil de usar, fácil de personalizar</v>
      </c>
      <c r="B57132" s="3">
        <v>1</v>
      </c>
    </row>
    <row r="57133" ht="15.75" customHeight="1" spans="1:2">
      <c r="A57133" s="3" t="str">
        <f>IFERROR(__xludf.DUMMYFUNCTION("GOOGLETRANSLATE(A57133,""en"",""pt"")"),"Compact, um som claro e fácil de usar")</f>
        <v>Compact, um som claro e fácil de usar</v>
      </c>
      <c r="B57133" s="3">
        <v>1</v>
      </c>
    </row>
    <row r="57134" ht="15.75" customHeight="1" spans="1:2">
      <c r="A57134" s="3" t="str">
        <f>IFERROR(__xludf.DUMMYFUNCTION("GOOGLETRANSLATE(A57134,""en"",""pt"")"),"pequeno, muitos bons recursos disponíveis com grandes planos")</f>
        <v>pequeno, muitos bons recursos disponíveis com grandes planos</v>
      </c>
      <c r="B57134" s="3">
        <v>1</v>
      </c>
    </row>
    <row r="57135" ht="15.75" customHeight="1" spans="1:2">
      <c r="A57135" s="3" t="str">
        <f>IFERROR(__xludf.DUMMYFUNCTION("GOOGLETRANSLATE(A57135,""en"",""pt"")"),"Arrefecer tampas comutáveis")</f>
        <v>Arrefecer tampas comutáveis</v>
      </c>
      <c r="B57135" s="3">
        <v>1</v>
      </c>
    </row>
    <row r="57136" ht="15.75" customHeight="1" spans="1:2">
      <c r="A57136" s="3" t="str">
        <f>IFERROR(__xludf.DUMMYFUNCTION("GOOGLETRANSLATE(A57136,""en"",""pt"")"),"apresenta, trabalhos em baixo sinal")</f>
        <v>apresenta, trabalhos em baixo sinal</v>
      </c>
      <c r="B57136" s="3">
        <v>1</v>
      </c>
    </row>
    <row r="57137" ht="15.75" customHeight="1" spans="1:2">
      <c r="A57137" s="3" t="str">
        <f>IFERROR(__xludf.DUMMYFUNCTION("GOOGLETRANSLATE(A57137,""en"",""pt"")"),"divertido e funcional")</f>
        <v>divertido e funcional</v>
      </c>
      <c r="B57137" s="3">
        <v>1</v>
      </c>
    </row>
    <row r="57138" ht="15.75" customHeight="1" spans="1:2">
      <c r="A57138" s="3" t="str">
        <f>IFERROR(__xludf.DUMMYFUNCTION("GOOGLETRANSLATE(A57138,""en"",""pt"")"),"Simples, fácil de usar")</f>
        <v>Simples, fácil de usar</v>
      </c>
      <c r="B57138" s="3">
        <v>1</v>
      </c>
    </row>
    <row r="57139" ht="15.75" customHeight="1" spans="1:2">
      <c r="A57139" s="3" t="str">
        <f>IFERROR(__xludf.DUMMYFUNCTION("GOOGLETRANSLATE(A57139,""en"",""pt"")"),"Lotes das características")</f>
        <v>Lotes das características</v>
      </c>
      <c r="B57139" s="3">
        <v>1</v>
      </c>
    </row>
    <row r="57140" ht="15.75" customHeight="1" spans="1:2">
      <c r="A57140" s="3" t="str">
        <f>IFERROR(__xludf.DUMMYFUNCTION("GOOGLETRANSLATE(A57140,""en"",""pt"")"),"aparência, características, cartão de chamada, discagem rápida")</f>
        <v>aparência, características, cartão de chamada, discagem rápida</v>
      </c>
      <c r="B57140" s="3">
        <v>1</v>
      </c>
    </row>
    <row r="57141" ht="15.75" customHeight="1" spans="1:2">
      <c r="A57141" s="3" t="str">
        <f>IFERROR(__xludf.DUMMYFUNCTION("GOOGLETRANSLATE(A57141,""en"",""pt"")"),"você pode sempre fazê-lo parecer diferente")</f>
        <v>você pode sempre fazê-lo parecer diferente</v>
      </c>
      <c r="B57141" s="3">
        <v>1</v>
      </c>
    </row>
    <row r="57142" ht="15.75" customHeight="1" spans="1:2">
      <c r="A57142" s="3" t="str">
        <f>IFERROR(__xludf.DUMMYFUNCTION("GOOGLETRANSLATE(A57142,""en"",""pt"")"),"Este telefone tem cerca de 30 diferentes tocando ruídos, opções, e você pode mudar o olhar.")</f>
        <v>Este telefone tem cerca de 30 diferentes tocando ruídos, opções, e você pode mudar o olhar.</v>
      </c>
      <c r="B57142" s="3">
        <v>1</v>
      </c>
    </row>
    <row r="57143" ht="15.75" customHeight="1" spans="1:2">
      <c r="A57143" s="3" t="str">
        <f>IFERROR(__xludf.DUMMYFUNCTION("GOOGLETRANSLATE(A57143,""en"",""pt"")"),"Pequeno, confiável, bateria de longa duração")</f>
        <v>Pequeno, confiável, bateria de longa duração</v>
      </c>
      <c r="B57143" s="3">
        <v>1</v>
      </c>
    </row>
    <row r="57144" ht="15.75" customHeight="1" spans="1:2">
      <c r="A57144" s="3" t="str">
        <f>IFERROR(__xludf.DUMMYFUNCTION("GOOGLETRANSLATE(A57144,""en"",""pt"")"),"recursos abundantes, bateria de longa duração, operação simples")</f>
        <v>recursos abundantes, bateria de longa duração, operação simples</v>
      </c>
      <c r="B57144" s="3">
        <v>1</v>
      </c>
    </row>
    <row r="57145" ht="15.75" customHeight="1" spans="1:2">
      <c r="A57145" s="3" t="str">
        <f>IFERROR(__xludf.DUMMYFUNCTION("GOOGLETRANSLATE(A57145,""en"",""pt"")"),"Tamanho compacto, disponibilidade de peças universal, preço, a permutabilidade de faceplates / baterias, SMS e e-mail compatível")</f>
        <v>Tamanho compacto, disponibilidade de peças universal, preço, a permutabilidade de faceplates / baterias, SMS e e-mail compatível</v>
      </c>
      <c r="B57145" s="3">
        <v>1</v>
      </c>
    </row>
    <row r="57146" ht="15.75" customHeight="1" spans="1:2">
      <c r="A57146" s="3" t="str">
        <f>IFERROR(__xludf.DUMMYFUNCTION("GOOGLETRANSLATE(A57146,""en"",""pt"")"),"Eu gosto da interface GUI")</f>
        <v>Eu gosto da interface GUI</v>
      </c>
      <c r="B57146" s="3">
        <v>1</v>
      </c>
    </row>
    <row r="57147" ht="15.75" customHeight="1" spans="1:2">
      <c r="A57147" s="3" t="str">
        <f>IFERROR(__xludf.DUMMYFUNCTION("GOOGLETRANSLATE(A57147,""en"",""pt"")"),"fácil de manusear, botões iluminados")</f>
        <v>fácil de manusear, botões iluminados</v>
      </c>
      <c r="B57147" s="3">
        <v>1</v>
      </c>
    </row>
    <row r="57148" ht="15.75" customHeight="1" spans="1:2">
      <c r="A57148" s="3" t="str">
        <f>IFERROR(__xludf.DUMMYFUNCTION("GOOGLETRANSLATE(A57148,""en"",""pt"")"),"Fácil de usar, som claro, dependale, de alta qualidade")</f>
        <v>Fácil de usar, som claro, dependale, de alta qualidade</v>
      </c>
      <c r="B57148" s="3">
        <v>1</v>
      </c>
    </row>
    <row r="57149" ht="15.75" customHeight="1" spans="1:2">
      <c r="A57149" s="3" t="str">
        <f>IFERROR(__xludf.DUMMYFUNCTION("GOOGLETRANSLATE(A57149,""en"",""pt"")"),"customizáveis, durável")</f>
        <v>customizáveis, durável</v>
      </c>
      <c r="B57149" s="3">
        <v>1</v>
      </c>
    </row>
    <row r="57150" ht="15.75" customHeight="1" spans="1:2">
      <c r="A57150" s="3" t="str">
        <f>IFERROR(__xludf.DUMMYFUNCTION("GOOGLETRANSLATE(A57150,""en"",""pt"")"),"Tudo que você precisa")</f>
        <v>Tudo que você precisa</v>
      </c>
      <c r="B57150" s="3">
        <v>1</v>
      </c>
    </row>
    <row r="57151" ht="15.75" customHeight="1" spans="1:2">
      <c r="A57151" s="3" t="str">
        <f>IFERROR(__xludf.DUMMYFUNCTION("GOOGLETRANSLATE(A57151,""en"",""pt"")"),"Excelente valor e pesa apenas 6 onças.")</f>
        <v>Excelente valor e pesa apenas 6 onças.</v>
      </c>
      <c r="B57151" s="3">
        <v>1</v>
      </c>
    </row>
    <row r="57152" ht="15.75" customHeight="1" spans="1:2">
      <c r="A57152" s="3" t="str">
        <f>IFERROR(__xludf.DUMMYFUNCTION("GOOGLETRANSLATE(A57152,""en"",""pt"")"),"Changable cores, mensagens de texto, som de qualidade")</f>
        <v>Changable cores, mensagens de texto, som de qualidade</v>
      </c>
      <c r="B57152" s="3">
        <v>1</v>
      </c>
    </row>
    <row r="57153" ht="15.75" customHeight="1" spans="1:2">
      <c r="A57153" s="3" t="str">
        <f>IFERROR(__xludf.DUMMYFUNCTION("GOOGLETRANSLATE(A57153,""en"",""pt"")"),"vida útil da bateria, cheio de recursos")</f>
        <v>vida útil da bateria, cheio de recursos</v>
      </c>
      <c r="B57153" s="3">
        <v>1</v>
      </c>
    </row>
    <row r="57154" ht="15.75" customHeight="1" spans="1:2">
      <c r="A57154" s="3" t="str">
        <f>IFERROR(__xludf.DUMMYFUNCTION("GOOGLETRANSLATE(A57154,""en"",""pt"")"),"Grande ligação.")</f>
        <v>Grande ligação.</v>
      </c>
      <c r="B57154" s="3">
        <v>1</v>
      </c>
    </row>
    <row r="57155" ht="15.75" customHeight="1" spans="1:2">
      <c r="A57155" s="3" t="str">
        <f>IFERROR(__xludf.DUMMYFUNCTION("GOOGLETRANSLATE(A57155,""en"",""pt"")"),"Não é um mau tamanho, placas coloridas de rosto, múltiplos anéis")</f>
        <v>Não é um mau tamanho, placas coloridas de rosto, múltiplos anéis</v>
      </c>
      <c r="B57155" s="3">
        <v>1</v>
      </c>
    </row>
    <row r="57156" ht="15.75" customHeight="1" spans="1:2">
      <c r="A57156" s="3" t="str">
        <f>IFERROR(__xludf.DUMMYFUNCTION("GOOGLETRANSLATE(A57156,""en"",""pt"")"),"pequeno, leve, fácil de usar, Xpress-on tampas da cor")</f>
        <v>pequeno, leve, fácil de usar, Xpress-on tampas da cor</v>
      </c>
      <c r="B57156" s="3">
        <v>1</v>
      </c>
    </row>
    <row r="57157" ht="15.75" customHeight="1" spans="1:2">
      <c r="A57157" s="3" t="str">
        <f>IFERROR(__xludf.DUMMYFUNCTION("GOOGLETRANSLATE(A57157,""en"",""pt"")"),"Muito fácil de usar")</f>
        <v>Muito fácil de usar</v>
      </c>
      <c r="B57157" s="3">
        <v>1</v>
      </c>
    </row>
    <row r="57158" ht="15.75" customHeight="1" spans="1:2">
      <c r="A57158" s="3" t="str">
        <f>IFERROR(__xludf.DUMMYFUNCTION("GOOGLETRANSLATE(A57158,""en"",""pt"")"),"Muitos recursos, cartão SIM inteligente, preço")</f>
        <v>Muitos recursos, cartão SIM inteligente, preço</v>
      </c>
      <c r="B57158" s="3">
        <v>1</v>
      </c>
    </row>
    <row r="57159" ht="15.75" customHeight="1" spans="1:2">
      <c r="A57159" s="3" t="str">
        <f>IFERROR(__xludf.DUMMYFUNCTION("GOOGLETRANSLATE(A57159,""en"",""pt"")"),"Lotes de acessórios, a abundância de recursos, fácil de usar")</f>
        <v>Lotes de acessórios, a abundância de recursos, fácil de usar</v>
      </c>
      <c r="B57159" s="3">
        <v>1</v>
      </c>
    </row>
    <row r="57160" ht="15.75" customHeight="1" spans="1:2">
      <c r="A57160" s="3" t="str">
        <f>IFERROR(__xludf.DUMMYFUNCTION("GOOGLETRANSLATE(A57160,""en"",""pt"")"),"Bom tamanho (não demasiado grande ou pequena!), Boas opções!")</f>
        <v>Bom tamanho (não demasiado grande ou pequena!), Boas opções!</v>
      </c>
      <c r="B57160" s="3">
        <v>1</v>
      </c>
    </row>
    <row r="57161" ht="15.75" customHeight="1" spans="1:2">
      <c r="A57161" s="3" t="str">
        <f>IFERROR(__xludf.DUMMYFUNCTION("GOOGLETRANSLATE(A57161,""en"",""pt"")"),"Parece bom. Detém um poço de carga da bateria. placa frontal intermutáveis.")</f>
        <v>Parece bom. Detém um poço de carga da bateria. placa frontal intermutáveis.</v>
      </c>
      <c r="B57161" s="3">
        <v>1</v>
      </c>
    </row>
    <row r="57162" ht="15.75" customHeight="1" spans="1:2">
      <c r="A57162" s="3" t="str">
        <f>IFERROR(__xludf.DUMMYFUNCTION("GOOGLETRANSLATE(A57162,""en"",""pt"")"),"algumas características interessantes")</f>
        <v>algumas características interessantes</v>
      </c>
      <c r="B57162" s="3">
        <v>1</v>
      </c>
    </row>
    <row r="57163" ht="15.75" customHeight="1" spans="1:2">
      <c r="A57163" s="3" t="str">
        <f>IFERROR(__xludf.DUMMYFUNCTION("GOOGLETRANSLATE(A57163,""en"",""pt"")"),"Relativamente pequeno, inúmeras opções de anel, relógio despertador, e identificador de chamadas")</f>
        <v>Relativamente pequeno, inúmeras opções de anel, relógio despertador, e identificador de chamadas</v>
      </c>
      <c r="B57163" s="3">
        <v>1</v>
      </c>
    </row>
    <row r="57164" ht="15.75" customHeight="1" spans="1:2">
      <c r="A57164" s="3" t="str">
        <f>IFERROR(__xludf.DUMMYFUNCTION("GOOGLETRANSLATE(A57164,""en"",""pt"")"),"Barato")</f>
        <v>Barato</v>
      </c>
      <c r="B57164" s="3">
        <v>1</v>
      </c>
    </row>
    <row r="57165" ht="15.75" customHeight="1" spans="1:2">
      <c r="A57165" s="3" t="str">
        <f>IFERROR(__xludf.DUMMYFUNCTION("GOOGLETRANSLATE(A57165,""en"",""pt"")"),"O peso leve, Carregado com características, Uma marcação por toque, Longa duração da bateria")</f>
        <v>O peso leve, Carregado com características, Uma marcação por toque, Longa duração da bateria</v>
      </c>
      <c r="B57165" s="3">
        <v>1</v>
      </c>
    </row>
    <row r="57166" ht="15.75" customHeight="1" spans="1:2">
      <c r="A57166" s="3" t="str">
        <f>IFERROR(__xludf.DUMMYFUNCTION("GOOGLETRANSLATE(A57166,""en"",""pt"")"),"Preço (Free), a qualidade de som, Características")</f>
        <v>Preço (Free), a qualidade de som, Características</v>
      </c>
      <c r="B57166" s="3">
        <v>1</v>
      </c>
    </row>
    <row r="57167" ht="15.75" customHeight="1" spans="1:2">
      <c r="A57167" s="3" t="str">
        <f>IFERROR(__xludf.DUMMYFUNCTION("GOOGLETRANSLATE(A57167,""en"",""pt"")"),"Design simples, fácil utilização")</f>
        <v>Design simples, fácil utilização</v>
      </c>
      <c r="B57167" s="3">
        <v>1</v>
      </c>
    </row>
    <row r="57168" ht="15.75" customHeight="1" spans="1:2">
      <c r="A57168" s="3" t="str">
        <f>IFERROR(__xludf.DUMMYFUNCTION("GOOGLETRANSLATE(A57168,""en"",""pt"")"),"tampas dianteiras e traseiras intercambiáveis. bateria de longa duração, Games.")</f>
        <v>tampas dianteiras e traseiras intercambiáveis. bateria de longa duração, Games.</v>
      </c>
      <c r="B57168" s="3">
        <v>1</v>
      </c>
    </row>
    <row r="57169" ht="15.75" customHeight="1" spans="1:2">
      <c r="A57169" s="3" t="str">
        <f>IFERROR(__xludf.DUMMYFUNCTION("GOOGLETRANSLATE(A57169,""en"",""pt"")"),"Fácil de usar")</f>
        <v>Fácil de usar</v>
      </c>
      <c r="B57169" s="3">
        <v>1</v>
      </c>
    </row>
    <row r="57170" ht="15.75" customHeight="1" spans="1:2">
      <c r="A57170" s="3" t="str">
        <f>IFERROR(__xludf.DUMMYFUNCTION("GOOGLETRANSLATE(A57170,""en"",""pt"")"),"Toques personalizados, a vida da bateria, durável.")</f>
        <v>Toques personalizados, a vida da bateria, durável.</v>
      </c>
      <c r="B57170" s="3">
        <v>1</v>
      </c>
    </row>
    <row r="57171" ht="15.75" customHeight="1" spans="1:2">
      <c r="A57171" s="3" t="str">
        <f>IFERROR(__xludf.DUMMYFUNCTION("GOOGLETRANSLATE(A57171,""en"",""pt"")"),"Fácil de usar")</f>
        <v>Fácil de usar</v>
      </c>
      <c r="B57171" s="3">
        <v>1</v>
      </c>
    </row>
    <row r="57172" ht="15.75" customHeight="1" spans="1:2">
      <c r="A57172" s="3" t="str">
        <f>IFERROR(__xludf.DUMMYFUNCTION("GOOGLETRANSLATE(A57172,""en"",""pt"")"),"grande projeto, user-friendly")</f>
        <v>grande projeto, user-friendly</v>
      </c>
      <c r="B57172" s="3">
        <v>1</v>
      </c>
    </row>
    <row r="57173" ht="15.75" customHeight="1" spans="1:2">
      <c r="A57173" s="3" t="str">
        <f>IFERROR(__xludf.DUMMYFUNCTION("GOOGLETRANSLATE(A57173,""en"",""pt"")"),"Livre (com ativação de serviços), acessórios baratos disponíveis on-line")</f>
        <v>Livre (com ativação de serviços), acessórios baratos disponíveis on-line</v>
      </c>
      <c r="B57173" s="3">
        <v>1</v>
      </c>
    </row>
    <row r="57174" ht="15.75" customHeight="1" spans="1:2">
      <c r="A57174" s="3" t="str">
        <f>IFERROR(__xludf.DUMMYFUNCTION("GOOGLETRANSLATE(A57174,""en"",""pt"")"),"Grande autonomia da bateria, acessórios superior, preço bom")</f>
        <v>Grande autonomia da bateria, acessórios superior, preço bom</v>
      </c>
      <c r="B57174" s="3">
        <v>1</v>
      </c>
    </row>
    <row r="57175" ht="15.75" customHeight="1" spans="1:2">
      <c r="A57175" s="3" t="str">
        <f>IFERROR(__xludf.DUMMYFUNCTION("GOOGLETRANSLATE(A57175,""en"",""pt"")"),"Longa duração / durável")</f>
        <v>Longa duração / durável</v>
      </c>
      <c r="B57175" s="3">
        <v>1</v>
      </c>
    </row>
    <row r="57176" ht="15.75" customHeight="1" spans="1:2">
      <c r="A57176" s="3" t="str">
        <f>IFERROR(__xludf.DUMMYFUNCTION("GOOGLETRANSLATE(A57176,""en"",""pt"")"),"Grande Opções e preço")</f>
        <v>Grande Opções e preço</v>
      </c>
      <c r="B57176" s="3">
        <v>1</v>
      </c>
    </row>
    <row r="57177" ht="15.75" customHeight="1" spans="1:2">
      <c r="A57177" s="3" t="str">
        <f>IFERROR(__xludf.DUMMYFUNCTION("GOOGLETRANSLATE(A57177,""en"",""pt"")"),"Nokia é menor")</f>
        <v>Nokia é menor</v>
      </c>
      <c r="B57177" s="3">
        <v>1</v>
      </c>
    </row>
    <row r="57178" ht="15.75" customHeight="1" spans="1:2">
      <c r="A57178" s="3" t="str">
        <f>IFERROR(__xludf.DUMMYFUNCTION("GOOGLETRANSLATE(A57178,""en"",""pt"")"),"Muitos acessórios puros que são fáceis de encontrar e muitas características puras.")</f>
        <v>Muitos acessórios puros que são fáceis de encontrar e muitas características puras.</v>
      </c>
      <c r="B57178" s="3">
        <v>1</v>
      </c>
    </row>
    <row r="57179" ht="15.75" customHeight="1" spans="1:2">
      <c r="A57179" s="3" t="str">
        <f>IFERROR(__xludf.DUMMYFUNCTION("GOOGLETRANSLATE(A57179,""en"",""pt"")"),"Luz, Pequeno, características de descida, colorido")</f>
        <v>Luz, Pequeno, características de descida, colorido</v>
      </c>
      <c r="B57179" s="3">
        <v>1</v>
      </c>
    </row>
    <row r="57180" ht="15.75" customHeight="1" spans="1:2">
      <c r="A57180" s="3" t="str">
        <f>IFERROR(__xludf.DUMMYFUNCTION("GOOGLETRANSLATE(A57180,""en"",""pt"")"),"Pequeno, fácil de usar")</f>
        <v>Pequeno, fácil de usar</v>
      </c>
      <c r="B57180" s="3">
        <v>1</v>
      </c>
    </row>
    <row r="57181" ht="15.75" customHeight="1" spans="1:2">
      <c r="A57181" s="3" t="str">
        <f>IFERROR(__xludf.DUMMYFUNCTION("GOOGLETRANSLATE(A57181,""en"",""pt"")"),"Robustez, tamanho, clareza,")</f>
        <v>Robustez, tamanho, clareza,</v>
      </c>
      <c r="B57181" s="3">
        <v>1</v>
      </c>
    </row>
    <row r="57182" ht="15.75" customHeight="1" spans="1:2">
      <c r="A57182" s="3" t="str">
        <f>IFERROR(__xludf.DUMMYFUNCTION("GOOGLETRANSLATE(A57182,""en"",""pt"")"),"Navi Key, rostos interchageable, tela grande")</f>
        <v>Navi Key, rostos interchageable, tela grande</v>
      </c>
      <c r="B57182" s="3">
        <v>1</v>
      </c>
    </row>
    <row r="57183" ht="15.75" customHeight="1" spans="1:2">
      <c r="A57183" s="3" t="str">
        <f>IFERROR(__xludf.DUMMYFUNCTION("GOOGLETRANSLATE(A57183,""en"",""pt"")"),"bom tamanho, fácil de usar")</f>
        <v>bom tamanho, fácil de usar</v>
      </c>
      <c r="B57183" s="3">
        <v>1</v>
      </c>
    </row>
    <row r="57184" ht="15.75" customHeight="1" spans="1:2">
      <c r="A57184" s="3" t="str">
        <f>IFERROR(__xludf.DUMMYFUNCTION("GOOGLETRANSLATE(A57184,""en"",""pt"")"),"Facilidade de uso e tamanho pequeno")</f>
        <v>Facilidade de uso e tamanho pequeno</v>
      </c>
      <c r="B57184" s="3">
        <v>1</v>
      </c>
    </row>
    <row r="57185" ht="15.75" customHeight="1" spans="1:2">
      <c r="A57185" s="3" t="str">
        <f>IFERROR(__xludf.DUMMYFUNCTION("GOOGLETRANSLATE(A57185,""en"",""pt"")"),"Apesar de um velho mas muito confiável.")</f>
        <v>Apesar de um velho mas muito confiável.</v>
      </c>
      <c r="B57185" s="3">
        <v>1</v>
      </c>
    </row>
    <row r="57186" ht="15.75" customHeight="1" spans="1:2">
      <c r="A57186" s="3" t="str">
        <f>IFERROR(__xludf.DUMMYFUNCTION("GOOGLETRANSLATE(A57186,""en"",""pt"")"),"Big fácil de operar botões")</f>
        <v>Big fácil de operar botões</v>
      </c>
      <c r="B57186" s="3">
        <v>1</v>
      </c>
    </row>
    <row r="57187" ht="15.75" customHeight="1" spans="1:2">
      <c r="A57187" s="3" t="str">
        <f>IFERROR(__xludf.DUMMYFUNCTION("GOOGLETRANSLATE(A57187,""en"",""pt"")"),"barato")</f>
        <v>barato</v>
      </c>
      <c r="B57187" s="3">
        <v>1</v>
      </c>
    </row>
    <row r="57188" ht="15.75" customHeight="1" spans="1:2">
      <c r="A57188" s="3" t="str">
        <f>IFERROR(__xludf.DUMMYFUNCTION("GOOGLETRANSLATE(A57188,""en"",""pt"")"),"Pequeno, grande procura telefone")</f>
        <v>Pequeno, grande procura telefone</v>
      </c>
      <c r="B57188" s="3">
        <v>1</v>
      </c>
    </row>
    <row r="57189" ht="15.75" customHeight="1" spans="1:2">
      <c r="A57189" s="3" t="str">
        <f>IFERROR(__xludf.DUMMYFUNCTION("GOOGLETRANSLATE(A57189,""en"",""pt"")"),"bom tamanho, pode mudar cores, antena, e as luzes principais pad")</f>
        <v>bom tamanho, pode mudar cores, antena, e as luzes principais pad</v>
      </c>
      <c r="B57189" s="3">
        <v>1</v>
      </c>
    </row>
    <row r="57190" ht="15.75" customHeight="1" spans="1:2">
      <c r="A57190" s="3" t="str">
        <f>IFERROR(__xludf.DUMMYFUNCTION("GOOGLETRANSLATE(A57190,""en"",""pt"")"),"Fácil de usar")</f>
        <v>Fácil de usar</v>
      </c>
      <c r="B57190" s="3">
        <v>1</v>
      </c>
    </row>
    <row r="57191" ht="15.75" customHeight="1" spans="1:2">
      <c r="A57191" s="3" t="str">
        <f>IFERROR(__xludf.DUMMYFUNCTION("GOOGLETRANSLATE(A57191,""en"",""pt"")"),"Não é um mau tamanho, placas coloridas de rosto, múltiplos anéis")</f>
        <v>Não é um mau tamanho, placas coloridas de rosto, múltiplos anéis</v>
      </c>
      <c r="B57191" s="3">
        <v>1</v>
      </c>
    </row>
    <row r="57192" ht="15.75" customHeight="1" spans="1:2">
      <c r="A57192" s="3" t="str">
        <f>IFERROR(__xludf.DUMMYFUNCTION("GOOGLETRANSLATE(A57192,""en"",""pt"")"),"Fácil de usar")</f>
        <v>Fácil de usar</v>
      </c>
      <c r="B57192" s="3">
        <v>1</v>
      </c>
    </row>
    <row r="57193" ht="15.75" customHeight="1" spans="1:2">
      <c r="A57193" s="3" t="str">
        <f>IFERROR(__xludf.DUMMYFUNCTION("GOOGLETRANSLATE(A57193,""en"",""pt"")"),"Bom desempenho de RF.")</f>
        <v>Bom desempenho de RF.</v>
      </c>
      <c r="B57193" s="3">
        <v>1</v>
      </c>
    </row>
    <row r="57194" ht="15.75" customHeight="1" spans="1:2">
      <c r="A57194" s="3" t="str">
        <f>IFERROR(__xludf.DUMMYFUNCTION("GOOGLETRANSLATE(A57194,""en"",""pt"")"),"O tamanho pequeno, boa recepção do sinal, elegante e fácil de ler a tela, mais")</f>
        <v>O tamanho pequeno, boa recepção do sinal, elegante e fácil de ler a tela, mais</v>
      </c>
      <c r="B57194" s="3">
        <v>1</v>
      </c>
    </row>
    <row r="57195" ht="15.75" customHeight="1" spans="1:2">
      <c r="A57195" s="3" t="str">
        <f>IFERROR(__xludf.DUMMYFUNCTION("GOOGLETRANSLATE(A57195,""en"",""pt"")"),"Pequeno, ainda refrescar-olhando, resistente, OK Interface (aparentemente Motos usadas a feder)")</f>
        <v>Pequeno, ainda refrescar-olhando, resistente, OK Interface (aparentemente Motos usadas a feder)</v>
      </c>
      <c r="B57195" s="3">
        <v>1</v>
      </c>
    </row>
    <row r="57196" ht="15.75" customHeight="1" spans="1:2">
      <c r="A57196" s="3" t="str">
        <f>IFERROR(__xludf.DUMMYFUNCTION("GOOGLETRANSLATE(A57196,""en"",""pt"")"),"Small Size, cobertura metálica real, Style, No Cover Chrome, a vida da bateria, menu personalizado")</f>
        <v>Small Size, cobertura metálica real, Style, No Cover Chrome, a vida da bateria, menu personalizado</v>
      </c>
      <c r="B57196" s="3">
        <v>1</v>
      </c>
    </row>
    <row r="57197" ht="15.75" customHeight="1" spans="1:2">
      <c r="A57197" s="3" t="str">
        <f>IFERROR(__xludf.DUMMYFUNCTION("GOOGLETRANSLATE(A57197,""en"",""pt"")"),"Fácil de usar e uma recepção clara")</f>
        <v>Fácil de usar e uma recepção clara</v>
      </c>
      <c r="B57197" s="3">
        <v>1</v>
      </c>
    </row>
    <row r="57198" ht="15.75" customHeight="1" spans="1:2">
      <c r="A57198" s="3" t="str">
        <f>IFERROR(__xludf.DUMMYFUNCTION("GOOGLETRANSLATE(A57198,""en"",""pt"")"),"Pequeno, a dupla afixação, bom conjunto de recursos, caso metal, compatibilidade em todo o mundo.")</f>
        <v>Pequeno, a dupla afixação, bom conjunto de recursos, caso metal, compatibilidade em todo o mundo.</v>
      </c>
      <c r="B57198" s="3">
        <v>1</v>
      </c>
    </row>
    <row r="57199" ht="15.75" customHeight="1" spans="1:2">
      <c r="A57199" s="3" t="str">
        <f>IFERROR(__xludf.DUMMYFUNCTION("GOOGLETRANSLATE(A57199,""en"",""pt"")"),"telefone do mundo, se encaixa no bolso, ok recepção, invólucro de alumínio elegante, livre")</f>
        <v>telefone do mundo, se encaixa no bolso, ok recepção, invólucro de alumínio elegante, livre</v>
      </c>
      <c r="B57199" s="3">
        <v>1</v>
      </c>
    </row>
    <row r="57200" ht="15.75" customHeight="1" spans="1:2">
      <c r="A57200" s="3" t="str">
        <f>IFERROR(__xludf.DUMMYFUNCTION("GOOGLETRANSLATE(A57200,""en"",""pt"")"),"faceplates coloridas, tamanho, sensação geral, vida da bateria.")</f>
        <v>faceplates coloridas, tamanho, sensação geral, vida da bateria.</v>
      </c>
      <c r="B57200" s="3">
        <v>1</v>
      </c>
    </row>
    <row r="57201" ht="15.75" customHeight="1" spans="1:2">
      <c r="A57201" s="3" t="str">
        <f>IFERROR(__xludf.DUMMYFUNCTION("GOOGLETRANSLATE(A57201,""en"",""pt"")"),"Sólido como uma rocha, caiu mais de 30 vezes, AINDA FUNCIONA PERFEITAMENTE")</f>
        <v>Sólido como uma rocha, caiu mais de 30 vezes, AINDA FUNCIONA PERFEITAMENTE</v>
      </c>
      <c r="B57201" s="3">
        <v>1</v>
      </c>
    </row>
    <row r="57202" ht="15.75" customHeight="1" spans="1:2">
      <c r="A57202" s="3" t="str">
        <f>IFERROR(__xludf.DUMMYFUNCTION("GOOGLETRANSLATE(A57202,""en"",""pt"")"),"Design elegante, caso Metal, claro qualidade de som, viajante do mundo.")</f>
        <v>Design elegante, caso Metal, claro qualidade de som, viajante do mundo.</v>
      </c>
      <c r="B57202" s="3">
        <v>1</v>
      </c>
    </row>
    <row r="57203" ht="15.75" customHeight="1" spans="1:2">
      <c r="A57203" s="3" t="str">
        <f>IFERROR(__xludf.DUMMYFUNCTION("GOOGLETRANSLATE(A57203,""en"",""pt"")"),"Boa recepção, garra, chaves de tamanho completo, fácil de ler a tela.")</f>
        <v>Boa recepção, garra, chaves de tamanho completo, fácil de ler a tela.</v>
      </c>
      <c r="B57203" s="3">
        <v>1</v>
      </c>
    </row>
    <row r="57204" ht="15.75" customHeight="1" spans="1:2">
      <c r="A57204" s="3" t="str">
        <f>IFERROR(__xludf.DUMMYFUNCTION("GOOGLETRANSLATE(A57204,""en"",""pt"")"),"Excelente recepção, leve, durável clamshell")</f>
        <v>Excelente recepção, leve, durável clamshell</v>
      </c>
      <c r="B57204" s="3">
        <v>1</v>
      </c>
    </row>
    <row r="57205" ht="15.75" customHeight="1" spans="1:2">
      <c r="A57205" s="3" t="str">
        <f>IFERROR(__xludf.DUMMYFUNCTION("GOOGLETRANSLATE(A57205,""en"",""pt"")"),"Bons menus, preço, recepção sólida")</f>
        <v>Bons menus, preço, recepção sólida</v>
      </c>
      <c r="B57205" s="3">
        <v>1</v>
      </c>
    </row>
    <row r="57206" ht="15.75" customHeight="1" spans="1:2">
      <c r="A57206" s="3" t="str">
        <f>IFERROR(__xludf.DUMMYFUNCTION("GOOGLETRANSLATE(A57206,""en"",""pt"")"),"construção de boa qualidade, boa recepção e compatibilidade com meus velhos acessórios v120c.")</f>
        <v>construção de boa qualidade, boa recepção e compatibilidade com meus velhos acessórios v120c.</v>
      </c>
      <c r="B57206" s="3">
        <v>1</v>
      </c>
    </row>
    <row r="57207" ht="15.75" customHeight="1" spans="1:2">
      <c r="A57207" s="3" t="str">
        <f>IFERROR(__xludf.DUMMYFUNCTION("GOOGLETRANSLATE(A57207,""en"",""pt"")"),"Agradável. tela bonita com grandes números. Pequeno.")</f>
        <v>Agradável. tela bonita com grandes números. Pequeno.</v>
      </c>
      <c r="B57207" s="3">
        <v>1</v>
      </c>
    </row>
    <row r="57208" ht="15.75" customHeight="1" spans="1:2">
      <c r="A57208" s="3" t="str">
        <f>IFERROR(__xludf.DUMMYFUNCTION("GOOGLETRANSLATE(A57208,""en"",""pt"")"),"Parece incrível, pequeno, leve.")</f>
        <v>Parece incrível, pequeno, leve.</v>
      </c>
      <c r="B57208" s="3">
        <v>1</v>
      </c>
    </row>
    <row r="57209" ht="15.75" customHeight="1" spans="1:2">
      <c r="A57209" s="3" t="str">
        <f>IFERROR(__xludf.DUMMYFUNCTION("GOOGLETRANSLATE(A57209,""en"",""pt"")"),"Grande clareza, números de telefone de fácil acesso, comando de voz agradável")</f>
        <v>Grande clareza, números de telefone de fácil acesso, comando de voz agradável</v>
      </c>
      <c r="B57209" s="3">
        <v>1</v>
      </c>
    </row>
    <row r="57210" ht="15.75" customHeight="1" spans="1:2">
      <c r="A57210" s="3" t="str">
        <f>IFERROR(__xludf.DUMMYFUNCTION("GOOGLETRANSLATE(A57210,""en"",""pt"")"),"Características, tamanho, viva-voz")</f>
        <v>Características, tamanho, viva-voz</v>
      </c>
      <c r="B57210" s="3">
        <v>1</v>
      </c>
    </row>
    <row r="57211" ht="15.75" customHeight="1" spans="1:2">
      <c r="A57211" s="3" t="str">
        <f>IFERROR(__xludf.DUMMYFUNCTION("GOOGLETRANSLATE(A57211,""en"",""pt"")"),"Características, tamanho, Mais recursos")</f>
        <v>Características, tamanho, Mais recursos</v>
      </c>
      <c r="B57211" s="3">
        <v>1</v>
      </c>
    </row>
    <row r="57212" ht="15.75" customHeight="1" spans="1:2">
      <c r="A57212" s="3" t="str">
        <f>IFERROR(__xludf.DUMMYFUNCTION("GOOGLETRANSLATE(A57212,""en"",""pt"")"),"Grande design, bom tamanho, função viva-voz funciona muito bem")</f>
        <v>Grande design, bom tamanho, função viva-voz funciona muito bem</v>
      </c>
      <c r="B57212" s="3">
        <v>1</v>
      </c>
    </row>
    <row r="57213" ht="15.75" customHeight="1" spans="1:2">
      <c r="A57213" s="3" t="str">
        <f>IFERROR(__xludf.DUMMYFUNCTION("GOOGLETRANSLATE(A57213,""en"",""pt"")"),"Pequeno, durável, fácil de usar, elegante, customizável")</f>
        <v>Pequeno, durável, fácil de usar, elegante, customizável</v>
      </c>
      <c r="B57213" s="3">
        <v>1</v>
      </c>
    </row>
    <row r="57214" ht="15.75" customHeight="1" spans="1:2">
      <c r="A57214" s="3" t="str">
        <f>IFERROR(__xludf.DUMMYFUNCTION("GOOGLETRANSLATE(A57214,""en"",""pt"")"),"Tamanho, bateria, características, recursos, toneladas de capacidades")</f>
        <v>Tamanho, bateria, características, recursos, toneladas de capacidades</v>
      </c>
      <c r="B57214" s="3">
        <v>1</v>
      </c>
    </row>
    <row r="57215" ht="15.75" customHeight="1" spans="1:2">
      <c r="A57215" s="3" t="str">
        <f>IFERROR(__xludf.DUMMYFUNCTION("GOOGLETRANSLATE(A57215,""en"",""pt"")"),"Menor do que qualquer outro nextel, Obtém mesmo sinal para o seu tamanho.")</f>
        <v>Menor do que qualquer outro nextel, Obtém mesmo sinal para o seu tamanho.</v>
      </c>
      <c r="B57215" s="3">
        <v>1</v>
      </c>
    </row>
    <row r="57216" ht="15.75" customHeight="1" spans="1:2">
      <c r="A57216" s="3" t="str">
        <f>IFERROR(__xludf.DUMMYFUNCTION("GOOGLETRANSLATE(A57216,""en"",""pt"")"),"Tamanho, Features, durável, viva-voz, Java habilitado, o modo misto Vibrar / Anel")</f>
        <v>Tamanho, Features, durável, viva-voz, Java habilitado, o modo misto Vibrar / Anel</v>
      </c>
      <c r="B57216" s="3">
        <v>1</v>
      </c>
    </row>
    <row r="57217" ht="15.75" customHeight="1" spans="1:2">
      <c r="A57217" s="3" t="str">
        <f>IFERROR(__xludf.DUMMYFUNCTION("GOOGLETRANSLATE(A57217,""en"",""pt"")"),"Robusto, fácil de usar, viva-voz, resistente, resistente, resistente")</f>
        <v>Robusto, fácil de usar, viva-voz, resistente, resistente, resistente</v>
      </c>
      <c r="B57217" s="3">
        <v>1</v>
      </c>
    </row>
    <row r="57218" ht="15.75" customHeight="1" spans="1:2">
      <c r="A57218" s="3" t="str">
        <f>IFERROR(__xludf.DUMMYFUNCTION("GOOGLETRANSLATE(A57218,""en"",""pt"")"),"Conexão direta, internet capaz, download de jogos, gravação de voz, etc")</f>
        <v>Conexão direta, internet capaz, download de jogos, gravação de voz, etc</v>
      </c>
      <c r="B57218" s="3">
        <v>1</v>
      </c>
    </row>
    <row r="57219" ht="15.75" customHeight="1" spans="1:2">
      <c r="A57219" s="3" t="str">
        <f>IFERROR(__xludf.DUMMYFUNCTION("GOOGLETRANSLATE(A57219,""en"",""pt"")"),"Viva-voz, a qualidade do som, bom tamanho / fator de forma")</f>
        <v>Viva-voz, a qualidade do som, bom tamanho / fator de forma</v>
      </c>
      <c r="B57219" s="3">
        <v>1</v>
      </c>
    </row>
    <row r="57220" ht="15.75" customHeight="1" spans="1:2">
      <c r="A57220" s="3" t="str">
        <f>IFERROR(__xludf.DUMMYFUNCTION("GOOGLETRANSLATE(A57220,""en"",""pt"")"),"O telefone é pequeno e elegante, tem grande recepção e grandes recursos.")</f>
        <v>O telefone é pequeno e elegante, tem grande recepção e grandes recursos.</v>
      </c>
      <c r="B57220" s="3">
        <v>1</v>
      </c>
    </row>
    <row r="57221" ht="15.75" customHeight="1" spans="1:2">
      <c r="A57221" s="3" t="str">
        <f>IFERROR(__xludf.DUMMYFUNCTION("GOOGLETRANSLATE(A57221,""en"",""pt"")"),"Ótimo serviço, excelentes características, tamanho pequeno, deixa muito pouco a desejar")</f>
        <v>Ótimo serviço, excelentes características, tamanho pequeno, deixa muito pouco a desejar</v>
      </c>
      <c r="B57221" s="3">
        <v>1</v>
      </c>
    </row>
    <row r="57222" ht="15.75" customHeight="1" spans="1:2">
      <c r="A57222" s="3" t="str">
        <f>IFERROR(__xludf.DUMMYFUNCTION("GOOGLETRANSLATE(A57222,""en"",""pt"")"),"Ótima aparência, uso fácil, fácil acesso 2way, grande lcd.")</f>
        <v>Ótima aparência, uso fácil, fácil acesso 2way, grande lcd.</v>
      </c>
      <c r="B57222" s="3">
        <v>1</v>
      </c>
    </row>
    <row r="57223" ht="15.75" customHeight="1" spans="1:2">
      <c r="A57223" s="3" t="str">
        <f>IFERROR(__xludf.DUMMYFUNCTION("GOOGLETRANSLATE(A57223,""en"",""pt"")"),"Robusto, confiável, vida útil da bateria decente")</f>
        <v>Robusto, confiável, vida útil da bateria decente</v>
      </c>
      <c r="B57223" s="3">
        <v>1</v>
      </c>
    </row>
    <row r="57224" ht="15.75" customHeight="1" spans="1:2">
      <c r="A57224" s="3" t="str">
        <f>IFERROR(__xludf.DUMMYFUNCTION("GOOGLETRANSLATE(A57224,""en"",""pt"")"),"Bom tamanho, parece ótimo, muitos recursos, java aplicativos")</f>
        <v>Bom tamanho, parece ótimo, muitos recursos, java aplicativos</v>
      </c>
      <c r="B57224" s="3">
        <v>1</v>
      </c>
    </row>
    <row r="57225" ht="15.75" customHeight="1" spans="1:2">
      <c r="A57225" s="3" t="str">
        <f>IFERROR(__xludf.DUMMYFUNCTION("GOOGLETRANSLATE(A57225,""en"",""pt"")"),"O telefone é pequeno e elegante com grande desempenho.")</f>
        <v>O telefone é pequeno e elegante com grande desempenho.</v>
      </c>
      <c r="B57225" s="3">
        <v>1</v>
      </c>
    </row>
    <row r="57226" ht="15.75" customHeight="1" spans="1:2">
      <c r="A57226" s="3" t="str">
        <f>IFERROR(__xludf.DUMMYFUNCTION("GOOGLETRANSLATE(A57226,""en"",""pt"")"),"voz activiated, luz de fundo azul, VoiceNotes, durável, todo bom")</f>
        <v>voz activiated, luz de fundo azul, VoiceNotes, durável, todo bom</v>
      </c>
      <c r="B57226" s="3">
        <v>1</v>
      </c>
    </row>
    <row r="57227" ht="15.75" customHeight="1" spans="1:2">
      <c r="A57227" s="3" t="str">
        <f>IFERROR(__xludf.DUMMYFUNCTION("GOOGLETRANSLATE(A57227,""en"",""pt"")"),"Parece ótimo, grande voz, grande Direct Connect, e muito mais")</f>
        <v>Parece ótimo, grande voz, grande Direct Connect, e muito mais</v>
      </c>
      <c r="B57227" s="3">
        <v>1</v>
      </c>
    </row>
    <row r="57228" ht="15.75" customHeight="1" spans="1:2">
      <c r="A57228" s="3" t="str">
        <f>IFERROR(__xludf.DUMMYFUNCTION("GOOGLETRANSLATE(A57228,""en"",""pt"")"),"Viva-voz, os lotes de recursos para um pequeno telefone")</f>
        <v>Viva-voz, os lotes de recursos para um pequeno telefone</v>
      </c>
      <c r="B57228" s="3">
        <v>1</v>
      </c>
    </row>
    <row r="57229" ht="15.75" customHeight="1" spans="1:2">
      <c r="A57229" s="3" t="str">
        <f>IFERROR(__xludf.DUMMYFUNCTION("GOOGLETRANSLATE(A57229,""en"",""pt"")"),"compactos e leves, recursos")</f>
        <v>compactos e leves, recursos</v>
      </c>
      <c r="B57229" s="3">
        <v>1</v>
      </c>
    </row>
    <row r="57230" ht="15.75" customHeight="1" spans="1:2">
      <c r="A57230" s="3" t="str">
        <f>IFERROR(__xludf.DUMMYFUNCTION("GOOGLETRANSLATE(A57230,""en"",""pt"")"),"Projeto pequeno, de fácil navegação, excelente clareza")</f>
        <v>Projeto pequeno, de fácil navegação, excelente clareza</v>
      </c>
      <c r="B57230" s="3">
        <v>1</v>
      </c>
    </row>
    <row r="57231" ht="15.75" customHeight="1" spans="1:2">
      <c r="A57231" s="3" t="str">
        <f>IFERROR(__xludf.DUMMYFUNCTION("GOOGLETRANSLATE(A57231,""en"",""pt"")"),"durável, lotes de características, tamanho, viva-voz, discagem por voz")</f>
        <v>durável, lotes de características, tamanho, viva-voz, discagem por voz</v>
      </c>
      <c r="B57231" s="3">
        <v>1</v>
      </c>
    </row>
    <row r="57232" ht="15.75" customHeight="1" spans="1:2">
      <c r="A57232" s="3" t="str">
        <f>IFERROR(__xludf.DUMMYFUNCTION("GOOGLETRANSLATE(A57232,""en"",""pt"")"),"Pequeno, fácil de ler, mensagens de texto, grande modo silencioso, livre geralmente estática")</f>
        <v>Pequeno, fácil de ler, mensagens de texto, grande modo silencioso, livre geralmente estática</v>
      </c>
      <c r="B57232" s="3">
        <v>1</v>
      </c>
    </row>
    <row r="57233" ht="15.75" customHeight="1" spans="1:2">
      <c r="A57233" s="3" t="str">
        <f>IFERROR(__xludf.DUMMYFUNCTION("GOOGLETRANSLATE(A57233,""en"",""pt"")"),"compacto confiável")</f>
        <v>compacto confiável</v>
      </c>
      <c r="B57233" s="3">
        <v>1</v>
      </c>
    </row>
    <row r="57234" ht="15.75" customHeight="1" spans="1:2">
      <c r="A57234" s="3" t="str">
        <f>IFERROR(__xludf.DUMMYFUNCTION("GOOGLETRANSLATE(A57234,""en"",""pt"")"),"recurso, liso olhar, durável dois sentidos.")</f>
        <v>recurso, liso olhar, durável dois sentidos.</v>
      </c>
      <c r="B57234" s="3">
        <v>1</v>
      </c>
    </row>
    <row r="57235" ht="15.75" customHeight="1" spans="1:2">
      <c r="A57235" s="3" t="str">
        <f>IFERROR(__xludf.DUMMYFUNCTION("GOOGLETRANSLATE(A57235,""en"",""pt"")"),"Eu provavelmente teria que resumir à qualidade, qualidade, qualidade!")</f>
        <v>Eu provavelmente teria que resumir à qualidade, qualidade, qualidade!</v>
      </c>
      <c r="B57235" s="3">
        <v>1</v>
      </c>
    </row>
    <row r="57236" ht="15.75" customHeight="1" spans="1:2">
      <c r="A57236" s="3" t="str">
        <f>IFERROR(__xludf.DUMMYFUNCTION("GOOGLETRANSLATE(A57236,""en"",""pt"")"),"Pequeno, Boa beltclip, bom serviço, walkie-talkie, luzes azuis e Hott Customablity")</f>
        <v>Pequeno, Boa beltclip, bom serviço, walkie-talkie, luzes azuis e Hott Customablity</v>
      </c>
      <c r="B57236" s="3">
        <v>1</v>
      </c>
    </row>
    <row r="57237" ht="15.75" customHeight="1" spans="1:2">
      <c r="A57237" s="3" t="str">
        <f>IFERROR(__xludf.DUMMYFUNCTION("GOOGLETRANSLATE(A57237,""en"",""pt"")"),"Durável, elegante, bom celular")</f>
        <v>Durável, elegante, bom celular</v>
      </c>
      <c r="B57237" s="3">
        <v>1</v>
      </c>
    </row>
    <row r="57238" ht="15.75" customHeight="1" spans="1:2">
      <c r="A57238" s="3" t="str">
        <f>IFERROR(__xludf.DUMMYFUNCTION("GOOGLETRANSLATE(A57238,""en"",""pt"")"),"Bom tamanho, Toneladas de Recursos interessantes advace.")</f>
        <v>Bom tamanho, Toneladas de Recursos interessantes advace.</v>
      </c>
      <c r="B57238" s="3">
        <v>1</v>
      </c>
    </row>
    <row r="57239" ht="15.75" customHeight="1" spans="1:2">
      <c r="A57239" s="3" t="str">
        <f>IFERROR(__xludf.DUMMYFUNCTION("GOOGLETRANSLATE(A57239,""en"",""pt"")"),"Forte, durável, boa aparência, não pode usá-lo para fora ...")</f>
        <v>Forte, durável, boa aparência, não pode usá-lo para fora ...</v>
      </c>
      <c r="B57239" s="3">
        <v>1</v>
      </c>
    </row>
    <row r="57240" ht="15.75" customHeight="1" spans="1:2">
      <c r="A57240" s="3" t="str">
        <f>IFERROR(__xludf.DUMMYFUNCTION("GOOGLETRANSLATE(A57240,""en"",""pt"")"),"Great Service, telefone durável")</f>
        <v>Great Service, telefone durável</v>
      </c>
      <c r="B57240" s="3">
        <v>1</v>
      </c>
    </row>
    <row r="57241" ht="15.75" customHeight="1" spans="1:2">
      <c r="A57241" s="3" t="str">
        <f>IFERROR(__xludf.DUMMYFUNCTION("GOOGLETRANSLATE(A57241,""en"",""pt"")"),"telefone")</f>
        <v>telefone</v>
      </c>
      <c r="B57241" s="3">
        <v>1</v>
      </c>
    </row>
    <row r="57242" ht="15.75" customHeight="1" spans="1:2">
      <c r="A57242" s="3" t="str">
        <f>IFERROR(__xludf.DUMMYFUNCTION("GOOGLETRANSLATE(A57242,""en"",""pt"")"),"Eu amo tudo sobre isso, exceto que eu gostaria de poder fazer download de músicas reais não midis.")</f>
        <v>Eu amo tudo sobre isso, exceto que eu gostaria de poder fazer download de músicas reais não midis.</v>
      </c>
      <c r="B57242" s="3">
        <v>1</v>
      </c>
    </row>
    <row r="57243" ht="15.75" customHeight="1" spans="1:2">
      <c r="A57243" s="3" t="str">
        <f>IFERROR(__xludf.DUMMYFUNCTION("GOOGLETRANSLATE(A57243,""en"",""pt"")"),"olhar muito elegante ea sensação, toneladas de características úteis, fácil de navegar")</f>
        <v>olhar muito elegante ea sensação, toneladas de características úteis, fácil de navegar</v>
      </c>
      <c r="B57243" s="3">
        <v>1</v>
      </c>
    </row>
    <row r="57244" ht="15.75" customHeight="1" spans="1:2">
      <c r="A57244" s="3" t="str">
        <f>IFERROR(__xludf.DUMMYFUNCTION("GOOGLETRANSLATE(A57244,""en"",""pt"")"),"Leve, resistente, Opções Grandes")</f>
        <v>Leve, resistente, Opções Grandes</v>
      </c>
      <c r="B57244" s="3">
        <v>1</v>
      </c>
    </row>
    <row r="57245" ht="15.75" customHeight="1" spans="1:2">
      <c r="A57245" s="3" t="str">
        <f>IFERROR(__xludf.DUMMYFUNCTION("GOOGLETRANSLATE(A57245,""en"",""pt"")"),"características, preço, tamanho")</f>
        <v>características, preço, tamanho</v>
      </c>
      <c r="B57245" s="3">
        <v>1</v>
      </c>
    </row>
    <row r="57246" ht="15.75" customHeight="1" spans="1:2">
      <c r="A57246" s="3" t="str">
        <f>IFERROR(__xludf.DUMMYFUNCTION("GOOGLETRANSLATE(A57246,""en"",""pt"")"),"bom design, fácil de usar")</f>
        <v>bom design, fácil de usar</v>
      </c>
      <c r="B57246" s="3">
        <v>1</v>
      </c>
    </row>
    <row r="57247" ht="15.75" customHeight="1" spans="1:2">
      <c r="A57247" s="3" t="str">
        <f>IFERROR(__xludf.DUMMYFUNCTION("GOOGLETRANSLATE(A57247,""en"",""pt"")"),"O tamanho, flip-up, características super-embalados são o suficiente para fazer água na boca")</f>
        <v>O tamanho, flip-up, características super-embalados são o suficiente para fazer água na boca</v>
      </c>
      <c r="B57247" s="3">
        <v>1</v>
      </c>
    </row>
    <row r="57248" ht="15.75" customHeight="1" spans="1:2">
      <c r="A57248" s="3" t="str">
        <f>IFERROR(__xludf.DUMMYFUNCTION("GOOGLETRANSLATE(A57248,""en"",""pt"")"),"marcas joystick passando por menus uma explosão. Tem funcionalidades de PDA Meny.")</f>
        <v>marcas joystick passando por menus uma explosão. Tem funcionalidades de PDA Meny.</v>
      </c>
      <c r="B57248" s="3">
        <v>1</v>
      </c>
    </row>
    <row r="57249" ht="15.75" customHeight="1" spans="1:2">
      <c r="A57249" s="3" t="str">
        <f>IFERROR(__xludf.DUMMYFUNCTION("GOOGLETRANSLATE(A57249,""en"",""pt"")"),"Grande recepção; grande qualidade de som; repleto de funcionalidades; realmente um telefone potência pouco")</f>
        <v>Grande recepção; grande qualidade de som; repleto de funcionalidades; realmente um telefone potência pouco</v>
      </c>
      <c r="B57249" s="3">
        <v>1</v>
      </c>
    </row>
    <row r="57250" ht="15.75" customHeight="1" spans="1:2">
      <c r="A57250" s="3" t="str">
        <f>IFERROR(__xludf.DUMMYFUNCTION("GOOGLETRANSLATE(A57250,""en"",""pt"")"),"Contatos, Calendário, Confiabilidade, Volume Control &amp; Clareza")</f>
        <v>Contatos, Calendário, Confiabilidade, Volume Control &amp; Clareza</v>
      </c>
      <c r="B57250" s="3">
        <v>1</v>
      </c>
    </row>
    <row r="57251" ht="15.75" customHeight="1" spans="1:2">
      <c r="A57251" s="3" t="str">
        <f>IFERROR(__xludf.DUMMYFUNCTION("GOOGLETRANSLATE(A57251,""en"",""pt"")"),"pequeno, grande recepção, fácil de usar carga, rápido")</f>
        <v>pequeno, grande recepção, fácil de usar carga, rápido</v>
      </c>
      <c r="B57251" s="3">
        <v>1</v>
      </c>
    </row>
    <row r="57252" ht="15.75" customHeight="1" spans="1:2">
      <c r="A57252" s="3" t="str">
        <f>IFERROR(__xludf.DUMMYFUNCTION("GOOGLETRANSLATE(A57252,""en"",""pt"")"),"tela grande, controle de volume de um toque, joystick")</f>
        <v>tela grande, controle de volume de um toque, joystick</v>
      </c>
      <c r="B57252" s="3">
        <v>1</v>
      </c>
    </row>
    <row r="57253" ht="15.75" customHeight="1" spans="1:2">
      <c r="A57253" s="3" t="str">
        <f>IFERROR(__xludf.DUMMYFUNCTION("GOOGLETRANSLATE(A57253,""en"",""pt"")"),"Tamanho grande, mesmo para grandes mãos. design flip. bateria stong. navegação joystick")</f>
        <v>Tamanho grande, mesmo para grandes mãos. design flip. bateria stong. navegação joystick</v>
      </c>
      <c r="B57253" s="3">
        <v>1</v>
      </c>
    </row>
    <row r="57254" ht="15.75" customHeight="1" spans="1:2">
      <c r="A57254" s="3" t="str">
        <f>IFERROR(__xludf.DUMMYFUNCTION("GOOGLETRANSLATE(A57254,""en"",""pt"")"),"É azul. Bem, o meu era, pelo menos.")</f>
        <v>É azul. Bem, o meu era, pelo menos.</v>
      </c>
      <c r="B57254" s="3">
        <v>1</v>
      </c>
    </row>
    <row r="57255" ht="15.75" customHeight="1" spans="1:2">
      <c r="A57255" s="3" t="str">
        <f>IFERROR(__xludf.DUMMYFUNCTION("GOOGLETRANSLATE(A57255,""en"",""pt"")"),"À moda; grande visor; joystick de navegação; built-in de marcação por voz; e mais!")</f>
        <v>À moda; grande visor; joystick de navegação; built-in de marcação por voz; e mais!</v>
      </c>
      <c r="B57255" s="3">
        <v>1</v>
      </c>
    </row>
    <row r="57256" ht="15.75" customHeight="1" spans="1:2">
      <c r="A57256" s="3" t="str">
        <f>IFERROR(__xludf.DUMMYFUNCTION("GOOGLETRANSLATE(A57256,""en"",""pt"")"),"joystick de navegação fácil, embalagem elegante, características bem desenhados")</f>
        <v>joystick de navegação fácil, embalagem elegante, características bem desenhados</v>
      </c>
      <c r="B57256" s="3">
        <v>1</v>
      </c>
    </row>
    <row r="57257" ht="15.75" customHeight="1" spans="1:2">
      <c r="A57257" s="3" t="str">
        <f>IFERROR(__xludf.DUMMYFUNCTION("GOOGLETRANSLATE(A57257,""en"",""pt"")"),"Elegante, resistente, e uma melhoria sobre seu antecessor.")</f>
        <v>Elegante, resistente, e uma melhoria sobre seu antecessor.</v>
      </c>
      <c r="B57257" s="3">
        <v>1</v>
      </c>
    </row>
    <row r="57258" ht="15.75" customHeight="1" spans="1:2">
      <c r="A57258" s="3" t="str">
        <f>IFERROR(__xludf.DUMMYFUNCTION("GOOGLETRANSLATE(A57258,""en"",""pt"")"),"Grandes melhorias feitas em relação aos modelos anteriores")</f>
        <v>Grandes melhorias feitas em relação aos modelos anteriores</v>
      </c>
      <c r="B57258" s="3">
        <v>1</v>
      </c>
    </row>
    <row r="57259" ht="15.75" customHeight="1" spans="1:2">
      <c r="A57259" s="3" t="str">
        <f>IFERROR(__xludf.DUMMYFUNCTION("GOOGLETRANSLATE(A57259,""en"",""pt"")"),"interface simples para tarefas comuns, boa vida útil da bateria e aquisição de sinal")</f>
        <v>interface simples para tarefas comuns, boa vida útil da bateria e aquisição de sinal</v>
      </c>
      <c r="B57259" s="3">
        <v>1</v>
      </c>
    </row>
    <row r="57260" ht="15.75" customHeight="1" spans="1:2">
      <c r="A57260" s="3" t="str">
        <f>IFERROR(__xludf.DUMMYFUNCTION("GOOGLETRANSLATE(A57260,""en"",""pt"")"),"Preço, ""phone-yness"", melhor design - a parte Flip é mais resistente &amp; # 13; &amp; # 10; &amp; # 13; &amp; # 10;.")</f>
        <v>Preço, "phone-yness", melhor design - a parte Flip é mais resistente &amp; # 13; &amp; # 10; &amp; # 13; &amp; # 10;.</v>
      </c>
      <c r="B57260" s="3">
        <v>1</v>
      </c>
    </row>
    <row r="57261" ht="15.75" customHeight="1" spans="1:2">
      <c r="A57261" s="3" t="str">
        <f>IFERROR(__xludf.DUMMYFUNCTION("GOOGLETRANSLATE(A57261,""en"",""pt"")"),"Grande tamanho, cor, características, um pouco fácil de navegar")</f>
        <v>Grande tamanho, cor, características, um pouco fácil de navegar</v>
      </c>
      <c r="B57261" s="3">
        <v>1</v>
      </c>
    </row>
    <row r="57262" ht="15.75" customHeight="1" spans="1:2">
      <c r="A57262" s="3" t="str">
        <f>IFERROR(__xludf.DUMMYFUNCTION("GOOGLETRANSLATE(A57262,""en"",""pt"")"),"Conforto, clareza de chamadas, um bom design")</f>
        <v>Conforto, clareza de chamadas, um bom design</v>
      </c>
      <c r="B57262" s="3">
        <v>1</v>
      </c>
    </row>
    <row r="57263" ht="15.75" customHeight="1" spans="1:2">
      <c r="A57263" s="3" t="str">
        <f>IFERROR(__xludf.DUMMYFUNCTION("GOOGLETRANSLATE(A57263,""en"",""pt"")"),"Metal aleta, ligeiramente menor do que 3500, soa melhor, maior livro de telefone")</f>
        <v>Metal aleta, ligeiramente menor do que 3500, soa melhor, maior livro de telefone</v>
      </c>
      <c r="B57263" s="3">
        <v>1</v>
      </c>
    </row>
    <row r="57264" ht="15.75" customHeight="1" spans="1:2">
      <c r="A57264" s="3" t="str">
        <f>IFERROR(__xludf.DUMMYFUNCTION("GOOGLETRANSLATE(A57264,""en"",""pt"")"),"Durabilidade, tamanho, estilo e tela.")</f>
        <v>Durabilidade, tamanho, estilo e tela.</v>
      </c>
      <c r="B57264" s="3">
        <v>1</v>
      </c>
    </row>
    <row r="57265" ht="15.75" customHeight="1" spans="1:2">
      <c r="A57265" s="3" t="str">
        <f>IFERROR(__xludf.DUMMYFUNCTION("GOOGLETRANSLATE(A57265,""en"",""pt"")"),"Pequeno e elegante")</f>
        <v>Pequeno e elegante</v>
      </c>
      <c r="B57265" s="3">
        <v>1</v>
      </c>
    </row>
    <row r="57266" ht="15.75" customHeight="1" spans="1:2">
      <c r="A57266" s="3" t="str">
        <f>IFERROR(__xludf.DUMMYFUNCTION("GOOGLETRANSLATE(A57266,""en"",""pt"")"),"Preço, aparência, clareza, apresenta!")</f>
        <v>Preço, aparência, clareza, apresenta!</v>
      </c>
      <c r="B57266" s="3">
        <v>1</v>
      </c>
    </row>
    <row r="57267" ht="15.75" customHeight="1" spans="1:2">
      <c r="A57267" s="3" t="str">
        <f>IFERROR(__xludf.DUMMYFUNCTION("GOOGLETRANSLATE(A57267,""en"",""pt"")"),"Pequeno, leve, flip-telefone, características puras")</f>
        <v>Pequeno, leve, flip-telefone, características puras</v>
      </c>
      <c r="B57267" s="3">
        <v>1</v>
      </c>
    </row>
    <row r="57268" ht="15.75" customHeight="1" spans="1:2">
      <c r="A57268" s="3" t="str">
        <f>IFERROR(__xludf.DUMMYFUNCTION("GOOGLETRANSLATE(A57268,""en"",""pt"")"),"Pouco Joystick é conveniente, Calendário, Setter Nomeação, fácil de usar, Voice Dialer, Bateria de Longa Duração")</f>
        <v>Pouco Joystick é conveniente, Calendário, Setter Nomeação, fácil de usar, Voice Dialer, Bateria de Longa Duração</v>
      </c>
      <c r="B57268" s="3">
        <v>1</v>
      </c>
    </row>
    <row r="57269" ht="15.75" customHeight="1" spans="1:2">
      <c r="A57269" s="3" t="str">
        <f>IFERROR(__xludf.DUMMYFUNCTION("GOOGLETRANSLATE(A57269,""en"",""pt"")"),"Grande Telefone, vibre, discagem por voz são os meus recursos favoritos. Ótimo preço com descontos.")</f>
        <v>Grande Telefone, vibre, discagem por voz são os meus recursos favoritos. Ótimo preço com descontos.</v>
      </c>
      <c r="B57269" s="3">
        <v>1</v>
      </c>
    </row>
    <row r="57270" ht="15.75" customHeight="1" spans="1:2">
      <c r="A57270" s="3" t="str">
        <f>IFERROR(__xludf.DUMMYFUNCTION("GOOGLETRANSLATE(A57270,""en"",""pt"")"),"Muito durável. Claramente iluminada tela e muitos recursos.")</f>
        <v>Muito durável. Claramente iluminada tela e muitos recursos.</v>
      </c>
      <c r="B57270" s="3">
        <v>1</v>
      </c>
    </row>
    <row r="57271" ht="15.75" customHeight="1" spans="1:2">
      <c r="A57271" s="3" t="str">
        <f>IFERROR(__xludf.DUMMYFUNCTION("GOOGLETRANSLATE(A57271,""en"",""pt"")"),"Parece bom")</f>
        <v>Parece bom</v>
      </c>
      <c r="B57271" s="3">
        <v>1</v>
      </c>
    </row>
    <row r="57272" ht="15.75" customHeight="1" spans="1:2">
      <c r="A57272" s="3" t="str">
        <f>IFERROR(__xludf.DUMMYFUNCTION("GOOGLETRANSLATE(A57272,""en"",""pt"")"),"Boa qualidade de som, fácil de interface de uso. Fácil em baterias.")</f>
        <v>Boa qualidade de som, fácil de interface de uso. Fácil em baterias.</v>
      </c>
      <c r="B57272" s="3">
        <v>1</v>
      </c>
    </row>
    <row r="57273" ht="15.75" customHeight="1" spans="1:2">
      <c r="A57273" s="3" t="str">
        <f>IFERROR(__xludf.DUMMYFUNCTION("GOOGLETRANSLATE(A57273,""en"",""pt"")"),"Tamanho, Clarity, Valor do telefone agora que é um modelo ""mais velhos""")</f>
        <v>Tamanho, Clarity, Valor do telefone agora que é um modelo "mais velhos"</v>
      </c>
      <c r="B57273" s="3">
        <v>1</v>
      </c>
    </row>
    <row r="57274" ht="15.75" customHeight="1" spans="1:2">
      <c r="A57274" s="3" t="str">
        <f>IFERROR(__xludf.DUMMYFUNCTION("GOOGLETRANSLATE(A57274,""en"",""pt"")"),"Melhor que eu telefone celular de propriedade. Leva uma surra e continua a executar.")</f>
        <v>Melhor que eu telefone celular de propriedade. Leva uma surra e continua a executar.</v>
      </c>
      <c r="B57274" s="3">
        <v>1</v>
      </c>
    </row>
    <row r="57275" ht="15.75" customHeight="1" spans="1:2">
      <c r="A57275" s="3" t="str">
        <f>IFERROR(__xludf.DUMMYFUNCTION("GOOGLETRANSLATE(A57275,""en"",""pt"")"),"Cobertura em todo o planeta &amp; # 13;. &amp; # 10; vida muito longa da bateria.")</f>
        <v>Cobertura em todo o planeta &amp; # 13;. &amp; # 10; vida muito longa da bateria.</v>
      </c>
      <c r="B57275" s="3">
        <v>1</v>
      </c>
    </row>
    <row r="57276" ht="15.75" customHeight="1" spans="1:2">
      <c r="A57276" s="3" t="str">
        <f>IFERROR(__xludf.DUMMYFUNCTION("GOOGLETRANSLATE(A57276,""en"",""pt"")"),"Um telefone (GSP 1600) dois números de telefone em sua conveniência.")</f>
        <v>Um telefone (GSP 1600) dois números de telefone em sua conveniência.</v>
      </c>
      <c r="B57276" s="3">
        <v>1</v>
      </c>
    </row>
    <row r="57277" ht="15.75" customHeight="1" spans="1:2">
      <c r="A57277" s="3" t="str">
        <f>IFERROR(__xludf.DUMMYFUNCTION("GOOGLETRANSLATE(A57277,""en"",""pt"")"),"Estilo, funcionalidade, qualidade, Marcação com reconhecimento vocal")</f>
        <v>Estilo, funcionalidade, qualidade, Marcação com reconhecimento vocal</v>
      </c>
      <c r="B57277" s="3">
        <v>1</v>
      </c>
    </row>
    <row r="57278" ht="15.75" customHeight="1" spans="1:2">
      <c r="A57278" s="3" t="str">
        <f>IFERROR(__xludf.DUMMYFUNCTION("GOOGLETRANSLATE(A57278,""en"",""pt"")"),"Vida útil da bateria, Web sem fio, Looks")</f>
        <v>Vida útil da bateria, Web sem fio, Looks</v>
      </c>
      <c r="B57278" s="3">
        <v>1</v>
      </c>
    </row>
    <row r="57279" ht="15.75" customHeight="1" spans="1:2">
      <c r="A57279" s="3" t="str">
        <f>IFERROR(__xludf.DUMMYFUNCTION("GOOGLETRANSLATE(A57279,""en"",""pt"")"),"Olha grande e parece ótimo.")</f>
        <v>Olha grande e parece ótimo.</v>
      </c>
      <c r="B57279" s="3">
        <v>1</v>
      </c>
    </row>
    <row r="57280" ht="15.75" customHeight="1" spans="1:2">
      <c r="A57280" s="3" t="str">
        <f>IFERROR(__xludf.DUMMYFUNCTION("GOOGLETRANSLATE(A57280,""en"",""pt"")"),"Excelentes características, muito durável, boa claridade")</f>
        <v>Excelentes características, muito durável, boa claridade</v>
      </c>
      <c r="B57280" s="3">
        <v>1</v>
      </c>
    </row>
    <row r="57281" ht="15.75" customHeight="1" spans="1:2">
      <c r="A57281" s="3" t="str">
        <f>IFERROR(__xludf.DUMMYFUNCTION("GOOGLETRANSLATE(A57281,""en"",""pt"")"),"Grande qualidade de som, tanto MIC e orador, excelente chamada triagem")</f>
        <v>Grande qualidade de som, tanto MIC e orador, excelente chamada triagem</v>
      </c>
      <c r="B57281" s="3">
        <v>1</v>
      </c>
    </row>
    <row r="57282" ht="15.75" customHeight="1" spans="1:2">
      <c r="A57282" s="3" t="str">
        <f>IFERROR(__xludf.DUMMYFUNCTION("GOOGLETRANSLATE(A57282,""en"",""pt"")"),"Pequeno, não muito pequeno, discagem por voz")</f>
        <v>Pequeno, não muito pequeno, discagem por voz</v>
      </c>
      <c r="B57282" s="3">
        <v>1</v>
      </c>
    </row>
    <row r="57283" ht="15.75" customHeight="1" spans="1:2">
      <c r="A57283" s="3" t="str">
        <f>IFERROR(__xludf.DUMMYFUNCTION("GOOGLETRANSLATE(A57283,""en"",""pt"")"),"capacidades de muitos recursos, totalmente mãos-livres")</f>
        <v>capacidades de muitos recursos, totalmente mãos-livres</v>
      </c>
      <c r="B57283" s="3">
        <v>1</v>
      </c>
    </row>
    <row r="57284" ht="15.75" customHeight="1" spans="1:2">
      <c r="A57284" s="3" t="str">
        <f>IFERROR(__xludf.DUMMYFUNCTION("GOOGLETRANSLATE(A57284,""en"",""pt"")"),"luz, elegante, discagem por voz! Faz Kirks comunicador olhar como um telefone público.")</f>
        <v>luz, elegante, discagem por voz! Faz Kirks comunicador olhar como um telefone público.</v>
      </c>
      <c r="B57284" s="3">
        <v>1</v>
      </c>
    </row>
    <row r="57285" ht="15.75" customHeight="1" spans="1:2">
      <c r="A57285" s="3" t="str">
        <f>IFERROR(__xludf.DUMMYFUNCTION("GOOGLETRANSLATE(A57285,""en"",""pt"")"),"bem construído, sólido, flip estilo")</f>
        <v>bem construído, sólido, flip estilo</v>
      </c>
      <c r="B57285" s="3">
        <v>1</v>
      </c>
    </row>
    <row r="57286" ht="15.75" customHeight="1" spans="1:2">
      <c r="A57286" s="3" t="str">
        <f>IFERROR(__xludf.DUMMYFUNCTION("GOOGLETRANSLATE(A57286,""en"",""pt"")"),"capacidade de mini-browser, fácil de usar, leve e grande precisão dial-up ativado por voz!")</f>
        <v>capacidade de mini-browser, fácil de usar, leve e grande precisão dial-up ativado por voz!</v>
      </c>
      <c r="B57286" s="3">
        <v>1</v>
      </c>
    </row>
    <row r="57287" ht="15.75" customHeight="1" spans="1:2">
      <c r="A57287" s="3" t="str">
        <f>IFERROR(__xludf.DUMMYFUNCTION("GOOGLETRANSLATE(A57287,""en"",""pt"")"),"Fun características funcionais que vão sobreviver a tecnologia que muda rapidamente.")</f>
        <v>Fun características funcionais que vão sobreviver a tecnologia que muda rapidamente.</v>
      </c>
      <c r="B57287" s="3">
        <v>1</v>
      </c>
    </row>
    <row r="57288" ht="15.75" customHeight="1" spans="1:2">
      <c r="A57288" s="3" t="str">
        <f>IFERROR(__xludf.DUMMYFUNCTION("GOOGLETRANSLATE(A57288,""en"",""pt"")"),"discagem por voz, gravação de voz, resistente")</f>
        <v>discagem por voz, gravação de voz, resistente</v>
      </c>
      <c r="B57288" s="3">
        <v>1</v>
      </c>
    </row>
    <row r="57289" ht="15.75" customHeight="1" spans="1:2">
      <c r="A57289" s="3" t="str">
        <f>IFERROR(__xludf.DUMMYFUNCTION("GOOGLETRANSLATE(A57289,""en"",""pt"")"),"As características mais importantes e tecnologia atualizada tornam este telemóvel uma ótima opção")</f>
        <v>As características mais importantes e tecnologia atualizada tornam este telemóvel uma ótima opção</v>
      </c>
      <c r="B57289" s="3">
        <v>1</v>
      </c>
    </row>
    <row r="57290" ht="15.75" customHeight="1" spans="1:2">
      <c r="A57290" s="3" t="str">
        <f>IFERROR(__xludf.DUMMYFUNCTION("GOOGLETRANSLATE(A57290,""en"",""pt"")"),"Boa qualidade, grandes recursos, confortável de usar")</f>
        <v>Boa qualidade, grandes recursos, confortável de usar</v>
      </c>
      <c r="B57290" s="3">
        <v>1</v>
      </c>
    </row>
    <row r="57291" ht="15.75" customHeight="1" spans="1:2">
      <c r="A57291" s="3" t="str">
        <f>IFERROR(__xludf.DUMMYFUNCTION("GOOGLETRANSLATE(A57291,""en"",""pt"")"),"grandes recursos, stand-by e tempo de conversação é excelente")</f>
        <v>grandes recursos, stand-by e tempo de conversação é excelente</v>
      </c>
      <c r="B57291" s="3">
        <v>1</v>
      </c>
    </row>
    <row r="57292" ht="15.75" customHeight="1" spans="1:2">
      <c r="A57292" s="3" t="str">
        <f>IFERROR(__xludf.DUMMYFUNCTION("GOOGLETRANSLATE(A57292,""en"",""pt"")"),"Muito pequeno e fácil de segurar enquanto fala, inclui cinto coldre, agradável carregador")</f>
        <v>Muito pequeno e fácil de segurar enquanto fala, inclui cinto coldre, agradável carregador</v>
      </c>
      <c r="B57292" s="3">
        <v>1</v>
      </c>
    </row>
    <row r="57293" ht="15.75" customHeight="1" spans="1:2">
      <c r="A57293" s="3" t="str">
        <f>IFERROR(__xludf.DUMMYFUNCTION("GOOGLETRANSLATE(A57293,""en"",""pt"")"),"Parece legal, grande exibição, muito compacto, boa recepção.")</f>
        <v>Parece legal, grande exibição, muito compacto, boa recepção.</v>
      </c>
      <c r="B57293" s="3">
        <v>1</v>
      </c>
    </row>
    <row r="57294" ht="15.75" customHeight="1" spans="1:2">
      <c r="A57294" s="3" t="str">
        <f>IFERROR(__xludf.DUMMYFUNCTION("GOOGLETRANSLATE(A57294,""en"",""pt"")"),"Compacto, incrivelmente cheio de recurso, grande som. . . atirar o telefone da linha terrestre !!")</f>
        <v>Compacto, incrivelmente cheio de recurso, grande som. . . atirar o telefone da linha terrestre !!</v>
      </c>
      <c r="B57294" s="3">
        <v>1</v>
      </c>
    </row>
    <row r="57295" ht="15.75" customHeight="1" spans="1:2">
      <c r="A57295" s="3" t="str">
        <f>IFERROR(__xludf.DUMMYFUNCTION("GOOGLETRANSLATE(A57295,""en"",""pt"")"),"O tamanho pequeno, construção sólida, discagem por voz, display externo")</f>
        <v>O tamanho pequeno, construção sólida, discagem por voz, display externo</v>
      </c>
      <c r="B57295" s="3">
        <v>1</v>
      </c>
    </row>
    <row r="57296" ht="15.75" customHeight="1" spans="1:2">
      <c r="A57296" s="3" t="str">
        <f>IFERROR(__xludf.DUMMYFUNCTION("GOOGLETRANSLATE(A57296,""en"",""pt"")"),"Compacto, fácil de usar, parece afiada, durável")</f>
        <v>Compacto, fácil de usar, parece afiada, durável</v>
      </c>
      <c r="B57296" s="3">
        <v>1</v>
      </c>
    </row>
    <row r="57297" ht="15.75" customHeight="1" spans="1:2">
      <c r="A57297" s="3" t="str">
        <f>IFERROR(__xludf.DUMMYFUNCTION("GOOGLETRANSLATE(A57297,""en"",""pt"")"),"estilo flip-telefone, facilidade de uso")</f>
        <v>estilo flip-telefone, facilidade de uso</v>
      </c>
      <c r="B57297" s="3">
        <v>1</v>
      </c>
    </row>
    <row r="57298" ht="15.75" customHeight="1" spans="1:2">
      <c r="A57298" s="3" t="str">
        <f>IFERROR(__xludf.DUMMYFUNCTION("GOOGLETRANSLATE(A57298,""en"",""pt"")"),"LCD na frente e comando de voz")</f>
        <v>LCD na frente e comando de voz</v>
      </c>
      <c r="B57298" s="3">
        <v>1</v>
      </c>
    </row>
    <row r="57299" ht="15.75" customHeight="1" spans="1:2">
      <c r="A57299" s="3" t="str">
        <f>IFERROR(__xludf.DUMMYFUNCTION("GOOGLETRANSLATE(A57299,""en"",""pt"")"),"Características, confiabilidade, valor, Track Record")</f>
        <v>Características, confiabilidade, valor, Track Record</v>
      </c>
      <c r="B57299" s="3">
        <v>1</v>
      </c>
    </row>
    <row r="57300" ht="15.75" customHeight="1" spans="1:2">
      <c r="A57300" s="3" t="str">
        <f>IFERROR(__xludf.DUMMYFUNCTION("GOOGLETRANSLATE(A57300,""en"",""pt"")"),"Tamanho, características, clareza.")</f>
        <v>Tamanho, características, clareza.</v>
      </c>
      <c r="B57300" s="3">
        <v>1</v>
      </c>
    </row>
    <row r="57301" ht="15.75" customHeight="1" spans="1:2">
      <c r="A57301" s="3" t="str">
        <f>IFERROR(__xludf.DUMMYFUNCTION("GOOGLETRANSLATE(A57301,""en"",""pt"")"),"extremamente compacto; Web habilitado; pode definir anéis; ativada por voz; durável; jacks padrão")</f>
        <v>extremamente compacto; Web habilitado; pode definir anéis; ativada por voz; durável; jacks padrão</v>
      </c>
      <c r="B57301" s="3">
        <v>1</v>
      </c>
    </row>
    <row r="57302" ht="15.75" customHeight="1" spans="1:2">
      <c r="A57302" s="3" t="str">
        <f>IFERROR(__xludf.DUMMYFUNCTION("GOOGLETRANSLATE(A57302,""en"",""pt"")"),"Luz, pequeno, muito resistente, decente voz de discagem, uma boa recepção.")</f>
        <v>Luz, pequeno, muito resistente, decente voz de discagem, uma boa recepção.</v>
      </c>
      <c r="B57302" s="3">
        <v>1</v>
      </c>
    </row>
    <row r="57303" ht="15.75" customHeight="1" spans="1:2">
      <c r="A57303" s="3" t="str">
        <f>IFERROR(__xludf.DUMMYFUNCTION("GOOGLETRANSLATE(A57303,""en"",""pt"")"),"backlight display Indiglo, 2 telas, tamanho de memória, reconhecimento de voz")</f>
        <v>backlight display Indiglo, 2 telas, tamanho de memória, reconhecimento de voz</v>
      </c>
      <c r="B57303" s="3">
        <v>1</v>
      </c>
    </row>
    <row r="57304" ht="15.75" customHeight="1" spans="1:2">
      <c r="A57304" s="3" t="str">
        <f>IFERROR(__xludf.DUMMYFUNCTION("GOOGLETRANSLATE(A57304,""en"",""pt"")"),"clareza da fala. Grande exibição. Excelente backlight. Discagem por voz. conectividade")</f>
        <v>clareza da fala. Grande exibição. Excelente backlight. Discagem por voz. conectividade</v>
      </c>
      <c r="B57304" s="3">
        <v>1</v>
      </c>
    </row>
    <row r="57305" ht="15.75" customHeight="1" spans="1:2">
      <c r="A57305" s="3" t="str">
        <f>IFERROR(__xludf.DUMMYFUNCTION("GOOGLETRANSLATE(A57305,""en"",""pt"")"),"Tamanho pequeno")</f>
        <v>Tamanho pequeno</v>
      </c>
      <c r="B57305" s="3">
        <v>1</v>
      </c>
    </row>
    <row r="57306" ht="15.75" customHeight="1" spans="1:2">
      <c r="A57306" s="3" t="str">
        <f>IFERROR(__xludf.DUMMYFUNCTION("GOOGLETRANSLATE(A57306,""en"",""pt"")"),"factor de forma e tamanho")</f>
        <v>factor de forma e tamanho</v>
      </c>
      <c r="B57306" s="3">
        <v>1</v>
      </c>
    </row>
    <row r="57307" ht="15.75" customHeight="1" spans="1:2">
      <c r="A57307" s="3" t="str">
        <f>IFERROR(__xludf.DUMMYFUNCTION("GOOGLETRANSLATE(A57307,""en"",""pt"")"),"tamanho, fácil de abrir com uma mão")</f>
        <v>tamanho, fácil de abrir com uma mão</v>
      </c>
      <c r="B57307" s="3">
        <v>1</v>
      </c>
    </row>
    <row r="57308" ht="15.75" customHeight="1" spans="1:2">
      <c r="A57308" s="3" t="str">
        <f>IFERROR(__xludf.DUMMYFUNCTION("GOOGLETRANSLATE(A57308,""en"",""pt"")"),"muito pequeno, uma boa recepção, claro som.")</f>
        <v>muito pequeno, uma boa recepção, claro som.</v>
      </c>
      <c r="B57308" s="3">
        <v>1</v>
      </c>
    </row>
    <row r="57309" ht="15.75" customHeight="1" spans="1:2">
      <c r="A57309" s="3" t="str">
        <f>IFERROR(__xludf.DUMMYFUNCTION("GOOGLETRANSLATE(A57309,""en"",""pt"")"),"Lotes de grandes recursos")</f>
        <v>Lotes de grandes recursos</v>
      </c>
      <c r="B57309" s="3">
        <v>1</v>
      </c>
    </row>
    <row r="57310" ht="15.75" customHeight="1" spans="1:2">
      <c r="A57310" s="3" t="str">
        <f>IFERROR(__xludf.DUMMYFUNCTION("GOOGLETRANSLATE(A57310,""en"",""pt"")"),"Menor telefone com todas as características")</f>
        <v>Menor telefone com todas as características</v>
      </c>
      <c r="B57310" s="3">
        <v>1</v>
      </c>
    </row>
    <row r="57311" ht="15.75" customHeight="1" spans="1:2">
      <c r="A57311" s="3" t="str">
        <f>IFERROR(__xludf.DUMMYFUNCTION("GOOGLETRANSLATE(A57311,""en"",""pt"")"),"Tamanho, bem iluminada para trás, capacidade de kit uso de dados.")</f>
        <v>Tamanho, bem iluminada para trás, capacidade de kit uso de dados.</v>
      </c>
      <c r="B57311" s="3">
        <v>1</v>
      </c>
    </row>
    <row r="57312" ht="15.75" customHeight="1" spans="1:2">
      <c r="A57312" s="3" t="str">
        <f>IFERROR(__xludf.DUMMYFUNCTION("GOOGLETRANSLATE(A57312,""en"",""pt"")"),"Era pequeno")</f>
        <v>Era pequeno</v>
      </c>
      <c r="B57312" s="3">
        <v>1</v>
      </c>
    </row>
    <row r="57313" ht="15.75" customHeight="1" spans="1:2">
      <c r="A57313" s="3" t="str">
        <f>IFERROR(__xludf.DUMMYFUNCTION("GOOGLETRANSLATE(A57313,""en"",""pt"")"),"chamado ID externo, compacto, extremamente durável, grande recepção")</f>
        <v>chamado ID externo, compacto, extremamente durável, grande recepção</v>
      </c>
      <c r="B57313" s="3">
        <v>1</v>
      </c>
    </row>
    <row r="57314" ht="15.75" customHeight="1" spans="1:2">
      <c r="A57314" s="3" t="str">
        <f>IFERROR(__xludf.DUMMYFUNCTION("GOOGLETRANSLATE(A57314,""en"",""pt"")"),"Trimode, ainda competitivo com a sua frente-de-seu tempo de vida da bateria, tamanho e peso")</f>
        <v>Trimode, ainda competitivo com a sua frente-de-seu tempo de vida da bateria, tamanho e peso</v>
      </c>
      <c r="B57314" s="3">
        <v>1</v>
      </c>
    </row>
    <row r="57315" ht="15.75" customHeight="1" spans="1:2">
      <c r="A57315" s="3" t="str">
        <f>IFERROR(__xludf.DUMMYFUNCTION("GOOGLETRANSLATE(A57315,""en"",""pt"")"),"Leve e fácil de transportar; digital; design atraente e elegante.")</f>
        <v>Leve e fácil de transportar; digital; design atraente e elegante.</v>
      </c>
      <c r="B57315" s="3">
        <v>1</v>
      </c>
    </row>
    <row r="57316" ht="15.75" customHeight="1" spans="1:2">
      <c r="A57316" s="3" t="str">
        <f>IFERROR(__xludf.DUMMYFUNCTION("GOOGLETRANSLATE(A57316,""en"",""pt"")"),"Pequeno, leve, resistente, boa recepção e vista legal")</f>
        <v>Pequeno, leve, resistente, boa recepção e vista legal</v>
      </c>
      <c r="B57316" s="3">
        <v>1</v>
      </c>
    </row>
    <row r="57317" ht="15.75" customHeight="1" spans="1:2">
      <c r="A57317" s="3" t="str">
        <f>IFERROR(__xludf.DUMMYFUNCTION("GOOGLETRANSLATE(A57317,""en"",""pt"")"),"Grande tamanho e peso leve; telefone durável!")</f>
        <v>Grande tamanho e peso leve; telefone durável!</v>
      </c>
      <c r="B57317" s="3">
        <v>1</v>
      </c>
    </row>
    <row r="57318" ht="15.75" customHeight="1" spans="1:2">
      <c r="A57318" s="3" t="str">
        <f>IFERROR(__xludf.DUMMYFUNCTION("GOOGLETRANSLATE(A57318,""en"",""pt"")"),"Mais bonito do que um Nokia")</f>
        <v>Mais bonito do que um Nokia</v>
      </c>
      <c r="B57318" s="3">
        <v>1</v>
      </c>
    </row>
    <row r="57319" ht="15.75" customHeight="1" spans="1:2">
      <c r="A57319" s="3" t="str">
        <f>IFERROR(__xludf.DUMMYFUNCTION("GOOGLETRANSLATE(A57319,""en"",""pt"")"),"Limpar recepção; não desconecta inesperados; características")</f>
        <v>Limpar recepção; não desconecta inesperados; características</v>
      </c>
      <c r="B57319" s="3">
        <v>1</v>
      </c>
    </row>
    <row r="57320" ht="15.75" customHeight="1" spans="1:2">
      <c r="A57320" s="3" t="str">
        <f>IFERROR(__xludf.DUMMYFUNCTION("GOOGLETRANSLATE(A57320,""en"",""pt"")"),"Muito pequeno e compacto.")</f>
        <v>Muito pequeno e compacto.</v>
      </c>
      <c r="B57320" s="3">
        <v>1</v>
      </c>
    </row>
    <row r="57321" ht="15.75" customHeight="1" spans="1:2">
      <c r="A57321" s="3" t="str">
        <f>IFERROR(__xludf.DUMMYFUNCTION("GOOGLETRANSLATE(A57321,""en"",""pt"")"),"Discagem ativada por voz, muitos recursos extras, bateria de longa duração, tamanho pequeno")</f>
        <v>Discagem ativada por voz, muitos recursos extras, bateria de longa duração, tamanho pequeno</v>
      </c>
      <c r="B57321" s="3">
        <v>1</v>
      </c>
    </row>
    <row r="57322" ht="15.75" customHeight="1" spans="1:2">
      <c r="A57322" s="3" t="str">
        <f>IFERROR(__xludf.DUMMYFUNCTION("GOOGLETRANSLATE(A57322,""en"",""pt"")"),"tamanho compacto e peso, user-friendly, bom desempenho / recepção")</f>
        <v>tamanho compacto e peso, user-friendly, bom desempenho / recepção</v>
      </c>
      <c r="B57322" s="3">
        <v>1</v>
      </c>
    </row>
    <row r="57323" ht="15.75" customHeight="1" spans="1:2">
      <c r="A57323" s="3" t="str">
        <f>IFERROR(__xludf.DUMMYFUNCTION("GOOGLETRANSLATE(A57323,""en"",""pt"")"),"pequeno, magro, características high-end, customizeable, resistente, fácil de ler visor, preço")</f>
        <v>pequeno, magro, características high-end, customizeable, resistente, fácil de ler visor, preço</v>
      </c>
      <c r="B57323" s="3">
        <v>1</v>
      </c>
    </row>
    <row r="57324" ht="15.75" customHeight="1" spans="1:2">
      <c r="A57324" s="3" t="str">
        <f>IFERROR(__xludf.DUMMYFUNCTION("GOOGLETRANSLATE(A57324,""en"",""pt"")"),"Ergonomicamente e esteticamente agradável, mais recursos do que sabores de Ben &amp; Jerry")</f>
        <v>Ergonomicamente e esteticamente agradável, mais recursos do que sabores de Ben &amp; Jerry</v>
      </c>
      <c r="B57324" s="3">
        <v>1</v>
      </c>
    </row>
    <row r="57325" ht="15.75" customHeight="1" spans="1:2">
      <c r="A57325" s="3" t="str">
        <f>IFERROR(__xludf.DUMMYFUNCTION("GOOGLETRANSLATE(A57325,""en"",""pt"")"),"Rico em recursos, bateria de longa duração, elegante, peso leve")</f>
        <v>Rico em recursos, bateria de longa duração, elegante, peso leve</v>
      </c>
      <c r="B57325" s="3">
        <v>1</v>
      </c>
    </row>
    <row r="57326" ht="15.75" customHeight="1" spans="1:2">
      <c r="A57326" s="3" t="str">
        <f>IFERROR(__xludf.DUMMYFUNCTION("GOOGLETRANSLATE(A57326,""en"",""pt"")"),"Elegante, múltiplos anéis, a vida boa da bateria")</f>
        <v>Elegante, múltiplos anéis, a vida boa da bateria</v>
      </c>
      <c r="B57326" s="3">
        <v>1</v>
      </c>
    </row>
    <row r="57327" ht="15.75" customHeight="1" spans="1:2">
      <c r="A57327" s="3" t="str">
        <f>IFERROR(__xludf.DUMMYFUNCTION("GOOGLETRANSLATE(A57327,""en"",""pt"")"),"design elegante, pode ser completamente personalizado, ótimo preço")</f>
        <v>design elegante, pode ser completamente personalizado, ótimo preço</v>
      </c>
      <c r="B57327" s="3">
        <v>1</v>
      </c>
    </row>
    <row r="57328" ht="15.75" customHeight="1" spans="1:2">
      <c r="A57328" s="3" t="str">
        <f>IFERROR(__xludf.DUMMYFUNCTION("GOOGLETRANSLATE(A57328,""en"",""pt"")"),"Boa duração da bateria, características mais necessários, uma melhor interface para Motorola, atalhos programáveis")</f>
        <v>Boa duração da bateria, características mais necessários, uma melhor interface para Motorola, atalhos programáveis</v>
      </c>
      <c r="B57328" s="3">
        <v>1</v>
      </c>
    </row>
    <row r="57329" ht="15.75" customHeight="1" spans="1:2">
      <c r="A57329" s="3" t="str">
        <f>IFERROR(__xludf.DUMMYFUNCTION("GOOGLETRANSLATE(A57329,""en"",""pt"")"),"Pequeno, leve, mas resistente. Preço.")</f>
        <v>Pequeno, leve, mas resistente. Preço.</v>
      </c>
      <c r="B57329" s="3">
        <v>1</v>
      </c>
    </row>
    <row r="57330" ht="15.75" customHeight="1" spans="1:2">
      <c r="A57330" s="3" t="str">
        <f>IFERROR(__xludf.DUMMYFUNCTION("GOOGLETRANSLATE(A57330,""en"",""pt"")"),"bom design, durabilidade, qualidade do sinal e muitos recursos por um preço baixo &amp; # 13;. &amp; # 10;")</f>
        <v>bom design, durabilidade, qualidade do sinal e muitos recursos por um preço baixo &amp; # 13;. &amp; # 10;</v>
      </c>
      <c r="B57330" s="3">
        <v>1</v>
      </c>
    </row>
    <row r="57331" ht="15.75" customHeight="1" spans="1:2">
      <c r="A57331" s="3" t="str">
        <f>IFERROR(__xludf.DUMMYFUNCTION("GOOGLETRANSLATE(A57331,""en"",""pt"")"),"Tamanho, características")</f>
        <v>Tamanho, características</v>
      </c>
      <c r="B57331" s="3">
        <v>1</v>
      </c>
    </row>
    <row r="57332" ht="15.75" customHeight="1" spans="1:2">
      <c r="A57332" s="3" t="str">
        <f>IFERROR(__xludf.DUMMYFUNCTION("GOOGLETRANSLATE(A57332,""en"",""pt"")"),"preço / recurso, discagem por voz, trimode")</f>
        <v>preço / recurso, discagem por voz, trimode</v>
      </c>
      <c r="B57332" s="3">
        <v>1</v>
      </c>
    </row>
    <row r="57333" ht="15.75" customHeight="1" spans="1:2">
      <c r="A57333" s="3" t="str">
        <f>IFERROR(__xludf.DUMMYFUNCTION("GOOGLETRANSLATE(A57333,""en"",""pt"")"),"Mesmas características do V60c em uma fração do custo")</f>
        <v>Mesmas características do V60c em uma fração do custo</v>
      </c>
      <c r="B57333" s="3">
        <v>1</v>
      </c>
    </row>
    <row r="57334" ht="15.75" customHeight="1" spans="1:2">
      <c r="A57334" s="3" t="str">
        <f>IFERROR(__xludf.DUMMYFUNCTION("GOOGLETRANSLATE(A57334,""en"",""pt"")"),"Pequeno, muitas características, estilo impressionante, grande sensação, bom seleção de ringtones, Vibrar, customizável")</f>
        <v>Pequeno, muitas características, estilo impressionante, grande sensação, bom seleção de ringtones, Vibrar, customizável</v>
      </c>
      <c r="B57334" s="3">
        <v>1</v>
      </c>
    </row>
    <row r="57335" ht="15.75" customHeight="1" spans="1:2">
      <c r="A57335" s="3" t="str">
        <f>IFERROR(__xludf.DUMMYFUNCTION("GOOGLETRANSLATE(A57335,""en"",""pt"")"),"Tamanho compacto, leve, muitas características, a vida da bateria, dois messaging forma de texto.")</f>
        <v>Tamanho compacto, leve, muitas características, a vida da bateria, dois messaging forma de texto.</v>
      </c>
      <c r="B57335" s="3">
        <v>1</v>
      </c>
    </row>
    <row r="57336" ht="15.75" customHeight="1" spans="1:2">
      <c r="A57336" s="3" t="str">
        <f>IFERROR(__xludf.DUMMYFUNCTION("GOOGLETRANSLATE(A57336,""en"",""pt"")"),"Pequeno, discagem ativada por voz, notas de voz, boa aparência, características, a vida da bateria")</f>
        <v>Pequeno, discagem ativada por voz, notas de voz, boa aparência, características, a vida da bateria</v>
      </c>
      <c r="B57336" s="3">
        <v>1</v>
      </c>
    </row>
    <row r="57337" ht="15.75" customHeight="1" spans="1:2">
      <c r="A57337" s="3" t="str">
        <f>IFERROR(__xludf.DUMMYFUNCTION("GOOGLETRANSLATE(A57337,""en"",""pt"")"),"Discagem ativada por voz. Boa duração da bateria. Arrefecer luz de fundo azul. Ótimo preço.")</f>
        <v>Discagem ativada por voz. Boa duração da bateria. Arrefecer luz de fundo azul. Ótimo preço.</v>
      </c>
      <c r="B57337" s="3">
        <v>1</v>
      </c>
    </row>
    <row r="57338" ht="15.75" customHeight="1" spans="1:2">
      <c r="A57338" s="3" t="str">
        <f>IFERROR(__xludf.DUMMYFUNCTION("GOOGLETRANSLATE(A57338,""en"",""pt"")"),"Luz, elegante, muito bem estruturado, bateria de longa duração, fácil de personalizar.")</f>
        <v>Luz, elegante, muito bem estruturado, bateria de longa duração, fácil de personalizar.</v>
      </c>
      <c r="B57338" s="3">
        <v>1</v>
      </c>
    </row>
    <row r="57339" ht="15.75" customHeight="1" spans="1:2">
      <c r="A57339" s="3" t="str">
        <f>IFERROR(__xludf.DUMMYFUNCTION("GOOGLETRANSLATE(A57339,""en"",""pt"")"),"Pequeno, grande recepção, grande autonomia da bateria")</f>
        <v>Pequeno, grande recepção, grande autonomia da bateria</v>
      </c>
      <c r="B57339" s="3">
        <v>1</v>
      </c>
    </row>
    <row r="57340" ht="15.75" customHeight="1" spans="1:2">
      <c r="A57340" s="3" t="str">
        <f>IFERROR(__xludf.DUMMYFUNCTION("GOOGLETRANSLATE(A57340,""en"",""pt"")"),"Barato, Great value.")</f>
        <v>Barato, Great value.</v>
      </c>
      <c r="B57340" s="3">
        <v>1</v>
      </c>
    </row>
    <row r="57341" ht="15.75" customHeight="1" spans="1:2">
      <c r="A57341" s="3" t="str">
        <f>IFERROR(__xludf.DUMMYFUNCTION("GOOGLETRANSLATE(A57341,""en"",""pt"")"),"Toneladas de recursos, elegante, leve, de boa qualidade")</f>
        <v>Toneladas de recursos, elegante, leve, de boa qualidade</v>
      </c>
      <c r="B57341" s="3">
        <v>1</v>
      </c>
    </row>
    <row r="57342" ht="15.75" customHeight="1" spans="1:2">
      <c r="A57342" s="3" t="str">
        <f>IFERROR(__xludf.DUMMYFUNCTION("GOOGLETRANSLATE(A57342,""en"",""pt"")"),"bom tamanho, discagem por voz, sinal forte, vibra, agenda enorme.")</f>
        <v>bom tamanho, discagem por voz, sinal forte, vibra, agenda enorme.</v>
      </c>
      <c r="B57342" s="3">
        <v>1</v>
      </c>
    </row>
    <row r="57343" ht="15.75" customHeight="1" spans="1:2">
      <c r="A57343" s="3" t="str">
        <f>IFERROR(__xludf.DUMMYFUNCTION("GOOGLETRANSLATE(A57343,""en"",""pt"")"),"Hmmm ... faz um grande batente? Oh, eu sei ... Ele se encaixa no seu bolso.")</f>
        <v>Hmmm ... faz um grande batente? Oh, eu sei ... Ele se encaixa no seu bolso.</v>
      </c>
      <c r="B57343" s="3">
        <v>1</v>
      </c>
    </row>
    <row r="57344" ht="15.75" customHeight="1" spans="1:2">
      <c r="A57344" s="3" t="str">
        <f>IFERROR(__xludf.DUMMYFUNCTION("GOOGLETRANSLATE(A57344,""en"",""pt"")"),"Barato, abundância de recursos para o dinheiro, boa qualidade de som.")</f>
        <v>Barato, abundância de recursos para o dinheiro, boa qualidade de som.</v>
      </c>
      <c r="B57344" s="3">
        <v>1</v>
      </c>
    </row>
    <row r="57345" ht="15.75" customHeight="1" spans="1:2">
      <c r="A57345" s="3" t="str">
        <f>IFERROR(__xludf.DUMMYFUNCTION("GOOGLETRANSLATE(A57345,""en"",""pt"")"),"Foi livre. Pequeno, leve, bom toque.")</f>
        <v>Foi livre. Pequeno, leve, bom toque.</v>
      </c>
      <c r="B57345" s="3">
        <v>1</v>
      </c>
    </row>
    <row r="57346" ht="15.75" customHeight="1" spans="1:2">
      <c r="A57346" s="3" t="str">
        <f>IFERROR(__xludf.DUMMYFUNCTION("GOOGLETRANSLATE(A57346,""en"",""pt"")"),"vida útil da bateria, discagem por voz, lojas lotes de números")</f>
        <v>vida útil da bateria, discagem por voz, lojas lotes de números</v>
      </c>
      <c r="B57346" s="3">
        <v>1</v>
      </c>
    </row>
    <row r="57347" ht="15.75" customHeight="1" spans="1:2">
      <c r="A57347" s="3" t="str">
        <f>IFERROR(__xludf.DUMMYFUNCTION("GOOGLETRANSLATE(A57347,""en"",""pt"")"),"Extremamente durável, muito longa vida útil da bateria, dura há anos.")</f>
        <v>Extremamente durável, muito longa vida útil da bateria, dura há anos.</v>
      </c>
      <c r="B57347" s="3">
        <v>1</v>
      </c>
    </row>
    <row r="57348" ht="15.75" customHeight="1" spans="1:2">
      <c r="A57348" s="3" t="str">
        <f>IFERROR(__xludf.DUMMYFUNCTION("GOOGLETRANSLATE(A57348,""en"",""pt"")"),"Cheap, Basic, OK Iniciado Telefone")</f>
        <v>Cheap, Basic, OK Iniciado Telefone</v>
      </c>
      <c r="B57348" s="3">
        <v>1</v>
      </c>
    </row>
    <row r="57349" ht="15.75" customHeight="1" spans="1:2">
      <c r="A57349" s="3" t="str">
        <f>IFERROR(__xludf.DUMMYFUNCTION("GOOGLETRANSLATE(A57349,""en"",""pt"")"),"Tamanho, estilo, durabilidade, OS, som, recepção.")</f>
        <v>Tamanho, estilo, durabilidade, OS, som, recepção.</v>
      </c>
      <c r="B57349" s="3">
        <v>1</v>
      </c>
    </row>
    <row r="57350" ht="15.75" customHeight="1" spans="1:2">
      <c r="A57350" s="3" t="str">
        <f>IFERROR(__xludf.DUMMYFUNCTION("GOOGLETRANSLATE(A57350,""en"",""pt"")"),"Preço, interface do menu, aparência, estilo, características gerais, nome MOTOROLA, sinal, muitos mais.")</f>
        <v>Preço, interface do menu, aparência, estilo, características gerais, nome MOTOROLA, sinal, muitos mais.</v>
      </c>
      <c r="B57350" s="3">
        <v>1</v>
      </c>
    </row>
    <row r="57351" ht="15.75" customHeight="1" spans="1:2">
      <c r="A57351" s="3" t="str">
        <f>IFERROR(__xludf.DUMMYFUNCTION("GOOGLETRANSLATE(A57351,""en"",""pt"")"),"barato, bateria de longa duração, os lotes de brinquedos")</f>
        <v>barato, bateria de longa duração, os lotes de brinquedos</v>
      </c>
      <c r="B57351" s="3">
        <v>1</v>
      </c>
    </row>
    <row r="57352" ht="15.75" customHeight="1" spans="1:2">
      <c r="A57352" s="3" t="str">
        <f>IFERROR(__xludf.DUMMYFUNCTION("GOOGLETRANSLATE(A57352,""en"",""pt"")"),"Bom tamanho e vida útil da bateria fácil de usar &amp; # 13; &amp; # 10; &amp; # 13; &amp; # 10; cheio de recursos")</f>
        <v>Bom tamanho e vida útil da bateria fácil de usar &amp; # 13; &amp; # 10; &amp; # 13; &amp; # 10; cheio de recursos</v>
      </c>
      <c r="B57352" s="3">
        <v>1</v>
      </c>
    </row>
    <row r="57353" ht="15.75" customHeight="1" spans="1:2">
      <c r="A57353" s="3" t="str">
        <f>IFERROR(__xludf.DUMMYFUNCTION("GOOGLETRANSLATE(A57353,""en"",""pt"")"),"Tamanho, características, qualidade de som, a vida da bateria, Recepção, discagem por voz, Menu")</f>
        <v>Tamanho, características, qualidade de som, a vida da bateria, Recepção, discagem por voz, Menu</v>
      </c>
      <c r="B57353" s="3">
        <v>1</v>
      </c>
    </row>
    <row r="57354" ht="15.75" customHeight="1" spans="1:2">
      <c r="A57354" s="3" t="str">
        <f>IFERROR(__xludf.DUMMYFUNCTION("GOOGLETRANSLATE(A57354,""en"",""pt"")"),"Todas as características de um telefone celular $ 100 por apenas R $ 25")</f>
        <v>Todas as características de um telefone celular $ 100 por apenas R $ 25</v>
      </c>
      <c r="B57354" s="3">
        <v>1</v>
      </c>
    </row>
    <row r="57355" ht="15.75" customHeight="1" spans="1:2">
      <c r="A57355" s="3" t="str">
        <f>IFERROR(__xludf.DUMMYFUNCTION("GOOGLETRANSLATE(A57355,""en"",""pt"")"),"Grande tamanho, forma e características, especialmente notas de voz")</f>
        <v>Grande tamanho, forma e características, especialmente notas de voz</v>
      </c>
      <c r="B57355" s="3">
        <v>1</v>
      </c>
    </row>
    <row r="57356" ht="15.75" customHeight="1" spans="1:2">
      <c r="A57356" s="3" t="str">
        <f>IFERROR(__xludf.DUMMYFUNCTION("GOOGLETRANSLATE(A57356,""en"",""pt"")"),"Leve, relativamente pequeno, boa recepção")</f>
        <v>Leve, relativamente pequeno, boa recepção</v>
      </c>
      <c r="B57356" s="3">
        <v>1</v>
      </c>
    </row>
    <row r="57357" ht="15.75" customHeight="1" spans="1:2">
      <c r="A57357" s="3" t="str">
        <f>IFERROR(__xludf.DUMMYFUNCTION("GOOGLETRANSLATE(A57357,""en"",""pt"")"),"Tamanho, peso, características, facilidade de uso, botões úteis ao redor do topo do telefone")</f>
        <v>Tamanho, peso, características, facilidade de uso, botões úteis ao redor do topo do telefone</v>
      </c>
      <c r="B57357" s="3">
        <v>1</v>
      </c>
    </row>
    <row r="57358" ht="15.75" customHeight="1" spans="1:2">
      <c r="A57358" s="3" t="str">
        <f>IFERROR(__xludf.DUMMYFUNCTION("GOOGLETRANSLATE(A57358,""en"",""pt"")"),"Pequeno, muitas características, a voz-ativação")</f>
        <v>Pequeno, muitas características, a voz-ativação</v>
      </c>
      <c r="B57358" s="3">
        <v>1</v>
      </c>
    </row>
    <row r="57359" ht="15.75" customHeight="1" spans="1:2">
      <c r="A57359" s="3" t="str">
        <f>IFERROR(__xludf.DUMMYFUNCTION("GOOGLETRANSLATE(A57359,""en"",""pt"")"),"Pequeno o suficiente para caber no seu bolso. monitor de vibração alert.Good.")</f>
        <v>Pequeno o suficiente para caber no seu bolso. monitor de vibração alert.Good.</v>
      </c>
      <c r="B57359" s="3">
        <v>1</v>
      </c>
    </row>
    <row r="57360" ht="15.75" customHeight="1" spans="1:2">
      <c r="A57360" s="3" t="str">
        <f>IFERROR(__xludf.DUMMYFUNCTION("GOOGLETRANSLATE(A57360,""en"",""pt"")"),"Lotes das características decentes, grande autonomia da bateria, parece bem feita")</f>
        <v>Lotes das características decentes, grande autonomia da bateria, parece bem feita</v>
      </c>
      <c r="B57360" s="3">
        <v>1</v>
      </c>
    </row>
    <row r="57361" ht="15.75" customHeight="1" spans="1:2">
      <c r="A57361" s="3" t="str">
        <f>IFERROR(__xludf.DUMMYFUNCTION("GOOGLETRANSLATE(A57361,""en"",""pt"")"),"Discagem ativada por voz, tamanho pequeno.")</f>
        <v>Discagem ativada por voz, tamanho pequeno.</v>
      </c>
      <c r="B57361" s="3">
        <v>1</v>
      </c>
    </row>
    <row r="57362" ht="15.75" customHeight="1" spans="1:2">
      <c r="A57362" s="3" t="str">
        <f>IFERROR(__xludf.DUMMYFUNCTION("GOOGLETRANSLATE(A57362,""en"",""pt"")"),"bom preço, grande livro de telefone, bom gravador de mensagem de voz, rico em recursos")</f>
        <v>bom preço, grande livro de telefone, bom gravador de mensagem de voz, rico em recursos</v>
      </c>
      <c r="B57362" s="3">
        <v>1</v>
      </c>
    </row>
    <row r="57363" ht="15.75" customHeight="1" spans="1:2">
      <c r="A57363" s="3" t="str">
        <f>IFERROR(__xludf.DUMMYFUNCTION("GOOGLETRANSLATE(A57363,""en"",""pt"")"),"Leve, elegante, painel destacável, fácil de ler menus")</f>
        <v>Leve, elegante, painel destacável, fácil de ler menus</v>
      </c>
      <c r="B57363" s="3">
        <v>1</v>
      </c>
    </row>
    <row r="57364" ht="15.75" customHeight="1" spans="1:2">
      <c r="A57364" s="3" t="str">
        <f>IFERROR(__xludf.DUMMYFUNCTION("GOOGLETRANSLATE(A57364,""en"",""pt"")"),"temporizadores detalhados / log para todas as chamadas, tamanho, interface de usuário, a vida da bateria.")</f>
        <v>temporizadores detalhados / log para todas as chamadas, tamanho, interface de usuário, a vida da bateria.</v>
      </c>
      <c r="B57364" s="3">
        <v>1</v>
      </c>
    </row>
    <row r="57365" ht="15.75" customHeight="1" spans="1:2">
      <c r="A57365" s="3" t="str">
        <f>IFERROR(__xludf.DUMMYFUNCTION("GOOGLETRANSLATE(A57365,""en"",""pt"")"),"Ergonomia; discagem ativada por voz; vida útil da bateria; aparência")</f>
        <v>Ergonomia; discagem ativada por voz; vida útil da bateria; aparência</v>
      </c>
      <c r="B57365" s="3">
        <v>1</v>
      </c>
    </row>
    <row r="57366" ht="15.75" customHeight="1" spans="1:2">
      <c r="A57366" s="3" t="str">
        <f>IFERROR(__xludf.DUMMYFUNCTION("GOOGLETRANSLATE(A57366,""en"",""pt"")"),", Tamanho elegante perfeito, toneladas de recursos, ativação de voz, grande valor internet-pronto, grande autonomia da bateria")</f>
        <v>, Tamanho elegante perfeito, toneladas de recursos, ativação de voz, grande valor internet-pronto, grande autonomia da bateria</v>
      </c>
      <c r="B57366" s="3">
        <v>1</v>
      </c>
    </row>
    <row r="57367" ht="15.75" customHeight="1" spans="1:2">
      <c r="A57367" s="3" t="str">
        <f>IFERROR(__xludf.DUMMYFUNCTION("GOOGLETRANSLATE(A57367,""en"",""pt"")"),"Muitos recursos, fácil de usar, se encaixa confortavelmente na mão, conexão rápida")</f>
        <v>Muitos recursos, fácil de usar, se encaixa confortavelmente na mão, conexão rápida</v>
      </c>
      <c r="B57367" s="3">
        <v>1</v>
      </c>
    </row>
    <row r="57368" ht="15.75" customHeight="1" spans="1:2">
      <c r="A57368" s="3" t="str">
        <f>IFERROR(__xludf.DUMMYFUNCTION("GOOGLETRANSLATE(A57368,""en"",""pt"")"),"barato para o seu tamanho, design bonito, muito durável")</f>
        <v>barato para o seu tamanho, design bonito, muito durável</v>
      </c>
      <c r="B57368" s="3">
        <v>1</v>
      </c>
    </row>
    <row r="57369" ht="15.75" customHeight="1" spans="1:2">
      <c r="A57369" s="3" t="str">
        <f>IFERROR(__xludf.DUMMYFUNCTION("GOOGLETRANSLATE(A57369,""en"",""pt"")"),"Grandes características e especificações para o preço.")</f>
        <v>Grandes características e especificações para o preço.</v>
      </c>
      <c r="B57369" s="3">
        <v>1</v>
      </c>
    </row>
    <row r="57370" ht="15.75" customHeight="1" spans="1:2">
      <c r="A57370" s="3" t="str">
        <f>IFERROR(__xludf.DUMMYFUNCTION("GOOGLETRANSLATE(A57370,""en"",""pt"")"),"Tamanho compacto, muitos recursos, Covers Customizeable, Low Cost")</f>
        <v>Tamanho compacto, muitos recursos, Covers Customizeable, Low Cost</v>
      </c>
      <c r="B57370" s="3">
        <v>1</v>
      </c>
    </row>
    <row r="57371" ht="15.75" customHeight="1" spans="1:2">
      <c r="A57371" s="3" t="str">
        <f>IFERROR(__xludf.DUMMYFUNCTION("GOOGLETRANSLATE(A57371,""en"",""pt"")"),"telefone legal. Tem lotes e lotes de características. Excelente interface de usuário, a vida da bateria.")</f>
        <v>telefone legal. Tem lotes e lotes de características. Excelente interface de usuário, a vida da bateria.</v>
      </c>
      <c r="B57371" s="3">
        <v>1</v>
      </c>
    </row>
    <row r="57372" ht="15.75" customHeight="1" spans="1:2">
      <c r="A57372" s="3" t="str">
        <f>IFERROR(__xludf.DUMMYFUNCTION("GOOGLETRANSLATE(A57372,""en"",""pt"")"),"esteticamente agradável,-voz activado, botões de rolagem laterais são fáceis de usar")</f>
        <v>esteticamente agradável,-voz activado, botões de rolagem laterais são fáceis de usar</v>
      </c>
      <c r="B57372" s="3">
        <v>1</v>
      </c>
    </row>
    <row r="57373" ht="15.75" customHeight="1" spans="1:2">
      <c r="A57373" s="3" t="str">
        <f>IFERROR(__xludf.DUMMYFUNCTION("GOOGLETRANSLATE(A57373,""en"",""pt"")"),"pequeno, leve, bateria de longa duração.")</f>
        <v>pequeno, leve, bateria de longa duração.</v>
      </c>
      <c r="B57373" s="3">
        <v>1</v>
      </c>
    </row>
    <row r="57374" ht="15.75" customHeight="1" spans="1:2">
      <c r="A57374" s="3" t="str">
        <f>IFERROR(__xludf.DUMMYFUNCTION("GOOGLETRANSLATE(A57374,""en"",""pt"")"),"tamanho compacto, a vida da bateria fabuloso, limpar sound..especially de chamadas recebidas")</f>
        <v>tamanho compacto, a vida da bateria fabuloso, limpar sound..especially de chamadas recebidas</v>
      </c>
      <c r="B57374" s="3">
        <v>1</v>
      </c>
    </row>
    <row r="57375" ht="15.75" customHeight="1" spans="1:2">
      <c r="A57375" s="3" t="str">
        <f>IFERROR(__xludf.DUMMYFUNCTION("GOOGLETRANSLATE(A57375,""en"",""pt"")"),"design elegante, recursos")</f>
        <v>design elegante, recursos</v>
      </c>
      <c r="B57375" s="3">
        <v>1</v>
      </c>
    </row>
    <row r="57376" ht="15.75" customHeight="1" spans="1:2">
      <c r="A57376" s="3" t="str">
        <f>IFERROR(__xludf.DUMMYFUNCTION("GOOGLETRANSLATE(A57376,""en"",""pt"")"),"Leve, boas características")</f>
        <v>Leve, boas características</v>
      </c>
      <c r="B57376" s="3">
        <v>1</v>
      </c>
    </row>
    <row r="57377" ht="15.75" customHeight="1" spans="1:2">
      <c r="A57377" s="3" t="str">
        <f>IFERROR(__xludf.DUMMYFUNCTION("GOOGLETRANSLATE(A57377,""en"",""pt"")"),"Bateria de Longa Duração, muita clareza, fácil utilização de recursos, discagem por voz")</f>
        <v>Bateria de Longa Duração, muita clareza, fácil utilização de recursos, discagem por voz</v>
      </c>
      <c r="B57377" s="3">
        <v>1</v>
      </c>
    </row>
    <row r="57378" ht="15.75" customHeight="1" spans="1:2">
      <c r="A57378" s="3" t="str">
        <f>IFERROR(__xludf.DUMMYFUNCTION("GOOGLETRANSLATE(A57378,""en"",""pt"")"),"identificação de voz, 32 estilos de anéis, e tudo o mais sobre isso.")</f>
        <v>identificação de voz, 32 estilos de anéis, e tudo o mais sobre isso.</v>
      </c>
      <c r="B57378" s="3">
        <v>1</v>
      </c>
    </row>
    <row r="57379" ht="15.75" customHeight="1" spans="1:2">
      <c r="A57379" s="3" t="str">
        <f>IFERROR(__xludf.DUMMYFUNCTION("GOOGLETRANSLATE(A57379,""en"",""pt"")"),"bateria de longa duração, tamanho.")</f>
        <v>bateria de longa duração, tamanho.</v>
      </c>
      <c r="B57379" s="3">
        <v>1</v>
      </c>
    </row>
    <row r="57380" ht="15.75" customHeight="1" spans="1:2">
      <c r="A57380" s="3" t="str">
        <f>IFERROR(__xludf.DUMMYFUNCTION("GOOGLETRANSLATE(A57380,""en"",""pt"")"),"bonita")</f>
        <v>bonita</v>
      </c>
      <c r="B57380" s="3">
        <v>1</v>
      </c>
    </row>
    <row r="57381" ht="15.75" customHeight="1" spans="1:2">
      <c r="A57381" s="3" t="str">
        <f>IFERROR(__xludf.DUMMYFUNCTION("GOOGLETRANSLATE(A57381,""en"",""pt"")"),"mesmas características que v60c mas 1/5 o preço, a chamada de voz, 2-way mensagens de texto, boa bateria")</f>
        <v>mesmas características que v60c mas 1/5 o preço, a chamada de voz, 2-way mensagens de texto, boa bateria</v>
      </c>
      <c r="B57381" s="3">
        <v>1</v>
      </c>
    </row>
    <row r="57382" ht="15.75" customHeight="1" spans="1:2">
      <c r="A57382" s="3" t="str">
        <f>IFERROR(__xludf.DUMMYFUNCTION("GOOGLETRANSLATE(A57382,""en"",""pt"")"),"É um telefone bonito com estilos de toque grandes.")</f>
        <v>É um telefone bonito com estilos de toque grandes.</v>
      </c>
      <c r="B57382" s="3">
        <v>1</v>
      </c>
    </row>
    <row r="57383" ht="15.75" customHeight="1" spans="1:2">
      <c r="A57383" s="3" t="str">
        <f>IFERROR(__xludf.DUMMYFUNCTION("GOOGLETRANSLATE(A57383,""en"",""pt"")"),"gravação de voz é grande.")</f>
        <v>gravação de voz é grande.</v>
      </c>
      <c r="B57383" s="3">
        <v>1</v>
      </c>
    </row>
    <row r="57384" ht="15.75" customHeight="1" spans="1:2">
      <c r="A57384" s="3" t="str">
        <f>IFERROR(__xludf.DUMMYFUNCTION("GOOGLETRANSLATE(A57384,""en"",""pt"")"),"muitos recursos, leve, clara")</f>
        <v>muitos recursos, leve, clara</v>
      </c>
      <c r="B57384" s="3">
        <v>1</v>
      </c>
    </row>
    <row r="57385" ht="15.75" customHeight="1" spans="1:2">
      <c r="A57385" s="3" t="str">
        <f>IFERROR(__xludf.DUMMYFUNCTION("GOOGLETRANSLATE(A57385,""en"",""pt"")"),"reconhecimento de voz, tamanho, clareza, display grande, grande capacidade de catálogo telefônico, recesso botão on / off, fácil de armazenar números, 32 anéis diferentes, leve")</f>
        <v>reconhecimento de voz, tamanho, clareza, display grande, grande capacidade de catálogo telefônico, recesso botão on / off, fácil de armazenar números, 32 anéis diferentes, leve</v>
      </c>
      <c r="B57385" s="3">
        <v>1</v>
      </c>
    </row>
    <row r="57386" ht="15.75" customHeight="1" spans="1:2">
      <c r="A57386" s="3" t="str">
        <f>IFERROR(__xludf.DUMMYFUNCTION("GOOGLETRANSLATE(A57386,""en"",""pt"")"),"Pelo menos ela não explodiu")</f>
        <v>Pelo menos ela não explodiu</v>
      </c>
      <c r="B57386" s="3">
        <v>1</v>
      </c>
    </row>
    <row r="57387" ht="15.75" customHeight="1" spans="1:2">
      <c r="A57387" s="3" t="str">
        <f>IFERROR(__xludf.DUMMYFUNCTION("GOOGLETRANSLATE(A57387,""en"",""pt"")"),"Excelentes características, excelente vida útil da bateria !!!, durabilidade, facilidade de uso")</f>
        <v>Excelentes características, excelente vida útil da bateria !!!, durabilidade, facilidade de uso</v>
      </c>
      <c r="B57387" s="3">
        <v>1</v>
      </c>
    </row>
    <row r="57388" ht="15.75" customHeight="1" spans="1:2">
      <c r="A57388" s="3" t="str">
        <f>IFERROR(__xludf.DUMMYFUNCTION("GOOGLETRANSLATE(A57388,""en"",""pt"")"),"Excelente para a faculdade! tamanho perfeito, durabilidade, agenda w identificação de voz /, preço, qualidade geral.")</f>
        <v>Excelente para a faculdade! tamanho perfeito, durabilidade, agenda w identificação de voz /, preço, qualidade geral.</v>
      </c>
      <c r="B57388" s="3">
        <v>1</v>
      </c>
    </row>
    <row r="57389" ht="15.75" customHeight="1" spans="1:2">
      <c r="A57389" s="3" t="str">
        <f>IFERROR(__xludf.DUMMYFUNCTION("GOOGLETRANSLATE(A57389,""en"",""pt"")"),"jogo de Blackjack")</f>
        <v>jogo de Blackjack</v>
      </c>
      <c r="B57389" s="3">
        <v>1</v>
      </c>
    </row>
    <row r="57390" ht="15.75" customHeight="1" spans="1:2">
      <c r="A57390" s="3" t="str">
        <f>IFERROR(__xludf.DUMMYFUNCTION("GOOGLETRANSLATE(A57390,""en"",""pt"")"),"Foi livre. Bom tempo de conversação.")</f>
        <v>Foi livre. Bom tempo de conversação.</v>
      </c>
      <c r="B57390" s="3">
        <v>1</v>
      </c>
    </row>
    <row r="57391" ht="15.75" customHeight="1" spans="1:2">
      <c r="A57391" s="3" t="str">
        <f>IFERROR(__xludf.DUMMYFUNCTION("GOOGLETRANSLATE(A57391,""en"",""pt"")"),"barato. discagem por voz")</f>
        <v>barato. discagem por voz</v>
      </c>
      <c r="B57391" s="3">
        <v>1</v>
      </c>
    </row>
    <row r="57392" ht="15.75" customHeight="1" spans="1:2">
      <c r="A57392" s="3" t="str">
        <f>IFERROR(__xludf.DUMMYFUNCTION("GOOGLETRANSLATE(A57392,""en"",""pt"")"),"Grande intensidade do sinal e boa vida útil da bateria. Acessórios barato.")</f>
        <v>Grande intensidade do sinal e boa vida útil da bateria. Acessórios barato.</v>
      </c>
      <c r="B57392" s="3">
        <v>1</v>
      </c>
    </row>
    <row r="57393" ht="15.75" customHeight="1" spans="1:2">
      <c r="A57393" s="3" t="str">
        <f>IFERROR(__xludf.DUMMYFUNCTION("GOOGLETRANSLATE(A57393,""en"",""pt"")"),"Tri-Mode")</f>
        <v>Tri-Mode</v>
      </c>
      <c r="B57393" s="3">
        <v>1</v>
      </c>
    </row>
    <row r="57394" ht="15.75" customHeight="1" spans="1:2">
      <c r="A57394" s="3" t="str">
        <f>IFERROR(__xludf.DUMMYFUNCTION("GOOGLETRANSLATE(A57394,""en"",""pt"")"),"barato (não vale a pena), pequeno (cai fora do bolso facilmente), popular (muito popular agora)")</f>
        <v>barato (não vale a pena), pequeno (cai fora do bolso facilmente), popular (muito popular agora)</v>
      </c>
      <c r="B57394" s="3">
        <v>1</v>
      </c>
    </row>
    <row r="57395" ht="15.75" customHeight="1" spans="1:2">
      <c r="A57395" s="3" t="str">
        <f>IFERROR(__xludf.DUMMYFUNCTION("GOOGLETRANSLATE(A57395,""en"",""pt"")"),"Excelente tela, ótimo preço, compacto e elegante (cor e forma)")</f>
        <v>Excelente tela, ótimo preço, compacto e elegante (cor e forma)</v>
      </c>
      <c r="B57395" s="3">
        <v>1</v>
      </c>
    </row>
    <row r="57396" ht="15.75" customHeight="1" spans="1:2">
      <c r="A57396" s="3" t="str">
        <f>IFERROR(__xludf.DUMMYFUNCTION("GOOGLETRANSLATE(A57396,""en"",""pt"")"),"- Tempo de Boa Standby")</f>
        <v>- Tempo de Boa Standby</v>
      </c>
      <c r="B57396" s="3">
        <v>1</v>
      </c>
    </row>
    <row r="57397" ht="15.75" customHeight="1" spans="1:2">
      <c r="A57397" s="3" t="str">
        <f>IFERROR(__xludf.DUMMYFUNCTION("GOOGLETRANSLATE(A57397,""en"",""pt"")"),"muito claro, fácil de usar, bom tamanho")</f>
        <v>muito claro, fácil de usar, bom tamanho</v>
      </c>
      <c r="B57397" s="3">
        <v>1</v>
      </c>
    </row>
    <row r="57398" ht="15.75" customHeight="1" spans="1:2">
      <c r="A57398" s="3" t="str">
        <f>IFERROR(__xludf.DUMMYFUNCTION("GOOGLETRANSLATE(A57398,""en"",""pt"")"),"visual elegante, botões fáceis de imprensa")</f>
        <v>visual elegante, botões fáceis de imprensa</v>
      </c>
      <c r="B57398" s="3">
        <v>1</v>
      </c>
    </row>
    <row r="57399" ht="15.75" customHeight="1" spans="1:2">
      <c r="A57399" s="3" t="str">
        <f>IFERROR(__xludf.DUMMYFUNCTION("GOOGLETRANSLATE(A57399,""en"",""pt"")"),"A vida da bateria, Excelente recepção força excelente sinal, Jogo, Caller ID, chamada em espera e correio de voz!")</f>
        <v>A vida da bateria, Excelente recepção força excelente sinal, Jogo, Caller ID, chamada em espera e correio de voz!</v>
      </c>
      <c r="B57399" s="3">
        <v>1</v>
      </c>
    </row>
    <row r="57400" ht="15.75" customHeight="1" spans="1:2">
      <c r="A57400" s="3" t="str">
        <f>IFERROR(__xludf.DUMMYFUNCTION("GOOGLETRANSLATE(A57400,""en"",""pt"")"),"Projeto bonito, preço.")</f>
        <v>Projeto bonito, preço.</v>
      </c>
      <c r="B57400" s="3">
        <v>1</v>
      </c>
    </row>
    <row r="57401" ht="15.75" customHeight="1" spans="1:2">
      <c r="A57401" s="3" t="str">
        <f>IFERROR(__xludf.DUMMYFUNCTION("GOOGLETRANSLATE(A57401,""en"",""pt"")"),"Barato, compactos, muitos recursos, grande lista telefónica, excelente vida útil da bateria")</f>
        <v>Barato, compactos, muitos recursos, grande lista telefónica, excelente vida útil da bateria</v>
      </c>
      <c r="B57401" s="3">
        <v>1</v>
      </c>
    </row>
    <row r="57402" ht="15.75" customHeight="1" spans="1:2">
      <c r="A57402" s="3" t="str">
        <f>IFERROR(__xludf.DUMMYFUNCTION("GOOGLETRANSLATE(A57402,""en"",""pt"")"),"Pequeno, elegante e fácil de usar e discagem ativada por voz.")</f>
        <v>Pequeno, elegante e fácil de usar e discagem ativada por voz.</v>
      </c>
      <c r="B57402" s="3">
        <v>1</v>
      </c>
    </row>
    <row r="57403" ht="15.75" customHeight="1" spans="1:2">
      <c r="A57403" s="3" t="str">
        <f>IFERROR(__xludf.DUMMYFUNCTION("GOOGLETRANSLATE(A57403,""en"",""pt"")"),"A única coisa boa sobre este telefone é life..its bateria muito bom")</f>
        <v>A única coisa boa sobre este telefone é life..its bateria muito bom</v>
      </c>
      <c r="B57403" s="3">
        <v>1</v>
      </c>
    </row>
    <row r="57404" ht="15.75" customHeight="1" spans="1:2">
      <c r="A57404" s="3" t="str">
        <f>IFERROR(__xludf.DUMMYFUNCTION("GOOGLETRANSLATE(A57404,""en"",""pt"")"),"Tamanho, características poderosas")</f>
        <v>Tamanho, características poderosas</v>
      </c>
      <c r="B57404" s="3">
        <v>1</v>
      </c>
    </row>
    <row r="57405" ht="15.75" customHeight="1" spans="1:2">
      <c r="A57405" s="3" t="str">
        <f>IFERROR(__xludf.DUMMYFUNCTION("GOOGLETRANSLATE(A57405,""en"",""pt"")"),"boa recepção e qualidade de som")</f>
        <v>boa recepção e qualidade de som</v>
      </c>
      <c r="B57405" s="3">
        <v>1</v>
      </c>
    </row>
    <row r="57406" ht="15.75" customHeight="1" spans="1:2">
      <c r="A57406" s="3" t="str">
        <f>IFERROR(__xludf.DUMMYFUNCTION("GOOGLETRANSLATE(A57406,""en"",""pt"")"),"Nenhum")</f>
        <v>Nenhum</v>
      </c>
      <c r="B57406" s="3">
        <v>1</v>
      </c>
    </row>
    <row r="57407" ht="15.75" customHeight="1" spans="1:2">
      <c r="A57407" s="3" t="str">
        <f>IFERROR(__xludf.DUMMYFUNCTION("GOOGLETRANSLATE(A57407,""en"",""pt"")"),"recesso on / off, um som claro, discagem por voz, fáceis botões e menus")</f>
        <v>recesso on / off, um som claro, discagem por voz, fáceis botões e menus</v>
      </c>
      <c r="B57407" s="3">
        <v>1</v>
      </c>
    </row>
    <row r="57408" ht="15.75" customHeight="1" spans="1:2">
      <c r="A57408" s="3" t="str">
        <f>IFERROR(__xludf.DUMMYFUNCTION("GOOGLETRANSLATE(A57408,""en"",""pt"")"),"Recursos surpreendentes, Grande Bateria, gravador de voz, grande soando fácil de telefone uso!")</f>
        <v>Recursos surpreendentes, Grande Bateria, gravador de voz, grande soando fácil de telefone uso!</v>
      </c>
      <c r="B57408" s="3">
        <v>1</v>
      </c>
    </row>
    <row r="57409" ht="15.75" customHeight="1" spans="1:2">
      <c r="A57409" s="3" t="str">
        <f>IFERROR(__xludf.DUMMYFUNCTION("GOOGLETRANSLATE(A57409,""en"",""pt"")"),"Fácil de usar, claridade imbatível")</f>
        <v>Fácil de usar, claridade imbatível</v>
      </c>
      <c r="B57409" s="3">
        <v>1</v>
      </c>
    </row>
    <row r="57410" ht="15.75" customHeight="1" spans="1:2">
      <c r="A57410" s="3" t="str">
        <f>IFERROR(__xludf.DUMMYFUNCTION("GOOGLETRANSLATE(A57410,""en"",""pt"")"),"Leve, fácil de usar, muitas flexability em software (organizar menu ... etc)")</f>
        <v>Leve, fácil de usar, muitas flexability em software (organizar menu ... etc)</v>
      </c>
      <c r="B57410" s="3">
        <v>1</v>
      </c>
    </row>
    <row r="57411" ht="15.75" customHeight="1" spans="1:2">
      <c r="A57411" s="3" t="str">
        <f>IFERROR(__xludf.DUMMYFUNCTION("GOOGLETRANSLATE(A57411,""en"",""pt"")"),"Grande recepção, pequeno e elegante")</f>
        <v>Grande recepção, pequeno e elegante</v>
      </c>
      <c r="B57411" s="3">
        <v>1</v>
      </c>
    </row>
    <row r="57412" ht="15.75" customHeight="1" spans="1:2">
      <c r="A57412" s="3" t="str">
        <f>IFERROR(__xludf.DUMMYFUNCTION("GOOGLETRANSLATE(A57412,""en"",""pt"")"),"Boa vida e características da bateria")</f>
        <v>Boa vida e características da bateria</v>
      </c>
      <c r="B57412" s="3">
        <v>1</v>
      </c>
    </row>
    <row r="57413" ht="15.75" customHeight="1" spans="1:2">
      <c r="A57413" s="3" t="str">
        <f>IFERROR(__xludf.DUMMYFUNCTION("GOOGLETRANSLATE(A57413,""en"",""pt"")"),"A vida da bateria, UI, características, preço")</f>
        <v>A vida da bateria, UI, características, preço</v>
      </c>
      <c r="B57413" s="3">
        <v>1</v>
      </c>
    </row>
    <row r="57414" ht="15.75" customHeight="1" spans="1:2">
      <c r="A57414" s="3" t="str">
        <f>IFERROR(__xludf.DUMMYFUNCTION("GOOGLETRANSLATE(A57414,""en"",""pt"")"),"vida útil da bateria decente.")</f>
        <v>vida útil da bateria decente.</v>
      </c>
      <c r="B57414" s="3">
        <v>1</v>
      </c>
    </row>
    <row r="57415" ht="15.75" customHeight="1" spans="1:2">
      <c r="A57415" s="3" t="str">
        <f>IFERROR(__xludf.DUMMYFUNCTION("GOOGLETRANSLATE(A57415,""en"",""pt"")"),"recepção decente e vida útil da bateria. Durável.")</f>
        <v>recepção decente e vida útil da bateria. Durável.</v>
      </c>
      <c r="B57415" s="3">
        <v>1</v>
      </c>
    </row>
    <row r="57416" ht="15.75" customHeight="1" spans="1:2">
      <c r="A57416" s="3" t="str">
        <f>IFERROR(__xludf.DUMMYFUNCTION("GOOGLETRANSLATE(A57416,""en"",""pt"")"),"telefone barato com algumas características. Indique um amigo e ganhe 100 minutos grátis.")</f>
        <v>telefone barato com algumas características. Indique um amigo e ganhe 100 minutos grátis.</v>
      </c>
      <c r="B57416" s="3">
        <v>1</v>
      </c>
    </row>
    <row r="57417" ht="15.75" customHeight="1" spans="1:2">
      <c r="A57417" s="3" t="str">
        <f>IFERROR(__xludf.DUMMYFUNCTION("GOOGLETRANSLATE(A57417,""en"",""pt"")"),"Durável caiu-lo pelo menos 23 vezes e ainda chutar, pequenas")</f>
        <v>Durável caiu-lo pelo menos 23 vezes e ainda chutar, pequenas</v>
      </c>
      <c r="B57417" s="3">
        <v>1</v>
      </c>
    </row>
    <row r="57418" ht="15.75" customHeight="1" spans="1:2">
      <c r="A57418" s="3" t="str">
        <f>IFERROR(__xludf.DUMMYFUNCTION("GOOGLETRANSLATE(A57418,""en"",""pt"")"),"Ele tem um toque alto.")</f>
        <v>Ele tem um toque alto.</v>
      </c>
      <c r="B57418" s="3">
        <v>1</v>
      </c>
    </row>
    <row r="57419" ht="15.75" customHeight="1" spans="1:2">
      <c r="A57419" s="3" t="str">
        <f>IFERROR(__xludf.DUMMYFUNCTION("GOOGLETRANSLATE(A57419,""en"",""pt"")"),"Rico em recursos pequenos o suficiente para caber em um bolso; pode ser usada internacionalmente.")</f>
        <v>Rico em recursos pequenos o suficiente para caber em um bolso; pode ser usada internacionalmente.</v>
      </c>
      <c r="B57419" s="3">
        <v>1</v>
      </c>
    </row>
    <row r="57420" ht="15.75" customHeight="1" spans="1:2">
      <c r="A57420" s="3" t="str">
        <f>IFERROR(__xludf.DUMMYFUNCTION("GOOGLETRANSLATE(A57420,""en"",""pt"")"),"bluetooth, discagem por voz, tela colorida, câmera")</f>
        <v>bluetooth, discagem por voz, tela colorida, câmera</v>
      </c>
      <c r="B57420" s="3">
        <v>1</v>
      </c>
    </row>
    <row r="57421" ht="15.75" customHeight="1" spans="1:2">
      <c r="A57421" s="3" t="str">
        <f>IFERROR(__xludf.DUMMYFUNCTION("GOOGLETRANSLATE(A57421,""en"",""pt"")"),"Grande recurso de cancelamento de ruído de fundo, construção sólida, retorno de toques normais")</f>
        <v>Grande recurso de cancelamento de ruído de fundo, construção sólida, retorno de toques normais</v>
      </c>
      <c r="B57421" s="3">
        <v>1</v>
      </c>
    </row>
    <row r="57422" ht="15.75" customHeight="1" spans="1:2">
      <c r="A57422" s="3" t="str">
        <f>IFERROR(__xludf.DUMMYFUNCTION("GOOGLETRANSLATE(A57422,""en"",""pt"")"),"Boa Quad telefone do mundo banda. Bluetooth, câmera, grande conectividade. Deve ter para um Gadget Anormal Geek /.")</f>
        <v>Boa Quad telefone do mundo banda. Bluetooth, câmera, grande conectividade. Deve ter para um Gadget Anormal Geek /.</v>
      </c>
      <c r="B57422" s="3">
        <v>1</v>
      </c>
    </row>
    <row r="57423" ht="15.75" customHeight="1" spans="1:2">
      <c r="A57423" s="3" t="str">
        <f>IFERROR(__xludf.DUMMYFUNCTION("GOOGLETRANSLATE(A57423,""en"",""pt"")"),"olhar fresco, Bluetooth, telefone mundial")</f>
        <v>olhar fresco, Bluetooth, telefone mundial</v>
      </c>
      <c r="B57423" s="3">
        <v>1</v>
      </c>
    </row>
    <row r="57424" ht="15.75" customHeight="1" spans="1:2">
      <c r="A57424" s="3" t="str">
        <f>IFERROR(__xludf.DUMMYFUNCTION("GOOGLETRANSLATE(A57424,""en"",""pt"")"),"Looks, estilo, cheia de recursos, quad band, faceplates mutável, bluetooth")</f>
        <v>Looks, estilo, cheia de recursos, quad band, faceplates mutável, bluetooth</v>
      </c>
      <c r="B57424" s="3">
        <v>1</v>
      </c>
    </row>
    <row r="57425" ht="15.75" customHeight="1" spans="1:2">
      <c r="A57425" s="3" t="str">
        <f>IFERROR(__xludf.DUMMYFUNCTION("GOOGLETRANSLATE(A57425,""en"",""pt"")"),"clareza de som, lista de recursos, resistente, bem construído, design agradável")</f>
        <v>clareza de som, lista de recursos, resistente, bem construído, design agradável</v>
      </c>
      <c r="B57425" s="3">
        <v>1</v>
      </c>
    </row>
    <row r="57426" ht="15.75" customHeight="1" spans="1:2">
      <c r="A57426" s="3" t="str">
        <f>IFERROR(__xludf.DUMMYFUNCTION("GOOGLETRANSLATE(A57426,""en"",""pt"")"),"Aparência")</f>
        <v>Aparência</v>
      </c>
      <c r="B57426" s="3">
        <v>1</v>
      </c>
    </row>
    <row r="57427" ht="15.75" customHeight="1" spans="1:2">
      <c r="A57427" s="3" t="str">
        <f>IFERROR(__xludf.DUMMYFUNCTION("GOOGLETRANSLATE(A57427,""en"",""pt"")"),"Looks, características, boa tela, peças substituíveis")</f>
        <v>Looks, características, boa tela, peças substituíveis</v>
      </c>
      <c r="B57427" s="3">
        <v>1</v>
      </c>
    </row>
    <row r="57428" ht="15.75" customHeight="1" spans="1:2">
      <c r="A57428" s="3" t="str">
        <f>IFERROR(__xludf.DUMMYFUNCTION("GOOGLETRANSLATE(A57428,""en"",""pt"")"),"Atraente, tem a maioria dos recursos que uma espera e mais, original, irá satisfazer um fã Motorola")</f>
        <v>Atraente, tem a maioria dos recursos que uma espera e mais, original, irá satisfazer um fã Motorola</v>
      </c>
      <c r="B57428" s="3">
        <v>1</v>
      </c>
    </row>
    <row r="57429" ht="15.75" customHeight="1" spans="1:2">
      <c r="A57429" s="3" t="str">
        <f>IFERROR(__xludf.DUMMYFUNCTION("GOOGLETRANSLATE(A57429,""en"",""pt"")"),"Preço, muitos recursos, Bluetooth, viva-voz, a qualidade boa imagem")</f>
        <v>Preço, muitos recursos, Bluetooth, viva-voz, a qualidade boa imagem</v>
      </c>
      <c r="B57429" s="3">
        <v>1</v>
      </c>
    </row>
    <row r="57430" ht="15.75" customHeight="1" spans="1:2">
      <c r="A57430" s="3" t="str">
        <f>IFERROR(__xludf.DUMMYFUNCTION("GOOGLETRANSLATE(A57430,""en"",""pt"")"),"Fácil de usar")</f>
        <v>Fácil de usar</v>
      </c>
      <c r="B57430" s="3">
        <v>1</v>
      </c>
    </row>
    <row r="57431" ht="15.75" customHeight="1" spans="1:2">
      <c r="A57431" s="3" t="str">
        <f>IFERROR(__xludf.DUMMYFUNCTION("GOOGLETRANSLATE(A57431,""en"",""pt"")"),"Sleekness, tela colorida, câmera, Internet ativada, a tecnologia Bluetooth")</f>
        <v>Sleekness, tela colorida, câmera, Internet ativada, a tecnologia Bluetooth</v>
      </c>
      <c r="B57431" s="3">
        <v>1</v>
      </c>
    </row>
    <row r="57432" ht="15.75" customHeight="1" spans="1:2">
      <c r="A57432" s="3" t="str">
        <f>IFERROR(__xludf.DUMMYFUNCTION("GOOGLETRANSLATE(A57432,""en"",""pt"")"),"Inúmeras características, tamanho e peso")</f>
        <v>Inúmeras características, tamanho e peso</v>
      </c>
      <c r="B57432" s="3">
        <v>1</v>
      </c>
    </row>
    <row r="57433" ht="15.75" customHeight="1" spans="1:2">
      <c r="A57433" s="3" t="str">
        <f>IFERROR(__xludf.DUMMYFUNCTION("GOOGLETRANSLATE(A57433,""en"",""pt"")"),"construção chique, mp3 ringtones, grande tela, belo som do fone de ouvido")</f>
        <v>construção chique, mp3 ringtones, grande tela, belo som do fone de ouvido</v>
      </c>
      <c r="B57433" s="3">
        <v>1</v>
      </c>
    </row>
    <row r="57434" ht="15.75" customHeight="1" spans="1:2">
      <c r="A57434" s="3" t="str">
        <f>IFERROR(__xludf.DUMMYFUNCTION("GOOGLETRANSLATE(A57434,""en"",""pt"")"),"*Design atraente")</f>
        <v>*Design atraente</v>
      </c>
      <c r="B57434" s="3">
        <v>1</v>
      </c>
    </row>
    <row r="57435" ht="15.75" customHeight="1" spans="1:2">
      <c r="A57435" s="3" t="str">
        <f>IFERROR(__xludf.DUMMYFUNCTION("GOOGLETRANSLATE(A57435,""en"",""pt"")"),"Bluetooth, o bom desempenho do telefone.")</f>
        <v>Bluetooth, o bom desempenho do telefone.</v>
      </c>
      <c r="B57435" s="3">
        <v>1</v>
      </c>
    </row>
    <row r="57436" ht="15.75" customHeight="1" spans="1:2">
      <c r="A57436" s="3" t="str">
        <f>IFERROR(__xludf.DUMMYFUNCTION("GOOGLETRANSLATE(A57436,""en"",""pt"")"),"Parece bom")</f>
        <v>Parece bom</v>
      </c>
      <c r="B57436" s="3">
        <v>1</v>
      </c>
    </row>
    <row r="57437" ht="15.75" customHeight="1" spans="1:2">
      <c r="A57437" s="3" t="str">
        <f>IFERROR(__xludf.DUMMYFUNCTION("GOOGLETRANSLATE(A57437,""en"",""pt"")"),"Bluetooth, Bluetooth, Bluetooth! Aparência e qualidade de construção. Discagem por voz.")</f>
        <v>Bluetooth, Bluetooth, Bluetooth! Aparência e qualidade de construção. Discagem por voz.</v>
      </c>
      <c r="B57437" s="3">
        <v>1</v>
      </c>
    </row>
    <row r="57438" ht="15.75" customHeight="1" spans="1:2">
      <c r="A57438" s="3" t="str">
        <f>IFERROR(__xludf.DUMMYFUNCTION("GOOGLETRANSLATE(A57438,""en"",""pt"")"),"elegante, tem uma câmera, Bluetooth")</f>
        <v>elegante, tem uma câmera, Bluetooth</v>
      </c>
      <c r="B57438" s="3">
        <v>1</v>
      </c>
    </row>
    <row r="57439" ht="15.75" customHeight="1" spans="1:2">
      <c r="A57439" s="3" t="str">
        <f>IFERROR(__xludf.DUMMYFUNCTION("GOOGLETRANSLATE(A57439,""en"",""pt"")"),"Grande fator de forma, tri-mode, menus de fácil utilização, reproduz MP3, a qualidade da foto decente.")</f>
        <v>Grande fator de forma, tri-mode, menus de fácil utilização, reproduz MP3, a qualidade da foto decente.</v>
      </c>
      <c r="B57439" s="3">
        <v>1</v>
      </c>
    </row>
    <row r="57440" ht="15.75" customHeight="1" spans="1:2">
      <c r="A57440" s="3" t="str">
        <f>IFERROR(__xludf.DUMMYFUNCTION("GOOGLETRANSLATE(A57440,""en"",""pt"")"),"Looks, Camera")</f>
        <v>Looks, Camera</v>
      </c>
      <c r="B57440" s="3">
        <v>1</v>
      </c>
    </row>
    <row r="57441" ht="15.75" customHeight="1" spans="1:2">
      <c r="A57441" s="3" t="str">
        <f>IFERROR(__xludf.DUMMYFUNCTION("GOOGLETRANSLATE(A57441,""en"",""pt"")"),"garra design é agradável, bom orador telefone, compacto.")</f>
        <v>garra design é agradável, bom orador telefone, compacto.</v>
      </c>
      <c r="B57441" s="3">
        <v>1</v>
      </c>
    </row>
    <row r="57442" ht="15.75" customHeight="1" spans="1:2">
      <c r="A57442" s="3" t="str">
        <f>IFERROR(__xludf.DUMMYFUNCTION("GOOGLETRANSLATE(A57442,""en"",""pt"")"),"Bluetooth, boa imagem, características lotsa")</f>
        <v>Bluetooth, boa imagem, características lotsa</v>
      </c>
      <c r="B57442" s="3">
        <v>1</v>
      </c>
    </row>
    <row r="57443" ht="15.75" customHeight="1" spans="1:2">
      <c r="A57443" s="3" t="str">
        <f>IFERROR(__xludf.DUMMYFUNCTION("GOOGLETRANSLATE(A57443,""en"",""pt"")"),"Este telefone é elegante e compacto, tem um grande alto-falante externo")</f>
        <v>Este telefone é elegante e compacto, tem um grande alto-falante externo</v>
      </c>
      <c r="B57443" s="3">
        <v>1</v>
      </c>
    </row>
    <row r="57444" ht="15.75" customHeight="1" spans="1:2">
      <c r="A57444" s="3" t="str">
        <f>IFERROR(__xludf.DUMMYFUNCTION("GOOGLETRANSLATE(A57444,""en"",""pt"")"),"flip telefone durável que é fácil de usar.")</f>
        <v>flip telefone durável que é fácil de usar.</v>
      </c>
      <c r="B57444" s="3">
        <v>1</v>
      </c>
    </row>
    <row r="57445" ht="15.75" customHeight="1" spans="1:2">
      <c r="A57445" s="3" t="str">
        <f>IFERROR(__xludf.DUMMYFUNCTION("GOOGLETRANSLATE(A57445,""en"",""pt"")"),"Funciona muito bem quando fora.")</f>
        <v>Funciona muito bem quando fora.</v>
      </c>
      <c r="B57445" s="3">
        <v>1</v>
      </c>
    </row>
    <row r="57446" ht="15.75" customHeight="1" spans="1:2">
      <c r="A57446" s="3" t="str">
        <f>IFERROR(__xludf.DUMMYFUNCTION("GOOGLETRANSLATE(A57446,""en"",""pt"")"),"Parece Elegante, discagem por voz, viva-voz, câmera, clips de vídeo, Voice Memo")</f>
        <v>Parece Elegante, discagem por voz, viva-voz, câmera, clips de vídeo, Voice Memo</v>
      </c>
      <c r="B57446" s="3">
        <v>1</v>
      </c>
    </row>
    <row r="57447" ht="15.75" customHeight="1" spans="1:2">
      <c r="A57447" s="3" t="str">
        <f>IFERROR(__xludf.DUMMYFUNCTION("GOOGLETRANSLATE(A57447,""en"",""pt"")"),"MP3 ringtones. jogos Java. luzes chamativo.")</f>
        <v>MP3 ringtones. jogos Java. luzes chamativo.</v>
      </c>
      <c r="B57447" s="3">
        <v>1</v>
      </c>
    </row>
    <row r="57448" ht="15.75" customHeight="1" spans="1:2">
      <c r="A57448" s="3" t="str">
        <f>IFERROR(__xludf.DUMMYFUNCTION("GOOGLETRANSLATE(A57448,""en"",""pt"")"),"O teclado funciona na maioria das vezes ... Não o tempo todo, mas a maioria")</f>
        <v>O teclado funciona na maioria das vezes ... Não o tempo todo, mas a maioria</v>
      </c>
      <c r="B57448" s="3">
        <v>1</v>
      </c>
    </row>
    <row r="57449" ht="15.75" customHeight="1" spans="1:2">
      <c r="A57449" s="3" t="str">
        <f>IFERROR(__xludf.DUMMYFUNCTION("GOOGLETRANSLATE(A57449,""en"",""pt"")"),"Fique longe deste lixo")</f>
        <v>Fique longe deste lixo</v>
      </c>
      <c r="B57449" s="3">
        <v>1</v>
      </c>
    </row>
    <row r="57450" ht="15.75" customHeight="1" spans="1:2">
      <c r="A57450" s="3" t="str">
        <f>IFERROR(__xludf.DUMMYFUNCTION("GOOGLETRANSLATE(A57450,""en"",""pt"")"),"É uma boa aparência e pequeno o suficiente para transportar no bolso, mas tem má funcionalidade.")</f>
        <v>É uma boa aparência e pequeno o suficiente para transportar no bolso, mas tem má funcionalidade.</v>
      </c>
      <c r="B57450" s="3">
        <v>1</v>
      </c>
    </row>
    <row r="57451" ht="15.75" customHeight="1" spans="1:2">
      <c r="A57451" s="3" t="str">
        <f>IFERROR(__xludf.DUMMYFUNCTION("GOOGLETRANSLATE(A57451,""en"",""pt"")"),"Câmera, bluetooth, pode ver os videoclipes, toques melódicos, gravação de voz.")</f>
        <v>Câmera, bluetooth, pode ver os videoclipes, toques melódicos, gravação de voz.</v>
      </c>
      <c r="B57451" s="3">
        <v>1</v>
      </c>
    </row>
    <row r="57452" ht="15.75" customHeight="1" spans="1:2">
      <c r="A57452" s="3" t="str">
        <f>IFERROR(__xludf.DUMMYFUNCTION("GOOGLETRANSLATE(A57452,""en"",""pt"")"),"Video Clip reprodução, cores, câmera, suporte Java")</f>
        <v>Video Clip reprodução, cores, câmera, suporte Java</v>
      </c>
      <c r="B57452" s="3">
        <v>1</v>
      </c>
    </row>
    <row r="57453" ht="15.75" customHeight="1" spans="1:2">
      <c r="A57453" s="3" t="str">
        <f>IFERROR(__xludf.DUMMYFUNCTION("GOOGLETRANSLATE(A57453,""en"",""pt"")"),"quad band, bom desempenho chamada, bluetooth, moluscos, navegação motorola filosofia")</f>
        <v>quad band, bom desempenho chamada, bluetooth, moluscos, navegação motorola filosofia</v>
      </c>
      <c r="B57453" s="3">
        <v>1</v>
      </c>
    </row>
    <row r="57454" ht="15.75" customHeight="1" spans="1:2">
      <c r="A57454" s="3" t="str">
        <f>IFERROR(__xludf.DUMMYFUNCTION("GOOGLETRANSLATE(A57454,""en"",""pt"")"),"Boa exibição e camera.Good aparência.")</f>
        <v>Boa exibição e camera.Good aparência.</v>
      </c>
      <c r="B57454" s="3">
        <v>1</v>
      </c>
    </row>
    <row r="57455" ht="15.75" customHeight="1" spans="1:2">
      <c r="A57455" s="3" t="str">
        <f>IFERROR(__xludf.DUMMYFUNCTION("GOOGLETRANSLATE(A57455,""en"",""pt"")"),"Bluetooth")</f>
        <v>Bluetooth</v>
      </c>
      <c r="B57455" s="3">
        <v>1</v>
      </c>
    </row>
    <row r="57456" ht="15.75" customHeight="1" spans="1:2">
      <c r="A57456" s="3" t="str">
        <f>IFERROR(__xludf.DUMMYFUNCTION("GOOGLETRANSLATE(A57456,""en"",""pt"")"),"Não há absolutamente nenhum redentor características sobre este telefone.")</f>
        <v>Não há absolutamente nenhum redentor características sobre este telefone.</v>
      </c>
      <c r="B57456" s="3">
        <v>1</v>
      </c>
    </row>
    <row r="57457" ht="15.75" customHeight="1" spans="1:2">
      <c r="A57457" s="3" t="str">
        <f>IFERROR(__xludf.DUMMYFUNCTION("GOOGLETRANSLATE(A57457,""en"",""pt"")"),"Bluetooth! , design sólido, grande exibição de cor, luzes anel frescos, toques MP3")</f>
        <v>Bluetooth! , design sólido, grande exibição de cor, luzes anel frescos, toques MP3</v>
      </c>
      <c r="B57457" s="3">
        <v>1</v>
      </c>
    </row>
    <row r="57458" ht="15.75" customHeight="1" spans="1:2">
      <c r="A57458" s="3" t="str">
        <f>IFERROR(__xludf.DUMMYFUNCTION("GOOGLETRANSLATE(A57458,""en"",""pt"")"),"Câmera de qualidade, Toques Mp3, construção sólida, de boa qualidade tela")</f>
        <v>Câmera de qualidade, Toques Mp3, construção sólida, de boa qualidade tela</v>
      </c>
      <c r="B57458" s="3">
        <v>1</v>
      </c>
    </row>
    <row r="57459" ht="15.75" customHeight="1" spans="1:2">
      <c r="A57459" s="3" t="str">
        <f>IFERROR(__xludf.DUMMYFUNCTION("GOOGLETRANSLATE(A57459,""en"",""pt"")"),"exposição afiada cor, excelente som, WorldPhone, organizador útil, ótima câmera, menus simples, Bluetooth, elegante.")</f>
        <v>exposição afiada cor, excelente som, WorldPhone, organizador útil, ótima câmera, menus simples, Bluetooth, elegante.</v>
      </c>
      <c r="B57459" s="3">
        <v>1</v>
      </c>
    </row>
    <row r="57460" ht="15.75" customHeight="1" spans="1:2">
      <c r="A57460" s="3" t="str">
        <f>IFERROR(__xludf.DUMMYFUNCTION("GOOGLETRANSLATE(A57460,""en"",""pt"")"),"ringtones MP3, clareza de chamadas, jogos java, de sincronização do Outlook, construção sólida (não é facilmente quebrada!)")</f>
        <v>ringtones MP3, clareza de chamadas, jogos java, de sincronização do Outlook, construção sólida (não é facilmente quebrada!)</v>
      </c>
      <c r="B57460" s="3">
        <v>1</v>
      </c>
    </row>
    <row r="57461" ht="15.75" customHeight="1" spans="1:2">
      <c r="A57461" s="3" t="str">
        <f>IFERROR(__xludf.DUMMYFUNCTION("GOOGLETRANSLATE(A57461,""en"",""pt"")"),"Grande volume do fone")</f>
        <v>Grande volume do fone</v>
      </c>
      <c r="B57461" s="3">
        <v>1</v>
      </c>
    </row>
    <row r="57462" ht="15.75" customHeight="1" spans="1:2">
      <c r="A57462" s="3" t="str">
        <f>IFERROR(__xludf.DUMMYFUNCTION("GOOGLETRANSLATE(A57462,""en"",""pt"")"),"100% excelente telefone celular, sincronização computador")</f>
        <v>100% excelente telefone celular, sincronização computador</v>
      </c>
      <c r="B57462" s="3">
        <v>1</v>
      </c>
    </row>
    <row r="57463" ht="15.75" customHeight="1" spans="1:2">
      <c r="A57463" s="3" t="str">
        <f>IFERROR(__xludf.DUMMYFUNCTION("GOOGLETRANSLATE(A57463,""en"",""pt"")"),"Pequeno, elegante e tem todas as características básicas, funciona muito bem, amigável")</f>
        <v>Pequeno, elegante e tem todas as características básicas, funciona muito bem, amigável</v>
      </c>
      <c r="B57463" s="3">
        <v>1</v>
      </c>
    </row>
    <row r="57464" ht="15.75" customHeight="1" spans="1:2">
      <c r="A57464" s="3" t="str">
        <f>IFERROR(__xludf.DUMMYFUNCTION("GOOGLETRANSLATE(A57464,""en"",""pt"")"),"Pense nisso como um Nokia 8260 em um custume festa. Grande recepção.")</f>
        <v>Pense nisso como um Nokia 8260 em um custume festa. Grande recepção.</v>
      </c>
      <c r="B57464" s="3">
        <v>1</v>
      </c>
    </row>
    <row r="57465" ht="15.75" customHeight="1" spans="1:2">
      <c r="A57465" s="3" t="str">
        <f>IFERROR(__xludf.DUMMYFUNCTION("GOOGLETRANSLATE(A57465,""en"",""pt"")"),"Pequeno e leve, muita clareza e som, excelente luz de fundo.")</f>
        <v>Pequeno e leve, muita clareza e som, excelente luz de fundo.</v>
      </c>
      <c r="B57465" s="3">
        <v>1</v>
      </c>
    </row>
    <row r="57466" ht="15.75" customHeight="1" spans="1:2">
      <c r="A57466" s="3" t="str">
        <f>IFERROR(__xludf.DUMMYFUNCTION("GOOGLETRANSLATE(A57466,""en"",""pt"")"),"Tamanho, peso, luz de fundo branca, sinal")</f>
        <v>Tamanho, peso, luz de fundo branca, sinal</v>
      </c>
      <c r="B57466" s="3">
        <v>1</v>
      </c>
    </row>
    <row r="57467" ht="15.75" customHeight="1" spans="1:2">
      <c r="A57467" s="3" t="str">
        <f>IFERROR(__xludf.DUMMYFUNCTION("GOOGLETRANSLATE(A57467,""en"",""pt"")"),"É um Nokia. Tamanho pequeno. backlight brilhante. interface fácil Nokia.")</f>
        <v>É um Nokia. Tamanho pequeno. backlight brilhante. interface fácil Nokia.</v>
      </c>
      <c r="B57467" s="3">
        <v>1</v>
      </c>
    </row>
    <row r="57468" ht="15.75" customHeight="1" spans="1:2">
      <c r="A57468" s="3" t="str">
        <f>IFERROR(__xludf.DUMMYFUNCTION("GOOGLETRANSLATE(A57468,""en"",""pt"")"),"Tamanho pequeno, grande back light, recursos interessantes, facilidade de uso, clareza")</f>
        <v>Tamanho pequeno, grande back light, recursos interessantes, facilidade de uso, clareza</v>
      </c>
      <c r="B57468" s="3">
        <v>1</v>
      </c>
    </row>
    <row r="57469" ht="15.75" customHeight="1" spans="1:2">
      <c r="A57469" s="3" t="str">
        <f>IFERROR(__xludf.DUMMYFUNCTION("GOOGLETRANSLATE(A57469,""en"",""pt"")"),"mensagens de texto móvel, navegador de Internet.")</f>
        <v>mensagens de texto móvel, navegador de Internet.</v>
      </c>
      <c r="B57469" s="3">
        <v>1</v>
      </c>
    </row>
    <row r="57470" ht="15.75" customHeight="1" spans="1:2">
      <c r="A57470" s="3" t="str">
        <f>IFERROR(__xludf.DUMMYFUNCTION("GOOGLETRANSLATE(A57470,""en"",""pt"")"),"O peso leve; se encaixa na palma da palma da sua mão; caixas coloridas; Tela branca")</f>
        <v>O peso leve; se encaixa na palma da palma da sua mão; caixas coloridas; Tela branca</v>
      </c>
      <c r="B57470" s="3">
        <v>1</v>
      </c>
    </row>
    <row r="57471" ht="15.75" customHeight="1" spans="1:2">
      <c r="A57471" s="3" t="str">
        <f>IFERROR(__xludf.DUMMYFUNCTION("GOOGLETRANSLATE(A57471,""en"",""pt"")"),"Pequeno, leve.")</f>
        <v>Pequeno, leve.</v>
      </c>
      <c r="B57471" s="3">
        <v>1</v>
      </c>
    </row>
    <row r="57472" ht="15.75" customHeight="1" spans="1:2">
      <c r="A57472" s="3" t="str">
        <f>IFERROR(__xludf.DUMMYFUNCTION("GOOGLETRANSLATE(A57472,""en"",""pt"")"),"faceplates mutável, leves, callergroups personalizados e ringtones, excelente recepção!")</f>
        <v>faceplates mutável, leves, callergroups personalizados e ringtones, excelente recepção!</v>
      </c>
      <c r="B57472" s="3">
        <v>1</v>
      </c>
    </row>
    <row r="57473" ht="15.75" customHeight="1" spans="1:2">
      <c r="A57473" s="3" t="str">
        <f>IFERROR(__xludf.DUMMYFUNCTION("GOOGLETRANSLATE(A57473,""en"",""pt"")"),"telefone elegante procurando, interface fácil, fácil de se apegar a")</f>
        <v>telefone elegante procurando, interface fácil, fácil de se apegar a</v>
      </c>
      <c r="B57473" s="3">
        <v>1</v>
      </c>
    </row>
    <row r="57474" ht="15.75" customHeight="1" spans="1:2">
      <c r="A57474" s="3" t="str">
        <f>IFERROR(__xludf.DUMMYFUNCTION("GOOGLETRANSLATE(A57474,""en"",""pt"")"),"Como a 8260 mas com melhor qualidade de chamada")</f>
        <v>Como a 8260 mas com melhor qualidade de chamada</v>
      </c>
      <c r="B57474" s="3">
        <v>1</v>
      </c>
    </row>
    <row r="57475" ht="15.75" customHeight="1" spans="1:2">
      <c r="A57475" s="3" t="str">
        <f>IFERROR(__xludf.DUMMYFUNCTION("GOOGLETRANSLATE(A57475,""en"",""pt"")"),"Ultra-fino, mega-recursos, user-friendly")</f>
        <v>Ultra-fino, mega-recursos, user-friendly</v>
      </c>
      <c r="B57475" s="3">
        <v>1</v>
      </c>
    </row>
    <row r="57476" ht="15.75" customHeight="1" spans="1:2">
      <c r="A57476" s="3" t="str">
        <f>IFERROR(__xludf.DUMMYFUNCTION("GOOGLETRANSLATE(A57476,""en"",""pt"")"),"armazenamento eficiente de mensagens curtas e jogos interessantes, despertador inteligente, excelente bateria")</f>
        <v>armazenamento eficiente de mensagens curtas e jogos interessantes, despertador inteligente, excelente bateria</v>
      </c>
      <c r="B57476" s="3">
        <v>1</v>
      </c>
    </row>
    <row r="57477" ht="15.75" customHeight="1" spans="1:2">
      <c r="A57477" s="3" t="str">
        <f>IFERROR(__xludf.DUMMYFUNCTION("GOOGLETRANSLATE(A57477,""en"",""pt"")"),"Tamanho, faceplates mutável, exibição brilhante.")</f>
        <v>Tamanho, faceplates mutável, exibição brilhante.</v>
      </c>
      <c r="B57477" s="3">
        <v>1</v>
      </c>
    </row>
    <row r="57478" ht="15.75" customHeight="1" spans="1:2">
      <c r="A57478" s="3" t="str">
        <f>IFERROR(__xludf.DUMMYFUNCTION("GOOGLETRANSLATE(A57478,""en"",""pt"")"),"interface do Nokia intuitiva; grande ecrã; fácil de usar")</f>
        <v>interface do Nokia intuitiva; grande ecrã; fácil de usar</v>
      </c>
      <c r="B57478" s="3">
        <v>1</v>
      </c>
    </row>
    <row r="57479" ht="15.75" customHeight="1" spans="1:2">
      <c r="A57479" s="3" t="str">
        <f>IFERROR(__xludf.DUMMYFUNCTION("GOOGLETRANSLATE(A57479,""en"",""pt"")"),"Magro, pequeno, leve, prático, se encaixam em qualquer bolso sem você perceber.")</f>
        <v>Magro, pequeno, leve, prático, se encaixam em qualquer bolso sem você perceber.</v>
      </c>
      <c r="B57479" s="3">
        <v>1</v>
      </c>
    </row>
    <row r="57480" ht="15.75" customHeight="1" spans="1:2">
      <c r="A57480" s="3" t="str">
        <f>IFERROR(__xludf.DUMMYFUNCTION("GOOGLETRANSLATE(A57480,""en"",""pt"")"),"Bem iluminada tela, incrivelmente alta e clara recepção, selecção de toques, de fácil interface de uso")</f>
        <v>Bem iluminada tela, incrivelmente alta e clara recepção, selecção de toques, de fácil interface de uso</v>
      </c>
      <c r="B57480" s="3">
        <v>1</v>
      </c>
    </row>
    <row r="57481" ht="15.75" customHeight="1" spans="1:2">
      <c r="A57481" s="3" t="str">
        <f>IFERROR(__xludf.DUMMYFUNCTION("GOOGLETRANSLATE(A57481,""en"",""pt"")"),"Pequeno, bateria de longa duração, elegante")</f>
        <v>Pequeno, bateria de longa duração, elegante</v>
      </c>
      <c r="B57481" s="3">
        <v>1</v>
      </c>
    </row>
    <row r="57482" ht="15.75" customHeight="1" spans="1:2">
      <c r="A57482" s="3" t="str">
        <f>IFERROR(__xludf.DUMMYFUNCTION("GOOGLETRANSLATE(A57482,""en"",""pt"")"),"Pequeno, compacto, fácil de usar, ohh e as luzes brancas, eles rock ...")</f>
        <v>Pequeno, compacto, fácil de usar, ohh e as luzes brancas, eles rock ...</v>
      </c>
      <c r="B57482" s="3">
        <v>1</v>
      </c>
    </row>
    <row r="57483" ht="15.75" customHeight="1" spans="1:2">
      <c r="A57483" s="3" t="str">
        <f>IFERROR(__xludf.DUMMYFUNCTION("GOOGLETRANSLATE(A57483,""en"",""pt"")"),"Compacto, preço e Opções")</f>
        <v>Compacto, preço e Opções</v>
      </c>
      <c r="B57483" s="3">
        <v>1</v>
      </c>
    </row>
    <row r="57484" ht="15.75" customHeight="1" spans="1:2">
      <c r="A57484" s="3" t="str">
        <f>IFERROR(__xludf.DUMMYFUNCTION("GOOGLETRANSLATE(A57484,""en"",""pt"")"),"cores agradáveis, compacto e muito fácil de usar.")</f>
        <v>cores agradáveis, compacto e muito fácil de usar.</v>
      </c>
      <c r="B57484" s="3">
        <v>1</v>
      </c>
    </row>
    <row r="57485" ht="15.75" customHeight="1" spans="1:2">
      <c r="A57485" s="3" t="str">
        <f>IFERROR(__xludf.DUMMYFUNCTION("GOOGLETRANSLATE(A57485,""en"",""pt"")"),"Lithium Ion Battery, Contact Manager, Ferramentas úteis.")</f>
        <v>Lithium Ion Battery, Contact Manager, Ferramentas úteis.</v>
      </c>
      <c r="B57485" s="3">
        <v>1</v>
      </c>
    </row>
    <row r="57486" ht="15.75" customHeight="1" spans="1:2">
      <c r="A57486" s="3" t="str">
        <f>IFERROR(__xludf.DUMMYFUNCTION("GOOGLETRANSLATE(A57486,""en"",""pt"")"),"clareza excepcional, grandes recursos, leves, faceplates mutável")</f>
        <v>clareza excepcional, grandes recursos, leves, faceplates mutável</v>
      </c>
      <c r="B57486" s="3">
        <v>1</v>
      </c>
    </row>
    <row r="57487" ht="15.75" customHeight="1" spans="1:2">
      <c r="A57487" s="3" t="str">
        <f>IFERROR(__xludf.DUMMYFUNCTION("GOOGLETRANSLATE(A57487,""en"",""pt"")"),"Excelente vida útil da bateria, bem como uma boa recepção e clareza.")</f>
        <v>Excelente vida útil da bateria, bem como uma boa recepção e clareza.</v>
      </c>
      <c r="B57487" s="3">
        <v>1</v>
      </c>
    </row>
    <row r="57488" ht="15.75" customHeight="1" spans="1:2">
      <c r="A57488" s="3" t="str">
        <f>IFERROR(__xludf.DUMMYFUNCTION("GOOGLETRANSLATE(A57488,""en"",""pt"")"),"Leve, Limpar Chamadas, faceplates mutável, grandes recursos.")</f>
        <v>Leve, Limpar Chamadas, faceplates mutável, grandes recursos.</v>
      </c>
      <c r="B57488" s="3">
        <v>1</v>
      </c>
    </row>
    <row r="57489" ht="15.75" customHeight="1" spans="1:2">
      <c r="A57489" s="3" t="str">
        <f>IFERROR(__xludf.DUMMYFUNCTION("GOOGLETRANSLATE(A57489,""en"",""pt"")"),"banda dupla, fácil de usar")</f>
        <v>banda dupla, fácil de usar</v>
      </c>
      <c r="B57489" s="3">
        <v>1</v>
      </c>
    </row>
    <row r="57490" ht="15.75" customHeight="1" spans="1:2">
      <c r="A57490" s="3" t="str">
        <f>IFERROR(__xludf.DUMMYFUNCTION("GOOGLETRANSLATE(A57490,""en"",""pt"")"),"Uma infinidade de recursos, opções de placa de face coloridos intercambiáveis, Dual Band &amp; Grande Valor")</f>
        <v>Uma infinidade de recursos, opções de placa de face coloridos intercambiáveis, Dual Band &amp; Grande Valor</v>
      </c>
      <c r="B57490" s="3">
        <v>1</v>
      </c>
    </row>
    <row r="57491" ht="15.75" customHeight="1" spans="1:2">
      <c r="A57491" s="3" t="str">
        <f>IFERROR(__xludf.DUMMYFUNCTION("GOOGLETRANSLATE(A57491,""en"",""pt"")"),"Pequeno, leve, toneladas de características, parece ótimo")</f>
        <v>Pequeno, leve, toneladas de características, parece ótimo</v>
      </c>
      <c r="B57491" s="3">
        <v>1</v>
      </c>
    </row>
    <row r="57492" ht="15.75" customHeight="1" spans="1:2">
      <c r="A57492" s="3" t="str">
        <f>IFERROR(__xludf.DUMMYFUNCTION("GOOGLETRANSLATE(A57492,""en"",""pt"")"),"muito pequeno")</f>
        <v>muito pequeno</v>
      </c>
      <c r="B57492" s="3">
        <v>1</v>
      </c>
    </row>
    <row r="57493" ht="15.75" customHeight="1" spans="1:2">
      <c r="A57493" s="3" t="str">
        <f>IFERROR(__xludf.DUMMYFUNCTION("GOOGLETRANSLATE(A57493,""en"",""pt"")"),"pequeno, recursos suficientes &amp; # 13; &amp; # 10;")</f>
        <v>pequeno, recursos suficientes &amp; # 13; &amp; # 10;</v>
      </c>
      <c r="B57493" s="3">
        <v>1</v>
      </c>
    </row>
    <row r="57494" ht="15.75" customHeight="1" spans="1:2">
      <c r="A57494" s="3" t="str">
        <f>IFERROR(__xludf.DUMMYFUNCTION("GOOGLETRANSLATE(A57494,""en"",""pt"")"),"Excelente qualidade de som, boa bateria, muito durável.")</f>
        <v>Excelente qualidade de som, boa bateria, muito durável.</v>
      </c>
      <c r="B57494" s="3">
        <v>1</v>
      </c>
    </row>
    <row r="57495" ht="15.75" customHeight="1" spans="1:2">
      <c r="A57495" s="3" t="str">
        <f>IFERROR(__xludf.DUMMYFUNCTION("GOOGLETRANSLATE(A57495,""en"",""pt"")"),"Simples de usar design, durável, confiável chamadas nítidas, barato!")</f>
        <v>Simples de usar design, durável, confiável chamadas nítidas, barato!</v>
      </c>
      <c r="B57495" s="3">
        <v>1</v>
      </c>
    </row>
    <row r="57496" ht="15.75" customHeight="1" spans="1:2">
      <c r="A57496" s="3" t="str">
        <f>IFERROR(__xludf.DUMMYFUNCTION("GOOGLETRANSLATE(A57496,""en"",""pt"")"),"Preço, facilidade de uso")</f>
        <v>Preço, facilidade de uso</v>
      </c>
      <c r="B57496" s="3">
        <v>1</v>
      </c>
    </row>
    <row r="57497" ht="15.75" customHeight="1" spans="1:2">
      <c r="A57497" s="3" t="str">
        <f>IFERROR(__xludf.DUMMYFUNCTION("GOOGLETRANSLATE(A57497,""en"",""pt"")"),"Grande recepção, em qualquer lugar.")</f>
        <v>Grande recepção, em qualquer lugar.</v>
      </c>
      <c r="B57497" s="3">
        <v>1</v>
      </c>
    </row>
    <row r="57498" ht="15.75" customHeight="1" spans="1:2">
      <c r="A57498" s="3" t="str">
        <f>IFERROR(__xludf.DUMMYFUNCTION("GOOGLETRANSLATE(A57498,""en"",""pt"")"),"Pequeno, fácil de usar, placas de cara mutáveis, web wireless, 200 contatos da memória")</f>
        <v>Pequeno, fácil de usar, placas de cara mutáveis, web wireless, 200 contatos da memória</v>
      </c>
      <c r="B57498" s="3">
        <v>1</v>
      </c>
    </row>
    <row r="57499" ht="15.75" customHeight="1" spans="1:2">
      <c r="A57499" s="3" t="str">
        <f>IFERROR(__xludf.DUMMYFUNCTION("GOOGLETRANSLATE(A57499,""en"",""pt"")"),"Super baixo preço, peso leve,")</f>
        <v>Super baixo preço, peso leve,</v>
      </c>
      <c r="B57499" s="3">
        <v>1</v>
      </c>
    </row>
    <row r="57500" ht="15.75" customHeight="1" spans="1:2">
      <c r="A57500" s="3" t="str">
        <f>IFERROR(__xludf.DUMMYFUNCTION("GOOGLETRANSLATE(A57500,""en"",""pt"")"),"Barato, leve, longo tempo de bateria, a capacidade de placas mudança de rosto")</f>
        <v>Barato, leve, longo tempo de bateria, a capacidade de placas mudança de rosto</v>
      </c>
      <c r="B57500" s="3">
        <v>1</v>
      </c>
    </row>
    <row r="57501" ht="15.75" customHeight="1" spans="1:2">
      <c r="A57501" s="3" t="str">
        <f>IFERROR(__xludf.DUMMYFUNCTION("GOOGLETRANSLATE(A57501,""en"",""pt"")"),"Barato, a qualidade de voz, a vida massa, recursos")</f>
        <v>Barato, a qualidade de voz, a vida massa, recursos</v>
      </c>
      <c r="B57501" s="3">
        <v>1</v>
      </c>
    </row>
    <row r="57502" ht="15.75" customHeight="1" spans="1:2">
      <c r="A57502" s="3" t="str">
        <f>IFERROR(__xludf.DUMMYFUNCTION("GOOGLETRANSLATE(A57502,""en"",""pt"")"),"Barato, bem arredondado, boa bateria")</f>
        <v>Barato, bem arredondado, boa bateria</v>
      </c>
      <c r="B57502" s="3">
        <v>1</v>
      </c>
    </row>
    <row r="57503" ht="15.75" customHeight="1" spans="1:2">
      <c r="A57503" s="3" t="str">
        <f>IFERROR(__xludf.DUMMYFUNCTION("GOOGLETRANSLATE(A57503,""en"",""pt"")"),"Sistema de menu fácil, anel vibrador standard, placas de cara personalizáveis")</f>
        <v>Sistema de menu fácil, anel vibrador standard, placas de cara personalizáveis</v>
      </c>
      <c r="B57503" s="3">
        <v>1</v>
      </c>
    </row>
    <row r="57504" ht="15.75" customHeight="1" spans="1:2">
      <c r="A57504" s="3" t="str">
        <f>IFERROR(__xludf.DUMMYFUNCTION("GOOGLETRANSLATE(A57504,""en"",""pt"")"),"atraentes placas detatchable rosto, chamadas claras e tamanho compacto, bom preço")</f>
        <v>atraentes placas detatchable rosto, chamadas claras e tamanho compacto, bom preço</v>
      </c>
      <c r="B57504" s="3">
        <v>1</v>
      </c>
    </row>
    <row r="57505" ht="15.75" customHeight="1" spans="1:2">
      <c r="A57505" s="3" t="str">
        <f>IFERROR(__xludf.DUMMYFUNCTION("GOOGLETRANSLATE(A57505,""en"",""pt"")"),"A vida da bateria, muitas faceplates, função bom vibrar")</f>
        <v>A vida da bateria, muitas faceplates, função bom vibrar</v>
      </c>
      <c r="B57505" s="3">
        <v>1</v>
      </c>
    </row>
    <row r="57506" ht="15.75" customHeight="1" spans="1:2">
      <c r="A57506" s="3" t="str">
        <f>IFERROR(__xludf.DUMMYFUNCTION("GOOGLETRANSLATE(A57506,""en"",""pt"")"),"Grandes características, excelente Voz Clareza, fashoniable e luz.")</f>
        <v>Grandes características, excelente Voz Clareza, fashoniable e luz.</v>
      </c>
      <c r="B57506" s="3">
        <v>1</v>
      </c>
    </row>
    <row r="57507" ht="15.75" customHeight="1" spans="1:2">
      <c r="A57507" s="3" t="str">
        <f>IFERROR(__xludf.DUMMYFUNCTION("GOOGLETRANSLATE(A57507,""en"",""pt"")"),"Boa recepção, boa vida útil da bateria.")</f>
        <v>Boa recepção, boa vida útil da bateria.</v>
      </c>
      <c r="B57507" s="3">
        <v>1</v>
      </c>
    </row>
    <row r="57508" ht="15.75" customHeight="1" spans="1:2">
      <c r="A57508" s="3" t="str">
        <f>IFERROR(__xludf.DUMMYFUNCTION("GOOGLETRANSLATE(A57508,""en"",""pt"")"),"Clareza é excepcional. Lotes das características inesperadas.")</f>
        <v>Clareza é excepcional. Lotes das características inesperadas.</v>
      </c>
      <c r="B57508" s="3">
        <v>1</v>
      </c>
    </row>
    <row r="57509" ht="15.75" customHeight="1" spans="1:2">
      <c r="A57509" s="3" t="str">
        <f>IFERROR(__xludf.DUMMYFUNCTION("GOOGLETRANSLATE(A57509,""en"",""pt"")"),"capacidade (Com Verizon) Tri-mode. Crisp, tela de alta resolução. Grandes sinos e assobios.")</f>
        <v>capacidade (Com Verizon) Tri-mode. Crisp, tela de alta resolução. Grandes sinos e assobios.</v>
      </c>
      <c r="B57509" s="3">
        <v>1</v>
      </c>
    </row>
    <row r="57510" ht="15.75" customHeight="1" spans="1:2">
      <c r="A57510" s="3" t="str">
        <f>IFERROR(__xludf.DUMMYFUNCTION("GOOGLETRANSLATE(A57510,""en"",""pt"")"),"Definitivamente vale a pena para o preço")</f>
        <v>Definitivamente vale a pena para o preço</v>
      </c>
      <c r="B57510" s="3">
        <v>1</v>
      </c>
    </row>
    <row r="57511" ht="15.75" customHeight="1" spans="1:2">
      <c r="A57511" s="3" t="str">
        <f>IFERROR(__xludf.DUMMYFUNCTION("GOOGLETRANSLATE(A57511,""en"",""pt"")"),"É tamanho é bom. É fácil de usar para a maior parte.")</f>
        <v>É tamanho é bom. É fácil de usar para a maior parte.</v>
      </c>
      <c r="B57511" s="3">
        <v>1</v>
      </c>
    </row>
    <row r="57512" ht="15.75" customHeight="1" spans="1:2">
      <c r="A57512" s="3" t="str">
        <f>IFERROR(__xludf.DUMMYFUNCTION("GOOGLETRANSLATE(A57512,""en"",""pt"")"),"Tamanho, Recepção, ícones grandes, Button Tamanho")</f>
        <v>Tamanho, Recepção, ícones grandes, Button Tamanho</v>
      </c>
      <c r="B57512" s="3">
        <v>1</v>
      </c>
    </row>
    <row r="57513" ht="15.75" customHeight="1" spans="1:2">
      <c r="A57513" s="3" t="str">
        <f>IFERROR(__xludf.DUMMYFUNCTION("GOOGLETRANSLATE(A57513,""en"",""pt"")"),"Agreat leve telefone")</f>
        <v>Agreat leve telefone</v>
      </c>
      <c r="B57513" s="3">
        <v>1</v>
      </c>
    </row>
    <row r="57514" ht="15.75" customHeight="1" spans="1:2">
      <c r="A57514" s="3" t="str">
        <f>IFERROR(__xludf.DUMMYFUNCTION("GOOGLETRANSLATE(A57514,""en"",""pt"")"),"Compacto, mas não minúsculo. fácil de ler a exposição.")</f>
        <v>Compacto, mas não minúsculo. fácil de ler a exposição.</v>
      </c>
      <c r="B57514" s="3">
        <v>1</v>
      </c>
    </row>
    <row r="57515" ht="15.75" customHeight="1" spans="1:2">
      <c r="A57515" s="3" t="str">
        <f>IFERROR(__xludf.DUMMYFUNCTION("GOOGLETRANSLATE(A57515,""en"",""pt"")"),"WEB CAPACIDADE, TIP figurando, CALCULADORA")</f>
        <v>WEB CAPACIDADE, TIP figurando, CALCULADORA</v>
      </c>
      <c r="B57515" s="3">
        <v>1</v>
      </c>
    </row>
    <row r="57516" ht="15.75" customHeight="1" spans="1:2">
      <c r="A57516" s="3" t="str">
        <f>IFERROR(__xludf.DUMMYFUNCTION("GOOGLETRANSLATE(A57516,""en"",""pt"")"),"Fácil de ler a tela, pode mudar placas de cara")</f>
        <v>Fácil de ler a tela, pode mudar placas de cara</v>
      </c>
      <c r="B57516" s="3">
        <v>1</v>
      </c>
    </row>
    <row r="57517" ht="15.75" customHeight="1" spans="1:2">
      <c r="A57517" s="3" t="str">
        <f>IFERROR(__xludf.DUMMYFUNCTION("GOOGLETRANSLATE(A57517,""en"",""pt"")"),"Sinal claro, peso leve e razoavelmente pequeno")</f>
        <v>Sinal claro, peso leve e razoavelmente pequeno</v>
      </c>
      <c r="B57517" s="3">
        <v>1</v>
      </c>
    </row>
    <row r="57518" ht="15.75" customHeight="1" spans="1:2">
      <c r="A57518" s="3" t="str">
        <f>IFERROR(__xludf.DUMMYFUNCTION("GOOGLETRANSLATE(A57518,""en"",""pt"")"),"Nenhum que eu posso ver.")</f>
        <v>Nenhum que eu posso ver.</v>
      </c>
      <c r="B57518" s="3">
        <v>1</v>
      </c>
    </row>
    <row r="57519" ht="15.75" customHeight="1" spans="1:2">
      <c r="A57519" s="3" t="str">
        <f>IFERROR(__xludf.DUMMYFUNCTION("GOOGLETRANSLATE(A57519,""en"",""pt"")"),"leal: grande recepção, incrível resistência a golpes pesados, uma parte de conversação")</f>
        <v>leal: grande recepção, incrível resistência a golpes pesados, uma parte de conversação</v>
      </c>
      <c r="B57519" s="3">
        <v>1</v>
      </c>
    </row>
    <row r="57520" ht="15.75" customHeight="1" spans="1:2">
      <c r="A57520" s="3" t="str">
        <f>IFERROR(__xludf.DUMMYFUNCTION("GOOGLETRANSLATE(A57520,""en"",""pt"")"),"características coloridas, fonte extra grande, alarme / w / timer e funcionalidade de e-mail.")</f>
        <v>características coloridas, fonte extra grande, alarme / w / timer e funcionalidade de e-mail.</v>
      </c>
      <c r="B57520" s="3">
        <v>1</v>
      </c>
    </row>
    <row r="57521" ht="15.75" customHeight="1" spans="1:2">
      <c r="A57521" s="3" t="str">
        <f>IFERROR(__xludf.DUMMYFUNCTION("GOOGLETRANSLATE(A57521,""en"",""pt"")"),"Digital Camera, Sprint Qualidade de Serviço, Sanyo Qualidade do produto")</f>
        <v>Digital Camera, Sprint Qualidade de Serviço, Sanyo Qualidade do produto</v>
      </c>
      <c r="B57521" s="3">
        <v>1</v>
      </c>
    </row>
    <row r="57522" ht="15.75" customHeight="1" spans="1:2">
      <c r="A57522" s="3" t="str">
        <f>IFERROR(__xludf.DUMMYFUNCTION("GOOGLETRANSLATE(A57522,""en"",""pt"")"),"Eu gostei do fato de que era um celular com câmera ...")</f>
        <v>Eu gostei do fato de que era um celular com câmera ...</v>
      </c>
      <c r="B57522" s="3">
        <v>1</v>
      </c>
    </row>
    <row r="57523" ht="15.75" customHeight="1" spans="1:2">
      <c r="A57523" s="3" t="str">
        <f>IFERROR(__xludf.DUMMYFUNCTION("GOOGLETRANSLATE(A57523,""en"",""pt"")"),"Looks, características pouco fria, tamanho, câmera")</f>
        <v>Looks, características pouco fria, tamanho, câmera</v>
      </c>
      <c r="B57523" s="3">
        <v>1</v>
      </c>
    </row>
    <row r="57524" ht="15.75" customHeight="1" spans="1:2">
      <c r="A57524" s="3" t="str">
        <f>IFERROR(__xludf.DUMMYFUNCTION("GOOGLETRANSLATE(A57524,""en"",""pt"")"),"Tamanho, peso, cor da tela, recursos e toques")</f>
        <v>Tamanho, peso, cor da tela, recursos e toques</v>
      </c>
      <c r="B57524" s="3">
        <v>1</v>
      </c>
    </row>
    <row r="57525" ht="15.75" customHeight="1" spans="1:2">
      <c r="A57525" s="3" t="str">
        <f>IFERROR(__xludf.DUMMYFUNCTION("GOOGLETRANSLATE(A57525,""en"",""pt"")"),"Boa recepção, características puras, Camera OK, Bateria de Longa Duração")</f>
        <v>Boa recepção, características puras, Camera OK, Bateria de Longa Duração</v>
      </c>
      <c r="B57525" s="3">
        <v>1</v>
      </c>
    </row>
    <row r="57526" ht="15.75" customHeight="1" spans="1:2">
      <c r="A57526" s="3" t="str">
        <f>IFERROR(__xludf.DUMMYFUNCTION("GOOGLETRANSLATE(A57526,""en"",""pt"")"),"Boa duração da bateria, boa conexão.")</f>
        <v>Boa duração da bateria, boa conexão.</v>
      </c>
      <c r="B57526" s="3">
        <v>1</v>
      </c>
    </row>
    <row r="57527" ht="15.75" customHeight="1" spans="1:2">
      <c r="A57527" s="3" t="str">
        <f>IFERROR(__xludf.DUMMYFUNCTION("GOOGLETRANSLATE(A57527,""en"",""pt"")"),"ele faz o que foi feito para fazer: chamadas ligar e obter")</f>
        <v>ele faz o que foi feito para fazer: chamadas ligar e obter</v>
      </c>
      <c r="B57527" s="3">
        <v>1</v>
      </c>
    </row>
    <row r="57528" ht="15.75" customHeight="1" spans="1:2">
      <c r="A57528" s="3" t="str">
        <f>IFERROR(__xludf.DUMMYFUNCTION("GOOGLETRANSLATE(A57528,""en"",""pt"")"),"Tamanho, ecrã LCD monocromático, facilidade de utilização, durabilidade, recepção")</f>
        <v>Tamanho, ecrã LCD monocromático, facilidade de utilização, durabilidade, recepção</v>
      </c>
      <c r="B57528" s="3">
        <v>1</v>
      </c>
    </row>
    <row r="57529" ht="15.75" customHeight="1" spans="1:2">
      <c r="A57529" s="3" t="str">
        <f>IFERROR(__xludf.DUMMYFUNCTION("GOOGLETRANSLATE(A57529,""en"",""pt"")"),"Menos de US $ 200, grande recepção, Sem indicação de crack, nenhuma antena para quebrar ou dobrar")</f>
        <v>Menos de US $ 200, grande recepção, Sem indicação de crack, nenhuma antena para quebrar ou dobrar</v>
      </c>
      <c r="B57529" s="3">
        <v>1</v>
      </c>
    </row>
    <row r="57530" ht="15.75" customHeight="1" spans="1:2">
      <c r="A57530" s="3" t="str">
        <f>IFERROR(__xludf.DUMMYFUNCTION("GOOGLETRANSLATE(A57530,""en"",""pt"")"),"Livre")</f>
        <v>Livre</v>
      </c>
      <c r="B57530" s="3">
        <v>1</v>
      </c>
    </row>
    <row r="57531" ht="15.75" customHeight="1" spans="1:2">
      <c r="A57531" s="3" t="str">
        <f>IFERROR(__xludf.DUMMYFUNCTION("GOOGLETRANSLATE(A57531,""en"",""pt"")"),"Gee, um projeto de lei horrendo, um telefone ruim, e a culpa é minha? Diz-me tu.")</f>
        <v>Gee, um projeto de lei horrendo, um telefone ruim, e a culpa é minha? Diz-me tu.</v>
      </c>
      <c r="B57531" s="3">
        <v>1</v>
      </c>
    </row>
    <row r="57532" ht="15.75" customHeight="1" spans="1:2">
      <c r="A57532" s="3" t="str">
        <f>IFERROR(__xludf.DUMMYFUNCTION("GOOGLETRANSLATE(A57532,""en"",""pt"")"),"Leve, atraente prata flip-estilo, durável, simples.")</f>
        <v>Leve, atraente prata flip-estilo, durável, simples.</v>
      </c>
      <c r="B57532" s="3">
        <v>1</v>
      </c>
    </row>
    <row r="57533" ht="15.75" customHeight="1" spans="1:2">
      <c r="A57533" s="3" t="str">
        <f>IFERROR(__xludf.DUMMYFUNCTION("GOOGLETRANSLATE(A57533,""en"",""pt"")"),"A i simples telefone apelidado de ""The Tank"". Barato e extremamente intuitivo")</f>
        <v>A i simples telefone apelidado de "The Tank". Barato e extremamente intuitivo</v>
      </c>
      <c r="B57533" s="3">
        <v>1</v>
      </c>
    </row>
    <row r="57534" ht="15.75" customHeight="1" spans="1:2">
      <c r="A57534" s="3" t="str">
        <f>IFERROR(__xludf.DUMMYFUNCTION("GOOGLETRANSLATE(A57534,""en"",""pt"")"),"barato, fácil de usar, compacto.")</f>
        <v>barato, fácil de usar, compacto.</v>
      </c>
      <c r="B57534" s="3">
        <v>1</v>
      </c>
    </row>
    <row r="57535" ht="15.75" customHeight="1" spans="1:2">
      <c r="A57535" s="3" t="str">
        <f>IFERROR(__xludf.DUMMYFUNCTION("GOOGLETRANSLATE(A57535,""en"",""pt"")"),"Pequeno, barato.")</f>
        <v>Pequeno, barato.</v>
      </c>
      <c r="B57535" s="3">
        <v>1</v>
      </c>
    </row>
    <row r="57536" ht="15.75" customHeight="1" spans="1:2">
      <c r="A57536" s="3" t="str">
        <f>IFERROR(__xludf.DUMMYFUNCTION("GOOGLETRANSLATE(A57536,""en"",""pt"")"),"Tamanho compacto, fácil de contornar, função de alarme. Nenhuma câmera! Muito durável ... é só pedir o concreto!")</f>
        <v>Tamanho compacto, fácil de contornar, função de alarme. Nenhuma câmera! Muito durável ... é só pedir o concreto!</v>
      </c>
      <c r="B57536" s="3">
        <v>1</v>
      </c>
    </row>
    <row r="57537" ht="15.75" customHeight="1" spans="1:2">
      <c r="A57537" s="3" t="str">
        <f>IFERROR(__xludf.DUMMYFUNCTION("GOOGLETRANSLATE(A57537,""en"",""pt"")"),"Fácil de usar, Un-desordenado por ""extras"", bom valor.")</f>
        <v>Fácil de usar, Un-desordenado por "extras", bom valor.</v>
      </c>
      <c r="B57537" s="3">
        <v>1</v>
      </c>
    </row>
    <row r="57538" ht="15.75" customHeight="1" spans="1:2">
      <c r="A57538" s="3" t="str">
        <f>IFERROR(__xludf.DUMMYFUNCTION("GOOGLETRANSLATE(A57538,""en"",""pt"")"),"tamanho pequeno, de baixo custo")</f>
        <v>tamanho pequeno, de baixo custo</v>
      </c>
      <c r="B57538" s="3">
        <v>1</v>
      </c>
    </row>
    <row r="57539" ht="15.75" customHeight="1" spans="1:2">
      <c r="A57539" s="3" t="str">
        <f>IFERROR(__xludf.DUMMYFUNCTION("GOOGLETRANSLATE(A57539,""en"",""pt"")"),"Fácil de usar; peso leve; vida útil da bateria; display de fácil leitura")</f>
        <v>Fácil de usar; peso leve; vida útil da bateria; display de fácil leitura</v>
      </c>
      <c r="B57539" s="3">
        <v>1</v>
      </c>
    </row>
    <row r="57540" ht="15.75" customHeight="1" spans="1:2">
      <c r="A57540" s="3" t="str">
        <f>IFERROR(__xludf.DUMMYFUNCTION("GOOGLETRANSLATE(A57540,""en"",""pt"")"),"Simplicidade. Compacta e agradável para o bolso.")</f>
        <v>Simplicidade. Compacta e agradável para o bolso.</v>
      </c>
      <c r="B57540" s="3">
        <v>1</v>
      </c>
    </row>
    <row r="57541" ht="15.75" customHeight="1" spans="1:2">
      <c r="A57541" s="3" t="str">
        <f>IFERROR(__xludf.DUMMYFUNCTION("GOOGLETRANSLATE(A57541,""en"",""pt"")"),"Relativamente pequeno, fácil de usar, faceplates de cores, cinto, recursos de atualização, web wireless")</f>
        <v>Relativamente pequeno, fácil de usar, faceplates de cores, cinto, recursos de atualização, web wireless</v>
      </c>
      <c r="B57541" s="3">
        <v>1</v>
      </c>
    </row>
    <row r="57542" ht="15.75" customHeight="1" spans="1:2">
      <c r="A57542" s="3" t="str">
        <f>IFERROR(__xludf.DUMMYFUNCTION("GOOGLETRANSLATE(A57542,""en"",""pt"")"),"Muitos recursos, fácil de usar, ótima maneira de manter contato")</f>
        <v>Muitos recursos, fácil de usar, ótima maneira de manter contato</v>
      </c>
      <c r="B57542" s="3">
        <v>1</v>
      </c>
    </row>
    <row r="57543" ht="15.75" customHeight="1" spans="1:2">
      <c r="A57543" s="3" t="str">
        <f>IFERROR(__xludf.DUMMYFUNCTION("GOOGLETRANSLATE(A57543,""en"",""pt"")"),"Característica-embalada para o dinheiro, web habilitada, tamanho prático, boa qualidade de som")</f>
        <v>Característica-embalada para o dinheiro, web habilitada, tamanho prático, boa qualidade de som</v>
      </c>
      <c r="B57543" s="3">
        <v>1</v>
      </c>
    </row>
    <row r="57544" ht="15.75" customHeight="1" spans="1:2">
      <c r="A57544" s="3" t="str">
        <f>IFERROR(__xludf.DUMMYFUNCTION("GOOGLETRANSLATE(A57544,""en"",""pt"")"),"Robusto, eficaz, Display razoável")</f>
        <v>Robusto, eficaz, Display razoável</v>
      </c>
      <c r="B57544" s="3">
        <v>1</v>
      </c>
    </row>
    <row r="57545" ht="15.75" customHeight="1" spans="1:2">
      <c r="A57545" s="3" t="str">
        <f>IFERROR(__xludf.DUMMYFUNCTION("GOOGLETRANSLATE(A57545,""en"",""pt"")"),"Duráveis, faceplates mutável")</f>
        <v>Duráveis, faceplates mutável</v>
      </c>
      <c r="B57545" s="3">
        <v>1</v>
      </c>
    </row>
    <row r="57546" ht="15.75" customHeight="1" spans="1:2">
      <c r="A57546" s="3" t="str">
        <f>IFERROR(__xludf.DUMMYFUNCTION("GOOGLETRANSLATE(A57546,""en"",""pt"")"),"Sólido, resistente. tela não-cor é visível à luz do dia brilhante, telas de cores não são!")</f>
        <v>Sólido, resistente. tela não-cor é visível à luz do dia brilhante, telas de cores não são!</v>
      </c>
      <c r="B57546" s="3">
        <v>1</v>
      </c>
    </row>
    <row r="57547" ht="15.75" customHeight="1" spans="1:2">
      <c r="A57547" s="3" t="str">
        <f>IFERROR(__xludf.DUMMYFUNCTION("GOOGLETRANSLATE(A57547,""en"",""pt"")"),"""Bonito"", esp. para a Nextel, faceplates personalizados, fone de ouvido, é um Nextel!")</f>
        <v>"Bonito", esp. para a Nextel, faceplates personalizados, fone de ouvido, é um Nextel!</v>
      </c>
      <c r="B57547" s="3">
        <v>1</v>
      </c>
    </row>
    <row r="57548" ht="15.75" customHeight="1" spans="1:2">
      <c r="A57548" s="3" t="str">
        <f>IFERROR(__xludf.DUMMYFUNCTION("GOOGLETRANSLATE(A57548,""en"",""pt"")"),"Não é caro, tem trabalhado praticamente sem falhas")</f>
        <v>Não é caro, tem trabalhado praticamente sem falhas</v>
      </c>
      <c r="B57548" s="3">
        <v>1</v>
      </c>
    </row>
    <row r="57549" ht="15.75" customHeight="1" spans="1:2">
      <c r="A57549" s="3" t="str">
        <f>IFERROR(__xludf.DUMMYFUNCTION("GOOGLETRANSLATE(A57549,""en"",""pt"")"),"Leve, web-enabled, clareza, blt-voz, barato")</f>
        <v>Leve, web-enabled, clareza, blt-voz, barato</v>
      </c>
      <c r="B57549" s="3">
        <v>1</v>
      </c>
    </row>
    <row r="57550" ht="15.75" customHeight="1" spans="1:2">
      <c r="A57550" s="3" t="str">
        <f>IFERROR(__xludf.DUMMYFUNCTION("GOOGLETRANSLATE(A57550,""en"",""pt"")"),"Elegante, bom desempenho, apresentam, tri-mode ricos")</f>
        <v>Elegante, bom desempenho, apresentam, tri-mode ricos</v>
      </c>
      <c r="B57550" s="3">
        <v>1</v>
      </c>
    </row>
    <row r="57551" ht="15.75" customHeight="1" spans="1:2">
      <c r="A57551" s="3" t="str">
        <f>IFERROR(__xludf.DUMMYFUNCTION("GOOGLETRANSLATE(A57551,""en"",""pt"")"),"Preço. Recursos.")</f>
        <v>Preço. Recursos.</v>
      </c>
      <c r="B57551" s="3">
        <v>1</v>
      </c>
    </row>
    <row r="57552" ht="15.75" customHeight="1" spans="1:2">
      <c r="A57552" s="3" t="str">
        <f>IFERROR(__xludf.DUMMYFUNCTION("GOOGLETRANSLATE(A57552,""en"",""pt"")"),"Viva-voz, preço mais baixo, discagem por voz")</f>
        <v>Viva-voz, preço mais baixo, discagem por voz</v>
      </c>
      <c r="B57552" s="3">
        <v>1</v>
      </c>
    </row>
    <row r="57553" ht="15.75" customHeight="1" spans="1:2">
      <c r="A57553" s="3" t="str">
        <f>IFERROR(__xludf.DUMMYFUNCTION("GOOGLETRANSLATE(A57553,""en"",""pt"")"),"Leve, muito claro qualidade de voz, conjunto de recursos decente.")</f>
        <v>Leve, muito claro qualidade de voz, conjunto de recursos decente.</v>
      </c>
      <c r="B57553" s="3">
        <v>1</v>
      </c>
    </row>
    <row r="57554" ht="15.75" customHeight="1" spans="1:2">
      <c r="A57554" s="3" t="str">
        <f>IFERROR(__xludf.DUMMYFUNCTION("GOOGLETRANSLATE(A57554,""en"",""pt"")"),"Grande discagem por voz, 2-way viva-voz excelente, acessível, fino e leve, tela de bom tamanho, Características +")</f>
        <v>Grande discagem por voz, 2-way viva-voz excelente, acessível, fino e leve, tela de bom tamanho, Características +</v>
      </c>
      <c r="B57554" s="3">
        <v>1</v>
      </c>
    </row>
    <row r="57555" ht="15.75" customHeight="1" spans="1:2">
      <c r="A57555" s="3" t="str">
        <f>IFERROR(__xludf.DUMMYFUNCTION("GOOGLETRANSLATE(A57555,""en"",""pt"")"),"texto SMS messageing pequeno, e parece legal")</f>
        <v>texto SMS messageing pequeno, e parece legal</v>
      </c>
      <c r="B57555" s="3">
        <v>1</v>
      </c>
    </row>
    <row r="57556" ht="15.75" customHeight="1" spans="1:2">
      <c r="A57556" s="3" t="str">
        <f>IFERROR(__xludf.DUMMYFUNCTION("GOOGLETRANSLATE(A57556,""en"",""pt"")"),"durável, realmente fácil de usar")</f>
        <v>durável, realmente fácil de usar</v>
      </c>
      <c r="B57556" s="3">
        <v>1</v>
      </c>
    </row>
    <row r="57557" ht="15.75" customHeight="1" spans="1:2">
      <c r="A57557" s="3" t="str">
        <f>IFERROR(__xludf.DUMMYFUNCTION("GOOGLETRANSLATE(A57557,""en"",""pt"")"),"grande bateria")</f>
        <v>grande bateria</v>
      </c>
      <c r="B57557" s="3">
        <v>1</v>
      </c>
    </row>
    <row r="57558" ht="15.75" customHeight="1" spans="1:2">
      <c r="A57558" s="3" t="str">
        <f>IFERROR(__xludf.DUMMYFUNCTION("GOOGLETRANSLATE(A57558,""en"",""pt"")"),"tri-band, barato, bom tamanho")</f>
        <v>tri-band, barato, bom tamanho</v>
      </c>
      <c r="B57558" s="3">
        <v>1</v>
      </c>
    </row>
    <row r="57559" ht="15.75" customHeight="1" spans="1:2">
      <c r="A57559" s="3" t="str">
        <f>IFERROR(__xludf.DUMMYFUNCTION("GOOGLETRANSLATE(A57559,""en"",""pt"")"),"Barato. Speaker telefone que funciona bem. GPS para 911 para localizá-lo, se necessário.")</f>
        <v>Barato. Speaker telefone que funciona bem. GPS para 911 para localizá-lo, se necessário.</v>
      </c>
      <c r="B57559" s="3">
        <v>1</v>
      </c>
    </row>
    <row r="57560" ht="15.75" customHeight="1" spans="1:2">
      <c r="A57560" s="3" t="str">
        <f>IFERROR(__xludf.DUMMYFUNCTION("GOOGLETRANSLATE(A57560,""en"",""pt"")"),"Pequeno, elegante, excelente recepção de sinal, atenção getter, luz, customizável")</f>
        <v>Pequeno, elegante, excelente recepção de sinal, atenção getter, luz, customizável</v>
      </c>
      <c r="B57560" s="3">
        <v>1</v>
      </c>
    </row>
    <row r="57561" ht="15.75" customHeight="1" spans="1:2">
      <c r="A57561" s="3" t="str">
        <f>IFERROR(__xludf.DUMMYFUNCTION("GOOGLETRANSLATE(A57561,""en"",""pt"")"),"O telefone mais elegante você pode obter esse não é um Vertu.")</f>
        <v>O telefone mais elegante você pode obter esse não é um Vertu.</v>
      </c>
      <c r="B57561" s="3">
        <v>1</v>
      </c>
    </row>
    <row r="57562" ht="15.75" customHeight="1" spans="1:2">
      <c r="A57562" s="3" t="str">
        <f>IFERROR(__xludf.DUMMYFUNCTION("GOOGLETRANSLATE(A57562,""en"",""pt"")"),"Sexy aparência, boa recepção, pequeno e elegante")</f>
        <v>Sexy aparência, boa recepção, pequeno e elegante</v>
      </c>
      <c r="B57562" s="3">
        <v>1</v>
      </c>
    </row>
    <row r="57563" ht="15.75" customHeight="1" spans="1:2">
      <c r="A57563" s="3" t="str">
        <f>IFERROR(__xludf.DUMMYFUNCTION("GOOGLETRANSLATE(A57563,""en"",""pt"")"),"design inteligente swivelblade, design elegante, interface de modificáveis, a compatibilidade com PC / PDA / laptops")</f>
        <v>design inteligente swivelblade, design elegante, interface de modificáveis, a compatibilidade com PC / PDA / laptops</v>
      </c>
      <c r="B57563" s="3">
        <v>1</v>
      </c>
    </row>
    <row r="57564" ht="15.75" customHeight="1" spans="1:2">
      <c r="A57564" s="3" t="str">
        <f>IFERROR(__xludf.DUMMYFUNCTION("GOOGLETRANSLATE(A57564,""en"",""pt"")"),"O telefone móvel mais exclusivo e elegante no mercado; pequeno e leve.")</f>
        <v>O telefone móvel mais exclusivo e elegante no mercado; pequeno e leve.</v>
      </c>
      <c r="B57564" s="3">
        <v>1</v>
      </c>
    </row>
    <row r="57565" ht="15.75" customHeight="1" spans="1:2">
      <c r="A57565" s="3" t="str">
        <f>IFERROR(__xludf.DUMMYFUNCTION("GOOGLETRANSLATE(A57565,""en"",""pt"")"),"Pequeno, leve, elegante, luz de fundo")</f>
        <v>Pequeno, leve, elegante, luz de fundo</v>
      </c>
      <c r="B57565" s="3">
        <v>1</v>
      </c>
    </row>
    <row r="57566" ht="15.75" customHeight="1" spans="1:2">
      <c r="A57566" s="3" t="str">
        <f>IFERROR(__xludf.DUMMYFUNCTION("GOOGLETRANSLATE(A57566,""en"",""pt"")"),"Looks elegantes, molduras intercambiáveis ​​&amp; casing, preto reverso / azul iluminada tela, girando design flip, leve")</f>
        <v>Looks elegantes, molduras intercambiáveis ​​&amp; casing, preto reverso / azul iluminada tela, girando design flip, leve</v>
      </c>
      <c r="B57566" s="3">
        <v>1</v>
      </c>
    </row>
    <row r="57567" ht="15.75" customHeight="1" spans="1:2">
      <c r="A57567" s="3" t="str">
        <f>IFERROR(__xludf.DUMMYFUNCTION("GOOGLETRANSLATE(A57567,""en"",""pt"")"),"padrão Novo Mundo para o tamanho pequeno, design muito legal, grande recepção.")</f>
        <v>padrão Novo Mundo para o tamanho pequeno, design muito legal, grande recepção.</v>
      </c>
      <c r="B57567" s="3">
        <v>1</v>
      </c>
    </row>
    <row r="57568" ht="15.75" customHeight="1" spans="1:2">
      <c r="A57568" s="3" t="str">
        <f>IFERROR(__xludf.DUMMYFUNCTION("GOOGLETRANSLATE(A57568,""en"",""pt"")"),"O peso leve, ""cool factor"", interface de usuário fácil, a qualidade do som")</f>
        <v>O peso leve, "cool factor", interface de usuário fácil, a qualidade do som</v>
      </c>
      <c r="B57568" s="3">
        <v>1</v>
      </c>
    </row>
    <row r="57569" ht="15.75" customHeight="1" spans="1:2">
      <c r="A57569" s="3" t="str">
        <f>IFERROR(__xludf.DUMMYFUNCTION("GOOGLETRANSLATE(A57569,""en"",""pt"")"),"New giro de 360, elegante e adequada em qualquer iluminação")</f>
        <v>New giro de 360, elegante e adequada em qualquer iluminação</v>
      </c>
      <c r="B57569" s="3">
        <v>1</v>
      </c>
    </row>
    <row r="57570" ht="15.75" customHeight="1" spans="1:2">
      <c r="A57570" s="3" t="str">
        <f>IFERROR(__xludf.DUMMYFUNCTION("GOOGLETRANSLATE(A57570,""en"",""pt"")"),"Grande OS, lindo styling - recebe olhares em todos os lugares, o preço (finalmente)")</f>
        <v>Grande OS, lindo styling - recebe olhares em todos os lugares, o preço (finalmente)</v>
      </c>
      <c r="B57570" s="3">
        <v>1</v>
      </c>
    </row>
    <row r="57571" ht="15.75" customHeight="1" spans="1:2">
      <c r="A57571" s="3" t="str">
        <f>IFERROR(__xludf.DUMMYFUNCTION("GOOGLETRANSLATE(A57571,""en"",""pt"")"),"Elegante, artigo dos coletores quente, SMALL")</f>
        <v>Elegante, artigo dos coletores quente, SMALL</v>
      </c>
      <c r="B57571" s="3">
        <v>1</v>
      </c>
    </row>
    <row r="57572" ht="15.75" customHeight="1" spans="1:2">
      <c r="A57572" s="3" t="str">
        <f>IFERROR(__xludf.DUMMYFUNCTION("GOOGLETRANSLATE(A57572,""en"",""pt"")"),"Moda, legal, luz de fundo azul, bom tempo de bateria, um som excelente / combinação alto-falante")</f>
        <v>Moda, legal, luz de fundo azul, bom tempo de bateria, um som excelente / combinação alto-falante</v>
      </c>
      <c r="B57572" s="3">
        <v>1</v>
      </c>
    </row>
    <row r="57573" ht="15.75" customHeight="1" spans="1:2">
      <c r="A57573" s="3" t="str">
        <f>IFERROR(__xludf.DUMMYFUNCTION("GOOGLETRANSLATE(A57573,""en"",""pt"")"),"jogos ñ")</f>
        <v>jogos ñ</v>
      </c>
      <c r="B57573" s="3">
        <v>1</v>
      </c>
    </row>
    <row r="57574" ht="15.75" customHeight="1" spans="1:2">
      <c r="A57574" s="3" t="str">
        <f>IFERROR(__xludf.DUMMYFUNCTION("GOOGLETRANSLATE(A57574,""en"",""pt"")"),"Muito elegante")</f>
        <v>Muito elegante</v>
      </c>
      <c r="B57574" s="3">
        <v>1</v>
      </c>
    </row>
    <row r="57575" ht="15.75" customHeight="1" spans="1:2">
      <c r="A57575" s="3" t="str">
        <f>IFERROR(__xludf.DUMMYFUNCTION("GOOGLETRANSLATE(A57575,""en"",""pt"")"),"Leve, boa tela, de boa aparência, excelente recepção, nice design.")</f>
        <v>Leve, boa tela, de boa aparência, excelente recepção, nice design.</v>
      </c>
      <c r="B57575" s="3">
        <v>1</v>
      </c>
    </row>
    <row r="57576" ht="15.75" customHeight="1" spans="1:2">
      <c r="A57576" s="3" t="str">
        <f>IFERROR(__xludf.DUMMYFUNCTION("GOOGLETRANSLATE(A57576,""en"",""pt"")"),"Design elegante, GPRS")</f>
        <v>Design elegante, GPRS</v>
      </c>
      <c r="B57576" s="3">
        <v>1</v>
      </c>
    </row>
    <row r="57577" ht="15.75" customHeight="1" spans="1:2">
      <c r="A57577" s="3" t="str">
        <f>IFERROR(__xludf.DUMMYFUNCTION("GOOGLETRANSLATE(A57577,""en"",""pt"")"),"Excelente recepção, pequeno, elegante")</f>
        <v>Excelente recepção, pequeno, elegante</v>
      </c>
      <c r="B57577" s="3">
        <v>1</v>
      </c>
    </row>
    <row r="57578" ht="15.75" customHeight="1" spans="1:2">
      <c r="A57578" s="3" t="str">
        <f>IFERROR(__xludf.DUMMYFUNCTION("GOOGLETRANSLATE(A57578,""en"",""pt"")"),"Elegante, pequeno e compacto, customizável")</f>
        <v>Elegante, pequeno e compacto, customizável</v>
      </c>
      <c r="B57578" s="3">
        <v>1</v>
      </c>
    </row>
    <row r="57579" ht="15.75" customHeight="1" spans="1:2">
      <c r="A57579" s="3" t="str">
        <f>IFERROR(__xludf.DUMMYFUNCTION("GOOGLETRANSLATE(A57579,""en"",""pt"")"),"Brinquedo agradável para os olhares.")</f>
        <v>Brinquedo agradável para os olhares.</v>
      </c>
      <c r="B57579" s="3">
        <v>1</v>
      </c>
    </row>
    <row r="57580" ht="15.75" customHeight="1" spans="1:2">
      <c r="A57580" s="3" t="str">
        <f>IFERROR(__xludf.DUMMYFUNCTION("GOOGLETRANSLATE(A57580,""en"",""pt"")"),"Estilo, pequeno, apenas uma palavra, ""KEWL""")</f>
        <v>Estilo, pequeno, apenas uma palavra, "KEWL"</v>
      </c>
      <c r="B57580" s="3">
        <v>1</v>
      </c>
    </row>
    <row r="57581" ht="15.75" customHeight="1" spans="1:2">
      <c r="A57581" s="3" t="str">
        <f>IFERROR(__xludf.DUMMYFUNCTION("GOOGLETRANSLATE(A57581,""en"",""pt"")"),"Na moda, beat-me-if-you-can meio modelar, fácil de usar, teclado elegante, luz iluminada.")</f>
        <v>Na moda, beat-me-if-you-can meio modelar, fácil de usar, teclado elegante, luz iluminada.</v>
      </c>
      <c r="B57581" s="3">
        <v>1</v>
      </c>
    </row>
    <row r="57582" ht="15.75" customHeight="1" spans="1:2">
      <c r="A57582" s="3" t="str">
        <f>IFERROR(__xludf.DUMMYFUNCTION("GOOGLETRANSLATE(A57582,""en"",""pt"")"),"Ultra Durable bem pequeno Luz elegante projetado - Excelente Feature Set")</f>
        <v>Ultra Durable bem pequeno Luz elegante projetado - Excelente Feature Set</v>
      </c>
      <c r="B57582" s="3">
        <v>1</v>
      </c>
    </row>
    <row r="57583" ht="15.75" customHeight="1" spans="1:2">
      <c r="A57583" s="3" t="str">
        <f>IFERROR(__xludf.DUMMYFUNCTION("GOOGLETRANSLATE(A57583,""en"",""pt"")"),"Atraente, luz, bateria de longa duração")</f>
        <v>Atraente, luz, bateria de longa duração</v>
      </c>
      <c r="B57583" s="3">
        <v>1</v>
      </c>
    </row>
    <row r="57584" ht="15.75" customHeight="1" spans="1:2">
      <c r="A57584" s="3" t="str">
        <f>IFERROR(__xludf.DUMMYFUNCTION("GOOGLETRANSLATE(A57584,""en"",""pt"")"),"Elegante, leve, durável, pequeno, repleto de Recurso, 3G-Voz capaz, Multi-Chord Ringers!")</f>
        <v>Elegante, leve, durável, pequeno, repleto de Recurso, 3G-Voz capaz, Multi-Chord Ringers!</v>
      </c>
      <c r="B57584" s="3">
        <v>1</v>
      </c>
    </row>
    <row r="57585" ht="15.75" customHeight="1" spans="1:2">
      <c r="A57585" s="3" t="str">
        <f>IFERROR(__xludf.DUMMYFUNCTION("GOOGLETRANSLATE(A57585,""en"",""pt"")"),"Super-leve e fino, toques frescos, tela grande, grande qualidade de sinal")</f>
        <v>Super-leve e fino, toques frescos, tela grande, grande qualidade de sinal</v>
      </c>
      <c r="B57585" s="3">
        <v>1</v>
      </c>
    </row>
    <row r="57586" ht="15.75" customHeight="1" spans="1:2">
      <c r="A57586" s="3" t="str">
        <f>IFERROR(__xludf.DUMMYFUNCTION("GOOGLETRANSLATE(A57586,""en"",""pt"")"),"Muito leve, super-slim tela de alta resolução, 3G compatível.")</f>
        <v>Muito leve, super-slim tela de alta resolução, 3G compatível.</v>
      </c>
      <c r="B57586" s="3">
        <v>1</v>
      </c>
    </row>
    <row r="57587" ht="15.75" customHeight="1" spans="1:2">
      <c r="A57587" s="3" t="str">
        <f>IFERROR(__xludf.DUMMYFUNCTION("GOOGLETRANSLATE(A57587,""en"",""pt"")"),"Um elegante, minúsculo telefone pouco cheio de extras.")</f>
        <v>Um elegante, minúsculo telefone pouco cheio de extras.</v>
      </c>
      <c r="B57587" s="3">
        <v>1</v>
      </c>
    </row>
    <row r="57588" ht="15.75" customHeight="1" spans="1:2">
      <c r="A57588" s="3" t="str">
        <f>IFERROR(__xludf.DUMMYFUNCTION("GOOGLETRANSLATE(A57588,""en"",""pt"")"),"Magro, atraente, ótimo preço e durável")</f>
        <v>Magro, atraente, ótimo preço e durável</v>
      </c>
      <c r="B57588" s="3">
        <v>1</v>
      </c>
    </row>
    <row r="57589" ht="15.75" customHeight="1" spans="1:2">
      <c r="A57589" s="3" t="str">
        <f>IFERROR(__xludf.DUMMYFUNCTION("GOOGLETRANSLATE(A57589,""en"",""pt"")"),"Elegante, magro, elegante procurando")</f>
        <v>Elegante, magro, elegante procurando</v>
      </c>
      <c r="B57589" s="3">
        <v>1</v>
      </c>
    </row>
    <row r="57590" ht="15.75" customHeight="1" spans="1:2">
      <c r="A57590" s="3" t="str">
        <f>IFERROR(__xludf.DUMMYFUNCTION("GOOGLETRANSLATE(A57590,""en"",""pt"")"),"Excelente qualidade de som, muito fino e leve, muito elegante")</f>
        <v>Excelente qualidade de som, muito fino e leve, muito elegante</v>
      </c>
      <c r="B57590" s="3">
        <v>1</v>
      </c>
    </row>
    <row r="57591" ht="15.75" customHeight="1" spans="1:2">
      <c r="A57591" s="3" t="str">
        <f>IFERROR(__xludf.DUMMYFUNCTION("GOOGLETRANSLATE(A57591,""en"",""pt"")"),"tamanho, peso, recepção")</f>
        <v>tamanho, peso, recepção</v>
      </c>
      <c r="B57591" s="3">
        <v>1</v>
      </c>
    </row>
    <row r="57592" ht="15.75" customHeight="1" spans="1:2">
      <c r="A57592" s="3" t="str">
        <f>IFERROR(__xludf.DUMMYFUNCTION("GOOGLETRANSLATE(A57592,""en"",""pt"")"),"mais leve telefone celular já teve")</f>
        <v>mais leve telefone celular já teve</v>
      </c>
      <c r="B57592" s="3">
        <v>1</v>
      </c>
    </row>
    <row r="57593" ht="15.75" customHeight="1" spans="1:2">
      <c r="A57593" s="3" t="str">
        <f>IFERROR(__xludf.DUMMYFUNCTION("GOOGLETRANSLATE(A57593,""en"",""pt"")"),"Fino, lightwieght, elegante, e muitos grandes recursos")</f>
        <v>Fino, lightwieght, elegante, e muitos grandes recursos</v>
      </c>
      <c r="B57593" s="3">
        <v>1</v>
      </c>
    </row>
    <row r="57594" ht="15.75" customHeight="1" spans="1:2">
      <c r="A57594" s="3" t="str">
        <f>IFERROR(__xludf.DUMMYFUNCTION("GOOGLETRANSLATE(A57594,""en"",""pt"")"),"Leve, na moda, Grande Tempo de conversa, durável, macia Teclado")</f>
        <v>Leve, na moda, Grande Tempo de conversa, durável, macia Teclado</v>
      </c>
      <c r="B57594" s="3">
        <v>1</v>
      </c>
    </row>
    <row r="57595" ht="15.75" customHeight="1" spans="1:2">
      <c r="A57595" s="3" t="str">
        <f>IFERROR(__xludf.DUMMYFUNCTION("GOOGLETRANSLATE(A57595,""en"",""pt"")"),"Tamanho, tamanho, ans tamanho.")</f>
        <v>Tamanho, tamanho, ans tamanho.</v>
      </c>
      <c r="B57595" s="3">
        <v>1</v>
      </c>
    </row>
    <row r="57596" ht="15.75" customHeight="1" spans="1:2">
      <c r="A57596" s="3" t="str">
        <f>IFERROR(__xludf.DUMMYFUNCTION("GOOGLETRANSLATE(A57596,""en"",""pt"")"),"Bom valor para o custo unitário.")</f>
        <v>Bom valor para o custo unitário.</v>
      </c>
      <c r="B57596" s="3">
        <v>1</v>
      </c>
    </row>
    <row r="57597" ht="15.75" customHeight="1" spans="1:2">
      <c r="A57597" s="3" t="str">
        <f>IFERROR(__xludf.DUMMYFUNCTION("GOOGLETRANSLATE(A57597,""en"",""pt"")"),"Leve, boa recepção, muitos recursos")</f>
        <v>Leve, boa recepção, muitos recursos</v>
      </c>
      <c r="B57597" s="3">
        <v>1</v>
      </c>
    </row>
    <row r="57598" ht="15.75" customHeight="1" spans="1:2">
      <c r="A57598" s="3" t="str">
        <f>IFERROR(__xludf.DUMMYFUNCTION("GOOGLETRANSLATE(A57598,""en"",""pt"")"),"web sem fio capaz, download de ringtones e gráficos capazes, discagem ativada por voz, perfis personalizados para ambientes")</f>
        <v>web sem fio capaz, download de ringtones e gráficos capazes, discagem ativada por voz, perfis personalizados para ambientes</v>
      </c>
      <c r="B57598" s="3">
        <v>1</v>
      </c>
    </row>
    <row r="57599" ht="15.75" customHeight="1" spans="1:2">
      <c r="A57599" s="3" t="str">
        <f>IFERROR(__xludf.DUMMYFUNCTION("GOOGLETRANSLATE(A57599,""en"",""pt"")"),"Excelente recepção, resistente, muitos recursos, muito barato")</f>
        <v>Excelente recepção, resistente, muitos recursos, muito barato</v>
      </c>
      <c r="B57599" s="3">
        <v>1</v>
      </c>
    </row>
    <row r="57600" ht="15.75" customHeight="1" spans="1:2">
      <c r="A57600" s="3" t="str">
        <f>IFERROR(__xludf.DUMMYFUNCTION("GOOGLETRANSLATE(A57600,""en"",""pt"")"),"Excelente vida útil da bateria, boas características para porteiro.")</f>
        <v>Excelente vida útil da bateria, boas características para porteiro.</v>
      </c>
      <c r="B57600" s="3">
        <v>1</v>
      </c>
    </row>
    <row r="57601" ht="15.75" customHeight="1" spans="1:2">
      <c r="A57601" s="3" t="str">
        <f>IFERROR(__xludf.DUMMYFUNCTION("GOOGLETRANSLATE(A57601,""en"",""pt"")"),"Barato, polifónicos e Java em um telefone de nível de entrada")</f>
        <v>Barato, polifónicos e Java em um telefone de nível de entrada</v>
      </c>
      <c r="B57601" s="3">
        <v>1</v>
      </c>
    </row>
    <row r="57602" ht="15.75" customHeight="1" spans="1:2">
      <c r="A57602" s="3" t="str">
        <f>IFERROR(__xludf.DUMMYFUNCTION("GOOGLETRANSLATE(A57602,""en"",""pt"")"),"Recepção, software de mensagem de texto, usa a cartões SIM, a vida da bateria")</f>
        <v>Recepção, software de mensagem de texto, usa a cartões SIM, a vida da bateria</v>
      </c>
      <c r="B57602" s="3">
        <v>1</v>
      </c>
    </row>
    <row r="57603" ht="15.75" customHeight="1" spans="1:2">
      <c r="A57603" s="3" t="str">
        <f>IFERROR(__xludf.DUMMYFUNCTION("GOOGLETRANSLATE(A57603,""en"",""pt"")"),"Acesso à internet,")</f>
        <v>Acesso à internet,</v>
      </c>
      <c r="B57603" s="3">
        <v>1</v>
      </c>
    </row>
    <row r="57604" ht="15.75" customHeight="1" spans="1:2">
      <c r="A57604" s="3" t="str">
        <f>IFERROR(__xludf.DUMMYFUNCTION("GOOGLETRANSLATE(A57604,""en"",""pt"")"),"Lotes das características, design compacto.")</f>
        <v>Lotes das características, design compacto.</v>
      </c>
      <c r="B57604" s="3">
        <v>1</v>
      </c>
    </row>
    <row r="57605" ht="15.75" customHeight="1" spans="1:2">
      <c r="A57605" s="3" t="str">
        <f>IFERROR(__xludf.DUMMYFUNCTION("GOOGLETRANSLATE(A57605,""en"",""pt"")"),"Grande display, botões grandes, recepção, o uso da bateria frugal, cheio de recursos, caso durável")</f>
        <v>Grande display, botões grandes, recepção, o uso da bateria frugal, cheio de recursos, caso durável</v>
      </c>
      <c r="B57605" s="3">
        <v>1</v>
      </c>
    </row>
    <row r="57606" ht="15.75" customHeight="1" spans="1:2">
      <c r="A57606" s="3" t="str">
        <f>IFERROR(__xludf.DUMMYFUNCTION("GOOGLETRANSLATE(A57606,""en"",""pt"")"),"Grande tempo de conversação, excelente recepção.")</f>
        <v>Grande tempo de conversação, excelente recepção.</v>
      </c>
      <c r="B57606" s="3">
        <v>1</v>
      </c>
    </row>
    <row r="57607" ht="15.75" customHeight="1" spans="1:2">
      <c r="A57607" s="3" t="str">
        <f>IFERROR(__xludf.DUMMYFUNCTION("GOOGLETRANSLATE(A57607,""en"",""pt"")"),"grande tamanho, as capacidades de ouvir bons")</f>
        <v>grande tamanho, as capacidades de ouvir bons</v>
      </c>
      <c r="B57607" s="3">
        <v>1</v>
      </c>
    </row>
    <row r="57608" ht="15.75" customHeight="1" spans="1:2">
      <c r="A57608" s="3" t="str">
        <f>IFERROR(__xludf.DUMMYFUNCTION("GOOGLETRANSLATE(A57608,""en"",""pt"")"),"toques polifônicos, cargas de tempo de conversação, muito melhor do que Motorola C331")</f>
        <v>toques polifônicos, cargas de tempo de conversação, muito melhor do que Motorola C331</v>
      </c>
      <c r="B57608" s="3">
        <v>1</v>
      </c>
    </row>
    <row r="57609" ht="15.75" customHeight="1" spans="1:2">
      <c r="A57609" s="3" t="str">
        <f>IFERROR(__xludf.DUMMYFUNCTION("GOOGLETRANSLATE(A57609,""en"",""pt"")"),"não Antana")</f>
        <v>não Antana</v>
      </c>
      <c r="B57609" s="3">
        <v>1</v>
      </c>
    </row>
    <row r="57610" ht="15.75" customHeight="1" spans="1:2">
      <c r="A57610" s="3" t="str">
        <f>IFERROR(__xludf.DUMMYFUNCTION("GOOGLETRANSLATE(A57610,""en"",""pt"")"),"Bom desempenho de RF.")</f>
        <v>Bom desempenho de RF.</v>
      </c>
      <c r="B57610" s="3">
        <v>1</v>
      </c>
    </row>
    <row r="57611" ht="15.75" customHeight="1" spans="1:2">
      <c r="A57611" s="3" t="str">
        <f>IFERROR(__xludf.DUMMYFUNCTION("GOOGLETRANSLATE(A57611,""en"",""pt"")"),"Cheap interface, amigável.")</f>
        <v>Cheap interface, amigável.</v>
      </c>
      <c r="B57611" s="3">
        <v>1</v>
      </c>
    </row>
    <row r="57612" ht="15.75" customHeight="1" spans="1:2">
      <c r="A57612" s="3" t="str">
        <f>IFERROR(__xludf.DUMMYFUNCTION("GOOGLETRANSLATE(A57612,""en"",""pt"")"),"Stylish, um monte de recursos, de confiança, user-friendly")</f>
        <v>Stylish, um monte de recursos, de confiança, user-friendly</v>
      </c>
      <c r="B57612" s="3">
        <v>1</v>
      </c>
    </row>
    <row r="57613" ht="15.75" customHeight="1" spans="1:2">
      <c r="A57613" s="3" t="str">
        <f>IFERROR(__xludf.DUMMYFUNCTION("GOOGLETRANSLATE(A57613,""en"",""pt"")"),"Boa recepção, som excelente, rápido e UI user-friendly, boa bateria, telefone do mundo")</f>
        <v>Boa recepção, som excelente, rápido e UI user-friendly, boa bateria, telefone do mundo</v>
      </c>
      <c r="B57613" s="3">
        <v>1</v>
      </c>
    </row>
    <row r="57614" ht="15.75" customHeight="1" spans="1:2">
      <c r="A57614" s="3" t="str">
        <f>IFERROR(__xludf.DUMMYFUNCTION("GOOGLETRANSLATE(A57614,""en"",""pt"")"),"boa vida útil da bateria, os encargos rapidamente")</f>
        <v>boa vida útil da bateria, os encargos rapidamente</v>
      </c>
      <c r="B57614" s="3">
        <v>1</v>
      </c>
    </row>
    <row r="57615" ht="15.75" customHeight="1" spans="1:2">
      <c r="A57615" s="3" t="str">
        <f>IFERROR(__xludf.DUMMYFUNCTION("GOOGLETRANSLATE(A57615,""en"",""pt"")"),"tela colorida, recepção incrível, pequeno, bom conjunto de recursos")</f>
        <v>tela colorida, recepção incrível, pequeno, bom conjunto de recursos</v>
      </c>
      <c r="B57615" s="3">
        <v>1</v>
      </c>
    </row>
    <row r="57616" ht="15.75" customHeight="1" spans="1:2">
      <c r="A57616" s="3" t="str">
        <f>IFERROR(__xludf.DUMMYFUNCTION("GOOGLETRANSLATE(A57616,""en"",""pt"")"),"grande Nokia UI, telefone do mundo, ecrã a cores, toques polifônicos, tamanho pequeno, design agradável")</f>
        <v>grande Nokia UI, telefone do mundo, ecrã a cores, toques polifônicos, tamanho pequeno, design agradável</v>
      </c>
      <c r="B57616" s="3">
        <v>1</v>
      </c>
    </row>
    <row r="57617" ht="15.75" customHeight="1" spans="1:2">
      <c r="A57617" s="3" t="str">
        <f>IFERROR(__xludf.DUMMYFUNCTION("GOOGLETRANSLATE(A57617,""en"",""pt"")"),"tamanho grande, viva-voz, olhar de prata, tela colorida")</f>
        <v>tamanho grande, viva-voz, olhar de prata, tela colorida</v>
      </c>
      <c r="B57617" s="3">
        <v>1</v>
      </c>
    </row>
    <row r="57618" ht="15.75" customHeight="1" spans="1:2">
      <c r="A57618" s="3" t="str">
        <f>IFERROR(__xludf.DUMMYFUNCTION("GOOGLETRANSLATE(A57618,""en"",""pt"")"),"Leve, mas resistente, alto toque, recepção Ab-Fab")</f>
        <v>Leve, mas resistente, alto toque, recepção Ab-Fab</v>
      </c>
      <c r="B57618" s="3">
        <v>1</v>
      </c>
    </row>
    <row r="57619" ht="15.75" customHeight="1" spans="1:2">
      <c r="A57619" s="3" t="str">
        <f>IFERROR(__xludf.DUMMYFUNCTION("GOOGLETRANSLATE(A57619,""en"",""pt"")"),"Boa recepção, viva-voz, rádio FM, interface de usuário familiar, vibrar com ringtone, java.")</f>
        <v>Boa recepção, viva-voz, rádio FM, interface de usuário familiar, vibrar com ringtone, java.</v>
      </c>
      <c r="B57619" s="3">
        <v>1</v>
      </c>
    </row>
    <row r="57620" ht="15.75" customHeight="1" spans="1:2">
      <c r="A57620" s="3" t="str">
        <f>IFERROR(__xludf.DUMMYFUNCTION("GOOGLETRANSLATE(A57620,""en"",""pt"")"),"Funcionalmente superior, visualmente discreto, grande bateria, grandes recursos. Preço razoável.")</f>
        <v>Funcionalmente superior, visualmente discreto, grande bateria, grandes recursos. Preço razoável.</v>
      </c>
      <c r="B57620" s="3">
        <v>1</v>
      </c>
    </row>
    <row r="57621" ht="15.75" customHeight="1" spans="1:2">
      <c r="A57621" s="3" t="str">
        <f>IFERROR(__xludf.DUMMYFUNCTION("GOOGLETRANSLATE(A57621,""en"",""pt"")"),"Boa tela colorida, fácil, Boas polyphonics, boa gama de recursos,")</f>
        <v>Boa tela colorida, fácil, Boas polyphonics, boa gama de recursos,</v>
      </c>
      <c r="B57621" s="3">
        <v>1</v>
      </c>
    </row>
    <row r="57622" ht="15.75" customHeight="1" spans="1:2">
      <c r="A57622" s="3" t="str">
        <f>IFERROR(__xludf.DUMMYFUNCTION("GOOGLETRANSLATE(A57622,""en"",""pt"")"),"Viva-voz, tela de cor, tamanho, potência do sinal")</f>
        <v>Viva-voz, tela de cor, tamanho, potência do sinal</v>
      </c>
      <c r="B57622" s="3">
        <v>1</v>
      </c>
    </row>
    <row r="57623" ht="15.75" customHeight="1" spans="1:2">
      <c r="A57623" s="3" t="str">
        <f>IFERROR(__xludf.DUMMYFUNCTION("GOOGLETRANSLATE(A57623,""en"",""pt"")"),"sinal forte, muitos toques, pode baixar próprias imagens e criar ringtones para telefone")</f>
        <v>sinal forte, muitos toques, pode baixar próprias imagens e criar ringtones para telefone</v>
      </c>
      <c r="B57623" s="3">
        <v>1</v>
      </c>
    </row>
    <row r="57624" ht="15.75" customHeight="1" spans="1:2">
      <c r="A57624" s="3" t="str">
        <f>IFERROR(__xludf.DUMMYFUNCTION("GOOGLETRANSLATE(A57624,""en"",""pt"")"),"Como dito acima, o telefone tem muitas vantagens.")</f>
        <v>Como dito acima, o telefone tem muitas vantagens.</v>
      </c>
      <c r="B57624" s="3">
        <v>1</v>
      </c>
    </row>
    <row r="57625" ht="15.75" customHeight="1" spans="1:2">
      <c r="A57625" s="3" t="str">
        <f>IFERROR(__xludf.DUMMYFUNCTION("GOOGLETRANSLATE(A57625,""en"",""pt"")"),"Visualmente muito agradável. Excelente integração com o PC Suite. ferramenta de negócios True.")</f>
        <v>Visualmente muito agradável. Excelente integração com o PC Suite. ferramenta de negócios True.</v>
      </c>
      <c r="B57625" s="3">
        <v>1</v>
      </c>
    </row>
    <row r="57626" ht="15.75" customHeight="1" spans="1:2">
      <c r="A57626" s="3" t="str">
        <f>IFERROR(__xludf.DUMMYFUNCTION("GOOGLETRANSLATE(A57626,""en"",""pt"")"),"tamanho conveniente. viva-voz alto. Bom teclado. tela colorida.")</f>
        <v>tamanho conveniente. viva-voz alto. Bom teclado. tela colorida.</v>
      </c>
      <c r="B57626" s="3">
        <v>1</v>
      </c>
    </row>
    <row r="57627" ht="15.75" customHeight="1" spans="1:2">
      <c r="A57627" s="3" t="str">
        <f>IFERROR(__xludf.DUMMYFUNCTION("GOOGLETRANSLATE(A57627,""en"",""pt"")"),"tela colorida agradável e boas características")</f>
        <v>tela colorida agradável e boas características</v>
      </c>
      <c r="B57627" s="3">
        <v>1</v>
      </c>
    </row>
    <row r="57628" ht="15.75" customHeight="1" spans="1:2">
      <c r="A57628" s="3" t="str">
        <f>IFERROR(__xludf.DUMMYFUNCTION("GOOGLETRANSLATE(A57628,""en"",""pt"")"),"Tamanho, aparência, capacidade de rádio FM, bateria, opções de jogo")</f>
        <v>Tamanho, aparência, capacidade de rádio FM, bateria, opções de jogo</v>
      </c>
      <c r="B57628" s="3">
        <v>1</v>
      </c>
    </row>
    <row r="57629" ht="15.75" customHeight="1" spans="1:2">
      <c r="A57629" s="3" t="str">
        <f>IFERROR(__xludf.DUMMYFUNCTION("GOOGLETRANSLATE(A57629,""en"",""pt"")"),"aparência elegância com um corpo esguio e elegante; forte posicionamento função, e abundante concepção pessoal.")</f>
        <v>aparência elegância com um corpo esguio e elegante; forte posicionamento função, e abundante concepção pessoal.</v>
      </c>
      <c r="B57629" s="3">
        <v>1</v>
      </c>
    </row>
    <row r="57630" ht="15.75" customHeight="1" spans="1:2">
      <c r="A57630" s="3" t="str">
        <f>IFERROR(__xludf.DUMMYFUNCTION("GOOGLETRANSLATE(A57630,""en"",""pt"")"),"viva-voz, tela colorida bonita, rádio FM, toques polifônicos, java, wap, infravermelho")</f>
        <v>viva-voz, tela colorida bonita, rádio FM, toques polifônicos, java, wap, infravermelho</v>
      </c>
      <c r="B57630" s="3">
        <v>1</v>
      </c>
    </row>
    <row r="57631" ht="15.75" customHeight="1" spans="1:2">
      <c r="A57631" s="3" t="str">
        <f>IFERROR(__xludf.DUMMYFUNCTION("GOOGLETRANSLATE(A57631,""en"",""pt"")"),"O tamanho pequeno, botões maiores, bateria de longa duração")</f>
        <v>O tamanho pequeno, botões maiores, bateria de longa duração</v>
      </c>
      <c r="B57631" s="3">
        <v>1</v>
      </c>
    </row>
    <row r="57632" ht="15.75" customHeight="1" spans="1:2">
      <c r="A57632" s="3" t="str">
        <f>IFERROR(__xludf.DUMMYFUNCTION("GOOGLETRANSLATE(A57632,""en"",""pt"")"),"Tamanho, a vida da bateria, recepção, extras úteis.")</f>
        <v>Tamanho, a vida da bateria, recepção, extras úteis.</v>
      </c>
      <c r="B57632" s="3">
        <v>1</v>
      </c>
    </row>
    <row r="57633" ht="15.75" customHeight="1" spans="1:2">
      <c r="A57633" s="3" t="str">
        <f>IFERROR(__xludf.DUMMYFUNCTION("GOOGLETRANSLATE(A57633,""en"",""pt"")"),"excelente recepção nunca cai uma chamada, fácil de transportar e teclado cofortable.")</f>
        <v>excelente recepção nunca cai uma chamada, fácil de transportar e teclado cofortable.</v>
      </c>
      <c r="B57633" s="3">
        <v>1</v>
      </c>
    </row>
    <row r="57634" ht="15.75" customHeight="1" spans="1:2">
      <c r="A57634" s="3" t="str">
        <f>IFERROR(__xludf.DUMMYFUNCTION("GOOGLETRANSLATE(A57634,""en"",""pt"")"),"Looks, clareza de áudio, duração da bateria, viva-voz / rádio, atende às minhas necessidades.")</f>
        <v>Looks, clareza de áudio, duração da bateria, viva-voz / rádio, atende às minhas necessidades.</v>
      </c>
      <c r="B57634" s="3">
        <v>1</v>
      </c>
    </row>
    <row r="57635" ht="15.75" customHeight="1" spans="1:2">
      <c r="A57635" s="3" t="str">
        <f>IFERROR(__xludf.DUMMYFUNCTION("GOOGLETRANSLATE(A57635,""en"",""pt"")"),"O tamanho pequeno, fácil de usar, melhor recepção, toques")</f>
        <v>O tamanho pequeno, fácil de usar, melhor recepção, toques</v>
      </c>
      <c r="B57635" s="3">
        <v>1</v>
      </c>
    </row>
    <row r="57636" ht="15.75" customHeight="1" spans="1:2">
      <c r="A57636" s="3" t="str">
        <f>IFERROR(__xludf.DUMMYFUNCTION("GOOGLETRANSLATE(A57636,""en"",""pt"")"),"Claro, fácil de usar, divertido e colorido")</f>
        <v>Claro, fácil de usar, divertido e colorido</v>
      </c>
      <c r="B57636" s="3">
        <v>1</v>
      </c>
    </row>
    <row r="57637" ht="15.75" customHeight="1" spans="1:2">
      <c r="A57637" s="3" t="str">
        <f>IFERROR(__xludf.DUMMYFUNCTION("GOOGLETRANSLATE(A57637,""en"",""pt"")"),"tri-band, boa viva-voz, grande autonomia da bateria, teclas agradáveis, agradando som, tela em cores brilhantes")</f>
        <v>tri-band, boa viva-voz, grande autonomia da bateria, teclas agradáveis, agradando som, tela em cores brilhantes</v>
      </c>
      <c r="B57637" s="3">
        <v>1</v>
      </c>
    </row>
    <row r="57638" ht="15.75" customHeight="1" spans="1:2">
      <c r="A57638" s="3" t="str">
        <f>IFERROR(__xludf.DUMMYFUNCTION("GOOGLETRANSLATE(A57638,""en"",""pt"")"),"Pequeno, leve, grande recepção, Clear Speakerphone")</f>
        <v>Pequeno, leve, grande recepção, Clear Speakerphone</v>
      </c>
      <c r="B57638" s="3">
        <v>1</v>
      </c>
    </row>
    <row r="57639" ht="15.75" customHeight="1" spans="1:2">
      <c r="A57639" s="3" t="str">
        <f>IFERROR(__xludf.DUMMYFUNCTION("GOOGLETRANSLATE(A57639,""en"",""pt"")"),"tela colorida, alto-falante, IrDA, leve, elegante, polifônica.")</f>
        <v>tela colorida, alto-falante, IrDA, leve, elegante, polifônica.</v>
      </c>
      <c r="B57639" s="3">
        <v>1</v>
      </c>
    </row>
    <row r="57640" ht="15.75" customHeight="1" spans="1:2">
      <c r="A57640" s="3" t="str">
        <f>IFERROR(__xludf.DUMMYFUNCTION("GOOGLETRANSLATE(A57640,""en"",""pt"")"),"Boa recepção. Boa duração da bateria. Belo design.")</f>
        <v>Boa recepção. Boa duração da bateria. Belo design.</v>
      </c>
      <c r="B57640" s="3">
        <v>1</v>
      </c>
    </row>
    <row r="57641" ht="15.75" customHeight="1" spans="1:2">
      <c r="A57641" s="3" t="str">
        <f>IFERROR(__xludf.DUMMYFUNCTION("GOOGLETRANSLATE(A57641,""en"",""pt"")"),"Tamanho, Recepção, viva-voz, a vida da bateria")</f>
        <v>Tamanho, Recepção, viva-voz, a vida da bateria</v>
      </c>
      <c r="B57641" s="3">
        <v>1</v>
      </c>
    </row>
    <row r="57642" ht="15.75" customHeight="1" spans="1:2">
      <c r="A57642" s="3" t="str">
        <f>IFERROR(__xludf.DUMMYFUNCTION("GOOGLETRANSLATE(A57642,""en"",""pt"")"),"cor, jogos, boa qualidade de som e leve.")</f>
        <v>cor, jogos, boa qualidade de som e leve.</v>
      </c>
      <c r="B57642" s="3">
        <v>1</v>
      </c>
    </row>
    <row r="57643" ht="15.75" customHeight="1" spans="1:2">
      <c r="A57643" s="3" t="str">
        <f>IFERROR(__xludf.DUMMYFUNCTION("GOOGLETRANSLATE(A57643,""en"",""pt"")"),"construção sólida, tela colorida, perfil plano, toneladas de software disponíveis. sync fantástica Outlook. Viva voz!")</f>
        <v>construção sólida, tela colorida, perfil plano, toneladas de software disponíveis. sync fantástica Outlook. Viva voz!</v>
      </c>
      <c r="B57643" s="3">
        <v>1</v>
      </c>
    </row>
    <row r="57644" ht="15.75" customHeight="1" spans="1:2">
      <c r="A57644" s="3" t="str">
        <f>IFERROR(__xludf.DUMMYFUNCTION("GOOGLETRANSLATE(A57644,""en"",""pt"")"),"PDA, telefone, MP3 player, tudo em um, e cada um funciona bem")</f>
        <v>PDA, telefone, MP3 player, tudo em um, e cada um funciona bem</v>
      </c>
      <c r="B57644" s="3">
        <v>1</v>
      </c>
    </row>
    <row r="57645" ht="15.75" customHeight="1" spans="1:2">
      <c r="A57645" s="3" t="str">
        <f>IFERROR(__xludf.DUMMYFUNCTION("GOOGLETRANSLATE(A57645,""en"",""pt"")"),"Muitos recursos, a vida da bateria, não muito grande, lotes de add-ons, à moda, sincronização para PC")</f>
        <v>Muitos recursos, a vida da bateria, não muito grande, lotes de add-ons, à moda, sincronização para PC</v>
      </c>
      <c r="B57645" s="3">
        <v>1</v>
      </c>
    </row>
    <row r="57646" ht="15.75" customHeight="1" spans="1:2">
      <c r="A57646" s="3" t="str">
        <f>IFERROR(__xludf.DUMMYFUNCTION("GOOGLETRANSLATE(A57646,""en"",""pt"")"),"A tela é grande o suficiente para olhos para ver o envelhecimento. Apenas um gadget para transportar")</f>
        <v>A tela é grande o suficiente para olhos para ver o envelhecimento. Apenas um gadget para transportar</v>
      </c>
      <c r="B57646" s="3">
        <v>1</v>
      </c>
    </row>
    <row r="57647" ht="15.75" customHeight="1" spans="1:2">
      <c r="A57647" s="3" t="str">
        <f>IFERROR(__xludf.DUMMYFUNCTION("GOOGLETRANSLATE(A57647,""en"",""pt"")"),"Nada que não funcionou")</f>
        <v>Nada que não funcionou</v>
      </c>
      <c r="B57647" s="3">
        <v>1</v>
      </c>
    </row>
    <row r="57648" ht="15.75" customHeight="1" spans="1:2">
      <c r="A57648" s="3" t="str">
        <f>IFERROR(__xludf.DUMMYFUNCTION("GOOGLETRANSLATE(A57648,""en"",""pt"")"),"Mais e esteticamente agradável telefone por menor preço, com grande clareza chamada característica-embalada.")</f>
        <v>Mais e esteticamente agradável telefone por menor preço, com grande clareza chamada característica-embalada.</v>
      </c>
      <c r="B57648" s="3">
        <v>1</v>
      </c>
    </row>
    <row r="57649" ht="15.75" customHeight="1" spans="1:2">
      <c r="A57649" s="3" t="str">
        <f>IFERROR(__xludf.DUMMYFUNCTION("GOOGLETRANSLATE(A57649,""en"",""pt"")"),"muitos recursos integrados, bem, discagem por voz, agenda, e-mail etc")</f>
        <v>muitos recursos integrados, bem, discagem por voz, agenda, e-mail etc</v>
      </c>
      <c r="B57649" s="3">
        <v>1</v>
      </c>
    </row>
    <row r="57650" ht="15.75" customHeight="1" spans="1:2">
      <c r="A57650" s="3" t="str">
        <f>IFERROR(__xludf.DUMMYFUNCTION("GOOGLETRANSLATE(A57650,""en"",""pt"")"),"Aparência profissional; Trimode CDMA; Acesso à Web; Activada por voz Marcação; PIM")</f>
        <v>Aparência profissional; Trimode CDMA; Acesso à Web; Activada por voz Marcação; PIM</v>
      </c>
      <c r="B57650" s="3">
        <v>1</v>
      </c>
    </row>
    <row r="57651" ht="15.75" customHeight="1" spans="1:2">
      <c r="A57651" s="3" t="str">
        <f>IFERROR(__xludf.DUMMYFUNCTION("GOOGLETRANSLATE(A57651,""en"",""pt"")"),"tela impressionante, elegante, boa recepção, campainha alto, vibrar forte, web wireless")</f>
        <v>tela impressionante, elegante, boa recepção, campainha alto, vibrar forte, web wireless</v>
      </c>
      <c r="B57651" s="3">
        <v>1</v>
      </c>
    </row>
    <row r="57652" ht="15.75" customHeight="1" spans="1:2">
      <c r="A57652" s="3" t="str">
        <f>IFERROR(__xludf.DUMMYFUNCTION("GOOGLETRANSLATE(A57652,""en"",""pt"")"),"Rico em recursos para o preço")</f>
        <v>Rico em recursos para o preço</v>
      </c>
      <c r="B57652" s="3">
        <v>1</v>
      </c>
    </row>
    <row r="57653" ht="15.75" customHeight="1" spans="1:2">
      <c r="A57653" s="3" t="str">
        <f>IFERROR(__xludf.DUMMYFUNCTION("GOOGLETRANSLATE(A57653,""en"",""pt"")"),"parece; características; preço; tela")</f>
        <v>parece; características; preço; tela</v>
      </c>
      <c r="B57653" s="3">
        <v>1</v>
      </c>
    </row>
    <row r="57654" ht="15.75" customHeight="1" spans="1:2">
      <c r="A57654" s="3" t="str">
        <f>IFERROR(__xludf.DUMMYFUNCTION("GOOGLETRANSLATE(A57654,""en"",""pt"")"),"Grandes recursos, fácil de usar, ótima aparência.")</f>
        <v>Grandes recursos, fácil de usar, ótima aparência.</v>
      </c>
      <c r="B57654" s="3">
        <v>1</v>
      </c>
    </row>
    <row r="57655" ht="15.75" customHeight="1" spans="1:2">
      <c r="A57655" s="3" t="str">
        <f>IFERROR(__xludf.DUMMYFUNCTION("GOOGLETRANSLATE(A57655,""en"",""pt"")"),"Elegante e compacto, carregado com muitas características.")</f>
        <v>Elegante e compacto, carregado com muitas características.</v>
      </c>
      <c r="B57655" s="3">
        <v>1</v>
      </c>
    </row>
    <row r="57656" ht="15.75" customHeight="1" spans="1:2">
      <c r="A57656" s="3" t="str">
        <f>IFERROR(__xludf.DUMMYFUNCTION("GOOGLETRANSLATE(A57656,""en"",""pt"")"),"Qualidade de som. Vida útil da bateria. bom tamanho e sensação. Acesso à Web. 2 vias e-mail.")</f>
        <v>Qualidade de som. Vida útil da bateria. bom tamanho e sensação. Acesso à Web. 2 vias e-mail.</v>
      </c>
      <c r="B57656" s="3">
        <v>1</v>
      </c>
    </row>
    <row r="57657" ht="15.75" customHeight="1" spans="1:2">
      <c r="A57657" s="3" t="str">
        <f>IFERROR(__xludf.DUMMYFUNCTION("GOOGLETRANSLATE(A57657,""en"",""pt"")"),"sólida construída, boa agenda, elegante, agradável recepção, scheduler.")</f>
        <v>sólida construída, boa agenda, elegante, agradável recepção, scheduler.</v>
      </c>
      <c r="B57657" s="3">
        <v>1</v>
      </c>
    </row>
    <row r="57658" ht="15.75" customHeight="1" spans="1:2">
      <c r="A57658" s="3" t="str">
        <f>IFERROR(__xludf.DUMMYFUNCTION("GOOGLETRANSLATE(A57658,""en"",""pt"")"),"Tri-mode ampla cobertura, notas de voz e discagem, de baixo preço, uma elevada resolução e design, peso leve")</f>
        <v>Tri-mode ampla cobertura, notas de voz e discagem, de baixo preço, uma elevada resolução e design, peso leve</v>
      </c>
      <c r="B57658" s="3">
        <v>1</v>
      </c>
    </row>
    <row r="57659" ht="15.75" customHeight="1" spans="1:2">
      <c r="A57659" s="3" t="str">
        <f>IFERROR(__xludf.DUMMYFUNCTION("GOOGLETRANSLATE(A57659,""en"",""pt"")"),"Grande qualidade de construção, recurso de filtragem de chamada única, menu de fácil animado, exposição afiada e muito personalizável.")</f>
        <v>Grande qualidade de construção, recurso de filtragem de chamada única, menu de fácil animado, exposição afiada e muito personalizável.</v>
      </c>
      <c r="B57659" s="3">
        <v>1</v>
      </c>
    </row>
    <row r="57660" ht="15.75" customHeight="1" spans="1:2">
      <c r="A57660" s="3" t="str">
        <f>IFERROR(__xludf.DUMMYFUNCTION("GOOGLETRANSLATE(A57660,""en"",""pt"")"),"Excelente recepção, pequeno, bem feito. Boas opções de internet.")</f>
        <v>Excelente recepção, pequeno, bem feito. Boas opções de internet.</v>
      </c>
      <c r="B57660" s="3">
        <v>1</v>
      </c>
    </row>
    <row r="57661" ht="15.75" customHeight="1" spans="1:2">
      <c r="A57661" s="3" t="str">
        <f>IFERROR(__xludf.DUMMYFUNCTION("GOOGLETRANSLATE(A57661,""en"",""pt"")"),"aparência atraente")</f>
        <v>aparência atraente</v>
      </c>
      <c r="B57661" s="3">
        <v>1</v>
      </c>
    </row>
    <row r="57662" ht="15.75" customHeight="1" spans="1:2">
      <c r="A57662" s="3" t="str">
        <f>IFERROR(__xludf.DUMMYFUNCTION("GOOGLETRANSLATE(A57662,""en"",""pt"")"),"tamanho, duração da bateria, tela, recepção")</f>
        <v>tamanho, duração da bateria, tela, recepção</v>
      </c>
      <c r="B57662" s="3">
        <v>1</v>
      </c>
    </row>
    <row r="57663" ht="15.75" customHeight="1" spans="1:2">
      <c r="A57663" s="3" t="str">
        <f>IFERROR(__xludf.DUMMYFUNCTION("GOOGLETRANSLATE(A57663,""en"",""pt"")"),"Grande display, tamanho")</f>
        <v>Grande display, tamanho</v>
      </c>
      <c r="B57663" s="3">
        <v>1</v>
      </c>
    </row>
    <row r="57664" ht="15.75" customHeight="1" spans="1:2">
      <c r="A57664" s="3" t="str">
        <f>IFERROR(__xludf.DUMMYFUNCTION("GOOGLETRANSLATE(A57664,""en"",""pt"")"),"Boa recepção, agradável e pequeno, tem um flip, fácil de usar, vida útil da bateria decente")</f>
        <v>Boa recepção, agradável e pequeno, tem um flip, fácil de usar, vida útil da bateria decente</v>
      </c>
      <c r="B57664" s="3">
        <v>1</v>
      </c>
    </row>
    <row r="57665" ht="15.75" customHeight="1" spans="1:2">
      <c r="A57665" s="3" t="str">
        <f>IFERROR(__xludf.DUMMYFUNCTION("GOOGLETRANSLATE(A57665,""en"",""pt"")"),"Fácil de usar!")</f>
        <v>Fácil de usar!</v>
      </c>
      <c r="B57665" s="3">
        <v>1</v>
      </c>
    </row>
    <row r="57666" ht="15.75" customHeight="1" spans="1:2">
      <c r="A57666" s="3" t="str">
        <f>IFERROR(__xludf.DUMMYFUNCTION("GOOGLETRANSLATE(A57666,""en"",""pt"")"),"Multi-funcional, fácil de usar")</f>
        <v>Multi-funcional, fácil de usar</v>
      </c>
      <c r="B57666" s="3">
        <v>1</v>
      </c>
    </row>
    <row r="57667" ht="15.75" customHeight="1" spans="1:2">
      <c r="A57667" s="3" t="str">
        <f>IFERROR(__xludf.DUMMYFUNCTION("GOOGLETRANSLATE(A57667,""en"",""pt"")"),"As características mais importantes, design e desempenho. Excelente PDA. construção robusta. guia do usuário completo e detalhado.")</f>
        <v>As características mais importantes, design e desempenho. Excelente PDA. construção robusta. guia do usuário completo e detalhado.</v>
      </c>
      <c r="B57667" s="3">
        <v>1</v>
      </c>
    </row>
    <row r="57668" ht="15.75" customHeight="1" spans="1:2">
      <c r="A57668" s="3" t="str">
        <f>IFERROR(__xludf.DUMMYFUNCTION("GOOGLETRANSLATE(A57668,""en"",""pt"")"),"Leve, agradável backlight, hora, data exibe, rediscagem automática.")</f>
        <v>Leve, agradável backlight, hora, data exibe, rediscagem automática.</v>
      </c>
      <c r="B57668" s="3">
        <v>1</v>
      </c>
    </row>
    <row r="57669" ht="15.75" customHeight="1" spans="1:2">
      <c r="A57669" s="3" t="str">
        <f>IFERROR(__xludf.DUMMYFUNCTION("GOOGLETRANSLATE(A57669,""en"",""pt"")"),"A vida da bateria, luz de fundo azul, clareza.")</f>
        <v>A vida da bateria, luz de fundo azul, clareza.</v>
      </c>
      <c r="B57669" s="3">
        <v>1</v>
      </c>
    </row>
    <row r="57670" ht="15.75" customHeight="1" spans="1:2">
      <c r="A57670" s="3" t="str">
        <f>IFERROR(__xludf.DUMMYFUNCTION("GOOGLETRANSLATE(A57670,""en"",""pt"")"),"Grande durabilidade, sobreviveu a muitas quedas, boa bateria, discagem por voz")</f>
        <v>Grande durabilidade, sobreviveu a muitas quedas, boa bateria, discagem por voz</v>
      </c>
      <c r="B57670" s="3">
        <v>1</v>
      </c>
    </row>
    <row r="57671" ht="15.75" customHeight="1" spans="1:2">
      <c r="A57671" s="3" t="str">
        <f>IFERROR(__xludf.DUMMYFUNCTION("GOOGLETRANSLATE(A57671,""en"",""pt"")"),"leve, boa bateria, boa claridade, elegante e fácil de usar, acessível")</f>
        <v>leve, boa bateria, boa claridade, elegante e fácil de usar, acessível</v>
      </c>
      <c r="B57671" s="3">
        <v>1</v>
      </c>
    </row>
    <row r="57672" ht="15.75" customHeight="1" spans="1:2">
      <c r="A57672" s="3" t="str">
        <f>IFERROR(__xludf.DUMMYFUNCTION("GOOGLETRANSLATE(A57672,""en"",""pt"")"),"Grande autonomia da bateria, baixo preço, lojas de 500 números de contato, customizável, toneladas de casos de hospedagem disponíveis")</f>
        <v>Grande autonomia da bateria, baixo preço, lojas de 500 números de contato, customizável, toneladas de casos de hospedagem disponíveis</v>
      </c>
      <c r="B57672" s="3">
        <v>1</v>
      </c>
    </row>
    <row r="57673" ht="15.75" customHeight="1" spans="1:2">
      <c r="A57673" s="3" t="str">
        <f>IFERROR(__xludf.DUMMYFUNCTION("GOOGLETRANSLATE(A57673,""en"",""pt"")"),"barato, boa bateria, boa iluminação, boa recepção")</f>
        <v>barato, boa bateria, boa iluminação, boa recepção</v>
      </c>
      <c r="B57673" s="3">
        <v>1</v>
      </c>
    </row>
    <row r="57674" ht="15.75" customHeight="1" spans="1:2">
      <c r="A57674" s="3" t="str">
        <f>IFERROR(__xludf.DUMMYFUNCTION("GOOGLETRANSLATE(A57674,""en"",""pt"")"),"arrefecer luz azul")</f>
        <v>arrefecer luz azul</v>
      </c>
      <c r="B57674" s="3">
        <v>1</v>
      </c>
    </row>
    <row r="57675" ht="15.75" customHeight="1" spans="1:2">
      <c r="A57675" s="3" t="str">
        <f>IFERROR(__xludf.DUMMYFUNCTION("GOOGLETRANSLATE(A57675,""en"",""pt"")"),"O peso leve, durável, telefone básico")</f>
        <v>O peso leve, durável, telefone básico</v>
      </c>
      <c r="B57675" s="3">
        <v>1</v>
      </c>
    </row>
    <row r="57676" ht="15.75" customHeight="1" spans="1:2">
      <c r="A57676" s="3" t="str">
        <f>IFERROR(__xludf.DUMMYFUNCTION("GOOGLETRANSLATE(A57676,""en"",""pt"")"),"Tela, Apps, facilidade de uso")</f>
        <v>Tela, Apps, facilidade de uso</v>
      </c>
      <c r="B57676" s="3">
        <v>1</v>
      </c>
    </row>
    <row r="57677" ht="15.75" customHeight="1" spans="1:2">
      <c r="A57677" s="3" t="str">
        <f>IFERROR(__xludf.DUMMYFUNCTION("GOOGLETRANSLATE(A57677,""en"",""pt"")"),"Intuitivos, ergonomia fantásticas, suporte e-mail forte, boa voz, bom navegador, fácil de ler display.")</f>
        <v>Intuitivos, ergonomia fantásticas, suporte e-mail forte, boa voz, bom navegador, fácil de ler display.</v>
      </c>
      <c r="B57677" s="3">
        <v>1</v>
      </c>
    </row>
    <row r="57678" ht="15.75" customHeight="1" spans="1:2">
      <c r="A57678" s="3" t="s">
        <v>308</v>
      </c>
      <c r="B57678" s="3">
        <v>1</v>
      </c>
    </row>
    <row r="57679" ht="15.75" customHeight="1" spans="1:2">
      <c r="A57679" s="3" t="str">
        <f>IFERROR(__xludf.DUMMYFUNCTION("GOOGLETRANSLATE(A57679,""en"",""pt"")"),"muito amigável, preço certo para o serviço. Bom para jovens")</f>
        <v>muito amigável, preço certo para o serviço. Bom para jovens</v>
      </c>
      <c r="B57679" s="3">
        <v>1</v>
      </c>
    </row>
    <row r="57680" ht="15.75" customHeight="1" spans="1:2">
      <c r="A57680" s="3" t="str">
        <f>IFERROR(__xludf.DUMMYFUNCTION("GOOGLETRANSLATE(A57680,""en"",""pt"")"),"Grande navegação na web! Velocidade de internet decente dependendo de onde u are.Overall SURPREENDENTE PDA!")</f>
        <v>Grande navegação na web! Velocidade de internet decente dependendo de onde u are.Overall SURPREENDENTE PDA!</v>
      </c>
      <c r="B57680" s="3">
        <v>1</v>
      </c>
    </row>
    <row r="57681" ht="15.75" customHeight="1" spans="1:2">
      <c r="A57681" s="3" t="str">
        <f>IFERROR(__xludf.DUMMYFUNCTION("GOOGLETRANSLATE(A57681,""en"",""pt"")"),"Web Browsing, fácil de mensagens de texto e e-mail.")</f>
        <v>Web Browsing, fácil de mensagens de texto e e-mail.</v>
      </c>
      <c r="B57681" s="3">
        <v>1</v>
      </c>
    </row>
    <row r="57682" ht="15.75" customHeight="1" spans="1:2">
      <c r="A57682" s="3" t="str">
        <f>IFERROR(__xludf.DUMMYFUNCTION("GOOGLETRANSLATE(A57682,""en"",""pt"")"),"Tudo em um, como tomar o seu PC com você onde quer que vá.")</f>
        <v>Tudo em um, como tomar o seu PC com você onde quer que vá.</v>
      </c>
      <c r="B57682" s="3">
        <v>1</v>
      </c>
    </row>
    <row r="57683" ht="15.75" customHeight="1" spans="1:2">
      <c r="A57683" s="3" t="str">
        <f>IFERROR(__xludf.DUMMYFUNCTION("GOOGLETRANSLATE(A57683,""en"",""pt"")"),"grande dispositivo")</f>
        <v>grande dispositivo</v>
      </c>
      <c r="B57683" s="3">
        <v>1</v>
      </c>
    </row>
    <row r="57684" ht="15.75" customHeight="1" spans="1:2">
      <c r="A57684" s="3" t="str">
        <f>IFERROR(__xludf.DUMMYFUNCTION("GOOGLETRANSLATE(A57684,""en"",""pt"")"),"as obras de comunicação")</f>
        <v>as obras de comunicação</v>
      </c>
      <c r="B57684" s="3">
        <v>1</v>
      </c>
    </row>
    <row r="57685" ht="15.75" customHeight="1" spans="1:2">
      <c r="A57685" s="3" t="str">
        <f>IFERROR(__xludf.DUMMYFUNCTION("GOOGLETRANSLATE(A57685,""en"",""pt"")"),"Embalado com características, o acesso à web é conveniente")</f>
        <v>Embalado com características, o acesso à web é conveniente</v>
      </c>
      <c r="B57685" s="3">
        <v>1</v>
      </c>
    </row>
    <row r="57686" ht="15.75" customHeight="1" spans="1:2">
      <c r="A57686" s="3" t="str">
        <f>IFERROR(__xludf.DUMMYFUNCTION("GOOGLETRANSLATE(A57686,""en"",""pt"")"),"Leve, lotes de características, estilo concha com cor.")</f>
        <v>Leve, lotes de características, estilo concha com cor.</v>
      </c>
      <c r="B57686" s="3">
        <v>1</v>
      </c>
    </row>
    <row r="57687" ht="15.75" customHeight="1" spans="1:2">
      <c r="A57687" s="3" t="str">
        <f>IFERROR(__xludf.DUMMYFUNCTION("GOOGLETRANSLATE(A57687,""en"",""pt"")"),"Elegante, elegante. A tela tem visibilidade incrível. estatura pequena.")</f>
        <v>Elegante, elegante. A tela tem visibilidade incrível. estatura pequena.</v>
      </c>
      <c r="B57687" s="3">
        <v>1</v>
      </c>
    </row>
    <row r="57688" ht="15.75" customHeight="1" spans="1:2">
      <c r="A57688" s="3" t="str">
        <f>IFERROR(__xludf.DUMMYFUNCTION("GOOGLETRANSLATE(A57688,""en"",""pt"")"),"design pequeno e elegante; bateria de longa duração; excelente recepção; cargas de guloseimas")</f>
        <v>design pequeno e elegante; bateria de longa duração; excelente recepção; cargas de guloseimas</v>
      </c>
      <c r="B57688" s="3">
        <v>1</v>
      </c>
    </row>
    <row r="57689" ht="15.75" customHeight="1" spans="1:2">
      <c r="A57689" s="3" t="str">
        <f>IFERROR(__xludf.DUMMYFUNCTION("GOOGLETRANSLATE(A57689,""en"",""pt"")"),"Arrefecer telefone com kit de conectividade portátil")</f>
        <v>Arrefecer telefone com kit de conectividade portátil</v>
      </c>
      <c r="B57689" s="3">
        <v>1</v>
      </c>
    </row>
    <row r="57690" ht="15.75" customHeight="1" spans="1:2">
      <c r="A57690" s="3" t="str">
        <f>IFERROR(__xludf.DUMMYFUNCTION("GOOGLETRANSLATE(A57690,""en"",""pt"")"),"exibição de cor agradável. Muito leve. Recursos, recursos e mais recursos.")</f>
        <v>exibição de cor agradável. Muito leve. Recursos, recursos e mais recursos.</v>
      </c>
      <c r="B57690" s="3">
        <v>1</v>
      </c>
    </row>
    <row r="57691" ht="15.75" customHeight="1" spans="1:2">
      <c r="A57691" s="3" t="str">
        <f>IFERROR(__xludf.DUMMYFUNCTION("GOOGLETRANSLATE(A57691,""en"",""pt"")"),"Pequeno, qualidade de voz muito clara, confortável de usar, agradável exibição, muito elegante.")</f>
        <v>Pequeno, qualidade de voz muito clara, confortável de usar, agradável exibição, muito elegante.</v>
      </c>
      <c r="B57691" s="3">
        <v>1</v>
      </c>
    </row>
    <row r="57692" ht="15.75" customHeight="1" spans="1:2">
      <c r="A57692" s="3" t="str">
        <f>IFERROR(__xludf.DUMMYFUNCTION("GOOGLETRANSLATE(A57692,""en"",""pt"")"),"Leve, compacto, recursos estendidos")</f>
        <v>Leve, compacto, recursos estendidos</v>
      </c>
      <c r="B57692" s="3">
        <v>1</v>
      </c>
    </row>
    <row r="57693" ht="15.75" customHeight="1" spans="1:2">
      <c r="A57693" s="3" t="str">
        <f>IFERROR(__xludf.DUMMYFUNCTION("GOOGLETRANSLATE(A57693,""en"",""pt"")"),"longa lista de recursos, design elegante, tamanho compacto, a clareza da recepção, tela colorida fantástica")</f>
        <v>longa lista de recursos, design elegante, tamanho compacto, a clareza da recepção, tela colorida fantástica</v>
      </c>
      <c r="B57693" s="3">
        <v>1</v>
      </c>
    </row>
    <row r="57694" ht="15.75" customHeight="1" spans="1:2">
      <c r="A57694" s="3" t="str">
        <f>IFERROR(__xludf.DUMMYFUNCTION("GOOGLETRANSLATE(A57694,""en"",""pt"")"),"Pequeno, design leve e um monitor colorido.")</f>
        <v>Pequeno, design leve e um monitor colorido.</v>
      </c>
      <c r="B57694" s="3">
        <v>1</v>
      </c>
    </row>
    <row r="57695" ht="15.75" customHeight="1" spans="1:2">
      <c r="A57695" s="3" t="str">
        <f>IFERROR(__xludf.DUMMYFUNCTION("GOOGLETRANSLATE(A57695,""en"",""pt"")"),"tela cor")</f>
        <v>tela cor</v>
      </c>
      <c r="B57695" s="3">
        <v>1</v>
      </c>
    </row>
    <row r="57696" ht="15.75" customHeight="1" spans="1:2">
      <c r="A57696" s="3" t="str">
        <f>IFERROR(__xludf.DUMMYFUNCTION("GOOGLETRANSLATE(A57696,""en"",""pt"")"),"Muito elegante, tela grande, grande recepção")</f>
        <v>Muito elegante, tela grande, grande recepção</v>
      </c>
      <c r="B57696" s="3">
        <v>1</v>
      </c>
    </row>
    <row r="57697" ht="15.75" customHeight="1" spans="1:2">
      <c r="A57697" s="3" t="str">
        <f>IFERROR(__xludf.DUMMYFUNCTION("GOOGLETRANSLATE(A57697,""en"",""pt"")"),"design compacto Nice. Grande qualidade de som.")</f>
        <v>design compacto Nice. Grande qualidade de som.</v>
      </c>
      <c r="B57697" s="3">
        <v>1</v>
      </c>
    </row>
    <row r="57698" ht="15.75" customHeight="1" spans="1:2">
      <c r="A57698" s="3" t="str">
        <f>IFERROR(__xludf.DUMMYFUNCTION("GOOGLETRANSLATE(A57698,""en"",""pt"")"),"fácil instalação, funciona primeira vez")</f>
        <v>fácil instalação, funciona primeira vez</v>
      </c>
      <c r="B57698" s="3">
        <v>1</v>
      </c>
    </row>
    <row r="57699" ht="15.75" customHeight="1" spans="1:2">
      <c r="A57699" s="3" t="str">
        <f>IFERROR(__xludf.DUMMYFUNCTION("GOOGLETRANSLATE(A57699,""en"",""pt"")"),"Boa recepção, multi-cor, integra 100% com o meu carro")</f>
        <v>Boa recepção, multi-cor, integra 100% com o meu carro</v>
      </c>
      <c r="B57699" s="3">
        <v>1</v>
      </c>
    </row>
    <row r="57700" ht="15.75" customHeight="1" spans="1:2">
      <c r="A57700" s="3" t="str">
        <f>IFERROR(__xludf.DUMMYFUNCTION("GOOGLETRANSLATE(A57700,""en"",""pt"")"),"Grande qualidade de som, fácil agenda, amo a exibição!")</f>
        <v>Grande qualidade de som, fácil agenda, amo a exibição!</v>
      </c>
      <c r="B57700" s="3">
        <v>1</v>
      </c>
    </row>
    <row r="57701" ht="15.75" customHeight="1" spans="1:2">
      <c r="A57701" s="3" t="str">
        <f>IFERROR(__xludf.DUMMYFUNCTION("GOOGLETRANSLATE(A57701,""en"",""pt"")"),"Leve, recepção forte, clareza, compacto, fácil de ver de exibição")</f>
        <v>Leve, recepção forte, clareza, compacto, fácil de ver de exibição</v>
      </c>
      <c r="B57701" s="3">
        <v>1</v>
      </c>
    </row>
    <row r="57702" ht="15.75" customHeight="1" spans="1:2">
      <c r="A57702" s="3" t="str">
        <f>IFERROR(__xludf.DUMMYFUNCTION("GOOGLETRANSLATE(A57702,""en"",""pt"")"),"Peso, Estilo, Display")</f>
        <v>Peso, Estilo, Display</v>
      </c>
      <c r="B57702" s="3">
        <v>1</v>
      </c>
    </row>
    <row r="57703" ht="15.75" customHeight="1" spans="1:2">
      <c r="A57703" s="3" t="str">
        <f>IFERROR(__xludf.DUMMYFUNCTION("GOOGLETRANSLATE(A57703,""en"",""pt"")"),"Excelente exibição de 3 cores, fácil de usar, pequeno e leve.")</f>
        <v>Excelente exibição de 3 cores, fácil de usar, pequeno e leve.</v>
      </c>
      <c r="B57703" s="3">
        <v>1</v>
      </c>
    </row>
    <row r="57704" ht="15.75" customHeight="1" spans="1:2">
      <c r="A57704" s="3" t="str">
        <f>IFERROR(__xludf.DUMMYFUNCTION("GOOGLETRANSLATE(A57704,""en"",""pt"")"),"Excelente som, excelente Display, GREAT bateria Vida, e é Tri-Mode.")</f>
        <v>Excelente som, excelente Display, GREAT bateria Vida, e é Tri-Mode.</v>
      </c>
      <c r="B57704" s="3">
        <v>1</v>
      </c>
    </row>
    <row r="57705" ht="15.75" customHeight="1" spans="1:2">
      <c r="A57705" s="3" t="str">
        <f>IFERROR(__xludf.DUMMYFUNCTION("GOOGLETRANSLATE(A57705,""en"",""pt"")"),"peso leve, agradável clipe de cinto, exibição clara, bateria excelente.")</f>
        <v>peso leve, agradável clipe de cinto, exibição clara, bateria excelente.</v>
      </c>
      <c r="B57705" s="3">
        <v>1</v>
      </c>
    </row>
    <row r="57706" ht="15.75" customHeight="1" spans="1:2">
      <c r="A57706" s="3" t="str">
        <f>IFERROR(__xludf.DUMMYFUNCTION("GOOGLETRANSLATE(A57706,""en"",""pt"")"),"Display, robustez")</f>
        <v>Display, robustez</v>
      </c>
      <c r="B57706" s="3">
        <v>1</v>
      </c>
    </row>
    <row r="57707" ht="15.75" customHeight="1" spans="1:2">
      <c r="A57707" s="3" t="str">
        <f>IFERROR(__xludf.DUMMYFUNCTION("GOOGLETRANSLATE(A57707,""en"",""pt"")"),"Tela, Aparência, a vida da bateria, qualidade, ergonomia, Recption, Layout, facilidade de uso")</f>
        <v>Tela, Aparência, a vida da bateria, qualidade, ergonomia, Recption, Layout, facilidade de uso</v>
      </c>
      <c r="B57707" s="3">
        <v>1</v>
      </c>
    </row>
    <row r="57708" ht="15.75" customHeight="1" spans="1:2">
      <c r="A57708" s="3" t="str">
        <f>IFERROR(__xludf.DUMMYFUNCTION("GOOGLETRANSLATE(A57708,""en"",""pt"")"),"Tela, preço, tamanho, cor telefone, a qualidade")</f>
        <v>Tela, preço, tamanho, cor telefone, a qualidade</v>
      </c>
      <c r="B57708" s="3">
        <v>1</v>
      </c>
    </row>
    <row r="57709" ht="15.75" customHeight="1" spans="1:2">
      <c r="A57709" s="3" t="str">
        <f>IFERROR(__xludf.DUMMYFUNCTION("GOOGLETRANSLATE(A57709,""en"",""pt"")"),"Olha grande, oferece um excelente serviço, Fino, display incrível!")</f>
        <v>Olha grande, oferece um excelente serviço, Fino, display incrível!</v>
      </c>
      <c r="B57709" s="3">
        <v>1</v>
      </c>
    </row>
    <row r="57710" ht="15.75" customHeight="1" spans="1:2">
      <c r="A57710" s="3" t="str">
        <f>IFERROR(__xludf.DUMMYFUNCTION("GOOGLETRANSLATE(A57710,""en"",""pt"")"),"Confortável e pequeno, bom posicionamento de fone de ouvido e microfone.")</f>
        <v>Confortável e pequeno, bom posicionamento de fone de ouvido e microfone.</v>
      </c>
      <c r="B57710" s="3">
        <v>1</v>
      </c>
    </row>
    <row r="57711" ht="15.75" customHeight="1" spans="1:2">
      <c r="A57711" s="3" t="str">
        <f>IFERROR(__xludf.DUMMYFUNCTION("GOOGLETRANSLATE(A57711,""en"",""pt"")"),"pequeno tamanho, tela colorida, muito boa bateria e recepção.")</f>
        <v>pequeno tamanho, tela colorida, muito boa bateria e recepção.</v>
      </c>
      <c r="B57711" s="3">
        <v>1</v>
      </c>
    </row>
    <row r="57712" ht="15.75" customHeight="1" spans="1:2">
      <c r="A57712" s="3" t="str">
        <f>IFERROR(__xludf.DUMMYFUNCTION("GOOGLETRANSLATE(A57712,""en"",""pt"")"),"Tamanho, recurso de inversão")</f>
        <v>Tamanho, recurso de inversão</v>
      </c>
      <c r="B57712" s="3">
        <v>1</v>
      </c>
    </row>
    <row r="57713" ht="15.75" customHeight="1" spans="1:2">
      <c r="A57713" s="3" t="str">
        <f>IFERROR(__xludf.DUMMYFUNCTION("GOOGLETRANSLATE(A57713,""en"",""pt"")"),"grande exibição, grandes recursos, durável (até agora), com boa bateria")</f>
        <v>grande exibição, grandes recursos, durável (até agora), com boa bateria</v>
      </c>
      <c r="B57713" s="3">
        <v>1</v>
      </c>
    </row>
    <row r="57714" ht="15.75" customHeight="1" spans="1:2">
      <c r="A57714" s="3" t="str">
        <f>IFERROR(__xludf.DUMMYFUNCTION("GOOGLETRANSLATE(A57714,""en"",""pt"")"),"Olhando agradável, bons recursos")</f>
        <v>Olhando agradável, bons recursos</v>
      </c>
      <c r="B57714" s="3">
        <v>1</v>
      </c>
    </row>
    <row r="57715" ht="15.75" customHeight="1" spans="1:2">
      <c r="A57715" s="3" t="str">
        <f>IFERROR(__xludf.DUMMYFUNCTION("GOOGLETRANSLATE(A57715,""en"",""pt"")"),"Um cristal clara visualização, prova de idiota &amp; # 13;. &amp; # 10;")</f>
        <v>Um cristal clara visualização, prova de idiota &amp; # 13;. &amp; # 10;</v>
      </c>
      <c r="B57715" s="3">
        <v>1</v>
      </c>
    </row>
    <row r="57716" ht="15.75" customHeight="1" spans="1:2">
      <c r="A57716" s="3" t="str">
        <f>IFERROR(__xludf.DUMMYFUNCTION("GOOGLETRANSLATE(A57716,""en"",""pt"")"),"Excelente visual monitor, teclado e receptor. Boa escolha para idosos ou deficientes.")</f>
        <v>Excelente visual monitor, teclado e receptor. Boa escolha para idosos ou deficientes.</v>
      </c>
      <c r="B57716" s="3">
        <v>1</v>
      </c>
    </row>
    <row r="57717" ht="15.75" customHeight="1" spans="1:2">
      <c r="A57717" s="3" t="str">
        <f>IFERROR(__xludf.DUMMYFUNCTION("GOOGLETRANSLATE(A57717,""en"",""pt"")"),"O ""Oooh"" Factor. Tamanho pequeno. Fivela do cinto.")</f>
        <v>O "Oooh" Factor. Tamanho pequeno. Fivela do cinto.</v>
      </c>
      <c r="B57717" s="3">
        <v>1</v>
      </c>
    </row>
    <row r="57718" ht="15.75" customHeight="1" spans="1:2">
      <c r="A57718" s="3" t="str">
        <f>IFERROR(__xludf.DUMMYFUNCTION("GOOGLETRANSLATE(A57718,""en"",""pt"")"),"exibição tir-color Trippy, pequeno e leve, excelente qualidade de som")</f>
        <v>exibição tir-color Trippy, pequeno e leve, excelente qualidade de som</v>
      </c>
      <c r="B57718" s="3">
        <v>1</v>
      </c>
    </row>
    <row r="57719" ht="15.75" customHeight="1" spans="1:2">
      <c r="A57719" s="3" t="str">
        <f>IFERROR(__xludf.DUMMYFUNCTION("GOOGLETRANSLATE(A57719,""en"",""pt"")"),"Leve, display legível, vibrando")</f>
        <v>Leve, display legível, vibrando</v>
      </c>
      <c r="B57719" s="3">
        <v>1</v>
      </c>
    </row>
    <row r="57720" ht="15.75" customHeight="1" spans="1:2">
      <c r="A57720" s="3" t="str">
        <f>IFERROR(__xludf.DUMMYFUNCTION("GOOGLETRANSLATE(A57720,""en"",""pt"")"),", Exposição atraente leve, grande força do sinal.")</f>
        <v>, Exposição atraente leve, grande força do sinal.</v>
      </c>
      <c r="B57720" s="3">
        <v>1</v>
      </c>
    </row>
    <row r="57721" ht="15.75" customHeight="1" spans="1:2">
      <c r="A57721" s="3" t="str">
        <f>IFERROR(__xludf.DUMMYFUNCTION("GOOGLETRANSLATE(A57721,""en"",""pt"")"),"Pequeno, design agradável, bateria de longa duração, características")</f>
        <v>Pequeno, design agradável, bateria de longa duração, características</v>
      </c>
      <c r="B57721" s="3">
        <v>1</v>
      </c>
    </row>
    <row r="57722" ht="15.75" customHeight="1" spans="1:2">
      <c r="A57722" s="3" t="str">
        <f>IFERROR(__xludf.DUMMYFUNCTION("GOOGLETRANSLATE(A57722,""en"",""pt"")"),"tela de cores vibrantes, o modo tri, e% de melhoria 150!")</f>
        <v>tela de cores vibrantes, o modo tri, e% de melhoria 150!</v>
      </c>
      <c r="B57722" s="3">
        <v>1</v>
      </c>
    </row>
    <row r="57723" ht="15.75" customHeight="1" spans="1:2">
      <c r="A57723" s="3" t="str">
        <f>IFERROR(__xludf.DUMMYFUNCTION("GOOGLETRANSLATE(A57723,""en"",""pt"")"),"clareza, carga bastante rápido e exibição")</f>
        <v>clareza, carga bastante rápido e exibição</v>
      </c>
      <c r="B57723" s="3">
        <v>1</v>
      </c>
    </row>
    <row r="57724" ht="15.75" customHeight="1" spans="1:2">
      <c r="A57724" s="3" t="str">
        <f>IFERROR(__xludf.DUMMYFUNCTION("GOOGLETRANSLATE(A57724,""en"",""pt"")"),"Cor orgânica Display, estilo, facilidade de uso")</f>
        <v>Cor orgânica Display, estilo, facilidade de uso</v>
      </c>
      <c r="B57724" s="3">
        <v>1</v>
      </c>
    </row>
    <row r="57725" ht="15.75" customHeight="1" spans="1:2">
      <c r="A57725" s="3" t="str">
        <f>IFERROR(__xludf.DUMMYFUNCTION("GOOGLETRANSLATE(A57725,""en"",""pt"")"),"O visor a cores!")</f>
        <v>O visor a cores!</v>
      </c>
      <c r="B57725" s="3">
        <v>1</v>
      </c>
    </row>
    <row r="57726" ht="15.75" customHeight="1" spans="1:2">
      <c r="A57726" s="3" t="str">
        <f>IFERROR(__xludf.DUMMYFUNCTION("GOOGLETRANSLATE(A57726,""en"",""pt"")"),"É de peso elegante e luz")</f>
        <v>É de peso elegante e luz</v>
      </c>
      <c r="B57726" s="3">
        <v>1</v>
      </c>
    </row>
    <row r="57727" ht="15.75" customHeight="1" spans="1:2">
      <c r="A57727" s="3" t="str">
        <f>IFERROR(__xludf.DUMMYFUNCTION("GOOGLETRANSLATE(A57727,""en"",""pt"")"),"telefone olhando agradável com uma tela de fácil leitura.")</f>
        <v>telefone olhando agradável com uma tela de fácil leitura.</v>
      </c>
      <c r="B57727" s="3">
        <v>1</v>
      </c>
    </row>
    <row r="57728" ht="15.75" customHeight="1" spans="1:2">
      <c r="A57728" s="3" t="str">
        <f>IFERROR(__xludf.DUMMYFUNCTION("GOOGLETRANSLATE(A57728,""en"",""pt"")"),"boa aparência, peso leve")</f>
        <v>boa aparência, peso leve</v>
      </c>
      <c r="B57728" s="3">
        <v>1</v>
      </c>
    </row>
    <row r="57729" ht="15.75" customHeight="1" spans="1:2">
      <c r="A57729" s="3" t="str">
        <f>IFERROR(__xludf.DUMMYFUNCTION("GOOGLETRANSLATE(A57729,""en"",""pt"")"),"Nice Procura")</f>
        <v>Nice Procura</v>
      </c>
      <c r="B57729" s="3">
        <v>1</v>
      </c>
    </row>
    <row r="57730" ht="15.75" customHeight="1" spans="1:2">
      <c r="A57730" s="3" t="str">
        <f>IFERROR(__xludf.DUMMYFUNCTION("GOOGLETRANSLATE(A57730,""en"",""pt"")"),"Projeto Motorola sólida. Grandes características. Excelente recepção com um fornecedor confiável.")</f>
        <v>Projeto Motorola sólida. Grandes características. Excelente recepção com um fornecedor confiável.</v>
      </c>
      <c r="B57730" s="3">
        <v>1</v>
      </c>
    </row>
    <row r="57731" ht="15.75" customHeight="1" spans="1:2">
      <c r="A57731" s="3" t="str">
        <f>IFERROR(__xludf.DUMMYFUNCTION("GOOGLETRANSLATE(A57731,""en"",""pt"")"),"Leve, recursos avançados")</f>
        <v>Leve, recursos avançados</v>
      </c>
      <c r="B57731" s="3">
        <v>1</v>
      </c>
    </row>
    <row r="57732" ht="15.75" customHeight="1" spans="1:2">
      <c r="A57732" s="3" t="str">
        <f>IFERROR(__xludf.DUMMYFUNCTION("GOOGLETRANSLATE(A57732,""en"",""pt"")"),"Recepção. Vida útil da bateria. Fácil de ler display. Sincronização com o software PC. Durabilidade.")</f>
        <v>Recepção. Vida útil da bateria. Fácil de ler display. Sincronização com o software PC. Durabilidade.</v>
      </c>
      <c r="B57732" s="3">
        <v>1</v>
      </c>
    </row>
    <row r="57733" ht="15.75" customHeight="1" spans="1:2">
      <c r="A57733" s="3" t="str">
        <f>IFERROR(__xludf.DUMMYFUNCTION("GOOGLETRANSLATE(A57733,""en"",""pt"")"),"Funcionalidade, design, qualidade, uso comercial")</f>
        <v>Funcionalidade, design, qualidade, uso comercial</v>
      </c>
      <c r="B57733" s="3">
        <v>1</v>
      </c>
    </row>
    <row r="57734" ht="15.75" customHeight="1" spans="1:2">
      <c r="A57734" s="3" t="str">
        <f>IFERROR(__xludf.DUMMYFUNCTION("GOOGLETRANSLATE(A57734,""en"",""pt"")"),"desempenho RF excelente e qualidade de som. Motorola Qualidade. OEL puro. exibição. Pimp'n stylee elegante!")</f>
        <v>desempenho RF excelente e qualidade de som. Motorola Qualidade. OEL puro. exibição. Pimp'n stylee elegante!</v>
      </c>
      <c r="B57734" s="3">
        <v>1</v>
      </c>
    </row>
    <row r="57735" ht="15.75" customHeight="1" spans="1:2">
      <c r="A57735" s="3" t="str">
        <f>IFERROR(__xludf.DUMMYFUNCTION("GOOGLETRANSLATE(A57735,""en"",""pt"")"),"pequeno tamanho, facilidade de utilização, recepção clara, tela colorida,")</f>
        <v>pequeno tamanho, facilidade de utilização, recepção clara, tela colorida,</v>
      </c>
      <c r="B57735" s="3">
        <v>1</v>
      </c>
    </row>
    <row r="57736" ht="15.75" customHeight="1" spans="1:2">
      <c r="A57736" s="3" t="str">
        <f>IFERROR(__xludf.DUMMYFUNCTION("GOOGLETRANSLATE(A57736,""en"",""pt"")"),"Fácil de usar.")</f>
        <v>Fácil de usar.</v>
      </c>
      <c r="B57736" s="3">
        <v>1</v>
      </c>
    </row>
    <row r="57737" ht="15.75" customHeight="1" spans="1:2">
      <c r="A57737" s="3" t="str">
        <f>IFERROR(__xludf.DUMMYFUNCTION("GOOGLETRANSLATE(A57737,""en"",""pt"")"),"Tamanho, design, Pop-Port, interface fácil, rádio FM")</f>
        <v>Tamanho, design, Pop-Port, interface fácil, rádio FM</v>
      </c>
      <c r="B57737" s="3">
        <v>1</v>
      </c>
    </row>
    <row r="57738" ht="15.75" customHeight="1" spans="1:2">
      <c r="A57738" s="3" t="str">
        <f>IFERROR(__xludf.DUMMYFUNCTION("GOOGLETRANSLATE(A57738,""en"",""pt"")"),"ESTILO! Cores, tons polifônicos, viva-voz, rádio, headset")</f>
        <v>ESTILO! Cores, tons polifônicos, viva-voz, rádio, headset</v>
      </c>
      <c r="B57738" s="3">
        <v>1</v>
      </c>
    </row>
    <row r="57739" ht="15.75" customHeight="1" spans="1:2">
      <c r="A57739" s="3" t="str">
        <f>IFERROR(__xludf.DUMMYFUNCTION("GOOGLETRANSLATE(A57739,""en"",""pt"")"),"É um telefone cor, vem com jogos divertidos, e é fácil de usar")</f>
        <v>É um telefone cor, vem com jogos divertidos, e é fácil de usar</v>
      </c>
      <c r="B57739" s="3">
        <v>1</v>
      </c>
    </row>
    <row r="57740" ht="15.75" customHeight="1" spans="1:2">
      <c r="A57740" s="3" t="str">
        <f>IFERROR(__xludf.DUMMYFUNCTION("GOOGLETRANSLATE(A57740,""en"",""pt"")"),"radio qualidade, design radical, tela colorida, espera confortável.")</f>
        <v>radio qualidade, design radical, tela colorida, espera confortável.</v>
      </c>
      <c r="B57740" s="3">
        <v>1</v>
      </c>
    </row>
    <row r="57741" ht="15.75" customHeight="1" spans="1:2">
      <c r="A57741" s="3" t="str">
        <f>IFERROR(__xludf.DUMMYFUNCTION("GOOGLETRANSLATE(A57741,""en"",""pt"")"),"Luz, full-color tela, rico em recursos, Grande projeto")</f>
        <v>Luz, full-color tela, rico em recursos, Grande projeto</v>
      </c>
      <c r="B57741" s="3">
        <v>1</v>
      </c>
    </row>
    <row r="57742" ht="15.75" customHeight="1" spans="1:2">
      <c r="A57742" s="3" t="str">
        <f>IFERROR(__xludf.DUMMYFUNCTION("GOOGLETRANSLATE(A57742,""en"",""pt"")"),"Puro, design novo fresco. Leve e portátil. Tela cor.")</f>
        <v>Puro, design novo fresco. Leve e portátil. Tela cor.</v>
      </c>
      <c r="B57742" s="3">
        <v>1</v>
      </c>
    </row>
    <row r="57743" ht="15.75" customHeight="1" spans="1:2">
      <c r="A57743" s="3" t="str">
        <f>IFERROR(__xludf.DUMMYFUNCTION("GOOGLETRANSLATE(A57743,""en"",""pt"")"),"Usabilidade, design, tela colorida, uma boa recepção, Conectividade, divertimento caracteriza.")</f>
        <v>Usabilidade, design, tela colorida, uma boa recepção, Conectividade, divertimento caracteriza.</v>
      </c>
      <c r="B57743" s="3">
        <v>1</v>
      </c>
    </row>
    <row r="57744" ht="15.75" customHeight="1" spans="1:2">
      <c r="A57744" s="3" t="str">
        <f>IFERROR(__xludf.DUMMYFUNCTION("GOOGLETRANSLATE(A57744,""en"",""pt"")"),"ecrã a cores, operação tri-band, faceplates mutável, viva-voz")</f>
        <v>ecrã a cores, operação tri-band, faceplates mutável, viva-voz</v>
      </c>
      <c r="B57744" s="3">
        <v>1</v>
      </c>
    </row>
    <row r="57745" ht="15.75" customHeight="1" spans="1:2">
      <c r="A57745" s="3" t="str">
        <f>IFERROR(__xludf.DUMMYFUNCTION("GOOGLETRANSLATE(A57745,""en"",""pt"")"),"rádio")</f>
        <v>rádio</v>
      </c>
      <c r="B57745" s="3">
        <v>1</v>
      </c>
    </row>
    <row r="57746" ht="15.75" customHeight="1" spans="1:2">
      <c r="A57746" s="3" t="str">
        <f>IFERROR(__xludf.DUMMYFUNCTION("GOOGLETRANSLATE(A57746,""en"",""pt"")"),"ecrã a cores, operação tri-band, faceplates mutável, viva-voz")</f>
        <v>ecrã a cores, operação tri-band, faceplates mutável, viva-voz</v>
      </c>
      <c r="B57746" s="3">
        <v>1</v>
      </c>
    </row>
    <row r="57747" ht="15.75" customHeight="1" spans="1:2">
      <c r="A57747" s="3" t="str">
        <f>IFERROR(__xludf.DUMMYFUNCTION("GOOGLETRANSLATE(A57747,""en"",""pt"")"),"4096 cores, Triband, GPRS, MMS, SMS")</f>
        <v>4096 cores, Triband, GPRS, MMS, SMS</v>
      </c>
      <c r="B57747" s="3">
        <v>1</v>
      </c>
    </row>
    <row r="57748" ht="15.75" customHeight="1" spans="1:2">
      <c r="A57748" s="3" t="str">
        <f>IFERROR(__xludf.DUMMYFUNCTION("GOOGLETRANSLATE(A57748,""en"",""pt"")"),"Grande função alto-falante, na moda, resolução de tela 128x128 pixels")</f>
        <v>Grande função alto-falante, na moda, resolução de tela 128x128 pixels</v>
      </c>
      <c r="B57748" s="3">
        <v>1</v>
      </c>
    </row>
    <row r="57749" ht="15.75" customHeight="1" spans="1:2">
      <c r="A57749" s="3" t="str">
        <f>IFERROR(__xludf.DUMMYFUNCTION("GOOGLETRANSLATE(A57749,""en"",""pt"")"),"Tela, som, rádio FM, bateria, fácil de usar, Preço")</f>
        <v>Tela, som, rádio FM, bateria, fácil de usar, Preço</v>
      </c>
      <c r="B57749" s="3">
        <v>1</v>
      </c>
    </row>
    <row r="57750" ht="15.75" customHeight="1" spans="1:2">
      <c r="A57750" s="3" t="str">
        <f>IFERROR(__xludf.DUMMYFUNCTION("GOOGLETRANSLATE(A57750,""en"",""pt"")"),"parece bom, funções Plenty.")</f>
        <v>parece bom, funções Plenty.</v>
      </c>
      <c r="B57750" s="3">
        <v>1</v>
      </c>
    </row>
    <row r="57751" ht="15.75" customHeight="1" spans="1:2">
      <c r="A57751" s="3" t="str">
        <f>IFERROR(__xludf.DUMMYFUNCTION("GOOGLETRANSLATE(A57751,""en"",""pt"")"),"Estilo, tamanho, excelente lista de opções de multimídia")</f>
        <v>Estilo, tamanho, excelente lista de opções de multimídia</v>
      </c>
      <c r="B57751" s="3">
        <v>1</v>
      </c>
    </row>
    <row r="57752" ht="15.75" customHeight="1" spans="1:2">
      <c r="A57752" s="3" t="str">
        <f>IFERROR(__xludf.DUMMYFUNCTION("GOOGLETRANSLATE(A57752,""en"",""pt"")"),"Muito elegante, grandes recursos e é o acessório de moda ideal!")</f>
        <v>Muito elegante, grandes recursos e é o acessório de moda ideal!</v>
      </c>
      <c r="B57752" s="3">
        <v>1</v>
      </c>
    </row>
    <row r="57753" ht="15.75" customHeight="1" spans="1:2">
      <c r="A57753" s="3" t="str">
        <f>IFERROR(__xludf.DUMMYFUNCTION("GOOGLETRANSLATE(A57753,""en"",""pt"")"),"tela colorida, leve, styleish.")</f>
        <v>tela colorida, leve, styleish.</v>
      </c>
      <c r="B57753" s="3">
        <v>1</v>
      </c>
    </row>
    <row r="57754" ht="15.75" customHeight="1" spans="1:2">
      <c r="A57754" s="3" t="str">
        <f>IFERROR(__xludf.DUMMYFUNCTION("GOOGLETRANSLATE(A57754,""en"",""pt"")"),"Alto estilo, ecrã a cores, rádio FM, viva-voz, toques polifônicos")</f>
        <v>Alto estilo, ecrã a cores, rádio FM, viva-voz, toques polifônicos</v>
      </c>
      <c r="B57754" s="3">
        <v>1</v>
      </c>
    </row>
    <row r="57755" ht="15.75" customHeight="1" spans="1:2">
      <c r="A57755" s="3" t="str">
        <f>IFERROR(__xludf.DUMMYFUNCTION("GOOGLETRANSLATE(A57755,""en"",""pt"")"),"Interessante design, rádio, bom volume, tela colorida")</f>
        <v>Interessante design, rádio, bom volume, tela colorida</v>
      </c>
      <c r="B57755" s="3">
        <v>1</v>
      </c>
    </row>
    <row r="57756" ht="15.75" customHeight="1" spans="1:2">
      <c r="A57756" s="3" t="str">
        <f>IFERROR(__xludf.DUMMYFUNCTION("GOOGLETRANSLATE(A57756,""en"",""pt"")"),"tela colorida de jogos para download faceplate chageable")</f>
        <v>tela colorida de jogos para download faceplate chageable</v>
      </c>
      <c r="B57756" s="3">
        <v>1</v>
      </c>
    </row>
    <row r="57757" ht="15.75" customHeight="1" spans="1:2">
      <c r="A57757" s="3" t="str">
        <f>IFERROR(__xludf.DUMMYFUNCTION("GOOGLETRANSLATE(A57757,""en"",""pt"")"),"Eu gosto de tudo sobre este telefone é leve, é pequeno.")</f>
        <v>Eu gosto de tudo sobre este telefone é leve, é pequeno.</v>
      </c>
      <c r="B57757" s="3">
        <v>1</v>
      </c>
    </row>
    <row r="57758" ht="15.75" customHeight="1" spans="1:2">
      <c r="A57758" s="3" t="str">
        <f>IFERROR(__xludf.DUMMYFUNCTION("GOOGLETRANSLATE(A57758,""en"",""pt"")"),"Grande o suficiente para que você possa realmente ver e apertar os botões")</f>
        <v>Grande o suficiente para que você possa realmente ver e apertar os botões</v>
      </c>
      <c r="B57758" s="3">
        <v>1</v>
      </c>
    </row>
    <row r="57759" ht="15.75" customHeight="1" spans="1:2">
      <c r="A57759" s="3" t="str">
        <f>IFERROR(__xludf.DUMMYFUNCTION("GOOGLETRANSLATE(A57759,""en"",""pt"")"),"Barato, telefone característica-embalada. Excelente vida útil da bateria. Leve.")</f>
        <v>Barato, telefone característica-embalada. Excelente vida útil da bateria. Leve.</v>
      </c>
      <c r="B57759" s="3">
        <v>1</v>
      </c>
    </row>
    <row r="57760" ht="15.75" customHeight="1" spans="1:2">
      <c r="A57760" s="3" t="str">
        <f>IFERROR(__xludf.DUMMYFUNCTION("GOOGLETRANSLATE(A57760,""en"",""pt"")"),"Excelente recepção, rica em recursos, user-friendly, ajuste ergonômico, web pronto")</f>
        <v>Excelente recepção, rica em recursos, user-friendly, ajuste ergonômico, web pronto</v>
      </c>
      <c r="B57760" s="3">
        <v>1</v>
      </c>
    </row>
    <row r="57761" ht="15.75" customHeight="1" spans="1:2">
      <c r="A57761" s="3" t="str">
        <f>IFERROR(__xludf.DUMMYFUNCTION("GOOGLETRANSLATE(A57761,""en"",""pt"")"),"Poderia ser uma boa para aqueles novos para telefones celulares, boa seleção de características.")</f>
        <v>Poderia ser uma boa para aqueles novos para telefones celulares, boa seleção de características.</v>
      </c>
      <c r="B57761" s="3">
        <v>1</v>
      </c>
    </row>
    <row r="57762" ht="15.75" customHeight="1" spans="1:2">
      <c r="A57762" s="3" t="str">
        <f>IFERROR(__xludf.DUMMYFUNCTION("GOOGLETRANSLATE(A57762,""en"",""pt"")"),", Excelente design ergonômico confiável, repleto de recursos, talk superior e tempo stanby, e-mail e muito mais")</f>
        <v>, Excelente design ergonômico confiável, repleto de recursos, talk superior e tempo stanby, e-mail e muito mais</v>
      </c>
      <c r="B57762" s="3">
        <v>1</v>
      </c>
    </row>
    <row r="57763" ht="15.75" customHeight="1" spans="1:2">
      <c r="A57763" s="3" t="str">
        <f>IFERROR(__xludf.DUMMYFUNCTION("GOOGLETRANSLATE(A57763,""en"",""pt"")"),"Muitos para listar, mas meu favorito é de funcionalidade.")</f>
        <v>Muitos para listar, mas meu favorito é de funcionalidade.</v>
      </c>
      <c r="B57763" s="3">
        <v>1</v>
      </c>
    </row>
    <row r="57764" ht="15.75" customHeight="1" spans="1:2">
      <c r="A57764" s="3" t="str">
        <f>IFERROR(__xludf.DUMMYFUNCTION("GOOGLETRANSLATE(A57764,""en"",""pt"")"),"Tantos recursos, Lightweight")</f>
        <v>Tantos recursos, Lightweight</v>
      </c>
      <c r="B57764" s="3">
        <v>1</v>
      </c>
    </row>
    <row r="57765" ht="15.75" customHeight="1" spans="1:2">
      <c r="A57765" s="3" t="str">
        <f>IFERROR(__xludf.DUMMYFUNCTION("GOOGLETRANSLATE(A57765,""en"",""pt"")"),"Baixo custo, características surpreendentes, totalmente configurável, e muito mais.")</f>
        <v>Baixo custo, características surpreendentes, totalmente configurável, e muito mais.</v>
      </c>
      <c r="B57765" s="3">
        <v>1</v>
      </c>
    </row>
    <row r="57766" ht="15.75" customHeight="1" spans="1:2">
      <c r="A57766" s="3" t="str">
        <f>IFERROR(__xludf.DUMMYFUNCTION("GOOGLETRANSLATE(A57766,""en"",""pt"")"),"Ótimo preço. características úteis, abundantes e bem pensado. Excelente qualidade de voz.")</f>
        <v>Ótimo preço. características úteis, abundantes e bem pensado. Excelente qualidade de voz.</v>
      </c>
      <c r="B57766" s="3">
        <v>1</v>
      </c>
    </row>
    <row r="57767" ht="15.75" customHeight="1" spans="1:2">
      <c r="A57767" s="3" t="str">
        <f>IFERROR(__xludf.DUMMYFUNCTION("GOOGLETRANSLATE(A57767,""en"",""pt"")"),"bom celular básico, sem um monte de recursos inúteis")</f>
        <v>bom celular básico, sem um monte de recursos inúteis</v>
      </c>
      <c r="B57767" s="3">
        <v>1</v>
      </c>
    </row>
    <row r="57768" ht="15.75" customHeight="1" spans="1:2">
      <c r="A57768" s="3" t="str">
        <f>IFERROR(__xludf.DUMMYFUNCTION("GOOGLETRANSLATE(A57768,""en"",""pt"")"),"PREÇO, recursos disponíveis, tamanho,")</f>
        <v>PREÇO, recursos disponíveis, tamanho,</v>
      </c>
      <c r="B57768" s="3">
        <v>1</v>
      </c>
    </row>
    <row r="57769" ht="15.75" customHeight="1" spans="1:2">
      <c r="A57769" s="3" t="str">
        <f>IFERROR(__xludf.DUMMYFUNCTION("GOOGLETRANSLATE(A57769,""en"",""pt"")"),"Toneladas de grandes recursos, pequeno tamanho, peso leve")</f>
        <v>Toneladas de grandes recursos, pequeno tamanho, peso leve</v>
      </c>
      <c r="B57769" s="3">
        <v>1</v>
      </c>
    </row>
    <row r="57770" ht="15.75" customHeight="1" spans="1:2">
      <c r="A57770" s="3" t="str">
        <f>IFERROR(__xludf.DUMMYFUNCTION("GOOGLETRANSLATE(A57770,""en"",""pt"")"),"Bom tamanho, operação fácil, boas opções de vida boa bateria.")</f>
        <v>Bom tamanho, operação fácil, boas opções de vida boa bateria.</v>
      </c>
      <c r="B57770" s="3">
        <v>1</v>
      </c>
    </row>
    <row r="57771" ht="15.75" customHeight="1" spans="1:2">
      <c r="A57771" s="3" t="str">
        <f>IFERROR(__xludf.DUMMYFUNCTION("GOOGLETRANSLATE(A57771,""en"",""pt"")"),"Fácil de usar, grandes recursos como mensagens de texto")</f>
        <v>Fácil de usar, grandes recursos como mensagens de texto</v>
      </c>
      <c r="B57771" s="3">
        <v>1</v>
      </c>
    </row>
    <row r="57772" ht="15.75" customHeight="1" spans="1:2">
      <c r="A57772" s="3" t="str">
        <f>IFERROR(__xludf.DUMMYFUNCTION("GOOGLETRANSLATE(A57772,""en"",""pt"")"),"Facilidade de uso, características, qualidade")</f>
        <v>Facilidade de uso, características, qualidade</v>
      </c>
      <c r="B57772" s="3">
        <v>1</v>
      </c>
    </row>
    <row r="57773" ht="15.75" customHeight="1" spans="1:2">
      <c r="A57773" s="3" t="str">
        <f>IFERROR(__xludf.DUMMYFUNCTION("GOOGLETRANSLATE(A57773,""en"",""pt"")"),"Boa user interface de design; boa ergonomia")</f>
        <v>Boa user interface de design; boa ergonomia</v>
      </c>
      <c r="B57773" s="3">
        <v>1</v>
      </c>
    </row>
    <row r="57774" ht="15.75" customHeight="1" spans="1:2">
      <c r="A57774" s="3" t="str">
        <f>IFERROR(__xludf.DUMMYFUNCTION("GOOGLETRANSLATE(A57774,""en"",""pt"")"),"placas comutáveis ​​rosto, vibrar / campainha silenciosa, instant messenger web-enabled, bateria de longa duração, guarda chave")</f>
        <v>placas comutáveis ​​rosto, vibrar / campainha silenciosa, instant messenger web-enabled, bateria de longa duração, guarda chave</v>
      </c>
      <c r="B57774" s="3">
        <v>1</v>
      </c>
    </row>
    <row r="57775" ht="15.75" customHeight="1" spans="1:2">
      <c r="A57775" s="3" t="str">
        <f>IFERROR(__xludf.DUMMYFUNCTION("GOOGLETRANSLATE(A57775,""en"",""pt"")"),"A aparência é agradável, grande sensação na mão")</f>
        <v>A aparência é agradável, grande sensação na mão</v>
      </c>
      <c r="B57775" s="3">
        <v>1</v>
      </c>
    </row>
    <row r="57776" ht="15.75" customHeight="1" spans="1:2">
      <c r="A57776" s="3" t="str">
        <f>IFERROR(__xludf.DUMMYFUNCTION("GOOGLETRANSLATE(A57776,""en"",""pt"")"),"Lotes de características úteis. Super recepção e fácil de usar.")</f>
        <v>Lotes de características úteis. Super recepção e fácil de usar.</v>
      </c>
      <c r="B57776" s="3">
        <v>1</v>
      </c>
    </row>
    <row r="57777" ht="15.75" customHeight="1" spans="1:2">
      <c r="A57777" s="3" t="str">
        <f>IFERROR(__xludf.DUMMYFUNCTION("GOOGLETRANSLATE(A57777,""en"",""pt"")"),"pequena luz")</f>
        <v>pequena luz</v>
      </c>
      <c r="B57777" s="3">
        <v>1</v>
      </c>
    </row>
    <row r="57778" ht="15.75" customHeight="1" spans="1:2">
      <c r="A57778" s="3" t="str">
        <f>IFERROR(__xludf.DUMMYFUNCTION("GOOGLETRANSLATE(A57778,""en"",""pt"")"),"Pequeno, compacto, grande autonomia da bateria, grande recepção")</f>
        <v>Pequeno, compacto, grande autonomia da bateria, grande recepção</v>
      </c>
      <c r="B57778" s="3">
        <v>1</v>
      </c>
    </row>
    <row r="57779" ht="15.75" customHeight="1" spans="1:2">
      <c r="A57779" s="3" t="str">
        <f>IFERROR(__xludf.DUMMYFUNCTION("GOOGLETRANSLATE(A57779,""en"",""pt"")"),"Telefone tem excelente recepção e boas características para o preço")</f>
        <v>Telefone tem excelente recepção e boas características para o preço</v>
      </c>
      <c r="B57779" s="3">
        <v>1</v>
      </c>
    </row>
    <row r="57780" ht="15.75" customHeight="1" spans="1:2">
      <c r="A57780" s="3" t="str">
        <f>IFERROR(__xludf.DUMMYFUNCTION("GOOGLETRANSLATE(A57780,""en"",""pt"")"),"Muito fácil de usar. Apenas recursos suficientes. Bom para um primeiro telefone celular.")</f>
        <v>Muito fácil de usar. Apenas recursos suficientes. Bom para um primeiro telefone celular.</v>
      </c>
      <c r="B57780" s="3">
        <v>1</v>
      </c>
    </row>
    <row r="57781" ht="15.75" customHeight="1" spans="1:2">
      <c r="A57781" s="3" t="str">
        <f>IFERROR(__xludf.DUMMYFUNCTION("GOOGLETRANSLATE(A57781,""en"",""pt"")"),"Muito fácil de usar e parece ter muito boa claridade.")</f>
        <v>Muito fácil de usar e parece ter muito boa claridade.</v>
      </c>
      <c r="B57781" s="3">
        <v>1</v>
      </c>
    </row>
    <row r="57782" ht="15.75" customHeight="1" spans="1:2">
      <c r="A57782" s="3" t="str">
        <f>IFERROR(__xludf.DUMMYFUNCTION("GOOGLETRANSLATE(A57782,""en"",""pt"")"),"Bom tamanho, grande recepção, fácil de usar menus")</f>
        <v>Bom tamanho, grande recepção, fácil de usar menus</v>
      </c>
      <c r="B57782" s="3">
        <v>1</v>
      </c>
    </row>
    <row r="57783" ht="15.75" customHeight="1" spans="1:2">
      <c r="A57783" s="3" t="str">
        <f>IFERROR(__xludf.DUMMYFUNCTION("GOOGLETRANSLATE(A57783,""en"",""pt"")"),"Tudo o que você esperaria de um telefone celular.")</f>
        <v>Tudo o que você esperaria de um telefone celular.</v>
      </c>
      <c r="B57783" s="3">
        <v>1</v>
      </c>
    </row>
    <row r="57784" ht="15.75" customHeight="1" spans="1:2">
      <c r="A57784" s="3" t="str">
        <f>IFERROR(__xludf.DUMMYFUNCTION("GOOGLETRANSLATE(A57784,""en"",""pt"")"),"Grande som, sempre limpar, tela da janela grande, fácil de usar")</f>
        <v>Grande som, sempre limpar, tela da janela grande, fácil de usar</v>
      </c>
      <c r="B57784" s="3">
        <v>1</v>
      </c>
    </row>
    <row r="57785" ht="15.75" customHeight="1" spans="1:2">
      <c r="A57785" s="3" t="str">
        <f>IFERROR(__xludf.DUMMYFUNCTION("GOOGLETRANSLATE(A57785,""en"",""pt"")"),"Minúsculo")</f>
        <v>Minúsculo</v>
      </c>
      <c r="B57785" s="3">
        <v>1</v>
      </c>
    </row>
    <row r="57786" ht="15.75" customHeight="1" spans="1:2">
      <c r="A57786" s="3" t="str">
        <f>IFERROR(__xludf.DUMMYFUNCTION("GOOGLETRANSLATE(A57786,""en"",""pt"")"),"barato, leve, pequeno e bastante convient")</f>
        <v>barato, leve, pequeno e bastante convient</v>
      </c>
      <c r="B57786" s="3">
        <v>1</v>
      </c>
    </row>
    <row r="57787" ht="15.75" customHeight="1" spans="1:2">
      <c r="A57787" s="3" t="str">
        <f>IFERROR(__xludf.DUMMYFUNCTION("GOOGLETRANSLATE(A57787,""en"",""pt"")"),"Light Weight, Menu, placas de cara Cor")</f>
        <v>Light Weight, Menu, placas de cara Cor</v>
      </c>
      <c r="B57787" s="3">
        <v>1</v>
      </c>
    </row>
    <row r="57788" ht="15.75" customHeight="1" spans="1:2">
      <c r="A57788" s="3" t="str">
        <f>IFERROR(__xludf.DUMMYFUNCTION("GOOGLETRANSLATE(A57788,""en"",""pt"")"),"boa interface, corpo durável, boa accu, preço baixo")</f>
        <v>boa interface, corpo durável, boa accu, preço baixo</v>
      </c>
      <c r="B57788" s="3">
        <v>1</v>
      </c>
    </row>
    <row r="57789" ht="15.75" customHeight="1" spans="1:2">
      <c r="A57789" s="3" t="str">
        <f>IFERROR(__xludf.DUMMYFUNCTION("GOOGLETRANSLATE(A57789,""en"",""pt"")"),"nada especial")</f>
        <v>nada especial</v>
      </c>
      <c r="B57789" s="3">
        <v>1</v>
      </c>
    </row>
    <row r="57790" ht="15.75" customHeight="1" spans="1:2">
      <c r="A57790" s="3" t="str">
        <f>IFERROR(__xludf.DUMMYFUNCTION("GOOGLETRANSLATE(A57790,""en"",""pt"")"),"Magro, muitos recursos, fácil de usar, de longa duração de bateria")</f>
        <v>Magro, muitos recursos, fácil de usar, de longa duração de bateria</v>
      </c>
      <c r="B57790" s="3">
        <v>1</v>
      </c>
    </row>
    <row r="57791" ht="15.75" customHeight="1" spans="1:2">
      <c r="A57791" s="3" t="str">
        <f>IFERROR(__xludf.DUMMYFUNCTION("GOOGLETRANSLATE(A57791,""en"",""pt"")"),"Leve, durável e atraente. Fácil de usar.")</f>
        <v>Leve, durável e atraente. Fácil de usar.</v>
      </c>
      <c r="B57791" s="3">
        <v>1</v>
      </c>
    </row>
    <row r="57792" ht="15.75" customHeight="1" spans="1:2">
      <c r="A57792" s="3" t="str">
        <f>IFERROR(__xludf.DUMMYFUNCTION("GOOGLETRANSLATE(A57792,""en"",""pt"")"),"Compacto, fácil de navegar menus, Clarity, Recepção, Phone Book")</f>
        <v>Compacto, fácil de navegar menus, Clarity, Recepção, Phone Book</v>
      </c>
      <c r="B57792" s="3">
        <v>1</v>
      </c>
    </row>
    <row r="57793" ht="15.75" customHeight="1" spans="1:2">
      <c r="A57793" s="3" t="str">
        <f>IFERROR(__xludf.DUMMYFUNCTION("GOOGLETRANSLATE(A57793,""en"",""pt"")"),"Facilidade de utilização, recepção, livro de telefone, câmera, tela, preço!")</f>
        <v>Facilidade de utilização, recepção, livro de telefone, câmera, tela, preço!</v>
      </c>
      <c r="B57793" s="3">
        <v>1</v>
      </c>
    </row>
    <row r="57794" ht="15.75" customHeight="1" spans="1:2">
      <c r="A57794" s="3" t="str">
        <f>IFERROR(__xludf.DUMMYFUNCTION("GOOGLETRANSLATE(A57794,""en"",""pt"")"),"compacto, leve, flip-telefone com câmera")</f>
        <v>compacto, leve, flip-telefone com câmera</v>
      </c>
      <c r="B57794" s="3">
        <v>1</v>
      </c>
    </row>
    <row r="57795" ht="15.75" customHeight="1" spans="1:2">
      <c r="A57795" s="3" t="str">
        <f>IFERROR(__xludf.DUMMYFUNCTION("GOOGLETRANSLATE(A57795,""en"",""pt"")"),"Excelente recepção, muitos recursos, tela colorida, câmera, discagem por voz")</f>
        <v>Excelente recepção, muitos recursos, tela colorida, câmera, discagem por voz</v>
      </c>
      <c r="B57795" s="3">
        <v>1</v>
      </c>
    </row>
    <row r="57796" ht="15.75" customHeight="1" spans="1:2">
      <c r="A57796" s="3" t="str">
        <f>IFERROR(__xludf.DUMMYFUNCTION("GOOGLETRANSLATE(A57796,""en"",""pt"")"),"Grande telefone - Não use Verizon")</f>
        <v>Grande telefone - Não use Verizon</v>
      </c>
      <c r="B57796" s="3">
        <v>1</v>
      </c>
    </row>
    <row r="57797" ht="15.75" customHeight="1" spans="1:2">
      <c r="A57797" s="3" t="str">
        <f>IFERROR(__xludf.DUMMYFUNCTION("GOOGLETRANSLATE(A57797,""en"",""pt"")"),"Parece muito com luzes azuis")</f>
        <v>Parece muito com luzes azuis</v>
      </c>
      <c r="B57797" s="3">
        <v>1</v>
      </c>
    </row>
    <row r="57798" ht="15.75" customHeight="1" spans="1:2">
      <c r="A57798" s="3" t="str">
        <f>IFERROR(__xludf.DUMMYFUNCTION("GOOGLETRANSLATE(A57798,""en"",""pt"")"),"Muitos recursos úteis e acessíveis.")</f>
        <v>Muitos recursos úteis e acessíveis.</v>
      </c>
      <c r="B57798" s="3">
        <v>1</v>
      </c>
    </row>
    <row r="57799" ht="15.75" customHeight="1" spans="1:2">
      <c r="A57799" s="3" t="str">
        <f>IFERROR(__xludf.DUMMYFUNCTION("GOOGLETRANSLATE(A57799,""en"",""pt"")"),"a qualidade da chamada, bateria, tela colorida, viva-voz")</f>
        <v>a qualidade da chamada, bateria, tela colorida, viva-voz</v>
      </c>
      <c r="B57799" s="3">
        <v>1</v>
      </c>
    </row>
    <row r="57800" ht="15.75" customHeight="1" spans="1:2">
      <c r="A57800" s="3" t="str">
        <f>IFERROR(__xludf.DUMMYFUNCTION("GOOGLETRANSLATE(A57800,""en"",""pt"")"),"O tamanho pequeno, boa bateria, grande memória, embalado com características")</f>
        <v>O tamanho pequeno, boa bateria, grande memória, embalado com características</v>
      </c>
      <c r="B57800" s="3">
        <v>1</v>
      </c>
    </row>
    <row r="57801" ht="15.75" customHeight="1" spans="1:2">
      <c r="A57801" s="3" t="str">
        <f>IFERROR(__xludf.DUMMYFUNCTION("GOOGLETRANSLATE(A57801,""en"",""pt"")"),"Grande telefone, muito duráveis, menus intuitivos, bom toque, e viva-voz decente")</f>
        <v>Grande telefone, muito duráveis, menus intuitivos, bom toque, e viva-voz decente</v>
      </c>
      <c r="B57801" s="3">
        <v>1</v>
      </c>
    </row>
    <row r="57802" ht="15.75" customHeight="1" spans="1:2">
      <c r="A57802" s="3" t="str">
        <f>IFERROR(__xludf.DUMMYFUNCTION("GOOGLETRANSLATE(A57802,""en"",""pt"")"),"luzes piscando, olhar personalizável, fácil de usar, durável, boa recepção")</f>
        <v>luzes piscando, olhar personalizável, fácil de usar, durável, boa recepção</v>
      </c>
      <c r="B57802" s="3">
        <v>1</v>
      </c>
    </row>
    <row r="57803" ht="15.75" customHeight="1" spans="1:2">
      <c r="A57803" s="3" t="s">
        <v>309</v>
      </c>
      <c r="B57803" s="3">
        <v>1</v>
      </c>
    </row>
    <row r="57804" ht="15.75" customHeight="1" spans="1:2">
      <c r="A57804" s="3" t="str">
        <f>IFERROR(__xludf.DUMMYFUNCTION("GOOGLETRANSLATE(A57804,""en"",""pt"")"),"elegante, brilhante tela grande, qualidade da câmera.")</f>
        <v>elegante, brilhante tela grande, qualidade da câmera.</v>
      </c>
      <c r="B57804" s="3">
        <v>1</v>
      </c>
    </row>
    <row r="57805" ht="15.75" customHeight="1" spans="1:2">
      <c r="A57805" s="3" t="str">
        <f>IFERROR(__xludf.DUMMYFUNCTION("GOOGLETRANSLATE(A57805,""en"",""pt"")"),"Fácil de usar")</f>
        <v>Fácil de usar</v>
      </c>
      <c r="B57805" s="3">
        <v>1</v>
      </c>
    </row>
    <row r="57806" ht="15.75" customHeight="1" spans="1:2">
      <c r="A57806" s="3" t="str">
        <f>IFERROR(__xludf.DUMMYFUNCTION("GOOGLETRANSLATE(A57806,""en"",""pt"")"),"Um monte de coisas")</f>
        <v>Um monte de coisas</v>
      </c>
      <c r="B57806" s="3">
        <v>1</v>
      </c>
    </row>
    <row r="57807" ht="15.75" customHeight="1" spans="1:2">
      <c r="A57807" s="3" t="str">
        <f>IFERROR(__xludf.DUMMYFUNCTION("GOOGLETRANSLATE(A57807,""en"",""pt"")"),"Câmera, ringtones, user-friendly")</f>
        <v>Câmera, ringtones, user-friendly</v>
      </c>
      <c r="B57807" s="3">
        <v>1</v>
      </c>
    </row>
    <row r="57808" ht="15.75" customHeight="1" spans="1:2">
      <c r="A57808" s="3" t="str">
        <f>IFERROR(__xludf.DUMMYFUNCTION("GOOGLETRANSLATE(A57808,""en"",""pt"")"),"Triband, câmera de telefone")</f>
        <v>Triband, câmera de telefone</v>
      </c>
      <c r="B57808" s="3">
        <v>1</v>
      </c>
    </row>
    <row r="57809" ht="15.75" customHeight="1" spans="1:2">
      <c r="A57809" s="3" t="str">
        <f>IFERROR(__xludf.DUMMYFUNCTION("GOOGLETRANSLATE(A57809,""en"",""pt"")"),"bateria de longa duração")</f>
        <v>bateria de longa duração</v>
      </c>
      <c r="B57809" s="3">
        <v>1</v>
      </c>
    </row>
    <row r="57810" ht="15.75" customHeight="1" spans="1:2">
      <c r="A57810" s="3" t="str">
        <f>IFERROR(__xludf.DUMMYFUNCTION("GOOGLETRANSLATE(A57810,""en"",""pt"")"),"Limpar fotos digitais")</f>
        <v>Limpar fotos digitais</v>
      </c>
      <c r="B57810" s="3">
        <v>1</v>
      </c>
    </row>
    <row r="57811" ht="15.75" customHeight="1" spans="1:2">
      <c r="A57811" s="3" t="str">
        <f>IFERROR(__xludf.DUMMYFUNCTION("GOOGLETRANSLATE(A57811,""en"",""pt"")"),"Parece ser bom e tem um monte de características extravagantes e olhares chamativos.")</f>
        <v>Parece ser bom e tem um monte de características extravagantes e olhares chamativos.</v>
      </c>
      <c r="B57811" s="3">
        <v>1</v>
      </c>
    </row>
    <row r="57812" ht="15.75" customHeight="1" spans="1:2">
      <c r="A57812" s="3" t="str">
        <f>IFERROR(__xludf.DUMMYFUNCTION("GOOGLETRANSLATE(A57812,""en"",""pt"")"),"Design, vida da bateria parece bom")</f>
        <v>Design, vida da bateria parece bom</v>
      </c>
      <c r="B57812" s="3">
        <v>1</v>
      </c>
    </row>
    <row r="57813" ht="15.75" customHeight="1" spans="1:2">
      <c r="A57813" s="3" t="str">
        <f>IFERROR(__xludf.DUMMYFUNCTION("GOOGLETRANSLATE(A57813,""en"",""pt"")"),"(Aplicável a partir de CDM 8600) fator de forma pequeno, fácil de usar")</f>
        <v>(Aplicável a partir de CDM 8600) fator de forma pequeno, fácil de usar</v>
      </c>
      <c r="B57813" s="3">
        <v>1</v>
      </c>
    </row>
    <row r="57814" ht="15.75" customHeight="1" spans="1:2">
      <c r="A57814" s="3" t="str">
        <f>IFERROR(__xludf.DUMMYFUNCTION("GOOGLETRANSLATE(A57814,""en"",""pt"")"),"Telefone celular analógico / digital com câmera, a Web e Games!")</f>
        <v>Telefone celular analógico / digital com câmera, a Web e Games!</v>
      </c>
      <c r="B57814" s="3">
        <v>1</v>
      </c>
    </row>
    <row r="57815" ht="15.75" customHeight="1" spans="1:2">
      <c r="A57815" s="3" t="str">
        <f>IFERROR(__xludf.DUMMYFUNCTION("GOOGLETRANSLATE(A57815,""en"",""pt"")"),"Agradável aparência, muitos recursos, câmera / flash uma grande vantagem, agradável toques, fácil de usar.")</f>
        <v>Agradável aparência, muitos recursos, câmera / flash uma grande vantagem, agradável toques, fácil de usar.</v>
      </c>
      <c r="B57815" s="3">
        <v>1</v>
      </c>
    </row>
    <row r="57816" ht="15.75" customHeight="1" spans="1:2">
      <c r="A57816" s="3" t="str">
        <f>IFERROR(__xludf.DUMMYFUNCTION("GOOGLETRANSLATE(A57816,""en"",""pt"")"),"câmera, boa forma, jogos, telas de LCD, recepção, baterias duplas")</f>
        <v>câmera, boa forma, jogos, telas de LCD, recepção, baterias duplas</v>
      </c>
      <c r="B57816" s="3">
        <v>1</v>
      </c>
    </row>
    <row r="57817" ht="15.75" customHeight="1" spans="1:2">
      <c r="A57817" s="3" t="str">
        <f>IFERROR(__xludf.DUMMYFUNCTION("GOOGLETRANSLATE(A57817,""en"",""pt"")"),"Elegante, rico em recursos, elegante e fácil de usar, bateria extra")</f>
        <v>Elegante, rico em recursos, elegante e fácil de usar, bateria extra</v>
      </c>
      <c r="B57817" s="3">
        <v>1</v>
      </c>
    </row>
    <row r="57818" ht="15.75" customHeight="1" spans="1:2">
      <c r="A57818" s="3" t="str">
        <f>IFERROR(__xludf.DUMMYFUNCTION("GOOGLETRANSLATE(A57818,""en"",""pt"")"),"Tamanho, facilidade de uso, características para agradar a maioria de qualquer um")</f>
        <v>Tamanho, facilidade de uso, características para agradar a maioria de qualquer um</v>
      </c>
      <c r="B57818" s="3">
        <v>1</v>
      </c>
    </row>
    <row r="57819" ht="15.75" customHeight="1" spans="1:2">
      <c r="A57819" s="3" t="str">
        <f>IFERROR(__xludf.DUMMYFUNCTION("GOOGLETRANSLATE(A57819,""en"",""pt"")"),"Lotes das características, dois 65k-displays, design e eu fiz menção características?")</f>
        <v>Lotes das características, dois 65k-displays, design e eu fiz menção características?</v>
      </c>
      <c r="B57819" s="3">
        <v>1</v>
      </c>
    </row>
    <row r="57820" ht="15.75" customHeight="1" spans="1:2">
      <c r="A57820" s="3" t="str">
        <f>IFERROR(__xludf.DUMMYFUNCTION("GOOGLETRANSLATE(A57820,""en"",""pt"")"),"Boa câmera com você em todos os momentos, grandes recursos")</f>
        <v>Boa câmera com você em todos os momentos, grandes recursos</v>
      </c>
      <c r="B57820" s="3">
        <v>1</v>
      </c>
    </row>
    <row r="57821" ht="15.75" customHeight="1" spans="1:2">
      <c r="A57821" s="3" t="str">
        <f>IFERROR(__xludf.DUMMYFUNCTION("GOOGLETRANSLATE(A57821,""en"",""pt"")"),"Grande telefone enigmático que vai te dar alguma atenção em locais públicos.")</f>
        <v>Grande telefone enigmático que vai te dar alguma atenção em locais públicos.</v>
      </c>
      <c r="B57821" s="3">
        <v>1</v>
      </c>
    </row>
    <row r="57822" ht="15.75" customHeight="1" spans="1:2">
      <c r="A57822" s="3" t="str">
        <f>IFERROR(__xludf.DUMMYFUNCTION("GOOGLETRANSLATE(A57822,""en"",""pt"")"),"Grande Tela, Camera Características + Flash, segunda bateria")</f>
        <v>Grande Tela, Camera Características + Flash, segunda bateria</v>
      </c>
      <c r="B57822" s="3">
        <v>1</v>
      </c>
    </row>
    <row r="57823" ht="15.75" customHeight="1" spans="1:2">
      <c r="A57823" s="3" t="str">
        <f>IFERROR(__xludf.DUMMYFUNCTION("GOOGLETRANSLATE(A57823,""en"",""pt"")"),"A exposição bonita, pequeno factor de forma, de construção sólido")</f>
        <v>A exposição bonita, pequeno factor de forma, de construção sólido</v>
      </c>
      <c r="B57823" s="3">
        <v>1</v>
      </c>
    </row>
    <row r="57824" ht="15.75" customHeight="1" spans="1:2">
      <c r="A57824" s="3" t="str">
        <f>IFERROR(__xludf.DUMMYFUNCTION("GOOGLETRANSLATE(A57824,""en"",""pt"")"),"TFT a cores, Construção Sólida, construído em câmera w flash /, Ringers")</f>
        <v>TFT a cores, Construção Sólida, construído em câmera w flash /, Ringers</v>
      </c>
      <c r="B57824" s="3">
        <v>1</v>
      </c>
    </row>
    <row r="57825" ht="15.75" customHeight="1" spans="1:2">
      <c r="A57825" s="3" t="str">
        <f>IFERROR(__xludf.DUMMYFUNCTION("GOOGLETRANSLATE(A57825,""en"",""pt"")"),"Excelente recepção, telas de cores vivas, sensação de solidez em sua mão, e uma qualidade da câmera de baixa resolução.")</f>
        <v>Excelente recepção, telas de cores vivas, sensação de solidez em sua mão, e uma qualidade da câmera de baixa resolução.</v>
      </c>
      <c r="B57825" s="3">
        <v>1</v>
      </c>
    </row>
    <row r="57826" ht="15.75" customHeight="1" spans="1:2">
      <c r="A57826" s="3" t="str">
        <f>IFERROR(__xludf.DUMMYFUNCTION("GOOGLETRANSLATE(A57826,""en"",""pt"")"),"Boa construção, elegante, ecrã a cores grande.")</f>
        <v>Boa construção, elegante, ecrã a cores grande.</v>
      </c>
      <c r="B57826" s="3">
        <v>1</v>
      </c>
    </row>
    <row r="57827" ht="15.75" customHeight="1" spans="1:2">
      <c r="A57827" s="3" t="str">
        <f>IFERROR(__xludf.DUMMYFUNCTION("GOOGLETRANSLATE(A57827,""en"",""pt"")"),"Camera + Telefone!")</f>
        <v>Camera + Telefone!</v>
      </c>
      <c r="B57827" s="3">
        <v>1</v>
      </c>
    </row>
    <row r="57828" ht="15.75" customHeight="1" spans="1:2">
      <c r="A57828" s="3" t="str">
        <f>IFERROR(__xludf.DUMMYFUNCTION("GOOGLETRANSLATE(A57828,""en"",""pt"")"),"protetor de tela bonito, Camera, Toques.")</f>
        <v>protetor de tela bonito, Camera, Toques.</v>
      </c>
      <c r="B57828" s="3">
        <v>1</v>
      </c>
    </row>
    <row r="57829" ht="15.75" customHeight="1" spans="1:2">
      <c r="A57829" s="3" t="str">
        <f>IFERROR(__xludf.DUMMYFUNCTION("GOOGLETRANSLATE(A57829,""en"",""pt"")"),"Confiável")</f>
        <v>Confiável</v>
      </c>
      <c r="B57829" s="3">
        <v>1</v>
      </c>
    </row>
    <row r="57830" ht="15.75" customHeight="1" spans="1:2">
      <c r="A57830" s="3" t="str">
        <f>IFERROR(__xludf.DUMMYFUNCTION("GOOGLETRANSLATE(A57830,""en"",""pt"")"),"Cor, internet, ringtones, câmera w / flash, encargos rápido, alarme / calendário, novidades bacanas, design clamshell")</f>
        <v>Cor, internet, ringtones, câmera w / flash, encargos rápido, alarme / calendário, novidades bacanas, design clamshell</v>
      </c>
      <c r="B57830" s="3">
        <v>1</v>
      </c>
    </row>
    <row r="57831" ht="15.75" customHeight="1" spans="1:2">
      <c r="A57831" s="3" t="str">
        <f>IFERROR(__xludf.DUMMYFUNCTION("GOOGLETRANSLATE(A57831,""en"",""pt"")"),"Grandes recursos, fácil de navagate, muitas opções")</f>
        <v>Grandes recursos, fácil de navagate, muitas opções</v>
      </c>
      <c r="B57831" s="3">
        <v>1</v>
      </c>
    </row>
    <row r="57832" ht="15.75" customHeight="1" spans="1:2">
      <c r="A57832" s="3" t="str">
        <f>IFERROR(__xludf.DUMMYFUNCTION("GOOGLETRANSLATE(A57832,""en"",""pt"")"),"Câmera com resolução de 640x480")</f>
        <v>Câmera com resolução de 640x480</v>
      </c>
      <c r="B57832" s="3">
        <v>1</v>
      </c>
    </row>
    <row r="57833" ht="15.75" customHeight="1" spans="1:2">
      <c r="A57833" s="3" t="str">
        <f>IFERROR(__xludf.DUMMYFUNCTION("GOOGLETRANSLATE(A57833,""en"",""pt"")"),"Câmera integrada, monitoramento de chamadas, duas telas de cor, Fastest Visão Telefone Eu testei.")</f>
        <v>Câmera integrada, monitoramento de chamadas, duas telas de cor, Fastest Visão Telefone Eu testei.</v>
      </c>
      <c r="B57833" s="3">
        <v>1</v>
      </c>
    </row>
    <row r="57834" ht="15.75" customHeight="1" spans="1:2">
      <c r="A57834" s="3" t="str">
        <f>IFERROR(__xludf.DUMMYFUNCTION("GOOGLETRANSLATE(A57834,""en"",""pt"")"),"A recepção do sinal")</f>
        <v>A recepção do sinal</v>
      </c>
      <c r="B57834" s="3">
        <v>1</v>
      </c>
    </row>
    <row r="57835" ht="15.75" customHeight="1" spans="1:2">
      <c r="A57835" s="3" t="str">
        <f>IFERROR(__xludf.DUMMYFUNCTION("GOOGLETRANSLATE(A57835,""en"",""pt"")"),"Grande cor e qualidade de imagem. amplos recursos. serviço de qualidade Sprint. Câmera. Internet. etc! Adoro!")</f>
        <v>Grande cor e qualidade de imagem. amplos recursos. serviço de qualidade Sprint. Câmera. Internet. etc! Adoro!</v>
      </c>
      <c r="B57835" s="3">
        <v>1</v>
      </c>
    </row>
    <row r="57836" ht="15.75" customHeight="1" spans="1:2">
      <c r="A57836" s="3" t="str">
        <f>IFERROR(__xludf.DUMMYFUNCTION("GOOGLETRANSLATE(A57836,""en"",""pt"")"),"Elegante, leve, não há necessidade de trazer uma câmera separada")</f>
        <v>Elegante, leve, não há necessidade de trazer uma câmera separada</v>
      </c>
      <c r="B57836" s="3">
        <v>1</v>
      </c>
    </row>
    <row r="57837" ht="15.75" customHeight="1" spans="1:2">
      <c r="A57837" s="3" t="str">
        <f>IFERROR(__xludf.DUMMYFUNCTION("GOOGLETRANSLATE(A57837,""en"",""pt"")"),"construído em câmera, display colorido externo, arrefecer fator.")</f>
        <v>construído em câmera, display colorido externo, arrefecer fator.</v>
      </c>
      <c r="B57837" s="3">
        <v>1</v>
      </c>
    </row>
    <row r="57838" ht="15.75" customHeight="1" spans="1:2">
      <c r="A57838" s="3" t="str">
        <f>IFERROR(__xludf.DUMMYFUNCTION("GOOGLETRANSLATE(A57838,""en"",""pt"")"),"Grande recepção, grande display colorido, câmera e construção")</f>
        <v>Grande recepção, grande display colorido, câmera e construção</v>
      </c>
      <c r="B57838" s="3">
        <v>1</v>
      </c>
    </row>
    <row r="57839" ht="15.75" customHeight="1" spans="1:2">
      <c r="A57839" s="3" t="str">
        <f>IFERROR(__xludf.DUMMYFUNCTION("GOOGLETRANSLATE(A57839,""en"",""pt"")"),"grande intensidade do sinal, tela bonita boa bateria")</f>
        <v>grande intensidade do sinal, tela bonita boa bateria</v>
      </c>
      <c r="B57839" s="3">
        <v>1</v>
      </c>
    </row>
    <row r="57840" ht="15.75" customHeight="1" spans="1:2">
      <c r="A57840" s="3" t="str">
        <f>IFERROR(__xludf.DUMMYFUNCTION("GOOGLETRANSLATE(A57840,""en"",""pt"")"),"câmera ... apenas US $ 30 w oferta especial de / Sprint")</f>
        <v>câmera ... apenas US $ 30 w oferta especial de / Sprint</v>
      </c>
      <c r="B57840" s="3">
        <v>1</v>
      </c>
    </row>
    <row r="57841" ht="15.75" customHeight="1" spans="1:2">
      <c r="A57841" s="3" t="str">
        <f>IFERROR(__xludf.DUMMYFUNCTION("GOOGLETRANSLATE(A57841,""en"",""pt"")"),"Boa câmera, flash, tela no exterior do telefone")</f>
        <v>Boa câmera, flash, tela no exterior do telefone</v>
      </c>
      <c r="B57841" s="3">
        <v>1</v>
      </c>
    </row>
    <row r="57842" ht="15.75" customHeight="1" spans="1:2">
      <c r="A57842" s="3" t="str">
        <f>IFERROR(__xludf.DUMMYFUNCTION("GOOGLETRANSLATE(A57842,""en"",""pt"")"),"Tudo-em-um combinação Phone-PDA")</f>
        <v>Tudo-em-um combinação Phone-PDA</v>
      </c>
      <c r="B57842" s="3">
        <v>1</v>
      </c>
    </row>
    <row r="57843" ht="15.75" customHeight="1" spans="1:2">
      <c r="A57843" s="3" t="str">
        <f>IFERROR(__xludf.DUMMYFUNCTION("GOOGLETRANSLATE(A57843,""en"",""pt"")"),"Muito pequeno, simples de menu de uso e quase nunca tem que usar caneta")</f>
        <v>Muito pequeno, simples de menu de uso e quase nunca tem que usar caneta</v>
      </c>
      <c r="B57843" s="3">
        <v>1</v>
      </c>
    </row>
    <row r="57844" ht="15.75" customHeight="1" spans="1:2">
      <c r="A57844" s="3" t="str">
        <f>IFERROR(__xludf.DUMMYFUNCTION("GOOGLETRANSLATE(A57844,""en"",""pt"")"),"poder PDA sem geekiness excessiva")</f>
        <v>poder PDA sem geekiness excessiva</v>
      </c>
      <c r="B57844" s="3">
        <v>1</v>
      </c>
    </row>
    <row r="57845" ht="15.75" customHeight="1" spans="1:2">
      <c r="A57845" s="3" t="str">
        <f>IFERROR(__xludf.DUMMYFUNCTION("GOOGLETRANSLATE(A57845,""en"",""pt"")"),"muito fácil de usar e configurar.")</f>
        <v>muito fácil de usar e configurar.</v>
      </c>
      <c r="B57845" s="3">
        <v>1</v>
      </c>
    </row>
    <row r="57846" ht="15.75" customHeight="1" spans="1:2">
      <c r="A57846" s="3" t="str">
        <f>IFERROR(__xludf.DUMMYFUNCTION("GOOGLETRANSLATE(A57846,""en"",""pt"")"),"Pequeno, elegante, tela colorida, lotes de características, de boa qualidade, a tela na frente do telefone")</f>
        <v>Pequeno, elegante, tela colorida, lotes de características, de boa qualidade, a tela na frente do telefone</v>
      </c>
      <c r="B57846" s="3">
        <v>1</v>
      </c>
    </row>
    <row r="57847" ht="15.75" customHeight="1" spans="1:2">
      <c r="A57847" s="3" t="str">
        <f>IFERROR(__xludf.DUMMYFUNCTION("GOOGLETRANSLATE(A57847,""en"",""pt"")"),"tudo mas o projeto e falta de jogos")</f>
        <v>tudo mas o projeto e falta de jogos</v>
      </c>
      <c r="B57847" s="3">
        <v>1</v>
      </c>
    </row>
    <row r="57848" ht="15.75" customHeight="1" spans="1:2">
      <c r="A57848" s="3" t="str">
        <f>IFERROR(__xludf.DUMMYFUNCTION("GOOGLETRANSLATE(A57848,""en"",""pt"")"),"Delgado, leve e funciona bem como um telefone.")</f>
        <v>Delgado, leve e funciona bem como um telefone.</v>
      </c>
      <c r="B57848" s="3">
        <v>1</v>
      </c>
    </row>
    <row r="57849" ht="15.75" customHeight="1" spans="1:2">
      <c r="A57849" s="3" t="str">
        <f>IFERROR(__xludf.DUMMYFUNCTION("GOOGLETRANSLATE(A57849,""en"",""pt"")"),"robusto, tela muito agradável, excelente viva-voz e de cancelamento de ruído, excelente vida útil da bateria")</f>
        <v>robusto, tela muito agradável, excelente viva-voz e de cancelamento de ruído, excelente vida útil da bateria</v>
      </c>
      <c r="B57849" s="3">
        <v>1</v>
      </c>
    </row>
    <row r="57850" ht="15.75" customHeight="1" spans="1:2">
      <c r="A57850" s="3" t="str">
        <f>IFERROR(__xludf.DUMMYFUNCTION("GOOGLETRANSLATE(A57850,""en"",""pt"")"),"O melhor telefone Visão disponíveis até à data!")</f>
        <v>O melhor telefone Visão disponíveis até à data!</v>
      </c>
      <c r="B57850" s="3">
        <v>1</v>
      </c>
    </row>
    <row r="57851" ht="15.75" customHeight="1" spans="1:2">
      <c r="A57851" s="3" t="str">
        <f>IFERROR(__xludf.DUMMYFUNCTION("GOOGLETRANSLATE(A57851,""en"",""pt"")"),"Melhor recepção de qualquer telefone visão")</f>
        <v>Melhor recepção de qualquer telefone visão</v>
      </c>
      <c r="B57851" s="3">
        <v>1</v>
      </c>
    </row>
    <row r="57852" ht="15.75" customHeight="1" spans="1:2">
      <c r="A57852" s="3" t="str">
        <f>IFERROR(__xludf.DUMMYFUNCTION("GOOGLETRANSLATE(A57852,""en"",""pt"")"),"Bom sinal, display bom, excelente performance, rico em recursos.")</f>
        <v>Bom sinal, display bom, excelente performance, rico em recursos.</v>
      </c>
      <c r="B57852" s="3">
        <v>1</v>
      </c>
    </row>
    <row r="57853" ht="15.75" customHeight="1" spans="1:2">
      <c r="A57853" s="3" t="str">
        <f>IFERROR(__xludf.DUMMYFUNCTION("GOOGLETRANSLATE(A57853,""en"",""pt"")"),"Web, recepção, durabilidade da bateria, livro de endereços, calendário, GUI, controle da campainha")</f>
        <v>Web, recepção, durabilidade da bateria, livro de endereços, calendário, GUI, controle da campainha</v>
      </c>
      <c r="B57853" s="3">
        <v>1</v>
      </c>
    </row>
    <row r="57854" ht="15.75" customHeight="1" spans="1:2">
      <c r="A57854" s="3" t="str">
        <f>IFERROR(__xludf.DUMMYFUNCTION("GOOGLETRANSLATE(A57854,""en"",""pt"")"),"JAVA, a vida da bateria, notas de voz, viva voz, tempo de carga rápida")</f>
        <v>JAVA, a vida da bateria, notas de voz, viva voz, tempo de carga rápida</v>
      </c>
      <c r="B57854" s="3">
        <v>1</v>
      </c>
    </row>
    <row r="57855" ht="15.75" customHeight="1" spans="1:2">
      <c r="A57855" s="3" t="str">
        <f>IFERROR(__xludf.DUMMYFUNCTION("GOOGLETRANSLATE(A57855,""en"",""pt"")"),"ecrã melhorado, menus melhorados, leve, bateria de iões de lítio, muitos recursos")</f>
        <v>ecrã melhorado, menus melhorados, leve, bateria de iões de lítio, muitos recursos</v>
      </c>
      <c r="B57855" s="3">
        <v>1</v>
      </c>
    </row>
    <row r="57856" ht="15.75" customHeight="1" spans="1:2">
      <c r="A57856" s="3" t="str">
        <f>IFERROR(__xludf.DUMMYFUNCTION("GOOGLETRANSLATE(A57856,""en"",""pt"")"),"Peso, notas de voz, New Phone Book, livro de endereços, e JAVA!")</f>
        <v>Peso, notas de voz, New Phone Book, livro de endereços, e JAVA!</v>
      </c>
      <c r="B57856" s="3">
        <v>1</v>
      </c>
    </row>
    <row r="57857" ht="15.75" customHeight="1" spans="1:2">
      <c r="A57857" s="3" t="str">
        <f>IFERROR(__xludf.DUMMYFUNCTION("GOOGLETRANSLATE(A57857,""en"",""pt"")"),"Grande layout, boa voz, agradáveis ​​incluído aplicativos")</f>
        <v>Grande layout, boa voz, agradáveis ​​incluído aplicativos</v>
      </c>
      <c r="B57857" s="3">
        <v>1</v>
      </c>
    </row>
    <row r="57858" ht="15.75" customHeight="1" spans="1:2">
      <c r="A57858" s="3" t="str">
        <f>IFERROR(__xludf.DUMMYFUNCTION("GOOGLETRANSLATE(A57858,""en"",""pt"")"),"Serviços, durabilidade, ergonomia")</f>
        <v>Serviços, durabilidade, ergonomia</v>
      </c>
      <c r="B57858" s="3">
        <v>1</v>
      </c>
    </row>
    <row r="57859" ht="15.75" customHeight="1" spans="1:2">
      <c r="A57859" s="3" t="str">
        <f>IFERROR(__xludf.DUMMYFUNCTION("GOOGLETRANSLATE(A57859,""en"",""pt"")"),"tela maior do que os outros telefones Nextel, maior duração da bateria, melhor qualidade de som, jogos habilitados para Java")</f>
        <v>tela maior do que os outros telefones Nextel, maior duração da bateria, melhor qualidade de som, jogos habilitados para Java</v>
      </c>
      <c r="B57859" s="3">
        <v>1</v>
      </c>
    </row>
    <row r="57860" ht="15.75" customHeight="1" spans="1:2">
      <c r="A57860" s="3" t="str">
        <f>IFERROR(__xludf.DUMMYFUNCTION("GOOGLETRANSLATE(A57860,""en"",""pt"")"),"características muito legal, discagem por voz, melhores jogos, menus personalizar-capaz")</f>
        <v>características muito legal, discagem por voz, melhores jogos, menus personalizar-capaz</v>
      </c>
      <c r="B57860" s="3">
        <v>1</v>
      </c>
    </row>
    <row r="57861" ht="15.75" customHeight="1" spans="1:2">
      <c r="A57861" s="3" t="str">
        <f>IFERROR(__xludf.DUMMYFUNCTION("GOOGLETRANSLATE(A57861,""en"",""pt"")"),"Bateria, JAVA, muitas opções e configurações, difícil.")</f>
        <v>Bateria, JAVA, muitas opções e configurações, difícil.</v>
      </c>
      <c r="B57861" s="3">
        <v>1</v>
      </c>
    </row>
    <row r="57862" ht="15.75" customHeight="1" spans="1:2">
      <c r="A57862" s="3" t="str">
        <f>IFERROR(__xludf.DUMMYFUNCTION("GOOGLETRANSLATE(A57862,""en"",""pt"")"),"Discagem ativada por voz, viva-voz, bateria de longa duração, exibição clara")</f>
        <v>Discagem ativada por voz, viva-voz, bateria de longa duração, exibição clara</v>
      </c>
      <c r="B57862" s="3">
        <v>1</v>
      </c>
    </row>
    <row r="57863" ht="15.75" customHeight="1" spans="1:2">
      <c r="A57863" s="3" t="str">
        <f>IFERROR(__xludf.DUMMYFUNCTION("GOOGLETRANSLATE(A57863,""en"",""pt"")"),"GPS, Direct contect, Java, tela Very Large")</f>
        <v>GPS, Direct contect, Java, tela Very Large</v>
      </c>
      <c r="B57863" s="3">
        <v>1</v>
      </c>
    </row>
    <row r="57864" ht="15.75" customHeight="1" spans="1:2">
      <c r="A57864" s="3" t="str">
        <f>IFERROR(__xludf.DUMMYFUNCTION("GOOGLETRANSLATE(A57864,""en"",""pt"")"),"Possuem telefone rico, facilidade de uso, tamanho da tela boa, e que preço!")</f>
        <v>Possuem telefone rico, facilidade de uso, tamanho da tela boa, e que preço!</v>
      </c>
      <c r="B57864" s="3">
        <v>1</v>
      </c>
    </row>
    <row r="57865" ht="15.75" customHeight="1" spans="1:2">
      <c r="A57865" s="3" t="str">
        <f>IFERROR(__xludf.DUMMYFUNCTION("GOOGLETRANSLATE(A57865,""en"",""pt"")"),"Leve, capaz de Direct Connect sem selecionar um modo de")</f>
        <v>Leve, capaz de Direct Connect sem selecionar um modo de</v>
      </c>
      <c r="B57865" s="3">
        <v>1</v>
      </c>
    </row>
    <row r="57866" ht="15.75" customHeight="1" spans="1:2">
      <c r="A57866" s="3" t="str">
        <f>IFERROR(__xludf.DUMMYFUNCTION("GOOGLETRANSLATE(A57866,""en"",""pt"")"),"Toneladas de grandes características com aparência elegante para o arranque!")</f>
        <v>Toneladas de grandes características com aparência elegante para o arranque!</v>
      </c>
      <c r="B57866" s="3">
        <v>1</v>
      </c>
    </row>
    <row r="57867" ht="15.75" customHeight="1" spans="1:2">
      <c r="A57867" s="3" t="str">
        <f>IFERROR(__xludf.DUMMYFUNCTION("GOOGLETRANSLATE(A57867,""en"",""pt"")"),"Parece bom, funciona bem por um tempo.")</f>
        <v>Parece bom, funciona bem por um tempo.</v>
      </c>
      <c r="B57867" s="3">
        <v>1</v>
      </c>
    </row>
    <row r="57868" ht="15.75" customHeight="1" spans="1:2">
      <c r="A57868" s="3" t="str">
        <f>IFERROR(__xludf.DUMMYFUNCTION("GOOGLETRANSLATE(A57868,""en"",""pt"")"),"Um grande telefone.")</f>
        <v>Um grande telefone.</v>
      </c>
      <c r="B57868" s="3">
        <v>1</v>
      </c>
    </row>
    <row r="57869" ht="15.75" customHeight="1" spans="1:2">
      <c r="A57869" s="3" t="str">
        <f>IFERROR(__xludf.DUMMYFUNCTION("GOOGLETRANSLATE(A57869,""en"",""pt"")"),"Muito melhorada Interface, parece legal!")</f>
        <v>Muito melhorada Interface, parece legal!</v>
      </c>
      <c r="B57869" s="3">
        <v>1</v>
      </c>
    </row>
    <row r="57870" ht="15.75" customHeight="1" spans="1:2">
      <c r="A57870" s="3" t="str">
        <f>IFERROR(__xludf.DUMMYFUNCTION("GOOGLETRANSLATE(A57870,""en"",""pt"")"),"abundância de recursos")</f>
        <v>abundância de recursos</v>
      </c>
      <c r="B57870" s="3">
        <v>1</v>
      </c>
    </row>
    <row r="57871" ht="15.75" customHeight="1" spans="1:2">
      <c r="A57871" s="3" t="str">
        <f>IFERROR(__xludf.DUMMYFUNCTION("GOOGLETRANSLATE(A57871,""en"",""pt"")"),"bom conjunto de funcionalidades. Fácil de usar.")</f>
        <v>bom conjunto de funcionalidades. Fácil de usar.</v>
      </c>
      <c r="B57871" s="3">
        <v>1</v>
      </c>
    </row>
    <row r="57872" ht="15.75" customHeight="1" spans="1:2">
      <c r="A57872" s="3" t="str">
        <f>IFERROR(__xludf.DUMMYFUNCTION("GOOGLETRANSLATE(A57872,""en"",""pt"")"),"tamanho, forma, identificador de chamadas, correio de voz, discagem ativada por voz, a qualidade do som")</f>
        <v>tamanho, forma, identificador de chamadas, correio de voz, discagem ativada por voz, a qualidade do som</v>
      </c>
      <c r="B57872" s="3">
        <v>1</v>
      </c>
    </row>
    <row r="57873" ht="15.75" customHeight="1" spans="1:2">
      <c r="A57873" s="3" t="str">
        <f>IFERROR(__xludf.DUMMYFUNCTION("GOOGLETRANSLATE(A57873,""en"",""pt"")"),"Compacta, durável, fresco verde cores, borracha botões, fácil de ler")</f>
        <v>Compacta, durável, fresco verde cores, borracha botões, fácil de ler</v>
      </c>
      <c r="B57873" s="3">
        <v>1</v>
      </c>
    </row>
    <row r="57874" ht="15.75" customHeight="1" spans="1:2">
      <c r="A57874" s="3" t="str">
        <f>IFERROR(__xludf.DUMMYFUNCTION("GOOGLETRANSLATE(A57874,""en"",""pt"")"),"Luz, boa bateria, fácil de usar")</f>
        <v>Luz, boa bateria, fácil de usar</v>
      </c>
      <c r="B57874" s="3">
        <v>1</v>
      </c>
    </row>
    <row r="57875" ht="15.75" customHeight="1" spans="1:2">
      <c r="A57875" s="3" t="str">
        <f>IFERROR(__xludf.DUMMYFUNCTION("GOOGLETRANSLATE(A57875,""en"",""pt"")"),"Grande livro de telefone, grande recepção, tamanho, &amp; # 13; &amp; # 10; marcação por voz, a vida da bateria")</f>
        <v>Grande livro de telefone, grande recepção, tamanho, &amp; # 13; &amp; # 10; marcação por voz, a vida da bateria</v>
      </c>
      <c r="B57875" s="3">
        <v>1</v>
      </c>
    </row>
    <row r="57876" ht="15.75" customHeight="1" spans="1:2">
      <c r="A57876" s="3" t="str">
        <f>IFERROR(__xludf.DUMMYFUNCTION("GOOGLETRANSLATE(A57876,""en"",""pt"")"),"recepção, características, peso, agenda, a vida da bateria")</f>
        <v>recepção, características, peso, agenda, a vida da bateria</v>
      </c>
      <c r="B57876" s="3">
        <v>1</v>
      </c>
    </row>
    <row r="57877" ht="15.75" customHeight="1" spans="1:2">
      <c r="A57877" s="3" t="str">
        <f>IFERROR(__xludf.DUMMYFUNCTION("GOOGLETRANSLATE(A57877,""en"",""pt"")"),"Tudo")</f>
        <v>Tudo</v>
      </c>
      <c r="B57877" s="3">
        <v>1</v>
      </c>
    </row>
    <row r="57878" ht="15.75" customHeight="1" spans="1:2">
      <c r="A57878" s="3" t="str">
        <f>IFERROR(__xludf.DUMMYFUNCTION("GOOGLETRANSLATE(A57878,""en"",""pt"")"),"Vida útil da bateria &amp; # 13; &amp; # 10; Small Size &amp; # 13; &amp; # 10; Large Display &amp; # 13; &amp; # 10; 4 dígitos Chamada")</f>
        <v>Vida útil da bateria &amp; # 13; &amp; # 10; Small Size &amp; # 13; &amp; # 10; Large Display &amp; # 13; &amp; # 10; 4 dígitos Chamada</v>
      </c>
      <c r="B57878" s="3">
        <v>1</v>
      </c>
    </row>
    <row r="57879" ht="15.75" customHeight="1" spans="1:2">
      <c r="A57879" s="3" t="str">
        <f>IFERROR(__xludf.DUMMYFUNCTION("GOOGLETRANSLATE(A57879,""en"",""pt"")"),"excelente gama de recursos, e é isso Fun!")</f>
        <v>excelente gama de recursos, e é isso Fun!</v>
      </c>
      <c r="B57879" s="3">
        <v>1</v>
      </c>
    </row>
    <row r="57880" ht="15.75" customHeight="1" spans="1:2">
      <c r="A57880" s="3" t="str">
        <f>IFERROR(__xludf.DUMMYFUNCTION("GOOGLETRANSLATE(A57880,""en"",""pt"")"),"Grande qualidade / Bateria / do Extra")</f>
        <v>Grande qualidade / Bateria / do Extra</v>
      </c>
      <c r="B57880" s="3">
        <v>1</v>
      </c>
    </row>
    <row r="57881" ht="15.75" customHeight="1" spans="1:2">
      <c r="A57881" s="3" t="str">
        <f>IFERROR(__xludf.DUMMYFUNCTION("GOOGLETRANSLATE(A57881,""en"",""pt"")"),"Luz, vida longa de bateria, sinos e assobios")</f>
        <v>Luz, vida longa de bateria, sinos e assobios</v>
      </c>
      <c r="B57881" s="3">
        <v>1</v>
      </c>
    </row>
    <row r="57882" ht="15.75" customHeight="1" spans="1:2">
      <c r="A57882" s="3" t="str">
        <f>IFERROR(__xludf.DUMMYFUNCTION("GOOGLETRANSLATE(A57882,""en"",""pt"")"),"Indicador de correio de voz, agenda, viva-voz, web-enabled, variedade de toques ...")</f>
        <v>Indicador de correio de voz, agenda, viva-voz, web-enabled, variedade de toques ...</v>
      </c>
      <c r="B57882" s="3">
        <v>1</v>
      </c>
    </row>
    <row r="57883" ht="15.75" customHeight="1" spans="1:2">
      <c r="A57883" s="3" t="str">
        <f>IFERROR(__xludf.DUMMYFUNCTION("GOOGLETRANSLATE(A57883,""en"",""pt"")"),"Um telefone que você pode confiar para a sua funcionalidade e construção")</f>
        <v>Um telefone que você pode confiar para a sua funcionalidade e construção</v>
      </c>
      <c r="B57883" s="3">
        <v>1</v>
      </c>
    </row>
    <row r="57884" ht="15.75" customHeight="1" spans="1:2">
      <c r="A57884" s="3" t="str">
        <f>IFERROR(__xludf.DUMMYFUNCTION("GOOGLETRANSLATE(A57884,""en"",""pt"")"),"Fácil navegação, viva-voz, display grande, a vida da bateria")</f>
        <v>Fácil navegação, viva-voz, display grande, a vida da bateria</v>
      </c>
      <c r="B57884" s="3">
        <v>1</v>
      </c>
    </row>
    <row r="57885" ht="15.75" customHeight="1" spans="1:2">
      <c r="A57885" s="3" t="str">
        <f>IFERROR(__xludf.DUMMYFUNCTION("GOOGLETRANSLATE(A57885,""en"",""pt"")"),"Grande autonomia da bateria, qualidade da chamada é A1, não terrivelmente caros")</f>
        <v>Grande autonomia da bateria, qualidade da chamada é A1, não terrivelmente caros</v>
      </c>
      <c r="B57885" s="3">
        <v>1</v>
      </c>
    </row>
    <row r="57886" ht="15.75" customHeight="1" spans="1:2">
      <c r="A57886" s="3" t="str">
        <f>IFERROR(__xludf.DUMMYFUNCTION("GOOGLETRANSLATE(A57886,""en"",""pt"")"),"tamanho confortável, boa qualidade de voz")</f>
        <v>tamanho confortável, boa qualidade de voz</v>
      </c>
      <c r="B57886" s="3">
        <v>1</v>
      </c>
    </row>
    <row r="57887" ht="15.75" customHeight="1" spans="1:2">
      <c r="A57887" s="3" t="str">
        <f>IFERROR(__xludf.DUMMYFUNCTION("GOOGLETRANSLATE(A57887,""en"",""pt"")"),"Viva-voz, clareza, a interface fácil de usar, e recursos")</f>
        <v>Viva-voz, clareza, a interface fácil de usar, e recursos</v>
      </c>
      <c r="B57887" s="3">
        <v>1</v>
      </c>
    </row>
    <row r="57888" ht="15.75" customHeight="1" spans="1:2">
      <c r="A57888" s="3" t="str">
        <f>IFERROR(__xludf.DUMMYFUNCTION("GOOGLETRANSLATE(A57888,""en"",""pt"")"),"O tamanho pequeno &amp; # 13; &amp; # 10; Muitos recursos")</f>
        <v>O tamanho pequeno &amp; # 13; &amp; # 10; Muitos recursos</v>
      </c>
      <c r="B57888" s="3">
        <v>1</v>
      </c>
    </row>
    <row r="57889" ht="15.75" customHeight="1" spans="1:2">
      <c r="A57889" s="3" t="str">
        <f>IFERROR(__xludf.DUMMYFUNCTION("GOOGLETRANSLATE(A57889,""en"",""pt"")"),"livro de endereços avançada, de fácil navegação menu, muitas funcionalidades para o preço")</f>
        <v>livro de endereços avançada, de fácil navegação menu, muitas funcionalidades para o preço</v>
      </c>
      <c r="B57889" s="3">
        <v>1</v>
      </c>
    </row>
    <row r="57890" ht="15.75" customHeight="1" spans="1:2">
      <c r="A57890" s="3" t="str">
        <f>IFERROR(__xludf.DUMMYFUNCTION("GOOGLETRANSLATE(A57890,""en"",""pt"")"),"Grande tela, fácil de navegar com um dedo (ou devo dizer o polegar)")</f>
        <v>Grande tela, fácil de navegar com um dedo (ou devo dizer o polegar)</v>
      </c>
      <c r="B57890" s="3">
        <v>1</v>
      </c>
    </row>
    <row r="57891" ht="15.75" customHeight="1" spans="1:2">
      <c r="A57891" s="3" t="str">
        <f>IFERROR(__xludf.DUMMYFUNCTION("GOOGLETRANSLATE(A57891,""en"",""pt"")"),"Pequeno, bateria de longa duração, muitos recursos.")</f>
        <v>Pequeno, bateria de longa duração, muitos recursos.</v>
      </c>
      <c r="B57891" s="3">
        <v>1</v>
      </c>
    </row>
    <row r="57892" ht="15.75" customHeight="1" spans="1:2">
      <c r="A57892" s="3" t="str">
        <f>IFERROR(__xludf.DUMMYFUNCTION("GOOGLETRANSLATE(A57892,""en"",""pt"")"),"muitos recursos avançados, agenda multi-entrada, marcação por voz, calendário / PIM, tela grande")</f>
        <v>muitos recursos avançados, agenda multi-entrada, marcação por voz, calendário / PIM, tela grande</v>
      </c>
      <c r="B57892" s="3">
        <v>1</v>
      </c>
    </row>
    <row r="57893" ht="15.75" customHeight="1" spans="1:2">
      <c r="A57893" s="3" t="str">
        <f>IFERROR(__xludf.DUMMYFUNCTION("GOOGLETRANSLATE(A57893,""en"",""pt"")"),"design geral bom")</f>
        <v>design geral bom</v>
      </c>
      <c r="B57893" s="3">
        <v>1</v>
      </c>
    </row>
    <row r="57894" ht="15.75" customHeight="1" spans="1:2">
      <c r="A57894" s="3" t="str">
        <f>IFERROR(__xludf.DUMMYFUNCTION("GOOGLETRANSLATE(A57894,""en"",""pt"")"),"O tamanho pequeno, recepção clara, tão fácil de usar-minha tecnologia pai prejudicada pode operá-lo.")</f>
        <v>O tamanho pequeno, recepção clara, tão fácil de usar-minha tecnologia pai prejudicada pode operá-lo.</v>
      </c>
      <c r="B57894" s="3">
        <v>1</v>
      </c>
    </row>
    <row r="57895" ht="15.75" customHeight="1" spans="1:2">
      <c r="A57895" s="3" t="str">
        <f>IFERROR(__xludf.DUMMYFUNCTION("GOOGLETRANSLATE(A57895,""en"",""pt"")"),"Toneladas de grandes recursos!")</f>
        <v>Toneladas de grandes recursos!</v>
      </c>
      <c r="B57895" s="3">
        <v>1</v>
      </c>
    </row>
    <row r="57896" ht="15.75" customHeight="1" spans="1:2">
      <c r="A57896" s="3" t="str">
        <f>IFERROR(__xludf.DUMMYFUNCTION("GOOGLETRANSLATE(A57896,""en"",""pt"")"),"bateria de longa duração, grande voz, características grande livro de telefone, grande tamanho, peso e sensação")</f>
        <v>bateria de longa duração, grande voz, características grande livro de telefone, grande tamanho, peso e sensação</v>
      </c>
      <c r="B57896" s="3">
        <v>1</v>
      </c>
    </row>
    <row r="57897" ht="15.75" customHeight="1" spans="1:2">
      <c r="A57897" s="3" t="str">
        <f>IFERROR(__xludf.DUMMYFUNCTION("GOOGLETRANSLATE(A57897,""en"",""pt"")"),"Enorme Display, robusto, Super Vida útil da bateria, T9 de reconhecimento de texto, repleto de funcionalidades")</f>
        <v>Enorme Display, robusto, Super Vida útil da bateria, T9 de reconhecimento de texto, repleto de funcionalidades</v>
      </c>
      <c r="B57897" s="3">
        <v>1</v>
      </c>
    </row>
    <row r="57898" ht="15.75" customHeight="1" spans="1:2">
      <c r="A57898" s="3" t="str">
        <f>IFERROR(__xludf.DUMMYFUNCTION("GOOGLETRANSLATE(A57898,""en"",""pt"")"),"As características, qualidade feita, recursos")</f>
        <v>As características, qualidade feita, recursos</v>
      </c>
      <c r="B57898" s="3">
        <v>1</v>
      </c>
    </row>
    <row r="57899" ht="15.75" customHeight="1" spans="1:2">
      <c r="A57899" s="3" t="str">
        <f>IFERROR(__xludf.DUMMYFUNCTION("GOOGLETRANSLATE(A57899,""en"",""pt"")"),"Viva-voz, tela grande, de alta qualidade")</f>
        <v>Viva-voz, tela grande, de alta qualidade</v>
      </c>
      <c r="B57899" s="3">
        <v>1</v>
      </c>
    </row>
    <row r="57900" ht="15.75" customHeight="1" spans="1:2">
      <c r="A57900" s="3" t="str">
        <f>IFERROR(__xludf.DUMMYFUNCTION("GOOGLETRANSLATE(A57900,""en"",""pt"")"),"muitos recursos, tela grande, pequeno, lightwieght,")</f>
        <v>muitos recursos, tela grande, pequeno, lightwieght,</v>
      </c>
      <c r="B57900" s="3">
        <v>1</v>
      </c>
    </row>
    <row r="57901" ht="15.75" customHeight="1" spans="1:2">
      <c r="A57901" s="3" t="str">
        <f>IFERROR(__xludf.DUMMYFUNCTION("GOOGLETRANSLATE(A57901,""en"",""pt"")"),"cheio de recursos, incluindo viva-voz")</f>
        <v>cheio de recursos, incluindo viva-voz</v>
      </c>
      <c r="B57901" s="3">
        <v>1</v>
      </c>
    </row>
    <row r="57902" ht="15.75" customHeight="1" spans="1:2">
      <c r="A57902" s="3" t="str">
        <f>IFERROR(__xludf.DUMMYFUNCTION("GOOGLETRANSLATE(A57902,""en"",""pt"")"),"Leia acima!")</f>
        <v>Leia acima!</v>
      </c>
      <c r="B57902" s="3">
        <v>1</v>
      </c>
    </row>
    <row r="57903" ht="15.75" customHeight="1" spans="1:2">
      <c r="A57903" s="3" t="s">
        <v>310</v>
      </c>
      <c r="B57903" s="3">
        <v>1</v>
      </c>
    </row>
    <row r="57904" ht="15.75" customHeight="1" spans="1:2">
      <c r="A57904" s="3" t="str">
        <f>IFERROR(__xludf.DUMMYFUNCTION("GOOGLETRANSLATE(A57904,""en"",""pt"")"),"Cor, novo tamanho menor, campainha muito alto, forte bateria vibrando mais longo")</f>
        <v>Cor, novo tamanho menor, campainha muito alto, forte bateria vibrando mais longo</v>
      </c>
      <c r="B57904" s="3">
        <v>1</v>
      </c>
    </row>
    <row r="57905" ht="15.75" customHeight="1" spans="1:2">
      <c r="A57905" s="3" t="str">
        <f>IFERROR(__xludf.DUMMYFUNCTION("GOOGLETRANSLATE(A57905,""en"",""pt"")"),"Bateria, estilo, tamanho, quase tudo.")</f>
        <v>Bateria, estilo, tamanho, quase tudo.</v>
      </c>
      <c r="B57905" s="3">
        <v>1</v>
      </c>
    </row>
    <row r="57906" ht="15.75" customHeight="1" spans="1:2">
      <c r="A57906" s="3" t="str">
        <f>IFERROR(__xludf.DUMMYFUNCTION("GOOGLETRANSLATE(A57906,""en"",""pt"")"),"Este telefone é muito confiável e os recursos de voz são divertidos para brincar.")</f>
        <v>Este telefone é muito confiável e os recursos de voz são divertidos para brincar.</v>
      </c>
      <c r="B57906" s="3">
        <v>1</v>
      </c>
    </row>
    <row r="57907" ht="15.75" customHeight="1" spans="1:2">
      <c r="A57907" s="3" t="str">
        <f>IFERROR(__xludf.DUMMYFUNCTION("GOOGLETRANSLATE(A57907,""en"",""pt"")"),"Tamanho, manuseio, tela grande, jogos, discagem por voz, agenda, catálogo de telefones")</f>
        <v>Tamanho, manuseio, tela grande, jogos, discagem por voz, agenda, catálogo de telefones</v>
      </c>
      <c r="B57907" s="3">
        <v>1</v>
      </c>
    </row>
    <row r="57908" ht="15.75" customHeight="1" spans="1:2">
      <c r="A57908" s="3" t="str">
        <f>IFERROR(__xludf.DUMMYFUNCTION("GOOGLETRANSLATE(A57908,""en"",""pt"")"),"Melhor recepção, juntamente com clareza, durabilidade para usuários de alta utilização.")</f>
        <v>Melhor recepção, juntamente com clareza, durabilidade para usuários de alta utilização.</v>
      </c>
      <c r="B57908" s="3">
        <v>1</v>
      </c>
    </row>
    <row r="57909" ht="15.75" customHeight="1" spans="1:2">
      <c r="A57909" s="3" t="str">
        <f>IFERROR(__xludf.DUMMYFUNCTION("GOOGLETRANSLATE(A57909,""en"",""pt"")"),"Características, tamanho")</f>
        <v>Características, tamanho</v>
      </c>
      <c r="B57909" s="3">
        <v>1</v>
      </c>
    </row>
    <row r="57910" ht="15.75" customHeight="1" spans="1:2">
      <c r="A57910" s="3" t="str">
        <f>IFERROR(__xludf.DUMMYFUNCTION("GOOGLETRANSLATE(A57910,""en"",""pt"")"),"Design atraente. Tem tudo que você poderia querer em um telefone PCS.")</f>
        <v>Design atraente. Tem tudo que você poderia querer em um telefone PCS.</v>
      </c>
      <c r="B57910" s="3">
        <v>1</v>
      </c>
    </row>
    <row r="57911" ht="15.75" customHeight="1" spans="1:2">
      <c r="A57911" s="3" t="str">
        <f>IFERROR(__xludf.DUMMYFUNCTION("GOOGLETRANSLATE(A57911,""en"",""pt"")"),"Muitas, muitas, características. Muitos para citar.")</f>
        <v>Muitas, muitas, características. Muitos para citar.</v>
      </c>
      <c r="B57911" s="3">
        <v>1</v>
      </c>
    </row>
    <row r="57912" ht="15.75" customHeight="1" spans="1:2">
      <c r="A57912" s="3" t="str">
        <f>IFERROR(__xludf.DUMMYFUNCTION("GOOGLETRANSLATE(A57912,""en"",""pt"")"),"versitility")</f>
        <v>versitility</v>
      </c>
      <c r="B57912" s="3">
        <v>1</v>
      </c>
    </row>
    <row r="57913" ht="15.75" customHeight="1" spans="1:2">
      <c r="A57913" s="3" t="str">
        <f>IFERROR(__xludf.DUMMYFUNCTION("GOOGLETRANSLATE(A57913,""en"",""pt"")"),"construção de qualidade, compacto, EXCEPCIONAL PHONEBOOK .. PERÍODO User Friendly")</f>
        <v>construção de qualidade, compacto, EXCEPCIONAL PHONEBOOK .. PERÍODO User Friendly</v>
      </c>
      <c r="B57913" s="3">
        <v>1</v>
      </c>
    </row>
    <row r="57914" ht="15.75" customHeight="1" spans="1:2">
      <c r="A57914" s="3" t="str">
        <f>IFERROR(__xludf.DUMMYFUNCTION("GOOGLETRANSLATE(A57914,""en"",""pt"")"),"Grandes recursos, pequeno pacote")</f>
        <v>Grandes recursos, pequeno pacote</v>
      </c>
      <c r="B57914" s="3">
        <v>1</v>
      </c>
    </row>
    <row r="57915" ht="15.75" customHeight="1" spans="1:2">
      <c r="A57915" s="3" t="str">
        <f>IFERROR(__xludf.DUMMYFUNCTION("GOOGLETRANSLATE(A57915,""en"",""pt"")"),"Funciona muito bem, Crystal Clear Sound, toneladas de opções")</f>
        <v>Funciona muito bem, Crystal Clear Sound, toneladas de opções</v>
      </c>
      <c r="B57915" s="3">
        <v>1</v>
      </c>
    </row>
    <row r="57916" ht="15.75" customHeight="1" spans="1:2">
      <c r="A57916" s="3" t="str">
        <f>IFERROR(__xludf.DUMMYFUNCTION("GOOGLETRANSLATE(A57916,""en"",""pt"")"),"A vida da bateria, tamanho, comunicador de voz")</f>
        <v>A vida da bateria, tamanho, comunicador de voz</v>
      </c>
      <c r="B57916" s="3">
        <v>1</v>
      </c>
    </row>
    <row r="57917" ht="15.75" customHeight="1" spans="1:2">
      <c r="A57917" s="3" t="str">
        <f>IFERROR(__xludf.DUMMYFUNCTION("GOOGLETRANSLATE(A57917,""en"",""pt"")"),"Pequeno, leve, excelente vida útil da bateria.")</f>
        <v>Pequeno, leve, excelente vida útil da bateria.</v>
      </c>
      <c r="B57917" s="3">
        <v>1</v>
      </c>
    </row>
    <row r="57918" ht="15.75" customHeight="1" spans="1:2">
      <c r="A57918" s="3" t="str">
        <f>IFERROR(__xludf.DUMMYFUNCTION("GOOGLETRANSLATE(A57918,""en"",""pt"")"),"Wonderful Interface, elegante e fácil de usar")</f>
        <v>Wonderful Interface, elegante e fácil de usar</v>
      </c>
      <c r="B57918" s="3">
        <v>1</v>
      </c>
    </row>
    <row r="57919" ht="15.75" customHeight="1" spans="1:2">
      <c r="A57919" s="3" t="str">
        <f>IFERROR(__xludf.DUMMYFUNCTION("GOOGLETRANSLATE(A57919,""en"",""pt"")"),"bom controle de voz")</f>
        <v>bom controle de voz</v>
      </c>
      <c r="B57919" s="3">
        <v>1</v>
      </c>
    </row>
    <row r="57920" ht="15.75" customHeight="1" spans="1:2">
      <c r="A57920" s="3" t="str">
        <f>IFERROR(__xludf.DUMMYFUNCTION("GOOGLETRANSLATE(A57920,""en"",""pt"")"),"Pequeno, leve e fácil de usar. Boa duração da bateria")</f>
        <v>Pequeno, leve e fácil de usar. Boa duração da bateria</v>
      </c>
      <c r="B57920" s="3">
        <v>1</v>
      </c>
    </row>
    <row r="57921" ht="15.75" customHeight="1" spans="1:2">
      <c r="A57921" s="3" t="str">
        <f>IFERROR(__xludf.DUMMYFUNCTION("GOOGLETRANSLATE(A57921,""en"",""pt"")"),"Compacto e fácil botões de acesso")</f>
        <v>Compacto e fácil botões de acesso</v>
      </c>
      <c r="B57921" s="3">
        <v>1</v>
      </c>
    </row>
    <row r="57922" ht="15.75" customHeight="1" spans="1:2">
      <c r="A57922" s="3" t="str">
        <f>IFERROR(__xludf.DUMMYFUNCTION("GOOGLETRANSLATE(A57922,""en"",""pt"")"),"bateria de longa duração, leve, fácil de usar, livre após o desconto.")</f>
        <v>bateria de longa duração, leve, fácil de usar, livre após o desconto.</v>
      </c>
      <c r="B57922" s="3">
        <v>1</v>
      </c>
    </row>
    <row r="57923" ht="15.75" customHeight="1" spans="1:2">
      <c r="A57923" s="3" t="str">
        <f>IFERROR(__xludf.DUMMYFUNCTION("GOOGLETRANSLATE(A57923,""en"",""pt"")"),"... Grandes combinações de características; Pequeno, mas funcional Package ...")</f>
        <v>... Grandes combinações de características; Pequeno, mas funcional Package ...</v>
      </c>
      <c r="B57923" s="3">
        <v>1</v>
      </c>
    </row>
    <row r="57924" ht="15.75" customHeight="1" spans="1:2">
      <c r="A57924" s="3" t="str">
        <f>IFERROR(__xludf.DUMMYFUNCTION("GOOGLETRANSLATE(A57924,""en"",""pt"")"),"O menor (até agora)")</f>
        <v>O menor (até agora)</v>
      </c>
      <c r="B57924" s="3">
        <v>1</v>
      </c>
    </row>
    <row r="57925" ht="15.75" customHeight="1" spans="1:2">
      <c r="A57925" s="3" t="str">
        <f>IFERROR(__xludf.DUMMYFUNCTION("GOOGLETRANSLATE(A57925,""en"",""pt"")"),"Pequeno, pequeno, pequeno")</f>
        <v>Pequeno, pequeno, pequeno</v>
      </c>
      <c r="B57925" s="3">
        <v>1</v>
      </c>
    </row>
    <row r="57926" ht="15.75" customHeight="1" spans="1:2">
      <c r="A57926" s="3" t="str">
        <f>IFERROR(__xludf.DUMMYFUNCTION("GOOGLETRANSLATE(A57926,""en"",""pt"")"),"leve, pequena, grande recepção, grande autonomia da bateria, toneladas de opções")</f>
        <v>leve, pequena, grande recepção, grande autonomia da bateria, toneladas de opções</v>
      </c>
      <c r="B57926" s="3">
        <v>1</v>
      </c>
    </row>
    <row r="57927" ht="15.75" customHeight="1" spans="1:2">
      <c r="A57927" s="3" t="str">
        <f>IFERROR(__xludf.DUMMYFUNCTION("GOOGLETRANSLATE(A57927,""en"",""pt"")"),"tamanho pequeno, leve")</f>
        <v>tamanho pequeno, leve</v>
      </c>
      <c r="B57927" s="3">
        <v>1</v>
      </c>
    </row>
    <row r="57928" ht="15.75" customHeight="1" spans="1:2">
      <c r="A57928" s="3" t="str">
        <f>IFERROR(__xludf.DUMMYFUNCTION("GOOGLETRANSLATE(A57928,""en"",""pt"")"),"pequeno, leve, pequeno, leve, pequeno ...")</f>
        <v>pequeno, leve, pequeno, leve, pequeno ...</v>
      </c>
      <c r="B57928" s="3">
        <v>1</v>
      </c>
    </row>
    <row r="57929" ht="15.75" customHeight="1" spans="1:2">
      <c r="A57929" s="3" t="str">
        <f>IFERROR(__xludf.DUMMYFUNCTION("GOOGLETRANSLATE(A57929,""en"",""pt"")"),"Pequeno, funcional, a opção web sem fio, a vida da bateria decente com bateria incluída")</f>
        <v>Pequeno, funcional, a opção web sem fio, a vida da bateria decente com bateria incluída</v>
      </c>
      <c r="B57929" s="3">
        <v>1</v>
      </c>
    </row>
    <row r="57930" ht="15.75" customHeight="1" spans="1:2">
      <c r="A57930" s="3" t="str">
        <f>IFERROR(__xludf.DUMMYFUNCTION("GOOGLETRANSLATE(A57930,""en"",""pt"")"),"belo design, boa recepção, display holográfico")</f>
        <v>belo design, boa recepção, display holográfico</v>
      </c>
      <c r="B57930" s="3">
        <v>1</v>
      </c>
    </row>
    <row r="57931" ht="15.75" customHeight="1" spans="1:2">
      <c r="A57931" s="3" t="str">
        <f>IFERROR(__xludf.DUMMYFUNCTION("GOOGLETRANSLATE(A57931,""en"",""pt"")"),"Extremamente pequeno, mas confortável de segurar; muito bom design e funcionalidade; grande UI; parece legal!")</f>
        <v>Extremamente pequeno, mas confortável de segurar; muito bom design e funcionalidade; grande UI; parece legal!</v>
      </c>
      <c r="B57931" s="3">
        <v>1</v>
      </c>
    </row>
    <row r="57932" ht="15.75" customHeight="1" spans="1:2">
      <c r="A57932" s="3" t="str">
        <f>IFERROR(__xludf.DUMMYFUNCTION("GOOGLETRANSLATE(A57932,""en"",""pt"")"),"Parece incrível, funciona muito bem, impressiona as pessoas")</f>
        <v>Parece incrível, funciona muito bem, impressiona as pessoas</v>
      </c>
      <c r="B57932" s="3">
        <v>1</v>
      </c>
    </row>
    <row r="57933" ht="15.75" customHeight="1" spans="1:2">
      <c r="A57933" s="3" t="str">
        <f>IFERROR(__xludf.DUMMYFUNCTION("GOOGLETRANSLATE(A57933,""en"",""pt"")"),"Super-pequeno e super-cool; web-enabled")</f>
        <v>Super-pequeno e super-cool; web-enabled</v>
      </c>
      <c r="B57933" s="3">
        <v>1</v>
      </c>
    </row>
    <row r="57934" ht="15.75" customHeight="1" spans="1:2">
      <c r="A57934" s="3" t="str">
        <f>IFERROR(__xludf.DUMMYFUNCTION("GOOGLETRANSLATE(A57934,""en"",""pt"")"),"tamanho e recepção são impressionantes")</f>
        <v>tamanho e recepção são impressionantes</v>
      </c>
      <c r="B57934" s="3">
        <v>1</v>
      </c>
    </row>
    <row r="57935" ht="15.75" customHeight="1" spans="1:2">
      <c r="A57935" s="3" t="str">
        <f>IFERROR(__xludf.DUMMYFUNCTION("GOOGLETRANSLATE(A57935,""en"",""pt"")"),"tamanho, duração da bateria, estilo, características")</f>
        <v>tamanho, duração da bateria, estilo, características</v>
      </c>
      <c r="B57935" s="3">
        <v>1</v>
      </c>
    </row>
    <row r="57936" ht="15.75" customHeight="1" spans="1:2">
      <c r="A57936" s="3" t="str">
        <f>IFERROR(__xludf.DUMMYFUNCTION("GOOGLETRANSLATE(A57936,""en"",""pt"")"),"Tamanho, poder, atitude")</f>
        <v>Tamanho, poder, atitude</v>
      </c>
      <c r="B57936" s="3">
        <v>1</v>
      </c>
    </row>
    <row r="57937" ht="15.75" customHeight="1" spans="1:2">
      <c r="A57937" s="3" t="str">
        <f>IFERROR(__xludf.DUMMYFUNCTION("GOOGLETRANSLATE(A57937,""en"",""pt"")"),"tamanho pequeno")</f>
        <v>tamanho pequeno</v>
      </c>
      <c r="B57937" s="3">
        <v>1</v>
      </c>
    </row>
    <row r="57938" ht="15.75" customHeight="1" spans="1:2">
      <c r="A57938" s="3" t="str">
        <f>IFERROR(__xludf.DUMMYFUNCTION("GOOGLETRANSLATE(A57938,""en"",""pt"")"),"Excelente design, livro inteligente telefone")</f>
        <v>Excelente design, livro inteligente telefone</v>
      </c>
      <c r="B57938" s="3">
        <v>1</v>
      </c>
    </row>
    <row r="57939" ht="15.75" customHeight="1" spans="1:2">
      <c r="A57939" s="3" t="str">
        <f>IFERROR(__xludf.DUMMYFUNCTION("GOOGLETRANSLATE(A57939,""en"",""pt"")"),"Tamanho, facilidade de uso")</f>
        <v>Tamanho, facilidade de uso</v>
      </c>
      <c r="B57939" s="3">
        <v>1</v>
      </c>
    </row>
    <row r="57940" ht="15.75" customHeight="1" spans="1:2">
      <c r="A57940" s="3" t="str">
        <f>IFERROR(__xludf.DUMMYFUNCTION("GOOGLETRANSLATE(A57940,""en"",""pt"")"),"Leve, durável, muitas opções.")</f>
        <v>Leve, durável, muitas opções.</v>
      </c>
      <c r="B57940" s="3">
        <v>1</v>
      </c>
    </row>
    <row r="57941" ht="15.75" customHeight="1" spans="1:2">
      <c r="A57941" s="3" t="str">
        <f>IFERROR(__xludf.DUMMYFUNCTION("GOOGLETRANSLATE(A57941,""en"",""pt"")"),"Tamanho, peso")</f>
        <v>Tamanho, peso</v>
      </c>
      <c r="B57941" s="3">
        <v>1</v>
      </c>
    </row>
    <row r="57942" ht="15.75" customHeight="1" spans="1:2">
      <c r="A57942" s="3" t="str">
        <f>IFERROR(__xludf.DUMMYFUNCTION("GOOGLETRANSLATE(A57942,""en"",""pt"")"),"depósito No. bonito e pequeno, de modo dual, minibrowser, o preço desceu muito.")</f>
        <v>depósito No. bonito e pequeno, de modo dual, minibrowser, o preço desceu muito.</v>
      </c>
      <c r="B57942" s="3">
        <v>1</v>
      </c>
    </row>
    <row r="57943" ht="15.75" customHeight="1" spans="1:2">
      <c r="A57943" s="3" t="str">
        <f>IFERROR(__xludf.DUMMYFUNCTION("GOOGLETRANSLATE(A57943,""en"",""pt"")"),"O tamanho pequeno, qualidades estéticas")</f>
        <v>O tamanho pequeno, qualidades estéticas</v>
      </c>
      <c r="B57943" s="3">
        <v>1</v>
      </c>
    </row>
    <row r="57944" ht="15.75" customHeight="1" spans="1:2">
      <c r="A57944" s="3" t="str">
        <f>IFERROR(__xludf.DUMMYFUNCTION("GOOGLETRANSLATE(A57944,""en"",""pt"")"),"Tamanho, peso, características, recepção.")</f>
        <v>Tamanho, peso, características, recepção.</v>
      </c>
      <c r="B57944" s="3">
        <v>1</v>
      </c>
    </row>
    <row r="57945" ht="15.75" customHeight="1" spans="1:2">
      <c r="A57945" s="3" t="str">
        <f>IFERROR(__xludf.DUMMYFUNCTION("GOOGLETRANSLATE(A57945,""en"",""pt"")"),"TUDO")</f>
        <v>TUDO</v>
      </c>
      <c r="B57945" s="3">
        <v>1</v>
      </c>
    </row>
    <row r="57946" ht="15.75" customHeight="1" spans="1:2">
      <c r="A57946" s="3" t="str">
        <f>IFERROR(__xludf.DUMMYFUNCTION("GOOGLETRANSLATE(A57946,""en"",""pt"")"),"Tamanho grande, bom som")</f>
        <v>Tamanho grande, bom som</v>
      </c>
      <c r="B57946" s="3">
        <v>1</v>
      </c>
    </row>
    <row r="57947" ht="15.75" customHeight="1" spans="1:2">
      <c r="A57947" s="3" t="str">
        <f>IFERROR(__xludf.DUMMYFUNCTION("GOOGLETRANSLATE(A57947,""en"",""pt"")"),"Tamanho, Sentir, Qualidade")</f>
        <v>Tamanho, Sentir, Qualidade</v>
      </c>
      <c r="B57947" s="3">
        <v>1</v>
      </c>
    </row>
    <row r="57948" ht="15.75" customHeight="1" spans="1:2">
      <c r="A57948" s="3" t="str">
        <f>IFERROR(__xludf.DUMMYFUNCTION("GOOGLETRANSLATE(A57948,""en"",""pt"")"),"Este é o mais legal procurando telefone!")</f>
        <v>Este é o mais legal procurando telefone!</v>
      </c>
      <c r="B57948" s="3">
        <v>1</v>
      </c>
    </row>
    <row r="57949" ht="15.75" customHeight="1" spans="1:2">
      <c r="A57949" s="3" t="str">
        <f>IFERROR(__xludf.DUMMYFUNCTION("GOOGLETRANSLATE(A57949,""en"",""pt"")"),"Pequeno, atraente, grande livro de telefone")</f>
        <v>Pequeno, atraente, grande livro de telefone</v>
      </c>
      <c r="B57949" s="3">
        <v>1</v>
      </c>
    </row>
    <row r="57950" ht="15.75" customHeight="1" spans="1:2">
      <c r="A57950" s="3" t="str">
        <f>IFERROR(__xludf.DUMMYFUNCTION("GOOGLETRANSLATE(A57950,""en"",""pt"")"),"MELHOR TELEFONE NO MUNDO INTEIRO")</f>
        <v>MELHOR TELEFONE NO MUNDO INTEIRO</v>
      </c>
      <c r="B57950" s="3">
        <v>1</v>
      </c>
    </row>
    <row r="57951" ht="15.75" customHeight="1" spans="1:2">
      <c r="A57951" s="3" t="str">
        <f>IFERROR(__xludf.DUMMYFUNCTION("GOOGLETRANSLATE(A57951,""en"",""pt"")"),"Nice pequeno fator de forma, olhar fresco")</f>
        <v>Nice pequeno fator de forma, olhar fresco</v>
      </c>
      <c r="B57951" s="3">
        <v>1</v>
      </c>
    </row>
    <row r="57952" ht="15.75" customHeight="1" spans="1:2">
      <c r="A57952" s="3" t="str">
        <f>IFERROR(__xludf.DUMMYFUNCTION("GOOGLETRANSLATE(A57952,""en"",""pt"")"),"tamanho pequeno")</f>
        <v>tamanho pequeno</v>
      </c>
      <c r="B57952" s="3">
        <v>1</v>
      </c>
    </row>
    <row r="57953" ht="15.75" customHeight="1" spans="1:2">
      <c r="A57953" s="3" t="str">
        <f>IFERROR(__xludf.DUMMYFUNCTION("GOOGLETRANSLATE(A57953,""en"",""pt"")"),"tamanho extra pequeno, cores diferentes para escolher")</f>
        <v>tamanho extra pequeno, cores diferentes para escolher</v>
      </c>
      <c r="B57953" s="3">
        <v>1</v>
      </c>
    </row>
    <row r="57954" ht="15.75" customHeight="1" spans="1:2">
      <c r="A57954" s="3" t="str">
        <f>IFERROR(__xludf.DUMMYFUNCTION("GOOGLETRANSLATE(A57954,""en"",""pt"")"),"tamanho muito pequeno, bateria de longa duração.")</f>
        <v>tamanho muito pequeno, bateria de longa duração.</v>
      </c>
      <c r="B57954" s="3">
        <v>1</v>
      </c>
    </row>
    <row r="57955" ht="15.75" customHeight="1" spans="1:2">
      <c r="A57955" s="3" t="str">
        <f>IFERROR(__xludf.DUMMYFUNCTION("GOOGLETRANSLATE(A57955,""en"",""pt"")"),"pequeno, leve, durável, fácil de usar")</f>
        <v>pequeno, leve, durável, fácil de usar</v>
      </c>
      <c r="B57955" s="3">
        <v>1</v>
      </c>
    </row>
    <row r="57956" ht="15.75" customHeight="1" spans="1:2">
      <c r="A57956" s="3" t="str">
        <f>IFERROR(__xludf.DUMMYFUNCTION("GOOGLETRANSLATE(A57956,""en"",""pt"")"),"muito pequena e fina")</f>
        <v>muito pequena e fina</v>
      </c>
      <c r="B57956" s="3">
        <v>1</v>
      </c>
    </row>
    <row r="57957" ht="15.75" customHeight="1" spans="1:2">
      <c r="A57957" s="3" t="str">
        <f>IFERROR(__xludf.DUMMYFUNCTION("GOOGLETRANSLATE(A57957,""en"",""pt"")"),"Luz, conveinent de transportar, recepção.")</f>
        <v>Luz, conveinent de transportar, recepção.</v>
      </c>
      <c r="B57957" s="3">
        <v>1</v>
      </c>
    </row>
    <row r="57958" ht="15.75" customHeight="1" spans="1:2">
      <c r="A57958" s="3" t="str">
        <f>IFERROR(__xludf.DUMMYFUNCTION("GOOGLETRANSLATE(A57958,""en"",""pt"")"),"Grande tela, qualidade de voz, telefone chamariz-livre")</f>
        <v>Grande tela, qualidade de voz, telefone chamariz-livre</v>
      </c>
      <c r="B57958" s="3">
        <v>1</v>
      </c>
    </row>
    <row r="57959" ht="15.75" customHeight="1" spans="1:2">
      <c r="A57959" s="3" t="str">
        <f>IFERROR(__xludf.DUMMYFUNCTION("GOOGLETRANSLATE(A57959,""en"",""pt"")"),"Todas as características técnicas.")</f>
        <v>Todas as características técnicas.</v>
      </c>
      <c r="B57959" s="3">
        <v>1</v>
      </c>
    </row>
    <row r="57960" ht="15.75" customHeight="1" spans="1:2">
      <c r="A57960" s="3" t="str">
        <f>IFERROR(__xludf.DUMMYFUNCTION("GOOGLETRANSLATE(A57960,""en"",""pt"")"),"All-in-one Communicator, GPRS Support, e teclado conveniente")</f>
        <v>All-in-one Communicator, GPRS Support, e teclado conveniente</v>
      </c>
      <c r="B57960" s="3">
        <v>1</v>
      </c>
    </row>
    <row r="57961" ht="15.75" customHeight="1" spans="1:2">
      <c r="A57961" s="3" t="str">
        <f>IFERROR(__xludf.DUMMYFUNCTION("GOOGLETRANSLATE(A57961,""en"",""pt"")"),"Uma tonelada de características diferentes, como avançado um telefone como você vai encontrar")</f>
        <v>Uma tonelada de características diferentes, como avançado um telefone como você vai encontrar</v>
      </c>
      <c r="B57961" s="3">
        <v>1</v>
      </c>
    </row>
    <row r="57962" ht="15.75" customHeight="1" spans="1:2">
      <c r="A57962" s="3" t="str">
        <f>IFERROR(__xludf.DUMMYFUNCTION("GOOGLETRANSLATE(A57962,""en"",""pt"")"),"Grandes recursos, muito duráveis, simples e fácil de usar.")</f>
        <v>Grandes recursos, muito duráveis, simples e fácil de usar.</v>
      </c>
      <c r="B57962" s="3">
        <v>1</v>
      </c>
    </row>
    <row r="57963" ht="15.75" customHeight="1" spans="1:2">
      <c r="A57963" s="3" t="str">
        <f>IFERROR(__xludf.DUMMYFUNCTION("GOOGLETRANSLATE(A57963,""en"",""pt"")"),"Viva-voz, conexão, maior tela colorida direta, fácil de navegar e menus personalizáveis")</f>
        <v>Viva-voz, conexão, maior tela colorida direta, fácil de navegar e menus personalizáveis</v>
      </c>
      <c r="B57963" s="3">
        <v>1</v>
      </c>
    </row>
    <row r="57964" ht="15.75" customHeight="1" spans="1:2">
      <c r="A57964" s="3" t="str">
        <f>IFERROR(__xludf.DUMMYFUNCTION("GOOGLETRANSLATE(A57964,""en"",""pt"")"),"tela grande para telefone flip, muito legal características, cor, COLOR")</f>
        <v>tela grande para telefone flip, muito legal características, cor, COLOR</v>
      </c>
      <c r="B57964" s="3">
        <v>1</v>
      </c>
    </row>
    <row r="57965" ht="15.75" customHeight="1" spans="1:2">
      <c r="A57965" s="3" t="str">
        <f>IFERROR(__xludf.DUMMYFUNCTION("GOOGLETRANSLATE(A57965,""en"",""pt"")"),"características surpreendentes, grande cobertura, resistente, boa vida útil da bateria, tela cor agradável.")</f>
        <v>características surpreendentes, grande cobertura, resistente, boa vida útil da bateria, tela cor agradável.</v>
      </c>
      <c r="B57965" s="3">
        <v>1</v>
      </c>
    </row>
    <row r="57966" ht="15.75" customHeight="1" spans="1:2">
      <c r="A57966" s="3" t="str">
        <f>IFERROR(__xludf.DUMMYFUNCTION("GOOGLETRANSLATE(A57966,""en"",""pt"")"),"tela grande cor, externa Caller ID, botões iluminados, viva-voz excelente.")</f>
        <v>tela grande cor, externa Caller ID, botões iluminados, viva-voz excelente.</v>
      </c>
      <c r="B57966" s="3">
        <v>1</v>
      </c>
    </row>
    <row r="57967" ht="15.75" customHeight="1" spans="1:2">
      <c r="A57967" s="3" t="s">
        <v>311</v>
      </c>
      <c r="B57967" s="3">
        <v>1</v>
      </c>
    </row>
    <row r="57968" ht="15.75" customHeight="1" spans="1:2">
      <c r="A57968" s="3" t="str">
        <f>IFERROR(__xludf.DUMMYFUNCTION("GOOGLETRANSLATE(A57968,""en"",""pt"")"),"dirigir recurso de conexão, cor, muitas opções e programas.")</f>
        <v>dirigir recurso de conexão, cor, muitas opções e programas.</v>
      </c>
      <c r="B57968" s="3">
        <v>1</v>
      </c>
    </row>
    <row r="57969" ht="15.75" customHeight="1" spans="1:2">
      <c r="A57969" s="3" t="str">
        <f>IFERROR(__xludf.DUMMYFUNCTION("GOOGLETRANSLATE(A57969,""en"",""pt"")"),"Grande display, alto-falante, dentro de sinal grande e fora")</f>
        <v>Grande display, alto-falante, dentro de sinal grande e fora</v>
      </c>
      <c r="B57969" s="3">
        <v>1</v>
      </c>
    </row>
    <row r="57970" ht="15.75" customHeight="1" spans="1:2">
      <c r="A57970" s="3" t="str">
        <f>IFERROR(__xludf.DUMMYFUNCTION("GOOGLETRANSLATE(A57970,""en"",""pt"")"),"tela colorida agradável, boa telefone flip, downloadables divertidas")</f>
        <v>tela colorida agradável, boa telefone flip, downloadables divertidas</v>
      </c>
      <c r="B57970" s="3">
        <v>1</v>
      </c>
    </row>
    <row r="57971" ht="15.75" customHeight="1" spans="1:2">
      <c r="A57971" s="3" t="str">
        <f>IFERROR(__xludf.DUMMYFUNCTION("GOOGLETRANSLATE(A57971,""en"",""pt"")"),"Fácil de usar, tela colorida, carregado w / toques, e screensavers.")</f>
        <v>Fácil de usar, tela colorida, carregado w / toques, e screensavers.</v>
      </c>
      <c r="B57971" s="3">
        <v>1</v>
      </c>
    </row>
    <row r="57972" ht="15.75" customHeight="1" spans="1:2">
      <c r="A57972" s="3" t="str">
        <f>IFERROR(__xludf.DUMMYFUNCTION("GOOGLETRANSLATE(A57972,""en"",""pt"")"),"Tela cor, tamanho pequeno, a opção PTT")</f>
        <v>Tela cor, tamanho pequeno, a opção PTT</v>
      </c>
      <c r="B57972" s="3">
        <v>1</v>
      </c>
    </row>
    <row r="57973" ht="15.75" customHeight="1" spans="1:2">
      <c r="A57973" s="3" t="str">
        <f>IFERROR(__xludf.DUMMYFUNCTION("GOOGLETRANSLATE(A57973,""en"",""pt"")"),"grande tela colorida, Lotes das características, recurso de conexão direta")</f>
        <v>grande tela colorida, Lotes das características, recurso de conexão direta</v>
      </c>
      <c r="B57973" s="3">
        <v>1</v>
      </c>
    </row>
    <row r="57974" ht="15.75" customHeight="1" spans="1:2">
      <c r="A57974" s="3" t="str">
        <f>IFERROR(__xludf.DUMMYFUNCTION("GOOGLETRANSLATE(A57974,""en"",""pt"")"),"Cor, Opções")</f>
        <v>Cor, Opções</v>
      </c>
      <c r="B57974" s="3">
        <v>1</v>
      </c>
    </row>
    <row r="57975" ht="15.75" customHeight="1" spans="1:2">
      <c r="A57975" s="3" t="str">
        <f>IFERROR(__xludf.DUMMYFUNCTION("GOOGLETRANSLATE(A57975,""en"",""pt"")"),"grande tela colorida, customizável papel de parede e tons de toque, a aparência afiada.")</f>
        <v>grande tela colorida, customizável papel de parede e tons de toque, a aparência afiada.</v>
      </c>
      <c r="B57975" s="3">
        <v>1</v>
      </c>
    </row>
    <row r="57976" ht="15.75" customHeight="1" spans="1:2">
      <c r="A57976" s="3" t="str">
        <f>IFERROR(__xludf.DUMMYFUNCTION("GOOGLETRANSLATE(A57976,""en"",""pt"")"),"grande display colorido, grandes recursos")</f>
        <v>grande display colorido, grandes recursos</v>
      </c>
      <c r="B57976" s="3">
        <v>1</v>
      </c>
    </row>
    <row r="57977" ht="15.75" customHeight="1" spans="1:2">
      <c r="A57977" s="3" t="str">
        <f>IFERROR(__xludf.DUMMYFUNCTION("GOOGLETRANSLATE(A57977,""en"",""pt"")"),"Cheio de recursos e lighweight")</f>
        <v>Cheio de recursos e lighweight</v>
      </c>
      <c r="B57977" s="3">
        <v>1</v>
      </c>
    </row>
    <row r="57978" ht="15.75" customHeight="1" spans="1:2">
      <c r="A57978" s="3" t="str">
        <f>IFERROR(__xludf.DUMMYFUNCTION("GOOGLETRANSLATE(A57978,""en"",""pt"")"),"Navegador Internet, reconhecimento de voz, elegante e muito Lite.")</f>
        <v>Navegador Internet, reconhecimento de voz, elegante e muito Lite.</v>
      </c>
      <c r="B57978" s="3">
        <v>1</v>
      </c>
    </row>
    <row r="57979" ht="15.75" customHeight="1" spans="1:2">
      <c r="A57979" s="3" t="str">
        <f>IFERROR(__xludf.DUMMYFUNCTION("GOOGLETRANSLATE(A57979,""en"",""pt"")"),"é um telefone &amp; amp; ele funciona, discagem de áudio")</f>
        <v>é um telefone &amp; amp; ele funciona, discagem de áudio</v>
      </c>
      <c r="B57979" s="3">
        <v>1</v>
      </c>
    </row>
    <row r="57980" ht="15.75" customHeight="1" spans="1:2">
      <c r="A57980" s="3" t="str">
        <f>IFERROR(__xludf.DUMMYFUNCTION("GOOGLETRANSLATE(A57980,""en"",""pt"")"),"grande telefone")</f>
        <v>grande telefone</v>
      </c>
      <c r="B57980" s="3">
        <v>1</v>
      </c>
    </row>
    <row r="57981" ht="15.75" customHeight="1" spans="1:2">
      <c r="A57981" s="3" t="str">
        <f>IFERROR(__xludf.DUMMYFUNCTION("GOOGLETRANSLATE(A57981,""en"",""pt"")"),"fino, reconhecimento de voz, a preços acessíveis")</f>
        <v>fino, reconhecimento de voz, a preços acessíveis</v>
      </c>
      <c r="B57981" s="3">
        <v>1</v>
      </c>
    </row>
    <row r="57982" ht="15.75" customHeight="1" spans="1:2">
      <c r="A57982" s="3" t="str">
        <f>IFERROR(__xludf.DUMMYFUNCTION("GOOGLETRANSLATE(A57982,""en"",""pt"")"),"Muitos recursos para muito menos dinheiro nos dias de hoje. Lightweight. Robusto. bateria de longa duração.")</f>
        <v>Muitos recursos para muito menos dinheiro nos dias de hoje. Lightweight. Robusto. bateria de longa duração.</v>
      </c>
      <c r="B57982" s="3">
        <v>1</v>
      </c>
    </row>
    <row r="57983" ht="15.75" customHeight="1" spans="1:2">
      <c r="A57983" s="3" t="str">
        <f>IFERROR(__xludf.DUMMYFUNCTION("GOOGLETRANSLATE(A57983,""en"",""pt"")"),"A vida da bateria, tri-mode, o tamanho da lista telefónica, marcação por voz")</f>
        <v>A vida da bateria, tri-mode, o tamanho da lista telefónica, marcação por voz</v>
      </c>
      <c r="B57983" s="3">
        <v>1</v>
      </c>
    </row>
    <row r="57984" ht="15.75" customHeight="1" spans="1:2">
      <c r="A57984" s="3" t="str">
        <f>IFERROR(__xludf.DUMMYFUNCTION("GOOGLETRANSLATE(A57984,""en"",""pt"")"),"As chamadas são claro, rico em recursos, configurações Rico")</f>
        <v>As chamadas são claro, rico em recursos, configurações Rico</v>
      </c>
      <c r="B57984" s="3">
        <v>1</v>
      </c>
    </row>
    <row r="57985" ht="15.75" customHeight="1" spans="1:2">
      <c r="A57985" s="3" t="str">
        <f>IFERROR(__xludf.DUMMYFUNCTION("GOOGLETRANSLATE(A57985,""en"",""pt"")"),"Todas as características, bateria fantástica, luz")</f>
        <v>Todas as características, bateria fantástica, luz</v>
      </c>
      <c r="B57985" s="3">
        <v>1</v>
      </c>
    </row>
    <row r="57986" ht="15.75" customHeight="1" spans="1:2">
      <c r="A57986" s="3" t="str">
        <f>IFERROR(__xludf.DUMMYFUNCTION("GOOGLETRANSLATE(A57986,""en"",""pt"")"),"Boa duração da bateria; fácil de usar")</f>
        <v>Boa duração da bateria; fácil de usar</v>
      </c>
      <c r="B57986" s="3">
        <v>1</v>
      </c>
    </row>
    <row r="57987" ht="15.75" customHeight="1" spans="1:2">
      <c r="A57987" s="3" t="str">
        <f>IFERROR(__xludf.DUMMYFUNCTION("GOOGLETRANSLATE(A57987,""en"",""pt"")"),"Fácil de usar, looooong vida útil da bateria.")</f>
        <v>Fácil de usar, looooong vida útil da bateria.</v>
      </c>
      <c r="B57987" s="3">
        <v>1</v>
      </c>
    </row>
    <row r="57988" ht="15.75" customHeight="1" spans="1:2">
      <c r="A57988" s="3" t="str">
        <f>IFERROR(__xludf.DUMMYFUNCTION("GOOGLETRANSLATE(A57988,""en"",""pt"")"),"grandes características, diferentes anéis, fácil de usar, muito espaço para armazenar nomes")</f>
        <v>grandes características, diferentes anéis, fácil de usar, muito espaço para armazenar nomes</v>
      </c>
      <c r="B57988" s="3">
        <v>1</v>
      </c>
    </row>
    <row r="57989" ht="15.75" customHeight="1" spans="1:2">
      <c r="A57989" s="3" t="str">
        <f>IFERROR(__xludf.DUMMYFUNCTION("GOOGLETRANSLATE(A57989,""en"",""pt"")"),"Muitas opções legal, excelente som, fácil de usar")</f>
        <v>Muitas opções legal, excelente som, fácil de usar</v>
      </c>
      <c r="B57989" s="3">
        <v>1</v>
      </c>
    </row>
    <row r="57990" ht="15.75" customHeight="1" spans="1:2">
      <c r="A57990" s="3" t="str">
        <f>IFERROR(__xludf.DUMMYFUNCTION("GOOGLETRANSLATE(A57990,""en"",""pt"")"),"Uma pena-leve, fácil de telefone para uso, mesmo para um marinheiro de primeira viagem!")</f>
        <v>Uma pena-leve, fácil de telefone para uso, mesmo para um marinheiro de primeira viagem!</v>
      </c>
      <c r="B57990" s="3">
        <v>1</v>
      </c>
    </row>
    <row r="57991" ht="15.75" customHeight="1" spans="1:2">
      <c r="A57991" s="3" t="str">
        <f>IFERROR(__xludf.DUMMYFUNCTION("GOOGLETRANSLATE(A57991,""en"",""pt"")"),"Super Vida útil da bateria, leve, pequeno")</f>
        <v>Super Vida útil da bateria, leve, pequeno</v>
      </c>
      <c r="B57991" s="3">
        <v>1</v>
      </c>
    </row>
    <row r="57992" ht="15.75" customHeight="1" spans="1:2">
      <c r="A57992" s="3" t="str">
        <f>IFERROR(__xludf.DUMMYFUNCTION("GOOGLETRANSLATE(A57992,""en"",""pt"")"),"Tri-mode, web sem fio, Quick carga da bateria, discagem por voz")</f>
        <v>Tri-mode, web sem fio, Quick carga da bateria, discagem por voz</v>
      </c>
      <c r="B57992" s="3">
        <v>1</v>
      </c>
    </row>
    <row r="57993" ht="15.75" customHeight="1" spans="1:2">
      <c r="A57993" s="3" t="str">
        <f>IFERROR(__xludf.DUMMYFUNCTION("GOOGLETRANSLATE(A57993,""en"",""pt"")"),"Lustroso, peso leve, e carregado com características.")</f>
        <v>Lustroso, peso leve, e carregado com características.</v>
      </c>
      <c r="B57993" s="3">
        <v>1</v>
      </c>
    </row>
    <row r="57994" ht="15.75" customHeight="1" spans="1:2">
      <c r="A57994" s="3" t="str">
        <f>IFERROR(__xludf.DUMMYFUNCTION("GOOGLETRANSLATE(A57994,""en"",""pt"")"),"VAD Recurso está FRESCO")</f>
        <v>VAD Recurso está FRESCO</v>
      </c>
      <c r="B57994" s="3">
        <v>1</v>
      </c>
    </row>
    <row r="57995" ht="15.75" customHeight="1" spans="1:2">
      <c r="A57995" s="3" t="str">
        <f>IFERROR(__xludf.DUMMYFUNCTION("GOOGLETRANSLATE(A57995,""en"",""pt"")"),"tela grande, boa recepção")</f>
        <v>tela grande, boa recepção</v>
      </c>
      <c r="B57995" s="3">
        <v>1</v>
      </c>
    </row>
    <row r="57996" ht="15.75" customHeight="1" spans="1:2">
      <c r="A57996" s="3" t="str">
        <f>IFERROR(__xludf.DUMMYFUNCTION("GOOGLETRANSLATE(A57996,""en"",""pt"")"),"Excelente desempenho, fácil de ler a tela.")</f>
        <v>Excelente desempenho, fácil de ler a tela.</v>
      </c>
      <c r="B57996" s="3">
        <v>1</v>
      </c>
    </row>
    <row r="57997" ht="15.75" customHeight="1" spans="1:2">
      <c r="A57997" s="3" t="str">
        <f>IFERROR(__xludf.DUMMYFUNCTION("GOOGLETRANSLATE(A57997,""en"",""pt"")"),"Bom tamanho, fácil de ouvir, tri-mode, discagem ativada por voz")</f>
        <v>Bom tamanho, fácil de ouvir, tri-mode, discagem ativada por voz</v>
      </c>
      <c r="B57997" s="3">
        <v>1</v>
      </c>
    </row>
    <row r="57998" ht="15.75" customHeight="1" spans="1:2">
      <c r="A57998" s="3" t="str">
        <f>IFERROR(__xludf.DUMMYFUNCTION("GOOGLETRANSLATE(A57998,""en"",""pt"")"),"leve; Som excepcional; Grande autonomia da bateria; Discagem ativada por voz; Navegador da Web ativado")</f>
        <v>leve; Som excepcional; Grande autonomia da bateria; Discagem ativada por voz; Navegador da Web ativado</v>
      </c>
      <c r="B57998" s="3">
        <v>1</v>
      </c>
    </row>
    <row r="57999" ht="15.75" customHeight="1" spans="1:2">
      <c r="A57999" s="3" t="str">
        <f>IFERROR(__xludf.DUMMYFUNCTION("GOOGLETRANSLATE(A57999,""en"",""pt"")"),"Tri-mode, fácil de usar")</f>
        <v>Tri-mode, fácil de usar</v>
      </c>
      <c r="B57999" s="3">
        <v>1</v>
      </c>
    </row>
    <row r="58000" ht="15.75" customHeight="1" spans="1:2">
      <c r="A58000" s="3" t="str">
        <f>IFERROR(__xludf.DUMMYFUNCTION("GOOGLETRANSLATE(A58000,""en"",""pt"")"),"Discagem ativada por voz, boa bateria pequena e leve.")</f>
        <v>Discagem ativada por voz, boa bateria pequena e leve.</v>
      </c>
      <c r="B58000" s="3">
        <v>1</v>
      </c>
    </row>
    <row r="58001" ht="15.75" customHeight="1" spans="1:2">
      <c r="A58001" s="3" t="str">
        <f>IFERROR(__xludf.DUMMYFUNCTION("GOOGLETRANSLATE(A58001,""en"",""pt"")"),"Fácil Layout, boa recepção a maioria dos lugares, confiável")</f>
        <v>Fácil Layout, boa recepção a maioria dos lugares, confiável</v>
      </c>
      <c r="B58001" s="3">
        <v>1</v>
      </c>
    </row>
    <row r="58002" ht="15.75" customHeight="1" spans="1:2">
      <c r="A58002" s="3" t="str">
        <f>IFERROR(__xludf.DUMMYFUNCTION("GOOGLETRANSLATE(A58002,""en"",""pt"")"),"Tantas opções legais")</f>
        <v>Tantas opções legais</v>
      </c>
      <c r="B58002" s="3">
        <v>1</v>
      </c>
    </row>
    <row r="58003" ht="15.75" customHeight="1" spans="1:2">
      <c r="A58003" s="3" t="str">
        <f>IFERROR(__xludf.DUMMYFUNCTION("GOOGLETRANSLATE(A58003,""en"",""pt"")"),"luz, acesso web, bateria de longa duração, pequeno")</f>
        <v>luz, acesso web, bateria de longa duração, pequeno</v>
      </c>
      <c r="B58003" s="3">
        <v>1</v>
      </c>
    </row>
    <row r="58004" ht="15.75" customHeight="1" spans="1:2">
      <c r="A58004" s="3" t="str">
        <f>IFERROR(__xludf.DUMMYFUNCTION("GOOGLETRANSLATE(A58004,""en"",""pt"")"),"telefone bastante durável com muitas características puras e gadgets .... Web habilitado")</f>
        <v>telefone bastante durável com muitas características puras e gadgets .... Web habilitado</v>
      </c>
      <c r="B58004" s="3">
        <v>1</v>
      </c>
    </row>
    <row r="58005" ht="15.75" customHeight="1" spans="1:2">
      <c r="A58005" s="3" t="str">
        <f>IFERROR(__xludf.DUMMYFUNCTION("GOOGLETRANSLATE(A58005,""en"",""pt"")"),"Leve, som claro, trimode, lotes de características.")</f>
        <v>Leve, som claro, trimode, lotes de características.</v>
      </c>
      <c r="B58005" s="3">
        <v>1</v>
      </c>
    </row>
    <row r="58006" ht="15.75" customHeight="1" spans="1:2">
      <c r="A58006" s="3" t="str">
        <f>IFERROR(__xludf.DUMMYFUNCTION("GOOGLETRANSLATE(A58006,""en"",""pt"")"),"Magro, boa exibição, cheio de recursos ao máximo")</f>
        <v>Magro, boa exibição, cheio de recursos ao máximo</v>
      </c>
      <c r="B58006" s="3">
        <v>1</v>
      </c>
    </row>
    <row r="58007" ht="15.75" customHeight="1" spans="1:2">
      <c r="A58007" s="3" t="str">
        <f>IFERROR(__xludf.DUMMYFUNCTION("GOOGLETRANSLATE(A58007,""en"",""pt"")"),"User Interface, Hands Free, característica embalada")</f>
        <v>User Interface, Hands Free, característica embalada</v>
      </c>
      <c r="B58007" s="3">
        <v>1</v>
      </c>
    </row>
    <row r="58008" ht="15.75" customHeight="1" spans="1:2">
      <c r="A58008" s="3" t="str">
        <f>IFERROR(__xludf.DUMMYFUNCTION("GOOGLETRANSLATE(A58008,""en"",""pt"")"),"Web-pronto, conecta-se e-mail, leve, fone de ouvido, discagem ativada por voz.")</f>
        <v>Web-pronto, conecta-se e-mail, leve, fone de ouvido, discagem ativada por voz.</v>
      </c>
      <c r="B58008" s="3">
        <v>1</v>
      </c>
    </row>
    <row r="58009" ht="15.75" customHeight="1" spans="1:2">
      <c r="A58009" s="3" t="str">
        <f>IFERROR(__xludf.DUMMYFUNCTION("GOOGLETRANSLATE(A58009,""en"",""pt"")"),"Bom tamanho, telefone possui fácil de usar")</f>
        <v>Bom tamanho, telefone possui fácil de usar</v>
      </c>
      <c r="B58009" s="3">
        <v>1</v>
      </c>
    </row>
    <row r="58010" ht="15.75" customHeight="1" spans="1:2">
      <c r="A58010" s="3" t="str">
        <f>IFERROR(__xludf.DUMMYFUNCTION("GOOGLETRANSLATE(A58010,""en"",""pt"")"),", Discagem líquida pronta para voz activado, vibrando, clareza cristalina, e Verizon serviço!")</f>
        <v>, Discagem líquida pronta para voz activado, vibrando, clareza cristalina, e Verizon serviço!</v>
      </c>
      <c r="B58010" s="3">
        <v>1</v>
      </c>
    </row>
    <row r="58011" ht="15.75" customHeight="1" spans="1:2">
      <c r="A58011" s="3" t="str">
        <f>IFERROR(__xludf.DUMMYFUNCTION("GOOGLETRANSLATE(A58011,""en"",""pt"")"),"rico em recursos")</f>
        <v>rico em recursos</v>
      </c>
      <c r="B58011" s="3">
        <v>1</v>
      </c>
    </row>
    <row r="58012" ht="15.75" customHeight="1" spans="1:2">
      <c r="A58012" s="3" t="str">
        <f>IFERROR(__xludf.DUMMYFUNCTION("GOOGLETRANSLATE(A58012,""en"",""pt"")"),"bateria de longa duração, peso leve")</f>
        <v>bateria de longa duração, peso leve</v>
      </c>
      <c r="B58012" s="3">
        <v>1</v>
      </c>
    </row>
    <row r="58013" ht="15.75" customHeight="1" spans="1:2">
      <c r="A58013" s="3" t="str">
        <f>IFERROR(__xludf.DUMMYFUNCTION("GOOGLETRANSLATE(A58013,""en"",""pt"")"),"anéis especiais para números especiais")</f>
        <v>anéis especiais para números especiais</v>
      </c>
      <c r="B58013" s="3">
        <v>1</v>
      </c>
    </row>
    <row r="58014" ht="15.75" customHeight="1" spans="1:2">
      <c r="A58014" s="3" t="str">
        <f>IFERROR(__xludf.DUMMYFUNCTION("GOOGLETRANSLATE(A58014,""en"",""pt"")"),"Discagem por voz, vibração e / ou Anel, acessibilidade Web")</f>
        <v>Discagem por voz, vibração e / ou Anel, acessibilidade Web</v>
      </c>
      <c r="B58014" s="3">
        <v>1</v>
      </c>
    </row>
    <row r="58015" ht="15.75" customHeight="1" spans="1:2">
      <c r="A58015" s="3" t="str">
        <f>IFERROR(__xludf.DUMMYFUNCTION("GOOGLETRANSLATE(A58015,""en"",""pt"")"),"Olha grande, peso leve, grande bateria, pequeno, toneladas de recursos interessantes.")</f>
        <v>Olha grande, peso leve, grande bateria, pequeno, toneladas de recursos interessantes.</v>
      </c>
      <c r="B58015" s="3">
        <v>1</v>
      </c>
    </row>
    <row r="58016" ht="15.75" customHeight="1" spans="1:2">
      <c r="A58016" s="3" t="str">
        <f>IFERROR(__xludf.DUMMYFUNCTION("GOOGLETRANSLATE(A58016,""en"",""pt"")"),"fácil")</f>
        <v>fácil</v>
      </c>
      <c r="B58016" s="3">
        <v>1</v>
      </c>
    </row>
    <row r="58017" ht="15.75" customHeight="1" spans="1:2">
      <c r="A58017" s="3" t="str">
        <f>IFERROR(__xludf.DUMMYFUNCTION("GOOGLETRANSLATE(A58017,""en"",""pt"")"),"grande exibição, muitos recursos")</f>
        <v>grande exibição, muitos recursos</v>
      </c>
      <c r="B58017" s="3">
        <v>1</v>
      </c>
    </row>
    <row r="58018" ht="15.75" customHeight="1" spans="1:2">
      <c r="A58018" s="3" t="str">
        <f>IFERROR(__xludf.DUMMYFUNCTION("GOOGLETRANSLATE(A58018,""en"",""pt"")"),"Luz, bateria de longa duração")</f>
        <v>Luz, bateria de longa duração</v>
      </c>
      <c r="B58018" s="3">
        <v>1</v>
      </c>
    </row>
    <row r="58019" ht="15.75" customHeight="1" spans="1:2">
      <c r="A58019" s="3" t="str">
        <f>IFERROR(__xludf.DUMMYFUNCTION("GOOGLETRANSLATE(A58019,""en"",""pt"")"),"peso, reconhecimento de voz, botões de correio de voz dedicado / texto")</f>
        <v>peso, reconhecimento de voz, botões de correio de voz dedicado / texto</v>
      </c>
      <c r="B58019" s="3">
        <v>1</v>
      </c>
    </row>
    <row r="58020" ht="15.75" customHeight="1" spans="1:2">
      <c r="A58020" s="3" t="str">
        <f>IFERROR(__xludf.DUMMYFUNCTION("GOOGLETRANSLATE(A58020,""en"",""pt"")"),"Muito confortável de usar.")</f>
        <v>Muito confortável de usar.</v>
      </c>
      <c r="B58020" s="3">
        <v>1</v>
      </c>
    </row>
    <row r="58021" ht="15.75" customHeight="1" spans="1:2">
      <c r="A58021" s="3" t="str">
        <f>IFERROR(__xludf.DUMMYFUNCTION("GOOGLETRANSLATE(A58021,""en"",""pt"")"),"Muitos recursos, pequena bateria")</f>
        <v>Muitos recursos, pequena bateria</v>
      </c>
      <c r="B58021" s="3">
        <v>1</v>
      </c>
    </row>
    <row r="58022" ht="15.75" customHeight="1" spans="1:2">
      <c r="A58022" s="3" t="str">
        <f>IFERROR(__xludf.DUMMYFUNCTION("GOOGLETRANSLATE(A58022,""en"",""pt"")"),"Caller ID, Voice Activated, Número Saving, Preço")</f>
        <v>Caller ID, Voice Activated, Número Saving, Preço</v>
      </c>
      <c r="B58022" s="3">
        <v>1</v>
      </c>
    </row>
    <row r="58023" ht="15.75" customHeight="1" spans="1:2">
      <c r="A58023" s="3" t="str">
        <f>IFERROR(__xludf.DUMMYFUNCTION("GOOGLETRANSLATE(A58023,""en"",""pt"")"),"Facilidade de uso, agenda")</f>
        <v>Facilidade de uso, agenda</v>
      </c>
      <c r="B58023" s="3">
        <v>1</v>
      </c>
    </row>
    <row r="58024" ht="15.75" customHeight="1" spans="1:2">
      <c r="A58024" s="3" t="str">
        <f>IFERROR(__xludf.DUMMYFUNCTION("GOOGLETRANSLATE(A58024,""en"",""pt"")"),"Pequeno, som claro, vibrando campainha, bateria de lítio, discagem por voz!")</f>
        <v>Pequeno, som claro, vibrando campainha, bateria de lítio, discagem por voz!</v>
      </c>
      <c r="B58024" s="3">
        <v>1</v>
      </c>
    </row>
    <row r="58025" ht="15.75" customHeight="1" spans="1:2">
      <c r="A58025" s="3" t="str">
        <f>IFERROR(__xludf.DUMMYFUNCTION("GOOGLETRANSLATE(A58025,""en"",""pt"")"),"cair no carregador")</f>
        <v>cair no carregador</v>
      </c>
      <c r="B58025" s="3">
        <v>1</v>
      </c>
    </row>
    <row r="58026" ht="15.75" customHeight="1" spans="1:2">
      <c r="A58026" s="3" t="str">
        <f>IFERROR(__xludf.DUMMYFUNCTION("GOOGLETRANSLATE(A58026,""en"",""pt"")"),"tamanho, discagem ativada por voz, facilidade de uso")</f>
        <v>tamanho, discagem ativada por voz, facilidade de uso</v>
      </c>
      <c r="B58026" s="3">
        <v>1</v>
      </c>
    </row>
    <row r="58027" ht="15.75" customHeight="1" spans="1:2">
      <c r="A58027" s="3" t="str">
        <f>IFERROR(__xludf.DUMMYFUNCTION("GOOGLETRANSLATE(A58027,""en"",""pt"")"),"Bom look and feel, bateria de longa duração")</f>
        <v>Bom look and feel, bateria de longa duração</v>
      </c>
      <c r="B58027" s="3">
        <v>1</v>
      </c>
    </row>
    <row r="58028" ht="15.75" customHeight="1" spans="1:2">
      <c r="A58028" s="3" t="str">
        <f>IFERROR(__xludf.DUMMYFUNCTION("GOOGLETRANSLATE(A58028,""en"",""pt"")"),"Pequeno, som claro, durável, bom design")</f>
        <v>Pequeno, som claro, durável, bom design</v>
      </c>
      <c r="B58028" s="3">
        <v>1</v>
      </c>
    </row>
    <row r="58029" ht="15.75" customHeight="1" spans="1:2">
      <c r="A58029" s="3" t="str">
        <f>IFERROR(__xludf.DUMMYFUNCTION("GOOGLETRANSLATE(A58029,""en"",""pt"")"),"Elegante, leve")</f>
        <v>Elegante, leve</v>
      </c>
      <c r="B58029" s="3">
        <v>1</v>
      </c>
    </row>
    <row r="58030" ht="15.75" customHeight="1" spans="1:2">
      <c r="A58030" s="3" t="str">
        <f>IFERROR(__xludf.DUMMYFUNCTION("GOOGLETRANSLATE(A58030,""en"",""pt"")"),"Muitos recursos como som standard, claro. Fácil de usar.")</f>
        <v>Muitos recursos como som standard, claro. Fácil de usar.</v>
      </c>
      <c r="B58030" s="3">
        <v>1</v>
      </c>
    </row>
    <row r="58031" ht="15.75" customHeight="1" spans="1:2">
      <c r="A58031" s="3" t="str">
        <f>IFERROR(__xludf.DUMMYFUNCTION("GOOGLETRANSLATE(A58031,""en"",""pt"")"),"Ele funciona além das expectativas ..")</f>
        <v>Ele funciona além das expectativas ..</v>
      </c>
      <c r="B58031" s="3">
        <v>1</v>
      </c>
    </row>
    <row r="58032" ht="15.75" customHeight="1" spans="1:2">
      <c r="A58032" s="3" t="str">
        <f>IFERROR(__xludf.DUMMYFUNCTION("GOOGLETRANSLATE(A58032,""en"",""pt"")"),"design slim, fácil de teclas de bloqueio-desbloqueio &amp; # 13; &amp; # 10;")</f>
        <v>design slim, fácil de teclas de bloqueio-desbloqueio &amp; # 13; &amp; # 10;</v>
      </c>
      <c r="B58032" s="3">
        <v>1</v>
      </c>
    </row>
    <row r="58033" ht="15.75" customHeight="1" spans="1:2">
      <c r="A58033" s="3" t="str">
        <f>IFERROR(__xludf.DUMMYFUNCTION("GOOGLETRANSLATE(A58033,""en"",""pt"")"),"leve, fácil, atraente &amp; # 9; &amp; # 9;")</f>
        <v>leve, fácil, atraente &amp; # 9; &amp; # 9;</v>
      </c>
      <c r="B58033" s="3">
        <v>1</v>
      </c>
    </row>
    <row r="58034" ht="15.75" customHeight="1" spans="1:2">
      <c r="A58034" s="3" t="str">
        <f>IFERROR(__xludf.DUMMYFUNCTION("GOOGLETRANSLATE(A58034,""en"",""pt"")"),"ativação de voz, os lotes de anéis de diversão, clareza era melhor do que eu esperava.")</f>
        <v>ativação de voz, os lotes de anéis de diversão, clareza era melhor do que eu esperava.</v>
      </c>
      <c r="B58034" s="3">
        <v>1</v>
      </c>
    </row>
    <row r="58035" ht="15.75" customHeight="1" spans="1:2">
      <c r="A58035" s="3" t="str">
        <f>IFERROR(__xludf.DUMMYFUNCTION("GOOGLETRANSLATE(A58035,""en"",""pt"")"),"Pequeno, lotes de características.")</f>
        <v>Pequeno, lotes de características.</v>
      </c>
      <c r="B58035" s="3">
        <v>1</v>
      </c>
    </row>
    <row r="58036" ht="15.75" customHeight="1" spans="1:2">
      <c r="A58036" s="3" t="str">
        <f>IFERROR(__xludf.DUMMYFUNCTION("GOOGLETRANSLATE(A58036,""en"",""pt"")"),"Muitos recursos. Fácil Menu. Vida longa.")</f>
        <v>Muitos recursos. Fácil Menu. Vida longa.</v>
      </c>
      <c r="B58036" s="3">
        <v>1</v>
      </c>
    </row>
    <row r="58037" ht="15.75" customHeight="1" spans="1:2">
      <c r="A58037" s="3" t="str">
        <f>IFERROR(__xludf.DUMMYFUNCTION("GOOGLETRANSLATE(A58037,""en"",""pt"")"),"discagem por voz, web / e-mail, muitos opção extra")</f>
        <v>discagem por voz, web / e-mail, muitos opção extra</v>
      </c>
      <c r="B58037" s="3">
        <v>1</v>
      </c>
    </row>
    <row r="58038" ht="15.75" customHeight="1" spans="1:2">
      <c r="A58038" s="3" t="str">
        <f>IFERROR(__xludf.DUMMYFUNCTION("GOOGLETRANSLATE(A58038,""en"",""pt"")"),"Longa duração da bateria Recepção vida OK")</f>
        <v>Longa duração da bateria Recepção vida OK</v>
      </c>
      <c r="B58038" s="3">
        <v>1</v>
      </c>
    </row>
    <row r="58039" ht="15.75" customHeight="1" spans="1:2">
      <c r="A58039" s="3" t="str">
        <f>IFERROR(__xludf.DUMMYFUNCTION("GOOGLETRANSLATE(A58039,""en"",""pt"")"),"bateria de longa duração e excelente confiabilidade chamada. Mais próxima coisa que eu vi à eletrônica à prova de choque.")</f>
        <v>bateria de longa duração e excelente confiabilidade chamada. Mais próxima coisa que eu vi à eletrônica à prova de choque.</v>
      </c>
      <c r="B58039" s="3">
        <v>1</v>
      </c>
    </row>
    <row r="58040" ht="15.75" customHeight="1" spans="1:2">
      <c r="A58040" s="3" t="str">
        <f>IFERROR(__xludf.DUMMYFUNCTION("GOOGLETRANSLATE(A58040,""en"",""pt"")"),"Câmera, características agradáveis, pequeno e bonito, registra a minha voz.")</f>
        <v>Câmera, características agradáveis, pequeno e bonito, registra a minha voz.</v>
      </c>
      <c r="B58040" s="3">
        <v>1</v>
      </c>
    </row>
    <row r="58041" ht="15.75" customHeight="1" spans="1:2">
      <c r="A58041" s="3" t="str">
        <f>IFERROR(__xludf.DUMMYFUNCTION("GOOGLETRANSLATE(A58041,""en"",""pt"")"),"Elegante, excelente qualidade de exibição e som, boa câmera")</f>
        <v>Elegante, excelente qualidade de exibição e som, boa câmera</v>
      </c>
      <c r="B58041" s="3">
        <v>1</v>
      </c>
    </row>
    <row r="58042" ht="15.75" customHeight="1" spans="1:2">
      <c r="A58042" s="3" t="str">
        <f>IFERROR(__xludf.DUMMYFUNCTION("GOOGLETRANSLATE(A58042,""en"",""pt"")"),"Construído em câmera, muitas outras grandes características, estilo e grande recepção.")</f>
        <v>Construído em câmera, muitas outras grandes características, estilo e grande recepção.</v>
      </c>
      <c r="B58042" s="3">
        <v>1</v>
      </c>
    </row>
    <row r="58043" ht="15.75" customHeight="1" spans="1:2">
      <c r="A58043" s="3" t="str">
        <f>IFERROR(__xludf.DUMMYFUNCTION("GOOGLETRANSLATE(A58043,""en"",""pt"")"),"Embalado com características, ferramentas e acessórios.")</f>
        <v>Embalado com características, ferramentas e acessórios.</v>
      </c>
      <c r="B58043" s="3">
        <v>1</v>
      </c>
    </row>
    <row r="58044" ht="15.75" customHeight="1" spans="1:2">
      <c r="A58044" s="3" t="str">
        <f>IFERROR(__xludf.DUMMYFUNCTION("GOOGLETRANSLATE(A58044,""en"",""pt"")"),"Grande tela, bom fator de forma, software tweakable e sinal de confiança")</f>
        <v>Grande tela, bom fator de forma, software tweakable e sinal de confiança</v>
      </c>
      <c r="B58044" s="3">
        <v>1</v>
      </c>
    </row>
    <row r="58045" ht="15.75" customHeight="1" spans="1:2">
      <c r="A58045" s="3" t="str">
        <f>IFERROR(__xludf.DUMMYFUNCTION("GOOGLETRANSLATE(A58045,""en"",""pt"")"),"Bom celular em um ótimo preço que pode ser atualizado via software.")</f>
        <v>Bom celular em um ótimo preço que pode ser atualizado via software.</v>
      </c>
      <c r="B58045" s="3">
        <v>1</v>
      </c>
    </row>
    <row r="58046" ht="15.75" customHeight="1" spans="1:2">
      <c r="A58046" s="3" t="str">
        <f>IFERROR(__xludf.DUMMYFUNCTION("GOOGLETRANSLATE(A58046,""en"",""pt"")"),"Boa câmera, menu de fácil uso, exibição brilhante, não muito mais ...")</f>
        <v>Boa câmera, menu de fácil uso, exibição brilhante, não muito mais ...</v>
      </c>
      <c r="B58046" s="3">
        <v>1</v>
      </c>
    </row>
    <row r="58047" ht="15.75" customHeight="1" spans="1:2">
      <c r="A58047" s="3" t="str">
        <f>IFERROR(__xludf.DUMMYFUNCTION("GOOGLETRANSLATE(A58047,""en"",""pt"")"),"Interna e monitores externos")</f>
        <v>Interna e monitores externos</v>
      </c>
      <c r="B58047" s="3">
        <v>1</v>
      </c>
    </row>
    <row r="58048" ht="15.75" customHeight="1" spans="1:2">
      <c r="A58048" s="3" t="str">
        <f>IFERROR(__xludf.DUMMYFUNCTION("GOOGLETRANSLATE(A58048,""en"",""pt"")"),"Grande sensação, câmera, olhar agradável.")</f>
        <v>Grande sensação, câmera, olhar agradável.</v>
      </c>
      <c r="B58048" s="3">
        <v>1</v>
      </c>
    </row>
    <row r="58049" ht="15.75" customHeight="1" spans="1:2">
      <c r="A58049" s="3" t="str">
        <f>IFERROR(__xludf.DUMMYFUNCTION("GOOGLETRANSLATE(A58049,""en"",""pt"")"),"Estou impressionado com tudo o que este telefone pode fazer, e fazer bem o que faz.")</f>
        <v>Estou impressionado com tudo o que este telefone pode fazer, e fazer bem o que faz.</v>
      </c>
      <c r="B58049" s="3">
        <v>1</v>
      </c>
    </row>
    <row r="58050" ht="15.75" customHeight="1" spans="1:2">
      <c r="A58050" s="3" t="str">
        <f>IFERROR(__xludf.DUMMYFUNCTION("GOOGLETRANSLATE(A58050,""en"",""pt"")"),"A vida da bateria é longa, câmera, jogos java, mp3 tons de chamada, tela colorida")</f>
        <v>A vida da bateria é longa, câmera, jogos java, mp3 tons de chamada, tela colorida</v>
      </c>
      <c r="B58050" s="3">
        <v>1</v>
      </c>
    </row>
    <row r="58051" ht="15.75" customHeight="1" spans="1:2">
      <c r="A58051" s="3" t="str">
        <f>IFERROR(__xludf.DUMMYFUNCTION("GOOGLETRANSLATE(A58051,""en"",""pt"")"),"Cachet, bonito, navegação por voz funciona bem.")</f>
        <v>Cachet, bonito, navegação por voz funciona bem.</v>
      </c>
      <c r="B58051" s="3">
        <v>1</v>
      </c>
    </row>
    <row r="58052" ht="15.75" customHeight="1" spans="1:2">
      <c r="A58052" s="3" t="str">
        <f>IFERROR(__xludf.DUMMYFUNCTION("GOOGLETRANSLATE(A58052,""en"",""pt"")"),"Tamanho do telefone. Recursos se encaixa as minhas necessidades de negócios")</f>
        <v>Tamanho do telefone. Recursos se encaixa as minhas necessidades de negócios</v>
      </c>
      <c r="B58052" s="3">
        <v>1</v>
      </c>
    </row>
    <row r="58053" ht="15.75" customHeight="1" spans="1:2">
      <c r="A58053" s="3" t="str">
        <f>IFERROR(__xludf.DUMMYFUNCTION("GOOGLETRANSLATE(A58053,""en"",""pt"")"),"fator de estilo, frescor, display exterior, tamanho, câmera, construído, alto-falante")</f>
        <v>fator de estilo, frescor, display exterior, tamanho, câmera, construído, alto-falante</v>
      </c>
      <c r="B58053" s="3">
        <v>1</v>
      </c>
    </row>
    <row r="58054" ht="15.75" customHeight="1" spans="1:2">
      <c r="A58054" s="3" t="str">
        <f>IFERROR(__xludf.DUMMYFUNCTION("GOOGLETRANSLATE(A58054,""en"",""pt"")"),"5 MB de memória, desempenha mp3 e midi, identificação com foto")</f>
        <v>5 MB de memória, desempenha mp3 e midi, identificação com foto</v>
      </c>
      <c r="B58054" s="3">
        <v>1</v>
      </c>
    </row>
    <row r="58055" ht="15.75" customHeight="1" spans="1:2">
      <c r="A58055" s="3" t="str">
        <f>IFERROR(__xludf.DUMMYFUNCTION("GOOGLETRANSLATE(A58055,""en"",""pt"")"),"Lote de características extravagantes (que a maioria das pessoas não precisa)")</f>
        <v>Lote de características extravagantes (que a maioria das pessoas não precisa)</v>
      </c>
      <c r="B58055" s="3">
        <v>1</v>
      </c>
    </row>
    <row r="58056" ht="15.75" customHeight="1" spans="1:2">
      <c r="A58056" s="3" t="str">
        <f>IFERROR(__xludf.DUMMYFUNCTION("GOOGLETRANSLATE(A58056,""en"",""pt"")"),"boa câmera, lotes de características, bonito")</f>
        <v>boa câmera, lotes de características, bonito</v>
      </c>
      <c r="B58056" s="3">
        <v>1</v>
      </c>
    </row>
    <row r="58057" ht="15.75" customHeight="1" spans="1:2">
      <c r="A58057" s="3" t="str">
        <f>IFERROR(__xludf.DUMMYFUNCTION("GOOGLETRANSLATE(A58057,""en"",""pt"")"),"- Esteticamente agradável e altamente funcional.")</f>
        <v>- Esteticamente agradável e altamente funcional.</v>
      </c>
      <c r="B58057" s="3">
        <v>1</v>
      </c>
    </row>
    <row r="58058" ht="15.75" customHeight="1" spans="1:2">
      <c r="A58058" s="3" t="str">
        <f>IFERROR(__xludf.DUMMYFUNCTION("GOOGLETRANSLATE(A58058,""en"",""pt"")"),"Câmera, cartão inteligente, viva-voz, números de telefone que podem ser carregadas, Case tem sensação agradável antiderrapante.")</f>
        <v>Câmera, cartão inteligente, viva-voz, números de telefone que podem ser carregadas, Case tem sensação agradável antiderrapante.</v>
      </c>
      <c r="B58058" s="3">
        <v>1</v>
      </c>
    </row>
    <row r="58059" ht="15.75" customHeight="1" spans="1:2">
      <c r="A58059" s="3" t="s">
        <v>312</v>
      </c>
      <c r="B58059" s="3">
        <v>1</v>
      </c>
    </row>
    <row r="58060" ht="15.75" customHeight="1" spans="1:2">
      <c r="A58060" s="3" t="str">
        <f>IFERROR(__xludf.DUMMYFUNCTION("GOOGLETRANSLATE(A58060,""en"",""pt"")"),"elegante, luz, ótima câmera (quando funciona)")</f>
        <v>elegante, luz, ótima câmera (quando funciona)</v>
      </c>
      <c r="B58060" s="3">
        <v>1</v>
      </c>
    </row>
    <row r="58061" ht="15.75" customHeight="1" spans="1:2">
      <c r="A58061" s="3" t="str">
        <f>IFERROR(__xludf.DUMMYFUNCTION("GOOGLETRANSLATE(A58061,""en"",""pt"")"),"lotes de características: viva-voz, construído em câmera, caso atrativo")</f>
        <v>lotes de características: viva-voz, construído em câmera, caso atrativo</v>
      </c>
      <c r="B58061" s="3">
        <v>1</v>
      </c>
    </row>
    <row r="58062" ht="15.75" customHeight="1" spans="1:2">
      <c r="A58062" s="3" t="str">
        <f>IFERROR(__xludf.DUMMYFUNCTION("GOOGLETRANSLATE(A58062,""en"",""pt"")"),"Tamanho, durablity, toneladas de características!")</f>
        <v>Tamanho, durablity, toneladas de características!</v>
      </c>
      <c r="B58062" s="3">
        <v>1</v>
      </c>
    </row>
    <row r="58063" ht="15.75" customHeight="1" spans="1:2">
      <c r="A58063" s="3" t="str">
        <f>IFERROR(__xludf.DUMMYFUNCTION("GOOGLETRANSLATE(A58063,""en"",""pt"")"),"pequeno, fácil de transportar, elegante, tira boas fotos para o preço do telefone")</f>
        <v>pequeno, fácil de transportar, elegante, tira boas fotos para o preço do telefone</v>
      </c>
      <c r="B58063" s="3">
        <v>1</v>
      </c>
    </row>
    <row r="58064" ht="15.75" customHeight="1" spans="1:2">
      <c r="A58064" s="3" t="str">
        <f>IFERROR(__xludf.DUMMYFUNCTION("GOOGLETRANSLATE(A58064,""en"",""pt"")"),"câmera, pequeno, parece durável")</f>
        <v>câmera, pequeno, parece durável</v>
      </c>
      <c r="B58064" s="3">
        <v>1</v>
      </c>
    </row>
    <row r="58065" ht="15.75" customHeight="1" spans="1:2">
      <c r="A58065" s="3" t="str">
        <f>IFERROR(__xludf.DUMMYFUNCTION("GOOGLETRANSLATE(A58065,""en"",""pt"")"),"Os olhares, câmera, aderência, agradável dispostos botões, display, músicas para download e papéis de parede, toques de composição.")</f>
        <v>Os olhares, câmera, aderência, agradável dispostos botões, display, músicas para download e papéis de parede, toques de composição.</v>
      </c>
      <c r="B58065" s="3">
        <v>1</v>
      </c>
    </row>
    <row r="58066" ht="15.75" customHeight="1" spans="1:2">
      <c r="A58066" s="3" t="str">
        <f>IFERROR(__xludf.DUMMYFUNCTION("GOOGLETRANSLATE(A58066,""en"",""pt"")"),"ecrã a cores é grande, os downloads são divertido, vida útil da bateria é muito bom, telefone é leve")</f>
        <v>ecrã a cores é grande, os downloads são divertido, vida útil da bateria é muito bom, telefone é leve</v>
      </c>
      <c r="B58066" s="3">
        <v>1</v>
      </c>
    </row>
    <row r="58067" ht="15.75" customHeight="1" spans="1:2">
      <c r="A58067" s="3" t="str">
        <f>IFERROR(__xludf.DUMMYFUNCTION("GOOGLETRANSLATE(A58067,""en"",""pt"")"),"Looks, cor")</f>
        <v>Looks, cor</v>
      </c>
      <c r="B58067" s="3">
        <v>1</v>
      </c>
    </row>
    <row r="58068" ht="15.75" customHeight="1" spans="1:2">
      <c r="A58068" s="3" t="str">
        <f>IFERROR(__xludf.DUMMYFUNCTION("GOOGLETRANSLATE(A58068,""en"",""pt"")"),"recepção, tamanho, câmera, tudo")</f>
        <v>recepção, tamanho, câmera, tudo</v>
      </c>
      <c r="B58068" s="3">
        <v>1</v>
      </c>
    </row>
    <row r="58069" ht="15.75" customHeight="1" spans="1:2">
      <c r="A58069" s="3" t="str">
        <f>IFERROR(__xludf.DUMMYFUNCTION("GOOGLETRANSLATE(A58069,""en"",""pt"")"),"Tamanho, recursos, visor a cores de qualidade, telefone altofalante alto, discagem por voz precisa, ótima aparência e sensação")</f>
        <v>Tamanho, recursos, visor a cores de qualidade, telefone altofalante alto, discagem por voz precisa, ótima aparência e sensação</v>
      </c>
      <c r="B58069" s="3">
        <v>1</v>
      </c>
    </row>
    <row r="58070" ht="15.75" customHeight="1" spans="1:2">
      <c r="A58070" s="3" t="str">
        <f>IFERROR(__xludf.DUMMYFUNCTION("GOOGLETRANSLATE(A58070,""en"",""pt"")"),"Pequeno, peso leve.")</f>
        <v>Pequeno, peso leve.</v>
      </c>
      <c r="B58070" s="3">
        <v>1</v>
      </c>
    </row>
    <row r="58071" ht="15.75" customHeight="1" spans="1:2">
      <c r="A58071" s="3" t="str">
        <f>IFERROR(__xludf.DUMMYFUNCTION("GOOGLETRANSLATE(A58071,""en"",""pt"")"),"Super exterior bonito, pequeno tamanho, LED azul")</f>
        <v>Super exterior bonito, pequeno tamanho, LED azul</v>
      </c>
      <c r="B58071" s="3">
        <v>1</v>
      </c>
    </row>
    <row r="58072" ht="15.75" customHeight="1" spans="1:2">
      <c r="A58072" s="3" t="str">
        <f>IFERROR(__xludf.DUMMYFUNCTION("GOOGLETRANSLATE(A58072,""en"",""pt"")"),"Eu gosto da cor e as características que ele tem. Eu gosto do viva-voz.")</f>
        <v>Eu gosto da cor e as características que ele tem. Eu gosto do viva-voz.</v>
      </c>
      <c r="B58072" s="3">
        <v>1</v>
      </c>
    </row>
    <row r="58073" ht="15.75" customHeight="1" spans="1:2">
      <c r="A58073" s="3" t="str">
        <f>IFERROR(__xludf.DUMMYFUNCTION("GOOGLETRANSLATE(A58073,""en"",""pt"")"),"OK trabalhou por cerca de 4 meses de uso de luz.")</f>
        <v>OK trabalhou por cerca de 4 meses de uso de luz.</v>
      </c>
      <c r="B58073" s="3">
        <v>1</v>
      </c>
    </row>
    <row r="58074" ht="15.75" customHeight="1" spans="1:2">
      <c r="A58074" s="3" t="str">
        <f>IFERROR(__xludf.DUMMYFUNCTION("GOOGLETRANSLATE(A58074,""en"",""pt"")"),"Bonito de se olhar, um telefone sonho para o primeiro mês ou assim.")</f>
        <v>Bonito de se olhar, um telefone sonho para o primeiro mês ou assim.</v>
      </c>
      <c r="B58074" s="3">
        <v>1</v>
      </c>
    </row>
    <row r="58075" ht="15.75" customHeight="1" spans="1:2">
      <c r="A58075" s="3" t="str">
        <f>IFERROR(__xludf.DUMMYFUNCTION("GOOGLETRANSLATE(A58075,""en"",""pt"")"),"Tela cor, Design legal.")</f>
        <v>Tela cor, Design legal.</v>
      </c>
      <c r="B58075" s="3">
        <v>1</v>
      </c>
    </row>
    <row r="58076" ht="15.75" customHeight="1" spans="1:2">
      <c r="A58076" s="3" t="str">
        <f>IFERROR(__xludf.DUMMYFUNCTION("GOOGLETRANSLATE(A58076,""en"",""pt"")"),"Estabilidade, Características, Confiabilidade")</f>
        <v>Estabilidade, Características, Confiabilidade</v>
      </c>
      <c r="B58076" s="3">
        <v>1</v>
      </c>
    </row>
    <row r="58077" ht="15.75" customHeight="1" spans="1:2">
      <c r="A58077" s="3" t="str">
        <f>IFERROR(__xludf.DUMMYFUNCTION("GOOGLETRANSLATE(A58077,""en"",""pt"")"),"Elegante, excelente viva-voz, a voz de marcação eficiente, muita memória, papéis de parede e toques MP3")</f>
        <v>Elegante, excelente viva-voz, a voz de marcação eficiente, muita memória, papéis de parede e toques MP3</v>
      </c>
      <c r="B58077" s="3">
        <v>1</v>
      </c>
    </row>
    <row r="58078" ht="15.75" customHeight="1" spans="1:2">
      <c r="A58078" s="3" t="str">
        <f>IFERROR(__xludf.DUMMYFUNCTION("GOOGLETRANSLATE(A58078,""en"",""pt"")"),"pequeno, viva-voz é excelente, a vida da bateria, uma boa recepção")</f>
        <v>pequeno, viva-voz é excelente, a vida da bateria, uma boa recepção</v>
      </c>
      <c r="B58078" s="3">
        <v>1</v>
      </c>
    </row>
    <row r="58079" ht="15.75" customHeight="1" spans="1:2">
      <c r="A58079" s="3" t="str">
        <f>IFERROR(__xludf.DUMMYFUNCTION("GOOGLETRANSLATE(A58079,""en"",""pt"")"),"Sinta grandes, tamanho, peso")</f>
        <v>Sinta grandes, tamanho, peso</v>
      </c>
      <c r="B58079" s="3">
        <v>1</v>
      </c>
    </row>
    <row r="58080" ht="15.75" customHeight="1" spans="1:2">
      <c r="A58080" s="3" t="str">
        <f>IFERROR(__xludf.DUMMYFUNCTION("GOOGLETRANSLATE(A58080,""en"",""pt"")"),"Câmara e vídeo um plus. boa recepção.")</f>
        <v>Câmara e vídeo um plus. boa recepção.</v>
      </c>
      <c r="B58080" s="3">
        <v>1</v>
      </c>
    </row>
    <row r="58081" ht="15.75" customHeight="1" spans="1:2">
      <c r="A58081" s="3" t="str">
        <f>IFERROR(__xludf.DUMMYFUNCTION("GOOGLETRANSLATE(A58081,""en"",""pt"")"),"grande alto-falante externo, toca mp3 ringtones, boa câmera, tem GPRS e MMS")</f>
        <v>grande alto-falante externo, toca mp3 ringtones, boa câmera, tem GPRS e MMS</v>
      </c>
      <c r="B58081" s="3">
        <v>1</v>
      </c>
    </row>
    <row r="58082" ht="15.75" customHeight="1" spans="1:2">
      <c r="A58082" s="3" t="str">
        <f>IFERROR(__xludf.DUMMYFUNCTION("GOOGLETRANSLATE(A58082,""en"",""pt"")"),"Camera, Aim Intergrated, WAP, 65k cor")</f>
        <v>Camera, Aim Intergrated, WAP, 65k cor</v>
      </c>
      <c r="B58082" s="3">
        <v>1</v>
      </c>
    </row>
    <row r="58083" ht="15.75" customHeight="1" spans="1:2">
      <c r="A58083" s="3" t="str">
        <f>IFERROR(__xludf.DUMMYFUNCTION("GOOGLETRANSLATE(A58083,""en"",""pt"")"),"Bom olhar, câmera funcionou bem, tela de Nice.")</f>
        <v>Bom olhar, câmera funcionou bem, tela de Nice.</v>
      </c>
      <c r="B58083" s="3">
        <v>1</v>
      </c>
    </row>
    <row r="58084" ht="15.75" customHeight="1" spans="1:2">
      <c r="A58084" s="3" t="str">
        <f>IFERROR(__xludf.DUMMYFUNCTION("GOOGLETRANSLATE(A58084,""en"",""pt"")"),"Ótima câmera e tela, a recepção é boa e o viva-voz funciona como deveria.")</f>
        <v>Ótima câmera e tela, a recepção é boa e o viva-voz funciona como deveria.</v>
      </c>
      <c r="B58084" s="3">
        <v>1</v>
      </c>
    </row>
    <row r="58085" ht="15.75" customHeight="1" spans="1:2">
      <c r="A58085" s="3" t="str">
        <f>IFERROR(__xludf.DUMMYFUNCTION("GOOGLETRANSLATE(A58085,""en"",""pt"")"),"Veja acima")</f>
        <v>Veja acima</v>
      </c>
      <c r="B58085" s="3">
        <v>1</v>
      </c>
    </row>
    <row r="58086" ht="15.75" customHeight="1" spans="1:2">
      <c r="A58086" s="3" t="str">
        <f>IFERROR(__xludf.DUMMYFUNCTION("GOOGLETRANSLATE(A58086,""en"",""pt"")"),"O tamanho pequeno, muitas características, modo avião, calendário")</f>
        <v>O tamanho pequeno, muitas características, modo avião, calendário</v>
      </c>
      <c r="B58086" s="3">
        <v>1</v>
      </c>
    </row>
    <row r="58087" ht="15.75" customHeight="1" spans="1:2">
      <c r="A58087" s="3" t="str">
        <f>IFERROR(__xludf.DUMMYFUNCTION("GOOGLETRANSLATE(A58087,""en"",""pt"")"),"ferramentas fortes pessoal de gestão de informação, navegador web OpenWave, vida útil da bateria impressionante para tela colorida.")</f>
        <v>ferramentas fortes pessoal de gestão de informação, navegador web OpenWave, vida útil da bateria impressionante para tela colorida.</v>
      </c>
      <c r="B58087" s="3">
        <v>1</v>
      </c>
    </row>
    <row r="58088" ht="15.75" customHeight="1" spans="1:2">
      <c r="A58088" s="3" t="str">
        <f>IFERROR(__xludf.DUMMYFUNCTION("GOOGLETRANSLATE(A58088,""en"",""pt"")"),"vida útil da bateria, tela, capacidade de memória, modo avião, tamanho, preço")</f>
        <v>vida útil da bateria, tela, capacidade de memória, modo avião, tamanho, preço</v>
      </c>
      <c r="B58088" s="3">
        <v>1</v>
      </c>
    </row>
    <row r="58089" ht="15.75" customHeight="1" spans="1:2">
      <c r="A58089" s="3" t="str">
        <f>IFERROR(__xludf.DUMMYFUNCTION("GOOGLETRANSLATE(A58089,""en"",""pt"")"),"pequena e leve, a vida da bateria. grandes ringtones. Externa Caller ID / display tempo.")</f>
        <v>pequena e leve, a vida da bateria. grandes ringtones. Externa Caller ID / display tempo.</v>
      </c>
      <c r="B58089" s="3">
        <v>1</v>
      </c>
    </row>
    <row r="58090" ht="15.75" customHeight="1" spans="1:2">
      <c r="A58090" s="3" t="str">
        <f>IFERROR(__xludf.DUMMYFUNCTION("GOOGLETRANSLATE(A58090,""en"",""pt"")"),"tela grande cor, internet sem fio, alto-falante, de fácil navegação, discagem por voz e GPS")</f>
        <v>tela grande cor, internet sem fio, alto-falante, de fácil navegação, discagem por voz e GPS</v>
      </c>
      <c r="B58090" s="3">
        <v>1</v>
      </c>
    </row>
    <row r="58091" ht="15.75" customHeight="1" spans="1:2">
      <c r="A58091" s="3" t="str">
        <f>IFERROR(__xludf.DUMMYFUNCTION("GOOGLETRANSLATE(A58091,""en"",""pt"")"),"Leve, brilhante, Limpar tela e tem uma incrível quantidade de recursos.")</f>
        <v>Leve, brilhante, Limpar tela e tem uma incrível quantidade de recursos.</v>
      </c>
      <c r="B58091" s="3">
        <v>1</v>
      </c>
    </row>
    <row r="58092" ht="15.75" customHeight="1" spans="1:2">
      <c r="A58092" s="3" t="str">
        <f>IFERROR(__xludf.DUMMYFUNCTION("GOOGLETRANSLATE(A58092,""en"",""pt"")"),"ecrã a cores, toques polifônicos, muito portáteis.")</f>
        <v>ecrã a cores, toques polifônicos, muito portáteis.</v>
      </c>
      <c r="B58092" s="3">
        <v>1</v>
      </c>
    </row>
    <row r="58093" ht="15.75" customHeight="1" spans="1:2">
      <c r="A58093" s="3" t="str">
        <f>IFERROR(__xludf.DUMMYFUNCTION("GOOGLETRANSLATE(A58093,""en"",""pt"")"),"Ver abaixo.")</f>
        <v>Ver abaixo.</v>
      </c>
      <c r="B58093" s="3">
        <v>1</v>
      </c>
    </row>
    <row r="58094" ht="15.75" customHeight="1" spans="1:2">
      <c r="A58094" s="3" t="str">
        <f>IFERROR(__xludf.DUMMYFUNCTION("GOOGLETRANSLATE(A58094,""en"",""pt"")"),"Os prós? ... pouco ou nenhum contras")</f>
        <v>Os prós? ... pouco ou nenhum contras</v>
      </c>
      <c r="B58094" s="3">
        <v>1</v>
      </c>
    </row>
    <row r="58095" ht="15.75" customHeight="1" spans="1:2">
      <c r="A58095" s="3" t="str">
        <f>IFERROR(__xludf.DUMMYFUNCTION("GOOGLETRANSLATE(A58095,""en"",""pt"")"),"Grande telefone com tela colorida organizador navegador incrível e configurabilidade")</f>
        <v>Grande telefone com tela colorida organizador navegador incrível e configurabilidade</v>
      </c>
      <c r="B58095" s="3">
        <v>1</v>
      </c>
    </row>
    <row r="58096" ht="15.75" customHeight="1" spans="1:2">
      <c r="A58096" s="3" t="str">
        <f>IFERROR(__xludf.DUMMYFUNCTION("GOOGLETRANSLATE(A58096,""en"",""pt"")"),"atraente, bem desenhado, intuitivo,")</f>
        <v>atraente, bem desenhado, intuitivo,</v>
      </c>
      <c r="B58096" s="3">
        <v>1</v>
      </c>
    </row>
    <row r="58097" ht="15.75" customHeight="1" spans="1:2">
      <c r="A58097" s="3" t="str">
        <f>IFERROR(__xludf.DUMMYFUNCTION("GOOGLETRANSLATE(A58097,""en"",""pt"")"),"tela de cor agradável, grandes toques, pequeno ..")</f>
        <v>tela de cor agradável, grandes toques, pequeno ..</v>
      </c>
      <c r="B58097" s="3">
        <v>1</v>
      </c>
    </row>
    <row r="58098" ht="15.75" customHeight="1" spans="1:2">
      <c r="A58098" s="3" t="str">
        <f>IFERROR(__xludf.DUMMYFUNCTION("GOOGLETRANSLATE(A58098,""en"",""pt"")"),"tecnologia brilhante, design bonito, &amp; som e qualidade incrível.")</f>
        <v>tecnologia brilhante, design bonito, &amp; som e qualidade incrível.</v>
      </c>
      <c r="B58098" s="3">
        <v>1</v>
      </c>
    </row>
    <row r="58099" ht="15.75" customHeight="1" spans="1:2">
      <c r="A58099" s="3" t="str">
        <f>IFERROR(__xludf.DUMMYFUNCTION("GOOGLETRANSLATE(A58099,""en"",""pt"")"),"preço razoável, características práticas, tamanho compacto e monitor externo")</f>
        <v>preço razoável, características práticas, tamanho compacto e monitor externo</v>
      </c>
      <c r="B58099" s="3">
        <v>1</v>
      </c>
    </row>
    <row r="58100" ht="15.75" customHeight="1" spans="1:2">
      <c r="A58100" s="3" t="s">
        <v>313</v>
      </c>
      <c r="B58100" s="3">
        <v>1</v>
      </c>
    </row>
    <row r="58101" ht="15.75" customHeight="1" spans="1:2">
      <c r="A58101" s="3" t="str">
        <f>IFERROR(__xludf.DUMMYFUNCTION("GOOGLETRANSLATE(A58101,""en"",""pt"")"),"exposição de cor bonita, muitos toques, muito personalizável")</f>
        <v>exposição de cor bonita, muitos toques, muito personalizável</v>
      </c>
      <c r="B58101" s="3">
        <v>1</v>
      </c>
    </row>
    <row r="58102" ht="15.75" customHeight="1" spans="1:2">
      <c r="A58102" s="3" t="str">
        <f>IFERROR(__xludf.DUMMYFUNCTION("GOOGLETRANSLATE(A58102,""en"",""pt"")"),"ecrã a cores, discagem por voz, display externo")</f>
        <v>ecrã a cores, discagem por voz, display externo</v>
      </c>
      <c r="B58102" s="3">
        <v>1</v>
      </c>
    </row>
    <row r="58103" ht="15.75" customHeight="1" spans="1:2">
      <c r="A58103" s="3" t="str">
        <f>IFERROR(__xludf.DUMMYFUNCTION("GOOGLETRANSLATE(A58103,""en"",""pt"")"),"tamanho muito compacto, com interface gráfica legal.")</f>
        <v>tamanho muito compacto, com interface gráfica legal.</v>
      </c>
      <c r="B58103" s="3">
        <v>1</v>
      </c>
    </row>
    <row r="58104" ht="15.75" customHeight="1" spans="1:2">
      <c r="A58104" s="3" t="str">
        <f>IFERROR(__xludf.DUMMYFUNCTION("GOOGLETRANSLATE(A58104,""en"",""pt"")"),"Pequeno, leve, chamada grande qualidade")</f>
        <v>Pequeno, leve, chamada grande qualidade</v>
      </c>
      <c r="B58104" s="3">
        <v>1</v>
      </c>
    </row>
    <row r="58105" ht="15.75" customHeight="1" spans="1:2">
      <c r="A58105" s="3" t="str">
        <f>IFERROR(__xludf.DUMMYFUNCTION("GOOGLETRANSLATE(A58105,""en"",""pt"")"),"Brilliant Blue Luz de fundo; Fácil de usar; Tela de cor; grande Toques")</f>
        <v>Brilliant Blue Luz de fundo; Fácil de usar; Tela de cor; grande Toques</v>
      </c>
      <c r="B58105" s="3">
        <v>1</v>
      </c>
    </row>
    <row r="58106" ht="15.75" customHeight="1" spans="1:2">
      <c r="A58106" s="3" t="str">
        <f>IFERROR(__xludf.DUMMYFUNCTION("GOOGLETRANSLATE(A58106,""en"",""pt"")"),"design elegante, excelente ecrã a cores, agradáveis ​​ringtones, bom organizador.")</f>
        <v>design elegante, excelente ecrã a cores, agradáveis ​​ringtones, bom organizador.</v>
      </c>
      <c r="B58106" s="3">
        <v>1</v>
      </c>
    </row>
    <row r="58107" ht="15.75" customHeight="1" spans="1:2">
      <c r="A58107" s="3" t="str">
        <f>IFERROR(__xludf.DUMMYFUNCTION("GOOGLETRANSLATE(A58107,""en"",""pt"")"),"Este telefone é pequeno, uma cor única, e tem uma tela de cor agradável.")</f>
        <v>Este telefone é pequeno, uma cor única, e tem uma tela de cor agradável.</v>
      </c>
      <c r="B58107" s="3">
        <v>1</v>
      </c>
    </row>
    <row r="58108" ht="15.75" customHeight="1" spans="1:2">
      <c r="A58108" s="3" t="str">
        <f>IFERROR(__xludf.DUMMYFUNCTION("GOOGLETRANSLATE(A58108,""en"",""pt"")"),"Você pode configurar os botões para fazer um som como gotas de água - engraçada!")</f>
        <v>Você pode configurar os botões para fazer um som como gotas de água - engraçada!</v>
      </c>
      <c r="B58108" s="3">
        <v>1</v>
      </c>
    </row>
    <row r="58109" ht="15.75" customHeight="1" spans="1:2">
      <c r="A58109" s="3" t="str">
        <f>IFERROR(__xludf.DUMMYFUNCTION("GOOGLETRANSLATE(A58109,""en"",""pt"")"),"Pequeno, lotes de características, boa tela, identificador de chamadas externo, recepção")</f>
        <v>Pequeno, lotes de características, boa tela, identificador de chamadas externo, recepção</v>
      </c>
      <c r="B58109" s="3">
        <v>1</v>
      </c>
    </row>
    <row r="58110" ht="15.75" customHeight="1" spans="1:2">
      <c r="A58110" s="3" t="str">
        <f>IFERROR(__xludf.DUMMYFUNCTION("GOOGLETRANSLATE(A58110,""en"",""pt"")"),"Cor telefone nada extravagante típico.")</f>
        <v>Cor telefone nada extravagante típico.</v>
      </c>
      <c r="B58110" s="3">
        <v>1</v>
      </c>
    </row>
    <row r="58111" ht="15.75" customHeight="1" spans="1:2">
      <c r="A58111" s="3" t="str">
        <f>IFERROR(__xludf.DUMMYFUNCTION("GOOGLETRANSLATE(A58111,""en"",""pt"")"),"tela perfeita, grandes toques, aparência atraente, pequeno, fácil de usar, muitas grandes e opções úteis.")</f>
        <v>tela perfeita, grandes toques, aparência atraente, pequeno, fácil de usar, muitas grandes e opções úteis.</v>
      </c>
      <c r="B58111" s="3">
        <v>1</v>
      </c>
    </row>
    <row r="58112" ht="15.75" customHeight="1" spans="1:2">
      <c r="A58112" s="3" t="str">
        <f>IFERROR(__xludf.DUMMYFUNCTION("GOOGLETRANSLATE(A58112,""en"",""pt"")"),"Compacto, leve, bom som, muitos recursos, RECONHECIMENTO DE VOZ !, agradável")</f>
        <v>Compacto, leve, bom som, muitos recursos, RECONHECIMENTO DE VOZ !, agradável</v>
      </c>
      <c r="B58112" s="3">
        <v>1</v>
      </c>
    </row>
    <row r="58113" ht="15.75" customHeight="1" spans="1:2">
      <c r="A58113" s="3" t="str">
        <f>IFERROR(__xludf.DUMMYFUNCTION("GOOGLETRANSLATE(A58113,""en"",""pt"")"),"Excelente Qualidade, Clear Screen, Voice Activated")</f>
        <v>Excelente Qualidade, Clear Screen, Voice Activated</v>
      </c>
      <c r="B58113" s="3">
        <v>1</v>
      </c>
    </row>
    <row r="58114" ht="15.75" customHeight="1" spans="1:2">
      <c r="A58114" s="3" t="str">
        <f>IFERROR(__xludf.DUMMYFUNCTION("GOOGLETRANSLATE(A58114,""en"",""pt"")"),"Fácil de aprender a usar, tela grande para fácil visualização")</f>
        <v>Fácil de aprender a usar, tela grande para fácil visualização</v>
      </c>
      <c r="B58114" s="3">
        <v>1</v>
      </c>
    </row>
    <row r="58115" ht="15.75" customHeight="1" spans="1:2">
      <c r="A58115" s="3" t="str">
        <f>IFERROR(__xludf.DUMMYFUNCTION("GOOGLETRANSLATE(A58115,""en"",""pt"")"),"Quase tudo é ótimo!")</f>
        <v>Quase tudo é ótimo!</v>
      </c>
      <c r="B58115" s="3">
        <v>1</v>
      </c>
    </row>
    <row r="58116" ht="15.75" customHeight="1" spans="1:2">
      <c r="A58116" s="3" t="str">
        <f>IFERROR(__xludf.DUMMYFUNCTION("GOOGLETRANSLATE(A58116,""en"",""pt"")"),"Pequeno, leve, parece ser bom, grande autonomia da bateria, excelente som e qualidade do sinal")</f>
        <v>Pequeno, leve, parece ser bom, grande autonomia da bateria, excelente som e qualidade do sinal</v>
      </c>
      <c r="B58116" s="3">
        <v>1</v>
      </c>
    </row>
    <row r="58117" ht="15.75" customHeight="1" spans="1:2">
      <c r="A58117" s="3" t="str">
        <f>IFERROR(__xludf.DUMMYFUNCTION("GOOGLETRANSLATE(A58117,""en"",""pt"")"),"A vida da bateria, fácil de usar, ótimo som, campainha LOUD")</f>
        <v>A vida da bateria, fácil de usar, ótimo som, campainha LOUD</v>
      </c>
      <c r="B58117" s="3">
        <v>1</v>
      </c>
    </row>
    <row r="58118" ht="15.75" customHeight="1" spans="1:2">
      <c r="A58118" s="3" t="str">
        <f>IFERROR(__xludf.DUMMYFUNCTION("GOOGLETRANSLATE(A58118,""en"",""pt"")"),", Boa bateria, tamanho durável tela grande")</f>
        <v>, Boa bateria, tamanho durável tela grande</v>
      </c>
      <c r="B58118" s="3">
        <v>1</v>
      </c>
    </row>
    <row r="58119" ht="15.75" customHeight="1" spans="1:2">
      <c r="A58119" s="3" t="str">
        <f>IFERROR(__xludf.DUMMYFUNCTION("GOOGLETRANSLATE(A58119,""en"",""pt"")"),"Sem comentários")</f>
        <v>Sem comentários</v>
      </c>
      <c r="B58119" s="3">
        <v>1</v>
      </c>
    </row>
    <row r="58120" ht="15.75" customHeight="1" spans="1:2">
      <c r="A58120" s="3" t="str">
        <f>IFERROR(__xludf.DUMMYFUNCTION("GOOGLETRANSLATE(A58120,""en"",""pt"")"),"simples")</f>
        <v>simples</v>
      </c>
      <c r="B58120" s="3">
        <v>1</v>
      </c>
    </row>
    <row r="58121" ht="15.75" customHeight="1" spans="1:2">
      <c r="A58121" s="3" t="str">
        <f>IFERROR(__xludf.DUMMYFUNCTION("GOOGLETRANSLATE(A58121,""en"",""pt"")"),"Sonics e recepção estelares; fino; luz, GPS pronto; 2-maneira viva-voz duplex; e discagem ativada por voz")</f>
        <v>Sonics e recepção estelares; fino; luz, GPS pronto; 2-maneira viva-voz duplex; e discagem ativada por voz</v>
      </c>
      <c r="B58121" s="3">
        <v>1</v>
      </c>
    </row>
    <row r="58122" ht="15.75" customHeight="1" spans="1:2">
      <c r="A58122" s="3" t="str">
        <f>IFERROR(__xludf.DUMMYFUNCTION("GOOGLETRANSLATE(A58122,""en"",""pt"")"),"A vida da bateria, ouvir apenas viva-voz, conectividade de dados, peso leve")</f>
        <v>A vida da bateria, ouvir apenas viva-voz, conectividade de dados, peso leve</v>
      </c>
      <c r="B58122" s="3">
        <v>1</v>
      </c>
    </row>
    <row r="58123" ht="15.75" customHeight="1" spans="1:2">
      <c r="A58123" s="3" t="str">
        <f>IFERROR(__xludf.DUMMYFUNCTION("GOOGLETRANSLATE(A58123,""en"",""pt"")"),"QUALIDADE E PREÇO")</f>
        <v>QUALIDADE E PREÇO</v>
      </c>
      <c r="B58123" s="3">
        <v>1</v>
      </c>
    </row>
    <row r="58124" ht="15.75" customHeight="1" spans="1:2">
      <c r="A58124" s="3" t="str">
        <f>IFERROR(__xludf.DUMMYFUNCTION("GOOGLETRANSLATE(A58124,""en"",""pt"")"),"Pequeno, bateria de longa duração, ABSOLUTO melhor recepção")</f>
        <v>Pequeno, bateria de longa duração, ABSOLUTO melhor recepção</v>
      </c>
      <c r="B58124" s="3">
        <v>1</v>
      </c>
    </row>
    <row r="58125" ht="15.75" customHeight="1" spans="1:2">
      <c r="A58125" s="3" t="str">
        <f>IFERROR(__xludf.DUMMYFUNCTION("GOOGLETRANSLATE(A58125,""en"",""pt"")"),"Grande recepção. Boa ergonomia. boa tela. Fácil de usar. preço modesto.")</f>
        <v>Grande recepção. Boa ergonomia. boa tela. Fácil de usar. preço modesto.</v>
      </c>
      <c r="B58125" s="3">
        <v>1</v>
      </c>
    </row>
    <row r="58126" ht="15.75" customHeight="1" spans="1:2">
      <c r="A58126" s="3" t="str">
        <f>IFERROR(__xludf.DUMMYFUNCTION("GOOGLETRANSLATE(A58126,""en"",""pt"")"),"Grande, em Analog únicas áreas rápida para encontrar Digital quando disponível.")</f>
        <v>Grande, em Analog únicas áreas rápida para encontrar Digital quando disponível.</v>
      </c>
      <c r="B58126" s="3">
        <v>1</v>
      </c>
    </row>
    <row r="58127" ht="15.75" customHeight="1" spans="1:2">
      <c r="A58127" s="3" t="str">
        <f>IFERROR(__xludf.DUMMYFUNCTION("GOOGLETRANSLATE(A58127,""en"",""pt"")"),"telefone funciona em áreas de sinal digital fracos")</f>
        <v>telefone funciona em áreas de sinal digital fracos</v>
      </c>
      <c r="B58127" s="3">
        <v>1</v>
      </c>
    </row>
    <row r="58128" ht="15.75" customHeight="1" spans="1:2">
      <c r="A58128" s="3" t="str">
        <f>IFERROR(__xludf.DUMMYFUNCTION("GOOGLETRANSLATE(A58128,""en"",""pt"")"),"tela de cor, tamanho, energia da bateria decente.")</f>
        <v>tela de cor, tamanho, energia da bateria decente.</v>
      </c>
      <c r="B58128" s="3">
        <v>1</v>
      </c>
    </row>
    <row r="58129" ht="15.75" customHeight="1" spans="1:2">
      <c r="A58129" s="3" t="str">
        <f>IFERROR(__xludf.DUMMYFUNCTION("GOOGLETRANSLATE(A58129,""en"",""pt"")"),"Grande ecrã a cores, Big Outer tela, projeto, peso, duração da bateria, Features")</f>
        <v>Grande ecrã a cores, Big Outer tela, projeto, peso, duração da bateria, Features</v>
      </c>
      <c r="B58129" s="3">
        <v>1</v>
      </c>
    </row>
    <row r="58130" ht="15.75" customHeight="1" spans="1:2">
      <c r="A58130" s="3" t="str">
        <f>IFERROR(__xludf.DUMMYFUNCTION("GOOGLETRANSLATE(A58130,""en"",""pt"")"),"Tela cor, GPRS (alta velocidade sem fio), World Phone")</f>
        <v>Tela cor, GPRS (alta velocidade sem fio), World Phone</v>
      </c>
      <c r="B58130" s="3">
        <v>1</v>
      </c>
    </row>
    <row r="58131" ht="15.75" customHeight="1" spans="1:2">
      <c r="A58131" s="3" t="str">
        <f>IFERROR(__xludf.DUMMYFUNCTION("GOOGLETRANSLATE(A58131,""en"",""pt"")"),"O design elegante e compacto.")</f>
        <v>O design elegante e compacto.</v>
      </c>
      <c r="B58131" s="3">
        <v>1</v>
      </c>
    </row>
    <row r="58132" ht="15.75" customHeight="1" spans="1:2">
      <c r="A58132" s="3" t="str">
        <f>IFERROR(__xludf.DUMMYFUNCTION("GOOGLETRANSLATE(A58132,""en"",""pt"")"),"Pequeno, peso leve, fácil de usar, ecrã a cores.")</f>
        <v>Pequeno, peso leve, fácil de usar, ecrã a cores.</v>
      </c>
      <c r="B58132" s="3">
        <v>1</v>
      </c>
    </row>
    <row r="58133" ht="15.75" customHeight="1" spans="1:2">
      <c r="A58133" s="3" t="str">
        <f>IFERROR(__xludf.DUMMYFUNCTION("GOOGLETRANSLATE(A58133,""en"",""pt"")"),"cor grande, grande som")</f>
        <v>cor grande, grande som</v>
      </c>
      <c r="B58133" s="3">
        <v>1</v>
      </c>
    </row>
    <row r="58134" ht="15.75" customHeight="1" spans="1:2">
      <c r="A58134" s="3" t="str">
        <f>IFERROR(__xludf.DUMMYFUNCTION("GOOGLETRANSLATE(A58134,""en"",""pt"")"),"telefone olhando agradável, muitas características, excelente exibição de cor")</f>
        <v>telefone olhando agradável, muitas características, excelente exibição de cor</v>
      </c>
      <c r="B58134" s="3">
        <v>1</v>
      </c>
    </row>
    <row r="58135" ht="15.75" customHeight="1" spans="1:2">
      <c r="A58135" s="3" t="str">
        <f>IFERROR(__xludf.DUMMYFUNCTION("GOOGLETRANSLATE(A58135,""en"",""pt"")"),"Leve, fresco luz de fundo azul, fino, infravermelho, tela grande")</f>
        <v>Leve, fresco luz de fundo azul, fino, infravermelho, tela grande</v>
      </c>
      <c r="B58135" s="3">
        <v>1</v>
      </c>
    </row>
    <row r="58136" ht="15.75" customHeight="1" spans="1:2">
      <c r="A58136" s="3" t="str">
        <f>IFERROR(__xludf.DUMMYFUNCTION("GOOGLETRANSLATE(A58136,""en"",""pt"")"),"Identificador de chamadas externo / hora, Cor, Flip")</f>
        <v>Identificador de chamadas externo / hora, Cor, Flip</v>
      </c>
      <c r="B58136" s="3">
        <v>1</v>
      </c>
    </row>
    <row r="58137" ht="15.75" customHeight="1" spans="1:2">
      <c r="A58137" s="3" t="str">
        <f>IFERROR(__xludf.DUMMYFUNCTION("GOOGLETRANSLATE(A58137,""en"",""pt"")"),"Grande som, chaves confortável e em forma, pode baixar gráficos e tons, o uso fácil, monitor externo.")</f>
        <v>Grande som, chaves confortável e em forma, pode baixar gráficos e tons, o uso fácil, monitor externo.</v>
      </c>
      <c r="B58137" s="3">
        <v>1</v>
      </c>
    </row>
    <row r="58138" ht="15.75" customHeight="1" spans="1:2">
      <c r="A58138" s="3" t="str">
        <f>IFERROR(__xludf.DUMMYFUNCTION("GOOGLETRANSLATE(A58138,""en"",""pt"")"),"concepção global, opções, cor")</f>
        <v>concepção global, opções, cor</v>
      </c>
      <c r="B58138" s="3">
        <v>1</v>
      </c>
    </row>
    <row r="58139" ht="15.75" customHeight="1" spans="1:2">
      <c r="A58139" s="3" t="str">
        <f>IFERROR(__xludf.DUMMYFUNCTION("GOOGLETRANSLATE(A58139,""en"",""pt"")"),"grande colorida tela, elegante e compacto")</f>
        <v>grande colorida tela, elegante e compacto</v>
      </c>
      <c r="B58139" s="3">
        <v>1</v>
      </c>
    </row>
    <row r="58140" ht="15.75" customHeight="1" spans="1:2">
      <c r="A58140" s="3" t="str">
        <f>IFERROR(__xludf.DUMMYFUNCTION("GOOGLETRANSLATE(A58140,""en"",""pt"")"),"bela tela, flip top liso,, grandes sons pequenos e confortáveis")</f>
        <v>bela tela, flip top liso,, grandes sons pequenos e confortáveis</v>
      </c>
      <c r="B58140" s="3">
        <v>1</v>
      </c>
    </row>
    <row r="58141" ht="15.75" customHeight="1" spans="1:2">
      <c r="A58141" s="3" t="str">
        <f>IFERROR(__xludf.DUMMYFUNCTION("GOOGLETRANSLATE(A58141,""en"",""pt"")"),"ecrã a cores, clareza numérica, tamanho")</f>
        <v>ecrã a cores, clareza numérica, tamanho</v>
      </c>
      <c r="B58141" s="3">
        <v>1</v>
      </c>
    </row>
    <row r="58142" ht="15.75" customHeight="1" spans="1:2">
      <c r="A58142" s="3" t="str">
        <f>IFERROR(__xludf.DUMMYFUNCTION("GOOGLETRANSLATE(A58142,""en"",""pt"")"),"Cor, o som, a vida batterly e clareza")</f>
        <v>Cor, o som, a vida batterly e clareza</v>
      </c>
      <c r="B58142" s="3">
        <v>1</v>
      </c>
    </row>
    <row r="58143" ht="15.75" customHeight="1" spans="1:2">
      <c r="A58143" s="3" t="str">
        <f>IFERROR(__xludf.DUMMYFUNCTION("GOOGLETRANSLATE(A58143,""en"",""pt"")"),"boa qualidade, compacto, fácil de usar, recursos")</f>
        <v>boa qualidade, compacto, fácil de usar, recursos</v>
      </c>
      <c r="B58143" s="3">
        <v>1</v>
      </c>
    </row>
    <row r="58144" ht="15.75" customHeight="1" spans="1:2">
      <c r="A58144" s="3" t="str">
        <f>IFERROR(__xludf.DUMMYFUNCTION("GOOGLETRANSLATE(A58144,""en"",""pt"")"),"Excelente telefone, elegante, full-color, tri-band")</f>
        <v>Excelente telefone, elegante, full-color, tri-band</v>
      </c>
      <c r="B58144" s="3">
        <v>1</v>
      </c>
    </row>
    <row r="58145" ht="15.75" customHeight="1" spans="1:2">
      <c r="A58145" s="3" t="str">
        <f>IFERROR(__xludf.DUMMYFUNCTION("GOOGLETRANSLATE(A58145,""en"",""pt"")"),"Tela bonito, fácil de usar, embalado com características.")</f>
        <v>Tela bonito, fácil de usar, embalado com características.</v>
      </c>
      <c r="B58145" s="3">
        <v>1</v>
      </c>
    </row>
    <row r="58146" ht="15.75" customHeight="1" spans="1:2">
      <c r="A58146" s="3" t="str">
        <f>IFERROR(__xludf.DUMMYFUNCTION("GOOGLETRANSLATE(A58146,""en"",""pt"")"),"telefone bonito. tela bonita.")</f>
        <v>telefone bonito. tela bonita.</v>
      </c>
      <c r="B58146" s="3">
        <v>1</v>
      </c>
    </row>
    <row r="58147" ht="15.75" customHeight="1" spans="1:2">
      <c r="A58147" s="3" t="str">
        <f>IFERROR(__xludf.DUMMYFUNCTION("GOOGLETRANSLATE(A58147,""en"",""pt"")"),"excelente exibição, grande qualidade de voz, muitos recursos")</f>
        <v>excelente exibição, grande qualidade de voz, muitos recursos</v>
      </c>
      <c r="B58147" s="3">
        <v>1</v>
      </c>
    </row>
    <row r="58148" ht="15.75" customHeight="1" spans="1:2">
      <c r="A58148" s="3" t="str">
        <f>IFERROR(__xludf.DUMMYFUNCTION("GOOGLETRANSLATE(A58148,""en"",""pt"")"),"Downloads e design!")</f>
        <v>Downloads e design!</v>
      </c>
      <c r="B58148" s="3">
        <v>1</v>
      </c>
    </row>
    <row r="58149" ht="15.75" customHeight="1" spans="1:2">
      <c r="A58149" s="3" t="str">
        <f>IFERROR(__xludf.DUMMYFUNCTION("GOOGLETRANSLATE(A58149,""en"",""pt"")"),"cor da tela, opções, sons, conforto, mãos livres")</f>
        <v>cor da tela, opções, sons, conforto, mãos livres</v>
      </c>
      <c r="B58149" s="3">
        <v>1</v>
      </c>
    </row>
    <row r="58150" ht="15.75" customHeight="1" spans="1:2">
      <c r="A58150" s="3" t="str">
        <f>IFERROR(__xludf.DUMMYFUNCTION("GOOGLETRANSLATE(A58150,""en"",""pt"")"),"Divertimento, fresco, tela grande, intuitiva / fácil de usar")</f>
        <v>Divertimento, fresco, tela grande, intuitiva / fácil de usar</v>
      </c>
      <c r="B58150" s="3">
        <v>1</v>
      </c>
    </row>
    <row r="58151" ht="15.75" customHeight="1" spans="1:2">
      <c r="A58151" s="3" t="str">
        <f>IFERROR(__xludf.DUMMYFUNCTION("GOOGLETRANSLATE(A58151,""en"",""pt"")"),"visor grande letra")</f>
        <v>visor grande letra</v>
      </c>
      <c r="B58151" s="3">
        <v>1</v>
      </c>
    </row>
    <row r="58152" ht="15.75" customHeight="1" spans="1:2">
      <c r="A58152" s="3" t="str">
        <f>IFERROR(__xludf.DUMMYFUNCTION("GOOGLETRANSLATE(A58152,""en"",""pt"")"),"Bateria vida excelente, colorido e atraente, interface fácil de usar")</f>
        <v>Bateria vida excelente, colorido e atraente, interface fácil de usar</v>
      </c>
      <c r="B58152" s="3">
        <v>1</v>
      </c>
    </row>
    <row r="58153" ht="15.75" customHeight="1" spans="1:2">
      <c r="A58153" s="3" t="str">
        <f>IFERROR(__xludf.DUMMYFUNCTION("GOOGLETRANSLATE(A58153,""en"",""pt"")"),"menus de cor, estilo elegante, tamanho")</f>
        <v>menus de cor, estilo elegante, tamanho</v>
      </c>
      <c r="B58153" s="3">
        <v>1</v>
      </c>
    </row>
    <row r="58154" ht="15.75" customHeight="1" spans="1:2">
      <c r="A58154" s="3" t="s">
        <v>314</v>
      </c>
      <c r="B58154" s="3">
        <v>1</v>
      </c>
    </row>
    <row r="58155" ht="15.75" customHeight="1" spans="1:2">
      <c r="A58155" s="3" t="str">
        <f>IFERROR(__xludf.DUMMYFUNCTION("GOOGLETRANSLATE(A58155,""en"",""pt"")"),"leve, brilhante LCD, muitas características, excelente clareza")</f>
        <v>leve, brilhante LCD, muitas características, excelente clareza</v>
      </c>
      <c r="B58155" s="3">
        <v>1</v>
      </c>
    </row>
    <row r="58156" ht="15.75" customHeight="1" spans="1:2">
      <c r="A58156" s="3" t="str">
        <f>IFERROR(__xludf.DUMMYFUNCTION("GOOGLETRANSLATE(A58156,""en"",""pt"")"),"Parece bom")</f>
        <v>Parece bom</v>
      </c>
      <c r="B58156" s="3">
        <v>1</v>
      </c>
    </row>
    <row r="58157" ht="15.75" customHeight="1" spans="1:2">
      <c r="A58157" s="3" t="str">
        <f>IFERROR(__xludf.DUMMYFUNCTION("GOOGLETRANSLATE(A58157,""en"",""pt"")"),"Telefone era de qualidade média.")</f>
        <v>Telefone era de qualidade média.</v>
      </c>
      <c r="B58157" s="3">
        <v>1</v>
      </c>
    </row>
    <row r="58158" ht="15.75" customHeight="1" spans="1:2">
      <c r="A58158" s="3" t="str">
        <f>IFERROR(__xludf.DUMMYFUNCTION("GOOGLETRANSLATE(A58158,""en"",""pt"")"),"O tamanho pequeno, tampa articulada, vem com uma segunda bateria e outros acessórios.")</f>
        <v>O tamanho pequeno, tampa articulada, vem com uma segunda bateria e outros acessórios.</v>
      </c>
      <c r="B58158" s="3">
        <v>1</v>
      </c>
    </row>
    <row r="58159" ht="15.75" customHeight="1" spans="1:2">
      <c r="A58159" s="3" t="str">
        <f>IFERROR(__xludf.DUMMYFUNCTION("GOOGLETRANSLATE(A58159,""en"",""pt"")"),"Jogos, tela, tons, aparência")</f>
        <v>Jogos, tela, tons, aparência</v>
      </c>
      <c r="B58159" s="3">
        <v>1</v>
      </c>
    </row>
    <row r="58160" ht="15.75" customHeight="1" spans="1:2">
      <c r="A58160" s="3" t="str">
        <f>IFERROR(__xludf.DUMMYFUNCTION("GOOGLETRANSLATE(A58160,""en"",""pt"")"),"bolso tamanho.")</f>
        <v>bolso tamanho.</v>
      </c>
      <c r="B58160" s="3">
        <v>1</v>
      </c>
    </row>
    <row r="58161" ht="15.75" customHeight="1" spans="1:2">
      <c r="A58161" s="3" t="str">
        <f>IFERROR(__xludf.DUMMYFUNCTION("GOOGLETRANSLATE(A58161,""en"",""pt"")"),"Pequeno, cor brilhante")</f>
        <v>Pequeno, cor brilhante</v>
      </c>
      <c r="B58161" s="3">
        <v>1</v>
      </c>
    </row>
    <row r="58162" ht="15.75" customHeight="1" spans="1:2">
      <c r="A58162" s="3" t="str">
        <f>IFERROR(__xludf.DUMMYFUNCTION("GOOGLETRANSLATE(A58162,""en"",""pt"")"),"A tela é muito bem.")</f>
        <v>A tela é muito bem.</v>
      </c>
      <c r="B58162" s="3">
        <v>1</v>
      </c>
    </row>
    <row r="58163" ht="15.75" customHeight="1" spans="1:2">
      <c r="A58163" s="3" t="str">
        <f>IFERROR(__xludf.DUMMYFUNCTION("GOOGLETRANSLATE(A58163,""en"",""pt"")"),"Fácil de usar, tem muitas características que eu preciso")</f>
        <v>Fácil de usar, tem muitas características que eu preciso</v>
      </c>
      <c r="B58163" s="3">
        <v>1</v>
      </c>
    </row>
    <row r="58164" ht="15.75" customHeight="1" spans="1:2">
      <c r="A58164" s="3" t="str">
        <f>IFERROR(__xludf.DUMMYFUNCTION("GOOGLETRANSLATE(A58164,""en"",""pt"")"),"Versátil trocas placa de cara, 39 toques, Caller ID, 3 jogos, log de chamadas")</f>
        <v>Versátil trocas placa de cara, 39 toques, Caller ID, 3 jogos, log de chamadas</v>
      </c>
      <c r="B58164" s="3">
        <v>1</v>
      </c>
    </row>
    <row r="58165" ht="15.75" customHeight="1" spans="1:2">
      <c r="A58165" s="3" t="str">
        <f>IFERROR(__xludf.DUMMYFUNCTION("GOOGLETRANSLATE(A58165,""en"",""pt"")"),"Pequeno, muitos recursos, Built to Hold Up")</f>
        <v>Pequeno, muitos recursos, Built to Hold Up</v>
      </c>
      <c r="B58165" s="3">
        <v>1</v>
      </c>
    </row>
    <row r="58166" ht="15.75" customHeight="1" spans="1:2">
      <c r="A58166" s="3" t="str">
        <f>IFERROR(__xludf.DUMMYFUNCTION("GOOGLETRANSLATE(A58166,""en"",""pt"")"),"Barato, abundância de recursos, geralmente mais barato com um ""pacote"" de provedor de serviços")</f>
        <v>Barato, abundância de recursos, geralmente mais barato com um "pacote" de provedor de serviços</v>
      </c>
      <c r="B58166" s="3">
        <v>1</v>
      </c>
    </row>
    <row r="58167" ht="15.75" customHeight="1" spans="1:2">
      <c r="A58167" s="3" t="str">
        <f>IFERROR(__xludf.DUMMYFUNCTION("GOOGLETRANSLATE(A58167,""en"",""pt"")"),"Barato, durável, recursos simples, fácil de usar &amp; # 13; &amp; # 10;")</f>
        <v>Barato, durável, recursos simples, fácil de usar &amp; # 13; &amp; # 10;</v>
      </c>
      <c r="B58167" s="3">
        <v>1</v>
      </c>
    </row>
    <row r="58168" ht="15.75" customHeight="1" spans="1:2">
      <c r="A58168" s="3" t="str">
        <f>IFERROR(__xludf.DUMMYFUNCTION("GOOGLETRANSLATE(A58168,""en"",""pt"")"),"selecções anel variadas, placas de cara intercambiáveis.")</f>
        <v>selecções anel variadas, placas de cara intercambiáveis.</v>
      </c>
      <c r="B58168" s="3">
        <v>1</v>
      </c>
    </row>
    <row r="58169" ht="15.75" customHeight="1" spans="1:2">
      <c r="A58169" s="3" t="str">
        <f>IFERROR(__xludf.DUMMYFUNCTION("GOOGLETRANSLATE(A58169,""en"",""pt"")"),"Pequeno, colorido, grandes obras")</f>
        <v>Pequeno, colorido, grandes obras</v>
      </c>
      <c r="B58169" s="3">
        <v>1</v>
      </c>
    </row>
    <row r="58170" ht="15.75" customHeight="1" spans="1:2">
      <c r="A58170" s="3" t="str">
        <f>IFERROR(__xludf.DUMMYFUNCTION("GOOGLETRANSLATE(A58170,""en"",""pt"")"),"Preço, características excelentes para tal telefone um barato, boa construção")</f>
        <v>Preço, características excelentes para tal telefone um barato, boa construção</v>
      </c>
      <c r="B58170" s="3">
        <v>1</v>
      </c>
    </row>
    <row r="58171" ht="15.75" customHeight="1" spans="1:2">
      <c r="A58171" s="3" t="str">
        <f>IFERROR(__xludf.DUMMYFUNCTION("GOOGLETRANSLATE(A58171,""en"",""pt"")"),"Grande clareza, pequenas e leves, muitas características de conveniência e durável.")</f>
        <v>Grande clareza, pequenas e leves, muitas características de conveniência e durável.</v>
      </c>
      <c r="B58171" s="3">
        <v>1</v>
      </c>
    </row>
    <row r="58172" ht="15.75" customHeight="1" spans="1:2">
      <c r="A58172" s="3" t="str">
        <f>IFERROR(__xludf.DUMMYFUNCTION("GOOGLETRANSLATE(A58172,""en"",""pt"")"),"Tamanho, faceplates, acessórios, jogos, anéis, versatilidade ... etc.")</f>
        <v>Tamanho, faceplates, acessórios, jogos, anéis, versatilidade ... etc.</v>
      </c>
      <c r="B58172" s="3">
        <v>1</v>
      </c>
    </row>
    <row r="58173" ht="15.75" customHeight="1" spans="1:2">
      <c r="A58173" s="3" t="str">
        <f>IFERROR(__xludf.DUMMYFUNCTION("GOOGLETRANSLATE(A58173,""en"",""pt"")"),"Preço, capacidade de mudar de aparência, a vida da bateria, Keylock, fácil de usar")</f>
        <v>Preço, capacidade de mudar de aparência, a vida da bateria, Keylock, fácil de usar</v>
      </c>
      <c r="B58173" s="3">
        <v>1</v>
      </c>
    </row>
    <row r="58174" ht="15.75" customHeight="1" spans="1:2">
      <c r="A58174" s="3" t="str">
        <f>IFERROR(__xludf.DUMMYFUNCTION("GOOGLETRANSLATE(A58174,""en"",""pt"")"),"Facilidade de uso, características, rochas de qualidade geral")</f>
        <v>Facilidade de uso, características, rochas de qualidade geral</v>
      </c>
      <c r="B58174" s="3">
        <v>1</v>
      </c>
    </row>
    <row r="58175" ht="15.75" customHeight="1" spans="1:2">
      <c r="A58175" s="3" t="str">
        <f>IFERROR(__xludf.DUMMYFUNCTION("GOOGLETRANSLATE(A58175,""en"",""pt"")"),"O peso leve, grande clareza, funções simples, fácil de usar.")</f>
        <v>O peso leve, grande clareza, funções simples, fácil de usar.</v>
      </c>
      <c r="B58175" s="3">
        <v>1</v>
      </c>
    </row>
    <row r="58176" ht="15.75" customHeight="1" spans="1:2">
      <c r="A58176" s="3" t="str">
        <f>IFERROR(__xludf.DUMMYFUNCTION("GOOGLETRANSLATE(A58176,""en"",""pt"")"),"Bons menus e recursos antigos da Nokia")</f>
        <v>Bons menus e recursos antigos da Nokia</v>
      </c>
      <c r="B58176" s="3">
        <v>1</v>
      </c>
    </row>
    <row r="58177" ht="15.75" customHeight="1" spans="1:2">
      <c r="A58177" s="3" t="str">
        <f>IFERROR(__xludf.DUMMYFUNCTION("GOOGLETRANSLATE(A58177,""en"",""pt"")"),"Fino, elegante e faz o que é suposto fazer")</f>
        <v>Fino, elegante e faz o que é suposto fazer</v>
      </c>
      <c r="B58177" s="3">
        <v>1</v>
      </c>
    </row>
    <row r="58178" ht="15.75" customHeight="1" spans="1:2">
      <c r="A58178" s="3" t="str">
        <f>IFERROR(__xludf.DUMMYFUNCTION("GOOGLETRANSLATE(A58178,""en"",""pt"")"),"Boa função de memória, cobra, boa claridade chamada, preço")</f>
        <v>Boa função de memória, cobra, boa claridade chamada, preço</v>
      </c>
      <c r="B58178" s="3">
        <v>1</v>
      </c>
    </row>
    <row r="58179" ht="15.75" customHeight="1" spans="1:2">
      <c r="A58179" s="3" t="str">
        <f>IFERROR(__xludf.DUMMYFUNCTION("GOOGLETRANSLATE(A58179,""en"",""pt"")"),"Tho preço baixo e função poderosa")</f>
        <v>Tho preço baixo e função poderosa</v>
      </c>
      <c r="B58179" s="3">
        <v>1</v>
      </c>
    </row>
    <row r="58180" ht="15.75" customHeight="1" spans="1:2">
      <c r="A58180" s="3" t="str">
        <f>IFERROR(__xludf.DUMMYFUNCTION("GOOGLETRANSLATE(A58180,""en"",""pt"")"),"faceplates de cores, características de anel, de bom tamanho")</f>
        <v>faceplates de cores, características de anel, de bom tamanho</v>
      </c>
      <c r="B58180" s="3">
        <v>1</v>
      </c>
    </row>
    <row r="58181" ht="15.75" customHeight="1" spans="1:2">
      <c r="A58181" s="3" t="str">
        <f>IFERROR(__xludf.DUMMYFUNCTION("GOOGLETRANSLATE(A58181,""en"",""pt"")"),"Robusto, boa bateria, acima recepção média, fácil de usar armazenamento nome / número, accending ringer volume.")</f>
        <v>Robusto, boa bateria, acima recepção média, fácil de usar armazenamento nome / número, accending ringer volume.</v>
      </c>
      <c r="B58181" s="3">
        <v>1</v>
      </c>
    </row>
    <row r="58182" ht="15.75" customHeight="1" spans="1:2">
      <c r="A58182" s="3" t="str">
        <f>IFERROR(__xludf.DUMMYFUNCTION("GOOGLETRANSLATE(A58182,""en"",""pt"")"),"tamanho compacto, uma recepção clara, muitas grandes características.")</f>
        <v>tamanho compacto, uma recepção clara, muitas grandes características.</v>
      </c>
      <c r="B58182" s="3">
        <v>1</v>
      </c>
    </row>
    <row r="58183" ht="15.75" customHeight="1" spans="1:2">
      <c r="A58183" s="3" t="str">
        <f>IFERROR(__xludf.DUMMYFUNCTION("GOOGLETRANSLATE(A58183,""en"",""pt"")"),"menu do Nokia / funções.")</f>
        <v>menu do Nokia / funções.</v>
      </c>
      <c r="B58183" s="3">
        <v>1</v>
      </c>
    </row>
    <row r="58184" ht="15.75" customHeight="1" spans="1:2">
      <c r="A58184" s="3" t="str">
        <f>IFERROR(__xludf.DUMMYFUNCTION("GOOGLETRANSLATE(A58184,""en"",""pt"")"),"Muitos, muitos recursos.")</f>
        <v>Muitos, muitos recursos.</v>
      </c>
      <c r="B58184" s="3">
        <v>1</v>
      </c>
    </row>
    <row r="58185" ht="15.75" customHeight="1" spans="1:2">
      <c r="A58185" s="3" t="str">
        <f>IFERROR(__xludf.DUMMYFUNCTION("GOOGLETRANSLATE(A58185,""en"",""pt"")"),"Um bom telefone com lotes de marca e depois mercado acessórios")</f>
        <v>Um bom telefone com lotes de marca e depois mercado acessórios</v>
      </c>
      <c r="B58185" s="3">
        <v>1</v>
      </c>
    </row>
    <row r="58186" ht="15.75" customHeight="1" spans="1:2">
      <c r="A58186" s="3" t="str">
        <f>IFERROR(__xludf.DUMMYFUNCTION("GOOGLETRANSLATE(A58186,""en"",""pt"")"),"Magro, tampas coloridas, Li-Ion, Clear Recepção")</f>
        <v>Magro, tampas coloridas, Li-Ion, Clear Recepção</v>
      </c>
      <c r="B58186" s="3">
        <v>1</v>
      </c>
    </row>
    <row r="58187" ht="15.75" customHeight="1" spans="1:2">
      <c r="A58187" s="3" t="str">
        <f>IFERROR(__xludf.DUMMYFUNCTION("GOOGLETRANSLATE(A58187,""en"",""pt"")"),"3 jogos, log de chamadas, lista telefônica, e-mail, relógio, 30 toques diferentes")</f>
        <v>3 jogos, log de chamadas, lista telefônica, e-mail, relógio, 30 toques diferentes</v>
      </c>
      <c r="B58187" s="3">
        <v>1</v>
      </c>
    </row>
    <row r="58188" ht="15.75" customHeight="1" spans="1:2">
      <c r="A58188" s="3" t="str">
        <f>IFERROR(__xludf.DUMMYFUNCTION("GOOGLETRANSLATE(A58188,""en"",""pt"")"),"Móveis, placas de cara mutáveis, boa qualidade de som, recursos avançados")</f>
        <v>Móveis, placas de cara mutáveis, boa qualidade de som, recursos avançados</v>
      </c>
      <c r="B58188" s="3">
        <v>1</v>
      </c>
    </row>
    <row r="58189" ht="15.75" customHeight="1" spans="1:2">
      <c r="A58189" s="3" t="str">
        <f>IFERROR(__xludf.DUMMYFUNCTION("GOOGLETRANSLATE(A58189,""en"",""pt"")"),"Tamanho, a vida da bateria, funcionalidades de personalização, entrada de texto fácil.")</f>
        <v>Tamanho, a vida da bateria, funcionalidades de personalização, entrada de texto fácil.</v>
      </c>
      <c r="B58189" s="3">
        <v>1</v>
      </c>
    </row>
    <row r="58190" ht="15.75" customHeight="1" spans="1:2">
      <c r="A58190" s="3" t="str">
        <f>IFERROR(__xludf.DUMMYFUNCTION("GOOGLETRANSLATE(A58190,""en"",""pt"")"),"Barato")</f>
        <v>Barato</v>
      </c>
      <c r="B58190" s="3">
        <v>1</v>
      </c>
    </row>
    <row r="58191" ht="15.75" customHeight="1" spans="1:2">
      <c r="A58191" s="3" t="str">
        <f>IFERROR(__xludf.DUMMYFUNCTION("GOOGLETRANSLATE(A58191,""en"",""pt"")"),"Pequeno, leve, fácil de usar")</f>
        <v>Pequeno, leve, fácil de usar</v>
      </c>
      <c r="B58191" s="3">
        <v>1</v>
      </c>
    </row>
    <row r="58192" ht="15.75" customHeight="1" spans="1:2">
      <c r="A58192" s="3" t="str">
        <f>IFERROR(__xludf.DUMMYFUNCTION("GOOGLETRANSLATE(A58192,""en"",""pt"")"),"40 Toques, placas dianteiras, pela Nokia")</f>
        <v>40 Toques, placas dianteiras, pela Nokia</v>
      </c>
      <c r="B58192" s="3">
        <v>1</v>
      </c>
    </row>
    <row r="58193" ht="15.75" customHeight="1" spans="1:2">
      <c r="A58193" s="3" t="str">
        <f>IFERROR(__xludf.DUMMYFUNCTION("GOOGLETRANSLATE(A58193,""en"",""pt"")"),"Confiável, fácil de usar, bateria de longa duração")</f>
        <v>Confiável, fácil de usar, bateria de longa duração</v>
      </c>
      <c r="B58193" s="3">
        <v>1</v>
      </c>
    </row>
    <row r="58194" ht="15.75" customHeight="1" spans="1:2">
      <c r="A58194" s="3" t="str">
        <f>IFERROR(__xludf.DUMMYFUNCTION("GOOGLETRANSLATE(A58194,""en"",""pt"")"),"Muito bom tamanho, fácil de seguir a programação, não fantasia.")</f>
        <v>Muito bom tamanho, fácil de seguir a programação, não fantasia.</v>
      </c>
      <c r="B58194" s="3">
        <v>1</v>
      </c>
    </row>
    <row r="58195" ht="15.75" customHeight="1" spans="1:2">
      <c r="A58195" s="3" t="str">
        <f>IFERROR(__xludf.DUMMYFUNCTION("GOOGLETRANSLATE(A58195,""en"",""pt"")"),"pouco útil bugger este")</f>
        <v>pouco útil bugger este</v>
      </c>
      <c r="B58195" s="3">
        <v>1</v>
      </c>
    </row>
    <row r="58196" ht="15.75" customHeight="1" spans="1:2">
      <c r="A58196" s="3" t="str">
        <f>IFERROR(__xludf.DUMMYFUNCTION("GOOGLETRANSLATE(A58196,""en"",""pt"")"),"Boa tela, tem jogos e pode enviar mensagens.")</f>
        <v>Boa tela, tem jogos e pode enviar mensagens.</v>
      </c>
      <c r="B58196" s="3">
        <v>1</v>
      </c>
    </row>
    <row r="58197" ht="15.75" customHeight="1" spans="1:2">
      <c r="A58197" s="3" t="str">
        <f>IFERROR(__xludf.DUMMYFUNCTION("GOOGLETRANSLATE(A58197,""en"",""pt"")"),"sinal claro. boa vida da bateria. Pequeno")</f>
        <v>sinal claro. boa vida da bateria. Pequeno</v>
      </c>
      <c r="B58197" s="3">
        <v>1</v>
      </c>
    </row>
    <row r="58198" ht="15.75" customHeight="1" spans="1:2">
      <c r="A58198" s="3" t="str">
        <f>IFERROR(__xludf.DUMMYFUNCTION("GOOGLETRANSLATE(A58198,""en"",""pt"")"),"Duráveis, leves, características agradáveis")</f>
        <v>Duráveis, leves, características agradáveis</v>
      </c>
      <c r="B58198" s="3">
        <v>1</v>
      </c>
    </row>
    <row r="58199" ht="15.75" customHeight="1" spans="1:2">
      <c r="A58199" s="3" t="str">
        <f>IFERROR(__xludf.DUMMYFUNCTION("GOOGLETRANSLATE(A58199,""en"",""pt"")"),"pequeno, grande e barato.")</f>
        <v>pequeno, grande e barato.</v>
      </c>
      <c r="B58199" s="3">
        <v>1</v>
      </c>
    </row>
    <row r="58200" ht="15.75" customHeight="1" spans="1:2">
      <c r="A58200" s="3" t="str">
        <f>IFERROR(__xludf.DUMMYFUNCTION("GOOGLETRANSLATE(A58200,""en"",""pt"")"),"Personalize o seu telefone em muitas maneira")</f>
        <v>Personalize o seu telefone em muitas maneira</v>
      </c>
      <c r="B58200" s="3">
        <v>1</v>
      </c>
    </row>
    <row r="58201" ht="15.75" customHeight="1" spans="1:2">
      <c r="A58201" s="3" t="str">
        <f>IFERROR(__xludf.DUMMYFUNCTION("GOOGLETRANSLATE(A58201,""en"",""pt"")"),"Leve, resistente, Fits em qualquer lugar, placa substituível Rosto")</f>
        <v>Leve, resistente, Fits em qualquer lugar, placa substituível Rosto</v>
      </c>
      <c r="B58201" s="3">
        <v>1</v>
      </c>
    </row>
    <row r="58202" ht="15.75" customHeight="1" spans="1:2">
      <c r="A58202" s="3" t="str">
        <f>IFERROR(__xludf.DUMMYFUNCTION("GOOGLETRANSLATE(A58202,""en"",""pt"")"),"extremamente resistente, bateria de longa duração, bom volume, acesso menu rápido, alguns bons anéis")</f>
        <v>extremamente resistente, bateria de longa duração, bom volume, acesso menu rápido, alguns bons anéis</v>
      </c>
      <c r="B58202" s="3">
        <v>1</v>
      </c>
    </row>
    <row r="58203" ht="15.75" customHeight="1" spans="1:2">
      <c r="A58203" s="3" t="str">
        <f>IFERROR(__xludf.DUMMYFUNCTION("GOOGLETRANSLATE(A58203,""en"",""pt"")"),"Pequeno, muitos recursos, GPRS")</f>
        <v>Pequeno, muitos recursos, GPRS</v>
      </c>
      <c r="B58203" s="3">
        <v>1</v>
      </c>
    </row>
    <row r="58204" ht="15.75" customHeight="1" spans="1:2">
      <c r="A58204" s="3" t="str">
        <f>IFERROR(__xludf.DUMMYFUNCTION("GOOGLETRANSLATE(A58204,""en"",""pt"")"),"Tri-band telefone + GPRS + FastInfraRed = ideal para empresários e viajantes")</f>
        <v>Tri-band telefone + GPRS + FastInfraRed = ideal para empresários e viajantes</v>
      </c>
      <c r="B58204" s="3">
        <v>1</v>
      </c>
    </row>
    <row r="58205" ht="15.75" customHeight="1" spans="1:2">
      <c r="A58205" s="3" t="str">
        <f>IFERROR(__xludf.DUMMYFUNCTION("GOOGLETRANSLATE(A58205,""en"",""pt"")"),"GSM; GPRS; discagem ativada por voz; Aparência; WAP; telefone do mundo (Trimode; PIM")</f>
        <v>GSM; GPRS; discagem ativada por voz; Aparência; WAP; telefone do mundo (Trimode; PIM</v>
      </c>
      <c r="B58205" s="3">
        <v>1</v>
      </c>
    </row>
    <row r="58206" ht="15.75" customHeight="1" spans="1:2">
      <c r="A58206" s="3" t="str">
        <f>IFERROR(__xludf.DUMMYFUNCTION("GOOGLETRANSLATE(A58206,""en"",""pt"")"),"Aparência, tri-band telefone do mundo, GPRS, discagem ativada por voz")</f>
        <v>Aparência, tri-band telefone do mundo, GPRS, discagem ativada por voz</v>
      </c>
      <c r="B58206" s="3">
        <v>1</v>
      </c>
    </row>
    <row r="58207" ht="15.75" customHeight="1" spans="1:2">
      <c r="A58207" s="3" t="str">
        <f>IFERROR(__xludf.DUMMYFUNCTION("GOOGLETRANSLATE(A58207,""en"",""pt"")"),"Flexibilidade, tri-band, aparência, preço razoável")</f>
        <v>Flexibilidade, tri-band, aparência, preço razoável</v>
      </c>
      <c r="B58207" s="3">
        <v>1</v>
      </c>
    </row>
    <row r="58208" ht="15.75" customHeight="1" spans="1:2">
      <c r="A58208" s="3" t="str">
        <f>IFERROR(__xludf.DUMMYFUNCTION("GOOGLETRANSLATE(A58208,""en"",""pt"")"),"Olhando agradável, ótimo som, fecho fácil")</f>
        <v>Olhando agradável, ótimo som, fecho fácil</v>
      </c>
      <c r="B58208" s="3">
        <v>1</v>
      </c>
    </row>
    <row r="58209" ht="15.75" customHeight="1" spans="1:2">
      <c r="A58209" s="3" t="str">
        <f>IFERROR(__xludf.DUMMYFUNCTION("GOOGLETRANSLATE(A58209,""en"",""pt"")"),"cobertura GSM nos EUA, Europa e África, longo tempo de conversação, mensagens de texto")</f>
        <v>cobertura GSM nos EUA, Europa e África, longo tempo de conversação, mensagens de texto</v>
      </c>
      <c r="B58209" s="3">
        <v>1</v>
      </c>
    </row>
    <row r="58210" ht="15.75" customHeight="1" spans="1:2">
      <c r="A58210" s="3" t="str">
        <f>IFERROR(__xludf.DUMMYFUNCTION("GOOGLETRANSLATE(A58210,""en"",""pt"")"),"GPRS; WAP; iTAP; 500 # agenda telefônica &amp; PIM; Bateria &amp; # 13; &amp; # 10; voz excepcional e muito fácil de menu")</f>
        <v>GPRS; WAP; iTAP; 500 # agenda telefônica &amp; PIM; Bateria &amp; # 13; &amp; # 10; voz excepcional e muito fácil de menu</v>
      </c>
      <c r="B58210" s="3">
        <v>1</v>
      </c>
    </row>
    <row r="58211" ht="15.75" customHeight="1" spans="1:2">
      <c r="A58211" s="3" t="str">
        <f>IFERROR(__xludf.DUMMYFUNCTION("GOOGLETRANSLATE(A58211,""en"",""pt"")"),"muitos recursos, grande som, triband, peso leve")</f>
        <v>muitos recursos, grande som, triband, peso leve</v>
      </c>
      <c r="B58211" s="3">
        <v>1</v>
      </c>
    </row>
    <row r="58212" ht="15.75" customHeight="1" spans="1:2">
      <c r="A58212" s="3" t="str">
        <f>IFERROR(__xludf.DUMMYFUNCTION("GOOGLETRANSLATE(A58212,""en"",""pt"")"),"design agradável, volume ajustável, durabilidade, clareza, características, recepção")</f>
        <v>design agradável, volume ajustável, durabilidade, clareza, características, recepção</v>
      </c>
      <c r="B58212" s="3">
        <v>1</v>
      </c>
    </row>
    <row r="58213" ht="15.75" customHeight="1" spans="1:2">
      <c r="A58213" s="3" t="str">
        <f>IFERROR(__xludf.DUMMYFUNCTION("GOOGLETRANSLATE(A58213,""en"",""pt"")"),"O design elegante, built-in micro browser.")</f>
        <v>O design elegante, built-in micro browser.</v>
      </c>
      <c r="B58213" s="3">
        <v>1</v>
      </c>
    </row>
    <row r="58214" ht="15.75" customHeight="1" spans="1:2">
      <c r="A58214" s="3" t="str">
        <f>IFERROR(__xludf.DUMMYFUNCTION("GOOGLETRANSLATE(A58214,""en"",""pt"")"),"suporte tri-band permite que você use o telefone na Europa, Ásia e EUA")</f>
        <v>suporte tri-band permite que você use o telefone na Europa, Ásia e EUA</v>
      </c>
      <c r="B58214" s="3">
        <v>1</v>
      </c>
    </row>
    <row r="58215" ht="15.75" customHeight="1" spans="1:2">
      <c r="A58215" s="3" t="str">
        <f>IFERROR(__xludf.DUMMYFUNCTION("GOOGLETRANSLATE(A58215,""en"",""pt"")"),"lotes de características, boa bateria, infra vermelho")</f>
        <v>lotes de características, boa bateria, infra vermelho</v>
      </c>
      <c r="B58215" s="3">
        <v>1</v>
      </c>
    </row>
    <row r="58216" ht="15.75" customHeight="1" spans="1:2">
      <c r="A58216" s="3" t="str">
        <f>IFERROR(__xludf.DUMMYFUNCTION("GOOGLETRANSLATE(A58216,""en"",""pt"")"),"Leve, bateria de longa duração, em todo o mundo utilizável, grande som (melhor do que o Nokia), web pronto e muito mais.")</f>
        <v>Leve, bateria de longa duração, em todo o mundo utilizável, grande som (melhor do que o Nokia), web pronto e muito mais.</v>
      </c>
      <c r="B58216" s="3">
        <v>1</v>
      </c>
    </row>
    <row r="58217" ht="15.75" customHeight="1" spans="1:2">
      <c r="A58217" s="3" t="str">
        <f>IFERROR(__xludf.DUMMYFUNCTION("GOOGLETRANSLATE(A58217,""en"",""pt"")"),"Aparelho bom qualidade de som, boa RF")</f>
        <v>Aparelho bom qualidade de som, boa RF</v>
      </c>
      <c r="B58217" s="3">
        <v>1</v>
      </c>
    </row>
    <row r="58218" ht="15.75" customHeight="1" spans="1:2">
      <c r="A58218" s="3" t="str">
        <f>IFERROR(__xludf.DUMMYFUNCTION("GOOGLETRANSLATE(A58218,""en"",""pt"")"),"Elegante e à moda, melhor é exibido no mercado.")</f>
        <v>Elegante e à moda, melhor é exibido no mercado.</v>
      </c>
      <c r="B58218" s="3">
        <v>1</v>
      </c>
    </row>
    <row r="58219" ht="15.75" customHeight="1" spans="1:2">
      <c r="A58219" s="3" t="str">
        <f>IFERROR(__xludf.DUMMYFUNCTION("GOOGLETRANSLATE(A58219,""en"",""pt"")"),"O design elegante, grandes telas de exibição, a abundância de recursos fortes.")</f>
        <v>O design elegante, grandes telas de exibição, a abundância de recursos fortes.</v>
      </c>
      <c r="B58219" s="3">
        <v>1</v>
      </c>
    </row>
    <row r="58220" ht="15.75" customHeight="1" spans="1:2">
      <c r="A58220" s="3" t="str">
        <f>IFERROR(__xludf.DUMMYFUNCTION("GOOGLETRANSLATE(A58220,""en"",""pt"")"),"Bonito, peso leve, fácil de usar, câmera opcional, clareza, eu mencionei é lindo?")</f>
        <v>Bonito, peso leve, fácil de usar, câmera opcional, clareza, eu mencionei é lindo?</v>
      </c>
      <c r="B58220" s="3">
        <v>1</v>
      </c>
    </row>
    <row r="58221" ht="15.75" customHeight="1" spans="1:2">
      <c r="A58221" s="3" t="str">
        <f>IFERROR(__xludf.DUMMYFUNCTION("GOOGLETRANSLATE(A58221,""en"",""pt"")"),"estilo elegante.")</f>
        <v>estilo elegante.</v>
      </c>
      <c r="B58221" s="3">
        <v>1</v>
      </c>
    </row>
    <row r="58222" ht="15.75" customHeight="1" spans="1:2">
      <c r="A58222" s="3" t="str">
        <f>IFERROR(__xludf.DUMMYFUNCTION("GOOGLETRANSLATE(A58222,""en"",""pt"")"),"Aparência bonito, Cool Ringer, excelente exibição a cores, externa Caller ID, etc ..")</f>
        <v>Aparência bonito, Cool Ringer, excelente exibição a cores, externa Caller ID, etc ..</v>
      </c>
      <c r="B58222" s="3">
        <v>1</v>
      </c>
    </row>
    <row r="58223" ht="15.75" customHeight="1" spans="1:2">
      <c r="A58223" s="3" t="str">
        <f>IFERROR(__xludf.DUMMYFUNCTION("GOOGLETRANSLATE(A58223,""en"",""pt"")"),"Tamanho, forma, peso, cor, recepção, Internet, discagem por voz, tempo de conversação e segurança mãos-livres")</f>
        <v>Tamanho, forma, peso, cor, recepção, Internet, discagem por voz, tempo de conversação e segurança mãos-livres</v>
      </c>
      <c r="B58223" s="3">
        <v>1</v>
      </c>
    </row>
    <row r="58224" ht="15.75" customHeight="1" spans="1:2">
      <c r="A58224" s="3" t="str">
        <f>IFERROR(__xludf.DUMMYFUNCTION("GOOGLETRANSLATE(A58224,""en"",""pt"")"),"Parece grande, fantástica exibição, muitos recursos")</f>
        <v>Parece grande, fantástica exibição, muitos recursos</v>
      </c>
      <c r="B58224" s="3">
        <v>1</v>
      </c>
    </row>
    <row r="58225" ht="15.75" customHeight="1" spans="1:2">
      <c r="A58225" s="3" t="str">
        <f>IFERROR(__xludf.DUMMYFUNCTION("GOOGLETRANSLATE(A58225,""en"",""pt"")"),"Parece incrível, magro, pequeno e leve, grande recepção")</f>
        <v>Parece incrível, magro, pequeno e leve, grande recepção</v>
      </c>
      <c r="B58225" s="3">
        <v>1</v>
      </c>
    </row>
    <row r="58226" ht="15.75" customHeight="1" spans="1:2">
      <c r="A58226" s="3" t="str">
        <f>IFERROR(__xludf.DUMMYFUNCTION("GOOGLETRANSLATE(A58226,""en"",""pt"")"),"bela tela, toques polifônicos, acesso à Internet 144kb / s, segunda bateria livre.")</f>
        <v>bela tela, toques polifônicos, acesso à Internet 144kb / s, segunda bateria livre.</v>
      </c>
      <c r="B58226" s="3">
        <v>1</v>
      </c>
    </row>
    <row r="58227" ht="15.75" customHeight="1" spans="1:2">
      <c r="A58227" s="3" t="str">
        <f>IFERROR(__xludf.DUMMYFUNCTION("GOOGLETRANSLATE(A58227,""en"",""pt"")"),"tela brilhante de cor, pequeno perfil, teclas retroiluminadas altamente visíveis.")</f>
        <v>tela brilhante de cor, pequeno perfil, teclas retroiluminadas altamente visíveis.</v>
      </c>
      <c r="B58227" s="3">
        <v>1</v>
      </c>
    </row>
    <row r="58228" ht="15.75" customHeight="1" spans="1:2">
      <c r="A58228" s="3" t="str">
        <f>IFERROR(__xludf.DUMMYFUNCTION("GOOGLETRANSLATE(A58228,""en"",""pt"")"),"Parece muito legal, toques agradáveis")</f>
        <v>Parece muito legal, toques agradáveis</v>
      </c>
      <c r="B58228" s="3">
        <v>1</v>
      </c>
    </row>
    <row r="58229" ht="15.75" customHeight="1" spans="1:2">
      <c r="A58229" s="3" t="str">
        <f>IFERROR(__xludf.DUMMYFUNCTION("GOOGLETRANSLATE(A58229,""en"",""pt"")"),"EXCELENTE TELA CLAREZA, e tamanho pequeno COMPACT")</f>
        <v>EXCELENTE TELA CLAREZA, e tamanho pequeno COMPACT</v>
      </c>
      <c r="B58229" s="3">
        <v>1</v>
      </c>
    </row>
    <row r="58230" ht="15.75" customHeight="1" spans="1:2">
      <c r="A58230" s="3" t="s">
        <v>315</v>
      </c>
      <c r="B58230" s="3">
        <v>1</v>
      </c>
    </row>
    <row r="58231" ht="15.75" customHeight="1" spans="1:2">
      <c r="A58231" s="3" t="str">
        <f>IFERROR(__xludf.DUMMYFUNCTION("GOOGLETRANSLATE(A58231,""en"",""pt"")"),"LCD Display, tamanho")</f>
        <v>LCD Display, tamanho</v>
      </c>
      <c r="B58231" s="3">
        <v>1</v>
      </c>
    </row>
    <row r="58232" ht="15.75" customHeight="1" spans="1:2">
      <c r="A58232" s="3" t="str">
        <f>IFERROR(__xludf.DUMMYFUNCTION("GOOGLETRANSLATE(A58232,""en"",""pt"")"),"Grande ecrã a cores! Pequeno, elegante, muito leve - telefone agradável !! downloads online gratuitamente!")</f>
        <v>Grande ecrã a cores! Pequeno, elegante, muito leve - telefone agradável !! downloads online gratuitamente!</v>
      </c>
      <c r="B58232" s="3">
        <v>1</v>
      </c>
    </row>
    <row r="58233" ht="15.75" customHeight="1" spans="1:2">
      <c r="A58233" s="3" t="str">
        <f>IFERROR(__xludf.DUMMYFUNCTION("GOOGLETRANSLATE(A58233,""en"",""pt"")"),"Estilo, cor Display, Campainhas, segunda bateria gratuito")</f>
        <v>Estilo, cor Display, Campainhas, segunda bateria gratuito</v>
      </c>
      <c r="B58233" s="3">
        <v>1</v>
      </c>
    </row>
    <row r="58234" ht="15.75" customHeight="1" spans="1:2">
      <c r="A58234" s="3" t="str">
        <f>IFERROR(__xludf.DUMMYFUNCTION("GOOGLETRANSLATE(A58234,""en"",""pt"")"),"Pequeno, leve, elegante, ecrã a cores, bons SprintPCS cobertura varia), os preços plano agressivo")</f>
        <v>Pequeno, leve, elegante, ecrã a cores, bons SprintPCS cobertura varia), os preços plano agressivo</v>
      </c>
      <c r="B58234" s="3">
        <v>1</v>
      </c>
    </row>
    <row r="58235" ht="15.75" customHeight="1" spans="1:2">
      <c r="A58235" s="3" t="str">
        <f>IFERROR(__xludf.DUMMYFUNCTION("GOOGLETRANSLATE(A58235,""en"",""pt"")"),"ecrã a cores, banda dupla, CID externo, discagem por voz")</f>
        <v>ecrã a cores, banda dupla, CID externo, discagem por voz</v>
      </c>
      <c r="B58235" s="3">
        <v>1</v>
      </c>
    </row>
    <row r="58236" ht="15.75" customHeight="1" spans="1:2">
      <c r="A58236" s="3" t="str">
        <f>IFERROR(__xludf.DUMMYFUNCTION("GOOGLETRANSLATE(A58236,""en"",""pt"")"),"visor a cores TFT, Campainhas &amp; Wallpaper, Web Display, monitor externo")</f>
        <v>visor a cores TFT, Campainhas &amp; Wallpaper, Web Display, monitor externo</v>
      </c>
      <c r="B58236" s="3">
        <v>1</v>
      </c>
    </row>
    <row r="58237" ht="15.75" customHeight="1" spans="1:2">
      <c r="A58237" s="3" t="str">
        <f>IFERROR(__xludf.DUMMYFUNCTION("GOOGLETRANSLATE(A58237,""en"",""pt"")"),"Grande, bonito e colorido LCD. Grande LCD externo.")</f>
        <v>Grande, bonito e colorido LCD. Grande LCD externo.</v>
      </c>
      <c r="B58237" s="3">
        <v>1</v>
      </c>
    </row>
    <row r="58238" ht="15.75" customHeight="1" spans="1:2">
      <c r="A58238" s="3" t="str">
        <f>IFERROR(__xludf.DUMMYFUNCTION("GOOGLETRANSLATE(A58238,""en"",""pt"")"),"resolução, a vida da bateria, amigável, navegação, clareza, diversão / interação")</f>
        <v>resolução, a vida da bateria, amigável, navegação, clareza, diversão / interação</v>
      </c>
      <c r="B58238" s="3">
        <v>1</v>
      </c>
    </row>
    <row r="58239" ht="15.75" customHeight="1" spans="1:2">
      <c r="A58239" s="3" t="str">
        <f>IFERROR(__xludf.DUMMYFUNCTION("GOOGLETRANSLATE(A58239,""en"",""pt"")"),"O preço está caindo e atualizações de firmware estão acontecendo.")</f>
        <v>O preço está caindo e atualizações de firmware estão acontecendo.</v>
      </c>
      <c r="B58239" s="3">
        <v>1</v>
      </c>
    </row>
    <row r="58240" ht="15.75" customHeight="1" spans="1:2">
      <c r="A58240" s="3" t="str">
        <f>IFERROR(__xludf.DUMMYFUNCTION("GOOGLETRANSLATE(A58240,""en"",""pt"")"),"arrefecer campainha, bom tamanho, oi-res gráficos a cores")</f>
        <v>arrefecer campainha, bom tamanho, oi-res gráficos a cores</v>
      </c>
      <c r="B58240" s="3">
        <v>1</v>
      </c>
    </row>
    <row r="58241" ht="15.75" customHeight="1" spans="1:2">
      <c r="A58241" s="3" t="str">
        <f>IFERROR(__xludf.DUMMYFUNCTION("GOOGLETRANSLATE(A58241,""en"",""pt"")"),"TFT a cores de tela, muitas características, campainhas especialmente interessantes, java, vista impressionante, magro !!")</f>
        <v>TFT a cores de tela, muitas características, campainhas especialmente interessantes, java, vista impressionante, magro !!</v>
      </c>
      <c r="B58241" s="3">
        <v>1</v>
      </c>
    </row>
    <row r="58242" ht="15.75" customHeight="1" spans="1:2">
      <c r="A58242" s="3" t="str">
        <f>IFERROR(__xludf.DUMMYFUNCTION("GOOGLETRANSLATE(A58242,""en"",""pt"")"),"tela de cor agradável. Fácil capacidade de download de ringtones. Delgado e leve.")</f>
        <v>tela de cor agradável. Fácil capacidade de download de ringtones. Delgado e leve.</v>
      </c>
      <c r="B58242" s="3">
        <v>1</v>
      </c>
    </row>
    <row r="58243" ht="15.75" customHeight="1" spans="1:2">
      <c r="A58243" s="3" t="str">
        <f>IFERROR(__xludf.DUMMYFUNCTION("GOOGLETRANSLATE(A58243,""en"",""pt"")"),"Grande Mobile Phone, o melhor telefone no mercado hoje, muito legal")</f>
        <v>Grande Mobile Phone, o melhor telefone no mercado hoje, muito legal</v>
      </c>
      <c r="B58243" s="3">
        <v>1</v>
      </c>
    </row>
    <row r="58244" ht="15.75" customHeight="1" spans="1:2">
      <c r="A58244" s="3" t="str">
        <f>IFERROR(__xludf.DUMMYFUNCTION("GOOGLETRANSLATE(A58244,""en"",""pt"")"),"peso leve, tela colorida grande, muito personalizável, clareza de voz incrível")</f>
        <v>peso leve, tela colorida grande, muito personalizável, clareza de voz incrível</v>
      </c>
      <c r="B58244" s="3">
        <v>1</v>
      </c>
    </row>
    <row r="58245" ht="15.75" customHeight="1" spans="1:2">
      <c r="A58245" s="3" t="str">
        <f>IFERROR(__xludf.DUMMYFUNCTION("GOOGLETRANSLATE(A58245,""en"",""pt"")"),"Great Menu useabilty / user configurações e controles amigáveis. obviamente ""mundo real"" testado beta")</f>
        <v>Great Menu useabilty / user configurações e controles amigáveis. obviamente "mundo real" testado beta</v>
      </c>
      <c r="B58245" s="3">
        <v>1</v>
      </c>
    </row>
    <row r="58246" ht="15.75" customHeight="1" spans="1:2">
      <c r="A58246" s="3" t="str">
        <f>IFERROR(__xludf.DUMMYFUNCTION("GOOGLETRANSLATE(A58246,""en"",""pt"")"),"Pequenas, na moda, grandes recursos")</f>
        <v>Pequenas, na moda, grandes recursos</v>
      </c>
      <c r="B58246" s="3">
        <v>1</v>
      </c>
    </row>
    <row r="58247" ht="15.75" customHeight="1" spans="1:2">
      <c r="A58247" s="3" t="str">
        <f>IFERROR(__xludf.DUMMYFUNCTION("GOOGLETRANSLATE(A58247,""en"",""pt"")"),"Pequeno e elegante. em Rich apresenta.")</f>
        <v>Pequeno e elegante. em Rich apresenta.</v>
      </c>
      <c r="B58247" s="3">
        <v>1</v>
      </c>
    </row>
    <row r="58248" ht="15.75" customHeight="1" spans="1:2">
      <c r="A58248" s="3" t="str">
        <f>IFERROR(__xludf.DUMMYFUNCTION("GOOGLETRANSLATE(A58248,""en"",""pt"")"),"resolução de tela a cores, fácil de navegar, campainha alto, capacidade de internet móvel, uma segunda bateria livre")</f>
        <v>resolução de tela a cores, fácil de navegar, campainha alto, capacidade de internet móvel, uma segunda bateria livre</v>
      </c>
      <c r="B58248" s="3">
        <v>1</v>
      </c>
    </row>
    <row r="58249" ht="15.75" customHeight="1" spans="1:2">
      <c r="A58249" s="3" t="str">
        <f>IFERROR(__xludf.DUMMYFUNCTION("GOOGLETRANSLATE(A58249,""en"",""pt"")"),"Tamanho, Screen, bateria extra grátis, vida útil da bateria.")</f>
        <v>Tamanho, Screen, bateria extra grátis, vida útil da bateria.</v>
      </c>
      <c r="B58249" s="3">
        <v>1</v>
      </c>
    </row>
    <row r="58250" ht="15.75" customHeight="1" spans="1:2">
      <c r="A58250" s="3" t="str">
        <f>IFERROR(__xludf.DUMMYFUNCTION("GOOGLETRANSLATE(A58250,""en"",""pt"")"),"Lexus de telefones móveis")</f>
        <v>Lexus de telefones móveis</v>
      </c>
      <c r="B58250" s="3">
        <v>1</v>
      </c>
    </row>
    <row r="58251" ht="15.75" customHeight="1" spans="1:2">
      <c r="A58251" s="3" t="str">
        <f>IFERROR(__xludf.DUMMYFUNCTION("GOOGLETRANSLATE(A58251,""en"",""pt"")"),"Tamanho pequeno. Interior tela colorida agradáveis.")</f>
        <v>Tamanho pequeno. Interior tela colorida agradáveis.</v>
      </c>
      <c r="B58251" s="3">
        <v>1</v>
      </c>
    </row>
    <row r="58252" ht="15.75" customHeight="1" spans="1:2">
      <c r="A58252" s="3" t="str">
        <f>IFERROR(__xludf.DUMMYFUNCTION("GOOGLETRANSLATE(A58252,""en"",""pt"")"),"Muito pequeno e leve. Grande ecrã a cores. Na moda.")</f>
        <v>Muito pequeno e leve. Grande ecrã a cores. Na moda.</v>
      </c>
      <c r="B58252" s="3">
        <v>1</v>
      </c>
    </row>
    <row r="58253" ht="15.75" customHeight="1" spans="1:2">
      <c r="A58253" s="3" t="str">
        <f>IFERROR(__xludf.DUMMYFUNCTION("GOOGLETRANSLATE(A58253,""en"",""pt"")"),"ecrã a cores, toques polifônicos, tamanho e peso")</f>
        <v>ecrã a cores, toques polifônicos, tamanho e peso</v>
      </c>
      <c r="B58253" s="3">
        <v>1</v>
      </c>
    </row>
    <row r="58254" ht="15.75" customHeight="1" spans="1:2">
      <c r="A58254" s="3" t="str">
        <f>IFERROR(__xludf.DUMMYFUNCTION("GOOGLETRANSLATE(A58254,""en"",""pt"")"),"pequeno tamanho, a tela brilhante, excelentes toques")</f>
        <v>pequeno tamanho, a tela brilhante, excelentes toques</v>
      </c>
      <c r="B58254" s="3">
        <v>1</v>
      </c>
    </row>
    <row r="58255" ht="15.75" customHeight="1" spans="1:2">
      <c r="A58255" s="3" t="str">
        <f>IFERROR(__xludf.DUMMYFUNCTION("GOOGLETRANSLATE(A58255,""en"",""pt"")"),"Grande indicador colorido, grandes campainhas, pequeno e leve, características maravilhosas.")</f>
        <v>Grande indicador colorido, grandes campainhas, pequeno e leve, características maravilhosas.</v>
      </c>
      <c r="B58255" s="3">
        <v>1</v>
      </c>
    </row>
    <row r="58256" ht="15.75" customHeight="1" spans="1:2">
      <c r="A58256" s="3" t="str">
        <f>IFERROR(__xludf.DUMMYFUNCTION("GOOGLETRANSLATE(A58256,""en"",""pt"")"),"Elegante, elegante, luz, característica-laden, qualidade Samsung")</f>
        <v>Elegante, elegante, luz, característica-laden, qualidade Samsung</v>
      </c>
      <c r="B58256" s="3">
        <v>1</v>
      </c>
    </row>
    <row r="58257" ht="15.75" customHeight="1" spans="1:2">
      <c r="A58257" s="3" t="str">
        <f>IFERROR(__xludf.DUMMYFUNCTION("GOOGLETRANSLATE(A58257,""en"",""pt"")"),"Excelente desempenho, design elegante, toneladas de características, excelente exibição de cor.")</f>
        <v>Excelente desempenho, design elegante, toneladas de características, excelente exibição de cor.</v>
      </c>
      <c r="B58257" s="3">
        <v>1</v>
      </c>
    </row>
    <row r="58258" ht="15.75" customHeight="1" spans="1:2">
      <c r="A58258" s="3" t="str">
        <f>IFERROR(__xludf.DUMMYFUNCTION("GOOGLETRANSLATE(A58258,""en"",""pt"")"),"Boa aparência e excelente qualidade de som")</f>
        <v>Boa aparência e excelente qualidade de som</v>
      </c>
      <c r="B58258" s="3">
        <v>1</v>
      </c>
    </row>
    <row r="58259" ht="15.75" customHeight="1" spans="1:2">
      <c r="A58259" s="3" t="str">
        <f>IFERROR(__xludf.DUMMYFUNCTION("GOOGLETRANSLATE(A58259,""en"",""pt"")"),"Pequeno, elegante, leve; apenas o meu estilo menina titânio. E embalado com características também!")</f>
        <v>Pequeno, elegante, leve; apenas o meu estilo menina titânio. E embalado com características também!</v>
      </c>
      <c r="B58259" s="3">
        <v>1</v>
      </c>
    </row>
    <row r="58260" ht="15.75" customHeight="1" spans="1:2">
      <c r="A58260" s="3" t="str">
        <f>IFERROR(__xludf.DUMMYFUNCTION("GOOGLETRANSLATE(A58260,""en"",""pt"")"),"Compact aparência agradável,")</f>
        <v>Compact aparência agradável,</v>
      </c>
      <c r="B58260" s="3">
        <v>1</v>
      </c>
    </row>
    <row r="58261" ht="15.75" customHeight="1" spans="1:2">
      <c r="A58261" s="3" t="str">
        <f>IFERROR(__xludf.DUMMYFUNCTION("GOOGLETRANSLATE(A58261,""en"",""pt"")"),"O visor externo para identificador de chamadas e relógio, data são bons recursos.")</f>
        <v>O visor externo para identificador de chamadas e relógio, data são bons recursos.</v>
      </c>
      <c r="B58261" s="3">
        <v>1</v>
      </c>
    </row>
    <row r="58262" ht="15.75" customHeight="1" spans="1:2">
      <c r="A58262" s="3" t="str">
        <f>IFERROR(__xludf.DUMMYFUNCTION("GOOGLETRANSLATE(A58262,""en"",""pt"")"),"Coolest telefone olhando na terra")</f>
        <v>Coolest telefone olhando na terra</v>
      </c>
      <c r="B58262" s="3">
        <v>1</v>
      </c>
    </row>
    <row r="58263" ht="15.75" customHeight="1" spans="1:2">
      <c r="A58263" s="3" t="str">
        <f>IFERROR(__xludf.DUMMYFUNCTION("GOOGLETRANSLATE(A58263,""en"",""pt"")"),"Parece")</f>
        <v>Parece</v>
      </c>
      <c r="B58263" s="3">
        <v>1</v>
      </c>
    </row>
    <row r="58264" ht="15.75" customHeight="1" spans="1:2">
      <c r="A58264" s="3" t="str">
        <f>IFERROR(__xludf.DUMMYFUNCTION("GOOGLETRANSLATE(A58264,""en"",""pt"")"),"Pequeno (cabe no bolso), elegante, tela colorida, grande recepção, um verdadeiro pedaço de conversa")</f>
        <v>Pequeno (cabe no bolso), elegante, tela colorida, grande recepção, um verdadeiro pedaço de conversa</v>
      </c>
      <c r="B58264" s="3">
        <v>1</v>
      </c>
    </row>
    <row r="58265" ht="15.75" customHeight="1" spans="1:2">
      <c r="A58265" s="3" t="str">
        <f>IFERROR(__xludf.DUMMYFUNCTION("GOOGLETRANSLATE(A58265,""en"",""pt"")"),"Pequeno, parece ser bom")</f>
        <v>Pequeno, parece ser bom</v>
      </c>
      <c r="B58265" s="3">
        <v>1</v>
      </c>
    </row>
    <row r="58266" ht="15.75" customHeight="1" spans="1:2">
      <c r="A58266" s="3" t="str">
        <f>IFERROR(__xludf.DUMMYFUNCTION("GOOGLETRANSLATE(A58266,""en"",""pt"")"),"Grande design, compacto, bom custo.")</f>
        <v>Grande design, compacto, bom custo.</v>
      </c>
      <c r="B58266" s="3">
        <v>1</v>
      </c>
    </row>
    <row r="58267" ht="15.75" customHeight="1" spans="1:2">
      <c r="A58267" s="3" t="str">
        <f>IFERROR(__xludf.DUMMYFUNCTION("GOOGLETRANSLATE(A58267,""en"",""pt"")"),"Small Size, Boa duração da bateria, fácil de usar botões")</f>
        <v>Small Size, Boa duração da bateria, fácil de usar botões</v>
      </c>
      <c r="B58267" s="3">
        <v>1</v>
      </c>
    </row>
    <row r="58268" ht="15.75" customHeight="1" spans="1:2">
      <c r="A58268" s="3" t="str">
        <f>IFERROR(__xludf.DUMMYFUNCTION("GOOGLETRANSLATE(A58268,""en"",""pt"")"),", Boa vida compacta bateria, acesso à Web, função viva-voz, o recurso de discagem por voz, teclado iluminado")</f>
        <v>, Boa vida compacta bateria, acesso à Web, função viva-voz, o recurso de discagem por voz, teclado iluminado</v>
      </c>
      <c r="B58268" s="3">
        <v>1</v>
      </c>
    </row>
    <row r="58269" ht="15.75" customHeight="1" spans="1:2">
      <c r="A58269" s="3" t="str">
        <f>IFERROR(__xludf.DUMMYFUNCTION("GOOGLETRANSLATE(A58269,""en"",""pt"")"),"Leve, fácil de esconder.")</f>
        <v>Leve, fácil de esconder.</v>
      </c>
      <c r="B58269" s="3">
        <v>1</v>
      </c>
    </row>
    <row r="58270" ht="15.75" customHeight="1" spans="1:2">
      <c r="A58270" s="3" t="str">
        <f>IFERROR(__xludf.DUMMYFUNCTION("GOOGLETRANSLATE(A58270,""en"",""pt"")"),"Amo a função viva-voz e tela grande")</f>
        <v>Amo a função viva-voz e tela grande</v>
      </c>
      <c r="B58270" s="3">
        <v>1</v>
      </c>
    </row>
    <row r="58271" ht="15.75" customHeight="1" spans="1:2">
      <c r="A58271" s="3" t="str">
        <f>IFERROR(__xludf.DUMMYFUNCTION("GOOGLETRANSLATE(A58271,""en"",""pt"")"),"Compacta, durável,")</f>
        <v>Compacta, durável,</v>
      </c>
      <c r="B58271" s="3">
        <v>1</v>
      </c>
    </row>
    <row r="58272" ht="15.75" customHeight="1" spans="1:2">
      <c r="A58272" s="3" t="str">
        <f>IFERROR(__xludf.DUMMYFUNCTION("GOOGLETRANSLATE(A58272,""en"",""pt"")"),"Pequenas e características agradáveis")</f>
        <v>Pequenas e características agradáveis</v>
      </c>
      <c r="B58272" s="3">
        <v>1</v>
      </c>
    </row>
    <row r="58273" ht="15.75" customHeight="1" spans="1:2">
      <c r="A58273" s="3" t="str">
        <f>IFERROR(__xludf.DUMMYFUNCTION("GOOGLETRANSLATE(A58273,""en"",""pt"")"),"Bem iluminadas exibição, resistente construído")</f>
        <v>Bem iluminadas exibição, resistente construído</v>
      </c>
      <c r="B58273" s="3">
        <v>1</v>
      </c>
    </row>
    <row r="58274" ht="15.75" customHeight="1" spans="1:2">
      <c r="A58274" s="3" t="str">
        <f>IFERROR(__xludf.DUMMYFUNCTION("GOOGLETRANSLATE(A58274,""en"",""pt"")"),"Grande autonomia da bateria e o acesso à web")</f>
        <v>Grande autonomia da bateria e o acesso à web</v>
      </c>
      <c r="B58274" s="3">
        <v>1</v>
      </c>
    </row>
    <row r="58275" ht="15.75" customHeight="1" spans="1:2">
      <c r="A58275" s="3" t="str">
        <f>IFERROR(__xludf.DUMMYFUNCTION("GOOGLETRANSLATE(A58275,""en"",""pt"")"),"Definitivamente prova de futuro!")</f>
        <v>Definitivamente prova de futuro!</v>
      </c>
      <c r="B58275" s="3">
        <v>1</v>
      </c>
    </row>
    <row r="58276" ht="15.75" customHeight="1" spans="1:2">
      <c r="A58276" s="3" t="str">
        <f>IFERROR(__xludf.DUMMYFUNCTION("GOOGLETRANSLATE(A58276,""en"",""pt"")"),"Opções em abundância, adaptável, um telefone ""cool""")</f>
        <v>Opções em abundância, adaptável, um telefone "cool"</v>
      </c>
      <c r="B58276" s="3">
        <v>1</v>
      </c>
    </row>
    <row r="58277" ht="15.75" customHeight="1" spans="1:2">
      <c r="A58277" s="3" t="str">
        <f>IFERROR(__xludf.DUMMYFUNCTION("GOOGLETRANSLATE(A58277,""en"",""pt"")"),"Minúsculo, rico em recursos, tela colorida e grande para sua dimensão global")</f>
        <v>Minúsculo, rico em recursos, tela colorida e grande para sua dimensão global</v>
      </c>
      <c r="B58277" s="3">
        <v>1</v>
      </c>
    </row>
    <row r="58278" ht="15.75" customHeight="1" spans="1:2">
      <c r="A58278" s="3" t="str">
        <f>IFERROR(__xludf.DUMMYFUNCTION("GOOGLETRANSLATE(A58278,""en"",""pt"")"),"ecrã a cores, insano da bateria tempo de vida / conversa, pequeno e leve, Blutooth, GPRS.")</f>
        <v>ecrã a cores, insano da bateria tempo de vida / conversa, pequeno e leve, Blutooth, GPRS.</v>
      </c>
      <c r="B58278" s="3">
        <v>1</v>
      </c>
    </row>
    <row r="58279" ht="15.75" customHeight="1" spans="1:2">
      <c r="A58279" s="3" t="str">
        <f>IFERROR(__xludf.DUMMYFUNCTION("GOOGLETRANSLATE(A58279,""en"",""pt"")"),"Pequenas e durável, LCD de 256 cores, bateria, grandes características de longa duração, bluetooth ativado")</f>
        <v>Pequenas e durável, LCD de 256 cores, bateria, grandes características de longa duração, bluetooth ativado</v>
      </c>
      <c r="B58279" s="3">
        <v>1</v>
      </c>
    </row>
    <row r="58280" ht="15.75" customHeight="1" spans="1:2">
      <c r="A58280" s="3" t="str">
        <f>IFERROR(__xludf.DUMMYFUNCTION("GOOGLETRANSLATE(A58280,""en"",""pt"")"),"Grande cor Telefone, Grande OS, Triband, GPRS, T68i atualizável - Imagem agenda, MMS,")</f>
        <v>Grande cor Telefone, Grande OS, Triband, GPRS, T68i atualizável - Imagem agenda, MMS,</v>
      </c>
      <c r="B58280" s="3">
        <v>1</v>
      </c>
    </row>
    <row r="58281" ht="15.75" customHeight="1" spans="1:2">
      <c r="A58281" s="3" t="str">
        <f>IFERROR(__xludf.DUMMYFUNCTION("GOOGLETRANSLATE(A58281,""en"",""pt"")"),"minúsculos, lustroso, de cores, Bluetooth, IR, GPRS, WAP, Mundo GSM compatível")</f>
        <v>minúsculos, lustroso, de cores, Bluetooth, IR, GPRS, WAP, Mundo GSM compatível</v>
      </c>
      <c r="B58281" s="3">
        <v>1</v>
      </c>
    </row>
    <row r="58282" ht="15.75" customHeight="1" spans="1:2">
      <c r="A58282" s="3" t="str">
        <f>IFERROR(__xludf.DUMMYFUNCTION("GOOGLETRANSLATE(A58282,""en"",""pt"")"),"""Cool"" fator, Bluetooth, ativação de voz, Fantastic vida útil da bateria")</f>
        <v>"Cool" fator, Bluetooth, ativação de voz, Fantastic vida útil da bateria</v>
      </c>
      <c r="B58282" s="3">
        <v>1</v>
      </c>
    </row>
    <row r="58283" ht="15.75" customHeight="1" spans="1:2">
      <c r="A58283" s="3" t="str">
        <f>IFERROR(__xludf.DUMMYFUNCTION("GOOGLETRANSLATE(A58283,""en"",""pt"")"),"Pequeno, Luz, Bluetooth, IR, vida útil da bateria, Tri-band")</f>
        <v>Pequeno, Luz, Bluetooth, IR, vida útil da bateria, Tri-band</v>
      </c>
      <c r="B58283" s="3">
        <v>1</v>
      </c>
    </row>
    <row r="58284" ht="15.75" customHeight="1" spans="1:2">
      <c r="A58284" s="3" t="str">
        <f>IFERROR(__xludf.DUMMYFUNCTION("GOOGLETRANSLATE(A58284,""en"",""pt"")"),"Grande autonomia da bateria, carregado com características")</f>
        <v>Grande autonomia da bateria, carregado com características</v>
      </c>
      <c r="B58284" s="3">
        <v>1</v>
      </c>
    </row>
    <row r="58285" ht="15.75" customHeight="1" spans="1:2">
      <c r="A58285" s="3" t="str">
        <f>IFERROR(__xludf.DUMMYFUNCTION("GOOGLETRANSLATE(A58285,""en"",""pt"")"),"Tecnologicamente avançado, azul-dente, tela colorida, grande autonomia da bateria")</f>
        <v>Tecnologicamente avançado, azul-dente, tela colorida, grande autonomia da bateria</v>
      </c>
      <c r="B58285" s="3">
        <v>1</v>
      </c>
    </row>
    <row r="58286" ht="15.75" customHeight="1" spans="1:2">
      <c r="A58286" s="3" t="str">
        <f>IFERROR(__xludf.DUMMYFUNCTION("GOOGLETRANSLATE(A58286,""en"",""pt"")"),"Pequeno, características agradáveis, de boa qualidade")</f>
        <v>Pequeno, características agradáveis, de boa qualidade</v>
      </c>
      <c r="B58286" s="3">
        <v>1</v>
      </c>
    </row>
    <row r="58287" ht="15.75" customHeight="1" spans="1:2">
      <c r="A58287" s="3" t="str">
        <f>IFERROR(__xludf.DUMMYFUNCTION("GOOGLETRANSLATE(A58287,""en"",""pt"")"),"ecrã a cores; WAP; GSM; Bluetooth e RI")</f>
        <v>ecrã a cores; WAP; GSM; Bluetooth e RI</v>
      </c>
      <c r="B58287" s="3">
        <v>1</v>
      </c>
    </row>
    <row r="58288" ht="15.75" customHeight="1" spans="1:2">
      <c r="A58288" s="3" t="str">
        <f>IFERROR(__xludf.DUMMYFUNCTION("GOOGLETRANSLATE(A58288,""en"",""pt"")"),"Rico em recursos, qualidade de construção sólida, grande tela, design e sensação.")</f>
        <v>Rico em recursos, qualidade de construção sólida, grande tela, design e sensação.</v>
      </c>
      <c r="B58288" s="3">
        <v>1</v>
      </c>
    </row>
    <row r="58289" ht="15.75" customHeight="1" spans="1:2">
      <c r="A58289" s="3" t="str">
        <f>IFERROR(__xludf.DUMMYFUNCTION("GOOGLETRANSLATE(A58289,""en"",""pt"")"),"ecrã a cores, interface intuitiva, tamanho pequeno, grande featureset")</f>
        <v>ecrã a cores, interface intuitiva, tamanho pequeno, grande featureset</v>
      </c>
      <c r="B58289" s="3">
        <v>1</v>
      </c>
    </row>
    <row r="58290" ht="15.75" customHeight="1" spans="1:2">
      <c r="A58290" s="3" t="str">
        <f>IFERROR(__xludf.DUMMYFUNCTION("GOOGLETRANSLATE(A58290,""en"",""pt"")"),"banda Tri &amp; # 13; &amp; # 10; BT, IR &amp; GPRS &amp; # 13; &amp; # 10; O tamanho pequeno &amp; # 13; &amp; # 10; Boa autonomia da bateria")</f>
        <v>banda Tri &amp; # 13; &amp; # 10; BT, IR &amp; GPRS &amp; # 13; &amp; # 10; O tamanho pequeno &amp; # 13; &amp; # 10; Boa autonomia da bateria</v>
      </c>
      <c r="B58290" s="3">
        <v>1</v>
      </c>
    </row>
    <row r="58291" ht="15.75" customHeight="1" spans="1:2">
      <c r="A58291" s="3" t="str">
        <f>IFERROR(__xludf.DUMMYFUNCTION("GOOGLETRANSLATE(A58291,""en"",""pt"")"),"Muito hip, altamente personalizável, tela colorida")</f>
        <v>Muito hip, altamente personalizável, tela colorida</v>
      </c>
      <c r="B58291" s="3">
        <v>1</v>
      </c>
    </row>
    <row r="58292" ht="15.75" customHeight="1" spans="1:2">
      <c r="A58292" s="3" t="str">
        <f>IFERROR(__xludf.DUMMYFUNCTION("GOOGLETRANSLATE(A58292,""en"",""pt"")"),"fator de forma pequena, tela colorida, Bluetooth integrado")</f>
        <v>fator de forma pequena, tela colorida, Bluetooth integrado</v>
      </c>
      <c r="B58292" s="3">
        <v>1</v>
      </c>
    </row>
    <row r="58293" ht="15.75" customHeight="1" spans="1:2">
      <c r="A58293" s="3" t="str">
        <f>IFERROR(__xludf.DUMMYFUNCTION("GOOGLETRANSLATE(A58293,""en"",""pt"")"),"Tela Cor fabuloso, incrível tamanho, ergonômico e melhor aproveitamento da bateria.")</f>
        <v>Tela Cor fabuloso, incrível tamanho, ergonômico e melhor aproveitamento da bateria.</v>
      </c>
      <c r="B58293" s="3">
        <v>1</v>
      </c>
    </row>
    <row r="58294" ht="15.75" customHeight="1" spans="1:2">
      <c r="A58294" s="3" t="str">
        <f>IFERROR(__xludf.DUMMYFUNCTION("GOOGLETRANSLATE(A58294,""en"",""pt"")"),"Algo para fazer durante aulas chatas.")</f>
        <v>Algo para fazer durante aulas chatas.</v>
      </c>
      <c r="B58294" s="3">
        <v>1</v>
      </c>
    </row>
    <row r="58295" ht="15.75" customHeight="1" spans="1:2">
      <c r="A58295" s="3" t="str">
        <f>IFERROR(__xludf.DUMMYFUNCTION("GOOGLETRANSLATE(A58295,""en"",""pt"")"),"Pequeno, leve, bluetooth, excelente livro de telefone, e que a tela de cor.")</f>
        <v>Pequeno, leve, bluetooth, excelente livro de telefone, e que a tela de cor.</v>
      </c>
      <c r="B58295" s="3">
        <v>1</v>
      </c>
    </row>
    <row r="58296" ht="15.75" customHeight="1" spans="1:2">
      <c r="A58296" s="3" t="str">
        <f>IFERROR(__xludf.DUMMYFUNCTION("GOOGLETRANSLATE(A58296,""en"",""pt"")"),"Grandes recursos, excelente vida útil da bateria, e usabilidade")</f>
        <v>Grandes recursos, excelente vida útil da bateria, e usabilidade</v>
      </c>
      <c r="B58296" s="3">
        <v>1</v>
      </c>
    </row>
    <row r="58297" ht="15.75" customHeight="1" spans="1:2">
      <c r="A58297" s="3" t="str">
        <f>IFERROR(__xludf.DUMMYFUNCTION("GOOGLETRANSLATE(A58297,""en"",""pt"")"),"O telefone inteiro, características, estilo, qualidade de construção")</f>
        <v>O telefone inteiro, características, estilo, qualidade de construção</v>
      </c>
      <c r="B58297" s="3">
        <v>1</v>
      </c>
    </row>
    <row r="58298" ht="15.75" customHeight="1" spans="1:2">
      <c r="A58298" s="3" t="str">
        <f>IFERROR(__xludf.DUMMYFUNCTION("GOOGLETRANSLATE(A58298,""en"",""pt"")"),"Tela cor, vida útil da bateria, capacidade de memória")</f>
        <v>Tela cor, vida útil da bateria, capacidade de memória</v>
      </c>
      <c r="B58298" s="3">
        <v>1</v>
      </c>
    </row>
    <row r="58299" ht="15.75" customHeight="1" spans="1:2">
      <c r="A58299" s="3" t="str">
        <f>IFERROR(__xludf.DUMMYFUNCTION("GOOGLETRANSLATE(A58299,""en"",""pt"")"),"Grande procura, bateria de longa duração e toneladas de opções de diversão.")</f>
        <v>Grande procura, bateria de longa duração e toneladas de opções de diversão.</v>
      </c>
      <c r="B58299" s="3">
        <v>1</v>
      </c>
    </row>
    <row r="58300" ht="15.75" customHeight="1" spans="1:2">
      <c r="A58300" s="3" t="str">
        <f>IFERROR(__xludf.DUMMYFUNCTION("GOOGLETRANSLATE(A58300,""en"",""pt"")"),"LCD a cores, background, discagem por voz e Secretárias")</f>
        <v>LCD a cores, background, discagem por voz e Secretárias</v>
      </c>
      <c r="B58300" s="3">
        <v>1</v>
      </c>
    </row>
    <row r="58301" ht="15.75" customHeight="1" spans="1:2">
      <c r="A58301" s="3" t="str">
        <f>IFERROR(__xludf.DUMMYFUNCTION("GOOGLETRANSLATE(A58301,""en"",""pt"")"),"Características, tamanho compacto")</f>
        <v>Características, tamanho compacto</v>
      </c>
      <c r="B58301" s="3">
        <v>1</v>
      </c>
    </row>
    <row r="58302" ht="15.75" customHeight="1" spans="1:2">
      <c r="A58302" s="3" t="str">
        <f>IFERROR(__xludf.DUMMYFUNCTION("GOOGLETRANSLATE(A58302,""en"",""pt"")"),"telefone durável aleta, elegante, toque de alta, preço razoável")</f>
        <v>telefone durável aleta, elegante, toque de alta, preço razoável</v>
      </c>
      <c r="B58302" s="3">
        <v>1</v>
      </c>
    </row>
    <row r="58303" ht="15.75" customHeight="1" spans="1:2">
      <c r="A58303" s="3" t="str">
        <f>IFERROR(__xludf.DUMMYFUNCTION("GOOGLETRANSLATE(A58303,""en"",""pt"")"),"Excelente durabilidade, mais de memória adequada, muitos realmente arrefecer características.")</f>
        <v>Excelente durabilidade, mais de memória adequada, muitos realmente arrefecer características.</v>
      </c>
      <c r="B58303" s="3">
        <v>1</v>
      </c>
    </row>
    <row r="58304" ht="15.75" customHeight="1" spans="1:2">
      <c r="A58304" s="3" t="str">
        <f>IFERROR(__xludf.DUMMYFUNCTION("GOOGLETRANSLATE(A58304,""en"",""pt"")"),"""Chirp"" (walkie-takie) capacidade. tela colorida. áudio wav")</f>
        <v>"Chirp" (walkie-takie) capacidade. tela colorida. áudio wav</v>
      </c>
      <c r="B58304" s="3">
        <v>1</v>
      </c>
    </row>
    <row r="58305" ht="15.75" customHeight="1" spans="1:2">
      <c r="A58305" s="3" t="str">
        <f>IFERROR(__xludf.DUMMYFUNCTION("GOOGLETRANSLATE(A58305,""en"",""pt"")"),"Lotes das características para um preço relativamente bom. força do sinal melhor com a vida da bateria decente.")</f>
        <v>Lotes das características para um preço relativamente bom. força do sinal melhor com a vida da bateria decente.</v>
      </c>
      <c r="B58305" s="3">
        <v>1</v>
      </c>
    </row>
    <row r="58306" ht="15.75" customHeight="1" spans="1:2">
      <c r="A58306" s="3" t="str">
        <f>IFERROR(__xludf.DUMMYFUNCTION("GOOGLETRANSLATE(A58306,""en"",""pt"")"),"Elegante ... mantém as raízes Nextel.")</f>
        <v>Elegante ... mantém as raízes Nextel.</v>
      </c>
      <c r="B58306" s="3">
        <v>1</v>
      </c>
    </row>
    <row r="58307" ht="15.75" customHeight="1" spans="1:2">
      <c r="A58307" s="3" t="str">
        <f>IFERROR(__xludf.DUMMYFUNCTION("GOOGLETRANSLATE(A58307,""en"",""pt"")"),"Clareza, funcionalidade, volume, ergonomia, alto-falante razoavelmente durável, excelente, tamanho adulto.")</f>
        <v>Clareza, funcionalidade, volume, ergonomia, alto-falante razoavelmente durável, excelente, tamanho adulto.</v>
      </c>
      <c r="B58307" s="3">
        <v>1</v>
      </c>
    </row>
    <row r="58308" ht="15.75" customHeight="1" spans="1:2">
      <c r="A58308" s="3" t="str">
        <f>IFERROR(__xludf.DUMMYFUNCTION("GOOGLETRANSLATE(A58308,""en"",""pt"")"),"Qualidade de Som, Aparência")</f>
        <v>Qualidade de Som, Aparência</v>
      </c>
      <c r="B58308" s="3">
        <v>1</v>
      </c>
    </row>
    <row r="58309" ht="15.75" customHeight="1" spans="1:2">
      <c r="A58309" s="3" t="str">
        <f>IFERROR(__xludf.DUMMYFUNCTION("GOOGLETRANSLATE(A58309,""en"",""pt"")"),"Tamanho, design clamshape, muito pequeno, viva-voz")</f>
        <v>Tamanho, design clamshape, muito pequeno, viva-voz</v>
      </c>
      <c r="B58309" s="3">
        <v>1</v>
      </c>
    </row>
    <row r="58310" ht="15.75" customHeight="1" spans="1:2">
      <c r="A58310" s="3" t="str">
        <f>IFERROR(__xludf.DUMMYFUNCTION("GOOGLETRANSLATE(A58310,""en"",""pt"")"),"tela colorida, viva-voz, grande recepção, anéis altos, coldre resistente!")</f>
        <v>tela colorida, viva-voz, grande recepção, anéis altos, coldre resistente!</v>
      </c>
      <c r="B58310" s="3">
        <v>1</v>
      </c>
    </row>
    <row r="58311" ht="15.75" customHeight="1" spans="1:2">
      <c r="A58311" s="3" t="str">
        <f>IFERROR(__xludf.DUMMYFUNCTION("GOOGLETRANSLATE(A58311,""en"",""pt"")"),"Grátis GPS bússola, tela muito brilhante e clara, design robusto")</f>
        <v>Grátis GPS bússola, tela muito brilhante e clara, design robusto</v>
      </c>
      <c r="B58311" s="3">
        <v>1</v>
      </c>
    </row>
    <row r="58312" ht="15.75" customHeight="1" spans="1:2">
      <c r="A58312" s="3" t="str">
        <f>IFERROR(__xludf.DUMMYFUNCTION("GOOGLETRANSLATE(A58312,""en"",""pt"")"),"tela frontal, viva-voz, o recurso de vibração")</f>
        <v>tela frontal, viva-voz, o recurso de vibração</v>
      </c>
      <c r="B58312" s="3">
        <v>1</v>
      </c>
    </row>
    <row r="58313" ht="15.75" customHeight="1" spans="1:2">
      <c r="A58313" s="3" t="str">
        <f>IFERROR(__xludf.DUMMYFUNCTION("GOOGLETRANSLATE(A58313,""en"",""pt"")"),"Repleto de recursos de energia; em última análise, versátil e personalizada.")</f>
        <v>Repleto de recursos de energia; em última análise, versátil e personalizada.</v>
      </c>
      <c r="B58313" s="3">
        <v>1</v>
      </c>
    </row>
    <row r="58314" ht="15.75" customHeight="1" spans="1:2">
      <c r="A58314" s="3" t="str">
        <f>IFERROR(__xludf.DUMMYFUNCTION("GOOGLETRANSLATE(A58314,""en"",""pt"")"),"Excelente durabilidade, tela clara, agradável e tons de toque alto e volume de chamadas e preço.")</f>
        <v>Excelente durabilidade, tela clara, agradável e tons de toque alto e volume de chamadas e preço.</v>
      </c>
      <c r="B58314" s="3">
        <v>1</v>
      </c>
    </row>
    <row r="58315" ht="15.75" customHeight="1" spans="1:2">
      <c r="A58315" s="3" t="str">
        <f>IFERROR(__xludf.DUMMYFUNCTION("GOOGLETRANSLATE(A58315,""en"",""pt"")"),"Personalizado facilmente, durável, headset habilitado, viva-voz para chamadas de telefone")</f>
        <v>Personalizado facilmente, durável, headset habilitado, viva-voz para chamadas de telefone</v>
      </c>
      <c r="B58315" s="3">
        <v>1</v>
      </c>
    </row>
    <row r="58316" ht="15.75" customHeight="1" spans="1:2">
      <c r="A58316" s="3" t="str">
        <f>IFERROR(__xludf.DUMMYFUNCTION("GOOGLETRANSLATE(A58316,""en"",""pt"")"),"Robusto, tela colorida, GPS ativado")</f>
        <v>Robusto, tela colorida, GPS ativado</v>
      </c>
      <c r="B58316" s="3">
        <v>1</v>
      </c>
    </row>
    <row r="58317" ht="15.75" customHeight="1" spans="1:2">
      <c r="A58317" s="3" t="str">
        <f>IFERROR(__xludf.DUMMYFUNCTION("GOOGLETRANSLATE(A58317,""en"",""pt"")"),"Himm ...? Não tenho certeza!")</f>
        <v>Himm ...? Não tenho certeza!</v>
      </c>
      <c r="B58317" s="3">
        <v>1</v>
      </c>
    </row>
    <row r="58318" ht="15.75" customHeight="1" spans="1:2">
      <c r="A58318" s="3" t="str">
        <f>IFERROR(__xludf.DUMMYFUNCTION("GOOGLETRANSLATE(A58318,""en"",""pt"")"),"walkie-talkie, jogos, fácil de usar, elegante e brilhante :)")</f>
        <v>walkie-talkie, jogos, fácil de usar, elegante e brilhante :)</v>
      </c>
      <c r="B58318" s="3">
        <v>1</v>
      </c>
    </row>
    <row r="58319" ht="15.75" customHeight="1" spans="1:2">
      <c r="A58319" s="3" t="str">
        <f>IFERROR(__xludf.DUMMYFUNCTION("GOOGLETRANSLATE(A58319,""en"",""pt"")"),"Estilo, viva-voz, gravador de voz de duas vias de conexão direta")</f>
        <v>Estilo, viva-voz, gravador de voz de duas vias de conexão direta</v>
      </c>
      <c r="B58319" s="3">
        <v>1</v>
      </c>
    </row>
    <row r="58320" ht="15.75" customHeight="1" spans="1:2">
      <c r="A58320" s="3" t="str">
        <f>IFERROR(__xludf.DUMMYFUNCTION("GOOGLETRANSLATE(A58320,""en"",""pt"")"),"Boa aparência, design")</f>
        <v>Boa aparência, design</v>
      </c>
      <c r="B58320" s="3">
        <v>1</v>
      </c>
    </row>
    <row r="58321" ht="15.75" customHeight="1" spans="1:2">
      <c r="A58321" s="3" t="str">
        <f>IFERROR(__xludf.DUMMYFUNCTION("GOOGLETRANSLATE(A58321,""en"",""pt"")"),"Robusto, tela brilhante, alto, alto-falante clara, elegante aparência, fácil de navegar")</f>
        <v>Robusto, tela brilhante, alto, alto-falante clara, elegante aparência, fácil de navegar</v>
      </c>
      <c r="B58321" s="3">
        <v>1</v>
      </c>
    </row>
    <row r="58322" ht="15.75" customHeight="1" spans="1:2">
      <c r="A58322" s="3" t="str">
        <f>IFERROR(__xludf.DUMMYFUNCTION("GOOGLETRANSLATE(A58322,""en"",""pt"")"),"PTT é grande, prestador de serviços é bom.")</f>
        <v>PTT é grande, prestador de serviços é bom.</v>
      </c>
      <c r="B58322" s="3">
        <v>1</v>
      </c>
    </row>
    <row r="58323" ht="15.75" customHeight="1" spans="1:2">
      <c r="A58323" s="3" t="str">
        <f>IFERROR(__xludf.DUMMYFUNCTION("GOOGLETRANSLATE(A58323,""en"",""pt"")"),"Você começa a ir até a loja nextel a cada quatro meses para obtê-lo corrigir.")</f>
        <v>Você começa a ir até a loja nextel a cada quatro meses para obtê-lo corrigir.</v>
      </c>
      <c r="B58323" s="3">
        <v>1</v>
      </c>
    </row>
    <row r="58324" ht="15.75" customHeight="1" spans="1:2">
      <c r="A58324" s="3" t="str">
        <f>IFERROR(__xludf.DUMMYFUNCTION("GOOGLETRANSLATE(A58324,""en"",""pt"")"),"Nice looking Telefone")</f>
        <v>Nice looking Telefone</v>
      </c>
      <c r="B58324" s="3">
        <v>1</v>
      </c>
    </row>
    <row r="58325" ht="15.75" customHeight="1" spans="1:2">
      <c r="A58325" s="3" t="str">
        <f>IFERROR(__xludf.DUMMYFUNCTION("GOOGLETRANSLATE(A58325,""en"",""pt"")"),"Cor, luz do disco quando estiver tocando, gravador de voz")</f>
        <v>Cor, luz do disco quando estiver tocando, gravador de voz</v>
      </c>
      <c r="B58325" s="3">
        <v>1</v>
      </c>
    </row>
    <row r="58326" ht="15.75" customHeight="1" spans="1:2">
      <c r="A58326" s="3" t="str">
        <f>IFERROR(__xludf.DUMMYFUNCTION("GOOGLETRANSLATE(A58326,""en"",""pt"")"),"é um telefone flip")</f>
        <v>é um telefone flip</v>
      </c>
      <c r="B58326" s="3">
        <v>1</v>
      </c>
    </row>
    <row r="58327" ht="15.75" customHeight="1" spans="1:2">
      <c r="A58327" s="3" t="str">
        <f>IFERROR(__xludf.DUMMYFUNCTION("GOOGLETRANSLATE(A58327,""en"",""pt"")"),"display colorido, fácil de usar menus")</f>
        <v>display colorido, fácil de usar menus</v>
      </c>
      <c r="B58327" s="3">
        <v>1</v>
      </c>
    </row>
    <row r="58328" ht="15.75" customHeight="1" spans="1:2">
      <c r="A58328" s="3" t="str">
        <f>IFERROR(__xludf.DUMMYFUNCTION("GOOGLETRANSLATE(A58328,""en"",""pt"")"),"ecrã a cores, poderoso, visualmente atraente.")</f>
        <v>ecrã a cores, poderoso, visualmente atraente.</v>
      </c>
      <c r="B58328" s="3">
        <v>1</v>
      </c>
    </row>
    <row r="58329" ht="15.75" customHeight="1" spans="1:2">
      <c r="A58329" s="3" t="str">
        <f>IFERROR(__xludf.DUMMYFUNCTION("GOOGLETRANSLATE(A58329,""en"",""pt"")"),"facilidade de uso, aparência, walkie talkie")</f>
        <v>facilidade de uso, aparência, walkie talkie</v>
      </c>
      <c r="B58329" s="3">
        <v>1</v>
      </c>
    </row>
    <row r="58330" ht="15.75" customHeight="1" spans="1:2">
      <c r="A58330" s="3" t="str">
        <f>IFERROR(__xludf.DUMMYFUNCTION("GOOGLETRANSLATE(A58330,""en"",""pt"")"),"Boa recepção, ringtones atribuíveis, fácil de ler a tela e navegação, boa vida bat")</f>
        <v>Boa recepção, ringtones atribuíveis, fácil de ler a tela e navegação, boa vida bat</v>
      </c>
      <c r="B58330" s="3">
        <v>1</v>
      </c>
    </row>
    <row r="58331" ht="15.75" customHeight="1" spans="1:2">
      <c r="A58331" s="3" t="str">
        <f>IFERROR(__xludf.DUMMYFUNCTION("GOOGLETRANSLATE(A58331,""en"",""pt"")"),"Outro telefone corpo sólido por nextel com um ecrã a cores brilhante.")</f>
        <v>Outro telefone corpo sólido por nextel com um ecrã a cores brilhante.</v>
      </c>
      <c r="B58331" s="3">
        <v>1</v>
      </c>
    </row>
    <row r="58332" ht="15.75" customHeight="1" spans="1:2">
      <c r="A58332" s="3" t="str">
        <f>IFERROR(__xludf.DUMMYFUNCTION("GOOGLETRANSLATE(A58332,""en"",""pt"")"),"telefone pouco pequeno agradável ...")</f>
        <v>telefone pouco pequeno agradável ...</v>
      </c>
      <c r="B58332" s="3">
        <v>1</v>
      </c>
    </row>
    <row r="58333" ht="15.75" customHeight="1" spans="1:2">
      <c r="A58333" s="3" t="str">
        <f>IFERROR(__xludf.DUMMYFUNCTION("GOOGLETRANSLATE(A58333,""en"",""pt"")"),"Grande ecrã a cores, tonelada de recursos olá tecnologia, grande projeto")</f>
        <v>Grande ecrã a cores, tonelada de recursos olá tecnologia, grande projeto</v>
      </c>
      <c r="B58333" s="3">
        <v>1</v>
      </c>
    </row>
    <row r="58334" ht="15.75" customHeight="1" spans="1:2">
      <c r="A58334" s="3" t="str">
        <f>IFERROR(__xludf.DUMMYFUNCTION("GOOGLETRANSLATE(A58334,""en"",""pt"")"),"Tem calculadora de hipoteca construído em, chamadas grátis ilimitadas.")</f>
        <v>Tem calculadora de hipoteca construído em, chamadas grátis ilimitadas.</v>
      </c>
      <c r="B58334" s="3">
        <v>1</v>
      </c>
    </row>
    <row r="58335" ht="15.75" customHeight="1" spans="1:2">
      <c r="A58335" s="3" t="str">
        <f>IFERROR(__xludf.DUMMYFUNCTION("GOOGLETRANSLATE(A58335,""en"",""pt"")"),"bela tela, tamanho e peso agradável.")</f>
        <v>bela tela, tamanho e peso agradável.</v>
      </c>
      <c r="B58335" s="3">
        <v>1</v>
      </c>
    </row>
    <row r="58336" ht="15.75" customHeight="1" spans="1:2">
      <c r="A58336" s="3" t="str">
        <f>IFERROR(__xludf.DUMMYFUNCTION("GOOGLETRANSLATE(A58336,""en"",""pt"")"),"Grande telefone, repleto de funcionalidades, incluindo uma câmera à mão")</f>
        <v>Grande telefone, repleto de funcionalidades, incluindo uma câmera à mão</v>
      </c>
      <c r="B58336" s="3">
        <v>1</v>
      </c>
    </row>
    <row r="58337" ht="15.75" customHeight="1" spans="1:2">
      <c r="A58337" s="3" t="str">
        <f>IFERROR(__xludf.DUMMYFUNCTION("GOOGLETRANSLATE(A58337,""en"",""pt"")"),"tela oi resolução é fácil de ler.")</f>
        <v>tela oi resolução é fácil de ler.</v>
      </c>
      <c r="B58337" s="3">
        <v>1</v>
      </c>
    </row>
    <row r="58338" ht="15.75" customHeight="1" spans="1:2">
      <c r="A58338" s="3" t="str">
        <f>IFERROR(__xludf.DUMMYFUNCTION("GOOGLETRANSLATE(A58338,""en"",""pt"")"),"Fácil de usar, cheio de recursos, tela colorida, barato, câmera")</f>
        <v>Fácil de usar, cheio de recursos, tela colorida, barato, câmera</v>
      </c>
      <c r="B58338" s="3">
        <v>1</v>
      </c>
    </row>
    <row r="58339" ht="15.75" customHeight="1" spans="1:2">
      <c r="A58339" s="3" t="str">
        <f>IFERROR(__xludf.DUMMYFUNCTION("GOOGLETRANSLATE(A58339,""en"",""pt"")"),"-Moderno que procuram, bem acabado, de alta resolução cor da tela")</f>
        <v>-Moderno que procuram, bem acabado, de alta resolução cor da tela</v>
      </c>
      <c r="B58339" s="3">
        <v>1</v>
      </c>
    </row>
    <row r="58340" ht="15.75" customHeight="1" spans="1:2">
      <c r="A58340" s="3" t="str">
        <f>IFERROR(__xludf.DUMMYFUNCTION("GOOGLETRANSLATE(A58340,""en"",""pt"")"),"porta de IV, parece legal, relógio analógico na placa de face")</f>
        <v>porta de IV, parece legal, relógio analógico na placa de face</v>
      </c>
      <c r="B58340" s="3">
        <v>1</v>
      </c>
    </row>
    <row r="58341" ht="15.75" customHeight="1" spans="1:2">
      <c r="A58341" s="3" t="str">
        <f>IFERROR(__xludf.DUMMYFUNCTION("GOOGLETRANSLATE(A58341,""en"",""pt"")"),"fácil de usar teclado, elegante, display colorido, tela de aba frontal, menu de navegação")</f>
        <v>fácil de usar teclado, elegante, display colorido, tela de aba frontal, menu de navegação</v>
      </c>
      <c r="B58341" s="3">
        <v>1</v>
      </c>
    </row>
    <row r="58342" ht="15.75" customHeight="1" spans="1:2">
      <c r="A58342" s="3" t="str">
        <f>IFERROR(__xludf.DUMMYFUNCTION("GOOGLETRANSLATE(A58342,""en"",""pt"")"),"À moda")</f>
        <v>À moda</v>
      </c>
      <c r="B58342" s="3">
        <v>1</v>
      </c>
    </row>
    <row r="58343" ht="15.75" customHeight="1" spans="1:2">
      <c r="A58343" s="3" t="str">
        <f>IFERROR(__xludf.DUMMYFUNCTION("GOOGLETRANSLATE(A58343,""en"",""pt"")"),"Elegante,, toques polifônicos de baixo custo, tela colorida, boa recepção, leves e pequenas, boas características")</f>
        <v>Elegante,, toques polifônicos de baixo custo, tela colorida, boa recepção, leves e pequenas, boas características</v>
      </c>
      <c r="B58343" s="3">
        <v>1</v>
      </c>
    </row>
    <row r="58344" ht="15.75" customHeight="1" spans="1:2">
      <c r="A58344" s="3" t="str">
        <f>IFERROR(__xludf.DUMMYFUNCTION("GOOGLETRANSLATE(A58344,""en"",""pt"")"),"barato, durável, telefone confiável com duas vias de mensagens SMS e correio de voz")</f>
        <v>barato, durável, telefone confiável com duas vias de mensagens SMS e correio de voz</v>
      </c>
      <c r="B58344" s="3">
        <v>1</v>
      </c>
    </row>
    <row r="58345" ht="15.75" customHeight="1" spans="1:2">
      <c r="A58345" s="3" t="str">
        <f>IFERROR(__xludf.DUMMYFUNCTION("GOOGLETRANSLATE(A58345,""en"",""pt"")"),"Motorola durabilidade, força do sinal")</f>
        <v>Motorola durabilidade, força do sinal</v>
      </c>
      <c r="B58345" s="3">
        <v>1</v>
      </c>
    </row>
    <row r="58346" ht="15.75" customHeight="1" spans="1:2">
      <c r="A58346" s="3" t="str">
        <f>IFERROR(__xludf.DUMMYFUNCTION("GOOGLETRANSLATE(A58346,""en"",""pt"")"),"telefone barato, bom retorno para seus investimentos, apelando olhar")</f>
        <v>telefone barato, bom retorno para seus investimentos, apelando olhar</v>
      </c>
      <c r="B58346" s="3">
        <v>1</v>
      </c>
    </row>
    <row r="58347" ht="15.75" customHeight="1" spans="1:2">
      <c r="A58347" s="3" t="str">
        <f>IFERROR(__xludf.DUMMYFUNCTION("GOOGLETRANSLATE(A58347,""en"",""pt"")"),"faceplates mutável, boa bateria, display grande, barato")</f>
        <v>faceplates mutável, boa bateria, display grande, barato</v>
      </c>
      <c r="B58347" s="3">
        <v>1</v>
      </c>
    </row>
    <row r="58348" ht="15.75" customHeight="1" spans="1:2">
      <c r="A58348" s="3" t="str">
        <f>IFERROR(__xludf.DUMMYFUNCTION("GOOGLETRANSLATE(A58348,""en"",""pt"")"),"Simples, elegante, capas mutável.")</f>
        <v>Simples, elegante, capas mutável.</v>
      </c>
      <c r="B58348" s="3">
        <v>1</v>
      </c>
    </row>
    <row r="58349" ht="15.75" customHeight="1" spans="1:2">
      <c r="A58349" s="3" t="str">
        <f>IFERROR(__xludf.DUMMYFUNCTION("GOOGLETRANSLATE(A58349,""en"",""pt"")"),"fácil de segurar, tampas de mudança de cor, características leves e impressionantes.")</f>
        <v>fácil de segurar, tampas de mudança de cor, características leves e impressionantes.</v>
      </c>
      <c r="B58349" s="3">
        <v>1</v>
      </c>
    </row>
    <row r="58350" ht="15.75" customHeight="1" spans="1:2">
      <c r="A58350" s="3" t="str">
        <f>IFERROR(__xludf.DUMMYFUNCTION("GOOGLETRANSLATE(A58350,""en"",""pt"")"),"De alta qualidade, bem concebido, pequeno e leve, de fácil encaixe na palma da sua mão")</f>
        <v>De alta qualidade, bem concebido, pequeno e leve, de fácil encaixe na palma da sua mão</v>
      </c>
      <c r="B58350" s="3">
        <v>1</v>
      </c>
    </row>
    <row r="58351" ht="15.75" customHeight="1" spans="1:2">
      <c r="A58351" s="3" t="str">
        <f>IFERROR(__xludf.DUMMYFUNCTION("GOOGLETRANSLATE(A58351,""en"",""pt"")"),"função de calendário do Nokia 8210 do telefone pode lembrá-lo de futuras reuniões, aniversários e assim por diante.")</f>
        <v>função de calendário do Nokia 8210 do telefone pode lembrá-lo de futuras reuniões, aniversários e assim por diante.</v>
      </c>
      <c r="B58351" s="3">
        <v>1</v>
      </c>
    </row>
    <row r="58352" ht="15.75" customHeight="1" spans="1:2">
      <c r="A58352" s="3" t="str">
        <f>IFERROR(__xludf.DUMMYFUNCTION("GOOGLETRANSLATE(A58352,""en"",""pt"")"),"Pequeno, leve, muito utilizável.")</f>
        <v>Pequeno, leve, muito utilizável.</v>
      </c>
      <c r="B58352" s="3">
        <v>1</v>
      </c>
    </row>
    <row r="58353" ht="15.75" customHeight="1" spans="1:2">
      <c r="A58353" s="3" t="str">
        <f>IFERROR(__xludf.DUMMYFUNCTION("GOOGLETRANSLATE(A58353,""en"",""pt"")"),"Ele estava livre, ele se sente durável e tem características decente.")</f>
        <v>Ele estava livre, ele se sente durável e tem características decente.</v>
      </c>
      <c r="B58353" s="3">
        <v>1</v>
      </c>
    </row>
    <row r="58354" ht="15.75" customHeight="1" spans="1:2">
      <c r="A58354" s="3" t="str">
        <f>IFERROR(__xludf.DUMMYFUNCTION("GOOGLETRANSLATE(A58354,""en"",""pt"")"),"Resistente ~ ainda trabalhar com os meus filhos a usá-lo diariamente!")</f>
        <v>Resistente ~ ainda trabalhar com os meus filhos a usá-lo diariamente!</v>
      </c>
      <c r="B58354" s="3">
        <v>1</v>
      </c>
    </row>
    <row r="58355" ht="15.75" customHeight="1" spans="1:2">
      <c r="A58355" s="3" t="str">
        <f>IFERROR(__xludf.DUMMYFUNCTION("GOOGLETRANSLATE(A58355,""en"",""pt"")"),"Preço, aparência, funcionalidade, baixo consumo de energia, GSM, obras na Europa, duráveis")</f>
        <v>Preço, aparência, funcionalidade, baixo consumo de energia, GSM, obras na Europa, duráveis</v>
      </c>
      <c r="B58355" s="3">
        <v>1</v>
      </c>
    </row>
    <row r="58356" ht="15.75" customHeight="1" spans="1:2">
      <c r="A58356" s="3" t="str">
        <f>IFERROR(__xludf.DUMMYFUNCTION("GOOGLETRANSLATE(A58356,""en"",""pt"")"),"Barato, boa vida útil da bateria, a luz de volta muito brilhante.")</f>
        <v>Barato, boa vida útil da bateria, a luz de volta muito brilhante.</v>
      </c>
      <c r="B58356" s="3">
        <v>1</v>
      </c>
    </row>
    <row r="58357" ht="15.75" customHeight="1" spans="1:2">
      <c r="A58357" s="3" t="str">
        <f>IFERROR(__xludf.DUMMYFUNCTION("GOOGLETRANSLATE(A58357,""en"",""pt"")"),"Grátis na maioria dos casos, muitos recursos, o cliente AOL IM.")</f>
        <v>Grátis na maioria dos casos, muitos recursos, o cliente AOL IM.</v>
      </c>
      <c r="B58357" s="3">
        <v>1</v>
      </c>
    </row>
    <row r="58358" ht="15.75" customHeight="1" spans="1:2">
      <c r="A58358" s="3" t="str">
        <f>IFERROR(__xludf.DUMMYFUNCTION("GOOGLETRANSLATE(A58358,""en"",""pt"")"),"Lightweight. Barato. Direto. Excelente sobre o básico. Não necessariamente para ""usuários de poder."" Euro-compatível.")</f>
        <v>Lightweight. Barato. Direto. Excelente sobre o básico. Não necessariamente para "usuários de poder." Euro-compatível.</v>
      </c>
      <c r="B58358" s="3">
        <v>1</v>
      </c>
    </row>
    <row r="58359" ht="15.75" customHeight="1" spans="1:2">
      <c r="A58359" s="3" t="str">
        <f>IFERROR(__xludf.DUMMYFUNCTION("GOOGLETRANSLATE(A58359,""en"",""pt"")"),"Olhar fresco, leve, boas características")</f>
        <v>Olhar fresco, leve, boas características</v>
      </c>
      <c r="B58359" s="3">
        <v>1</v>
      </c>
    </row>
    <row r="58360" ht="15.75" customHeight="1" spans="1:2">
      <c r="A58360" s="3" t="str">
        <f>IFERROR(__xludf.DUMMYFUNCTION("GOOGLETRANSLATE(A58360,""en"",""pt"")"),"Muito boa recepção e vida útil da bateria")</f>
        <v>Muito boa recepção e vida útil da bateria</v>
      </c>
      <c r="B58360" s="3">
        <v>1</v>
      </c>
    </row>
    <row r="58361" ht="15.75" customHeight="1" spans="1:2">
      <c r="A58361" s="3" t="str">
        <f>IFERROR(__xludf.DUMMYFUNCTION("GOOGLETRANSLATE(A58361,""en"",""pt"")"),"O design elegante, leve e recursos interessantes, AIM dentro, tem o seu próprio endereço de e-mail")</f>
        <v>O design elegante, leve e recursos interessantes, AIM dentro, tem o seu próprio endereço de e-mail</v>
      </c>
      <c r="B58361" s="3">
        <v>1</v>
      </c>
    </row>
    <row r="58362" ht="15.75" customHeight="1" spans="1:2">
      <c r="A58362" s="3" t="str">
        <f>IFERROR(__xludf.DUMMYFUNCTION("GOOGLETRANSLATE(A58362,""en"",""pt"")"),"Grátis com a compra de um contrato de serviço celular. Fino e compacto e atraente.")</f>
        <v>Grátis com a compra de um contrato de serviço celular. Fino e compacto e atraente.</v>
      </c>
      <c r="B58362" s="3">
        <v>1</v>
      </c>
    </row>
    <row r="58363" ht="15.75" customHeight="1" spans="1:2">
      <c r="A58363" s="3" t="str">
        <f>IFERROR(__xludf.DUMMYFUNCTION("GOOGLETRANSLATE(A58363,""en"",""pt"")"),"brilhante tela LCD, grande qualidade de som, e toneladas de características, mais leve do que o hélio")</f>
        <v>brilhante tela LCD, grande qualidade de som, e toneladas de características, mais leve do que o hélio</v>
      </c>
      <c r="B58363" s="3">
        <v>1</v>
      </c>
    </row>
    <row r="58364" ht="15.75" customHeight="1" spans="1:2">
      <c r="A58364" s="3" t="str">
        <f>IFERROR(__xludf.DUMMYFUNCTION("GOOGLETRANSLATE(A58364,""en"",""pt"")"),"Grande cobertura, muito leve, muitos recursos")</f>
        <v>Grande cobertura, muito leve, muitos recursos</v>
      </c>
      <c r="B58364" s="3">
        <v>1</v>
      </c>
    </row>
    <row r="58365" ht="15.75" customHeight="1" spans="1:2">
      <c r="A58365" s="3" t="str">
        <f>IFERROR(__xludf.DUMMYFUNCTION("GOOGLETRANSLATE(A58365,""en"",""pt"")"),", Boa duração da bateria durável, conexão do fone de ouvido robusto, software confiável (sem travamentos ou trava), estilo ""bonito""")</f>
        <v>, Boa duração da bateria durável, conexão do fone de ouvido robusto, software confiável (sem travamentos ou trava), estilo "bonito"</v>
      </c>
      <c r="B58365" s="3">
        <v>1</v>
      </c>
    </row>
    <row r="58366" ht="15.75" customHeight="1" spans="1:2">
      <c r="A58366" s="3" t="str">
        <f>IFERROR(__xludf.DUMMYFUNCTION("GOOGLETRANSLATE(A58366,""en"",""pt"")"),"Tamanho, peso, facilidade de uso, confiabilidade, durabilidade, agora disponível gratuitamente !!")</f>
        <v>Tamanho, peso, facilidade de uso, confiabilidade, durabilidade, agora disponível gratuitamente !!</v>
      </c>
      <c r="B58366" s="3">
        <v>1</v>
      </c>
    </row>
    <row r="58367" ht="15.75" customHeight="1" spans="1:2">
      <c r="A58367" s="3" t="str">
        <f>IFERROR(__xludf.DUMMYFUNCTION("GOOGLETRANSLATE(A58367,""en"",""pt"")"),"luz de fundo azul e multipartidária")</f>
        <v>luz de fundo azul e multipartidária</v>
      </c>
      <c r="B58367" s="3">
        <v>1</v>
      </c>
    </row>
    <row r="58368" ht="15.75" customHeight="1" spans="1:2">
      <c r="A58368" s="3" t="str">
        <f>IFERROR(__xludf.DUMMYFUNCTION("GOOGLETRANSLATE(A58368,""en"",""pt"")"),"telefone luz, abundância de recursos agradáveis, boa recepção, e é grátis")</f>
        <v>telefone luz, abundância de recursos agradáveis, boa recepção, e é grátis</v>
      </c>
      <c r="B58368" s="3">
        <v>1</v>
      </c>
    </row>
    <row r="58369" ht="15.75" customHeight="1" spans="1:2">
      <c r="A58369" s="3" t="str">
        <f>IFERROR(__xludf.DUMMYFUNCTION("GOOGLETRANSLATE(A58369,""en"",""pt"")"),"Pequeno. Lightweight.")</f>
        <v>Pequeno. Lightweight.</v>
      </c>
      <c r="B58369" s="3">
        <v>1</v>
      </c>
    </row>
    <row r="58370" ht="15.75" customHeight="1" spans="1:2">
      <c r="A58370" s="3" t="str">
        <f>IFERROR(__xludf.DUMMYFUNCTION("GOOGLETRANSLATE(A58370,""en"",""pt"")"),"Pequeno, leve, fácil de usar, ringtones, AOL Instant Messenger, luz azul")</f>
        <v>Pequeno, leve, fácil de usar, ringtones, AOL Instant Messenger, luz azul</v>
      </c>
      <c r="B58370" s="3">
        <v>1</v>
      </c>
    </row>
    <row r="58371" ht="15.75" customHeight="1" spans="1:2">
      <c r="A58371" s="3" t="str">
        <f>IFERROR(__xludf.DUMMYFUNCTION("GOOGLETRANSLATE(A58371,""en"",""pt"")"),"Pequeno, durável, ergonómico, fácil de usar")</f>
        <v>Pequeno, durável, ergonómico, fácil de usar</v>
      </c>
      <c r="B58371" s="3">
        <v>1</v>
      </c>
    </row>
    <row r="58372" ht="15.75" customHeight="1" spans="1:2">
      <c r="A58372" s="3" t="str">
        <f>IFERROR(__xludf.DUMMYFUNCTION("GOOGLETRANSLATE(A58372,""en"",""pt"")"),"Esta beleza digital é uma jóia!")</f>
        <v>Esta beleza digital é uma jóia!</v>
      </c>
      <c r="B58372" s="3">
        <v>1</v>
      </c>
    </row>
    <row r="58373" ht="15.75" customHeight="1" spans="1:2">
      <c r="A58373" s="3" t="str">
        <f>IFERROR(__xludf.DUMMYFUNCTION("GOOGLETRANSLATE(A58373,""en"",""pt"")"),"Compacto, boa aparência, e Kewl Backlight")</f>
        <v>Compacto, boa aparência, e Kewl Backlight</v>
      </c>
      <c r="B58373" s="3">
        <v>1</v>
      </c>
    </row>
    <row r="58374" ht="15.75" customHeight="1" spans="1:2">
      <c r="A58374" s="3" t="str">
        <f>IFERROR(__xludf.DUMMYFUNCTION("GOOGLETRANSLATE(A58374,""en"",""pt"")"),"Muito fácil de usar. Um monte de sinos e assobios. Aparência legal.")</f>
        <v>Muito fácil de usar. Um monte de sinos e assobios. Aparência legal.</v>
      </c>
      <c r="B58374" s="3">
        <v>1</v>
      </c>
    </row>
    <row r="58375" ht="15.75" customHeight="1" spans="1:2">
      <c r="A58375" s="3" t="str">
        <f>IFERROR(__xludf.DUMMYFUNCTION("GOOGLETRANSLATE(A58375,""en"",""pt"")"),"Leve, fundo agradável, alto")</f>
        <v>Leve, fundo agradável, alto</v>
      </c>
      <c r="B58375" s="3">
        <v>1</v>
      </c>
    </row>
    <row r="58376" ht="15.75" customHeight="1" spans="1:2">
      <c r="A58376" s="3" t="str">
        <f>IFERROR(__xludf.DUMMYFUNCTION("GOOGLETRANSLATE(A58376,""en"",""pt"")"),"Leve, compacto, boas características.")</f>
        <v>Leve, compacto, boas características.</v>
      </c>
      <c r="B58376" s="3">
        <v>1</v>
      </c>
    </row>
    <row r="58377" ht="15.75" customHeight="1" spans="1:2">
      <c r="A58377" s="3" t="str">
        <f>IFERROR(__xludf.DUMMYFUNCTION("GOOGLETRANSLATE(A58377,""en"",""pt"")"),"Leve, divertido, fácil de usar e muito funcional. Lotes das características para a próxima nada.")</f>
        <v>Leve, divertido, fácil de usar e muito funcional. Lotes das características para a próxima nada.</v>
      </c>
      <c r="B58377" s="3">
        <v>1</v>
      </c>
    </row>
    <row r="58378" ht="15.75" customHeight="1" spans="1:2">
      <c r="A58378" s="3" t="str">
        <f>IFERROR(__xludf.DUMMYFUNCTION("GOOGLETRANSLATE(A58378,""en"",""pt"")"),"AOL IM compatível, de fácil instalação / uso, tela azul, muito leve")</f>
        <v>AOL IM compatível, de fácil instalação / uso, tela azul, muito leve</v>
      </c>
      <c r="B58378" s="3">
        <v>1</v>
      </c>
    </row>
    <row r="58379" ht="15.75" customHeight="1" spans="1:2">
      <c r="A58379" s="3" t="str">
        <f>IFERROR(__xludf.DUMMYFUNCTION("GOOGLETRANSLATE(A58379,""en"",""pt"")"),"Projeto pequeno, tela indiglo azul")</f>
        <v>Projeto pequeno, tela indiglo azul</v>
      </c>
      <c r="B58379" s="3">
        <v>1</v>
      </c>
    </row>
    <row r="58380" ht="15.75" customHeight="1" spans="1:2">
      <c r="A58380" s="3" t="str">
        <f>IFERROR(__xludf.DUMMYFUNCTION("GOOGLETRANSLATE(A58380,""en"",""pt"")"),"Barato, azul brilhante Display, Samsung Qualidade")</f>
        <v>Barato, azul brilhante Display, Samsung Qualidade</v>
      </c>
      <c r="B58380" s="3">
        <v>1</v>
      </c>
    </row>
    <row r="58381" ht="15.75" customHeight="1" spans="1:2">
      <c r="A58381" s="3" t="str">
        <f>IFERROR(__xludf.DUMMYFUNCTION("GOOGLETRANSLATE(A58381,""en"",""pt"")"),"Muito leve, ver-in-the-dark fácil de luz de fundo azul, apresenta bastante decente, fácil 'pocket' telefone")</f>
        <v>Muito leve, ver-in-the-dark fácil de luz de fundo azul, apresenta bastante decente, fácil 'pocket' telefone</v>
      </c>
      <c r="B58381" s="3">
        <v>1</v>
      </c>
    </row>
    <row r="58382" ht="15.75" customHeight="1" spans="1:2">
      <c r="A58382" s="3" t="str">
        <f>IFERROR(__xludf.DUMMYFUNCTION("GOOGLETRANSLATE(A58382,""en"",""pt"")"),"Leves, iluminação LCD brilhante, Jogos")</f>
        <v>Leves, iluminação LCD brilhante, Jogos</v>
      </c>
      <c r="B58382" s="3">
        <v>1</v>
      </c>
    </row>
    <row r="58383" ht="15.75" customHeight="1" spans="1:2">
      <c r="A58383" s="3" t="str">
        <f>IFERROR(__xludf.DUMMYFUNCTION("GOOGLETRANSLATE(A58383,""en"",""pt"")"),"Pequeno, fácil de operar, bom serviço")</f>
        <v>Pequeno, fácil de operar, bom serviço</v>
      </c>
      <c r="B58383" s="3">
        <v>1</v>
      </c>
    </row>
    <row r="58384" ht="15.75" customHeight="1" spans="1:2">
      <c r="A58384" s="3" t="str">
        <f>IFERROR(__xludf.DUMMYFUNCTION("GOOGLETRANSLATE(A58384,""en"",""pt"")"),"Pequeno, colorido LCD, fácil de usar")</f>
        <v>Pequeno, colorido LCD, fácil de usar</v>
      </c>
      <c r="B58384" s="3">
        <v>1</v>
      </c>
    </row>
    <row r="58385" ht="15.75" customHeight="1" spans="1:2">
      <c r="A58385" s="3" t="str">
        <f>IFERROR(__xludf.DUMMYFUNCTION("GOOGLETRANSLATE(A58385,""en"",""pt"")"),"leve, compacto, tela brilhante, barato")</f>
        <v>leve, compacto, tela brilhante, barato</v>
      </c>
      <c r="B58385" s="3">
        <v>1</v>
      </c>
    </row>
    <row r="58386" ht="15.75" customHeight="1" spans="1:2">
      <c r="A58386" s="3" t="str">
        <f>IFERROR(__xludf.DUMMYFUNCTION("GOOGLETRANSLATE(A58386,""en"",""pt"")"),"Looks (pode ser enganoso)")</f>
        <v>Looks (pode ser enganoso)</v>
      </c>
      <c r="B58386" s="3">
        <v>1</v>
      </c>
    </row>
    <row r="58387" ht="15.75" customHeight="1" spans="1:2">
      <c r="A58387" s="3" t="str">
        <f>IFERROR(__xludf.DUMMYFUNCTION("GOOGLETRANSLATE(A58387,""en"",""pt"")"),"AIM, T9, fino, leve, pequeno, versátil, poderoso, fantástica vida útil da bateria, compositor anel")</f>
        <v>AIM, T9, fino, leve, pequeno, versátil, poderoso, fantástica vida útil da bateria, compositor anel</v>
      </c>
      <c r="B58387" s="3">
        <v>1</v>
      </c>
    </row>
    <row r="58388" ht="15.75" customHeight="1" spans="1:2">
      <c r="A58388" s="3" t="str">
        <f>IFERROR(__xludf.DUMMYFUNCTION("GOOGLETRANSLATE(A58388,""en"",""pt"")"),"Simplista, ele faz o trabalho sem todos os extras estúpido que")</f>
        <v>Simplista, ele faz o trabalho sem todos os extras estúpido que</v>
      </c>
      <c r="B58388" s="3">
        <v>1</v>
      </c>
    </row>
    <row r="58389" ht="15.75" customHeight="1" spans="1:2">
      <c r="A58389" s="3" t="str">
        <f>IFERROR(__xludf.DUMMYFUNCTION("GOOGLETRANSLATE(A58389,""en"",""pt"")"),"Eu gostei do SGH R225 porque era muito leve e tinha um bom design.")</f>
        <v>Eu gostei do SGH R225 porque era muito leve e tinha um bom design.</v>
      </c>
      <c r="B58389" s="3">
        <v>1</v>
      </c>
    </row>
    <row r="58390" ht="15.75" customHeight="1" spans="1:2">
      <c r="A58390" s="3" t="s">
        <v>316</v>
      </c>
      <c r="B58390" s="3">
        <v>1</v>
      </c>
    </row>
    <row r="58391" ht="15.75" customHeight="1" spans="1:2">
      <c r="A58391" s="3" t="str">
        <f>IFERROR(__xludf.DUMMYFUNCTION("GOOGLETRANSLATE(A58391,""en"",""pt"")"),"backlight brilhante, boa bateria")</f>
        <v>backlight brilhante, boa bateria</v>
      </c>
      <c r="B58391" s="3">
        <v>1</v>
      </c>
    </row>
    <row r="58392" ht="15.75" customHeight="1" spans="1:2">
      <c r="A58392" s="3" t="str">
        <f>IFERROR(__xludf.DUMMYFUNCTION("GOOGLETRANSLATE(A58392,""en"",""pt"")"),"recursos, robusto, preço, qualidade de construção")</f>
        <v>recursos, robusto, preço, qualidade de construção</v>
      </c>
      <c r="B58392" s="3">
        <v>1</v>
      </c>
    </row>
    <row r="58393" ht="15.75" customHeight="1" spans="1:2">
      <c r="A58393" s="3" t="str">
        <f>IFERROR(__xludf.DUMMYFUNCTION("GOOGLETRANSLATE(A58393,""en"",""pt"")"),"Brilhante luz de fundo azul, caso atrativo, web habilitado, leve e tem muitos recursos úteis.")</f>
        <v>Brilhante luz de fundo azul, caso atrativo, web habilitado, leve e tem muitos recursos úteis.</v>
      </c>
      <c r="B58393" s="3">
        <v>1</v>
      </c>
    </row>
    <row r="58394" ht="15.75" customHeight="1" spans="1:2">
      <c r="A58394" s="3" t="str">
        <f>IFERROR(__xludf.DUMMYFUNCTION("GOOGLETRANSLATE(A58394,""en"",""pt"")"),"Leve, fácil de usar, duráveis.")</f>
        <v>Leve, fácil de usar, duráveis.</v>
      </c>
      <c r="B58394" s="3">
        <v>1</v>
      </c>
    </row>
    <row r="58395" ht="15.75" customHeight="1" spans="1:2">
      <c r="A58395" s="3" t="str">
        <f>IFERROR(__xludf.DUMMYFUNCTION("GOOGLETRANSLATE(A58395,""en"",""pt"")"),"Bloqueio automático do teclado é bom. screensavers bonitos.")</f>
        <v>Bloqueio automático do teclado é bom. screensavers bonitos.</v>
      </c>
      <c r="B58395" s="3">
        <v>1</v>
      </c>
    </row>
    <row r="58396" ht="15.75" customHeight="1" spans="1:2">
      <c r="A58396" s="3" t="str">
        <f>IFERROR(__xludf.DUMMYFUNCTION("GOOGLETRANSLATE(A58396,""en"",""pt"")"),"grandes polyphonics")</f>
        <v>grandes polyphonics</v>
      </c>
      <c r="B58396" s="3">
        <v>1</v>
      </c>
    </row>
    <row r="58397" ht="15.75" customHeight="1" spans="1:2">
      <c r="A58397" s="3" t="str">
        <f>IFERROR(__xludf.DUMMYFUNCTION("GOOGLETRANSLATE(A58397,""en"",""pt"")"),"Grande recepção; leve; durável; pequeno; apoio AIM / AOL; excelente pedaço da orelha.")</f>
        <v>Grande recepção; leve; durável; pequeno; apoio AIM / AOL; excelente pedaço da orelha.</v>
      </c>
      <c r="B58397" s="3">
        <v>1</v>
      </c>
    </row>
    <row r="58398" ht="15.75" customHeight="1" spans="1:2">
      <c r="A58398" s="3" t="str">
        <f>IFERROR(__xludf.DUMMYFUNCTION("GOOGLETRANSLATE(A58398,""en"",""pt"")"),"Excelente recepção, luz de fundo brilhante, fácil de navegar")</f>
        <v>Excelente recepção, luz de fundo brilhante, fácil de navegar</v>
      </c>
      <c r="B58398" s="3">
        <v>1</v>
      </c>
    </row>
    <row r="58399" ht="15.75" customHeight="1" spans="1:2">
      <c r="A58399" s="3" t="str">
        <f>IFERROR(__xludf.DUMMYFUNCTION("GOOGLETRANSLATE(A58399,""en"",""pt"")"),"aparência snazzy e ""show de luzes"" Bastante simples, ótimo para pessoas que não são tecnologicamente som.")</f>
        <v>aparência snazzy e "show de luzes" Bastante simples, ótimo para pessoas que não são tecnologicamente som.</v>
      </c>
      <c r="B58399" s="3">
        <v>1</v>
      </c>
    </row>
    <row r="58400" ht="15.75" customHeight="1" spans="1:2">
      <c r="A58400" s="3" t="str">
        <f>IFERROR(__xludf.DUMMYFUNCTION("GOOGLETRANSLATE(A58400,""en"",""pt"")"),"MP3 player, suporte MultiMediaCard, grande capacidade de memória (MultiMediaCard), display grande e claro, peso leve, jogos java")</f>
        <v>MP3 player, suporte MultiMediaCard, grande capacidade de memória (MultiMediaCard), display grande e claro, peso leve, jogos java</v>
      </c>
      <c r="B58400" s="3">
        <v>1</v>
      </c>
    </row>
    <row r="58401" ht="15.75" customHeight="1" spans="1:2">
      <c r="A58401" s="3" t="str">
        <f>IFERROR(__xludf.DUMMYFUNCTION("GOOGLETRANSLATE(A58401,""en"",""pt"")"),"construído como um tanque.")</f>
        <v>construído como um tanque.</v>
      </c>
      <c r="B58401" s="3">
        <v>1</v>
      </c>
    </row>
    <row r="58402" ht="15.75" customHeight="1" spans="1:2">
      <c r="A58402" s="3" t="str">
        <f>IFERROR(__xludf.DUMMYFUNCTION("GOOGLETRANSLATE(A58402,""en"",""pt"")"),"Tamanho compacto; Lotes das características; modo de vibração")</f>
        <v>Tamanho compacto; Lotes das características; modo de vibração</v>
      </c>
      <c r="B58402" s="3">
        <v>1</v>
      </c>
    </row>
    <row r="58403" ht="15.75" customHeight="1" spans="1:2">
      <c r="A58403" s="3" t="str">
        <f>IFERROR(__xludf.DUMMYFUNCTION("GOOGLETRANSLATE(A58403,""en"",""pt"")"),"Não dobrável, leve")</f>
        <v>Não dobrável, leve</v>
      </c>
      <c r="B58403" s="3">
        <v>1</v>
      </c>
    </row>
    <row r="58404" ht="15.75" customHeight="1" spans="1:2">
      <c r="A58404" s="3" t="str">
        <f>IFERROR(__xludf.DUMMYFUNCTION("GOOGLETRANSLATE(A58404,""en"",""pt"")"),"fácil de usar, recursos simples, gama adequada e poder")</f>
        <v>fácil de usar, recursos simples, gama adequada e poder</v>
      </c>
      <c r="B58404" s="3">
        <v>1</v>
      </c>
    </row>
    <row r="58405" ht="15.75" customHeight="1" spans="1:2">
      <c r="A58405" s="3" t="str">
        <f>IFERROR(__xludf.DUMMYFUNCTION("GOOGLETRANSLATE(A58405,""en"",""pt"")"),"bateria de longa duração, divertimento caracteriza como faceplates mutável e várias opções de toque, fácil de usar.")</f>
        <v>bateria de longa duração, divertimento caracteriza como faceplates mutável e várias opções de toque, fácil de usar.</v>
      </c>
      <c r="B58405" s="3">
        <v>1</v>
      </c>
    </row>
    <row r="58406" ht="15.75" customHeight="1" spans="1:2">
      <c r="A58406" s="3" t="str">
        <f>IFERROR(__xludf.DUMMYFUNCTION("GOOGLETRANSLATE(A58406,""en"",""pt"")"),"Display, Menu, 3º Acessórios partido")</f>
        <v>Display, Menu, 3º Acessórios partido</v>
      </c>
      <c r="B58406" s="3">
        <v>1</v>
      </c>
    </row>
    <row r="58407" ht="15.75" customHeight="1" spans="1:2">
      <c r="A58407" s="3" t="str">
        <f>IFERROR(__xludf.DUMMYFUNCTION("GOOGLETRANSLATE(A58407,""en"",""pt"")"),"...")</f>
        <v>...</v>
      </c>
      <c r="B58407" s="3">
        <v>1</v>
      </c>
    </row>
    <row r="58408" ht="15.75" customHeight="1" spans="1:2">
      <c r="A58408" s="3" t="str">
        <f>IFERROR(__xludf.DUMMYFUNCTION("GOOGLETRANSLATE(A58408,""en"",""pt"")"),"Tamanho, Features, montes de opções")</f>
        <v>Tamanho, Features, montes de opções</v>
      </c>
      <c r="B58408" s="3">
        <v>1</v>
      </c>
    </row>
    <row r="58409" ht="15.75" customHeight="1" spans="1:2">
      <c r="A58409" s="3" t="str">
        <f>IFERROR(__xludf.DUMMYFUNCTION("GOOGLETRANSLATE(A58409,""en"",""pt"")"),"Compacto, modo de vibração, excelente qualidade de voz, baixo preço")</f>
        <v>Compacto, modo de vibração, excelente qualidade de voz, baixo preço</v>
      </c>
      <c r="B58409" s="3">
        <v>1</v>
      </c>
    </row>
    <row r="58410" ht="15.75" customHeight="1" spans="1:2">
      <c r="A58410" s="3" t="str">
        <f>IFERROR(__xludf.DUMMYFUNCTION("GOOGLETRANSLATE(A58410,""en"",""pt"")"),"Pequeno, excelente ergonomia, Bateria de Longa Duração, boa claridade, Tri-Mode, muitos recursos e Acessórios &amp; # 13; &amp; # 10;")</f>
        <v>Pequeno, excelente ergonomia, Bateria de Longa Duração, boa claridade, Tri-Mode, muitos recursos e Acessórios &amp; # 13; &amp; # 10;</v>
      </c>
      <c r="B58410" s="3">
        <v>1</v>
      </c>
    </row>
    <row r="58411" ht="15.75" customHeight="1" spans="1:2">
      <c r="A58411" s="3" t="str">
        <f>IFERROR(__xludf.DUMMYFUNCTION("GOOGLETRANSLATE(A58411,""en"",""pt"")"),"Parece bom, durável, de iões de lítio, Clear LCD, bom preço, habilitado para Internet, Pequeno")</f>
        <v>Parece bom, durável, de iões de lítio, Clear LCD, bom preço, habilitado para Internet, Pequeno</v>
      </c>
      <c r="B58411" s="3">
        <v>1</v>
      </c>
    </row>
    <row r="58412" ht="15.75" customHeight="1" spans="1:2">
      <c r="A58412" s="3" t="str">
        <f>IFERROR(__xludf.DUMMYFUNCTION("GOOGLETRANSLATE(A58412,""en"",""pt"")"),"Qualidade, recursos, ferramentas")</f>
        <v>Qualidade, recursos, ferramentas</v>
      </c>
      <c r="B58412" s="3">
        <v>1</v>
      </c>
    </row>
    <row r="58413" ht="15.75" customHeight="1" spans="1:2">
      <c r="A58413" s="3" t="str">
        <f>IFERROR(__xludf.DUMMYFUNCTION("GOOGLETRANSLATE(A58413,""en"",""pt"")"),"fácil, pequeno, olhando agradável telefone")</f>
        <v>fácil, pequeno, olhando agradável telefone</v>
      </c>
      <c r="B58413" s="3">
        <v>1</v>
      </c>
    </row>
    <row r="58414" ht="15.75" customHeight="1" spans="1:2">
      <c r="A58414" s="3" t="str">
        <f>IFERROR(__xludf.DUMMYFUNCTION("GOOGLETRANSLATE(A58414,""en"",""pt"")"),"Lithium Ion Battery, Contact Manager, Ferramentas úteis.")</f>
        <v>Lithium Ion Battery, Contact Manager, Ferramentas úteis.</v>
      </c>
      <c r="B58414" s="3">
        <v>1</v>
      </c>
    </row>
    <row r="58415" ht="15.75" customHeight="1" spans="1:2">
      <c r="A58415" s="3" t="str">
        <f>IFERROR(__xludf.DUMMYFUNCTION("GOOGLETRANSLATE(A58415,""en"",""pt"")"),"Faz-me estranhamente feliz.")</f>
        <v>Faz-me estranhamente feliz.</v>
      </c>
      <c r="B58415" s="3">
        <v>1</v>
      </c>
    </row>
    <row r="58416" ht="15.75" customHeight="1" spans="1:2">
      <c r="A58416" s="3" t="str">
        <f>IFERROR(__xludf.DUMMYFUNCTION("GOOGLETRANSLATE(A58416,""en"",""pt"")"),"Lotes de características, Cheap")</f>
        <v>Lotes de características, Cheap</v>
      </c>
      <c r="B58416" s="3">
        <v>1</v>
      </c>
    </row>
    <row r="58417" ht="15.75" customHeight="1" spans="1:2">
      <c r="A58417" s="3" t="str">
        <f>IFERROR(__xludf.DUMMYFUNCTION("GOOGLETRANSLATE(A58417,""en"",""pt"")"),"leve e pequeno, parece relativamente robusto, bom som, muitos recursos")</f>
        <v>leve e pequeno, parece relativamente robusto, bom som, muitos recursos</v>
      </c>
      <c r="B58417" s="3">
        <v>1</v>
      </c>
    </row>
    <row r="58418" ht="15.75" customHeight="1" spans="1:2">
      <c r="A58418" s="3" t="str">
        <f>IFERROR(__xludf.DUMMYFUNCTION("GOOGLETRANSLATE(A58418,""en"",""pt"")"),"Fácil de usar, parece claro, telefone Tri-mode")</f>
        <v>Fácil de usar, parece claro, telefone Tri-mode</v>
      </c>
      <c r="B58418" s="3">
        <v>1</v>
      </c>
    </row>
    <row r="58419" ht="15.75" customHeight="1" spans="1:2">
      <c r="A58419" s="3" t="str">
        <f>IFERROR(__xludf.DUMMYFUNCTION("GOOGLETRANSLATE(A58419,""en"",""pt"")"),"Luz, ""web-enabled"", email, fone de ouvido universal, agradáveis ​​temporizadores / alarmes")</f>
        <v>Luz, "web-enabled", email, fone de ouvido universal, agradáveis ​​temporizadores / alarmes</v>
      </c>
      <c r="B58419" s="3">
        <v>1</v>
      </c>
    </row>
    <row r="58420" ht="15.75" customHeight="1" spans="1:2">
      <c r="A58420" s="3" t="str">
        <f>IFERROR(__xludf.DUMMYFUNCTION("GOOGLETRANSLATE(A58420,""en"",""pt"")"),"Limpar recepção, peso leve, e você é capaz de mudar o banner.")</f>
        <v>Limpar recepção, peso leve, e você é capaz de mudar o banner.</v>
      </c>
      <c r="B58420" s="3">
        <v>1</v>
      </c>
    </row>
    <row r="58421" ht="15.75" customHeight="1" spans="1:2">
      <c r="A58421" s="3" t="str">
        <f>IFERROR(__xludf.DUMMYFUNCTION("GOOGLETRANSLATE(A58421,""en"",""pt"")"),"Pequeno, sem ser demasiado pequeno, características, bateria de lítio, internet")</f>
        <v>Pequeno, sem ser demasiado pequeno, características, bateria de lítio, internet</v>
      </c>
      <c r="B58421" s="3">
        <v>1</v>
      </c>
    </row>
    <row r="58422" ht="15.75" customHeight="1" spans="1:2">
      <c r="A58422" s="3" t="str">
        <f>IFERROR(__xludf.DUMMYFUNCTION("GOOGLETRANSLATE(A58422,""en"",""pt"")"),"Pequeno e leve, muito fácil de usar. faceplates intercambiáveis ​​e um toque de vibração. Barato também!")</f>
        <v>Pequeno e leve, muito fácil de usar. faceplates intercambiáveis ​​e um toque de vibração. Barato também!</v>
      </c>
      <c r="B58422" s="3">
        <v>1</v>
      </c>
    </row>
    <row r="58423" ht="15.75" customHeight="1" spans="1:2">
      <c r="A58423" s="3" t="str">
        <f>IFERROR(__xludf.DUMMYFUNCTION("GOOGLETRANSLATE(A58423,""en"",""pt"")"),"características interessantes, alerta vibratório, lojas de 200 contatos, incluindo caracóis e endereços de email")</f>
        <v>características interessantes, alerta vibratório, lojas de 200 contatos, incluindo caracóis e endereços de email</v>
      </c>
      <c r="B58423" s="3">
        <v>1</v>
      </c>
    </row>
    <row r="58424" ht="15.75" customHeight="1" spans="1:2">
      <c r="A58424" s="3" t="str">
        <f>IFERROR(__xludf.DUMMYFUNCTION("GOOGLETRANSLATE(A58424,""en"",""pt"")"),"Leve, atraente, muitos recursos")</f>
        <v>Leve, atraente, muitos recursos</v>
      </c>
      <c r="B58424" s="3">
        <v>1</v>
      </c>
    </row>
    <row r="58425" ht="15.75" customHeight="1" spans="1:2">
      <c r="A58425" s="3" t="str">
        <f>IFERROR(__xludf.DUMMYFUNCTION("GOOGLETRANSLATE(A58425,""en"",""pt"")"),"Boa aparência, Nice oferece, Great value")</f>
        <v>Boa aparência, Nice oferece, Great value</v>
      </c>
      <c r="B58425" s="3">
        <v>1</v>
      </c>
    </row>
    <row r="58426" ht="15.75" customHeight="1" spans="1:2">
      <c r="A58426" s="3" t="str">
        <f>IFERROR(__xludf.DUMMYFUNCTION("GOOGLETRANSLATE(A58426,""en"",""pt"")"),"Facilidade de uso, clareza chamada, puro ""recursos extras""")</f>
        <v>Facilidade de uso, clareza chamada, puro "recursos extras"</v>
      </c>
      <c r="B58426" s="3">
        <v>1</v>
      </c>
    </row>
    <row r="58427" ht="15.75" customHeight="1" spans="1:2">
      <c r="A58427" s="3" t="str">
        <f>IFERROR(__xludf.DUMMYFUNCTION("GOOGLETRANSLATE(A58427,""en"",""pt"")"),"Vida útil da bateria, toques distintos (ver desc.)")</f>
        <v>Vida útil da bateria, toques distintos (ver desc.)</v>
      </c>
      <c r="B58427" s="3">
        <v>1</v>
      </c>
    </row>
    <row r="58428" ht="15.75" customHeight="1" spans="1:2">
      <c r="A58428" s="3" t="str">
        <f>IFERROR(__xludf.DUMMYFUNCTION("GOOGLETRANSLATE(A58428,""en"",""pt"")"),"Barato, bonito, nokia-como o olhar")</f>
        <v>Barato, bonito, nokia-como o olhar</v>
      </c>
      <c r="B58428" s="3">
        <v>1</v>
      </c>
    </row>
    <row r="58429" ht="15.75" customHeight="1" spans="1:2">
      <c r="A58429" s="3" t="str">
        <f>IFERROR(__xludf.DUMMYFUNCTION("GOOGLETRANSLATE(A58429,""en"",""pt"")"),"Poderosos, claro, muitas opções")</f>
        <v>Poderosos, claro, muitas opções</v>
      </c>
      <c r="B58429" s="3">
        <v>1</v>
      </c>
    </row>
    <row r="58430" ht="15.75" customHeight="1" spans="1:2">
      <c r="A58430" s="3" t="str">
        <f>IFERROR(__xludf.DUMMYFUNCTION("GOOGLETRANSLATE(A58430,""en"",""pt"")"),"Boa duração da bateria. clareza chamada é excelente. Fácil de usar")</f>
        <v>Boa duração da bateria. clareza chamada é excelente. Fácil de usar</v>
      </c>
      <c r="B58430" s="3">
        <v>1</v>
      </c>
    </row>
    <row r="58431" ht="15.75" customHeight="1" spans="1:2">
      <c r="A58431" s="3" t="str">
        <f>IFERROR(__xludf.DUMMYFUNCTION("GOOGLETRANSLATE(A58431,""en"",""pt"")"),"Grande telefone, lotes de características, múltiplos anéis, alerta vibratório !!")</f>
        <v>Grande telefone, lotes de características, múltiplos anéis, alerta vibratório !!</v>
      </c>
      <c r="B58431" s="3">
        <v>1</v>
      </c>
    </row>
    <row r="58432" ht="15.75" customHeight="1" spans="1:2">
      <c r="A58432" s="3" t="str">
        <f>IFERROR(__xludf.DUMMYFUNCTION("GOOGLETRANSLATE(A58432,""en"",""pt"")"),"Fácil de usar, cheio de recursos, Long vida útil da bateria em áreas digitais")</f>
        <v>Fácil de usar, cheio de recursos, Long vida útil da bateria em áreas digitais</v>
      </c>
      <c r="B58432" s="3">
        <v>1</v>
      </c>
    </row>
    <row r="58433" ht="15.75" customHeight="1" spans="1:2">
      <c r="A58433" s="3" t="str">
        <f>IFERROR(__xludf.DUMMYFUNCTION("GOOGLETRANSLATE(A58433,""en"",""pt"")"),"Barato, boa bateria, Good OS, característica cheia")</f>
        <v>Barato, boa bateria, Good OS, característica cheia</v>
      </c>
      <c r="B58433" s="3">
        <v>1</v>
      </c>
    </row>
    <row r="58434" ht="15.75" customHeight="1" spans="1:2">
      <c r="A58434" s="3" t="str">
        <f>IFERROR(__xludf.DUMMYFUNCTION("GOOGLETRANSLATE(A58434,""en"",""pt"")"),"Voz Clareza, características, preço")</f>
        <v>Voz Clareza, características, preço</v>
      </c>
      <c r="B58434" s="3">
        <v>1</v>
      </c>
    </row>
    <row r="58435" ht="15.75" customHeight="1" spans="1:2">
      <c r="A58435" s="3" t="str">
        <f>IFERROR(__xludf.DUMMYFUNCTION("GOOGLETRANSLATE(A58435,""en"",""pt"")"),"vibrar, placas de cara, o acesso à web")</f>
        <v>vibrar, placas de cara, o acesso à web</v>
      </c>
      <c r="B58435" s="3">
        <v>1</v>
      </c>
    </row>
    <row r="58436" ht="15.75" customHeight="1" spans="1:2">
      <c r="A58436" s="3" t="str">
        <f>IFERROR(__xludf.DUMMYFUNCTION("GOOGLETRANSLATE(A58436,""en"",""pt"")"),"Preço, características para o preço, disponibilidade de Acessórios")</f>
        <v>Preço, características para o preço, disponibilidade de Acessórios</v>
      </c>
      <c r="B58436" s="3">
        <v>1</v>
      </c>
    </row>
    <row r="58437" ht="15.75" customHeight="1" spans="1:2">
      <c r="A58437" s="3" t="str">
        <f>IFERROR(__xludf.DUMMYFUNCTION("GOOGLETRANSLATE(A58437,""en"",""pt"")"),"Características, tamanho, exibição e conectividade de dados.")</f>
        <v>Características, tamanho, exibição e conectividade de dados.</v>
      </c>
      <c r="B58437" s="3">
        <v>1</v>
      </c>
    </row>
    <row r="58438" ht="15.75" customHeight="1" spans="1:2">
      <c r="A58438" s="3" t="str">
        <f>IFERROR(__xludf.DUMMYFUNCTION("GOOGLETRANSLATE(A58438,""en"",""pt"")"),"Boa qualidade da chamada, sinal forte, bateria de longa duração, leve")</f>
        <v>Boa qualidade da chamada, sinal forte, bateria de longa duração, leve</v>
      </c>
      <c r="B58438" s="3">
        <v>1</v>
      </c>
    </row>
    <row r="58439" ht="15.75" customHeight="1" spans="1:2">
      <c r="A58439" s="3" t="str">
        <f>IFERROR(__xludf.DUMMYFUNCTION("GOOGLETRANSLATE(A58439,""en"",""pt"")"),"Eu amo o telefone com o software que vem carregado. É pequeno, leve, durável.")</f>
        <v>Eu amo o telefone com o software que vem carregado. É pequeno, leve, durável.</v>
      </c>
      <c r="B58439" s="3">
        <v>1</v>
      </c>
    </row>
    <row r="58440" ht="15.75" customHeight="1" spans="1:2">
      <c r="A58440" s="3" t="str">
        <f>IFERROR(__xludf.DUMMYFUNCTION("GOOGLETRANSLATE(A58440,""en"",""pt"")"),"Capacidade de vibrar primeiro, anel, então, bastante durável, muito leve, barato.")</f>
        <v>Capacidade de vibrar primeiro, anel, então, bastante durável, muito leve, barato.</v>
      </c>
      <c r="B58440" s="3">
        <v>1</v>
      </c>
    </row>
    <row r="58441" ht="15.75" customHeight="1" spans="1:2">
      <c r="A58441" s="3" t="str">
        <f>IFERROR(__xludf.DUMMYFUNCTION("GOOGLETRANSLATE(A58441,""en"",""pt"")"),"Lotes de características. Fácil de usar.")</f>
        <v>Lotes de características. Fácil de usar.</v>
      </c>
      <c r="B58441" s="3">
        <v>1</v>
      </c>
    </row>
    <row r="58442" ht="15.75" customHeight="1" spans="1:2">
      <c r="A58442" s="3" t="str">
        <f>IFERROR(__xludf.DUMMYFUNCTION("GOOGLETRANSLATE(A58442,""en"",""pt"")"),"Grande sinal.")</f>
        <v>Grande sinal.</v>
      </c>
      <c r="B58442" s="3">
        <v>1</v>
      </c>
    </row>
    <row r="58443" ht="15.75" customHeight="1" spans="1:2">
      <c r="A58443" s="3" t="str">
        <f>IFERROR(__xludf.DUMMYFUNCTION("GOOGLETRANSLATE(A58443,""en"",""pt"")"),"Leve, grandes recursos, compacto, claro LCD e som, fácil de usar com instrução mínima")</f>
        <v>Leve, grandes recursos, compacto, claro LCD e som, fácil de usar com instrução mínima</v>
      </c>
      <c r="B58443" s="3">
        <v>1</v>
      </c>
    </row>
    <row r="58444" ht="15.75" customHeight="1" spans="1:2">
      <c r="A58444" s="3" t="str">
        <f>IFERROR(__xludf.DUMMYFUNCTION("GOOGLETRANSLATE(A58444,""en"",""pt"")"),"Tamanho grande, durável, fácil de descobrir.")</f>
        <v>Tamanho grande, durável, fácil de descobrir.</v>
      </c>
      <c r="B58444" s="3">
        <v>1</v>
      </c>
    </row>
    <row r="58445" ht="15.75" customHeight="1" spans="1:2">
      <c r="A58445" s="3" t="str">
        <f>IFERROR(__xludf.DUMMYFUNCTION("GOOGLETRANSLATE(A58445,""en"",""pt"")"),"Um bom telefone com características muito acessível e fácil sistema de navegação.")</f>
        <v>Um bom telefone com características muito acessível e fácil sistema de navegação.</v>
      </c>
      <c r="B58445" s="3">
        <v>1</v>
      </c>
    </row>
    <row r="58446" ht="15.75" customHeight="1" spans="1:2">
      <c r="A58446" s="3" t="str">
        <f>IFERROR(__xludf.DUMMYFUNCTION("GOOGLETRANSLATE(A58446,""en"",""pt"")"),"Excelente recepção, fácil de usar")</f>
        <v>Excelente recepção, fácil de usar</v>
      </c>
      <c r="B58446" s="3">
        <v>1</v>
      </c>
    </row>
    <row r="58447" ht="15.75" customHeight="1" spans="1:2">
      <c r="A58447" s="3" t="str">
        <f>IFERROR(__xludf.DUMMYFUNCTION("GOOGLETRANSLATE(A58447,""en"",""pt"")"),"vida útil da bateria, características, durável")</f>
        <v>vida útil da bateria, características, durável</v>
      </c>
      <c r="B58447" s="3">
        <v>1</v>
      </c>
    </row>
    <row r="58448" ht="15.75" customHeight="1" spans="1:2">
      <c r="A58448" s="3" t="str">
        <f>IFERROR(__xludf.DUMMYFUNCTION("GOOGLETRANSLATE(A58448,""en"",""pt"")"),"CDMA, LGC330W")</f>
        <v>CDMA, LGC330W</v>
      </c>
      <c r="B58448" s="3">
        <v>1</v>
      </c>
    </row>
    <row r="58449" ht="15.75" customHeight="1" spans="1:2">
      <c r="A58449" s="3" t="str">
        <f>IFERROR(__xludf.DUMMYFUNCTION("GOOGLETRANSLATE(A58449,""en"",""pt"")"),"Leve, pequeno, Bom Tempo de conversa")</f>
        <v>Leve, pequeno, Bom Tempo de conversa</v>
      </c>
      <c r="B58449" s="3">
        <v>1</v>
      </c>
    </row>
    <row r="58450" ht="15.75" customHeight="1" spans="1:2">
      <c r="A58450" s="3" t="str">
        <f>IFERROR(__xludf.DUMMYFUNCTION("GOOGLETRANSLATE(A58450,""en"",""pt"")"),"Confiável, leve, elegante e durável.")</f>
        <v>Confiável, leve, elegante e durável.</v>
      </c>
      <c r="B58450" s="3">
        <v>1</v>
      </c>
    </row>
    <row r="58451" ht="15.75" customHeight="1" spans="1:2">
      <c r="A58451" s="3" t="str">
        <f>IFERROR(__xludf.DUMMYFUNCTION("GOOGLETRANSLATE(A58451,""en"",""pt"")"),"longa vida, claro, muitas características, modo de toque de vibração")</f>
        <v>longa vida, claro, muitas características, modo de toque de vibração</v>
      </c>
      <c r="B58451" s="3">
        <v>1</v>
      </c>
    </row>
    <row r="58452" ht="15.75" customHeight="1" spans="1:2">
      <c r="A58452" s="3" t="s">
        <v>317</v>
      </c>
      <c r="B58452" s="3">
        <v>1</v>
      </c>
    </row>
    <row r="58453" ht="15.75" customHeight="1" spans="1:2">
      <c r="A58453" s="3" t="str">
        <f>IFERROR(__xludf.DUMMYFUNCTION("GOOGLETRANSLATE(A58453,""en"",""pt"")"),"Durável, fácil de usar. Grandes botões legível. -Flip estilo fácil de desligar.")</f>
        <v>Durável, fácil de usar. Grandes botões legível. -Flip estilo fácil de desligar.</v>
      </c>
      <c r="B58453" s="3">
        <v>1</v>
      </c>
    </row>
    <row r="58454" ht="15.75" customHeight="1" spans="1:2">
      <c r="A58454" s="3" t="str">
        <f>IFERROR(__xludf.DUMMYFUNCTION("GOOGLETRANSLATE(A58454,""en"",""pt"")"),"o tamanho do telefone / forma / peso. A vida da bateria")</f>
        <v>o tamanho do telefone / forma / peso. A vida da bateria</v>
      </c>
      <c r="B58454" s="3">
        <v>1</v>
      </c>
    </row>
    <row r="58455" ht="15.75" customHeight="1" spans="1:2">
      <c r="A58455" s="3" t="str">
        <f>IFERROR(__xludf.DUMMYFUNCTION("GOOGLETRANSLATE(A58455,""en"",""pt"")"),"Resistente, boas características, fácil de usar e barato.")</f>
        <v>Resistente, boas características, fácil de usar e barato.</v>
      </c>
      <c r="B58455" s="3">
        <v>1</v>
      </c>
    </row>
    <row r="58456" ht="15.75" customHeight="1" spans="1:2">
      <c r="A58456" s="3" t="str">
        <f>IFERROR(__xludf.DUMMYFUNCTION("GOOGLETRANSLATE(A58456,""en"",""pt"")"),"Muito compacto; pode operar como um telefone não-flip; mensagem de texto")</f>
        <v>Muito compacto; pode operar como um telefone não-flip; mensagem de texto</v>
      </c>
      <c r="B58456" s="3">
        <v>1</v>
      </c>
    </row>
    <row r="58457" ht="15.75" customHeight="1" spans="1:2">
      <c r="A58457" s="3" t="str">
        <f>IFERROR(__xludf.DUMMYFUNCTION("GOOGLETRANSLATE(A58457,""en"",""pt"")"),"mantém números muito acessível")</f>
        <v>mantém números muito acessível</v>
      </c>
      <c r="B58457" s="3">
        <v>1</v>
      </c>
    </row>
    <row r="58458" ht="15.75" customHeight="1" spans="1:2">
      <c r="A58458" s="3" t="str">
        <f>IFERROR(__xludf.DUMMYFUNCTION("GOOGLETRANSLATE(A58458,""en"",""pt"")"),"Tudo")</f>
        <v>Tudo</v>
      </c>
      <c r="B58458" s="3">
        <v>1</v>
      </c>
    </row>
    <row r="58459" ht="15.75" customHeight="1" spans="1:2">
      <c r="A58459" s="3" t="str">
        <f>IFERROR(__xludf.DUMMYFUNCTION("GOOGLETRANSLATE(A58459,""en"",""pt"")"),"Tamanho pequeno")</f>
        <v>Tamanho pequeno</v>
      </c>
      <c r="B58459" s="3">
        <v>1</v>
      </c>
    </row>
    <row r="58460" ht="15.75" customHeight="1" spans="1:2">
      <c r="A58460" s="3" t="str">
        <f>IFERROR(__xludf.DUMMYFUNCTION("GOOGLETRANSLATE(A58460,""en"",""pt"")"),"Compacto e elegante, tem um bom desempenho")</f>
        <v>Compacto e elegante, tem um bom desempenho</v>
      </c>
      <c r="B58460" s="3">
        <v>1</v>
      </c>
    </row>
    <row r="58461" ht="15.75" customHeight="1" spans="1:2">
      <c r="A58461" s="3" t="str">
        <f>IFERROR(__xludf.DUMMYFUNCTION("GOOGLETRANSLATE(A58461,""en"",""pt"")"),"Muitos recursos, pequeno")</f>
        <v>Muitos recursos, pequeno</v>
      </c>
      <c r="B58461" s="3">
        <v>1</v>
      </c>
    </row>
    <row r="58462" ht="15.75" customHeight="1" spans="1:2">
      <c r="A58462" s="3" t="str">
        <f>IFERROR(__xludf.DUMMYFUNCTION("GOOGLETRANSLATE(A58462,""en"",""pt"")"),"Toneladas de recursos para o $$$")</f>
        <v>Toneladas de recursos para o $$$</v>
      </c>
      <c r="B58462" s="3">
        <v>1</v>
      </c>
    </row>
    <row r="58463" ht="15.75" customHeight="1" spans="1:2">
      <c r="A58463" s="3" t="str">
        <f>IFERROR(__xludf.DUMMYFUNCTION("GOOGLETRANSLATE(A58463,""en"",""pt"")"),"Fácil de usar, boa recepção, queda de carregamento, vibrar")</f>
        <v>Fácil de usar, boa recepção, queda de carregamento, vibrar</v>
      </c>
      <c r="B58463" s="3">
        <v>1</v>
      </c>
    </row>
    <row r="58464" ht="15.75" customHeight="1" spans="1:2">
      <c r="A58464" s="3" t="str">
        <f>IFERROR(__xludf.DUMMYFUNCTION("GOOGLETRANSLATE(A58464,""en"",""pt"")"),"Excelente recepção e recebe todas as chamadas")</f>
        <v>Excelente recepção e recebe todas as chamadas</v>
      </c>
      <c r="B58464" s="3">
        <v>1</v>
      </c>
    </row>
    <row r="58465" ht="15.75" customHeight="1" spans="1:2">
      <c r="A58465" s="3" t="str">
        <f>IFERROR(__xludf.DUMMYFUNCTION("GOOGLETRANSLATE(A58465,""en"",""pt"")"),"Fácil de usar, durável, divertido")</f>
        <v>Fácil de usar, durável, divertido</v>
      </c>
      <c r="B58465" s="3">
        <v>1</v>
      </c>
    </row>
    <row r="58466" ht="15.75" customHeight="1" spans="1:2">
      <c r="A58466" s="3" t="str">
        <f>IFERROR(__xludf.DUMMYFUNCTION("GOOGLETRANSLATE(A58466,""en"",""pt"")"),"Fácil de ler o rosto -user amigável- recepção muito clara")</f>
        <v>Fácil de ler o rosto -user amigável- recepção muito clara</v>
      </c>
      <c r="B58466" s="3">
        <v>1</v>
      </c>
    </row>
    <row r="58467" ht="15.75" customHeight="1" spans="1:2">
      <c r="A58467" s="3" t="str">
        <f>IFERROR(__xludf.DUMMYFUNCTION("GOOGLETRANSLATE(A58467,""en"",""pt"")"),"Durável, confiável, grande recepção")</f>
        <v>Durável, confiável, grande recepção</v>
      </c>
      <c r="B58467" s="3">
        <v>1</v>
      </c>
    </row>
    <row r="58468" ht="15.75" customHeight="1" spans="1:2">
      <c r="A58468" s="3" t="str">
        <f>IFERROR(__xludf.DUMMYFUNCTION("GOOGLETRANSLATE(A58468,""en"",""pt"")"),"compacto, barato, conjunto de recursos decente")</f>
        <v>compacto, barato, conjunto de recursos decente</v>
      </c>
      <c r="B58468" s="3">
        <v>1</v>
      </c>
    </row>
    <row r="58469" ht="15.75" customHeight="1" spans="1:2">
      <c r="A58469" s="3" t="str">
        <f>IFERROR(__xludf.DUMMYFUNCTION("GOOGLETRANSLATE(A58469,""en"",""pt"")"),"Bom tamanho, muitos recursos, fácil de usar")</f>
        <v>Bom tamanho, muitos recursos, fácil de usar</v>
      </c>
      <c r="B58469" s="3">
        <v>1</v>
      </c>
    </row>
    <row r="58470" ht="15.75" customHeight="1" spans="1:2">
      <c r="A58470" s="3" t="str">
        <f>IFERROR(__xludf.DUMMYFUNCTION("GOOGLETRANSLATE(A58470,""en"",""pt"")"),"grandes recursos")</f>
        <v>grandes recursos</v>
      </c>
      <c r="B58470" s="3">
        <v>1</v>
      </c>
    </row>
    <row r="58471" ht="15.75" customHeight="1" spans="1:2">
      <c r="A58471" s="3" t="str">
        <f>IFERROR(__xludf.DUMMYFUNCTION("GOOGLETRANSLATE(A58471,""en"",""pt"")"),"Alerta vibratório, Serviço Digital &amp; amp; Chamador I.D.")</f>
        <v>Alerta vibratório, Serviço Digital &amp; amp; Chamador I.D.</v>
      </c>
      <c r="B58471" s="3">
        <v>1</v>
      </c>
    </row>
    <row r="58472" ht="15.75" customHeight="1" spans="1:2">
      <c r="A58472" s="3" t="str">
        <f>IFERROR(__xludf.DUMMYFUNCTION("GOOGLETRANSLATE(A58472,""en"",""pt"")"),"Grande autonomia da bateria, durabilidade")</f>
        <v>Grande autonomia da bateria, durabilidade</v>
      </c>
      <c r="B58472" s="3">
        <v>1</v>
      </c>
    </row>
    <row r="58473" ht="15.75" customHeight="1" spans="1:2">
      <c r="A58473" s="3" t="str">
        <f>IFERROR(__xludf.DUMMYFUNCTION("GOOGLETRANSLATE(A58473,""en"",""pt"")"),"Aleta chaves fechaduras tampa,")</f>
        <v>Aleta chaves fechaduras tampa,</v>
      </c>
      <c r="B58473" s="3">
        <v>1</v>
      </c>
    </row>
    <row r="58474" ht="15.75" customHeight="1" spans="1:2">
      <c r="A58474" s="3" t="str">
        <f>IFERROR(__xludf.DUMMYFUNCTION("GOOGLETRANSLATE(A58474,""en"",""pt"")"),"clareza, duração da bateria")</f>
        <v>clareza, duração da bateria</v>
      </c>
      <c r="B58474" s="3">
        <v>1</v>
      </c>
    </row>
    <row r="58475" ht="15.75" customHeight="1" spans="1:2">
      <c r="A58475" s="3" t="str">
        <f>IFERROR(__xludf.DUMMYFUNCTION("GOOGLETRANSLATE(A58475,""en"",""pt"")"),"Bem construído com preços razoáveis ​​telefone de modo duplo. Tem me durou quase dois anos.")</f>
        <v>Bem construído com preços razoáveis ​​telefone de modo duplo. Tem me durou quase dois anos.</v>
      </c>
      <c r="B58475" s="3">
        <v>1</v>
      </c>
    </row>
    <row r="58476" ht="15.75" customHeight="1" spans="1:2">
      <c r="A58476" s="3" t="str">
        <f>IFERROR(__xludf.DUMMYFUNCTION("GOOGLETRANSLATE(A58476,""en"",""pt"")"),"tamanho, fácil de usar")</f>
        <v>tamanho, fácil de usar</v>
      </c>
      <c r="B58476" s="3">
        <v>1</v>
      </c>
    </row>
    <row r="58477" ht="15.75" customHeight="1" spans="1:2">
      <c r="A58477" s="3" t="str">
        <f>IFERROR(__xludf.DUMMYFUNCTION("GOOGLETRANSLATE(A58477,""en"",""pt"")"),"tempo de conversação longa, preço barato")</f>
        <v>tempo de conversação longa, preço barato</v>
      </c>
      <c r="B58477" s="3">
        <v>1</v>
      </c>
    </row>
    <row r="58478" ht="15.75" customHeight="1" spans="1:2">
      <c r="A58478" s="3" t="str">
        <f>IFERROR(__xludf.DUMMYFUNCTION("GOOGLETRANSLATE(A58478,""en"",""pt"")"),"Tamanho e características")</f>
        <v>Tamanho e características</v>
      </c>
      <c r="B58478" s="3">
        <v>1</v>
      </c>
    </row>
    <row r="58479" ht="15.75" customHeight="1" spans="1:2">
      <c r="A58479" s="3" t="str">
        <f>IFERROR(__xludf.DUMMYFUNCTION("GOOGLETRANSLATE(A58479,""en"",""pt"")"),"Clareza, a vida da bateria")</f>
        <v>Clareza, a vida da bateria</v>
      </c>
      <c r="B58479" s="3">
        <v>1</v>
      </c>
    </row>
    <row r="58480" ht="15.75" customHeight="1" spans="1:2">
      <c r="A58480" s="3" t="str">
        <f>IFERROR(__xludf.DUMMYFUNCTION("GOOGLETRANSLATE(A58480,""en"",""pt"")"),"Tamanho pequeno.")</f>
        <v>Tamanho pequeno.</v>
      </c>
      <c r="B58480" s="3">
        <v>1</v>
      </c>
    </row>
    <row r="58481" ht="15.75" customHeight="1" spans="1:2">
      <c r="A58481" s="3" t="str">
        <f>IFERROR(__xludf.DUMMYFUNCTION("GOOGLETRANSLATE(A58481,""en"",""pt"")"),"Boa aparência, de baixo custo e boas características")</f>
        <v>Boa aparência, de baixo custo e boas características</v>
      </c>
      <c r="B58481" s="3">
        <v>1</v>
      </c>
    </row>
    <row r="58482" ht="15.75" customHeight="1" spans="1:2">
      <c r="A58482" s="3" t="str">
        <f>IFERROR(__xludf.DUMMYFUNCTION("GOOGLETRANSLATE(A58482,""en"",""pt"")"),"Disponível em várias cores elegantes; uma boa escolha para a emergência e uso ocasional.")</f>
        <v>Disponível em várias cores elegantes; uma boa escolha para a emergência e uso ocasional.</v>
      </c>
      <c r="B58482" s="3">
        <v>1</v>
      </c>
    </row>
    <row r="58483" ht="15.75" customHeight="1" spans="1:2">
      <c r="A58483" s="3" t="str">
        <f>IFERROR(__xludf.DUMMYFUNCTION("GOOGLETRANSLATE(A58483,""en"",""pt"")"),"Conveniência, uso de emergência")</f>
        <v>Conveniência, uso de emergência</v>
      </c>
      <c r="B58483" s="3">
        <v>1</v>
      </c>
    </row>
    <row r="58484" ht="15.75" customHeight="1" spans="1:2">
      <c r="A58484" s="3" t="str">
        <f>IFERROR(__xludf.DUMMYFUNCTION("GOOGLETRANSLATE(A58484,""en"",""pt"")"),"pequeno, telefone durável tem controle de volume e se encaixa na minha bolsa!")</f>
        <v>pequeno, telefone durável tem controle de volume e se encaixa na minha bolsa!</v>
      </c>
      <c r="B58484" s="3">
        <v>1</v>
      </c>
    </row>
    <row r="58485" ht="15.75" customHeight="1" spans="1:2">
      <c r="A58485" s="3" t="str">
        <f>IFERROR(__xludf.DUMMYFUNCTION("GOOGLETRANSLATE(A58485,""en"",""pt"")"),"Magro, muitos recursos para preço")</f>
        <v>Magro, muitos recursos para preço</v>
      </c>
      <c r="B58485" s="3">
        <v>1</v>
      </c>
    </row>
    <row r="58486" ht="15.75" customHeight="1" spans="1:2">
      <c r="A58486" s="3" t="str">
        <f>IFERROR(__xludf.DUMMYFUNCTION("GOOGLETRANSLATE(A58486,""en"",""pt"")"),"leve, cabe no bolso ou na bolsa, fácil de programar e usar")</f>
        <v>leve, cabe no bolso ou na bolsa, fácil de programar e usar</v>
      </c>
      <c r="B58486" s="3">
        <v>1</v>
      </c>
    </row>
    <row r="58487" ht="15.75" customHeight="1" spans="1:2">
      <c r="A58487" s="3" t="str">
        <f>IFERROR(__xludf.DUMMYFUNCTION("GOOGLETRANSLATE(A58487,""en"",""pt"")"),"Fornece todas as funções básicas de um telefone celular.")</f>
        <v>Fornece todas as funções básicas de um telefone celular.</v>
      </c>
      <c r="B58487" s="3">
        <v>1</v>
      </c>
    </row>
    <row r="58488" ht="15.75" customHeight="1" spans="1:2">
      <c r="A58488" s="3" t="str">
        <f>IFERROR(__xludf.DUMMYFUNCTION("GOOGLETRANSLATE(A58488,""en"",""pt"")"),"Fiável e fácil de usar")</f>
        <v>Fiável e fácil de usar</v>
      </c>
      <c r="B58488" s="3">
        <v>1</v>
      </c>
    </row>
    <row r="58489" ht="15.75" customHeight="1" spans="1:2">
      <c r="A58489" s="3" t="str">
        <f>IFERROR(__xludf.DUMMYFUNCTION("GOOGLETRANSLATE(A58489,""en"",""pt"")"),"Compacto, acessível e fácil de usar")</f>
        <v>Compacto, acessível e fácil de usar</v>
      </c>
      <c r="B58489" s="3">
        <v>1</v>
      </c>
    </row>
    <row r="58490" ht="15.75" customHeight="1" spans="1:2">
      <c r="A58490" s="3" t="str">
        <f>IFERROR(__xludf.DUMMYFUNCTION("GOOGLETRANSLATE(A58490,""en"",""pt"")"),"leve, confiável, excelente clareza")</f>
        <v>leve, confiável, excelente clareza</v>
      </c>
      <c r="B58490" s="3">
        <v>1</v>
      </c>
    </row>
    <row r="58491" ht="15.75" customHeight="1" spans="1:2">
      <c r="A58491" s="3" t="str">
        <f>IFERROR(__xludf.DUMMYFUNCTION("GOOGLETRANSLATE(A58491,""en"",""pt"")"),"Confiança, bem feitas, grandes recursos, GRÁTIS!")</f>
        <v>Confiança, bem feitas, grandes recursos, GRÁTIS!</v>
      </c>
      <c r="B58491" s="3">
        <v>1</v>
      </c>
    </row>
    <row r="58492" ht="15.75" customHeight="1" spans="1:2">
      <c r="A58492" s="3" t="str">
        <f>IFERROR(__xludf.DUMMYFUNCTION("GOOGLETRANSLATE(A58492,""en"",""pt"")"),"Comparar com outros modelos, o mais barato e faz o trabalho para preço locador")</f>
        <v>Comparar com outros modelos, o mais barato e faz o trabalho para preço locador</v>
      </c>
      <c r="B58492" s="3">
        <v>1</v>
      </c>
    </row>
    <row r="58493" ht="15.75" customHeight="1" spans="1:2">
      <c r="A58493" s="3" t="str">
        <f>IFERROR(__xludf.DUMMYFUNCTION("GOOGLETRANSLATE(A58493,""en"",""pt"")"),"pequenos, duráveis, muitas opções")</f>
        <v>pequenos, duráveis, muitas opções</v>
      </c>
      <c r="B58493" s="3">
        <v>1</v>
      </c>
    </row>
    <row r="58494" ht="15.75" customHeight="1" spans="1:2">
      <c r="A58494" s="3" t="str">
        <f>IFERROR(__xludf.DUMMYFUNCTION("GOOGLETRANSLATE(A58494,""en"",""pt"")"),"$ 7,99 / mês para mantê-lo ativado!")</f>
        <v>$ 7,99 / mês para mantê-lo ativado!</v>
      </c>
      <c r="B58494" s="3">
        <v>1</v>
      </c>
    </row>
    <row r="58495" ht="15.75" customHeight="1" spans="1:2">
      <c r="A58495" s="3" t="str">
        <f>IFERROR(__xludf.DUMMYFUNCTION("GOOGLETRANSLATE(A58495,""en"",""pt"")"),"Telefone é leve (cerca de sete onças), e fácil de usar; não muito compacto")</f>
        <v>Telefone é leve (cerca de sete onças), e fácil de usar; não muito compacto</v>
      </c>
      <c r="B58495" s="3">
        <v>1</v>
      </c>
    </row>
    <row r="58496" ht="15.75" customHeight="1" spans="1:2">
      <c r="A58496" s="3" t="str">
        <f>IFERROR(__xludf.DUMMYFUNCTION("GOOGLETRANSLATE(A58496,""en"",""pt"")"),"Sem contratos, sem contas monthy, você só pode usar o que você paga.")</f>
        <v>Sem contratos, sem contas monthy, você só pode usar o que você paga.</v>
      </c>
      <c r="B58496" s="3">
        <v>1</v>
      </c>
    </row>
    <row r="58497" ht="15.75" customHeight="1" spans="1:2">
      <c r="A58497" s="3" t="str">
        <f>IFERROR(__xludf.DUMMYFUNCTION("GOOGLETRANSLATE(A58497,""en"",""pt"")"),"Suporta abuso, excelente recepção, cabe no bolso, anel voz alta, fácil de usar, excelente voz-pick-up,")</f>
        <v>Suporta abuso, excelente recepção, cabe no bolso, anel voz alta, fácil de usar, excelente voz-pick-up,</v>
      </c>
      <c r="B58497" s="3">
        <v>1</v>
      </c>
    </row>
    <row r="58498" ht="15.75" customHeight="1" spans="1:2">
      <c r="A58498" s="3" t="str">
        <f>IFERROR(__xludf.DUMMYFUNCTION("GOOGLETRANSLATE(A58498,""en"",""pt"")"),"Magro, vários recursos")</f>
        <v>Magro, vários recursos</v>
      </c>
      <c r="B58498" s="3">
        <v>1</v>
      </c>
    </row>
    <row r="58499" ht="15.75" customHeight="1" spans="1:2">
      <c r="A58499" s="3" t="str">
        <f>IFERROR(__xludf.DUMMYFUNCTION("GOOGLETRANSLATE(A58499,""en"",""pt"")"),"Durabilidade, confiabilidade, tamanho, preço. . .")</f>
        <v>Durabilidade, confiabilidade, tamanho, preço. . .</v>
      </c>
      <c r="B58499" s="3">
        <v>1</v>
      </c>
    </row>
    <row r="58500" ht="15.75" customHeight="1" spans="1:2">
      <c r="A58500" s="3" t="str">
        <f>IFERROR(__xludf.DUMMYFUNCTION("GOOGLETRANSLATE(A58500,""en"",""pt"")"),"Ele pode sobreviver a um alto grau de abuso")</f>
        <v>Ele pode sobreviver a um alto grau de abuso</v>
      </c>
      <c r="B58500" s="3">
        <v>1</v>
      </c>
    </row>
    <row r="58501" ht="15.75" customHeight="1" spans="1:2">
      <c r="A58501" s="3" t="str">
        <f>IFERROR(__xludf.DUMMYFUNCTION("GOOGLETRANSLATE(A58501,""en"",""pt"")"),"nenhuma conta mensal !!")</f>
        <v>nenhuma conta mensal !!</v>
      </c>
      <c r="B58501" s="3">
        <v>1</v>
      </c>
    </row>
    <row r="58502" ht="15.75" customHeight="1" spans="1:2">
      <c r="A58502" s="3" t="str">
        <f>IFERROR(__xludf.DUMMYFUNCTION("GOOGLETRANSLATE(A58502,""en"",""pt"")"),"durável, leve, possui uma carga durante todo o dia")</f>
        <v>durável, leve, possui uma carga durante todo o dia</v>
      </c>
      <c r="B58502" s="3">
        <v>1</v>
      </c>
    </row>
    <row r="58503" ht="15.75" customHeight="1" spans="1:2">
      <c r="A58503" s="3" t="str">
        <f>IFERROR(__xludf.DUMMYFUNCTION("GOOGLETRANSLATE(A58503,""en"",""pt"")"),"Simples e fácil de usar")</f>
        <v>Simples e fácil de usar</v>
      </c>
      <c r="B58503" s="3">
        <v>1</v>
      </c>
    </row>
    <row r="58504" ht="15.75" customHeight="1" spans="1:2">
      <c r="A58504" s="3" t="str">
        <f>IFERROR(__xludf.DUMMYFUNCTION("GOOGLETRANSLATE(A58504,""en"",""pt"")"),"Grande recepção para um usuário regular.")</f>
        <v>Grande recepção para um usuário regular.</v>
      </c>
      <c r="B58504" s="3">
        <v>1</v>
      </c>
    </row>
    <row r="58505" ht="15.75" customHeight="1" spans="1:2">
      <c r="A58505" s="3" t="str">
        <f>IFERROR(__xludf.DUMMYFUNCTION("GOOGLETRANSLATE(A58505,""en"",""pt"")"),"fino, leve, clareza de som confiável, deus")</f>
        <v>fino, leve, clareza de som confiável, deus</v>
      </c>
      <c r="B58505" s="3">
        <v>1</v>
      </c>
    </row>
    <row r="58506" ht="15.75" customHeight="1" spans="1:2">
      <c r="A58506" s="3" t="str">
        <f>IFERROR(__xludf.DUMMYFUNCTION("GOOGLETRANSLATE(A58506,""en"",""pt"")"),"inexspensive, anéis diferentes, fácil de usar")</f>
        <v>inexspensive, anéis diferentes, fácil de usar</v>
      </c>
      <c r="B58506" s="3">
        <v>1</v>
      </c>
    </row>
    <row r="58507" ht="15.75" customHeight="1" spans="1:2">
      <c r="A58507" s="3" t="str">
        <f>IFERROR(__xludf.DUMMYFUNCTION("GOOGLETRANSLATE(A58507,""en"",""pt"")"),"barato, de aparência agradável, nome e programação número")</f>
        <v>barato, de aparência agradável, nome e programação número</v>
      </c>
      <c r="B58507" s="3">
        <v>1</v>
      </c>
    </row>
    <row r="58508" ht="15.75" customHeight="1" spans="1:2">
      <c r="A58508" s="3" t="str">
        <f>IFERROR(__xludf.DUMMYFUNCTION("GOOGLETRANSLATE(A58508,""en"",""pt"")"),"Tudo")</f>
        <v>Tudo</v>
      </c>
      <c r="B58508" s="3">
        <v>1</v>
      </c>
    </row>
    <row r="58509" ht="15.75" customHeight="1" spans="1:2">
      <c r="A58509" s="3" t="str">
        <f>IFERROR(__xludf.DUMMYFUNCTION("GOOGLETRANSLATE(A58509,""en"",""pt"")"),"Confiável, durável")</f>
        <v>Confiável, durável</v>
      </c>
      <c r="B58509" s="3">
        <v>1</v>
      </c>
    </row>
    <row r="58510" ht="15.75" customHeight="1" spans="1:2">
      <c r="A58510" s="3" t="str">
        <f>IFERROR(__xludf.DUMMYFUNCTION("GOOGLETRANSLATE(A58510,""en"",""pt"")"),"Leve, fácil de usar")</f>
        <v>Leve, fácil de usar</v>
      </c>
      <c r="B58510" s="3">
        <v>1</v>
      </c>
    </row>
    <row r="58511" ht="15.75" customHeight="1" spans="1:2">
      <c r="A58511" s="3" t="str">
        <f>IFERROR(__xludf.DUMMYFUNCTION("GOOGLETRANSLATE(A58511,""en"",""pt"")"),"Ótimo telefone para ter ...")</f>
        <v>Ótimo telefone para ter ...</v>
      </c>
      <c r="B58511" s="3">
        <v>1</v>
      </c>
    </row>
    <row r="58512" ht="15.75" customHeight="1" spans="1:2">
      <c r="A58512" s="3" t="str">
        <f>IFERROR(__xludf.DUMMYFUNCTION("GOOGLETRANSLATE(A58512,""en"",""pt"")"),"sem taxas mensais, bateria de longa duração, design atraente, durável")</f>
        <v>sem taxas mensais, bateria de longa duração, design atraente, durável</v>
      </c>
      <c r="B58512" s="3">
        <v>1</v>
      </c>
    </row>
    <row r="58513" ht="15.75" customHeight="1" spans="1:2">
      <c r="A58513" s="3" t="str">
        <f>IFERROR(__xludf.DUMMYFUNCTION("GOOGLETRANSLATE(A58513,""en"",""pt"")"),"Durável")</f>
        <v>Durável</v>
      </c>
      <c r="B58513" s="3">
        <v>1</v>
      </c>
    </row>
    <row r="58514" ht="15.75" customHeight="1" spans="1:2">
      <c r="A58514" s="3" t="str">
        <f>IFERROR(__xludf.DUMMYFUNCTION("GOOGLETRANSLATE(A58514,""en"",""pt"")"),"Pequeno, compacto &amp; amp; fácil de usar")</f>
        <v>Pequeno, compacto &amp; amp; fácil de usar</v>
      </c>
      <c r="B58514" s="3">
        <v>1</v>
      </c>
    </row>
    <row r="58515" ht="15.75" customHeight="1" spans="1:2">
      <c r="A58515" s="3" t="str">
        <f>IFERROR(__xludf.DUMMYFUNCTION("GOOGLETRANSLATE(A58515,""en"",""pt"")"),"compacta, não muito pequeno, acessível, durável")</f>
        <v>compacta, não muito pequeno, acessível, durável</v>
      </c>
      <c r="B58515" s="3">
        <v>1</v>
      </c>
    </row>
    <row r="58516" ht="15.75" customHeight="1" spans="1:2">
      <c r="A58516" s="3" t="str">
        <f>IFERROR(__xludf.DUMMYFUNCTION("GOOGLETRANSLATE(A58516,""en"",""pt"")"),"muito durável, extremamente claro")</f>
        <v>muito durável, extremamente claro</v>
      </c>
      <c r="B58516" s="3">
        <v>1</v>
      </c>
    </row>
    <row r="58517" ht="15.75" customHeight="1" spans="1:2">
      <c r="A58517" s="3" t="str">
        <f>IFERROR(__xludf.DUMMYFUNCTION("GOOGLETRANSLATE(A58517,""en"",""pt"")"),"Eu simplesmente amo este telefone")</f>
        <v>Eu simplesmente amo este telefone</v>
      </c>
      <c r="B58517" s="3">
        <v>1</v>
      </c>
    </row>
    <row r="58518" ht="15.75" customHeight="1" spans="1:2">
      <c r="A58518" s="3" t="str">
        <f>IFERROR(__xludf.DUMMYFUNCTION("GOOGLETRANSLATE(A58518,""en"",""pt"")"),"Acessível, confiável")</f>
        <v>Acessível, confiável</v>
      </c>
      <c r="B58518" s="3">
        <v>1</v>
      </c>
    </row>
    <row r="58519" ht="15.75" customHeight="1" spans="1:2">
      <c r="A58519" s="3" t="str">
        <f>IFERROR(__xludf.DUMMYFUNCTION("GOOGLETRANSLATE(A58519,""en"",""pt"")"),"Ele se encaixa na minha bolsa, Isto é melhor do que nenhum telefone em todos")</f>
        <v>Ele se encaixa na minha bolsa, Isto é melhor do que nenhum telefone em todos</v>
      </c>
      <c r="B58519" s="3">
        <v>1</v>
      </c>
    </row>
    <row r="58520" ht="15.75" customHeight="1" spans="1:2">
      <c r="A58520" s="3" t="str">
        <f>IFERROR(__xludf.DUMMYFUNCTION("GOOGLETRANSLATE(A58520,""en"",""pt"")"),"Menu fácil de usar, construção robusta")</f>
        <v>Menu fácil de usar, construção robusta</v>
      </c>
      <c r="B58520" s="3">
        <v>1</v>
      </c>
    </row>
    <row r="58521" ht="15.75" customHeight="1" spans="1:2">
      <c r="A58521" s="3" t="str">
        <f>IFERROR(__xludf.DUMMYFUNCTION("GOOGLETRANSLATE(A58521,""en"",""pt"")"),"Funções Bem, durável, excelente menu, aparência agradável")</f>
        <v>Funções Bem, durável, excelente menu, aparência agradável</v>
      </c>
      <c r="B58521" s="3">
        <v>1</v>
      </c>
    </row>
    <row r="58522" ht="15.75" customHeight="1" spans="1:2">
      <c r="A58522" s="3" t="str">
        <f>IFERROR(__xludf.DUMMYFUNCTION("GOOGLETRANSLATE(A58522,""en"",""pt"")"),"Fácil de programa, opção pré-pago")</f>
        <v>Fácil de programa, opção pré-pago</v>
      </c>
      <c r="B58522" s="3">
        <v>1</v>
      </c>
    </row>
    <row r="58523" ht="15.75" customHeight="1" spans="1:2">
      <c r="A58523" s="3" t="str">
        <f>IFERROR(__xludf.DUMMYFUNCTION("GOOGLETRANSLATE(A58523,""en"",""pt"")"),"grande, recepção clara")</f>
        <v>grande, recepção clara</v>
      </c>
      <c r="B58523" s="3">
        <v>1</v>
      </c>
    </row>
    <row r="58524" ht="15.75" customHeight="1" spans="1:2">
      <c r="A58524" s="3" t="str">
        <f>IFERROR(__xludf.DUMMYFUNCTION("GOOGLETRANSLATE(A58524,""en"",""pt"")"),"Alto. Claro. Longo batt. vida. *livre*.")</f>
        <v>Alto. Claro. Longo batt. vida. *livre*.</v>
      </c>
      <c r="B58524" s="3">
        <v>1</v>
      </c>
    </row>
    <row r="58525" ht="15.75" customHeight="1" spans="1:2">
      <c r="A58525" s="3" t="str">
        <f>IFERROR(__xludf.DUMMYFUNCTION("GOOGLETRANSLATE(A58525,""en"",""pt"")"),"Grande telefone. Permanece carregado por um longo período de tempo. Preço baixo.")</f>
        <v>Grande telefone. Permanece carregado por um longo período de tempo. Preço baixo.</v>
      </c>
      <c r="B58525" s="3">
        <v>1</v>
      </c>
    </row>
    <row r="58526" ht="15.75" customHeight="1" spans="1:2">
      <c r="A58526" s="3" t="str">
        <f>IFERROR(__xludf.DUMMYFUNCTION("GOOGLETRANSLATE(A58526,""en"",""pt"")"),"fácil de usar, oferece recursos básicos, muito durável, bom, onde o serviço digital não está disponível")</f>
        <v>fácil de usar, oferece recursos básicos, muito durável, bom, onde o serviço digital não está disponível</v>
      </c>
      <c r="B58526" s="3">
        <v>1</v>
      </c>
    </row>
    <row r="58527" ht="15.75" customHeight="1" spans="1:2">
      <c r="A58527" s="3" t="str">
        <f>IFERROR(__xludf.DUMMYFUNCTION("GOOGLETRANSLATE(A58527,""en"",""pt"")"),"Leve e fácil de usar")</f>
        <v>Leve e fácil de usar</v>
      </c>
      <c r="B58527" s="3">
        <v>1</v>
      </c>
    </row>
    <row r="58528" ht="15.75" customHeight="1" spans="1:2">
      <c r="A58528" s="3" t="str">
        <f>IFERROR(__xludf.DUMMYFUNCTION("GOOGLETRANSLATE(A58528,""en"",""pt"")"),"Bastante compacto e durável; baixo custo.")</f>
        <v>Bastante compacto e durável; baixo custo.</v>
      </c>
      <c r="B58528" s="3">
        <v>1</v>
      </c>
    </row>
    <row r="58529" ht="15.75" customHeight="1" spans="1:2">
      <c r="A58529" s="3" t="str">
        <f>IFERROR(__xludf.DUMMYFUNCTION("GOOGLETRANSLATE(A58529,""en"",""pt"")"),"telefone decente, serviço conveniente sem conta mensal")</f>
        <v>telefone decente, serviço conveniente sem conta mensal</v>
      </c>
      <c r="B58529" s="3">
        <v>1</v>
      </c>
    </row>
    <row r="58530" ht="15.75" customHeight="1" spans="1:2">
      <c r="A58530" s="3" t="str">
        <f>IFERROR(__xludf.DUMMYFUNCTION("GOOGLETRANSLATE(A58530,""en"",""pt"")"),"grandes recursos")</f>
        <v>grandes recursos</v>
      </c>
      <c r="B58530" s="3">
        <v>1</v>
      </c>
    </row>
    <row r="58531" ht="15.75" customHeight="1" spans="1:2">
      <c r="A58531" s="3" t="str">
        <f>IFERROR(__xludf.DUMMYFUNCTION("GOOGLETRANSLATE(A58531,""en"",""pt"")"),"pequeno, resistente, confiável")</f>
        <v>pequeno, resistente, confiável</v>
      </c>
      <c r="B58531" s="3">
        <v>1</v>
      </c>
    </row>
    <row r="58532" ht="15.75" customHeight="1" spans="1:2">
      <c r="A58532" s="3" t="str">
        <f>IFERROR(__xludf.DUMMYFUNCTION("GOOGLETRANSLATE(A58532,""en"",""pt"")"),"o tamanho é perfeito")</f>
        <v>o tamanho é perfeito</v>
      </c>
      <c r="B58532" s="3">
        <v>1</v>
      </c>
    </row>
    <row r="58533" ht="15.75" customHeight="1" spans="1:2">
      <c r="A58533" s="3" t="str">
        <f>IFERROR(__xludf.DUMMYFUNCTION("GOOGLETRANSLATE(A58533,""en"",""pt"")"),"Fácil de usar, pequeno o suficiente para levar na bolsa ou no bolso e muito atraente também.")</f>
        <v>Fácil de usar, pequeno o suficiente para levar na bolsa ou no bolso e muito atraente também.</v>
      </c>
      <c r="B58533" s="3">
        <v>1</v>
      </c>
    </row>
    <row r="58534" ht="15.75" customHeight="1" spans="1:2">
      <c r="A58534" s="3" t="str">
        <f>IFERROR(__xludf.DUMMYFUNCTION("GOOGLETRANSLATE(A58534,""en"",""pt"")"),"recepção, durabilidade, preço, tamanho")</f>
        <v>recepção, durabilidade, preço, tamanho</v>
      </c>
      <c r="B58534" s="3">
        <v>1</v>
      </c>
    </row>
    <row r="58535" ht="15.75" customHeight="1" spans="1:2">
      <c r="A58535" s="3" t="str">
        <f>IFERROR(__xludf.DUMMYFUNCTION("GOOGLETRANSLATE(A58535,""en"",""pt"")"),"pequeno, som claro")</f>
        <v>pequeno, som claro</v>
      </c>
      <c r="B58535" s="3">
        <v>1</v>
      </c>
    </row>
    <row r="58536" ht="15.75" customHeight="1" spans="1:2">
      <c r="A58536" s="3" t="str">
        <f>IFERROR(__xludf.DUMMYFUNCTION("GOOGLETRANSLATE(A58536,""en"",""pt"")"),"Pequenas, guarda chave, cores bonito")</f>
        <v>Pequenas, guarda chave, cores bonito</v>
      </c>
      <c r="B58536" s="3">
        <v>1</v>
      </c>
    </row>
    <row r="58537" ht="15.75" customHeight="1" spans="1:2">
      <c r="A58537" s="3" t="str">
        <f>IFERROR(__xludf.DUMMYFUNCTION("GOOGLETRANSLATE(A58537,""en"",""pt"")"),"bom preço (especialmente com um pkg negócio.) &amp; # 13; &amp; # 10; $ 10 w / activação taxa")</f>
        <v>bom preço (especialmente com um pkg negócio.) &amp; # 13; &amp; # 10; $ 10 w / activação taxa</v>
      </c>
      <c r="B58537" s="3">
        <v>1</v>
      </c>
    </row>
    <row r="58538" ht="15.75" customHeight="1" spans="1:2">
      <c r="A58538" s="3" t="str">
        <f>IFERROR(__xludf.DUMMYFUNCTION("GOOGLETRANSLATE(A58538,""en"",""pt"")"),"muito durável")</f>
        <v>muito durável</v>
      </c>
      <c r="B58538" s="3">
        <v>1</v>
      </c>
    </row>
    <row r="58539" ht="15.75" customHeight="1" spans="1:2">
      <c r="A58539" s="3" t="str">
        <f>IFERROR(__xludf.DUMMYFUNCTION("GOOGLETRANSLATE(A58539,""en"",""pt"")"),", Telefone celular sólida analógico básico")</f>
        <v>, Telefone celular sólida analógico básico</v>
      </c>
      <c r="B58539" s="3">
        <v>1</v>
      </c>
    </row>
    <row r="58540" ht="15.75" customHeight="1" spans="1:2">
      <c r="A58540" s="3" t="str">
        <f>IFERROR(__xludf.DUMMYFUNCTION("GOOGLETRANSLATE(A58540,""en"",""pt"")"),"barato, recepção ,, recursos")</f>
        <v>barato, recepção ,, recursos</v>
      </c>
      <c r="B58540" s="3">
        <v>1</v>
      </c>
    </row>
    <row r="58541" ht="15.75" customHeight="1" spans="1:2">
      <c r="A58541" s="3" t="str">
        <f>IFERROR(__xludf.DUMMYFUNCTION("GOOGLETRANSLATE(A58541,""en"",""pt"")"),"Pequeno")</f>
        <v>Pequeno</v>
      </c>
      <c r="B58541" s="3">
        <v>1</v>
      </c>
    </row>
    <row r="58542" ht="15.75" customHeight="1" spans="1:2">
      <c r="A58542" s="3" t="str">
        <f>IFERROR(__xludf.DUMMYFUNCTION("GOOGLETRANSLATE(A58542,""en"",""pt"")"),"Confiável e feito solidamente")</f>
        <v>Confiável e feito solidamente</v>
      </c>
      <c r="B58542" s="3">
        <v>1</v>
      </c>
    </row>
    <row r="58543" ht="15.75" customHeight="1" spans="1:2">
      <c r="A58543" s="3" t="str">
        <f>IFERROR(__xludf.DUMMYFUNCTION("GOOGLETRANSLATE(A58543,""en"",""pt"")"),"mostrador grande velocidade, pay as you go plano, durável")</f>
        <v>mostrador grande velocidade, pay as you go plano, durável</v>
      </c>
      <c r="B58543" s="3">
        <v>1</v>
      </c>
    </row>
    <row r="58544" ht="15.75" customHeight="1" spans="1:2">
      <c r="A58544" s="3" t="str">
        <f>IFERROR(__xludf.DUMMYFUNCTION("GOOGLETRANSLATE(A58544,""en"",""pt"")"),"Durabilidade, baixo custo.")</f>
        <v>Durabilidade, baixo custo.</v>
      </c>
      <c r="B58544" s="3">
        <v>1</v>
      </c>
    </row>
    <row r="58545" ht="15.75" customHeight="1" spans="1:2">
      <c r="A58545" s="3" t="str">
        <f>IFERROR(__xludf.DUMMYFUNCTION("GOOGLETRANSLATE(A58545,""en"",""pt"")"),"Ver 1- 5, supra")</f>
        <v>Ver 1- 5, supra</v>
      </c>
      <c r="B58545" s="3">
        <v>1</v>
      </c>
    </row>
    <row r="58546" ht="15.75" customHeight="1" spans="1:2">
      <c r="A58546" s="3" t="str">
        <f>IFERROR(__xludf.DUMMYFUNCTION("GOOGLETRANSLATE(A58546,""en"",""pt"")"),"livre")</f>
        <v>livre</v>
      </c>
      <c r="B58546" s="3">
        <v>1</v>
      </c>
    </row>
    <row r="58547" ht="15.75" customHeight="1" spans="1:2">
      <c r="A58547" s="3" t="str">
        <f>IFERROR(__xludf.DUMMYFUNCTION("GOOGLETRANSLATE(A58547,""en"",""pt"")"),"Uhhh. . .Uhhh ... Hmmmm")</f>
        <v>Uhhh. . .Uhhh ... Hmmmm</v>
      </c>
      <c r="B58547" s="3">
        <v>1</v>
      </c>
    </row>
    <row r="58548" ht="15.75" customHeight="1" spans="1:2">
      <c r="A58548" s="3" t="str">
        <f>IFERROR(__xludf.DUMMYFUNCTION("GOOGLETRANSLATE(A58548,""en"",""pt"")"),"Eu tenho um telefone quando eu preciso de um; faz o seu trabalho")</f>
        <v>Eu tenho um telefone quando eu preciso de um; faz o seu trabalho</v>
      </c>
      <c r="B58548" s="3">
        <v>1</v>
      </c>
    </row>
    <row r="58549" ht="15.75" customHeight="1" spans="1:2">
      <c r="A58549" s="3" t="str">
        <f>IFERROR(__xludf.DUMMYFUNCTION("GOOGLETRANSLATE(A58549,""en"",""pt"")"),"Pequeno, leve, características")</f>
        <v>Pequeno, leve, características</v>
      </c>
      <c r="B58549" s="3">
        <v>1</v>
      </c>
    </row>
    <row r="58550" ht="15.75" customHeight="1" spans="1:2">
      <c r="A58550" s="3" t="str">
        <f>IFERROR(__xludf.DUMMYFUNCTION("GOOGLETRANSLATE(A58550,""en"",""pt"")"),"chamada em espera, discagem rápida, mudança campainha, guarda chave")</f>
        <v>chamada em espera, discagem rápida, mudança campainha, guarda chave</v>
      </c>
      <c r="B58550" s="3">
        <v>1</v>
      </c>
    </row>
    <row r="58551" ht="15.75" customHeight="1" spans="1:2">
      <c r="A58551" s="3" t="str">
        <f>IFERROR(__xludf.DUMMYFUNCTION("GOOGLETRANSLATE(A58551,""en"",""pt"")"),"peso leve, fácil de usar, ótimo Controls, pequeno, acessível, multiusos")</f>
        <v>peso leve, fácil de usar, ótimo Controls, pequeno, acessível, multiusos</v>
      </c>
      <c r="B58551" s="3">
        <v>1</v>
      </c>
    </row>
    <row r="58552" ht="15.75" customHeight="1" spans="1:2">
      <c r="A58552" s="3" t="str">
        <f>IFERROR(__xludf.DUMMYFUNCTION("GOOGLETRANSLATE(A58552,""en"",""pt"")"),"pouco, telefone acessível")</f>
        <v>pouco, telefone acessível</v>
      </c>
      <c r="B58552" s="3">
        <v>1</v>
      </c>
    </row>
    <row r="58553" ht="15.75" customHeight="1" spans="1:2">
      <c r="A58553" s="3" t="str">
        <f>IFERROR(__xludf.DUMMYFUNCTION("GOOGLETRANSLATE(A58553,""en"",""pt"")"),"grandes recursos")</f>
        <v>grandes recursos</v>
      </c>
      <c r="B58553" s="3">
        <v>1</v>
      </c>
    </row>
    <row r="58554" ht="15.75" customHeight="1" spans="1:2">
      <c r="A58554" s="3" t="str">
        <f>IFERROR(__xludf.DUMMYFUNCTION("GOOGLETRANSLATE(A58554,""en"",""pt"")"),"preço, durabilidade, características")</f>
        <v>preço, durabilidade, características</v>
      </c>
      <c r="B58554" s="3">
        <v>1</v>
      </c>
    </row>
    <row r="58555" ht="15.75" customHeight="1" spans="1:2">
      <c r="A58555" s="3" t="str">
        <f>IFERROR(__xludf.DUMMYFUNCTION("GOOGLETRANSLATE(A58555,""en"",""pt"")"),"Boa clareza de voz, teclas confortáveis, fácil de usar")</f>
        <v>Boa clareza de voz, teclas confortáveis, fácil de usar</v>
      </c>
      <c r="B58555" s="3">
        <v>1</v>
      </c>
    </row>
    <row r="58556" ht="15.75" customHeight="1" spans="1:2">
      <c r="A58556" s="3" t="str">
        <f>IFERROR(__xludf.DUMMYFUNCTION("GOOGLETRANSLATE(A58556,""en"",""pt"")"),"Um telefone pré-pago que funciona em Áreas Rurais! Feito sólida para um telefone celular barato")</f>
        <v>Um telefone pré-pago que funciona em Áreas Rurais! Feito sólida para um telefone celular barato</v>
      </c>
      <c r="B58556" s="3">
        <v>1</v>
      </c>
    </row>
    <row r="58557" ht="15.75" customHeight="1" spans="1:2">
      <c r="A58557" s="3" t="str">
        <f>IFERROR(__xludf.DUMMYFUNCTION("GOOGLETRANSLATE(A58557,""en"",""pt"")"),"grande memória")</f>
        <v>grande memória</v>
      </c>
      <c r="B58557" s="3">
        <v>1</v>
      </c>
    </row>
    <row r="58558" ht="15.75" customHeight="1" spans="1:2">
      <c r="A58558" s="3" t="str">
        <f>IFERROR(__xludf.DUMMYFUNCTION("GOOGLETRANSLATE(A58558,""en"",""pt"")"),"O peso leve, som claro Cristal, de longa duração de espera e tempo de conversação")</f>
        <v>O peso leve, som claro Cristal, de longa duração de espera e tempo de conversação</v>
      </c>
      <c r="B58558" s="3">
        <v>1</v>
      </c>
    </row>
    <row r="58559" ht="15.75" customHeight="1" spans="1:2">
      <c r="A58559" s="3" t="str">
        <f>IFERROR(__xludf.DUMMYFUNCTION("GOOGLETRANSLATE(A58559,""en"",""pt"")"),"Bom tamanho e aparência agradável")</f>
        <v>Bom tamanho e aparência agradável</v>
      </c>
      <c r="B58559" s="3">
        <v>1</v>
      </c>
    </row>
    <row r="58560" ht="15.75" customHeight="1" spans="1:2">
      <c r="A58560" s="3" t="str">
        <f>IFERROR(__xludf.DUMMYFUNCTION("GOOGLETRANSLATE(A58560,""en"",""pt"")"),"deveras pequeno; barato; muito bem desenhado")</f>
        <v>deveras pequeno; barato; muito bem desenhado</v>
      </c>
      <c r="B58560" s="3">
        <v>1</v>
      </c>
    </row>
    <row r="58561" ht="15.75" customHeight="1" spans="1:2">
      <c r="A58561" s="3" t="str">
        <f>IFERROR(__xludf.DUMMYFUNCTION("GOOGLETRANSLATE(A58561,""en"",""pt"")"),"leve, fino e liso, brilhante na cor")</f>
        <v>leve, fino e liso, brilhante na cor</v>
      </c>
      <c r="B58561" s="3">
        <v>1</v>
      </c>
    </row>
    <row r="58562" ht="15.75" customHeight="1" spans="1:2">
      <c r="A58562" s="3" t="str">
        <f>IFERROR(__xludf.DUMMYFUNCTION("GOOGLETRANSLATE(A58562,""en"",""pt"")"),"coisa agradável para ter em torno")</f>
        <v>coisa agradável para ter em torno</v>
      </c>
      <c r="B58562" s="3">
        <v>1</v>
      </c>
    </row>
    <row r="58563" ht="15.75" customHeight="1" spans="1:2">
      <c r="A58563" s="3" t="str">
        <f>IFERROR(__xludf.DUMMYFUNCTION("GOOGLETRANSLATE(A58563,""en"",""pt"")"),"compatível")</f>
        <v>compatível</v>
      </c>
      <c r="B58563" s="3">
        <v>1</v>
      </c>
    </row>
    <row r="58564" ht="15.75" customHeight="1" spans="1:2">
      <c r="A58564" s="3" t="str">
        <f>IFERROR(__xludf.DUMMYFUNCTION("GOOGLETRANSLATE(A58564,""en"",""pt"")"),"Pequeno, fácil de transportar")</f>
        <v>Pequeno, fácil de transportar</v>
      </c>
      <c r="B58564" s="3">
        <v>1</v>
      </c>
    </row>
    <row r="58565" ht="15.75" customHeight="1" spans="1:2">
      <c r="A58565" s="3" t="str">
        <f>IFERROR(__xludf.DUMMYFUNCTION("GOOGLETRANSLATE(A58565,""en"",""pt"")"),"barato no preço")</f>
        <v>barato no preço</v>
      </c>
      <c r="B58565" s="3">
        <v>1</v>
      </c>
    </row>
    <row r="58566" ht="15.75" customHeight="1" spans="1:2">
      <c r="A58566" s="3" t="str">
        <f>IFERROR(__xludf.DUMMYFUNCTION("GOOGLETRANSLATE(A58566,""en"",""pt"")"),"Um monte de recursos para o preço.")</f>
        <v>Um monte de recursos para o preço.</v>
      </c>
      <c r="B58566" s="3">
        <v>1</v>
      </c>
    </row>
    <row r="58567" ht="15.75" customHeight="1" spans="1:2">
      <c r="A58567" s="3" t="str">
        <f>IFERROR(__xludf.DUMMYFUNCTION("GOOGLETRANSLATE(A58567,""en"",""pt"")"),"Nenhum contrato é")</f>
        <v>Nenhum contrato é</v>
      </c>
      <c r="B58567" s="3">
        <v>1</v>
      </c>
    </row>
    <row r="58568" ht="15.75" customHeight="1" spans="1:2">
      <c r="A58568" s="3" t="str">
        <f>IFERROR(__xludf.DUMMYFUNCTION("GOOGLETRANSLATE(A58568,""en"",""pt"")"),"Bom preço, muitos recursos")</f>
        <v>Bom preço, muitos recursos</v>
      </c>
      <c r="B58568" s="3">
        <v>1</v>
      </c>
    </row>
    <row r="58569" ht="15.75" customHeight="1" spans="1:2">
      <c r="A58569" s="3" t="str">
        <f>IFERROR(__xludf.DUMMYFUNCTION("GOOGLETRANSLATE(A58569,""en"",""pt"")"),"Não muito caro")</f>
        <v>Não muito caro</v>
      </c>
      <c r="B58569" s="3">
        <v>1</v>
      </c>
    </row>
    <row r="58570" ht="15.75" customHeight="1" spans="1:2">
      <c r="A58570" s="3" t="str">
        <f>IFERROR(__xludf.DUMMYFUNCTION("GOOGLETRANSLATE(A58570,""en"",""pt"")"),"facilidade de uso,, cores frias confiáveis")</f>
        <v>facilidade de uso,, cores frias confiáveis</v>
      </c>
      <c r="B58570" s="3">
        <v>1</v>
      </c>
    </row>
    <row r="58571" ht="15.75" customHeight="1" spans="1:2">
      <c r="A58571" s="3" t="str">
        <f>IFERROR(__xludf.DUMMYFUNCTION("GOOGLETRANSLATE(A58571,""en"",""pt"")"),"tamanho, preço e facilidade de uso")</f>
        <v>tamanho, preço e facilidade de uso</v>
      </c>
      <c r="B58571" s="3">
        <v>1</v>
      </c>
    </row>
    <row r="58572" ht="15.75" customHeight="1" spans="1:2">
      <c r="A58572" s="3" t="str">
        <f>IFERROR(__xludf.DUMMYFUNCTION("GOOGLETRANSLATE(A58572,""en"",""pt"")"),"preço, resposta fácil")</f>
        <v>preço, resposta fácil</v>
      </c>
      <c r="B58572" s="3">
        <v>1</v>
      </c>
    </row>
    <row r="58573" ht="15.75" customHeight="1" spans="1:2">
      <c r="A58573" s="3" t="str">
        <f>IFERROR(__xludf.DUMMYFUNCTION("GOOGLETRANSLATE(A58573,""en"",""pt"")"),"sem contratos ou contas, display retroiluminado, pré-pago, qualquer pessoa pode comprá-lo, bateria de longa duração")</f>
        <v>sem contratos ou contas, display retroiluminado, pré-pago, qualquer pessoa pode comprá-lo, bateria de longa duração</v>
      </c>
      <c r="B58573" s="3">
        <v>1</v>
      </c>
    </row>
    <row r="58574" ht="15.75" customHeight="1" spans="1:2">
      <c r="A58574" s="3" t="str">
        <f>IFERROR(__xludf.DUMMYFUNCTION("GOOGLETRANSLATE(A58574,""en"",""pt"")"),"leve")</f>
        <v>leve</v>
      </c>
      <c r="B58574" s="3">
        <v>1</v>
      </c>
    </row>
    <row r="58575" ht="15.75" customHeight="1" spans="1:2">
      <c r="A58575" s="3" t="str">
        <f>IFERROR(__xludf.DUMMYFUNCTION("GOOGLETRANSLATE(A58575,""en"",""pt"")"),"confiabilidade, serviço, cobertura, intensidade do sinal, a acessibilidade")</f>
        <v>confiabilidade, serviço, cobertura, intensidade do sinal, a acessibilidade</v>
      </c>
      <c r="B58575" s="3">
        <v>1</v>
      </c>
    </row>
    <row r="58576" ht="15.75" customHeight="1" spans="1:2">
      <c r="A58576" s="3" t="str">
        <f>IFERROR(__xludf.DUMMYFUNCTION("GOOGLETRANSLATE(A58576,""en"",""pt"")"),"Preço, robusto, confiável, Peace of Mind")</f>
        <v>Preço, robusto, confiável, Peace of Mind</v>
      </c>
      <c r="B58576" s="3">
        <v>1</v>
      </c>
    </row>
    <row r="58577" ht="15.75" customHeight="1" spans="1:2">
      <c r="A58577" s="3" t="str">
        <f>IFERROR(__xludf.DUMMYFUNCTION("GOOGLETRANSLATE(A58577,""en"",""pt"")"),"peso leve e fácil de usar")</f>
        <v>peso leve e fácil de usar</v>
      </c>
      <c r="B58577" s="3">
        <v>1</v>
      </c>
    </row>
    <row r="58578" ht="15.75" customHeight="1" spans="1:2">
      <c r="A58578" s="3" t="str">
        <f>IFERROR(__xludf.DUMMYFUNCTION("GOOGLETRANSLATE(A58578,""en"",""pt"")"),"Barato. Fácil de operar.")</f>
        <v>Barato. Fácil de operar.</v>
      </c>
      <c r="B58578" s="3">
        <v>1</v>
      </c>
    </row>
    <row r="58579" ht="15.75" customHeight="1" spans="1:2">
      <c r="A58579" s="3" t="str">
        <f>IFERROR(__xludf.DUMMYFUNCTION("GOOGLETRANSLATE(A58579,""en"",""pt"")"),"leve e pequeno")</f>
        <v>leve e pequeno</v>
      </c>
      <c r="B58579" s="3">
        <v>1</v>
      </c>
    </row>
    <row r="58580" ht="15.75" customHeight="1" spans="1:2">
      <c r="A58580" s="3" t="str">
        <f>IFERROR(__xludf.DUMMYFUNCTION("GOOGLETRANSLATE(A58580,""en"",""pt"")"),"muito durável")</f>
        <v>muito durável</v>
      </c>
      <c r="B58580" s="3">
        <v>1</v>
      </c>
    </row>
    <row r="58581" ht="15.75" customHeight="1" spans="1:2">
      <c r="A58581" s="3" t="str">
        <f>IFERROR(__xludf.DUMMYFUNCTION("GOOGLETRANSLATE(A58581,""en"",""pt"")"),"durável, barato, leve, em estilo, boa claridade")</f>
        <v>durável, barato, leve, em estilo, boa claridade</v>
      </c>
      <c r="B58581" s="3">
        <v>1</v>
      </c>
    </row>
    <row r="58582" ht="15.75" customHeight="1" spans="1:2">
      <c r="A58582" s="3" t="str">
        <f>IFERROR(__xludf.DUMMYFUNCTION("GOOGLETRANSLATE(A58582,""en"",""pt"")"),"Durabilidade, confiabilidade, custo")</f>
        <v>Durabilidade, confiabilidade, custo</v>
      </c>
      <c r="B58582" s="3">
        <v>1</v>
      </c>
    </row>
    <row r="58583" ht="15.75" customHeight="1" spans="1:2">
      <c r="A58583" s="3" t="str">
        <f>IFERROR(__xludf.DUMMYFUNCTION("GOOGLETRANSLATE(A58583,""en"",""pt"")"),"Display, a qualidade do som")</f>
        <v>Display, a qualidade do som</v>
      </c>
      <c r="B58583" s="3">
        <v>1</v>
      </c>
    </row>
    <row r="58584" ht="15.75" customHeight="1" spans="1:2">
      <c r="A58584" s="3" t="str">
        <f>IFERROR(__xludf.DUMMYFUNCTION("GOOGLETRANSLATE(A58584,""en"",""pt"")"),"Pequeno, leve, fácil de usar, simples")</f>
        <v>Pequeno, leve, fácil de usar, simples</v>
      </c>
      <c r="B58584" s="3">
        <v>1</v>
      </c>
    </row>
    <row r="58585" ht="15.75" customHeight="1" spans="1:2">
      <c r="A58585" s="3" t="str">
        <f>IFERROR(__xludf.DUMMYFUNCTION("GOOGLETRANSLATE(A58585,""en"",""pt"")"),"Leve, fácil de usar, livre")</f>
        <v>Leve, fácil de usar, livre</v>
      </c>
      <c r="B58585" s="3">
        <v>1</v>
      </c>
    </row>
    <row r="58586" ht="15.75" customHeight="1" spans="1:2">
      <c r="A58586" s="3" t="str">
        <f>IFERROR(__xludf.DUMMYFUNCTION("GOOGLETRANSLATE(A58586,""en"",""pt"")"),"Grande durabilidade, boas características para o preço")</f>
        <v>Grande durabilidade, boas características para o preço</v>
      </c>
      <c r="B58586" s="3">
        <v>1</v>
      </c>
    </row>
    <row r="58587" ht="15.75" customHeight="1" spans="1:2">
      <c r="A58587" s="3" t="str">
        <f>IFERROR(__xludf.DUMMYFUNCTION("GOOGLETRANSLATE(A58587,""en"",""pt"")"),"de telefone celular são convient")</f>
        <v>de telefone celular são convient</v>
      </c>
      <c r="B58587" s="3">
        <v>1</v>
      </c>
    </row>
    <row r="58588" ht="15.75" customHeight="1" spans="1:2">
      <c r="A58588" s="3" t="str">
        <f>IFERROR(__xludf.DUMMYFUNCTION("GOOGLETRANSLATE(A58588,""en"",""pt"")"),"acessível e fácil de usar")</f>
        <v>acessível e fácil de usar</v>
      </c>
      <c r="B58588" s="3">
        <v>1</v>
      </c>
    </row>
    <row r="58589" ht="15.75" customHeight="1" spans="1:2">
      <c r="A58589" s="3" t="str">
        <f>IFERROR(__xludf.DUMMYFUNCTION("GOOGLETRANSLATE(A58589,""en"",""pt"")"),"seguro")</f>
        <v>seguro</v>
      </c>
      <c r="B58589" s="3">
        <v>1</v>
      </c>
    </row>
    <row r="58590" ht="15.75" customHeight="1" spans="1:2">
      <c r="A58590" s="3" t="str">
        <f>IFERROR(__xludf.DUMMYFUNCTION("GOOGLETRANSLATE(A58590,""en"",""pt"")"),"Fácil de usar")</f>
        <v>Fácil de usar</v>
      </c>
      <c r="B58590" s="3">
        <v>1</v>
      </c>
    </row>
    <row r="58591" ht="15.75" customHeight="1" spans="1:2">
      <c r="A58591" s="3" t="str">
        <f>IFERROR(__xludf.DUMMYFUNCTION("GOOGLETRANSLATE(A58591,""en"",""pt"")"),"Acessível")</f>
        <v>Acessível</v>
      </c>
      <c r="B58591" s="3">
        <v>1</v>
      </c>
    </row>
    <row r="58592" ht="15.75" customHeight="1" spans="1:2">
      <c r="A58592" s="3" t="str">
        <f>IFERROR(__xludf.DUMMYFUNCTION("GOOGLETRANSLATE(A58592,""en"",""pt"")"),"Resistente.")</f>
        <v>Resistente.</v>
      </c>
      <c r="B58592" s="3">
        <v>1</v>
      </c>
    </row>
    <row r="58593" ht="15.75" customHeight="1" spans="1:2">
      <c r="A58593" s="3" t="str">
        <f>IFERROR(__xludf.DUMMYFUNCTION("GOOGLETRANSLATE(A58593,""en"",""pt"")"),"resiste muito abuso, uma boa recepção, modelo elegante")</f>
        <v>resiste muito abuso, uma boa recepção, modelo elegante</v>
      </c>
      <c r="B58593" s="3">
        <v>1</v>
      </c>
    </row>
    <row r="58594" ht="15.75" customHeight="1" spans="1:2">
      <c r="A58594" s="3" t="str">
        <f>IFERROR(__xludf.DUMMYFUNCTION("GOOGLETRANSLATE(A58594,""en"",""pt"")"),"Fácil de usar, pequeno")</f>
        <v>Fácil de usar, pequeno</v>
      </c>
      <c r="B58594" s="3">
        <v>1</v>
      </c>
    </row>
    <row r="58595" ht="15.75" customHeight="1" spans="1:2">
      <c r="A58595" s="3" t="str">
        <f>IFERROR(__xludf.DUMMYFUNCTION("GOOGLETRANSLATE(A58595,""en"",""pt"")"),"boas características")</f>
        <v>boas características</v>
      </c>
      <c r="B58595" s="3">
        <v>1</v>
      </c>
    </row>
    <row r="58596" ht="15.75" customHeight="1" spans="1:2">
      <c r="A58596" s="3" t="str">
        <f>IFERROR(__xludf.DUMMYFUNCTION("GOOGLETRANSLATE(A58596,""en"",""pt"")"),"LUZ DE PESO, durável, quase livre de estática.")</f>
        <v>LUZ DE PESO, durável, quase livre de estática.</v>
      </c>
      <c r="B58596" s="3">
        <v>1</v>
      </c>
    </row>
    <row r="58597" ht="15.75" customHeight="1" spans="1:2">
      <c r="A58597" s="3" t="str">
        <f>IFERROR(__xludf.DUMMYFUNCTION("GOOGLETRANSLATE(A58597,""en"",""pt"")"),"Tamanho")</f>
        <v>Tamanho</v>
      </c>
      <c r="B58597" s="3">
        <v>1</v>
      </c>
    </row>
    <row r="58598" ht="15.75" customHeight="1" spans="1:2">
      <c r="A58598" s="3" t="str">
        <f>IFERROR(__xludf.DUMMYFUNCTION("GOOGLETRANSLATE(A58598,""en"",""pt"")"),"bom e barato")</f>
        <v>bom e barato</v>
      </c>
      <c r="B58598" s="3">
        <v>1</v>
      </c>
    </row>
    <row r="58599" ht="15.75" customHeight="1" spans="1:2">
      <c r="A58599" s="3" t="str">
        <f>IFERROR(__xludf.DUMMYFUNCTION("GOOGLETRANSLATE(A58599,""en"",""pt"")"),"boa interface do menu, durável, não estático, &amp; # 13; &amp; # 10; pode caber no bolso")</f>
        <v>boa interface do menu, durável, não estático, &amp; # 13; &amp; # 10; pode caber no bolso</v>
      </c>
      <c r="B58599" s="3">
        <v>1</v>
      </c>
    </row>
    <row r="58600" ht="15.75" customHeight="1" spans="1:2">
      <c r="A58600" s="3" t="str">
        <f>IFERROR(__xludf.DUMMYFUNCTION("GOOGLETRANSLATE(A58600,""en"",""pt"")"),"Nenhum")</f>
        <v>Nenhum</v>
      </c>
      <c r="B58600" s="3">
        <v>1</v>
      </c>
    </row>
    <row r="58601" ht="15.75" customHeight="1" spans="1:2">
      <c r="A58601" s="3" t="str">
        <f>IFERROR(__xludf.DUMMYFUNCTION("GOOGLETRANSLATE(A58601,""en"",""pt"")"),"Fácil de usar, de baixo custo, sem contratos, sem taxas mensais")</f>
        <v>Fácil de usar, de baixo custo, sem contratos, sem taxas mensais</v>
      </c>
      <c r="B58601" s="3">
        <v>1</v>
      </c>
    </row>
    <row r="58602" ht="15.75" customHeight="1" spans="1:2">
      <c r="A58602" s="3" t="str">
        <f>IFERROR(__xludf.DUMMYFUNCTION("GOOGLETRANSLATE(A58602,""en"",""pt"")"),"Preço barato! bom celular")</f>
        <v>Preço barato! bom celular</v>
      </c>
      <c r="B58602" s="3">
        <v>1</v>
      </c>
    </row>
    <row r="58603" ht="15.75" customHeight="1" spans="1:2">
      <c r="A58603" s="3" t="str">
        <f>IFERROR(__xludf.DUMMYFUNCTION("GOOGLETRANSLATE(A58603,""en"",""pt"")"),"realmente conveniente, bonito como pode ser")</f>
        <v>realmente conveniente, bonito como pode ser</v>
      </c>
      <c r="B58603" s="3">
        <v>1</v>
      </c>
    </row>
    <row r="58604" ht="15.75" customHeight="1" spans="1:2">
      <c r="A58604" s="3" t="str">
        <f>IFERROR(__xludf.DUMMYFUNCTION("GOOGLETRANSLATE(A58604,""en"",""pt"")"),"Durável")</f>
        <v>Durável</v>
      </c>
      <c r="B58604" s="3">
        <v>1</v>
      </c>
    </row>
    <row r="58605" ht="15.75" customHeight="1" spans="1:2">
      <c r="A58605" s="3" t="str">
        <f>IFERROR(__xludf.DUMMYFUNCTION("GOOGLETRANSLATE(A58605,""en"",""pt"")"),"robusto, resistente fácil de telefone uso")</f>
        <v>robusto, resistente fácil de telefone uso</v>
      </c>
      <c r="B58605" s="3">
        <v>1</v>
      </c>
    </row>
    <row r="58606" ht="15.75" customHeight="1" spans="1:2">
      <c r="A58606" s="3" t="str">
        <f>IFERROR(__xludf.DUMMYFUNCTION("GOOGLETRANSLATE(A58606,""en"",""pt"")"),"bom para a época")</f>
        <v>bom para a época</v>
      </c>
      <c r="B58606" s="3">
        <v>1</v>
      </c>
    </row>
    <row r="58607" ht="15.75" customHeight="1" spans="1:2">
      <c r="A58607" s="3" t="str">
        <f>IFERROR(__xludf.DUMMYFUNCTION("GOOGLETRANSLATE(A58607,""en"",""pt"")"),"Tamanho, peso, desempenho geral")</f>
        <v>Tamanho, peso, desempenho geral</v>
      </c>
      <c r="B58607" s="3">
        <v>1</v>
      </c>
    </row>
    <row r="58608" ht="15.75" customHeight="1" spans="1:2">
      <c r="A58608" s="3" t="str">
        <f>IFERROR(__xludf.DUMMYFUNCTION("GOOGLETRANSLATE(A58608,""en"",""pt"")"),"Você pode conversar com as pessoas às vezes")</f>
        <v>Você pode conversar com as pessoas às vezes</v>
      </c>
      <c r="B58608" s="3">
        <v>1</v>
      </c>
    </row>
    <row r="58609" ht="15.75" customHeight="1" spans="1:2">
      <c r="A58609" s="3" t="str">
        <f>IFERROR(__xludf.DUMMYFUNCTION("GOOGLETRANSLATE(A58609,""en"",""pt"")"),"Amo isso")</f>
        <v>Amo isso</v>
      </c>
      <c r="B58609" s="3">
        <v>1</v>
      </c>
    </row>
    <row r="58610" ht="15.75" customHeight="1" spans="1:2">
      <c r="A58610" s="3" t="str">
        <f>IFERROR(__xludf.DUMMYFUNCTION("GOOGLETRANSLATE(A58610,""en"",""pt"")"),"excelente som claro")</f>
        <v>excelente som claro</v>
      </c>
      <c r="B58610" s="3">
        <v>1</v>
      </c>
    </row>
    <row r="58611" ht="15.75" customHeight="1" spans="1:2">
      <c r="A58611" s="3" t="str">
        <f>IFERROR(__xludf.DUMMYFUNCTION("GOOGLETRANSLATE(A58611,""en"",""pt"")"),"chamadas duráveis ​​e claras")</f>
        <v>chamadas duráveis ​​e claras</v>
      </c>
      <c r="B58611" s="3">
        <v>1</v>
      </c>
    </row>
    <row r="58612" ht="15.75" customHeight="1" spans="1:2">
      <c r="A58612" s="3" t="str">
        <f>IFERROR(__xludf.DUMMYFUNCTION("GOOGLETRANSLATE(A58612,""en"",""pt"")"),"Muita luz")</f>
        <v>Muita luz</v>
      </c>
      <c r="B58612" s="3">
        <v>1</v>
      </c>
    </row>
    <row r="58613" ht="15.75" customHeight="1" spans="1:2">
      <c r="A58613" s="3" t="str">
        <f>IFERROR(__xludf.DUMMYFUNCTION("GOOGLETRANSLATE(A58613,""en"",""pt"")"),"pequeno e fácil de usar")</f>
        <v>pequeno e fácil de usar</v>
      </c>
      <c r="B58613" s="3">
        <v>1</v>
      </c>
    </row>
    <row r="58614" ht="15.75" customHeight="1" spans="1:2">
      <c r="A58614" s="3" t="str">
        <f>IFERROR(__xludf.DUMMYFUNCTION("GOOGLETRANSLATE(A58614,""en"",""pt"")"),"Conveniente e resistente")</f>
        <v>Conveniente e resistente</v>
      </c>
      <c r="B58614" s="3">
        <v>1</v>
      </c>
    </row>
    <row r="58615" ht="15.75" customHeight="1" spans="1:2">
      <c r="A58615" s="3" t="str">
        <f>IFERROR(__xludf.DUMMYFUNCTION("GOOGLETRANSLATE(A58615,""en"",""pt"")"),"Sem contratos, de fácil manutenção, fácil de usar")</f>
        <v>Sem contratos, de fácil manutenção, fácil de usar</v>
      </c>
      <c r="B58615" s="3">
        <v>1</v>
      </c>
    </row>
    <row r="58616" ht="15.75" customHeight="1" spans="1:2">
      <c r="A58616" s="3" t="str">
        <f>IFERROR(__xludf.DUMMYFUNCTION("GOOGLETRANSLATE(A58616,""en"",""pt"")"),"Grande autonomia da bateria e altamente acessível")</f>
        <v>Grande autonomia da bateria e altamente acessível</v>
      </c>
      <c r="B58616" s="3">
        <v>1</v>
      </c>
    </row>
    <row r="58617" ht="15.75" customHeight="1" spans="1:2">
      <c r="A58617" s="3" t="str">
        <f>IFERROR(__xludf.DUMMYFUNCTION("GOOGLETRANSLATE(A58617,""en"",""pt"")"),"Confiável")</f>
        <v>Confiável</v>
      </c>
      <c r="B58617" s="3">
        <v>1</v>
      </c>
    </row>
    <row r="58618" ht="15.75" customHeight="1" spans="1:2">
      <c r="A58618" s="3" t="str">
        <f>IFERROR(__xludf.DUMMYFUNCTION("GOOGLETRANSLATE(A58618,""en"",""pt"")"),"O peso leve, acessível, de qualidade construído")</f>
        <v>O peso leve, acessível, de qualidade construído</v>
      </c>
      <c r="B58618" s="3">
        <v>1</v>
      </c>
    </row>
    <row r="58619" ht="15.75" customHeight="1" spans="1:2">
      <c r="A58619" s="3" t="str">
        <f>IFERROR(__xludf.DUMMYFUNCTION("GOOGLETRANSLATE(A58619,""en"",""pt"")"),"# Armazenamento, tamanho, clearity")</f>
        <v># Armazenamento, tamanho, clearity</v>
      </c>
      <c r="B58619" s="3">
        <v>1</v>
      </c>
    </row>
    <row r="58620" ht="15.75" customHeight="1" spans="1:2">
      <c r="A58620" s="3" t="str">
        <f>IFERROR(__xludf.DUMMYFUNCTION("GOOGLETRANSLATE(A58620,""en"",""pt"")"),"era livre")</f>
        <v>era livre</v>
      </c>
      <c r="B58620" s="3">
        <v>1</v>
      </c>
    </row>
    <row r="58621" ht="15.75" customHeight="1" spans="1:2">
      <c r="A58621" s="3" t="str">
        <f>IFERROR(__xludf.DUMMYFUNCTION("GOOGLETRANSLATE(A58621,""en"",""pt"")"),"Tudo")</f>
        <v>Tudo</v>
      </c>
      <c r="B58621" s="3">
        <v>1</v>
      </c>
    </row>
    <row r="58622" ht="15.75" customHeight="1" spans="1:2">
      <c r="A58622" s="3" t="str">
        <f>IFERROR(__xludf.DUMMYFUNCTION("GOOGLETRANSLATE(A58622,""en"",""pt"")"),"Eu adoro ele, pequeno e compacto")</f>
        <v>Eu adoro ele, pequeno e compacto</v>
      </c>
      <c r="B58622" s="3">
        <v>1</v>
      </c>
    </row>
    <row r="58623" ht="15.75" customHeight="1" spans="1:2">
      <c r="A58623" s="3" t="str">
        <f>IFERROR(__xludf.DUMMYFUNCTION("GOOGLETRANSLATE(A58623,""en"",""pt"")"),"Esportes,")</f>
        <v>Esportes,</v>
      </c>
      <c r="B58623" s="3">
        <v>1</v>
      </c>
    </row>
    <row r="58624" ht="15.75" customHeight="1" spans="1:2">
      <c r="A58624" s="3" t="str">
        <f>IFERROR(__xludf.DUMMYFUNCTION("GOOGLETRANSLATE(A58624,""en"",""pt"")"),"Mais leve, mais fácil de usar")</f>
        <v>Mais leve, mais fácil de usar</v>
      </c>
      <c r="B58624" s="3">
        <v>1</v>
      </c>
    </row>
    <row r="58625" ht="15.75" customHeight="1" spans="1:2">
      <c r="A58625" s="3" t="str">
        <f>IFERROR(__xludf.DUMMYFUNCTION("GOOGLETRANSLATE(A58625,""en"",""pt"")"),"Este telefone só vai te custar um centavo!")</f>
        <v>Este telefone só vai te custar um centavo!</v>
      </c>
      <c r="B58625" s="3">
        <v>1</v>
      </c>
    </row>
    <row r="58626" ht="15.75" customHeight="1" spans="1:2">
      <c r="A58626" s="3" t="str">
        <f>IFERROR(__xludf.DUMMYFUNCTION("GOOGLETRANSLATE(A58626,""en"",""pt"")"),"Mantém o controle de unidades, o tempo em todo o mundo, o tempo de antena e horário regular")</f>
        <v>Mantém o controle de unidades, o tempo em todo o mundo, o tempo de antena e horário regular</v>
      </c>
      <c r="B58626" s="3">
        <v>1</v>
      </c>
    </row>
    <row r="58627" ht="15.75" customHeight="1" spans="1:2">
      <c r="A58627" s="3" t="str">
        <f>IFERROR(__xludf.DUMMYFUNCTION("GOOGLETRANSLATE(A58627,""en"",""pt"")"),"Fácil de usar, cheio de recursos, e barato. Boa recepção e som.")</f>
        <v>Fácil de usar, cheio de recursos, e barato. Boa recepção e som.</v>
      </c>
      <c r="B58627" s="3">
        <v>1</v>
      </c>
    </row>
    <row r="58628" ht="15.75" customHeight="1" spans="1:2">
      <c r="A58628" s="3" t="str">
        <f>IFERROR(__xludf.DUMMYFUNCTION("GOOGLETRANSLATE(A58628,""en"",""pt"")"),"Desempenho RF excepcional; Boa entrada Qualidade Áudio; Embalado com características práticas; UI avançada")</f>
        <v>Desempenho RF excepcional; Boa entrada Qualidade Áudio; Embalado com características práticas; UI avançada</v>
      </c>
      <c r="B58628" s="3">
        <v>1</v>
      </c>
    </row>
    <row r="58629" ht="15.75" customHeight="1" spans="1:2">
      <c r="A58629" s="3" t="str">
        <f>IFERROR(__xludf.DUMMYFUNCTION("GOOGLETRANSLATE(A58629,""en"",""pt"")"),"forma redonda agradável com apertos de borracha, luzes azuis")</f>
        <v>forma redonda agradável com apertos de borracha, luzes azuis</v>
      </c>
      <c r="B58629" s="3">
        <v>1</v>
      </c>
    </row>
    <row r="58630" ht="15.75" customHeight="1" spans="1:2">
      <c r="A58630" s="3" t="str">
        <f>IFERROR(__xludf.DUMMYFUNCTION("GOOGLETRANSLATE(A58630,""en"",""pt"")"),"Boa recepção, grande tamanho, e estilo único")</f>
        <v>Boa recepção, grande tamanho, e estilo único</v>
      </c>
      <c r="B58630" s="3">
        <v>1</v>
      </c>
    </row>
    <row r="58631" ht="15.75" customHeight="1" spans="1:2">
      <c r="A58631" s="3" t="str">
        <f>IFERROR(__xludf.DUMMYFUNCTION("GOOGLETRANSLATE(A58631,""en"",""pt"")"),"nenhuma antena, luz azul brilhante quando o rosto está desligado. barato")</f>
        <v>nenhuma antena, luz azul brilhante quando o rosto está desligado. barato</v>
      </c>
      <c r="B58631" s="3">
        <v>1</v>
      </c>
    </row>
    <row r="58632" ht="15.75" customHeight="1" spans="1:2">
      <c r="A58632" s="3" t="str">
        <f>IFERROR(__xludf.DUMMYFUNCTION("GOOGLETRANSLATE(A58632,""en"",""pt"")"),"Barato. luz de fundo azul.")</f>
        <v>Barato. luz de fundo azul.</v>
      </c>
      <c r="B58632" s="3">
        <v>1</v>
      </c>
    </row>
    <row r="58633" ht="15.75" customHeight="1" spans="1:2">
      <c r="A58633" s="3" t="str">
        <f>IFERROR(__xludf.DUMMYFUNCTION("GOOGLETRANSLATE(A58633,""en"",""pt"")"),"pequeno, concha, chamada clareza, 1xRTT capaz, som midi (polifônico), web-enabled")</f>
        <v>pequeno, concha, chamada clareza, 1xRTT capaz, som midi (polifônico), web-enabled</v>
      </c>
      <c r="B58633" s="3">
        <v>1</v>
      </c>
    </row>
    <row r="58634" ht="15.75" customHeight="1" spans="1:2">
      <c r="A58634" s="3" t="str">
        <f>IFERROR(__xludf.DUMMYFUNCTION("GOOGLETRANSLATE(A58634,""en"",""pt"")"),"Pequeno, estilo clássico + fresco, tela excelente, 1xRTT pronto, discagem por voz / gravação, excelente estrondo para fanfarrão")</f>
        <v>Pequeno, estilo clássico + fresco, tela excelente, 1xRTT pronto, discagem por voz / gravação, excelente estrondo para fanfarrão</v>
      </c>
      <c r="B58634" s="3">
        <v>1</v>
      </c>
    </row>
    <row r="58635" ht="15.75" customHeight="1" spans="1:2">
      <c r="A58635" s="3" t="str">
        <f>IFERROR(__xludf.DUMMYFUNCTION("GOOGLETRANSLATE(A58635,""en"",""pt"")"),"Pequeno e leve, fácil de usar, muito elegante display LCD, externo")</f>
        <v>Pequeno e leve, fácil de usar, muito elegante display LCD, externo</v>
      </c>
      <c r="B58635" s="3">
        <v>1</v>
      </c>
    </row>
    <row r="58636" ht="15.75" customHeight="1" spans="1:2">
      <c r="A58636" s="3" t="str">
        <f>IFERROR(__xludf.DUMMYFUNCTION("GOOGLETRANSLATE(A58636,""en"",""pt"")"),"tamanho, estilo, variedade de recursos.")</f>
        <v>tamanho, estilo, variedade de recursos.</v>
      </c>
      <c r="B58636" s="3">
        <v>1</v>
      </c>
    </row>
    <row r="58637" ht="15.75" customHeight="1" spans="1:2">
      <c r="A58637" s="3" t="str">
        <f>IFERROR(__xludf.DUMMYFUNCTION("GOOGLETRANSLATE(A58637,""en"",""pt"")"),"Pequenas e luz, recepção e clareza de som, bateria, monitor externo, Internet rápida")</f>
        <v>Pequenas e luz, recepção e clareza de som, bateria, monitor externo, Internet rápida</v>
      </c>
      <c r="B58637" s="3">
        <v>1</v>
      </c>
    </row>
    <row r="58638" ht="15.75" customHeight="1" spans="1:2">
      <c r="A58638" s="3" t="str">
        <f>IFERROR(__xludf.DUMMYFUNCTION("GOOGLETRANSLATE(A58638,""en"",""pt"")"),"muito elegante, elegante e aparência profissional, tem o que você vai usar mais provável")</f>
        <v>muito elegante, elegante e aparência profissional, tem o que você vai usar mais provável</v>
      </c>
      <c r="B58638" s="3">
        <v>1</v>
      </c>
    </row>
    <row r="58639" ht="15.75" customHeight="1" spans="1:2">
      <c r="A58639" s="3" t="str">
        <f>IFERROR(__xludf.DUMMYFUNCTION("GOOGLETRANSLATE(A58639,""en"",""pt"")"),"Grande Chamada Clarity, peso leve, tamanho pequeno, boa recepção. Telefone resistente.")</f>
        <v>Grande Chamada Clarity, peso leve, tamanho pequeno, boa recepção. Telefone resistente.</v>
      </c>
      <c r="B58639" s="3">
        <v>1</v>
      </c>
    </row>
    <row r="58640" ht="15.75" customHeight="1" spans="1:2">
      <c r="A58640" s="3" t="str">
        <f>IFERROR(__xludf.DUMMYFUNCTION("GOOGLETRANSLATE(A58640,""en"",""pt"")"),"Vida e projeto da bateria")</f>
        <v>Vida e projeto da bateria</v>
      </c>
      <c r="B58640" s="3">
        <v>1</v>
      </c>
    </row>
    <row r="58641" ht="15.75" customHeight="1" spans="1:2">
      <c r="A58641" s="3" t="str">
        <f>IFERROR(__xludf.DUMMYFUNCTION("GOOGLETRANSLATE(A58641,""en"",""pt"")"),"elegante, flexível, botão de modo maneira, boa recepção e som")</f>
        <v>elegante, flexível, botão de modo maneira, boa recepção e som</v>
      </c>
      <c r="B58641" s="3">
        <v>1</v>
      </c>
    </row>
    <row r="58642" ht="15.75" customHeight="1" spans="1:2">
      <c r="A58642" s="3" t="str">
        <f>IFERROR(__xludf.DUMMYFUNCTION("GOOGLETRANSLATE(A58642,""en"",""pt"")"),"Fácil de ler LCD,-discagem por voz, elegante")</f>
        <v>Fácil de ler LCD,-discagem por voz, elegante</v>
      </c>
      <c r="B58642" s="3">
        <v>1</v>
      </c>
    </row>
    <row r="58643" ht="15.75" customHeight="1" spans="1:2">
      <c r="A58643" s="3" t="str">
        <f>IFERROR(__xludf.DUMMYFUNCTION("GOOGLETRANSLATE(A58643,""en"",""pt"")"),"Tamanho, características, recepção, estilo")</f>
        <v>Tamanho, características, recepção, estilo</v>
      </c>
      <c r="B58643" s="3">
        <v>1</v>
      </c>
    </row>
    <row r="58644" ht="15.75" customHeight="1" spans="1:2">
      <c r="A58644" s="3" t="str">
        <f>IFERROR(__xludf.DUMMYFUNCTION("GOOGLETRANSLATE(A58644,""en"",""pt"")"),"Parece puro.")</f>
        <v>Parece puro.</v>
      </c>
      <c r="B58644" s="3">
        <v>1</v>
      </c>
    </row>
    <row r="58645" ht="15.75" customHeight="1" spans="1:2">
      <c r="A58645" s="3" t="str">
        <f>IFERROR(__xludf.DUMMYFUNCTION("GOOGLETRANSLATE(A58645,""en"",""pt"")"),"Clareza, tamanho e design!")</f>
        <v>Clareza, tamanho e design!</v>
      </c>
      <c r="B58645" s="3">
        <v>1</v>
      </c>
    </row>
    <row r="58646" ht="15.75" customHeight="1" spans="1:2">
      <c r="A58646" s="3" t="str">
        <f>IFERROR(__xludf.DUMMYFUNCTION("GOOGLETRANSLATE(A58646,""en"",""pt"")"),"Grande interface de usuário; grandes recursos")</f>
        <v>Grande interface de usuário; grandes recursos</v>
      </c>
      <c r="B58646" s="3">
        <v>1</v>
      </c>
    </row>
    <row r="58647" ht="15.75" customHeight="1" spans="1:2">
      <c r="A58647" s="3" t="str">
        <f>IFERROR(__xludf.DUMMYFUNCTION("GOOGLETRANSLATE(A58647,""en"",""pt"")"),"pequeno tamanho, qualidade de som decente e vida útil da bateria, rápido e modo de maneira conveniente")</f>
        <v>pequeno tamanho, qualidade de som decente e vida útil da bateria, rápido e modo de maneira conveniente</v>
      </c>
      <c r="B58647" s="3">
        <v>1</v>
      </c>
    </row>
    <row r="58648" ht="15.75" customHeight="1" spans="1:2">
      <c r="A58648" s="3" t="str">
        <f>IFERROR(__xludf.DUMMYFUNCTION("GOOGLETRANSLATE(A58648,""en"",""pt"")"),"Grande telefone compacto; fácil de ler a tela para o uso da web.")</f>
        <v>Grande telefone compacto; fácil de ler a tela para o uso da web.</v>
      </c>
      <c r="B58648" s="3">
        <v>1</v>
      </c>
    </row>
    <row r="58649" ht="15.75" customHeight="1" spans="1:2">
      <c r="A58649" s="3" t="str">
        <f>IFERROR(__xludf.DUMMYFUNCTION("GOOGLETRANSLATE(A58649,""en"",""pt"")"),"Pequeno, Elegante, muitos recursos, e muitas de extras")</f>
        <v>Pequeno, Elegante, muitos recursos, e muitas de extras</v>
      </c>
      <c r="B58649" s="3">
        <v>1</v>
      </c>
    </row>
    <row r="58650" ht="15.75" customHeight="1" spans="1:2">
      <c r="A58650" s="3" t="str">
        <f>IFERROR(__xludf.DUMMYFUNCTION("GOOGLETRANSLATE(A58650,""en"",""pt"")"),"Excelente recepção, Nice grande LCD, muito fácil de ver as chaves no escuro, bom tamanho")</f>
        <v>Excelente recepção, Nice grande LCD, muito fácil de ver as chaves no escuro, bom tamanho</v>
      </c>
      <c r="B58650" s="3">
        <v>1</v>
      </c>
    </row>
    <row r="58651" ht="15.75" customHeight="1" spans="1:2">
      <c r="A58651" s="3" t="str">
        <f>IFERROR(__xludf.DUMMYFUNCTION("GOOGLETRANSLATE(A58651,""en"",""pt"")"),"Mais clara telefone que eu já tive!")</f>
        <v>Mais clara telefone que eu já tive!</v>
      </c>
      <c r="B58651" s="3">
        <v>1</v>
      </c>
    </row>
    <row r="58652" ht="15.75" customHeight="1" spans="1:2">
      <c r="A58652" s="3" t="str">
        <f>IFERROR(__xludf.DUMMYFUNCTION("GOOGLETRANSLATE(A58652,""en"",""pt"")"),"pequeno, leve")</f>
        <v>pequeno, leve</v>
      </c>
      <c r="B58652" s="3">
        <v>1</v>
      </c>
    </row>
    <row r="58653" ht="15.75" customHeight="1" spans="1:2">
      <c r="A58653" s="3" t="str">
        <f>IFERROR(__xludf.DUMMYFUNCTION("GOOGLETRANSLATE(A58653,""en"",""pt"")"),"Simples, pequeno, bateria de longa duração, mensagens de texto, Organizador de Eventos")</f>
        <v>Simples, pequeno, bateria de longa duração, mensagens de texto, Organizador de Eventos</v>
      </c>
      <c r="B58653" s="3">
        <v>1</v>
      </c>
    </row>
    <row r="58654" ht="15.75" customHeight="1" spans="1:2">
      <c r="A58654" s="3" t="str">
        <f>IFERROR(__xludf.DUMMYFUNCTION("GOOGLETRANSLATE(A58654,""en"",""pt"")"),"Fácil, muito portátil, tem tudo o que preciso")</f>
        <v>Fácil, muito portátil, tem tudo o que preciso</v>
      </c>
      <c r="B58654" s="3">
        <v>1</v>
      </c>
    </row>
    <row r="58655" ht="15.75" customHeight="1" spans="1:2">
      <c r="A58655" s="3" t="str">
        <f>IFERROR(__xludf.DUMMYFUNCTION("GOOGLETRANSLATE(A58655,""en"",""pt"")"),"Pequeno e compacto, pode caber em qualquer lugar.")</f>
        <v>Pequeno e compacto, pode caber em qualquer lugar.</v>
      </c>
      <c r="B58655" s="3">
        <v>1</v>
      </c>
    </row>
    <row r="58656" ht="15.75" customHeight="1" spans="1:2">
      <c r="A58656" s="3" t="str">
        <f>IFERROR(__xludf.DUMMYFUNCTION("GOOGLETRANSLATE(A58656,""en"",""pt"")"),"Oferece uma série de tecnologia de ponta de hoje nas pontas dos seus dedos.")</f>
        <v>Oferece uma série de tecnologia de ponta de hoje nas pontas dos seus dedos.</v>
      </c>
      <c r="B58656" s="3">
        <v>1</v>
      </c>
    </row>
    <row r="58657" ht="15.75" customHeight="1" spans="1:2">
      <c r="A58657" s="3" t="str">
        <f>IFERROR(__xludf.DUMMYFUNCTION("GOOGLETRANSLATE(A58657,""en"",""pt"")"),"Speaker Telefone, Rádio, praticamente inquebrável, e muito mais ...")</f>
        <v>Speaker Telefone, Rádio, praticamente inquebrável, e muito mais ...</v>
      </c>
      <c r="B58657" s="3">
        <v>1</v>
      </c>
    </row>
    <row r="58658" ht="15.75" customHeight="1" spans="1:2">
      <c r="A58658" s="3" t="str">
        <f>IFERROR(__xludf.DUMMYFUNCTION("GOOGLETRANSLATE(A58658,""en"",""pt"")"),"Pequeno e surpreendentemente duráveis")</f>
        <v>Pequeno e surpreendentemente duráveis</v>
      </c>
      <c r="B58658" s="3">
        <v>1</v>
      </c>
    </row>
    <row r="58659" ht="15.75" customHeight="1" spans="1:2">
      <c r="A58659" s="3" t="str">
        <f>IFERROR(__xludf.DUMMYFUNCTION("GOOGLETRANSLATE(A58659,""en"",""pt"")"),"Elegante, teclado fechado, microfone perto de voz, Lith. Bateria")</f>
        <v>Elegante, teclado fechado, microfone perto de voz, Lith. Bateria</v>
      </c>
      <c r="B58659" s="3">
        <v>1</v>
      </c>
    </row>
    <row r="58660" ht="15.75" customHeight="1" spans="1:2">
      <c r="A58660" s="3" t="str">
        <f>IFERROR(__xludf.DUMMYFUNCTION("GOOGLETRANSLATE(A58660,""en"",""pt"")"),"alcance, pequenas, durabilidade, características, e anexos")</f>
        <v>alcance, pequenas, durabilidade, características, e anexos</v>
      </c>
      <c r="B58660" s="3">
        <v>1</v>
      </c>
    </row>
    <row r="58661" ht="15.75" customHeight="1" spans="1:2">
      <c r="A58661" s="3" t="str">
        <f>IFERROR(__xludf.DUMMYFUNCTION("GOOGLETRANSLATE(A58661,""en"",""pt"")"),"grande autonomia da bateria; durável")</f>
        <v>grande autonomia da bateria; durável</v>
      </c>
      <c r="B58661" s="3">
        <v>1</v>
      </c>
    </row>
    <row r="58662" ht="15.75" customHeight="1" spans="1:2">
      <c r="A58662" s="3" t="str">
        <f>IFERROR(__xludf.DUMMYFUNCTION("GOOGLETRANSLATE(A58662,""en"",""pt"")"),"Two-way rádio, habitação aparentemente inquebrável")</f>
        <v>Two-way rádio, habitação aparentemente inquebrável</v>
      </c>
      <c r="B58662" s="3">
        <v>1</v>
      </c>
    </row>
    <row r="58663" ht="15.75" customHeight="1" spans="1:2">
      <c r="A58663" s="3" t="str">
        <f>IFERROR(__xludf.DUMMYFUNCTION("GOOGLETRANSLATE(A58663,""en"",""pt"")"),"Tudo")</f>
        <v>Tudo</v>
      </c>
      <c r="B58663" s="3">
        <v>1</v>
      </c>
    </row>
    <row r="58664" ht="15.75" customHeight="1" spans="1:2">
      <c r="A58664" s="3" t="str">
        <f>IFERROR(__xludf.DUMMYFUNCTION("GOOGLETRANSLATE(A58664,""en"",""pt"")"),"Robusto, alto-falante")</f>
        <v>Robusto, alto-falante</v>
      </c>
      <c r="B58664" s="3">
        <v>1</v>
      </c>
    </row>
    <row r="58665" ht="15.75" customHeight="1" spans="1:2">
      <c r="A58665" s="3" t="str">
        <f>IFERROR(__xludf.DUMMYFUNCTION("GOOGLETRANSLATE(A58665,""en"",""pt"")"),"Durável")</f>
        <v>Durável</v>
      </c>
      <c r="B58665" s="3">
        <v>1</v>
      </c>
    </row>
    <row r="58666" ht="15.75" customHeight="1" spans="1:2">
      <c r="A58666" s="3" t="str">
        <f>IFERROR(__xludf.DUMMYFUNCTION("GOOGLETRANSLATE(A58666,""en"",""pt"")"),"Bem construído, facilidade de operação, internet, vida útil da bateria, rádio 2way, viva-voz, pode usar w / aba fechada, radiação de baixa")</f>
        <v>Bem construído, facilidade de operação, internet, vida útil da bateria, rádio 2way, viva-voz, pode usar w / aba fechada, radiação de baixa</v>
      </c>
      <c r="B58666" s="3">
        <v>1</v>
      </c>
    </row>
    <row r="58667" ht="15.75" customHeight="1" spans="1:2">
      <c r="A58667" s="3" t="str">
        <f>IFERROR(__xludf.DUMMYFUNCTION("GOOGLETRANSLATE(A58667,""en"",""pt"")"),"Leve, com excelente viva-voz")</f>
        <v>Leve, com excelente viva-voz</v>
      </c>
      <c r="B58667" s="3">
        <v>1</v>
      </c>
    </row>
    <row r="58668" ht="15.75" customHeight="1" spans="1:2">
      <c r="A58668" s="3" t="str">
        <f>IFERROR(__xludf.DUMMYFUNCTION("GOOGLETRANSLATE(A58668,""en"",""pt"")"),"tamanho semi-pequeno, grande qualidade de som, 4 opções de uso diferentes")</f>
        <v>tamanho semi-pequeno, grande qualidade de som, 4 opções de uso diferentes</v>
      </c>
      <c r="B58668" s="3">
        <v>1</v>
      </c>
    </row>
    <row r="58669" ht="15.75" customHeight="1" spans="1:2">
      <c r="A58669" s="3" t="str">
        <f>IFERROR(__xludf.DUMMYFUNCTION("GOOGLETRANSLATE(A58669,""en"",""pt"")"),"Tudo! Preço, características, tamanho! O único telefone que você nunca vai querer.")</f>
        <v>Tudo! Preço, características, tamanho! O único telefone que você nunca vai querer.</v>
      </c>
      <c r="B58669" s="3">
        <v>1</v>
      </c>
    </row>
    <row r="58670" ht="15.75" customHeight="1" spans="1:2">
      <c r="A58670" s="3" t="str">
        <f>IFERROR(__xludf.DUMMYFUNCTION("GOOGLETRANSLATE(A58670,""en"",""pt"")"),"Construído para durar, grande recepção")</f>
        <v>Construído para durar, grande recepção</v>
      </c>
      <c r="B58670" s="3">
        <v>1</v>
      </c>
    </row>
    <row r="58671" ht="15.75" customHeight="1" spans="1:2">
      <c r="A58671" s="3" t="str">
        <f>IFERROR(__xludf.DUMMYFUNCTION("GOOGLETRANSLATE(A58671,""en"",""pt"")"),"Quase tudo.")</f>
        <v>Quase tudo.</v>
      </c>
      <c r="B58671" s="3">
        <v>1</v>
      </c>
    </row>
    <row r="58672" ht="15.75" customHeight="1" spans="1:2">
      <c r="A58672" s="3" t="str">
        <f>IFERROR(__xludf.DUMMYFUNCTION("GOOGLETRANSLATE(A58672,""en"",""pt"")"),"leve, confiável e muito durável")</f>
        <v>leve, confiável e muito durável</v>
      </c>
      <c r="B58672" s="3">
        <v>1</v>
      </c>
    </row>
    <row r="58673" ht="15.75" customHeight="1" spans="1:2">
      <c r="A58673" s="3" t="str">
        <f>IFERROR(__xludf.DUMMYFUNCTION("GOOGLETRANSLATE(A58673,""en"",""pt"")"),"Parece ótimo! Lotes das características!")</f>
        <v>Parece ótimo! Lotes das características!</v>
      </c>
      <c r="B58673" s="3">
        <v>1</v>
      </c>
    </row>
    <row r="58674" ht="15.75" customHeight="1" spans="1:2">
      <c r="A58674" s="3" t="str">
        <f>IFERROR(__xludf.DUMMYFUNCTION("GOOGLETRANSLATE(A58674,""en"",""pt"")"),"Excelente serviço, Direct Connect, muito inovador")</f>
        <v>Excelente serviço, Direct Connect, muito inovador</v>
      </c>
      <c r="B58674" s="3">
        <v>1</v>
      </c>
    </row>
    <row r="58675" ht="15.75" customHeight="1" spans="1:2">
      <c r="A58675" s="3" t="str">
        <f>IFERROR(__xludf.DUMMYFUNCTION("GOOGLETRANSLATE(A58675,""en"",""pt"")"),"serviço de rádio de duas vias")</f>
        <v>serviço de rádio de duas vias</v>
      </c>
      <c r="B58675" s="3">
        <v>1</v>
      </c>
    </row>
    <row r="58676" ht="15.75" customHeight="1" spans="1:2">
      <c r="A58676" s="3" t="str">
        <f>IFERROR(__xludf.DUMMYFUNCTION("GOOGLETRANSLATE(A58676,""en"",""pt"")"),"Viva-voz, flip top, resistente design")</f>
        <v>Viva-voz, flip top, resistente design</v>
      </c>
      <c r="B58676" s="3">
        <v>1</v>
      </c>
    </row>
    <row r="58677" ht="15.75" customHeight="1" spans="1:2">
      <c r="A58677" s="3" t="str">
        <f>IFERROR(__xludf.DUMMYFUNCTION("GOOGLETRANSLATE(A58677,""en"",""pt"")"),"baixa radiação, baixo custo no telefone")</f>
        <v>baixa radiação, baixo custo no telefone</v>
      </c>
      <c r="B58677" s="3">
        <v>1</v>
      </c>
    </row>
    <row r="58678" ht="15.75" customHeight="1" spans="1:2">
      <c r="A58678" s="3" t="str">
        <f>IFERROR(__xludf.DUMMYFUNCTION("GOOGLETRANSLATE(A58678,""en"",""pt"")"),"Usando o Pronto Privada, eu posso sempre passar para o meu marido.")</f>
        <v>Usando o Pronto Privada, eu posso sempre passar para o meu marido.</v>
      </c>
      <c r="B58678" s="3">
        <v>1</v>
      </c>
    </row>
    <row r="58679" ht="15.75" customHeight="1" spans="1:2">
      <c r="A58679" s="3" t="str">
        <f>IFERROR(__xludf.DUMMYFUNCTION("GOOGLETRANSLATE(A58679,""en"",""pt"")"),"Praticamente inquebrável, paginação 2way, um monte de coisas")</f>
        <v>Praticamente inquebrável, paginação 2way, um monte de coisas</v>
      </c>
      <c r="B58679" s="3">
        <v>1</v>
      </c>
    </row>
    <row r="58680" ht="15.75" customHeight="1" spans="1:2">
      <c r="A58680" s="3" t="str">
        <f>IFERROR(__xludf.DUMMYFUNCTION("GOOGLETRANSLATE(A58680,""en"",""pt"")"),"Uma tonelada de recursos")</f>
        <v>Uma tonelada de recursos</v>
      </c>
      <c r="B58680" s="3">
        <v>1</v>
      </c>
    </row>
    <row r="58681" ht="15.75" customHeight="1" spans="1:2">
      <c r="A58681" s="3" t="str">
        <f>IFERROR(__xludf.DUMMYFUNCTION("GOOGLETRANSLATE(A58681,""en"",""pt"")"),"Muitas opções e extremamente durável. Direct-Connect é uma enorme poupança de dinheiro")</f>
        <v>Muitas opções e extremamente durável. Direct-Connect é uma enorme poupança de dinheiro</v>
      </c>
      <c r="B58681" s="3">
        <v>1</v>
      </c>
    </row>
    <row r="58682" ht="15.75" customHeight="1" spans="1:2">
      <c r="A58682" s="3" t="str">
        <f>IFERROR(__xludf.DUMMYFUNCTION("GOOGLETRANSLATE(A58682,""en"",""pt"")"),"Telefone mãos livres orador")</f>
        <v>Telefone mãos livres orador</v>
      </c>
      <c r="B58682" s="3">
        <v>1</v>
      </c>
    </row>
    <row r="58683" ht="15.75" customHeight="1" spans="1:2">
      <c r="A58683" s="3" t="str">
        <f>IFERROR(__xludf.DUMMYFUNCTION("GOOGLETRANSLATE(A58683,""en"",""pt"")"),"Nenhum")</f>
        <v>Nenhum</v>
      </c>
      <c r="B58683" s="3">
        <v>1</v>
      </c>
    </row>
    <row r="58684" ht="15.75" customHeight="1" spans="1:2">
      <c r="A58684" s="3" t="str">
        <f>IFERROR(__xludf.DUMMYFUNCTION("GOOGLETRANSLATE(A58684,""en"",""pt"")"),"Grande autonomia da bateria e super viva-voz")</f>
        <v>Grande autonomia da bateria e super viva-voz</v>
      </c>
      <c r="B58684" s="3">
        <v>1</v>
      </c>
    </row>
    <row r="58685" ht="15.75" customHeight="1" spans="1:2">
      <c r="A58685" s="3" t="str">
        <f>IFERROR(__xludf.DUMMYFUNCTION("GOOGLETRANSLATE(A58685,""en"",""pt"")"),"Pode usá-lo em qualquer lugar nação-wide com clareza")</f>
        <v>Pode usá-lo em qualquer lugar nação-wide com clareza</v>
      </c>
      <c r="B58685" s="3">
        <v>1</v>
      </c>
    </row>
    <row r="58686" ht="15.75" customHeight="1" spans="1:2">
      <c r="A58686" s="3" t="str">
        <f>IFERROR(__xludf.DUMMYFUNCTION("GOOGLETRANSLATE(A58686,""en"",""pt"")"),"telefone muito resistente")</f>
        <v>telefone muito resistente</v>
      </c>
      <c r="B58686" s="3">
        <v>1</v>
      </c>
    </row>
    <row r="58687" ht="15.75" customHeight="1" spans="1:2">
      <c r="A58687" s="3" t="str">
        <f>IFERROR(__xludf.DUMMYFUNCTION("GOOGLETRANSLATE(A58687,""en"",""pt"")"),"bom serviço")</f>
        <v>bom serviço</v>
      </c>
      <c r="B58687" s="3">
        <v>1</v>
      </c>
    </row>
    <row r="58688" ht="15.75" customHeight="1" spans="1:2">
      <c r="A58688" s="3" t="str">
        <f>IFERROR(__xludf.DUMMYFUNCTION("GOOGLETRANSLATE(A58688,""en"",""pt"")"),"tamanho justo, de boa aparência")</f>
        <v>tamanho justo, de boa aparência</v>
      </c>
      <c r="B58688" s="3">
        <v>1</v>
      </c>
    </row>
    <row r="58689" ht="15.75" customHeight="1" spans="1:2">
      <c r="A58689" s="3" t="str">
        <f>IFERROR(__xludf.DUMMYFUNCTION("GOOGLETRANSLATE(A58689,""en"",""pt"")"),"Grande, ver-thru aleta, design Durabilidade, Time-testado, e Preço")</f>
        <v>Grande, ver-thru aleta, design Durabilidade, Time-testado, e Preço</v>
      </c>
      <c r="B58689" s="3">
        <v>1</v>
      </c>
    </row>
    <row r="58690" ht="15.75" customHeight="1" spans="1:2">
      <c r="A58690" s="3" t="str">
        <f>IFERROR(__xludf.DUMMYFUNCTION("GOOGLETRANSLATE(A58690,""en"",""pt"")"),"Fácil de usar, grande menu, o ecrã cor, aparência agradável, alto-falante e telefone flip")</f>
        <v>Fácil de usar, grande menu, o ecrã cor, aparência agradável, alto-falante e telefone flip</v>
      </c>
      <c r="B58690" s="3">
        <v>1</v>
      </c>
    </row>
    <row r="58691" ht="15.75" customHeight="1" spans="1:2">
      <c r="A58691" s="3" t="str">
        <f>IFERROR(__xludf.DUMMYFUNCTION("GOOGLETRANSLATE(A58691,""en"",""pt"")"),"Slim, LCD Externo, External Ring-Silencer")</f>
        <v>Slim, LCD Externo, External Ring-Silencer</v>
      </c>
      <c r="B58691" s="3">
        <v>1</v>
      </c>
    </row>
    <row r="58692" ht="15.75" customHeight="1" spans="1:2">
      <c r="A58692" s="3" t="str">
        <f>IFERROR(__xludf.DUMMYFUNCTION("GOOGLETRANSLATE(A58692,""en"",""pt"")"),"Grande LCD interno; brilhante e colorido")</f>
        <v>Grande LCD interno; brilhante e colorido</v>
      </c>
      <c r="B58692" s="3">
        <v>1</v>
      </c>
    </row>
    <row r="58693" ht="15.75" customHeight="1" spans="1:2">
      <c r="A58693" s="3" t="str">
        <f>IFERROR(__xludf.DUMMYFUNCTION("GOOGLETRANSLATE(A58693,""en"",""pt"")"),"Grande LCD interno; brilhante e colorido menus de fácil utilização")</f>
        <v>Grande LCD interno; brilhante e colorido menus de fácil utilização</v>
      </c>
      <c r="B58693" s="3">
        <v>1</v>
      </c>
    </row>
    <row r="58694" ht="15.75" customHeight="1" spans="1:2">
      <c r="A58694" s="3" t="str">
        <f>IFERROR(__xludf.DUMMYFUNCTION("GOOGLETRANSLATE(A58694,""en"",""pt"")"),"Gráficos e clareza")</f>
        <v>Gráficos e clareza</v>
      </c>
      <c r="B58694" s="3">
        <v>1</v>
      </c>
    </row>
    <row r="58695" ht="15.75" customHeight="1" spans="1:2">
      <c r="A58695" s="3" t="str">
        <f>IFERROR(__xludf.DUMMYFUNCTION("GOOGLETRANSLATE(A58695,""en"",""pt"")"),"Extremamente durável, intuitivo, compacto e confiável.")</f>
        <v>Extremamente durável, intuitivo, compacto e confiável.</v>
      </c>
      <c r="B58695" s="3">
        <v>1</v>
      </c>
    </row>
    <row r="58696" ht="15.75" customHeight="1" spans="1:2">
      <c r="A58696" s="3" t="str">
        <f>IFERROR(__xludf.DUMMYFUNCTION("GOOGLETRANSLATE(A58696,""en"",""pt"")"),"Fácil de navegar. Mais recursos do que nunca poderia usar. Excelente qualidade de som. Tem viva-voz.")</f>
        <v>Fácil de navegar. Mais recursos do que nunca poderia usar. Excelente qualidade de som. Tem viva-voz.</v>
      </c>
      <c r="B58696" s="3">
        <v>1</v>
      </c>
    </row>
    <row r="58697" ht="15.75" customHeight="1" spans="1:2">
      <c r="A58697" s="3" t="str">
        <f>IFERROR(__xludf.DUMMYFUNCTION("GOOGLETRANSLATE(A58697,""en"",""pt"")"),"World Phone, Blue Back-light, Preço, carregado com características, Grande Clairity.")</f>
        <v>World Phone, Blue Back-light, Preço, carregado com características, Grande Clairity.</v>
      </c>
      <c r="B58697" s="3">
        <v>1</v>
      </c>
    </row>
    <row r="58698" ht="15.75" customHeight="1" spans="1:2">
      <c r="A58698" s="3" t="str">
        <f>IFERROR(__xludf.DUMMYFUNCTION("GOOGLETRANSLATE(A58698,""en"",""pt"")"),"tri-band GSM, pequeno e leve, boa recepção, estilo funky")</f>
        <v>tri-band GSM, pequeno e leve, boa recepção, estilo funky</v>
      </c>
      <c r="B58698" s="3">
        <v>1</v>
      </c>
    </row>
    <row r="58699" ht="15.75" customHeight="1" spans="1:2">
      <c r="A58699" s="3" t="str">
        <f>IFERROR(__xludf.DUMMYFUNCTION("GOOGLETRANSLATE(A58699,""en"",""pt"")"),"Barato, muito leve e compacto, telefone do mundo, GPRS, WAP, elegante e ergonómico, bom valor")</f>
        <v>Barato, muito leve e compacto, telefone do mundo, GPRS, WAP, elegante e ergonómico, bom valor</v>
      </c>
      <c r="B58699" s="3">
        <v>1</v>
      </c>
    </row>
    <row r="58700" ht="15.75" customHeight="1" spans="1:2">
      <c r="A58700" s="3" t="str">
        <f>IFERROR(__xludf.DUMMYFUNCTION("GOOGLETRANSLATE(A58700,""en"",""pt"")"),"Toneladas de recursos, de boa qualidade, tamanho perfeito, boa claridade, simples de usar &amp; # 13; &amp; # 10;")</f>
        <v>Toneladas de recursos, de boa qualidade, tamanho perfeito, boa claridade, simples de usar &amp; # 13; &amp; # 10;</v>
      </c>
      <c r="B58700" s="3">
        <v>1</v>
      </c>
    </row>
    <row r="58701" ht="15.75" customHeight="1" spans="1:2">
      <c r="A58701" s="3" t="str">
        <f>IFERROR(__xludf.DUMMYFUNCTION("GOOGLETRANSLATE(A58701,""en"",""pt"")"),"Palma da mão e telefone em um, triband telefone, o Palm apresenta a par com Palms atuais")</f>
        <v>Palma da mão e telefone em um, triband telefone, o Palm apresenta a par com Palms atuais</v>
      </c>
      <c r="B58701" s="3">
        <v>1</v>
      </c>
    </row>
    <row r="58702" ht="15.75" customHeight="1" spans="1:2">
      <c r="A58702" s="3" t="str">
        <f>IFERROR(__xludf.DUMMYFUNCTION("GOOGLETRANSLATE(A58702,""en"",""pt"")"),"PDA / telefone all-in-one. Alças agradàvel, boa qualidade de som &amp; # 13;. &amp; # 10; &amp; # 13; &amp; # 10;")</f>
        <v>PDA / telefone all-in-one. Alças agradàvel, boa qualidade de som &amp; # 13;. &amp; # 10; &amp; # 13; &amp; # 10;</v>
      </c>
      <c r="B58702" s="3">
        <v>1</v>
      </c>
    </row>
    <row r="58703" ht="15.75" customHeight="1" spans="1:2">
      <c r="A58703" s="3" t="str">
        <f>IFERROR(__xludf.DUMMYFUNCTION("GOOGLETRANSLATE(A58703,""en"",""pt"")"),"Tudo que você precisa enroladas em um dispositivo")</f>
        <v>Tudo que você precisa enroladas em um dispositivo</v>
      </c>
      <c r="B58703" s="3">
        <v>1</v>
      </c>
    </row>
    <row r="58704" ht="15.75" customHeight="1" spans="1:2">
      <c r="A58704" s="3" t="str">
        <f>IFERROR(__xludf.DUMMYFUNCTION("GOOGLETRANSLATE(A58704,""en"",""pt"")"),"PDA / telefone em uma única unidade, a compatibilidade PalmOS,")</f>
        <v>PDA / telefone em uma única unidade, a compatibilidade PalmOS,</v>
      </c>
      <c r="B58704" s="3">
        <v>1</v>
      </c>
    </row>
    <row r="58705" ht="15.75" customHeight="1" spans="1:2">
      <c r="A58705" s="3" t="str">
        <f>IFERROR(__xludf.DUMMYFUNCTION("GOOGLETRANSLATE(A58705,""en"",""pt"")"),"Reduzir transportando 2 itens para baixo para 1; rica em recursos")</f>
        <v>Reduzir transportando 2 itens para baixo para 1; rica em recursos</v>
      </c>
      <c r="B58705" s="3">
        <v>1</v>
      </c>
    </row>
    <row r="58706" ht="15.75" customHeight="1" spans="1:2">
      <c r="A58706" s="3" t="str">
        <f>IFERROR(__xludf.DUMMYFUNCTION("GOOGLETRANSLATE(A58706,""en"",""pt"")"),"Grande telefone, engloba 2 dispositivos em 1. Nunca saia de casa sem ele.")</f>
        <v>Grande telefone, engloba 2 dispositivos em 1. Nunca saia de casa sem ele.</v>
      </c>
      <c r="B58706" s="3">
        <v>1</v>
      </c>
    </row>
    <row r="58707" ht="15.75" customHeight="1" spans="1:2">
      <c r="A58707" s="3" t="str">
        <f>IFERROR(__xludf.DUMMYFUNCTION("GOOGLETRANSLATE(A58707,""en"",""pt"")"),"Integrado palma e Tri-band telefone CDMA")</f>
        <v>Integrado palma e Tri-band telefone CDMA</v>
      </c>
      <c r="B58707" s="3">
        <v>1</v>
      </c>
    </row>
    <row r="58708" ht="15.75" customHeight="1" spans="1:2">
      <c r="A58708" s="3" t="str">
        <f>IFERROR(__xludf.DUMMYFUNCTION("GOOGLETRANSLATE(A58708,""en"",""pt"")"),"características fantásticas")</f>
        <v>características fantásticas</v>
      </c>
      <c r="B58708" s="3">
        <v>1</v>
      </c>
    </row>
    <row r="58709" ht="15.75" customHeight="1" spans="1:2">
      <c r="A58709" s="3" t="str">
        <f>IFERROR(__xludf.DUMMYFUNCTION("GOOGLETRANSLATE(A58709,""en"",""pt"")"),"Nice all-in-one pacote; grandes recursos")</f>
        <v>Nice all-in-one pacote; grandes recursos</v>
      </c>
      <c r="B58709" s="3">
        <v>1</v>
      </c>
    </row>
    <row r="58710" ht="15.75" customHeight="1" spans="1:2">
      <c r="A58710" s="3" t="str">
        <f>IFERROR(__xludf.DUMMYFUNCTION("GOOGLETRANSLATE(A58710,""en"",""pt"")"),"Recursos, o acesso ISP, All in One conveniência.")</f>
        <v>Recursos, o acesso ISP, All in One conveniência.</v>
      </c>
      <c r="B58710" s="3">
        <v>1</v>
      </c>
    </row>
    <row r="58711" ht="15.75" customHeight="1" spans="1:2">
      <c r="A58711" s="3" t="str">
        <f>IFERROR(__xludf.DUMMYFUNCTION("GOOGLETRANSLATE(A58711,""en"",""pt"")"),"Melhor da raça. oferece com sucesso a funcionalidade de telefone e de palma em uma solução acessível.")</f>
        <v>Melhor da raça. oferece com sucesso a funcionalidade de telefone e de palma em uma solução acessível.</v>
      </c>
      <c r="B58711" s="3">
        <v>1</v>
      </c>
    </row>
    <row r="58712" ht="15.75" customHeight="1" spans="1:2">
      <c r="A58712" s="3" t="str">
        <f>IFERROR(__xludf.DUMMYFUNCTION("GOOGLETRANSLATE(A58712,""en"",""pt"")"),"Não há necessidade de transportar 2 itens (PDA e celulares); web sem fio que é útil")</f>
        <v>Não há necessidade de transportar 2 itens (PDA e celulares); web sem fio que é útil</v>
      </c>
      <c r="B58712" s="3">
        <v>1</v>
      </c>
    </row>
    <row r="58713" ht="15.75" customHeight="1" spans="1:2">
      <c r="A58713" s="3" t="str">
        <f>IFERROR(__xludf.DUMMYFUNCTION("GOOGLETRANSLATE(A58713,""en"",""pt"")"),"É um dispositivo que tem um monte de funcionalidade e uma vida boa bateria")</f>
        <v>É um dispositivo que tem um monte de funcionalidade e uma vida boa bateria</v>
      </c>
      <c r="B58713" s="3">
        <v>1</v>
      </c>
    </row>
    <row r="58714" ht="15.75" customHeight="1" spans="1:2">
      <c r="A58714" s="3" t="str">
        <f>IFERROR(__xludf.DUMMYFUNCTION("GOOGLETRANSLATE(A58714,""en"",""pt"")"),"Palma PDA e celular em uma")</f>
        <v>Palma PDA e celular em uma</v>
      </c>
      <c r="B58714" s="3">
        <v>1</v>
      </c>
    </row>
    <row r="58715" ht="15.75" customHeight="1" spans="1:2">
      <c r="A58715" s="3" t="str">
        <f>IFERROR(__xludf.DUMMYFUNCTION("GOOGLETRANSLATE(A58715,""en"",""pt"")"),"conectividade com a Internet, armazenamento de dados bom, compatibilidade com palmeiras e vários daqueles aplicativos")</f>
        <v>conectividade com a Internet, armazenamento de dados bom, compatibilidade com palmeiras e vários daqueles aplicativos</v>
      </c>
      <c r="B58715" s="3">
        <v>1</v>
      </c>
    </row>
    <row r="58716" ht="15.75" customHeight="1" spans="1:2">
      <c r="A58716" s="3" t="str">
        <f>IFERROR(__xludf.DUMMYFUNCTION("GOOGLETRANSLATE(A58716,""en"",""pt"")"),"Combina telefone, PIM, Fax, e Net tudo em um único dispositivo.")</f>
        <v>Combina telefone, PIM, Fax, e Net tudo em um único dispositivo.</v>
      </c>
      <c r="B58716" s="3">
        <v>1</v>
      </c>
    </row>
    <row r="58717" ht="15.75" customHeight="1" spans="1:2">
      <c r="A58717" s="3" t="str">
        <f>IFERROR(__xludf.DUMMYFUNCTION("GOOGLETRANSLATE(A58717,""en"",""pt"")"),"Palma da mão e telefone celular em uma unidade. Acesso sem fio à internet.")</f>
        <v>Palma da mão e telefone celular em uma unidade. Acesso sem fio à internet.</v>
      </c>
      <c r="B58717" s="3">
        <v>1</v>
      </c>
    </row>
    <row r="58718" ht="15.75" customHeight="1" spans="1:2">
      <c r="A58718" s="3" t="str">
        <f>IFERROR(__xludf.DUMMYFUNCTION("GOOGLETRANSLATE(A58718,""en"",""pt"")"),"tudo em um dispositivo")</f>
        <v>tudo em um dispositivo</v>
      </c>
      <c r="B58718" s="3">
        <v>1</v>
      </c>
    </row>
    <row r="58719" ht="15.75" customHeight="1" spans="1:2">
      <c r="A58719" s="3" t="str">
        <f>IFERROR(__xludf.DUMMYFUNCTION("GOOGLETRANSLATE(A58719,""en"",""pt"")"),"Grande ideia, Palm OS foi um excelente complemento")</f>
        <v>Grande ideia, Palm OS foi um excelente complemento</v>
      </c>
      <c r="B58719" s="3">
        <v>1</v>
      </c>
    </row>
    <row r="58720" ht="15.75" customHeight="1" spans="1:2">
      <c r="A58720" s="3" t="str">
        <f>IFERROR(__xludf.DUMMYFUNCTION("GOOGLETRANSLATE(A58720,""en"",""pt"")"),"Um PDA e telefone tudo em um!")</f>
        <v>Um PDA e telefone tudo em um!</v>
      </c>
      <c r="B58720" s="3">
        <v>1</v>
      </c>
    </row>
    <row r="58721" ht="15.75" customHeight="1" spans="1:2">
      <c r="A58721" s="3" t="str">
        <f>IFERROR(__xludf.DUMMYFUNCTION("GOOGLETRANSLATE(A58721,""en"",""pt"")"),"Palm OS, funcionalidade, flexibilidade")</f>
        <v>Palm OS, funcionalidade, flexibilidade</v>
      </c>
      <c r="B58721" s="3">
        <v>1</v>
      </c>
    </row>
    <row r="58722" ht="15.75" customHeight="1" spans="1:2">
      <c r="A58722" s="3" t="str">
        <f>IFERROR(__xludf.DUMMYFUNCTION("GOOGLETRANSLATE(A58722,""en"",""pt"")"),"Grande ideia: um telefone e PDA em um; sem grandes problemas")</f>
        <v>Grande ideia: um telefone e PDA em um; sem grandes problemas</v>
      </c>
      <c r="B58722" s="3">
        <v>1</v>
      </c>
    </row>
    <row r="58723" ht="15.75" customHeight="1" spans="1:2">
      <c r="A58723" s="3" t="str">
        <f>IFERROR(__xludf.DUMMYFUNCTION("GOOGLETRANSLATE(A58723,""en"",""pt"")"),"Mais confortavelmente médias PDA / telefone combinação.")</f>
        <v>Mais confortavelmente médias PDA / telefone combinação.</v>
      </c>
      <c r="B58723" s="3">
        <v>1</v>
      </c>
    </row>
    <row r="58724" ht="15.75" customHeight="1" spans="1:2">
      <c r="A58724" s="3" t="str">
        <f>IFERROR(__xludf.DUMMYFUNCTION("GOOGLETRANSLATE(A58724,""en"",""pt"")"),"PDA telefone funcionalidade / celular em um pacote ""razoavelmente pequeno"". grande vida da bateria")</f>
        <v>PDA telefone funcionalidade / celular em um pacote "razoavelmente pequeno". grande vida da bateria</v>
      </c>
      <c r="B58724" s="3">
        <v>1</v>
      </c>
    </row>
    <row r="58725" ht="15.75" customHeight="1" spans="1:2">
      <c r="A58725" s="3" t="str">
        <f>IFERROR(__xludf.DUMMYFUNCTION("GOOGLETRANSLATE(A58725,""en"",""pt"")"),"Muito versátil - telefone cheio de recursos e-mail / navegador web tudo em um a um bom preço.")</f>
        <v>Muito versátil - telefone cheio de recursos e-mail / navegador web tudo em um a um bom preço.</v>
      </c>
      <c r="B58725" s="3">
        <v>1</v>
      </c>
    </row>
    <row r="58726" ht="15.75" customHeight="1" spans="1:2">
      <c r="A58726" s="3" t="str">
        <f>IFERROR(__xludf.DUMMYFUNCTION("GOOGLETRANSLATE(A58726,""en"",""pt"")"),"Palm and Handheld em uma unidade")</f>
        <v>Palm and Handheld em uma unidade</v>
      </c>
      <c r="B58726" s="3">
        <v>1</v>
      </c>
    </row>
    <row r="58727" ht="15.75" customHeight="1" spans="1:2">
      <c r="A58727" s="3" t="str">
        <f>IFERROR(__xludf.DUMMYFUNCTION("GOOGLETRANSLATE(A58727,""en"",""pt"")"),"Boa telefone celular em habitação durável. grande speakerphone")</f>
        <v>Boa telefone celular em habitação durável. grande speakerphone</v>
      </c>
      <c r="B58727" s="3">
        <v>1</v>
      </c>
    </row>
    <row r="58728" ht="15.75" customHeight="1" spans="1:2">
      <c r="A58728" s="3" t="str">
        <f>IFERROR(__xludf.DUMMYFUNCTION("GOOGLETRANSLATE(A58728,""en"",""pt"")"),"Tudo em um e capaz de integrar as necessidades de telefonia e bancos de dados de palma")</f>
        <v>Tudo em um e capaz de integrar as necessidades de telefonia e bancos de dados de palma</v>
      </c>
      <c r="B58728" s="3">
        <v>1</v>
      </c>
    </row>
    <row r="58729" ht="15.75" customHeight="1" spans="1:2">
      <c r="A58729" s="3" t="str">
        <f>IFERROR(__xludf.DUMMYFUNCTION("GOOGLETRANSLATE(A58729,""en"",""pt"")"),"O gerenciamento de energia é grande &amp; # 13;. &amp; # 10; PalmOS com poder web real.")</f>
        <v>O gerenciamento de energia é grande &amp; # 13;. &amp; # 10; PalmOS com poder web real.</v>
      </c>
      <c r="B58729" s="3">
        <v>1</v>
      </c>
    </row>
    <row r="58730" ht="15.75" customHeight="1" spans="1:2">
      <c r="A58730" s="3" t="str">
        <f>IFERROR(__xludf.DUMMYFUNCTION("GOOGLETRANSLATE(A58730,""en"",""pt"")"),"piloto da palma Integrado")</f>
        <v>piloto da palma Integrado</v>
      </c>
      <c r="B58730" s="3">
        <v>1</v>
      </c>
    </row>
    <row r="58731" ht="15.75" customHeight="1" spans="1:2">
      <c r="A58731" s="3" t="str">
        <f>IFERROR(__xludf.DUMMYFUNCTION("GOOGLETRANSLATE(A58731,""en"",""pt"")"),"Parece bom, muito conveniente, um Palm Pilot e telefone em um navegador real, Web!")</f>
        <v>Parece bom, muito conveniente, um Palm Pilot e telefone em um navegador real, Web!</v>
      </c>
      <c r="B58731" s="3">
        <v>1</v>
      </c>
    </row>
    <row r="58732" ht="15.75" customHeight="1" spans="1:2">
      <c r="A58732" s="3" t="str">
        <f>IFERROR(__xludf.DUMMYFUNCTION("GOOGLETRANSLATE(A58732,""en"",""pt"")"),"Integrado Palm OS, interface do usuário, a vida da bateria")</f>
        <v>Integrado Palm OS, interface do usuário, a vida da bateria</v>
      </c>
      <c r="B58732" s="3">
        <v>1</v>
      </c>
    </row>
    <row r="58733" ht="15.75" customHeight="1" spans="1:2">
      <c r="A58733" s="3" t="str">
        <f>IFERROR(__xludf.DUMMYFUNCTION("GOOGLETRANSLATE(A58733,""en"",""pt"")"),"Tudo que você precisa é neste telefone! Boa duração da bateria, muitas ferramentas maravilhosas.")</f>
        <v>Tudo que você precisa é neste telefone! Boa duração da bateria, muitas ferramentas maravilhosas.</v>
      </c>
      <c r="B58733" s="3">
        <v>1</v>
      </c>
    </row>
    <row r="58734" ht="15.75" customHeight="1" spans="1:2">
      <c r="A58734" s="3" t="str">
        <f>IFERROR(__xludf.DUMMYFUNCTION("GOOGLETRANSLATE(A58734,""en"",""pt"")"),"vida útil da bateria")</f>
        <v>vida útil da bateria</v>
      </c>
      <c r="B58734" s="3">
        <v>1</v>
      </c>
    </row>
    <row r="58735" ht="15.75" customHeight="1" spans="1:2">
      <c r="A58735" s="3" t="str">
        <f>IFERROR(__xludf.DUMMYFUNCTION("GOOGLETRANSLATE(A58735,""en"",""pt"")"),"Grande integração de palma e vida útil da bateria. Tudo em 1 maravilha.")</f>
        <v>Grande integração de palma e vida útil da bateria. Tudo em 1 maravilha.</v>
      </c>
      <c r="B58735" s="3">
        <v>1</v>
      </c>
    </row>
    <row r="58736" ht="15.75" customHeight="1" spans="1:2">
      <c r="A58736" s="3" t="str">
        <f>IFERROR(__xludf.DUMMYFUNCTION("GOOGLETRANSLATE(A58736,""en"",""pt"")"),"Discagem por voz, viva-voz, bateria de longa duração.")</f>
        <v>Discagem por voz, viva-voz, bateria de longa duração.</v>
      </c>
      <c r="B58736" s="3">
        <v>1</v>
      </c>
    </row>
    <row r="58737" ht="15.75" customHeight="1" spans="1:2">
      <c r="A58737" s="3" t="str">
        <f>IFERROR(__xludf.DUMMYFUNCTION("GOOGLETRANSLATE(A58737,""en"",""pt"")"),"Uau, o que eu sempre quis - PDA e telefone em um!")</f>
        <v>Uau, o que eu sempre quis - PDA e telefone em um!</v>
      </c>
      <c r="B58737" s="3">
        <v>1</v>
      </c>
    </row>
    <row r="58738" ht="15.75" customHeight="1" spans="1:2">
      <c r="A58738" s="3" t="str">
        <f>IFERROR(__xludf.DUMMYFUNCTION("GOOGLETRANSLATE(A58738,""en"",""pt"")"),"combinação eficaz de telefone e PDA; Você recebe o que você paga.")</f>
        <v>combinação eficaz de telefone e PDA; Você recebe o que você paga.</v>
      </c>
      <c r="B58738" s="3">
        <v>1</v>
      </c>
    </row>
    <row r="58739" ht="15.75" customHeight="1" spans="1:2">
      <c r="A58739" s="3" t="str">
        <f>IFERROR(__xludf.DUMMYFUNCTION("GOOGLETRANSLATE(A58739,""en"",""pt"")"),"Excelente tamanho, boa integração, estável")</f>
        <v>Excelente tamanho, boa integração, estável</v>
      </c>
      <c r="B58739" s="3">
        <v>1</v>
      </c>
    </row>
    <row r="58740" ht="15.75" customHeight="1" spans="1:2">
      <c r="A58740" s="3" t="str">
        <f>IFERROR(__xludf.DUMMYFUNCTION("GOOGLETRANSLATE(A58740,""en"",""pt"")"),"Viva-voz, PalmV, Web Access, Big Screen, Syncs grande com Outlook")</f>
        <v>Viva-voz, PalmV, Web Access, Big Screen, Syncs grande com Outlook</v>
      </c>
      <c r="B58740" s="3">
        <v>1</v>
      </c>
    </row>
    <row r="58741" ht="15.75" customHeight="1" spans="1:2">
      <c r="A58741" s="3" t="str">
        <f>IFERROR(__xludf.DUMMYFUNCTION("GOOGLETRANSLATE(A58741,""en"",""pt"")"),"Serve a dois propósitos em um, Boa comando de voz")</f>
        <v>Serve a dois propósitos em um, Boa comando de voz</v>
      </c>
      <c r="B58741" s="3">
        <v>1</v>
      </c>
    </row>
    <row r="58742" ht="15.75" customHeight="1" spans="1:2">
      <c r="A58742" s="3" t="str">
        <f>IFERROR(__xludf.DUMMYFUNCTION("GOOGLETRANSLATE(A58742,""en"",""pt"")"),"Preço (baixo para US $ 99 agora!) E conveniência")</f>
        <v>Preço (baixo para US $ 99 agora!) E conveniência</v>
      </c>
      <c r="B58742" s="3">
        <v>1</v>
      </c>
    </row>
    <row r="58743" ht="15.75" customHeight="1" spans="1:2">
      <c r="A58743" s="3" t="str">
        <f>IFERROR(__xludf.DUMMYFUNCTION("GOOGLETRANSLATE(A58743,""en"",""pt"")"),"Integração")</f>
        <v>Integração</v>
      </c>
      <c r="B58743" s="3">
        <v>1</v>
      </c>
    </row>
    <row r="58744" ht="15.75" customHeight="1" spans="1:2">
      <c r="A58744" s="3" t="str">
        <f>IFERROR(__xludf.DUMMYFUNCTION("GOOGLETRANSLATE(A58744,""en"",""pt"")"),"Organize-se, navegar na web, jogar jogos e falar ao telefone!")</f>
        <v>Organize-se, navegar na web, jogar jogos e falar ao telefone!</v>
      </c>
      <c r="B58744" s="3">
        <v>1</v>
      </c>
    </row>
    <row r="58745" ht="15.75" customHeight="1" spans="1:2">
      <c r="A58745" s="3" t="str">
        <f>IFERROR(__xludf.DUMMYFUNCTION("GOOGLETRANSLATE(A58745,""en"",""pt"")"),"PDA e telefone, menor do que o modelo anterior, uma boa recepção")</f>
        <v>PDA e telefone, menor do que o modelo anterior, uma boa recepção</v>
      </c>
      <c r="B58745" s="3">
        <v>1</v>
      </c>
    </row>
    <row r="58746" ht="15.75" customHeight="1" spans="1:2">
      <c r="A58746" s="3" t="str">
        <f>IFERROR(__xludf.DUMMYFUNCTION("GOOGLETRANSLATE(A58746,""en"",""pt"")"),"Tem todas as funções de palma; parte de conversação interessante")</f>
        <v>Tem todas as funções de palma; parte de conversação interessante</v>
      </c>
      <c r="B58746" s="3">
        <v>1</v>
      </c>
    </row>
    <row r="58747" ht="15.75" customHeight="1" spans="1:2">
      <c r="A58747" s="3" t="str">
        <f>IFERROR(__xludf.DUMMYFUNCTION("GOOGLETRANSLATE(A58747,""en"",""pt"")"),"Grande autonomia da bateria, a integração Boa PDA, rico em recursos")</f>
        <v>Grande autonomia da bateria, a integração Boa PDA, rico em recursos</v>
      </c>
      <c r="B58747" s="3">
        <v>1</v>
      </c>
    </row>
    <row r="58748" ht="15.75" customHeight="1" spans="1:2">
      <c r="A58748" s="3" t="str">
        <f>IFERROR(__xludf.DUMMYFUNCTION("GOOGLETRANSLATE(A58748,""en"",""pt"")"),"Excelente qualidade de voz - e você terá um dispositivo Palm como um bônus")</f>
        <v>Excelente qualidade de voz - e você terá um dispositivo Palm como um bônus</v>
      </c>
      <c r="B58748" s="3">
        <v>1</v>
      </c>
    </row>
    <row r="58749" ht="15.75" customHeight="1" spans="1:2">
      <c r="A58749" s="3" t="str">
        <f>IFERROR(__xludf.DUMMYFUNCTION("GOOGLETRANSLATE(A58749,""en"",""pt"")"),"Excelente integração de palma e telefone &amp; # 13; &amp; # 10; Excelente para usar em um veículo")</f>
        <v>Excelente integração de palma e telefone &amp; # 13; &amp; # 10; Excelente para usar em um veículo</v>
      </c>
      <c r="B58749" s="3">
        <v>1</v>
      </c>
    </row>
    <row r="58750" ht="15.75" customHeight="1" spans="1:2">
      <c r="A58750" s="3" t="str">
        <f>IFERROR(__xludf.DUMMYFUNCTION("GOOGLETRANSLATE(A58750,""en"",""pt"")"),"Great ter um telefone e Plam em um; grande autonomia da bateria!")</f>
        <v>Great ter um telefone e Plam em um; grande autonomia da bateria!</v>
      </c>
      <c r="B58750" s="3">
        <v>1</v>
      </c>
    </row>
    <row r="58751" ht="15.75" customHeight="1" spans="1:2">
      <c r="A58751" s="3" t="str">
        <f>IFERROR(__xludf.DUMMYFUNCTION("GOOGLETRANSLATE(A58751,""en"",""pt"")"),"Palm OS integrado, muito grande livro de endereços, discagem por voz, viva-voz")</f>
        <v>Palm OS integrado, muito grande livro de endereços, discagem por voz, viva-voz</v>
      </c>
      <c r="B58751" s="3">
        <v>1</v>
      </c>
    </row>
    <row r="58752" ht="15.75" customHeight="1" spans="1:2">
      <c r="A58752" s="3" t="str">
        <f>IFERROR(__xludf.DUMMYFUNCTION("GOOGLETRANSLATE(A58752,""en"",""pt"")"),"Ergonomia perfeita; bem-feito e muito durável")</f>
        <v>Ergonomia perfeita; bem-feito e muito durável</v>
      </c>
      <c r="B58752" s="3">
        <v>1</v>
      </c>
    </row>
    <row r="58753" ht="15.75" customHeight="1" spans="1:2">
      <c r="A58753" s="3" t="str">
        <f>IFERROR(__xludf.DUMMYFUNCTION("GOOGLETRANSLATE(A58753,""en"",""pt"")"),"dispositivo de dupla finalidade funcional completa")</f>
        <v>dispositivo de dupla finalidade funcional completa</v>
      </c>
      <c r="B58753" s="3">
        <v>1</v>
      </c>
    </row>
    <row r="58754" ht="15.75" customHeight="1" spans="1:2">
      <c r="A58754" s="3" t="str">
        <f>IFERROR(__xludf.DUMMYFUNCTION("GOOGLETRANSLATE(A58754,""en"",""pt"")"),"Tudo em um telefone. Não há necessidade de um PDA e um telefone.")</f>
        <v>Tudo em um telefone. Não há necessidade de um PDA e um telefone.</v>
      </c>
      <c r="B58754" s="3">
        <v>1</v>
      </c>
    </row>
    <row r="58755" ht="15.75" customHeight="1" spans="1:2">
      <c r="A58755" s="3" t="str">
        <f>IFERROR(__xludf.DUMMYFUNCTION("GOOGLETRANSLATE(A58755,""en"",""pt"")"),"Voz de discagem funciona bem. Boa duração da bateria. integração Phone-PDA é ok")</f>
        <v>Voz de discagem funciona bem. Boa duração da bateria. integração Phone-PDA é ok</v>
      </c>
      <c r="B58755" s="3">
        <v>1</v>
      </c>
    </row>
    <row r="58756" ht="15.75" customHeight="1" spans="1:2">
      <c r="A58756" s="3" t="str">
        <f>IFERROR(__xludf.DUMMYFUNCTION("GOOGLETRANSLATE(A58756,""en"",""pt"")"),"dura palma confiável útil OS vida útil da bateria ong")</f>
        <v>dura palma confiável útil OS vida útil da bateria ong</v>
      </c>
      <c r="B58756" s="3">
        <v>1</v>
      </c>
    </row>
    <row r="58757" ht="15.75" customHeight="1" spans="1:2">
      <c r="A58757" s="3" t="str">
        <f>IFERROR(__xludf.DUMMYFUNCTION("GOOGLETRANSLATE(A58757,""en"",""pt"")"),"Barato, características básicas de PDA")</f>
        <v>Barato, características básicas de PDA</v>
      </c>
      <c r="B58757" s="3">
        <v>1</v>
      </c>
    </row>
    <row r="58758" ht="15.75" customHeight="1" spans="1:2">
      <c r="A58758" s="3" t="str">
        <f>IFERROR(__xludf.DUMMYFUNCTION("GOOGLETRANSLATE(A58758,""en"",""pt"")"),"Palma da mão e telefone em um, triband telefone, o Palm apresenta a par com Palms atuais")</f>
        <v>Palma da mão e telefone em um, triband telefone, o Palm apresenta a par com Palms atuais</v>
      </c>
      <c r="B58758" s="3">
        <v>1</v>
      </c>
    </row>
    <row r="58759" ht="15.75" customHeight="1" spans="1:2">
      <c r="A58759" s="3" t="str">
        <f>IFERROR(__xludf.DUMMYFUNCTION("GOOGLETRANSLATE(A58759,""en"",""pt"")"),"PDA / telefone all-in-one. Alças agradàvel, boa qualidade de som &amp; # 13;. &amp; # 10; &amp; # 13; &amp; # 10;")</f>
        <v>PDA / telefone all-in-one. Alças agradàvel, boa qualidade de som &amp; # 13;. &amp; # 10; &amp; # 13; &amp; # 10;</v>
      </c>
      <c r="B58759" s="3">
        <v>1</v>
      </c>
    </row>
    <row r="58760" ht="15.75" customHeight="1" spans="1:2">
      <c r="A58760" s="3" t="str">
        <f>IFERROR(__xludf.DUMMYFUNCTION("GOOGLETRANSLATE(A58760,""en"",""pt"")"),"Tudo que você precisa enroladas em um dispositivo")</f>
        <v>Tudo que você precisa enroladas em um dispositivo</v>
      </c>
      <c r="B58760" s="3">
        <v>1</v>
      </c>
    </row>
    <row r="58761" ht="15.75" customHeight="1" spans="1:2">
      <c r="A58761" s="3" t="str">
        <f>IFERROR(__xludf.DUMMYFUNCTION("GOOGLETRANSLATE(A58761,""en"",""pt"")"),"PDA / telefone em uma única unidade, a compatibilidade PalmOS,")</f>
        <v>PDA / telefone em uma única unidade, a compatibilidade PalmOS,</v>
      </c>
      <c r="B58761" s="3">
        <v>1</v>
      </c>
    </row>
    <row r="58762" ht="15.75" customHeight="1" spans="1:2">
      <c r="A58762" s="3" t="str">
        <f>IFERROR(__xludf.DUMMYFUNCTION("GOOGLETRANSLATE(A58762,""en"",""pt"")"),"Reduzir transportando 2 itens para baixo para 1; rica em recursos")</f>
        <v>Reduzir transportando 2 itens para baixo para 1; rica em recursos</v>
      </c>
      <c r="B58762" s="3">
        <v>1</v>
      </c>
    </row>
    <row r="58763" ht="15.75" customHeight="1" spans="1:2">
      <c r="A58763" s="3" t="str">
        <f>IFERROR(__xludf.DUMMYFUNCTION("GOOGLETRANSLATE(A58763,""en"",""pt"")"),"Grande telefone, engloba 2 dispositivos em 1. Nunca saia de casa sem ele.")</f>
        <v>Grande telefone, engloba 2 dispositivos em 1. Nunca saia de casa sem ele.</v>
      </c>
      <c r="B58763" s="3">
        <v>1</v>
      </c>
    </row>
    <row r="58764" ht="15.75" customHeight="1" spans="1:2">
      <c r="A58764" s="3" t="str">
        <f>IFERROR(__xludf.DUMMYFUNCTION("GOOGLETRANSLATE(A58764,""en"",""pt"")"),"Integrado palma e Tri-band telefone CDMA")</f>
        <v>Integrado palma e Tri-band telefone CDMA</v>
      </c>
      <c r="B58764" s="3">
        <v>1</v>
      </c>
    </row>
    <row r="58765" ht="15.75" customHeight="1" spans="1:2">
      <c r="A58765" s="3" t="str">
        <f>IFERROR(__xludf.DUMMYFUNCTION("GOOGLETRANSLATE(A58765,""en"",""pt"")"),"características fantásticas")</f>
        <v>características fantásticas</v>
      </c>
      <c r="B58765" s="3">
        <v>1</v>
      </c>
    </row>
    <row r="58766" ht="15.75" customHeight="1" spans="1:2">
      <c r="A58766" s="3" t="str">
        <f>IFERROR(__xludf.DUMMYFUNCTION("GOOGLETRANSLATE(A58766,""en"",""pt"")"),"Nice all-in-one pacote; grandes recursos")</f>
        <v>Nice all-in-one pacote; grandes recursos</v>
      </c>
      <c r="B58766" s="3">
        <v>1</v>
      </c>
    </row>
    <row r="58767" ht="15.75" customHeight="1" spans="1:2">
      <c r="A58767" s="3" t="str">
        <f>IFERROR(__xludf.DUMMYFUNCTION("GOOGLETRANSLATE(A58767,""en"",""pt"")"),"Recursos, o acesso ISP, All in One conveniência.")</f>
        <v>Recursos, o acesso ISP, All in One conveniência.</v>
      </c>
      <c r="B58767" s="3">
        <v>1</v>
      </c>
    </row>
    <row r="58768" ht="15.75" customHeight="1" spans="1:2">
      <c r="A58768" s="3" t="str">
        <f>IFERROR(__xludf.DUMMYFUNCTION("GOOGLETRANSLATE(A58768,""en"",""pt"")"),"Melhor da raça. oferece com sucesso a funcionalidade de telefone e de palma em uma solução acessível.")</f>
        <v>Melhor da raça. oferece com sucesso a funcionalidade de telefone e de palma em uma solução acessível.</v>
      </c>
      <c r="B58768" s="3">
        <v>1</v>
      </c>
    </row>
    <row r="58769" ht="15.75" customHeight="1" spans="1:2">
      <c r="A58769" s="3" t="str">
        <f>IFERROR(__xludf.DUMMYFUNCTION("GOOGLETRANSLATE(A58769,""en"",""pt"")"),"Não há necessidade de transportar 2 itens (PDA e celulares); web sem fio que é útil")</f>
        <v>Não há necessidade de transportar 2 itens (PDA e celulares); web sem fio que é útil</v>
      </c>
      <c r="B58769" s="3">
        <v>1</v>
      </c>
    </row>
    <row r="58770" ht="15.75" customHeight="1" spans="1:2">
      <c r="A58770" s="3" t="str">
        <f>IFERROR(__xludf.DUMMYFUNCTION("GOOGLETRANSLATE(A58770,""en"",""pt"")"),"É um dispositivo que tem um monte de funcionalidade e uma vida boa bateria")</f>
        <v>É um dispositivo que tem um monte de funcionalidade e uma vida boa bateria</v>
      </c>
      <c r="B58770" s="3">
        <v>1</v>
      </c>
    </row>
    <row r="58771" ht="15.75" customHeight="1" spans="1:2">
      <c r="A58771" s="3" t="str">
        <f>IFERROR(__xludf.DUMMYFUNCTION("GOOGLETRANSLATE(A58771,""en"",""pt"")"),"Palma PDA e celular em uma")</f>
        <v>Palma PDA e celular em uma</v>
      </c>
      <c r="B58771" s="3">
        <v>1</v>
      </c>
    </row>
    <row r="58772" ht="15.75" customHeight="1" spans="1:2">
      <c r="A58772" s="3" t="str">
        <f>IFERROR(__xludf.DUMMYFUNCTION("GOOGLETRANSLATE(A58772,""en"",""pt"")"),"conectividade com a Internet, armazenamento de dados bom, compatibilidade com palmeiras e vários daqueles aplicativos")</f>
        <v>conectividade com a Internet, armazenamento de dados bom, compatibilidade com palmeiras e vários daqueles aplicativos</v>
      </c>
      <c r="B58772" s="3">
        <v>1</v>
      </c>
    </row>
    <row r="58773" ht="15.75" customHeight="1" spans="1:2">
      <c r="A58773" s="3" t="str">
        <f>IFERROR(__xludf.DUMMYFUNCTION("GOOGLETRANSLATE(A58773,""en"",""pt"")"),"Combina telefone, PIM, Fax, e Net tudo em um único dispositivo.")</f>
        <v>Combina telefone, PIM, Fax, e Net tudo em um único dispositivo.</v>
      </c>
      <c r="B58773" s="3">
        <v>1</v>
      </c>
    </row>
    <row r="58774" ht="15.75" customHeight="1" spans="1:2">
      <c r="A58774" s="3" t="str">
        <f>IFERROR(__xludf.DUMMYFUNCTION("GOOGLETRANSLATE(A58774,""en"",""pt"")"),"Palma da mão e telefone celular em uma unidade. Acesso sem fio à internet.")</f>
        <v>Palma da mão e telefone celular em uma unidade. Acesso sem fio à internet.</v>
      </c>
      <c r="B58774" s="3">
        <v>1</v>
      </c>
    </row>
    <row r="58775" ht="15.75" customHeight="1" spans="1:2">
      <c r="A58775" s="3" t="str">
        <f>IFERROR(__xludf.DUMMYFUNCTION("GOOGLETRANSLATE(A58775,""en"",""pt"")"),"tudo em um dispositivo")</f>
        <v>tudo em um dispositivo</v>
      </c>
      <c r="B58775" s="3">
        <v>1</v>
      </c>
    </row>
    <row r="58776" ht="15.75" customHeight="1" spans="1:2">
      <c r="A58776" s="3" t="str">
        <f>IFERROR(__xludf.DUMMYFUNCTION("GOOGLETRANSLATE(A58776,""en"",""pt"")"),"Grande ideia, Palm OS foi um excelente complemento")</f>
        <v>Grande ideia, Palm OS foi um excelente complemento</v>
      </c>
      <c r="B58776" s="3">
        <v>1</v>
      </c>
    </row>
    <row r="58777" ht="15.75" customHeight="1" spans="1:2">
      <c r="A58777" s="3" t="str">
        <f>IFERROR(__xludf.DUMMYFUNCTION("GOOGLETRANSLATE(A58777,""en"",""pt"")"),"Um PDA e telefone tudo em um!")</f>
        <v>Um PDA e telefone tudo em um!</v>
      </c>
      <c r="B58777" s="3">
        <v>1</v>
      </c>
    </row>
    <row r="58778" ht="15.75" customHeight="1" spans="1:2">
      <c r="A58778" s="3" t="str">
        <f>IFERROR(__xludf.DUMMYFUNCTION("GOOGLETRANSLATE(A58778,""en"",""pt"")"),"Palm OS, funcionalidade, flexibilidade")</f>
        <v>Palm OS, funcionalidade, flexibilidade</v>
      </c>
      <c r="B58778" s="3">
        <v>1</v>
      </c>
    </row>
    <row r="58779" ht="15.75" customHeight="1" spans="1:2">
      <c r="A58779" s="3" t="str">
        <f>IFERROR(__xludf.DUMMYFUNCTION("GOOGLETRANSLATE(A58779,""en"",""pt"")"),"Grande ideia: um telefone e PDA em um; sem grandes problemas")</f>
        <v>Grande ideia: um telefone e PDA em um; sem grandes problemas</v>
      </c>
      <c r="B58779" s="3">
        <v>1</v>
      </c>
    </row>
    <row r="58780" ht="15.75" customHeight="1" spans="1:2">
      <c r="A58780" s="3" t="str">
        <f>IFERROR(__xludf.DUMMYFUNCTION("GOOGLETRANSLATE(A58780,""en"",""pt"")"),"Mais confortavelmente médias PDA / telefone combinação.")</f>
        <v>Mais confortavelmente médias PDA / telefone combinação.</v>
      </c>
      <c r="B58780" s="3">
        <v>1</v>
      </c>
    </row>
    <row r="58781" ht="15.75" customHeight="1" spans="1:2">
      <c r="A58781" s="3" t="str">
        <f>IFERROR(__xludf.DUMMYFUNCTION("GOOGLETRANSLATE(A58781,""en"",""pt"")"),"PDA telefone funcionalidade / celular em um pacote ""razoavelmente pequeno"". grande vida da bateria")</f>
        <v>PDA telefone funcionalidade / celular em um pacote "razoavelmente pequeno". grande vida da bateria</v>
      </c>
      <c r="B58781" s="3">
        <v>1</v>
      </c>
    </row>
    <row r="58782" ht="15.75" customHeight="1" spans="1:2">
      <c r="A58782" s="3" t="str">
        <f>IFERROR(__xludf.DUMMYFUNCTION("GOOGLETRANSLATE(A58782,""en"",""pt"")"),"Muito versátil - telefone cheio de recursos e-mail / navegador web tudo em um a um bom preço.")</f>
        <v>Muito versátil - telefone cheio de recursos e-mail / navegador web tudo em um a um bom preço.</v>
      </c>
      <c r="B58782" s="3">
        <v>1</v>
      </c>
    </row>
    <row r="58783" ht="15.75" customHeight="1" spans="1:2">
      <c r="A58783" s="3" t="str">
        <f>IFERROR(__xludf.DUMMYFUNCTION("GOOGLETRANSLATE(A58783,""en"",""pt"")"),"Palm and Handheld em uma unidade")</f>
        <v>Palm and Handheld em uma unidade</v>
      </c>
      <c r="B58783" s="3">
        <v>1</v>
      </c>
    </row>
    <row r="58784" ht="15.75" customHeight="1" spans="1:2">
      <c r="A58784" s="3" t="str">
        <f>IFERROR(__xludf.DUMMYFUNCTION("GOOGLETRANSLATE(A58784,""en"",""pt"")"),"Boa telefone celular em habitação durável. grande speakerphone")</f>
        <v>Boa telefone celular em habitação durável. grande speakerphone</v>
      </c>
      <c r="B58784" s="3">
        <v>1</v>
      </c>
    </row>
    <row r="58785" ht="15.75" customHeight="1" spans="1:2">
      <c r="A58785" s="3" t="str">
        <f>IFERROR(__xludf.DUMMYFUNCTION("GOOGLETRANSLATE(A58785,""en"",""pt"")"),"Tudo em um e capaz de integrar as necessidades de telefonia e bancos de dados de palma")</f>
        <v>Tudo em um e capaz de integrar as necessidades de telefonia e bancos de dados de palma</v>
      </c>
      <c r="B58785" s="3">
        <v>1</v>
      </c>
    </row>
    <row r="58786" ht="15.75" customHeight="1" spans="1:2">
      <c r="A58786" s="3" t="str">
        <f>IFERROR(__xludf.DUMMYFUNCTION("GOOGLETRANSLATE(A58786,""en"",""pt"")"),"O gerenciamento de energia é grande &amp; # 13;. &amp; # 10; PalmOS com poder web real.")</f>
        <v>O gerenciamento de energia é grande &amp; # 13;. &amp; # 10; PalmOS com poder web real.</v>
      </c>
      <c r="B58786" s="3">
        <v>1</v>
      </c>
    </row>
    <row r="58787" ht="15.75" customHeight="1" spans="1:2">
      <c r="A58787" s="3" t="str">
        <f>IFERROR(__xludf.DUMMYFUNCTION("GOOGLETRANSLATE(A58787,""en"",""pt"")"),"piloto da palma Integrado")</f>
        <v>piloto da palma Integrado</v>
      </c>
      <c r="B58787" s="3">
        <v>1</v>
      </c>
    </row>
    <row r="58788" ht="15.75" customHeight="1" spans="1:2">
      <c r="A58788" s="3" t="str">
        <f>IFERROR(__xludf.DUMMYFUNCTION("GOOGLETRANSLATE(A58788,""en"",""pt"")"),"Parece bom, muito conveniente, um Palm Pilot e telefone em um navegador real, Web!")</f>
        <v>Parece bom, muito conveniente, um Palm Pilot e telefone em um navegador real, Web!</v>
      </c>
      <c r="B58788" s="3">
        <v>1</v>
      </c>
    </row>
    <row r="58789" ht="15.75" customHeight="1" spans="1:2">
      <c r="A58789" s="3" t="str">
        <f>IFERROR(__xludf.DUMMYFUNCTION("GOOGLETRANSLATE(A58789,""en"",""pt"")"),"Integrado Palm OS, interface do usuário, a vida da bateria")</f>
        <v>Integrado Palm OS, interface do usuário, a vida da bateria</v>
      </c>
      <c r="B58789" s="3">
        <v>1</v>
      </c>
    </row>
    <row r="58790" ht="15.75" customHeight="1" spans="1:2">
      <c r="A58790" s="3" t="str">
        <f>IFERROR(__xludf.DUMMYFUNCTION("GOOGLETRANSLATE(A58790,""en"",""pt"")"),"Tudo que você precisa é neste telefone! Boa duração da bateria, muitas ferramentas maravilhosas.")</f>
        <v>Tudo que você precisa é neste telefone! Boa duração da bateria, muitas ferramentas maravilhosas.</v>
      </c>
      <c r="B58790" s="3">
        <v>1</v>
      </c>
    </row>
    <row r="58791" ht="15.75" customHeight="1" spans="1:2">
      <c r="A58791" s="3" t="str">
        <f>IFERROR(__xludf.DUMMYFUNCTION("GOOGLETRANSLATE(A58791,""en"",""pt"")"),"vida útil da bateria")</f>
        <v>vida útil da bateria</v>
      </c>
      <c r="B58791" s="3">
        <v>1</v>
      </c>
    </row>
    <row r="58792" ht="15.75" customHeight="1" spans="1:2">
      <c r="A58792" s="3" t="str">
        <f>IFERROR(__xludf.DUMMYFUNCTION("GOOGLETRANSLATE(A58792,""en"",""pt"")"),"Grande integração de palma e vida útil da bateria. Tudo em 1 maravilha.")</f>
        <v>Grande integração de palma e vida útil da bateria. Tudo em 1 maravilha.</v>
      </c>
      <c r="B58792" s="3">
        <v>1</v>
      </c>
    </row>
    <row r="58793" ht="15.75" customHeight="1" spans="1:2">
      <c r="A58793" s="3" t="str">
        <f>IFERROR(__xludf.DUMMYFUNCTION("GOOGLETRANSLATE(A58793,""en"",""pt"")"),"Discagem por voz, viva-voz, bateria de longa duração.")</f>
        <v>Discagem por voz, viva-voz, bateria de longa duração.</v>
      </c>
      <c r="B58793" s="3">
        <v>1</v>
      </c>
    </row>
    <row r="58794" ht="15.75" customHeight="1" spans="1:2">
      <c r="A58794" s="3" t="str">
        <f>IFERROR(__xludf.DUMMYFUNCTION("GOOGLETRANSLATE(A58794,""en"",""pt"")"),"Uau, o que eu sempre quis - PDA e telefone em um!")</f>
        <v>Uau, o que eu sempre quis - PDA e telefone em um!</v>
      </c>
      <c r="B58794" s="3">
        <v>1</v>
      </c>
    </row>
    <row r="58795" ht="15.75" customHeight="1" spans="1:2">
      <c r="A58795" s="3" t="str">
        <f>IFERROR(__xludf.DUMMYFUNCTION("GOOGLETRANSLATE(A58795,""en"",""pt"")"),"combinação eficaz de telefone e PDA; Você recebe o que você paga.")</f>
        <v>combinação eficaz de telefone e PDA; Você recebe o que você paga.</v>
      </c>
      <c r="B58795" s="3">
        <v>1</v>
      </c>
    </row>
    <row r="58796" ht="15.75" customHeight="1" spans="1:2">
      <c r="A58796" s="3" t="str">
        <f>IFERROR(__xludf.DUMMYFUNCTION("GOOGLETRANSLATE(A58796,""en"",""pt"")"),"Excelente tamanho, boa integração, estável")</f>
        <v>Excelente tamanho, boa integração, estável</v>
      </c>
      <c r="B58796" s="3">
        <v>1</v>
      </c>
    </row>
    <row r="58797" ht="15.75" customHeight="1" spans="1:2">
      <c r="A58797" s="3" t="str">
        <f>IFERROR(__xludf.DUMMYFUNCTION("GOOGLETRANSLATE(A58797,""en"",""pt"")"),"Viva-voz, PalmV, Web Access, Big Screen, Syncs grande com Outlook")</f>
        <v>Viva-voz, PalmV, Web Access, Big Screen, Syncs grande com Outlook</v>
      </c>
      <c r="B58797" s="3">
        <v>1</v>
      </c>
    </row>
    <row r="58798" ht="15.75" customHeight="1" spans="1:2">
      <c r="A58798" s="3" t="str">
        <f>IFERROR(__xludf.DUMMYFUNCTION("GOOGLETRANSLATE(A58798,""en"",""pt"")"),"Serve a dois propósitos em um, Boa comando de voz")</f>
        <v>Serve a dois propósitos em um, Boa comando de voz</v>
      </c>
      <c r="B58798" s="3">
        <v>1</v>
      </c>
    </row>
    <row r="58799" ht="15.75" customHeight="1" spans="1:2">
      <c r="A58799" s="3" t="str">
        <f>IFERROR(__xludf.DUMMYFUNCTION("GOOGLETRANSLATE(A58799,""en"",""pt"")"),"Preço (baixo para US $ 99 agora!) E conveniência")</f>
        <v>Preço (baixo para US $ 99 agora!) E conveniência</v>
      </c>
      <c r="B58799" s="3">
        <v>1</v>
      </c>
    </row>
    <row r="58800" ht="15.75" customHeight="1" spans="1:2">
      <c r="A58800" s="3" t="str">
        <f>IFERROR(__xludf.DUMMYFUNCTION("GOOGLETRANSLATE(A58800,""en"",""pt"")"),"Integração")</f>
        <v>Integração</v>
      </c>
      <c r="B58800" s="3">
        <v>1</v>
      </c>
    </row>
    <row r="58801" ht="15.75" customHeight="1" spans="1:2">
      <c r="A58801" s="3" t="str">
        <f>IFERROR(__xludf.DUMMYFUNCTION("GOOGLETRANSLATE(A58801,""en"",""pt"")"),"Organize-se, navegar na web, jogar jogos e falar ao telefone!")</f>
        <v>Organize-se, navegar na web, jogar jogos e falar ao telefone!</v>
      </c>
      <c r="B58801" s="3">
        <v>1</v>
      </c>
    </row>
    <row r="58802" ht="15.75" customHeight="1" spans="1:2">
      <c r="A58802" s="3" t="str">
        <f>IFERROR(__xludf.DUMMYFUNCTION("GOOGLETRANSLATE(A58802,""en"",""pt"")"),"PDA e telefone, menor do que o modelo anterior, uma boa recepção")</f>
        <v>PDA e telefone, menor do que o modelo anterior, uma boa recepção</v>
      </c>
      <c r="B58802" s="3">
        <v>1</v>
      </c>
    </row>
    <row r="58803" ht="15.75" customHeight="1" spans="1:2">
      <c r="A58803" s="3" t="str">
        <f>IFERROR(__xludf.DUMMYFUNCTION("GOOGLETRANSLATE(A58803,""en"",""pt"")"),"Tem todas as funções de palma; parte de conversação interessante")</f>
        <v>Tem todas as funções de palma; parte de conversação interessante</v>
      </c>
      <c r="B58803" s="3">
        <v>1</v>
      </c>
    </row>
    <row r="58804" ht="15.75" customHeight="1" spans="1:2">
      <c r="A58804" s="3" t="str">
        <f>IFERROR(__xludf.DUMMYFUNCTION("GOOGLETRANSLATE(A58804,""en"",""pt"")"),"Grande autonomia da bateria, a integração Boa PDA, rico em recursos")</f>
        <v>Grande autonomia da bateria, a integração Boa PDA, rico em recursos</v>
      </c>
      <c r="B58804" s="3">
        <v>1</v>
      </c>
    </row>
    <row r="58805" ht="15.75" customHeight="1" spans="1:2">
      <c r="A58805" s="3" t="str">
        <f>IFERROR(__xludf.DUMMYFUNCTION("GOOGLETRANSLATE(A58805,""en"",""pt"")"),"Excelente qualidade de voz - e você terá um dispositivo Palm como um bônus")</f>
        <v>Excelente qualidade de voz - e você terá um dispositivo Palm como um bônus</v>
      </c>
      <c r="B58805" s="3">
        <v>1</v>
      </c>
    </row>
    <row r="58806" ht="15.75" customHeight="1" spans="1:2">
      <c r="A58806" s="3" t="str">
        <f>IFERROR(__xludf.DUMMYFUNCTION("GOOGLETRANSLATE(A58806,""en"",""pt"")"),"Excelente integração de palma e telefone &amp; # 13; &amp; # 10; Excelente para usar em um veículo")</f>
        <v>Excelente integração de palma e telefone &amp; # 13; &amp; # 10; Excelente para usar em um veículo</v>
      </c>
      <c r="B58806" s="3">
        <v>1</v>
      </c>
    </row>
    <row r="58807" ht="15.75" customHeight="1" spans="1:2">
      <c r="A58807" s="3" t="str">
        <f>IFERROR(__xludf.DUMMYFUNCTION("GOOGLETRANSLATE(A58807,""en"",""pt"")"),"Great ter um telefone e Plam em um; grande autonomia da bateria!")</f>
        <v>Great ter um telefone e Plam em um; grande autonomia da bateria!</v>
      </c>
      <c r="B58807" s="3">
        <v>1</v>
      </c>
    </row>
    <row r="58808" ht="15.75" customHeight="1" spans="1:2">
      <c r="A58808" s="3" t="str">
        <f>IFERROR(__xludf.DUMMYFUNCTION("GOOGLETRANSLATE(A58808,""en"",""pt"")"),"Palm OS integrado, muito grande livro de endereços, discagem por voz, viva-voz")</f>
        <v>Palm OS integrado, muito grande livro de endereços, discagem por voz, viva-voz</v>
      </c>
      <c r="B58808" s="3">
        <v>1</v>
      </c>
    </row>
    <row r="58809" ht="15.75" customHeight="1" spans="1:2">
      <c r="A58809" s="3" t="str">
        <f>IFERROR(__xludf.DUMMYFUNCTION("GOOGLETRANSLATE(A58809,""en"",""pt"")"),"Ergonomia perfeita; bem-feito e muito durável")</f>
        <v>Ergonomia perfeita; bem-feito e muito durável</v>
      </c>
      <c r="B58809" s="3">
        <v>1</v>
      </c>
    </row>
    <row r="58810" ht="15.75" customHeight="1" spans="1:2">
      <c r="A58810" s="3" t="str">
        <f>IFERROR(__xludf.DUMMYFUNCTION("GOOGLETRANSLATE(A58810,""en"",""pt"")"),"dispositivo de dupla finalidade funcional completa")</f>
        <v>dispositivo de dupla finalidade funcional completa</v>
      </c>
      <c r="B58810" s="3">
        <v>1</v>
      </c>
    </row>
    <row r="58811" ht="15.75" customHeight="1" spans="1:2">
      <c r="A58811" s="3" t="str">
        <f>IFERROR(__xludf.DUMMYFUNCTION("GOOGLETRANSLATE(A58811,""en"",""pt"")"),"Tudo em um telefone. Não há necessidade de um PDA e um telefone.")</f>
        <v>Tudo em um telefone. Não há necessidade de um PDA e um telefone.</v>
      </c>
      <c r="B58811" s="3">
        <v>1</v>
      </c>
    </row>
    <row r="58812" ht="15.75" customHeight="1" spans="1:2">
      <c r="A58812" s="3" t="str">
        <f>IFERROR(__xludf.DUMMYFUNCTION("GOOGLETRANSLATE(A58812,""en"",""pt"")"),"Voz de discagem funciona bem. Boa duração da bateria. integração Phone-PDA é ok")</f>
        <v>Voz de discagem funciona bem. Boa duração da bateria. integração Phone-PDA é ok</v>
      </c>
      <c r="B58812" s="3">
        <v>1</v>
      </c>
    </row>
    <row r="58813" ht="15.75" customHeight="1" spans="1:2">
      <c r="A58813" s="3" t="str">
        <f>IFERROR(__xludf.DUMMYFUNCTION("GOOGLETRANSLATE(A58813,""en"",""pt"")"),"dura palma confiável útil OS vida útil da bateria ong")</f>
        <v>dura palma confiável útil OS vida útil da bateria ong</v>
      </c>
      <c r="B58813" s="3">
        <v>1</v>
      </c>
    </row>
    <row r="58814" ht="15.75" customHeight="1" spans="1:2">
      <c r="A58814" s="3" t="str">
        <f>IFERROR(__xludf.DUMMYFUNCTION("GOOGLETRANSLATE(A58814,""en"",""pt"")"),"Barato, características básicas de PDA")</f>
        <v>Barato, características básicas de PDA</v>
      </c>
      <c r="B58814" s="3">
        <v>1</v>
      </c>
    </row>
    <row r="58815" ht="15.75" customHeight="1" spans="1:2">
      <c r="A58815" s="3" t="str">
        <f>IFERROR(__xludf.DUMMYFUNCTION("GOOGLETRANSLATE(A58815,""en"",""pt"")"),"durável, minúsculo telefone do mundo, design agradável, alerta vibratório")</f>
        <v>durável, minúsculo telefone do mundo, design agradável, alerta vibratório</v>
      </c>
      <c r="B58815" s="3">
        <v>1</v>
      </c>
    </row>
    <row r="58816" ht="17.25" customHeight="1" spans="1:2">
      <c r="A58816" s="3" t="str">
        <f>IFERROR(__xludf.DUMMYFUNCTION("GOOGLETRANSLATE(A58816,""en"",""pt"")"),"minúsculo !, utilizável na Europa e partes da Ásia Oriental, luz, clareza")</f>
        <v>minúsculo !, utilizável na Europa e partes da Ásia Oriental, luz, clareza</v>
      </c>
      <c r="B58816" s="3">
        <v>1</v>
      </c>
    </row>
  </sheetData>
  <autoFilter ref="A1:B58816">
    <extLst/>
  </autoFilter>
  <pageMargins left="0.511811024" right="0.511811024" top="0.787401575" bottom="0.787401575"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Plan1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gabri</cp:lastModifiedBy>
  <dcterms:created xsi:type="dcterms:W3CDTF">2019-12-10T18:04:58Z</dcterms:created>
  <dcterms:modified xsi:type="dcterms:W3CDTF">2019-12-10T18:05:51Z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1046-11.2.0.9070</vt:lpwstr>
  </property>
</Properties>
</file>